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8.xml" ContentType="application/vnd.openxmlformats-officedocument.drawing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0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1.xml" ContentType="application/vnd.openxmlformats-officedocument.drawing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5.xml" ContentType="application/vnd.openxmlformats-officedocument.drawing+xml"/>
  <Override PartName="/xl/charts/chart8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8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8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8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8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8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8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9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9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9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9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9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9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9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9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9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9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0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0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elexiconenergy.sharepoint.com/sites/EarlyRebasingApplication-ExhibitsWorkingDrafts/Shared Documents/Exhibits (Working Drafts)/Exhibit 3 (Operating Revenue)/0.2 To OEB/"/>
    </mc:Choice>
  </mc:AlternateContent>
  <xr:revisionPtr revIDLastSave="1182" documentId="8_{19EBC985-E250-4E10-A5A0-8271DA3F54F3}" xr6:coauthVersionLast="47" xr6:coauthVersionMax="47" xr10:uidLastSave="{54EFE743-A74C-4293-9EFE-235A46E338DF}"/>
  <bookViews>
    <workbookView xWindow="-120" yWindow="-120" windowWidth="29040" windowHeight="15720" tabRatio="919" xr2:uid="{04D5C460-8B1E-478A-BED3-2F557AE51EBB}"/>
  </bookViews>
  <sheets>
    <sheet name="Summary" sheetId="60" r:id="rId1"/>
    <sheet name="Monthly Data" sheetId="2" r:id="rId2"/>
    <sheet name="Economic Data" sheetId="6" r:id="rId3"/>
    <sheet name="Weather" sheetId="3" r:id="rId4"/>
    <sheet name="CDM" sheetId="5" r:id="rId5"/>
    <sheet name="VRZ Residential" sheetId="17" r:id="rId6"/>
    <sheet name="VRZ Seasonal" sheetId="19" r:id="rId7"/>
    <sheet name="VRZ GS &lt; 50" sheetId="18" r:id="rId8"/>
    <sheet name="VRZ GS 50-2,999" sheetId="20" r:id="rId9"/>
    <sheet name="VRZ GS 3,000-4,999" sheetId="21" r:id="rId10"/>
    <sheet name="VRZ Large Use" sheetId="22" r:id="rId11"/>
    <sheet name="WRZ Residential" sheetId="23" r:id="rId12"/>
    <sheet name="WRZ GS &lt; 50" sheetId="24" r:id="rId13"/>
    <sheet name="WRZ GS 50-2,999" sheetId="25" r:id="rId14"/>
    <sheet name="WRZ GS 3,000-4,999" sheetId="26" r:id="rId15"/>
    <sheet name="Model Summary" sheetId="27" r:id="rId16"/>
    <sheet name="EV Data" sheetId="65" r:id="rId17"/>
    <sheet name="EV Forecast VRZ" sheetId="51" r:id="rId18"/>
    <sheet name="EV Forecast WRZ" sheetId="10" r:id="rId19"/>
    <sheet name="Heating" sheetId="11" r:id="rId20"/>
    <sheet name="Heating (data)" sheetId="61" r:id="rId21"/>
    <sheet name="New Known Customers" sheetId="43" r:id="rId22"/>
    <sheet name="Total Additional" sheetId="12" r:id="rId23"/>
    <sheet name="VRZ Residential Normalized" sheetId="28" r:id="rId24"/>
    <sheet name="VRZ Seasonal Normalized" sheetId="29" r:id="rId25"/>
    <sheet name="VRZ GS &lt; 50 Normalized" sheetId="30" r:id="rId26"/>
    <sheet name="VRZ GS 50-2,999 Normalized" sheetId="31" r:id="rId27"/>
    <sheet name="VRZ GS 3,000-4,999 Normalized" sheetId="32" r:id="rId28"/>
    <sheet name="VRZ Large Use Normalized" sheetId="33" r:id="rId29"/>
    <sheet name="WRZ Residential Normalized" sheetId="34" r:id="rId30"/>
    <sheet name="WRZ GS &lt; 50 Normalized" sheetId="35" r:id="rId31"/>
    <sheet name="WRZ GS 50-2,999 Normalized" sheetId="36" r:id="rId32"/>
    <sheet name="WRZ GS 3,000-4,999 Normalized" sheetId="37" r:id="rId33"/>
    <sheet name="Normalized Annual Summary" sheetId="39" r:id="rId34"/>
    <sheet name="CDM-eDSM Framework" sheetId="7" r:id="rId35"/>
    <sheet name="kW Forecast" sheetId="40" r:id="rId36"/>
    <sheet name="CDM Adjustment" sheetId="8" r:id="rId37"/>
    <sheet name="Additional Growth" sheetId="42" r:id="rId38"/>
    <sheet name="Customer Count" sheetId="14" r:id="rId39"/>
    <sheet name="Summary Tables" sheetId="41" r:id="rId40"/>
    <sheet name="Overall Load Summary" sheetId="44" r:id="rId41"/>
    <sheet name="Summary Tables (WN)" sheetId="73" r:id="rId42"/>
  </sheets>
  <definedNames>
    <definedName name="_Fill" localSheetId="38" hidden="1">#REF!</definedName>
    <definedName name="_Fill" localSheetId="2" hidden="1">#REF!</definedName>
    <definedName name="_Fill" localSheetId="17" hidden="1">#REF!</definedName>
    <definedName name="_Fill" localSheetId="35" hidden="1">#REF!</definedName>
    <definedName name="_Fill" localSheetId="15" hidden="1">#REF!</definedName>
    <definedName name="_Fill" localSheetId="33" hidden="1">#REF!</definedName>
    <definedName name="_Fill" localSheetId="39" hidden="1">#REF!</definedName>
    <definedName name="_Fill" localSheetId="41" hidden="1">#REF!</definedName>
    <definedName name="_Fill" hidden="1">#REF!</definedName>
    <definedName name="_Order1" hidden="1">255</definedName>
    <definedName name="_Order2" hidden="1">0</definedName>
    <definedName name="_Sort" localSheetId="38" hidden="1">#REF!</definedName>
    <definedName name="_Sort" localSheetId="2" hidden="1">#REF!</definedName>
    <definedName name="_Sort" localSheetId="17" hidden="1">#REF!</definedName>
    <definedName name="_Sort" localSheetId="35" hidden="1">#REF!</definedName>
    <definedName name="_Sort" localSheetId="15" hidden="1">#REF!</definedName>
    <definedName name="_Sort" localSheetId="33" hidden="1">#REF!</definedName>
    <definedName name="_Sort" localSheetId="39" hidden="1">#REF!</definedName>
    <definedName name="_Sort" localSheetId="41" hidden="1">#REF!</definedName>
    <definedName name="_Sort" hidden="1">#REF!</definedName>
    <definedName name="BridgeYear">#REF!</definedName>
    <definedName name="EBNUMBER">#REF!</definedName>
    <definedName name="TestYe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41" l="1"/>
  <c r="N27" i="41"/>
  <c r="O27" i="41"/>
  <c r="P27" i="41"/>
  <c r="Q27" i="41"/>
  <c r="R27" i="41"/>
  <c r="L27" i="41"/>
  <c r="R27" i="73"/>
  <c r="M27" i="73"/>
  <c r="N27" i="73"/>
  <c r="O27" i="73"/>
  <c r="P27" i="73"/>
  <c r="Q27" i="73"/>
  <c r="L27" i="73"/>
  <c r="N67" i="10"/>
  <c r="O67" i="10"/>
  <c r="N24" i="10"/>
  <c r="N39" i="10" l="1"/>
  <c r="N14" i="10"/>
  <c r="O24" i="10"/>
  <c r="N11" i="10"/>
  <c r="AH7" i="8"/>
  <c r="AG7" i="8"/>
  <c r="AE7" i="8"/>
  <c r="AF7" i="8"/>
  <c r="AD7" i="8"/>
  <c r="AC7" i="8"/>
  <c r="AB7" i="8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D29" i="42"/>
  <c r="F10" i="42"/>
  <c r="R2" i="31"/>
  <c r="H4" i="29"/>
  <c r="H5" i="29" s="1"/>
  <c r="H6" i="29" s="1"/>
  <c r="H7" i="29" s="1"/>
  <c r="H8" i="29" s="1"/>
  <c r="H9" i="29" s="1"/>
  <c r="H10" i="29" s="1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H41" i="29" s="1"/>
  <c r="H42" i="29" s="1"/>
  <c r="H43" i="29" s="1"/>
  <c r="H44" i="29" s="1"/>
  <c r="H45" i="29" s="1"/>
  <c r="H46" i="29" s="1"/>
  <c r="H47" i="29" s="1"/>
  <c r="H48" i="29" s="1"/>
  <c r="H49" i="29" s="1"/>
  <c r="H50" i="29" s="1"/>
  <c r="H51" i="29" s="1"/>
  <c r="H52" i="29" s="1"/>
  <c r="H53" i="29" s="1"/>
  <c r="H54" i="29" s="1"/>
  <c r="H55" i="29" s="1"/>
  <c r="H56" i="29" s="1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H67" i="29" s="1"/>
  <c r="H68" i="29" s="1"/>
  <c r="H69" i="29" s="1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H80" i="29" s="1"/>
  <c r="H81" i="29" s="1"/>
  <c r="H82" i="29" s="1"/>
  <c r="H83" i="29" s="1"/>
  <c r="H84" i="29" s="1"/>
  <c r="H85" i="29" s="1"/>
  <c r="H86" i="29" s="1"/>
  <c r="H87" i="29" s="1"/>
  <c r="H88" i="29" s="1"/>
  <c r="H89" i="29" s="1"/>
  <c r="H90" i="29" s="1"/>
  <c r="H91" i="29" s="1"/>
  <c r="H92" i="29" s="1"/>
  <c r="H93" i="29" s="1"/>
  <c r="H94" i="29" s="1"/>
  <c r="H95" i="29" s="1"/>
  <c r="H96" i="29" s="1"/>
  <c r="H97" i="29" s="1"/>
  <c r="H98" i="29" s="1"/>
  <c r="H99" i="29" s="1"/>
  <c r="H100" i="29" s="1"/>
  <c r="H101" i="29" s="1"/>
  <c r="H102" i="29" s="1"/>
  <c r="H103" i="29" s="1"/>
  <c r="H104" i="29" s="1"/>
  <c r="H105" i="29" s="1"/>
  <c r="H106" i="29" s="1"/>
  <c r="H107" i="29" s="1"/>
  <c r="H108" i="29" s="1"/>
  <c r="H109" i="29" s="1"/>
  <c r="H110" i="29" s="1"/>
  <c r="H111" i="29" s="1"/>
  <c r="H112" i="29" s="1"/>
  <c r="H113" i="29" s="1"/>
  <c r="H114" i="29" s="1"/>
  <c r="H115" i="29" s="1"/>
  <c r="H116" i="29" s="1"/>
  <c r="H117" i="29" s="1"/>
  <c r="H118" i="29" s="1"/>
  <c r="H119" i="29" s="1"/>
  <c r="H120" i="29" s="1"/>
  <c r="H121" i="29" s="1"/>
  <c r="H3" i="29"/>
  <c r="T71" i="7"/>
  <c r="S71" i="7"/>
  <c r="AR28" i="7"/>
  <c r="AR29" i="7"/>
  <c r="AR30" i="7"/>
  <c r="AR31" i="7"/>
  <c r="AR33" i="7"/>
  <c r="AR34" i="7"/>
  <c r="AR35" i="7"/>
  <c r="AL28" i="7"/>
  <c r="AM28" i="7"/>
  <c r="AN28" i="7"/>
  <c r="AO28" i="7"/>
  <c r="AP28" i="7"/>
  <c r="AQ28" i="7"/>
  <c r="AL29" i="7"/>
  <c r="AM29" i="7"/>
  <c r="AN29" i="7"/>
  <c r="AO29" i="7"/>
  <c r="AP29" i="7"/>
  <c r="AQ29" i="7"/>
  <c r="AL30" i="7"/>
  <c r="AM30" i="7"/>
  <c r="AN30" i="7"/>
  <c r="AO30" i="7"/>
  <c r="AP30" i="7"/>
  <c r="AQ30" i="7"/>
  <c r="AL31" i="7"/>
  <c r="AM31" i="7"/>
  <c r="AN31" i="7"/>
  <c r="AO31" i="7"/>
  <c r="AP31" i="7"/>
  <c r="AQ31" i="7"/>
  <c r="AL33" i="7"/>
  <c r="AM33" i="7"/>
  <c r="AN33" i="7"/>
  <c r="AO33" i="7"/>
  <c r="AP33" i="7"/>
  <c r="AQ33" i="7"/>
  <c r="AL34" i="7"/>
  <c r="AM34" i="7"/>
  <c r="AN34" i="7"/>
  <c r="AO34" i="7"/>
  <c r="AP34" i="7"/>
  <c r="AQ34" i="7"/>
  <c r="AL35" i="7"/>
  <c r="AM35" i="7"/>
  <c r="AN35" i="7"/>
  <c r="AO35" i="7"/>
  <c r="AP35" i="7"/>
  <c r="AQ35" i="7"/>
  <c r="AK28" i="7"/>
  <c r="AK29" i="7"/>
  <c r="AK30" i="7"/>
  <c r="AK31" i="7"/>
  <c r="AK33" i="7"/>
  <c r="AK34" i="7"/>
  <c r="AK35" i="7"/>
  <c r="AJ28" i="7"/>
  <c r="AJ29" i="7"/>
  <c r="AJ30" i="7"/>
  <c r="AJ31" i="7"/>
  <c r="AJ33" i="7"/>
  <c r="AJ34" i="7"/>
  <c r="AJ35" i="7"/>
  <c r="L136" i="73"/>
  <c r="K136" i="73"/>
  <c r="J136" i="73"/>
  <c r="I136" i="73"/>
  <c r="H136" i="73"/>
  <c r="G136" i="73"/>
  <c r="F136" i="73"/>
  <c r="E136" i="73"/>
  <c r="D136" i="73"/>
  <c r="C136" i="73"/>
  <c r="L135" i="73"/>
  <c r="K135" i="73"/>
  <c r="J135" i="73"/>
  <c r="I135" i="73"/>
  <c r="H135" i="73"/>
  <c r="G135" i="73"/>
  <c r="F135" i="73"/>
  <c r="E135" i="73"/>
  <c r="D135" i="73"/>
  <c r="C135" i="73"/>
  <c r="L134" i="73"/>
  <c r="K134" i="73"/>
  <c r="J134" i="73"/>
  <c r="I134" i="73"/>
  <c r="H134" i="73"/>
  <c r="G134" i="73"/>
  <c r="F134" i="73"/>
  <c r="E134" i="73"/>
  <c r="D134" i="73"/>
  <c r="C134" i="73"/>
  <c r="L133" i="73"/>
  <c r="K133" i="73"/>
  <c r="J133" i="73"/>
  <c r="I133" i="73"/>
  <c r="H133" i="73"/>
  <c r="G133" i="73"/>
  <c r="F133" i="73"/>
  <c r="E133" i="73"/>
  <c r="D133" i="73"/>
  <c r="C133" i="73"/>
  <c r="L132" i="73"/>
  <c r="K132" i="73"/>
  <c r="J132" i="73"/>
  <c r="I132" i="73"/>
  <c r="H132" i="73"/>
  <c r="G132" i="73"/>
  <c r="F132" i="73"/>
  <c r="E132" i="73"/>
  <c r="D132" i="73"/>
  <c r="C132" i="73"/>
  <c r="L131" i="73"/>
  <c r="K131" i="73"/>
  <c r="J131" i="73"/>
  <c r="I131" i="73"/>
  <c r="H131" i="73"/>
  <c r="G131" i="73"/>
  <c r="F131" i="73"/>
  <c r="E131" i="73"/>
  <c r="D131" i="73"/>
  <c r="C131" i="73"/>
  <c r="L130" i="73"/>
  <c r="K130" i="73"/>
  <c r="J130" i="73"/>
  <c r="I130" i="73"/>
  <c r="H130" i="73"/>
  <c r="G130" i="73"/>
  <c r="F130" i="73"/>
  <c r="E130" i="73"/>
  <c r="D130" i="73"/>
  <c r="C130" i="73"/>
  <c r="L125" i="73"/>
  <c r="K125" i="73"/>
  <c r="J125" i="73"/>
  <c r="I125" i="73"/>
  <c r="H125" i="73"/>
  <c r="G125" i="73"/>
  <c r="F125" i="73"/>
  <c r="E125" i="73"/>
  <c r="D125" i="73"/>
  <c r="C125" i="73"/>
  <c r="L124" i="73"/>
  <c r="K124" i="73"/>
  <c r="J124" i="73"/>
  <c r="I124" i="73"/>
  <c r="H124" i="73"/>
  <c r="G124" i="73"/>
  <c r="F124" i="73"/>
  <c r="E124" i="73"/>
  <c r="D124" i="73"/>
  <c r="C124" i="73"/>
  <c r="L123" i="73"/>
  <c r="K123" i="73"/>
  <c r="J123" i="73"/>
  <c r="I123" i="73"/>
  <c r="H123" i="73"/>
  <c r="G123" i="73"/>
  <c r="F123" i="73"/>
  <c r="E123" i="73"/>
  <c r="D123" i="73"/>
  <c r="C123" i="73"/>
  <c r="L122" i="73"/>
  <c r="K122" i="73"/>
  <c r="J122" i="73"/>
  <c r="I122" i="73"/>
  <c r="H122" i="73"/>
  <c r="G122" i="73"/>
  <c r="F122" i="73"/>
  <c r="E122" i="73"/>
  <c r="D122" i="73"/>
  <c r="C122" i="73"/>
  <c r="L121" i="73"/>
  <c r="K121" i="73"/>
  <c r="J121" i="73"/>
  <c r="I121" i="73"/>
  <c r="H121" i="73"/>
  <c r="G121" i="73"/>
  <c r="F121" i="73"/>
  <c r="E121" i="73"/>
  <c r="D121" i="73"/>
  <c r="C121" i="73"/>
  <c r="L120" i="73"/>
  <c r="K120" i="73"/>
  <c r="J120" i="73"/>
  <c r="I120" i="73"/>
  <c r="H120" i="73"/>
  <c r="G120" i="73"/>
  <c r="F120" i="73"/>
  <c r="E120" i="73"/>
  <c r="D120" i="73"/>
  <c r="C120" i="73"/>
  <c r="L119" i="73"/>
  <c r="K119" i="73"/>
  <c r="J119" i="73"/>
  <c r="I119" i="73"/>
  <c r="H119" i="73"/>
  <c r="G119" i="73"/>
  <c r="F119" i="73"/>
  <c r="E119" i="73"/>
  <c r="D119" i="73"/>
  <c r="C119" i="73"/>
  <c r="L118" i="73"/>
  <c r="K118" i="73"/>
  <c r="J118" i="73"/>
  <c r="I118" i="73"/>
  <c r="H118" i="73"/>
  <c r="G118" i="73"/>
  <c r="F118" i="73"/>
  <c r="E118" i="73"/>
  <c r="D118" i="73"/>
  <c r="C118" i="73"/>
  <c r="L117" i="73"/>
  <c r="K117" i="73"/>
  <c r="J117" i="73"/>
  <c r="I117" i="73"/>
  <c r="H117" i="73"/>
  <c r="G117" i="73"/>
  <c r="F117" i="73"/>
  <c r="E117" i="73"/>
  <c r="D117" i="73"/>
  <c r="C117" i="73"/>
  <c r="B112" i="73"/>
  <c r="B136" i="73" s="1"/>
  <c r="B111" i="73"/>
  <c r="B135" i="73" s="1"/>
  <c r="B110" i="73"/>
  <c r="B134" i="73" s="1"/>
  <c r="P4" i="32"/>
  <c r="P5" i="32"/>
  <c r="P3" i="32"/>
  <c r="Y4" i="31"/>
  <c r="Y5" i="31"/>
  <c r="Y3" i="31"/>
  <c r="Y4" i="29"/>
  <c r="Y5" i="29"/>
  <c r="Y3" i="29"/>
  <c r="BD2" i="2"/>
  <c r="BE2" i="2" s="1"/>
  <c r="D2" i="23" s="1"/>
  <c r="EH3" i="2"/>
  <c r="K3" i="17" s="1"/>
  <c r="J2" i="34"/>
  <c r="J1" i="34"/>
  <c r="J2" i="31"/>
  <c r="J3" i="31"/>
  <c r="J1" i="31"/>
  <c r="H1" i="29"/>
  <c r="K2" i="28"/>
  <c r="K1" i="28"/>
  <c r="J2" i="23"/>
  <c r="J1" i="23"/>
  <c r="J2" i="20"/>
  <c r="J1" i="20"/>
  <c r="H2" i="19"/>
  <c r="H1" i="19"/>
  <c r="K2" i="17"/>
  <c r="K1" i="17"/>
  <c r="H126" i="73" l="1"/>
  <c r="I126" i="73"/>
  <c r="L126" i="73"/>
  <c r="C126" i="73"/>
  <c r="D126" i="73"/>
  <c r="E126" i="73"/>
  <c r="F126" i="73"/>
  <c r="K126" i="73"/>
  <c r="G126" i="73"/>
  <c r="J126" i="73"/>
  <c r="J3" i="20"/>
  <c r="J3" i="23"/>
  <c r="EH4" i="2"/>
  <c r="K4" i="28"/>
  <c r="J4" i="31"/>
  <c r="K4" i="17"/>
  <c r="H3" i="19"/>
  <c r="J3" i="34"/>
  <c r="K3" i="28"/>
  <c r="J4" i="23" l="1"/>
  <c r="J4" i="34"/>
  <c r="H4" i="19"/>
  <c r="EH5" i="2"/>
  <c r="J4" i="20"/>
  <c r="EH6" i="2" l="1"/>
  <c r="H5" i="19"/>
  <c r="K5" i="28"/>
  <c r="J5" i="23"/>
  <c r="K5" i="17"/>
  <c r="J5" i="20"/>
  <c r="J5" i="31"/>
  <c r="J5" i="34"/>
  <c r="J6" i="31" l="1"/>
  <c r="K6" i="28"/>
  <c r="H6" i="19"/>
  <c r="EH7" i="2"/>
  <c r="J6" i="34"/>
  <c r="J6" i="23"/>
  <c r="K6" i="17"/>
  <c r="J6" i="20"/>
  <c r="K7" i="28" l="1"/>
  <c r="J7" i="34"/>
  <c r="K7" i="17"/>
  <c r="J7" i="20"/>
  <c r="H7" i="19"/>
  <c r="EH8" i="2"/>
  <c r="J7" i="23"/>
  <c r="J7" i="31"/>
  <c r="J8" i="23" l="1"/>
  <c r="J8" i="20"/>
  <c r="K8" i="28"/>
  <c r="K8" i="17"/>
  <c r="J8" i="31"/>
  <c r="J8" i="34"/>
  <c r="EH9" i="2"/>
  <c r="H8" i="19"/>
  <c r="K9" i="17" l="1"/>
  <c r="J9" i="31"/>
  <c r="J9" i="20"/>
  <c r="K9" i="28"/>
  <c r="J9" i="34"/>
  <c r="H9" i="19"/>
  <c r="J9" i="23"/>
  <c r="EH10" i="2"/>
  <c r="K10" i="17" l="1"/>
  <c r="J10" i="20"/>
  <c r="J10" i="31"/>
  <c r="J10" i="23"/>
  <c r="H10" i="19"/>
  <c r="J10" i="34"/>
  <c r="EH11" i="2"/>
  <c r="K10" i="28"/>
  <c r="K11" i="17" l="1"/>
  <c r="H11" i="19"/>
  <c r="J11" i="23"/>
  <c r="J11" i="31"/>
  <c r="J11" i="20"/>
  <c r="J11" i="34"/>
  <c r="K11" i="28"/>
  <c r="EH12" i="2"/>
  <c r="J12" i="34" l="1"/>
  <c r="J12" i="23"/>
  <c r="K12" i="17"/>
  <c r="J12" i="31"/>
  <c r="K12" i="28"/>
  <c r="H12" i="19"/>
  <c r="EH13" i="2"/>
  <c r="J12" i="20"/>
  <c r="J13" i="34" l="1"/>
  <c r="K13" i="28"/>
  <c r="J13" i="23"/>
  <c r="K13" i="17"/>
  <c r="J13" i="31"/>
  <c r="J13" i="20"/>
  <c r="EH14" i="2"/>
  <c r="H13" i="19"/>
  <c r="EH15" i="2" l="1"/>
  <c r="J14" i="23"/>
  <c r="K14" i="17"/>
  <c r="J14" i="31"/>
  <c r="J14" i="34"/>
  <c r="J14" i="20"/>
  <c r="K14" i="28"/>
  <c r="H14" i="19"/>
  <c r="EH16" i="2" l="1"/>
  <c r="J15" i="23"/>
  <c r="K15" i="17"/>
  <c r="J15" i="31"/>
  <c r="H15" i="19"/>
  <c r="J15" i="34"/>
  <c r="K15" i="28"/>
  <c r="J15" i="20"/>
  <c r="J16" i="34" l="1"/>
  <c r="K16" i="17"/>
  <c r="J16" i="23"/>
  <c r="J16" i="31"/>
  <c r="J16" i="20"/>
  <c r="K16" i="28"/>
  <c r="H16" i="19"/>
  <c r="EH17" i="2"/>
  <c r="K17" i="28" l="1"/>
  <c r="EH18" i="2"/>
  <c r="J17" i="34"/>
  <c r="J17" i="23"/>
  <c r="J17" i="20"/>
  <c r="H17" i="19"/>
  <c r="K17" i="17"/>
  <c r="J17" i="31"/>
  <c r="K18" i="28" l="1"/>
  <c r="H18" i="19"/>
  <c r="EH19" i="2"/>
  <c r="K18" i="17"/>
  <c r="J18" i="34"/>
  <c r="J18" i="23"/>
  <c r="J18" i="31"/>
  <c r="J18" i="20"/>
  <c r="K19" i="28" l="1"/>
  <c r="H19" i="19"/>
  <c r="EH20" i="2"/>
  <c r="J19" i="23"/>
  <c r="J19" i="31"/>
  <c r="J19" i="20"/>
  <c r="J19" i="34"/>
  <c r="K19" i="17"/>
  <c r="J20" i="20" l="1"/>
  <c r="K20" i="28"/>
  <c r="H20" i="19"/>
  <c r="J20" i="34"/>
  <c r="K20" i="17"/>
  <c r="EH21" i="2"/>
  <c r="J20" i="23"/>
  <c r="J20" i="31"/>
  <c r="J21" i="20" l="1"/>
  <c r="EH22" i="2"/>
  <c r="J21" i="23"/>
  <c r="J21" i="31"/>
  <c r="K21" i="28"/>
  <c r="H21" i="19"/>
  <c r="J21" i="34"/>
  <c r="K21" i="17"/>
  <c r="J22" i="23" l="1"/>
  <c r="K22" i="17"/>
  <c r="J22" i="31"/>
  <c r="J22" i="20"/>
  <c r="K22" i="28"/>
  <c r="H22" i="19"/>
  <c r="J22" i="34"/>
  <c r="EH23" i="2"/>
  <c r="J23" i="23" l="1"/>
  <c r="H23" i="19"/>
  <c r="K23" i="17"/>
  <c r="J23" i="31"/>
  <c r="J23" i="20"/>
  <c r="K23" i="28"/>
  <c r="J23" i="34"/>
  <c r="EH24" i="2"/>
  <c r="J24" i="23" l="1"/>
  <c r="K24" i="17"/>
  <c r="J24" i="31"/>
  <c r="J24" i="20"/>
  <c r="H24" i="19"/>
  <c r="J24" i="34"/>
  <c r="K24" i="28"/>
  <c r="EH25" i="2"/>
  <c r="K25" i="17" l="1"/>
  <c r="J25" i="31"/>
  <c r="J25" i="20"/>
  <c r="K25" i="28"/>
  <c r="EH26" i="2"/>
  <c r="J25" i="34"/>
  <c r="H25" i="19"/>
  <c r="J25" i="23"/>
  <c r="K26" i="17" l="1"/>
  <c r="J26" i="31"/>
  <c r="J26" i="20"/>
  <c r="H26" i="19"/>
  <c r="J26" i="34"/>
  <c r="K26" i="28"/>
  <c r="EH27" i="2"/>
  <c r="J26" i="23"/>
  <c r="K27" i="17" l="1"/>
  <c r="J27" i="20"/>
  <c r="K27" i="28"/>
  <c r="EH28" i="2"/>
  <c r="J27" i="34"/>
  <c r="J27" i="31"/>
  <c r="H27" i="19"/>
  <c r="J27" i="23"/>
  <c r="J28" i="34" l="1"/>
  <c r="K28" i="17"/>
  <c r="J28" i="31"/>
  <c r="K28" i="28"/>
  <c r="EH29" i="2"/>
  <c r="J28" i="23"/>
  <c r="J28" i="20"/>
  <c r="H28" i="19"/>
  <c r="J29" i="34" l="1"/>
  <c r="K29" i="17"/>
  <c r="J29" i="31"/>
  <c r="J29" i="20"/>
  <c r="K29" i="28"/>
  <c r="EH30" i="2"/>
  <c r="J29" i="23"/>
  <c r="H29" i="19"/>
  <c r="EH31" i="2" l="1"/>
  <c r="J30" i="34"/>
  <c r="J30" i="23"/>
  <c r="J30" i="20"/>
  <c r="K30" i="28"/>
  <c r="H30" i="19"/>
  <c r="K30" i="17"/>
  <c r="J30" i="31"/>
  <c r="EH32" i="2" l="1"/>
  <c r="J31" i="31"/>
  <c r="H31" i="19"/>
  <c r="J31" i="34"/>
  <c r="J31" i="23"/>
  <c r="K31" i="17"/>
  <c r="J31" i="20"/>
  <c r="K31" i="28"/>
  <c r="J32" i="34" l="1"/>
  <c r="K32" i="17"/>
  <c r="J32" i="20"/>
  <c r="EH33" i="2"/>
  <c r="J32" i="23"/>
  <c r="J32" i="31"/>
  <c r="K32" i="28"/>
  <c r="H32" i="19"/>
  <c r="H33" i="19" l="1"/>
  <c r="J33" i="34"/>
  <c r="J33" i="23"/>
  <c r="J33" i="31"/>
  <c r="K33" i="28"/>
  <c r="EH34" i="2"/>
  <c r="K33" i="17"/>
  <c r="J33" i="20"/>
  <c r="H34" i="19" l="1"/>
  <c r="J34" i="34"/>
  <c r="K34" i="17"/>
  <c r="K34" i="28"/>
  <c r="EH35" i="2"/>
  <c r="J34" i="23"/>
  <c r="J34" i="31"/>
  <c r="J34" i="20"/>
  <c r="K35" i="28" l="1"/>
  <c r="EH36" i="2"/>
  <c r="J35" i="23"/>
  <c r="J35" i="31"/>
  <c r="J35" i="20"/>
  <c r="H35" i="19"/>
  <c r="J35" i="34"/>
  <c r="K35" i="17"/>
  <c r="J36" i="20" l="1"/>
  <c r="H36" i="19"/>
  <c r="J36" i="34"/>
  <c r="K36" i="17"/>
  <c r="K36" i="28"/>
  <c r="EH37" i="2"/>
  <c r="J36" i="23"/>
  <c r="J36" i="31"/>
  <c r="J37" i="20" l="1"/>
  <c r="EH38" i="2"/>
  <c r="J37" i="23"/>
  <c r="J37" i="31"/>
  <c r="K37" i="28"/>
  <c r="H37" i="19"/>
  <c r="J37" i="34"/>
  <c r="K37" i="17"/>
  <c r="J38" i="23" l="1"/>
  <c r="K38" i="17"/>
  <c r="J38" i="31"/>
  <c r="J38" i="20"/>
  <c r="H38" i="19"/>
  <c r="EH39" i="2"/>
  <c r="K38" i="28"/>
  <c r="J38" i="34"/>
  <c r="J39" i="23" l="1"/>
  <c r="J39" i="31"/>
  <c r="J39" i="20"/>
  <c r="H39" i="19"/>
  <c r="EH40" i="2"/>
  <c r="J39" i="34"/>
  <c r="K39" i="17"/>
  <c r="K39" i="28"/>
  <c r="J40" i="23" l="1"/>
  <c r="J40" i="31"/>
  <c r="J40" i="20"/>
  <c r="H40" i="19"/>
  <c r="EH41" i="2"/>
  <c r="K40" i="17"/>
  <c r="K40" i="28"/>
  <c r="J40" i="34"/>
  <c r="K41" i="17" l="1"/>
  <c r="J41" i="20"/>
  <c r="H41" i="19"/>
  <c r="J41" i="34"/>
  <c r="J41" i="31"/>
  <c r="K41" i="28"/>
  <c r="EH42" i="2"/>
  <c r="J41" i="23"/>
  <c r="K42" i="17" l="1"/>
  <c r="J42" i="20"/>
  <c r="H42" i="19"/>
  <c r="J42" i="34"/>
  <c r="J42" i="31"/>
  <c r="K42" i="28"/>
  <c r="EH43" i="2"/>
  <c r="J42" i="23"/>
  <c r="K43" i="17" l="1"/>
  <c r="J43" i="20"/>
  <c r="H43" i="19"/>
  <c r="J43" i="34"/>
  <c r="J43" i="31"/>
  <c r="K43" i="28"/>
  <c r="EH44" i="2"/>
  <c r="J43" i="23"/>
  <c r="J44" i="34" l="1"/>
  <c r="J44" i="23"/>
  <c r="K44" i="17"/>
  <c r="J44" i="31"/>
  <c r="J44" i="20"/>
  <c r="K44" i="28"/>
  <c r="EH45" i="2"/>
  <c r="H44" i="19"/>
  <c r="J45" i="23" l="1"/>
  <c r="K45" i="17"/>
  <c r="J45" i="31"/>
  <c r="J45" i="20"/>
  <c r="H45" i="19"/>
  <c r="J45" i="34"/>
  <c r="EH46" i="2"/>
  <c r="K45" i="28"/>
  <c r="J46" i="34" l="1"/>
  <c r="J46" i="23"/>
  <c r="K46" i="17"/>
  <c r="J46" i="20"/>
  <c r="K46" i="28"/>
  <c r="J46" i="31"/>
  <c r="H46" i="19"/>
  <c r="EH47" i="2"/>
  <c r="EH48" i="2" l="1"/>
  <c r="J47" i="34"/>
  <c r="J47" i="23"/>
  <c r="K47" i="17"/>
  <c r="J47" i="31"/>
  <c r="J47" i="20"/>
  <c r="K47" i="28"/>
  <c r="H47" i="19"/>
  <c r="J48" i="34" l="1"/>
  <c r="J48" i="23"/>
  <c r="K48" i="17"/>
  <c r="J48" i="31"/>
  <c r="EH49" i="2"/>
  <c r="J48" i="20"/>
  <c r="H48" i="19"/>
  <c r="K48" i="28"/>
  <c r="H49" i="19" l="1"/>
  <c r="J49" i="20"/>
  <c r="EH50" i="2"/>
  <c r="J49" i="34"/>
  <c r="K49" i="17"/>
  <c r="J49" i="31"/>
  <c r="J49" i="23"/>
  <c r="K49" i="28"/>
  <c r="EH51" i="2" l="1"/>
  <c r="J50" i="34"/>
  <c r="K50" i="17"/>
  <c r="H50" i="19"/>
  <c r="J50" i="23"/>
  <c r="J50" i="31"/>
  <c r="K50" i="28"/>
  <c r="J50" i="20"/>
  <c r="K51" i="28" l="1"/>
  <c r="H51" i="19"/>
  <c r="J51" i="34"/>
  <c r="K51" i="17"/>
  <c r="J51" i="20"/>
  <c r="EH52" i="2"/>
  <c r="J51" i="23"/>
  <c r="J51" i="31"/>
  <c r="J52" i="20" l="1"/>
  <c r="K52" i="28"/>
  <c r="H52" i="19"/>
  <c r="J52" i="34"/>
  <c r="J52" i="23"/>
  <c r="K52" i="17"/>
  <c r="EH53" i="2"/>
  <c r="J52" i="31"/>
  <c r="J53" i="20" l="1"/>
  <c r="K53" i="28"/>
  <c r="J53" i="34"/>
  <c r="J53" i="31"/>
  <c r="H53" i="19"/>
  <c r="J53" i="23"/>
  <c r="EH54" i="2"/>
  <c r="K53" i="17"/>
  <c r="K54" i="17" l="1"/>
  <c r="J54" i="20"/>
  <c r="K54" i="28"/>
  <c r="EH55" i="2"/>
  <c r="J54" i="23"/>
  <c r="J54" i="31"/>
  <c r="H54" i="19"/>
  <c r="J54" i="34"/>
  <c r="K55" i="17" l="1"/>
  <c r="J55" i="31"/>
  <c r="J55" i="20"/>
  <c r="H55" i="19"/>
  <c r="J55" i="34"/>
  <c r="J55" i="23"/>
  <c r="K55" i="28"/>
  <c r="EH56" i="2"/>
  <c r="K56" i="17" l="1"/>
  <c r="K56" i="28"/>
  <c r="EH57" i="2"/>
  <c r="J56" i="23"/>
  <c r="J56" i="31"/>
  <c r="J56" i="20"/>
  <c r="H56" i="19"/>
  <c r="J56" i="34"/>
  <c r="K57" i="17" l="1"/>
  <c r="J57" i="20"/>
  <c r="K57" i="28"/>
  <c r="EH58" i="2"/>
  <c r="J57" i="23"/>
  <c r="J57" i="31"/>
  <c r="H57" i="19"/>
  <c r="J57" i="34"/>
  <c r="K58" i="17" l="1"/>
  <c r="J58" i="31"/>
  <c r="J58" i="20"/>
  <c r="H58" i="19"/>
  <c r="J58" i="34"/>
  <c r="K58" i="28"/>
  <c r="EH59" i="2"/>
  <c r="J58" i="23"/>
  <c r="J59" i="23" l="1"/>
  <c r="J59" i="31"/>
  <c r="J59" i="20"/>
  <c r="K59" i="28"/>
  <c r="H59" i="19"/>
  <c r="J59" i="34"/>
  <c r="K59" i="17"/>
  <c r="EH60" i="2"/>
  <c r="J60" i="23" l="1"/>
  <c r="K60" i="17"/>
  <c r="J60" i="31"/>
  <c r="K60" i="28"/>
  <c r="H60" i="19"/>
  <c r="J60" i="20"/>
  <c r="EH61" i="2"/>
  <c r="J60" i="34"/>
  <c r="J61" i="23" l="1"/>
  <c r="K61" i="28"/>
  <c r="EH62" i="2"/>
  <c r="K61" i="17"/>
  <c r="J61" i="31"/>
  <c r="J61" i="20"/>
  <c r="J61" i="34"/>
  <c r="H61" i="19"/>
  <c r="J62" i="34" l="1"/>
  <c r="J62" i="23"/>
  <c r="K62" i="17"/>
  <c r="J62" i="31"/>
  <c r="J62" i="20"/>
  <c r="K62" i="28"/>
  <c r="H62" i="19"/>
  <c r="EH63" i="2"/>
  <c r="EH64" i="2" l="1"/>
  <c r="J63" i="34"/>
  <c r="J63" i="23"/>
  <c r="K63" i="17"/>
  <c r="J63" i="31"/>
  <c r="J63" i="20"/>
  <c r="K63" i="28"/>
  <c r="H63" i="19"/>
  <c r="J64" i="34" l="1"/>
  <c r="J64" i="23"/>
  <c r="K64" i="17"/>
  <c r="J64" i="31"/>
  <c r="J64" i="20"/>
  <c r="K64" i="28"/>
  <c r="H64" i="19"/>
  <c r="EH65" i="2"/>
  <c r="H65" i="19" l="1"/>
  <c r="EH66" i="2"/>
  <c r="J65" i="34"/>
  <c r="K65" i="17"/>
  <c r="J65" i="20"/>
  <c r="J65" i="31"/>
  <c r="J65" i="23"/>
  <c r="K65" i="28"/>
  <c r="J66" i="34" l="1"/>
  <c r="H66" i="19"/>
  <c r="J66" i="23"/>
  <c r="J66" i="31"/>
  <c r="EH67" i="2"/>
  <c r="K66" i="17"/>
  <c r="J66" i="20"/>
  <c r="K66" i="28"/>
  <c r="K67" i="28" l="1"/>
  <c r="EH68" i="2"/>
  <c r="H67" i="19"/>
  <c r="K67" i="17"/>
  <c r="J67" i="23"/>
  <c r="J67" i="31"/>
  <c r="J67" i="34"/>
  <c r="J67" i="20"/>
  <c r="J68" i="20" l="1"/>
  <c r="K68" i="28"/>
  <c r="EH69" i="2"/>
  <c r="J68" i="23"/>
  <c r="H68" i="19"/>
  <c r="K68" i="17"/>
  <c r="J68" i="34"/>
  <c r="J68" i="31"/>
  <c r="J69" i="20" l="1"/>
  <c r="K69" i="28"/>
  <c r="EH70" i="2"/>
  <c r="K69" i="17"/>
  <c r="H69" i="19"/>
  <c r="J69" i="23"/>
  <c r="J69" i="34"/>
  <c r="J69" i="31"/>
  <c r="K70" i="17" l="1"/>
  <c r="J70" i="31"/>
  <c r="J70" i="20"/>
  <c r="K70" i="28"/>
  <c r="H70" i="19"/>
  <c r="J70" i="34"/>
  <c r="EH71" i="2"/>
  <c r="J70" i="23"/>
  <c r="K71" i="17" l="1"/>
  <c r="J71" i="20"/>
  <c r="H71" i="19"/>
  <c r="J71" i="31"/>
  <c r="K71" i="28"/>
  <c r="J71" i="34"/>
  <c r="EH72" i="2"/>
  <c r="J71" i="23"/>
  <c r="K72" i="17" l="1"/>
  <c r="J72" i="34"/>
  <c r="J72" i="31"/>
  <c r="K72" i="28"/>
  <c r="J72" i="20"/>
  <c r="J72" i="23"/>
  <c r="H72" i="19"/>
  <c r="EH73" i="2"/>
  <c r="K73" i="17" l="1"/>
  <c r="J73" i="20"/>
  <c r="EH74" i="2"/>
  <c r="J73" i="31"/>
  <c r="K73" i="28"/>
  <c r="J73" i="34"/>
  <c r="H73" i="19"/>
  <c r="J73" i="23"/>
  <c r="K74" i="17" l="1"/>
  <c r="K74" i="28"/>
  <c r="EH75" i="2"/>
  <c r="J74" i="23"/>
  <c r="J74" i="31"/>
  <c r="J74" i="20"/>
  <c r="H74" i="19"/>
  <c r="J74" i="34"/>
  <c r="J75" i="23" l="1"/>
  <c r="J75" i="31"/>
  <c r="K75" i="28"/>
  <c r="H75" i="19"/>
  <c r="K75" i="17"/>
  <c r="J75" i="20"/>
  <c r="EH76" i="2"/>
  <c r="J75" i="34"/>
  <c r="J76" i="23" l="1"/>
  <c r="K76" i="17"/>
  <c r="J76" i="31"/>
  <c r="K76" i="28"/>
  <c r="J76" i="34"/>
  <c r="EH77" i="2"/>
  <c r="J76" i="20"/>
  <c r="H76" i="19"/>
  <c r="J77" i="23" l="1"/>
  <c r="J77" i="31"/>
  <c r="EH78" i="2"/>
  <c r="K77" i="17"/>
  <c r="K77" i="28"/>
  <c r="J77" i="20"/>
  <c r="H77" i="19"/>
  <c r="J77" i="34"/>
  <c r="J78" i="34" l="1"/>
  <c r="J78" i="23"/>
  <c r="K78" i="17"/>
  <c r="K78" i="28"/>
  <c r="J78" i="31"/>
  <c r="H78" i="19"/>
  <c r="J78" i="20"/>
  <c r="EH79" i="2"/>
  <c r="EH80" i="2" l="1"/>
  <c r="J79" i="34"/>
  <c r="J79" i="23"/>
  <c r="K79" i="17"/>
  <c r="J79" i="31"/>
  <c r="J79" i="20"/>
  <c r="K79" i="28"/>
  <c r="H79" i="19"/>
  <c r="J80" i="34" l="1"/>
  <c r="K80" i="17"/>
  <c r="J80" i="20"/>
  <c r="K80" i="28"/>
  <c r="H80" i="19"/>
  <c r="J80" i="23"/>
  <c r="J80" i="31"/>
  <c r="EH81" i="2"/>
  <c r="H81" i="19" l="1"/>
  <c r="J81" i="23"/>
  <c r="K81" i="28"/>
  <c r="EH82" i="2"/>
  <c r="K81" i="17"/>
  <c r="J81" i="34"/>
  <c r="J81" i="31"/>
  <c r="J81" i="20"/>
  <c r="J82" i="34" l="1"/>
  <c r="J82" i="23"/>
  <c r="J82" i="20"/>
  <c r="H82" i="19"/>
  <c r="J82" i="31"/>
  <c r="K82" i="28"/>
  <c r="EH83" i="2"/>
  <c r="K82" i="17"/>
  <c r="K83" i="28" l="1"/>
  <c r="J83" i="34"/>
  <c r="J83" i="20"/>
  <c r="H83" i="19"/>
  <c r="EH84" i="2"/>
  <c r="K83" i="17"/>
  <c r="J83" i="23"/>
  <c r="J83" i="31"/>
  <c r="J84" i="20" l="1"/>
  <c r="K84" i="28"/>
  <c r="EH85" i="2"/>
  <c r="J84" i="23"/>
  <c r="J84" i="31"/>
  <c r="H84" i="19"/>
  <c r="J84" i="34"/>
  <c r="K84" i="17"/>
  <c r="J85" i="20" l="1"/>
  <c r="K85" i="28"/>
  <c r="K85" i="17"/>
  <c r="H85" i="19"/>
  <c r="EH86" i="2"/>
  <c r="J85" i="23"/>
  <c r="J85" i="34"/>
  <c r="J85" i="31"/>
  <c r="K86" i="17" l="1"/>
  <c r="J86" i="34"/>
  <c r="J86" i="31"/>
  <c r="EH87" i="2"/>
  <c r="J86" i="20"/>
  <c r="H86" i="19"/>
  <c r="J86" i="23"/>
  <c r="K86" i="28"/>
  <c r="K87" i="17" l="1"/>
  <c r="EH88" i="2"/>
  <c r="J87" i="31"/>
  <c r="J87" i="20"/>
  <c r="J87" i="34"/>
  <c r="J87" i="23"/>
  <c r="H87" i="19"/>
  <c r="K87" i="28"/>
  <c r="K88" i="17" l="1"/>
  <c r="J88" i="31"/>
  <c r="K88" i="28"/>
  <c r="EH89" i="2"/>
  <c r="J88" i="23"/>
  <c r="H88" i="19"/>
  <c r="J88" i="20"/>
  <c r="J88" i="34"/>
  <c r="K89" i="17" l="1"/>
  <c r="J89" i="31"/>
  <c r="K89" i="28"/>
  <c r="EH90" i="2"/>
  <c r="J89" i="23"/>
  <c r="J89" i="20"/>
  <c r="H89" i="19"/>
  <c r="J89" i="34"/>
  <c r="K90" i="17" l="1"/>
  <c r="J90" i="31"/>
  <c r="K90" i="28"/>
  <c r="J90" i="34"/>
  <c r="H90" i="19"/>
  <c r="J90" i="20"/>
  <c r="EH91" i="2"/>
  <c r="J90" i="23"/>
  <c r="J91" i="23" l="1"/>
  <c r="J91" i="31"/>
  <c r="EH92" i="2"/>
  <c r="K91" i="17"/>
  <c r="J91" i="20"/>
  <c r="H91" i="19"/>
  <c r="K91" i="28"/>
  <c r="J91" i="34"/>
  <c r="J92" i="23" l="1"/>
  <c r="J92" i="20"/>
  <c r="H92" i="19"/>
  <c r="K92" i="17"/>
  <c r="EH93" i="2"/>
  <c r="J92" i="31"/>
  <c r="K92" i="28"/>
  <c r="J92" i="34"/>
  <c r="J93" i="23" l="1"/>
  <c r="J93" i="31"/>
  <c r="EH94" i="2"/>
  <c r="K93" i="17"/>
  <c r="H93" i="19"/>
  <c r="J93" i="20"/>
  <c r="K93" i="28"/>
  <c r="J93" i="34"/>
  <c r="J94" i="34" l="1"/>
  <c r="J94" i="31"/>
  <c r="K94" i="28"/>
  <c r="EH95" i="2"/>
  <c r="J94" i="23"/>
  <c r="K94" i="17"/>
  <c r="H94" i="19"/>
  <c r="J94" i="20"/>
  <c r="EH96" i="2" l="1"/>
  <c r="K95" i="17"/>
  <c r="K95" i="28"/>
  <c r="J95" i="34"/>
  <c r="J95" i="31"/>
  <c r="J95" i="23"/>
  <c r="J95" i="20"/>
  <c r="H95" i="19"/>
  <c r="J96" i="34" l="1"/>
  <c r="J96" i="31"/>
  <c r="K96" i="28"/>
  <c r="J96" i="23"/>
  <c r="EH97" i="2"/>
  <c r="K96" i="17"/>
  <c r="H96" i="19"/>
  <c r="J96" i="20"/>
  <c r="H97" i="19" l="1"/>
  <c r="J97" i="34"/>
  <c r="J97" i="23"/>
  <c r="EH98" i="2"/>
  <c r="J97" i="31"/>
  <c r="J97" i="20"/>
  <c r="K97" i="28"/>
  <c r="K97" i="17"/>
  <c r="J98" i="20" l="1"/>
  <c r="H98" i="19"/>
  <c r="K98" i="17"/>
  <c r="K98" i="28"/>
  <c r="EH99" i="2"/>
  <c r="J98" i="34"/>
  <c r="J98" i="23"/>
  <c r="J98" i="31"/>
  <c r="H99" i="19" l="1"/>
  <c r="J99" i="23"/>
  <c r="J99" i="34"/>
  <c r="J99" i="31"/>
  <c r="K99" i="28"/>
  <c r="EH100" i="2"/>
  <c r="K99" i="17"/>
  <c r="J99" i="20"/>
  <c r="J100" i="20" l="1"/>
  <c r="EH101" i="2"/>
  <c r="J100" i="23"/>
  <c r="H100" i="19"/>
  <c r="K100" i="17"/>
  <c r="K100" i="28"/>
  <c r="J100" i="34"/>
  <c r="J100" i="31"/>
  <c r="J101" i="20" l="1"/>
  <c r="H101" i="19"/>
  <c r="J101" i="31"/>
  <c r="K101" i="28"/>
  <c r="EH102" i="2"/>
  <c r="J101" i="34"/>
  <c r="K101" i="17"/>
  <c r="J101" i="23"/>
  <c r="K102" i="17" l="1"/>
  <c r="J102" i="23"/>
  <c r="J102" i="31"/>
  <c r="H102" i="19"/>
  <c r="J102" i="34"/>
  <c r="J102" i="20"/>
  <c r="K102" i="28"/>
  <c r="EH103" i="2"/>
  <c r="K103" i="17" l="1"/>
  <c r="K103" i="28"/>
  <c r="J103" i="34"/>
  <c r="J103" i="31"/>
  <c r="EH104" i="2"/>
  <c r="J103" i="20"/>
  <c r="H103" i="19"/>
  <c r="J103" i="23"/>
  <c r="K104" i="17" l="1"/>
  <c r="J104" i="31"/>
  <c r="J104" i="20"/>
  <c r="K104" i="28"/>
  <c r="H104" i="19"/>
  <c r="EH105" i="2"/>
  <c r="J104" i="34"/>
  <c r="J104" i="23"/>
  <c r="K105" i="17" l="1"/>
  <c r="J105" i="31"/>
  <c r="J105" i="20"/>
  <c r="K105" i="28"/>
  <c r="H105" i="19"/>
  <c r="EH106" i="2"/>
  <c r="J105" i="34"/>
  <c r="J105" i="23"/>
  <c r="K106" i="17" l="1"/>
  <c r="J106" i="31"/>
  <c r="J106" i="34"/>
  <c r="J106" i="20"/>
  <c r="K106" i="28"/>
  <c r="EH107" i="2"/>
  <c r="H106" i="19"/>
  <c r="J106" i="23"/>
  <c r="J107" i="23" l="1"/>
  <c r="H107" i="19"/>
  <c r="K107" i="17"/>
  <c r="J107" i="20"/>
  <c r="J107" i="34"/>
  <c r="J107" i="31"/>
  <c r="K107" i="28"/>
  <c r="EH108" i="2"/>
  <c r="J108" i="23" l="1"/>
  <c r="J108" i="31"/>
  <c r="K108" i="28"/>
  <c r="K108" i="17"/>
  <c r="EH109" i="2"/>
  <c r="J108" i="20"/>
  <c r="H108" i="19"/>
  <c r="J108" i="34"/>
  <c r="J109" i="23" l="1"/>
  <c r="H109" i="19"/>
  <c r="K109" i="17"/>
  <c r="J109" i="31"/>
  <c r="EH110" i="2"/>
  <c r="J109" i="20"/>
  <c r="K109" i="28"/>
  <c r="J109" i="34"/>
  <c r="J110" i="34" l="1"/>
  <c r="K110" i="17"/>
  <c r="J110" i="20"/>
  <c r="K110" i="28"/>
  <c r="J110" i="23"/>
  <c r="H110" i="19"/>
  <c r="J110" i="31"/>
  <c r="EH111" i="2"/>
  <c r="EH112" i="2" l="1"/>
  <c r="J111" i="23"/>
  <c r="K111" i="17"/>
  <c r="J111" i="31"/>
  <c r="H111" i="19"/>
  <c r="J111" i="34"/>
  <c r="K111" i="28"/>
  <c r="J111" i="20"/>
  <c r="J112" i="34" l="1"/>
  <c r="H112" i="19"/>
  <c r="K112" i="17"/>
  <c r="J112" i="20"/>
  <c r="J112" i="23"/>
  <c r="J112" i="31"/>
  <c r="K112" i="28"/>
  <c r="EH113" i="2"/>
  <c r="H113" i="19" l="1"/>
  <c r="J113" i="20"/>
  <c r="EH114" i="2"/>
  <c r="J113" i="23"/>
  <c r="J113" i="31"/>
  <c r="J113" i="34"/>
  <c r="K113" i="17"/>
  <c r="K113" i="28"/>
  <c r="EH115" i="2" l="1"/>
  <c r="J114" i="23"/>
  <c r="J114" i="20"/>
  <c r="H114" i="19"/>
  <c r="J114" i="34"/>
  <c r="K114" i="17"/>
  <c r="J114" i="31"/>
  <c r="K114" i="28"/>
  <c r="K115" i="28" l="1"/>
  <c r="H115" i="19"/>
  <c r="EH116" i="2"/>
  <c r="J115" i="23"/>
  <c r="J115" i="20"/>
  <c r="K115" i="17"/>
  <c r="J115" i="34"/>
  <c r="J115" i="31"/>
  <c r="J116" i="20" l="1"/>
  <c r="K116" i="28"/>
  <c r="J116" i="34"/>
  <c r="K116" i="17"/>
  <c r="H116" i="19"/>
  <c r="J116" i="23"/>
  <c r="J116" i="31"/>
  <c r="EH117" i="2"/>
  <c r="J117" i="20" l="1"/>
  <c r="K117" i="28"/>
  <c r="EH118" i="2"/>
  <c r="K117" i="17"/>
  <c r="J117" i="34"/>
  <c r="H117" i="19"/>
  <c r="J117" i="23"/>
  <c r="J117" i="31"/>
  <c r="K118" i="17" l="1"/>
  <c r="J118" i="31"/>
  <c r="H118" i="19"/>
  <c r="J118" i="34"/>
  <c r="J118" i="23"/>
  <c r="J118" i="20"/>
  <c r="EH119" i="2"/>
  <c r="K118" i="28"/>
  <c r="K119" i="17" l="1"/>
  <c r="EH120" i="2"/>
  <c r="J119" i="31"/>
  <c r="J119" i="23"/>
  <c r="J119" i="20"/>
  <c r="K119" i="28"/>
  <c r="J119" i="34"/>
  <c r="H119" i="19"/>
  <c r="K120" i="17" l="1"/>
  <c r="J120" i="31"/>
  <c r="J120" i="20"/>
  <c r="J120" i="23"/>
  <c r="J120" i="34"/>
  <c r="H120" i="19"/>
  <c r="K120" i="28"/>
  <c r="EH121" i="2"/>
  <c r="J121" i="31" l="1"/>
  <c r="K121" i="28"/>
  <c r="J121" i="23"/>
  <c r="J121" i="20"/>
  <c r="J121" i="34"/>
  <c r="H121" i="19"/>
  <c r="K121" i="17"/>
  <c r="CB24" i="3" l="1"/>
  <c r="CB25" i="3"/>
  <c r="CB26" i="3"/>
  <c r="CB27" i="3"/>
  <c r="CB28" i="3"/>
  <c r="CB29" i="3"/>
  <c r="CB30" i="3"/>
  <c r="CB31" i="3"/>
  <c r="CB32" i="3"/>
  <c r="CB33" i="3"/>
  <c r="CB34" i="3"/>
  <c r="CB35" i="3"/>
  <c r="CB36" i="3"/>
  <c r="CB37" i="3"/>
  <c r="CB38" i="3"/>
  <c r="CB39" i="3"/>
  <c r="CB40" i="3"/>
  <c r="CB23" i="3"/>
  <c r="D138" i="73" l="1"/>
  <c r="B101" i="73"/>
  <c r="B125" i="73" s="1"/>
  <c r="B100" i="73"/>
  <c r="B124" i="73" s="1"/>
  <c r="B99" i="73"/>
  <c r="B123" i="73" s="1"/>
  <c r="B77" i="73"/>
  <c r="K77" i="73" s="1"/>
  <c r="R72" i="73"/>
  <c r="R81" i="73" s="1"/>
  <c r="Q72" i="73"/>
  <c r="Q81" i="73" s="1"/>
  <c r="P72" i="73"/>
  <c r="P81" i="73" s="1"/>
  <c r="O72" i="73"/>
  <c r="O81" i="73" s="1"/>
  <c r="N72" i="73"/>
  <c r="N81" i="73" s="1"/>
  <c r="M72" i="73"/>
  <c r="M81" i="73" s="1"/>
  <c r="L72" i="73"/>
  <c r="L81" i="73" s="1"/>
  <c r="I72" i="73"/>
  <c r="I81" i="73" s="1"/>
  <c r="H72" i="73"/>
  <c r="H81" i="73" s="1"/>
  <c r="G72" i="73"/>
  <c r="G81" i="73" s="1"/>
  <c r="F72" i="73"/>
  <c r="F81" i="73" s="1"/>
  <c r="E72" i="73"/>
  <c r="E81" i="73" s="1"/>
  <c r="D72" i="73"/>
  <c r="D81" i="73" s="1"/>
  <c r="C72" i="73"/>
  <c r="C81" i="73" s="1"/>
  <c r="B36" i="73"/>
  <c r="K36" i="73" s="1"/>
  <c r="K50" i="73" s="1"/>
  <c r="B35" i="73"/>
  <c r="K35" i="73" s="1"/>
  <c r="K49" i="73" s="1"/>
  <c r="B34" i="73"/>
  <c r="K34" i="73" s="1"/>
  <c r="K48" i="73" s="1"/>
  <c r="R41" i="73"/>
  <c r="Q41" i="73"/>
  <c r="P41" i="73"/>
  <c r="O41" i="73"/>
  <c r="N41" i="73"/>
  <c r="M41" i="73"/>
  <c r="L41" i="73"/>
  <c r="I27" i="73"/>
  <c r="I41" i="73" s="1"/>
  <c r="H27" i="73"/>
  <c r="H41" i="73" s="1"/>
  <c r="G27" i="73"/>
  <c r="G41" i="73" s="1"/>
  <c r="F27" i="73"/>
  <c r="F41" i="73" s="1"/>
  <c r="E27" i="73"/>
  <c r="E41" i="73" s="1"/>
  <c r="D27" i="73"/>
  <c r="D41" i="73" s="1"/>
  <c r="C27" i="73"/>
  <c r="C41" i="73" s="1"/>
  <c r="B48" i="73" l="1"/>
  <c r="B59" i="73" s="1"/>
  <c r="B67" i="73" s="1"/>
  <c r="B75" i="73" s="1"/>
  <c r="B50" i="73"/>
  <c r="B49" i="73"/>
  <c r="B60" i="73" s="1"/>
  <c r="B85" i="73"/>
  <c r="K85" i="73" s="1"/>
  <c r="E138" i="73"/>
  <c r="F138" i="73" l="1"/>
  <c r="B68" i="73"/>
  <c r="B76" i="73" s="1"/>
  <c r="K76" i="73" s="1"/>
  <c r="B86" i="73"/>
  <c r="K86" i="73" s="1"/>
  <c r="G138" i="73" l="1"/>
  <c r="H138" i="73" l="1"/>
  <c r="I138" i="73" l="1"/>
  <c r="J138" i="73" l="1"/>
  <c r="K138" i="73" l="1"/>
  <c r="L138" i="73" l="1"/>
  <c r="M138" i="73" l="1"/>
  <c r="N138" i="73" l="1"/>
  <c r="O138" i="73" l="1"/>
  <c r="P138" i="73" l="1"/>
  <c r="Q138" i="73" l="1"/>
  <c r="R138" i="73" l="1"/>
  <c r="S138" i="73" l="1"/>
  <c r="BJ60" i="3" l="1"/>
  <c r="BK60" i="3"/>
  <c r="BL60" i="3"/>
  <c r="BM60" i="3"/>
  <c r="BO60" i="3" s="1"/>
  <c r="BQ60" i="3" s="1"/>
  <c r="BS60" i="3" s="1"/>
  <c r="BN60" i="3"/>
  <c r="BP60" i="3"/>
  <c r="BR60" i="3" s="1"/>
  <c r="BT60" i="3" s="1"/>
  <c r="BI60" i="3"/>
  <c r="BF68" i="3"/>
  <c r="BF69" i="3"/>
  <c r="BF70" i="3"/>
  <c r="BF71" i="3"/>
  <c r="BF72" i="3"/>
  <c r="BF62" i="3"/>
  <c r="BF63" i="3"/>
  <c r="BF64" i="3"/>
  <c r="BF65" i="3"/>
  <c r="BF66" i="3"/>
  <c r="BF67" i="3"/>
  <c r="BF61" i="3"/>
  <c r="E2" i="11"/>
  <c r="E5" i="51"/>
  <c r="AC15" i="6"/>
  <c r="AC14" i="6"/>
  <c r="AC13" i="6"/>
  <c r="AC12" i="6"/>
  <c r="S61" i="61" l="1"/>
  <c r="S77" i="61"/>
  <c r="AS79" i="61"/>
  <c r="B85" i="44" l="1"/>
  <c r="C117" i="41"/>
  <c r="D138" i="41" l="1"/>
  <c r="E138" i="41" l="1"/>
  <c r="F138" i="41" l="1"/>
  <c r="G138" i="41" l="1"/>
  <c r="H138" i="41" l="1"/>
  <c r="I138" i="41" l="1"/>
  <c r="R11" i="37"/>
  <c r="S11" i="37"/>
  <c r="T11" i="37"/>
  <c r="U11" i="37"/>
  <c r="V11" i="37"/>
  <c r="G2" i="37"/>
  <c r="G3" i="37"/>
  <c r="G4" i="37"/>
  <c r="G5" i="37"/>
  <c r="G6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G104" i="37"/>
  <c r="G105" i="37"/>
  <c r="G106" i="37"/>
  <c r="G107" i="37"/>
  <c r="G108" i="37"/>
  <c r="G109" i="37"/>
  <c r="G122" i="37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94" i="37"/>
  <c r="G195" i="37"/>
  <c r="G196" i="37"/>
  <c r="G197" i="37"/>
  <c r="G198" i="37"/>
  <c r="G199" i="37"/>
  <c r="G200" i="37"/>
  <c r="G201" i="37"/>
  <c r="G202" i="37"/>
  <c r="G203" i="37"/>
  <c r="G204" i="37"/>
  <c r="G205" i="37"/>
  <c r="G1" i="37"/>
  <c r="L1" i="37" s="1"/>
  <c r="L3" i="26"/>
  <c r="L17" i="26"/>
  <c r="L18" i="26"/>
  <c r="L19" i="26"/>
  <c r="L33" i="26"/>
  <c r="L35" i="26"/>
  <c r="L49" i="26"/>
  <c r="L50" i="26"/>
  <c r="L65" i="26"/>
  <c r="L66" i="26"/>
  <c r="L67" i="26"/>
  <c r="L98" i="26"/>
  <c r="G2" i="26"/>
  <c r="L2" i="26" s="1"/>
  <c r="G3" i="26"/>
  <c r="G4" i="26"/>
  <c r="L4" i="26" s="1"/>
  <c r="G5" i="26"/>
  <c r="L5" i="26" s="1"/>
  <c r="G6" i="26"/>
  <c r="L6" i="26" s="1"/>
  <c r="G7" i="26"/>
  <c r="L7" i="26" s="1"/>
  <c r="G8" i="26"/>
  <c r="L8" i="26" s="1"/>
  <c r="G9" i="26"/>
  <c r="L9" i="26" s="1"/>
  <c r="G10" i="26"/>
  <c r="L10" i="26" s="1"/>
  <c r="G11" i="26"/>
  <c r="L11" i="26" s="1"/>
  <c r="G12" i="26"/>
  <c r="L12" i="26" s="1"/>
  <c r="G13" i="26"/>
  <c r="L13" i="26" s="1"/>
  <c r="G14" i="26"/>
  <c r="L14" i="26" s="1"/>
  <c r="G15" i="26"/>
  <c r="L15" i="26" s="1"/>
  <c r="G16" i="26"/>
  <c r="L16" i="26" s="1"/>
  <c r="G17" i="26"/>
  <c r="G18" i="26"/>
  <c r="G19" i="26"/>
  <c r="G20" i="26"/>
  <c r="L20" i="26" s="1"/>
  <c r="G21" i="26"/>
  <c r="L21" i="26" s="1"/>
  <c r="G22" i="26"/>
  <c r="L22" i="26" s="1"/>
  <c r="G23" i="26"/>
  <c r="L23" i="26" s="1"/>
  <c r="G24" i="26"/>
  <c r="L24" i="26" s="1"/>
  <c r="G25" i="26"/>
  <c r="L25" i="26" s="1"/>
  <c r="G26" i="26"/>
  <c r="L26" i="26" s="1"/>
  <c r="G27" i="26"/>
  <c r="L27" i="26" s="1"/>
  <c r="G28" i="26"/>
  <c r="L28" i="26" s="1"/>
  <c r="G29" i="26"/>
  <c r="L29" i="26" s="1"/>
  <c r="G30" i="26"/>
  <c r="L30" i="26" s="1"/>
  <c r="G31" i="26"/>
  <c r="L31" i="26" s="1"/>
  <c r="G32" i="26"/>
  <c r="L32" i="26" s="1"/>
  <c r="G33" i="26"/>
  <c r="G34" i="26"/>
  <c r="L34" i="26" s="1"/>
  <c r="G35" i="26"/>
  <c r="G36" i="26"/>
  <c r="L36" i="26" s="1"/>
  <c r="G37" i="26"/>
  <c r="L37" i="26" s="1"/>
  <c r="G38" i="26"/>
  <c r="L38" i="26" s="1"/>
  <c r="G39" i="26"/>
  <c r="L39" i="26" s="1"/>
  <c r="G40" i="26"/>
  <c r="L40" i="26" s="1"/>
  <c r="G41" i="26"/>
  <c r="L41" i="26" s="1"/>
  <c r="G42" i="26"/>
  <c r="L42" i="26" s="1"/>
  <c r="G43" i="26"/>
  <c r="L43" i="26" s="1"/>
  <c r="G44" i="26"/>
  <c r="L44" i="26" s="1"/>
  <c r="G45" i="26"/>
  <c r="L45" i="26" s="1"/>
  <c r="G46" i="26"/>
  <c r="L46" i="26" s="1"/>
  <c r="G47" i="26"/>
  <c r="L47" i="26" s="1"/>
  <c r="G48" i="26"/>
  <c r="L48" i="26" s="1"/>
  <c r="G49" i="26"/>
  <c r="G50" i="26"/>
  <c r="G51" i="26"/>
  <c r="L51" i="26" s="1"/>
  <c r="G52" i="26"/>
  <c r="L52" i="26" s="1"/>
  <c r="G53" i="26"/>
  <c r="L53" i="26" s="1"/>
  <c r="G54" i="26"/>
  <c r="L54" i="26" s="1"/>
  <c r="G55" i="26"/>
  <c r="L55" i="26" s="1"/>
  <c r="G56" i="26"/>
  <c r="L56" i="26" s="1"/>
  <c r="G57" i="26"/>
  <c r="L57" i="26" s="1"/>
  <c r="G58" i="26"/>
  <c r="L58" i="26" s="1"/>
  <c r="G59" i="26"/>
  <c r="L59" i="26" s="1"/>
  <c r="G60" i="26"/>
  <c r="L60" i="26" s="1"/>
  <c r="G61" i="26"/>
  <c r="L61" i="26" s="1"/>
  <c r="G62" i="26"/>
  <c r="L62" i="26" s="1"/>
  <c r="G63" i="26"/>
  <c r="L63" i="26" s="1"/>
  <c r="G64" i="26"/>
  <c r="L64" i="26" s="1"/>
  <c r="G65" i="26"/>
  <c r="G66" i="26"/>
  <c r="G67" i="26"/>
  <c r="G68" i="26"/>
  <c r="L68" i="26" s="1"/>
  <c r="G69" i="26"/>
  <c r="L69" i="26" s="1"/>
  <c r="G70" i="26"/>
  <c r="L70" i="26" s="1"/>
  <c r="G71" i="26"/>
  <c r="L71" i="26" s="1"/>
  <c r="G72" i="26"/>
  <c r="L72" i="26" s="1"/>
  <c r="G73" i="26"/>
  <c r="L73" i="26" s="1"/>
  <c r="G74" i="26"/>
  <c r="L74" i="26" s="1"/>
  <c r="G75" i="26"/>
  <c r="L75" i="26" s="1"/>
  <c r="G76" i="26"/>
  <c r="L76" i="26" s="1"/>
  <c r="G77" i="26"/>
  <c r="L77" i="26" s="1"/>
  <c r="G78" i="26"/>
  <c r="L78" i="26" s="1"/>
  <c r="G79" i="26"/>
  <c r="L79" i="26" s="1"/>
  <c r="G80" i="26"/>
  <c r="L80" i="26" s="1"/>
  <c r="G81" i="26"/>
  <c r="L81" i="26" s="1"/>
  <c r="G82" i="26"/>
  <c r="L82" i="26" s="1"/>
  <c r="G83" i="26"/>
  <c r="L83" i="26" s="1"/>
  <c r="G84" i="26"/>
  <c r="L84" i="26" s="1"/>
  <c r="G85" i="26"/>
  <c r="L85" i="26" s="1"/>
  <c r="G86" i="26"/>
  <c r="L86" i="26" s="1"/>
  <c r="G87" i="26"/>
  <c r="L87" i="26" s="1"/>
  <c r="G88" i="26"/>
  <c r="L88" i="26" s="1"/>
  <c r="G89" i="26"/>
  <c r="L89" i="26" s="1"/>
  <c r="G90" i="26"/>
  <c r="L90" i="26" s="1"/>
  <c r="G91" i="26"/>
  <c r="L91" i="26" s="1"/>
  <c r="G92" i="26"/>
  <c r="L92" i="26" s="1"/>
  <c r="G93" i="26"/>
  <c r="L93" i="26" s="1"/>
  <c r="G94" i="26"/>
  <c r="L94" i="26" s="1"/>
  <c r="G95" i="26"/>
  <c r="L95" i="26" s="1"/>
  <c r="G96" i="26"/>
  <c r="L96" i="26" s="1"/>
  <c r="G97" i="26"/>
  <c r="L97" i="26" s="1"/>
  <c r="G98" i="26"/>
  <c r="G99" i="26"/>
  <c r="L99" i="26" s="1"/>
  <c r="G100" i="26"/>
  <c r="L100" i="26" s="1"/>
  <c r="G101" i="26"/>
  <c r="L101" i="26" s="1"/>
  <c r="G102" i="26"/>
  <c r="L102" i="26" s="1"/>
  <c r="G103" i="26"/>
  <c r="L103" i="26" s="1"/>
  <c r="G104" i="26"/>
  <c r="L104" i="26" s="1"/>
  <c r="G105" i="26"/>
  <c r="L105" i="26" s="1"/>
  <c r="G106" i="26"/>
  <c r="L106" i="26" s="1"/>
  <c r="G107" i="26"/>
  <c r="L107" i="26" s="1"/>
  <c r="G108" i="26"/>
  <c r="L108" i="26" s="1"/>
  <c r="G109" i="26"/>
  <c r="L109" i="26" s="1"/>
  <c r="G1" i="26"/>
  <c r="L1" i="26" s="1"/>
  <c r="X8" i="36"/>
  <c r="Y8" i="36"/>
  <c r="Z8" i="36"/>
  <c r="AA8" i="36"/>
  <c r="X9" i="36"/>
  <c r="Y9" i="36"/>
  <c r="Z9" i="36"/>
  <c r="AA9" i="36"/>
  <c r="X10" i="36"/>
  <c r="Y10" i="36"/>
  <c r="Z10" i="36"/>
  <c r="AA10" i="36"/>
  <c r="X11" i="36"/>
  <c r="Y11" i="36"/>
  <c r="Z11" i="36"/>
  <c r="AA11" i="36"/>
  <c r="X12" i="36"/>
  <c r="Y12" i="36"/>
  <c r="Z12" i="36"/>
  <c r="AA12" i="36"/>
  <c r="X13" i="36"/>
  <c r="Y13" i="36"/>
  <c r="Z13" i="36"/>
  <c r="AA13" i="36"/>
  <c r="Z81" i="51"/>
  <c r="Z80" i="51" s="1"/>
  <c r="Y81" i="51"/>
  <c r="Y80" i="51" s="1"/>
  <c r="X81" i="51"/>
  <c r="X80" i="51" s="1"/>
  <c r="M75" i="10"/>
  <c r="L75" i="10"/>
  <c r="K75" i="10"/>
  <c r="J75" i="10"/>
  <c r="I75" i="10"/>
  <c r="H75" i="10"/>
  <c r="G75" i="10"/>
  <c r="F75" i="10"/>
  <c r="G65" i="10"/>
  <c r="H65" i="10"/>
  <c r="I65" i="10"/>
  <c r="J65" i="10"/>
  <c r="K65" i="10"/>
  <c r="L65" i="10"/>
  <c r="M65" i="10"/>
  <c r="F65" i="10"/>
  <c r="G33" i="10"/>
  <c r="H33" i="10"/>
  <c r="I33" i="10"/>
  <c r="J33" i="10"/>
  <c r="K33" i="10"/>
  <c r="L33" i="10"/>
  <c r="M33" i="10"/>
  <c r="F33" i="10"/>
  <c r="M56" i="10"/>
  <c r="M57" i="10" s="1"/>
  <c r="L56" i="10"/>
  <c r="K56" i="10"/>
  <c r="J56" i="10"/>
  <c r="J57" i="10" s="1"/>
  <c r="J60" i="10" s="1"/>
  <c r="I56" i="10"/>
  <c r="I59" i="10" s="1"/>
  <c r="H56" i="10"/>
  <c r="H57" i="10" s="1"/>
  <c r="H60" i="10" s="1"/>
  <c r="G56" i="10"/>
  <c r="G59" i="10" s="1"/>
  <c r="M51" i="10"/>
  <c r="L51" i="10"/>
  <c r="K51" i="10"/>
  <c r="J51" i="10"/>
  <c r="I51" i="10"/>
  <c r="H51" i="10"/>
  <c r="G51" i="10"/>
  <c r="M46" i="10"/>
  <c r="L46" i="10"/>
  <c r="K46" i="10"/>
  <c r="J46" i="10"/>
  <c r="I46" i="10"/>
  <c r="H46" i="10"/>
  <c r="G46" i="10"/>
  <c r="M43" i="10"/>
  <c r="L43" i="10"/>
  <c r="K43" i="10"/>
  <c r="J43" i="10"/>
  <c r="I43" i="10"/>
  <c r="H43" i="10"/>
  <c r="G43" i="10"/>
  <c r="F56" i="10"/>
  <c r="F57" i="10" s="1"/>
  <c r="F51" i="10"/>
  <c r="F46" i="10"/>
  <c r="F43" i="10"/>
  <c r="F44" i="10" s="1"/>
  <c r="G24" i="10"/>
  <c r="H24" i="10"/>
  <c r="I24" i="10"/>
  <c r="J24" i="10"/>
  <c r="K24" i="10"/>
  <c r="L24" i="10"/>
  <c r="F165" i="10" s="1"/>
  <c r="M24" i="10"/>
  <c r="G165" i="10" s="1"/>
  <c r="F24" i="10"/>
  <c r="F25" i="10" s="1"/>
  <c r="G19" i="10"/>
  <c r="H19" i="10"/>
  <c r="I19" i="10"/>
  <c r="J19" i="10"/>
  <c r="K19" i="10"/>
  <c r="L19" i="10"/>
  <c r="F161" i="10" s="1"/>
  <c r="M19" i="10"/>
  <c r="G161" i="10" s="1"/>
  <c r="F19" i="10"/>
  <c r="G11" i="10"/>
  <c r="H11" i="10"/>
  <c r="I11" i="10"/>
  <c r="J11" i="10"/>
  <c r="K11" i="10"/>
  <c r="L11" i="10"/>
  <c r="M11" i="10"/>
  <c r="F11" i="10"/>
  <c r="F12" i="10" s="1"/>
  <c r="G14" i="10"/>
  <c r="H14" i="10"/>
  <c r="I14" i="10"/>
  <c r="J14" i="10"/>
  <c r="K14" i="10"/>
  <c r="L14" i="10"/>
  <c r="M14" i="10"/>
  <c r="F14" i="10"/>
  <c r="F65" i="51"/>
  <c r="G65" i="51"/>
  <c r="H65" i="51"/>
  <c r="I65" i="51"/>
  <c r="J65" i="51"/>
  <c r="K65" i="51"/>
  <c r="L65" i="51"/>
  <c r="M65" i="51"/>
  <c r="G75" i="51"/>
  <c r="H75" i="51"/>
  <c r="I75" i="51"/>
  <c r="J75" i="51"/>
  <c r="K75" i="51"/>
  <c r="L75" i="51"/>
  <c r="M75" i="51"/>
  <c r="F75" i="51"/>
  <c r="D139" i="65"/>
  <c r="D140" i="65" s="1"/>
  <c r="D141" i="65" s="1"/>
  <c r="D142" i="65" s="1"/>
  <c r="D143" i="65" s="1"/>
  <c r="D144" i="65" s="1"/>
  <c r="D145" i="65" s="1"/>
  <c r="D146" i="65" s="1"/>
  <c r="D147" i="65" s="1"/>
  <c r="D148" i="65" s="1"/>
  <c r="D149" i="65" s="1"/>
  <c r="D150" i="65" s="1"/>
  <c r="D151" i="65" s="1"/>
  <c r="D152" i="65" s="1"/>
  <c r="D153" i="65" s="1"/>
  <c r="D154" i="65" s="1"/>
  <c r="D155" i="65" s="1"/>
  <c r="D156" i="65" s="1"/>
  <c r="D157" i="65" s="1"/>
  <c r="D158" i="65" s="1"/>
  <c r="D159" i="65" s="1"/>
  <c r="D160" i="65" s="1"/>
  <c r="D161" i="65" s="1"/>
  <c r="D162" i="65" s="1"/>
  <c r="D163" i="65" s="1"/>
  <c r="D164" i="65" s="1"/>
  <c r="D165" i="65" s="1"/>
  <c r="D166" i="65" s="1"/>
  <c r="D167" i="65" s="1"/>
  <c r="D168" i="65" s="1"/>
  <c r="D169" i="65" s="1"/>
  <c r="D170" i="65" s="1"/>
  <c r="D171" i="65" s="1"/>
  <c r="D172" i="65" s="1"/>
  <c r="D173" i="65" s="1"/>
  <c r="D174" i="65" s="1"/>
  <c r="D175" i="65" s="1"/>
  <c r="D176" i="65" s="1"/>
  <c r="D177" i="65" s="1"/>
  <c r="D178" i="65" s="1"/>
  <c r="D179" i="65" s="1"/>
  <c r="D180" i="65" s="1"/>
  <c r="D181" i="65" s="1"/>
  <c r="D182" i="65" s="1"/>
  <c r="D183" i="65" s="1"/>
  <c r="D184" i="65" s="1"/>
  <c r="D185" i="65" s="1"/>
  <c r="D186" i="65" s="1"/>
  <c r="D187" i="65" s="1"/>
  <c r="D188" i="65" s="1"/>
  <c r="D189" i="65" s="1"/>
  <c r="D190" i="65" s="1"/>
  <c r="D191" i="65" s="1"/>
  <c r="D192" i="65" s="1"/>
  <c r="D193" i="65" s="1"/>
  <c r="D194" i="65" s="1"/>
  <c r="D195" i="65" s="1"/>
  <c r="D196" i="65" s="1"/>
  <c r="D197" i="65" s="1"/>
  <c r="D198" i="65" s="1"/>
  <c r="D199" i="65" s="1"/>
  <c r="D200" i="65" s="1"/>
  <c r="D201" i="65" s="1"/>
  <c r="D202" i="65" s="1"/>
  <c r="D203" i="65" s="1"/>
  <c r="D204" i="65" s="1"/>
  <c r="D205" i="65" s="1"/>
  <c r="D206" i="65" s="1"/>
  <c r="D207" i="65" s="1"/>
  <c r="D208" i="65" s="1"/>
  <c r="D209" i="65" s="1"/>
  <c r="D210" i="65" s="1"/>
  <c r="D211" i="65" s="1"/>
  <c r="D212" i="65" s="1"/>
  <c r="D213" i="65" s="1"/>
  <c r="D214" i="65" s="1"/>
  <c r="D215" i="65" s="1"/>
  <c r="D216" i="65" s="1"/>
  <c r="D217" i="65" s="1"/>
  <c r="D218" i="65" s="1"/>
  <c r="D219" i="65" s="1"/>
  <c r="D220" i="65" s="1"/>
  <c r="D221" i="65" s="1"/>
  <c r="D222" i="65" s="1"/>
  <c r="D223" i="65" s="1"/>
  <c r="D224" i="65" s="1"/>
  <c r="D225" i="65" s="1"/>
  <c r="D226" i="65" s="1"/>
  <c r="D227" i="65" s="1"/>
  <c r="D228" i="65" s="1"/>
  <c r="D229" i="65" s="1"/>
  <c r="D230" i="65" s="1"/>
  <c r="D231" i="65" s="1"/>
  <c r="D232" i="65" s="1"/>
  <c r="D233" i="65" s="1"/>
  <c r="D234" i="65" s="1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D114" i="65"/>
  <c r="D115" i="65"/>
  <c r="D116" i="65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32" i="65"/>
  <c r="D133" i="65"/>
  <c r="D134" i="65"/>
  <c r="D135" i="65"/>
  <c r="K33" i="51"/>
  <c r="L33" i="51"/>
  <c r="M33" i="51"/>
  <c r="M35" i="51" s="1"/>
  <c r="ER138" i="65"/>
  <c r="EQ138" i="65"/>
  <c r="EP138" i="65"/>
  <c r="EO138" i="65"/>
  <c r="EN138" i="65"/>
  <c r="EM138" i="65"/>
  <c r="EL138" i="65"/>
  <c r="EK138" i="65"/>
  <c r="EJ138" i="65"/>
  <c r="EI138" i="65"/>
  <c r="EH138" i="65"/>
  <c r="ER137" i="65"/>
  <c r="EQ137" i="65"/>
  <c r="EP137" i="65"/>
  <c r="EO137" i="65"/>
  <c r="EN137" i="65"/>
  <c r="EM137" i="65"/>
  <c r="EL137" i="65"/>
  <c r="EK137" i="65"/>
  <c r="EJ137" i="65"/>
  <c r="EI137" i="65"/>
  <c r="EH137" i="65"/>
  <c r="ER136" i="65"/>
  <c r="EQ136" i="65"/>
  <c r="EP136" i="65"/>
  <c r="EO136" i="65"/>
  <c r="EN136" i="65"/>
  <c r="EM136" i="65"/>
  <c r="EL136" i="65"/>
  <c r="EK136" i="65"/>
  <c r="EJ136" i="65"/>
  <c r="EI136" i="65"/>
  <c r="EH136" i="65"/>
  <c r="EP135" i="65"/>
  <c r="DU135" i="65"/>
  <c r="DT135" i="65"/>
  <c r="DS135" i="65"/>
  <c r="DR135" i="65"/>
  <c r="DQ135" i="65"/>
  <c r="DP135" i="65"/>
  <c r="DO135" i="65"/>
  <c r="DN135" i="65"/>
  <c r="DM135" i="65"/>
  <c r="DL135" i="65"/>
  <c r="DK135" i="65"/>
  <c r="DJ135" i="65"/>
  <c r="DI135" i="65"/>
  <c r="DH135" i="65"/>
  <c r="DG135" i="65"/>
  <c r="DF135" i="65"/>
  <c r="DE135" i="65"/>
  <c r="DD135" i="65"/>
  <c r="DC135" i="65"/>
  <c r="DB135" i="65"/>
  <c r="DA135" i="65"/>
  <c r="CZ135" i="65"/>
  <c r="CY135" i="65"/>
  <c r="CX135" i="65"/>
  <c r="CW135" i="65"/>
  <c r="CV135" i="65"/>
  <c r="CU135" i="65"/>
  <c r="CT135" i="65"/>
  <c r="CS135" i="65"/>
  <c r="CR135" i="65"/>
  <c r="CQ135" i="65"/>
  <c r="CP135" i="65"/>
  <c r="CO135" i="65"/>
  <c r="CN135" i="65"/>
  <c r="CM135" i="65"/>
  <c r="CL135" i="65"/>
  <c r="CK135" i="65"/>
  <c r="CJ135" i="65"/>
  <c r="CI135" i="65"/>
  <c r="CH135" i="65"/>
  <c r="CG135" i="65"/>
  <c r="CF135" i="65"/>
  <c r="CE135" i="65"/>
  <c r="CD135" i="65"/>
  <c r="CC135" i="65"/>
  <c r="CB135" i="65"/>
  <c r="CA135" i="65"/>
  <c r="BZ135" i="65"/>
  <c r="BY135" i="65"/>
  <c r="BX135" i="65"/>
  <c r="BW135" i="65"/>
  <c r="BV135" i="65"/>
  <c r="BU135" i="65"/>
  <c r="BT135" i="65"/>
  <c r="BS135" i="65"/>
  <c r="BR135" i="65"/>
  <c r="BQ135" i="65"/>
  <c r="BP135" i="65"/>
  <c r="BO135" i="65"/>
  <c r="BN135" i="65"/>
  <c r="BM135" i="65"/>
  <c r="BL135" i="65"/>
  <c r="BK135" i="65"/>
  <c r="BJ135" i="65"/>
  <c r="BI135" i="65"/>
  <c r="BH135" i="65"/>
  <c r="BG135" i="65"/>
  <c r="BF135" i="65"/>
  <c r="BE135" i="65"/>
  <c r="BD135" i="65"/>
  <c r="BC135" i="65"/>
  <c r="BB135" i="65"/>
  <c r="BA135" i="65"/>
  <c r="AZ135" i="65"/>
  <c r="AY135" i="65"/>
  <c r="AX135" i="65"/>
  <c r="AW135" i="65"/>
  <c r="AV135" i="65"/>
  <c r="AU135" i="65"/>
  <c r="AT135" i="65"/>
  <c r="AS135" i="65"/>
  <c r="AR135" i="65"/>
  <c r="AQ135" i="65"/>
  <c r="AP135" i="65"/>
  <c r="AO135" i="65"/>
  <c r="AN135" i="65"/>
  <c r="AM135" i="65"/>
  <c r="AL135" i="65"/>
  <c r="AK135" i="65"/>
  <c r="AJ135" i="65"/>
  <c r="AI135" i="65"/>
  <c r="AH135" i="65"/>
  <c r="AG135" i="65"/>
  <c r="AF135" i="65"/>
  <c r="AE135" i="65"/>
  <c r="AD135" i="65"/>
  <c r="AC135" i="65"/>
  <c r="AB135" i="65"/>
  <c r="Z135" i="65"/>
  <c r="Y135" i="65"/>
  <c r="X135" i="65"/>
  <c r="W135" i="65"/>
  <c r="V135" i="65"/>
  <c r="U135" i="65"/>
  <c r="T135" i="65"/>
  <c r="S135" i="65"/>
  <c r="R135" i="65"/>
  <c r="Q135" i="65"/>
  <c r="O135" i="65"/>
  <c r="N135" i="65"/>
  <c r="M135" i="65"/>
  <c r="L135" i="65"/>
  <c r="K135" i="65"/>
  <c r="J135" i="65"/>
  <c r="I135" i="65"/>
  <c r="H135" i="65"/>
  <c r="G135" i="65"/>
  <c r="F135" i="65"/>
  <c r="E135" i="65"/>
  <c r="EO134" i="65"/>
  <c r="EN134" i="65"/>
  <c r="EM134" i="65"/>
  <c r="DU134" i="65"/>
  <c r="DT134" i="65"/>
  <c r="DS134" i="65"/>
  <c r="DR134" i="65"/>
  <c r="DQ134" i="65"/>
  <c r="DP134" i="65"/>
  <c r="DO134" i="65"/>
  <c r="DN134" i="65"/>
  <c r="DM134" i="65"/>
  <c r="DL134" i="65"/>
  <c r="DK134" i="65"/>
  <c r="DJ134" i="65"/>
  <c r="DI134" i="65"/>
  <c r="DH134" i="65"/>
  <c r="DG134" i="65"/>
  <c r="DF134" i="65"/>
  <c r="DE134" i="65"/>
  <c r="DD134" i="65"/>
  <c r="DC134" i="65"/>
  <c r="DB134" i="65"/>
  <c r="DA134" i="65"/>
  <c r="CZ134" i="65"/>
  <c r="CY134" i="65"/>
  <c r="CX134" i="65"/>
  <c r="CW134" i="65"/>
  <c r="CV134" i="65"/>
  <c r="CU134" i="65"/>
  <c r="CT134" i="65"/>
  <c r="CS134" i="65"/>
  <c r="CR134" i="65"/>
  <c r="CQ134" i="65"/>
  <c r="CP134" i="65"/>
  <c r="CO134" i="65"/>
  <c r="CN134" i="65"/>
  <c r="CM134" i="65"/>
  <c r="CL134" i="65"/>
  <c r="CK134" i="65"/>
  <c r="CJ134" i="65"/>
  <c r="CI134" i="65"/>
  <c r="CH134" i="65"/>
  <c r="CG134" i="65"/>
  <c r="CF134" i="65"/>
  <c r="CE134" i="65"/>
  <c r="CD134" i="65"/>
  <c r="CC134" i="65"/>
  <c r="CB134" i="65"/>
  <c r="CA134" i="65"/>
  <c r="BZ134" i="65"/>
  <c r="BY134" i="65"/>
  <c r="BX134" i="65"/>
  <c r="BW134" i="65"/>
  <c r="BV134" i="65"/>
  <c r="BU134" i="65"/>
  <c r="BT134" i="65"/>
  <c r="BS134" i="65"/>
  <c r="BR134" i="65"/>
  <c r="BQ134" i="65"/>
  <c r="BP134" i="65"/>
  <c r="BO134" i="65"/>
  <c r="BN134" i="65"/>
  <c r="BM134" i="65"/>
  <c r="BL134" i="65"/>
  <c r="BK134" i="65"/>
  <c r="BJ134" i="65"/>
  <c r="BI134" i="65"/>
  <c r="BH134" i="65"/>
  <c r="BG134" i="65"/>
  <c r="BF134" i="65"/>
  <c r="BE134" i="65"/>
  <c r="BD134" i="65"/>
  <c r="BC134" i="65"/>
  <c r="BB134" i="65"/>
  <c r="BA134" i="65"/>
  <c r="AZ134" i="65"/>
  <c r="AY134" i="65"/>
  <c r="AX134" i="65"/>
  <c r="AW134" i="65"/>
  <c r="AV134" i="65"/>
  <c r="AU134" i="65"/>
  <c r="AT134" i="65"/>
  <c r="AS134" i="65"/>
  <c r="AR134" i="65"/>
  <c r="AQ134" i="65"/>
  <c r="AP134" i="65"/>
  <c r="AO134" i="65"/>
  <c r="AN134" i="65"/>
  <c r="AM134" i="65"/>
  <c r="AL134" i="65"/>
  <c r="AK134" i="65"/>
  <c r="AJ134" i="65"/>
  <c r="AI134" i="65"/>
  <c r="AH134" i="65"/>
  <c r="AG134" i="65"/>
  <c r="AF134" i="65"/>
  <c r="AE134" i="65"/>
  <c r="AD134" i="65"/>
  <c r="AC134" i="65"/>
  <c r="AB134" i="65"/>
  <c r="Z134" i="65"/>
  <c r="EG134" i="65" s="1"/>
  <c r="Y134" i="65"/>
  <c r="EF134" i="65" s="1"/>
  <c r="X134" i="65"/>
  <c r="EE134" i="65" s="1"/>
  <c r="W134" i="65"/>
  <c r="V134" i="65"/>
  <c r="U134" i="65"/>
  <c r="EB134" i="65" s="1"/>
  <c r="T134" i="65"/>
  <c r="EA134" i="65" s="1"/>
  <c r="S134" i="65"/>
  <c r="R134" i="65"/>
  <c r="Q134" i="65"/>
  <c r="O134" i="65"/>
  <c r="N134" i="65"/>
  <c r="M134" i="65"/>
  <c r="L134" i="65"/>
  <c r="K134" i="65"/>
  <c r="J134" i="65"/>
  <c r="I134" i="65"/>
  <c r="H134" i="65"/>
  <c r="G134" i="65"/>
  <c r="F134" i="65"/>
  <c r="E134" i="65"/>
  <c r="EN133" i="65"/>
  <c r="EM133" i="65"/>
  <c r="EL133" i="65"/>
  <c r="DU133" i="65"/>
  <c r="DT133" i="65"/>
  <c r="DS133" i="65"/>
  <c r="DR133" i="65"/>
  <c r="DQ133" i="65"/>
  <c r="DP133" i="65"/>
  <c r="DO133" i="65"/>
  <c r="DN133" i="65"/>
  <c r="DM133" i="65"/>
  <c r="DL133" i="65"/>
  <c r="DK133" i="65"/>
  <c r="DJ133" i="65"/>
  <c r="DI133" i="65"/>
  <c r="DH133" i="65"/>
  <c r="DG133" i="65"/>
  <c r="DF133" i="65"/>
  <c r="DE133" i="65"/>
  <c r="DD133" i="65"/>
  <c r="DC133" i="65"/>
  <c r="DB133" i="65"/>
  <c r="DA133" i="65"/>
  <c r="CZ133" i="65"/>
  <c r="CY133" i="65"/>
  <c r="CX133" i="65"/>
  <c r="CW133" i="65"/>
  <c r="CV133" i="65"/>
  <c r="CU133" i="65"/>
  <c r="CT133" i="65"/>
  <c r="CS133" i="65"/>
  <c r="CR133" i="65"/>
  <c r="CQ133" i="65"/>
  <c r="CP133" i="65"/>
  <c r="CO133" i="65"/>
  <c r="CN133" i="65"/>
  <c r="CM133" i="65"/>
  <c r="CL133" i="65"/>
  <c r="CK133" i="65"/>
  <c r="CJ133" i="65"/>
  <c r="CI133" i="65"/>
  <c r="CH133" i="65"/>
  <c r="CG133" i="65"/>
  <c r="CF133" i="65"/>
  <c r="CE133" i="65"/>
  <c r="CD133" i="65"/>
  <c r="CC133" i="65"/>
  <c r="CB133" i="65"/>
  <c r="CA133" i="65"/>
  <c r="BZ133" i="65"/>
  <c r="BY133" i="65"/>
  <c r="BX133" i="65"/>
  <c r="BW133" i="65"/>
  <c r="BV133" i="65"/>
  <c r="BU133" i="65"/>
  <c r="BT133" i="65"/>
  <c r="BS133" i="65"/>
  <c r="BR133" i="65"/>
  <c r="BQ133" i="65"/>
  <c r="BP133" i="65"/>
  <c r="BO133" i="65"/>
  <c r="BN133" i="65"/>
  <c r="BM133" i="65"/>
  <c r="BL133" i="65"/>
  <c r="BK133" i="65"/>
  <c r="BJ133" i="65"/>
  <c r="BI133" i="65"/>
  <c r="BH133" i="65"/>
  <c r="BG133" i="65"/>
  <c r="BF133" i="65"/>
  <c r="BE133" i="65"/>
  <c r="BD133" i="65"/>
  <c r="BC133" i="65"/>
  <c r="BB133" i="65"/>
  <c r="BA133" i="65"/>
  <c r="AZ133" i="65"/>
  <c r="AY133" i="65"/>
  <c r="AX133" i="65"/>
  <c r="AW133" i="65"/>
  <c r="AV133" i="65"/>
  <c r="AU133" i="65"/>
  <c r="AT133" i="65"/>
  <c r="AS133" i="65"/>
  <c r="AR133" i="65"/>
  <c r="AQ133" i="65"/>
  <c r="AP133" i="65"/>
  <c r="AO133" i="65"/>
  <c r="AN133" i="65"/>
  <c r="AM133" i="65"/>
  <c r="AL133" i="65"/>
  <c r="AK133" i="65"/>
  <c r="AJ133" i="65"/>
  <c r="AI133" i="65"/>
  <c r="AH133" i="65"/>
  <c r="AG133" i="65"/>
  <c r="AF133" i="65"/>
  <c r="AE133" i="65"/>
  <c r="AD133" i="65"/>
  <c r="AC133" i="65"/>
  <c r="AB133" i="65"/>
  <c r="Z133" i="65"/>
  <c r="Y133" i="65"/>
  <c r="EF133" i="65" s="1"/>
  <c r="X133" i="65"/>
  <c r="EE133" i="65" s="1"/>
  <c r="W133" i="65"/>
  <c r="ED133" i="65" s="1"/>
  <c r="V133" i="65"/>
  <c r="U133" i="65"/>
  <c r="EB133" i="65" s="1"/>
  <c r="T133" i="65"/>
  <c r="EA133" i="65" s="1"/>
  <c r="S133" i="65"/>
  <c r="DZ133" i="65" s="1"/>
  <c r="R133" i="65"/>
  <c r="Q133" i="65"/>
  <c r="O133" i="65"/>
  <c r="N133" i="65"/>
  <c r="M133" i="65"/>
  <c r="L133" i="65"/>
  <c r="K133" i="65"/>
  <c r="J133" i="65"/>
  <c r="I133" i="65"/>
  <c r="H133" i="65"/>
  <c r="G133" i="65"/>
  <c r="F133" i="65"/>
  <c r="E133" i="65"/>
  <c r="ER132" i="65"/>
  <c r="EM132" i="65"/>
  <c r="EL132" i="65"/>
  <c r="EK132" i="65"/>
  <c r="DU132" i="65"/>
  <c r="DT132" i="65"/>
  <c r="DS132" i="65"/>
  <c r="DR132" i="65"/>
  <c r="DQ132" i="65"/>
  <c r="DP132" i="65"/>
  <c r="DO132" i="65"/>
  <c r="DN132" i="65"/>
  <c r="DM132" i="65"/>
  <c r="DL132" i="65"/>
  <c r="DK132" i="65"/>
  <c r="DJ132" i="65"/>
  <c r="DI132" i="65"/>
  <c r="DH132" i="65"/>
  <c r="DG132" i="65"/>
  <c r="DF132" i="65"/>
  <c r="DE132" i="65"/>
  <c r="DD132" i="65"/>
  <c r="DC132" i="65"/>
  <c r="DB132" i="65"/>
  <c r="DA132" i="65"/>
  <c r="CZ132" i="65"/>
  <c r="CY132" i="65"/>
  <c r="CX132" i="65"/>
  <c r="CW132" i="65"/>
  <c r="CV132" i="65"/>
  <c r="CU132" i="65"/>
  <c r="CT132" i="65"/>
  <c r="CS132" i="65"/>
  <c r="CR132" i="65"/>
  <c r="CQ132" i="65"/>
  <c r="CP132" i="65"/>
  <c r="CO132" i="65"/>
  <c r="CN132" i="65"/>
  <c r="CM132" i="65"/>
  <c r="CL132" i="65"/>
  <c r="CK132" i="65"/>
  <c r="CJ132" i="65"/>
  <c r="CI132" i="65"/>
  <c r="CH132" i="65"/>
  <c r="CG132" i="65"/>
  <c r="CF132" i="65"/>
  <c r="CE132" i="65"/>
  <c r="CD132" i="65"/>
  <c r="CC132" i="65"/>
  <c r="CB132" i="65"/>
  <c r="CA132" i="65"/>
  <c r="BZ132" i="65"/>
  <c r="BY132" i="65"/>
  <c r="BX132" i="65"/>
  <c r="BW132" i="65"/>
  <c r="BV132" i="65"/>
  <c r="BU132" i="65"/>
  <c r="BT132" i="65"/>
  <c r="BS132" i="65"/>
  <c r="BR132" i="65"/>
  <c r="BQ132" i="65"/>
  <c r="BP132" i="65"/>
  <c r="BO132" i="65"/>
  <c r="BN132" i="65"/>
  <c r="BM132" i="65"/>
  <c r="BL132" i="65"/>
  <c r="BK132" i="65"/>
  <c r="BJ132" i="65"/>
  <c r="BI132" i="65"/>
  <c r="BH132" i="65"/>
  <c r="BG132" i="65"/>
  <c r="BF132" i="65"/>
  <c r="BE132" i="65"/>
  <c r="BD132" i="65"/>
  <c r="BC132" i="65"/>
  <c r="BB132" i="65"/>
  <c r="BA132" i="65"/>
  <c r="AZ132" i="65"/>
  <c r="AY132" i="65"/>
  <c r="AX132" i="65"/>
  <c r="AW132" i="65"/>
  <c r="AV132" i="65"/>
  <c r="AU132" i="65"/>
  <c r="AT132" i="65"/>
  <c r="AS132" i="65"/>
  <c r="AR132" i="65"/>
  <c r="AQ132" i="65"/>
  <c r="AP132" i="65"/>
  <c r="AO132" i="65"/>
  <c r="AN132" i="65"/>
  <c r="AM132" i="65"/>
  <c r="AL132" i="65"/>
  <c r="AK132" i="65"/>
  <c r="AJ132" i="65"/>
  <c r="AI132" i="65"/>
  <c r="AH132" i="65"/>
  <c r="AG132" i="65"/>
  <c r="AF132" i="65"/>
  <c r="AE132" i="65"/>
  <c r="AD132" i="65"/>
  <c r="AC132" i="65"/>
  <c r="AB132" i="65"/>
  <c r="Z132" i="65"/>
  <c r="Y132" i="65"/>
  <c r="X132" i="65"/>
  <c r="EE132" i="65" s="1"/>
  <c r="W132" i="65"/>
  <c r="ED132" i="65" s="1"/>
  <c r="V132" i="65"/>
  <c r="EC132" i="65" s="1"/>
  <c r="U132" i="65"/>
  <c r="T132" i="65"/>
  <c r="EA132" i="65" s="1"/>
  <c r="S132" i="65"/>
  <c r="DZ132" i="65" s="1"/>
  <c r="R132" i="65"/>
  <c r="DY132" i="65" s="1"/>
  <c r="Q132" i="65"/>
  <c r="O132" i="65"/>
  <c r="N132" i="65"/>
  <c r="M132" i="65"/>
  <c r="L132" i="65"/>
  <c r="K132" i="65"/>
  <c r="J132" i="65"/>
  <c r="I132" i="65"/>
  <c r="H132" i="65"/>
  <c r="G132" i="65"/>
  <c r="F132" i="65"/>
  <c r="E132" i="65"/>
  <c r="ER131" i="65"/>
  <c r="EQ131" i="65"/>
  <c r="EL131" i="65"/>
  <c r="EK131" i="65"/>
  <c r="EJ131" i="65"/>
  <c r="DU131" i="65"/>
  <c r="DT131" i="65"/>
  <c r="DS131" i="65"/>
  <c r="DR131" i="65"/>
  <c r="DQ131" i="65"/>
  <c r="DP131" i="65"/>
  <c r="DO131" i="65"/>
  <c r="DN131" i="65"/>
  <c r="DM131" i="65"/>
  <c r="DL131" i="65"/>
  <c r="DK131" i="65"/>
  <c r="DJ131" i="65"/>
  <c r="DI131" i="65"/>
  <c r="DH131" i="65"/>
  <c r="DG131" i="65"/>
  <c r="DF131" i="65"/>
  <c r="DE131" i="65"/>
  <c r="DD131" i="65"/>
  <c r="DC131" i="65"/>
  <c r="DB131" i="65"/>
  <c r="DA131" i="65"/>
  <c r="CZ131" i="65"/>
  <c r="CY131" i="65"/>
  <c r="CX131" i="65"/>
  <c r="CW131" i="65"/>
  <c r="CV131" i="65"/>
  <c r="CU131" i="65"/>
  <c r="CT131" i="65"/>
  <c r="CS131" i="65"/>
  <c r="CR131" i="65"/>
  <c r="CQ131" i="65"/>
  <c r="CP131" i="65"/>
  <c r="CO131" i="65"/>
  <c r="CN131" i="65"/>
  <c r="CM131" i="65"/>
  <c r="CL131" i="65"/>
  <c r="CK131" i="65"/>
  <c r="CJ131" i="65"/>
  <c r="CI131" i="65"/>
  <c r="CH131" i="65"/>
  <c r="CG131" i="65"/>
  <c r="CF131" i="65"/>
  <c r="CE131" i="65"/>
  <c r="CD131" i="65"/>
  <c r="CC131" i="65"/>
  <c r="CB131" i="65"/>
  <c r="CA131" i="65"/>
  <c r="BZ131" i="65"/>
  <c r="BY131" i="65"/>
  <c r="BX131" i="65"/>
  <c r="BW131" i="65"/>
  <c r="BV131" i="65"/>
  <c r="BU131" i="65"/>
  <c r="BT131" i="65"/>
  <c r="BS131" i="65"/>
  <c r="BR131" i="65"/>
  <c r="BQ131" i="65"/>
  <c r="BP131" i="65"/>
  <c r="BO131" i="65"/>
  <c r="BN131" i="65"/>
  <c r="BM131" i="65"/>
  <c r="BL131" i="65"/>
  <c r="BK131" i="65"/>
  <c r="BJ131" i="65"/>
  <c r="BI131" i="65"/>
  <c r="BH131" i="65"/>
  <c r="BG131" i="65"/>
  <c r="BF131" i="65"/>
  <c r="BE131" i="65"/>
  <c r="BD131" i="65"/>
  <c r="BC131" i="65"/>
  <c r="BB131" i="65"/>
  <c r="BA131" i="65"/>
  <c r="AZ131" i="65"/>
  <c r="AY131" i="65"/>
  <c r="AX131" i="65"/>
  <c r="AW131" i="65"/>
  <c r="AV131" i="65"/>
  <c r="AU131" i="65"/>
  <c r="AT131" i="65"/>
  <c r="AS131" i="65"/>
  <c r="AR131" i="65"/>
  <c r="AQ131" i="65"/>
  <c r="AP131" i="65"/>
  <c r="AO131" i="65"/>
  <c r="AN131" i="65"/>
  <c r="AM131" i="65"/>
  <c r="AL131" i="65"/>
  <c r="AK131" i="65"/>
  <c r="AJ131" i="65"/>
  <c r="AI131" i="65"/>
  <c r="AH131" i="65"/>
  <c r="AG131" i="65"/>
  <c r="AF131" i="65"/>
  <c r="AE131" i="65"/>
  <c r="AD131" i="65"/>
  <c r="AC131" i="65"/>
  <c r="AB131" i="65"/>
  <c r="Z131" i="65"/>
  <c r="Y131" i="65"/>
  <c r="X131" i="65"/>
  <c r="W131" i="65"/>
  <c r="ED131" i="65" s="1"/>
  <c r="V131" i="65"/>
  <c r="EC131" i="65" s="1"/>
  <c r="U131" i="65"/>
  <c r="EB131" i="65" s="1"/>
  <c r="T131" i="65"/>
  <c r="EA131" i="65" s="1"/>
  <c r="S131" i="65"/>
  <c r="R131" i="65"/>
  <c r="DY131" i="65" s="1"/>
  <c r="Q131" i="65"/>
  <c r="DX131" i="65" s="1"/>
  <c r="O131" i="65"/>
  <c r="N131" i="65"/>
  <c r="M131" i="65"/>
  <c r="L131" i="65"/>
  <c r="K131" i="65"/>
  <c r="J131" i="65"/>
  <c r="I131" i="65"/>
  <c r="H131" i="65"/>
  <c r="G131" i="65"/>
  <c r="F131" i="65"/>
  <c r="E131" i="65"/>
  <c r="ER130" i="65"/>
  <c r="EQ130" i="65"/>
  <c r="EP130" i="65"/>
  <c r="EK130" i="65"/>
  <c r="EJ130" i="65"/>
  <c r="EI130" i="65"/>
  <c r="DU130" i="65"/>
  <c r="DT130" i="65"/>
  <c r="DS130" i="65"/>
  <c r="DR130" i="65"/>
  <c r="DQ130" i="65"/>
  <c r="DP130" i="65"/>
  <c r="DO130" i="65"/>
  <c r="DN130" i="65"/>
  <c r="DM130" i="65"/>
  <c r="DL130" i="65"/>
  <c r="DK130" i="65"/>
  <c r="DJ130" i="65"/>
  <c r="DI130" i="65"/>
  <c r="DH130" i="65"/>
  <c r="DG130" i="65"/>
  <c r="DF130" i="65"/>
  <c r="DE130" i="65"/>
  <c r="DD130" i="65"/>
  <c r="DC130" i="65"/>
  <c r="DB130" i="65"/>
  <c r="DA130" i="65"/>
  <c r="CZ130" i="65"/>
  <c r="CY130" i="65"/>
  <c r="CX130" i="65"/>
  <c r="CW130" i="65"/>
  <c r="CV130" i="65"/>
  <c r="CU130" i="65"/>
  <c r="CT130" i="65"/>
  <c r="CS130" i="65"/>
  <c r="CR130" i="65"/>
  <c r="CQ130" i="65"/>
  <c r="CP130" i="65"/>
  <c r="CO130" i="65"/>
  <c r="CN130" i="65"/>
  <c r="CM130" i="65"/>
  <c r="CL130" i="65"/>
  <c r="CK130" i="65"/>
  <c r="CJ130" i="65"/>
  <c r="CI130" i="65"/>
  <c r="CH130" i="65"/>
  <c r="CG130" i="65"/>
  <c r="CF130" i="65"/>
  <c r="CE130" i="65"/>
  <c r="CD130" i="65"/>
  <c r="CC130" i="65"/>
  <c r="CB130" i="65"/>
  <c r="CA130" i="65"/>
  <c r="BZ130" i="65"/>
  <c r="BY130" i="65"/>
  <c r="BX130" i="65"/>
  <c r="BW130" i="65"/>
  <c r="BV130" i="65"/>
  <c r="BU130" i="65"/>
  <c r="BT130" i="65"/>
  <c r="BS130" i="65"/>
  <c r="BR130" i="65"/>
  <c r="BQ130" i="65"/>
  <c r="BP130" i="65"/>
  <c r="BO130" i="65"/>
  <c r="BN130" i="65"/>
  <c r="BM130" i="65"/>
  <c r="BL130" i="65"/>
  <c r="BK130" i="65"/>
  <c r="BJ130" i="65"/>
  <c r="BI130" i="65"/>
  <c r="BH130" i="65"/>
  <c r="BG130" i="65"/>
  <c r="BF130" i="65"/>
  <c r="BE130" i="65"/>
  <c r="BD130" i="65"/>
  <c r="BC130" i="65"/>
  <c r="BB130" i="65"/>
  <c r="BA130" i="65"/>
  <c r="AZ130" i="65"/>
  <c r="AY130" i="65"/>
  <c r="AX130" i="65"/>
  <c r="AW130" i="65"/>
  <c r="AV130" i="65"/>
  <c r="AU130" i="65"/>
  <c r="AT130" i="65"/>
  <c r="AS130" i="65"/>
  <c r="AR130" i="65"/>
  <c r="AQ130" i="65"/>
  <c r="AP130" i="65"/>
  <c r="AO130" i="65"/>
  <c r="AN130" i="65"/>
  <c r="AM130" i="65"/>
  <c r="AL130" i="65"/>
  <c r="AK130" i="65"/>
  <c r="AJ130" i="65"/>
  <c r="AI130" i="65"/>
  <c r="AH130" i="65"/>
  <c r="AG130" i="65"/>
  <c r="AF130" i="65"/>
  <c r="AE130" i="65"/>
  <c r="AD130" i="65"/>
  <c r="AC130" i="65"/>
  <c r="AB130" i="65"/>
  <c r="Z130" i="65"/>
  <c r="Y130" i="65"/>
  <c r="EF130" i="65" s="1"/>
  <c r="X130" i="65"/>
  <c r="W130" i="65"/>
  <c r="V130" i="65"/>
  <c r="EC130" i="65" s="1"/>
  <c r="U130" i="65"/>
  <c r="EB130" i="65" s="1"/>
  <c r="T130" i="65"/>
  <c r="EA130" i="65" s="1"/>
  <c r="S130" i="65"/>
  <c r="R130" i="65"/>
  <c r="Q130" i="65"/>
  <c r="DX130" i="65" s="1"/>
  <c r="O130" i="65"/>
  <c r="N130" i="65"/>
  <c r="M130" i="65"/>
  <c r="L130" i="65"/>
  <c r="K130" i="65"/>
  <c r="J130" i="65"/>
  <c r="I130" i="65"/>
  <c r="H130" i="65"/>
  <c r="G130" i="65"/>
  <c r="F130" i="65"/>
  <c r="E130" i="65"/>
  <c r="EQ129" i="65"/>
  <c r="EP129" i="65"/>
  <c r="EO129" i="65"/>
  <c r="EJ129" i="65"/>
  <c r="EI129" i="65"/>
  <c r="EH129" i="65"/>
  <c r="DU129" i="65"/>
  <c r="DT129" i="65"/>
  <c r="DS129" i="65"/>
  <c r="DR129" i="65"/>
  <c r="DQ129" i="65"/>
  <c r="DP129" i="65"/>
  <c r="DO129" i="65"/>
  <c r="DN129" i="65"/>
  <c r="DM129" i="65"/>
  <c r="DL129" i="65"/>
  <c r="DK129" i="65"/>
  <c r="DJ129" i="65"/>
  <c r="DI129" i="65"/>
  <c r="DH129" i="65"/>
  <c r="DG129" i="65"/>
  <c r="DF129" i="65"/>
  <c r="DE129" i="65"/>
  <c r="DD129" i="65"/>
  <c r="DC129" i="65"/>
  <c r="DB129" i="65"/>
  <c r="DA129" i="65"/>
  <c r="CZ129" i="65"/>
  <c r="CY129" i="65"/>
  <c r="CX129" i="65"/>
  <c r="CW129" i="65"/>
  <c r="CV129" i="65"/>
  <c r="CU129" i="65"/>
  <c r="CT129" i="65"/>
  <c r="CS129" i="65"/>
  <c r="CR129" i="65"/>
  <c r="CQ129" i="65"/>
  <c r="CP129" i="65"/>
  <c r="CO129" i="65"/>
  <c r="CN129" i="65"/>
  <c r="CM129" i="65"/>
  <c r="CL129" i="65"/>
  <c r="CK129" i="65"/>
  <c r="CJ129" i="65"/>
  <c r="CI129" i="65"/>
  <c r="CH129" i="65"/>
  <c r="CG129" i="65"/>
  <c r="CF129" i="65"/>
  <c r="CE129" i="65"/>
  <c r="CD129" i="65"/>
  <c r="CC129" i="65"/>
  <c r="CB129" i="65"/>
  <c r="CA129" i="65"/>
  <c r="BZ129" i="65"/>
  <c r="BY129" i="65"/>
  <c r="BX129" i="65"/>
  <c r="BW129" i="65"/>
  <c r="BV129" i="65"/>
  <c r="BU129" i="65"/>
  <c r="BT129" i="65"/>
  <c r="BS129" i="65"/>
  <c r="BR129" i="65"/>
  <c r="BQ129" i="65"/>
  <c r="BP129" i="65"/>
  <c r="BO129" i="65"/>
  <c r="BN129" i="65"/>
  <c r="BM129" i="65"/>
  <c r="BL129" i="65"/>
  <c r="BK129" i="65"/>
  <c r="BJ129" i="65"/>
  <c r="BI129" i="65"/>
  <c r="BH129" i="65"/>
  <c r="BG129" i="65"/>
  <c r="BF129" i="65"/>
  <c r="BE129" i="65"/>
  <c r="BD129" i="65"/>
  <c r="BC129" i="65"/>
  <c r="BB129" i="65"/>
  <c r="BA129" i="65"/>
  <c r="AZ129" i="65"/>
  <c r="AY129" i="65"/>
  <c r="AX129" i="65"/>
  <c r="AW129" i="65"/>
  <c r="AV129" i="65"/>
  <c r="AU129" i="65"/>
  <c r="AT129" i="65"/>
  <c r="AS129" i="65"/>
  <c r="AR129" i="65"/>
  <c r="AQ129" i="65"/>
  <c r="AP129" i="65"/>
  <c r="AO129" i="65"/>
  <c r="AN129" i="65"/>
  <c r="AM129" i="65"/>
  <c r="AL129" i="65"/>
  <c r="AK129" i="65"/>
  <c r="AJ129" i="65"/>
  <c r="AI129" i="65"/>
  <c r="AH129" i="65"/>
  <c r="AG129" i="65"/>
  <c r="AF129" i="65"/>
  <c r="AE129" i="65"/>
  <c r="AD129" i="65"/>
  <c r="AC129" i="65"/>
  <c r="AB129" i="65"/>
  <c r="Z129" i="65"/>
  <c r="Y129" i="65"/>
  <c r="X129" i="65"/>
  <c r="W129" i="65"/>
  <c r="V129" i="65"/>
  <c r="U129" i="65"/>
  <c r="EB129" i="65" s="1"/>
  <c r="T129" i="65"/>
  <c r="EA129" i="65" s="1"/>
  <c r="S129" i="65"/>
  <c r="DZ129" i="65" s="1"/>
  <c r="R129" i="65"/>
  <c r="Q129" i="65"/>
  <c r="O129" i="65"/>
  <c r="N129" i="65"/>
  <c r="M129" i="65"/>
  <c r="L129" i="65"/>
  <c r="K129" i="65"/>
  <c r="J129" i="65"/>
  <c r="I129" i="65"/>
  <c r="H129" i="65"/>
  <c r="G129" i="65"/>
  <c r="F129" i="65"/>
  <c r="E129" i="65"/>
  <c r="EP128" i="65"/>
  <c r="EO128" i="65"/>
  <c r="EN128" i="65"/>
  <c r="EI128" i="65"/>
  <c r="EH128" i="65"/>
  <c r="EG128" i="65"/>
  <c r="DU128" i="65"/>
  <c r="DT128" i="65"/>
  <c r="DS128" i="65"/>
  <c r="DR128" i="65"/>
  <c r="DQ128" i="65"/>
  <c r="DP128" i="65"/>
  <c r="DO128" i="65"/>
  <c r="DN128" i="65"/>
  <c r="DM128" i="65"/>
  <c r="DL128" i="65"/>
  <c r="DK128" i="65"/>
  <c r="DJ128" i="65"/>
  <c r="DI128" i="65"/>
  <c r="DH128" i="65"/>
  <c r="DG128" i="65"/>
  <c r="DF128" i="65"/>
  <c r="DE128" i="65"/>
  <c r="DD128" i="65"/>
  <c r="DC128" i="65"/>
  <c r="DB128" i="65"/>
  <c r="DA128" i="65"/>
  <c r="CZ128" i="65"/>
  <c r="CY128" i="65"/>
  <c r="CX128" i="65"/>
  <c r="CW128" i="65"/>
  <c r="CV128" i="65"/>
  <c r="CU128" i="65"/>
  <c r="CT128" i="65"/>
  <c r="CS128" i="65"/>
  <c r="CR128" i="65"/>
  <c r="CQ128" i="65"/>
  <c r="CP128" i="65"/>
  <c r="CO128" i="65"/>
  <c r="CN128" i="65"/>
  <c r="CM128" i="65"/>
  <c r="CL128" i="65"/>
  <c r="CK128" i="65"/>
  <c r="CJ128" i="65"/>
  <c r="CI128" i="65"/>
  <c r="CH128" i="65"/>
  <c r="CG128" i="65"/>
  <c r="CF128" i="65"/>
  <c r="CE128" i="65"/>
  <c r="CD128" i="65"/>
  <c r="CC128" i="65"/>
  <c r="CB128" i="65"/>
  <c r="CA128" i="65"/>
  <c r="BZ128" i="65"/>
  <c r="BY128" i="65"/>
  <c r="BX128" i="65"/>
  <c r="BW128" i="65"/>
  <c r="BV128" i="65"/>
  <c r="BU128" i="65"/>
  <c r="BT128" i="65"/>
  <c r="BS128" i="65"/>
  <c r="BR128" i="65"/>
  <c r="BQ128" i="65"/>
  <c r="BP128" i="65"/>
  <c r="BO128" i="65"/>
  <c r="BN128" i="65"/>
  <c r="BM128" i="65"/>
  <c r="BL128" i="65"/>
  <c r="BK128" i="65"/>
  <c r="BJ128" i="65"/>
  <c r="BI128" i="65"/>
  <c r="BH128" i="65"/>
  <c r="BG128" i="65"/>
  <c r="BF128" i="65"/>
  <c r="BE128" i="65"/>
  <c r="BD128" i="65"/>
  <c r="BC128" i="65"/>
  <c r="BB128" i="65"/>
  <c r="BA128" i="65"/>
  <c r="AZ128" i="65"/>
  <c r="AY128" i="65"/>
  <c r="AX128" i="65"/>
  <c r="AW128" i="65"/>
  <c r="AV128" i="65"/>
  <c r="AU128" i="65"/>
  <c r="AT128" i="65"/>
  <c r="AS128" i="65"/>
  <c r="AR128" i="65"/>
  <c r="AQ128" i="65"/>
  <c r="AP128" i="65"/>
  <c r="AO128" i="65"/>
  <c r="AN128" i="65"/>
  <c r="AM128" i="65"/>
  <c r="AL128" i="65"/>
  <c r="AK128" i="65"/>
  <c r="AJ128" i="65"/>
  <c r="AI128" i="65"/>
  <c r="AH128" i="65"/>
  <c r="AG128" i="65"/>
  <c r="AF128" i="65"/>
  <c r="AE128" i="65"/>
  <c r="AD128" i="65"/>
  <c r="AC128" i="65"/>
  <c r="AB128" i="65"/>
  <c r="Z128" i="65"/>
  <c r="Y128" i="65"/>
  <c r="X128" i="65"/>
  <c r="W128" i="65"/>
  <c r="V128" i="65"/>
  <c r="U128" i="65"/>
  <c r="T128" i="65"/>
  <c r="EA128" i="65" s="1"/>
  <c r="S128" i="65"/>
  <c r="DZ128" i="65" s="1"/>
  <c r="R128" i="65"/>
  <c r="DY128" i="65" s="1"/>
  <c r="Q128" i="65"/>
  <c r="O128" i="65"/>
  <c r="N128" i="65"/>
  <c r="M128" i="65"/>
  <c r="L128" i="65"/>
  <c r="K128" i="65"/>
  <c r="J128" i="65"/>
  <c r="I128" i="65"/>
  <c r="H128" i="65"/>
  <c r="G128" i="65"/>
  <c r="F128" i="65"/>
  <c r="E128" i="65"/>
  <c r="EO127" i="65"/>
  <c r="EN127" i="65"/>
  <c r="EM127" i="65"/>
  <c r="EH127" i="65"/>
  <c r="EF127" i="65"/>
  <c r="DU127" i="65"/>
  <c r="DT127" i="65"/>
  <c r="DS127" i="65"/>
  <c r="DR127" i="65"/>
  <c r="DQ127" i="65"/>
  <c r="DP127" i="65"/>
  <c r="DO127" i="65"/>
  <c r="DN127" i="65"/>
  <c r="DM127" i="65"/>
  <c r="DL127" i="65"/>
  <c r="DK127" i="65"/>
  <c r="DJ127" i="65"/>
  <c r="DI127" i="65"/>
  <c r="DH127" i="65"/>
  <c r="DG127" i="65"/>
  <c r="DF127" i="65"/>
  <c r="DE127" i="65"/>
  <c r="DD127" i="65"/>
  <c r="DC127" i="65"/>
  <c r="DB127" i="65"/>
  <c r="DA127" i="65"/>
  <c r="CZ127" i="65"/>
  <c r="CY127" i="65"/>
  <c r="CX127" i="65"/>
  <c r="CW127" i="65"/>
  <c r="CV127" i="65"/>
  <c r="CU127" i="65"/>
  <c r="CT127" i="65"/>
  <c r="CS127" i="65"/>
  <c r="CR127" i="65"/>
  <c r="CQ127" i="65"/>
  <c r="CP127" i="65"/>
  <c r="CO127" i="65"/>
  <c r="CN127" i="65"/>
  <c r="CM127" i="65"/>
  <c r="CL127" i="65"/>
  <c r="CK127" i="65"/>
  <c r="CJ127" i="65"/>
  <c r="CI127" i="65"/>
  <c r="CH127" i="65"/>
  <c r="CG127" i="65"/>
  <c r="CF127" i="65"/>
  <c r="CE127" i="65"/>
  <c r="CD127" i="65"/>
  <c r="CC127" i="65"/>
  <c r="CB127" i="65"/>
  <c r="CA127" i="65"/>
  <c r="BZ127" i="65"/>
  <c r="BY127" i="65"/>
  <c r="BX127" i="65"/>
  <c r="BW127" i="65"/>
  <c r="BV127" i="65"/>
  <c r="BU127" i="65"/>
  <c r="BT127" i="65"/>
  <c r="BS127" i="65"/>
  <c r="BR127" i="65"/>
  <c r="BQ127" i="65"/>
  <c r="BP127" i="65"/>
  <c r="BO127" i="65"/>
  <c r="BN127" i="65"/>
  <c r="BM127" i="65"/>
  <c r="BL127" i="65"/>
  <c r="BK127" i="65"/>
  <c r="BJ127" i="65"/>
  <c r="BI127" i="65"/>
  <c r="BH127" i="65"/>
  <c r="BG127" i="65"/>
  <c r="BF127" i="65"/>
  <c r="BE127" i="65"/>
  <c r="BD127" i="65"/>
  <c r="BC127" i="65"/>
  <c r="BB127" i="65"/>
  <c r="BA127" i="65"/>
  <c r="AZ127" i="65"/>
  <c r="AY127" i="65"/>
  <c r="AX127" i="65"/>
  <c r="AW127" i="65"/>
  <c r="AV127" i="65"/>
  <c r="AU127" i="65"/>
  <c r="AT127" i="65"/>
  <c r="AS127" i="65"/>
  <c r="AR127" i="65"/>
  <c r="AQ127" i="65"/>
  <c r="AP127" i="65"/>
  <c r="AO127" i="65"/>
  <c r="AN127" i="65"/>
  <c r="AM127" i="65"/>
  <c r="AL127" i="65"/>
  <c r="AK127" i="65"/>
  <c r="AJ127" i="65"/>
  <c r="AI127" i="65"/>
  <c r="AH127" i="65"/>
  <c r="AG127" i="65"/>
  <c r="AF127" i="65"/>
  <c r="AE127" i="65"/>
  <c r="AD127" i="65"/>
  <c r="AC127" i="65"/>
  <c r="AB127" i="65"/>
  <c r="Z127" i="65"/>
  <c r="Y127" i="65"/>
  <c r="X127" i="65"/>
  <c r="W127" i="65"/>
  <c r="V127" i="65"/>
  <c r="U127" i="65"/>
  <c r="T127" i="65"/>
  <c r="S127" i="65"/>
  <c r="DZ127" i="65" s="1"/>
  <c r="R127" i="65"/>
  <c r="DY127" i="65" s="1"/>
  <c r="Q127" i="65"/>
  <c r="DX127" i="65" s="1"/>
  <c r="O127" i="65"/>
  <c r="N127" i="65"/>
  <c r="M127" i="65"/>
  <c r="L127" i="65"/>
  <c r="K127" i="65"/>
  <c r="J127" i="65"/>
  <c r="I127" i="65"/>
  <c r="H127" i="65"/>
  <c r="G127" i="65"/>
  <c r="F127" i="65"/>
  <c r="E127" i="65"/>
  <c r="EN126" i="65"/>
  <c r="EM126" i="65"/>
  <c r="EL126" i="65"/>
  <c r="EE126" i="65"/>
  <c r="DU126" i="65"/>
  <c r="DT126" i="65"/>
  <c r="DS126" i="65"/>
  <c r="DR126" i="65"/>
  <c r="DQ126" i="65"/>
  <c r="DP126" i="65"/>
  <c r="DO126" i="65"/>
  <c r="DN126" i="65"/>
  <c r="DM126" i="65"/>
  <c r="DL126" i="65"/>
  <c r="DK126" i="65"/>
  <c r="DJ126" i="65"/>
  <c r="DI126" i="65"/>
  <c r="DH126" i="65"/>
  <c r="DG126" i="65"/>
  <c r="DF126" i="65"/>
  <c r="DE126" i="65"/>
  <c r="DD126" i="65"/>
  <c r="DC126" i="65"/>
  <c r="DB126" i="65"/>
  <c r="DA126" i="65"/>
  <c r="CZ126" i="65"/>
  <c r="CY126" i="65"/>
  <c r="CX126" i="65"/>
  <c r="CW126" i="65"/>
  <c r="CV126" i="65"/>
  <c r="CU126" i="65"/>
  <c r="CT126" i="65"/>
  <c r="CS126" i="65"/>
  <c r="CR126" i="65"/>
  <c r="CQ126" i="65"/>
  <c r="CP126" i="65"/>
  <c r="CO126" i="65"/>
  <c r="CN126" i="65"/>
  <c r="CM126" i="65"/>
  <c r="CL126" i="65"/>
  <c r="CK126" i="65"/>
  <c r="CJ126" i="65"/>
  <c r="CI126" i="65"/>
  <c r="CH126" i="65"/>
  <c r="CG126" i="65"/>
  <c r="CF126" i="65"/>
  <c r="CE126" i="65"/>
  <c r="CD126" i="65"/>
  <c r="CC126" i="65"/>
  <c r="CB126" i="65"/>
  <c r="CA126" i="65"/>
  <c r="BZ126" i="65"/>
  <c r="BY126" i="65"/>
  <c r="BX126" i="65"/>
  <c r="BW126" i="65"/>
  <c r="BV126" i="65"/>
  <c r="BU126" i="65"/>
  <c r="BT126" i="65"/>
  <c r="BS126" i="65"/>
  <c r="BR126" i="65"/>
  <c r="BQ126" i="65"/>
  <c r="BP126" i="65"/>
  <c r="BO126" i="65"/>
  <c r="BN126" i="65"/>
  <c r="BM126" i="65"/>
  <c r="BL126" i="65"/>
  <c r="BK126" i="65"/>
  <c r="BJ126" i="65"/>
  <c r="BI126" i="65"/>
  <c r="BH126" i="65"/>
  <c r="BG126" i="65"/>
  <c r="BF126" i="65"/>
  <c r="BE126" i="65"/>
  <c r="BD126" i="65"/>
  <c r="BC126" i="65"/>
  <c r="BB126" i="65"/>
  <c r="BA126" i="65"/>
  <c r="AZ126" i="65"/>
  <c r="AY126" i="65"/>
  <c r="AX126" i="65"/>
  <c r="AW126" i="65"/>
  <c r="AV126" i="65"/>
  <c r="AU126" i="65"/>
  <c r="AT126" i="65"/>
  <c r="AS126" i="65"/>
  <c r="AR126" i="65"/>
  <c r="AQ126" i="65"/>
  <c r="AP126" i="65"/>
  <c r="AO126" i="65"/>
  <c r="AN126" i="65"/>
  <c r="AM126" i="65"/>
  <c r="AL126" i="65"/>
  <c r="AK126" i="65"/>
  <c r="AJ126" i="65"/>
  <c r="AI126" i="65"/>
  <c r="AH126" i="65"/>
  <c r="AG126" i="65"/>
  <c r="AF126" i="65"/>
  <c r="AE126" i="65"/>
  <c r="AD126" i="65"/>
  <c r="AC126" i="65"/>
  <c r="AB126" i="65"/>
  <c r="Z126" i="65"/>
  <c r="Y126" i="65"/>
  <c r="EF126" i="65" s="1"/>
  <c r="X126" i="65"/>
  <c r="W126" i="65"/>
  <c r="V126" i="65"/>
  <c r="U126" i="65"/>
  <c r="T126" i="65"/>
  <c r="S126" i="65"/>
  <c r="R126" i="65"/>
  <c r="DY126" i="65" s="1"/>
  <c r="Q126" i="65"/>
  <c r="DX126" i="65" s="1"/>
  <c r="O126" i="65"/>
  <c r="N126" i="65"/>
  <c r="M126" i="65"/>
  <c r="L126" i="65"/>
  <c r="K126" i="65"/>
  <c r="J126" i="65"/>
  <c r="I126" i="65"/>
  <c r="H126" i="65"/>
  <c r="G126" i="65"/>
  <c r="F126" i="65"/>
  <c r="E126" i="65"/>
  <c r="EM125" i="65"/>
  <c r="EL125" i="65"/>
  <c r="EK125" i="65"/>
  <c r="ED125" i="65"/>
  <c r="DU125" i="65"/>
  <c r="DT125" i="65"/>
  <c r="DS125" i="65"/>
  <c r="DR125" i="65"/>
  <c r="DQ125" i="65"/>
  <c r="DP125" i="65"/>
  <c r="DO125" i="65"/>
  <c r="DN125" i="65"/>
  <c r="DM125" i="65"/>
  <c r="DL125" i="65"/>
  <c r="DK125" i="65"/>
  <c r="DJ125" i="65"/>
  <c r="DI125" i="65"/>
  <c r="DH125" i="65"/>
  <c r="DG125" i="65"/>
  <c r="DF125" i="65"/>
  <c r="DE125" i="65"/>
  <c r="DD125" i="65"/>
  <c r="DC125" i="65"/>
  <c r="DB125" i="65"/>
  <c r="DA125" i="65"/>
  <c r="CZ125" i="65"/>
  <c r="CY125" i="65"/>
  <c r="CX125" i="65"/>
  <c r="CW125" i="65"/>
  <c r="CV125" i="65"/>
  <c r="CU125" i="65"/>
  <c r="CT125" i="65"/>
  <c r="CS125" i="65"/>
  <c r="CR125" i="65"/>
  <c r="CQ125" i="65"/>
  <c r="CP125" i="65"/>
  <c r="CO125" i="65"/>
  <c r="CN125" i="65"/>
  <c r="CM125" i="65"/>
  <c r="CL125" i="65"/>
  <c r="CK125" i="65"/>
  <c r="CJ125" i="65"/>
  <c r="CI125" i="65"/>
  <c r="CH125" i="65"/>
  <c r="CG125" i="65"/>
  <c r="CF125" i="65"/>
  <c r="CE125" i="65"/>
  <c r="CD125" i="65"/>
  <c r="CC125" i="65"/>
  <c r="CB125" i="65"/>
  <c r="CA125" i="65"/>
  <c r="BZ125" i="65"/>
  <c r="BY125" i="65"/>
  <c r="BX125" i="65"/>
  <c r="BW125" i="65"/>
  <c r="BV125" i="65"/>
  <c r="BU125" i="65"/>
  <c r="BT125" i="65"/>
  <c r="BS125" i="65"/>
  <c r="BR125" i="65"/>
  <c r="BQ125" i="65"/>
  <c r="BP125" i="65"/>
  <c r="BO125" i="65"/>
  <c r="BN125" i="65"/>
  <c r="BM125" i="65"/>
  <c r="BL125" i="65"/>
  <c r="BK125" i="65"/>
  <c r="BJ125" i="65"/>
  <c r="BI125" i="65"/>
  <c r="BH125" i="65"/>
  <c r="BG125" i="65"/>
  <c r="BF125" i="65"/>
  <c r="BE125" i="65"/>
  <c r="BD125" i="65"/>
  <c r="BC125" i="65"/>
  <c r="BB125" i="65"/>
  <c r="BA125" i="65"/>
  <c r="AZ125" i="65"/>
  <c r="AY125" i="65"/>
  <c r="AX125" i="65"/>
  <c r="AW125" i="65"/>
  <c r="AV125" i="65"/>
  <c r="AU125" i="65"/>
  <c r="AT125" i="65"/>
  <c r="AS125" i="65"/>
  <c r="AR125" i="65"/>
  <c r="AQ125" i="65"/>
  <c r="AP125" i="65"/>
  <c r="AO125" i="65"/>
  <c r="AN125" i="65"/>
  <c r="AM125" i="65"/>
  <c r="AL125" i="65"/>
  <c r="AK125" i="65"/>
  <c r="AJ125" i="65"/>
  <c r="AI125" i="65"/>
  <c r="AH125" i="65"/>
  <c r="AG125" i="65"/>
  <c r="AF125" i="65"/>
  <c r="AE125" i="65"/>
  <c r="AD125" i="65"/>
  <c r="AC125" i="65"/>
  <c r="AB125" i="65"/>
  <c r="Z125" i="65"/>
  <c r="Y125" i="65"/>
  <c r="X125" i="65"/>
  <c r="EE125" i="65" s="1"/>
  <c r="W125" i="65"/>
  <c r="V125" i="65"/>
  <c r="U125" i="65"/>
  <c r="T125" i="65"/>
  <c r="S125" i="65"/>
  <c r="R125" i="65"/>
  <c r="Q125" i="65"/>
  <c r="DX125" i="65" s="1"/>
  <c r="O125" i="65"/>
  <c r="N125" i="65"/>
  <c r="M125" i="65"/>
  <c r="L125" i="65"/>
  <c r="K125" i="65"/>
  <c r="J125" i="65"/>
  <c r="I125" i="65"/>
  <c r="H125" i="65"/>
  <c r="G125" i="65"/>
  <c r="F125" i="65"/>
  <c r="E125" i="65"/>
  <c r="EL124" i="65"/>
  <c r="EK124" i="65"/>
  <c r="EJ124" i="65"/>
  <c r="EC124" i="65"/>
  <c r="DU124" i="65"/>
  <c r="DT124" i="65"/>
  <c r="DS124" i="65"/>
  <c r="DR124" i="65"/>
  <c r="DQ124" i="65"/>
  <c r="DP124" i="65"/>
  <c r="DO124" i="65"/>
  <c r="DN124" i="65"/>
  <c r="DM124" i="65"/>
  <c r="DL124" i="65"/>
  <c r="DK124" i="65"/>
  <c r="DJ124" i="65"/>
  <c r="DI124" i="65"/>
  <c r="DH124" i="65"/>
  <c r="DG124" i="65"/>
  <c r="DF124" i="65"/>
  <c r="DE124" i="65"/>
  <c r="DD124" i="65"/>
  <c r="DC124" i="65"/>
  <c r="DB124" i="65"/>
  <c r="DA124" i="65"/>
  <c r="CZ124" i="65"/>
  <c r="CY124" i="65"/>
  <c r="CX124" i="65"/>
  <c r="CW124" i="65"/>
  <c r="CV124" i="65"/>
  <c r="CU124" i="65"/>
  <c r="CT124" i="65"/>
  <c r="CS124" i="65"/>
  <c r="CR124" i="65"/>
  <c r="CQ124" i="65"/>
  <c r="CP124" i="65"/>
  <c r="CO124" i="65"/>
  <c r="CN124" i="65"/>
  <c r="CM124" i="65"/>
  <c r="CL124" i="65"/>
  <c r="CK124" i="65"/>
  <c r="CJ124" i="65"/>
  <c r="CI124" i="65"/>
  <c r="CH124" i="65"/>
  <c r="CG124" i="65"/>
  <c r="CF124" i="65"/>
  <c r="CE124" i="65"/>
  <c r="CD124" i="65"/>
  <c r="CC124" i="65"/>
  <c r="CB124" i="65"/>
  <c r="CA124" i="65"/>
  <c r="BZ124" i="65"/>
  <c r="BY124" i="65"/>
  <c r="BX124" i="65"/>
  <c r="BW124" i="65"/>
  <c r="BV124" i="65"/>
  <c r="BU124" i="65"/>
  <c r="BT124" i="65"/>
  <c r="BS124" i="65"/>
  <c r="BR124" i="65"/>
  <c r="BQ124" i="65"/>
  <c r="BP124" i="65"/>
  <c r="BO124" i="65"/>
  <c r="BN124" i="65"/>
  <c r="BM124" i="65"/>
  <c r="BL124" i="65"/>
  <c r="BK124" i="65"/>
  <c r="BJ124" i="65"/>
  <c r="BI124" i="65"/>
  <c r="BH124" i="65"/>
  <c r="BG124" i="65"/>
  <c r="BF124" i="65"/>
  <c r="BE124" i="65"/>
  <c r="BD124" i="65"/>
  <c r="BC124" i="65"/>
  <c r="BB124" i="65"/>
  <c r="BA124" i="65"/>
  <c r="AZ124" i="65"/>
  <c r="AY124" i="65"/>
  <c r="AX124" i="65"/>
  <c r="AW124" i="65"/>
  <c r="AV124" i="65"/>
  <c r="AU124" i="65"/>
  <c r="AT124" i="65"/>
  <c r="AS124" i="65"/>
  <c r="AR124" i="65"/>
  <c r="AQ124" i="65"/>
  <c r="AP124" i="65"/>
  <c r="AO124" i="65"/>
  <c r="AN124" i="65"/>
  <c r="AM124" i="65"/>
  <c r="AL124" i="65"/>
  <c r="AK124" i="65"/>
  <c r="AJ124" i="65"/>
  <c r="AI124" i="65"/>
  <c r="AH124" i="65"/>
  <c r="AG124" i="65"/>
  <c r="AF124" i="65"/>
  <c r="AE124" i="65"/>
  <c r="AD124" i="65"/>
  <c r="AC124" i="65"/>
  <c r="AB124" i="65"/>
  <c r="Z124" i="65"/>
  <c r="Y124" i="65"/>
  <c r="X124" i="65"/>
  <c r="W124" i="65"/>
  <c r="V124" i="65"/>
  <c r="U124" i="65"/>
  <c r="T124" i="65"/>
  <c r="S124" i="65"/>
  <c r="R124" i="65"/>
  <c r="Q124" i="65"/>
  <c r="O124" i="65"/>
  <c r="N124" i="65"/>
  <c r="M124" i="65"/>
  <c r="L124" i="65"/>
  <c r="K124" i="65"/>
  <c r="J124" i="65"/>
  <c r="I124" i="65"/>
  <c r="H124" i="65"/>
  <c r="G124" i="65"/>
  <c r="F124" i="65"/>
  <c r="E124" i="65"/>
  <c r="ER123" i="65"/>
  <c r="EK123" i="65"/>
  <c r="EJ123" i="65"/>
  <c r="EI123" i="65"/>
  <c r="EB123" i="65"/>
  <c r="DU123" i="65"/>
  <c r="DT123" i="65"/>
  <c r="DS123" i="65"/>
  <c r="DR123" i="65"/>
  <c r="DQ123" i="65"/>
  <c r="DP123" i="65"/>
  <c r="DO123" i="65"/>
  <c r="DN123" i="65"/>
  <c r="DM123" i="65"/>
  <c r="DL123" i="65"/>
  <c r="DK123" i="65"/>
  <c r="DJ123" i="65"/>
  <c r="DI123" i="65"/>
  <c r="DH123" i="65"/>
  <c r="DG123" i="65"/>
  <c r="DF123" i="65"/>
  <c r="DE123" i="65"/>
  <c r="DD123" i="65"/>
  <c r="DC123" i="65"/>
  <c r="DB123" i="65"/>
  <c r="DA123" i="65"/>
  <c r="CZ123" i="65"/>
  <c r="CY123" i="65"/>
  <c r="CX123" i="65"/>
  <c r="CW123" i="65"/>
  <c r="CV123" i="65"/>
  <c r="CU123" i="65"/>
  <c r="CT123" i="65"/>
  <c r="CS123" i="65"/>
  <c r="CR123" i="65"/>
  <c r="CQ123" i="65"/>
  <c r="CP123" i="65"/>
  <c r="CO123" i="65"/>
  <c r="CN123" i="65"/>
  <c r="CM123" i="65"/>
  <c r="CL123" i="65"/>
  <c r="CK123" i="65"/>
  <c r="CJ123" i="65"/>
  <c r="CI123" i="65"/>
  <c r="CH123" i="65"/>
  <c r="CG123" i="65"/>
  <c r="CF123" i="65"/>
  <c r="CE123" i="65"/>
  <c r="CD123" i="65"/>
  <c r="CC123" i="65"/>
  <c r="CB123" i="65"/>
  <c r="CA123" i="65"/>
  <c r="BZ123" i="65"/>
  <c r="BY123" i="65"/>
  <c r="BX123" i="65"/>
  <c r="BW123" i="65"/>
  <c r="BV123" i="65"/>
  <c r="BU123" i="65"/>
  <c r="BT123" i="65"/>
  <c r="BS123" i="65"/>
  <c r="BR123" i="65"/>
  <c r="BQ123" i="65"/>
  <c r="BP123" i="65"/>
  <c r="BO123" i="65"/>
  <c r="BN123" i="65"/>
  <c r="BM123" i="65"/>
  <c r="BL123" i="65"/>
  <c r="BK123" i="65"/>
  <c r="BJ123" i="65"/>
  <c r="BI123" i="65"/>
  <c r="BH123" i="65"/>
  <c r="BG123" i="65"/>
  <c r="BF123" i="65"/>
  <c r="BE123" i="65"/>
  <c r="BD123" i="65"/>
  <c r="BC123" i="65"/>
  <c r="BB123" i="65"/>
  <c r="BA123" i="65"/>
  <c r="AZ123" i="65"/>
  <c r="AY123" i="65"/>
  <c r="AX123" i="65"/>
  <c r="AW123" i="65"/>
  <c r="AV123" i="65"/>
  <c r="AU123" i="65"/>
  <c r="AT123" i="65"/>
  <c r="AS123" i="65"/>
  <c r="AR123" i="65"/>
  <c r="AQ123" i="65"/>
  <c r="AP123" i="65"/>
  <c r="AO123" i="65"/>
  <c r="AN123" i="65"/>
  <c r="AM123" i="65"/>
  <c r="AL123" i="65"/>
  <c r="AK123" i="65"/>
  <c r="AJ123" i="65"/>
  <c r="AI123" i="65"/>
  <c r="AH123" i="65"/>
  <c r="AG123" i="65"/>
  <c r="AF123" i="65"/>
  <c r="AE123" i="65"/>
  <c r="AD123" i="65"/>
  <c r="AC123" i="65"/>
  <c r="AB123" i="65"/>
  <c r="Z123" i="65"/>
  <c r="EG123" i="65" s="1"/>
  <c r="Y123" i="65"/>
  <c r="X123" i="65"/>
  <c r="W123" i="65"/>
  <c r="V123" i="65"/>
  <c r="EC123" i="65" s="1"/>
  <c r="U123" i="65"/>
  <c r="T123" i="65"/>
  <c r="S123" i="65"/>
  <c r="R123" i="65"/>
  <c r="Q123" i="65"/>
  <c r="O123" i="65"/>
  <c r="N123" i="65"/>
  <c r="M123" i="65"/>
  <c r="L123" i="65"/>
  <c r="K123" i="65"/>
  <c r="J123" i="65"/>
  <c r="I123" i="65"/>
  <c r="H123" i="65"/>
  <c r="G123" i="65"/>
  <c r="F123" i="65"/>
  <c r="E123" i="65"/>
  <c r="EQ122" i="65"/>
  <c r="EJ122" i="65"/>
  <c r="EI122" i="65"/>
  <c r="EH122" i="65"/>
  <c r="EA122" i="65"/>
  <c r="DU122" i="65"/>
  <c r="DT122" i="65"/>
  <c r="DS122" i="65"/>
  <c r="DR122" i="65"/>
  <c r="DQ122" i="65"/>
  <c r="DP122" i="65"/>
  <c r="DO122" i="65"/>
  <c r="DN122" i="65"/>
  <c r="DM122" i="65"/>
  <c r="DL122" i="65"/>
  <c r="DK122" i="65"/>
  <c r="DJ122" i="65"/>
  <c r="DI122" i="65"/>
  <c r="DH122" i="65"/>
  <c r="DG122" i="65"/>
  <c r="DF122" i="65"/>
  <c r="DE122" i="65"/>
  <c r="DD122" i="65"/>
  <c r="DC122" i="65"/>
  <c r="DB122" i="65"/>
  <c r="DA122" i="65"/>
  <c r="CZ122" i="65"/>
  <c r="CY122" i="65"/>
  <c r="CX122" i="65"/>
  <c r="CW122" i="65"/>
  <c r="CV122" i="65"/>
  <c r="CU122" i="65"/>
  <c r="CT122" i="65"/>
  <c r="CS122" i="65"/>
  <c r="CR122" i="65"/>
  <c r="CQ122" i="65"/>
  <c r="CP122" i="65"/>
  <c r="CO122" i="65"/>
  <c r="CN122" i="65"/>
  <c r="CM122" i="65"/>
  <c r="CL122" i="65"/>
  <c r="CK122" i="65"/>
  <c r="CJ122" i="65"/>
  <c r="CI122" i="65"/>
  <c r="CH122" i="65"/>
  <c r="CG122" i="65"/>
  <c r="CF122" i="65"/>
  <c r="CE122" i="65"/>
  <c r="CD122" i="65"/>
  <c r="CC122" i="65"/>
  <c r="CB122" i="65"/>
  <c r="CA122" i="65"/>
  <c r="BZ122" i="65"/>
  <c r="BY122" i="65"/>
  <c r="BX122" i="65"/>
  <c r="BW122" i="65"/>
  <c r="BV122" i="65"/>
  <c r="BU122" i="65"/>
  <c r="BT122" i="65"/>
  <c r="BS122" i="65"/>
  <c r="BR122" i="65"/>
  <c r="BQ122" i="65"/>
  <c r="BP122" i="65"/>
  <c r="BO122" i="65"/>
  <c r="BN122" i="65"/>
  <c r="BM122" i="65"/>
  <c r="BL122" i="65"/>
  <c r="BK122" i="65"/>
  <c r="BJ122" i="65"/>
  <c r="BI122" i="65"/>
  <c r="BH122" i="65"/>
  <c r="BG122" i="65"/>
  <c r="BF122" i="65"/>
  <c r="BE122" i="65"/>
  <c r="BD122" i="65"/>
  <c r="BC122" i="65"/>
  <c r="BB122" i="65"/>
  <c r="BA122" i="65"/>
  <c r="AZ122" i="65"/>
  <c r="AY122" i="65"/>
  <c r="AX122" i="65"/>
  <c r="AW122" i="65"/>
  <c r="AV122" i="65"/>
  <c r="ER122" i="65" s="1"/>
  <c r="AU122" i="65"/>
  <c r="AT122" i="65"/>
  <c r="AS122" i="65"/>
  <c r="AR122" i="65"/>
  <c r="AQ122" i="65"/>
  <c r="AP122" i="65"/>
  <c r="AO122" i="65"/>
  <c r="AN122" i="65"/>
  <c r="AM122" i="65"/>
  <c r="AL122" i="65"/>
  <c r="AK122" i="65"/>
  <c r="AJ122" i="65"/>
  <c r="AI122" i="65"/>
  <c r="AH122" i="65"/>
  <c r="AG122" i="65"/>
  <c r="AF122" i="65"/>
  <c r="AE122" i="65"/>
  <c r="AD122" i="65"/>
  <c r="AC122" i="65"/>
  <c r="AB122" i="65"/>
  <c r="Z122" i="65"/>
  <c r="EG122" i="65" s="1"/>
  <c r="Y122" i="65"/>
  <c r="EF122" i="65" s="1"/>
  <c r="X122" i="65"/>
  <c r="W122" i="65"/>
  <c r="V122" i="65"/>
  <c r="U122" i="65"/>
  <c r="T122" i="65"/>
  <c r="S122" i="65"/>
  <c r="R122" i="65"/>
  <c r="Q122" i="65"/>
  <c r="O122" i="65"/>
  <c r="N122" i="65"/>
  <c r="M122" i="65"/>
  <c r="L122" i="65"/>
  <c r="K122" i="65"/>
  <c r="J122" i="65"/>
  <c r="I122" i="65"/>
  <c r="H122" i="65"/>
  <c r="G122" i="65"/>
  <c r="F122" i="65"/>
  <c r="E122" i="65"/>
  <c r="ER121" i="65"/>
  <c r="EP121" i="65"/>
  <c r="EI121" i="65"/>
  <c r="EH121" i="65"/>
  <c r="DZ121" i="65"/>
  <c r="DU121" i="65"/>
  <c r="DT121" i="65"/>
  <c r="DS121" i="65"/>
  <c r="DR121" i="65"/>
  <c r="DQ121" i="65"/>
  <c r="DP121" i="65"/>
  <c r="DO121" i="65"/>
  <c r="DN121" i="65"/>
  <c r="DM121" i="65"/>
  <c r="DL121" i="65"/>
  <c r="DK121" i="65"/>
  <c r="DJ121" i="65"/>
  <c r="DI121" i="65"/>
  <c r="DH121" i="65"/>
  <c r="DG121" i="65"/>
  <c r="DF121" i="65"/>
  <c r="DE121" i="65"/>
  <c r="DD121" i="65"/>
  <c r="DC121" i="65"/>
  <c r="DB121" i="65"/>
  <c r="DA121" i="65"/>
  <c r="CZ121" i="65"/>
  <c r="CY121" i="65"/>
  <c r="CX121" i="65"/>
  <c r="CW121" i="65"/>
  <c r="CV121" i="65"/>
  <c r="CU121" i="65"/>
  <c r="CT121" i="65"/>
  <c r="CS121" i="65"/>
  <c r="CR121" i="65"/>
  <c r="CQ121" i="65"/>
  <c r="CP121" i="65"/>
  <c r="CO121" i="65"/>
  <c r="CN121" i="65"/>
  <c r="CM121" i="65"/>
  <c r="CL121" i="65"/>
  <c r="CK121" i="65"/>
  <c r="CJ121" i="65"/>
  <c r="CI121" i="65"/>
  <c r="CH121" i="65"/>
  <c r="CG121" i="65"/>
  <c r="CF121" i="65"/>
  <c r="CE121" i="65"/>
  <c r="CD121" i="65"/>
  <c r="CC121" i="65"/>
  <c r="CB121" i="65"/>
  <c r="CA121" i="65"/>
  <c r="BZ121" i="65"/>
  <c r="BY121" i="65"/>
  <c r="BX121" i="65"/>
  <c r="BW121" i="65"/>
  <c r="BV121" i="65"/>
  <c r="BU121" i="65"/>
  <c r="BT121" i="65"/>
  <c r="BS121" i="65"/>
  <c r="BR121" i="65"/>
  <c r="BQ121" i="65"/>
  <c r="BP121" i="65"/>
  <c r="BO121" i="65"/>
  <c r="BN121" i="65"/>
  <c r="BM121" i="65"/>
  <c r="BL121" i="65"/>
  <c r="BK121" i="65"/>
  <c r="BJ121" i="65"/>
  <c r="BI121" i="65"/>
  <c r="BH121" i="65"/>
  <c r="BG121" i="65"/>
  <c r="BF121" i="65"/>
  <c r="BE121" i="65"/>
  <c r="BD121" i="65"/>
  <c r="ED121" i="65" s="1"/>
  <c r="BC121" i="65"/>
  <c r="BB121" i="65"/>
  <c r="BA121" i="65"/>
  <c r="AZ121" i="65"/>
  <c r="AY121" i="65"/>
  <c r="AX121" i="65"/>
  <c r="AW121" i="65"/>
  <c r="AV121" i="65"/>
  <c r="AU121" i="65"/>
  <c r="EQ121" i="65" s="1"/>
  <c r="AT121" i="65"/>
  <c r="AS121" i="65"/>
  <c r="AR121" i="65"/>
  <c r="AQ121" i="65"/>
  <c r="AP121" i="65"/>
  <c r="AO121" i="65"/>
  <c r="AN121" i="65"/>
  <c r="AM121" i="65"/>
  <c r="AL121" i="65"/>
  <c r="AK121" i="65"/>
  <c r="AJ121" i="65"/>
  <c r="AI121" i="65"/>
  <c r="AH121" i="65"/>
  <c r="AG121" i="65"/>
  <c r="AF121" i="65"/>
  <c r="AE121" i="65"/>
  <c r="AD121" i="65"/>
  <c r="AC121" i="65"/>
  <c r="AB121" i="65"/>
  <c r="Z121" i="65"/>
  <c r="Y121" i="65"/>
  <c r="X121" i="65"/>
  <c r="EE121" i="65" s="1"/>
  <c r="W121" i="65"/>
  <c r="V121" i="65"/>
  <c r="U121" i="65"/>
  <c r="T121" i="65"/>
  <c r="EA121" i="65" s="1"/>
  <c r="S121" i="65"/>
  <c r="R121" i="65"/>
  <c r="Q121" i="65"/>
  <c r="O121" i="65"/>
  <c r="N121" i="65"/>
  <c r="M121" i="65"/>
  <c r="L121" i="65"/>
  <c r="K121" i="65"/>
  <c r="J121" i="65"/>
  <c r="I121" i="65"/>
  <c r="H121" i="65"/>
  <c r="G121" i="65"/>
  <c r="F121" i="65"/>
  <c r="E121" i="65"/>
  <c r="EQ120" i="65"/>
  <c r="EO120" i="65"/>
  <c r="EH120" i="65"/>
  <c r="EG120" i="65"/>
  <c r="DU120" i="65"/>
  <c r="DT120" i="65"/>
  <c r="DS120" i="65"/>
  <c r="DR120" i="65"/>
  <c r="DQ120" i="65"/>
  <c r="DP120" i="65"/>
  <c r="DO120" i="65"/>
  <c r="DN120" i="65"/>
  <c r="DM120" i="65"/>
  <c r="DL120" i="65"/>
  <c r="DK120" i="65"/>
  <c r="DJ120" i="65"/>
  <c r="DI120" i="65"/>
  <c r="DH120" i="65"/>
  <c r="DG120" i="65"/>
  <c r="DF120" i="65"/>
  <c r="DE120" i="65"/>
  <c r="DD120" i="65"/>
  <c r="DC120" i="65"/>
  <c r="DB120" i="65"/>
  <c r="DA120" i="65"/>
  <c r="CZ120" i="65"/>
  <c r="CY120" i="65"/>
  <c r="CX120" i="65"/>
  <c r="CW120" i="65"/>
  <c r="CV120" i="65"/>
  <c r="CU120" i="65"/>
  <c r="CT120" i="65"/>
  <c r="CS120" i="65"/>
  <c r="CR120" i="65"/>
  <c r="CQ120" i="65"/>
  <c r="CP120" i="65"/>
  <c r="CO120" i="65"/>
  <c r="CN120" i="65"/>
  <c r="CM120" i="65"/>
  <c r="CL120" i="65"/>
  <c r="CK120" i="65"/>
  <c r="CJ120" i="65"/>
  <c r="CI120" i="65"/>
  <c r="CH120" i="65"/>
  <c r="CG120" i="65"/>
  <c r="CF120" i="65"/>
  <c r="CE120" i="65"/>
  <c r="CD120" i="65"/>
  <c r="CC120" i="65"/>
  <c r="CB120" i="65"/>
  <c r="CA120" i="65"/>
  <c r="BZ120" i="65"/>
  <c r="BY120" i="65"/>
  <c r="BX120" i="65"/>
  <c r="BW120" i="65"/>
  <c r="BV120" i="65"/>
  <c r="BU120" i="65"/>
  <c r="BT120" i="65"/>
  <c r="BS120" i="65"/>
  <c r="BR120" i="65"/>
  <c r="BQ120" i="65"/>
  <c r="BP120" i="65"/>
  <c r="BO120" i="65"/>
  <c r="BN120" i="65"/>
  <c r="BM120" i="65"/>
  <c r="BL120" i="65"/>
  <c r="BK120" i="65"/>
  <c r="BJ120" i="65"/>
  <c r="BI120" i="65"/>
  <c r="BH120" i="65"/>
  <c r="BG120" i="65"/>
  <c r="BF120" i="65"/>
  <c r="BE120" i="65"/>
  <c r="BD120" i="65"/>
  <c r="BC120" i="65"/>
  <c r="BB120" i="65"/>
  <c r="BA120" i="65"/>
  <c r="AZ120" i="65"/>
  <c r="AY120" i="65"/>
  <c r="AX120" i="65"/>
  <c r="AW120" i="65"/>
  <c r="AV120" i="65"/>
  <c r="AU120" i="65"/>
  <c r="AT120" i="65"/>
  <c r="EP120" i="65" s="1"/>
  <c r="AS120" i="65"/>
  <c r="AR120" i="65"/>
  <c r="AQ120" i="65"/>
  <c r="AP120" i="65"/>
  <c r="AO120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AC120" i="65"/>
  <c r="AB120" i="65"/>
  <c r="Z120" i="65"/>
  <c r="Y120" i="65"/>
  <c r="X120" i="65"/>
  <c r="W120" i="65"/>
  <c r="V120" i="65"/>
  <c r="U120" i="65"/>
  <c r="T120" i="65"/>
  <c r="S120" i="65"/>
  <c r="R120" i="65"/>
  <c r="Q120" i="65"/>
  <c r="O120" i="65"/>
  <c r="N120" i="65"/>
  <c r="M120" i="65"/>
  <c r="L120" i="65"/>
  <c r="K120" i="65"/>
  <c r="J120" i="65"/>
  <c r="I120" i="65"/>
  <c r="H120" i="65"/>
  <c r="G120" i="65"/>
  <c r="F120" i="65"/>
  <c r="E120" i="65"/>
  <c r="ER119" i="65"/>
  <c r="EQ119" i="65"/>
  <c r="EP119" i="65"/>
  <c r="EN119" i="65"/>
  <c r="EH119" i="65"/>
  <c r="DU119" i="65"/>
  <c r="DT119" i="65"/>
  <c r="DS119" i="65"/>
  <c r="DR119" i="65"/>
  <c r="DQ119" i="65"/>
  <c r="DP119" i="65"/>
  <c r="DO119" i="65"/>
  <c r="DN119" i="65"/>
  <c r="DM119" i="65"/>
  <c r="DL119" i="65"/>
  <c r="DK119" i="65"/>
  <c r="DJ119" i="65"/>
  <c r="DI119" i="65"/>
  <c r="DH119" i="65"/>
  <c r="DG119" i="65"/>
  <c r="DF119" i="65"/>
  <c r="DE119" i="65"/>
  <c r="DD119" i="65"/>
  <c r="DC119" i="65"/>
  <c r="DB119" i="65"/>
  <c r="DA119" i="65"/>
  <c r="CZ119" i="65"/>
  <c r="CY119" i="65"/>
  <c r="CX119" i="65"/>
  <c r="CW119" i="65"/>
  <c r="CV119" i="65"/>
  <c r="CU119" i="65"/>
  <c r="CT119" i="65"/>
  <c r="CS119" i="65"/>
  <c r="CR119" i="65"/>
  <c r="CQ119" i="65"/>
  <c r="CP119" i="65"/>
  <c r="CO119" i="65"/>
  <c r="CN119" i="65"/>
  <c r="CM119" i="65"/>
  <c r="CL119" i="65"/>
  <c r="CK119" i="65"/>
  <c r="CJ119" i="65"/>
  <c r="CI119" i="65"/>
  <c r="CH119" i="65"/>
  <c r="CG119" i="65"/>
  <c r="CF119" i="65"/>
  <c r="CE119" i="65"/>
  <c r="CD119" i="65"/>
  <c r="CC119" i="65"/>
  <c r="CB119" i="65"/>
  <c r="CA119" i="65"/>
  <c r="BZ119" i="65"/>
  <c r="BY119" i="65"/>
  <c r="BX119" i="65"/>
  <c r="BW119" i="65"/>
  <c r="BV119" i="65"/>
  <c r="BU119" i="65"/>
  <c r="BT119" i="65"/>
  <c r="BS119" i="65"/>
  <c r="BR119" i="65"/>
  <c r="BQ119" i="65"/>
  <c r="BP119" i="65"/>
  <c r="BO119" i="65"/>
  <c r="BN119" i="65"/>
  <c r="BM119" i="65"/>
  <c r="BL119" i="65"/>
  <c r="BK119" i="65"/>
  <c r="BJ119" i="65"/>
  <c r="BI119" i="65"/>
  <c r="BH119" i="65"/>
  <c r="BG119" i="65"/>
  <c r="BF119" i="65"/>
  <c r="BE119" i="65"/>
  <c r="BD119" i="65"/>
  <c r="BC119" i="65"/>
  <c r="BB119" i="65"/>
  <c r="BA119" i="65"/>
  <c r="AZ119" i="65"/>
  <c r="AY119" i="65"/>
  <c r="AX119" i="65"/>
  <c r="AW119" i="65"/>
  <c r="AV119" i="65"/>
  <c r="AU119" i="65"/>
  <c r="AT119" i="65"/>
  <c r="AS119" i="65"/>
  <c r="EO119" i="65" s="1"/>
  <c r="AR119" i="65"/>
  <c r="AQ119" i="65"/>
  <c r="AP119" i="65"/>
  <c r="AO119" i="65"/>
  <c r="AN119" i="65"/>
  <c r="AM119" i="65"/>
  <c r="AL119" i="65"/>
  <c r="AK119" i="65"/>
  <c r="AJ119" i="65"/>
  <c r="AI119" i="65"/>
  <c r="AH119" i="65"/>
  <c r="AG119" i="65"/>
  <c r="AF119" i="65"/>
  <c r="AE119" i="65"/>
  <c r="AD119" i="65"/>
  <c r="AC119" i="65"/>
  <c r="AB119" i="65"/>
  <c r="Z119" i="65"/>
  <c r="Y119" i="65"/>
  <c r="X119" i="65"/>
  <c r="W119" i="65"/>
  <c r="V119" i="65"/>
  <c r="U119" i="65"/>
  <c r="T119" i="65"/>
  <c r="S119" i="65"/>
  <c r="R119" i="65"/>
  <c r="Q119" i="65"/>
  <c r="DX119" i="65" s="1"/>
  <c r="O119" i="65"/>
  <c r="N119" i="65"/>
  <c r="M119" i="65"/>
  <c r="L119" i="65"/>
  <c r="K119" i="65"/>
  <c r="J119" i="65"/>
  <c r="I119" i="65"/>
  <c r="H119" i="65"/>
  <c r="G119" i="65"/>
  <c r="F119" i="65"/>
  <c r="E119" i="65"/>
  <c r="EQ118" i="65"/>
  <c r="EP118" i="65"/>
  <c r="EO118" i="65"/>
  <c r="EM118" i="65"/>
  <c r="EH118" i="65"/>
  <c r="DU118" i="65"/>
  <c r="DT118" i="65"/>
  <c r="DS118" i="65"/>
  <c r="DR118" i="65"/>
  <c r="DQ118" i="65"/>
  <c r="DP118" i="65"/>
  <c r="DO118" i="65"/>
  <c r="DN118" i="65"/>
  <c r="DM118" i="65"/>
  <c r="DL118" i="65"/>
  <c r="DK118" i="65"/>
  <c r="DJ118" i="65"/>
  <c r="DI118" i="65"/>
  <c r="DH118" i="65"/>
  <c r="DG118" i="65"/>
  <c r="DF118" i="65"/>
  <c r="DE118" i="65"/>
  <c r="DD118" i="65"/>
  <c r="DC118" i="65"/>
  <c r="DB118" i="65"/>
  <c r="DA118" i="65"/>
  <c r="CZ118" i="65"/>
  <c r="CY118" i="65"/>
  <c r="CX118" i="65"/>
  <c r="CW118" i="65"/>
  <c r="CV118" i="65"/>
  <c r="CU118" i="65"/>
  <c r="CT118" i="65"/>
  <c r="CS118" i="65"/>
  <c r="CR118" i="65"/>
  <c r="CQ118" i="65"/>
  <c r="CP118" i="65"/>
  <c r="CO118" i="65"/>
  <c r="CN118" i="65"/>
  <c r="CM118" i="65"/>
  <c r="CL118" i="65"/>
  <c r="CK118" i="65"/>
  <c r="CJ118" i="65"/>
  <c r="CI118" i="65"/>
  <c r="CH118" i="65"/>
  <c r="CG118" i="65"/>
  <c r="DZ118" i="65" s="1"/>
  <c r="CF118" i="65"/>
  <c r="CE118" i="65"/>
  <c r="CD118" i="65"/>
  <c r="CC118" i="65"/>
  <c r="CB118" i="65"/>
  <c r="CA118" i="65"/>
  <c r="BZ118" i="65"/>
  <c r="BY118" i="65"/>
  <c r="BX118" i="65"/>
  <c r="BW118" i="65"/>
  <c r="BV118" i="65"/>
  <c r="BU118" i="65"/>
  <c r="BT118" i="65"/>
  <c r="BS118" i="65"/>
  <c r="BR118" i="65"/>
  <c r="BQ118" i="65"/>
  <c r="BP118" i="65"/>
  <c r="BO118" i="65"/>
  <c r="BN118" i="65"/>
  <c r="BM118" i="65"/>
  <c r="BL118" i="65"/>
  <c r="BK118" i="65"/>
  <c r="BJ118" i="65"/>
  <c r="BI118" i="65"/>
  <c r="BH118" i="65"/>
  <c r="BG118" i="65"/>
  <c r="BF118" i="65"/>
  <c r="BE118" i="65"/>
  <c r="BD118" i="65"/>
  <c r="BC118" i="65"/>
  <c r="BB118" i="65"/>
  <c r="BA118" i="65"/>
  <c r="AZ118" i="65"/>
  <c r="AY118" i="65"/>
  <c r="AX118" i="65"/>
  <c r="AW118" i="65"/>
  <c r="AV118" i="65"/>
  <c r="AU118" i="65"/>
  <c r="AT118" i="65"/>
  <c r="AS118" i="65"/>
  <c r="AR118" i="65"/>
  <c r="EN118" i="65" s="1"/>
  <c r="AQ118" i="65"/>
  <c r="AP118" i="65"/>
  <c r="AO118" i="65"/>
  <c r="AN118" i="65"/>
  <c r="AM118" i="65"/>
  <c r="EI118" i="65" s="1"/>
  <c r="AL118" i="65"/>
  <c r="AK118" i="65"/>
  <c r="AJ118" i="65"/>
  <c r="AI118" i="65"/>
  <c r="AH118" i="65"/>
  <c r="AG118" i="65"/>
  <c r="AF118" i="65"/>
  <c r="AE118" i="65"/>
  <c r="AD118" i="65"/>
  <c r="AC118" i="65"/>
  <c r="AB118" i="65"/>
  <c r="Z118" i="65"/>
  <c r="Y118" i="65"/>
  <c r="X118" i="65"/>
  <c r="W118" i="65"/>
  <c r="ED118" i="65" s="1"/>
  <c r="V118" i="65"/>
  <c r="U118" i="65"/>
  <c r="T118" i="65"/>
  <c r="S118" i="65"/>
  <c r="R118" i="65"/>
  <c r="Q118" i="65"/>
  <c r="O118" i="65"/>
  <c r="N118" i="65"/>
  <c r="M118" i="65"/>
  <c r="L118" i="65"/>
  <c r="K118" i="65"/>
  <c r="J118" i="65"/>
  <c r="I118" i="65"/>
  <c r="H118" i="65"/>
  <c r="G118" i="65"/>
  <c r="F118" i="65"/>
  <c r="E118" i="65"/>
  <c r="EP117" i="65"/>
  <c r="EN117" i="65"/>
  <c r="EL117" i="65"/>
  <c r="DX117" i="65"/>
  <c r="DU117" i="65"/>
  <c r="DT117" i="65"/>
  <c r="DS117" i="65"/>
  <c r="DR117" i="65"/>
  <c r="DQ117" i="65"/>
  <c r="DP117" i="65"/>
  <c r="DO117" i="65"/>
  <c r="DN117" i="65"/>
  <c r="DM117" i="65"/>
  <c r="DL117" i="65"/>
  <c r="DK117" i="65"/>
  <c r="DJ117" i="65"/>
  <c r="DI117" i="65"/>
  <c r="DH117" i="65"/>
  <c r="DG117" i="65"/>
  <c r="DF117" i="65"/>
  <c r="DE117" i="65"/>
  <c r="DD117" i="65"/>
  <c r="DC117" i="65"/>
  <c r="DB117" i="65"/>
  <c r="DA117" i="65"/>
  <c r="CZ117" i="65"/>
  <c r="CY117" i="65"/>
  <c r="CX117" i="65"/>
  <c r="CW117" i="65"/>
  <c r="CV117" i="65"/>
  <c r="CU117" i="65"/>
  <c r="CT117" i="65"/>
  <c r="CS117" i="65"/>
  <c r="CR117" i="65"/>
  <c r="CQ117" i="65"/>
  <c r="CP117" i="65"/>
  <c r="CO117" i="65"/>
  <c r="CN117" i="65"/>
  <c r="CM117" i="65"/>
  <c r="CL117" i="65"/>
  <c r="CK117" i="65"/>
  <c r="CJ117" i="65"/>
  <c r="CI117" i="65"/>
  <c r="CH117" i="65"/>
  <c r="CG117" i="65"/>
  <c r="CF117" i="65"/>
  <c r="CE117" i="65"/>
  <c r="CD117" i="65"/>
  <c r="CC117" i="65"/>
  <c r="CB117" i="65"/>
  <c r="CA117" i="65"/>
  <c r="BZ117" i="65"/>
  <c r="BY117" i="65"/>
  <c r="BX117" i="65"/>
  <c r="BW117" i="65"/>
  <c r="BV117" i="65"/>
  <c r="BU117" i="65"/>
  <c r="BT117" i="65"/>
  <c r="BS117" i="65"/>
  <c r="BR117" i="65"/>
  <c r="BQ117" i="65"/>
  <c r="BP117" i="65"/>
  <c r="BO117" i="65"/>
  <c r="BN117" i="65"/>
  <c r="BM117" i="65"/>
  <c r="BL117" i="65"/>
  <c r="BK117" i="65"/>
  <c r="BJ117" i="65"/>
  <c r="BI117" i="65"/>
  <c r="BH117" i="65"/>
  <c r="BG117" i="65"/>
  <c r="BF117" i="65"/>
  <c r="BE117" i="65"/>
  <c r="BD117" i="65"/>
  <c r="BC117" i="65"/>
  <c r="BB117" i="65"/>
  <c r="BA117" i="65"/>
  <c r="AZ117" i="65"/>
  <c r="AY117" i="65"/>
  <c r="AX117" i="65"/>
  <c r="AW117" i="65"/>
  <c r="AV117" i="65"/>
  <c r="AU117" i="65"/>
  <c r="AT117" i="65"/>
  <c r="AS117" i="65"/>
  <c r="EO117" i="65" s="1"/>
  <c r="AR117" i="65"/>
  <c r="AQ117" i="65"/>
  <c r="EM117" i="65" s="1"/>
  <c r="AP117" i="65"/>
  <c r="AO117" i="65"/>
  <c r="AN117" i="65"/>
  <c r="AM117" i="65"/>
  <c r="AL117" i="65"/>
  <c r="AK117" i="65"/>
  <c r="AJ117" i="65"/>
  <c r="AI117" i="65"/>
  <c r="AH117" i="65"/>
  <c r="AG117" i="65"/>
  <c r="AF117" i="65"/>
  <c r="AE117" i="65"/>
  <c r="AD117" i="65"/>
  <c r="AC117" i="65"/>
  <c r="DY117" i="65" s="1"/>
  <c r="AB117" i="65"/>
  <c r="Z117" i="65"/>
  <c r="Y117" i="65"/>
  <c r="EF117" i="65" s="1"/>
  <c r="X117" i="65"/>
  <c r="EE117" i="65" s="1"/>
  <c r="W117" i="65"/>
  <c r="V117" i="65"/>
  <c r="U117" i="65"/>
  <c r="T117" i="65"/>
  <c r="S117" i="65"/>
  <c r="R117" i="65"/>
  <c r="Q117" i="65"/>
  <c r="O117" i="65"/>
  <c r="N117" i="65"/>
  <c r="M117" i="65"/>
  <c r="L117" i="65"/>
  <c r="K117" i="65"/>
  <c r="J117" i="65"/>
  <c r="I117" i="65"/>
  <c r="H117" i="65"/>
  <c r="G117" i="65"/>
  <c r="F117" i="65"/>
  <c r="E117" i="65"/>
  <c r="EM116" i="65"/>
  <c r="DU116" i="65"/>
  <c r="DT116" i="65"/>
  <c r="DS116" i="65"/>
  <c r="DR116" i="65"/>
  <c r="DQ116" i="65"/>
  <c r="DP116" i="65"/>
  <c r="DO116" i="65"/>
  <c r="DN116" i="65"/>
  <c r="DM116" i="65"/>
  <c r="DL116" i="65"/>
  <c r="DK116" i="65"/>
  <c r="DJ116" i="65"/>
  <c r="DI116" i="65"/>
  <c r="DH116" i="65"/>
  <c r="DG116" i="65"/>
  <c r="DF116" i="65"/>
  <c r="DE116" i="65"/>
  <c r="DD116" i="65"/>
  <c r="DC116" i="65"/>
  <c r="DB116" i="65"/>
  <c r="DA116" i="65"/>
  <c r="CZ116" i="65"/>
  <c r="CY116" i="65"/>
  <c r="CX116" i="65"/>
  <c r="CW116" i="65"/>
  <c r="CV116" i="65"/>
  <c r="CU116" i="65"/>
  <c r="CT116" i="65"/>
  <c r="CS116" i="65"/>
  <c r="CR116" i="65"/>
  <c r="CQ116" i="65"/>
  <c r="CP116" i="65"/>
  <c r="CO116" i="65"/>
  <c r="CN116" i="65"/>
  <c r="CM116" i="65"/>
  <c r="CL116" i="65"/>
  <c r="CK116" i="65"/>
  <c r="CJ116" i="65"/>
  <c r="CI116" i="65"/>
  <c r="CH116" i="65"/>
  <c r="CG116" i="65"/>
  <c r="CF116" i="65"/>
  <c r="CE116" i="65"/>
  <c r="CD116" i="65"/>
  <c r="CC116" i="65"/>
  <c r="CB116" i="65"/>
  <c r="CA116" i="65"/>
  <c r="BZ116" i="65"/>
  <c r="BY116" i="65"/>
  <c r="BX116" i="65"/>
  <c r="BW116" i="65"/>
  <c r="BV116" i="65"/>
  <c r="BU116" i="65"/>
  <c r="BT116" i="65"/>
  <c r="BS116" i="65"/>
  <c r="BR116" i="65"/>
  <c r="BQ116" i="65"/>
  <c r="BP116" i="65"/>
  <c r="BO116" i="65"/>
  <c r="BN116" i="65"/>
  <c r="BM116" i="65"/>
  <c r="BL116" i="65"/>
  <c r="BK116" i="65"/>
  <c r="BJ116" i="65"/>
  <c r="BI116" i="65"/>
  <c r="BH116" i="65"/>
  <c r="BG116" i="65"/>
  <c r="BF116" i="65"/>
  <c r="BE116" i="65"/>
  <c r="BD116" i="65"/>
  <c r="BC116" i="65"/>
  <c r="BB116" i="65"/>
  <c r="BA116" i="65"/>
  <c r="AZ116" i="65"/>
  <c r="AY116" i="65"/>
  <c r="AX116" i="65"/>
  <c r="AW116" i="65"/>
  <c r="AV116" i="65"/>
  <c r="ER116" i="65" s="1"/>
  <c r="AU116" i="65"/>
  <c r="AT116" i="65"/>
  <c r="EP116" i="65" s="1"/>
  <c r="AS116" i="65"/>
  <c r="EO116" i="65" s="1"/>
  <c r="AR116" i="65"/>
  <c r="EN116" i="65" s="1"/>
  <c r="AQ116" i="65"/>
  <c r="AP116" i="65"/>
  <c r="AO116" i="65"/>
  <c r="AN116" i="65"/>
  <c r="AM116" i="65"/>
  <c r="AL116" i="65"/>
  <c r="AK116" i="65"/>
  <c r="AJ116" i="65"/>
  <c r="AI116" i="65"/>
  <c r="AH116" i="65"/>
  <c r="AG116" i="65"/>
  <c r="AF116" i="65"/>
  <c r="AE116" i="65"/>
  <c r="AD116" i="65"/>
  <c r="AC116" i="65"/>
  <c r="AB116" i="65"/>
  <c r="Z116" i="65"/>
  <c r="Y116" i="65"/>
  <c r="X116" i="65"/>
  <c r="W116" i="65"/>
  <c r="V116" i="65"/>
  <c r="U116" i="65"/>
  <c r="EB116" i="65" s="1"/>
  <c r="T116" i="65"/>
  <c r="S116" i="65"/>
  <c r="DZ116" i="65" s="1"/>
  <c r="R116" i="65"/>
  <c r="DY116" i="65" s="1"/>
  <c r="Q116" i="65"/>
  <c r="DX116" i="65" s="1"/>
  <c r="O116" i="65"/>
  <c r="N116" i="65"/>
  <c r="M116" i="65"/>
  <c r="L116" i="65"/>
  <c r="K116" i="65"/>
  <c r="J116" i="65"/>
  <c r="I116" i="65"/>
  <c r="H116" i="65"/>
  <c r="G116" i="65"/>
  <c r="F116" i="65"/>
  <c r="E116" i="65"/>
  <c r="EP115" i="65"/>
  <c r="EL115" i="65"/>
  <c r="EK115" i="65"/>
  <c r="EC115" i="65"/>
  <c r="DU115" i="65"/>
  <c r="DT115" i="65"/>
  <c r="DS115" i="65"/>
  <c r="DR115" i="65"/>
  <c r="DQ115" i="65"/>
  <c r="DP115" i="65"/>
  <c r="DO115" i="65"/>
  <c r="DN115" i="65"/>
  <c r="DM115" i="65"/>
  <c r="DL115" i="65"/>
  <c r="DK115" i="65"/>
  <c r="DJ115" i="65"/>
  <c r="DI115" i="65"/>
  <c r="DH115" i="65"/>
  <c r="DG115" i="65"/>
  <c r="DF115" i="65"/>
  <c r="DE115" i="65"/>
  <c r="DD115" i="65"/>
  <c r="DC115" i="65"/>
  <c r="DB115" i="65"/>
  <c r="DA115" i="65"/>
  <c r="CZ115" i="65"/>
  <c r="CY115" i="65"/>
  <c r="CX115" i="65"/>
  <c r="CW115" i="65"/>
  <c r="CV115" i="65"/>
  <c r="CU115" i="65"/>
  <c r="CT115" i="65"/>
  <c r="CS115" i="65"/>
  <c r="CR115" i="65"/>
  <c r="CQ115" i="65"/>
  <c r="CP115" i="65"/>
  <c r="CO115" i="65"/>
  <c r="CN115" i="65"/>
  <c r="CM115" i="65"/>
  <c r="CL115" i="65"/>
  <c r="CK115" i="65"/>
  <c r="CJ115" i="65"/>
  <c r="CI115" i="65"/>
  <c r="CH115" i="65"/>
  <c r="CG115" i="65"/>
  <c r="CF115" i="65"/>
  <c r="CE115" i="65"/>
  <c r="CD115" i="65"/>
  <c r="CC115" i="65"/>
  <c r="CB115" i="65"/>
  <c r="CA115" i="65"/>
  <c r="BZ115" i="65"/>
  <c r="BY115" i="65"/>
  <c r="BX115" i="65"/>
  <c r="BW115" i="65"/>
  <c r="BV115" i="65"/>
  <c r="BU115" i="65"/>
  <c r="BT115" i="65"/>
  <c r="BS115" i="65"/>
  <c r="BR115" i="65"/>
  <c r="BQ115" i="65"/>
  <c r="BP115" i="65"/>
  <c r="BO115" i="65"/>
  <c r="BN115" i="65"/>
  <c r="BM115" i="65"/>
  <c r="BL115" i="65"/>
  <c r="BK115" i="65"/>
  <c r="BJ115" i="65"/>
  <c r="BI115" i="65"/>
  <c r="BH115" i="65"/>
  <c r="BG115" i="65"/>
  <c r="BF115" i="65"/>
  <c r="BE115" i="65"/>
  <c r="BD115" i="65"/>
  <c r="BC115" i="65"/>
  <c r="BB115" i="65"/>
  <c r="BA115" i="65"/>
  <c r="AZ115" i="65"/>
  <c r="AY115" i="65"/>
  <c r="AX115" i="65"/>
  <c r="AW115" i="65"/>
  <c r="AV115" i="65"/>
  <c r="AU115" i="65"/>
  <c r="AT115" i="65"/>
  <c r="AS115" i="65"/>
  <c r="AR115" i="65"/>
  <c r="AQ115" i="65"/>
  <c r="AP115" i="65"/>
  <c r="AO115" i="65"/>
  <c r="AN115" i="65"/>
  <c r="AM115" i="65"/>
  <c r="AL115" i="65"/>
  <c r="AK115" i="65"/>
  <c r="AJ115" i="65"/>
  <c r="AI115" i="65"/>
  <c r="AH115" i="65"/>
  <c r="AG115" i="65"/>
  <c r="AF115" i="65"/>
  <c r="AE115" i="65"/>
  <c r="AD115" i="65"/>
  <c r="AC115" i="65"/>
  <c r="AB115" i="65"/>
  <c r="Z115" i="65"/>
  <c r="Y115" i="65"/>
  <c r="X115" i="65"/>
  <c r="W115" i="65"/>
  <c r="ED115" i="65" s="1"/>
  <c r="V115" i="65"/>
  <c r="U115" i="65"/>
  <c r="T115" i="65"/>
  <c r="S115" i="65"/>
  <c r="DZ115" i="65" s="1"/>
  <c r="R115" i="65"/>
  <c r="Q115" i="65"/>
  <c r="O115" i="65"/>
  <c r="N115" i="65"/>
  <c r="M115" i="65"/>
  <c r="L115" i="65"/>
  <c r="K115" i="65"/>
  <c r="J115" i="65"/>
  <c r="I115" i="65"/>
  <c r="H115" i="65"/>
  <c r="G115" i="65"/>
  <c r="F115" i="65"/>
  <c r="E115" i="65"/>
  <c r="ER114" i="65"/>
  <c r="EK114" i="65"/>
  <c r="EJ114" i="65"/>
  <c r="EI114" i="65"/>
  <c r="EB114" i="65"/>
  <c r="DU114" i="65"/>
  <c r="DT114" i="65"/>
  <c r="DS114" i="65"/>
  <c r="DR114" i="65"/>
  <c r="DQ114" i="65"/>
  <c r="DP114" i="65"/>
  <c r="DO114" i="65"/>
  <c r="DN114" i="65"/>
  <c r="DM114" i="65"/>
  <c r="DL114" i="65"/>
  <c r="DK114" i="65"/>
  <c r="DJ114" i="65"/>
  <c r="DI114" i="65"/>
  <c r="DH114" i="65"/>
  <c r="DG114" i="65"/>
  <c r="DF114" i="65"/>
  <c r="DE114" i="65"/>
  <c r="DD114" i="65"/>
  <c r="DC114" i="65"/>
  <c r="DB114" i="65"/>
  <c r="DA114" i="65"/>
  <c r="CZ114" i="65"/>
  <c r="CY114" i="65"/>
  <c r="CX114" i="65"/>
  <c r="CW114" i="65"/>
  <c r="CV114" i="65"/>
  <c r="CU114" i="65"/>
  <c r="CT114" i="65"/>
  <c r="CS114" i="65"/>
  <c r="CR114" i="65"/>
  <c r="CQ114" i="65"/>
  <c r="CP114" i="65"/>
  <c r="CO114" i="65"/>
  <c r="CN114" i="65"/>
  <c r="CM114" i="65"/>
  <c r="CL114" i="65"/>
  <c r="CK114" i="65"/>
  <c r="CJ114" i="65"/>
  <c r="CI114" i="65"/>
  <c r="CH114" i="65"/>
  <c r="CG114" i="65"/>
  <c r="CF114" i="65"/>
  <c r="CE114" i="65"/>
  <c r="CD114" i="65"/>
  <c r="CC114" i="65"/>
  <c r="CB114" i="65"/>
  <c r="CA114" i="65"/>
  <c r="BZ114" i="65"/>
  <c r="BY114" i="65"/>
  <c r="BX114" i="65"/>
  <c r="BW114" i="65"/>
  <c r="BV114" i="65"/>
  <c r="BU114" i="65"/>
  <c r="BT114" i="65"/>
  <c r="BS114" i="65"/>
  <c r="BR114" i="65"/>
  <c r="BQ114" i="65"/>
  <c r="BP114" i="65"/>
  <c r="BO114" i="65"/>
  <c r="BN114" i="65"/>
  <c r="BM114" i="65"/>
  <c r="BL114" i="65"/>
  <c r="BK114" i="65"/>
  <c r="BJ114" i="65"/>
  <c r="BI114" i="65"/>
  <c r="BH114" i="65"/>
  <c r="BG114" i="65"/>
  <c r="BF114" i="65"/>
  <c r="BE114" i="65"/>
  <c r="BD114" i="65"/>
  <c r="BC114" i="65"/>
  <c r="BB114" i="65"/>
  <c r="BA114" i="65"/>
  <c r="AZ114" i="65"/>
  <c r="AY114" i="65"/>
  <c r="AX114" i="65"/>
  <c r="AW114" i="65"/>
  <c r="AV114" i="65"/>
  <c r="AU114" i="65"/>
  <c r="AT114" i="65"/>
  <c r="AS114" i="65"/>
  <c r="AR114" i="65"/>
  <c r="AQ114" i="65"/>
  <c r="AP114" i="65"/>
  <c r="AO114" i="65"/>
  <c r="AN114" i="65"/>
  <c r="AM114" i="65"/>
  <c r="AL114" i="65"/>
  <c r="AK114" i="65"/>
  <c r="AJ114" i="65"/>
  <c r="AI114" i="65"/>
  <c r="AH114" i="65"/>
  <c r="AG114" i="65"/>
  <c r="AF114" i="65"/>
  <c r="AE114" i="65"/>
  <c r="AD114" i="65"/>
  <c r="AC114" i="65"/>
  <c r="AB114" i="65"/>
  <c r="Z114" i="65"/>
  <c r="EG114" i="65" s="1"/>
  <c r="Y114" i="65"/>
  <c r="X114" i="65"/>
  <c r="W114" i="65"/>
  <c r="V114" i="65"/>
  <c r="EC114" i="65" s="1"/>
  <c r="U114" i="65"/>
  <c r="T114" i="65"/>
  <c r="S114" i="65"/>
  <c r="R114" i="65"/>
  <c r="DY114" i="65" s="1"/>
  <c r="Q114" i="65"/>
  <c r="O114" i="65"/>
  <c r="N114" i="65"/>
  <c r="M114" i="65"/>
  <c r="L114" i="65"/>
  <c r="K114" i="65"/>
  <c r="J114" i="65"/>
  <c r="I114" i="65"/>
  <c r="H114" i="65"/>
  <c r="G114" i="65"/>
  <c r="F114" i="65"/>
  <c r="E114" i="65"/>
  <c r="ER113" i="65"/>
  <c r="EQ113" i="65"/>
  <c r="EJ113" i="65"/>
  <c r="EI113" i="65"/>
  <c r="EH113" i="65"/>
  <c r="EA113" i="65"/>
  <c r="DU113" i="65"/>
  <c r="DT113" i="65"/>
  <c r="DS113" i="65"/>
  <c r="DR113" i="65"/>
  <c r="DQ113" i="65"/>
  <c r="DP113" i="65"/>
  <c r="DO113" i="65"/>
  <c r="DN113" i="65"/>
  <c r="DM113" i="65"/>
  <c r="DL113" i="65"/>
  <c r="DK113" i="65"/>
  <c r="DJ113" i="65"/>
  <c r="DI113" i="65"/>
  <c r="DH113" i="65"/>
  <c r="DG113" i="65"/>
  <c r="DF113" i="65"/>
  <c r="DE113" i="65"/>
  <c r="DD113" i="65"/>
  <c r="DC113" i="65"/>
  <c r="DB113" i="65"/>
  <c r="DA113" i="65"/>
  <c r="CZ113" i="65"/>
  <c r="CY113" i="65"/>
  <c r="CX113" i="65"/>
  <c r="CW113" i="65"/>
  <c r="CV113" i="65"/>
  <c r="CU113" i="65"/>
  <c r="CT113" i="65"/>
  <c r="CS113" i="65"/>
  <c r="CR113" i="65"/>
  <c r="CQ113" i="65"/>
  <c r="CP113" i="65"/>
  <c r="CO113" i="65"/>
  <c r="CN113" i="65"/>
  <c r="CM113" i="65"/>
  <c r="CL113" i="65"/>
  <c r="CK113" i="65"/>
  <c r="CJ113" i="65"/>
  <c r="CI113" i="65"/>
  <c r="CH113" i="65"/>
  <c r="CG113" i="65"/>
  <c r="CF113" i="65"/>
  <c r="CE113" i="65"/>
  <c r="CD113" i="65"/>
  <c r="CC113" i="65"/>
  <c r="CB113" i="65"/>
  <c r="CA113" i="65"/>
  <c r="BZ113" i="65"/>
  <c r="BY113" i="65"/>
  <c r="BX113" i="65"/>
  <c r="BW113" i="65"/>
  <c r="BV113" i="65"/>
  <c r="BU113" i="65"/>
  <c r="BT113" i="65"/>
  <c r="BS113" i="65"/>
  <c r="BR113" i="65"/>
  <c r="BQ113" i="65"/>
  <c r="BP113" i="65"/>
  <c r="BO113" i="65"/>
  <c r="BN113" i="65"/>
  <c r="BM113" i="65"/>
  <c r="BL113" i="65"/>
  <c r="BK113" i="65"/>
  <c r="BJ113" i="65"/>
  <c r="BI113" i="65"/>
  <c r="BH113" i="65"/>
  <c r="BG113" i="65"/>
  <c r="BF113" i="65"/>
  <c r="BE113" i="65"/>
  <c r="BD113" i="65"/>
  <c r="BC113" i="65"/>
  <c r="BB113" i="65"/>
  <c r="BA113" i="65"/>
  <c r="AZ113" i="65"/>
  <c r="AY113" i="65"/>
  <c r="AX113" i="65"/>
  <c r="AW113" i="65"/>
  <c r="AV113" i="65"/>
  <c r="AU113" i="65"/>
  <c r="AT113" i="65"/>
  <c r="AS113" i="65"/>
  <c r="AR113" i="65"/>
  <c r="AQ113" i="65"/>
  <c r="AP113" i="65"/>
  <c r="AO113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AC113" i="65"/>
  <c r="AB113" i="65"/>
  <c r="Z113" i="65"/>
  <c r="EG113" i="65" s="1"/>
  <c r="Y113" i="65"/>
  <c r="EF113" i="65" s="1"/>
  <c r="X113" i="65"/>
  <c r="EE113" i="65" s="1"/>
  <c r="W113" i="65"/>
  <c r="V113" i="65"/>
  <c r="U113" i="65"/>
  <c r="EB113" i="65" s="1"/>
  <c r="T113" i="65"/>
  <c r="S113" i="65"/>
  <c r="R113" i="65"/>
  <c r="Q113" i="65"/>
  <c r="DX113" i="65" s="1"/>
  <c r="O113" i="65"/>
  <c r="N113" i="65"/>
  <c r="M113" i="65"/>
  <c r="L113" i="65"/>
  <c r="K113" i="65"/>
  <c r="J113" i="65"/>
  <c r="I113" i="65"/>
  <c r="H113" i="65"/>
  <c r="G113" i="65"/>
  <c r="F113" i="65"/>
  <c r="E113" i="65"/>
  <c r="ER112" i="65"/>
  <c r="EQ112" i="65"/>
  <c r="EP112" i="65"/>
  <c r="EI112" i="65"/>
  <c r="EH112" i="65"/>
  <c r="DZ112" i="65"/>
  <c r="DU112" i="65"/>
  <c r="DT112" i="65"/>
  <c r="DS112" i="65"/>
  <c r="DR112" i="65"/>
  <c r="DQ112" i="65"/>
  <c r="DP112" i="65"/>
  <c r="DO112" i="65"/>
  <c r="DN112" i="65"/>
  <c r="DM112" i="65"/>
  <c r="DL112" i="65"/>
  <c r="DK112" i="65"/>
  <c r="DJ112" i="65"/>
  <c r="DI112" i="65"/>
  <c r="DH112" i="65"/>
  <c r="DG112" i="65"/>
  <c r="DF112" i="65"/>
  <c r="DE112" i="65"/>
  <c r="DD112" i="65"/>
  <c r="DC112" i="65"/>
  <c r="DB112" i="65"/>
  <c r="DA112" i="65"/>
  <c r="CZ112" i="65"/>
  <c r="CY112" i="65"/>
  <c r="CX112" i="65"/>
  <c r="CW112" i="65"/>
  <c r="CV112" i="65"/>
  <c r="CU112" i="65"/>
  <c r="CT112" i="65"/>
  <c r="CS112" i="65"/>
  <c r="CR112" i="65"/>
  <c r="CQ112" i="65"/>
  <c r="CP112" i="65"/>
  <c r="CO112" i="65"/>
  <c r="CN112" i="65"/>
  <c r="CM112" i="65"/>
  <c r="CL112" i="65"/>
  <c r="CK112" i="65"/>
  <c r="CJ112" i="65"/>
  <c r="CI112" i="65"/>
  <c r="CH112" i="65"/>
  <c r="CG112" i="65"/>
  <c r="CF112" i="65"/>
  <c r="CE112" i="65"/>
  <c r="CD112" i="65"/>
  <c r="CC112" i="65"/>
  <c r="CB112" i="65"/>
  <c r="CA112" i="65"/>
  <c r="BZ112" i="65"/>
  <c r="BY112" i="65"/>
  <c r="BX112" i="65"/>
  <c r="BW112" i="65"/>
  <c r="BV112" i="65"/>
  <c r="BU112" i="65"/>
  <c r="BT112" i="65"/>
  <c r="BS112" i="65"/>
  <c r="BR112" i="65"/>
  <c r="BQ112" i="65"/>
  <c r="BP112" i="65"/>
  <c r="BO112" i="65"/>
  <c r="BN112" i="65"/>
  <c r="BM112" i="65"/>
  <c r="BL112" i="65"/>
  <c r="BK112" i="65"/>
  <c r="BJ112" i="65"/>
  <c r="BI112" i="65"/>
  <c r="BH112" i="65"/>
  <c r="BG112" i="65"/>
  <c r="BF112" i="65"/>
  <c r="BE112" i="65"/>
  <c r="BD112" i="65"/>
  <c r="BC112" i="65"/>
  <c r="BB112" i="65"/>
  <c r="BA112" i="65"/>
  <c r="AZ112" i="65"/>
  <c r="AY112" i="65"/>
  <c r="AX112" i="65"/>
  <c r="AW112" i="65"/>
  <c r="AV112" i="65"/>
  <c r="AU112" i="65"/>
  <c r="AT112" i="65"/>
  <c r="AS112" i="65"/>
  <c r="AR112" i="65"/>
  <c r="AQ112" i="65"/>
  <c r="AP112" i="65"/>
  <c r="AO112" i="65"/>
  <c r="AN112" i="65"/>
  <c r="AM112" i="65"/>
  <c r="AL112" i="65"/>
  <c r="AK112" i="65"/>
  <c r="AJ112" i="65"/>
  <c r="AI112" i="65"/>
  <c r="AH112" i="65"/>
  <c r="AG112" i="65"/>
  <c r="AF112" i="65"/>
  <c r="AE112" i="65"/>
  <c r="AD112" i="65"/>
  <c r="AC112" i="65"/>
  <c r="AB112" i="65"/>
  <c r="Z112" i="65"/>
  <c r="EG112" i="65" s="1"/>
  <c r="Y112" i="65"/>
  <c r="EF112" i="65" s="1"/>
  <c r="X112" i="65"/>
  <c r="EE112" i="65" s="1"/>
  <c r="W112" i="65"/>
  <c r="ED112" i="65" s="1"/>
  <c r="V112" i="65"/>
  <c r="U112" i="65"/>
  <c r="T112" i="65"/>
  <c r="EA112" i="65" s="1"/>
  <c r="S112" i="65"/>
  <c r="R112" i="65"/>
  <c r="Q112" i="65"/>
  <c r="O112" i="65"/>
  <c r="N112" i="65"/>
  <c r="M112" i="65"/>
  <c r="L112" i="65"/>
  <c r="K112" i="65"/>
  <c r="J112" i="65"/>
  <c r="I112" i="65"/>
  <c r="H112" i="65"/>
  <c r="G112" i="65"/>
  <c r="F112" i="65"/>
  <c r="E112" i="65"/>
  <c r="EQ111" i="65"/>
  <c r="EP111" i="65"/>
  <c r="EO111" i="65"/>
  <c r="EH111" i="65"/>
  <c r="DY111" i="65"/>
  <c r="DU111" i="65"/>
  <c r="DT111" i="65"/>
  <c r="DS111" i="65"/>
  <c r="DR111" i="65"/>
  <c r="DQ111" i="65"/>
  <c r="DP111" i="65"/>
  <c r="DO111" i="65"/>
  <c r="DN111" i="65"/>
  <c r="DM111" i="65"/>
  <c r="DL111" i="65"/>
  <c r="DK111" i="65"/>
  <c r="DJ111" i="65"/>
  <c r="DI111" i="65"/>
  <c r="DH111" i="65"/>
  <c r="DG111" i="65"/>
  <c r="DF111" i="65"/>
  <c r="DE111" i="65"/>
  <c r="DD111" i="65"/>
  <c r="DC111" i="65"/>
  <c r="DB111" i="65"/>
  <c r="DA111" i="65"/>
  <c r="CZ111" i="65"/>
  <c r="CY111" i="65"/>
  <c r="CX111" i="65"/>
  <c r="CW111" i="65"/>
  <c r="CV111" i="65"/>
  <c r="CU111" i="65"/>
  <c r="CT111" i="65"/>
  <c r="CS111" i="65"/>
  <c r="CR111" i="65"/>
  <c r="CQ111" i="65"/>
  <c r="CP111" i="65"/>
  <c r="CO111" i="65"/>
  <c r="CN111" i="65"/>
  <c r="CM111" i="65"/>
  <c r="CL111" i="65"/>
  <c r="CK111" i="65"/>
  <c r="CJ111" i="65"/>
  <c r="CI111" i="65"/>
  <c r="CH111" i="65"/>
  <c r="CG111" i="65"/>
  <c r="CF111" i="65"/>
  <c r="CE111" i="65"/>
  <c r="CD111" i="65"/>
  <c r="CC111" i="65"/>
  <c r="CB111" i="65"/>
  <c r="CA111" i="65"/>
  <c r="BZ111" i="65"/>
  <c r="BY111" i="65"/>
  <c r="BX111" i="65"/>
  <c r="BW111" i="65"/>
  <c r="BV111" i="65"/>
  <c r="BU111" i="65"/>
  <c r="BT111" i="65"/>
  <c r="BS111" i="65"/>
  <c r="BR111" i="65"/>
  <c r="BQ111" i="65"/>
  <c r="BP111" i="65"/>
  <c r="BO111" i="65"/>
  <c r="BN111" i="65"/>
  <c r="BM111" i="65"/>
  <c r="BL111" i="65"/>
  <c r="BK111" i="65"/>
  <c r="BJ111" i="65"/>
  <c r="BI111" i="65"/>
  <c r="BH111" i="65"/>
  <c r="BG111" i="65"/>
  <c r="EG111" i="65" s="1"/>
  <c r="BF111" i="65"/>
  <c r="BE111" i="65"/>
  <c r="BD111" i="65"/>
  <c r="BC111" i="65"/>
  <c r="BB111" i="65"/>
  <c r="BA111" i="65"/>
  <c r="AZ111" i="65"/>
  <c r="AY111" i="65"/>
  <c r="AX111" i="65"/>
  <c r="AW111" i="65"/>
  <c r="AV111" i="65"/>
  <c r="AU111" i="65"/>
  <c r="AT111" i="65"/>
  <c r="AS111" i="65"/>
  <c r="AR111" i="65"/>
  <c r="AQ111" i="65"/>
  <c r="AP111" i="65"/>
  <c r="AO111" i="65"/>
  <c r="AN111" i="65"/>
  <c r="AM111" i="65"/>
  <c r="AL111" i="65"/>
  <c r="AK111" i="65"/>
  <c r="AJ111" i="65"/>
  <c r="AI111" i="65"/>
  <c r="AH111" i="65"/>
  <c r="AG111" i="65"/>
  <c r="AF111" i="65"/>
  <c r="AE111" i="65"/>
  <c r="AD111" i="65"/>
  <c r="AC111" i="65"/>
  <c r="AB111" i="65"/>
  <c r="Z111" i="65"/>
  <c r="Y111" i="65"/>
  <c r="EF111" i="65" s="1"/>
  <c r="X111" i="65"/>
  <c r="EE111" i="65" s="1"/>
  <c r="W111" i="65"/>
  <c r="ED111" i="65" s="1"/>
  <c r="V111" i="65"/>
  <c r="EC111" i="65" s="1"/>
  <c r="U111" i="65"/>
  <c r="T111" i="65"/>
  <c r="S111" i="65"/>
  <c r="DZ111" i="65" s="1"/>
  <c r="R111" i="65"/>
  <c r="Q111" i="65"/>
  <c r="O111" i="65"/>
  <c r="N111" i="65"/>
  <c r="M111" i="65"/>
  <c r="L111" i="65"/>
  <c r="K111" i="65"/>
  <c r="J111" i="65"/>
  <c r="I111" i="65"/>
  <c r="H111" i="65"/>
  <c r="G111" i="65"/>
  <c r="F111" i="65"/>
  <c r="E111" i="65"/>
  <c r="EP110" i="65"/>
  <c r="EO110" i="65"/>
  <c r="EN110" i="65"/>
  <c r="DX110" i="65"/>
  <c r="DU110" i="65"/>
  <c r="DT110" i="65"/>
  <c r="DS110" i="65"/>
  <c r="DR110" i="65"/>
  <c r="DQ110" i="65"/>
  <c r="DP110" i="65"/>
  <c r="DO110" i="65"/>
  <c r="DN110" i="65"/>
  <c r="DM110" i="65"/>
  <c r="DL110" i="65"/>
  <c r="DK110" i="65"/>
  <c r="DJ110" i="65"/>
  <c r="DI110" i="65"/>
  <c r="DH110" i="65"/>
  <c r="DG110" i="65"/>
  <c r="DF110" i="65"/>
  <c r="DE110" i="65"/>
  <c r="DD110" i="65"/>
  <c r="DC110" i="65"/>
  <c r="DB110" i="65"/>
  <c r="DA110" i="65"/>
  <c r="CZ110" i="65"/>
  <c r="CY110" i="65"/>
  <c r="CX110" i="65"/>
  <c r="CW110" i="65"/>
  <c r="CV110" i="65"/>
  <c r="CU110" i="65"/>
  <c r="CT110" i="65"/>
  <c r="CS110" i="65"/>
  <c r="CR110" i="65"/>
  <c r="CQ110" i="65"/>
  <c r="CP110" i="65"/>
  <c r="CO110" i="65"/>
  <c r="CN110" i="65"/>
  <c r="CM110" i="65"/>
  <c r="CL110" i="65"/>
  <c r="CK110" i="65"/>
  <c r="CJ110" i="65"/>
  <c r="CI110" i="65"/>
  <c r="CH110" i="65"/>
  <c r="CG110" i="65"/>
  <c r="CF110" i="65"/>
  <c r="CE110" i="65"/>
  <c r="CD110" i="65"/>
  <c r="CC110" i="65"/>
  <c r="CB110" i="65"/>
  <c r="CA110" i="65"/>
  <c r="BZ110" i="65"/>
  <c r="BY110" i="65"/>
  <c r="BX110" i="65"/>
  <c r="BW110" i="65"/>
  <c r="BV110" i="65"/>
  <c r="BU110" i="65"/>
  <c r="BT110" i="65"/>
  <c r="BS110" i="65"/>
  <c r="BR110" i="65"/>
  <c r="BQ110" i="65"/>
  <c r="BP110" i="65"/>
  <c r="BO110" i="65"/>
  <c r="BN110" i="65"/>
  <c r="BM110" i="65"/>
  <c r="BL110" i="65"/>
  <c r="BK110" i="65"/>
  <c r="BJ110" i="65"/>
  <c r="BI110" i="65"/>
  <c r="BH110" i="65"/>
  <c r="BG110" i="65"/>
  <c r="BF110" i="65"/>
  <c r="EF110" i="65" s="1"/>
  <c r="BE110" i="65"/>
  <c r="BD110" i="65"/>
  <c r="BC110" i="65"/>
  <c r="BB110" i="65"/>
  <c r="BA110" i="65"/>
  <c r="AZ110" i="65"/>
  <c r="AY110" i="65"/>
  <c r="AX110" i="65"/>
  <c r="AW110" i="65"/>
  <c r="AV110" i="65"/>
  <c r="AU110" i="65"/>
  <c r="AT110" i="65"/>
  <c r="AS110" i="65"/>
  <c r="AR110" i="65"/>
  <c r="AQ110" i="65"/>
  <c r="AP110" i="65"/>
  <c r="AO110" i="65"/>
  <c r="AN110" i="65"/>
  <c r="AM110" i="65"/>
  <c r="AL110" i="65"/>
  <c r="AK110" i="65"/>
  <c r="AJ110" i="65"/>
  <c r="AI110" i="65"/>
  <c r="AH110" i="65"/>
  <c r="AG110" i="65"/>
  <c r="AF110" i="65"/>
  <c r="AE110" i="65"/>
  <c r="AD110" i="65"/>
  <c r="AC110" i="65"/>
  <c r="AB110" i="65"/>
  <c r="Z110" i="65"/>
  <c r="EG110" i="65" s="1"/>
  <c r="Y110" i="65"/>
  <c r="X110" i="65"/>
  <c r="EE110" i="65" s="1"/>
  <c r="W110" i="65"/>
  <c r="ED110" i="65" s="1"/>
  <c r="V110" i="65"/>
  <c r="EC110" i="65" s="1"/>
  <c r="U110" i="65"/>
  <c r="EB110" i="65" s="1"/>
  <c r="T110" i="65"/>
  <c r="S110" i="65"/>
  <c r="R110" i="65"/>
  <c r="DY110" i="65" s="1"/>
  <c r="Q110" i="65"/>
  <c r="O110" i="65"/>
  <c r="N110" i="65"/>
  <c r="M110" i="65"/>
  <c r="L110" i="65"/>
  <c r="K110" i="65"/>
  <c r="J110" i="65"/>
  <c r="I110" i="65"/>
  <c r="H110" i="65"/>
  <c r="G110" i="65"/>
  <c r="F110" i="65"/>
  <c r="E110" i="65"/>
  <c r="EO109" i="65"/>
  <c r="EN109" i="65"/>
  <c r="EM109" i="65"/>
  <c r="DU109" i="65"/>
  <c r="DT109" i="65"/>
  <c r="DS109" i="65"/>
  <c r="DR109" i="65"/>
  <c r="DQ109" i="65"/>
  <c r="DP109" i="65"/>
  <c r="DO109" i="65"/>
  <c r="DN109" i="65"/>
  <c r="DM109" i="65"/>
  <c r="DL109" i="65"/>
  <c r="DK109" i="65"/>
  <c r="DJ109" i="65"/>
  <c r="DI109" i="65"/>
  <c r="DH109" i="65"/>
  <c r="DG109" i="65"/>
  <c r="DF109" i="65"/>
  <c r="DE109" i="65"/>
  <c r="DD109" i="65"/>
  <c r="DC109" i="65"/>
  <c r="DB109" i="65"/>
  <c r="DA109" i="65"/>
  <c r="CZ109" i="65"/>
  <c r="CY109" i="65"/>
  <c r="CX109" i="65"/>
  <c r="CW109" i="65"/>
  <c r="CV109" i="65"/>
  <c r="CU109" i="65"/>
  <c r="CT109" i="65"/>
  <c r="CS109" i="65"/>
  <c r="CR109" i="65"/>
  <c r="CQ109" i="65"/>
  <c r="CP109" i="65"/>
  <c r="CO109" i="65"/>
  <c r="CN109" i="65"/>
  <c r="CM109" i="65"/>
  <c r="CL109" i="65"/>
  <c r="CK109" i="65"/>
  <c r="CJ109" i="65"/>
  <c r="CI109" i="65"/>
  <c r="CH109" i="65"/>
  <c r="CG109" i="65"/>
  <c r="CF109" i="65"/>
  <c r="CE109" i="65"/>
  <c r="CD109" i="65"/>
  <c r="CC109" i="65"/>
  <c r="CB109" i="65"/>
  <c r="CA109" i="65"/>
  <c r="BZ109" i="65"/>
  <c r="BY109" i="65"/>
  <c r="BX109" i="65"/>
  <c r="BW109" i="65"/>
  <c r="BV109" i="65"/>
  <c r="BU109" i="65"/>
  <c r="BT109" i="65"/>
  <c r="BS109" i="65"/>
  <c r="BR109" i="65"/>
  <c r="BQ109" i="65"/>
  <c r="BP109" i="65"/>
  <c r="BO109" i="65"/>
  <c r="BN109" i="65"/>
  <c r="BM109" i="65"/>
  <c r="BL109" i="65"/>
  <c r="BK109" i="65"/>
  <c r="BJ109" i="65"/>
  <c r="BI109" i="65"/>
  <c r="BH109" i="65"/>
  <c r="BG109" i="65"/>
  <c r="BF109" i="65"/>
  <c r="BE109" i="65"/>
  <c r="EE109" i="65" s="1"/>
  <c r="BD109" i="65"/>
  <c r="BC109" i="65"/>
  <c r="BB109" i="65"/>
  <c r="BA109" i="65"/>
  <c r="AZ109" i="65"/>
  <c r="AY109" i="65"/>
  <c r="AX109" i="65"/>
  <c r="AW109" i="65"/>
  <c r="AV109" i="65"/>
  <c r="AU109" i="65"/>
  <c r="AT109" i="65"/>
  <c r="AS109" i="65"/>
  <c r="AR109" i="65"/>
  <c r="AQ109" i="65"/>
  <c r="AP109" i="65"/>
  <c r="AO109" i="65"/>
  <c r="AN109" i="65"/>
  <c r="AM109" i="65"/>
  <c r="AL109" i="65"/>
  <c r="AK109" i="65"/>
  <c r="AJ109" i="65"/>
  <c r="AI109" i="65"/>
  <c r="AH109" i="65"/>
  <c r="AG109" i="65"/>
  <c r="AF109" i="65"/>
  <c r="AE109" i="65"/>
  <c r="AD109" i="65"/>
  <c r="AC109" i="65"/>
  <c r="AB109" i="65"/>
  <c r="Z109" i="65"/>
  <c r="EG109" i="65" s="1"/>
  <c r="Y109" i="65"/>
  <c r="EF109" i="65" s="1"/>
  <c r="X109" i="65"/>
  <c r="W109" i="65"/>
  <c r="ED109" i="65" s="1"/>
  <c r="V109" i="65"/>
  <c r="EC109" i="65" s="1"/>
  <c r="U109" i="65"/>
  <c r="EB109" i="65" s="1"/>
  <c r="T109" i="65"/>
  <c r="EA109" i="65" s="1"/>
  <c r="S109" i="65"/>
  <c r="R109" i="65"/>
  <c r="Q109" i="65"/>
  <c r="DX109" i="65" s="1"/>
  <c r="O109" i="65"/>
  <c r="N109" i="65"/>
  <c r="M109" i="65"/>
  <c r="L109" i="65"/>
  <c r="K109" i="65"/>
  <c r="J109" i="65"/>
  <c r="I109" i="65"/>
  <c r="H109" i="65"/>
  <c r="G109" i="65"/>
  <c r="F109" i="65"/>
  <c r="E109" i="65"/>
  <c r="EN108" i="65"/>
  <c r="EM108" i="65"/>
  <c r="EL108" i="65"/>
  <c r="DU108" i="65"/>
  <c r="DT108" i="65"/>
  <c r="DS108" i="65"/>
  <c r="DR108" i="65"/>
  <c r="DQ108" i="65"/>
  <c r="DP108" i="65"/>
  <c r="DO108" i="65"/>
  <c r="DN108" i="65"/>
  <c r="DM108" i="65"/>
  <c r="DL108" i="65"/>
  <c r="DK108" i="65"/>
  <c r="DJ108" i="65"/>
  <c r="DI108" i="65"/>
  <c r="DH108" i="65"/>
  <c r="DG108" i="65"/>
  <c r="DF108" i="65"/>
  <c r="DE108" i="65"/>
  <c r="DD108" i="65"/>
  <c r="DC108" i="65"/>
  <c r="DB108" i="65"/>
  <c r="DA108" i="65"/>
  <c r="CZ108" i="65"/>
  <c r="CY108" i="65"/>
  <c r="CX108" i="65"/>
  <c r="CW108" i="65"/>
  <c r="CV108" i="65"/>
  <c r="CU108" i="65"/>
  <c r="CT108" i="65"/>
  <c r="CS108" i="65"/>
  <c r="CR108" i="65"/>
  <c r="CQ108" i="65"/>
  <c r="CP108" i="65"/>
  <c r="CO108" i="65"/>
  <c r="CN108" i="65"/>
  <c r="CM108" i="65"/>
  <c r="CL108" i="65"/>
  <c r="CK108" i="65"/>
  <c r="CJ108" i="65"/>
  <c r="CI108" i="65"/>
  <c r="CH108" i="65"/>
  <c r="CG108" i="65"/>
  <c r="CF108" i="65"/>
  <c r="CE108" i="65"/>
  <c r="CD108" i="65"/>
  <c r="CC108" i="65"/>
  <c r="CB108" i="65"/>
  <c r="CA108" i="65"/>
  <c r="BZ108" i="65"/>
  <c r="BY108" i="65"/>
  <c r="BX108" i="65"/>
  <c r="BW108" i="65"/>
  <c r="BV108" i="65"/>
  <c r="BU108" i="65"/>
  <c r="BT108" i="65"/>
  <c r="BS108" i="65"/>
  <c r="BR108" i="65"/>
  <c r="BQ108" i="65"/>
  <c r="BP108" i="65"/>
  <c r="BO108" i="65"/>
  <c r="BN108" i="65"/>
  <c r="BM108" i="65"/>
  <c r="BL108" i="65"/>
  <c r="BK108" i="65"/>
  <c r="BJ108" i="65"/>
  <c r="BI108" i="65"/>
  <c r="BH108" i="65"/>
  <c r="BG108" i="65"/>
  <c r="BF108" i="65"/>
  <c r="BE108" i="65"/>
  <c r="BD108" i="65"/>
  <c r="ED108" i="65" s="1"/>
  <c r="BC108" i="65"/>
  <c r="BB108" i="65"/>
  <c r="BA108" i="65"/>
  <c r="AZ108" i="65"/>
  <c r="AY108" i="65"/>
  <c r="AX108" i="65"/>
  <c r="AW108" i="65"/>
  <c r="AV108" i="65"/>
  <c r="AU108" i="65"/>
  <c r="AT108" i="65"/>
  <c r="AS108" i="65"/>
  <c r="AR108" i="65"/>
  <c r="AQ108" i="65"/>
  <c r="AP108" i="65"/>
  <c r="AO108" i="65"/>
  <c r="AN108" i="65"/>
  <c r="AM108" i="65"/>
  <c r="AL108" i="65"/>
  <c r="AK108" i="65"/>
  <c r="AJ108" i="65"/>
  <c r="AI108" i="65"/>
  <c r="AH108" i="65"/>
  <c r="AG108" i="65"/>
  <c r="AF108" i="65"/>
  <c r="AE108" i="65"/>
  <c r="AD108" i="65"/>
  <c r="AC108" i="65"/>
  <c r="AB108" i="65"/>
  <c r="Z108" i="65"/>
  <c r="Y108" i="65"/>
  <c r="EF108" i="65" s="1"/>
  <c r="X108" i="65"/>
  <c r="EE108" i="65" s="1"/>
  <c r="W108" i="65"/>
  <c r="V108" i="65"/>
  <c r="EC108" i="65" s="1"/>
  <c r="U108" i="65"/>
  <c r="EB108" i="65" s="1"/>
  <c r="T108" i="65"/>
  <c r="EA108" i="65" s="1"/>
  <c r="S108" i="65"/>
  <c r="DZ108" i="65" s="1"/>
  <c r="R108" i="65"/>
  <c r="Q108" i="65"/>
  <c r="O108" i="65"/>
  <c r="N108" i="65"/>
  <c r="M108" i="65"/>
  <c r="L108" i="65"/>
  <c r="K108" i="65"/>
  <c r="J108" i="65"/>
  <c r="I108" i="65"/>
  <c r="H108" i="65"/>
  <c r="G108" i="65"/>
  <c r="F108" i="65"/>
  <c r="E108" i="65"/>
  <c r="ER107" i="65"/>
  <c r="EM107" i="65"/>
  <c r="EL107" i="65"/>
  <c r="EK107" i="65"/>
  <c r="DU107" i="65"/>
  <c r="DT107" i="65"/>
  <c r="DS107" i="65"/>
  <c r="DR107" i="65"/>
  <c r="DQ107" i="65"/>
  <c r="DP107" i="65"/>
  <c r="DO107" i="65"/>
  <c r="DN107" i="65"/>
  <c r="DM107" i="65"/>
  <c r="DL107" i="65"/>
  <c r="DK107" i="65"/>
  <c r="DJ107" i="65"/>
  <c r="DI107" i="65"/>
  <c r="DH107" i="65"/>
  <c r="DG107" i="65"/>
  <c r="DF107" i="65"/>
  <c r="DE107" i="65"/>
  <c r="DD107" i="65"/>
  <c r="DC107" i="65"/>
  <c r="DB107" i="65"/>
  <c r="DA107" i="65"/>
  <c r="CZ107" i="65"/>
  <c r="CY107" i="65"/>
  <c r="CX107" i="65"/>
  <c r="CW107" i="65"/>
  <c r="CV107" i="65"/>
  <c r="CU107" i="65"/>
  <c r="CT107" i="65"/>
  <c r="CS107" i="65"/>
  <c r="CR107" i="65"/>
  <c r="CQ107" i="65"/>
  <c r="CP107" i="65"/>
  <c r="CO107" i="65"/>
  <c r="CN107" i="65"/>
  <c r="CM107" i="65"/>
  <c r="CL107" i="65"/>
  <c r="CK107" i="65"/>
  <c r="CJ107" i="65"/>
  <c r="CI107" i="65"/>
  <c r="CH107" i="65"/>
  <c r="CG107" i="65"/>
  <c r="CF107" i="65"/>
  <c r="CE107" i="65"/>
  <c r="CD107" i="65"/>
  <c r="CC107" i="65"/>
  <c r="CB107" i="65"/>
  <c r="CA107" i="65"/>
  <c r="BZ107" i="65"/>
  <c r="BY107" i="65"/>
  <c r="BX107" i="65"/>
  <c r="BW107" i="65"/>
  <c r="BV107" i="65"/>
  <c r="BU107" i="65"/>
  <c r="BT107" i="65"/>
  <c r="BS107" i="65"/>
  <c r="BR107" i="65"/>
  <c r="BQ107" i="65"/>
  <c r="BP107" i="65"/>
  <c r="BO107" i="65"/>
  <c r="BN107" i="65"/>
  <c r="BM107" i="65"/>
  <c r="BL107" i="65"/>
  <c r="BK107" i="65"/>
  <c r="BJ107" i="65"/>
  <c r="BI107" i="65"/>
  <c r="BH107" i="65"/>
  <c r="BG107" i="65"/>
  <c r="BF107" i="65"/>
  <c r="BE107" i="65"/>
  <c r="BD107" i="65"/>
  <c r="BC107" i="65"/>
  <c r="EC107" i="65" s="1"/>
  <c r="BB107" i="65"/>
  <c r="BA107" i="65"/>
  <c r="AZ107" i="65"/>
  <c r="AY107" i="65"/>
  <c r="AX107" i="65"/>
  <c r="AW107" i="65"/>
  <c r="AV107" i="65"/>
  <c r="AU107" i="65"/>
  <c r="AT107" i="65"/>
  <c r="AS107" i="65"/>
  <c r="AR107" i="65"/>
  <c r="AQ107" i="65"/>
  <c r="AP107" i="65"/>
  <c r="AO107" i="65"/>
  <c r="AN107" i="65"/>
  <c r="AM107" i="65"/>
  <c r="AL107" i="65"/>
  <c r="AK107" i="65"/>
  <c r="AJ107" i="65"/>
  <c r="AI107" i="65"/>
  <c r="AH107" i="65"/>
  <c r="AG107" i="65"/>
  <c r="AF107" i="65"/>
  <c r="AE107" i="65"/>
  <c r="AD107" i="65"/>
  <c r="AC107" i="65"/>
  <c r="AB107" i="65"/>
  <c r="Z107" i="65"/>
  <c r="Y107" i="65"/>
  <c r="X107" i="65"/>
  <c r="EE107" i="65" s="1"/>
  <c r="W107" i="65"/>
  <c r="ED107" i="65" s="1"/>
  <c r="V107" i="65"/>
  <c r="U107" i="65"/>
  <c r="EB107" i="65" s="1"/>
  <c r="T107" i="65"/>
  <c r="EA107" i="65" s="1"/>
  <c r="S107" i="65"/>
  <c r="DZ107" i="65" s="1"/>
  <c r="R107" i="65"/>
  <c r="DY107" i="65" s="1"/>
  <c r="Q107" i="65"/>
  <c r="O107" i="65"/>
  <c r="N107" i="65"/>
  <c r="M107" i="65"/>
  <c r="L107" i="65"/>
  <c r="K107" i="65"/>
  <c r="J107" i="65"/>
  <c r="I107" i="65"/>
  <c r="H107" i="65"/>
  <c r="G107" i="65"/>
  <c r="F107" i="65"/>
  <c r="E107" i="65"/>
  <c r="ER106" i="65"/>
  <c r="EQ106" i="65"/>
  <c r="EL106" i="65"/>
  <c r="EK106" i="65"/>
  <c r="EJ106" i="65"/>
  <c r="DU106" i="65"/>
  <c r="DT106" i="65"/>
  <c r="DS106" i="65"/>
  <c r="DR106" i="65"/>
  <c r="DQ106" i="65"/>
  <c r="DP106" i="65"/>
  <c r="DO106" i="65"/>
  <c r="DN106" i="65"/>
  <c r="DM106" i="65"/>
  <c r="DL106" i="65"/>
  <c r="DK106" i="65"/>
  <c r="DJ106" i="65"/>
  <c r="DI106" i="65"/>
  <c r="DH106" i="65"/>
  <c r="DG106" i="65"/>
  <c r="DF106" i="65"/>
  <c r="DE106" i="65"/>
  <c r="DD106" i="65"/>
  <c r="DC106" i="65"/>
  <c r="DB106" i="65"/>
  <c r="DA106" i="65"/>
  <c r="CZ106" i="65"/>
  <c r="CY106" i="65"/>
  <c r="CX106" i="65"/>
  <c r="CW106" i="65"/>
  <c r="CV106" i="65"/>
  <c r="CU106" i="65"/>
  <c r="CT106" i="65"/>
  <c r="CS106" i="65"/>
  <c r="CR106" i="65"/>
  <c r="CQ106" i="65"/>
  <c r="CP106" i="65"/>
  <c r="CO106" i="65"/>
  <c r="CN106" i="65"/>
  <c r="CM106" i="65"/>
  <c r="CL106" i="65"/>
  <c r="CK106" i="65"/>
  <c r="CJ106" i="65"/>
  <c r="CI106" i="65"/>
  <c r="CH106" i="65"/>
  <c r="CG106" i="65"/>
  <c r="CF106" i="65"/>
  <c r="CE106" i="65"/>
  <c r="CD106" i="65"/>
  <c r="CC106" i="65"/>
  <c r="CB106" i="65"/>
  <c r="CA106" i="65"/>
  <c r="BZ106" i="65"/>
  <c r="BY106" i="65"/>
  <c r="BX106" i="65"/>
  <c r="BW106" i="65"/>
  <c r="BV106" i="65"/>
  <c r="BU106" i="65"/>
  <c r="BT106" i="65"/>
  <c r="BS106" i="65"/>
  <c r="BR106" i="65"/>
  <c r="BQ106" i="65"/>
  <c r="BP106" i="65"/>
  <c r="BO106" i="65"/>
  <c r="BN106" i="65"/>
  <c r="BM106" i="65"/>
  <c r="BL106" i="65"/>
  <c r="BK106" i="65"/>
  <c r="BJ106" i="65"/>
  <c r="BI106" i="65"/>
  <c r="BH106" i="65"/>
  <c r="BG106" i="65"/>
  <c r="BF106" i="65"/>
  <c r="BE106" i="65"/>
  <c r="BD106" i="65"/>
  <c r="BC106" i="65"/>
  <c r="BB106" i="65"/>
  <c r="EB106" i="65" s="1"/>
  <c r="BA106" i="65"/>
  <c r="AZ106" i="65"/>
  <c r="AY106" i="65"/>
  <c r="AX106" i="65"/>
  <c r="AW106" i="65"/>
  <c r="AV106" i="65"/>
  <c r="AU106" i="65"/>
  <c r="AT106" i="65"/>
  <c r="AS106" i="65"/>
  <c r="AR106" i="65"/>
  <c r="AQ106" i="65"/>
  <c r="AP106" i="65"/>
  <c r="AO106" i="65"/>
  <c r="AN106" i="65"/>
  <c r="AM106" i="65"/>
  <c r="AL106" i="65"/>
  <c r="AK106" i="65"/>
  <c r="AJ106" i="65"/>
  <c r="AI106" i="65"/>
  <c r="AH106" i="65"/>
  <c r="AG106" i="65"/>
  <c r="AF106" i="65"/>
  <c r="AE106" i="65"/>
  <c r="AD106" i="65"/>
  <c r="AC106" i="65"/>
  <c r="AB106" i="65"/>
  <c r="Z106" i="65"/>
  <c r="Y106" i="65"/>
  <c r="X106" i="65"/>
  <c r="W106" i="65"/>
  <c r="ED106" i="65" s="1"/>
  <c r="V106" i="65"/>
  <c r="EC106" i="65" s="1"/>
  <c r="U106" i="65"/>
  <c r="T106" i="65"/>
  <c r="EA106" i="65" s="1"/>
  <c r="S106" i="65"/>
  <c r="DZ106" i="65" s="1"/>
  <c r="R106" i="65"/>
  <c r="DY106" i="65" s="1"/>
  <c r="Q106" i="65"/>
  <c r="O106" i="65"/>
  <c r="N106" i="65"/>
  <c r="M106" i="65"/>
  <c r="L106" i="65"/>
  <c r="K106" i="65"/>
  <c r="J106" i="65"/>
  <c r="I106" i="65"/>
  <c r="H106" i="65"/>
  <c r="G106" i="65"/>
  <c r="F106" i="65"/>
  <c r="E106" i="65"/>
  <c r="ER105" i="65"/>
  <c r="EQ105" i="65"/>
  <c r="EP105" i="65"/>
  <c r="EK105" i="65"/>
  <c r="EI105" i="65"/>
  <c r="DU105" i="65"/>
  <c r="DT105" i="65"/>
  <c r="DS105" i="65"/>
  <c r="DR105" i="65"/>
  <c r="DQ105" i="65"/>
  <c r="DP105" i="65"/>
  <c r="DO105" i="65"/>
  <c r="DN105" i="65"/>
  <c r="DM105" i="65"/>
  <c r="DL105" i="65"/>
  <c r="DK105" i="65"/>
  <c r="DJ105" i="65"/>
  <c r="DI105" i="65"/>
  <c r="DH105" i="65"/>
  <c r="DG105" i="65"/>
  <c r="DF105" i="65"/>
  <c r="DE105" i="65"/>
  <c r="DD105" i="65"/>
  <c r="DC105" i="65"/>
  <c r="DB105" i="65"/>
  <c r="DA105" i="65"/>
  <c r="CZ105" i="65"/>
  <c r="CY105" i="65"/>
  <c r="CX105" i="65"/>
  <c r="CW105" i="65"/>
  <c r="CV105" i="65"/>
  <c r="CU105" i="65"/>
  <c r="CT105" i="65"/>
  <c r="CS105" i="65"/>
  <c r="CR105" i="65"/>
  <c r="CQ105" i="65"/>
  <c r="CP105" i="65"/>
  <c r="CO105" i="65"/>
  <c r="CN105" i="65"/>
  <c r="CM105" i="65"/>
  <c r="CL105" i="65"/>
  <c r="CK105" i="65"/>
  <c r="CJ105" i="65"/>
  <c r="CI105" i="65"/>
  <c r="CH105" i="65"/>
  <c r="CG105" i="65"/>
  <c r="CF105" i="65"/>
  <c r="CE105" i="65"/>
  <c r="CD105" i="65"/>
  <c r="CC105" i="65"/>
  <c r="CB105" i="65"/>
  <c r="CA105" i="65"/>
  <c r="BZ105" i="65"/>
  <c r="BY105" i="65"/>
  <c r="BX105" i="65"/>
  <c r="BW105" i="65"/>
  <c r="BV105" i="65"/>
  <c r="BU105" i="65"/>
  <c r="BT105" i="65"/>
  <c r="BS105" i="65"/>
  <c r="BR105" i="65"/>
  <c r="BQ105" i="65"/>
  <c r="BP105" i="65"/>
  <c r="BO105" i="65"/>
  <c r="BN105" i="65"/>
  <c r="BM105" i="65"/>
  <c r="BL105" i="65"/>
  <c r="BK105" i="65"/>
  <c r="BJ105" i="65"/>
  <c r="BI105" i="65"/>
  <c r="BH105" i="65"/>
  <c r="BG105" i="65"/>
  <c r="BF105" i="65"/>
  <c r="BE105" i="65"/>
  <c r="BD105" i="65"/>
  <c r="BC105" i="65"/>
  <c r="BB105" i="65"/>
  <c r="BA105" i="65"/>
  <c r="EA105" i="65" s="1"/>
  <c r="AZ105" i="65"/>
  <c r="AY105" i="65"/>
  <c r="AX105" i="65"/>
  <c r="AW105" i="65"/>
  <c r="AV105" i="65"/>
  <c r="AU105" i="65"/>
  <c r="AT105" i="65"/>
  <c r="AS105" i="65"/>
  <c r="AR105" i="65"/>
  <c r="AQ105" i="65"/>
  <c r="AP105" i="65"/>
  <c r="AO105" i="65"/>
  <c r="AN105" i="65"/>
  <c r="EJ105" i="65" s="1"/>
  <c r="AM105" i="65"/>
  <c r="AL105" i="65"/>
  <c r="AK105" i="65"/>
  <c r="AJ105" i="65"/>
  <c r="AI105" i="65"/>
  <c r="AH105" i="65"/>
  <c r="AG105" i="65"/>
  <c r="AF105" i="65"/>
  <c r="AE105" i="65"/>
  <c r="AD105" i="65"/>
  <c r="AC105" i="65"/>
  <c r="AB105" i="65"/>
  <c r="Z105" i="65"/>
  <c r="Y105" i="65"/>
  <c r="EF105" i="65" s="1"/>
  <c r="X105" i="65"/>
  <c r="W105" i="65"/>
  <c r="V105" i="65"/>
  <c r="EC105" i="65" s="1"/>
  <c r="U105" i="65"/>
  <c r="EB105" i="65" s="1"/>
  <c r="T105" i="65"/>
  <c r="S105" i="65"/>
  <c r="R105" i="65"/>
  <c r="Q105" i="65"/>
  <c r="DX105" i="65" s="1"/>
  <c r="O105" i="65"/>
  <c r="N105" i="65"/>
  <c r="M105" i="65"/>
  <c r="L105" i="65"/>
  <c r="K105" i="65"/>
  <c r="J105" i="65"/>
  <c r="I105" i="65"/>
  <c r="H105" i="65"/>
  <c r="G105" i="65"/>
  <c r="F105" i="65"/>
  <c r="E105" i="65"/>
  <c r="EQ104" i="65"/>
  <c r="EP104" i="65"/>
  <c r="EO104" i="65"/>
  <c r="EJ104" i="65"/>
  <c r="EH104" i="65"/>
  <c r="DU104" i="65"/>
  <c r="DT104" i="65"/>
  <c r="DS104" i="65"/>
  <c r="DR104" i="65"/>
  <c r="DQ104" i="65"/>
  <c r="DP104" i="65"/>
  <c r="DO104" i="65"/>
  <c r="DN104" i="65"/>
  <c r="DM104" i="65"/>
  <c r="DL104" i="65"/>
  <c r="DK104" i="65"/>
  <c r="DJ104" i="65"/>
  <c r="DI104" i="65"/>
  <c r="DH104" i="65"/>
  <c r="DG104" i="65"/>
  <c r="DF104" i="65"/>
  <c r="DE104" i="65"/>
  <c r="DD104" i="65"/>
  <c r="DC104" i="65"/>
  <c r="DB104" i="65"/>
  <c r="DA104" i="65"/>
  <c r="CZ104" i="65"/>
  <c r="CY104" i="65"/>
  <c r="CX104" i="65"/>
  <c r="CW104" i="65"/>
  <c r="CV104" i="65"/>
  <c r="CU104" i="65"/>
  <c r="CT104" i="65"/>
  <c r="CS104" i="65"/>
  <c r="CR104" i="65"/>
  <c r="CQ104" i="65"/>
  <c r="CP104" i="65"/>
  <c r="CO104" i="65"/>
  <c r="CN104" i="65"/>
  <c r="CM104" i="65"/>
  <c r="CL104" i="65"/>
  <c r="CK104" i="65"/>
  <c r="CJ104" i="65"/>
  <c r="CI104" i="65"/>
  <c r="CH104" i="65"/>
  <c r="CG104" i="65"/>
  <c r="CF104" i="65"/>
  <c r="CE104" i="65"/>
  <c r="CD104" i="65"/>
  <c r="CC104" i="65"/>
  <c r="CB104" i="65"/>
  <c r="CA104" i="65"/>
  <c r="BZ104" i="65"/>
  <c r="BY104" i="65"/>
  <c r="BX104" i="65"/>
  <c r="BW104" i="65"/>
  <c r="BV104" i="65"/>
  <c r="BU104" i="65"/>
  <c r="BT104" i="65"/>
  <c r="BS104" i="65"/>
  <c r="BR104" i="65"/>
  <c r="BQ104" i="65"/>
  <c r="BP104" i="65"/>
  <c r="BO104" i="65"/>
  <c r="BN104" i="65"/>
  <c r="BM104" i="65"/>
  <c r="BL104" i="65"/>
  <c r="BK104" i="65"/>
  <c r="BJ104" i="65"/>
  <c r="BI104" i="65"/>
  <c r="BH104" i="65"/>
  <c r="BG104" i="65"/>
  <c r="BF104" i="65"/>
  <c r="BE104" i="65"/>
  <c r="BD104" i="65"/>
  <c r="BC104" i="65"/>
  <c r="BB104" i="65"/>
  <c r="BA104" i="65"/>
  <c r="AZ104" i="65"/>
  <c r="DZ104" i="65" s="1"/>
  <c r="AY104" i="65"/>
  <c r="AX104" i="65"/>
  <c r="AW104" i="65"/>
  <c r="AV104" i="65"/>
  <c r="AU104" i="65"/>
  <c r="AT104" i="65"/>
  <c r="AS104" i="65"/>
  <c r="AR104" i="65"/>
  <c r="AQ104" i="65"/>
  <c r="AP104" i="65"/>
  <c r="AO104" i="65"/>
  <c r="AN104" i="65"/>
  <c r="AM104" i="65"/>
  <c r="EI104" i="65" s="1"/>
  <c r="AL104" i="65"/>
  <c r="AK104" i="65"/>
  <c r="AJ104" i="65"/>
  <c r="AI104" i="65"/>
  <c r="AH104" i="65"/>
  <c r="AG104" i="65"/>
  <c r="AF104" i="65"/>
  <c r="AE104" i="65"/>
  <c r="AD104" i="65"/>
  <c r="AC104" i="65"/>
  <c r="AB104" i="65"/>
  <c r="Z104" i="65"/>
  <c r="Y104" i="65"/>
  <c r="X104" i="65"/>
  <c r="W104" i="65"/>
  <c r="V104" i="65"/>
  <c r="U104" i="65"/>
  <c r="EB104" i="65" s="1"/>
  <c r="T104" i="65"/>
  <c r="S104" i="65"/>
  <c r="R104" i="65"/>
  <c r="Q104" i="65"/>
  <c r="O104" i="65"/>
  <c r="N104" i="65"/>
  <c r="M104" i="65"/>
  <c r="L104" i="65"/>
  <c r="K104" i="65"/>
  <c r="J104" i="65"/>
  <c r="I104" i="65"/>
  <c r="H104" i="65"/>
  <c r="G104" i="65"/>
  <c r="F104" i="65"/>
  <c r="E104" i="65"/>
  <c r="ER103" i="65"/>
  <c r="EP103" i="65"/>
  <c r="EO103" i="65"/>
  <c r="EN103" i="65"/>
  <c r="EI103" i="65"/>
  <c r="DU103" i="65"/>
  <c r="DT103" i="65"/>
  <c r="DS103" i="65"/>
  <c r="DR103" i="65"/>
  <c r="DQ103" i="65"/>
  <c r="DP103" i="65"/>
  <c r="DO103" i="65"/>
  <c r="DN103" i="65"/>
  <c r="DM103" i="65"/>
  <c r="DL103" i="65"/>
  <c r="DK103" i="65"/>
  <c r="DJ103" i="65"/>
  <c r="DI103" i="65"/>
  <c r="DH103" i="65"/>
  <c r="DG103" i="65"/>
  <c r="DF103" i="65"/>
  <c r="DE103" i="65"/>
  <c r="DD103" i="65"/>
  <c r="DC103" i="65"/>
  <c r="DB103" i="65"/>
  <c r="DA103" i="65"/>
  <c r="CZ103" i="65"/>
  <c r="CY103" i="65"/>
  <c r="CX103" i="65"/>
  <c r="CW103" i="65"/>
  <c r="CV103" i="65"/>
  <c r="CU103" i="65"/>
  <c r="CT103" i="65"/>
  <c r="CS103" i="65"/>
  <c r="CR103" i="65"/>
  <c r="CQ103" i="65"/>
  <c r="CP103" i="65"/>
  <c r="CO103" i="65"/>
  <c r="CN103" i="65"/>
  <c r="CM103" i="65"/>
  <c r="CL103" i="65"/>
  <c r="CK103" i="65"/>
  <c r="CJ103" i="65"/>
  <c r="CI103" i="65"/>
  <c r="CH103" i="65"/>
  <c r="CG103" i="65"/>
  <c r="CF103" i="65"/>
  <c r="CE103" i="65"/>
  <c r="CD103" i="65"/>
  <c r="CC103" i="65"/>
  <c r="CB103" i="65"/>
  <c r="CA103" i="65"/>
  <c r="BZ103" i="65"/>
  <c r="BY103" i="65"/>
  <c r="BX103" i="65"/>
  <c r="BW103" i="65"/>
  <c r="BV103" i="65"/>
  <c r="BU103" i="65"/>
  <c r="BT103" i="65"/>
  <c r="BS103" i="65"/>
  <c r="BR103" i="65"/>
  <c r="BQ103" i="65"/>
  <c r="BP103" i="65"/>
  <c r="BO103" i="65"/>
  <c r="BN103" i="65"/>
  <c r="BM103" i="65"/>
  <c r="BL103" i="65"/>
  <c r="BK103" i="65"/>
  <c r="BJ103" i="65"/>
  <c r="BI103" i="65"/>
  <c r="BH103" i="65"/>
  <c r="BG103" i="65"/>
  <c r="BF103" i="65"/>
  <c r="BE103" i="65"/>
  <c r="BD103" i="65"/>
  <c r="BC103" i="65"/>
  <c r="BB103" i="65"/>
  <c r="BA103" i="65"/>
  <c r="AZ103" i="65"/>
  <c r="AY103" i="65"/>
  <c r="AX103" i="65"/>
  <c r="AW103" i="65"/>
  <c r="AV103" i="65"/>
  <c r="AU103" i="65"/>
  <c r="AT103" i="65"/>
  <c r="AS103" i="65"/>
  <c r="AR103" i="65"/>
  <c r="AQ103" i="65"/>
  <c r="AP103" i="65"/>
  <c r="AO103" i="65"/>
  <c r="AN103" i="65"/>
  <c r="AM103" i="65"/>
  <c r="AL103" i="65"/>
  <c r="EH103" i="65" s="1"/>
  <c r="AK103" i="65"/>
  <c r="AJ103" i="65"/>
  <c r="AI103" i="65"/>
  <c r="AH103" i="65"/>
  <c r="AG103" i="65"/>
  <c r="AF103" i="65"/>
  <c r="EB103" i="65" s="1"/>
  <c r="AE103" i="65"/>
  <c r="AD103" i="65"/>
  <c r="AC103" i="65"/>
  <c r="AB103" i="65"/>
  <c r="Z103" i="65"/>
  <c r="Y103" i="65"/>
  <c r="X103" i="65"/>
  <c r="W103" i="65"/>
  <c r="V103" i="65"/>
  <c r="U103" i="65"/>
  <c r="T103" i="65"/>
  <c r="EA103" i="65" s="1"/>
  <c r="S103" i="65"/>
  <c r="R103" i="65"/>
  <c r="Q103" i="65"/>
  <c r="O103" i="65"/>
  <c r="N103" i="65"/>
  <c r="M103" i="65"/>
  <c r="L103" i="65"/>
  <c r="K103" i="65"/>
  <c r="J103" i="65"/>
  <c r="I103" i="65"/>
  <c r="H103" i="65"/>
  <c r="G103" i="65"/>
  <c r="F103" i="65"/>
  <c r="E103" i="65"/>
  <c r="EO102" i="65"/>
  <c r="EN102" i="65"/>
  <c r="EM102" i="65"/>
  <c r="EH102" i="65"/>
  <c r="DU102" i="65"/>
  <c r="DT102" i="65"/>
  <c r="DS102" i="65"/>
  <c r="DR102" i="65"/>
  <c r="DQ102" i="65"/>
  <c r="DP102" i="65"/>
  <c r="DO102" i="65"/>
  <c r="DN102" i="65"/>
  <c r="DM102" i="65"/>
  <c r="DL102" i="65"/>
  <c r="DK102" i="65"/>
  <c r="DJ102" i="65"/>
  <c r="DI102" i="65"/>
  <c r="DH102" i="65"/>
  <c r="DG102" i="65"/>
  <c r="DF102" i="65"/>
  <c r="DE102" i="65"/>
  <c r="DD102" i="65"/>
  <c r="DC102" i="65"/>
  <c r="DB102" i="65"/>
  <c r="DA102" i="65"/>
  <c r="CZ102" i="65"/>
  <c r="CY102" i="65"/>
  <c r="CX102" i="65"/>
  <c r="CW102" i="65"/>
  <c r="CV102" i="65"/>
  <c r="CU102" i="65"/>
  <c r="CT102" i="65"/>
  <c r="CS102" i="65"/>
  <c r="CR102" i="65"/>
  <c r="CQ102" i="65"/>
  <c r="CP102" i="65"/>
  <c r="CO102" i="65"/>
  <c r="CN102" i="65"/>
  <c r="CM102" i="65"/>
  <c r="CL102" i="65"/>
  <c r="CK102" i="65"/>
  <c r="CJ102" i="65"/>
  <c r="CI102" i="65"/>
  <c r="CH102" i="65"/>
  <c r="CG102" i="65"/>
  <c r="CF102" i="65"/>
  <c r="CE102" i="65"/>
  <c r="CD102" i="65"/>
  <c r="CC102" i="65"/>
  <c r="CB102" i="65"/>
  <c r="CA102" i="65"/>
  <c r="BZ102" i="65"/>
  <c r="BY102" i="65"/>
  <c r="BX102" i="65"/>
  <c r="BW102" i="65"/>
  <c r="BV102" i="65"/>
  <c r="BU102" i="65"/>
  <c r="BT102" i="65"/>
  <c r="BS102" i="65"/>
  <c r="BR102" i="65"/>
  <c r="BQ102" i="65"/>
  <c r="BP102" i="65"/>
  <c r="BO102" i="65"/>
  <c r="BN102" i="65"/>
  <c r="BM102" i="65"/>
  <c r="BL102" i="65"/>
  <c r="BK102" i="65"/>
  <c r="BJ102" i="65"/>
  <c r="BI102" i="65"/>
  <c r="BH102" i="65"/>
  <c r="BG102" i="65"/>
  <c r="BF102" i="65"/>
  <c r="BE102" i="65"/>
  <c r="BD102" i="65"/>
  <c r="BC102" i="65"/>
  <c r="BB102" i="65"/>
  <c r="BA102" i="65"/>
  <c r="AZ102" i="65"/>
  <c r="AY102" i="65"/>
  <c r="AX102" i="65"/>
  <c r="AW102" i="65"/>
  <c r="AV102" i="65"/>
  <c r="AU102" i="65"/>
  <c r="AT102" i="65"/>
  <c r="AS102" i="65"/>
  <c r="AR102" i="65"/>
  <c r="AQ102" i="65"/>
  <c r="AP102" i="65"/>
  <c r="AO102" i="65"/>
  <c r="AN102" i="65"/>
  <c r="AM102" i="65"/>
  <c r="EI102" i="65" s="1"/>
  <c r="AL102" i="65"/>
  <c r="AK102" i="65"/>
  <c r="AJ102" i="65"/>
  <c r="AI102" i="65"/>
  <c r="AH102" i="65"/>
  <c r="AG102" i="65"/>
  <c r="AF102" i="65"/>
  <c r="AE102" i="65"/>
  <c r="AD102" i="65"/>
  <c r="AC102" i="65"/>
  <c r="AB102" i="65"/>
  <c r="Z102" i="65"/>
  <c r="Y102" i="65"/>
  <c r="X102" i="65"/>
  <c r="W102" i="65"/>
  <c r="V102" i="65"/>
  <c r="U102" i="65"/>
  <c r="T102" i="65"/>
  <c r="S102" i="65"/>
  <c r="R102" i="65"/>
  <c r="Q102" i="65"/>
  <c r="O102" i="65"/>
  <c r="N102" i="65"/>
  <c r="M102" i="65"/>
  <c r="L102" i="65"/>
  <c r="K102" i="65"/>
  <c r="J102" i="65"/>
  <c r="I102" i="65"/>
  <c r="H102" i="65"/>
  <c r="G102" i="65"/>
  <c r="F102" i="65"/>
  <c r="E102" i="65"/>
  <c r="EN101" i="65"/>
  <c r="EM101" i="65"/>
  <c r="EL101" i="65"/>
  <c r="EE101" i="65"/>
  <c r="DU101" i="65"/>
  <c r="DT101" i="65"/>
  <c r="DS101" i="65"/>
  <c r="DR101" i="65"/>
  <c r="DQ101" i="65"/>
  <c r="DP101" i="65"/>
  <c r="DO101" i="65"/>
  <c r="DN101" i="65"/>
  <c r="DM101" i="65"/>
  <c r="DL101" i="65"/>
  <c r="DK101" i="65"/>
  <c r="DJ101" i="65"/>
  <c r="DI101" i="65"/>
  <c r="DH101" i="65"/>
  <c r="DG101" i="65"/>
  <c r="DF101" i="65"/>
  <c r="DE101" i="65"/>
  <c r="DD101" i="65"/>
  <c r="DC101" i="65"/>
  <c r="DB101" i="65"/>
  <c r="DA101" i="65"/>
  <c r="CZ101" i="65"/>
  <c r="CY101" i="65"/>
  <c r="CX101" i="65"/>
  <c r="CW101" i="65"/>
  <c r="CV101" i="65"/>
  <c r="CU101" i="65"/>
  <c r="CT101" i="65"/>
  <c r="CS101" i="65"/>
  <c r="CR101" i="65"/>
  <c r="CQ101" i="65"/>
  <c r="CP101" i="65"/>
  <c r="CO101" i="65"/>
  <c r="CN101" i="65"/>
  <c r="CM101" i="65"/>
  <c r="CL101" i="65"/>
  <c r="CK101" i="65"/>
  <c r="CJ101" i="65"/>
  <c r="CI101" i="65"/>
  <c r="CH101" i="65"/>
  <c r="CG101" i="65"/>
  <c r="CF101" i="65"/>
  <c r="CE101" i="65"/>
  <c r="CD101" i="65"/>
  <c r="CC101" i="65"/>
  <c r="CB101" i="65"/>
  <c r="CA101" i="65"/>
  <c r="BZ101" i="65"/>
  <c r="BY101" i="65"/>
  <c r="BX101" i="65"/>
  <c r="BW101" i="65"/>
  <c r="BV101" i="65"/>
  <c r="BU101" i="65"/>
  <c r="BT101" i="65"/>
  <c r="BS101" i="65"/>
  <c r="BR101" i="65"/>
  <c r="BQ101" i="65"/>
  <c r="BP101" i="65"/>
  <c r="BO101" i="65"/>
  <c r="BN101" i="65"/>
  <c r="BM101" i="65"/>
  <c r="BL101" i="65"/>
  <c r="BK101" i="65"/>
  <c r="BJ101" i="65"/>
  <c r="BI101" i="65"/>
  <c r="BH101" i="65"/>
  <c r="BG101" i="65"/>
  <c r="BF101" i="65"/>
  <c r="BE101" i="65"/>
  <c r="BD101" i="65"/>
  <c r="BC101" i="65"/>
  <c r="BB101" i="65"/>
  <c r="BA101" i="65"/>
  <c r="AZ101" i="65"/>
  <c r="AY101" i="65"/>
  <c r="AX101" i="65"/>
  <c r="AW101" i="65"/>
  <c r="AV101" i="65"/>
  <c r="AU101" i="65"/>
  <c r="AT101" i="65"/>
  <c r="AS101" i="65"/>
  <c r="AR101" i="65"/>
  <c r="AQ101" i="65"/>
  <c r="AP101" i="65"/>
  <c r="AO101" i="65"/>
  <c r="AN101" i="65"/>
  <c r="AM101" i="65"/>
  <c r="AL101" i="65"/>
  <c r="EH101" i="65" s="1"/>
  <c r="AK101" i="65"/>
  <c r="AJ101" i="65"/>
  <c r="AI101" i="65"/>
  <c r="AH101" i="65"/>
  <c r="AG101" i="65"/>
  <c r="AF101" i="65"/>
  <c r="AE101" i="65"/>
  <c r="AD101" i="65"/>
  <c r="AC101" i="65"/>
  <c r="AB101" i="65"/>
  <c r="Z101" i="65"/>
  <c r="Y101" i="65"/>
  <c r="X101" i="65"/>
  <c r="W101" i="65"/>
  <c r="V101" i="65"/>
  <c r="U101" i="65"/>
  <c r="T101" i="65"/>
  <c r="S101" i="65"/>
  <c r="R101" i="65"/>
  <c r="Q101" i="65"/>
  <c r="DX101" i="65" s="1"/>
  <c r="O101" i="65"/>
  <c r="N101" i="65"/>
  <c r="M101" i="65"/>
  <c r="L101" i="65"/>
  <c r="K101" i="65"/>
  <c r="J101" i="65"/>
  <c r="I101" i="65"/>
  <c r="H101" i="65"/>
  <c r="G101" i="65"/>
  <c r="F101" i="65"/>
  <c r="E101" i="65"/>
  <c r="EM100" i="65"/>
  <c r="EL100" i="65"/>
  <c r="EK100" i="65"/>
  <c r="DY100" i="65"/>
  <c r="DU100" i="65"/>
  <c r="DT100" i="65"/>
  <c r="DS100" i="65"/>
  <c r="DR100" i="65"/>
  <c r="DQ100" i="65"/>
  <c r="DP100" i="65"/>
  <c r="DO100" i="65"/>
  <c r="DN100" i="65"/>
  <c r="DM100" i="65"/>
  <c r="DL100" i="65"/>
  <c r="DK100" i="65"/>
  <c r="DJ100" i="65"/>
  <c r="DI100" i="65"/>
  <c r="DH100" i="65"/>
  <c r="DG100" i="65"/>
  <c r="DF100" i="65"/>
  <c r="DE100" i="65"/>
  <c r="DD100" i="65"/>
  <c r="DC100" i="65"/>
  <c r="DB100" i="65"/>
  <c r="DA100" i="65"/>
  <c r="CZ100" i="65"/>
  <c r="CY100" i="65"/>
  <c r="CX100" i="65"/>
  <c r="CW100" i="65"/>
  <c r="CV100" i="65"/>
  <c r="CU100" i="65"/>
  <c r="CT100" i="65"/>
  <c r="CS100" i="65"/>
  <c r="CR100" i="65"/>
  <c r="CQ100" i="65"/>
  <c r="CP100" i="65"/>
  <c r="CO100" i="65"/>
  <c r="CN100" i="65"/>
  <c r="CM100" i="65"/>
  <c r="CL100" i="65"/>
  <c r="CK100" i="65"/>
  <c r="CJ100" i="65"/>
  <c r="CI100" i="65"/>
  <c r="CH100" i="65"/>
  <c r="CG100" i="65"/>
  <c r="CF100" i="65"/>
  <c r="CE100" i="65"/>
  <c r="CD100" i="65"/>
  <c r="CC100" i="65"/>
  <c r="CB100" i="65"/>
  <c r="CA100" i="65"/>
  <c r="BZ100" i="65"/>
  <c r="ED100" i="65" s="1"/>
  <c r="BY100" i="65"/>
  <c r="BX100" i="65"/>
  <c r="BW100" i="65"/>
  <c r="BV100" i="65"/>
  <c r="BU100" i="65"/>
  <c r="BT100" i="65"/>
  <c r="BS100" i="65"/>
  <c r="BR100" i="65"/>
  <c r="BQ100" i="65"/>
  <c r="BP100" i="65"/>
  <c r="BO100" i="65"/>
  <c r="BN100" i="65"/>
  <c r="BM100" i="65"/>
  <c r="BL100" i="65"/>
  <c r="BK100" i="65"/>
  <c r="BJ100" i="65"/>
  <c r="BI100" i="65"/>
  <c r="BH100" i="65"/>
  <c r="BG100" i="65"/>
  <c r="BF100" i="65"/>
  <c r="BE100" i="65"/>
  <c r="BD100" i="65"/>
  <c r="BC100" i="65"/>
  <c r="BB100" i="65"/>
  <c r="BA100" i="65"/>
  <c r="AZ100" i="65"/>
  <c r="AY100" i="65"/>
  <c r="AX100" i="65"/>
  <c r="AW100" i="65"/>
  <c r="AV100" i="65"/>
  <c r="AU100" i="65"/>
  <c r="AT100" i="65"/>
  <c r="EP100" i="65" s="1"/>
  <c r="AS100" i="65"/>
  <c r="EO100" i="65" s="1"/>
  <c r="AR100" i="65"/>
  <c r="AQ100" i="65"/>
  <c r="AP100" i="65"/>
  <c r="AO100" i="65"/>
  <c r="AN100" i="65"/>
  <c r="AM100" i="65"/>
  <c r="AL100" i="65"/>
  <c r="AK100" i="65"/>
  <c r="EG100" i="65" s="1"/>
  <c r="AJ100" i="65"/>
  <c r="EF100" i="65" s="1"/>
  <c r="AI100" i="65"/>
  <c r="AH100" i="65"/>
  <c r="AG100" i="65"/>
  <c r="AF100" i="65"/>
  <c r="AE100" i="65"/>
  <c r="AD100" i="65"/>
  <c r="AC100" i="65"/>
  <c r="AB100" i="65"/>
  <c r="Z100" i="65"/>
  <c r="Y100" i="65"/>
  <c r="X100" i="65"/>
  <c r="W100" i="65"/>
  <c r="V100" i="65"/>
  <c r="U100" i="65"/>
  <c r="T100" i="65"/>
  <c r="S100" i="65"/>
  <c r="R100" i="65"/>
  <c r="Q100" i="65"/>
  <c r="O100" i="65"/>
  <c r="N100" i="65"/>
  <c r="M100" i="65"/>
  <c r="L100" i="65"/>
  <c r="K100" i="65"/>
  <c r="J100" i="65"/>
  <c r="I100" i="65"/>
  <c r="H100" i="65"/>
  <c r="G100" i="65"/>
  <c r="F100" i="65"/>
  <c r="E100" i="65"/>
  <c r="ER99" i="65"/>
  <c r="EL99" i="65"/>
  <c r="EK99" i="65"/>
  <c r="EJ99" i="65"/>
  <c r="DU99" i="65"/>
  <c r="DT99" i="65"/>
  <c r="DS99" i="65"/>
  <c r="DR99" i="65"/>
  <c r="DQ99" i="65"/>
  <c r="DP99" i="65"/>
  <c r="DO99" i="65"/>
  <c r="DN99" i="65"/>
  <c r="DM99" i="65"/>
  <c r="DL99" i="65"/>
  <c r="DK99" i="65"/>
  <c r="DJ99" i="65"/>
  <c r="DI99" i="65"/>
  <c r="DH99" i="65"/>
  <c r="DG99" i="65"/>
  <c r="DF99" i="65"/>
  <c r="DE99" i="65"/>
  <c r="DD99" i="65"/>
  <c r="DC99" i="65"/>
  <c r="DB99" i="65"/>
  <c r="DA99" i="65"/>
  <c r="CZ99" i="65"/>
  <c r="CY99" i="65"/>
  <c r="CX99" i="65"/>
  <c r="CW99" i="65"/>
  <c r="CV99" i="65"/>
  <c r="CU99" i="65"/>
  <c r="CT99" i="65"/>
  <c r="CS99" i="65"/>
  <c r="CR99" i="65"/>
  <c r="CQ99" i="65"/>
  <c r="CP99" i="65"/>
  <c r="CO99" i="65"/>
  <c r="CN99" i="65"/>
  <c r="CM99" i="65"/>
  <c r="CL99" i="65"/>
  <c r="CK99" i="65"/>
  <c r="CJ99" i="65"/>
  <c r="CI99" i="65"/>
  <c r="CH99" i="65"/>
  <c r="CG99" i="65"/>
  <c r="CF99" i="65"/>
  <c r="CE99" i="65"/>
  <c r="CD99" i="65"/>
  <c r="CC99" i="65"/>
  <c r="CB99" i="65"/>
  <c r="CA99" i="65"/>
  <c r="BZ99" i="65"/>
  <c r="BY99" i="65"/>
  <c r="BX99" i="65"/>
  <c r="BW99" i="65"/>
  <c r="BV99" i="65"/>
  <c r="BU99" i="65"/>
  <c r="BT99" i="65"/>
  <c r="BS99" i="65"/>
  <c r="BR99" i="65"/>
  <c r="BQ99" i="65"/>
  <c r="BP99" i="65"/>
  <c r="BO99" i="65"/>
  <c r="BN99" i="65"/>
  <c r="BM99" i="65"/>
  <c r="BL99" i="65"/>
  <c r="BK99" i="65"/>
  <c r="BJ99" i="65"/>
  <c r="BI99" i="65"/>
  <c r="BH99" i="65"/>
  <c r="BG99" i="65"/>
  <c r="BF99" i="65"/>
  <c r="BE99" i="65"/>
  <c r="BD99" i="65"/>
  <c r="BC99" i="65"/>
  <c r="BB99" i="65"/>
  <c r="BA99" i="65"/>
  <c r="AZ99" i="65"/>
  <c r="AY99" i="65"/>
  <c r="AX99" i="65"/>
  <c r="AW99" i="65"/>
  <c r="AV99" i="65"/>
  <c r="AU99" i="65"/>
  <c r="AT99" i="65"/>
  <c r="AS99" i="65"/>
  <c r="EO99" i="65" s="1"/>
  <c r="AR99" i="65"/>
  <c r="EN99" i="65" s="1"/>
  <c r="AQ99" i="65"/>
  <c r="EM99" i="65" s="1"/>
  <c r="AP99" i="65"/>
  <c r="AO99" i="65"/>
  <c r="AN99" i="65"/>
  <c r="AM99" i="65"/>
  <c r="AL99" i="65"/>
  <c r="AK99" i="65"/>
  <c r="AJ99" i="65"/>
  <c r="AI99" i="65"/>
  <c r="AH99" i="65"/>
  <c r="AG99" i="65"/>
  <c r="AF99" i="65"/>
  <c r="AE99" i="65"/>
  <c r="AD99" i="65"/>
  <c r="AC99" i="65"/>
  <c r="AB99" i="65"/>
  <c r="Z99" i="65"/>
  <c r="Y99" i="65"/>
  <c r="X99" i="65"/>
  <c r="W99" i="65"/>
  <c r="V99" i="65"/>
  <c r="U99" i="65"/>
  <c r="EB99" i="65" s="1"/>
  <c r="T99" i="65"/>
  <c r="S99" i="65"/>
  <c r="R99" i="65"/>
  <c r="Q99" i="65"/>
  <c r="O99" i="65"/>
  <c r="N99" i="65"/>
  <c r="M99" i="65"/>
  <c r="L99" i="65"/>
  <c r="K99" i="65"/>
  <c r="J99" i="65"/>
  <c r="I99" i="65"/>
  <c r="H99" i="65"/>
  <c r="G99" i="65"/>
  <c r="F99" i="65"/>
  <c r="E99" i="65"/>
  <c r="EK98" i="65"/>
  <c r="EI98" i="65"/>
  <c r="DU98" i="65"/>
  <c r="DT98" i="65"/>
  <c r="DS98" i="65"/>
  <c r="DR98" i="65"/>
  <c r="DQ98" i="65"/>
  <c r="DP98" i="65"/>
  <c r="DO98" i="65"/>
  <c r="DN98" i="65"/>
  <c r="DM98" i="65"/>
  <c r="DL98" i="65"/>
  <c r="DK98" i="65"/>
  <c r="DJ98" i="65"/>
  <c r="DI98" i="65"/>
  <c r="DH98" i="65"/>
  <c r="DG98" i="65"/>
  <c r="DF98" i="65"/>
  <c r="DE98" i="65"/>
  <c r="DD98" i="65"/>
  <c r="DC98" i="65"/>
  <c r="DB98" i="65"/>
  <c r="DA98" i="65"/>
  <c r="CZ98" i="65"/>
  <c r="CY98" i="65"/>
  <c r="CX98" i="65"/>
  <c r="CW98" i="65"/>
  <c r="CV98" i="65"/>
  <c r="CU98" i="65"/>
  <c r="CT98" i="65"/>
  <c r="EB98" i="65" s="1"/>
  <c r="CS98" i="65"/>
  <c r="CR98" i="65"/>
  <c r="CQ98" i="65"/>
  <c r="CP98" i="65"/>
  <c r="CO98" i="65"/>
  <c r="CN98" i="65"/>
  <c r="CM98" i="65"/>
  <c r="CL98" i="65"/>
  <c r="CK98" i="65"/>
  <c r="CJ98" i="65"/>
  <c r="CI98" i="65"/>
  <c r="CH98" i="65"/>
  <c r="CG98" i="65"/>
  <c r="CF98" i="65"/>
  <c r="CE98" i="65"/>
  <c r="CD98" i="65"/>
  <c r="CC98" i="65"/>
  <c r="CB98" i="65"/>
  <c r="CA98" i="65"/>
  <c r="BZ98" i="65"/>
  <c r="BY98" i="65"/>
  <c r="BX98" i="65"/>
  <c r="BW98" i="65"/>
  <c r="BV98" i="65"/>
  <c r="BU98" i="65"/>
  <c r="BT98" i="65"/>
  <c r="BS98" i="65"/>
  <c r="BR98" i="65"/>
  <c r="BQ98" i="65"/>
  <c r="BP98" i="65"/>
  <c r="BO98" i="65"/>
  <c r="BN98" i="65"/>
  <c r="BM98" i="65"/>
  <c r="BL98" i="65"/>
  <c r="BK98" i="65"/>
  <c r="BJ98" i="65"/>
  <c r="BI98" i="65"/>
  <c r="BH98" i="65"/>
  <c r="BG98" i="65"/>
  <c r="BF98" i="65"/>
  <c r="BE98" i="65"/>
  <c r="BD98" i="65"/>
  <c r="BC98" i="65"/>
  <c r="BB98" i="65"/>
  <c r="BA98" i="65"/>
  <c r="AZ98" i="65"/>
  <c r="AY98" i="65"/>
  <c r="AX98" i="65"/>
  <c r="AW98" i="65"/>
  <c r="AV98" i="65"/>
  <c r="AU98" i="65"/>
  <c r="AT98" i="65"/>
  <c r="AS98" i="65"/>
  <c r="AR98" i="65"/>
  <c r="AQ98" i="65"/>
  <c r="AP98" i="65"/>
  <c r="AO98" i="65"/>
  <c r="AN98" i="65"/>
  <c r="AM98" i="65"/>
  <c r="AL98" i="65"/>
  <c r="AK98" i="65"/>
  <c r="AJ98" i="65"/>
  <c r="AI98" i="65"/>
  <c r="AH98" i="65"/>
  <c r="AG98" i="65"/>
  <c r="AF98" i="65"/>
  <c r="AE98" i="65"/>
  <c r="AD98" i="65"/>
  <c r="AC98" i="65"/>
  <c r="AB98" i="65"/>
  <c r="Z98" i="65"/>
  <c r="Y98" i="65"/>
  <c r="X98" i="65"/>
  <c r="EE98" i="65" s="1"/>
  <c r="W98" i="65"/>
  <c r="V98" i="65"/>
  <c r="U98" i="65"/>
  <c r="T98" i="65"/>
  <c r="S98" i="65"/>
  <c r="R98" i="65"/>
  <c r="Q98" i="65"/>
  <c r="DX98" i="65" s="1"/>
  <c r="O98" i="65"/>
  <c r="N98" i="65"/>
  <c r="M98" i="65"/>
  <c r="L98" i="65"/>
  <c r="K98" i="65"/>
  <c r="J98" i="65"/>
  <c r="I98" i="65"/>
  <c r="H98" i="65"/>
  <c r="G98" i="65"/>
  <c r="F98" i="65"/>
  <c r="E98" i="65"/>
  <c r="EQ97" i="65"/>
  <c r="EP97" i="65"/>
  <c r="EO97" i="65"/>
  <c r="EM97" i="65"/>
  <c r="DY97" i="65"/>
  <c r="DU97" i="65"/>
  <c r="DT97" i="65"/>
  <c r="DS97" i="65"/>
  <c r="DR97" i="65"/>
  <c r="DQ97" i="65"/>
  <c r="DP97" i="65"/>
  <c r="DO97" i="65"/>
  <c r="DN97" i="65"/>
  <c r="DM97" i="65"/>
  <c r="DL97" i="65"/>
  <c r="DK97" i="65"/>
  <c r="DJ97" i="65"/>
  <c r="DI97" i="65"/>
  <c r="DH97" i="65"/>
  <c r="DG97" i="65"/>
  <c r="DF97" i="65"/>
  <c r="DE97" i="65"/>
  <c r="DD97" i="65"/>
  <c r="DC97" i="65"/>
  <c r="DB97" i="65"/>
  <c r="DA97" i="65"/>
  <c r="CZ97" i="65"/>
  <c r="CY97" i="65"/>
  <c r="CX97" i="65"/>
  <c r="CW97" i="65"/>
  <c r="CV97" i="65"/>
  <c r="CU97" i="65"/>
  <c r="CT97" i="65"/>
  <c r="CS97" i="65"/>
  <c r="CR97" i="65"/>
  <c r="CQ97" i="65"/>
  <c r="CP97" i="65"/>
  <c r="CO97" i="65"/>
  <c r="CN97" i="65"/>
  <c r="CM97" i="65"/>
  <c r="CL97" i="65"/>
  <c r="CK97" i="65"/>
  <c r="CJ97" i="65"/>
  <c r="CI97" i="65"/>
  <c r="CH97" i="65"/>
  <c r="CG97" i="65"/>
  <c r="CF97" i="65"/>
  <c r="CE97" i="65"/>
  <c r="CD97" i="65"/>
  <c r="CC97" i="65"/>
  <c r="CB97" i="65"/>
  <c r="CA97" i="65"/>
  <c r="BZ97" i="65"/>
  <c r="BY97" i="65"/>
  <c r="BX97" i="65"/>
  <c r="BW97" i="65"/>
  <c r="BV97" i="65"/>
  <c r="BU97" i="65"/>
  <c r="BT97" i="65"/>
  <c r="BS97" i="65"/>
  <c r="BR97" i="65"/>
  <c r="BQ97" i="65"/>
  <c r="BP97" i="65"/>
  <c r="BO97" i="65"/>
  <c r="BN97" i="65"/>
  <c r="BM97" i="65"/>
  <c r="BL97" i="65"/>
  <c r="BK97" i="65"/>
  <c r="BJ97" i="65"/>
  <c r="BI97" i="65"/>
  <c r="BH97" i="65"/>
  <c r="BG97" i="65"/>
  <c r="BF97" i="65"/>
  <c r="BE97" i="65"/>
  <c r="BD97" i="65"/>
  <c r="BC97" i="65"/>
  <c r="BB97" i="65"/>
  <c r="BA97" i="65"/>
  <c r="AZ97" i="65"/>
  <c r="AY97" i="65"/>
  <c r="AX97" i="65"/>
  <c r="AW97" i="65"/>
  <c r="AV97" i="65"/>
  <c r="AU97" i="65"/>
  <c r="AT97" i="65"/>
  <c r="AS97" i="65"/>
  <c r="AR97" i="65"/>
  <c r="AQ97" i="65"/>
  <c r="AP97" i="65"/>
  <c r="AO97" i="65"/>
  <c r="AN97" i="65"/>
  <c r="AM97" i="65"/>
  <c r="AL97" i="65"/>
  <c r="AK97" i="65"/>
  <c r="AJ97" i="65"/>
  <c r="AI97" i="65"/>
  <c r="AH97" i="65"/>
  <c r="AG97" i="65"/>
  <c r="AF97" i="65"/>
  <c r="AE97" i="65"/>
  <c r="EA97" i="65" s="1"/>
  <c r="AD97" i="65"/>
  <c r="AC97" i="65"/>
  <c r="AB97" i="65"/>
  <c r="Z97" i="65"/>
  <c r="Y97" i="65"/>
  <c r="X97" i="65"/>
  <c r="W97" i="65"/>
  <c r="V97" i="65"/>
  <c r="EC97" i="65" s="1"/>
  <c r="U97" i="65"/>
  <c r="T97" i="65"/>
  <c r="S97" i="65"/>
  <c r="R97" i="65"/>
  <c r="Q97" i="65"/>
  <c r="O97" i="65"/>
  <c r="N97" i="65"/>
  <c r="M97" i="65"/>
  <c r="L97" i="65"/>
  <c r="K97" i="65"/>
  <c r="J97" i="65"/>
  <c r="I97" i="65"/>
  <c r="H97" i="65"/>
  <c r="G97" i="65"/>
  <c r="F97" i="65"/>
  <c r="E97" i="65"/>
  <c r="EO96" i="65"/>
  <c r="EN96" i="65"/>
  <c r="EM96" i="65"/>
  <c r="DX96" i="65"/>
  <c r="DU96" i="65"/>
  <c r="DT96" i="65"/>
  <c r="DS96" i="65"/>
  <c r="DR96" i="65"/>
  <c r="DQ96" i="65"/>
  <c r="DP96" i="65"/>
  <c r="DO96" i="65"/>
  <c r="DN96" i="65"/>
  <c r="DM96" i="65"/>
  <c r="DL96" i="65"/>
  <c r="DK96" i="65"/>
  <c r="DJ96" i="65"/>
  <c r="DI96" i="65"/>
  <c r="DH96" i="65"/>
  <c r="DG96" i="65"/>
  <c r="DF96" i="65"/>
  <c r="DE96" i="65"/>
  <c r="DD96" i="65"/>
  <c r="DC96" i="65"/>
  <c r="DB96" i="65"/>
  <c r="DA96" i="65"/>
  <c r="CZ96" i="65"/>
  <c r="CY96" i="65"/>
  <c r="CX96" i="65"/>
  <c r="CW96" i="65"/>
  <c r="CV96" i="65"/>
  <c r="CU96" i="65"/>
  <c r="CT96" i="65"/>
  <c r="CS96" i="65"/>
  <c r="CR96" i="65"/>
  <c r="CQ96" i="65"/>
  <c r="CP96" i="65"/>
  <c r="CO96" i="65"/>
  <c r="CN96" i="65"/>
  <c r="CM96" i="65"/>
  <c r="CL96" i="65"/>
  <c r="CK96" i="65"/>
  <c r="CJ96" i="65"/>
  <c r="CI96" i="65"/>
  <c r="CH96" i="65"/>
  <c r="CG96" i="65"/>
  <c r="CF96" i="65"/>
  <c r="CE96" i="65"/>
  <c r="CD96" i="65"/>
  <c r="CC96" i="65"/>
  <c r="CB96" i="65"/>
  <c r="CA96" i="65"/>
  <c r="BZ96" i="65"/>
  <c r="BY96" i="65"/>
  <c r="BX96" i="65"/>
  <c r="BW96" i="65"/>
  <c r="BV96" i="65"/>
  <c r="BU96" i="65"/>
  <c r="BT96" i="65"/>
  <c r="BS96" i="65"/>
  <c r="BR96" i="65"/>
  <c r="BQ96" i="65"/>
  <c r="BP96" i="65"/>
  <c r="BO96" i="65"/>
  <c r="BN96" i="65"/>
  <c r="BM96" i="65"/>
  <c r="BL96" i="65"/>
  <c r="BK96" i="65"/>
  <c r="BJ96" i="65"/>
  <c r="BI96" i="65"/>
  <c r="BH96" i="65"/>
  <c r="BG96" i="65"/>
  <c r="BF96" i="65"/>
  <c r="BE96" i="65"/>
  <c r="BD96" i="65"/>
  <c r="BC96" i="65"/>
  <c r="BB96" i="65"/>
  <c r="BA96" i="65"/>
  <c r="AZ96" i="65"/>
  <c r="AY96" i="65"/>
  <c r="AX96" i="65"/>
  <c r="AW96" i="65"/>
  <c r="AV96" i="65"/>
  <c r="AU96" i="65"/>
  <c r="AT96" i="65"/>
  <c r="EP96" i="65" s="1"/>
  <c r="AS96" i="65"/>
  <c r="AR96" i="65"/>
  <c r="AQ96" i="65"/>
  <c r="AP96" i="65"/>
  <c r="AO96" i="65"/>
  <c r="AN96" i="65"/>
  <c r="AM96" i="65"/>
  <c r="AL96" i="65"/>
  <c r="AK96" i="65"/>
  <c r="AJ96" i="65"/>
  <c r="AI96" i="65"/>
  <c r="AH96" i="65"/>
  <c r="AG96" i="65"/>
  <c r="AF96" i="65"/>
  <c r="AE96" i="65"/>
  <c r="AD96" i="65"/>
  <c r="DZ96" i="65" s="1"/>
  <c r="AC96" i="65"/>
  <c r="AB96" i="65"/>
  <c r="Z96" i="65"/>
  <c r="Y96" i="65"/>
  <c r="X96" i="65"/>
  <c r="W96" i="65"/>
  <c r="V96" i="65"/>
  <c r="U96" i="65"/>
  <c r="EB96" i="65" s="1"/>
  <c r="T96" i="65"/>
  <c r="S96" i="65"/>
  <c r="R96" i="65"/>
  <c r="Q96" i="65"/>
  <c r="O96" i="65"/>
  <c r="N96" i="65"/>
  <c r="M96" i="65"/>
  <c r="L96" i="65"/>
  <c r="K96" i="65"/>
  <c r="J96" i="65"/>
  <c r="I96" i="65"/>
  <c r="H96" i="65"/>
  <c r="G96" i="65"/>
  <c r="F96" i="65"/>
  <c r="E96" i="65"/>
  <c r="EN95" i="65"/>
  <c r="EM95" i="65"/>
  <c r="EL95" i="65"/>
  <c r="DU95" i="65"/>
  <c r="DT95" i="65"/>
  <c r="DS95" i="65"/>
  <c r="DR95" i="65"/>
  <c r="DQ95" i="65"/>
  <c r="DP95" i="65"/>
  <c r="DO95" i="65"/>
  <c r="DN95" i="65"/>
  <c r="DM95" i="65"/>
  <c r="DL95" i="65"/>
  <c r="DK95" i="65"/>
  <c r="DJ95" i="65"/>
  <c r="DI95" i="65"/>
  <c r="DH95" i="65"/>
  <c r="DG95" i="65"/>
  <c r="DF95" i="65"/>
  <c r="DE95" i="65"/>
  <c r="DD95" i="65"/>
  <c r="DC95" i="65"/>
  <c r="DB95" i="65"/>
  <c r="DA95" i="65"/>
  <c r="CZ95" i="65"/>
  <c r="CY95" i="65"/>
  <c r="CX95" i="65"/>
  <c r="CW95" i="65"/>
  <c r="CV95" i="65"/>
  <c r="CU95" i="65"/>
  <c r="CT95" i="65"/>
  <c r="CS95" i="65"/>
  <c r="CR95" i="65"/>
  <c r="CQ95" i="65"/>
  <c r="CP95" i="65"/>
  <c r="CO95" i="65"/>
  <c r="CN95" i="65"/>
  <c r="CM95" i="65"/>
  <c r="CL95" i="65"/>
  <c r="CK95" i="65"/>
  <c r="CJ95" i="65"/>
  <c r="CI95" i="65"/>
  <c r="CH95" i="65"/>
  <c r="CG95" i="65"/>
  <c r="CF95" i="65"/>
  <c r="CE95" i="65"/>
  <c r="CD95" i="65"/>
  <c r="CC95" i="65"/>
  <c r="CB95" i="65"/>
  <c r="CA95" i="65"/>
  <c r="BZ95" i="65"/>
  <c r="BY95" i="65"/>
  <c r="BX95" i="65"/>
  <c r="BW95" i="65"/>
  <c r="BV95" i="65"/>
  <c r="BU95" i="65"/>
  <c r="BT95" i="65"/>
  <c r="BS95" i="65"/>
  <c r="BR95" i="65"/>
  <c r="BQ95" i="65"/>
  <c r="BP95" i="65"/>
  <c r="BO95" i="65"/>
  <c r="BN95" i="65"/>
  <c r="BM95" i="65"/>
  <c r="BL95" i="65"/>
  <c r="BK95" i="65"/>
  <c r="BJ95" i="65"/>
  <c r="BI95" i="65"/>
  <c r="BH95" i="65"/>
  <c r="BG95" i="65"/>
  <c r="BF95" i="65"/>
  <c r="BE95" i="65"/>
  <c r="BD95" i="65"/>
  <c r="BC95" i="65"/>
  <c r="BB95" i="65"/>
  <c r="BA95" i="65"/>
  <c r="AZ95" i="65"/>
  <c r="AY95" i="65"/>
  <c r="AX95" i="65"/>
  <c r="AW95" i="65"/>
  <c r="AV95" i="65"/>
  <c r="AU95" i="65"/>
  <c r="AT95" i="65"/>
  <c r="AS95" i="65"/>
  <c r="EO95" i="65" s="1"/>
  <c r="AR95" i="65"/>
  <c r="AQ95" i="65"/>
  <c r="AP95" i="65"/>
  <c r="AO95" i="65"/>
  <c r="AN95" i="65"/>
  <c r="AM95" i="65"/>
  <c r="AL95" i="65"/>
  <c r="AK95" i="65"/>
  <c r="AJ95" i="65"/>
  <c r="AI95" i="65"/>
  <c r="AH95" i="65"/>
  <c r="AG95" i="65"/>
  <c r="AF95" i="65"/>
  <c r="AE95" i="65"/>
  <c r="AD95" i="65"/>
  <c r="AC95" i="65"/>
  <c r="AB95" i="65"/>
  <c r="Z95" i="65"/>
  <c r="Y95" i="65"/>
  <c r="X95" i="65"/>
  <c r="EE95" i="65" s="1"/>
  <c r="W95" i="65"/>
  <c r="V95" i="65"/>
  <c r="U95" i="65"/>
  <c r="EB95" i="65" s="1"/>
  <c r="T95" i="65"/>
  <c r="S95" i="65"/>
  <c r="R95" i="65"/>
  <c r="Q95" i="65"/>
  <c r="O95" i="65"/>
  <c r="N95" i="65"/>
  <c r="M95" i="65"/>
  <c r="L95" i="65"/>
  <c r="K95" i="65"/>
  <c r="J95" i="65"/>
  <c r="I95" i="65"/>
  <c r="H95" i="65"/>
  <c r="G95" i="65"/>
  <c r="F95" i="65"/>
  <c r="E95" i="65"/>
  <c r="ER94" i="65"/>
  <c r="EM94" i="65"/>
  <c r="EK94" i="65"/>
  <c r="DU94" i="65"/>
  <c r="DT94" i="65"/>
  <c r="DS94" i="65"/>
  <c r="DR94" i="65"/>
  <c r="DQ94" i="65"/>
  <c r="DP94" i="65"/>
  <c r="DO94" i="65"/>
  <c r="DN94" i="65"/>
  <c r="DM94" i="65"/>
  <c r="DL94" i="65"/>
  <c r="DK94" i="65"/>
  <c r="DJ94" i="65"/>
  <c r="DI94" i="65"/>
  <c r="DH94" i="65"/>
  <c r="DG94" i="65"/>
  <c r="DF94" i="65"/>
  <c r="DE94" i="65"/>
  <c r="DD94" i="65"/>
  <c r="DC94" i="65"/>
  <c r="DB94" i="65"/>
  <c r="DA94" i="65"/>
  <c r="CZ94" i="65"/>
  <c r="CY94" i="65"/>
  <c r="CX94" i="65"/>
  <c r="CW94" i="65"/>
  <c r="CV94" i="65"/>
  <c r="CU94" i="65"/>
  <c r="CT94" i="65"/>
  <c r="CS94" i="65"/>
  <c r="CR94" i="65"/>
  <c r="CQ94" i="65"/>
  <c r="CP94" i="65"/>
  <c r="CO94" i="65"/>
  <c r="CN94" i="65"/>
  <c r="CM94" i="65"/>
  <c r="CL94" i="65"/>
  <c r="CK94" i="65"/>
  <c r="CJ94" i="65"/>
  <c r="CI94" i="65"/>
  <c r="CH94" i="65"/>
  <c r="CG94" i="65"/>
  <c r="CF94" i="65"/>
  <c r="CE94" i="65"/>
  <c r="CD94" i="65"/>
  <c r="CC94" i="65"/>
  <c r="CB94" i="65"/>
  <c r="CA94" i="65"/>
  <c r="BZ94" i="65"/>
  <c r="BY94" i="65"/>
  <c r="BX94" i="65"/>
  <c r="BW94" i="65"/>
  <c r="BV94" i="65"/>
  <c r="BU94" i="65"/>
  <c r="BT94" i="65"/>
  <c r="BS94" i="65"/>
  <c r="BR94" i="65"/>
  <c r="BQ94" i="65"/>
  <c r="BP94" i="65"/>
  <c r="BO94" i="65"/>
  <c r="BN94" i="65"/>
  <c r="BM94" i="65"/>
  <c r="BL94" i="65"/>
  <c r="BK94" i="65"/>
  <c r="BJ94" i="65"/>
  <c r="BI94" i="65"/>
  <c r="BH94" i="65"/>
  <c r="BG94" i="65"/>
  <c r="BF94" i="65"/>
  <c r="BE94" i="65"/>
  <c r="BD94" i="65"/>
  <c r="BC94" i="65"/>
  <c r="BB94" i="65"/>
  <c r="BA94" i="65"/>
  <c r="AZ94" i="65"/>
  <c r="AY94" i="65"/>
  <c r="AX94" i="65"/>
  <c r="AW94" i="65"/>
  <c r="AV94" i="65"/>
  <c r="AU94" i="65"/>
  <c r="AT94" i="65"/>
  <c r="AS94" i="65"/>
  <c r="AR94" i="65"/>
  <c r="EN94" i="65" s="1"/>
  <c r="AQ94" i="65"/>
  <c r="AP94" i="65"/>
  <c r="EL94" i="65" s="1"/>
  <c r="AO94" i="65"/>
  <c r="AN94" i="65"/>
  <c r="AM94" i="65"/>
  <c r="AL94" i="65"/>
  <c r="AK94" i="65"/>
  <c r="AJ94" i="65"/>
  <c r="AI94" i="65"/>
  <c r="AH94" i="65"/>
  <c r="AG94" i="65"/>
  <c r="AF94" i="65"/>
  <c r="AE94" i="65"/>
  <c r="AD94" i="65"/>
  <c r="AC94" i="65"/>
  <c r="AB94" i="65"/>
  <c r="Z94" i="65"/>
  <c r="Y94" i="65"/>
  <c r="X94" i="65"/>
  <c r="W94" i="65"/>
  <c r="V94" i="65"/>
  <c r="U94" i="65"/>
  <c r="T94" i="65"/>
  <c r="EA94" i="65" s="1"/>
  <c r="S94" i="65"/>
  <c r="DZ94" i="65" s="1"/>
  <c r="R94" i="65"/>
  <c r="Q94" i="65"/>
  <c r="O94" i="65"/>
  <c r="N94" i="65"/>
  <c r="M94" i="65"/>
  <c r="L94" i="65"/>
  <c r="K94" i="65"/>
  <c r="J94" i="65"/>
  <c r="I94" i="65"/>
  <c r="H94" i="65"/>
  <c r="G94" i="65"/>
  <c r="F94" i="65"/>
  <c r="E94" i="65"/>
  <c r="ER93" i="65"/>
  <c r="EQ93" i="65"/>
  <c r="EL93" i="65"/>
  <c r="EK93" i="65"/>
  <c r="EJ93" i="65"/>
  <c r="DU93" i="65"/>
  <c r="DT93" i="65"/>
  <c r="DS93" i="65"/>
  <c r="DR93" i="65"/>
  <c r="DQ93" i="65"/>
  <c r="DP93" i="65"/>
  <c r="DO93" i="65"/>
  <c r="DN93" i="65"/>
  <c r="DM93" i="65"/>
  <c r="DL93" i="65"/>
  <c r="DK93" i="65"/>
  <c r="DJ93" i="65"/>
  <c r="DI93" i="65"/>
  <c r="DH93" i="65"/>
  <c r="DG93" i="65"/>
  <c r="DF93" i="65"/>
  <c r="DE93" i="65"/>
  <c r="DD93" i="65"/>
  <c r="DC93" i="65"/>
  <c r="DB93" i="65"/>
  <c r="DA93" i="65"/>
  <c r="CZ93" i="65"/>
  <c r="CY93" i="65"/>
  <c r="CX93" i="65"/>
  <c r="CW93" i="65"/>
  <c r="CV93" i="65"/>
  <c r="CU93" i="65"/>
  <c r="CT93" i="65"/>
  <c r="CS93" i="65"/>
  <c r="CR93" i="65"/>
  <c r="CQ93" i="65"/>
  <c r="CP93" i="65"/>
  <c r="CO93" i="65"/>
  <c r="CN93" i="65"/>
  <c r="CM93" i="65"/>
  <c r="CL93" i="65"/>
  <c r="CK93" i="65"/>
  <c r="CJ93" i="65"/>
  <c r="CI93" i="65"/>
  <c r="CH93" i="65"/>
  <c r="CG93" i="65"/>
  <c r="CF93" i="65"/>
  <c r="CE93" i="65"/>
  <c r="CD93" i="65"/>
  <c r="CC93" i="65"/>
  <c r="CB93" i="65"/>
  <c r="CA93" i="65"/>
  <c r="BZ93" i="65"/>
  <c r="BY93" i="65"/>
  <c r="BX93" i="65"/>
  <c r="BW93" i="65"/>
  <c r="BV93" i="65"/>
  <c r="BU93" i="65"/>
  <c r="BT93" i="65"/>
  <c r="BS93" i="65"/>
  <c r="BR93" i="65"/>
  <c r="BQ93" i="65"/>
  <c r="BP93" i="65"/>
  <c r="BO93" i="65"/>
  <c r="BN93" i="65"/>
  <c r="BM93" i="65"/>
  <c r="BL93" i="65"/>
  <c r="BK93" i="65"/>
  <c r="BJ93" i="65"/>
  <c r="BI93" i="65"/>
  <c r="BH93" i="65"/>
  <c r="BG93" i="65"/>
  <c r="BF93" i="65"/>
  <c r="BE93" i="65"/>
  <c r="BD93" i="65"/>
  <c r="BC93" i="65"/>
  <c r="BB93" i="65"/>
  <c r="BA93" i="65"/>
  <c r="AZ93" i="65"/>
  <c r="AY93" i="65"/>
  <c r="AX93" i="65"/>
  <c r="AW93" i="65"/>
  <c r="AV93" i="65"/>
  <c r="AU93" i="65"/>
  <c r="AT93" i="65"/>
  <c r="AS93" i="65"/>
  <c r="AR93" i="65"/>
  <c r="AQ93" i="65"/>
  <c r="EM93" i="65" s="1"/>
  <c r="AP93" i="65"/>
  <c r="AO93" i="65"/>
  <c r="AN93" i="65"/>
  <c r="AM93" i="65"/>
  <c r="AL93" i="65"/>
  <c r="AK93" i="65"/>
  <c r="AJ93" i="65"/>
  <c r="AI93" i="65"/>
  <c r="AH93" i="65"/>
  <c r="AG93" i="65"/>
  <c r="AF93" i="65"/>
  <c r="AE93" i="65"/>
  <c r="AD93" i="65"/>
  <c r="AC93" i="65"/>
  <c r="AB93" i="65"/>
  <c r="Z93" i="65"/>
  <c r="Y93" i="65"/>
  <c r="X93" i="65"/>
  <c r="W93" i="65"/>
  <c r="V93" i="65"/>
  <c r="U93" i="65"/>
  <c r="T93" i="65"/>
  <c r="S93" i="65"/>
  <c r="R93" i="65"/>
  <c r="Q93" i="65"/>
  <c r="O93" i="65"/>
  <c r="N93" i="65"/>
  <c r="M93" i="65"/>
  <c r="L93" i="65"/>
  <c r="K93" i="65"/>
  <c r="J93" i="65"/>
  <c r="I93" i="65"/>
  <c r="H93" i="65"/>
  <c r="G93" i="65"/>
  <c r="F93" i="65"/>
  <c r="E93" i="65"/>
  <c r="ER92" i="65"/>
  <c r="EQ92" i="65"/>
  <c r="EK92" i="65"/>
  <c r="EJ92" i="65"/>
  <c r="EI92" i="65"/>
  <c r="DU92" i="65"/>
  <c r="DT92" i="65"/>
  <c r="DS92" i="65"/>
  <c r="DR92" i="65"/>
  <c r="DQ92" i="65"/>
  <c r="DP92" i="65"/>
  <c r="DO92" i="65"/>
  <c r="DN92" i="65"/>
  <c r="DM92" i="65"/>
  <c r="DL92" i="65"/>
  <c r="DK92" i="65"/>
  <c r="DJ92" i="65"/>
  <c r="DI92" i="65"/>
  <c r="DH92" i="65"/>
  <c r="DG92" i="65"/>
  <c r="DF92" i="65"/>
  <c r="DE92" i="65"/>
  <c r="DD92" i="65"/>
  <c r="DC92" i="65"/>
  <c r="DB92" i="65"/>
  <c r="DA92" i="65"/>
  <c r="CZ92" i="65"/>
  <c r="CY92" i="65"/>
  <c r="CX92" i="65"/>
  <c r="CW92" i="65"/>
  <c r="CV92" i="65"/>
  <c r="CU92" i="65"/>
  <c r="CT92" i="65"/>
  <c r="CS92" i="65"/>
  <c r="CR92" i="65"/>
  <c r="CQ92" i="65"/>
  <c r="CP92" i="65"/>
  <c r="CO92" i="65"/>
  <c r="CN92" i="65"/>
  <c r="CM92" i="65"/>
  <c r="CL92" i="65"/>
  <c r="CK92" i="65"/>
  <c r="CJ92" i="65"/>
  <c r="CI92" i="65"/>
  <c r="CH92" i="65"/>
  <c r="CG92" i="65"/>
  <c r="CF92" i="65"/>
  <c r="CE92" i="65"/>
  <c r="CD92" i="65"/>
  <c r="CC92" i="65"/>
  <c r="CB92" i="65"/>
  <c r="CA92" i="65"/>
  <c r="BZ92" i="65"/>
  <c r="BY92" i="65"/>
  <c r="BX92" i="65"/>
  <c r="BW92" i="65"/>
  <c r="BV92" i="65"/>
  <c r="BU92" i="65"/>
  <c r="BT92" i="65"/>
  <c r="BS92" i="65"/>
  <c r="BR92" i="65"/>
  <c r="BQ92" i="65"/>
  <c r="BP92" i="65"/>
  <c r="BO92" i="65"/>
  <c r="BN92" i="65"/>
  <c r="BM92" i="65"/>
  <c r="BL92" i="65"/>
  <c r="BK92" i="65"/>
  <c r="BJ92" i="65"/>
  <c r="BI92" i="65"/>
  <c r="BH92" i="65"/>
  <c r="BG92" i="65"/>
  <c r="BF92" i="65"/>
  <c r="BE92" i="65"/>
  <c r="BD92" i="65"/>
  <c r="BC92" i="65"/>
  <c r="BB92" i="65"/>
  <c r="BA92" i="65"/>
  <c r="AZ92" i="65"/>
  <c r="AY92" i="65"/>
  <c r="AX92" i="65"/>
  <c r="AW92" i="65"/>
  <c r="AV92" i="65"/>
  <c r="AU92" i="65"/>
  <c r="AT92" i="65"/>
  <c r="EP92" i="65" s="1"/>
  <c r="AS92" i="65"/>
  <c r="AR92" i="65"/>
  <c r="AQ92" i="65"/>
  <c r="AP92" i="65"/>
  <c r="EL92" i="65" s="1"/>
  <c r="AO92" i="65"/>
  <c r="AN92" i="65"/>
  <c r="AM92" i="65"/>
  <c r="AL92" i="65"/>
  <c r="AK92" i="65"/>
  <c r="AJ92" i="65"/>
  <c r="AI92" i="65"/>
  <c r="AH92" i="65"/>
  <c r="AG92" i="65"/>
  <c r="AF92" i="65"/>
  <c r="AE92" i="65"/>
  <c r="AD92" i="65"/>
  <c r="AC92" i="65"/>
  <c r="AB92" i="65"/>
  <c r="Z92" i="65"/>
  <c r="Y92" i="65"/>
  <c r="X92" i="65"/>
  <c r="W92" i="65"/>
  <c r="V92" i="65"/>
  <c r="U92" i="65"/>
  <c r="T92" i="65"/>
  <c r="S92" i="65"/>
  <c r="R92" i="65"/>
  <c r="DY92" i="65" s="1"/>
  <c r="Q92" i="65"/>
  <c r="O92" i="65"/>
  <c r="N92" i="65"/>
  <c r="M92" i="65"/>
  <c r="L92" i="65"/>
  <c r="K92" i="65"/>
  <c r="J92" i="65"/>
  <c r="I92" i="65"/>
  <c r="H92" i="65"/>
  <c r="G92" i="65"/>
  <c r="F92" i="65"/>
  <c r="E92" i="65"/>
  <c r="EQ91" i="65"/>
  <c r="EP91" i="65"/>
  <c r="EI91" i="65"/>
  <c r="EH91" i="65"/>
  <c r="DU91" i="65"/>
  <c r="DT91" i="65"/>
  <c r="DS91" i="65"/>
  <c r="DR91" i="65"/>
  <c r="DQ91" i="65"/>
  <c r="DP91" i="65"/>
  <c r="DO91" i="65"/>
  <c r="DN91" i="65"/>
  <c r="DM91" i="65"/>
  <c r="DL91" i="65"/>
  <c r="DK91" i="65"/>
  <c r="DJ91" i="65"/>
  <c r="DI91" i="65"/>
  <c r="DH91" i="65"/>
  <c r="DG91" i="65"/>
  <c r="DF91" i="65"/>
  <c r="DE91" i="65"/>
  <c r="DD91" i="65"/>
  <c r="DC91" i="65"/>
  <c r="DB91" i="65"/>
  <c r="DA91" i="65"/>
  <c r="CZ91" i="65"/>
  <c r="CY91" i="65"/>
  <c r="CX91" i="65"/>
  <c r="CW91" i="65"/>
  <c r="CV91" i="65"/>
  <c r="CU91" i="65"/>
  <c r="CT91" i="65"/>
  <c r="CS91" i="65"/>
  <c r="CR91" i="65"/>
  <c r="CQ91" i="65"/>
  <c r="CP91" i="65"/>
  <c r="CO91" i="65"/>
  <c r="CN91" i="65"/>
  <c r="CM91" i="65"/>
  <c r="CL91" i="65"/>
  <c r="CK91" i="65"/>
  <c r="CJ91" i="65"/>
  <c r="CI91" i="65"/>
  <c r="CH91" i="65"/>
  <c r="CG91" i="65"/>
  <c r="CF91" i="65"/>
  <c r="CE91" i="65"/>
  <c r="CD91" i="65"/>
  <c r="CC91" i="65"/>
  <c r="CB91" i="65"/>
  <c r="CA91" i="65"/>
  <c r="BZ91" i="65"/>
  <c r="BY91" i="65"/>
  <c r="BX91" i="65"/>
  <c r="BW91" i="65"/>
  <c r="BV91" i="65"/>
  <c r="BU91" i="65"/>
  <c r="BT91" i="65"/>
  <c r="BS91" i="65"/>
  <c r="BR91" i="65"/>
  <c r="BQ91" i="65"/>
  <c r="BP91" i="65"/>
  <c r="BO91" i="65"/>
  <c r="BN91" i="65"/>
  <c r="BM91" i="65"/>
  <c r="BL91" i="65"/>
  <c r="BK91" i="65"/>
  <c r="BJ91" i="65"/>
  <c r="BI91" i="65"/>
  <c r="BH91" i="65"/>
  <c r="BG91" i="65"/>
  <c r="BF91" i="65"/>
  <c r="BE91" i="65"/>
  <c r="BD91" i="65"/>
  <c r="BC91" i="65"/>
  <c r="BB91" i="65"/>
  <c r="BA91" i="65"/>
  <c r="AZ91" i="65"/>
  <c r="AY91" i="65"/>
  <c r="AX91" i="65"/>
  <c r="AW91" i="65"/>
  <c r="AV91" i="65"/>
  <c r="AU91" i="65"/>
  <c r="AT91" i="65"/>
  <c r="AS91" i="65"/>
  <c r="EO91" i="65" s="1"/>
  <c r="AR91" i="65"/>
  <c r="AQ91" i="65"/>
  <c r="AP91" i="65"/>
  <c r="AO91" i="65"/>
  <c r="EK91" i="65" s="1"/>
  <c r="AN91" i="65"/>
  <c r="EJ91" i="65" s="1"/>
  <c r="AM91" i="65"/>
  <c r="AL91" i="65"/>
  <c r="AK91" i="65"/>
  <c r="AJ91" i="65"/>
  <c r="AI91" i="65"/>
  <c r="AH91" i="65"/>
  <c r="AG91" i="65"/>
  <c r="AF91" i="65"/>
  <c r="AE91" i="65"/>
  <c r="AD91" i="65"/>
  <c r="AC91" i="65"/>
  <c r="AB91" i="65"/>
  <c r="Z91" i="65"/>
  <c r="Y91" i="65"/>
  <c r="EF91" i="65" s="1"/>
  <c r="X91" i="65"/>
  <c r="W91" i="65"/>
  <c r="ED91" i="65" s="1"/>
  <c r="V91" i="65"/>
  <c r="U91" i="65"/>
  <c r="T91" i="65"/>
  <c r="S91" i="65"/>
  <c r="R91" i="65"/>
  <c r="Q91" i="65"/>
  <c r="O91" i="65"/>
  <c r="N91" i="65"/>
  <c r="M91" i="65"/>
  <c r="L91" i="65"/>
  <c r="K91" i="65"/>
  <c r="J91" i="65"/>
  <c r="I91" i="65"/>
  <c r="H91" i="65"/>
  <c r="G91" i="65"/>
  <c r="F91" i="65"/>
  <c r="E91" i="65"/>
  <c r="EP90" i="65"/>
  <c r="EO90" i="65"/>
  <c r="EH90" i="65"/>
  <c r="DU90" i="65"/>
  <c r="DT90" i="65"/>
  <c r="DS90" i="65"/>
  <c r="DR90" i="65"/>
  <c r="DQ90" i="65"/>
  <c r="DP90" i="65"/>
  <c r="DO90" i="65"/>
  <c r="DN90" i="65"/>
  <c r="DM90" i="65"/>
  <c r="DL90" i="65"/>
  <c r="DK90" i="65"/>
  <c r="DJ90" i="65"/>
  <c r="DI90" i="65"/>
  <c r="DH90" i="65"/>
  <c r="DG90" i="65"/>
  <c r="DF90" i="65"/>
  <c r="DE90" i="65"/>
  <c r="DD90" i="65"/>
  <c r="DC90" i="65"/>
  <c r="DB90" i="65"/>
  <c r="DA90" i="65"/>
  <c r="CZ90" i="65"/>
  <c r="CY90" i="65"/>
  <c r="CX90" i="65"/>
  <c r="CW90" i="65"/>
  <c r="CV90" i="65"/>
  <c r="CU90" i="65"/>
  <c r="CT90" i="65"/>
  <c r="CS90" i="65"/>
  <c r="CR90" i="65"/>
  <c r="CQ90" i="65"/>
  <c r="CP90" i="65"/>
  <c r="CO90" i="65"/>
  <c r="CN90" i="65"/>
  <c r="CM90" i="65"/>
  <c r="CL90" i="65"/>
  <c r="CK90" i="65"/>
  <c r="CJ90" i="65"/>
  <c r="CI90" i="65"/>
  <c r="CH90" i="65"/>
  <c r="CG90" i="65"/>
  <c r="CF90" i="65"/>
  <c r="CE90" i="65"/>
  <c r="CD90" i="65"/>
  <c r="CC90" i="65"/>
  <c r="CB90" i="65"/>
  <c r="CA90" i="65"/>
  <c r="BZ90" i="65"/>
  <c r="BY90" i="65"/>
  <c r="BX90" i="65"/>
  <c r="BW90" i="65"/>
  <c r="BV90" i="65"/>
  <c r="BU90" i="65"/>
  <c r="BT90" i="65"/>
  <c r="BS90" i="65"/>
  <c r="BR90" i="65"/>
  <c r="BQ90" i="65"/>
  <c r="BP90" i="65"/>
  <c r="BO90" i="65"/>
  <c r="BN90" i="65"/>
  <c r="BM90" i="65"/>
  <c r="BL90" i="65"/>
  <c r="BK90" i="65"/>
  <c r="BJ90" i="65"/>
  <c r="BI90" i="65"/>
  <c r="BH90" i="65"/>
  <c r="BG90" i="65"/>
  <c r="BF90" i="65"/>
  <c r="BE90" i="65"/>
  <c r="BD90" i="65"/>
  <c r="BC90" i="65"/>
  <c r="BB90" i="65"/>
  <c r="BA90" i="65"/>
  <c r="AZ90" i="65"/>
  <c r="AY90" i="65"/>
  <c r="AX90" i="65"/>
  <c r="AW90" i="65"/>
  <c r="AV90" i="65"/>
  <c r="AU90" i="65"/>
  <c r="AT90" i="65"/>
  <c r="AS90" i="65"/>
  <c r="AR90" i="65"/>
  <c r="EN90" i="65" s="1"/>
  <c r="AQ90" i="65"/>
  <c r="AP90" i="65"/>
  <c r="AO90" i="65"/>
  <c r="AN90" i="65"/>
  <c r="EJ90" i="65" s="1"/>
  <c r="AM90" i="65"/>
  <c r="EI90" i="65" s="1"/>
  <c r="AL90" i="65"/>
  <c r="AK90" i="65"/>
  <c r="AJ90" i="65"/>
  <c r="AI90" i="65"/>
  <c r="AH90" i="65"/>
  <c r="AG90" i="65"/>
  <c r="AF90" i="65"/>
  <c r="AE90" i="65"/>
  <c r="AD90" i="65"/>
  <c r="AC90" i="65"/>
  <c r="AB90" i="65"/>
  <c r="Z90" i="65"/>
  <c r="Y90" i="65"/>
  <c r="X90" i="65"/>
  <c r="W90" i="65"/>
  <c r="V90" i="65"/>
  <c r="EC90" i="65" s="1"/>
  <c r="U90" i="65"/>
  <c r="T90" i="65"/>
  <c r="S90" i="65"/>
  <c r="DZ90" i="65" s="1"/>
  <c r="R90" i="65"/>
  <c r="Q90" i="65"/>
  <c r="O90" i="65"/>
  <c r="N90" i="65"/>
  <c r="M90" i="65"/>
  <c r="L90" i="65"/>
  <c r="K90" i="65"/>
  <c r="J90" i="65"/>
  <c r="I90" i="65"/>
  <c r="H90" i="65"/>
  <c r="G90" i="65"/>
  <c r="F90" i="65"/>
  <c r="E90" i="65"/>
  <c r="EO89" i="65"/>
  <c r="EN89" i="65"/>
  <c r="EM89" i="65"/>
  <c r="EH89" i="65"/>
  <c r="DU89" i="65"/>
  <c r="DT89" i="65"/>
  <c r="DS89" i="65"/>
  <c r="DR89" i="65"/>
  <c r="DQ89" i="65"/>
  <c r="DP89" i="65"/>
  <c r="DO89" i="65"/>
  <c r="DN89" i="65"/>
  <c r="DM89" i="65"/>
  <c r="DL89" i="65"/>
  <c r="DK89" i="65"/>
  <c r="DJ89" i="65"/>
  <c r="DI89" i="65"/>
  <c r="DH89" i="65"/>
  <c r="DG89" i="65"/>
  <c r="DF89" i="65"/>
  <c r="DE89" i="65"/>
  <c r="DD89" i="65"/>
  <c r="DC89" i="65"/>
  <c r="DB89" i="65"/>
  <c r="DA89" i="65"/>
  <c r="CZ89" i="65"/>
  <c r="CY89" i="65"/>
  <c r="CX89" i="65"/>
  <c r="CW89" i="65"/>
  <c r="CV89" i="65"/>
  <c r="CU89" i="65"/>
  <c r="CT89" i="65"/>
  <c r="CS89" i="65"/>
  <c r="CR89" i="65"/>
  <c r="CQ89" i="65"/>
  <c r="CP89" i="65"/>
  <c r="CO89" i="65"/>
  <c r="CN89" i="65"/>
  <c r="CM89" i="65"/>
  <c r="CL89" i="65"/>
  <c r="CK89" i="65"/>
  <c r="CJ89" i="65"/>
  <c r="CI89" i="65"/>
  <c r="CH89" i="65"/>
  <c r="CG89" i="65"/>
  <c r="CF89" i="65"/>
  <c r="CE89" i="65"/>
  <c r="CD89" i="65"/>
  <c r="CC89" i="65"/>
  <c r="CB89" i="65"/>
  <c r="CA89" i="65"/>
  <c r="BZ89" i="65"/>
  <c r="BY89" i="65"/>
  <c r="BX89" i="65"/>
  <c r="BW89" i="65"/>
  <c r="BV89" i="65"/>
  <c r="BU89" i="65"/>
  <c r="BT89" i="65"/>
  <c r="BS89" i="65"/>
  <c r="BR89" i="65"/>
  <c r="BQ89" i="65"/>
  <c r="BP89" i="65"/>
  <c r="BO89" i="65"/>
  <c r="BN89" i="65"/>
  <c r="BM89" i="65"/>
  <c r="BL89" i="65"/>
  <c r="BK89" i="65"/>
  <c r="BJ89" i="65"/>
  <c r="BI89" i="65"/>
  <c r="BH89" i="65"/>
  <c r="BG89" i="65"/>
  <c r="BF89" i="65"/>
  <c r="BE89" i="65"/>
  <c r="BD89" i="65"/>
  <c r="BC89" i="65"/>
  <c r="BB89" i="65"/>
  <c r="BA89" i="65"/>
  <c r="AZ89" i="65"/>
  <c r="AY89" i="65"/>
  <c r="AX89" i="65"/>
  <c r="AW89" i="65"/>
  <c r="AV89" i="65"/>
  <c r="AU89" i="65"/>
  <c r="AT89" i="65"/>
  <c r="AS89" i="65"/>
  <c r="AR89" i="65"/>
  <c r="AQ89" i="65"/>
  <c r="AP89" i="65"/>
  <c r="AO89" i="65"/>
  <c r="AN89" i="65"/>
  <c r="AM89" i="65"/>
  <c r="EI89" i="65" s="1"/>
  <c r="AL89" i="65"/>
  <c r="AK89" i="65"/>
  <c r="EG89" i="65" s="1"/>
  <c r="AJ89" i="65"/>
  <c r="AI89" i="65"/>
  <c r="AH89" i="65"/>
  <c r="AG89" i="65"/>
  <c r="AF89" i="65"/>
  <c r="AE89" i="65"/>
  <c r="AD89" i="65"/>
  <c r="AC89" i="65"/>
  <c r="AB89" i="65"/>
  <c r="Z89" i="65"/>
  <c r="Y89" i="65"/>
  <c r="X89" i="65"/>
  <c r="W89" i="65"/>
  <c r="V89" i="65"/>
  <c r="U89" i="65"/>
  <c r="T89" i="65"/>
  <c r="S89" i="65"/>
  <c r="R89" i="65"/>
  <c r="DY89" i="65" s="1"/>
  <c r="Q89" i="65"/>
  <c r="O89" i="65"/>
  <c r="N89" i="65"/>
  <c r="M89" i="65"/>
  <c r="L89" i="65"/>
  <c r="K89" i="65"/>
  <c r="J89" i="65"/>
  <c r="I89" i="65"/>
  <c r="H89" i="65"/>
  <c r="G89" i="65"/>
  <c r="F89" i="65"/>
  <c r="J33" i="51" s="1"/>
  <c r="E89" i="65"/>
  <c r="EN88" i="65"/>
  <c r="EL88" i="65"/>
  <c r="DU88" i="65"/>
  <c r="DT88" i="65"/>
  <c r="DS88" i="65"/>
  <c r="DR88" i="65"/>
  <c r="DQ88" i="65"/>
  <c r="DP88" i="65"/>
  <c r="DO88" i="65"/>
  <c r="DN88" i="65"/>
  <c r="DM88" i="65"/>
  <c r="DL88" i="65"/>
  <c r="DK88" i="65"/>
  <c r="DJ88" i="65"/>
  <c r="DI88" i="65"/>
  <c r="DH88" i="65"/>
  <c r="DG88" i="65"/>
  <c r="DF88" i="65"/>
  <c r="DE88" i="65"/>
  <c r="DD88" i="65"/>
  <c r="DC88" i="65"/>
  <c r="DB88" i="65"/>
  <c r="DA88" i="65"/>
  <c r="CZ88" i="65"/>
  <c r="CY88" i="65"/>
  <c r="CX88" i="65"/>
  <c r="CW88" i="65"/>
  <c r="CV88" i="65"/>
  <c r="CU88" i="65"/>
  <c r="CT88" i="65"/>
  <c r="CS88" i="65"/>
  <c r="CR88" i="65"/>
  <c r="CQ88" i="65"/>
  <c r="CP88" i="65"/>
  <c r="CO88" i="65"/>
  <c r="CN88" i="65"/>
  <c r="CM88" i="65"/>
  <c r="CL88" i="65"/>
  <c r="CK88" i="65"/>
  <c r="CJ88" i="65"/>
  <c r="CI88" i="65"/>
  <c r="CH88" i="65"/>
  <c r="CG88" i="65"/>
  <c r="CF88" i="65"/>
  <c r="CE88" i="65"/>
  <c r="CD88" i="65"/>
  <c r="CC88" i="65"/>
  <c r="CB88" i="65"/>
  <c r="EF88" i="65" s="1"/>
  <c r="CA88" i="65"/>
  <c r="BZ88" i="65"/>
  <c r="BY88" i="65"/>
  <c r="BX88" i="65"/>
  <c r="BW88" i="65"/>
  <c r="BV88" i="65"/>
  <c r="BU88" i="65"/>
  <c r="BT88" i="65"/>
  <c r="BS88" i="65"/>
  <c r="BR88" i="65"/>
  <c r="BQ88" i="65"/>
  <c r="BP88" i="65"/>
  <c r="BO88" i="65"/>
  <c r="BN88" i="65"/>
  <c r="BM88" i="65"/>
  <c r="BL88" i="65"/>
  <c r="BK88" i="65"/>
  <c r="BJ88" i="65"/>
  <c r="BI88" i="65"/>
  <c r="BH88" i="65"/>
  <c r="BG88" i="65"/>
  <c r="BF88" i="65"/>
  <c r="BE88" i="65"/>
  <c r="BD88" i="65"/>
  <c r="BC88" i="65"/>
  <c r="BB88" i="65"/>
  <c r="BA88" i="65"/>
  <c r="AZ88" i="65"/>
  <c r="AY88" i="65"/>
  <c r="AX88" i="65"/>
  <c r="AW88" i="65"/>
  <c r="AV88" i="65"/>
  <c r="AU88" i="65"/>
  <c r="AT88" i="65"/>
  <c r="AS88" i="65"/>
  <c r="AR88" i="65"/>
  <c r="AQ88" i="65"/>
  <c r="EM88" i="65" s="1"/>
  <c r="AP88" i="65"/>
  <c r="AO88" i="65"/>
  <c r="AN88" i="65"/>
  <c r="AM88" i="65"/>
  <c r="AL88" i="65"/>
  <c r="EH88" i="65" s="1"/>
  <c r="AK88" i="65"/>
  <c r="AJ88" i="65"/>
  <c r="AI88" i="65"/>
  <c r="AH88" i="65"/>
  <c r="AG88" i="65"/>
  <c r="AF88" i="65"/>
  <c r="AE88" i="65"/>
  <c r="AD88" i="65"/>
  <c r="AC88" i="65"/>
  <c r="AB88" i="65"/>
  <c r="Z88" i="65"/>
  <c r="Y88" i="65"/>
  <c r="X88" i="65"/>
  <c r="W88" i="65"/>
  <c r="V88" i="65"/>
  <c r="U88" i="65"/>
  <c r="T88" i="65"/>
  <c r="S88" i="65"/>
  <c r="R88" i="65"/>
  <c r="Q88" i="65"/>
  <c r="O88" i="65"/>
  <c r="N88" i="65"/>
  <c r="M88" i="65"/>
  <c r="L88" i="65"/>
  <c r="K88" i="65"/>
  <c r="J88" i="65"/>
  <c r="I88" i="65"/>
  <c r="H88" i="65"/>
  <c r="G88" i="65"/>
  <c r="F88" i="65"/>
  <c r="E88" i="65"/>
  <c r="EL87" i="65"/>
  <c r="EE87" i="65"/>
  <c r="DU87" i="65"/>
  <c r="DT87" i="65"/>
  <c r="DS87" i="65"/>
  <c r="DR87" i="65"/>
  <c r="DQ87" i="65"/>
  <c r="DP87" i="65"/>
  <c r="DO87" i="65"/>
  <c r="DN87" i="65"/>
  <c r="DM87" i="65"/>
  <c r="DL87" i="65"/>
  <c r="DK87" i="65"/>
  <c r="DJ87" i="65"/>
  <c r="DI87" i="65"/>
  <c r="DH87" i="65"/>
  <c r="DG87" i="65"/>
  <c r="DF87" i="65"/>
  <c r="DE87" i="65"/>
  <c r="DD87" i="65"/>
  <c r="DC87" i="65"/>
  <c r="DB87" i="65"/>
  <c r="DA87" i="65"/>
  <c r="CZ87" i="65"/>
  <c r="CY87" i="65"/>
  <c r="CX87" i="65"/>
  <c r="EF87" i="65" s="1"/>
  <c r="CW87" i="65"/>
  <c r="CV87" i="65"/>
  <c r="CU87" i="65"/>
  <c r="CT87" i="65"/>
  <c r="CS87" i="65"/>
  <c r="CR87" i="65"/>
  <c r="CQ87" i="65"/>
  <c r="CP87" i="65"/>
  <c r="CO87" i="65"/>
  <c r="CN87" i="65"/>
  <c r="CM87" i="65"/>
  <c r="CL87" i="65"/>
  <c r="CK87" i="65"/>
  <c r="CJ87" i="65"/>
  <c r="CI87" i="65"/>
  <c r="CH87" i="65"/>
  <c r="CG87" i="65"/>
  <c r="CF87" i="65"/>
  <c r="CE87" i="65"/>
  <c r="CD87" i="65"/>
  <c r="CC87" i="65"/>
  <c r="CB87" i="65"/>
  <c r="CA87" i="65"/>
  <c r="BZ87" i="65"/>
  <c r="BY87" i="65"/>
  <c r="BX87" i="65"/>
  <c r="BW87" i="65"/>
  <c r="BV87" i="65"/>
  <c r="BU87" i="65"/>
  <c r="BT87" i="65"/>
  <c r="BS87" i="65"/>
  <c r="BR87" i="65"/>
  <c r="BQ87" i="65"/>
  <c r="BP87" i="65"/>
  <c r="BO87" i="65"/>
  <c r="BN87" i="65"/>
  <c r="BM87" i="65"/>
  <c r="BL87" i="65"/>
  <c r="BK87" i="65"/>
  <c r="BJ87" i="65"/>
  <c r="BI87" i="65"/>
  <c r="BH87" i="65"/>
  <c r="BG87" i="65"/>
  <c r="BF87" i="65"/>
  <c r="BE87" i="65"/>
  <c r="BD87" i="65"/>
  <c r="BC87" i="65"/>
  <c r="BB87" i="65"/>
  <c r="BA87" i="65"/>
  <c r="AZ87" i="65"/>
  <c r="AY87" i="65"/>
  <c r="AX87" i="65"/>
  <c r="AW87" i="65"/>
  <c r="AV87" i="65"/>
  <c r="AU87" i="65"/>
  <c r="AT87" i="65"/>
  <c r="AS87" i="65"/>
  <c r="AR87" i="65"/>
  <c r="AQ87" i="65"/>
  <c r="EM87" i="65" s="1"/>
  <c r="AP87" i="65"/>
  <c r="AO87" i="65"/>
  <c r="EK87" i="65" s="1"/>
  <c r="AN87" i="65"/>
  <c r="AM87" i="65"/>
  <c r="AL87" i="65"/>
  <c r="AK87" i="65"/>
  <c r="AJ87" i="65"/>
  <c r="AI87" i="65"/>
  <c r="AH87" i="65"/>
  <c r="AG87" i="65"/>
  <c r="AF87" i="65"/>
  <c r="AE87" i="65"/>
  <c r="AD87" i="65"/>
  <c r="AC87" i="65"/>
  <c r="AB87" i="65"/>
  <c r="Z87" i="65"/>
  <c r="Y87" i="65"/>
  <c r="X87" i="65"/>
  <c r="W87" i="65"/>
  <c r="V87" i="65"/>
  <c r="U87" i="65"/>
  <c r="T87" i="65"/>
  <c r="S87" i="65"/>
  <c r="R87" i="65"/>
  <c r="Q87" i="65"/>
  <c r="O87" i="65"/>
  <c r="N87" i="65"/>
  <c r="M87" i="65"/>
  <c r="L87" i="65"/>
  <c r="K87" i="65"/>
  <c r="J87" i="65"/>
  <c r="I87" i="65"/>
  <c r="H87" i="65"/>
  <c r="G87" i="65"/>
  <c r="F87" i="65"/>
  <c r="E87" i="65"/>
  <c r="EL86" i="65"/>
  <c r="EJ86" i="65"/>
  <c r="DU86" i="65"/>
  <c r="DT86" i="65"/>
  <c r="DS86" i="65"/>
  <c r="DR86" i="65"/>
  <c r="DQ86" i="65"/>
  <c r="DP86" i="65"/>
  <c r="DO86" i="65"/>
  <c r="DN86" i="65"/>
  <c r="DM86" i="65"/>
  <c r="DL86" i="65"/>
  <c r="DK86" i="65"/>
  <c r="DJ86" i="65"/>
  <c r="DI86" i="65"/>
  <c r="DH86" i="65"/>
  <c r="DG86" i="65"/>
  <c r="DF86" i="65"/>
  <c r="DE86" i="65"/>
  <c r="DD86" i="65"/>
  <c r="DC86" i="65"/>
  <c r="DB86" i="65"/>
  <c r="DA86" i="65"/>
  <c r="CZ86" i="65"/>
  <c r="CY86" i="65"/>
  <c r="CX86" i="65"/>
  <c r="CW86" i="65"/>
  <c r="CV86" i="65"/>
  <c r="CU86" i="65"/>
  <c r="CT86" i="65"/>
  <c r="CS86" i="65"/>
  <c r="CR86" i="65"/>
  <c r="CQ86" i="65"/>
  <c r="CP86" i="65"/>
  <c r="CO86" i="65"/>
  <c r="CN86" i="65"/>
  <c r="CM86" i="65"/>
  <c r="CL86" i="65"/>
  <c r="CK86" i="65"/>
  <c r="CJ86" i="65"/>
  <c r="CI86" i="65"/>
  <c r="CH86" i="65"/>
  <c r="CG86" i="65"/>
  <c r="CF86" i="65"/>
  <c r="CE86" i="65"/>
  <c r="CD86" i="65"/>
  <c r="CC86" i="65"/>
  <c r="CB86" i="65"/>
  <c r="CA86" i="65"/>
  <c r="BZ86" i="65"/>
  <c r="BY86" i="65"/>
  <c r="BX86" i="65"/>
  <c r="BW86" i="65"/>
  <c r="BV86" i="65"/>
  <c r="BU86" i="65"/>
  <c r="BT86" i="65"/>
  <c r="BS86" i="65"/>
  <c r="BR86" i="65"/>
  <c r="BQ86" i="65"/>
  <c r="BP86" i="65"/>
  <c r="BO86" i="65"/>
  <c r="BN86" i="65"/>
  <c r="BM86" i="65"/>
  <c r="BL86" i="65"/>
  <c r="BK86" i="65"/>
  <c r="BJ86" i="65"/>
  <c r="BI86" i="65"/>
  <c r="BH86" i="65"/>
  <c r="BG86" i="65"/>
  <c r="BF86" i="65"/>
  <c r="BE86" i="65"/>
  <c r="BD86" i="65"/>
  <c r="BC86" i="65"/>
  <c r="BB86" i="65"/>
  <c r="BA86" i="65"/>
  <c r="AZ86" i="65"/>
  <c r="AY86" i="65"/>
  <c r="AX86" i="65"/>
  <c r="AW86" i="65"/>
  <c r="AV86" i="65"/>
  <c r="AU86" i="65"/>
  <c r="AT86" i="65"/>
  <c r="AS86" i="65"/>
  <c r="AR86" i="65"/>
  <c r="AQ86" i="65"/>
  <c r="AP86" i="65"/>
  <c r="AO86" i="65"/>
  <c r="EK86" i="65" s="1"/>
  <c r="AN86" i="65"/>
  <c r="AM86" i="65"/>
  <c r="AL86" i="65"/>
  <c r="AK86" i="65"/>
  <c r="AJ86" i="65"/>
  <c r="AI86" i="65"/>
  <c r="AH86" i="65"/>
  <c r="ED86" i="65" s="1"/>
  <c r="AG86" i="65"/>
  <c r="AF86" i="65"/>
  <c r="AE86" i="65"/>
  <c r="AD86" i="65"/>
  <c r="AC86" i="65"/>
  <c r="AB86" i="65"/>
  <c r="Z86" i="65"/>
  <c r="Y86" i="65"/>
  <c r="X86" i="65"/>
  <c r="EE86" i="65" s="1"/>
  <c r="W86" i="65"/>
  <c r="V86" i="65"/>
  <c r="U86" i="65"/>
  <c r="T86" i="65"/>
  <c r="S86" i="65"/>
  <c r="R86" i="65"/>
  <c r="Q86" i="65"/>
  <c r="O86" i="65"/>
  <c r="N86" i="65"/>
  <c r="M86" i="65"/>
  <c r="L86" i="65"/>
  <c r="K86" i="65"/>
  <c r="J86" i="65"/>
  <c r="I86" i="65"/>
  <c r="H86" i="65"/>
  <c r="G86" i="65"/>
  <c r="F86" i="65"/>
  <c r="E86" i="65"/>
  <c r="EM85" i="65"/>
  <c r="EK85" i="65"/>
  <c r="EJ85" i="65"/>
  <c r="EI85" i="65"/>
  <c r="DU85" i="65"/>
  <c r="DT85" i="65"/>
  <c r="DS85" i="65"/>
  <c r="DR85" i="65"/>
  <c r="DQ85" i="65"/>
  <c r="DP85" i="65"/>
  <c r="DO85" i="65"/>
  <c r="DN85" i="65"/>
  <c r="DM85" i="65"/>
  <c r="DL85" i="65"/>
  <c r="DK85" i="65"/>
  <c r="DJ85" i="65"/>
  <c r="DI85" i="65"/>
  <c r="DH85" i="65"/>
  <c r="DG85" i="65"/>
  <c r="DF85" i="65"/>
  <c r="DE85" i="65"/>
  <c r="DD85" i="65"/>
  <c r="DC85" i="65"/>
  <c r="DB85" i="65"/>
  <c r="DA85" i="65"/>
  <c r="CZ85" i="65"/>
  <c r="CY85" i="65"/>
  <c r="CX85" i="65"/>
  <c r="CW85" i="65"/>
  <c r="CV85" i="65"/>
  <c r="CU85" i="65"/>
  <c r="CT85" i="65"/>
  <c r="CS85" i="65"/>
  <c r="CR85" i="65"/>
  <c r="CQ85" i="65"/>
  <c r="CP85" i="65"/>
  <c r="CO85" i="65"/>
  <c r="CN85" i="65"/>
  <c r="CM85" i="65"/>
  <c r="CL85" i="65"/>
  <c r="CK85" i="65"/>
  <c r="CJ85" i="65"/>
  <c r="CI85" i="65"/>
  <c r="CH85" i="65"/>
  <c r="CG85" i="65"/>
  <c r="CF85" i="65"/>
  <c r="CE85" i="65"/>
  <c r="CD85" i="65"/>
  <c r="CC85" i="65"/>
  <c r="CB85" i="65"/>
  <c r="CA85" i="65"/>
  <c r="BZ85" i="65"/>
  <c r="BY85" i="65"/>
  <c r="EC85" i="65" s="1"/>
  <c r="BX85" i="65"/>
  <c r="BW85" i="65"/>
  <c r="BV85" i="65"/>
  <c r="BU85" i="65"/>
  <c r="BT85" i="65"/>
  <c r="BS85" i="65"/>
  <c r="BR85" i="65"/>
  <c r="BQ85" i="65"/>
  <c r="BP85" i="65"/>
  <c r="BO85" i="65"/>
  <c r="BN85" i="65"/>
  <c r="BM85" i="65"/>
  <c r="BL85" i="65"/>
  <c r="BK85" i="65"/>
  <c r="BJ85" i="65"/>
  <c r="BI85" i="65"/>
  <c r="BH85" i="65"/>
  <c r="BG85" i="65"/>
  <c r="BF85" i="65"/>
  <c r="BE85" i="65"/>
  <c r="BD85" i="65"/>
  <c r="BC85" i="65"/>
  <c r="BB85" i="65"/>
  <c r="BA85" i="65"/>
  <c r="AZ85" i="65"/>
  <c r="AY85" i="65"/>
  <c r="AX85" i="65"/>
  <c r="AW85" i="65"/>
  <c r="AV85" i="65"/>
  <c r="AU85" i="65"/>
  <c r="AT85" i="65"/>
  <c r="AS85" i="65"/>
  <c r="AR85" i="65"/>
  <c r="AQ85" i="65"/>
  <c r="AP85" i="65"/>
  <c r="AO85" i="65"/>
  <c r="AN85" i="65"/>
  <c r="AM85" i="65"/>
  <c r="AL85" i="65"/>
  <c r="AK85" i="65"/>
  <c r="AJ85" i="65"/>
  <c r="AI85" i="65"/>
  <c r="AH85" i="65"/>
  <c r="AG85" i="65"/>
  <c r="AF85" i="65"/>
  <c r="AE85" i="65"/>
  <c r="AD85" i="65"/>
  <c r="AC85" i="65"/>
  <c r="AB85" i="65"/>
  <c r="Z85" i="65"/>
  <c r="Y85" i="65"/>
  <c r="X85" i="65"/>
  <c r="W85" i="65"/>
  <c r="V85" i="65"/>
  <c r="U85" i="65"/>
  <c r="T85" i="65"/>
  <c r="S85" i="65"/>
  <c r="R85" i="65"/>
  <c r="Q85" i="65"/>
  <c r="O85" i="65"/>
  <c r="N85" i="65"/>
  <c r="M85" i="65"/>
  <c r="L85" i="65"/>
  <c r="K85" i="65"/>
  <c r="J85" i="65"/>
  <c r="I85" i="65"/>
  <c r="H85" i="65"/>
  <c r="G85" i="65"/>
  <c r="F85" i="65"/>
  <c r="E85" i="65"/>
  <c r="EL84" i="65"/>
  <c r="EI84" i="65"/>
  <c r="DU84" i="65"/>
  <c r="DT84" i="65"/>
  <c r="DS84" i="65"/>
  <c r="DR84" i="65"/>
  <c r="DQ84" i="65"/>
  <c r="DP84" i="65"/>
  <c r="DO84" i="65"/>
  <c r="DN84" i="65"/>
  <c r="DM84" i="65"/>
  <c r="DL84" i="65"/>
  <c r="DK84" i="65"/>
  <c r="DJ84" i="65"/>
  <c r="DI84" i="65"/>
  <c r="DH84" i="65"/>
  <c r="DG84" i="65"/>
  <c r="DF84" i="65"/>
  <c r="DE84" i="65"/>
  <c r="DD84" i="65"/>
  <c r="DC84" i="65"/>
  <c r="DB84" i="65"/>
  <c r="DA84" i="65"/>
  <c r="CZ84" i="65"/>
  <c r="CY84" i="65"/>
  <c r="CX84" i="65"/>
  <c r="CW84" i="65"/>
  <c r="CV84" i="65"/>
  <c r="CU84" i="65"/>
  <c r="CT84" i="65"/>
  <c r="CS84" i="65"/>
  <c r="CR84" i="65"/>
  <c r="CQ84" i="65"/>
  <c r="CP84" i="65"/>
  <c r="CO84" i="65"/>
  <c r="CN84" i="65"/>
  <c r="CM84" i="65"/>
  <c r="CL84" i="65"/>
  <c r="CK84" i="65"/>
  <c r="CJ84" i="65"/>
  <c r="CI84" i="65"/>
  <c r="CH84" i="65"/>
  <c r="CG84" i="65"/>
  <c r="CF84" i="65"/>
  <c r="CE84" i="65"/>
  <c r="CD84" i="65"/>
  <c r="CC84" i="65"/>
  <c r="CB84" i="65"/>
  <c r="CA84" i="65"/>
  <c r="BZ84" i="65"/>
  <c r="BY84" i="65"/>
  <c r="BX84" i="65"/>
  <c r="BW84" i="65"/>
  <c r="BV84" i="65"/>
  <c r="BU84" i="65"/>
  <c r="BT84" i="65"/>
  <c r="BS84" i="65"/>
  <c r="BR84" i="65"/>
  <c r="BQ84" i="65"/>
  <c r="BP84" i="65"/>
  <c r="BO84" i="65"/>
  <c r="BN84" i="65"/>
  <c r="BM84" i="65"/>
  <c r="BL84" i="65"/>
  <c r="BK84" i="65"/>
  <c r="BJ84" i="65"/>
  <c r="BI84" i="65"/>
  <c r="BH84" i="65"/>
  <c r="BG84" i="65"/>
  <c r="BF84" i="65"/>
  <c r="BE84" i="65"/>
  <c r="BD84" i="65"/>
  <c r="BC84" i="65"/>
  <c r="BB84" i="65"/>
  <c r="BA84" i="65"/>
  <c r="AZ84" i="65"/>
  <c r="AY84" i="65"/>
  <c r="AX84" i="65"/>
  <c r="AW84" i="65"/>
  <c r="AV84" i="65"/>
  <c r="AU84" i="65"/>
  <c r="AT84" i="65"/>
  <c r="AS84" i="65"/>
  <c r="AR84" i="65"/>
  <c r="AQ84" i="65"/>
  <c r="AP84" i="65"/>
  <c r="AO84" i="65"/>
  <c r="EK84" i="65" s="1"/>
  <c r="AN84" i="65"/>
  <c r="EJ84" i="65" s="1"/>
  <c r="AM84" i="65"/>
  <c r="AL84" i="65"/>
  <c r="EH84" i="65" s="1"/>
  <c r="AK84" i="65"/>
  <c r="AJ84" i="65"/>
  <c r="AI84" i="65"/>
  <c r="AH84" i="65"/>
  <c r="AG84" i="65"/>
  <c r="AF84" i="65"/>
  <c r="AE84" i="65"/>
  <c r="AD84" i="65"/>
  <c r="AC84" i="65"/>
  <c r="AB84" i="65"/>
  <c r="Z84" i="65"/>
  <c r="Y84" i="65"/>
  <c r="X84" i="65"/>
  <c r="W84" i="65"/>
  <c r="V84" i="65"/>
  <c r="U84" i="65"/>
  <c r="EB84" i="65" s="1"/>
  <c r="T84" i="65"/>
  <c r="S84" i="65"/>
  <c r="R84" i="65"/>
  <c r="Q84" i="65"/>
  <c r="O84" i="65"/>
  <c r="N84" i="65"/>
  <c r="M84" i="65"/>
  <c r="L84" i="65"/>
  <c r="K84" i="65"/>
  <c r="J84" i="65"/>
  <c r="I84" i="65"/>
  <c r="H84" i="65"/>
  <c r="G84" i="65"/>
  <c r="F84" i="65"/>
  <c r="E84" i="65"/>
  <c r="ER83" i="65"/>
  <c r="EM83" i="65"/>
  <c r="EJ83" i="65"/>
  <c r="DU83" i="65"/>
  <c r="DT83" i="65"/>
  <c r="DS83" i="65"/>
  <c r="DR83" i="65"/>
  <c r="DQ83" i="65"/>
  <c r="DP83" i="65"/>
  <c r="DO83" i="65"/>
  <c r="DN83" i="65"/>
  <c r="DM83" i="65"/>
  <c r="DL83" i="65"/>
  <c r="DK83" i="65"/>
  <c r="DJ83" i="65"/>
  <c r="DI83" i="65"/>
  <c r="DH83" i="65"/>
  <c r="DG83" i="65"/>
  <c r="DF83" i="65"/>
  <c r="DE83" i="65"/>
  <c r="DD83" i="65"/>
  <c r="DC83" i="65"/>
  <c r="DB83" i="65"/>
  <c r="DA83" i="65"/>
  <c r="CZ83" i="65"/>
  <c r="CY83" i="65"/>
  <c r="CX83" i="65"/>
  <c r="CW83" i="65"/>
  <c r="CV83" i="65"/>
  <c r="CU83" i="65"/>
  <c r="CT83" i="65"/>
  <c r="CS83" i="65"/>
  <c r="CR83" i="65"/>
  <c r="CQ83" i="65"/>
  <c r="CP83" i="65"/>
  <c r="CO83" i="65"/>
  <c r="CN83" i="65"/>
  <c r="CM83" i="65"/>
  <c r="CL83" i="65"/>
  <c r="CK83" i="65"/>
  <c r="CJ83" i="65"/>
  <c r="CI83" i="65"/>
  <c r="CH83" i="65"/>
  <c r="CG83" i="65"/>
  <c r="CF83" i="65"/>
  <c r="CE83" i="65"/>
  <c r="CD83" i="65"/>
  <c r="CC83" i="65"/>
  <c r="CB83" i="65"/>
  <c r="CA83" i="65"/>
  <c r="BZ83" i="65"/>
  <c r="BY83" i="65"/>
  <c r="BX83" i="65"/>
  <c r="BW83" i="65"/>
  <c r="BV83" i="65"/>
  <c r="BU83" i="65"/>
  <c r="BT83" i="65"/>
  <c r="BS83" i="65"/>
  <c r="BR83" i="65"/>
  <c r="BQ83" i="65"/>
  <c r="BP83" i="65"/>
  <c r="BO83" i="65"/>
  <c r="BN83" i="65"/>
  <c r="BM83" i="65"/>
  <c r="BL83" i="65"/>
  <c r="BK83" i="65"/>
  <c r="BJ83" i="65"/>
  <c r="BI83" i="65"/>
  <c r="BH83" i="65"/>
  <c r="BG83" i="65"/>
  <c r="BF83" i="65"/>
  <c r="BE83" i="65"/>
  <c r="BD83" i="65"/>
  <c r="BC83" i="65"/>
  <c r="BB83" i="65"/>
  <c r="BA83" i="65"/>
  <c r="AZ83" i="65"/>
  <c r="AY83" i="65"/>
  <c r="AX83" i="65"/>
  <c r="AW83" i="65"/>
  <c r="AV83" i="65"/>
  <c r="AU83" i="65"/>
  <c r="AT83" i="65"/>
  <c r="AS83" i="65"/>
  <c r="AR83" i="65"/>
  <c r="AQ83" i="65"/>
  <c r="AP83" i="65"/>
  <c r="AO83" i="65"/>
  <c r="AN83" i="65"/>
  <c r="AM83" i="65"/>
  <c r="AL83" i="65"/>
  <c r="EH83" i="65" s="1"/>
  <c r="AK83" i="65"/>
  <c r="AJ83" i="65"/>
  <c r="AI83" i="65"/>
  <c r="AH83" i="65"/>
  <c r="AG83" i="65"/>
  <c r="AF83" i="65"/>
  <c r="AE83" i="65"/>
  <c r="AD83" i="65"/>
  <c r="AC83" i="65"/>
  <c r="AB83" i="65"/>
  <c r="Z83" i="65"/>
  <c r="Y83" i="65"/>
  <c r="X83" i="65"/>
  <c r="W83" i="65"/>
  <c r="V83" i="65"/>
  <c r="U83" i="65"/>
  <c r="T83" i="65"/>
  <c r="S83" i="65"/>
  <c r="DZ83" i="65" s="1"/>
  <c r="R83" i="65"/>
  <c r="Q83" i="65"/>
  <c r="DX83" i="65" s="1"/>
  <c r="O83" i="65"/>
  <c r="N83" i="65"/>
  <c r="M83" i="65"/>
  <c r="L83" i="65"/>
  <c r="K83" i="65"/>
  <c r="J83" i="65"/>
  <c r="I83" i="65"/>
  <c r="H83" i="65"/>
  <c r="G83" i="65"/>
  <c r="F83" i="65"/>
  <c r="E83" i="65"/>
  <c r="EJ82" i="65"/>
  <c r="EH82" i="65"/>
  <c r="DU82" i="65"/>
  <c r="DT82" i="65"/>
  <c r="DS82" i="65"/>
  <c r="DR82" i="65"/>
  <c r="DQ82" i="65"/>
  <c r="DP82" i="65"/>
  <c r="DO82" i="65"/>
  <c r="DN82" i="65"/>
  <c r="DM82" i="65"/>
  <c r="DL82" i="65"/>
  <c r="DK82" i="65"/>
  <c r="DJ82" i="65"/>
  <c r="DI82" i="65"/>
  <c r="DH82" i="65"/>
  <c r="DG82" i="65"/>
  <c r="DF82" i="65"/>
  <c r="DE82" i="65"/>
  <c r="DD82" i="65"/>
  <c r="DC82" i="65"/>
  <c r="DB82" i="65"/>
  <c r="DA82" i="65"/>
  <c r="CZ82" i="65"/>
  <c r="CY82" i="65"/>
  <c r="CX82" i="65"/>
  <c r="CW82" i="65"/>
  <c r="CV82" i="65"/>
  <c r="CU82" i="65"/>
  <c r="CT82" i="65"/>
  <c r="CS82" i="65"/>
  <c r="CR82" i="65"/>
  <c r="CQ82" i="65"/>
  <c r="CP82" i="65"/>
  <c r="CO82" i="65"/>
  <c r="CN82" i="65"/>
  <c r="CM82" i="65"/>
  <c r="CL82" i="65"/>
  <c r="CK82" i="65"/>
  <c r="CJ82" i="65"/>
  <c r="CI82" i="65"/>
  <c r="CH82" i="65"/>
  <c r="CG82" i="65"/>
  <c r="CF82" i="65"/>
  <c r="CE82" i="65"/>
  <c r="CD82" i="65"/>
  <c r="CC82" i="65"/>
  <c r="CB82" i="65"/>
  <c r="CA82" i="65"/>
  <c r="BZ82" i="65"/>
  <c r="BY82" i="65"/>
  <c r="BX82" i="65"/>
  <c r="BW82" i="65"/>
  <c r="BV82" i="65"/>
  <c r="BU82" i="65"/>
  <c r="BT82" i="65"/>
  <c r="BS82" i="65"/>
  <c r="BR82" i="65"/>
  <c r="BQ82" i="65"/>
  <c r="BP82" i="65"/>
  <c r="BO82" i="65"/>
  <c r="BN82" i="65"/>
  <c r="BM82" i="65"/>
  <c r="BL82" i="65"/>
  <c r="BK82" i="65"/>
  <c r="BJ82" i="65"/>
  <c r="BI82" i="65"/>
  <c r="BH82" i="65"/>
  <c r="BG82" i="65"/>
  <c r="BF82" i="65"/>
  <c r="BE82" i="65"/>
  <c r="BD82" i="65"/>
  <c r="BC82" i="65"/>
  <c r="BB82" i="65"/>
  <c r="BA82" i="65"/>
  <c r="AZ82" i="65"/>
  <c r="AY82" i="65"/>
  <c r="AX82" i="65"/>
  <c r="AW82" i="65"/>
  <c r="AV82" i="65"/>
  <c r="AU82" i="65"/>
  <c r="EQ82" i="65" s="1"/>
  <c r="AT82" i="65"/>
  <c r="AS82" i="65"/>
  <c r="AR82" i="65"/>
  <c r="AQ82" i="65"/>
  <c r="EM82" i="65" s="1"/>
  <c r="AP82" i="65"/>
  <c r="AO82" i="65"/>
  <c r="AN82" i="65"/>
  <c r="AM82" i="65"/>
  <c r="AL82" i="65"/>
  <c r="AK82" i="65"/>
  <c r="AJ82" i="65"/>
  <c r="AI82" i="65"/>
  <c r="AH82" i="65"/>
  <c r="AG82" i="65"/>
  <c r="AF82" i="65"/>
  <c r="AE82" i="65"/>
  <c r="AD82" i="65"/>
  <c r="AC82" i="65"/>
  <c r="AB82" i="65"/>
  <c r="Z82" i="65"/>
  <c r="Y82" i="65"/>
  <c r="X82" i="65"/>
  <c r="W82" i="65"/>
  <c r="V82" i="65"/>
  <c r="U82" i="65"/>
  <c r="T82" i="65"/>
  <c r="S82" i="65"/>
  <c r="R82" i="65"/>
  <c r="Q82" i="65"/>
  <c r="O82" i="65"/>
  <c r="N82" i="65"/>
  <c r="M82" i="65"/>
  <c r="L82" i="65"/>
  <c r="K82" i="65"/>
  <c r="J82" i="65"/>
  <c r="I82" i="65"/>
  <c r="H82" i="65"/>
  <c r="G82" i="65"/>
  <c r="F82" i="65"/>
  <c r="E82" i="65"/>
  <c r="EP81" i="65"/>
  <c r="EK81" i="65"/>
  <c r="DU81" i="65"/>
  <c r="DT81" i="65"/>
  <c r="DS81" i="65"/>
  <c r="DR81" i="65"/>
  <c r="DQ81" i="65"/>
  <c r="DP81" i="65"/>
  <c r="DO81" i="65"/>
  <c r="DN81" i="65"/>
  <c r="DM81" i="65"/>
  <c r="DL81" i="65"/>
  <c r="DK81" i="65"/>
  <c r="DJ81" i="65"/>
  <c r="DI81" i="65"/>
  <c r="DH81" i="65"/>
  <c r="DG81" i="65"/>
  <c r="DF81" i="65"/>
  <c r="DE81" i="65"/>
  <c r="DD81" i="65"/>
  <c r="DC81" i="65"/>
  <c r="DB81" i="65"/>
  <c r="DA81" i="65"/>
  <c r="CZ81" i="65"/>
  <c r="CY81" i="65"/>
  <c r="CX81" i="65"/>
  <c r="CW81" i="65"/>
  <c r="CV81" i="65"/>
  <c r="CU81" i="65"/>
  <c r="CT81" i="65"/>
  <c r="CS81" i="65"/>
  <c r="CR81" i="65"/>
  <c r="CQ81" i="65"/>
  <c r="CP81" i="65"/>
  <c r="CO81" i="65"/>
  <c r="CN81" i="65"/>
  <c r="CM81" i="65"/>
  <c r="CL81" i="65"/>
  <c r="CK81" i="65"/>
  <c r="CJ81" i="65"/>
  <c r="CI81" i="65"/>
  <c r="CH81" i="65"/>
  <c r="CG81" i="65"/>
  <c r="CF81" i="65"/>
  <c r="CE81" i="65"/>
  <c r="CD81" i="65"/>
  <c r="CC81" i="65"/>
  <c r="CB81" i="65"/>
  <c r="CA81" i="65"/>
  <c r="BZ81" i="65"/>
  <c r="BY81" i="65"/>
  <c r="BX81" i="65"/>
  <c r="BW81" i="65"/>
  <c r="BV81" i="65"/>
  <c r="BU81" i="65"/>
  <c r="BT81" i="65"/>
  <c r="BS81" i="65"/>
  <c r="BR81" i="65"/>
  <c r="BQ81" i="65"/>
  <c r="BP81" i="65"/>
  <c r="BO81" i="65"/>
  <c r="BN81" i="65"/>
  <c r="BM81" i="65"/>
  <c r="BL81" i="65"/>
  <c r="BK81" i="65"/>
  <c r="BJ81" i="65"/>
  <c r="BI81" i="65"/>
  <c r="BH81" i="65"/>
  <c r="BG81" i="65"/>
  <c r="BF81" i="65"/>
  <c r="BE81" i="65"/>
  <c r="BD81" i="65"/>
  <c r="BC81" i="65"/>
  <c r="BB81" i="65"/>
  <c r="BA81" i="65"/>
  <c r="AZ81" i="65"/>
  <c r="AY81" i="65"/>
  <c r="AX81" i="65"/>
  <c r="AW81" i="65"/>
  <c r="AV81" i="65"/>
  <c r="AU81" i="65"/>
  <c r="AT81" i="65"/>
  <c r="AS81" i="65"/>
  <c r="AR81" i="65"/>
  <c r="AQ81" i="65"/>
  <c r="AP81" i="65"/>
  <c r="AO81" i="65"/>
  <c r="AN81" i="65"/>
  <c r="AM81" i="65"/>
  <c r="EI81" i="65" s="1"/>
  <c r="AL81" i="65"/>
  <c r="AK81" i="65"/>
  <c r="AJ81" i="65"/>
  <c r="AI81" i="65"/>
  <c r="AH81" i="65"/>
  <c r="AG81" i="65"/>
  <c r="AF81" i="65"/>
  <c r="AE81" i="65"/>
  <c r="AD81" i="65"/>
  <c r="AC81" i="65"/>
  <c r="AB81" i="65"/>
  <c r="Z81" i="65"/>
  <c r="Y81" i="65"/>
  <c r="X81" i="65"/>
  <c r="W81" i="65"/>
  <c r="ED81" i="65" s="1"/>
  <c r="V81" i="65"/>
  <c r="U81" i="65"/>
  <c r="T81" i="65"/>
  <c r="S81" i="65"/>
  <c r="R81" i="65"/>
  <c r="Q81" i="65"/>
  <c r="DX81" i="65" s="1"/>
  <c r="O81" i="65"/>
  <c r="N81" i="65"/>
  <c r="M81" i="65"/>
  <c r="L81" i="65"/>
  <c r="K81" i="65"/>
  <c r="J81" i="65"/>
  <c r="I81" i="65"/>
  <c r="H81" i="65"/>
  <c r="G81" i="65"/>
  <c r="F81" i="65"/>
  <c r="E81" i="65"/>
  <c r="EP80" i="65"/>
  <c r="EK80" i="65"/>
  <c r="DU80" i="65"/>
  <c r="DT80" i="65"/>
  <c r="DS80" i="65"/>
  <c r="DR80" i="65"/>
  <c r="DQ80" i="65"/>
  <c r="DP80" i="65"/>
  <c r="DO80" i="65"/>
  <c r="DN80" i="65"/>
  <c r="DM80" i="65"/>
  <c r="DL80" i="65"/>
  <c r="DK80" i="65"/>
  <c r="DJ80" i="65"/>
  <c r="DI80" i="65"/>
  <c r="DH80" i="65"/>
  <c r="DG80" i="65"/>
  <c r="DF80" i="65"/>
  <c r="DE80" i="65"/>
  <c r="DD80" i="65"/>
  <c r="DC80" i="65"/>
  <c r="DB80" i="65"/>
  <c r="DA80" i="65"/>
  <c r="CZ80" i="65"/>
  <c r="CY80" i="65"/>
  <c r="CX80" i="65"/>
  <c r="CW80" i="65"/>
  <c r="CV80" i="65"/>
  <c r="CU80" i="65"/>
  <c r="CT80" i="65"/>
  <c r="CS80" i="65"/>
  <c r="CR80" i="65"/>
  <c r="CQ80" i="65"/>
  <c r="CP80" i="65"/>
  <c r="CO80" i="65"/>
  <c r="CN80" i="65"/>
  <c r="CM80" i="65"/>
  <c r="CL80" i="65"/>
  <c r="CK80" i="65"/>
  <c r="CJ80" i="65"/>
  <c r="CI80" i="65"/>
  <c r="CH80" i="65"/>
  <c r="CG80" i="65"/>
  <c r="CF80" i="65"/>
  <c r="CE80" i="65"/>
  <c r="CD80" i="65"/>
  <c r="CC80" i="65"/>
  <c r="CB80" i="65"/>
  <c r="CA80" i="65"/>
  <c r="BZ80" i="65"/>
  <c r="BY80" i="65"/>
  <c r="BX80" i="65"/>
  <c r="BW80" i="65"/>
  <c r="BV80" i="65"/>
  <c r="BU80" i="65"/>
  <c r="BT80" i="65"/>
  <c r="BS80" i="65"/>
  <c r="BR80" i="65"/>
  <c r="BQ80" i="65"/>
  <c r="BP80" i="65"/>
  <c r="BO80" i="65"/>
  <c r="BN80" i="65"/>
  <c r="BM80" i="65"/>
  <c r="BL80" i="65"/>
  <c r="BK80" i="65"/>
  <c r="BJ80" i="65"/>
  <c r="BI80" i="65"/>
  <c r="BH80" i="65"/>
  <c r="BG80" i="65"/>
  <c r="BF80" i="65"/>
  <c r="BE80" i="65"/>
  <c r="BD80" i="65"/>
  <c r="BC80" i="65"/>
  <c r="BB80" i="65"/>
  <c r="BA80" i="65"/>
  <c r="AZ80" i="65"/>
  <c r="AY80" i="65"/>
  <c r="AX80" i="65"/>
  <c r="AW80" i="65"/>
  <c r="AV80" i="65"/>
  <c r="AU80" i="65"/>
  <c r="AT80" i="65"/>
  <c r="AS80" i="65"/>
  <c r="EO80" i="65" s="1"/>
  <c r="AR80" i="65"/>
  <c r="AQ80" i="65"/>
  <c r="EM80" i="65" s="1"/>
  <c r="AP80" i="65"/>
  <c r="AO80" i="65"/>
  <c r="AN80" i="65"/>
  <c r="EJ80" i="65" s="1"/>
  <c r="AM80" i="65"/>
  <c r="AL80" i="65"/>
  <c r="AK80" i="65"/>
  <c r="AJ80" i="65"/>
  <c r="AI80" i="65"/>
  <c r="AH80" i="65"/>
  <c r="AG80" i="65"/>
  <c r="AF80" i="65"/>
  <c r="AE80" i="65"/>
  <c r="AD80" i="65"/>
  <c r="AC80" i="65"/>
  <c r="AB80" i="65"/>
  <c r="Z80" i="65"/>
  <c r="Y80" i="65"/>
  <c r="X80" i="65"/>
  <c r="W80" i="65"/>
  <c r="V80" i="65"/>
  <c r="U80" i="65"/>
  <c r="T80" i="65"/>
  <c r="EA80" i="65" s="1"/>
  <c r="S80" i="65"/>
  <c r="R80" i="65"/>
  <c r="DY80" i="65" s="1"/>
  <c r="Q80" i="65"/>
  <c r="DX80" i="65" s="1"/>
  <c r="O80" i="65"/>
  <c r="N80" i="65"/>
  <c r="M80" i="65"/>
  <c r="L80" i="65"/>
  <c r="K80" i="65"/>
  <c r="J80" i="65"/>
  <c r="I80" i="65"/>
  <c r="H80" i="65"/>
  <c r="G80" i="65"/>
  <c r="F80" i="65"/>
  <c r="E80" i="65"/>
  <c r="ER79" i="65"/>
  <c r="EN79" i="65"/>
  <c r="EM79" i="65"/>
  <c r="EI79" i="65"/>
  <c r="DU79" i="65"/>
  <c r="DT79" i="65"/>
  <c r="DS79" i="65"/>
  <c r="DR79" i="65"/>
  <c r="DQ79" i="65"/>
  <c r="DP79" i="65"/>
  <c r="DO79" i="65"/>
  <c r="DN79" i="65"/>
  <c r="DM79" i="65"/>
  <c r="DL79" i="65"/>
  <c r="DK79" i="65"/>
  <c r="DJ79" i="65"/>
  <c r="DI79" i="65"/>
  <c r="DH79" i="65"/>
  <c r="DG79" i="65"/>
  <c r="DF79" i="65"/>
  <c r="DE79" i="65"/>
  <c r="DD79" i="65"/>
  <c r="DC79" i="65"/>
  <c r="DB79" i="65"/>
  <c r="DA79" i="65"/>
  <c r="CZ79" i="65"/>
  <c r="CY79" i="65"/>
  <c r="CX79" i="65"/>
  <c r="CW79" i="65"/>
  <c r="CV79" i="65"/>
  <c r="CU79" i="65"/>
  <c r="CT79" i="65"/>
  <c r="CS79" i="65"/>
  <c r="CR79" i="65"/>
  <c r="CQ79" i="65"/>
  <c r="CP79" i="65"/>
  <c r="CO79" i="65"/>
  <c r="CN79" i="65"/>
  <c r="CM79" i="65"/>
  <c r="CL79" i="65"/>
  <c r="CK79" i="65"/>
  <c r="CJ79" i="65"/>
  <c r="CI79" i="65"/>
  <c r="CH79" i="65"/>
  <c r="CG79" i="65"/>
  <c r="CF79" i="65"/>
  <c r="CE79" i="65"/>
  <c r="CD79" i="65"/>
  <c r="CC79" i="65"/>
  <c r="CB79" i="65"/>
  <c r="CA79" i="65"/>
  <c r="BZ79" i="65"/>
  <c r="BY79" i="65"/>
  <c r="BX79" i="65"/>
  <c r="BW79" i="65"/>
  <c r="BV79" i="65"/>
  <c r="BU79" i="65"/>
  <c r="BT79" i="65"/>
  <c r="BS79" i="65"/>
  <c r="BR79" i="65"/>
  <c r="BQ79" i="65"/>
  <c r="BP79" i="65"/>
  <c r="BO79" i="65"/>
  <c r="BN79" i="65"/>
  <c r="BM79" i="65"/>
  <c r="BL79" i="65"/>
  <c r="BK79" i="65"/>
  <c r="BJ79" i="65"/>
  <c r="BI79" i="65"/>
  <c r="BH79" i="65"/>
  <c r="BG79" i="65"/>
  <c r="BF79" i="65"/>
  <c r="BE79" i="65"/>
  <c r="BD79" i="65"/>
  <c r="BC79" i="65"/>
  <c r="BB79" i="65"/>
  <c r="BA79" i="65"/>
  <c r="AZ79" i="65"/>
  <c r="AY79" i="65"/>
  <c r="AX79" i="65"/>
  <c r="AW79" i="65"/>
  <c r="AV79" i="65"/>
  <c r="AU79" i="65"/>
  <c r="AT79" i="65"/>
  <c r="EP79" i="65" s="1"/>
  <c r="AS79" i="65"/>
  <c r="AR79" i="65"/>
  <c r="AQ79" i="65"/>
  <c r="AP79" i="65"/>
  <c r="AO79" i="65"/>
  <c r="AN79" i="65"/>
  <c r="AM79" i="65"/>
  <c r="AL79" i="65"/>
  <c r="EH79" i="65" s="1"/>
  <c r="AK79" i="65"/>
  <c r="AJ79" i="65"/>
  <c r="AI79" i="65"/>
  <c r="AH79" i="65"/>
  <c r="AG79" i="65"/>
  <c r="AF79" i="65"/>
  <c r="AE79" i="65"/>
  <c r="AD79" i="65"/>
  <c r="AC79" i="65"/>
  <c r="AB79" i="65"/>
  <c r="Z79" i="65"/>
  <c r="Y79" i="65"/>
  <c r="X79" i="65"/>
  <c r="W79" i="65"/>
  <c r="V79" i="65"/>
  <c r="U79" i="65"/>
  <c r="EB79" i="65" s="1"/>
  <c r="T79" i="65"/>
  <c r="S79" i="65"/>
  <c r="R79" i="65"/>
  <c r="Q79" i="65"/>
  <c r="O79" i="65"/>
  <c r="N79" i="65"/>
  <c r="M79" i="65"/>
  <c r="L79" i="65"/>
  <c r="K79" i="65"/>
  <c r="J79" i="65"/>
  <c r="I79" i="65"/>
  <c r="H79" i="65"/>
  <c r="G79" i="65"/>
  <c r="F79" i="65"/>
  <c r="E79" i="65"/>
  <c r="EP78" i="65"/>
  <c r="DU78" i="65"/>
  <c r="DT78" i="65"/>
  <c r="DS78" i="65"/>
  <c r="DR78" i="65"/>
  <c r="DQ78" i="65"/>
  <c r="DP78" i="65"/>
  <c r="DO78" i="65"/>
  <c r="DN78" i="65"/>
  <c r="DM78" i="65"/>
  <c r="DL78" i="65"/>
  <c r="DK78" i="65"/>
  <c r="DJ78" i="65"/>
  <c r="DI78" i="65"/>
  <c r="DH78" i="65"/>
  <c r="DG78" i="65"/>
  <c r="DF78" i="65"/>
  <c r="DE78" i="65"/>
  <c r="DD78" i="65"/>
  <c r="DC78" i="65"/>
  <c r="DB78" i="65"/>
  <c r="DA78" i="65"/>
  <c r="CZ78" i="65"/>
  <c r="CY78" i="65"/>
  <c r="CX78" i="65"/>
  <c r="CW78" i="65"/>
  <c r="CV78" i="65"/>
  <c r="CU78" i="65"/>
  <c r="CT78" i="65"/>
  <c r="CS78" i="65"/>
  <c r="CR78" i="65"/>
  <c r="CQ78" i="65"/>
  <c r="CP78" i="65"/>
  <c r="CO78" i="65"/>
  <c r="CN78" i="65"/>
  <c r="CM78" i="65"/>
  <c r="CL78" i="65"/>
  <c r="CK78" i="65"/>
  <c r="CJ78" i="65"/>
  <c r="CI78" i="65"/>
  <c r="CH78" i="65"/>
  <c r="CG78" i="65"/>
  <c r="CF78" i="65"/>
  <c r="CE78" i="65"/>
  <c r="CD78" i="65"/>
  <c r="CC78" i="65"/>
  <c r="EG78" i="65" s="1"/>
  <c r="CB78" i="65"/>
  <c r="CA78" i="65"/>
  <c r="BZ78" i="65"/>
  <c r="BY78" i="65"/>
  <c r="BX78" i="65"/>
  <c r="BW78" i="65"/>
  <c r="BV78" i="65"/>
  <c r="BU78" i="65"/>
  <c r="BT78" i="65"/>
  <c r="BS78" i="65"/>
  <c r="BR78" i="65"/>
  <c r="BQ78" i="65"/>
  <c r="BP78" i="65"/>
  <c r="BO78" i="65"/>
  <c r="BN78" i="65"/>
  <c r="BM78" i="65"/>
  <c r="BL78" i="65"/>
  <c r="BK78" i="65"/>
  <c r="BJ78" i="65"/>
  <c r="BI78" i="65"/>
  <c r="BH78" i="65"/>
  <c r="BG78" i="65"/>
  <c r="BF78" i="65"/>
  <c r="BE78" i="65"/>
  <c r="BD78" i="65"/>
  <c r="BC78" i="65"/>
  <c r="BB78" i="65"/>
  <c r="BA78" i="65"/>
  <c r="AZ78" i="65"/>
  <c r="AY78" i="65"/>
  <c r="AX78" i="65"/>
  <c r="AW78" i="65"/>
  <c r="AV78" i="65"/>
  <c r="AU78" i="65"/>
  <c r="AT78" i="65"/>
  <c r="AS78" i="65"/>
  <c r="AR78" i="65"/>
  <c r="EN78" i="65" s="1"/>
  <c r="AQ78" i="65"/>
  <c r="AP78" i="65"/>
  <c r="AO78" i="65"/>
  <c r="EK78" i="65" s="1"/>
  <c r="AN78" i="65"/>
  <c r="AM78" i="65"/>
  <c r="AL78" i="65"/>
  <c r="AK78" i="65"/>
  <c r="AJ78" i="65"/>
  <c r="AI78" i="65"/>
  <c r="AH78" i="65"/>
  <c r="AG78" i="65"/>
  <c r="AF78" i="65"/>
  <c r="AE78" i="65"/>
  <c r="AD78" i="65"/>
  <c r="AC78" i="65"/>
  <c r="AB78" i="65"/>
  <c r="Z78" i="65"/>
  <c r="Y78" i="65"/>
  <c r="X78" i="65"/>
  <c r="EE78" i="65" s="1"/>
  <c r="W78" i="65"/>
  <c r="V78" i="65"/>
  <c r="U78" i="65"/>
  <c r="T78" i="65"/>
  <c r="S78" i="65"/>
  <c r="R78" i="65"/>
  <c r="Q78" i="65"/>
  <c r="O78" i="65"/>
  <c r="N78" i="65"/>
  <c r="M78" i="65"/>
  <c r="L78" i="65"/>
  <c r="K78" i="65"/>
  <c r="J78" i="65"/>
  <c r="I78" i="65"/>
  <c r="H78" i="65"/>
  <c r="G78" i="65"/>
  <c r="F78" i="65"/>
  <c r="E78" i="65"/>
  <c r="DU77" i="65"/>
  <c r="DT77" i="65"/>
  <c r="DS77" i="65"/>
  <c r="DR77" i="65"/>
  <c r="DQ77" i="65"/>
  <c r="DP77" i="65"/>
  <c r="DO77" i="65"/>
  <c r="DN77" i="65"/>
  <c r="DM77" i="65"/>
  <c r="DL77" i="65"/>
  <c r="DK77" i="65"/>
  <c r="DJ77" i="65"/>
  <c r="DI77" i="65"/>
  <c r="DH77" i="65"/>
  <c r="DG77" i="65"/>
  <c r="DF77" i="65"/>
  <c r="DE77" i="65"/>
  <c r="DD77" i="65"/>
  <c r="DC77" i="65"/>
  <c r="DB77" i="65"/>
  <c r="DA77" i="65"/>
  <c r="CZ77" i="65"/>
  <c r="CY77" i="65"/>
  <c r="CX77" i="65"/>
  <c r="EF77" i="65" s="1"/>
  <c r="CW77" i="65"/>
  <c r="CV77" i="65"/>
  <c r="CU77" i="65"/>
  <c r="CT77" i="65"/>
  <c r="CS77" i="65"/>
  <c r="CR77" i="65"/>
  <c r="CQ77" i="65"/>
  <c r="CP77" i="65"/>
  <c r="CO77" i="65"/>
  <c r="CN77" i="65"/>
  <c r="CM77" i="65"/>
  <c r="CL77" i="65"/>
  <c r="CK77" i="65"/>
  <c r="CJ77" i="65"/>
  <c r="CI77" i="65"/>
  <c r="CH77" i="65"/>
  <c r="CG77" i="65"/>
  <c r="CF77" i="65"/>
  <c r="CE77" i="65"/>
  <c r="CD77" i="65"/>
  <c r="CC77" i="65"/>
  <c r="CB77" i="65"/>
  <c r="CA77" i="65"/>
  <c r="BZ77" i="65"/>
  <c r="BY77" i="65"/>
  <c r="BX77" i="65"/>
  <c r="BW77" i="65"/>
  <c r="BV77" i="65"/>
  <c r="BU77" i="65"/>
  <c r="BT77" i="65"/>
  <c r="BS77" i="65"/>
  <c r="BR77" i="65"/>
  <c r="BQ77" i="65"/>
  <c r="BP77" i="65"/>
  <c r="BO77" i="65"/>
  <c r="BN77" i="65"/>
  <c r="BM77" i="65"/>
  <c r="BL77" i="65"/>
  <c r="BK77" i="65"/>
  <c r="BJ77" i="65"/>
  <c r="BI77" i="65"/>
  <c r="BH77" i="65"/>
  <c r="BG77" i="65"/>
  <c r="BF77" i="65"/>
  <c r="BE77" i="65"/>
  <c r="BD77" i="65"/>
  <c r="BC77" i="65"/>
  <c r="BB77" i="65"/>
  <c r="BA77" i="65"/>
  <c r="AZ77" i="65"/>
  <c r="AY77" i="65"/>
  <c r="AX77" i="65"/>
  <c r="AW77" i="65"/>
  <c r="AV77" i="65"/>
  <c r="ER77" i="65" s="1"/>
  <c r="AU77" i="65"/>
  <c r="AT77" i="65"/>
  <c r="EP77" i="65" s="1"/>
  <c r="AS77" i="65"/>
  <c r="AR77" i="65"/>
  <c r="AQ77" i="65"/>
  <c r="EM77" i="65" s="1"/>
  <c r="AP77" i="65"/>
  <c r="AO77" i="65"/>
  <c r="EK77" i="65" s="1"/>
  <c r="AN77" i="65"/>
  <c r="EJ77" i="65" s="1"/>
  <c r="AM77" i="65"/>
  <c r="AL77" i="65"/>
  <c r="AK77" i="65"/>
  <c r="AJ77" i="65"/>
  <c r="AI77" i="65"/>
  <c r="AH77" i="65"/>
  <c r="AG77" i="65"/>
  <c r="AF77" i="65"/>
  <c r="AE77" i="65"/>
  <c r="AD77" i="65"/>
  <c r="AC77" i="65"/>
  <c r="AB77" i="65"/>
  <c r="Z77" i="65"/>
  <c r="Y77" i="65"/>
  <c r="X77" i="65"/>
  <c r="W77" i="65"/>
  <c r="V77" i="65"/>
  <c r="U77" i="65"/>
  <c r="T77" i="65"/>
  <c r="S77" i="65"/>
  <c r="R77" i="65"/>
  <c r="Q77" i="65"/>
  <c r="O77" i="65"/>
  <c r="N77" i="65"/>
  <c r="M77" i="65"/>
  <c r="L77" i="65"/>
  <c r="K77" i="65"/>
  <c r="J77" i="65"/>
  <c r="I77" i="65"/>
  <c r="H77" i="65"/>
  <c r="G77" i="65"/>
  <c r="F77" i="65"/>
  <c r="I33" i="51" s="1"/>
  <c r="E77" i="65"/>
  <c r="EQ76" i="65"/>
  <c r="EJ76" i="65"/>
  <c r="DU76" i="65"/>
  <c r="DT76" i="65"/>
  <c r="DS76" i="65"/>
  <c r="DR76" i="65"/>
  <c r="DQ76" i="65"/>
  <c r="DP76" i="65"/>
  <c r="DO76" i="65"/>
  <c r="DN76" i="65"/>
  <c r="DM76" i="65"/>
  <c r="DL76" i="65"/>
  <c r="DK76" i="65"/>
  <c r="DJ76" i="65"/>
  <c r="DI76" i="65"/>
  <c r="DH76" i="65"/>
  <c r="DG76" i="65"/>
  <c r="DF76" i="65"/>
  <c r="DE76" i="65"/>
  <c r="DD76" i="65"/>
  <c r="DC76" i="65"/>
  <c r="DB76" i="65"/>
  <c r="DA76" i="65"/>
  <c r="CZ76" i="65"/>
  <c r="CY76" i="65"/>
  <c r="CX76" i="65"/>
  <c r="CW76" i="65"/>
  <c r="CV76" i="65"/>
  <c r="CU76" i="65"/>
  <c r="CT76" i="65"/>
  <c r="CS76" i="65"/>
  <c r="CR76" i="65"/>
  <c r="CQ76" i="65"/>
  <c r="CP76" i="65"/>
  <c r="CO76" i="65"/>
  <c r="CN76" i="65"/>
  <c r="CM76" i="65"/>
  <c r="CL76" i="65"/>
  <c r="CK76" i="65"/>
  <c r="CJ76" i="65"/>
  <c r="CI76" i="65"/>
  <c r="CH76" i="65"/>
  <c r="CG76" i="65"/>
  <c r="CF76" i="65"/>
  <c r="CE76" i="65"/>
  <c r="CD76" i="65"/>
  <c r="CC76" i="65"/>
  <c r="CB76" i="65"/>
  <c r="CA76" i="65"/>
  <c r="BZ76" i="65"/>
  <c r="BY76" i="65"/>
  <c r="BX76" i="65"/>
  <c r="BW76" i="65"/>
  <c r="BV76" i="65"/>
  <c r="BU76" i="65"/>
  <c r="BT76" i="65"/>
  <c r="BS76" i="65"/>
  <c r="BR76" i="65"/>
  <c r="BQ76" i="65"/>
  <c r="BP76" i="65"/>
  <c r="BO76" i="65"/>
  <c r="BN76" i="65"/>
  <c r="BM76" i="65"/>
  <c r="BL76" i="65"/>
  <c r="BK76" i="65"/>
  <c r="BJ76" i="65"/>
  <c r="BI76" i="65"/>
  <c r="BH76" i="65"/>
  <c r="BG76" i="65"/>
  <c r="BF76" i="65"/>
  <c r="BE76" i="65"/>
  <c r="BD76" i="65"/>
  <c r="BC76" i="65"/>
  <c r="BB76" i="65"/>
  <c r="BA76" i="65"/>
  <c r="AZ76" i="65"/>
  <c r="AY76" i="65"/>
  <c r="AX76" i="65"/>
  <c r="AW76" i="65"/>
  <c r="AV76" i="65"/>
  <c r="AU76" i="65"/>
  <c r="AT76" i="65"/>
  <c r="AS76" i="65"/>
  <c r="EO76" i="65" s="1"/>
  <c r="AR76" i="65"/>
  <c r="AQ76" i="65"/>
  <c r="AP76" i="65"/>
  <c r="EL76" i="65" s="1"/>
  <c r="AO76" i="65"/>
  <c r="AN76" i="65"/>
  <c r="AM76" i="65"/>
  <c r="EI76" i="65" s="1"/>
  <c r="AL76" i="65"/>
  <c r="AK76" i="65"/>
  <c r="AJ76" i="65"/>
  <c r="AI76" i="65"/>
  <c r="AH76" i="65"/>
  <c r="ED76" i="65" s="1"/>
  <c r="AG76" i="65"/>
  <c r="AF76" i="65"/>
  <c r="AE76" i="65"/>
  <c r="AD76" i="65"/>
  <c r="AC76" i="65"/>
  <c r="AB76" i="65"/>
  <c r="Z76" i="65"/>
  <c r="Y76" i="65"/>
  <c r="EF76" i="65" s="1"/>
  <c r="X76" i="65"/>
  <c r="W76" i="65"/>
  <c r="V76" i="65"/>
  <c r="U76" i="65"/>
  <c r="T76" i="65"/>
  <c r="S76" i="65"/>
  <c r="R76" i="65"/>
  <c r="Q76" i="65"/>
  <c r="DX76" i="65" s="1"/>
  <c r="O76" i="65"/>
  <c r="N76" i="65"/>
  <c r="M76" i="65"/>
  <c r="L76" i="65"/>
  <c r="K76" i="65"/>
  <c r="J76" i="65"/>
  <c r="I76" i="65"/>
  <c r="H76" i="65"/>
  <c r="G76" i="65"/>
  <c r="F76" i="65"/>
  <c r="E76" i="65"/>
  <c r="EK75" i="65"/>
  <c r="EI75" i="65"/>
  <c r="EH75" i="65"/>
  <c r="DU75" i="65"/>
  <c r="DT75" i="65"/>
  <c r="DS75" i="65"/>
  <c r="DR75" i="65"/>
  <c r="DQ75" i="65"/>
  <c r="DP75" i="65"/>
  <c r="DO75" i="65"/>
  <c r="DN75" i="65"/>
  <c r="DM75" i="65"/>
  <c r="DL75" i="65"/>
  <c r="DK75" i="65"/>
  <c r="DJ75" i="65"/>
  <c r="DI75" i="65"/>
  <c r="DH75" i="65"/>
  <c r="DG75" i="65"/>
  <c r="DF75" i="65"/>
  <c r="DE75" i="65"/>
  <c r="DD75" i="65"/>
  <c r="DC75" i="65"/>
  <c r="DB75" i="65"/>
  <c r="DA75" i="65"/>
  <c r="CZ75" i="65"/>
  <c r="CY75" i="65"/>
  <c r="CX75" i="65"/>
  <c r="CW75" i="65"/>
  <c r="CV75" i="65"/>
  <c r="CU75" i="65"/>
  <c r="CT75" i="65"/>
  <c r="CS75" i="65"/>
  <c r="CR75" i="65"/>
  <c r="CQ75" i="65"/>
  <c r="CP75" i="65"/>
  <c r="CO75" i="65"/>
  <c r="CN75" i="65"/>
  <c r="CM75" i="65"/>
  <c r="CL75" i="65"/>
  <c r="CK75" i="65"/>
  <c r="CJ75" i="65"/>
  <c r="CI75" i="65"/>
  <c r="CH75" i="65"/>
  <c r="CG75" i="65"/>
  <c r="CF75" i="65"/>
  <c r="CE75" i="65"/>
  <c r="CD75" i="65"/>
  <c r="CC75" i="65"/>
  <c r="CB75" i="65"/>
  <c r="CA75" i="65"/>
  <c r="BZ75" i="65"/>
  <c r="BY75" i="65"/>
  <c r="BX75" i="65"/>
  <c r="BW75" i="65"/>
  <c r="BV75" i="65"/>
  <c r="BU75" i="65"/>
  <c r="BT75" i="65"/>
  <c r="BS75" i="65"/>
  <c r="BR75" i="65"/>
  <c r="BQ75" i="65"/>
  <c r="BP75" i="65"/>
  <c r="BO75" i="65"/>
  <c r="BN75" i="65"/>
  <c r="BM75" i="65"/>
  <c r="BL75" i="65"/>
  <c r="BK75" i="65"/>
  <c r="BJ75" i="65"/>
  <c r="BI75" i="65"/>
  <c r="BH75" i="65"/>
  <c r="BG75" i="65"/>
  <c r="BF75" i="65"/>
  <c r="BE75" i="65"/>
  <c r="BD75" i="65"/>
  <c r="BC75" i="65"/>
  <c r="BB75" i="65"/>
  <c r="BA75" i="65"/>
  <c r="AZ75" i="65"/>
  <c r="AY75" i="65"/>
  <c r="AX75" i="65"/>
  <c r="AW75" i="65"/>
  <c r="AV75" i="65"/>
  <c r="ER75" i="65" s="1"/>
  <c r="AU75" i="65"/>
  <c r="AT75" i="65"/>
  <c r="EP75" i="65" s="1"/>
  <c r="AS75" i="65"/>
  <c r="AR75" i="65"/>
  <c r="AQ75" i="65"/>
  <c r="AP75" i="65"/>
  <c r="AO75" i="65"/>
  <c r="AN75" i="65"/>
  <c r="AM75" i="65"/>
  <c r="AL75" i="65"/>
  <c r="AK75" i="65"/>
  <c r="AJ75" i="65"/>
  <c r="AI75" i="65"/>
  <c r="AH75" i="65"/>
  <c r="AG75" i="65"/>
  <c r="AF75" i="65"/>
  <c r="AE75" i="65"/>
  <c r="AD75" i="65"/>
  <c r="AC75" i="65"/>
  <c r="AB75" i="65"/>
  <c r="Z75" i="65"/>
  <c r="Y75" i="65"/>
  <c r="X75" i="65"/>
  <c r="W75" i="65"/>
  <c r="V75" i="65"/>
  <c r="U75" i="65"/>
  <c r="EB75" i="65" s="1"/>
  <c r="T75" i="65"/>
  <c r="S75" i="65"/>
  <c r="R75" i="65"/>
  <c r="Q75" i="65"/>
  <c r="O75" i="65"/>
  <c r="N75" i="65"/>
  <c r="M75" i="65"/>
  <c r="L75" i="65"/>
  <c r="K75" i="65"/>
  <c r="J75" i="65"/>
  <c r="I75" i="65"/>
  <c r="H75" i="65"/>
  <c r="G75" i="65"/>
  <c r="F75" i="65"/>
  <c r="E75" i="65"/>
  <c r="EQ74" i="65"/>
  <c r="DU74" i="65"/>
  <c r="DT74" i="65"/>
  <c r="DS74" i="65"/>
  <c r="DR74" i="65"/>
  <c r="DQ74" i="65"/>
  <c r="DP74" i="65"/>
  <c r="DO74" i="65"/>
  <c r="DN74" i="65"/>
  <c r="DM74" i="65"/>
  <c r="DL74" i="65"/>
  <c r="DK74" i="65"/>
  <c r="DJ74" i="65"/>
  <c r="DI74" i="65"/>
  <c r="DH74" i="65"/>
  <c r="DG74" i="65"/>
  <c r="DF74" i="65"/>
  <c r="DE74" i="65"/>
  <c r="DD74" i="65"/>
  <c r="DC74" i="65"/>
  <c r="DB74" i="65"/>
  <c r="DA74" i="65"/>
  <c r="CZ74" i="65"/>
  <c r="CY74" i="65"/>
  <c r="CX74" i="65"/>
  <c r="CW74" i="65"/>
  <c r="CV74" i="65"/>
  <c r="CU74" i="65"/>
  <c r="CT74" i="65"/>
  <c r="CS74" i="65"/>
  <c r="CR74" i="65"/>
  <c r="CQ74" i="65"/>
  <c r="CP74" i="65"/>
  <c r="CO74" i="65"/>
  <c r="CN74" i="65"/>
  <c r="CM74" i="65"/>
  <c r="CL74" i="65"/>
  <c r="CK74" i="65"/>
  <c r="CJ74" i="65"/>
  <c r="CI74" i="65"/>
  <c r="CH74" i="65"/>
  <c r="CG74" i="65"/>
  <c r="CF74" i="65"/>
  <c r="CE74" i="65"/>
  <c r="CD74" i="65"/>
  <c r="CC74" i="65"/>
  <c r="CB74" i="65"/>
  <c r="CA74" i="65"/>
  <c r="BZ74" i="65"/>
  <c r="BY74" i="65"/>
  <c r="BX74" i="65"/>
  <c r="BW74" i="65"/>
  <c r="BV74" i="65"/>
  <c r="BU74" i="65"/>
  <c r="BT74" i="65"/>
  <c r="BS74" i="65"/>
  <c r="BR74" i="65"/>
  <c r="BQ74" i="65"/>
  <c r="BP74" i="65"/>
  <c r="BO74" i="65"/>
  <c r="BN74" i="65"/>
  <c r="BM74" i="65"/>
  <c r="BL74" i="65"/>
  <c r="BK74" i="65"/>
  <c r="BJ74" i="65"/>
  <c r="BI74" i="65"/>
  <c r="BH74" i="65"/>
  <c r="BG74" i="65"/>
  <c r="BF74" i="65"/>
  <c r="BE74" i="65"/>
  <c r="BD74" i="65"/>
  <c r="BC74" i="65"/>
  <c r="BB74" i="65"/>
  <c r="BA74" i="65"/>
  <c r="AZ74" i="65"/>
  <c r="AY74" i="65"/>
  <c r="AX74" i="65"/>
  <c r="AW74" i="65"/>
  <c r="AV74" i="65"/>
  <c r="ER74" i="65" s="1"/>
  <c r="AU74" i="65"/>
  <c r="AT74" i="65"/>
  <c r="AS74" i="65"/>
  <c r="AR74" i="65"/>
  <c r="AQ74" i="65"/>
  <c r="AP74" i="65"/>
  <c r="AO74" i="65"/>
  <c r="AN74" i="65"/>
  <c r="EJ74" i="65" s="1"/>
  <c r="AM74" i="65"/>
  <c r="AL74" i="65"/>
  <c r="EH74" i="65" s="1"/>
  <c r="AK74" i="65"/>
  <c r="AJ74" i="65"/>
  <c r="AI74" i="65"/>
  <c r="AH74" i="65"/>
  <c r="AG74" i="65"/>
  <c r="AF74" i="65"/>
  <c r="AE74" i="65"/>
  <c r="AD74" i="65"/>
  <c r="AC74" i="65"/>
  <c r="AB74" i="65"/>
  <c r="Z74" i="65"/>
  <c r="EG74" i="65" s="1"/>
  <c r="Y74" i="65"/>
  <c r="X74" i="65"/>
  <c r="EE74" i="65" s="1"/>
  <c r="W74" i="65"/>
  <c r="ED74" i="65" s="1"/>
  <c r="V74" i="65"/>
  <c r="U74" i="65"/>
  <c r="T74" i="65"/>
  <c r="S74" i="65"/>
  <c r="R74" i="65"/>
  <c r="Q74" i="65"/>
  <c r="O74" i="65"/>
  <c r="N74" i="65"/>
  <c r="M74" i="65"/>
  <c r="L74" i="65"/>
  <c r="K74" i="65"/>
  <c r="J74" i="65"/>
  <c r="I74" i="65"/>
  <c r="H74" i="65"/>
  <c r="G74" i="65"/>
  <c r="F74" i="65"/>
  <c r="E74" i="65"/>
  <c r="ER73" i="65"/>
  <c r="EL73" i="65"/>
  <c r="DU73" i="65"/>
  <c r="DT73" i="65"/>
  <c r="DS73" i="65"/>
  <c r="DR73" i="65"/>
  <c r="DQ73" i="65"/>
  <c r="DP73" i="65"/>
  <c r="DO73" i="65"/>
  <c r="DN73" i="65"/>
  <c r="DM73" i="65"/>
  <c r="DL73" i="65"/>
  <c r="DK73" i="65"/>
  <c r="DJ73" i="65"/>
  <c r="DI73" i="65"/>
  <c r="DH73" i="65"/>
  <c r="DG73" i="65"/>
  <c r="DF73" i="65"/>
  <c r="DE73" i="65"/>
  <c r="DD73" i="65"/>
  <c r="DC73" i="65"/>
  <c r="DB73" i="65"/>
  <c r="DA73" i="65"/>
  <c r="CZ73" i="65"/>
  <c r="CY73" i="65"/>
  <c r="CX73" i="65"/>
  <c r="CW73" i="65"/>
  <c r="CV73" i="65"/>
  <c r="CU73" i="65"/>
  <c r="CT73" i="65"/>
  <c r="CS73" i="65"/>
  <c r="CR73" i="65"/>
  <c r="CQ73" i="65"/>
  <c r="CP73" i="65"/>
  <c r="CO73" i="65"/>
  <c r="CN73" i="65"/>
  <c r="CM73" i="65"/>
  <c r="CL73" i="65"/>
  <c r="CK73" i="65"/>
  <c r="CJ73" i="65"/>
  <c r="CI73" i="65"/>
  <c r="CH73" i="65"/>
  <c r="CG73" i="65"/>
  <c r="CF73" i="65"/>
  <c r="CE73" i="65"/>
  <c r="CD73" i="65"/>
  <c r="CC73" i="65"/>
  <c r="CB73" i="65"/>
  <c r="CA73" i="65"/>
  <c r="BZ73" i="65"/>
  <c r="BY73" i="65"/>
  <c r="BX73" i="65"/>
  <c r="BW73" i="65"/>
  <c r="BV73" i="65"/>
  <c r="BU73" i="65"/>
  <c r="BT73" i="65"/>
  <c r="BS73" i="65"/>
  <c r="BR73" i="65"/>
  <c r="BQ73" i="65"/>
  <c r="BP73" i="65"/>
  <c r="BO73" i="65"/>
  <c r="BN73" i="65"/>
  <c r="BM73" i="65"/>
  <c r="BL73" i="65"/>
  <c r="BK73" i="65"/>
  <c r="BJ73" i="65"/>
  <c r="BI73" i="65"/>
  <c r="BH73" i="65"/>
  <c r="BG73" i="65"/>
  <c r="BF73" i="65"/>
  <c r="BE73" i="65"/>
  <c r="BD73" i="65"/>
  <c r="BC73" i="65"/>
  <c r="BB73" i="65"/>
  <c r="BA73" i="65"/>
  <c r="AZ73" i="65"/>
  <c r="AY73" i="65"/>
  <c r="AX73" i="65"/>
  <c r="AW73" i="65"/>
  <c r="AV73" i="65"/>
  <c r="AU73" i="65"/>
  <c r="EQ73" i="65" s="1"/>
  <c r="AT73" i="65"/>
  <c r="EP73" i="65" s="1"/>
  <c r="AS73" i="65"/>
  <c r="AR73" i="65"/>
  <c r="AQ73" i="65"/>
  <c r="AP73" i="65"/>
  <c r="AO73" i="65"/>
  <c r="AN73" i="65"/>
  <c r="AM73" i="65"/>
  <c r="EI73" i="65" s="1"/>
  <c r="AL73" i="65"/>
  <c r="AK73" i="65"/>
  <c r="AJ73" i="65"/>
  <c r="AI73" i="65"/>
  <c r="AH73" i="65"/>
  <c r="AG73" i="65"/>
  <c r="AF73" i="65"/>
  <c r="AE73" i="65"/>
  <c r="AD73" i="65"/>
  <c r="AC73" i="65"/>
  <c r="AB73" i="65"/>
  <c r="Z73" i="65"/>
  <c r="Y73" i="65"/>
  <c r="X73" i="65"/>
  <c r="W73" i="65"/>
  <c r="V73" i="65"/>
  <c r="U73" i="65"/>
  <c r="EB73" i="65" s="1"/>
  <c r="T73" i="65"/>
  <c r="S73" i="65"/>
  <c r="R73" i="65"/>
  <c r="Q73" i="65"/>
  <c r="O73" i="65"/>
  <c r="N73" i="65"/>
  <c r="M73" i="65"/>
  <c r="L73" i="65"/>
  <c r="K73" i="65"/>
  <c r="J73" i="65"/>
  <c r="I73" i="65"/>
  <c r="H73" i="65"/>
  <c r="G73" i="65"/>
  <c r="F73" i="65"/>
  <c r="E73" i="65"/>
  <c r="EO72" i="65"/>
  <c r="EK72" i="65"/>
  <c r="EH72" i="65"/>
  <c r="DU72" i="65"/>
  <c r="DT72" i="65"/>
  <c r="DS72" i="65"/>
  <c r="DR72" i="65"/>
  <c r="DQ72" i="65"/>
  <c r="DP72" i="65"/>
  <c r="DO72" i="65"/>
  <c r="DN72" i="65"/>
  <c r="DM72" i="65"/>
  <c r="DL72" i="65"/>
  <c r="DK72" i="65"/>
  <c r="DJ72" i="65"/>
  <c r="DI72" i="65"/>
  <c r="DH72" i="65"/>
  <c r="DG72" i="65"/>
  <c r="DF72" i="65"/>
  <c r="DE72" i="65"/>
  <c r="DD72" i="65"/>
  <c r="DC72" i="65"/>
  <c r="DB72" i="65"/>
  <c r="DA72" i="65"/>
  <c r="CZ72" i="65"/>
  <c r="CY72" i="65"/>
  <c r="CX72" i="65"/>
  <c r="CW72" i="65"/>
  <c r="CV72" i="65"/>
  <c r="CU72" i="65"/>
  <c r="CT72" i="65"/>
  <c r="CS72" i="65"/>
  <c r="CR72" i="65"/>
  <c r="CQ72" i="65"/>
  <c r="CP72" i="65"/>
  <c r="CO72" i="65"/>
  <c r="CN72" i="65"/>
  <c r="CM72" i="65"/>
  <c r="CL72" i="65"/>
  <c r="CK72" i="65"/>
  <c r="CJ72" i="65"/>
  <c r="CI72" i="65"/>
  <c r="CH72" i="65"/>
  <c r="CG72" i="65"/>
  <c r="CF72" i="65"/>
  <c r="CE72" i="65"/>
  <c r="CD72" i="65"/>
  <c r="CC72" i="65"/>
  <c r="CB72" i="65"/>
  <c r="CA72" i="65"/>
  <c r="BZ72" i="65"/>
  <c r="BY72" i="65"/>
  <c r="BX72" i="65"/>
  <c r="BW72" i="65"/>
  <c r="BV72" i="65"/>
  <c r="BU72" i="65"/>
  <c r="BT72" i="65"/>
  <c r="BS72" i="65"/>
  <c r="BR72" i="65"/>
  <c r="BQ72" i="65"/>
  <c r="BP72" i="65"/>
  <c r="BO72" i="65"/>
  <c r="BN72" i="65"/>
  <c r="BM72" i="65"/>
  <c r="BL72" i="65"/>
  <c r="BK72" i="65"/>
  <c r="BJ72" i="65"/>
  <c r="BI72" i="65"/>
  <c r="BH72" i="65"/>
  <c r="BG72" i="65"/>
  <c r="BF72" i="65"/>
  <c r="BE72" i="65"/>
  <c r="BD72" i="65"/>
  <c r="BC72" i="65"/>
  <c r="BB72" i="65"/>
  <c r="BA72" i="65"/>
  <c r="AZ72" i="65"/>
  <c r="AY72" i="65"/>
  <c r="AX72" i="65"/>
  <c r="AW72" i="65"/>
  <c r="AV72" i="65"/>
  <c r="AU72" i="65"/>
  <c r="EQ72" i="65" s="1"/>
  <c r="AT72" i="65"/>
  <c r="EP72" i="65" s="1"/>
  <c r="AS72" i="65"/>
  <c r="AR72" i="65"/>
  <c r="AQ72" i="65"/>
  <c r="AP72" i="65"/>
  <c r="AO72" i="65"/>
  <c r="AN72" i="65"/>
  <c r="AM72" i="65"/>
  <c r="AL72" i="65"/>
  <c r="AK72" i="65"/>
  <c r="AJ72" i="65"/>
  <c r="AI72" i="65"/>
  <c r="AH72" i="65"/>
  <c r="AG72" i="65"/>
  <c r="AF72" i="65"/>
  <c r="AE72" i="65"/>
  <c r="AD72" i="65"/>
  <c r="AC72" i="65"/>
  <c r="AB72" i="65"/>
  <c r="Z72" i="65"/>
  <c r="Y72" i="65"/>
  <c r="X72" i="65"/>
  <c r="W72" i="65"/>
  <c r="V72" i="65"/>
  <c r="U72" i="65"/>
  <c r="T72" i="65"/>
  <c r="S72" i="65"/>
  <c r="R72" i="65"/>
  <c r="Q72" i="65"/>
  <c r="O72" i="65"/>
  <c r="N72" i="65"/>
  <c r="M72" i="65"/>
  <c r="L72" i="65"/>
  <c r="K72" i="65"/>
  <c r="J72" i="65"/>
  <c r="I72" i="65"/>
  <c r="H72" i="65"/>
  <c r="G72" i="65"/>
  <c r="F72" i="65"/>
  <c r="E72" i="65"/>
  <c r="EJ71" i="65"/>
  <c r="DU71" i="65"/>
  <c r="DT71" i="65"/>
  <c r="DS71" i="65"/>
  <c r="DR71" i="65"/>
  <c r="DQ71" i="65"/>
  <c r="DP71" i="65"/>
  <c r="DO71" i="65"/>
  <c r="DN71" i="65"/>
  <c r="DM71" i="65"/>
  <c r="DL71" i="65"/>
  <c r="DK71" i="65"/>
  <c r="DJ71" i="65"/>
  <c r="DI71" i="65"/>
  <c r="DH71" i="65"/>
  <c r="DG71" i="65"/>
  <c r="DF71" i="65"/>
  <c r="DE71" i="65"/>
  <c r="DD71" i="65"/>
  <c r="DC71" i="65"/>
  <c r="DB71" i="65"/>
  <c r="DA71" i="65"/>
  <c r="CZ71" i="65"/>
  <c r="CY71" i="65"/>
  <c r="CX71" i="65"/>
  <c r="CW71" i="65"/>
  <c r="CV71" i="65"/>
  <c r="CU71" i="65"/>
  <c r="CT71" i="65"/>
  <c r="CS71" i="65"/>
  <c r="CR71" i="65"/>
  <c r="CQ71" i="65"/>
  <c r="CP71" i="65"/>
  <c r="CO71" i="65"/>
  <c r="CN71" i="65"/>
  <c r="CM71" i="65"/>
  <c r="CL71" i="65"/>
  <c r="CK71" i="65"/>
  <c r="CJ71" i="65"/>
  <c r="CI71" i="65"/>
  <c r="CH71" i="65"/>
  <c r="CG71" i="65"/>
  <c r="CF71" i="65"/>
  <c r="CE71" i="65"/>
  <c r="CD71" i="65"/>
  <c r="CC71" i="65"/>
  <c r="CB71" i="65"/>
  <c r="CA71" i="65"/>
  <c r="BZ71" i="65"/>
  <c r="BY71" i="65"/>
  <c r="BX71" i="65"/>
  <c r="BW71" i="65"/>
  <c r="BV71" i="65"/>
  <c r="BU71" i="65"/>
  <c r="BT71" i="65"/>
  <c r="BS71" i="65"/>
  <c r="BR71" i="65"/>
  <c r="BQ71" i="65"/>
  <c r="BP71" i="65"/>
  <c r="BO71" i="65"/>
  <c r="BN71" i="65"/>
  <c r="BM71" i="65"/>
  <c r="BL71" i="65"/>
  <c r="BK71" i="65"/>
  <c r="BJ71" i="65"/>
  <c r="BI71" i="65"/>
  <c r="BH71" i="65"/>
  <c r="BG71" i="65"/>
  <c r="BF71" i="65"/>
  <c r="BE71" i="65"/>
  <c r="BD71" i="65"/>
  <c r="BC71" i="65"/>
  <c r="BB71" i="65"/>
  <c r="BA71" i="65"/>
  <c r="AZ71" i="65"/>
  <c r="AY71" i="65"/>
  <c r="AX71" i="65"/>
  <c r="AW71" i="65"/>
  <c r="AV71" i="65"/>
  <c r="AU71" i="65"/>
  <c r="AT71" i="65"/>
  <c r="EP71" i="65" s="1"/>
  <c r="AS71" i="65"/>
  <c r="EO71" i="65" s="1"/>
  <c r="AR71" i="65"/>
  <c r="EN71" i="65" s="1"/>
  <c r="AQ71" i="65"/>
  <c r="AP71" i="65"/>
  <c r="AO71" i="65"/>
  <c r="AN71" i="65"/>
  <c r="AM71" i="65"/>
  <c r="AL71" i="65"/>
  <c r="AK71" i="65"/>
  <c r="AJ71" i="65"/>
  <c r="AI71" i="65"/>
  <c r="AH71" i="65"/>
  <c r="AG71" i="65"/>
  <c r="AF71" i="65"/>
  <c r="AE71" i="65"/>
  <c r="AD71" i="65"/>
  <c r="AC71" i="65"/>
  <c r="AB71" i="65"/>
  <c r="Z71" i="65"/>
  <c r="Y71" i="65"/>
  <c r="X71" i="65"/>
  <c r="EE71" i="65" s="1"/>
  <c r="W71" i="65"/>
  <c r="V71" i="65"/>
  <c r="U71" i="65"/>
  <c r="T71" i="65"/>
  <c r="S71" i="65"/>
  <c r="R71" i="65"/>
  <c r="Q71" i="65"/>
  <c r="O71" i="65"/>
  <c r="N71" i="65"/>
  <c r="M71" i="65"/>
  <c r="L71" i="65"/>
  <c r="K71" i="65"/>
  <c r="J71" i="65"/>
  <c r="I71" i="65"/>
  <c r="H71" i="65"/>
  <c r="G71" i="65"/>
  <c r="F71" i="65"/>
  <c r="E71" i="65"/>
  <c r="EM70" i="65"/>
  <c r="DU70" i="65"/>
  <c r="DT70" i="65"/>
  <c r="DS70" i="65"/>
  <c r="DR70" i="65"/>
  <c r="DQ70" i="65"/>
  <c r="DP70" i="65"/>
  <c r="DO70" i="65"/>
  <c r="DN70" i="65"/>
  <c r="DM70" i="65"/>
  <c r="DL70" i="65"/>
  <c r="DK70" i="65"/>
  <c r="DJ70" i="65"/>
  <c r="DI70" i="65"/>
  <c r="DH70" i="65"/>
  <c r="DG70" i="65"/>
  <c r="DF70" i="65"/>
  <c r="DE70" i="65"/>
  <c r="DD70" i="65"/>
  <c r="DC70" i="65"/>
  <c r="DB70" i="65"/>
  <c r="DA70" i="65"/>
  <c r="CZ70" i="65"/>
  <c r="CY70" i="65"/>
  <c r="CX70" i="65"/>
  <c r="CW70" i="65"/>
  <c r="CV70" i="65"/>
  <c r="CU70" i="65"/>
  <c r="CT70" i="65"/>
  <c r="CS70" i="65"/>
  <c r="CR70" i="65"/>
  <c r="CQ70" i="65"/>
  <c r="CP70" i="65"/>
  <c r="CO70" i="65"/>
  <c r="CN70" i="65"/>
  <c r="CM70" i="65"/>
  <c r="CL70" i="65"/>
  <c r="CK70" i="65"/>
  <c r="CJ70" i="65"/>
  <c r="CI70" i="65"/>
  <c r="CH70" i="65"/>
  <c r="CG70" i="65"/>
  <c r="CF70" i="65"/>
  <c r="CE70" i="65"/>
  <c r="CD70" i="65"/>
  <c r="CC70" i="65"/>
  <c r="CB70" i="65"/>
  <c r="CA70" i="65"/>
  <c r="BZ70" i="65"/>
  <c r="BY70" i="65"/>
  <c r="BX70" i="65"/>
  <c r="BW70" i="65"/>
  <c r="BV70" i="65"/>
  <c r="BU70" i="65"/>
  <c r="BT70" i="65"/>
  <c r="BS70" i="65"/>
  <c r="BR70" i="65"/>
  <c r="BQ70" i="65"/>
  <c r="BP70" i="65"/>
  <c r="BO70" i="65"/>
  <c r="BN70" i="65"/>
  <c r="BM70" i="65"/>
  <c r="BL70" i="65"/>
  <c r="BK70" i="65"/>
  <c r="BJ70" i="65"/>
  <c r="BI70" i="65"/>
  <c r="BH70" i="65"/>
  <c r="BG70" i="65"/>
  <c r="BF70" i="65"/>
  <c r="BE70" i="65"/>
  <c r="BD70" i="65"/>
  <c r="BC70" i="65"/>
  <c r="BB70" i="65"/>
  <c r="BA70" i="65"/>
  <c r="AZ70" i="65"/>
  <c r="AY70" i="65"/>
  <c r="AX70" i="65"/>
  <c r="AW70" i="65"/>
  <c r="AV70" i="65"/>
  <c r="AU70" i="65"/>
  <c r="AT70" i="65"/>
  <c r="AS70" i="65"/>
  <c r="EO70" i="65" s="1"/>
  <c r="AR70" i="65"/>
  <c r="EN70" i="65" s="1"/>
  <c r="AQ70" i="65"/>
  <c r="AP70" i="65"/>
  <c r="AO70" i="65"/>
  <c r="AN70" i="65"/>
  <c r="AM70" i="65"/>
  <c r="EI70" i="65" s="1"/>
  <c r="AL70" i="65"/>
  <c r="AK70" i="65"/>
  <c r="AJ70" i="65"/>
  <c r="AI70" i="65"/>
  <c r="AH70" i="65"/>
  <c r="AG70" i="65"/>
  <c r="AF70" i="65"/>
  <c r="AE70" i="65"/>
  <c r="AD70" i="65"/>
  <c r="AC70" i="65"/>
  <c r="AB70" i="65"/>
  <c r="Z70" i="65"/>
  <c r="Y70" i="65"/>
  <c r="EF70" i="65" s="1"/>
  <c r="X70" i="65"/>
  <c r="W70" i="65"/>
  <c r="ED70" i="65" s="1"/>
  <c r="V70" i="65"/>
  <c r="U70" i="65"/>
  <c r="T70" i="65"/>
  <c r="S70" i="65"/>
  <c r="R70" i="65"/>
  <c r="DY70" i="65" s="1"/>
  <c r="Q70" i="65"/>
  <c r="O70" i="65"/>
  <c r="N70" i="65"/>
  <c r="M70" i="65"/>
  <c r="L70" i="65"/>
  <c r="K70" i="65"/>
  <c r="J70" i="65"/>
  <c r="I70" i="65"/>
  <c r="H70" i="65"/>
  <c r="G70" i="65"/>
  <c r="F70" i="65"/>
  <c r="E70" i="65"/>
  <c r="EN69" i="65"/>
  <c r="DU69" i="65"/>
  <c r="DT69" i="65"/>
  <c r="DS69" i="65"/>
  <c r="DR69" i="65"/>
  <c r="DQ69" i="65"/>
  <c r="DP69" i="65"/>
  <c r="DO69" i="65"/>
  <c r="DN69" i="65"/>
  <c r="DM69" i="65"/>
  <c r="DL69" i="65"/>
  <c r="DK69" i="65"/>
  <c r="DJ69" i="65"/>
  <c r="DI69" i="65"/>
  <c r="DH69" i="65"/>
  <c r="DG69" i="65"/>
  <c r="DF69" i="65"/>
  <c r="DE69" i="65"/>
  <c r="DD69" i="65"/>
  <c r="DC69" i="65"/>
  <c r="DB69" i="65"/>
  <c r="DA69" i="65"/>
  <c r="CZ69" i="65"/>
  <c r="CY69" i="65"/>
  <c r="CX69" i="65"/>
  <c r="CW69" i="65"/>
  <c r="CV69" i="65"/>
  <c r="CU69" i="65"/>
  <c r="CT69" i="65"/>
  <c r="CS69" i="65"/>
  <c r="CR69" i="65"/>
  <c r="CQ69" i="65"/>
  <c r="CP69" i="65"/>
  <c r="CO69" i="65"/>
  <c r="CN69" i="65"/>
  <c r="CM69" i="65"/>
  <c r="CL69" i="65"/>
  <c r="CK69" i="65"/>
  <c r="CJ69" i="65"/>
  <c r="CI69" i="65"/>
  <c r="CH69" i="65"/>
  <c r="CG69" i="65"/>
  <c r="CF69" i="65"/>
  <c r="CE69" i="65"/>
  <c r="CD69" i="65"/>
  <c r="CC69" i="65"/>
  <c r="CB69" i="65"/>
  <c r="CA69" i="65"/>
  <c r="BZ69" i="65"/>
  <c r="BY69" i="65"/>
  <c r="BX69" i="65"/>
  <c r="BW69" i="65"/>
  <c r="BV69" i="65"/>
  <c r="BU69" i="65"/>
  <c r="BT69" i="65"/>
  <c r="BS69" i="65"/>
  <c r="BR69" i="65"/>
  <c r="BQ69" i="65"/>
  <c r="BP69" i="65"/>
  <c r="BO69" i="65"/>
  <c r="BN69" i="65"/>
  <c r="BM69" i="65"/>
  <c r="BL69" i="65"/>
  <c r="BK69" i="65"/>
  <c r="BJ69" i="65"/>
  <c r="BI69" i="65"/>
  <c r="BH69" i="65"/>
  <c r="BG69" i="65"/>
  <c r="BF69" i="65"/>
  <c r="BE69" i="65"/>
  <c r="BD69" i="65"/>
  <c r="BC69" i="65"/>
  <c r="BB69" i="65"/>
  <c r="BA69" i="65"/>
  <c r="AZ69" i="65"/>
  <c r="AY69" i="65"/>
  <c r="AX69" i="65"/>
  <c r="AW69" i="65"/>
  <c r="AV69" i="65"/>
  <c r="ER69" i="65" s="1"/>
  <c r="AU69" i="65"/>
  <c r="EQ69" i="65" s="1"/>
  <c r="AT69" i="65"/>
  <c r="AS69" i="65"/>
  <c r="AR69" i="65"/>
  <c r="AQ69" i="65"/>
  <c r="EM69" i="65" s="1"/>
  <c r="AP69" i="65"/>
  <c r="EL69" i="65" s="1"/>
  <c r="AO69" i="65"/>
  <c r="AN69" i="65"/>
  <c r="AM69" i="65"/>
  <c r="AL69" i="65"/>
  <c r="EH69" i="65" s="1"/>
  <c r="AK69" i="65"/>
  <c r="AJ69" i="65"/>
  <c r="AI69" i="65"/>
  <c r="AH69" i="65"/>
  <c r="AG69" i="65"/>
  <c r="AF69" i="65"/>
  <c r="AE69" i="65"/>
  <c r="AD69" i="65"/>
  <c r="AC69" i="65"/>
  <c r="AB69" i="65"/>
  <c r="Z69" i="65"/>
  <c r="Y69" i="65"/>
  <c r="X69" i="65"/>
  <c r="W69" i="65"/>
  <c r="V69" i="65"/>
  <c r="U69" i="65"/>
  <c r="T69" i="65"/>
  <c r="S69" i="65"/>
  <c r="R69" i="65"/>
  <c r="Q69" i="65"/>
  <c r="O69" i="65"/>
  <c r="N69" i="65"/>
  <c r="M69" i="65"/>
  <c r="L69" i="65"/>
  <c r="K69" i="65"/>
  <c r="J69" i="65"/>
  <c r="I69" i="65"/>
  <c r="H69" i="65"/>
  <c r="G69" i="65"/>
  <c r="F69" i="65"/>
  <c r="E69" i="65"/>
  <c r="EP68" i="65"/>
  <c r="DU68" i="65"/>
  <c r="DT68" i="65"/>
  <c r="DS68" i="65"/>
  <c r="DR68" i="65"/>
  <c r="DQ68" i="65"/>
  <c r="DP68" i="65"/>
  <c r="DO68" i="65"/>
  <c r="DN68" i="65"/>
  <c r="DM68" i="65"/>
  <c r="DL68" i="65"/>
  <c r="DK68" i="65"/>
  <c r="DJ68" i="65"/>
  <c r="DI68" i="65"/>
  <c r="DH68" i="65"/>
  <c r="DG68" i="65"/>
  <c r="DF68" i="65"/>
  <c r="DE68" i="65"/>
  <c r="DD68" i="65"/>
  <c r="DC68" i="65"/>
  <c r="DB68" i="65"/>
  <c r="DA68" i="65"/>
  <c r="CZ68" i="65"/>
  <c r="CY68" i="65"/>
  <c r="CX68" i="65"/>
  <c r="CW68" i="65"/>
  <c r="CV68" i="65"/>
  <c r="CU68" i="65"/>
  <c r="CT68" i="65"/>
  <c r="CS68" i="65"/>
  <c r="CR68" i="65"/>
  <c r="CQ68" i="65"/>
  <c r="CP68" i="65"/>
  <c r="CO68" i="65"/>
  <c r="CN68" i="65"/>
  <c r="CM68" i="65"/>
  <c r="CL68" i="65"/>
  <c r="CK68" i="65"/>
  <c r="CJ68" i="65"/>
  <c r="CI68" i="65"/>
  <c r="CH68" i="65"/>
  <c r="CG68" i="65"/>
  <c r="CF68" i="65"/>
  <c r="CE68" i="65"/>
  <c r="CD68" i="65"/>
  <c r="CC68" i="65"/>
  <c r="CB68" i="65"/>
  <c r="CA68" i="65"/>
  <c r="BZ68" i="65"/>
  <c r="BY68" i="65"/>
  <c r="BX68" i="65"/>
  <c r="BW68" i="65"/>
  <c r="BV68" i="65"/>
  <c r="BU68" i="65"/>
  <c r="BT68" i="65"/>
  <c r="BS68" i="65"/>
  <c r="BR68" i="65"/>
  <c r="BQ68" i="65"/>
  <c r="BP68" i="65"/>
  <c r="BO68" i="65"/>
  <c r="BN68" i="65"/>
  <c r="BM68" i="65"/>
  <c r="BL68" i="65"/>
  <c r="BK68" i="65"/>
  <c r="BJ68" i="65"/>
  <c r="BI68" i="65"/>
  <c r="BH68" i="65"/>
  <c r="BG68" i="65"/>
  <c r="BF68" i="65"/>
  <c r="BE68" i="65"/>
  <c r="BD68" i="65"/>
  <c r="BC68" i="65"/>
  <c r="BB68" i="65"/>
  <c r="BA68" i="65"/>
  <c r="AZ68" i="65"/>
  <c r="AY68" i="65"/>
  <c r="AX68" i="65"/>
  <c r="AW68" i="65"/>
  <c r="AV68" i="65"/>
  <c r="ER68" i="65" s="1"/>
  <c r="AU68" i="65"/>
  <c r="EQ68" i="65" s="1"/>
  <c r="AT68" i="65"/>
  <c r="AS68" i="65"/>
  <c r="AR68" i="65"/>
  <c r="AQ68" i="65"/>
  <c r="EM68" i="65" s="1"/>
  <c r="AP68" i="65"/>
  <c r="AO68" i="65"/>
  <c r="AN68" i="65"/>
  <c r="AM68" i="65"/>
  <c r="AL68" i="65"/>
  <c r="AK68" i="65"/>
  <c r="AJ68" i="65"/>
  <c r="AI68" i="65"/>
  <c r="AH68" i="65"/>
  <c r="AG68" i="65"/>
  <c r="AF68" i="65"/>
  <c r="AE68" i="65"/>
  <c r="AD68" i="65"/>
  <c r="AC68" i="65"/>
  <c r="AB68" i="65"/>
  <c r="Z68" i="65"/>
  <c r="Y68" i="65"/>
  <c r="X68" i="65"/>
  <c r="W68" i="65"/>
  <c r="V68" i="65"/>
  <c r="U68" i="65"/>
  <c r="T68" i="65"/>
  <c r="S68" i="65"/>
  <c r="R68" i="65"/>
  <c r="Q68" i="65"/>
  <c r="O68" i="65"/>
  <c r="N68" i="65"/>
  <c r="M68" i="65"/>
  <c r="L68" i="65"/>
  <c r="K68" i="65"/>
  <c r="J68" i="65"/>
  <c r="I68" i="65"/>
  <c r="H68" i="65"/>
  <c r="G68" i="65"/>
  <c r="F68" i="65"/>
  <c r="E68" i="65"/>
  <c r="EO67" i="65"/>
  <c r="EE67" i="65"/>
  <c r="DU67" i="65"/>
  <c r="DT67" i="65"/>
  <c r="DS67" i="65"/>
  <c r="DR67" i="65"/>
  <c r="DQ67" i="65"/>
  <c r="DP67" i="65"/>
  <c r="DO67" i="65"/>
  <c r="DN67" i="65"/>
  <c r="DM67" i="65"/>
  <c r="DL67" i="65"/>
  <c r="DK67" i="65"/>
  <c r="DJ67" i="65"/>
  <c r="DI67" i="65"/>
  <c r="DH67" i="65"/>
  <c r="DG67" i="65"/>
  <c r="DF67" i="65"/>
  <c r="DE67" i="65"/>
  <c r="DD67" i="65"/>
  <c r="DC67" i="65"/>
  <c r="DB67" i="65"/>
  <c r="DA67" i="65"/>
  <c r="CZ67" i="65"/>
  <c r="CY67" i="65"/>
  <c r="CX67" i="65"/>
  <c r="CW67" i="65"/>
  <c r="CV67" i="65"/>
  <c r="CU67" i="65"/>
  <c r="CT67" i="65"/>
  <c r="CS67" i="65"/>
  <c r="CR67" i="65"/>
  <c r="CQ67" i="65"/>
  <c r="CP67" i="65"/>
  <c r="CO67" i="65"/>
  <c r="CN67" i="65"/>
  <c r="CM67" i="65"/>
  <c r="CL67" i="65"/>
  <c r="CK67" i="65"/>
  <c r="CJ67" i="65"/>
  <c r="CI67" i="65"/>
  <c r="CH67" i="65"/>
  <c r="CG67" i="65"/>
  <c r="CF67" i="65"/>
  <c r="CE67" i="65"/>
  <c r="CD67" i="65"/>
  <c r="CC67" i="65"/>
  <c r="CB67" i="65"/>
  <c r="CA67" i="65"/>
  <c r="BZ67" i="65"/>
  <c r="BY67" i="65"/>
  <c r="BX67" i="65"/>
  <c r="BW67" i="65"/>
  <c r="BV67" i="65"/>
  <c r="BU67" i="65"/>
  <c r="BT67" i="65"/>
  <c r="BS67" i="65"/>
  <c r="BR67" i="65"/>
  <c r="BQ67" i="65"/>
  <c r="BP67" i="65"/>
  <c r="BO67" i="65"/>
  <c r="BN67" i="65"/>
  <c r="BM67" i="65"/>
  <c r="BL67" i="65"/>
  <c r="BK67" i="65"/>
  <c r="BJ67" i="65"/>
  <c r="BI67" i="65"/>
  <c r="BH67" i="65"/>
  <c r="BG67" i="65"/>
  <c r="BF67" i="65"/>
  <c r="BE67" i="65"/>
  <c r="BD67" i="65"/>
  <c r="BC67" i="65"/>
  <c r="BB67" i="65"/>
  <c r="BA67" i="65"/>
  <c r="AZ67" i="65"/>
  <c r="AY67" i="65"/>
  <c r="AX67" i="65"/>
  <c r="AW67" i="65"/>
  <c r="AV67" i="65"/>
  <c r="AU67" i="65"/>
  <c r="EQ67" i="65" s="1"/>
  <c r="AT67" i="65"/>
  <c r="EP67" i="65" s="1"/>
  <c r="AS67" i="65"/>
  <c r="AR67" i="65"/>
  <c r="AQ67" i="65"/>
  <c r="AP67" i="65"/>
  <c r="EL67" i="65" s="1"/>
  <c r="AO67" i="65"/>
  <c r="EK67" i="65" s="1"/>
  <c r="AN67" i="65"/>
  <c r="EJ67" i="65" s="1"/>
  <c r="AM67" i="65"/>
  <c r="AL67" i="65"/>
  <c r="AK67" i="65"/>
  <c r="AJ67" i="65"/>
  <c r="AI67" i="65"/>
  <c r="AH67" i="65"/>
  <c r="AG67" i="65"/>
  <c r="AF67" i="65"/>
  <c r="AE67" i="65"/>
  <c r="AD67" i="65"/>
  <c r="AC67" i="65"/>
  <c r="AB67" i="65"/>
  <c r="Z67" i="65"/>
  <c r="Y67" i="65"/>
  <c r="X67" i="65"/>
  <c r="W67" i="65"/>
  <c r="V67" i="65"/>
  <c r="U67" i="65"/>
  <c r="T67" i="65"/>
  <c r="S67" i="65"/>
  <c r="R67" i="65"/>
  <c r="Q67" i="65"/>
  <c r="O67" i="65"/>
  <c r="N67" i="65"/>
  <c r="M67" i="65"/>
  <c r="L67" i="65"/>
  <c r="K67" i="65"/>
  <c r="J67" i="65"/>
  <c r="I67" i="65"/>
  <c r="H67" i="65"/>
  <c r="G67" i="65"/>
  <c r="F67" i="65"/>
  <c r="E67" i="65"/>
  <c r="EQ66" i="65"/>
  <c r="EP66" i="65"/>
  <c r="EO66" i="65"/>
  <c r="DU66" i="65"/>
  <c r="DT66" i="65"/>
  <c r="DS66" i="65"/>
  <c r="DR66" i="65"/>
  <c r="DQ66" i="65"/>
  <c r="DP66" i="65"/>
  <c r="DO66" i="65"/>
  <c r="DN66" i="65"/>
  <c r="DM66" i="65"/>
  <c r="DL66" i="65"/>
  <c r="DK66" i="65"/>
  <c r="DJ66" i="65"/>
  <c r="DI66" i="65"/>
  <c r="DH66" i="65"/>
  <c r="DG66" i="65"/>
  <c r="DF66" i="65"/>
  <c r="DE66" i="65"/>
  <c r="DD66" i="65"/>
  <c r="DC66" i="65"/>
  <c r="DB66" i="65"/>
  <c r="DA66" i="65"/>
  <c r="CZ66" i="65"/>
  <c r="CY66" i="65"/>
  <c r="CX66" i="65"/>
  <c r="CW66" i="65"/>
  <c r="CV66" i="65"/>
  <c r="CU66" i="65"/>
  <c r="CT66" i="65"/>
  <c r="CS66" i="65"/>
  <c r="CR66" i="65"/>
  <c r="CQ66" i="65"/>
  <c r="CP66" i="65"/>
  <c r="CO66" i="65"/>
  <c r="CN66" i="65"/>
  <c r="CM66" i="65"/>
  <c r="CL66" i="65"/>
  <c r="CK66" i="65"/>
  <c r="CJ66" i="65"/>
  <c r="CI66" i="65"/>
  <c r="CH66" i="65"/>
  <c r="CG66" i="65"/>
  <c r="CF66" i="65"/>
  <c r="CE66" i="65"/>
  <c r="CD66" i="65"/>
  <c r="CC66" i="65"/>
  <c r="CB66" i="65"/>
  <c r="CA66" i="65"/>
  <c r="BZ66" i="65"/>
  <c r="BY66" i="65"/>
  <c r="BX66" i="65"/>
  <c r="BW66" i="65"/>
  <c r="BV66" i="65"/>
  <c r="BU66" i="65"/>
  <c r="BT66" i="65"/>
  <c r="BS66" i="65"/>
  <c r="BR66" i="65"/>
  <c r="BQ66" i="65"/>
  <c r="BP66" i="65"/>
  <c r="BO66" i="65"/>
  <c r="BN66" i="65"/>
  <c r="BM66" i="65"/>
  <c r="BL66" i="65"/>
  <c r="BK66" i="65"/>
  <c r="BJ66" i="65"/>
  <c r="BI66" i="65"/>
  <c r="BH66" i="65"/>
  <c r="BG66" i="65"/>
  <c r="BF66" i="65"/>
  <c r="BE66" i="65"/>
  <c r="BD66" i="65"/>
  <c r="BC66" i="65"/>
  <c r="BB66" i="65"/>
  <c r="BA66" i="65"/>
  <c r="AZ66" i="65"/>
  <c r="AY66" i="65"/>
  <c r="AX66" i="65"/>
  <c r="AW66" i="65"/>
  <c r="AV66" i="65"/>
  <c r="AU66" i="65"/>
  <c r="AT66" i="65"/>
  <c r="AS66" i="65"/>
  <c r="AR66" i="65"/>
  <c r="AQ66" i="65"/>
  <c r="AP66" i="65"/>
  <c r="AO66" i="65"/>
  <c r="AN66" i="65"/>
  <c r="AM66" i="65"/>
  <c r="AL66" i="65"/>
  <c r="AK66" i="65"/>
  <c r="AJ66" i="65"/>
  <c r="AI66" i="65"/>
  <c r="AH66" i="65"/>
  <c r="AG66" i="65"/>
  <c r="AF66" i="65"/>
  <c r="AE66" i="65"/>
  <c r="AD66" i="65"/>
  <c r="AC66" i="65"/>
  <c r="AB66" i="65"/>
  <c r="Z66" i="65"/>
  <c r="Y66" i="65"/>
  <c r="X66" i="65"/>
  <c r="EE66" i="65" s="1"/>
  <c r="W66" i="65"/>
  <c r="V66" i="65"/>
  <c r="U66" i="65"/>
  <c r="T66" i="65"/>
  <c r="S66" i="65"/>
  <c r="DZ66" i="65" s="1"/>
  <c r="R66" i="65"/>
  <c r="DY66" i="65" s="1"/>
  <c r="Q66" i="65"/>
  <c r="O66" i="65"/>
  <c r="N66" i="65"/>
  <c r="M66" i="65"/>
  <c r="L66" i="65"/>
  <c r="K66" i="65"/>
  <c r="J66" i="65"/>
  <c r="I66" i="65"/>
  <c r="H66" i="65"/>
  <c r="G66" i="65"/>
  <c r="F66" i="65"/>
  <c r="E66" i="65"/>
  <c r="ER65" i="65"/>
  <c r="EN65" i="65"/>
  <c r="EM65" i="65"/>
  <c r="EJ65" i="65"/>
  <c r="EI65" i="65"/>
  <c r="DU65" i="65"/>
  <c r="DT65" i="65"/>
  <c r="DS65" i="65"/>
  <c r="DR65" i="65"/>
  <c r="DQ65" i="65"/>
  <c r="DP65" i="65"/>
  <c r="DO65" i="65"/>
  <c r="DN65" i="65"/>
  <c r="DM65" i="65"/>
  <c r="DL65" i="65"/>
  <c r="DK65" i="65"/>
  <c r="DJ65" i="65"/>
  <c r="DI65" i="65"/>
  <c r="DH65" i="65"/>
  <c r="DG65" i="65"/>
  <c r="DF65" i="65"/>
  <c r="DE65" i="65"/>
  <c r="DD65" i="65"/>
  <c r="DC65" i="65"/>
  <c r="DB65" i="65"/>
  <c r="DA65" i="65"/>
  <c r="CZ65" i="65"/>
  <c r="CY65" i="65"/>
  <c r="CX65" i="65"/>
  <c r="CW65" i="65"/>
  <c r="CV65" i="65"/>
  <c r="CU65" i="65"/>
  <c r="CT65" i="65"/>
  <c r="CS65" i="65"/>
  <c r="CR65" i="65"/>
  <c r="CQ65" i="65"/>
  <c r="CP65" i="65"/>
  <c r="CO65" i="65"/>
  <c r="CN65" i="65"/>
  <c r="CM65" i="65"/>
  <c r="CL65" i="65"/>
  <c r="CK65" i="65"/>
  <c r="CJ65" i="65"/>
  <c r="CI65" i="65"/>
  <c r="CH65" i="65"/>
  <c r="CG65" i="65"/>
  <c r="CF65" i="65"/>
  <c r="CE65" i="65"/>
  <c r="CD65" i="65"/>
  <c r="CC65" i="65"/>
  <c r="CB65" i="65"/>
  <c r="CA65" i="65"/>
  <c r="BZ65" i="65"/>
  <c r="BY65" i="65"/>
  <c r="BX65" i="65"/>
  <c r="BW65" i="65"/>
  <c r="BV65" i="65"/>
  <c r="BU65" i="65"/>
  <c r="BT65" i="65"/>
  <c r="BS65" i="65"/>
  <c r="BR65" i="65"/>
  <c r="BQ65" i="65"/>
  <c r="BP65" i="65"/>
  <c r="BO65" i="65"/>
  <c r="BN65" i="65"/>
  <c r="BM65" i="65"/>
  <c r="BL65" i="65"/>
  <c r="BK65" i="65"/>
  <c r="BJ65" i="65"/>
  <c r="BI65" i="65"/>
  <c r="BH65" i="65"/>
  <c r="BG65" i="65"/>
  <c r="BF65" i="65"/>
  <c r="BE65" i="65"/>
  <c r="BD65" i="65"/>
  <c r="BC65" i="65"/>
  <c r="BB65" i="65"/>
  <c r="BA65" i="65"/>
  <c r="AZ65" i="65"/>
  <c r="AY65" i="65"/>
  <c r="AX65" i="65"/>
  <c r="AW65" i="65"/>
  <c r="AV65" i="65"/>
  <c r="AU65" i="65"/>
  <c r="AT65" i="65"/>
  <c r="EP65" i="65" s="1"/>
  <c r="AS65" i="65"/>
  <c r="AR65" i="65"/>
  <c r="AQ65" i="65"/>
  <c r="AP65" i="65"/>
  <c r="AO65" i="65"/>
  <c r="AN65" i="65"/>
  <c r="AM65" i="65"/>
  <c r="AL65" i="65"/>
  <c r="AK65" i="65"/>
  <c r="AJ65" i="65"/>
  <c r="AI65" i="65"/>
  <c r="AH65" i="65"/>
  <c r="AG65" i="65"/>
  <c r="AF65" i="65"/>
  <c r="AE65" i="65"/>
  <c r="AD65" i="65"/>
  <c r="AC65" i="65"/>
  <c r="AB65" i="65"/>
  <c r="Z65" i="65"/>
  <c r="Y65" i="65"/>
  <c r="X65" i="65"/>
  <c r="W65" i="65"/>
  <c r="V65" i="65"/>
  <c r="U65" i="65"/>
  <c r="T65" i="65"/>
  <c r="S65" i="65"/>
  <c r="R65" i="65"/>
  <c r="Q65" i="65"/>
  <c r="O65" i="65"/>
  <c r="N65" i="65"/>
  <c r="M65" i="65"/>
  <c r="L65" i="65"/>
  <c r="K65" i="65"/>
  <c r="J65" i="65"/>
  <c r="I65" i="65"/>
  <c r="H65" i="65"/>
  <c r="G65" i="65"/>
  <c r="F65" i="65"/>
  <c r="E65" i="65"/>
  <c r="EQ64" i="65"/>
  <c r="EH64" i="65"/>
  <c r="DU64" i="65"/>
  <c r="DT64" i="65"/>
  <c r="DS64" i="65"/>
  <c r="DR64" i="65"/>
  <c r="DQ64" i="65"/>
  <c r="DP64" i="65"/>
  <c r="DO64" i="65"/>
  <c r="DN64" i="65"/>
  <c r="DM64" i="65"/>
  <c r="DL64" i="65"/>
  <c r="DK64" i="65"/>
  <c r="DJ64" i="65"/>
  <c r="DI64" i="65"/>
  <c r="DH64" i="65"/>
  <c r="DG64" i="65"/>
  <c r="DF64" i="65"/>
  <c r="DE64" i="65"/>
  <c r="DD64" i="65"/>
  <c r="DC64" i="65"/>
  <c r="DB64" i="65"/>
  <c r="DA64" i="65"/>
  <c r="CZ64" i="65"/>
  <c r="CY64" i="65"/>
  <c r="CX64" i="65"/>
  <c r="CW64" i="65"/>
  <c r="CV64" i="65"/>
  <c r="CU64" i="65"/>
  <c r="CT64" i="65"/>
  <c r="CS64" i="65"/>
  <c r="CR64" i="65"/>
  <c r="CQ64" i="65"/>
  <c r="CP64" i="65"/>
  <c r="CO64" i="65"/>
  <c r="CN64" i="65"/>
  <c r="CM64" i="65"/>
  <c r="CL64" i="65"/>
  <c r="CK64" i="65"/>
  <c r="CJ64" i="65"/>
  <c r="CI64" i="65"/>
  <c r="CH64" i="65"/>
  <c r="CG64" i="65"/>
  <c r="CF64" i="65"/>
  <c r="CE64" i="65"/>
  <c r="CD64" i="65"/>
  <c r="CC64" i="65"/>
  <c r="CB64" i="65"/>
  <c r="CA64" i="65"/>
  <c r="BZ64" i="65"/>
  <c r="BY64" i="65"/>
  <c r="BX64" i="65"/>
  <c r="BW64" i="65"/>
  <c r="BV64" i="65"/>
  <c r="BU64" i="65"/>
  <c r="BT64" i="65"/>
  <c r="BS64" i="65"/>
  <c r="BR64" i="65"/>
  <c r="BQ64" i="65"/>
  <c r="BP64" i="65"/>
  <c r="BO64" i="65"/>
  <c r="BN64" i="65"/>
  <c r="BM64" i="65"/>
  <c r="BL64" i="65"/>
  <c r="BK64" i="65"/>
  <c r="BJ64" i="65"/>
  <c r="BI64" i="65"/>
  <c r="BH64" i="65"/>
  <c r="BG64" i="65"/>
  <c r="BF64" i="65"/>
  <c r="BE64" i="65"/>
  <c r="BD64" i="65"/>
  <c r="BC64" i="65"/>
  <c r="BB64" i="65"/>
  <c r="BA64" i="65"/>
  <c r="AZ64" i="65"/>
  <c r="AY64" i="65"/>
  <c r="AX64" i="65"/>
  <c r="AW64" i="65"/>
  <c r="AV64" i="65"/>
  <c r="AU64" i="65"/>
  <c r="AT64" i="65"/>
  <c r="EP64" i="65" s="1"/>
  <c r="AS64" i="65"/>
  <c r="AR64" i="65"/>
  <c r="EN64" i="65" s="1"/>
  <c r="AQ64" i="65"/>
  <c r="AP64" i="65"/>
  <c r="AO64" i="65"/>
  <c r="EK64" i="65" s="1"/>
  <c r="AN64" i="65"/>
  <c r="AM64" i="65"/>
  <c r="EI64" i="65" s="1"/>
  <c r="AL64" i="65"/>
  <c r="AK64" i="65"/>
  <c r="AJ64" i="65"/>
  <c r="AI64" i="65"/>
  <c r="AH64" i="65"/>
  <c r="AG64" i="65"/>
  <c r="AF64" i="65"/>
  <c r="AE64" i="65"/>
  <c r="AD64" i="65"/>
  <c r="AC64" i="65"/>
  <c r="AB64" i="65"/>
  <c r="Z64" i="65"/>
  <c r="Y64" i="65"/>
  <c r="X64" i="65"/>
  <c r="W64" i="65"/>
  <c r="V64" i="65"/>
  <c r="U64" i="65"/>
  <c r="T64" i="65"/>
  <c r="S64" i="65"/>
  <c r="R64" i="65"/>
  <c r="Q64" i="65"/>
  <c r="O64" i="65"/>
  <c r="N64" i="65"/>
  <c r="M64" i="65"/>
  <c r="L64" i="65"/>
  <c r="K64" i="65"/>
  <c r="J64" i="65"/>
  <c r="I64" i="65"/>
  <c r="H64" i="65"/>
  <c r="G64" i="65"/>
  <c r="F64" i="65"/>
  <c r="H33" i="51" s="1"/>
  <c r="E64" i="65"/>
  <c r="EN63" i="65"/>
  <c r="DU63" i="65"/>
  <c r="DT63" i="65"/>
  <c r="DS63" i="65"/>
  <c r="DR63" i="65"/>
  <c r="DQ63" i="65"/>
  <c r="DP63" i="65"/>
  <c r="DO63" i="65"/>
  <c r="DN63" i="65"/>
  <c r="DM63" i="65"/>
  <c r="DL63" i="65"/>
  <c r="DK63" i="65"/>
  <c r="DJ63" i="65"/>
  <c r="DI63" i="65"/>
  <c r="DH63" i="65"/>
  <c r="DG63" i="65"/>
  <c r="DF63" i="65"/>
  <c r="DE63" i="65"/>
  <c r="DD63" i="65"/>
  <c r="DC63" i="65"/>
  <c r="DB63" i="65"/>
  <c r="DA63" i="65"/>
  <c r="CZ63" i="65"/>
  <c r="CY63" i="65"/>
  <c r="CX63" i="65"/>
  <c r="CW63" i="65"/>
  <c r="CV63" i="65"/>
  <c r="CU63" i="65"/>
  <c r="CT63" i="65"/>
  <c r="CS63" i="65"/>
  <c r="CR63" i="65"/>
  <c r="CQ63" i="65"/>
  <c r="CP63" i="65"/>
  <c r="CO63" i="65"/>
  <c r="CN63" i="65"/>
  <c r="CM63" i="65"/>
  <c r="CL63" i="65"/>
  <c r="CK63" i="65"/>
  <c r="CJ63" i="65"/>
  <c r="CI63" i="65"/>
  <c r="CH63" i="65"/>
  <c r="CG63" i="65"/>
  <c r="CF63" i="65"/>
  <c r="CE63" i="65"/>
  <c r="CD63" i="65"/>
  <c r="CC63" i="65"/>
  <c r="CB63" i="65"/>
  <c r="CA63" i="65"/>
  <c r="BZ63" i="65"/>
  <c r="BY63" i="65"/>
  <c r="BX63" i="65"/>
  <c r="BW63" i="65"/>
  <c r="BV63" i="65"/>
  <c r="BU63" i="65"/>
  <c r="BT63" i="65"/>
  <c r="BS63" i="65"/>
  <c r="BR63" i="65"/>
  <c r="BQ63" i="65"/>
  <c r="BP63" i="65"/>
  <c r="BO63" i="65"/>
  <c r="BN63" i="65"/>
  <c r="BM63" i="65"/>
  <c r="BL63" i="65"/>
  <c r="BK63" i="65"/>
  <c r="BJ63" i="65"/>
  <c r="BI63" i="65"/>
  <c r="BH63" i="65"/>
  <c r="BG63" i="65"/>
  <c r="BF63" i="65"/>
  <c r="BE63" i="65"/>
  <c r="BD63" i="65"/>
  <c r="BC63" i="65"/>
  <c r="BB63" i="65"/>
  <c r="BA63" i="65"/>
  <c r="AZ63" i="65"/>
  <c r="AY63" i="65"/>
  <c r="AX63" i="65"/>
  <c r="AW63" i="65"/>
  <c r="AV63" i="65"/>
  <c r="ER63" i="65" s="1"/>
  <c r="AU63" i="65"/>
  <c r="AT63" i="65"/>
  <c r="EP63" i="65" s="1"/>
  <c r="AS63" i="65"/>
  <c r="EO63" i="65" s="1"/>
  <c r="AR63" i="65"/>
  <c r="AQ63" i="65"/>
  <c r="AP63" i="65"/>
  <c r="AO63" i="65"/>
  <c r="EK63" i="65" s="1"/>
  <c r="AN63" i="65"/>
  <c r="AM63" i="65"/>
  <c r="EI63" i="65" s="1"/>
  <c r="AL63" i="65"/>
  <c r="EH63" i="65" s="1"/>
  <c r="AK63" i="65"/>
  <c r="AJ63" i="65"/>
  <c r="AI63" i="65"/>
  <c r="AH63" i="65"/>
  <c r="AG63" i="65"/>
  <c r="AF63" i="65"/>
  <c r="AE63" i="65"/>
  <c r="AD63" i="65"/>
  <c r="AC63" i="65"/>
  <c r="AB63" i="65"/>
  <c r="Z63" i="65"/>
  <c r="Y63" i="65"/>
  <c r="X63" i="65"/>
  <c r="W63" i="65"/>
  <c r="V63" i="65"/>
  <c r="U63" i="65"/>
  <c r="T63" i="65"/>
  <c r="EA63" i="65" s="1"/>
  <c r="S63" i="65"/>
  <c r="R63" i="65"/>
  <c r="Q63" i="65"/>
  <c r="O63" i="65"/>
  <c r="N63" i="65"/>
  <c r="M63" i="65"/>
  <c r="L63" i="65"/>
  <c r="K63" i="65"/>
  <c r="J63" i="65"/>
  <c r="I63" i="65"/>
  <c r="H63" i="65"/>
  <c r="G63" i="65"/>
  <c r="F63" i="65"/>
  <c r="E63" i="65"/>
  <c r="EQ62" i="65"/>
  <c r="EO62" i="65"/>
  <c r="EM62" i="65"/>
  <c r="EJ62" i="65"/>
  <c r="DU62" i="65"/>
  <c r="DT62" i="65"/>
  <c r="DS62" i="65"/>
  <c r="DR62" i="65"/>
  <c r="DQ62" i="65"/>
  <c r="DP62" i="65"/>
  <c r="DO62" i="65"/>
  <c r="DN62" i="65"/>
  <c r="DM62" i="65"/>
  <c r="DL62" i="65"/>
  <c r="DK62" i="65"/>
  <c r="DJ62" i="65"/>
  <c r="DI62" i="65"/>
  <c r="DH62" i="65"/>
  <c r="DG62" i="65"/>
  <c r="DF62" i="65"/>
  <c r="DE62" i="65"/>
  <c r="DD62" i="65"/>
  <c r="DC62" i="65"/>
  <c r="DB62" i="65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EN62" i="65" s="1"/>
  <c r="AQ62" i="65"/>
  <c r="AP62" i="65"/>
  <c r="AO62" i="65"/>
  <c r="AN62" i="65"/>
  <c r="AM62" i="65"/>
  <c r="AL62" i="65"/>
  <c r="EH62" i="65" s="1"/>
  <c r="AK62" i="65"/>
  <c r="AJ62" i="65"/>
  <c r="AI62" i="65"/>
  <c r="AH62" i="65"/>
  <c r="AG62" i="65"/>
  <c r="AF62" i="65"/>
  <c r="AE62" i="65"/>
  <c r="AD62" i="65"/>
  <c r="AC62" i="65"/>
  <c r="AB62" i="65"/>
  <c r="Z62" i="65"/>
  <c r="Y62" i="65"/>
  <c r="X62" i="65"/>
  <c r="W62" i="65"/>
  <c r="V62" i="65"/>
  <c r="U62" i="65"/>
  <c r="T62" i="65"/>
  <c r="S62" i="65"/>
  <c r="DZ62" i="65" s="1"/>
  <c r="R62" i="65"/>
  <c r="Q62" i="65"/>
  <c r="O62" i="65"/>
  <c r="N62" i="65"/>
  <c r="M62" i="65"/>
  <c r="L62" i="65"/>
  <c r="K62" i="65"/>
  <c r="J62" i="65"/>
  <c r="I62" i="65"/>
  <c r="H62" i="65"/>
  <c r="G62" i="65"/>
  <c r="F62" i="65"/>
  <c r="E62" i="65"/>
  <c r="EM61" i="65"/>
  <c r="EL61" i="65"/>
  <c r="EI61" i="65"/>
  <c r="DU61" i="65"/>
  <c r="DT61" i="65"/>
  <c r="DS61" i="65"/>
  <c r="DR61" i="65"/>
  <c r="DQ61" i="65"/>
  <c r="DP61" i="65"/>
  <c r="DO61" i="65"/>
  <c r="DN61" i="65"/>
  <c r="DM61" i="65"/>
  <c r="DL61" i="65"/>
  <c r="DK61" i="65"/>
  <c r="DJ61" i="65"/>
  <c r="DI61" i="65"/>
  <c r="DH61" i="65"/>
  <c r="DG61" i="65"/>
  <c r="DF61" i="65"/>
  <c r="DE61" i="65"/>
  <c r="DD61" i="65"/>
  <c r="DC61" i="65"/>
  <c r="DB61" i="65"/>
  <c r="DA61" i="65"/>
  <c r="CZ61" i="65"/>
  <c r="CY61" i="65"/>
  <c r="CX61" i="65"/>
  <c r="CW61" i="65"/>
  <c r="CV61" i="65"/>
  <c r="CU61" i="65"/>
  <c r="CT61" i="65"/>
  <c r="CS61" i="65"/>
  <c r="CR61" i="65"/>
  <c r="CQ61" i="65"/>
  <c r="CP61" i="65"/>
  <c r="CO61" i="65"/>
  <c r="CN61" i="65"/>
  <c r="CM61" i="65"/>
  <c r="CL61" i="65"/>
  <c r="CK61" i="65"/>
  <c r="CJ61" i="65"/>
  <c r="CI61" i="65"/>
  <c r="CH61" i="65"/>
  <c r="CG61" i="65"/>
  <c r="CF61" i="65"/>
  <c r="CE61" i="65"/>
  <c r="CD61" i="65"/>
  <c r="CC61" i="65"/>
  <c r="CB61" i="65"/>
  <c r="CA61" i="65"/>
  <c r="BZ61" i="65"/>
  <c r="BY61" i="65"/>
  <c r="BX61" i="65"/>
  <c r="BW61" i="65"/>
  <c r="BV61" i="65"/>
  <c r="BU61" i="65"/>
  <c r="BT61" i="65"/>
  <c r="BS61" i="65"/>
  <c r="BR61" i="65"/>
  <c r="BQ61" i="65"/>
  <c r="BP61" i="65"/>
  <c r="BO61" i="65"/>
  <c r="BN61" i="65"/>
  <c r="BM61" i="65"/>
  <c r="BL61" i="65"/>
  <c r="BK61" i="65"/>
  <c r="BJ61" i="65"/>
  <c r="BI61" i="65"/>
  <c r="BH61" i="65"/>
  <c r="BG61" i="65"/>
  <c r="BF61" i="65"/>
  <c r="BE61" i="65"/>
  <c r="BD61" i="65"/>
  <c r="BC61" i="65"/>
  <c r="BB61" i="65"/>
  <c r="BA61" i="65"/>
  <c r="AZ61" i="65"/>
  <c r="AY61" i="65"/>
  <c r="AX61" i="65"/>
  <c r="AW61" i="65"/>
  <c r="AV61" i="65"/>
  <c r="AU61" i="65"/>
  <c r="AT61" i="65"/>
  <c r="EP61" i="65" s="1"/>
  <c r="AS61" i="65"/>
  <c r="AR61" i="65"/>
  <c r="EN61" i="65" s="1"/>
  <c r="AQ61" i="65"/>
  <c r="AP61" i="65"/>
  <c r="AO61" i="65"/>
  <c r="AN61" i="65"/>
  <c r="AM61" i="65"/>
  <c r="AL61" i="65"/>
  <c r="AK61" i="65"/>
  <c r="AJ61" i="65"/>
  <c r="AI61" i="65"/>
  <c r="AH61" i="65"/>
  <c r="AG61" i="65"/>
  <c r="AF61" i="65"/>
  <c r="AE61" i="65"/>
  <c r="AD61" i="65"/>
  <c r="AC61" i="65"/>
  <c r="AB61" i="65"/>
  <c r="Z61" i="65"/>
  <c r="Y61" i="65"/>
  <c r="X61" i="65"/>
  <c r="W61" i="65"/>
  <c r="V61" i="65"/>
  <c r="U61" i="65"/>
  <c r="T61" i="65"/>
  <c r="S61" i="65"/>
  <c r="R61" i="65"/>
  <c r="Q61" i="65"/>
  <c r="O61" i="65"/>
  <c r="N61" i="65"/>
  <c r="M61" i="65"/>
  <c r="L61" i="65"/>
  <c r="K61" i="65"/>
  <c r="J61" i="65"/>
  <c r="I61" i="65"/>
  <c r="H61" i="65"/>
  <c r="G61" i="65"/>
  <c r="F61" i="65"/>
  <c r="E61" i="65"/>
  <c r="EM60" i="65"/>
  <c r="EH60" i="65"/>
  <c r="DU60" i="65"/>
  <c r="DT60" i="65"/>
  <c r="DS60" i="65"/>
  <c r="DR60" i="65"/>
  <c r="DQ60" i="65"/>
  <c r="DP60" i="65"/>
  <c r="DO60" i="65"/>
  <c r="DN60" i="65"/>
  <c r="DM60" i="65"/>
  <c r="DL60" i="65"/>
  <c r="DK60" i="65"/>
  <c r="DJ60" i="65"/>
  <c r="DI60" i="65"/>
  <c r="DH60" i="65"/>
  <c r="DG60" i="65"/>
  <c r="DF60" i="65"/>
  <c r="DE60" i="65"/>
  <c r="DD60" i="65"/>
  <c r="DC60" i="65"/>
  <c r="DB60" i="65"/>
  <c r="DA60" i="65"/>
  <c r="CZ60" i="65"/>
  <c r="CY60" i="65"/>
  <c r="CX60" i="65"/>
  <c r="CW60" i="65"/>
  <c r="CV60" i="65"/>
  <c r="CU60" i="65"/>
  <c r="CT60" i="65"/>
  <c r="CS60" i="65"/>
  <c r="CR60" i="65"/>
  <c r="CQ60" i="65"/>
  <c r="CP60" i="65"/>
  <c r="CO60" i="65"/>
  <c r="CN60" i="65"/>
  <c r="CM60" i="65"/>
  <c r="CL60" i="65"/>
  <c r="CK60" i="65"/>
  <c r="CJ60" i="65"/>
  <c r="CI60" i="65"/>
  <c r="CH60" i="65"/>
  <c r="CG60" i="65"/>
  <c r="CF60" i="65"/>
  <c r="CE60" i="65"/>
  <c r="CD60" i="65"/>
  <c r="CC60" i="65"/>
  <c r="CB60" i="65"/>
  <c r="CA60" i="65"/>
  <c r="BZ60" i="65"/>
  <c r="BY60" i="65"/>
  <c r="BX60" i="65"/>
  <c r="BW60" i="65"/>
  <c r="BV60" i="65"/>
  <c r="BU60" i="65"/>
  <c r="BT60" i="65"/>
  <c r="BS60" i="65"/>
  <c r="BR60" i="65"/>
  <c r="BQ60" i="65"/>
  <c r="BP60" i="65"/>
  <c r="BO60" i="65"/>
  <c r="BN60" i="65"/>
  <c r="BM60" i="65"/>
  <c r="BL60" i="65"/>
  <c r="BK60" i="65"/>
  <c r="BJ60" i="65"/>
  <c r="BI60" i="65"/>
  <c r="BH60" i="65"/>
  <c r="BG60" i="65"/>
  <c r="BF60" i="65"/>
  <c r="BE60" i="65"/>
  <c r="BD60" i="65"/>
  <c r="BC60" i="65"/>
  <c r="BB60" i="65"/>
  <c r="BA60" i="65"/>
  <c r="AZ60" i="65"/>
  <c r="AY60" i="65"/>
  <c r="AX60" i="65"/>
  <c r="AW60" i="65"/>
  <c r="AV60" i="65"/>
  <c r="AU60" i="65"/>
  <c r="AT60" i="65"/>
  <c r="AS60" i="65"/>
  <c r="EO60" i="65" s="1"/>
  <c r="AR60" i="65"/>
  <c r="AQ60" i="65"/>
  <c r="AP60" i="65"/>
  <c r="EL60" i="65" s="1"/>
  <c r="AO60" i="65"/>
  <c r="EK60" i="65" s="1"/>
  <c r="AN60" i="65"/>
  <c r="AM60" i="65"/>
  <c r="AL60" i="65"/>
  <c r="AK60" i="65"/>
  <c r="AJ60" i="65"/>
  <c r="AI60" i="65"/>
  <c r="AH60" i="65"/>
  <c r="AG60" i="65"/>
  <c r="AF60" i="65"/>
  <c r="AE60" i="65"/>
  <c r="AD60" i="65"/>
  <c r="AC60" i="65"/>
  <c r="AB60" i="65"/>
  <c r="Z60" i="65"/>
  <c r="Y60" i="65"/>
  <c r="X60" i="65"/>
  <c r="W60" i="65"/>
  <c r="V60" i="65"/>
  <c r="U60" i="65"/>
  <c r="T60" i="65"/>
  <c r="S60" i="65"/>
  <c r="R60" i="65"/>
  <c r="Q60" i="65"/>
  <c r="O60" i="65"/>
  <c r="N60" i="65"/>
  <c r="M60" i="65"/>
  <c r="L60" i="65"/>
  <c r="K60" i="65"/>
  <c r="J60" i="65"/>
  <c r="I60" i="65"/>
  <c r="H60" i="65"/>
  <c r="G60" i="65"/>
  <c r="F60" i="65"/>
  <c r="E60" i="65"/>
  <c r="DU59" i="65"/>
  <c r="DT59" i="65"/>
  <c r="DS59" i="65"/>
  <c r="DR59" i="65"/>
  <c r="DQ59" i="65"/>
  <c r="DP59" i="65"/>
  <c r="DO59" i="65"/>
  <c r="DN59" i="65"/>
  <c r="DM59" i="65"/>
  <c r="DL59" i="65"/>
  <c r="DK59" i="65"/>
  <c r="DJ59" i="65"/>
  <c r="DI59" i="65"/>
  <c r="DH59" i="65"/>
  <c r="DG59" i="65"/>
  <c r="DF59" i="65"/>
  <c r="DE59" i="65"/>
  <c r="DD59" i="65"/>
  <c r="DC59" i="65"/>
  <c r="DB59" i="65"/>
  <c r="DA59" i="65"/>
  <c r="CZ59" i="65"/>
  <c r="CY59" i="65"/>
  <c r="CX59" i="65"/>
  <c r="CW59" i="65"/>
  <c r="CV59" i="65"/>
  <c r="CU59" i="65"/>
  <c r="CT59" i="65"/>
  <c r="CS59" i="65"/>
  <c r="CR59" i="65"/>
  <c r="CQ59" i="65"/>
  <c r="CP59" i="65"/>
  <c r="CO59" i="65"/>
  <c r="CN59" i="65"/>
  <c r="CM59" i="65"/>
  <c r="CL59" i="65"/>
  <c r="CK59" i="65"/>
  <c r="CJ59" i="65"/>
  <c r="CI59" i="65"/>
  <c r="CH59" i="65"/>
  <c r="CG59" i="65"/>
  <c r="CF59" i="65"/>
  <c r="CE59" i="65"/>
  <c r="CD59" i="65"/>
  <c r="CC59" i="65"/>
  <c r="CB59" i="65"/>
  <c r="CA59" i="65"/>
  <c r="BZ59" i="65"/>
  <c r="BY59" i="65"/>
  <c r="BX59" i="65"/>
  <c r="BW59" i="65"/>
  <c r="BV59" i="65"/>
  <c r="BU59" i="65"/>
  <c r="BT59" i="65"/>
  <c r="BS59" i="65"/>
  <c r="BR59" i="65"/>
  <c r="BQ59" i="65"/>
  <c r="BP59" i="65"/>
  <c r="BO59" i="65"/>
  <c r="BN59" i="65"/>
  <c r="BM59" i="65"/>
  <c r="BL59" i="65"/>
  <c r="BK59" i="65"/>
  <c r="BJ59" i="65"/>
  <c r="BI59" i="65"/>
  <c r="BH59" i="65"/>
  <c r="BG59" i="65"/>
  <c r="BF59" i="65"/>
  <c r="BE59" i="65"/>
  <c r="BD59" i="65"/>
  <c r="BC59" i="65"/>
  <c r="BB59" i="65"/>
  <c r="BA59" i="65"/>
  <c r="AZ59" i="65"/>
  <c r="AY59" i="65"/>
  <c r="AX59" i="65"/>
  <c r="AW59" i="65"/>
  <c r="AV59" i="65"/>
  <c r="ER59" i="65" s="1"/>
  <c r="AU59" i="65"/>
  <c r="AT59" i="65"/>
  <c r="AS59" i="65"/>
  <c r="AR59" i="65"/>
  <c r="EN59" i="65" s="1"/>
  <c r="AQ59" i="65"/>
  <c r="AP59" i="65"/>
  <c r="EL59" i="65" s="1"/>
  <c r="AO59" i="65"/>
  <c r="EK59" i="65" s="1"/>
  <c r="AN59" i="65"/>
  <c r="EJ59" i="65" s="1"/>
  <c r="AM59" i="65"/>
  <c r="AL59" i="65"/>
  <c r="AK59" i="65"/>
  <c r="AJ59" i="65"/>
  <c r="AI59" i="65"/>
  <c r="AH59" i="65"/>
  <c r="AG59" i="65"/>
  <c r="AF59" i="65"/>
  <c r="AE59" i="65"/>
  <c r="AD59" i="65"/>
  <c r="AC59" i="65"/>
  <c r="AB59" i="65"/>
  <c r="Z59" i="65"/>
  <c r="Y59" i="65"/>
  <c r="X59" i="65"/>
  <c r="W59" i="65"/>
  <c r="V59" i="65"/>
  <c r="U59" i="65"/>
  <c r="T59" i="65"/>
  <c r="S59" i="65"/>
  <c r="R59" i="65"/>
  <c r="Q59" i="65"/>
  <c r="O59" i="65"/>
  <c r="N59" i="65"/>
  <c r="M59" i="65"/>
  <c r="L59" i="65"/>
  <c r="K59" i="65"/>
  <c r="J59" i="65"/>
  <c r="I59" i="65"/>
  <c r="H59" i="65"/>
  <c r="G59" i="65"/>
  <c r="F59" i="65"/>
  <c r="E59" i="65"/>
  <c r="ER58" i="65"/>
  <c r="EQ58" i="65"/>
  <c r="EM58" i="65"/>
  <c r="EK58" i="65"/>
  <c r="EJ58" i="65"/>
  <c r="DU58" i="65"/>
  <c r="DT58" i="65"/>
  <c r="DS58" i="65"/>
  <c r="DR58" i="65"/>
  <c r="DQ58" i="65"/>
  <c r="DP58" i="65"/>
  <c r="DO58" i="65"/>
  <c r="DN58" i="65"/>
  <c r="DM58" i="65"/>
  <c r="DL58" i="65"/>
  <c r="DK58" i="65"/>
  <c r="DJ58" i="65"/>
  <c r="DI58" i="65"/>
  <c r="DH58" i="65"/>
  <c r="DG58" i="65"/>
  <c r="DF58" i="65"/>
  <c r="DE58" i="65"/>
  <c r="DD58" i="65"/>
  <c r="DC58" i="65"/>
  <c r="DB58" i="65"/>
  <c r="DA58" i="65"/>
  <c r="CZ58" i="65"/>
  <c r="CY58" i="65"/>
  <c r="CX58" i="65"/>
  <c r="CW58" i="65"/>
  <c r="CV58" i="65"/>
  <c r="CU58" i="65"/>
  <c r="CT58" i="65"/>
  <c r="CS58" i="65"/>
  <c r="CR58" i="65"/>
  <c r="CQ58" i="65"/>
  <c r="CP58" i="65"/>
  <c r="CO58" i="65"/>
  <c r="CN58" i="65"/>
  <c r="CM58" i="65"/>
  <c r="CL58" i="65"/>
  <c r="CK58" i="65"/>
  <c r="CJ58" i="65"/>
  <c r="CI58" i="65"/>
  <c r="CH58" i="65"/>
  <c r="CG58" i="65"/>
  <c r="CF58" i="65"/>
  <c r="CE58" i="65"/>
  <c r="CD58" i="65"/>
  <c r="CC58" i="65"/>
  <c r="CB58" i="65"/>
  <c r="CA58" i="65"/>
  <c r="BZ58" i="65"/>
  <c r="BY58" i="65"/>
  <c r="BX58" i="65"/>
  <c r="BW58" i="65"/>
  <c r="BV58" i="65"/>
  <c r="BU58" i="65"/>
  <c r="BT58" i="65"/>
  <c r="BS58" i="65"/>
  <c r="BR58" i="65"/>
  <c r="BQ58" i="65"/>
  <c r="BP58" i="65"/>
  <c r="BO58" i="65"/>
  <c r="BN58" i="65"/>
  <c r="BM58" i="65"/>
  <c r="BL58" i="65"/>
  <c r="BK58" i="65"/>
  <c r="BJ58" i="65"/>
  <c r="BI58" i="65"/>
  <c r="BH58" i="65"/>
  <c r="BG58" i="65"/>
  <c r="BF58" i="65"/>
  <c r="BE58" i="65"/>
  <c r="BD58" i="65"/>
  <c r="BC58" i="65"/>
  <c r="BB58" i="65"/>
  <c r="BA58" i="65"/>
  <c r="AZ58" i="65"/>
  <c r="AY58" i="65"/>
  <c r="AX58" i="65"/>
  <c r="AW58" i="65"/>
  <c r="AV58" i="65"/>
  <c r="AU58" i="65"/>
  <c r="AT58" i="65"/>
  <c r="AS58" i="65"/>
  <c r="AR58" i="65"/>
  <c r="AQ58" i="65"/>
  <c r="AP58" i="65"/>
  <c r="AO58" i="65"/>
  <c r="AN58" i="65"/>
  <c r="AM58" i="65"/>
  <c r="EI58" i="65" s="1"/>
  <c r="AL58" i="65"/>
  <c r="AK58" i="65"/>
  <c r="AJ58" i="65"/>
  <c r="AI58" i="65"/>
  <c r="AH58" i="65"/>
  <c r="ED58" i="65" s="1"/>
  <c r="AG58" i="65"/>
  <c r="AF58" i="65"/>
  <c r="AE58" i="65"/>
  <c r="AD58" i="65"/>
  <c r="AC58" i="65"/>
  <c r="AB58" i="65"/>
  <c r="Z58" i="65"/>
  <c r="Y58" i="65"/>
  <c r="X58" i="65"/>
  <c r="W58" i="65"/>
  <c r="V58" i="65"/>
  <c r="U58" i="65"/>
  <c r="T58" i="65"/>
  <c r="S58" i="65"/>
  <c r="R58" i="65"/>
  <c r="Q58" i="65"/>
  <c r="O58" i="65"/>
  <c r="N58" i="65"/>
  <c r="M58" i="65"/>
  <c r="L58" i="65"/>
  <c r="K58" i="65"/>
  <c r="J58" i="65"/>
  <c r="I58" i="65"/>
  <c r="H58" i="65"/>
  <c r="G58" i="65"/>
  <c r="F58" i="65"/>
  <c r="E58" i="65"/>
  <c r="EQ57" i="65"/>
  <c r="EP57" i="65"/>
  <c r="EL57" i="65"/>
  <c r="EJ57" i="65"/>
  <c r="EI57" i="65"/>
  <c r="EH57" i="65"/>
  <c r="DU57" i="65"/>
  <c r="DT57" i="65"/>
  <c r="DS57" i="65"/>
  <c r="DR57" i="65"/>
  <c r="DQ57" i="65"/>
  <c r="DP57" i="65"/>
  <c r="DO57" i="65"/>
  <c r="DN57" i="65"/>
  <c r="DM57" i="65"/>
  <c r="DL57" i="65"/>
  <c r="DK57" i="65"/>
  <c r="DJ57" i="65"/>
  <c r="DI57" i="65"/>
  <c r="DH57" i="65"/>
  <c r="DG57" i="65"/>
  <c r="DF57" i="65"/>
  <c r="DE57" i="65"/>
  <c r="DD57" i="65"/>
  <c r="DC57" i="65"/>
  <c r="DB57" i="65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ER57" i="65" s="1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EC57" i="65" s="1"/>
  <c r="AF57" i="65"/>
  <c r="AE57" i="65"/>
  <c r="AD57" i="65"/>
  <c r="AC57" i="65"/>
  <c r="AB57" i="65"/>
  <c r="Z57" i="65"/>
  <c r="Y57" i="65"/>
  <c r="X57" i="65"/>
  <c r="W57" i="65"/>
  <c r="V57" i="65"/>
  <c r="U57" i="65"/>
  <c r="T57" i="65"/>
  <c r="S57" i="65"/>
  <c r="R57" i="65"/>
  <c r="Q57" i="65"/>
  <c r="O57" i="65"/>
  <c r="N57" i="65"/>
  <c r="M57" i="65"/>
  <c r="L57" i="65"/>
  <c r="K57" i="65"/>
  <c r="J57" i="65"/>
  <c r="I57" i="65"/>
  <c r="H57" i="65"/>
  <c r="G57" i="65"/>
  <c r="F57" i="65"/>
  <c r="E57" i="65"/>
  <c r="EK56" i="65"/>
  <c r="EI56" i="65"/>
  <c r="EH56" i="65"/>
  <c r="DU56" i="65"/>
  <c r="DT56" i="65"/>
  <c r="DS56" i="65"/>
  <c r="DR56" i="65"/>
  <c r="DQ56" i="65"/>
  <c r="DP56" i="65"/>
  <c r="DO56" i="65"/>
  <c r="DN56" i="65"/>
  <c r="DM56" i="65"/>
  <c r="DL56" i="65"/>
  <c r="DK56" i="65"/>
  <c r="DJ56" i="65"/>
  <c r="DI56" i="65"/>
  <c r="DH56" i="65"/>
  <c r="DG56" i="65"/>
  <c r="DF56" i="65"/>
  <c r="DE56" i="65"/>
  <c r="DD56" i="65"/>
  <c r="DC56" i="65"/>
  <c r="DB56" i="65"/>
  <c r="DA56" i="65"/>
  <c r="CZ56" i="65"/>
  <c r="CY56" i="65"/>
  <c r="CX56" i="65"/>
  <c r="CW56" i="65"/>
  <c r="CV56" i="65"/>
  <c r="CU56" i="65"/>
  <c r="CT56" i="65"/>
  <c r="CS56" i="65"/>
  <c r="CR56" i="65"/>
  <c r="CQ56" i="65"/>
  <c r="CP56" i="65"/>
  <c r="CO56" i="65"/>
  <c r="CN56" i="65"/>
  <c r="CM56" i="65"/>
  <c r="CL56" i="65"/>
  <c r="CK56" i="65"/>
  <c r="CJ56" i="65"/>
  <c r="CI56" i="65"/>
  <c r="CH56" i="65"/>
  <c r="CG56" i="65"/>
  <c r="CF56" i="65"/>
  <c r="CE56" i="65"/>
  <c r="CD56" i="65"/>
  <c r="CC56" i="65"/>
  <c r="CB56" i="65"/>
  <c r="CA56" i="65"/>
  <c r="BZ56" i="65"/>
  <c r="BY56" i="65"/>
  <c r="BX56" i="65"/>
  <c r="BW56" i="65"/>
  <c r="BV56" i="65"/>
  <c r="BU56" i="65"/>
  <c r="BT56" i="65"/>
  <c r="BS56" i="65"/>
  <c r="BR56" i="65"/>
  <c r="BQ56" i="65"/>
  <c r="BP56" i="65"/>
  <c r="BO56" i="65"/>
  <c r="BN56" i="65"/>
  <c r="BM56" i="65"/>
  <c r="BL56" i="65"/>
  <c r="BK56" i="65"/>
  <c r="BJ56" i="65"/>
  <c r="BI56" i="65"/>
  <c r="BH56" i="65"/>
  <c r="BG56" i="65"/>
  <c r="BF56" i="65"/>
  <c r="BE56" i="65"/>
  <c r="BD56" i="65"/>
  <c r="BC56" i="65"/>
  <c r="BB56" i="65"/>
  <c r="BA56" i="65"/>
  <c r="AZ56" i="65"/>
  <c r="AY56" i="65"/>
  <c r="AX56" i="65"/>
  <c r="AW56" i="65"/>
  <c r="AV56" i="65"/>
  <c r="AU56" i="65"/>
  <c r="EQ56" i="65" s="1"/>
  <c r="AT56" i="65"/>
  <c r="EP56" i="65" s="1"/>
  <c r="AS56" i="65"/>
  <c r="EO56" i="65" s="1"/>
  <c r="AR56" i="65"/>
  <c r="AQ56" i="65"/>
  <c r="AP56" i="65"/>
  <c r="AO56" i="65"/>
  <c r="AN56" i="65"/>
  <c r="AM56" i="65"/>
  <c r="AL56" i="65"/>
  <c r="AK56" i="65"/>
  <c r="AJ56" i="65"/>
  <c r="AI56" i="65"/>
  <c r="AH56" i="65"/>
  <c r="AG56" i="65"/>
  <c r="AF56" i="65"/>
  <c r="AE56" i="65"/>
  <c r="AD56" i="65"/>
  <c r="AC56" i="65"/>
  <c r="AB56" i="65"/>
  <c r="Z56" i="65"/>
  <c r="Y56" i="65"/>
  <c r="X56" i="65"/>
  <c r="W56" i="65"/>
  <c r="V56" i="65"/>
  <c r="U56" i="65"/>
  <c r="T56" i="65"/>
  <c r="EA56" i="65" s="1"/>
  <c r="S56" i="65"/>
  <c r="R56" i="65"/>
  <c r="Q56" i="65"/>
  <c r="O56" i="65"/>
  <c r="N56" i="65"/>
  <c r="M56" i="65"/>
  <c r="L56" i="65"/>
  <c r="K56" i="65"/>
  <c r="J56" i="65"/>
  <c r="I56" i="65"/>
  <c r="H56" i="65"/>
  <c r="G56" i="65"/>
  <c r="F56" i="65"/>
  <c r="E56" i="65"/>
  <c r="EP55" i="65"/>
  <c r="EJ55" i="65"/>
  <c r="EH55" i="65"/>
  <c r="DU55" i="65"/>
  <c r="DT55" i="65"/>
  <c r="DS55" i="65"/>
  <c r="DR55" i="65"/>
  <c r="DQ55" i="65"/>
  <c r="DP55" i="65"/>
  <c r="DO55" i="65"/>
  <c r="DN55" i="65"/>
  <c r="DM55" i="65"/>
  <c r="DL55" i="65"/>
  <c r="DK55" i="65"/>
  <c r="DJ55" i="65"/>
  <c r="DI55" i="65"/>
  <c r="DH55" i="65"/>
  <c r="DG55" i="65"/>
  <c r="DF55" i="65"/>
  <c r="DE55" i="65"/>
  <c r="DD55" i="65"/>
  <c r="DC55" i="65"/>
  <c r="DB55" i="65"/>
  <c r="DA55" i="65"/>
  <c r="CZ55" i="65"/>
  <c r="CY55" i="65"/>
  <c r="CX55" i="65"/>
  <c r="CW55" i="65"/>
  <c r="CV55" i="65"/>
  <c r="CU55" i="65"/>
  <c r="CT55" i="65"/>
  <c r="CS55" i="65"/>
  <c r="CR55" i="65"/>
  <c r="CQ55" i="65"/>
  <c r="CP55" i="65"/>
  <c r="CO55" i="65"/>
  <c r="CN55" i="65"/>
  <c r="CM55" i="65"/>
  <c r="CL55" i="65"/>
  <c r="CK55" i="65"/>
  <c r="CJ55" i="65"/>
  <c r="CI55" i="65"/>
  <c r="CH55" i="65"/>
  <c r="CG55" i="65"/>
  <c r="CF55" i="65"/>
  <c r="CE55" i="65"/>
  <c r="CD55" i="65"/>
  <c r="CC55" i="65"/>
  <c r="CB55" i="65"/>
  <c r="CA55" i="65"/>
  <c r="BZ55" i="65"/>
  <c r="BY55" i="65"/>
  <c r="BX55" i="65"/>
  <c r="BW55" i="65"/>
  <c r="BV55" i="65"/>
  <c r="BU55" i="65"/>
  <c r="BT55" i="65"/>
  <c r="BS55" i="65"/>
  <c r="BR55" i="65"/>
  <c r="BQ55" i="65"/>
  <c r="BP55" i="65"/>
  <c r="BO55" i="65"/>
  <c r="BN55" i="65"/>
  <c r="BM55" i="65"/>
  <c r="BL55" i="65"/>
  <c r="BK55" i="65"/>
  <c r="BJ55" i="65"/>
  <c r="BI55" i="65"/>
  <c r="BH55" i="65"/>
  <c r="BG55" i="65"/>
  <c r="BF55" i="65"/>
  <c r="BE55" i="65"/>
  <c r="BD55" i="65"/>
  <c r="BC55" i="65"/>
  <c r="BB55" i="65"/>
  <c r="BA55" i="65"/>
  <c r="AZ55" i="65"/>
  <c r="AY55" i="65"/>
  <c r="AX55" i="65"/>
  <c r="AW55" i="65"/>
  <c r="AV55" i="65"/>
  <c r="AU55" i="65"/>
  <c r="EQ55" i="65" s="1"/>
  <c r="AT55" i="65"/>
  <c r="AS55" i="65"/>
  <c r="EO55" i="65" s="1"/>
  <c r="AR55" i="65"/>
  <c r="EN55" i="65" s="1"/>
  <c r="AQ55" i="65"/>
  <c r="AP55" i="65"/>
  <c r="AO55" i="65"/>
  <c r="AN55" i="65"/>
  <c r="AM55" i="65"/>
  <c r="AL55" i="65"/>
  <c r="AK55" i="65"/>
  <c r="AJ55" i="65"/>
  <c r="AI55" i="65"/>
  <c r="AH55" i="65"/>
  <c r="AG55" i="65"/>
  <c r="AF55" i="65"/>
  <c r="AE55" i="65"/>
  <c r="AD55" i="65"/>
  <c r="AC55" i="65"/>
  <c r="AB55" i="65"/>
  <c r="Z55" i="65"/>
  <c r="Y55" i="65"/>
  <c r="EF55" i="65" s="1"/>
  <c r="X55" i="65"/>
  <c r="W55" i="65"/>
  <c r="V55" i="65"/>
  <c r="U55" i="65"/>
  <c r="T55" i="65"/>
  <c r="S55" i="65"/>
  <c r="R55" i="65"/>
  <c r="Q55" i="65"/>
  <c r="O55" i="65"/>
  <c r="N55" i="65"/>
  <c r="M55" i="65"/>
  <c r="L55" i="65"/>
  <c r="K55" i="65"/>
  <c r="J55" i="65"/>
  <c r="I55" i="65"/>
  <c r="H55" i="65"/>
  <c r="G55" i="65"/>
  <c r="F55" i="65"/>
  <c r="E55" i="65"/>
  <c r="EO54" i="65"/>
  <c r="DU54" i="65"/>
  <c r="DT54" i="65"/>
  <c r="DS54" i="65"/>
  <c r="DR54" i="65"/>
  <c r="DQ54" i="65"/>
  <c r="DP54" i="65"/>
  <c r="DO54" i="65"/>
  <c r="DN54" i="65"/>
  <c r="DM54" i="65"/>
  <c r="DL54" i="65"/>
  <c r="DK54" i="65"/>
  <c r="DJ54" i="65"/>
  <c r="DI54" i="65"/>
  <c r="DH54" i="65"/>
  <c r="DG54" i="65"/>
  <c r="DF54" i="65"/>
  <c r="DE54" i="65"/>
  <c r="DD54" i="65"/>
  <c r="DC54" i="65"/>
  <c r="DB54" i="65"/>
  <c r="DA54" i="65"/>
  <c r="CZ54" i="65"/>
  <c r="CY54" i="65"/>
  <c r="CX54" i="65"/>
  <c r="CW54" i="65"/>
  <c r="CV54" i="65"/>
  <c r="CU54" i="65"/>
  <c r="CT54" i="65"/>
  <c r="CS54" i="65"/>
  <c r="CR54" i="65"/>
  <c r="CQ54" i="65"/>
  <c r="CP54" i="65"/>
  <c r="CO54" i="65"/>
  <c r="CN54" i="65"/>
  <c r="CM54" i="65"/>
  <c r="CL54" i="65"/>
  <c r="CK54" i="65"/>
  <c r="CJ54" i="65"/>
  <c r="CI54" i="65"/>
  <c r="CH54" i="65"/>
  <c r="CG54" i="65"/>
  <c r="CF54" i="65"/>
  <c r="CE54" i="65"/>
  <c r="CD54" i="65"/>
  <c r="CC54" i="65"/>
  <c r="CB54" i="65"/>
  <c r="CA54" i="65"/>
  <c r="BZ54" i="65"/>
  <c r="BY54" i="65"/>
  <c r="BX54" i="65"/>
  <c r="BW54" i="65"/>
  <c r="BV54" i="65"/>
  <c r="BU54" i="65"/>
  <c r="BT54" i="65"/>
  <c r="BS54" i="65"/>
  <c r="BR54" i="65"/>
  <c r="BQ54" i="65"/>
  <c r="BP54" i="65"/>
  <c r="BO54" i="65"/>
  <c r="BN54" i="65"/>
  <c r="BM54" i="65"/>
  <c r="BL54" i="65"/>
  <c r="BK54" i="65"/>
  <c r="BJ54" i="65"/>
  <c r="BI54" i="65"/>
  <c r="BH54" i="65"/>
  <c r="BG54" i="65"/>
  <c r="BF54" i="65"/>
  <c r="BE54" i="65"/>
  <c r="BD54" i="65"/>
  <c r="BC54" i="65"/>
  <c r="BB54" i="65"/>
  <c r="BA54" i="65"/>
  <c r="AZ54" i="65"/>
  <c r="AY54" i="65"/>
  <c r="AX54" i="65"/>
  <c r="AW54" i="65"/>
  <c r="AV54" i="65"/>
  <c r="ER54" i="65" s="1"/>
  <c r="AU54" i="65"/>
  <c r="AT54" i="65"/>
  <c r="AS54" i="65"/>
  <c r="AR54" i="65"/>
  <c r="EN54" i="65" s="1"/>
  <c r="AQ54" i="65"/>
  <c r="EM54" i="65" s="1"/>
  <c r="AP54" i="65"/>
  <c r="AO54" i="65"/>
  <c r="AN54" i="65"/>
  <c r="AM54" i="65"/>
  <c r="EI54" i="65" s="1"/>
  <c r="AL54" i="65"/>
  <c r="AK54" i="65"/>
  <c r="AJ54" i="65"/>
  <c r="AI54" i="65"/>
  <c r="AH54" i="65"/>
  <c r="AG54" i="65"/>
  <c r="AF54" i="65"/>
  <c r="AE54" i="65"/>
  <c r="AD54" i="65"/>
  <c r="AC54" i="65"/>
  <c r="AB54" i="65"/>
  <c r="Z54" i="65"/>
  <c r="Y54" i="65"/>
  <c r="X54" i="65"/>
  <c r="W54" i="65"/>
  <c r="V54" i="65"/>
  <c r="U54" i="65"/>
  <c r="T54" i="65"/>
  <c r="S54" i="65"/>
  <c r="R54" i="65"/>
  <c r="Q54" i="65"/>
  <c r="O54" i="65"/>
  <c r="N54" i="65"/>
  <c r="M54" i="65"/>
  <c r="L54" i="65"/>
  <c r="K54" i="65"/>
  <c r="J54" i="65"/>
  <c r="I54" i="65"/>
  <c r="H54" i="65"/>
  <c r="G54" i="65"/>
  <c r="F54" i="65"/>
  <c r="E54" i="65"/>
  <c r="EQ53" i="65"/>
  <c r="EN53" i="65"/>
  <c r="EM53" i="65"/>
  <c r="EH53" i="65"/>
  <c r="DU53" i="65"/>
  <c r="DT53" i="65"/>
  <c r="DS53" i="65"/>
  <c r="DR53" i="65"/>
  <c r="DQ53" i="65"/>
  <c r="DP53" i="65"/>
  <c r="DO53" i="65"/>
  <c r="DN53" i="65"/>
  <c r="DM53" i="65"/>
  <c r="DL53" i="65"/>
  <c r="DK53" i="65"/>
  <c r="DJ53" i="65"/>
  <c r="DI53" i="65"/>
  <c r="DH53" i="65"/>
  <c r="DG53" i="65"/>
  <c r="DF53" i="65"/>
  <c r="DE53" i="65"/>
  <c r="DD53" i="65"/>
  <c r="DC53" i="65"/>
  <c r="DB53" i="65"/>
  <c r="DA53" i="65"/>
  <c r="CZ53" i="65"/>
  <c r="CY53" i="65"/>
  <c r="CX53" i="65"/>
  <c r="CW53" i="65"/>
  <c r="CV53" i="65"/>
  <c r="CU53" i="65"/>
  <c r="CT53" i="65"/>
  <c r="CS53" i="65"/>
  <c r="CR53" i="65"/>
  <c r="CQ53" i="65"/>
  <c r="CP53" i="65"/>
  <c r="CO53" i="65"/>
  <c r="CN53" i="65"/>
  <c r="CM53" i="65"/>
  <c r="CL53" i="65"/>
  <c r="CK53" i="65"/>
  <c r="CJ53" i="65"/>
  <c r="CI53" i="65"/>
  <c r="CH53" i="65"/>
  <c r="CG53" i="65"/>
  <c r="CF53" i="65"/>
  <c r="CE53" i="65"/>
  <c r="CD53" i="65"/>
  <c r="CC53" i="65"/>
  <c r="CB53" i="65"/>
  <c r="CA53" i="65"/>
  <c r="BZ53" i="65"/>
  <c r="BY53" i="65"/>
  <c r="BX53" i="65"/>
  <c r="BW53" i="65"/>
  <c r="BV53" i="65"/>
  <c r="BU53" i="65"/>
  <c r="BT53" i="65"/>
  <c r="BS53" i="65"/>
  <c r="BR53" i="65"/>
  <c r="BQ53" i="65"/>
  <c r="BP53" i="65"/>
  <c r="BO53" i="65"/>
  <c r="BN53" i="65"/>
  <c r="BM53" i="65"/>
  <c r="BL53" i="65"/>
  <c r="BK53" i="65"/>
  <c r="BJ53" i="65"/>
  <c r="BI53" i="65"/>
  <c r="BH53" i="65"/>
  <c r="BG53" i="65"/>
  <c r="BF53" i="65"/>
  <c r="BE53" i="65"/>
  <c r="BD53" i="65"/>
  <c r="BC53" i="65"/>
  <c r="BB53" i="65"/>
  <c r="BA53" i="65"/>
  <c r="AZ53" i="65"/>
  <c r="AY53" i="65"/>
  <c r="AX53" i="65"/>
  <c r="AW53" i="65"/>
  <c r="AV53" i="65"/>
  <c r="AU53" i="65"/>
  <c r="AT53" i="65"/>
  <c r="AS53" i="65"/>
  <c r="EO53" i="65" s="1"/>
  <c r="AR53" i="65"/>
  <c r="AQ53" i="65"/>
  <c r="AP53" i="65"/>
  <c r="EL53" i="65" s="1"/>
  <c r="AO53" i="65"/>
  <c r="AN53" i="65"/>
  <c r="AM53" i="65"/>
  <c r="EI53" i="65" s="1"/>
  <c r="AL53" i="65"/>
  <c r="AK53" i="65"/>
  <c r="AJ53" i="65"/>
  <c r="AI53" i="65"/>
  <c r="AH53" i="65"/>
  <c r="AG53" i="65"/>
  <c r="AF53" i="65"/>
  <c r="AE53" i="65"/>
  <c r="AD53" i="65"/>
  <c r="AC53" i="65"/>
  <c r="AB53" i="65"/>
  <c r="Z53" i="65"/>
  <c r="Y53" i="65"/>
  <c r="EF53" i="65" s="1"/>
  <c r="X53" i="65"/>
  <c r="W53" i="65"/>
  <c r="V53" i="65"/>
  <c r="U53" i="65"/>
  <c r="T53" i="65"/>
  <c r="S53" i="65"/>
  <c r="R53" i="65"/>
  <c r="DY53" i="65" s="1"/>
  <c r="Q53" i="65"/>
  <c r="DX53" i="65" s="1"/>
  <c r="O53" i="65"/>
  <c r="N53" i="65"/>
  <c r="M53" i="65"/>
  <c r="L53" i="65"/>
  <c r="K53" i="65"/>
  <c r="J53" i="65"/>
  <c r="I53" i="65"/>
  <c r="H53" i="65"/>
  <c r="G53" i="65"/>
  <c r="F53" i="65"/>
  <c r="E53" i="65"/>
  <c r="EP52" i="65"/>
  <c r="EN52" i="65"/>
  <c r="EM52" i="65"/>
  <c r="EK52" i="65"/>
  <c r="EH52" i="65"/>
  <c r="DU52" i="65"/>
  <c r="DT52" i="65"/>
  <c r="DS52" i="65"/>
  <c r="DR52" i="65"/>
  <c r="DQ52" i="65"/>
  <c r="DP52" i="65"/>
  <c r="DO52" i="65"/>
  <c r="DN52" i="65"/>
  <c r="DM52" i="65"/>
  <c r="DL52" i="65"/>
  <c r="DK52" i="65"/>
  <c r="DJ52" i="65"/>
  <c r="DI52" i="65"/>
  <c r="DH52" i="65"/>
  <c r="DG52" i="65"/>
  <c r="DF52" i="65"/>
  <c r="DE52" i="65"/>
  <c r="DD52" i="65"/>
  <c r="DC52" i="65"/>
  <c r="DB52" i="65"/>
  <c r="DA52" i="65"/>
  <c r="CZ52" i="65"/>
  <c r="CY52" i="65"/>
  <c r="CX52" i="65"/>
  <c r="CW52" i="65"/>
  <c r="CV52" i="65"/>
  <c r="CU52" i="65"/>
  <c r="CT52" i="65"/>
  <c r="CS52" i="65"/>
  <c r="CR52" i="65"/>
  <c r="CQ52" i="65"/>
  <c r="CP52" i="65"/>
  <c r="CO52" i="65"/>
  <c r="CN52" i="65"/>
  <c r="CM52" i="65"/>
  <c r="CL52" i="65"/>
  <c r="CK52" i="65"/>
  <c r="CJ52" i="65"/>
  <c r="CI52" i="65"/>
  <c r="CH52" i="65"/>
  <c r="CG52" i="65"/>
  <c r="CF52" i="65"/>
  <c r="CE52" i="65"/>
  <c r="CD52" i="65"/>
  <c r="CC52" i="65"/>
  <c r="CB52" i="65"/>
  <c r="CA52" i="65"/>
  <c r="BZ52" i="65"/>
  <c r="BY52" i="65"/>
  <c r="BX52" i="65"/>
  <c r="BW52" i="65"/>
  <c r="BV52" i="65"/>
  <c r="BU52" i="65"/>
  <c r="BT52" i="65"/>
  <c r="BS52" i="65"/>
  <c r="BR52" i="65"/>
  <c r="BQ52" i="65"/>
  <c r="BP52" i="65"/>
  <c r="BO52" i="65"/>
  <c r="BN52" i="65"/>
  <c r="BM52" i="65"/>
  <c r="BL52" i="65"/>
  <c r="BK52" i="65"/>
  <c r="BJ52" i="65"/>
  <c r="BI52" i="65"/>
  <c r="BH52" i="65"/>
  <c r="BG52" i="65"/>
  <c r="BF52" i="65"/>
  <c r="BE52" i="65"/>
  <c r="BD52" i="65"/>
  <c r="BC52" i="65"/>
  <c r="BB52" i="65"/>
  <c r="BA52" i="65"/>
  <c r="AZ52" i="65"/>
  <c r="AY52" i="65"/>
  <c r="AX52" i="65"/>
  <c r="AW52" i="65"/>
  <c r="AV52" i="65"/>
  <c r="ER52" i="65" s="1"/>
  <c r="AU52" i="65"/>
  <c r="AT52" i="65"/>
  <c r="AS52" i="65"/>
  <c r="AR52" i="65"/>
  <c r="AQ52" i="65"/>
  <c r="AP52" i="65"/>
  <c r="AO52" i="65"/>
  <c r="AN52" i="65"/>
  <c r="AM52" i="65"/>
  <c r="AL52" i="65"/>
  <c r="AK52" i="65"/>
  <c r="AJ52" i="65"/>
  <c r="AI52" i="65"/>
  <c r="AH52" i="65"/>
  <c r="AG52" i="65"/>
  <c r="AF52" i="65"/>
  <c r="AE52" i="65"/>
  <c r="AD52" i="65"/>
  <c r="AC52" i="65"/>
  <c r="AB52" i="65"/>
  <c r="Z52" i="65"/>
  <c r="Y52" i="65"/>
  <c r="X52" i="65"/>
  <c r="W52" i="65"/>
  <c r="V52" i="65"/>
  <c r="U52" i="65"/>
  <c r="T52" i="65"/>
  <c r="S52" i="65"/>
  <c r="R52" i="65"/>
  <c r="Q52" i="65"/>
  <c r="DX52" i="65" s="1"/>
  <c r="O52" i="65"/>
  <c r="N52" i="65"/>
  <c r="M52" i="65"/>
  <c r="L52" i="65"/>
  <c r="K52" i="65"/>
  <c r="J52" i="65"/>
  <c r="I52" i="65"/>
  <c r="H52" i="65"/>
  <c r="G52" i="65"/>
  <c r="F52" i="65"/>
  <c r="G33" i="51" s="1"/>
  <c r="E52" i="65"/>
  <c r="DU51" i="65"/>
  <c r="DT51" i="65"/>
  <c r="DS51" i="65"/>
  <c r="DR51" i="65"/>
  <c r="DQ51" i="65"/>
  <c r="DP51" i="65"/>
  <c r="DO51" i="65"/>
  <c r="DN51" i="65"/>
  <c r="DM51" i="65"/>
  <c r="DL51" i="65"/>
  <c r="DK51" i="65"/>
  <c r="DJ51" i="65"/>
  <c r="DI51" i="65"/>
  <c r="DH51" i="65"/>
  <c r="DG51" i="65"/>
  <c r="DF51" i="65"/>
  <c r="DE51" i="65"/>
  <c r="DD51" i="65"/>
  <c r="DC51" i="65"/>
  <c r="DB51" i="65"/>
  <c r="DA51" i="65"/>
  <c r="CZ51" i="65"/>
  <c r="CY51" i="65"/>
  <c r="CX51" i="65"/>
  <c r="CW51" i="65"/>
  <c r="CV51" i="65"/>
  <c r="CU51" i="65"/>
  <c r="CT51" i="65"/>
  <c r="CS51" i="65"/>
  <c r="CR51" i="65"/>
  <c r="CQ51" i="65"/>
  <c r="CP51" i="65"/>
  <c r="CO51" i="65"/>
  <c r="CN51" i="65"/>
  <c r="CM51" i="65"/>
  <c r="CL51" i="65"/>
  <c r="CK51" i="65"/>
  <c r="CJ51" i="65"/>
  <c r="CI51" i="65"/>
  <c r="CH51" i="65"/>
  <c r="CG51" i="65"/>
  <c r="CF51" i="65"/>
  <c r="CE51" i="65"/>
  <c r="CD51" i="65"/>
  <c r="CC51" i="65"/>
  <c r="CB51" i="65"/>
  <c r="CA51" i="65"/>
  <c r="BZ51" i="65"/>
  <c r="BY51" i="65"/>
  <c r="BX51" i="65"/>
  <c r="BW51" i="65"/>
  <c r="BV51" i="65"/>
  <c r="BU51" i="65"/>
  <c r="BT51" i="65"/>
  <c r="BS51" i="65"/>
  <c r="BR51" i="65"/>
  <c r="BQ51" i="65"/>
  <c r="BP51" i="65"/>
  <c r="BO51" i="65"/>
  <c r="BN51" i="65"/>
  <c r="BM51" i="65"/>
  <c r="BL51" i="65"/>
  <c r="BK51" i="65"/>
  <c r="BJ51" i="65"/>
  <c r="BI51" i="65"/>
  <c r="BH51" i="65"/>
  <c r="BG51" i="65"/>
  <c r="BF51" i="65"/>
  <c r="BE51" i="65"/>
  <c r="BD51" i="65"/>
  <c r="BC51" i="65"/>
  <c r="BB51" i="65"/>
  <c r="BA51" i="65"/>
  <c r="AZ51" i="65"/>
  <c r="AY51" i="65"/>
  <c r="AX51" i="65"/>
  <c r="AW51" i="65"/>
  <c r="AV51" i="65"/>
  <c r="AU51" i="65"/>
  <c r="EQ51" i="65" s="1"/>
  <c r="AT51" i="65"/>
  <c r="AS51" i="65"/>
  <c r="EO51" i="65" s="1"/>
  <c r="AR51" i="65"/>
  <c r="AQ51" i="65"/>
  <c r="EM51" i="65" s="1"/>
  <c r="AP51" i="65"/>
  <c r="EL51" i="65" s="1"/>
  <c r="AO51" i="65"/>
  <c r="EK51" i="65" s="1"/>
  <c r="AN51" i="65"/>
  <c r="EJ51" i="65" s="1"/>
  <c r="AM51" i="65"/>
  <c r="AL51" i="65"/>
  <c r="AK51" i="65"/>
  <c r="AJ51" i="65"/>
  <c r="AI51" i="65"/>
  <c r="AH51" i="65"/>
  <c r="AG51" i="65"/>
  <c r="AF51" i="65"/>
  <c r="AE51" i="65"/>
  <c r="AD51" i="65"/>
  <c r="AC51" i="65"/>
  <c r="AB51" i="65"/>
  <c r="Z51" i="65"/>
  <c r="Y51" i="65"/>
  <c r="X51" i="65"/>
  <c r="EE51" i="65" s="1"/>
  <c r="W51" i="65"/>
  <c r="V51" i="65"/>
  <c r="U51" i="65"/>
  <c r="T51" i="65"/>
  <c r="S51" i="65"/>
  <c r="R51" i="65"/>
  <c r="Q51" i="65"/>
  <c r="O51" i="65"/>
  <c r="N51" i="65"/>
  <c r="M51" i="65"/>
  <c r="L51" i="65"/>
  <c r="K51" i="65"/>
  <c r="J51" i="65"/>
  <c r="I51" i="65"/>
  <c r="H51" i="65"/>
  <c r="G51" i="65"/>
  <c r="F51" i="65"/>
  <c r="E51" i="65"/>
  <c r="EI50" i="65"/>
  <c r="DU50" i="65"/>
  <c r="DT50" i="65"/>
  <c r="DS50" i="65"/>
  <c r="DR50" i="65"/>
  <c r="DQ50" i="65"/>
  <c r="DP50" i="65"/>
  <c r="DO50" i="65"/>
  <c r="DN50" i="65"/>
  <c r="DM50" i="65"/>
  <c r="DL50" i="65"/>
  <c r="DK50" i="65"/>
  <c r="DJ50" i="65"/>
  <c r="DI50" i="65"/>
  <c r="DH50" i="65"/>
  <c r="DG50" i="65"/>
  <c r="DF50" i="65"/>
  <c r="DE50" i="65"/>
  <c r="DD50" i="65"/>
  <c r="DC50" i="65"/>
  <c r="DB50" i="65"/>
  <c r="DA50" i="65"/>
  <c r="CZ50" i="65"/>
  <c r="CY50" i="65"/>
  <c r="CX50" i="65"/>
  <c r="CW50" i="65"/>
  <c r="CV50" i="65"/>
  <c r="CU50" i="65"/>
  <c r="CT50" i="65"/>
  <c r="CS50" i="65"/>
  <c r="CR50" i="65"/>
  <c r="CQ50" i="65"/>
  <c r="CP50" i="65"/>
  <c r="CO50" i="65"/>
  <c r="CN50" i="65"/>
  <c r="CM50" i="65"/>
  <c r="CL50" i="65"/>
  <c r="CK50" i="65"/>
  <c r="CJ50" i="65"/>
  <c r="CI50" i="65"/>
  <c r="CH50" i="65"/>
  <c r="CG50" i="65"/>
  <c r="CF50" i="65"/>
  <c r="CE50" i="65"/>
  <c r="CD50" i="65"/>
  <c r="CC50" i="65"/>
  <c r="CB50" i="65"/>
  <c r="CA50" i="65"/>
  <c r="BZ50" i="65"/>
  <c r="BY50" i="65"/>
  <c r="BX50" i="65"/>
  <c r="BW50" i="65"/>
  <c r="BV50" i="65"/>
  <c r="BU50" i="65"/>
  <c r="BT50" i="65"/>
  <c r="BS50" i="65"/>
  <c r="BR50" i="65"/>
  <c r="BQ50" i="65"/>
  <c r="BP50" i="65"/>
  <c r="BO50" i="65"/>
  <c r="BN50" i="65"/>
  <c r="BM50" i="65"/>
  <c r="BL50" i="65"/>
  <c r="BK50" i="65"/>
  <c r="BJ50" i="65"/>
  <c r="BI50" i="65"/>
  <c r="BH50" i="65"/>
  <c r="BG50" i="65"/>
  <c r="BF50" i="65"/>
  <c r="BE50" i="65"/>
  <c r="BD50" i="65"/>
  <c r="BC50" i="65"/>
  <c r="BB50" i="65"/>
  <c r="BA50" i="65"/>
  <c r="AZ50" i="65"/>
  <c r="AY50" i="65"/>
  <c r="AX50" i="65"/>
  <c r="AW50" i="65"/>
  <c r="AV50" i="65"/>
  <c r="ER50" i="65" s="1"/>
  <c r="AU50" i="65"/>
  <c r="EQ50" i="65" s="1"/>
  <c r="AT50" i="65"/>
  <c r="EP50" i="65" s="1"/>
  <c r="AS50" i="65"/>
  <c r="AR50" i="65"/>
  <c r="EN50" i="65" s="1"/>
  <c r="AQ50" i="65"/>
  <c r="AP50" i="65"/>
  <c r="EL50" i="65" s="1"/>
  <c r="AO50" i="65"/>
  <c r="EK50" i="65" s="1"/>
  <c r="AN50" i="65"/>
  <c r="EJ50" i="65" s="1"/>
  <c r="AM50" i="65"/>
  <c r="AL50" i="65"/>
  <c r="AK50" i="65"/>
  <c r="AJ50" i="65"/>
  <c r="AI50" i="65"/>
  <c r="AH50" i="65"/>
  <c r="AG50" i="65"/>
  <c r="AF50" i="65"/>
  <c r="AE50" i="65"/>
  <c r="AD50" i="65"/>
  <c r="AC50" i="65"/>
  <c r="AB50" i="65"/>
  <c r="Z50" i="65"/>
  <c r="Y50" i="65"/>
  <c r="X50" i="65"/>
  <c r="W50" i="65"/>
  <c r="V50" i="65"/>
  <c r="U50" i="65"/>
  <c r="T50" i="65"/>
  <c r="S50" i="65"/>
  <c r="R50" i="65"/>
  <c r="Q50" i="65"/>
  <c r="O50" i="65"/>
  <c r="N50" i="65"/>
  <c r="M50" i="65"/>
  <c r="L50" i="65"/>
  <c r="K50" i="65"/>
  <c r="J50" i="65"/>
  <c r="I50" i="65"/>
  <c r="H50" i="65"/>
  <c r="G50" i="65"/>
  <c r="F50" i="65"/>
  <c r="E50" i="65"/>
  <c r="EO49" i="65"/>
  <c r="EM49" i="65"/>
  <c r="EI49" i="65"/>
  <c r="DU49" i="65"/>
  <c r="DT49" i="65"/>
  <c r="DS49" i="65"/>
  <c r="DR49" i="65"/>
  <c r="DQ49" i="65"/>
  <c r="DP49" i="65"/>
  <c r="DO49" i="65"/>
  <c r="DN49" i="65"/>
  <c r="DM49" i="65"/>
  <c r="DL49" i="65"/>
  <c r="DK49" i="65"/>
  <c r="DJ49" i="65"/>
  <c r="DI49" i="65"/>
  <c r="DH49" i="65"/>
  <c r="DG49" i="65"/>
  <c r="DF49" i="65"/>
  <c r="DE49" i="65"/>
  <c r="DD49" i="65"/>
  <c r="DC49" i="65"/>
  <c r="DB49" i="65"/>
  <c r="DA49" i="65"/>
  <c r="CZ49" i="65"/>
  <c r="CY49" i="65"/>
  <c r="CX49" i="65"/>
  <c r="CW49" i="65"/>
  <c r="CV49" i="65"/>
  <c r="CU49" i="65"/>
  <c r="CT49" i="65"/>
  <c r="CS49" i="65"/>
  <c r="CR49" i="65"/>
  <c r="CQ49" i="65"/>
  <c r="CP49" i="65"/>
  <c r="CO49" i="65"/>
  <c r="CN49" i="65"/>
  <c r="CM49" i="65"/>
  <c r="CL49" i="65"/>
  <c r="CK49" i="65"/>
  <c r="CJ49" i="65"/>
  <c r="CI49" i="65"/>
  <c r="CH49" i="65"/>
  <c r="CG49" i="65"/>
  <c r="CF49" i="65"/>
  <c r="CE49" i="65"/>
  <c r="CD49" i="65"/>
  <c r="CC49" i="65"/>
  <c r="CB49" i="65"/>
  <c r="CA49" i="65"/>
  <c r="BZ49" i="65"/>
  <c r="BY49" i="65"/>
  <c r="BX49" i="65"/>
  <c r="BW49" i="65"/>
  <c r="BV49" i="65"/>
  <c r="BU49" i="65"/>
  <c r="BT49" i="65"/>
  <c r="BS49" i="65"/>
  <c r="BR49" i="65"/>
  <c r="BQ49" i="65"/>
  <c r="BP49" i="65"/>
  <c r="BO49" i="65"/>
  <c r="BN49" i="65"/>
  <c r="BM49" i="65"/>
  <c r="BL49" i="65"/>
  <c r="BK49" i="65"/>
  <c r="BJ49" i="65"/>
  <c r="BI49" i="65"/>
  <c r="BH49" i="65"/>
  <c r="BG49" i="65"/>
  <c r="BF49" i="65"/>
  <c r="BE49" i="65"/>
  <c r="BD49" i="65"/>
  <c r="BC49" i="65"/>
  <c r="BB49" i="65"/>
  <c r="BA49" i="65"/>
  <c r="AZ49" i="65"/>
  <c r="AY49" i="65"/>
  <c r="AX49" i="65"/>
  <c r="AW49" i="65"/>
  <c r="AV49" i="65"/>
  <c r="AU49" i="65"/>
  <c r="AT49" i="65"/>
  <c r="AS49" i="65"/>
  <c r="AR49" i="65"/>
  <c r="AQ49" i="65"/>
  <c r="AP49" i="65"/>
  <c r="AO49" i="65"/>
  <c r="AN49" i="65"/>
  <c r="EJ49" i="65" s="1"/>
  <c r="AM49" i="65"/>
  <c r="AL49" i="65"/>
  <c r="AK49" i="65"/>
  <c r="AJ49" i="65"/>
  <c r="AI49" i="65"/>
  <c r="AH49" i="65"/>
  <c r="AG49" i="65"/>
  <c r="AF49" i="65"/>
  <c r="AE49" i="65"/>
  <c r="EA49" i="65" s="1"/>
  <c r="AD49" i="65"/>
  <c r="DZ49" i="65" s="1"/>
  <c r="AC49" i="65"/>
  <c r="AB49" i="65"/>
  <c r="Z49" i="65"/>
  <c r="Y49" i="65"/>
  <c r="X49" i="65"/>
  <c r="W49" i="65"/>
  <c r="V49" i="65"/>
  <c r="U49" i="65"/>
  <c r="T49" i="65"/>
  <c r="S49" i="65"/>
  <c r="R49" i="65"/>
  <c r="Q49" i="65"/>
  <c r="O49" i="65"/>
  <c r="N49" i="65"/>
  <c r="M49" i="65"/>
  <c r="L49" i="65"/>
  <c r="K49" i="65"/>
  <c r="J49" i="65"/>
  <c r="I49" i="65"/>
  <c r="H49" i="65"/>
  <c r="G49" i="65"/>
  <c r="F49" i="65"/>
  <c r="E49" i="65"/>
  <c r="EL48" i="65"/>
  <c r="EI48" i="65"/>
  <c r="DU48" i="65"/>
  <c r="DT48" i="65"/>
  <c r="DS48" i="65"/>
  <c r="EE48" i="65" s="1"/>
  <c r="DR48" i="65"/>
  <c r="DQ48" i="65"/>
  <c r="DP48" i="65"/>
  <c r="DO48" i="65"/>
  <c r="DN48" i="65"/>
  <c r="DM48" i="65"/>
  <c r="DL48" i="65"/>
  <c r="DK48" i="65"/>
  <c r="DJ48" i="65"/>
  <c r="DI48" i="65"/>
  <c r="DH48" i="65"/>
  <c r="DG48" i="65"/>
  <c r="DF48" i="65"/>
  <c r="DE48" i="65"/>
  <c r="DD48" i="65"/>
  <c r="DC48" i="65"/>
  <c r="DB48" i="65"/>
  <c r="DA48" i="65"/>
  <c r="CZ48" i="65"/>
  <c r="CY48" i="65"/>
  <c r="CX48" i="65"/>
  <c r="CW48" i="65"/>
  <c r="CV48" i="65"/>
  <c r="CU48" i="65"/>
  <c r="CT48" i="65"/>
  <c r="CS48" i="65"/>
  <c r="CR48" i="65"/>
  <c r="CQ48" i="65"/>
  <c r="CP48" i="65"/>
  <c r="CO48" i="65"/>
  <c r="CN48" i="65"/>
  <c r="CM48" i="65"/>
  <c r="CL48" i="65"/>
  <c r="CK48" i="65"/>
  <c r="CJ48" i="65"/>
  <c r="CI48" i="65"/>
  <c r="CH48" i="65"/>
  <c r="CG48" i="65"/>
  <c r="CF48" i="65"/>
  <c r="CE48" i="65"/>
  <c r="CD48" i="65"/>
  <c r="CC48" i="65"/>
  <c r="CB48" i="65"/>
  <c r="CA48" i="65"/>
  <c r="BZ48" i="65"/>
  <c r="BY48" i="65"/>
  <c r="BX48" i="65"/>
  <c r="BW48" i="65"/>
  <c r="BV48" i="65"/>
  <c r="BU48" i="65"/>
  <c r="BT48" i="65"/>
  <c r="BS48" i="65"/>
  <c r="BR48" i="65"/>
  <c r="BQ48" i="65"/>
  <c r="BP48" i="65"/>
  <c r="BO48" i="65"/>
  <c r="BN48" i="65"/>
  <c r="BM48" i="65"/>
  <c r="BL48" i="65"/>
  <c r="BK48" i="65"/>
  <c r="BJ48" i="65"/>
  <c r="BI48" i="65"/>
  <c r="BH48" i="65"/>
  <c r="BG48" i="65"/>
  <c r="BF48" i="65"/>
  <c r="BE48" i="65"/>
  <c r="BD48" i="65"/>
  <c r="BC48" i="65"/>
  <c r="BB48" i="65"/>
  <c r="BA48" i="65"/>
  <c r="AZ48" i="65"/>
  <c r="AY48" i="65"/>
  <c r="AX48" i="65"/>
  <c r="AW48" i="65"/>
  <c r="AV48" i="65"/>
  <c r="AU48" i="65"/>
  <c r="EQ48" i="65" s="1"/>
  <c r="AT48" i="65"/>
  <c r="EP48" i="65" s="1"/>
  <c r="AS48" i="65"/>
  <c r="EO48" i="65" s="1"/>
  <c r="AR48" i="65"/>
  <c r="EN48" i="65" s="1"/>
  <c r="AQ48" i="65"/>
  <c r="AP48" i="65"/>
  <c r="AO48" i="65"/>
  <c r="AN48" i="65"/>
  <c r="AM48" i="65"/>
  <c r="AL48" i="65"/>
  <c r="AK48" i="65"/>
  <c r="AJ48" i="65"/>
  <c r="AI48" i="65"/>
  <c r="AH48" i="65"/>
  <c r="AG48" i="65"/>
  <c r="AF48" i="65"/>
  <c r="AE48" i="65"/>
  <c r="AD48" i="65"/>
  <c r="AC48" i="65"/>
  <c r="AB48" i="65"/>
  <c r="Z48" i="65"/>
  <c r="EG48" i="65" s="1"/>
  <c r="Y48" i="65"/>
  <c r="X48" i="65"/>
  <c r="W48" i="65"/>
  <c r="V48" i="65"/>
  <c r="U48" i="65"/>
  <c r="T48" i="65"/>
  <c r="S48" i="65"/>
  <c r="R48" i="65"/>
  <c r="Q48" i="65"/>
  <c r="O48" i="65"/>
  <c r="N48" i="65"/>
  <c r="M48" i="65"/>
  <c r="L48" i="65"/>
  <c r="K48" i="65"/>
  <c r="J48" i="65"/>
  <c r="I48" i="65"/>
  <c r="H48" i="65"/>
  <c r="G48" i="65"/>
  <c r="F48" i="65"/>
  <c r="E48" i="65"/>
  <c r="EL47" i="65"/>
  <c r="DU47" i="65"/>
  <c r="DT47" i="65"/>
  <c r="DS47" i="65"/>
  <c r="DR47" i="65"/>
  <c r="DQ47" i="65"/>
  <c r="DP47" i="65"/>
  <c r="DO47" i="65"/>
  <c r="DN47" i="65"/>
  <c r="DM47" i="65"/>
  <c r="DL47" i="65"/>
  <c r="DK47" i="65"/>
  <c r="DJ47" i="65"/>
  <c r="DI47" i="65"/>
  <c r="DH47" i="65"/>
  <c r="DG47" i="65"/>
  <c r="DF47" i="65"/>
  <c r="DE47" i="65"/>
  <c r="DD47" i="65"/>
  <c r="DC47" i="65"/>
  <c r="DB47" i="65"/>
  <c r="DA47" i="65"/>
  <c r="CZ47" i="65"/>
  <c r="CY47" i="65"/>
  <c r="CX47" i="65"/>
  <c r="CW47" i="65"/>
  <c r="CV47" i="65"/>
  <c r="CU47" i="65"/>
  <c r="CT47" i="65"/>
  <c r="CS47" i="65"/>
  <c r="CR47" i="65"/>
  <c r="CQ47" i="65"/>
  <c r="CP47" i="65"/>
  <c r="CO47" i="65"/>
  <c r="CN47" i="65"/>
  <c r="CM47" i="65"/>
  <c r="CL47" i="65"/>
  <c r="CK47" i="65"/>
  <c r="CJ47" i="65"/>
  <c r="CI47" i="65"/>
  <c r="CH47" i="65"/>
  <c r="CG47" i="65"/>
  <c r="CF47" i="65"/>
  <c r="CE47" i="65"/>
  <c r="CD47" i="65"/>
  <c r="CC47" i="65"/>
  <c r="CB47" i="65"/>
  <c r="CA47" i="65"/>
  <c r="BZ47" i="65"/>
  <c r="BY47" i="65"/>
  <c r="BX47" i="65"/>
  <c r="BW47" i="65"/>
  <c r="BV47" i="65"/>
  <c r="BU47" i="65"/>
  <c r="BT47" i="65"/>
  <c r="BS47" i="65"/>
  <c r="BR47" i="65"/>
  <c r="BQ47" i="65"/>
  <c r="BP47" i="65"/>
  <c r="BO47" i="65"/>
  <c r="BN47" i="65"/>
  <c r="BM47" i="65"/>
  <c r="BL47" i="65"/>
  <c r="BK47" i="65"/>
  <c r="BJ47" i="65"/>
  <c r="BI47" i="65"/>
  <c r="BH47" i="65"/>
  <c r="BG47" i="65"/>
  <c r="BF47" i="65"/>
  <c r="BE47" i="65"/>
  <c r="BD47" i="65"/>
  <c r="BC47" i="65"/>
  <c r="BB47" i="65"/>
  <c r="BA47" i="65"/>
  <c r="AZ47" i="65"/>
  <c r="AY47" i="65"/>
  <c r="AX47" i="65"/>
  <c r="AW47" i="65"/>
  <c r="AV47" i="65"/>
  <c r="AU47" i="65"/>
  <c r="AT47" i="65"/>
  <c r="AS47" i="65"/>
  <c r="EO47" i="65" s="1"/>
  <c r="AR47" i="65"/>
  <c r="EN47" i="65" s="1"/>
  <c r="AQ47" i="65"/>
  <c r="EM47" i="65" s="1"/>
  <c r="AP47" i="65"/>
  <c r="AO47" i="65"/>
  <c r="AN47" i="65"/>
  <c r="AM47" i="65"/>
  <c r="AL47" i="65"/>
  <c r="EH47" i="65" s="1"/>
  <c r="AK47" i="65"/>
  <c r="AJ47" i="65"/>
  <c r="AI47" i="65"/>
  <c r="AH47" i="65"/>
  <c r="AG47" i="65"/>
  <c r="AF47" i="65"/>
  <c r="AE47" i="65"/>
  <c r="AD47" i="65"/>
  <c r="AC47" i="65"/>
  <c r="AB47" i="65"/>
  <c r="Z47" i="65"/>
  <c r="Y47" i="65"/>
  <c r="X47" i="65"/>
  <c r="W47" i="65"/>
  <c r="V47" i="65"/>
  <c r="EC47" i="65" s="1"/>
  <c r="U47" i="65"/>
  <c r="T47" i="65"/>
  <c r="S47" i="65"/>
  <c r="DZ47" i="65" s="1"/>
  <c r="R47" i="65"/>
  <c r="Q47" i="65"/>
  <c r="O47" i="65"/>
  <c r="N47" i="65"/>
  <c r="M47" i="65"/>
  <c r="L47" i="65"/>
  <c r="K47" i="65"/>
  <c r="J47" i="65"/>
  <c r="I47" i="65"/>
  <c r="H47" i="65"/>
  <c r="G47" i="65"/>
  <c r="F47" i="65"/>
  <c r="E47" i="65"/>
  <c r="EK46" i="65"/>
  <c r="DU46" i="65"/>
  <c r="DT46" i="65"/>
  <c r="DS46" i="65"/>
  <c r="DR46" i="65"/>
  <c r="DQ46" i="65"/>
  <c r="DP46" i="65"/>
  <c r="DO46" i="65"/>
  <c r="DN46" i="65"/>
  <c r="DM46" i="65"/>
  <c r="DL46" i="65"/>
  <c r="DK46" i="65"/>
  <c r="DJ46" i="65"/>
  <c r="DI46" i="65"/>
  <c r="DH46" i="65"/>
  <c r="DG46" i="65"/>
  <c r="DF46" i="65"/>
  <c r="DE46" i="65"/>
  <c r="DD46" i="65"/>
  <c r="DC46" i="65"/>
  <c r="DB46" i="65"/>
  <c r="DA46" i="65"/>
  <c r="CZ46" i="65"/>
  <c r="CY46" i="65"/>
  <c r="CX46" i="65"/>
  <c r="CW46" i="65"/>
  <c r="CV46" i="65"/>
  <c r="CU46" i="65"/>
  <c r="CT46" i="65"/>
  <c r="CS46" i="65"/>
  <c r="CR46" i="65"/>
  <c r="CQ46" i="65"/>
  <c r="CP46" i="65"/>
  <c r="CO46" i="65"/>
  <c r="CN46" i="65"/>
  <c r="CM46" i="65"/>
  <c r="CL46" i="65"/>
  <c r="CK46" i="65"/>
  <c r="CJ46" i="65"/>
  <c r="CI46" i="65"/>
  <c r="CH46" i="65"/>
  <c r="CG46" i="65"/>
  <c r="CF46" i="65"/>
  <c r="CE46" i="65"/>
  <c r="CD46" i="65"/>
  <c r="CC46" i="65"/>
  <c r="CB46" i="65"/>
  <c r="CA46" i="65"/>
  <c r="BZ46" i="65"/>
  <c r="BY46" i="65"/>
  <c r="BX46" i="65"/>
  <c r="BW46" i="65"/>
  <c r="BV46" i="65"/>
  <c r="BU46" i="65"/>
  <c r="BT46" i="65"/>
  <c r="BS46" i="65"/>
  <c r="BR46" i="65"/>
  <c r="BQ46" i="65"/>
  <c r="BP46" i="65"/>
  <c r="BO46" i="65"/>
  <c r="BN46" i="65"/>
  <c r="BM46" i="65"/>
  <c r="BL46" i="65"/>
  <c r="BK46" i="65"/>
  <c r="BJ46" i="65"/>
  <c r="BI46" i="65"/>
  <c r="BH46" i="65"/>
  <c r="BG46" i="65"/>
  <c r="BF46" i="65"/>
  <c r="BE46" i="65"/>
  <c r="BD46" i="65"/>
  <c r="BC46" i="65"/>
  <c r="BB46" i="65"/>
  <c r="BA46" i="65"/>
  <c r="AZ46" i="65"/>
  <c r="AY46" i="65"/>
  <c r="AX46" i="65"/>
  <c r="AW46" i="65"/>
  <c r="AV46" i="65"/>
  <c r="AU46" i="65"/>
  <c r="AT46" i="65"/>
  <c r="EP46" i="65" s="1"/>
  <c r="AS46" i="65"/>
  <c r="AR46" i="65"/>
  <c r="AQ46" i="65"/>
  <c r="EM46" i="65" s="1"/>
  <c r="AP46" i="65"/>
  <c r="EL46" i="65" s="1"/>
  <c r="AO46" i="65"/>
  <c r="AN46" i="65"/>
  <c r="AM46" i="65"/>
  <c r="AL46" i="65"/>
  <c r="AK46" i="65"/>
  <c r="AJ46" i="65"/>
  <c r="AI46" i="65"/>
  <c r="AH46" i="65"/>
  <c r="AG46" i="65"/>
  <c r="AF46" i="65"/>
  <c r="AE46" i="65"/>
  <c r="AD46" i="65"/>
  <c r="DZ46" i="65" s="1"/>
  <c r="AC46" i="65"/>
  <c r="AB46" i="65"/>
  <c r="Z46" i="65"/>
  <c r="Y46" i="65"/>
  <c r="X46" i="65"/>
  <c r="W46" i="65"/>
  <c r="V46" i="65"/>
  <c r="U46" i="65"/>
  <c r="T46" i="65"/>
  <c r="S46" i="65"/>
  <c r="R46" i="65"/>
  <c r="Q46" i="65"/>
  <c r="O46" i="65"/>
  <c r="N46" i="65"/>
  <c r="M46" i="65"/>
  <c r="L46" i="65"/>
  <c r="K46" i="65"/>
  <c r="J46" i="65"/>
  <c r="I46" i="65"/>
  <c r="H46" i="65"/>
  <c r="G46" i="65"/>
  <c r="F46" i="65"/>
  <c r="E46" i="65"/>
  <c r="EO45" i="65"/>
  <c r="DU45" i="65"/>
  <c r="DT45" i="65"/>
  <c r="DS45" i="65"/>
  <c r="DR45" i="65"/>
  <c r="DQ45" i="65"/>
  <c r="DP45" i="65"/>
  <c r="DO45" i="65"/>
  <c r="DN45" i="65"/>
  <c r="DM45" i="65"/>
  <c r="DL45" i="65"/>
  <c r="DK45" i="65"/>
  <c r="DJ45" i="65"/>
  <c r="DI45" i="65"/>
  <c r="DH45" i="65"/>
  <c r="DG45" i="65"/>
  <c r="DF45" i="65"/>
  <c r="DE45" i="65"/>
  <c r="DD45" i="65"/>
  <c r="DC45" i="65"/>
  <c r="DB45" i="65"/>
  <c r="DA45" i="65"/>
  <c r="CZ45" i="65"/>
  <c r="CY45" i="65"/>
  <c r="CX45" i="65"/>
  <c r="CW45" i="65"/>
  <c r="CV45" i="65"/>
  <c r="CU45" i="65"/>
  <c r="CT45" i="65"/>
  <c r="CS45" i="65"/>
  <c r="CR45" i="65"/>
  <c r="CQ45" i="65"/>
  <c r="CP45" i="65"/>
  <c r="CO45" i="65"/>
  <c r="CN45" i="65"/>
  <c r="CM45" i="65"/>
  <c r="CL45" i="65"/>
  <c r="CK45" i="65"/>
  <c r="CJ45" i="65"/>
  <c r="CI45" i="65"/>
  <c r="CH45" i="65"/>
  <c r="CG45" i="65"/>
  <c r="CF45" i="65"/>
  <c r="CE45" i="65"/>
  <c r="CD45" i="65"/>
  <c r="CC45" i="65"/>
  <c r="CB45" i="65"/>
  <c r="CA45" i="65"/>
  <c r="BZ45" i="65"/>
  <c r="BY45" i="65"/>
  <c r="BX45" i="65"/>
  <c r="BW45" i="65"/>
  <c r="BV45" i="65"/>
  <c r="BU45" i="65"/>
  <c r="BT45" i="65"/>
  <c r="BS45" i="65"/>
  <c r="BR45" i="65"/>
  <c r="BQ45" i="65"/>
  <c r="BP45" i="65"/>
  <c r="BO45" i="65"/>
  <c r="BN45" i="65"/>
  <c r="BM45" i="65"/>
  <c r="BL45" i="65"/>
  <c r="BK45" i="65"/>
  <c r="BJ45" i="65"/>
  <c r="BI45" i="65"/>
  <c r="BH45" i="65"/>
  <c r="BG45" i="65"/>
  <c r="BF45" i="65"/>
  <c r="BE45" i="65"/>
  <c r="BD45" i="65"/>
  <c r="BC45" i="65"/>
  <c r="BB45" i="65"/>
  <c r="BA45" i="65"/>
  <c r="AZ45" i="65"/>
  <c r="AY45" i="65"/>
  <c r="AX45" i="65"/>
  <c r="AW45" i="65"/>
  <c r="AV45" i="65"/>
  <c r="AU45" i="65"/>
  <c r="AT45" i="65"/>
  <c r="AS45" i="65"/>
  <c r="AR45" i="65"/>
  <c r="AQ45" i="65"/>
  <c r="EM45" i="65" s="1"/>
  <c r="AP45" i="65"/>
  <c r="EL45" i="65" s="1"/>
  <c r="AO45" i="65"/>
  <c r="EK45" i="65" s="1"/>
  <c r="AN45" i="65"/>
  <c r="EJ45" i="65" s="1"/>
  <c r="AM45" i="65"/>
  <c r="AL45" i="65"/>
  <c r="AK45" i="65"/>
  <c r="AJ45" i="65"/>
  <c r="AI45" i="65"/>
  <c r="AH45" i="65"/>
  <c r="AG45" i="65"/>
  <c r="AF45" i="65"/>
  <c r="AE45" i="65"/>
  <c r="AD45" i="65"/>
  <c r="AC45" i="65"/>
  <c r="AB45" i="65"/>
  <c r="Z45" i="65"/>
  <c r="Y45" i="65"/>
  <c r="EF45" i="65" s="1"/>
  <c r="X45" i="65"/>
  <c r="W45" i="65"/>
  <c r="ED45" i="65" s="1"/>
  <c r="V45" i="65"/>
  <c r="EC45" i="65" s="1"/>
  <c r="U45" i="65"/>
  <c r="T45" i="65"/>
  <c r="S45" i="65"/>
  <c r="R45" i="65"/>
  <c r="Q45" i="65"/>
  <c r="O45" i="65"/>
  <c r="N45" i="65"/>
  <c r="M45" i="65"/>
  <c r="L45" i="65"/>
  <c r="K45" i="65"/>
  <c r="J45" i="65"/>
  <c r="I45" i="65"/>
  <c r="H45" i="65"/>
  <c r="G45" i="65"/>
  <c r="F45" i="65"/>
  <c r="E45" i="65"/>
  <c r="DU44" i="65"/>
  <c r="DT44" i="65"/>
  <c r="DS44" i="65"/>
  <c r="DR44" i="65"/>
  <c r="DQ44" i="65"/>
  <c r="DP44" i="65"/>
  <c r="DO44" i="65"/>
  <c r="DN44" i="65"/>
  <c r="DM44" i="65"/>
  <c r="DL44" i="65"/>
  <c r="DK44" i="65"/>
  <c r="DJ44" i="65"/>
  <c r="DI44" i="65"/>
  <c r="DH44" i="65"/>
  <c r="DG44" i="65"/>
  <c r="DF44" i="65"/>
  <c r="DE44" i="65"/>
  <c r="DD44" i="65"/>
  <c r="DC44" i="65"/>
  <c r="DB44" i="65"/>
  <c r="DA44" i="65"/>
  <c r="CZ44" i="65"/>
  <c r="CY44" i="65"/>
  <c r="CX44" i="65"/>
  <c r="CW44" i="65"/>
  <c r="CV44" i="65"/>
  <c r="CU44" i="65"/>
  <c r="CT44" i="65"/>
  <c r="CS44" i="65"/>
  <c r="CR44" i="65"/>
  <c r="CQ44" i="65"/>
  <c r="CP44" i="65"/>
  <c r="CO44" i="65"/>
  <c r="CN44" i="65"/>
  <c r="CM44" i="65"/>
  <c r="CL44" i="65"/>
  <c r="CK44" i="65"/>
  <c r="CJ44" i="65"/>
  <c r="CI44" i="65"/>
  <c r="CH44" i="65"/>
  <c r="CG44" i="65"/>
  <c r="CF44" i="65"/>
  <c r="CE44" i="65"/>
  <c r="CD44" i="65"/>
  <c r="CC44" i="65"/>
  <c r="CB44" i="65"/>
  <c r="CA44" i="65"/>
  <c r="BZ44" i="65"/>
  <c r="BY44" i="65"/>
  <c r="BX44" i="65"/>
  <c r="BW44" i="65"/>
  <c r="BV44" i="65"/>
  <c r="BU44" i="65"/>
  <c r="BT44" i="65"/>
  <c r="BS44" i="65"/>
  <c r="BR44" i="65"/>
  <c r="BQ44" i="65"/>
  <c r="BP44" i="65"/>
  <c r="BO44" i="65"/>
  <c r="BN44" i="65"/>
  <c r="BM44" i="65"/>
  <c r="BL44" i="65"/>
  <c r="BK44" i="65"/>
  <c r="BJ44" i="65"/>
  <c r="BI44" i="65"/>
  <c r="BH44" i="65"/>
  <c r="BG44" i="65"/>
  <c r="BF44" i="65"/>
  <c r="BE44" i="65"/>
  <c r="BD44" i="65"/>
  <c r="BC44" i="65"/>
  <c r="BB44" i="65"/>
  <c r="BA44" i="65"/>
  <c r="AZ44" i="65"/>
  <c r="AY44" i="65"/>
  <c r="AX44" i="65"/>
  <c r="AW44" i="65"/>
  <c r="AV44" i="65"/>
  <c r="ER44" i="65" s="1"/>
  <c r="AU44" i="65"/>
  <c r="AT44" i="65"/>
  <c r="AS44" i="65"/>
  <c r="AR44" i="65"/>
  <c r="EN44" i="65" s="1"/>
  <c r="AQ44" i="65"/>
  <c r="AP44" i="65"/>
  <c r="EL44" i="65" s="1"/>
  <c r="AO44" i="65"/>
  <c r="EK44" i="65" s="1"/>
  <c r="AN44" i="65"/>
  <c r="EJ44" i="65" s="1"/>
  <c r="AM44" i="65"/>
  <c r="EI44" i="65" s="1"/>
  <c r="AL44" i="65"/>
  <c r="AK44" i="65"/>
  <c r="AJ44" i="65"/>
  <c r="AI44" i="65"/>
  <c r="AH44" i="65"/>
  <c r="AG44" i="65"/>
  <c r="AF44" i="65"/>
  <c r="AE44" i="65"/>
  <c r="AD44" i="65"/>
  <c r="AC44" i="65"/>
  <c r="AB44" i="65"/>
  <c r="Z44" i="65"/>
  <c r="Y44" i="65"/>
  <c r="X44" i="65"/>
  <c r="W44" i="65"/>
  <c r="V44" i="65"/>
  <c r="U44" i="65"/>
  <c r="T44" i="65"/>
  <c r="S44" i="65"/>
  <c r="R44" i="65"/>
  <c r="DY44" i="65" s="1"/>
  <c r="Q44" i="65"/>
  <c r="O44" i="65"/>
  <c r="N44" i="65"/>
  <c r="M44" i="65"/>
  <c r="L44" i="65"/>
  <c r="K44" i="65"/>
  <c r="J44" i="65"/>
  <c r="I44" i="65"/>
  <c r="H44" i="65"/>
  <c r="G44" i="65"/>
  <c r="F44" i="65"/>
  <c r="E44" i="65"/>
  <c r="EP43" i="65"/>
  <c r="EM43" i="65"/>
  <c r="EH43" i="65"/>
  <c r="DU43" i="65"/>
  <c r="DT43" i="65"/>
  <c r="DS43" i="65"/>
  <c r="DR43" i="65"/>
  <c r="DQ43" i="65"/>
  <c r="DP43" i="65"/>
  <c r="DO43" i="65"/>
  <c r="DN43" i="65"/>
  <c r="DM43" i="65"/>
  <c r="DL43" i="65"/>
  <c r="DK43" i="65"/>
  <c r="DJ43" i="65"/>
  <c r="DI43" i="65"/>
  <c r="DH43" i="65"/>
  <c r="DG43" i="65"/>
  <c r="DF43" i="65"/>
  <c r="DE43" i="65"/>
  <c r="DD43" i="65"/>
  <c r="DC43" i="65"/>
  <c r="DB43" i="65"/>
  <c r="DA43" i="65"/>
  <c r="CZ43" i="65"/>
  <c r="CY43" i="65"/>
  <c r="CX43" i="65"/>
  <c r="CW43" i="65"/>
  <c r="CV43" i="65"/>
  <c r="CU43" i="65"/>
  <c r="CT43" i="65"/>
  <c r="CS43" i="65"/>
  <c r="CR43" i="65"/>
  <c r="CQ43" i="65"/>
  <c r="CP43" i="65"/>
  <c r="CO43" i="65"/>
  <c r="CN43" i="65"/>
  <c r="CM43" i="65"/>
  <c r="CL43" i="65"/>
  <c r="CK43" i="65"/>
  <c r="CJ43" i="65"/>
  <c r="CI43" i="65"/>
  <c r="CH43" i="65"/>
  <c r="CG43" i="65"/>
  <c r="CF43" i="65"/>
  <c r="CE43" i="65"/>
  <c r="CD43" i="65"/>
  <c r="CC43" i="65"/>
  <c r="CB43" i="65"/>
  <c r="CA43" i="65"/>
  <c r="BZ43" i="65"/>
  <c r="BY43" i="65"/>
  <c r="BX43" i="65"/>
  <c r="BW43" i="65"/>
  <c r="BV43" i="65"/>
  <c r="BU43" i="65"/>
  <c r="BT43" i="65"/>
  <c r="BS43" i="65"/>
  <c r="BR43" i="65"/>
  <c r="BQ43" i="65"/>
  <c r="BP43" i="65"/>
  <c r="BO43" i="65"/>
  <c r="BN43" i="65"/>
  <c r="BM43" i="65"/>
  <c r="BL43" i="65"/>
  <c r="BK43" i="65"/>
  <c r="BJ43" i="65"/>
  <c r="BI43" i="65"/>
  <c r="BH43" i="65"/>
  <c r="BG43" i="65"/>
  <c r="BF43" i="65"/>
  <c r="BE43" i="65"/>
  <c r="BD43" i="65"/>
  <c r="BC43" i="65"/>
  <c r="BB43" i="65"/>
  <c r="BA43" i="65"/>
  <c r="AZ43" i="65"/>
  <c r="AY43" i="65"/>
  <c r="AX43" i="65"/>
  <c r="AW43" i="65"/>
  <c r="AV43" i="65"/>
  <c r="ER43" i="65" s="1"/>
  <c r="AU43" i="65"/>
  <c r="EQ43" i="65" s="1"/>
  <c r="AT43" i="65"/>
  <c r="AS43" i="65"/>
  <c r="AR43" i="65"/>
  <c r="AQ43" i="65"/>
  <c r="AP43" i="65"/>
  <c r="AO43" i="65"/>
  <c r="EK43" i="65" s="1"/>
  <c r="AN43" i="65"/>
  <c r="EJ43" i="65" s="1"/>
  <c r="AM43" i="65"/>
  <c r="EI43" i="65" s="1"/>
  <c r="AL43" i="65"/>
  <c r="AK43" i="65"/>
  <c r="AJ43" i="65"/>
  <c r="AI43" i="65"/>
  <c r="AH43" i="65"/>
  <c r="AG43" i="65"/>
  <c r="AF43" i="65"/>
  <c r="AE43" i="65"/>
  <c r="AD43" i="65"/>
  <c r="AC43" i="65"/>
  <c r="AB43" i="65"/>
  <c r="Z43" i="65"/>
  <c r="Y43" i="65"/>
  <c r="X43" i="65"/>
  <c r="W43" i="65"/>
  <c r="V43" i="65"/>
  <c r="U43" i="65"/>
  <c r="T43" i="65"/>
  <c r="S43" i="65"/>
  <c r="DZ43" i="65" s="1"/>
  <c r="R43" i="65"/>
  <c r="Q43" i="65"/>
  <c r="DX43" i="65" s="1"/>
  <c r="O43" i="65"/>
  <c r="N43" i="65"/>
  <c r="M43" i="65"/>
  <c r="L43" i="65"/>
  <c r="K43" i="65"/>
  <c r="J43" i="65"/>
  <c r="I43" i="65"/>
  <c r="H43" i="65"/>
  <c r="G43" i="65"/>
  <c r="F43" i="65"/>
  <c r="E43" i="65"/>
  <c r="DU42" i="65"/>
  <c r="DU141" i="65" s="1"/>
  <c r="DT42" i="65"/>
  <c r="DS42" i="65"/>
  <c r="DR42" i="65"/>
  <c r="DQ42" i="65"/>
  <c r="DP42" i="65"/>
  <c r="DO42" i="65"/>
  <c r="DN42" i="65"/>
  <c r="DM42" i="65"/>
  <c r="DL42" i="65"/>
  <c r="DK42" i="65"/>
  <c r="DJ42" i="65"/>
  <c r="DI42" i="65"/>
  <c r="DH42" i="65"/>
  <c r="DG42" i="65"/>
  <c r="DF42" i="65"/>
  <c r="DE42" i="65"/>
  <c r="DE141" i="65" s="1"/>
  <c r="DD42" i="65"/>
  <c r="DC42" i="65"/>
  <c r="DB42" i="65"/>
  <c r="DA42" i="65"/>
  <c r="CZ42" i="65"/>
  <c r="CY42" i="65"/>
  <c r="CX42" i="65"/>
  <c r="CW42" i="65"/>
  <c r="CV42" i="65"/>
  <c r="CU42" i="65"/>
  <c r="CT42" i="65"/>
  <c r="CS42" i="65"/>
  <c r="CR42" i="65"/>
  <c r="CQ42" i="65"/>
  <c r="CP42" i="65"/>
  <c r="CO42" i="65"/>
  <c r="CO141" i="65" s="1"/>
  <c r="CN42" i="65"/>
  <c r="EG42" i="65" s="1"/>
  <c r="CM42" i="65"/>
  <c r="CL42" i="65"/>
  <c r="CK42" i="65"/>
  <c r="CJ42" i="65"/>
  <c r="CI42" i="65"/>
  <c r="CH42" i="65"/>
  <c r="CG42" i="65"/>
  <c r="CF42" i="65"/>
  <c r="CE42" i="65"/>
  <c r="CD42" i="65"/>
  <c r="CC42" i="65"/>
  <c r="CB42" i="65"/>
  <c r="CA42" i="65"/>
  <c r="BZ42" i="65"/>
  <c r="BY42" i="65"/>
  <c r="BY141" i="65" s="1"/>
  <c r="BX42" i="65"/>
  <c r="BW42" i="65"/>
  <c r="BV42" i="65"/>
  <c r="BU42" i="65"/>
  <c r="BT42" i="65"/>
  <c r="BS42" i="65"/>
  <c r="BR42" i="65"/>
  <c r="BQ42" i="65"/>
  <c r="BP42" i="65"/>
  <c r="BO42" i="65"/>
  <c r="BN42" i="65"/>
  <c r="BM42" i="65"/>
  <c r="BL42" i="65"/>
  <c r="BK42" i="65"/>
  <c r="BJ42" i="65"/>
  <c r="BI42" i="65"/>
  <c r="BI141" i="65" s="1"/>
  <c r="BH42" i="65"/>
  <c r="BG42" i="65"/>
  <c r="BF42" i="65"/>
  <c r="BE42" i="65"/>
  <c r="BD42" i="65"/>
  <c r="BC42" i="65"/>
  <c r="BB42" i="65"/>
  <c r="BA42" i="65"/>
  <c r="AZ42" i="65"/>
  <c r="AY42" i="65"/>
  <c r="AX42" i="65"/>
  <c r="AW42" i="65"/>
  <c r="AV42" i="65"/>
  <c r="AU42" i="65"/>
  <c r="EQ42" i="65" s="1"/>
  <c r="AT42" i="65"/>
  <c r="EP42" i="65" s="1"/>
  <c r="AS42" i="65"/>
  <c r="AS141" i="65" s="1"/>
  <c r="EO141" i="65" s="1"/>
  <c r="AR42" i="65"/>
  <c r="AQ42" i="65"/>
  <c r="AP42" i="65"/>
  <c r="EL42" i="65" s="1"/>
  <c r="AO42" i="65"/>
  <c r="AN42" i="65"/>
  <c r="EJ42" i="65" s="1"/>
  <c r="AM42" i="65"/>
  <c r="EI42" i="65" s="1"/>
  <c r="AL42" i="65"/>
  <c r="EH42" i="65" s="1"/>
  <c r="AK42" i="65"/>
  <c r="AJ42" i="65"/>
  <c r="AI42" i="65"/>
  <c r="AH42" i="65"/>
  <c r="AG42" i="65"/>
  <c r="AF42" i="65"/>
  <c r="AE42" i="65"/>
  <c r="AD42" i="65"/>
  <c r="AC42" i="65"/>
  <c r="AC141" i="65" s="1"/>
  <c r="AB42" i="65"/>
  <c r="Z42" i="65"/>
  <c r="Y42" i="65"/>
  <c r="X42" i="65"/>
  <c r="W42" i="65"/>
  <c r="V42" i="65"/>
  <c r="U42" i="65"/>
  <c r="T42" i="65"/>
  <c r="S42" i="65"/>
  <c r="R42" i="65"/>
  <c r="Q42" i="65"/>
  <c r="O42" i="65"/>
  <c r="N42" i="65"/>
  <c r="M42" i="65"/>
  <c r="M141" i="65" s="1"/>
  <c r="L42" i="65"/>
  <c r="K42" i="65"/>
  <c r="J42" i="65"/>
  <c r="I42" i="65"/>
  <c r="H42" i="65"/>
  <c r="G42" i="65"/>
  <c r="F42" i="65"/>
  <c r="E42" i="65"/>
  <c r="DU41" i="65"/>
  <c r="DU140" i="65" s="1"/>
  <c r="DT41" i="65"/>
  <c r="DT140" i="65" s="1"/>
  <c r="DS41" i="65"/>
  <c r="DR41" i="65"/>
  <c r="DQ41" i="65"/>
  <c r="DP41" i="65"/>
  <c r="DO41" i="65"/>
  <c r="DN41" i="65"/>
  <c r="DM41" i="65"/>
  <c r="DL41" i="65"/>
  <c r="DK41" i="65"/>
  <c r="DK140" i="65" s="1"/>
  <c r="DJ41" i="65"/>
  <c r="DI41" i="65"/>
  <c r="DH41" i="65"/>
  <c r="DG41" i="65"/>
  <c r="DG140" i="65" s="1"/>
  <c r="DF41" i="65"/>
  <c r="DE41" i="65"/>
  <c r="DE140" i="65" s="1"/>
  <c r="DD41" i="65"/>
  <c r="DD140" i="65" s="1"/>
  <c r="DC41" i="65"/>
  <c r="DB41" i="65"/>
  <c r="DA41" i="65"/>
  <c r="CZ41" i="65"/>
  <c r="CY41" i="65"/>
  <c r="CX41" i="65"/>
  <c r="CW41" i="65"/>
  <c r="CV41" i="65"/>
  <c r="CU41" i="65"/>
  <c r="CU140" i="65" s="1"/>
  <c r="CT41" i="65"/>
  <c r="CS41" i="65"/>
  <c r="CR41" i="65"/>
  <c r="CQ41" i="65"/>
  <c r="CQ140" i="65" s="1"/>
  <c r="CP41" i="65"/>
  <c r="CO41" i="65"/>
  <c r="CO140" i="65" s="1"/>
  <c r="CN41" i="65"/>
  <c r="CN140" i="65" s="1"/>
  <c r="CM41" i="65"/>
  <c r="CL41" i="65"/>
  <c r="CK41" i="65"/>
  <c r="CJ41" i="65"/>
  <c r="CI41" i="65"/>
  <c r="CH41" i="65"/>
  <c r="CG41" i="65"/>
  <c r="CF41" i="65"/>
  <c r="CE41" i="65"/>
  <c r="CE140" i="65" s="1"/>
  <c r="CD41" i="65"/>
  <c r="CC41" i="65"/>
  <c r="CB41" i="65"/>
  <c r="CA41" i="65"/>
  <c r="CA140" i="65" s="1"/>
  <c r="BZ41" i="65"/>
  <c r="BY41" i="65"/>
  <c r="BY140" i="65" s="1"/>
  <c r="BX41" i="65"/>
  <c r="BX140" i="65" s="1"/>
  <c r="BW41" i="65"/>
  <c r="BV41" i="65"/>
  <c r="BU41" i="65"/>
  <c r="BT41" i="65"/>
  <c r="BS41" i="65"/>
  <c r="BR41" i="65"/>
  <c r="BQ41" i="65"/>
  <c r="BP41" i="65"/>
  <c r="BO41" i="65"/>
  <c r="BO140" i="65" s="1"/>
  <c r="BN41" i="65"/>
  <c r="BM41" i="65"/>
  <c r="BL41" i="65"/>
  <c r="BK41" i="65"/>
  <c r="BK140" i="65" s="1"/>
  <c r="BJ41" i="65"/>
  <c r="BI41" i="65"/>
  <c r="BI140" i="65" s="1"/>
  <c r="BH41" i="65"/>
  <c r="BH140" i="65" s="1"/>
  <c r="BG41" i="65"/>
  <c r="BF41" i="65"/>
  <c r="BE41" i="65"/>
  <c r="BD41" i="65"/>
  <c r="BC41" i="65"/>
  <c r="BB41" i="65"/>
  <c r="BA41" i="65"/>
  <c r="AZ41" i="65"/>
  <c r="AY41" i="65"/>
  <c r="AY140" i="65" s="1"/>
  <c r="AX41" i="65"/>
  <c r="AW41" i="65"/>
  <c r="AV41" i="65"/>
  <c r="ER41" i="65" s="1"/>
  <c r="AU41" i="65"/>
  <c r="AU140" i="65" s="1"/>
  <c r="EQ140" i="65" s="1"/>
  <c r="AT41" i="65"/>
  <c r="EP41" i="65" s="1"/>
  <c r="AS41" i="65"/>
  <c r="AS140" i="65" s="1"/>
  <c r="EO140" i="65" s="1"/>
  <c r="AR41" i="65"/>
  <c r="AR140" i="65" s="1"/>
  <c r="EN140" i="65" s="1"/>
  <c r="AQ41" i="65"/>
  <c r="AP41" i="65"/>
  <c r="AO41" i="65"/>
  <c r="EK41" i="65" s="1"/>
  <c r="AN41" i="65"/>
  <c r="AM41" i="65"/>
  <c r="AL41" i="65"/>
  <c r="EH41" i="65" s="1"/>
  <c r="AK41" i="65"/>
  <c r="AJ41" i="65"/>
  <c r="AI41" i="65"/>
  <c r="AI140" i="65" s="1"/>
  <c r="AH41" i="65"/>
  <c r="AG41" i="65"/>
  <c r="AF41" i="65"/>
  <c r="AE41" i="65"/>
  <c r="AE140" i="65" s="1"/>
  <c r="AD41" i="65"/>
  <c r="AC41" i="65"/>
  <c r="AC140" i="65" s="1"/>
  <c r="AB41" i="65"/>
  <c r="AB140" i="65" s="1"/>
  <c r="Z41" i="65"/>
  <c r="Z140" i="65" s="1"/>
  <c r="Y41" i="65"/>
  <c r="EF41" i="65" s="1"/>
  <c r="X41" i="65"/>
  <c r="W41" i="65"/>
  <c r="V41" i="65"/>
  <c r="U41" i="65"/>
  <c r="T41" i="65"/>
  <c r="S41" i="65"/>
  <c r="S140" i="65" s="1"/>
  <c r="R41" i="65"/>
  <c r="Q41" i="65"/>
  <c r="O41" i="65"/>
  <c r="N41" i="65"/>
  <c r="M41" i="65"/>
  <c r="M140" i="65" s="1"/>
  <c r="L41" i="65"/>
  <c r="L140" i="65" s="1"/>
  <c r="K41" i="65"/>
  <c r="J41" i="65"/>
  <c r="J140" i="65" s="1"/>
  <c r="I41" i="65"/>
  <c r="I140" i="65" s="1"/>
  <c r="H41" i="65"/>
  <c r="G41" i="65"/>
  <c r="F41" i="65"/>
  <c r="E41" i="65"/>
  <c r="EQ40" i="65"/>
  <c r="DU40" i="65"/>
  <c r="DU139" i="65" s="1"/>
  <c r="DT40" i="65"/>
  <c r="DT139" i="65" s="1"/>
  <c r="DS40" i="65"/>
  <c r="DS139" i="65" s="1"/>
  <c r="DR40" i="65"/>
  <c r="DR139" i="65" s="1"/>
  <c r="DQ40" i="65"/>
  <c r="DQ139" i="65" s="1"/>
  <c r="DP40" i="65"/>
  <c r="DP139" i="65" s="1"/>
  <c r="DO40" i="65"/>
  <c r="DO139" i="65" s="1"/>
  <c r="DN40" i="65"/>
  <c r="DN139" i="65" s="1"/>
  <c r="DM40" i="65"/>
  <c r="DM139" i="65" s="1"/>
  <c r="DL40" i="65"/>
  <c r="DL139" i="65" s="1"/>
  <c r="DK40" i="65"/>
  <c r="DK139" i="65" s="1"/>
  <c r="DJ40" i="65"/>
  <c r="DJ139" i="65" s="1"/>
  <c r="DI40" i="65"/>
  <c r="DI139" i="65" s="1"/>
  <c r="DH40" i="65"/>
  <c r="DH139" i="65" s="1"/>
  <c r="DG40" i="65"/>
  <c r="DG139" i="65" s="1"/>
  <c r="DF40" i="65"/>
  <c r="DF139" i="65" s="1"/>
  <c r="DE40" i="65"/>
  <c r="DE139" i="65" s="1"/>
  <c r="DD40" i="65"/>
  <c r="DD139" i="65" s="1"/>
  <c r="DC40" i="65"/>
  <c r="DC139" i="65" s="1"/>
  <c r="DB40" i="65"/>
  <c r="DB139" i="65" s="1"/>
  <c r="DA40" i="65"/>
  <c r="DA139" i="65" s="1"/>
  <c r="CZ40" i="65"/>
  <c r="CZ139" i="65" s="1"/>
  <c r="CY40" i="65"/>
  <c r="CY139" i="65" s="1"/>
  <c r="CX40" i="65"/>
  <c r="CX139" i="65" s="1"/>
  <c r="CW40" i="65"/>
  <c r="CW139" i="65" s="1"/>
  <c r="CV40" i="65"/>
  <c r="CV139" i="65" s="1"/>
  <c r="CU40" i="65"/>
  <c r="CU139" i="65" s="1"/>
  <c r="CT40" i="65"/>
  <c r="CT139" i="65" s="1"/>
  <c r="CS40" i="65"/>
  <c r="CS139" i="65" s="1"/>
  <c r="CR40" i="65"/>
  <c r="CR139" i="65" s="1"/>
  <c r="CQ40" i="65"/>
  <c r="CQ139" i="65" s="1"/>
  <c r="CP40" i="65"/>
  <c r="CP139" i="65" s="1"/>
  <c r="CO40" i="65"/>
  <c r="CO139" i="65" s="1"/>
  <c r="CN40" i="65"/>
  <c r="CN139" i="65" s="1"/>
  <c r="CM40" i="65"/>
  <c r="CM139" i="65" s="1"/>
  <c r="CL40" i="65"/>
  <c r="CL139" i="65" s="1"/>
  <c r="CK40" i="65"/>
  <c r="CK139" i="65" s="1"/>
  <c r="CJ40" i="65"/>
  <c r="CJ139" i="65" s="1"/>
  <c r="CI40" i="65"/>
  <c r="CI139" i="65" s="1"/>
  <c r="CH40" i="65"/>
  <c r="CH139" i="65" s="1"/>
  <c r="CG40" i="65"/>
  <c r="CG139" i="65" s="1"/>
  <c r="CF40" i="65"/>
  <c r="CF139" i="65" s="1"/>
  <c r="CE40" i="65"/>
  <c r="CE139" i="65" s="1"/>
  <c r="CD40" i="65"/>
  <c r="CD139" i="65" s="1"/>
  <c r="CC40" i="65"/>
  <c r="CC139" i="65" s="1"/>
  <c r="CB40" i="65"/>
  <c r="CB139" i="65" s="1"/>
  <c r="CA40" i="65"/>
  <c r="CA139" i="65" s="1"/>
  <c r="BZ40" i="65"/>
  <c r="BZ139" i="65" s="1"/>
  <c r="BY40" i="65"/>
  <c r="BY139" i="65" s="1"/>
  <c r="BX40" i="65"/>
  <c r="BX139" i="65" s="1"/>
  <c r="BW40" i="65"/>
  <c r="BW139" i="65" s="1"/>
  <c r="BV40" i="65"/>
  <c r="BV139" i="65" s="1"/>
  <c r="BU40" i="65"/>
  <c r="BU139" i="65" s="1"/>
  <c r="BT40" i="65"/>
  <c r="BT139" i="65" s="1"/>
  <c r="BS40" i="65"/>
  <c r="BS139" i="65" s="1"/>
  <c r="BR40" i="65"/>
  <c r="BR139" i="65" s="1"/>
  <c r="BQ40" i="65"/>
  <c r="BQ139" i="65" s="1"/>
  <c r="BP40" i="65"/>
  <c r="BP139" i="65" s="1"/>
  <c r="BO40" i="65"/>
  <c r="BO139" i="65" s="1"/>
  <c r="BN40" i="65"/>
  <c r="BN139" i="65" s="1"/>
  <c r="BM40" i="65"/>
  <c r="BM139" i="65" s="1"/>
  <c r="BL40" i="65"/>
  <c r="BL139" i="65" s="1"/>
  <c r="BK40" i="65"/>
  <c r="BK139" i="65" s="1"/>
  <c r="BJ40" i="65"/>
  <c r="BJ139" i="65" s="1"/>
  <c r="BI40" i="65"/>
  <c r="BI139" i="65" s="1"/>
  <c r="BH40" i="65"/>
  <c r="BH139" i="65" s="1"/>
  <c r="BG40" i="65"/>
  <c r="BG139" i="65" s="1"/>
  <c r="BF40" i="65"/>
  <c r="BF139" i="65" s="1"/>
  <c r="BE40" i="65"/>
  <c r="BE139" i="65" s="1"/>
  <c r="BD40" i="65"/>
  <c r="BD139" i="65" s="1"/>
  <c r="BC40" i="65"/>
  <c r="BC139" i="65" s="1"/>
  <c r="BB40" i="65"/>
  <c r="BB139" i="65" s="1"/>
  <c r="BA40" i="65"/>
  <c r="BA139" i="65" s="1"/>
  <c r="AZ40" i="65"/>
  <c r="AZ139" i="65" s="1"/>
  <c r="AY40" i="65"/>
  <c r="AY139" i="65" s="1"/>
  <c r="AX40" i="65"/>
  <c r="AX139" i="65" s="1"/>
  <c r="AW40" i="65"/>
  <c r="AW139" i="65" s="1"/>
  <c r="AV40" i="65"/>
  <c r="AV139" i="65" s="1"/>
  <c r="ER139" i="65" s="1"/>
  <c r="AU40" i="65"/>
  <c r="AU139" i="65" s="1"/>
  <c r="EQ139" i="65" s="1"/>
  <c r="AT40" i="65"/>
  <c r="AT139" i="65" s="1"/>
  <c r="EP139" i="65" s="1"/>
  <c r="AS40" i="65"/>
  <c r="AS139" i="65" s="1"/>
  <c r="EO139" i="65" s="1"/>
  <c r="AR40" i="65"/>
  <c r="AR139" i="65" s="1"/>
  <c r="EN139" i="65" s="1"/>
  <c r="AQ40" i="65"/>
  <c r="AQ139" i="65" s="1"/>
  <c r="EM139" i="65" s="1"/>
  <c r="AP40" i="65"/>
  <c r="AP139" i="65" s="1"/>
  <c r="EL139" i="65" s="1"/>
  <c r="AO40" i="65"/>
  <c r="AO139" i="65" s="1"/>
  <c r="EK139" i="65" s="1"/>
  <c r="AN40" i="65"/>
  <c r="AN139" i="65" s="1"/>
  <c r="EJ139" i="65" s="1"/>
  <c r="AM40" i="65"/>
  <c r="AM139" i="65" s="1"/>
  <c r="EI139" i="65" s="1"/>
  <c r="AL40" i="65"/>
  <c r="AL139" i="65" s="1"/>
  <c r="EH139" i="65" s="1"/>
  <c r="AK40" i="65"/>
  <c r="AK139" i="65" s="1"/>
  <c r="AJ40" i="65"/>
  <c r="AJ139" i="65" s="1"/>
  <c r="AI40" i="65"/>
  <c r="AI139" i="65" s="1"/>
  <c r="AH40" i="65"/>
  <c r="AH139" i="65" s="1"/>
  <c r="AG40" i="65"/>
  <c r="AG139" i="65" s="1"/>
  <c r="AF40" i="65"/>
  <c r="AF139" i="65" s="1"/>
  <c r="AE40" i="65"/>
  <c r="AE139" i="65" s="1"/>
  <c r="AD40" i="65"/>
  <c r="AD139" i="65" s="1"/>
  <c r="AC40" i="65"/>
  <c r="AC139" i="65" s="1"/>
  <c r="AB40" i="65"/>
  <c r="AB139" i="65" s="1"/>
  <c r="Z40" i="65"/>
  <c r="Z139" i="65" s="1"/>
  <c r="Y40" i="65"/>
  <c r="Y139" i="65" s="1"/>
  <c r="X40" i="65"/>
  <c r="X139" i="65" s="1"/>
  <c r="W40" i="65"/>
  <c r="W139" i="65" s="1"/>
  <c r="V40" i="65"/>
  <c r="V139" i="65" s="1"/>
  <c r="U40" i="65"/>
  <c r="U139" i="65" s="1"/>
  <c r="T40" i="65"/>
  <c r="T139" i="65" s="1"/>
  <c r="S40" i="65"/>
  <c r="S139" i="65" s="1"/>
  <c r="R40" i="65"/>
  <c r="R139" i="65" s="1"/>
  <c r="Q40" i="65"/>
  <c r="Q139" i="65" s="1"/>
  <c r="O40" i="65"/>
  <c r="O139" i="65" s="1"/>
  <c r="N40" i="65"/>
  <c r="N139" i="65" s="1"/>
  <c r="M40" i="65"/>
  <c r="M139" i="65" s="1"/>
  <c r="L40" i="65"/>
  <c r="L139" i="65" s="1"/>
  <c r="K40" i="65"/>
  <c r="K139" i="65" s="1"/>
  <c r="J40" i="65"/>
  <c r="J139" i="65" s="1"/>
  <c r="I40" i="65"/>
  <c r="I139" i="65" s="1"/>
  <c r="H40" i="65"/>
  <c r="H139" i="65" s="1"/>
  <c r="G40" i="65"/>
  <c r="G139" i="65" s="1"/>
  <c r="F40" i="65"/>
  <c r="F139" i="65" s="1"/>
  <c r="E40" i="65"/>
  <c r="E139" i="65" s="1"/>
  <c r="ER36" i="65"/>
  <c r="EQ36" i="65"/>
  <c r="EP36" i="65"/>
  <c r="EO36" i="65"/>
  <c r="EN36" i="65"/>
  <c r="EM36" i="65"/>
  <c r="EL36" i="65"/>
  <c r="EK36" i="65"/>
  <c r="EJ36" i="65"/>
  <c r="EI36" i="65"/>
  <c r="EH36" i="65"/>
  <c r="EG36" i="65"/>
  <c r="EF36" i="65"/>
  <c r="EE36" i="65"/>
  <c r="ED36" i="65"/>
  <c r="EC36" i="65"/>
  <c r="EB36" i="65"/>
  <c r="EA36" i="65"/>
  <c r="DZ36" i="65"/>
  <c r="DY36" i="65"/>
  <c r="DX36" i="65"/>
  <c r="AA36" i="65"/>
  <c r="P36" i="65"/>
  <c r="ER35" i="65"/>
  <c r="EQ35" i="65"/>
  <c r="EP35" i="65"/>
  <c r="EO35" i="65"/>
  <c r="EN35" i="65"/>
  <c r="EM35" i="65"/>
  <c r="EL35" i="65"/>
  <c r="EK35" i="65"/>
  <c r="EJ35" i="65"/>
  <c r="EI35" i="65"/>
  <c r="EH35" i="65"/>
  <c r="EG35" i="65"/>
  <c r="EF35" i="65"/>
  <c r="EE35" i="65"/>
  <c r="ED35" i="65"/>
  <c r="EC35" i="65"/>
  <c r="EB35" i="65"/>
  <c r="EA35" i="65"/>
  <c r="DZ35" i="65"/>
  <c r="DY35" i="65"/>
  <c r="DX35" i="65"/>
  <c r="AA35" i="65"/>
  <c r="P35" i="65"/>
  <c r="DW35" i="65" s="1"/>
  <c r="ER34" i="65"/>
  <c r="EQ34" i="65"/>
  <c r="EP34" i="65"/>
  <c r="EO34" i="65"/>
  <c r="EN34" i="65"/>
  <c r="EM34" i="65"/>
  <c r="EL34" i="65"/>
  <c r="EK34" i="65"/>
  <c r="EJ34" i="65"/>
  <c r="EI34" i="65"/>
  <c r="EH34" i="65"/>
  <c r="EG34" i="65"/>
  <c r="EF34" i="65"/>
  <c r="EE34" i="65"/>
  <c r="ED34" i="65"/>
  <c r="EC34" i="65"/>
  <c r="EB34" i="65"/>
  <c r="EA34" i="65"/>
  <c r="DZ34" i="65"/>
  <c r="DY34" i="65"/>
  <c r="DX34" i="65"/>
  <c r="AA34" i="65"/>
  <c r="P34" i="65"/>
  <c r="ER33" i="65"/>
  <c r="EQ33" i="65"/>
  <c r="EP33" i="65"/>
  <c r="EO33" i="65"/>
  <c r="EN33" i="65"/>
  <c r="EM33" i="65"/>
  <c r="EL33" i="65"/>
  <c r="EK33" i="65"/>
  <c r="EJ33" i="65"/>
  <c r="EI33" i="65"/>
  <c r="EH33" i="65"/>
  <c r="EG33" i="65"/>
  <c r="EF33" i="65"/>
  <c r="EE33" i="65"/>
  <c r="ED33" i="65"/>
  <c r="EC33" i="65"/>
  <c r="EB33" i="65"/>
  <c r="EA33" i="65"/>
  <c r="DZ33" i="65"/>
  <c r="DY33" i="65"/>
  <c r="DX33" i="65"/>
  <c r="AA33" i="65"/>
  <c r="P33" i="65"/>
  <c r="DW33" i="65" s="1"/>
  <c r="ER32" i="65"/>
  <c r="EQ32" i="65"/>
  <c r="EP32" i="65"/>
  <c r="EO32" i="65"/>
  <c r="EN32" i="65"/>
  <c r="EM32" i="65"/>
  <c r="EL32" i="65"/>
  <c r="EK32" i="65"/>
  <c r="EJ32" i="65"/>
  <c r="EI32" i="65"/>
  <c r="EH32" i="65"/>
  <c r="EG32" i="65"/>
  <c r="EF32" i="65"/>
  <c r="EE32" i="65"/>
  <c r="ED32" i="65"/>
  <c r="EC32" i="65"/>
  <c r="EB32" i="65"/>
  <c r="EA32" i="65"/>
  <c r="DZ32" i="65"/>
  <c r="DY32" i="65"/>
  <c r="DX32" i="65"/>
  <c r="AA32" i="65"/>
  <c r="P32" i="65"/>
  <c r="ER31" i="65"/>
  <c r="EQ31" i="65"/>
  <c r="EP31" i="65"/>
  <c r="EO31" i="65"/>
  <c r="EN31" i="65"/>
  <c r="EM31" i="65"/>
  <c r="EL31" i="65"/>
  <c r="EK31" i="65"/>
  <c r="EJ31" i="65"/>
  <c r="EI31" i="65"/>
  <c r="EH31" i="65"/>
  <c r="EG31" i="65"/>
  <c r="EF31" i="65"/>
  <c r="EE31" i="65"/>
  <c r="ED31" i="65"/>
  <c r="EC31" i="65"/>
  <c r="EB31" i="65"/>
  <c r="EA31" i="65"/>
  <c r="DZ31" i="65"/>
  <c r="DY31" i="65"/>
  <c r="DX31" i="65"/>
  <c r="AA31" i="65"/>
  <c r="P31" i="65"/>
  <c r="DW31" i="65" s="1"/>
  <c r="ER30" i="65"/>
  <c r="EQ30" i="65"/>
  <c r="EP30" i="65"/>
  <c r="EO30" i="65"/>
  <c r="EN30" i="65"/>
  <c r="EM30" i="65"/>
  <c r="EL30" i="65"/>
  <c r="EK30" i="65"/>
  <c r="EJ30" i="65"/>
  <c r="EI30" i="65"/>
  <c r="EH30" i="65"/>
  <c r="EG30" i="65"/>
  <c r="EF30" i="65"/>
  <c r="EE30" i="65"/>
  <c r="ED30" i="65"/>
  <c r="EC30" i="65"/>
  <c r="EB30" i="65"/>
  <c r="EA30" i="65"/>
  <c r="DZ30" i="65"/>
  <c r="DY30" i="65"/>
  <c r="DX30" i="65"/>
  <c r="AA30" i="65"/>
  <c r="P30" i="65"/>
  <c r="ER29" i="65"/>
  <c r="EQ29" i="65"/>
  <c r="EP29" i="65"/>
  <c r="EO29" i="65"/>
  <c r="EN29" i="65"/>
  <c r="EM29" i="65"/>
  <c r="EL29" i="65"/>
  <c r="EK29" i="65"/>
  <c r="EJ29" i="65"/>
  <c r="EI29" i="65"/>
  <c r="EH29" i="65"/>
  <c r="EG29" i="65"/>
  <c r="EF29" i="65"/>
  <c r="EE29" i="65"/>
  <c r="ED29" i="65"/>
  <c r="EC29" i="65"/>
  <c r="EB29" i="65"/>
  <c r="EA29" i="65"/>
  <c r="DZ29" i="65"/>
  <c r="DY29" i="65"/>
  <c r="DX29" i="65"/>
  <c r="AA29" i="65"/>
  <c r="P29" i="65"/>
  <c r="ER28" i="65"/>
  <c r="EQ28" i="65"/>
  <c r="EP28" i="65"/>
  <c r="EO28" i="65"/>
  <c r="EN28" i="65"/>
  <c r="EM28" i="65"/>
  <c r="EL28" i="65"/>
  <c r="EK28" i="65"/>
  <c r="EJ28" i="65"/>
  <c r="EI28" i="65"/>
  <c r="EH28" i="65"/>
  <c r="EG28" i="65"/>
  <c r="EF28" i="65"/>
  <c r="EE28" i="65"/>
  <c r="ED28" i="65"/>
  <c r="EC28" i="65"/>
  <c r="EB28" i="65"/>
  <c r="EA28" i="65"/>
  <c r="DZ28" i="65"/>
  <c r="DY28" i="65"/>
  <c r="DX28" i="65"/>
  <c r="AA28" i="65"/>
  <c r="P28" i="65"/>
  <c r="ER27" i="65"/>
  <c r="EQ27" i="65"/>
  <c r="EP27" i="65"/>
  <c r="EO27" i="65"/>
  <c r="EN27" i="65"/>
  <c r="EM27" i="65"/>
  <c r="EL27" i="65"/>
  <c r="EK27" i="65"/>
  <c r="EJ27" i="65"/>
  <c r="EI27" i="65"/>
  <c r="EH27" i="65"/>
  <c r="EG27" i="65"/>
  <c r="EF27" i="65"/>
  <c r="EE27" i="65"/>
  <c r="ED27" i="65"/>
  <c r="EC27" i="65"/>
  <c r="EB27" i="65"/>
  <c r="EA27" i="65"/>
  <c r="DZ27" i="65"/>
  <c r="DY27" i="65"/>
  <c r="DX27" i="65"/>
  <c r="AA27" i="65"/>
  <c r="P27" i="65"/>
  <c r="DW27" i="65" s="1"/>
  <c r="ER26" i="65"/>
  <c r="EQ26" i="65"/>
  <c r="EP26" i="65"/>
  <c r="EO26" i="65"/>
  <c r="EN26" i="65"/>
  <c r="EM26" i="65"/>
  <c r="EL26" i="65"/>
  <c r="EK26" i="65"/>
  <c r="EJ26" i="65"/>
  <c r="EI26" i="65"/>
  <c r="EH26" i="65"/>
  <c r="EG26" i="65"/>
  <c r="EF26" i="65"/>
  <c r="EE26" i="65"/>
  <c r="ED26" i="65"/>
  <c r="EC26" i="65"/>
  <c r="EB26" i="65"/>
  <c r="EA26" i="65"/>
  <c r="DZ26" i="65"/>
  <c r="DY26" i="65"/>
  <c r="DX26" i="65"/>
  <c r="AA26" i="65"/>
  <c r="P26" i="65"/>
  <c r="ER25" i="65"/>
  <c r="EQ25" i="65"/>
  <c r="EP25" i="65"/>
  <c r="EO25" i="65"/>
  <c r="EN25" i="65"/>
  <c r="EM25" i="65"/>
  <c r="EL25" i="65"/>
  <c r="EK25" i="65"/>
  <c r="EJ25" i="65"/>
  <c r="EI25" i="65"/>
  <c r="EH25" i="65"/>
  <c r="EG25" i="65"/>
  <c r="EF25" i="65"/>
  <c r="EE25" i="65"/>
  <c r="ED25" i="65"/>
  <c r="EC25" i="65"/>
  <c r="EB25" i="65"/>
  <c r="EA25" i="65"/>
  <c r="DZ25" i="65"/>
  <c r="DY25" i="65"/>
  <c r="DX25" i="65"/>
  <c r="AA25" i="65"/>
  <c r="P25" i="65"/>
  <c r="ER24" i="65"/>
  <c r="EQ24" i="65"/>
  <c r="EP24" i="65"/>
  <c r="EO24" i="65"/>
  <c r="EN24" i="65"/>
  <c r="EM24" i="65"/>
  <c r="EL24" i="65"/>
  <c r="EK24" i="65"/>
  <c r="EJ24" i="65"/>
  <c r="EI24" i="65"/>
  <c r="EH24" i="65"/>
  <c r="EG24" i="65"/>
  <c r="EF24" i="65"/>
  <c r="EE24" i="65"/>
  <c r="ED24" i="65"/>
  <c r="EC24" i="65"/>
  <c r="EB24" i="65"/>
  <c r="EA24" i="65"/>
  <c r="DZ24" i="65"/>
  <c r="DY24" i="65"/>
  <c r="DX24" i="65"/>
  <c r="AA24" i="65"/>
  <c r="P24" i="65"/>
  <c r="ER23" i="65"/>
  <c r="EQ23" i="65"/>
  <c r="EP23" i="65"/>
  <c r="EO23" i="65"/>
  <c r="EN23" i="65"/>
  <c r="EM23" i="65"/>
  <c r="EL23" i="65"/>
  <c r="EK23" i="65"/>
  <c r="EJ23" i="65"/>
  <c r="EI23" i="65"/>
  <c r="EH23" i="65"/>
  <c r="EG23" i="65"/>
  <c r="EF23" i="65"/>
  <c r="EE23" i="65"/>
  <c r="ED23" i="65"/>
  <c r="EC23" i="65"/>
  <c r="EB23" i="65"/>
  <c r="EA23" i="65"/>
  <c r="DZ23" i="65"/>
  <c r="DY23" i="65"/>
  <c r="DX23" i="65"/>
  <c r="AA23" i="65"/>
  <c r="P23" i="65"/>
  <c r="ER22" i="65"/>
  <c r="EQ22" i="65"/>
  <c r="EP22" i="65"/>
  <c r="EO22" i="65"/>
  <c r="EN22" i="65"/>
  <c r="EM22" i="65"/>
  <c r="EL22" i="65"/>
  <c r="EK22" i="65"/>
  <c r="EJ22" i="65"/>
  <c r="EI22" i="65"/>
  <c r="EH22" i="65"/>
  <c r="EG22" i="65"/>
  <c r="EF22" i="65"/>
  <c r="EE22" i="65"/>
  <c r="ED22" i="65"/>
  <c r="EC22" i="65"/>
  <c r="EB22" i="65"/>
  <c r="EA22" i="65"/>
  <c r="DZ22" i="65"/>
  <c r="DY22" i="65"/>
  <c r="DX22" i="65"/>
  <c r="AA22" i="65"/>
  <c r="P22" i="65"/>
  <c r="ER21" i="65"/>
  <c r="EQ21" i="65"/>
  <c r="EP21" i="65"/>
  <c r="EO21" i="65"/>
  <c r="EN21" i="65"/>
  <c r="EM21" i="65"/>
  <c r="EL21" i="65"/>
  <c r="EK21" i="65"/>
  <c r="EJ21" i="65"/>
  <c r="EI21" i="65"/>
  <c r="EH21" i="65"/>
  <c r="EG21" i="65"/>
  <c r="EF21" i="65"/>
  <c r="EE21" i="65"/>
  <c r="ED21" i="65"/>
  <c r="EC21" i="65"/>
  <c r="EB21" i="65"/>
  <c r="EA21" i="65"/>
  <c r="DZ21" i="65"/>
  <c r="DY21" i="65"/>
  <c r="DX21" i="65"/>
  <c r="AA21" i="65"/>
  <c r="P21" i="65"/>
  <c r="DW21" i="65" s="1"/>
  <c r="ER20" i="65"/>
  <c r="EQ20" i="65"/>
  <c r="EP20" i="65"/>
  <c r="EO20" i="65"/>
  <c r="EN20" i="65"/>
  <c r="EM20" i="65"/>
  <c r="EL20" i="65"/>
  <c r="EK20" i="65"/>
  <c r="EJ20" i="65"/>
  <c r="EI20" i="65"/>
  <c r="EH20" i="65"/>
  <c r="EG20" i="65"/>
  <c r="EF20" i="65"/>
  <c r="EE20" i="65"/>
  <c r="ED20" i="65"/>
  <c r="EC20" i="65"/>
  <c r="EB20" i="65"/>
  <c r="EA20" i="65"/>
  <c r="DZ20" i="65"/>
  <c r="DY20" i="65"/>
  <c r="DX20" i="65"/>
  <c r="AA20" i="65"/>
  <c r="P20" i="65"/>
  <c r="ER19" i="65"/>
  <c r="EQ19" i="65"/>
  <c r="EP19" i="65"/>
  <c r="EO19" i="65"/>
  <c r="EN19" i="65"/>
  <c r="EM19" i="65"/>
  <c r="EL19" i="65"/>
  <c r="EK19" i="65"/>
  <c r="EJ19" i="65"/>
  <c r="EI19" i="65"/>
  <c r="EH19" i="65"/>
  <c r="EG19" i="65"/>
  <c r="EF19" i="65"/>
  <c r="EE19" i="65"/>
  <c r="ED19" i="65"/>
  <c r="EC19" i="65"/>
  <c r="EB19" i="65"/>
  <c r="EA19" i="65"/>
  <c r="DZ19" i="65"/>
  <c r="DY19" i="65"/>
  <c r="DX19" i="65"/>
  <c r="AA19" i="65"/>
  <c r="P19" i="65"/>
  <c r="DW19" i="65" s="1"/>
  <c r="ER18" i="65"/>
  <c r="EQ18" i="65"/>
  <c r="EP18" i="65"/>
  <c r="EO18" i="65"/>
  <c r="EN18" i="65"/>
  <c r="EM18" i="65"/>
  <c r="EL18" i="65"/>
  <c r="EK18" i="65"/>
  <c r="EJ18" i="65"/>
  <c r="EI18" i="65"/>
  <c r="EH18" i="65"/>
  <c r="EG18" i="65"/>
  <c r="EF18" i="65"/>
  <c r="EE18" i="65"/>
  <c r="ED18" i="65"/>
  <c r="EC18" i="65"/>
  <c r="EB18" i="65"/>
  <c r="EA18" i="65"/>
  <c r="DZ18" i="65"/>
  <c r="DY18" i="65"/>
  <c r="DX18" i="65"/>
  <c r="AA18" i="65"/>
  <c r="P18" i="65"/>
  <c r="ER17" i="65"/>
  <c r="EQ17" i="65"/>
  <c r="EP17" i="65"/>
  <c r="EO17" i="65"/>
  <c r="EN17" i="65"/>
  <c r="EM17" i="65"/>
  <c r="EL17" i="65"/>
  <c r="EK17" i="65"/>
  <c r="EJ17" i="65"/>
  <c r="EI17" i="65"/>
  <c r="EH17" i="65"/>
  <c r="EG17" i="65"/>
  <c r="EF17" i="65"/>
  <c r="EE17" i="65"/>
  <c r="ED17" i="65"/>
  <c r="EC17" i="65"/>
  <c r="EB17" i="65"/>
  <c r="EA17" i="65"/>
  <c r="DZ17" i="65"/>
  <c r="DY17" i="65"/>
  <c r="DX17" i="65"/>
  <c r="AA17" i="65"/>
  <c r="P17" i="65"/>
  <c r="DW17" i="65" s="1"/>
  <c r="ER16" i="65"/>
  <c r="EQ16" i="65"/>
  <c r="EP16" i="65"/>
  <c r="EO16" i="65"/>
  <c r="EN16" i="65"/>
  <c r="EM16" i="65"/>
  <c r="EL16" i="65"/>
  <c r="EK16" i="65"/>
  <c r="EJ16" i="65"/>
  <c r="EI16" i="65"/>
  <c r="EH16" i="65"/>
  <c r="EG16" i="65"/>
  <c r="EF16" i="65"/>
  <c r="EE16" i="65"/>
  <c r="ED16" i="65"/>
  <c r="EC16" i="65"/>
  <c r="EB16" i="65"/>
  <c r="EA16" i="65"/>
  <c r="DZ16" i="65"/>
  <c r="DY16" i="65"/>
  <c r="DX16" i="65"/>
  <c r="AA16" i="65"/>
  <c r="P16" i="65"/>
  <c r="ER15" i="65"/>
  <c r="EQ15" i="65"/>
  <c r="EP15" i="65"/>
  <c r="EO15" i="65"/>
  <c r="EN15" i="65"/>
  <c r="EM15" i="65"/>
  <c r="EL15" i="65"/>
  <c r="EK15" i="65"/>
  <c r="EJ15" i="65"/>
  <c r="EI15" i="65"/>
  <c r="EH15" i="65"/>
  <c r="EG15" i="65"/>
  <c r="EF15" i="65"/>
  <c r="EE15" i="65"/>
  <c r="ED15" i="65"/>
  <c r="EC15" i="65"/>
  <c r="EB15" i="65"/>
  <c r="EA15" i="65"/>
  <c r="DZ15" i="65"/>
  <c r="DY15" i="65"/>
  <c r="DX15" i="65"/>
  <c r="AA15" i="65"/>
  <c r="P15" i="65"/>
  <c r="DW15" i="65" s="1"/>
  <c r="ER14" i="65"/>
  <c r="EQ14" i="65"/>
  <c r="EP14" i="65"/>
  <c r="EO14" i="65"/>
  <c r="EN14" i="65"/>
  <c r="EM14" i="65"/>
  <c r="EL14" i="65"/>
  <c r="EK14" i="65"/>
  <c r="EJ14" i="65"/>
  <c r="EI14" i="65"/>
  <c r="EH14" i="65"/>
  <c r="EG14" i="65"/>
  <c r="EF14" i="65"/>
  <c r="EE14" i="65"/>
  <c r="ED14" i="65"/>
  <c r="EC14" i="65"/>
  <c r="EB14" i="65"/>
  <c r="EA14" i="65"/>
  <c r="DZ14" i="65"/>
  <c r="DY14" i="65"/>
  <c r="DX14" i="65"/>
  <c r="AA14" i="65"/>
  <c r="DW14" i="65" s="1"/>
  <c r="P14" i="65"/>
  <c r="ER13" i="65"/>
  <c r="EQ13" i="65"/>
  <c r="EP13" i="65"/>
  <c r="EO13" i="65"/>
  <c r="EN13" i="65"/>
  <c r="EM13" i="65"/>
  <c r="EL13" i="65"/>
  <c r="EK13" i="65"/>
  <c r="EJ13" i="65"/>
  <c r="EI13" i="65"/>
  <c r="EH13" i="65"/>
  <c r="EG13" i="65"/>
  <c r="EF13" i="65"/>
  <c r="EE13" i="65"/>
  <c r="ED13" i="65"/>
  <c r="EC13" i="65"/>
  <c r="EB13" i="65"/>
  <c r="EA13" i="65"/>
  <c r="DZ13" i="65"/>
  <c r="DY13" i="65"/>
  <c r="DX13" i="65"/>
  <c r="AA13" i="65"/>
  <c r="AA66" i="65" s="1"/>
  <c r="P13" i="65"/>
  <c r="ER12" i="65"/>
  <c r="EQ12" i="65"/>
  <c r="EP12" i="65"/>
  <c r="EO12" i="65"/>
  <c r="EN12" i="65"/>
  <c r="EM12" i="65"/>
  <c r="EL12" i="65"/>
  <c r="EK12" i="65"/>
  <c r="EJ12" i="65"/>
  <c r="EI12" i="65"/>
  <c r="EH12" i="65"/>
  <c r="EG12" i="65"/>
  <c r="EF12" i="65"/>
  <c r="EE12" i="65"/>
  <c r="ED12" i="65"/>
  <c r="EC12" i="65"/>
  <c r="EB12" i="65"/>
  <c r="EA12" i="65"/>
  <c r="DZ12" i="65"/>
  <c r="DY12" i="65"/>
  <c r="DX12" i="65"/>
  <c r="AA12" i="65"/>
  <c r="DW12" i="65" s="1"/>
  <c r="P12" i="65"/>
  <c r="ER11" i="65"/>
  <c r="EQ11" i="65"/>
  <c r="EP11" i="65"/>
  <c r="EO11" i="65"/>
  <c r="EN11" i="65"/>
  <c r="EM11" i="65"/>
  <c r="EL11" i="65"/>
  <c r="EK11" i="65"/>
  <c r="EJ11" i="65"/>
  <c r="EI11" i="65"/>
  <c r="EH11" i="65"/>
  <c r="EG11" i="65"/>
  <c r="EF11" i="65"/>
  <c r="EE11" i="65"/>
  <c r="ED11" i="65"/>
  <c r="EC11" i="65"/>
  <c r="EB11" i="65"/>
  <c r="EA11" i="65"/>
  <c r="DZ11" i="65"/>
  <c r="DY11" i="65"/>
  <c r="DX11" i="65"/>
  <c r="AA11" i="65"/>
  <c r="P11" i="65"/>
  <c r="DW11" i="65" s="1"/>
  <c r="ER10" i="65"/>
  <c r="EQ10" i="65"/>
  <c r="EP10" i="65"/>
  <c r="EO10" i="65"/>
  <c r="EN10" i="65"/>
  <c r="EM10" i="65"/>
  <c r="EL10" i="65"/>
  <c r="EK10" i="65"/>
  <c r="EJ10" i="65"/>
  <c r="EI10" i="65"/>
  <c r="EH10" i="65"/>
  <c r="EG10" i="65"/>
  <c r="EF10" i="65"/>
  <c r="EE10" i="65"/>
  <c r="ED10" i="65"/>
  <c r="EC10" i="65"/>
  <c r="EB10" i="65"/>
  <c r="EA10" i="65"/>
  <c r="DZ10" i="65"/>
  <c r="DY10" i="65"/>
  <c r="DX10" i="65"/>
  <c r="AA10" i="65"/>
  <c r="P10" i="65"/>
  <c r="P57" i="65" s="1"/>
  <c r="ER9" i="65"/>
  <c r="EQ9" i="65"/>
  <c r="EP9" i="65"/>
  <c r="EO9" i="65"/>
  <c r="EN9" i="65"/>
  <c r="EM9" i="65"/>
  <c r="EL9" i="65"/>
  <c r="EK9" i="65"/>
  <c r="EJ9" i="65"/>
  <c r="EI9" i="65"/>
  <c r="EH9" i="65"/>
  <c r="EG9" i="65"/>
  <c r="EF9" i="65"/>
  <c r="EE9" i="65"/>
  <c r="ED9" i="65"/>
  <c r="EC9" i="65"/>
  <c r="EB9" i="65"/>
  <c r="EA9" i="65"/>
  <c r="DZ9" i="65"/>
  <c r="DY9" i="65"/>
  <c r="DX9" i="65"/>
  <c r="AA9" i="65"/>
  <c r="P9" i="65"/>
  <c r="ER8" i="65"/>
  <c r="EQ8" i="65"/>
  <c r="EP8" i="65"/>
  <c r="EO8" i="65"/>
  <c r="EN8" i="65"/>
  <c r="EM8" i="65"/>
  <c r="EL8" i="65"/>
  <c r="EK8" i="65"/>
  <c r="EJ8" i="65"/>
  <c r="EI8" i="65"/>
  <c r="EH8" i="65"/>
  <c r="EG8" i="65"/>
  <c r="EF8" i="65"/>
  <c r="EE8" i="65"/>
  <c r="ED8" i="65"/>
  <c r="EC8" i="65"/>
  <c r="EB8" i="65"/>
  <c r="EA8" i="65"/>
  <c r="DZ8" i="65"/>
  <c r="DY8" i="65"/>
  <c r="DX8" i="65"/>
  <c r="AA8" i="65"/>
  <c r="AA49" i="65" s="1"/>
  <c r="P8" i="65"/>
  <c r="P50" i="65" s="1"/>
  <c r="ER7" i="65"/>
  <c r="EQ7" i="65"/>
  <c r="EP7" i="65"/>
  <c r="EO7" i="65"/>
  <c r="EN7" i="65"/>
  <c r="EM7" i="65"/>
  <c r="EL7" i="65"/>
  <c r="EK7" i="65"/>
  <c r="EJ7" i="65"/>
  <c r="EI7" i="65"/>
  <c r="EH7" i="65"/>
  <c r="EG7" i="65"/>
  <c r="EF7" i="65"/>
  <c r="EE7" i="65"/>
  <c r="ED7" i="65"/>
  <c r="EC7" i="65"/>
  <c r="EB7" i="65"/>
  <c r="EA7" i="65"/>
  <c r="DZ7" i="65"/>
  <c r="DY7" i="65"/>
  <c r="DX7" i="65"/>
  <c r="AA7" i="65"/>
  <c r="AA46" i="65" s="1"/>
  <c r="P7" i="65"/>
  <c r="P46" i="65" s="1"/>
  <c r="ER6" i="65"/>
  <c r="EQ6" i="65"/>
  <c r="EP6" i="65"/>
  <c r="EO6" i="65"/>
  <c r="EN6" i="65"/>
  <c r="EM6" i="65"/>
  <c r="EL6" i="65"/>
  <c r="EK6" i="65"/>
  <c r="EJ6" i="65"/>
  <c r="EI6" i="65"/>
  <c r="EH6" i="65"/>
  <c r="EG6" i="65"/>
  <c r="EF6" i="65"/>
  <c r="EE6" i="65"/>
  <c r="ED6" i="65"/>
  <c r="EC6" i="65"/>
  <c r="EB6" i="65"/>
  <c r="EA6" i="65"/>
  <c r="DZ6" i="65"/>
  <c r="DY6" i="65"/>
  <c r="DX6" i="65"/>
  <c r="AA6" i="65"/>
  <c r="P6" i="65"/>
  <c r="P43" i="65" s="1"/>
  <c r="ER5" i="65"/>
  <c r="EQ5" i="65"/>
  <c r="EP5" i="65"/>
  <c r="EO5" i="65"/>
  <c r="EN5" i="65"/>
  <c r="EM5" i="65"/>
  <c r="EL5" i="65"/>
  <c r="EK5" i="65"/>
  <c r="EJ5" i="65"/>
  <c r="EI5" i="65"/>
  <c r="EH5" i="65"/>
  <c r="EG5" i="65"/>
  <c r="EF5" i="65"/>
  <c r="EE5" i="65"/>
  <c r="ED5" i="65"/>
  <c r="EC5" i="65"/>
  <c r="EB5" i="65"/>
  <c r="EA5" i="65"/>
  <c r="DZ5" i="65"/>
  <c r="DY5" i="65"/>
  <c r="DX5" i="65"/>
  <c r="AA5" i="65"/>
  <c r="AA40" i="65" s="1"/>
  <c r="P5" i="65"/>
  <c r="P41" i="65" s="1"/>
  <c r="N75" i="51" l="1"/>
  <c r="J59" i="10"/>
  <c r="H59" i="10"/>
  <c r="G44" i="10"/>
  <c r="H44" i="10" s="1"/>
  <c r="I44" i="10" s="1"/>
  <c r="J44" i="10" s="1"/>
  <c r="K44" i="10" s="1"/>
  <c r="L44" i="10" s="1"/>
  <c r="M44" i="10" s="1"/>
  <c r="M74" i="51"/>
  <c r="L153" i="37"/>
  <c r="L42" i="37"/>
  <c r="L187" i="37"/>
  <c r="L75" i="37"/>
  <c r="L185" i="37"/>
  <c r="L106" i="37"/>
  <c r="L43" i="37"/>
  <c r="L169" i="37"/>
  <c r="L139" i="37"/>
  <c r="L137" i="37"/>
  <c r="L123" i="37"/>
  <c r="L58" i="37"/>
  <c r="L186" i="37"/>
  <c r="L105" i="37"/>
  <c r="L91" i="37"/>
  <c r="L171" i="37"/>
  <c r="L90" i="37"/>
  <c r="L170" i="37"/>
  <c r="L89" i="37"/>
  <c r="L155" i="37"/>
  <c r="L74" i="37"/>
  <c r="L154" i="37"/>
  <c r="L73" i="37"/>
  <c r="L59" i="37"/>
  <c r="L138" i="37"/>
  <c r="L57" i="37"/>
  <c r="L203" i="37"/>
  <c r="L122" i="37"/>
  <c r="L41" i="37"/>
  <c r="L202" i="37"/>
  <c r="L11" i="37"/>
  <c r="L201" i="37"/>
  <c r="L107" i="37"/>
  <c r="L10" i="37"/>
  <c r="L27" i="37"/>
  <c r="L26" i="37"/>
  <c r="L25" i="37"/>
  <c r="L9" i="37"/>
  <c r="J138" i="41"/>
  <c r="L200" i="37"/>
  <c r="L184" i="37"/>
  <c r="L168" i="37"/>
  <c r="L152" i="37"/>
  <c r="L136" i="37"/>
  <c r="L104" i="37"/>
  <c r="L88" i="37"/>
  <c r="L72" i="37"/>
  <c r="L56" i="37"/>
  <c r="L40" i="37"/>
  <c r="L24" i="37"/>
  <c r="L8" i="37"/>
  <c r="L199" i="37"/>
  <c r="L183" i="37"/>
  <c r="L167" i="37"/>
  <c r="L151" i="37"/>
  <c r="L135" i="37"/>
  <c r="L103" i="37"/>
  <c r="L87" i="37"/>
  <c r="L71" i="37"/>
  <c r="L55" i="37"/>
  <c r="L39" i="37"/>
  <c r="L23" i="37"/>
  <c r="L7" i="37"/>
  <c r="L198" i="37"/>
  <c r="L182" i="37"/>
  <c r="L166" i="37"/>
  <c r="L150" i="37"/>
  <c r="L134" i="37"/>
  <c r="L102" i="37"/>
  <c r="L86" i="37"/>
  <c r="L70" i="37"/>
  <c r="L54" i="37"/>
  <c r="L38" i="37"/>
  <c r="L22" i="37"/>
  <c r="L6" i="37"/>
  <c r="L197" i="37"/>
  <c r="L181" i="37"/>
  <c r="L165" i="37"/>
  <c r="L149" i="37"/>
  <c r="L133" i="37"/>
  <c r="L101" i="37"/>
  <c r="L85" i="37"/>
  <c r="L69" i="37"/>
  <c r="L53" i="37"/>
  <c r="L37" i="37"/>
  <c r="L21" i="37"/>
  <c r="L5" i="37"/>
  <c r="L196" i="37"/>
  <c r="L180" i="37"/>
  <c r="L164" i="37"/>
  <c r="L148" i="37"/>
  <c r="L132" i="37"/>
  <c r="L100" i="37"/>
  <c r="L84" i="37"/>
  <c r="L68" i="37"/>
  <c r="L52" i="37"/>
  <c r="L36" i="37"/>
  <c r="L20" i="37"/>
  <c r="L4" i="37"/>
  <c r="L195" i="37"/>
  <c r="L179" i="37"/>
  <c r="L163" i="37"/>
  <c r="L147" i="37"/>
  <c r="L131" i="37"/>
  <c r="L99" i="37"/>
  <c r="L83" i="37"/>
  <c r="L67" i="37"/>
  <c r="L51" i="37"/>
  <c r="L35" i="37"/>
  <c r="L19" i="37"/>
  <c r="L3" i="37"/>
  <c r="L194" i="37"/>
  <c r="L178" i="37"/>
  <c r="L162" i="37"/>
  <c r="L146" i="37"/>
  <c r="L130" i="37"/>
  <c r="L98" i="37"/>
  <c r="L82" i="37"/>
  <c r="L66" i="37"/>
  <c r="L50" i="37"/>
  <c r="L34" i="37"/>
  <c r="L18" i="37"/>
  <c r="L2" i="37"/>
  <c r="L193" i="37"/>
  <c r="L177" i="37"/>
  <c r="L161" i="37"/>
  <c r="L145" i="37"/>
  <c r="L129" i="37"/>
  <c r="L97" i="37"/>
  <c r="L81" i="37"/>
  <c r="L65" i="37"/>
  <c r="L49" i="37"/>
  <c r="L33" i="37"/>
  <c r="L17" i="37"/>
  <c r="L192" i="37"/>
  <c r="L176" i="37"/>
  <c r="L160" i="37"/>
  <c r="L144" i="37"/>
  <c r="L128" i="37"/>
  <c r="L96" i="37"/>
  <c r="L80" i="37"/>
  <c r="L64" i="37"/>
  <c r="L48" i="37"/>
  <c r="L32" i="37"/>
  <c r="L16" i="37"/>
  <c r="L191" i="37"/>
  <c r="L175" i="37"/>
  <c r="L159" i="37"/>
  <c r="L143" i="37"/>
  <c r="L127" i="37"/>
  <c r="L95" i="37"/>
  <c r="L79" i="37"/>
  <c r="L63" i="37"/>
  <c r="L47" i="37"/>
  <c r="L31" i="37"/>
  <c r="L15" i="37"/>
  <c r="L190" i="37"/>
  <c r="L174" i="37"/>
  <c r="L158" i="37"/>
  <c r="L142" i="37"/>
  <c r="L126" i="37"/>
  <c r="L94" i="37"/>
  <c r="L78" i="37"/>
  <c r="L62" i="37"/>
  <c r="L46" i="37"/>
  <c r="L30" i="37"/>
  <c r="L14" i="37"/>
  <c r="L205" i="37"/>
  <c r="L189" i="37"/>
  <c r="L173" i="37"/>
  <c r="L157" i="37"/>
  <c r="L141" i="37"/>
  <c r="L125" i="37"/>
  <c r="L109" i="37"/>
  <c r="L93" i="37"/>
  <c r="L77" i="37"/>
  <c r="L61" i="37"/>
  <c r="L45" i="37"/>
  <c r="L29" i="37"/>
  <c r="L13" i="37"/>
  <c r="L204" i="37"/>
  <c r="L188" i="37"/>
  <c r="L172" i="37"/>
  <c r="L156" i="37"/>
  <c r="L140" i="37"/>
  <c r="L124" i="37"/>
  <c r="L108" i="37"/>
  <c r="L92" i="37"/>
  <c r="L76" i="37"/>
  <c r="L60" i="37"/>
  <c r="L44" i="37"/>
  <c r="L28" i="37"/>
  <c r="L12" i="37"/>
  <c r="L57" i="10"/>
  <c r="K57" i="10"/>
  <c r="I57" i="10"/>
  <c r="I60" i="10" s="1"/>
  <c r="G57" i="10"/>
  <c r="G60" i="10" s="1"/>
  <c r="F71" i="10"/>
  <c r="F39" i="10"/>
  <c r="F47" i="10"/>
  <c r="G47" i="10" s="1"/>
  <c r="F52" i="10"/>
  <c r="G52" i="10" s="1"/>
  <c r="H52" i="10" s="1"/>
  <c r="F15" i="10"/>
  <c r="F20" i="10"/>
  <c r="EB47" i="65"/>
  <c r="DY48" i="65"/>
  <c r="EB49" i="65"/>
  <c r="EG50" i="65"/>
  <c r="EF51" i="65"/>
  <c r="ED67" i="65"/>
  <c r="EF74" i="65"/>
  <c r="ED77" i="65"/>
  <c r="DZ80" i="65"/>
  <c r="EE81" i="65"/>
  <c r="P49" i="65"/>
  <c r="EA58" i="65"/>
  <c r="EC75" i="65"/>
  <c r="EF81" i="65"/>
  <c r="DY43" i="65"/>
  <c r="EB44" i="65"/>
  <c r="DX46" i="65"/>
  <c r="DZ57" i="65"/>
  <c r="EA66" i="65"/>
  <c r="EF67" i="65"/>
  <c r="EE70" i="65"/>
  <c r="DX79" i="65"/>
  <c r="EG81" i="65"/>
  <c r="EA83" i="65"/>
  <c r="EE47" i="65"/>
  <c r="EB66" i="65"/>
  <c r="EG67" i="65"/>
  <c r="EC76" i="65"/>
  <c r="EG77" i="65"/>
  <c r="DY79" i="65"/>
  <c r="EC80" i="65"/>
  <c r="EB83" i="65"/>
  <c r="EE90" i="65"/>
  <c r="DY93" i="65"/>
  <c r="DX44" i="65"/>
  <c r="DX66" i="65"/>
  <c r="P42" i="65"/>
  <c r="EO42" i="65"/>
  <c r="EC44" i="65"/>
  <c r="EF52" i="65"/>
  <c r="EA57" i="65"/>
  <c r="DW6" i="65"/>
  <c r="DW13" i="65"/>
  <c r="DW29" i="65"/>
  <c r="EE40" i="65"/>
  <c r="O140" i="65"/>
  <c r="EN41" i="65"/>
  <c r="DX42" i="65"/>
  <c r="EA43" i="65"/>
  <c r="EF47" i="65"/>
  <c r="EG52" i="65"/>
  <c r="DY56" i="65"/>
  <c r="EB57" i="65"/>
  <c r="DY61" i="65"/>
  <c r="DZ65" i="65"/>
  <c r="EC66" i="65"/>
  <c r="EG70" i="65"/>
  <c r="EF73" i="65"/>
  <c r="DZ79" i="65"/>
  <c r="ED80" i="65"/>
  <c r="EE85" i="65"/>
  <c r="DZ93" i="65"/>
  <c r="ED94" i="65"/>
  <c r="F33" i="51"/>
  <c r="DX41" i="65"/>
  <c r="EC49" i="65"/>
  <c r="DY46" i="65"/>
  <c r="EE54" i="65"/>
  <c r="EJ40" i="65"/>
  <c r="EO41" i="65"/>
  <c r="EB43" i="65"/>
  <c r="EE44" i="65"/>
  <c r="EA46" i="65"/>
  <c r="EG47" i="65"/>
  <c r="DX48" i="65"/>
  <c r="EG54" i="65"/>
  <c r="DZ56" i="65"/>
  <c r="EG69" i="65"/>
  <c r="EF69" i="65"/>
  <c r="DX70" i="65"/>
  <c r="EG73" i="65"/>
  <c r="EA79" i="65"/>
  <c r="EE80" i="65"/>
  <c r="DX88" i="65"/>
  <c r="DX92" i="65"/>
  <c r="DX55" i="65"/>
  <c r="EG61" i="65"/>
  <c r="EB74" i="65"/>
  <c r="DY41" i="65"/>
  <c r="EN40" i="65"/>
  <c r="EA42" i="65"/>
  <c r="DY55" i="65"/>
  <c r="ED68" i="65"/>
  <c r="DX71" i="65"/>
  <c r="EG76" i="65"/>
  <c r="DX78" i="65"/>
  <c r="EC79" i="65"/>
  <c r="EC93" i="65"/>
  <c r="EG94" i="65"/>
  <c r="DZ48" i="65"/>
  <c r="DX47" i="65"/>
  <c r="P40" i="65"/>
  <c r="P139" i="65" s="1"/>
  <c r="DW139" i="65" s="1"/>
  <c r="ED43" i="65"/>
  <c r="DW9" i="65"/>
  <c r="DW25" i="65"/>
  <c r="DX139" i="65"/>
  <c r="EO40" i="65"/>
  <c r="AK140" i="65"/>
  <c r="BA140" i="65"/>
  <c r="BQ140" i="65"/>
  <c r="CG140" i="65"/>
  <c r="CW140" i="65"/>
  <c r="DM140" i="65"/>
  <c r="EE43" i="65"/>
  <c r="P45" i="65"/>
  <c r="ED46" i="65"/>
  <c r="EA48" i="65"/>
  <c r="ED49" i="65"/>
  <c r="DZ54" i="65"/>
  <c r="DZ55" i="65"/>
  <c r="EG62" i="65"/>
  <c r="ED65" i="65"/>
  <c r="DZ68" i="65"/>
  <c r="DY78" i="65"/>
  <c r="DX91" i="65"/>
  <c r="ED51" i="65"/>
  <c r="DW10" i="65"/>
  <c r="EB46" i="65"/>
  <c r="DX45" i="65"/>
  <c r="EF60" i="65"/>
  <c r="DZ64" i="65"/>
  <c r="EA73" i="65"/>
  <c r="EE75" i="65"/>
  <c r="DZ78" i="65"/>
  <c r="EF78" i="65"/>
  <c r="EC82" i="65"/>
  <c r="DY91" i="65"/>
  <c r="EB92" i="65"/>
  <c r="DZ42" i="65"/>
  <c r="DW23" i="65"/>
  <c r="E140" i="65"/>
  <c r="EC41" i="65"/>
  <c r="AM140" i="65"/>
  <c r="EI140" i="65" s="1"/>
  <c r="BC140" i="65"/>
  <c r="BS140" i="65"/>
  <c r="CI140" i="65"/>
  <c r="CY140" i="65"/>
  <c r="CY141" i="65" s="1"/>
  <c r="CY142" i="65" s="1"/>
  <c r="CY143" i="65" s="1"/>
  <c r="CY144" i="65" s="1"/>
  <c r="CY145" i="65" s="1"/>
  <c r="CY146" i="65" s="1"/>
  <c r="CY147" i="65" s="1"/>
  <c r="CY148" i="65" s="1"/>
  <c r="CY149" i="65" s="1"/>
  <c r="CY150" i="65" s="1"/>
  <c r="CY151" i="65" s="1"/>
  <c r="CY152" i="65" s="1"/>
  <c r="CY153" i="65" s="1"/>
  <c r="CY154" i="65" s="1"/>
  <c r="CY155" i="65" s="1"/>
  <c r="CY156" i="65" s="1"/>
  <c r="CY157" i="65" s="1"/>
  <c r="CY158" i="65" s="1"/>
  <c r="CY159" i="65" s="1"/>
  <c r="CY160" i="65" s="1"/>
  <c r="CY161" i="65" s="1"/>
  <c r="CY162" i="65" s="1"/>
  <c r="CY163" i="65" s="1"/>
  <c r="CY164" i="65" s="1"/>
  <c r="CY165" i="65" s="1"/>
  <c r="CY166" i="65" s="1"/>
  <c r="CY167" i="65" s="1"/>
  <c r="CY168" i="65" s="1"/>
  <c r="CY169" i="65" s="1"/>
  <c r="CY170" i="65" s="1"/>
  <c r="CY171" i="65" s="1"/>
  <c r="CY172" i="65" s="1"/>
  <c r="CY173" i="65" s="1"/>
  <c r="CY174" i="65" s="1"/>
  <c r="CY175" i="65" s="1"/>
  <c r="CY176" i="65" s="1"/>
  <c r="CY177" i="65" s="1"/>
  <c r="CY178" i="65" s="1"/>
  <c r="CY179" i="65" s="1"/>
  <c r="CY180" i="65" s="1"/>
  <c r="CY181" i="65" s="1"/>
  <c r="CY182" i="65" s="1"/>
  <c r="CY183" i="65" s="1"/>
  <c r="CY184" i="65" s="1"/>
  <c r="CY185" i="65" s="1"/>
  <c r="CY186" i="65" s="1"/>
  <c r="CY187" i="65" s="1"/>
  <c r="CY188" i="65" s="1"/>
  <c r="CY189" i="65" s="1"/>
  <c r="CY190" i="65" s="1"/>
  <c r="CY191" i="65" s="1"/>
  <c r="CY192" i="65" s="1"/>
  <c r="CY193" i="65" s="1"/>
  <c r="CY194" i="65" s="1"/>
  <c r="CY195" i="65" s="1"/>
  <c r="CY196" i="65" s="1"/>
  <c r="CY197" i="65" s="1"/>
  <c r="CY198" i="65" s="1"/>
  <c r="CY199" i="65" s="1"/>
  <c r="CY200" i="65" s="1"/>
  <c r="CY201" i="65" s="1"/>
  <c r="CY202" i="65" s="1"/>
  <c r="CY203" i="65" s="1"/>
  <c r="CY204" i="65" s="1"/>
  <c r="CY205" i="65" s="1"/>
  <c r="CY206" i="65" s="1"/>
  <c r="CY207" i="65" s="1"/>
  <c r="CY208" i="65" s="1"/>
  <c r="CY209" i="65" s="1"/>
  <c r="CY210" i="65" s="1"/>
  <c r="CY211" i="65" s="1"/>
  <c r="CY212" i="65" s="1"/>
  <c r="CY213" i="65" s="1"/>
  <c r="CY214" i="65" s="1"/>
  <c r="CY215" i="65" s="1"/>
  <c r="CY216" i="65" s="1"/>
  <c r="CY217" i="65" s="1"/>
  <c r="CY218" i="65" s="1"/>
  <c r="CY219" i="65" s="1"/>
  <c r="CY220" i="65" s="1"/>
  <c r="CY221" i="65" s="1"/>
  <c r="CY222" i="65" s="1"/>
  <c r="CY223" i="65" s="1"/>
  <c r="CY224" i="65" s="1"/>
  <c r="CY225" i="65" s="1"/>
  <c r="CY226" i="65" s="1"/>
  <c r="CY227" i="65" s="1"/>
  <c r="CY228" i="65" s="1"/>
  <c r="CY229" i="65" s="1"/>
  <c r="CY230" i="65" s="1"/>
  <c r="CY231" i="65" s="1"/>
  <c r="CY232" i="65" s="1"/>
  <c r="CY233" i="65" s="1"/>
  <c r="CY234" i="65" s="1"/>
  <c r="DO140" i="65"/>
  <c r="DO141" i="65" s="1"/>
  <c r="DO142" i="65" s="1"/>
  <c r="DO143" i="65" s="1"/>
  <c r="DO144" i="65" s="1"/>
  <c r="DO145" i="65" s="1"/>
  <c r="DO146" i="65" s="1"/>
  <c r="DO147" i="65" s="1"/>
  <c r="DO148" i="65" s="1"/>
  <c r="DO149" i="65" s="1"/>
  <c r="DO150" i="65" s="1"/>
  <c r="DO151" i="65" s="1"/>
  <c r="DO152" i="65" s="1"/>
  <c r="DO153" i="65" s="1"/>
  <c r="DO154" i="65" s="1"/>
  <c r="DO155" i="65" s="1"/>
  <c r="DO156" i="65" s="1"/>
  <c r="DO157" i="65" s="1"/>
  <c r="DO158" i="65" s="1"/>
  <c r="DO159" i="65" s="1"/>
  <c r="DO160" i="65" s="1"/>
  <c r="DO161" i="65" s="1"/>
  <c r="DO162" i="65" s="1"/>
  <c r="DO163" i="65" s="1"/>
  <c r="DO164" i="65" s="1"/>
  <c r="DO165" i="65" s="1"/>
  <c r="DO166" i="65" s="1"/>
  <c r="DO167" i="65" s="1"/>
  <c r="DO168" i="65" s="1"/>
  <c r="DO169" i="65" s="1"/>
  <c r="DO170" i="65" s="1"/>
  <c r="DO171" i="65" s="1"/>
  <c r="DO172" i="65" s="1"/>
  <c r="DO173" i="65" s="1"/>
  <c r="DO174" i="65" s="1"/>
  <c r="DO175" i="65" s="1"/>
  <c r="DO176" i="65" s="1"/>
  <c r="DO177" i="65" s="1"/>
  <c r="DO178" i="65" s="1"/>
  <c r="DO179" i="65" s="1"/>
  <c r="DO180" i="65" s="1"/>
  <c r="DO181" i="65" s="1"/>
  <c r="DO182" i="65" s="1"/>
  <c r="DO183" i="65" s="1"/>
  <c r="DO184" i="65" s="1"/>
  <c r="DO185" i="65" s="1"/>
  <c r="DO186" i="65" s="1"/>
  <c r="DO187" i="65" s="1"/>
  <c r="DO188" i="65" s="1"/>
  <c r="DO189" i="65" s="1"/>
  <c r="DO190" i="65" s="1"/>
  <c r="DO191" i="65" s="1"/>
  <c r="DO192" i="65" s="1"/>
  <c r="DO193" i="65" s="1"/>
  <c r="DO194" i="65" s="1"/>
  <c r="DO195" i="65" s="1"/>
  <c r="DO196" i="65" s="1"/>
  <c r="DO197" i="65" s="1"/>
  <c r="DO198" i="65" s="1"/>
  <c r="DO199" i="65" s="1"/>
  <c r="DO200" i="65" s="1"/>
  <c r="DO201" i="65" s="1"/>
  <c r="DO202" i="65" s="1"/>
  <c r="DO203" i="65" s="1"/>
  <c r="DO204" i="65" s="1"/>
  <c r="DO205" i="65" s="1"/>
  <c r="DO206" i="65" s="1"/>
  <c r="DO207" i="65" s="1"/>
  <c r="DO208" i="65" s="1"/>
  <c r="DO209" i="65" s="1"/>
  <c r="DO210" i="65" s="1"/>
  <c r="DO211" i="65" s="1"/>
  <c r="DO212" i="65" s="1"/>
  <c r="DO213" i="65" s="1"/>
  <c r="DO214" i="65" s="1"/>
  <c r="DO215" i="65" s="1"/>
  <c r="DO216" i="65" s="1"/>
  <c r="DO217" i="65" s="1"/>
  <c r="DO218" i="65" s="1"/>
  <c r="DO219" i="65" s="1"/>
  <c r="DO220" i="65" s="1"/>
  <c r="DO221" i="65" s="1"/>
  <c r="DO222" i="65" s="1"/>
  <c r="DO223" i="65" s="1"/>
  <c r="DO224" i="65" s="1"/>
  <c r="DO225" i="65" s="1"/>
  <c r="DO226" i="65" s="1"/>
  <c r="DO227" i="65" s="1"/>
  <c r="DO228" i="65" s="1"/>
  <c r="DO229" i="65" s="1"/>
  <c r="DO230" i="65" s="1"/>
  <c r="DO231" i="65" s="1"/>
  <c r="DO232" i="65" s="1"/>
  <c r="DO233" i="65" s="1"/>
  <c r="DO234" i="65" s="1"/>
  <c r="ED42" i="65"/>
  <c r="DY45" i="65"/>
  <c r="EC48" i="65"/>
  <c r="EF49" i="65"/>
  <c r="EA64" i="65"/>
  <c r="EB68" i="65"/>
  <c r="EG72" i="65"/>
  <c r="EF75" i="65"/>
  <c r="DX77" i="65"/>
  <c r="I11" i="51" s="1"/>
  <c r="DY81" i="65"/>
  <c r="ED84" i="65"/>
  <c r="DZ91" i="65"/>
  <c r="EM40" i="65"/>
  <c r="U140" i="65"/>
  <c r="EE46" i="65"/>
  <c r="W140" i="65"/>
  <c r="W141" i="65" s="1"/>
  <c r="DZ45" i="65"/>
  <c r="EG46" i="65"/>
  <c r="ED48" i="65"/>
  <c r="EF56" i="65"/>
  <c r="EB64" i="65"/>
  <c r="EG75" i="65"/>
  <c r="DY77" i="65"/>
  <c r="EE77" i="65"/>
  <c r="EG79" i="65"/>
  <c r="DY84" i="65"/>
  <c r="EA91" i="65"/>
  <c r="EF96" i="65"/>
  <c r="G140" i="65"/>
  <c r="AO140" i="65"/>
  <c r="EK140" i="65" s="1"/>
  <c r="BE140" i="65"/>
  <c r="BE141" i="65" s="1"/>
  <c r="BE142" i="65" s="1"/>
  <c r="BE143" i="65" s="1"/>
  <c r="BE144" i="65" s="1"/>
  <c r="BE145" i="65" s="1"/>
  <c r="BE146" i="65" s="1"/>
  <c r="BE147" i="65" s="1"/>
  <c r="BE148" i="65" s="1"/>
  <c r="BE149" i="65" s="1"/>
  <c r="BE150" i="65" s="1"/>
  <c r="BE151" i="65" s="1"/>
  <c r="BE152" i="65" s="1"/>
  <c r="BE153" i="65" s="1"/>
  <c r="BE154" i="65" s="1"/>
  <c r="BE155" i="65" s="1"/>
  <c r="BE156" i="65" s="1"/>
  <c r="BE157" i="65" s="1"/>
  <c r="BE158" i="65" s="1"/>
  <c r="BE159" i="65" s="1"/>
  <c r="BE160" i="65" s="1"/>
  <c r="BE161" i="65" s="1"/>
  <c r="BE162" i="65" s="1"/>
  <c r="BE163" i="65" s="1"/>
  <c r="BE164" i="65" s="1"/>
  <c r="BE165" i="65" s="1"/>
  <c r="BE166" i="65" s="1"/>
  <c r="BE167" i="65" s="1"/>
  <c r="BE168" i="65" s="1"/>
  <c r="BE169" i="65" s="1"/>
  <c r="BE170" i="65" s="1"/>
  <c r="BE171" i="65" s="1"/>
  <c r="BE172" i="65" s="1"/>
  <c r="BE173" i="65" s="1"/>
  <c r="BE174" i="65" s="1"/>
  <c r="BE175" i="65" s="1"/>
  <c r="BE176" i="65" s="1"/>
  <c r="BE177" i="65" s="1"/>
  <c r="BE178" i="65" s="1"/>
  <c r="BE179" i="65" s="1"/>
  <c r="BE180" i="65" s="1"/>
  <c r="BE181" i="65" s="1"/>
  <c r="BE182" i="65" s="1"/>
  <c r="BE183" i="65" s="1"/>
  <c r="BE184" i="65" s="1"/>
  <c r="BE185" i="65" s="1"/>
  <c r="BE186" i="65" s="1"/>
  <c r="BE187" i="65" s="1"/>
  <c r="BE188" i="65" s="1"/>
  <c r="BE189" i="65" s="1"/>
  <c r="BE190" i="65" s="1"/>
  <c r="BE191" i="65" s="1"/>
  <c r="BE192" i="65" s="1"/>
  <c r="BE193" i="65" s="1"/>
  <c r="BE194" i="65" s="1"/>
  <c r="BE195" i="65" s="1"/>
  <c r="BE196" i="65" s="1"/>
  <c r="BE197" i="65" s="1"/>
  <c r="BE198" i="65" s="1"/>
  <c r="BE199" i="65" s="1"/>
  <c r="BE200" i="65" s="1"/>
  <c r="BE201" i="65" s="1"/>
  <c r="BE202" i="65" s="1"/>
  <c r="BE203" i="65" s="1"/>
  <c r="BE204" i="65" s="1"/>
  <c r="BE205" i="65" s="1"/>
  <c r="BE206" i="65" s="1"/>
  <c r="BE207" i="65" s="1"/>
  <c r="BE208" i="65" s="1"/>
  <c r="BE209" i="65" s="1"/>
  <c r="BE210" i="65" s="1"/>
  <c r="BE211" i="65" s="1"/>
  <c r="BE212" i="65" s="1"/>
  <c r="BE213" i="65" s="1"/>
  <c r="BE214" i="65" s="1"/>
  <c r="BE215" i="65" s="1"/>
  <c r="BE216" i="65" s="1"/>
  <c r="BE217" i="65" s="1"/>
  <c r="BE218" i="65" s="1"/>
  <c r="BE219" i="65" s="1"/>
  <c r="BE220" i="65" s="1"/>
  <c r="BE221" i="65" s="1"/>
  <c r="BE222" i="65" s="1"/>
  <c r="BE223" i="65" s="1"/>
  <c r="BE224" i="65" s="1"/>
  <c r="BE225" i="65" s="1"/>
  <c r="BE226" i="65" s="1"/>
  <c r="BE227" i="65" s="1"/>
  <c r="BE228" i="65" s="1"/>
  <c r="BE229" i="65" s="1"/>
  <c r="BE230" i="65" s="1"/>
  <c r="BE231" i="65" s="1"/>
  <c r="BE232" i="65" s="1"/>
  <c r="BE233" i="65" s="1"/>
  <c r="BE234" i="65" s="1"/>
  <c r="BU140" i="65"/>
  <c r="BU141" i="65" s="1"/>
  <c r="BU142" i="65" s="1"/>
  <c r="BU143" i="65" s="1"/>
  <c r="BU144" i="65" s="1"/>
  <c r="BU145" i="65" s="1"/>
  <c r="BU146" i="65" s="1"/>
  <c r="BU147" i="65" s="1"/>
  <c r="BU148" i="65" s="1"/>
  <c r="BU149" i="65" s="1"/>
  <c r="BU150" i="65" s="1"/>
  <c r="BU151" i="65" s="1"/>
  <c r="BU152" i="65" s="1"/>
  <c r="BU153" i="65" s="1"/>
  <c r="BU154" i="65" s="1"/>
  <c r="BU155" i="65" s="1"/>
  <c r="BU156" i="65" s="1"/>
  <c r="BU157" i="65" s="1"/>
  <c r="BU158" i="65" s="1"/>
  <c r="BU159" i="65" s="1"/>
  <c r="BU160" i="65" s="1"/>
  <c r="BU161" i="65" s="1"/>
  <c r="BU162" i="65" s="1"/>
  <c r="BU163" i="65" s="1"/>
  <c r="BU164" i="65" s="1"/>
  <c r="BU165" i="65" s="1"/>
  <c r="BU166" i="65" s="1"/>
  <c r="BU167" i="65" s="1"/>
  <c r="BU168" i="65" s="1"/>
  <c r="BU169" i="65" s="1"/>
  <c r="BU170" i="65" s="1"/>
  <c r="BU171" i="65" s="1"/>
  <c r="BU172" i="65" s="1"/>
  <c r="BU173" i="65" s="1"/>
  <c r="BU174" i="65" s="1"/>
  <c r="BU175" i="65" s="1"/>
  <c r="BU176" i="65" s="1"/>
  <c r="BU177" i="65" s="1"/>
  <c r="BU178" i="65" s="1"/>
  <c r="BU179" i="65" s="1"/>
  <c r="BU180" i="65" s="1"/>
  <c r="BU181" i="65" s="1"/>
  <c r="BU182" i="65" s="1"/>
  <c r="BU183" i="65" s="1"/>
  <c r="BU184" i="65" s="1"/>
  <c r="BU185" i="65" s="1"/>
  <c r="BU186" i="65" s="1"/>
  <c r="BU187" i="65" s="1"/>
  <c r="BU188" i="65" s="1"/>
  <c r="BU189" i="65" s="1"/>
  <c r="BU190" i="65" s="1"/>
  <c r="BU191" i="65" s="1"/>
  <c r="BU192" i="65" s="1"/>
  <c r="BU193" i="65" s="1"/>
  <c r="BU194" i="65" s="1"/>
  <c r="BU195" i="65" s="1"/>
  <c r="BU196" i="65" s="1"/>
  <c r="BU197" i="65" s="1"/>
  <c r="BU198" i="65" s="1"/>
  <c r="BU199" i="65" s="1"/>
  <c r="BU200" i="65" s="1"/>
  <c r="BU201" i="65" s="1"/>
  <c r="BU202" i="65" s="1"/>
  <c r="BU203" i="65" s="1"/>
  <c r="BU204" i="65" s="1"/>
  <c r="BU205" i="65" s="1"/>
  <c r="BU206" i="65" s="1"/>
  <c r="BU207" i="65" s="1"/>
  <c r="BU208" i="65" s="1"/>
  <c r="BU209" i="65" s="1"/>
  <c r="BU210" i="65" s="1"/>
  <c r="BU211" i="65" s="1"/>
  <c r="BU212" i="65" s="1"/>
  <c r="BU213" i="65" s="1"/>
  <c r="BU214" i="65" s="1"/>
  <c r="BU215" i="65" s="1"/>
  <c r="BU216" i="65" s="1"/>
  <c r="BU217" i="65" s="1"/>
  <c r="BU218" i="65" s="1"/>
  <c r="BU219" i="65" s="1"/>
  <c r="BU220" i="65" s="1"/>
  <c r="BU221" i="65" s="1"/>
  <c r="BU222" i="65" s="1"/>
  <c r="BU223" i="65" s="1"/>
  <c r="BU224" i="65" s="1"/>
  <c r="BU225" i="65" s="1"/>
  <c r="BU226" i="65" s="1"/>
  <c r="BU227" i="65" s="1"/>
  <c r="BU228" i="65" s="1"/>
  <c r="BU229" i="65" s="1"/>
  <c r="BU230" i="65" s="1"/>
  <c r="BU231" i="65" s="1"/>
  <c r="BU232" i="65" s="1"/>
  <c r="BU233" i="65" s="1"/>
  <c r="BU234" i="65" s="1"/>
  <c r="CK140" i="65"/>
  <c r="CK141" i="65" s="1"/>
  <c r="CK142" i="65" s="1"/>
  <c r="CK143" i="65" s="1"/>
  <c r="CK144" i="65" s="1"/>
  <c r="CK145" i="65" s="1"/>
  <c r="CK146" i="65" s="1"/>
  <c r="CK147" i="65" s="1"/>
  <c r="CK148" i="65" s="1"/>
  <c r="CK149" i="65" s="1"/>
  <c r="CK150" i="65" s="1"/>
  <c r="CK151" i="65" s="1"/>
  <c r="CK152" i="65" s="1"/>
  <c r="CK153" i="65" s="1"/>
  <c r="CK154" i="65" s="1"/>
  <c r="CK155" i="65" s="1"/>
  <c r="CK156" i="65" s="1"/>
  <c r="CK157" i="65" s="1"/>
  <c r="CK158" i="65" s="1"/>
  <c r="CK159" i="65" s="1"/>
  <c r="CK160" i="65" s="1"/>
  <c r="CK161" i="65" s="1"/>
  <c r="CK162" i="65" s="1"/>
  <c r="CK163" i="65" s="1"/>
  <c r="CK164" i="65" s="1"/>
  <c r="CK165" i="65" s="1"/>
  <c r="CK166" i="65" s="1"/>
  <c r="CK167" i="65" s="1"/>
  <c r="CK168" i="65" s="1"/>
  <c r="CK169" i="65" s="1"/>
  <c r="CK170" i="65" s="1"/>
  <c r="CK171" i="65" s="1"/>
  <c r="CK172" i="65" s="1"/>
  <c r="CK173" i="65" s="1"/>
  <c r="CK174" i="65" s="1"/>
  <c r="CK175" i="65" s="1"/>
  <c r="CK176" i="65" s="1"/>
  <c r="CK177" i="65" s="1"/>
  <c r="CK178" i="65" s="1"/>
  <c r="CK179" i="65" s="1"/>
  <c r="CK180" i="65" s="1"/>
  <c r="CK181" i="65" s="1"/>
  <c r="CK182" i="65" s="1"/>
  <c r="CK183" i="65" s="1"/>
  <c r="CK184" i="65" s="1"/>
  <c r="CK185" i="65" s="1"/>
  <c r="CK186" i="65" s="1"/>
  <c r="CK187" i="65" s="1"/>
  <c r="CK188" i="65" s="1"/>
  <c r="CK189" i="65" s="1"/>
  <c r="CK190" i="65" s="1"/>
  <c r="CK191" i="65" s="1"/>
  <c r="CK192" i="65" s="1"/>
  <c r="CK193" i="65" s="1"/>
  <c r="CK194" i="65" s="1"/>
  <c r="CK195" i="65" s="1"/>
  <c r="CK196" i="65" s="1"/>
  <c r="CK197" i="65" s="1"/>
  <c r="CK198" i="65" s="1"/>
  <c r="CK199" i="65" s="1"/>
  <c r="CK200" i="65" s="1"/>
  <c r="CK201" i="65" s="1"/>
  <c r="CK202" i="65" s="1"/>
  <c r="CK203" i="65" s="1"/>
  <c r="CK204" i="65" s="1"/>
  <c r="CK205" i="65" s="1"/>
  <c r="CK206" i="65" s="1"/>
  <c r="CK207" i="65" s="1"/>
  <c r="CK208" i="65" s="1"/>
  <c r="CK209" i="65" s="1"/>
  <c r="CK210" i="65" s="1"/>
  <c r="CK211" i="65" s="1"/>
  <c r="CK212" i="65" s="1"/>
  <c r="CK213" i="65" s="1"/>
  <c r="CK214" i="65" s="1"/>
  <c r="CK215" i="65" s="1"/>
  <c r="CK216" i="65" s="1"/>
  <c r="CK217" i="65" s="1"/>
  <c r="CK218" i="65" s="1"/>
  <c r="CK219" i="65" s="1"/>
  <c r="CK220" i="65" s="1"/>
  <c r="CK221" i="65" s="1"/>
  <c r="CK222" i="65" s="1"/>
  <c r="CK223" i="65" s="1"/>
  <c r="CK224" i="65" s="1"/>
  <c r="CK225" i="65" s="1"/>
  <c r="CK226" i="65" s="1"/>
  <c r="CK227" i="65" s="1"/>
  <c r="CK228" i="65" s="1"/>
  <c r="CK229" i="65" s="1"/>
  <c r="CK230" i="65" s="1"/>
  <c r="CK231" i="65" s="1"/>
  <c r="CK232" i="65" s="1"/>
  <c r="CK233" i="65" s="1"/>
  <c r="CK234" i="65" s="1"/>
  <c r="EA45" i="65"/>
  <c r="EB51" i="65"/>
  <c r="DX54" i="65"/>
  <c r="G11" i="51" s="1"/>
  <c r="EE59" i="65"/>
  <c r="EF82" i="65"/>
  <c r="EA95" i="65"/>
  <c r="DY42" i="65"/>
  <c r="DZ44" i="65"/>
  <c r="EC139" i="65"/>
  <c r="Y140" i="65"/>
  <c r="Y141" i="65" s="1"/>
  <c r="Y142" i="65" s="1"/>
  <c r="AP140" i="65"/>
  <c r="EL140" i="65" s="1"/>
  <c r="BF140" i="65"/>
  <c r="BF141" i="65" s="1"/>
  <c r="BF142" i="65" s="1"/>
  <c r="BF143" i="65" s="1"/>
  <c r="BF144" i="65" s="1"/>
  <c r="BF145" i="65" s="1"/>
  <c r="BF146" i="65" s="1"/>
  <c r="BF147" i="65" s="1"/>
  <c r="BF148" i="65" s="1"/>
  <c r="BF149" i="65" s="1"/>
  <c r="BF150" i="65" s="1"/>
  <c r="BF151" i="65" s="1"/>
  <c r="BF152" i="65" s="1"/>
  <c r="BF153" i="65" s="1"/>
  <c r="BF154" i="65" s="1"/>
  <c r="BF155" i="65" s="1"/>
  <c r="BF156" i="65" s="1"/>
  <c r="BF157" i="65" s="1"/>
  <c r="BF158" i="65" s="1"/>
  <c r="BF159" i="65" s="1"/>
  <c r="BF160" i="65" s="1"/>
  <c r="BF161" i="65" s="1"/>
  <c r="BF162" i="65" s="1"/>
  <c r="BF163" i="65" s="1"/>
  <c r="BF164" i="65" s="1"/>
  <c r="BF165" i="65" s="1"/>
  <c r="BF166" i="65" s="1"/>
  <c r="BF167" i="65" s="1"/>
  <c r="BF168" i="65" s="1"/>
  <c r="BF169" i="65" s="1"/>
  <c r="BF170" i="65" s="1"/>
  <c r="BF171" i="65" s="1"/>
  <c r="BF172" i="65" s="1"/>
  <c r="BF173" i="65" s="1"/>
  <c r="BF174" i="65" s="1"/>
  <c r="BF175" i="65" s="1"/>
  <c r="BF176" i="65" s="1"/>
  <c r="BF177" i="65" s="1"/>
  <c r="BF178" i="65" s="1"/>
  <c r="BF179" i="65" s="1"/>
  <c r="BF180" i="65" s="1"/>
  <c r="BF181" i="65" s="1"/>
  <c r="BF182" i="65" s="1"/>
  <c r="BF183" i="65" s="1"/>
  <c r="BF184" i="65" s="1"/>
  <c r="BF185" i="65" s="1"/>
  <c r="BF186" i="65" s="1"/>
  <c r="BF187" i="65" s="1"/>
  <c r="BF188" i="65" s="1"/>
  <c r="BF189" i="65" s="1"/>
  <c r="BF190" i="65" s="1"/>
  <c r="BF191" i="65" s="1"/>
  <c r="BF192" i="65" s="1"/>
  <c r="BF193" i="65" s="1"/>
  <c r="BF194" i="65" s="1"/>
  <c r="BF195" i="65" s="1"/>
  <c r="BF196" i="65" s="1"/>
  <c r="BF197" i="65" s="1"/>
  <c r="BF198" i="65" s="1"/>
  <c r="BF199" i="65" s="1"/>
  <c r="BF200" i="65" s="1"/>
  <c r="BF201" i="65" s="1"/>
  <c r="BF202" i="65" s="1"/>
  <c r="BF203" i="65" s="1"/>
  <c r="BF204" i="65" s="1"/>
  <c r="BF205" i="65" s="1"/>
  <c r="BF206" i="65" s="1"/>
  <c r="BF207" i="65" s="1"/>
  <c r="BF208" i="65" s="1"/>
  <c r="BF209" i="65" s="1"/>
  <c r="BF210" i="65" s="1"/>
  <c r="BF211" i="65" s="1"/>
  <c r="BF212" i="65" s="1"/>
  <c r="BF213" i="65" s="1"/>
  <c r="BF214" i="65" s="1"/>
  <c r="BF215" i="65" s="1"/>
  <c r="BF216" i="65" s="1"/>
  <c r="BF217" i="65" s="1"/>
  <c r="BF218" i="65" s="1"/>
  <c r="BF219" i="65" s="1"/>
  <c r="BF220" i="65" s="1"/>
  <c r="BF221" i="65" s="1"/>
  <c r="BF222" i="65" s="1"/>
  <c r="BF223" i="65" s="1"/>
  <c r="BF224" i="65" s="1"/>
  <c r="BF225" i="65" s="1"/>
  <c r="BF226" i="65" s="1"/>
  <c r="BF227" i="65" s="1"/>
  <c r="BF228" i="65" s="1"/>
  <c r="BF229" i="65" s="1"/>
  <c r="BF230" i="65" s="1"/>
  <c r="BF231" i="65" s="1"/>
  <c r="BF232" i="65" s="1"/>
  <c r="BF233" i="65" s="1"/>
  <c r="BF234" i="65" s="1"/>
  <c r="BV140" i="65"/>
  <c r="BV141" i="65" s="1"/>
  <c r="BV142" i="65" s="1"/>
  <c r="BV143" i="65" s="1"/>
  <c r="BV144" i="65" s="1"/>
  <c r="BV145" i="65" s="1"/>
  <c r="BV146" i="65" s="1"/>
  <c r="BV147" i="65" s="1"/>
  <c r="BV148" i="65" s="1"/>
  <c r="BV149" i="65" s="1"/>
  <c r="BV150" i="65" s="1"/>
  <c r="BV151" i="65" s="1"/>
  <c r="BV152" i="65" s="1"/>
  <c r="BV153" i="65" s="1"/>
  <c r="BV154" i="65" s="1"/>
  <c r="BV155" i="65" s="1"/>
  <c r="BV156" i="65" s="1"/>
  <c r="BV157" i="65" s="1"/>
  <c r="BV158" i="65" s="1"/>
  <c r="BV159" i="65" s="1"/>
  <c r="BV160" i="65" s="1"/>
  <c r="BV161" i="65" s="1"/>
  <c r="BV162" i="65" s="1"/>
  <c r="BV163" i="65" s="1"/>
  <c r="BV164" i="65" s="1"/>
  <c r="BV165" i="65" s="1"/>
  <c r="BV166" i="65" s="1"/>
  <c r="BV167" i="65" s="1"/>
  <c r="BV168" i="65" s="1"/>
  <c r="BV169" i="65" s="1"/>
  <c r="BV170" i="65" s="1"/>
  <c r="BV171" i="65" s="1"/>
  <c r="BV172" i="65" s="1"/>
  <c r="BV173" i="65" s="1"/>
  <c r="BV174" i="65" s="1"/>
  <c r="BV175" i="65" s="1"/>
  <c r="BV176" i="65" s="1"/>
  <c r="BV177" i="65" s="1"/>
  <c r="BV178" i="65" s="1"/>
  <c r="BV179" i="65" s="1"/>
  <c r="BV180" i="65" s="1"/>
  <c r="BV181" i="65" s="1"/>
  <c r="BV182" i="65" s="1"/>
  <c r="BV183" i="65" s="1"/>
  <c r="BV184" i="65" s="1"/>
  <c r="BV185" i="65" s="1"/>
  <c r="BV186" i="65" s="1"/>
  <c r="BV187" i="65" s="1"/>
  <c r="BV188" i="65" s="1"/>
  <c r="BV189" i="65" s="1"/>
  <c r="BV190" i="65" s="1"/>
  <c r="BV191" i="65" s="1"/>
  <c r="BV192" i="65" s="1"/>
  <c r="BV193" i="65" s="1"/>
  <c r="BV194" i="65" s="1"/>
  <c r="BV195" i="65" s="1"/>
  <c r="BV196" i="65" s="1"/>
  <c r="BV197" i="65" s="1"/>
  <c r="BV198" i="65" s="1"/>
  <c r="BV199" i="65" s="1"/>
  <c r="BV200" i="65" s="1"/>
  <c r="BV201" i="65" s="1"/>
  <c r="BV202" i="65" s="1"/>
  <c r="BV203" i="65" s="1"/>
  <c r="BV204" i="65" s="1"/>
  <c r="BV205" i="65" s="1"/>
  <c r="BV206" i="65" s="1"/>
  <c r="BV207" i="65" s="1"/>
  <c r="BV208" i="65" s="1"/>
  <c r="BV209" i="65" s="1"/>
  <c r="BV210" i="65" s="1"/>
  <c r="BV211" i="65" s="1"/>
  <c r="BV212" i="65" s="1"/>
  <c r="BV213" i="65" s="1"/>
  <c r="BV214" i="65" s="1"/>
  <c r="BV215" i="65" s="1"/>
  <c r="BV216" i="65" s="1"/>
  <c r="BV217" i="65" s="1"/>
  <c r="BV218" i="65" s="1"/>
  <c r="BV219" i="65" s="1"/>
  <c r="BV220" i="65" s="1"/>
  <c r="BV221" i="65" s="1"/>
  <c r="BV222" i="65" s="1"/>
  <c r="BV223" i="65" s="1"/>
  <c r="BV224" i="65" s="1"/>
  <c r="BV225" i="65" s="1"/>
  <c r="BV226" i="65" s="1"/>
  <c r="BV227" i="65" s="1"/>
  <c r="BV228" i="65" s="1"/>
  <c r="BV229" i="65" s="1"/>
  <c r="BV230" i="65" s="1"/>
  <c r="BV231" i="65" s="1"/>
  <c r="BV232" i="65" s="1"/>
  <c r="BV233" i="65" s="1"/>
  <c r="BV234" i="65" s="1"/>
  <c r="CL140" i="65"/>
  <c r="CL141" i="65" s="1"/>
  <c r="CL142" i="65" s="1"/>
  <c r="CL143" i="65" s="1"/>
  <c r="CL144" i="65" s="1"/>
  <c r="CL145" i="65" s="1"/>
  <c r="CL146" i="65" s="1"/>
  <c r="CL147" i="65" s="1"/>
  <c r="CL148" i="65" s="1"/>
  <c r="CL149" i="65" s="1"/>
  <c r="CL150" i="65" s="1"/>
  <c r="CL151" i="65" s="1"/>
  <c r="CL152" i="65" s="1"/>
  <c r="CL153" i="65" s="1"/>
  <c r="CL154" i="65" s="1"/>
  <c r="CL155" i="65" s="1"/>
  <c r="CL156" i="65" s="1"/>
  <c r="CL157" i="65" s="1"/>
  <c r="CL158" i="65" s="1"/>
  <c r="CL159" i="65" s="1"/>
  <c r="CL160" i="65" s="1"/>
  <c r="CL161" i="65" s="1"/>
  <c r="CL162" i="65" s="1"/>
  <c r="CL163" i="65" s="1"/>
  <c r="CL164" i="65" s="1"/>
  <c r="CL165" i="65" s="1"/>
  <c r="CL166" i="65" s="1"/>
  <c r="CL167" i="65" s="1"/>
  <c r="CL168" i="65" s="1"/>
  <c r="CL169" i="65" s="1"/>
  <c r="CL170" i="65" s="1"/>
  <c r="CL171" i="65" s="1"/>
  <c r="CL172" i="65" s="1"/>
  <c r="CL173" i="65" s="1"/>
  <c r="CL174" i="65" s="1"/>
  <c r="CL175" i="65" s="1"/>
  <c r="CL176" i="65" s="1"/>
  <c r="CL177" i="65" s="1"/>
  <c r="CL178" i="65" s="1"/>
  <c r="CL179" i="65" s="1"/>
  <c r="CL180" i="65" s="1"/>
  <c r="CL181" i="65" s="1"/>
  <c r="CL182" i="65" s="1"/>
  <c r="CL183" i="65" s="1"/>
  <c r="CL184" i="65" s="1"/>
  <c r="CL185" i="65" s="1"/>
  <c r="CL186" i="65" s="1"/>
  <c r="CL187" i="65" s="1"/>
  <c r="CL188" i="65" s="1"/>
  <c r="CL189" i="65" s="1"/>
  <c r="CL190" i="65" s="1"/>
  <c r="CL191" i="65" s="1"/>
  <c r="CL192" i="65" s="1"/>
  <c r="CL193" i="65" s="1"/>
  <c r="CL194" i="65" s="1"/>
  <c r="CL195" i="65" s="1"/>
  <c r="CL196" i="65" s="1"/>
  <c r="CL197" i="65" s="1"/>
  <c r="CL198" i="65" s="1"/>
  <c r="CL199" i="65" s="1"/>
  <c r="CL200" i="65" s="1"/>
  <c r="CL201" i="65" s="1"/>
  <c r="CL202" i="65" s="1"/>
  <c r="CL203" i="65" s="1"/>
  <c r="CL204" i="65" s="1"/>
  <c r="CL205" i="65" s="1"/>
  <c r="CL206" i="65" s="1"/>
  <c r="CL207" i="65" s="1"/>
  <c r="CL208" i="65" s="1"/>
  <c r="CL209" i="65" s="1"/>
  <c r="CL210" i="65" s="1"/>
  <c r="CL211" i="65" s="1"/>
  <c r="CL212" i="65" s="1"/>
  <c r="CL213" i="65" s="1"/>
  <c r="CL214" i="65" s="1"/>
  <c r="CL215" i="65" s="1"/>
  <c r="CL216" i="65" s="1"/>
  <c r="CL217" i="65" s="1"/>
  <c r="CL218" i="65" s="1"/>
  <c r="CL219" i="65" s="1"/>
  <c r="CL220" i="65" s="1"/>
  <c r="CL221" i="65" s="1"/>
  <c r="CL222" i="65" s="1"/>
  <c r="CL223" i="65" s="1"/>
  <c r="CL224" i="65" s="1"/>
  <c r="CL225" i="65" s="1"/>
  <c r="CL226" i="65" s="1"/>
  <c r="CL227" i="65" s="1"/>
  <c r="CL228" i="65" s="1"/>
  <c r="CL229" i="65" s="1"/>
  <c r="CL230" i="65" s="1"/>
  <c r="CL231" i="65" s="1"/>
  <c r="CL232" i="65" s="1"/>
  <c r="CL233" i="65" s="1"/>
  <c r="CL234" i="65" s="1"/>
  <c r="DB140" i="65"/>
  <c r="DB141" i="65" s="1"/>
  <c r="DB142" i="65" s="1"/>
  <c r="DB143" i="65" s="1"/>
  <c r="DB144" i="65" s="1"/>
  <c r="DB145" i="65" s="1"/>
  <c r="DB146" i="65" s="1"/>
  <c r="DB147" i="65" s="1"/>
  <c r="DB148" i="65" s="1"/>
  <c r="DB149" i="65" s="1"/>
  <c r="DB150" i="65" s="1"/>
  <c r="DB151" i="65" s="1"/>
  <c r="DB152" i="65" s="1"/>
  <c r="DB153" i="65" s="1"/>
  <c r="DB154" i="65" s="1"/>
  <c r="DB155" i="65" s="1"/>
  <c r="DB156" i="65" s="1"/>
  <c r="DB157" i="65" s="1"/>
  <c r="DB158" i="65" s="1"/>
  <c r="DB159" i="65" s="1"/>
  <c r="DB160" i="65" s="1"/>
  <c r="DB161" i="65" s="1"/>
  <c r="DB162" i="65" s="1"/>
  <c r="DB163" i="65" s="1"/>
  <c r="DB164" i="65" s="1"/>
  <c r="DB165" i="65" s="1"/>
  <c r="DB166" i="65" s="1"/>
  <c r="DB167" i="65" s="1"/>
  <c r="DB168" i="65" s="1"/>
  <c r="DB169" i="65" s="1"/>
  <c r="DB170" i="65" s="1"/>
  <c r="DB171" i="65" s="1"/>
  <c r="DB172" i="65" s="1"/>
  <c r="DB173" i="65" s="1"/>
  <c r="DB174" i="65" s="1"/>
  <c r="DB175" i="65" s="1"/>
  <c r="DB176" i="65" s="1"/>
  <c r="DB177" i="65" s="1"/>
  <c r="DB178" i="65" s="1"/>
  <c r="DB179" i="65" s="1"/>
  <c r="DB180" i="65" s="1"/>
  <c r="DB181" i="65" s="1"/>
  <c r="DB182" i="65" s="1"/>
  <c r="DB183" i="65" s="1"/>
  <c r="DB184" i="65" s="1"/>
  <c r="DB185" i="65" s="1"/>
  <c r="DB186" i="65" s="1"/>
  <c r="DB187" i="65" s="1"/>
  <c r="DB188" i="65" s="1"/>
  <c r="DB189" i="65" s="1"/>
  <c r="DB190" i="65" s="1"/>
  <c r="DB191" i="65" s="1"/>
  <c r="DB192" i="65" s="1"/>
  <c r="DB193" i="65" s="1"/>
  <c r="DB194" i="65" s="1"/>
  <c r="DB195" i="65" s="1"/>
  <c r="DB196" i="65" s="1"/>
  <c r="DB197" i="65" s="1"/>
  <c r="DB198" i="65" s="1"/>
  <c r="DB199" i="65" s="1"/>
  <c r="DB200" i="65" s="1"/>
  <c r="DB201" i="65" s="1"/>
  <c r="DB202" i="65" s="1"/>
  <c r="DB203" i="65" s="1"/>
  <c r="DB204" i="65" s="1"/>
  <c r="DB205" i="65" s="1"/>
  <c r="DB206" i="65" s="1"/>
  <c r="DB207" i="65" s="1"/>
  <c r="DB208" i="65" s="1"/>
  <c r="DB209" i="65" s="1"/>
  <c r="DB210" i="65" s="1"/>
  <c r="DB211" i="65" s="1"/>
  <c r="DB212" i="65" s="1"/>
  <c r="DB213" i="65" s="1"/>
  <c r="DB214" i="65" s="1"/>
  <c r="DB215" i="65" s="1"/>
  <c r="DB216" i="65" s="1"/>
  <c r="DB217" i="65" s="1"/>
  <c r="DB218" i="65" s="1"/>
  <c r="DB219" i="65" s="1"/>
  <c r="DB220" i="65" s="1"/>
  <c r="DB221" i="65" s="1"/>
  <c r="DB222" i="65" s="1"/>
  <c r="DB223" i="65" s="1"/>
  <c r="DB224" i="65" s="1"/>
  <c r="DB225" i="65" s="1"/>
  <c r="DB226" i="65" s="1"/>
  <c r="DB227" i="65" s="1"/>
  <c r="DB228" i="65" s="1"/>
  <c r="DB229" i="65" s="1"/>
  <c r="DB230" i="65" s="1"/>
  <c r="DB231" i="65" s="1"/>
  <c r="DB232" i="65" s="1"/>
  <c r="DB233" i="65" s="1"/>
  <c r="DB234" i="65" s="1"/>
  <c r="DR140" i="65"/>
  <c r="DR141" i="65" s="1"/>
  <c r="DR142" i="65" s="1"/>
  <c r="DR143" i="65" s="1"/>
  <c r="DR144" i="65" s="1"/>
  <c r="DR145" i="65" s="1"/>
  <c r="DR146" i="65" s="1"/>
  <c r="DR147" i="65" s="1"/>
  <c r="DR148" i="65" s="1"/>
  <c r="DR149" i="65" s="1"/>
  <c r="DR150" i="65" s="1"/>
  <c r="DR151" i="65" s="1"/>
  <c r="DR152" i="65" s="1"/>
  <c r="DR153" i="65" s="1"/>
  <c r="DR154" i="65" s="1"/>
  <c r="DR155" i="65" s="1"/>
  <c r="DR156" i="65" s="1"/>
  <c r="DR157" i="65" s="1"/>
  <c r="DR158" i="65" s="1"/>
  <c r="DR159" i="65" s="1"/>
  <c r="DR160" i="65" s="1"/>
  <c r="DR161" i="65" s="1"/>
  <c r="DR162" i="65" s="1"/>
  <c r="DR163" i="65" s="1"/>
  <c r="DR164" i="65" s="1"/>
  <c r="DR165" i="65" s="1"/>
  <c r="DR166" i="65" s="1"/>
  <c r="DR167" i="65" s="1"/>
  <c r="DR168" i="65" s="1"/>
  <c r="DR169" i="65" s="1"/>
  <c r="DR170" i="65" s="1"/>
  <c r="DR171" i="65" s="1"/>
  <c r="DR172" i="65" s="1"/>
  <c r="DR173" i="65" s="1"/>
  <c r="DR174" i="65" s="1"/>
  <c r="DR175" i="65" s="1"/>
  <c r="DR176" i="65" s="1"/>
  <c r="DR177" i="65" s="1"/>
  <c r="DR178" i="65" s="1"/>
  <c r="DR179" i="65" s="1"/>
  <c r="DR180" i="65" s="1"/>
  <c r="DR181" i="65" s="1"/>
  <c r="DR182" i="65" s="1"/>
  <c r="DR183" i="65" s="1"/>
  <c r="DR184" i="65" s="1"/>
  <c r="DR185" i="65" s="1"/>
  <c r="DR186" i="65" s="1"/>
  <c r="DR187" i="65" s="1"/>
  <c r="DR188" i="65" s="1"/>
  <c r="DR189" i="65" s="1"/>
  <c r="DR190" i="65" s="1"/>
  <c r="DR191" i="65" s="1"/>
  <c r="DR192" i="65" s="1"/>
  <c r="DR193" i="65" s="1"/>
  <c r="DR194" i="65" s="1"/>
  <c r="DR195" i="65" s="1"/>
  <c r="DR196" i="65" s="1"/>
  <c r="DR197" i="65" s="1"/>
  <c r="DR198" i="65" s="1"/>
  <c r="DR199" i="65" s="1"/>
  <c r="DR200" i="65" s="1"/>
  <c r="DR201" i="65" s="1"/>
  <c r="DR202" i="65" s="1"/>
  <c r="DR203" i="65" s="1"/>
  <c r="DR204" i="65" s="1"/>
  <c r="DR205" i="65" s="1"/>
  <c r="DR206" i="65" s="1"/>
  <c r="DR207" i="65" s="1"/>
  <c r="DR208" i="65" s="1"/>
  <c r="DR209" i="65" s="1"/>
  <c r="DR210" i="65" s="1"/>
  <c r="DR211" i="65" s="1"/>
  <c r="DR212" i="65" s="1"/>
  <c r="DR213" i="65" s="1"/>
  <c r="DR214" i="65" s="1"/>
  <c r="DR215" i="65" s="1"/>
  <c r="DR216" i="65" s="1"/>
  <c r="DR217" i="65" s="1"/>
  <c r="DR218" i="65" s="1"/>
  <c r="DR219" i="65" s="1"/>
  <c r="DR220" i="65" s="1"/>
  <c r="DR221" i="65" s="1"/>
  <c r="DR222" i="65" s="1"/>
  <c r="DR223" i="65" s="1"/>
  <c r="DR224" i="65" s="1"/>
  <c r="DR225" i="65" s="1"/>
  <c r="DR226" i="65" s="1"/>
  <c r="DR227" i="65" s="1"/>
  <c r="DR228" i="65" s="1"/>
  <c r="DR229" i="65" s="1"/>
  <c r="DR230" i="65" s="1"/>
  <c r="DR231" i="65" s="1"/>
  <c r="DR232" i="65" s="1"/>
  <c r="DR233" i="65" s="1"/>
  <c r="DR234" i="65" s="1"/>
  <c r="DY47" i="65"/>
  <c r="DX50" i="65"/>
  <c r="EC51" i="65"/>
  <c r="EE55" i="65"/>
  <c r="EB81" i="65"/>
  <c r="EG82" i="65"/>
  <c r="EG84" i="65"/>
  <c r="DY90" i="65"/>
  <c r="AA139" i="65"/>
  <c r="DW46" i="65"/>
  <c r="EI52" i="65"/>
  <c r="ED56" i="65"/>
  <c r="EH59" i="65"/>
  <c r="EI60" i="65"/>
  <c r="EJ61" i="65"/>
  <c r="EK62" i="65"/>
  <c r="EL63" i="65"/>
  <c r="EO65" i="65"/>
  <c r="AA88" i="65"/>
  <c r="AA89" i="65"/>
  <c r="AA90" i="65"/>
  <c r="EJ56" i="65"/>
  <c r="DW5" i="65"/>
  <c r="DW7" i="65"/>
  <c r="ED139" i="65"/>
  <c r="EF40" i="65"/>
  <c r="H140" i="65"/>
  <c r="H141" i="65" s="1"/>
  <c r="H142" i="65" s="1"/>
  <c r="H143" i="65" s="1"/>
  <c r="H144" i="65" s="1"/>
  <c r="H145" i="65" s="1"/>
  <c r="H146" i="65" s="1"/>
  <c r="H147" i="65" s="1"/>
  <c r="H148" i="65" s="1"/>
  <c r="H149" i="65" s="1"/>
  <c r="H150" i="65" s="1"/>
  <c r="H151" i="65" s="1"/>
  <c r="H152" i="65" s="1"/>
  <c r="H153" i="65" s="1"/>
  <c r="H154" i="65" s="1"/>
  <c r="H155" i="65" s="1"/>
  <c r="H156" i="65" s="1"/>
  <c r="H157" i="65" s="1"/>
  <c r="H158" i="65" s="1"/>
  <c r="H159" i="65" s="1"/>
  <c r="H160" i="65" s="1"/>
  <c r="H161" i="65" s="1"/>
  <c r="H162" i="65" s="1"/>
  <c r="H163" i="65" s="1"/>
  <c r="H164" i="65" s="1"/>
  <c r="H165" i="65" s="1"/>
  <c r="H166" i="65" s="1"/>
  <c r="H167" i="65" s="1"/>
  <c r="H168" i="65" s="1"/>
  <c r="H169" i="65" s="1"/>
  <c r="H170" i="65" s="1"/>
  <c r="H171" i="65" s="1"/>
  <c r="H172" i="65" s="1"/>
  <c r="H173" i="65" s="1"/>
  <c r="H174" i="65" s="1"/>
  <c r="H175" i="65" s="1"/>
  <c r="H176" i="65" s="1"/>
  <c r="H177" i="65" s="1"/>
  <c r="H178" i="65" s="1"/>
  <c r="H179" i="65" s="1"/>
  <c r="H180" i="65" s="1"/>
  <c r="H181" i="65" s="1"/>
  <c r="H182" i="65" s="1"/>
  <c r="H183" i="65" s="1"/>
  <c r="H184" i="65" s="1"/>
  <c r="H185" i="65" s="1"/>
  <c r="H186" i="65" s="1"/>
  <c r="H187" i="65" s="1"/>
  <c r="H188" i="65" s="1"/>
  <c r="H189" i="65" s="1"/>
  <c r="H190" i="65" s="1"/>
  <c r="H191" i="65" s="1"/>
  <c r="H192" i="65" s="1"/>
  <c r="H193" i="65" s="1"/>
  <c r="H194" i="65" s="1"/>
  <c r="H195" i="65" s="1"/>
  <c r="H196" i="65" s="1"/>
  <c r="H197" i="65" s="1"/>
  <c r="H198" i="65" s="1"/>
  <c r="H199" i="65" s="1"/>
  <c r="H200" i="65" s="1"/>
  <c r="H201" i="65" s="1"/>
  <c r="H202" i="65" s="1"/>
  <c r="H203" i="65" s="1"/>
  <c r="H204" i="65" s="1"/>
  <c r="H205" i="65" s="1"/>
  <c r="H206" i="65" s="1"/>
  <c r="H207" i="65" s="1"/>
  <c r="H208" i="65" s="1"/>
  <c r="H209" i="65" s="1"/>
  <c r="H210" i="65" s="1"/>
  <c r="H211" i="65" s="1"/>
  <c r="H212" i="65" s="1"/>
  <c r="H213" i="65" s="1"/>
  <c r="H214" i="65" s="1"/>
  <c r="H215" i="65" s="1"/>
  <c r="H216" i="65" s="1"/>
  <c r="H217" i="65" s="1"/>
  <c r="H218" i="65" s="1"/>
  <c r="H219" i="65" s="1"/>
  <c r="H220" i="65" s="1"/>
  <c r="H221" i="65" s="1"/>
  <c r="H222" i="65" s="1"/>
  <c r="H223" i="65" s="1"/>
  <c r="H224" i="65" s="1"/>
  <c r="H225" i="65" s="1"/>
  <c r="H226" i="65" s="1"/>
  <c r="H227" i="65" s="1"/>
  <c r="H228" i="65" s="1"/>
  <c r="H229" i="65" s="1"/>
  <c r="H230" i="65" s="1"/>
  <c r="H231" i="65" s="1"/>
  <c r="H232" i="65" s="1"/>
  <c r="H233" i="65" s="1"/>
  <c r="H234" i="65" s="1"/>
  <c r="X140" i="65"/>
  <c r="AN140" i="65"/>
  <c r="EJ140" i="65" s="1"/>
  <c r="BD140" i="65"/>
  <c r="BD141" i="65" s="1"/>
  <c r="BD142" i="65" s="1"/>
  <c r="BD143" i="65" s="1"/>
  <c r="BD144" i="65" s="1"/>
  <c r="BD145" i="65" s="1"/>
  <c r="BD146" i="65" s="1"/>
  <c r="BD147" i="65" s="1"/>
  <c r="BD148" i="65" s="1"/>
  <c r="BD149" i="65" s="1"/>
  <c r="BD150" i="65" s="1"/>
  <c r="BD151" i="65" s="1"/>
  <c r="BD152" i="65" s="1"/>
  <c r="BD153" i="65" s="1"/>
  <c r="BD154" i="65" s="1"/>
  <c r="BD155" i="65" s="1"/>
  <c r="BD156" i="65" s="1"/>
  <c r="BD157" i="65" s="1"/>
  <c r="BD158" i="65" s="1"/>
  <c r="BD159" i="65" s="1"/>
  <c r="BD160" i="65" s="1"/>
  <c r="BD161" i="65" s="1"/>
  <c r="BD162" i="65" s="1"/>
  <c r="BD163" i="65" s="1"/>
  <c r="BD164" i="65" s="1"/>
  <c r="BD165" i="65" s="1"/>
  <c r="BD166" i="65" s="1"/>
  <c r="BD167" i="65" s="1"/>
  <c r="BD168" i="65" s="1"/>
  <c r="BD169" i="65" s="1"/>
  <c r="BD170" i="65" s="1"/>
  <c r="BD171" i="65" s="1"/>
  <c r="BD172" i="65" s="1"/>
  <c r="BD173" i="65" s="1"/>
  <c r="BD174" i="65" s="1"/>
  <c r="BD175" i="65" s="1"/>
  <c r="BD176" i="65" s="1"/>
  <c r="BD177" i="65" s="1"/>
  <c r="BD178" i="65" s="1"/>
  <c r="BD179" i="65" s="1"/>
  <c r="BD180" i="65" s="1"/>
  <c r="BD181" i="65" s="1"/>
  <c r="BD182" i="65" s="1"/>
  <c r="BD183" i="65" s="1"/>
  <c r="BD184" i="65" s="1"/>
  <c r="BD185" i="65" s="1"/>
  <c r="BD186" i="65" s="1"/>
  <c r="BD187" i="65" s="1"/>
  <c r="BD188" i="65" s="1"/>
  <c r="BD189" i="65" s="1"/>
  <c r="BD190" i="65" s="1"/>
  <c r="BD191" i="65" s="1"/>
  <c r="BD192" i="65" s="1"/>
  <c r="BD193" i="65" s="1"/>
  <c r="BD194" i="65" s="1"/>
  <c r="BD195" i="65" s="1"/>
  <c r="BD196" i="65" s="1"/>
  <c r="BD197" i="65" s="1"/>
  <c r="BD198" i="65" s="1"/>
  <c r="BD199" i="65" s="1"/>
  <c r="BD200" i="65" s="1"/>
  <c r="BD201" i="65" s="1"/>
  <c r="BD202" i="65" s="1"/>
  <c r="BD203" i="65" s="1"/>
  <c r="BD204" i="65" s="1"/>
  <c r="BD205" i="65" s="1"/>
  <c r="BD206" i="65" s="1"/>
  <c r="BD207" i="65" s="1"/>
  <c r="BD208" i="65" s="1"/>
  <c r="BD209" i="65" s="1"/>
  <c r="BD210" i="65" s="1"/>
  <c r="BD211" i="65" s="1"/>
  <c r="BD212" i="65" s="1"/>
  <c r="BD213" i="65" s="1"/>
  <c r="BD214" i="65" s="1"/>
  <c r="BD215" i="65" s="1"/>
  <c r="BD216" i="65" s="1"/>
  <c r="BD217" i="65" s="1"/>
  <c r="BD218" i="65" s="1"/>
  <c r="BD219" i="65" s="1"/>
  <c r="BD220" i="65" s="1"/>
  <c r="BD221" i="65" s="1"/>
  <c r="BD222" i="65" s="1"/>
  <c r="BD223" i="65" s="1"/>
  <c r="BD224" i="65" s="1"/>
  <c r="BD225" i="65" s="1"/>
  <c r="BD226" i="65" s="1"/>
  <c r="BD227" i="65" s="1"/>
  <c r="BD228" i="65" s="1"/>
  <c r="BD229" i="65" s="1"/>
  <c r="BD230" i="65" s="1"/>
  <c r="BD231" i="65" s="1"/>
  <c r="BD232" i="65" s="1"/>
  <c r="BD233" i="65" s="1"/>
  <c r="BD234" i="65" s="1"/>
  <c r="BT140" i="65"/>
  <c r="CJ140" i="65"/>
  <c r="CJ141" i="65" s="1"/>
  <c r="CZ140" i="65"/>
  <c r="CZ141" i="65" s="1"/>
  <c r="DP140" i="65"/>
  <c r="DP141" i="65" s="1"/>
  <c r="EG41" i="65"/>
  <c r="I141" i="65"/>
  <c r="DQ141" i="65"/>
  <c r="DQ142" i="65" s="1"/>
  <c r="DQ143" i="65" s="1"/>
  <c r="J142" i="65"/>
  <c r="J143" i="65" s="1"/>
  <c r="J144" i="65" s="1"/>
  <c r="J145" i="65" s="1"/>
  <c r="J146" i="65" s="1"/>
  <c r="J147" i="65" s="1"/>
  <c r="J148" i="65" s="1"/>
  <c r="J149" i="65" s="1"/>
  <c r="J150" i="65" s="1"/>
  <c r="J151" i="65" s="1"/>
  <c r="J152" i="65" s="1"/>
  <c r="J153" i="65" s="1"/>
  <c r="J154" i="65" s="1"/>
  <c r="J155" i="65" s="1"/>
  <c r="J156" i="65" s="1"/>
  <c r="J157" i="65" s="1"/>
  <c r="J158" i="65" s="1"/>
  <c r="J159" i="65" s="1"/>
  <c r="J160" i="65" s="1"/>
  <c r="J161" i="65" s="1"/>
  <c r="J162" i="65" s="1"/>
  <c r="J163" i="65" s="1"/>
  <c r="J164" i="65" s="1"/>
  <c r="J165" i="65" s="1"/>
  <c r="J166" i="65" s="1"/>
  <c r="J167" i="65" s="1"/>
  <c r="J168" i="65" s="1"/>
  <c r="J169" i="65" s="1"/>
  <c r="J170" i="65" s="1"/>
  <c r="J171" i="65" s="1"/>
  <c r="J172" i="65" s="1"/>
  <c r="J173" i="65" s="1"/>
  <c r="J174" i="65" s="1"/>
  <c r="J175" i="65" s="1"/>
  <c r="J176" i="65" s="1"/>
  <c r="J177" i="65" s="1"/>
  <c r="J178" i="65" s="1"/>
  <c r="J179" i="65" s="1"/>
  <c r="J180" i="65" s="1"/>
  <c r="J181" i="65" s="1"/>
  <c r="J182" i="65" s="1"/>
  <c r="J183" i="65" s="1"/>
  <c r="J184" i="65" s="1"/>
  <c r="J185" i="65" s="1"/>
  <c r="J186" i="65" s="1"/>
  <c r="J187" i="65" s="1"/>
  <c r="J188" i="65" s="1"/>
  <c r="J189" i="65" s="1"/>
  <c r="J190" i="65" s="1"/>
  <c r="J191" i="65" s="1"/>
  <c r="J192" i="65" s="1"/>
  <c r="J193" i="65" s="1"/>
  <c r="J194" i="65" s="1"/>
  <c r="J195" i="65" s="1"/>
  <c r="J196" i="65" s="1"/>
  <c r="J197" i="65" s="1"/>
  <c r="J198" i="65" s="1"/>
  <c r="J199" i="65" s="1"/>
  <c r="J200" i="65" s="1"/>
  <c r="J201" i="65" s="1"/>
  <c r="J202" i="65" s="1"/>
  <c r="J203" i="65" s="1"/>
  <c r="J204" i="65" s="1"/>
  <c r="J205" i="65" s="1"/>
  <c r="J206" i="65" s="1"/>
  <c r="J207" i="65" s="1"/>
  <c r="J208" i="65" s="1"/>
  <c r="J209" i="65" s="1"/>
  <c r="J210" i="65" s="1"/>
  <c r="J211" i="65" s="1"/>
  <c r="J212" i="65" s="1"/>
  <c r="J213" i="65" s="1"/>
  <c r="J214" i="65" s="1"/>
  <c r="J215" i="65" s="1"/>
  <c r="J216" i="65" s="1"/>
  <c r="J217" i="65" s="1"/>
  <c r="J218" i="65" s="1"/>
  <c r="J219" i="65" s="1"/>
  <c r="J220" i="65" s="1"/>
  <c r="J221" i="65" s="1"/>
  <c r="J222" i="65" s="1"/>
  <c r="J223" i="65" s="1"/>
  <c r="J224" i="65" s="1"/>
  <c r="J225" i="65" s="1"/>
  <c r="J226" i="65" s="1"/>
  <c r="J227" i="65" s="1"/>
  <c r="J228" i="65" s="1"/>
  <c r="J229" i="65" s="1"/>
  <c r="J230" i="65" s="1"/>
  <c r="J231" i="65" s="1"/>
  <c r="J232" i="65" s="1"/>
  <c r="J233" i="65" s="1"/>
  <c r="J234" i="65" s="1"/>
  <c r="AA44" i="65"/>
  <c r="EH50" i="65"/>
  <c r="EP51" i="65"/>
  <c r="EJ52" i="65"/>
  <c r="EQ54" i="65"/>
  <c r="AA55" i="65"/>
  <c r="EM55" i="65"/>
  <c r="EG55" i="65"/>
  <c r="EE56" i="65"/>
  <c r="ED57" i="65"/>
  <c r="EC58" i="65"/>
  <c r="AA64" i="65"/>
  <c r="EM64" i="65"/>
  <c r="EG64" i="65"/>
  <c r="BH145" i="65"/>
  <c r="BH146" i="65" s="1"/>
  <c r="BH147" i="65" s="1"/>
  <c r="BH148" i="65" s="1"/>
  <c r="BH149" i="65" s="1"/>
  <c r="BH150" i="65" s="1"/>
  <c r="BH151" i="65" s="1"/>
  <c r="BH152" i="65" s="1"/>
  <c r="BH153" i="65" s="1"/>
  <c r="BH154" i="65" s="1"/>
  <c r="BH155" i="65" s="1"/>
  <c r="BH156" i="65" s="1"/>
  <c r="BH157" i="65" s="1"/>
  <c r="BH158" i="65" s="1"/>
  <c r="BH159" i="65" s="1"/>
  <c r="BH160" i="65" s="1"/>
  <c r="BH161" i="65" s="1"/>
  <c r="BH162" i="65" s="1"/>
  <c r="BH163" i="65" s="1"/>
  <c r="BH164" i="65" s="1"/>
  <c r="BH165" i="65" s="1"/>
  <c r="BH166" i="65" s="1"/>
  <c r="BH167" i="65" s="1"/>
  <c r="BH168" i="65" s="1"/>
  <c r="BH169" i="65" s="1"/>
  <c r="BH170" i="65" s="1"/>
  <c r="BH171" i="65" s="1"/>
  <c r="BH172" i="65" s="1"/>
  <c r="BH173" i="65" s="1"/>
  <c r="BH174" i="65" s="1"/>
  <c r="BH175" i="65" s="1"/>
  <c r="BH176" i="65" s="1"/>
  <c r="BH177" i="65" s="1"/>
  <c r="BH178" i="65" s="1"/>
  <c r="BH179" i="65" s="1"/>
  <c r="BH180" i="65" s="1"/>
  <c r="BH181" i="65" s="1"/>
  <c r="BH182" i="65" s="1"/>
  <c r="BH183" i="65" s="1"/>
  <c r="BH184" i="65" s="1"/>
  <c r="BH185" i="65" s="1"/>
  <c r="BH186" i="65" s="1"/>
  <c r="BH187" i="65" s="1"/>
  <c r="BH188" i="65" s="1"/>
  <c r="BH189" i="65" s="1"/>
  <c r="BH190" i="65" s="1"/>
  <c r="BH191" i="65" s="1"/>
  <c r="BH192" i="65" s="1"/>
  <c r="BH193" i="65" s="1"/>
  <c r="BH194" i="65" s="1"/>
  <c r="BH195" i="65" s="1"/>
  <c r="BH196" i="65" s="1"/>
  <c r="BH197" i="65" s="1"/>
  <c r="BH198" i="65" s="1"/>
  <c r="BH199" i="65" s="1"/>
  <c r="BH200" i="65" s="1"/>
  <c r="BH201" i="65" s="1"/>
  <c r="BH202" i="65" s="1"/>
  <c r="BH203" i="65" s="1"/>
  <c r="BH204" i="65" s="1"/>
  <c r="BH205" i="65" s="1"/>
  <c r="BH206" i="65" s="1"/>
  <c r="BH207" i="65" s="1"/>
  <c r="BH208" i="65" s="1"/>
  <c r="BH209" i="65" s="1"/>
  <c r="BH210" i="65" s="1"/>
  <c r="BH211" i="65" s="1"/>
  <c r="BH212" i="65" s="1"/>
  <c r="BH213" i="65" s="1"/>
  <c r="BH214" i="65" s="1"/>
  <c r="BH215" i="65" s="1"/>
  <c r="BH216" i="65" s="1"/>
  <c r="BH217" i="65" s="1"/>
  <c r="BH218" i="65" s="1"/>
  <c r="BH219" i="65" s="1"/>
  <c r="BH220" i="65" s="1"/>
  <c r="BH221" i="65" s="1"/>
  <c r="BH222" i="65" s="1"/>
  <c r="BH223" i="65" s="1"/>
  <c r="BH224" i="65" s="1"/>
  <c r="BH225" i="65" s="1"/>
  <c r="BH226" i="65" s="1"/>
  <c r="BH227" i="65" s="1"/>
  <c r="BH228" i="65" s="1"/>
  <c r="BH229" i="65" s="1"/>
  <c r="BH230" i="65" s="1"/>
  <c r="BH231" i="65" s="1"/>
  <c r="BH232" i="65" s="1"/>
  <c r="BH233" i="65" s="1"/>
  <c r="BH234" i="65" s="1"/>
  <c r="N147" i="65"/>
  <c r="N148" i="65" s="1"/>
  <c r="N149" i="65" s="1"/>
  <c r="N150" i="65" s="1"/>
  <c r="N151" i="65" s="1"/>
  <c r="N152" i="65" s="1"/>
  <c r="N153" i="65" s="1"/>
  <c r="N154" i="65" s="1"/>
  <c r="N155" i="65" s="1"/>
  <c r="N156" i="65" s="1"/>
  <c r="N157" i="65" s="1"/>
  <c r="N158" i="65" s="1"/>
  <c r="N159" i="65" s="1"/>
  <c r="N160" i="65" s="1"/>
  <c r="N161" i="65" s="1"/>
  <c r="N162" i="65" s="1"/>
  <c r="N163" i="65" s="1"/>
  <c r="N164" i="65" s="1"/>
  <c r="N165" i="65" s="1"/>
  <c r="N166" i="65" s="1"/>
  <c r="N167" i="65" s="1"/>
  <c r="N168" i="65" s="1"/>
  <c r="N169" i="65" s="1"/>
  <c r="N170" i="65" s="1"/>
  <c r="N171" i="65" s="1"/>
  <c r="N172" i="65" s="1"/>
  <c r="N173" i="65" s="1"/>
  <c r="N174" i="65" s="1"/>
  <c r="N175" i="65" s="1"/>
  <c r="N176" i="65" s="1"/>
  <c r="N177" i="65" s="1"/>
  <c r="N178" i="65" s="1"/>
  <c r="N179" i="65" s="1"/>
  <c r="N180" i="65" s="1"/>
  <c r="N181" i="65" s="1"/>
  <c r="N182" i="65" s="1"/>
  <c r="N183" i="65" s="1"/>
  <c r="N184" i="65" s="1"/>
  <c r="N185" i="65" s="1"/>
  <c r="N186" i="65" s="1"/>
  <c r="N187" i="65" s="1"/>
  <c r="N188" i="65" s="1"/>
  <c r="N189" i="65" s="1"/>
  <c r="N190" i="65" s="1"/>
  <c r="N191" i="65" s="1"/>
  <c r="N192" i="65" s="1"/>
  <c r="N193" i="65" s="1"/>
  <c r="N194" i="65" s="1"/>
  <c r="N195" i="65" s="1"/>
  <c r="N196" i="65" s="1"/>
  <c r="N197" i="65" s="1"/>
  <c r="N198" i="65" s="1"/>
  <c r="N199" i="65" s="1"/>
  <c r="N200" i="65" s="1"/>
  <c r="N201" i="65" s="1"/>
  <c r="N202" i="65" s="1"/>
  <c r="N203" i="65" s="1"/>
  <c r="N204" i="65" s="1"/>
  <c r="N205" i="65" s="1"/>
  <c r="N206" i="65" s="1"/>
  <c r="N207" i="65" s="1"/>
  <c r="N208" i="65" s="1"/>
  <c r="N209" i="65" s="1"/>
  <c r="N210" i="65" s="1"/>
  <c r="N211" i="65" s="1"/>
  <c r="N212" i="65" s="1"/>
  <c r="N213" i="65" s="1"/>
  <c r="N214" i="65" s="1"/>
  <c r="N215" i="65" s="1"/>
  <c r="N216" i="65" s="1"/>
  <c r="N217" i="65" s="1"/>
  <c r="N218" i="65" s="1"/>
  <c r="N219" i="65" s="1"/>
  <c r="N220" i="65" s="1"/>
  <c r="N221" i="65" s="1"/>
  <c r="N222" i="65" s="1"/>
  <c r="N223" i="65" s="1"/>
  <c r="N224" i="65" s="1"/>
  <c r="N225" i="65" s="1"/>
  <c r="N226" i="65" s="1"/>
  <c r="N227" i="65" s="1"/>
  <c r="N228" i="65" s="1"/>
  <c r="N229" i="65" s="1"/>
  <c r="N230" i="65" s="1"/>
  <c r="N231" i="65" s="1"/>
  <c r="N232" i="65" s="1"/>
  <c r="N233" i="65" s="1"/>
  <c r="N234" i="65" s="1"/>
  <c r="EE139" i="65"/>
  <c r="EG40" i="65"/>
  <c r="DA140" i="65"/>
  <c r="DA141" i="65" s="1"/>
  <c r="DA142" i="65" s="1"/>
  <c r="DA143" i="65" s="1"/>
  <c r="DQ140" i="65"/>
  <c r="J141" i="65"/>
  <c r="Z141" i="65"/>
  <c r="AP141" i="65"/>
  <c r="EL141" i="65" s="1"/>
  <c r="AA43" i="65"/>
  <c r="DW43" i="65" s="1"/>
  <c r="BY144" i="65"/>
  <c r="BY145" i="65" s="1"/>
  <c r="BY146" i="65" s="1"/>
  <c r="BY147" i="65" s="1"/>
  <c r="BY148" i="65" s="1"/>
  <c r="BY149" i="65" s="1"/>
  <c r="BY150" i="65" s="1"/>
  <c r="BY151" i="65" s="1"/>
  <c r="BY152" i="65" s="1"/>
  <c r="BY153" i="65" s="1"/>
  <c r="BY154" i="65" s="1"/>
  <c r="BY155" i="65" s="1"/>
  <c r="BY156" i="65" s="1"/>
  <c r="BY157" i="65" s="1"/>
  <c r="BY158" i="65" s="1"/>
  <c r="BY159" i="65" s="1"/>
  <c r="BY160" i="65" s="1"/>
  <c r="BY161" i="65" s="1"/>
  <c r="BY162" i="65" s="1"/>
  <c r="BY163" i="65" s="1"/>
  <c r="BY164" i="65" s="1"/>
  <c r="BY165" i="65" s="1"/>
  <c r="BY166" i="65" s="1"/>
  <c r="BY167" i="65" s="1"/>
  <c r="BY168" i="65" s="1"/>
  <c r="BY169" i="65" s="1"/>
  <c r="BY170" i="65" s="1"/>
  <c r="BY171" i="65" s="1"/>
  <c r="BY172" i="65" s="1"/>
  <c r="BY173" i="65" s="1"/>
  <c r="BY174" i="65" s="1"/>
  <c r="BY175" i="65" s="1"/>
  <c r="BY176" i="65" s="1"/>
  <c r="BY177" i="65" s="1"/>
  <c r="BY178" i="65" s="1"/>
  <c r="BY179" i="65" s="1"/>
  <c r="BY180" i="65" s="1"/>
  <c r="BY181" i="65" s="1"/>
  <c r="BY182" i="65" s="1"/>
  <c r="BY183" i="65" s="1"/>
  <c r="BY184" i="65" s="1"/>
  <c r="BY185" i="65" s="1"/>
  <c r="BY186" i="65" s="1"/>
  <c r="BY187" i="65" s="1"/>
  <c r="BY188" i="65" s="1"/>
  <c r="BY189" i="65" s="1"/>
  <c r="BY190" i="65" s="1"/>
  <c r="BY191" i="65" s="1"/>
  <c r="BY192" i="65" s="1"/>
  <c r="BY193" i="65" s="1"/>
  <c r="BY194" i="65" s="1"/>
  <c r="BY195" i="65" s="1"/>
  <c r="BY196" i="65" s="1"/>
  <c r="BY197" i="65" s="1"/>
  <c r="BY198" i="65" s="1"/>
  <c r="BY199" i="65" s="1"/>
  <c r="BY200" i="65" s="1"/>
  <c r="BY201" i="65" s="1"/>
  <c r="BY202" i="65" s="1"/>
  <c r="BY203" i="65" s="1"/>
  <c r="BY204" i="65" s="1"/>
  <c r="BY205" i="65" s="1"/>
  <c r="BY206" i="65" s="1"/>
  <c r="BY207" i="65" s="1"/>
  <c r="BY208" i="65" s="1"/>
  <c r="BY209" i="65" s="1"/>
  <c r="BY210" i="65" s="1"/>
  <c r="BY211" i="65" s="1"/>
  <c r="BY212" i="65" s="1"/>
  <c r="BY213" i="65" s="1"/>
  <c r="BY214" i="65" s="1"/>
  <c r="BY215" i="65" s="1"/>
  <c r="BY216" i="65" s="1"/>
  <c r="BY217" i="65" s="1"/>
  <c r="BY218" i="65" s="1"/>
  <c r="BY219" i="65" s="1"/>
  <c r="BY220" i="65" s="1"/>
  <c r="BY221" i="65" s="1"/>
  <c r="BY222" i="65" s="1"/>
  <c r="BY223" i="65" s="1"/>
  <c r="BY224" i="65" s="1"/>
  <c r="BY225" i="65" s="1"/>
  <c r="BY226" i="65" s="1"/>
  <c r="BY227" i="65" s="1"/>
  <c r="BY228" i="65" s="1"/>
  <c r="BY229" i="65" s="1"/>
  <c r="BY230" i="65" s="1"/>
  <c r="BY231" i="65" s="1"/>
  <c r="BY232" i="65" s="1"/>
  <c r="BY233" i="65" s="1"/>
  <c r="BY234" i="65" s="1"/>
  <c r="P48" i="65"/>
  <c r="DY51" i="65"/>
  <c r="DZ53" i="65"/>
  <c r="EE57" i="65"/>
  <c r="ED59" i="65"/>
  <c r="EE60" i="65"/>
  <c r="EF61" i="65"/>
  <c r="EI41" i="65"/>
  <c r="BY143" i="65"/>
  <c r="CO143" i="65"/>
  <c r="CO144" i="65" s="1"/>
  <c r="CO145" i="65" s="1"/>
  <c r="CO146" i="65" s="1"/>
  <c r="CO147" i="65" s="1"/>
  <c r="CO148" i="65" s="1"/>
  <c r="CO149" i="65" s="1"/>
  <c r="CO150" i="65" s="1"/>
  <c r="CO151" i="65" s="1"/>
  <c r="CO152" i="65" s="1"/>
  <c r="CO153" i="65" s="1"/>
  <c r="CO154" i="65" s="1"/>
  <c r="CO155" i="65" s="1"/>
  <c r="CO156" i="65" s="1"/>
  <c r="CO157" i="65" s="1"/>
  <c r="CO158" i="65" s="1"/>
  <c r="CO159" i="65" s="1"/>
  <c r="CO160" i="65" s="1"/>
  <c r="CO161" i="65" s="1"/>
  <c r="CO162" i="65" s="1"/>
  <c r="CO163" i="65" s="1"/>
  <c r="CO164" i="65" s="1"/>
  <c r="CO165" i="65" s="1"/>
  <c r="CO166" i="65" s="1"/>
  <c r="CO167" i="65" s="1"/>
  <c r="CO168" i="65" s="1"/>
  <c r="CO169" i="65" s="1"/>
  <c r="CO170" i="65" s="1"/>
  <c r="CO171" i="65" s="1"/>
  <c r="CO172" i="65" s="1"/>
  <c r="CO173" i="65" s="1"/>
  <c r="CO174" i="65" s="1"/>
  <c r="CO175" i="65" s="1"/>
  <c r="CO176" i="65" s="1"/>
  <c r="CO177" i="65" s="1"/>
  <c r="CO178" i="65" s="1"/>
  <c r="CO179" i="65" s="1"/>
  <c r="CO180" i="65" s="1"/>
  <c r="CO181" i="65" s="1"/>
  <c r="CO182" i="65" s="1"/>
  <c r="CO183" i="65" s="1"/>
  <c r="CO184" i="65" s="1"/>
  <c r="CO185" i="65" s="1"/>
  <c r="CO186" i="65" s="1"/>
  <c r="CO187" i="65" s="1"/>
  <c r="CO188" i="65" s="1"/>
  <c r="CO189" i="65" s="1"/>
  <c r="CO190" i="65" s="1"/>
  <c r="CO191" i="65" s="1"/>
  <c r="CO192" i="65" s="1"/>
  <c r="CO193" i="65" s="1"/>
  <c r="CO194" i="65" s="1"/>
  <c r="CO195" i="65" s="1"/>
  <c r="CO196" i="65" s="1"/>
  <c r="CO197" i="65" s="1"/>
  <c r="CO198" i="65" s="1"/>
  <c r="CO199" i="65" s="1"/>
  <c r="CO200" i="65" s="1"/>
  <c r="CO201" i="65" s="1"/>
  <c r="CO202" i="65" s="1"/>
  <c r="CO203" i="65" s="1"/>
  <c r="CO204" i="65" s="1"/>
  <c r="CO205" i="65" s="1"/>
  <c r="CO206" i="65" s="1"/>
  <c r="CO207" i="65" s="1"/>
  <c r="CO208" i="65" s="1"/>
  <c r="CO209" i="65" s="1"/>
  <c r="CO210" i="65" s="1"/>
  <c r="CO211" i="65" s="1"/>
  <c r="CO212" i="65" s="1"/>
  <c r="CO213" i="65" s="1"/>
  <c r="CO214" i="65" s="1"/>
  <c r="CO215" i="65" s="1"/>
  <c r="CO216" i="65" s="1"/>
  <c r="CO217" i="65" s="1"/>
  <c r="CO218" i="65" s="1"/>
  <c r="CO219" i="65" s="1"/>
  <c r="CO220" i="65" s="1"/>
  <c r="CO221" i="65" s="1"/>
  <c r="CO222" i="65" s="1"/>
  <c r="CO223" i="65" s="1"/>
  <c r="CO224" i="65" s="1"/>
  <c r="CO225" i="65" s="1"/>
  <c r="CO226" i="65" s="1"/>
  <c r="CO227" i="65" s="1"/>
  <c r="CO228" i="65" s="1"/>
  <c r="CO229" i="65" s="1"/>
  <c r="CO230" i="65" s="1"/>
  <c r="CO231" i="65" s="1"/>
  <c r="CO232" i="65" s="1"/>
  <c r="CO233" i="65" s="1"/>
  <c r="CO234" i="65" s="1"/>
  <c r="EN46" i="65"/>
  <c r="P47" i="65"/>
  <c r="P51" i="65"/>
  <c r="EA53" i="65"/>
  <c r="EG56" i="65"/>
  <c r="EF57" i="65"/>
  <c r="EE58" i="65"/>
  <c r="AA107" i="65"/>
  <c r="AA108" i="65"/>
  <c r="AA106" i="65"/>
  <c r="M146" i="65"/>
  <c r="EF139" i="65"/>
  <c r="EH40" i="65"/>
  <c r="K141" i="65"/>
  <c r="K142" i="65" s="1"/>
  <c r="K143" i="65" s="1"/>
  <c r="K144" i="65" s="1"/>
  <c r="K145" i="65" s="1"/>
  <c r="K146" i="65" s="1"/>
  <c r="K147" i="65" s="1"/>
  <c r="K148" i="65" s="1"/>
  <c r="K149" i="65" s="1"/>
  <c r="K150" i="65" s="1"/>
  <c r="K151" i="65" s="1"/>
  <c r="K152" i="65" s="1"/>
  <c r="K153" i="65" s="1"/>
  <c r="K154" i="65" s="1"/>
  <c r="K155" i="65" s="1"/>
  <c r="K156" i="65" s="1"/>
  <c r="K157" i="65" s="1"/>
  <c r="K158" i="65" s="1"/>
  <c r="K159" i="65" s="1"/>
  <c r="K160" i="65" s="1"/>
  <c r="K161" i="65" s="1"/>
  <c r="K162" i="65" s="1"/>
  <c r="K163" i="65" s="1"/>
  <c r="K164" i="65" s="1"/>
  <c r="K165" i="65" s="1"/>
  <c r="K166" i="65" s="1"/>
  <c r="K167" i="65" s="1"/>
  <c r="K168" i="65" s="1"/>
  <c r="K169" i="65" s="1"/>
  <c r="K170" i="65" s="1"/>
  <c r="K171" i="65" s="1"/>
  <c r="K172" i="65" s="1"/>
  <c r="K173" i="65" s="1"/>
  <c r="K174" i="65" s="1"/>
  <c r="K175" i="65" s="1"/>
  <c r="K176" i="65" s="1"/>
  <c r="K177" i="65" s="1"/>
  <c r="K178" i="65" s="1"/>
  <c r="K179" i="65" s="1"/>
  <c r="K180" i="65" s="1"/>
  <c r="K181" i="65" s="1"/>
  <c r="K182" i="65" s="1"/>
  <c r="K183" i="65" s="1"/>
  <c r="K184" i="65" s="1"/>
  <c r="K185" i="65" s="1"/>
  <c r="K186" i="65" s="1"/>
  <c r="K187" i="65" s="1"/>
  <c r="K188" i="65" s="1"/>
  <c r="K189" i="65" s="1"/>
  <c r="K190" i="65" s="1"/>
  <c r="K191" i="65" s="1"/>
  <c r="K192" i="65" s="1"/>
  <c r="K193" i="65" s="1"/>
  <c r="K194" i="65" s="1"/>
  <c r="K195" i="65" s="1"/>
  <c r="K196" i="65" s="1"/>
  <c r="K197" i="65" s="1"/>
  <c r="K198" i="65" s="1"/>
  <c r="K199" i="65" s="1"/>
  <c r="K200" i="65" s="1"/>
  <c r="K201" i="65" s="1"/>
  <c r="K202" i="65" s="1"/>
  <c r="K203" i="65" s="1"/>
  <c r="K204" i="65" s="1"/>
  <c r="K205" i="65" s="1"/>
  <c r="K206" i="65" s="1"/>
  <c r="K207" i="65" s="1"/>
  <c r="K208" i="65" s="1"/>
  <c r="K209" i="65" s="1"/>
  <c r="K210" i="65" s="1"/>
  <c r="K211" i="65" s="1"/>
  <c r="K212" i="65" s="1"/>
  <c r="K213" i="65" s="1"/>
  <c r="K214" i="65" s="1"/>
  <c r="K215" i="65" s="1"/>
  <c r="K216" i="65" s="1"/>
  <c r="K217" i="65" s="1"/>
  <c r="K218" i="65" s="1"/>
  <c r="K219" i="65" s="1"/>
  <c r="K220" i="65" s="1"/>
  <c r="K221" i="65" s="1"/>
  <c r="K222" i="65" s="1"/>
  <c r="K223" i="65" s="1"/>
  <c r="K224" i="65" s="1"/>
  <c r="K225" i="65" s="1"/>
  <c r="K226" i="65" s="1"/>
  <c r="K227" i="65" s="1"/>
  <c r="K228" i="65" s="1"/>
  <c r="K229" i="65" s="1"/>
  <c r="K230" i="65" s="1"/>
  <c r="K231" i="65" s="1"/>
  <c r="K232" i="65" s="1"/>
  <c r="K233" i="65" s="1"/>
  <c r="K234" i="65" s="1"/>
  <c r="AA42" i="65"/>
  <c r="BG141" i="65"/>
  <c r="BG142" i="65" s="1"/>
  <c r="BG143" i="65" s="1"/>
  <c r="BG144" i="65" s="1"/>
  <c r="BG145" i="65" s="1"/>
  <c r="BG146" i="65" s="1"/>
  <c r="BG147" i="65" s="1"/>
  <c r="BG148" i="65" s="1"/>
  <c r="BG149" i="65" s="1"/>
  <c r="BG150" i="65" s="1"/>
  <c r="BG151" i="65" s="1"/>
  <c r="BG152" i="65" s="1"/>
  <c r="BG153" i="65" s="1"/>
  <c r="BG154" i="65" s="1"/>
  <c r="BG155" i="65" s="1"/>
  <c r="BG156" i="65" s="1"/>
  <c r="BG157" i="65" s="1"/>
  <c r="BG158" i="65" s="1"/>
  <c r="BG159" i="65" s="1"/>
  <c r="BG160" i="65" s="1"/>
  <c r="BG161" i="65" s="1"/>
  <c r="BG162" i="65" s="1"/>
  <c r="BG163" i="65" s="1"/>
  <c r="BG164" i="65" s="1"/>
  <c r="BG165" i="65" s="1"/>
  <c r="BG166" i="65" s="1"/>
  <c r="BG167" i="65" s="1"/>
  <c r="BG168" i="65" s="1"/>
  <c r="BG169" i="65" s="1"/>
  <c r="BG170" i="65" s="1"/>
  <c r="BG171" i="65" s="1"/>
  <c r="BG172" i="65" s="1"/>
  <c r="BG173" i="65" s="1"/>
  <c r="BG174" i="65" s="1"/>
  <c r="BG175" i="65" s="1"/>
  <c r="BG176" i="65" s="1"/>
  <c r="BG177" i="65" s="1"/>
  <c r="BG178" i="65" s="1"/>
  <c r="BG179" i="65" s="1"/>
  <c r="BG180" i="65" s="1"/>
  <c r="BG181" i="65" s="1"/>
  <c r="BG182" i="65" s="1"/>
  <c r="BG183" i="65" s="1"/>
  <c r="BG184" i="65" s="1"/>
  <c r="BG185" i="65" s="1"/>
  <c r="BG186" i="65" s="1"/>
  <c r="BG187" i="65" s="1"/>
  <c r="BG188" i="65" s="1"/>
  <c r="BG189" i="65" s="1"/>
  <c r="BG190" i="65" s="1"/>
  <c r="BG191" i="65" s="1"/>
  <c r="BG192" i="65" s="1"/>
  <c r="BG193" i="65" s="1"/>
  <c r="BG194" i="65" s="1"/>
  <c r="BG195" i="65" s="1"/>
  <c r="BG196" i="65" s="1"/>
  <c r="BG197" i="65" s="1"/>
  <c r="BG198" i="65" s="1"/>
  <c r="BG199" i="65" s="1"/>
  <c r="BG200" i="65" s="1"/>
  <c r="BG201" i="65" s="1"/>
  <c r="BG202" i="65" s="1"/>
  <c r="BG203" i="65" s="1"/>
  <c r="BG204" i="65" s="1"/>
  <c r="BG205" i="65" s="1"/>
  <c r="BG206" i="65" s="1"/>
  <c r="BG207" i="65" s="1"/>
  <c r="BG208" i="65" s="1"/>
  <c r="BG209" i="65" s="1"/>
  <c r="BG210" i="65" s="1"/>
  <c r="BG211" i="65" s="1"/>
  <c r="BG212" i="65" s="1"/>
  <c r="BG213" i="65" s="1"/>
  <c r="BG214" i="65" s="1"/>
  <c r="BG215" i="65" s="1"/>
  <c r="BG216" i="65" s="1"/>
  <c r="BG217" i="65" s="1"/>
  <c r="BG218" i="65" s="1"/>
  <c r="BG219" i="65" s="1"/>
  <c r="BG220" i="65" s="1"/>
  <c r="BG221" i="65" s="1"/>
  <c r="BG222" i="65" s="1"/>
  <c r="BG223" i="65" s="1"/>
  <c r="BG224" i="65" s="1"/>
  <c r="BG225" i="65" s="1"/>
  <c r="BG226" i="65" s="1"/>
  <c r="BG227" i="65" s="1"/>
  <c r="BG228" i="65" s="1"/>
  <c r="BG229" i="65" s="1"/>
  <c r="BG230" i="65" s="1"/>
  <c r="BG231" i="65" s="1"/>
  <c r="BG232" i="65" s="1"/>
  <c r="BG233" i="65" s="1"/>
  <c r="BG234" i="65" s="1"/>
  <c r="EG139" i="65"/>
  <c r="EI40" i="65"/>
  <c r="K140" i="65"/>
  <c r="AA41" i="65"/>
  <c r="AA140" i="65" s="1"/>
  <c r="AQ140" i="65"/>
  <c r="EM140" i="65" s="1"/>
  <c r="BG140" i="65"/>
  <c r="BW140" i="65"/>
  <c r="BW141" i="65" s="1"/>
  <c r="BW142" i="65" s="1"/>
  <c r="BW143" i="65" s="1"/>
  <c r="BW144" i="65" s="1"/>
  <c r="BW145" i="65" s="1"/>
  <c r="BW146" i="65" s="1"/>
  <c r="BW147" i="65" s="1"/>
  <c r="BW148" i="65" s="1"/>
  <c r="BW149" i="65" s="1"/>
  <c r="BW150" i="65" s="1"/>
  <c r="BW151" i="65" s="1"/>
  <c r="BW152" i="65" s="1"/>
  <c r="BW153" i="65" s="1"/>
  <c r="BW154" i="65" s="1"/>
  <c r="BW155" i="65" s="1"/>
  <c r="BW156" i="65" s="1"/>
  <c r="BW157" i="65" s="1"/>
  <c r="BW158" i="65" s="1"/>
  <c r="BW159" i="65" s="1"/>
  <c r="BW160" i="65" s="1"/>
  <c r="BW161" i="65" s="1"/>
  <c r="BW162" i="65" s="1"/>
  <c r="BW163" i="65" s="1"/>
  <c r="BW164" i="65" s="1"/>
  <c r="BW165" i="65" s="1"/>
  <c r="BW166" i="65" s="1"/>
  <c r="BW167" i="65" s="1"/>
  <c r="BW168" i="65" s="1"/>
  <c r="BW169" i="65" s="1"/>
  <c r="BW170" i="65" s="1"/>
  <c r="BW171" i="65" s="1"/>
  <c r="BW172" i="65" s="1"/>
  <c r="BW173" i="65" s="1"/>
  <c r="BW174" i="65" s="1"/>
  <c r="BW175" i="65" s="1"/>
  <c r="BW176" i="65" s="1"/>
  <c r="BW177" i="65" s="1"/>
  <c r="BW178" i="65" s="1"/>
  <c r="BW179" i="65" s="1"/>
  <c r="BW180" i="65" s="1"/>
  <c r="BW181" i="65" s="1"/>
  <c r="BW182" i="65" s="1"/>
  <c r="BW183" i="65" s="1"/>
  <c r="BW184" i="65" s="1"/>
  <c r="BW185" i="65" s="1"/>
  <c r="BW186" i="65" s="1"/>
  <c r="BW187" i="65" s="1"/>
  <c r="BW188" i="65" s="1"/>
  <c r="BW189" i="65" s="1"/>
  <c r="BW190" i="65" s="1"/>
  <c r="BW191" i="65" s="1"/>
  <c r="BW192" i="65" s="1"/>
  <c r="BW193" i="65" s="1"/>
  <c r="BW194" i="65" s="1"/>
  <c r="BW195" i="65" s="1"/>
  <c r="BW196" i="65" s="1"/>
  <c r="BW197" i="65" s="1"/>
  <c r="BW198" i="65" s="1"/>
  <c r="BW199" i="65" s="1"/>
  <c r="BW200" i="65" s="1"/>
  <c r="BW201" i="65" s="1"/>
  <c r="BW202" i="65" s="1"/>
  <c r="BW203" i="65" s="1"/>
  <c r="BW204" i="65" s="1"/>
  <c r="BW205" i="65" s="1"/>
  <c r="BW206" i="65" s="1"/>
  <c r="BW207" i="65" s="1"/>
  <c r="BW208" i="65" s="1"/>
  <c r="BW209" i="65" s="1"/>
  <c r="BW210" i="65" s="1"/>
  <c r="BW211" i="65" s="1"/>
  <c r="BW212" i="65" s="1"/>
  <c r="BW213" i="65" s="1"/>
  <c r="BW214" i="65" s="1"/>
  <c r="BW215" i="65" s="1"/>
  <c r="BW216" i="65" s="1"/>
  <c r="BW217" i="65" s="1"/>
  <c r="BW218" i="65" s="1"/>
  <c r="BW219" i="65" s="1"/>
  <c r="BW220" i="65" s="1"/>
  <c r="BW221" i="65" s="1"/>
  <c r="BW222" i="65" s="1"/>
  <c r="BW223" i="65" s="1"/>
  <c r="BW224" i="65" s="1"/>
  <c r="BW225" i="65" s="1"/>
  <c r="BW226" i="65" s="1"/>
  <c r="BW227" i="65" s="1"/>
  <c r="BW228" i="65" s="1"/>
  <c r="BW229" i="65" s="1"/>
  <c r="BW230" i="65" s="1"/>
  <c r="BW231" i="65" s="1"/>
  <c r="BW232" i="65" s="1"/>
  <c r="BW233" i="65" s="1"/>
  <c r="BW234" i="65" s="1"/>
  <c r="CM140" i="65"/>
  <c r="CM141" i="65" s="1"/>
  <c r="CM142" i="65" s="1"/>
  <c r="CM143" i="65" s="1"/>
  <c r="CM144" i="65" s="1"/>
  <c r="DC140" i="65"/>
  <c r="DC141" i="65" s="1"/>
  <c r="DC142" i="65" s="1"/>
  <c r="DC143" i="65" s="1"/>
  <c r="DC144" i="65" s="1"/>
  <c r="DC145" i="65" s="1"/>
  <c r="DC146" i="65" s="1"/>
  <c r="DC147" i="65" s="1"/>
  <c r="DC148" i="65" s="1"/>
  <c r="DC149" i="65" s="1"/>
  <c r="DC150" i="65" s="1"/>
  <c r="DC151" i="65" s="1"/>
  <c r="DC152" i="65" s="1"/>
  <c r="DC153" i="65" s="1"/>
  <c r="DC154" i="65" s="1"/>
  <c r="DC155" i="65" s="1"/>
  <c r="DC156" i="65" s="1"/>
  <c r="DC157" i="65" s="1"/>
  <c r="DC158" i="65" s="1"/>
  <c r="DC159" i="65" s="1"/>
  <c r="DC160" i="65" s="1"/>
  <c r="DC161" i="65" s="1"/>
  <c r="DC162" i="65" s="1"/>
  <c r="DC163" i="65" s="1"/>
  <c r="DC164" i="65" s="1"/>
  <c r="DC165" i="65" s="1"/>
  <c r="DC166" i="65" s="1"/>
  <c r="DC167" i="65" s="1"/>
  <c r="DC168" i="65" s="1"/>
  <c r="DC169" i="65" s="1"/>
  <c r="DC170" i="65" s="1"/>
  <c r="DC171" i="65" s="1"/>
  <c r="DC172" i="65" s="1"/>
  <c r="DC173" i="65" s="1"/>
  <c r="DC174" i="65" s="1"/>
  <c r="DC175" i="65" s="1"/>
  <c r="DC176" i="65" s="1"/>
  <c r="DC177" i="65" s="1"/>
  <c r="DC178" i="65" s="1"/>
  <c r="DC179" i="65" s="1"/>
  <c r="DC180" i="65" s="1"/>
  <c r="DC181" i="65" s="1"/>
  <c r="DC182" i="65" s="1"/>
  <c r="DC183" i="65" s="1"/>
  <c r="DC184" i="65" s="1"/>
  <c r="DC185" i="65" s="1"/>
  <c r="DC186" i="65" s="1"/>
  <c r="DC187" i="65" s="1"/>
  <c r="DC188" i="65" s="1"/>
  <c r="DC189" i="65" s="1"/>
  <c r="DC190" i="65" s="1"/>
  <c r="DC191" i="65" s="1"/>
  <c r="DC192" i="65" s="1"/>
  <c r="DC193" i="65" s="1"/>
  <c r="DC194" i="65" s="1"/>
  <c r="DC195" i="65" s="1"/>
  <c r="DC196" i="65" s="1"/>
  <c r="DC197" i="65" s="1"/>
  <c r="DC198" i="65" s="1"/>
  <c r="DC199" i="65" s="1"/>
  <c r="DC200" i="65" s="1"/>
  <c r="DC201" i="65" s="1"/>
  <c r="DC202" i="65" s="1"/>
  <c r="DC203" i="65" s="1"/>
  <c r="DC204" i="65" s="1"/>
  <c r="DC205" i="65" s="1"/>
  <c r="DC206" i="65" s="1"/>
  <c r="DC207" i="65" s="1"/>
  <c r="DC208" i="65" s="1"/>
  <c r="DC209" i="65" s="1"/>
  <c r="DC210" i="65" s="1"/>
  <c r="DC211" i="65" s="1"/>
  <c r="DC212" i="65" s="1"/>
  <c r="DC213" i="65" s="1"/>
  <c r="DC214" i="65" s="1"/>
  <c r="DC215" i="65" s="1"/>
  <c r="DC216" i="65" s="1"/>
  <c r="DC217" i="65" s="1"/>
  <c r="DC218" i="65" s="1"/>
  <c r="DC219" i="65" s="1"/>
  <c r="DC220" i="65" s="1"/>
  <c r="DC221" i="65" s="1"/>
  <c r="DC222" i="65" s="1"/>
  <c r="DC223" i="65" s="1"/>
  <c r="DC224" i="65" s="1"/>
  <c r="DC225" i="65" s="1"/>
  <c r="DC226" i="65" s="1"/>
  <c r="DC227" i="65" s="1"/>
  <c r="DC228" i="65" s="1"/>
  <c r="DC229" i="65" s="1"/>
  <c r="DC230" i="65" s="1"/>
  <c r="DC231" i="65" s="1"/>
  <c r="DC232" i="65" s="1"/>
  <c r="DC233" i="65" s="1"/>
  <c r="DC234" i="65" s="1"/>
  <c r="DS140" i="65"/>
  <c r="DS141" i="65" s="1"/>
  <c r="DS142" i="65" s="1"/>
  <c r="DS143" i="65" s="1"/>
  <c r="DS144" i="65" s="1"/>
  <c r="EJ41" i="65"/>
  <c r="L141" i="65"/>
  <c r="L142" i="65" s="1"/>
  <c r="L143" i="65" s="1"/>
  <c r="L144" i="65" s="1"/>
  <c r="L145" i="65" s="1"/>
  <c r="L146" i="65" s="1"/>
  <c r="L147" i="65" s="1"/>
  <c r="L148" i="65" s="1"/>
  <c r="L149" i="65" s="1"/>
  <c r="L150" i="65" s="1"/>
  <c r="L151" i="65" s="1"/>
  <c r="L152" i="65" s="1"/>
  <c r="L153" i="65" s="1"/>
  <c r="L154" i="65" s="1"/>
  <c r="L155" i="65" s="1"/>
  <c r="L156" i="65" s="1"/>
  <c r="L157" i="65" s="1"/>
  <c r="L158" i="65" s="1"/>
  <c r="L159" i="65" s="1"/>
  <c r="L160" i="65" s="1"/>
  <c r="L161" i="65" s="1"/>
  <c r="L162" i="65" s="1"/>
  <c r="L163" i="65" s="1"/>
  <c r="L164" i="65" s="1"/>
  <c r="L165" i="65" s="1"/>
  <c r="L166" i="65" s="1"/>
  <c r="L167" i="65" s="1"/>
  <c r="L168" i="65" s="1"/>
  <c r="L169" i="65" s="1"/>
  <c r="L170" i="65" s="1"/>
  <c r="L171" i="65" s="1"/>
  <c r="L172" i="65" s="1"/>
  <c r="L173" i="65" s="1"/>
  <c r="L174" i="65" s="1"/>
  <c r="L175" i="65" s="1"/>
  <c r="L176" i="65" s="1"/>
  <c r="L177" i="65" s="1"/>
  <c r="L178" i="65" s="1"/>
  <c r="L179" i="65" s="1"/>
  <c r="L180" i="65" s="1"/>
  <c r="L181" i="65" s="1"/>
  <c r="L182" i="65" s="1"/>
  <c r="L183" i="65" s="1"/>
  <c r="L184" i="65" s="1"/>
  <c r="L185" i="65" s="1"/>
  <c r="L186" i="65" s="1"/>
  <c r="L187" i="65" s="1"/>
  <c r="L188" i="65" s="1"/>
  <c r="L189" i="65" s="1"/>
  <c r="L190" i="65" s="1"/>
  <c r="L191" i="65" s="1"/>
  <c r="L192" i="65" s="1"/>
  <c r="L193" i="65" s="1"/>
  <c r="L194" i="65" s="1"/>
  <c r="L195" i="65" s="1"/>
  <c r="L196" i="65" s="1"/>
  <c r="L197" i="65" s="1"/>
  <c r="L198" i="65" s="1"/>
  <c r="L199" i="65" s="1"/>
  <c r="L200" i="65" s="1"/>
  <c r="L201" i="65" s="1"/>
  <c r="L202" i="65" s="1"/>
  <c r="L203" i="65" s="1"/>
  <c r="L204" i="65" s="1"/>
  <c r="L205" i="65" s="1"/>
  <c r="L206" i="65" s="1"/>
  <c r="L207" i="65" s="1"/>
  <c r="L208" i="65" s="1"/>
  <c r="L209" i="65" s="1"/>
  <c r="L210" i="65" s="1"/>
  <c r="L211" i="65" s="1"/>
  <c r="L212" i="65" s="1"/>
  <c r="L213" i="65" s="1"/>
  <c r="L214" i="65" s="1"/>
  <c r="L215" i="65" s="1"/>
  <c r="L216" i="65" s="1"/>
  <c r="L217" i="65" s="1"/>
  <c r="L218" i="65" s="1"/>
  <c r="L219" i="65" s="1"/>
  <c r="L220" i="65" s="1"/>
  <c r="L221" i="65" s="1"/>
  <c r="L222" i="65" s="1"/>
  <c r="L223" i="65" s="1"/>
  <c r="L224" i="65" s="1"/>
  <c r="L225" i="65" s="1"/>
  <c r="L226" i="65" s="1"/>
  <c r="L227" i="65" s="1"/>
  <c r="L228" i="65" s="1"/>
  <c r="L229" i="65" s="1"/>
  <c r="L230" i="65" s="1"/>
  <c r="L231" i="65" s="1"/>
  <c r="L232" i="65" s="1"/>
  <c r="L233" i="65" s="1"/>
  <c r="L234" i="65" s="1"/>
  <c r="AB141" i="65"/>
  <c r="AB142" i="65" s="1"/>
  <c r="AB143" i="65" s="1"/>
  <c r="AB144" i="65" s="1"/>
  <c r="AB145" i="65" s="1"/>
  <c r="AB146" i="65" s="1"/>
  <c r="AB147" i="65" s="1"/>
  <c r="AB148" i="65" s="1"/>
  <c r="AR141" i="65"/>
  <c r="EN141" i="65" s="1"/>
  <c r="BH141" i="65"/>
  <c r="BH142" i="65" s="1"/>
  <c r="BH143" i="65" s="1"/>
  <c r="BH144" i="65" s="1"/>
  <c r="BX141" i="65"/>
  <c r="BX142" i="65" s="1"/>
  <c r="BX143" i="65" s="1"/>
  <c r="BX144" i="65" s="1"/>
  <c r="BX145" i="65" s="1"/>
  <c r="CN141" i="65"/>
  <c r="CN142" i="65" s="1"/>
  <c r="CN143" i="65" s="1"/>
  <c r="CN144" i="65" s="1"/>
  <c r="CN145" i="65" s="1"/>
  <c r="CN146" i="65" s="1"/>
  <c r="CN147" i="65" s="1"/>
  <c r="CN148" i="65" s="1"/>
  <c r="CN149" i="65" s="1"/>
  <c r="CN150" i="65" s="1"/>
  <c r="CN151" i="65" s="1"/>
  <c r="CN152" i="65" s="1"/>
  <c r="CN153" i="65" s="1"/>
  <c r="CN154" i="65" s="1"/>
  <c r="CN155" i="65" s="1"/>
  <c r="CN156" i="65" s="1"/>
  <c r="CN157" i="65" s="1"/>
  <c r="CN158" i="65" s="1"/>
  <c r="CN159" i="65" s="1"/>
  <c r="CN160" i="65" s="1"/>
  <c r="CN161" i="65" s="1"/>
  <c r="CN162" i="65" s="1"/>
  <c r="CN163" i="65" s="1"/>
  <c r="CN164" i="65" s="1"/>
  <c r="CN165" i="65" s="1"/>
  <c r="CN166" i="65" s="1"/>
  <c r="CN167" i="65" s="1"/>
  <c r="CN168" i="65" s="1"/>
  <c r="CN169" i="65" s="1"/>
  <c r="DD141" i="65"/>
  <c r="DD142" i="65" s="1"/>
  <c r="DD143" i="65" s="1"/>
  <c r="DD144" i="65" s="1"/>
  <c r="DD145" i="65" s="1"/>
  <c r="DD146" i="65" s="1"/>
  <c r="DD147" i="65" s="1"/>
  <c r="DD148" i="65" s="1"/>
  <c r="DD149" i="65" s="1"/>
  <c r="DD150" i="65" s="1"/>
  <c r="DD151" i="65" s="1"/>
  <c r="DD152" i="65" s="1"/>
  <c r="DD153" i="65" s="1"/>
  <c r="DD154" i="65" s="1"/>
  <c r="DD155" i="65" s="1"/>
  <c r="DD156" i="65" s="1"/>
  <c r="DD157" i="65" s="1"/>
  <c r="DD158" i="65" s="1"/>
  <c r="DD159" i="65" s="1"/>
  <c r="DD160" i="65" s="1"/>
  <c r="DD161" i="65" s="1"/>
  <c r="DD162" i="65" s="1"/>
  <c r="DD163" i="65" s="1"/>
  <c r="DD164" i="65" s="1"/>
  <c r="DD165" i="65" s="1"/>
  <c r="DD166" i="65" s="1"/>
  <c r="DD167" i="65" s="1"/>
  <c r="DD168" i="65" s="1"/>
  <c r="DD169" i="65" s="1"/>
  <c r="DD170" i="65" s="1"/>
  <c r="DD171" i="65" s="1"/>
  <c r="DD172" i="65" s="1"/>
  <c r="DD173" i="65" s="1"/>
  <c r="DD174" i="65" s="1"/>
  <c r="DD175" i="65" s="1"/>
  <c r="DD176" i="65" s="1"/>
  <c r="DD177" i="65" s="1"/>
  <c r="DD178" i="65" s="1"/>
  <c r="DD179" i="65" s="1"/>
  <c r="DD180" i="65" s="1"/>
  <c r="DD181" i="65" s="1"/>
  <c r="DD182" i="65" s="1"/>
  <c r="DD183" i="65" s="1"/>
  <c r="DD184" i="65" s="1"/>
  <c r="DD185" i="65" s="1"/>
  <c r="DD186" i="65" s="1"/>
  <c r="DD187" i="65" s="1"/>
  <c r="DD188" i="65" s="1"/>
  <c r="DD189" i="65" s="1"/>
  <c r="DD190" i="65" s="1"/>
  <c r="DD191" i="65" s="1"/>
  <c r="DD192" i="65" s="1"/>
  <c r="DD193" i="65" s="1"/>
  <c r="DD194" i="65" s="1"/>
  <c r="DD195" i="65" s="1"/>
  <c r="DD196" i="65" s="1"/>
  <c r="DD197" i="65" s="1"/>
  <c r="DD198" i="65" s="1"/>
  <c r="DD199" i="65" s="1"/>
  <c r="DD200" i="65" s="1"/>
  <c r="DD201" i="65" s="1"/>
  <c r="DD202" i="65" s="1"/>
  <c r="DD203" i="65" s="1"/>
  <c r="DD204" i="65" s="1"/>
  <c r="DD205" i="65" s="1"/>
  <c r="DD206" i="65" s="1"/>
  <c r="DD207" i="65" s="1"/>
  <c r="DD208" i="65" s="1"/>
  <c r="DD209" i="65" s="1"/>
  <c r="DD210" i="65" s="1"/>
  <c r="DD211" i="65" s="1"/>
  <c r="DD212" i="65" s="1"/>
  <c r="DD213" i="65" s="1"/>
  <c r="DD214" i="65" s="1"/>
  <c r="DD215" i="65" s="1"/>
  <c r="DD216" i="65" s="1"/>
  <c r="DD217" i="65" s="1"/>
  <c r="DD218" i="65" s="1"/>
  <c r="DD219" i="65" s="1"/>
  <c r="DD220" i="65" s="1"/>
  <c r="DD221" i="65" s="1"/>
  <c r="DD222" i="65" s="1"/>
  <c r="DD223" i="65" s="1"/>
  <c r="DD224" i="65" s="1"/>
  <c r="DD225" i="65" s="1"/>
  <c r="DD226" i="65" s="1"/>
  <c r="DD227" i="65" s="1"/>
  <c r="DD228" i="65" s="1"/>
  <c r="DD229" i="65" s="1"/>
  <c r="DD230" i="65" s="1"/>
  <c r="DD231" i="65" s="1"/>
  <c r="DD232" i="65" s="1"/>
  <c r="DD233" i="65" s="1"/>
  <c r="DD234" i="65" s="1"/>
  <c r="DT141" i="65"/>
  <c r="DT142" i="65" s="1"/>
  <c r="DT143" i="65" s="1"/>
  <c r="DT144" i="65" s="1"/>
  <c r="DT145" i="65" s="1"/>
  <c r="DT146" i="65" s="1"/>
  <c r="DT147" i="65" s="1"/>
  <c r="DT148" i="65" s="1"/>
  <c r="EK42" i="65"/>
  <c r="M142" i="65"/>
  <c r="M143" i="65" s="1"/>
  <c r="M144" i="65" s="1"/>
  <c r="M145" i="65" s="1"/>
  <c r="AC142" i="65"/>
  <c r="AC143" i="65" s="1"/>
  <c r="AC144" i="65" s="1"/>
  <c r="AC145" i="65" s="1"/>
  <c r="AC146" i="65" s="1"/>
  <c r="AC147" i="65" s="1"/>
  <c r="AC148" i="65" s="1"/>
  <c r="AC149" i="65" s="1"/>
  <c r="AC150" i="65" s="1"/>
  <c r="AC151" i="65" s="1"/>
  <c r="AC152" i="65" s="1"/>
  <c r="AS142" i="65"/>
  <c r="BI142" i="65"/>
  <c r="BI143" i="65" s="1"/>
  <c r="BI144" i="65" s="1"/>
  <c r="BI145" i="65" s="1"/>
  <c r="BI146" i="65" s="1"/>
  <c r="BY142" i="65"/>
  <c r="CO142" i="65"/>
  <c r="DE142" i="65"/>
  <c r="DE143" i="65" s="1"/>
  <c r="DE144" i="65" s="1"/>
  <c r="DE145" i="65" s="1"/>
  <c r="DE146" i="65" s="1"/>
  <c r="DE147" i="65" s="1"/>
  <c r="DE148" i="65" s="1"/>
  <c r="DE149" i="65" s="1"/>
  <c r="DE150" i="65" s="1"/>
  <c r="DE151" i="65" s="1"/>
  <c r="DE152" i="65" s="1"/>
  <c r="DE153" i="65" s="1"/>
  <c r="DE154" i="65" s="1"/>
  <c r="DE155" i="65" s="1"/>
  <c r="DE156" i="65" s="1"/>
  <c r="DE157" i="65" s="1"/>
  <c r="DE158" i="65" s="1"/>
  <c r="DE159" i="65" s="1"/>
  <c r="DE160" i="65" s="1"/>
  <c r="DE161" i="65" s="1"/>
  <c r="DE162" i="65" s="1"/>
  <c r="DE163" i="65" s="1"/>
  <c r="DE164" i="65" s="1"/>
  <c r="DE165" i="65" s="1"/>
  <c r="DE166" i="65" s="1"/>
  <c r="DE167" i="65" s="1"/>
  <c r="DE168" i="65" s="1"/>
  <c r="DE169" i="65" s="1"/>
  <c r="DE170" i="65" s="1"/>
  <c r="DE171" i="65" s="1"/>
  <c r="DE172" i="65" s="1"/>
  <c r="DE173" i="65" s="1"/>
  <c r="DE174" i="65" s="1"/>
  <c r="DE175" i="65" s="1"/>
  <c r="DE176" i="65" s="1"/>
  <c r="DE177" i="65" s="1"/>
  <c r="DE178" i="65" s="1"/>
  <c r="DE179" i="65" s="1"/>
  <c r="DE180" i="65" s="1"/>
  <c r="DE181" i="65" s="1"/>
  <c r="DE182" i="65" s="1"/>
  <c r="DE183" i="65" s="1"/>
  <c r="DE184" i="65" s="1"/>
  <c r="DE185" i="65" s="1"/>
  <c r="DE186" i="65" s="1"/>
  <c r="DE187" i="65" s="1"/>
  <c r="DE188" i="65" s="1"/>
  <c r="DE189" i="65" s="1"/>
  <c r="DE190" i="65" s="1"/>
  <c r="DE191" i="65" s="1"/>
  <c r="DE192" i="65" s="1"/>
  <c r="DE193" i="65" s="1"/>
  <c r="DE194" i="65" s="1"/>
  <c r="DE195" i="65" s="1"/>
  <c r="DE196" i="65" s="1"/>
  <c r="DE197" i="65" s="1"/>
  <c r="DE198" i="65" s="1"/>
  <c r="DE199" i="65" s="1"/>
  <c r="DE200" i="65" s="1"/>
  <c r="DE201" i="65" s="1"/>
  <c r="DE202" i="65" s="1"/>
  <c r="DE203" i="65" s="1"/>
  <c r="DE204" i="65" s="1"/>
  <c r="DE205" i="65" s="1"/>
  <c r="DE206" i="65" s="1"/>
  <c r="DE207" i="65" s="1"/>
  <c r="DE208" i="65" s="1"/>
  <c r="DE209" i="65" s="1"/>
  <c r="DE210" i="65" s="1"/>
  <c r="DE211" i="65" s="1"/>
  <c r="DE212" i="65" s="1"/>
  <c r="DE213" i="65" s="1"/>
  <c r="DE214" i="65" s="1"/>
  <c r="DE215" i="65" s="1"/>
  <c r="DE216" i="65" s="1"/>
  <c r="DE217" i="65" s="1"/>
  <c r="DE218" i="65" s="1"/>
  <c r="DE219" i="65" s="1"/>
  <c r="DE220" i="65" s="1"/>
  <c r="DE221" i="65" s="1"/>
  <c r="DE222" i="65" s="1"/>
  <c r="DE223" i="65" s="1"/>
  <c r="DE224" i="65" s="1"/>
  <c r="DE225" i="65" s="1"/>
  <c r="DE226" i="65" s="1"/>
  <c r="DE227" i="65" s="1"/>
  <c r="DE228" i="65" s="1"/>
  <c r="DE229" i="65" s="1"/>
  <c r="DE230" i="65" s="1"/>
  <c r="DE231" i="65" s="1"/>
  <c r="DE232" i="65" s="1"/>
  <c r="DE233" i="65" s="1"/>
  <c r="DE234" i="65" s="1"/>
  <c r="DU142" i="65"/>
  <c r="DU143" i="65" s="1"/>
  <c r="DU144" i="65" s="1"/>
  <c r="DU145" i="65" s="1"/>
  <c r="DU146" i="65" s="1"/>
  <c r="DU147" i="65" s="1"/>
  <c r="DU148" i="65" s="1"/>
  <c r="DU149" i="65" s="1"/>
  <c r="DU150" i="65" s="1"/>
  <c r="DU151" i="65" s="1"/>
  <c r="DU152" i="65" s="1"/>
  <c r="DU153" i="65" s="1"/>
  <c r="DU154" i="65" s="1"/>
  <c r="DU155" i="65" s="1"/>
  <c r="DU156" i="65" s="1"/>
  <c r="DU157" i="65" s="1"/>
  <c r="DU158" i="65" s="1"/>
  <c r="DU159" i="65" s="1"/>
  <c r="DU160" i="65" s="1"/>
  <c r="DU161" i="65" s="1"/>
  <c r="DU162" i="65" s="1"/>
  <c r="DU163" i="65" s="1"/>
  <c r="DU164" i="65" s="1"/>
  <c r="DU165" i="65" s="1"/>
  <c r="DU166" i="65" s="1"/>
  <c r="DU167" i="65" s="1"/>
  <c r="DU168" i="65" s="1"/>
  <c r="DU169" i="65" s="1"/>
  <c r="DU170" i="65" s="1"/>
  <c r="DU171" i="65" s="1"/>
  <c r="DU172" i="65" s="1"/>
  <c r="DU173" i="65" s="1"/>
  <c r="DU174" i="65" s="1"/>
  <c r="DU175" i="65" s="1"/>
  <c r="DU176" i="65" s="1"/>
  <c r="DU177" i="65" s="1"/>
  <c r="DU178" i="65" s="1"/>
  <c r="DU179" i="65" s="1"/>
  <c r="DU180" i="65" s="1"/>
  <c r="DU181" i="65" s="1"/>
  <c r="DU182" i="65" s="1"/>
  <c r="DU183" i="65" s="1"/>
  <c r="DU184" i="65" s="1"/>
  <c r="DU185" i="65" s="1"/>
  <c r="DU186" i="65" s="1"/>
  <c r="DU187" i="65" s="1"/>
  <c r="DU188" i="65" s="1"/>
  <c r="DU189" i="65" s="1"/>
  <c r="DU190" i="65" s="1"/>
  <c r="DU191" i="65" s="1"/>
  <c r="DU192" i="65" s="1"/>
  <c r="DU193" i="65" s="1"/>
  <c r="DU194" i="65" s="1"/>
  <c r="DU195" i="65" s="1"/>
  <c r="DU196" i="65" s="1"/>
  <c r="DU197" i="65" s="1"/>
  <c r="DU198" i="65" s="1"/>
  <c r="DU199" i="65" s="1"/>
  <c r="DU200" i="65" s="1"/>
  <c r="DU201" i="65" s="1"/>
  <c r="DU202" i="65" s="1"/>
  <c r="DU203" i="65" s="1"/>
  <c r="DU204" i="65" s="1"/>
  <c r="DU205" i="65" s="1"/>
  <c r="DU206" i="65" s="1"/>
  <c r="DU207" i="65" s="1"/>
  <c r="DU208" i="65" s="1"/>
  <c r="DU209" i="65" s="1"/>
  <c r="DU210" i="65" s="1"/>
  <c r="DU211" i="65" s="1"/>
  <c r="DU212" i="65" s="1"/>
  <c r="DU213" i="65" s="1"/>
  <c r="DU214" i="65" s="1"/>
  <c r="DU215" i="65" s="1"/>
  <c r="DU216" i="65" s="1"/>
  <c r="DU217" i="65" s="1"/>
  <c r="DU218" i="65" s="1"/>
  <c r="DU219" i="65" s="1"/>
  <c r="DU220" i="65" s="1"/>
  <c r="DU221" i="65" s="1"/>
  <c r="DU222" i="65" s="1"/>
  <c r="DU223" i="65" s="1"/>
  <c r="DU224" i="65" s="1"/>
  <c r="DU225" i="65" s="1"/>
  <c r="DU226" i="65" s="1"/>
  <c r="DU227" i="65" s="1"/>
  <c r="DU228" i="65" s="1"/>
  <c r="DU229" i="65" s="1"/>
  <c r="DU230" i="65" s="1"/>
  <c r="DU231" i="65" s="1"/>
  <c r="DU232" i="65" s="1"/>
  <c r="DU233" i="65" s="1"/>
  <c r="DU234" i="65" s="1"/>
  <c r="EL43" i="65"/>
  <c r="EM44" i="65"/>
  <c r="O144" i="65"/>
  <c r="O145" i="65" s="1"/>
  <c r="O146" i="65" s="1"/>
  <c r="O147" i="65" s="1"/>
  <c r="O148" i="65" s="1"/>
  <c r="O149" i="65" s="1"/>
  <c r="O150" i="65" s="1"/>
  <c r="O151" i="65" s="1"/>
  <c r="O152" i="65" s="1"/>
  <c r="O153" i="65" s="1"/>
  <c r="O154" i="65" s="1"/>
  <c r="O155" i="65" s="1"/>
  <c r="O156" i="65" s="1"/>
  <c r="O157" i="65" s="1"/>
  <c r="O158" i="65" s="1"/>
  <c r="O159" i="65" s="1"/>
  <c r="O160" i="65" s="1"/>
  <c r="O161" i="65" s="1"/>
  <c r="O162" i="65" s="1"/>
  <c r="O163" i="65" s="1"/>
  <c r="O164" i="65" s="1"/>
  <c r="O165" i="65" s="1"/>
  <c r="O166" i="65" s="1"/>
  <c r="O167" i="65" s="1"/>
  <c r="O168" i="65" s="1"/>
  <c r="O169" i="65" s="1"/>
  <c r="O170" i="65" s="1"/>
  <c r="O171" i="65" s="1"/>
  <c r="O172" i="65" s="1"/>
  <c r="O173" i="65" s="1"/>
  <c r="O174" i="65" s="1"/>
  <c r="O175" i="65" s="1"/>
  <c r="O176" i="65" s="1"/>
  <c r="O177" i="65" s="1"/>
  <c r="O178" i="65" s="1"/>
  <c r="O179" i="65" s="1"/>
  <c r="O180" i="65" s="1"/>
  <c r="O181" i="65" s="1"/>
  <c r="O182" i="65" s="1"/>
  <c r="O183" i="65" s="1"/>
  <c r="O184" i="65" s="1"/>
  <c r="O185" i="65" s="1"/>
  <c r="O186" i="65" s="1"/>
  <c r="O187" i="65" s="1"/>
  <c r="O188" i="65" s="1"/>
  <c r="O189" i="65" s="1"/>
  <c r="O190" i="65" s="1"/>
  <c r="O191" i="65" s="1"/>
  <c r="O192" i="65" s="1"/>
  <c r="O193" i="65" s="1"/>
  <c r="O194" i="65" s="1"/>
  <c r="O195" i="65" s="1"/>
  <c r="O196" i="65" s="1"/>
  <c r="O197" i="65" s="1"/>
  <c r="O198" i="65" s="1"/>
  <c r="O199" i="65" s="1"/>
  <c r="O200" i="65" s="1"/>
  <c r="O201" i="65" s="1"/>
  <c r="O202" i="65" s="1"/>
  <c r="O203" i="65" s="1"/>
  <c r="O204" i="65" s="1"/>
  <c r="O205" i="65" s="1"/>
  <c r="O206" i="65" s="1"/>
  <c r="O207" i="65" s="1"/>
  <c r="O208" i="65" s="1"/>
  <c r="O209" i="65" s="1"/>
  <c r="O210" i="65" s="1"/>
  <c r="O211" i="65" s="1"/>
  <c r="O212" i="65" s="1"/>
  <c r="O213" i="65" s="1"/>
  <c r="O214" i="65" s="1"/>
  <c r="O215" i="65" s="1"/>
  <c r="O216" i="65" s="1"/>
  <c r="O217" i="65" s="1"/>
  <c r="O218" i="65" s="1"/>
  <c r="O219" i="65" s="1"/>
  <c r="O220" i="65" s="1"/>
  <c r="O221" i="65" s="1"/>
  <c r="O222" i="65" s="1"/>
  <c r="O223" i="65" s="1"/>
  <c r="O224" i="65" s="1"/>
  <c r="O225" i="65" s="1"/>
  <c r="O226" i="65" s="1"/>
  <c r="O227" i="65" s="1"/>
  <c r="O228" i="65" s="1"/>
  <c r="O229" i="65" s="1"/>
  <c r="O230" i="65" s="1"/>
  <c r="O231" i="65" s="1"/>
  <c r="O232" i="65" s="1"/>
  <c r="O233" i="65" s="1"/>
  <c r="O234" i="65" s="1"/>
  <c r="EN45" i="65"/>
  <c r="EO46" i="65"/>
  <c r="EP47" i="65"/>
  <c r="ER48" i="65"/>
  <c r="DX51" i="65"/>
  <c r="EB53" i="65"/>
  <c r="DY54" i="65"/>
  <c r="EN56" i="65"/>
  <c r="EG57" i="65"/>
  <c r="EF58" i="65"/>
  <c r="EF59" i="65"/>
  <c r="EG60" i="65"/>
  <c r="EF63" i="65"/>
  <c r="EA47" i="65"/>
  <c r="EQ47" i="65"/>
  <c r="EB48" i="65"/>
  <c r="EE49" i="65"/>
  <c r="EC53" i="65"/>
  <c r="EG58" i="65"/>
  <c r="EG59" i="65"/>
  <c r="EE62" i="65"/>
  <c r="EG63" i="65"/>
  <c r="DY65" i="65"/>
  <c r="DX65" i="65"/>
  <c r="AA76" i="65"/>
  <c r="AA77" i="65"/>
  <c r="AA78" i="65"/>
  <c r="BT141" i="65"/>
  <c r="BT142" i="65" s="1"/>
  <c r="BT143" i="65" s="1"/>
  <c r="BT144" i="65" s="1"/>
  <c r="BT145" i="65" s="1"/>
  <c r="BT146" i="65" s="1"/>
  <c r="BT147" i="65" s="1"/>
  <c r="BT148" i="65" s="1"/>
  <c r="BT149" i="65" s="1"/>
  <c r="BT150" i="65" s="1"/>
  <c r="BT151" i="65" s="1"/>
  <c r="BT152" i="65" s="1"/>
  <c r="BT153" i="65" s="1"/>
  <c r="BT154" i="65" s="1"/>
  <c r="BT155" i="65" s="1"/>
  <c r="BT156" i="65" s="1"/>
  <c r="BT157" i="65" s="1"/>
  <c r="BT158" i="65" s="1"/>
  <c r="BT159" i="65" s="1"/>
  <c r="BT160" i="65" s="1"/>
  <c r="BT161" i="65" s="1"/>
  <c r="BT162" i="65" s="1"/>
  <c r="BT163" i="65" s="1"/>
  <c r="BT164" i="65" s="1"/>
  <c r="BT165" i="65" s="1"/>
  <c r="BT166" i="65" s="1"/>
  <c r="BT167" i="65" s="1"/>
  <c r="BT168" i="65" s="1"/>
  <c r="BT169" i="65" s="1"/>
  <c r="BT170" i="65" s="1"/>
  <c r="BT171" i="65" s="1"/>
  <c r="BT172" i="65" s="1"/>
  <c r="BT173" i="65" s="1"/>
  <c r="BT174" i="65" s="1"/>
  <c r="BT175" i="65" s="1"/>
  <c r="BT176" i="65" s="1"/>
  <c r="BT177" i="65" s="1"/>
  <c r="BT178" i="65" s="1"/>
  <c r="BT179" i="65" s="1"/>
  <c r="BT180" i="65" s="1"/>
  <c r="BT181" i="65" s="1"/>
  <c r="BT182" i="65" s="1"/>
  <c r="BT183" i="65" s="1"/>
  <c r="BT184" i="65" s="1"/>
  <c r="BT185" i="65" s="1"/>
  <c r="BT186" i="65" s="1"/>
  <c r="BT187" i="65" s="1"/>
  <c r="BT188" i="65" s="1"/>
  <c r="BT189" i="65" s="1"/>
  <c r="BT190" i="65" s="1"/>
  <c r="BT191" i="65" s="1"/>
  <c r="BT192" i="65" s="1"/>
  <c r="BT193" i="65" s="1"/>
  <c r="BT194" i="65" s="1"/>
  <c r="BT195" i="65" s="1"/>
  <c r="BT196" i="65" s="1"/>
  <c r="BT197" i="65" s="1"/>
  <c r="BT198" i="65" s="1"/>
  <c r="BT199" i="65" s="1"/>
  <c r="BT200" i="65" s="1"/>
  <c r="BT201" i="65" s="1"/>
  <c r="BT202" i="65" s="1"/>
  <c r="BT203" i="65" s="1"/>
  <c r="BT204" i="65" s="1"/>
  <c r="BT205" i="65" s="1"/>
  <c r="BT206" i="65" s="1"/>
  <c r="BT207" i="65" s="1"/>
  <c r="BT208" i="65" s="1"/>
  <c r="BT209" i="65" s="1"/>
  <c r="BT210" i="65" s="1"/>
  <c r="BT211" i="65" s="1"/>
  <c r="BT212" i="65" s="1"/>
  <c r="BT213" i="65" s="1"/>
  <c r="BT214" i="65" s="1"/>
  <c r="BT215" i="65" s="1"/>
  <c r="BT216" i="65" s="1"/>
  <c r="BT217" i="65" s="1"/>
  <c r="BT218" i="65" s="1"/>
  <c r="BT219" i="65" s="1"/>
  <c r="BT220" i="65" s="1"/>
  <c r="BT221" i="65" s="1"/>
  <c r="BT222" i="65" s="1"/>
  <c r="BT223" i="65" s="1"/>
  <c r="BT224" i="65" s="1"/>
  <c r="BT225" i="65" s="1"/>
  <c r="BT226" i="65" s="1"/>
  <c r="BT227" i="65" s="1"/>
  <c r="BT228" i="65" s="1"/>
  <c r="BT229" i="65" s="1"/>
  <c r="BT230" i="65" s="1"/>
  <c r="BT231" i="65" s="1"/>
  <c r="BT232" i="65" s="1"/>
  <c r="BT233" i="65" s="1"/>
  <c r="BT234" i="65" s="1"/>
  <c r="AA45" i="65"/>
  <c r="EL41" i="65"/>
  <c r="AT141" i="65"/>
  <c r="BJ141" i="65"/>
  <c r="EM42" i="65"/>
  <c r="EN43" i="65"/>
  <c r="P44" i="65"/>
  <c r="EO44" i="65"/>
  <c r="EP45" i="65"/>
  <c r="EQ46" i="65"/>
  <c r="ER47" i="65"/>
  <c r="AA50" i="65"/>
  <c r="DW50" i="65" s="1"/>
  <c r="EM50" i="65"/>
  <c r="DZ51" i="65"/>
  <c r="EO52" i="65"/>
  <c r="EA54" i="65"/>
  <c r="P55" i="65"/>
  <c r="ER55" i="65"/>
  <c r="EA55" i="65"/>
  <c r="ED61" i="65"/>
  <c r="EF62" i="65"/>
  <c r="AA94" i="65"/>
  <c r="AA95" i="65"/>
  <c r="AA96" i="65"/>
  <c r="BJ142" i="65"/>
  <c r="BJ143" i="65" s="1"/>
  <c r="BJ144" i="65" s="1"/>
  <c r="BJ145" i="65" s="1"/>
  <c r="BJ146" i="65" s="1"/>
  <c r="BJ147" i="65" s="1"/>
  <c r="BJ148" i="65" s="1"/>
  <c r="BJ149" i="65" s="1"/>
  <c r="BJ150" i="65" s="1"/>
  <c r="BJ151" i="65" s="1"/>
  <c r="BJ152" i="65" s="1"/>
  <c r="BJ153" i="65" s="1"/>
  <c r="BJ154" i="65" s="1"/>
  <c r="BJ155" i="65" s="1"/>
  <c r="BJ156" i="65" s="1"/>
  <c r="BJ157" i="65" s="1"/>
  <c r="BJ158" i="65" s="1"/>
  <c r="BJ159" i="65" s="1"/>
  <c r="BJ160" i="65" s="1"/>
  <c r="BJ161" i="65" s="1"/>
  <c r="BJ162" i="65" s="1"/>
  <c r="BJ163" i="65" s="1"/>
  <c r="BJ164" i="65" s="1"/>
  <c r="BJ165" i="65" s="1"/>
  <c r="BJ166" i="65" s="1"/>
  <c r="BJ167" i="65" s="1"/>
  <c r="BJ168" i="65" s="1"/>
  <c r="BJ169" i="65" s="1"/>
  <c r="BJ170" i="65" s="1"/>
  <c r="BJ171" i="65" s="1"/>
  <c r="BJ172" i="65" s="1"/>
  <c r="BJ173" i="65" s="1"/>
  <c r="BJ174" i="65" s="1"/>
  <c r="BJ175" i="65" s="1"/>
  <c r="BJ176" i="65" s="1"/>
  <c r="BJ177" i="65" s="1"/>
  <c r="BJ178" i="65" s="1"/>
  <c r="BJ179" i="65" s="1"/>
  <c r="BJ180" i="65" s="1"/>
  <c r="BJ181" i="65" s="1"/>
  <c r="BJ182" i="65" s="1"/>
  <c r="BJ183" i="65" s="1"/>
  <c r="BJ184" i="65" s="1"/>
  <c r="BJ185" i="65" s="1"/>
  <c r="BJ186" i="65" s="1"/>
  <c r="BJ187" i="65" s="1"/>
  <c r="BJ188" i="65" s="1"/>
  <c r="BJ189" i="65" s="1"/>
  <c r="BJ190" i="65" s="1"/>
  <c r="BJ191" i="65" s="1"/>
  <c r="BJ192" i="65" s="1"/>
  <c r="BJ193" i="65" s="1"/>
  <c r="BJ194" i="65" s="1"/>
  <c r="BJ195" i="65" s="1"/>
  <c r="BJ196" i="65" s="1"/>
  <c r="BJ197" i="65" s="1"/>
  <c r="BJ198" i="65" s="1"/>
  <c r="BJ199" i="65" s="1"/>
  <c r="BJ200" i="65" s="1"/>
  <c r="BJ201" i="65" s="1"/>
  <c r="BJ202" i="65" s="1"/>
  <c r="BJ203" i="65" s="1"/>
  <c r="BJ204" i="65" s="1"/>
  <c r="BJ205" i="65" s="1"/>
  <c r="BJ206" i="65" s="1"/>
  <c r="BJ207" i="65" s="1"/>
  <c r="BJ208" i="65" s="1"/>
  <c r="BJ209" i="65" s="1"/>
  <c r="BJ210" i="65" s="1"/>
  <c r="BJ211" i="65" s="1"/>
  <c r="BJ212" i="65" s="1"/>
  <c r="BJ213" i="65" s="1"/>
  <c r="BJ214" i="65" s="1"/>
  <c r="BJ215" i="65" s="1"/>
  <c r="BJ216" i="65" s="1"/>
  <c r="BJ217" i="65" s="1"/>
  <c r="BJ218" i="65" s="1"/>
  <c r="BJ219" i="65" s="1"/>
  <c r="BJ220" i="65" s="1"/>
  <c r="BJ221" i="65" s="1"/>
  <c r="BJ222" i="65" s="1"/>
  <c r="BJ223" i="65" s="1"/>
  <c r="BJ224" i="65" s="1"/>
  <c r="BJ225" i="65" s="1"/>
  <c r="BJ226" i="65" s="1"/>
  <c r="BJ227" i="65" s="1"/>
  <c r="BJ228" i="65" s="1"/>
  <c r="BJ229" i="65" s="1"/>
  <c r="BJ230" i="65" s="1"/>
  <c r="BJ231" i="65" s="1"/>
  <c r="BJ232" i="65" s="1"/>
  <c r="BJ233" i="65" s="1"/>
  <c r="BJ234" i="65" s="1"/>
  <c r="BL144" i="65"/>
  <c r="BL145" i="65" s="1"/>
  <c r="BL146" i="65" s="1"/>
  <c r="BL147" i="65" s="1"/>
  <c r="BL148" i="65" s="1"/>
  <c r="BL149" i="65" s="1"/>
  <c r="BL150" i="65" s="1"/>
  <c r="BL151" i="65" s="1"/>
  <c r="BL152" i="65" s="1"/>
  <c r="BL153" i="65" s="1"/>
  <c r="BL154" i="65" s="1"/>
  <c r="BL155" i="65" s="1"/>
  <c r="BL156" i="65" s="1"/>
  <c r="BL157" i="65" s="1"/>
  <c r="BL158" i="65" s="1"/>
  <c r="BL159" i="65" s="1"/>
  <c r="BL160" i="65" s="1"/>
  <c r="BL161" i="65" s="1"/>
  <c r="BL162" i="65" s="1"/>
  <c r="BL163" i="65" s="1"/>
  <c r="BL164" i="65" s="1"/>
  <c r="BL165" i="65" s="1"/>
  <c r="BL166" i="65" s="1"/>
  <c r="BL167" i="65" s="1"/>
  <c r="BL168" i="65" s="1"/>
  <c r="BL169" i="65" s="1"/>
  <c r="BL170" i="65" s="1"/>
  <c r="BL171" i="65" s="1"/>
  <c r="BL172" i="65" s="1"/>
  <c r="BL173" i="65" s="1"/>
  <c r="BL174" i="65" s="1"/>
  <c r="BL175" i="65" s="1"/>
  <c r="BL176" i="65" s="1"/>
  <c r="BL177" i="65" s="1"/>
  <c r="BL178" i="65" s="1"/>
  <c r="BL179" i="65" s="1"/>
  <c r="BL180" i="65" s="1"/>
  <c r="BL181" i="65" s="1"/>
  <c r="BL182" i="65" s="1"/>
  <c r="BL183" i="65" s="1"/>
  <c r="BL184" i="65" s="1"/>
  <c r="BL185" i="65" s="1"/>
  <c r="BL186" i="65" s="1"/>
  <c r="BL187" i="65" s="1"/>
  <c r="BL188" i="65" s="1"/>
  <c r="BL189" i="65" s="1"/>
  <c r="BL190" i="65" s="1"/>
  <c r="BL191" i="65" s="1"/>
  <c r="BL192" i="65" s="1"/>
  <c r="BL193" i="65" s="1"/>
  <c r="BL194" i="65" s="1"/>
  <c r="BL195" i="65" s="1"/>
  <c r="BL196" i="65" s="1"/>
  <c r="BL197" i="65" s="1"/>
  <c r="BL198" i="65" s="1"/>
  <c r="BL199" i="65" s="1"/>
  <c r="BL200" i="65" s="1"/>
  <c r="BL201" i="65" s="1"/>
  <c r="BL202" i="65" s="1"/>
  <c r="BL203" i="65" s="1"/>
  <c r="BL204" i="65" s="1"/>
  <c r="BL205" i="65" s="1"/>
  <c r="BL206" i="65" s="1"/>
  <c r="BL207" i="65" s="1"/>
  <c r="BL208" i="65" s="1"/>
  <c r="BL209" i="65" s="1"/>
  <c r="BL210" i="65" s="1"/>
  <c r="BL211" i="65" s="1"/>
  <c r="BL212" i="65" s="1"/>
  <c r="BL213" i="65" s="1"/>
  <c r="BL214" i="65" s="1"/>
  <c r="BL215" i="65" s="1"/>
  <c r="BL216" i="65" s="1"/>
  <c r="BL217" i="65" s="1"/>
  <c r="BL218" i="65" s="1"/>
  <c r="BL219" i="65" s="1"/>
  <c r="BL220" i="65" s="1"/>
  <c r="BL221" i="65" s="1"/>
  <c r="BL222" i="65" s="1"/>
  <c r="BL223" i="65" s="1"/>
  <c r="BL224" i="65" s="1"/>
  <c r="BL225" i="65" s="1"/>
  <c r="BL226" i="65" s="1"/>
  <c r="BL227" i="65" s="1"/>
  <c r="BL228" i="65" s="1"/>
  <c r="BL229" i="65" s="1"/>
  <c r="BL230" i="65" s="1"/>
  <c r="BL231" i="65" s="1"/>
  <c r="BL232" i="65" s="1"/>
  <c r="BL233" i="65" s="1"/>
  <c r="BL234" i="65" s="1"/>
  <c r="EK40" i="65"/>
  <c r="P61" i="65"/>
  <c r="P62" i="65"/>
  <c r="P63" i="65"/>
  <c r="P68" i="65"/>
  <c r="P69" i="65"/>
  <c r="P67" i="65"/>
  <c r="P73" i="65"/>
  <c r="P74" i="65"/>
  <c r="P75" i="65"/>
  <c r="P79" i="65"/>
  <c r="P80" i="65"/>
  <c r="P81" i="65"/>
  <c r="P85" i="65"/>
  <c r="P86" i="65"/>
  <c r="P87" i="65"/>
  <c r="P91" i="65"/>
  <c r="P92" i="65"/>
  <c r="P93" i="65"/>
  <c r="P98" i="65"/>
  <c r="P99" i="65"/>
  <c r="P97" i="65"/>
  <c r="P104" i="65"/>
  <c r="P105" i="65"/>
  <c r="P103" i="65"/>
  <c r="P109" i="65"/>
  <c r="P110" i="65"/>
  <c r="P111" i="65"/>
  <c r="P115" i="65"/>
  <c r="P116" i="65"/>
  <c r="P117" i="65"/>
  <c r="P121" i="65"/>
  <c r="P122" i="65"/>
  <c r="P123" i="65"/>
  <c r="P127" i="65"/>
  <c r="P128" i="65"/>
  <c r="P129" i="65"/>
  <c r="P133" i="65"/>
  <c r="P134" i="65"/>
  <c r="P135" i="65"/>
  <c r="EL40" i="65"/>
  <c r="N140" i="65"/>
  <c r="N141" i="65" s="1"/>
  <c r="N142" i="65" s="1"/>
  <c r="N143" i="65" s="1"/>
  <c r="N144" i="65" s="1"/>
  <c r="N145" i="65" s="1"/>
  <c r="N146" i="65" s="1"/>
  <c r="AD140" i="65"/>
  <c r="AD141" i="65" s="1"/>
  <c r="AD142" i="65" s="1"/>
  <c r="AD143" i="65" s="1"/>
  <c r="AD144" i="65" s="1"/>
  <c r="AD145" i="65" s="1"/>
  <c r="AD146" i="65" s="1"/>
  <c r="AD147" i="65" s="1"/>
  <c r="AD148" i="65" s="1"/>
  <c r="AD149" i="65" s="1"/>
  <c r="AD150" i="65" s="1"/>
  <c r="AD151" i="65" s="1"/>
  <c r="AD152" i="65" s="1"/>
  <c r="AD153" i="65" s="1"/>
  <c r="AD154" i="65" s="1"/>
  <c r="AD155" i="65" s="1"/>
  <c r="AD156" i="65" s="1"/>
  <c r="AD157" i="65" s="1"/>
  <c r="AD158" i="65" s="1"/>
  <c r="AD159" i="65" s="1"/>
  <c r="AD160" i="65" s="1"/>
  <c r="AD161" i="65" s="1"/>
  <c r="AD162" i="65" s="1"/>
  <c r="AD163" i="65" s="1"/>
  <c r="AD164" i="65" s="1"/>
  <c r="AD165" i="65" s="1"/>
  <c r="AD166" i="65" s="1"/>
  <c r="AD167" i="65" s="1"/>
  <c r="AD168" i="65" s="1"/>
  <c r="AD169" i="65" s="1"/>
  <c r="AD170" i="65" s="1"/>
  <c r="AD171" i="65" s="1"/>
  <c r="AD172" i="65" s="1"/>
  <c r="AD173" i="65" s="1"/>
  <c r="AD174" i="65" s="1"/>
  <c r="AD175" i="65" s="1"/>
  <c r="AD176" i="65" s="1"/>
  <c r="AD177" i="65" s="1"/>
  <c r="AD178" i="65" s="1"/>
  <c r="AD179" i="65" s="1"/>
  <c r="AD180" i="65" s="1"/>
  <c r="AD181" i="65" s="1"/>
  <c r="AD182" i="65" s="1"/>
  <c r="AD183" i="65" s="1"/>
  <c r="AD184" i="65" s="1"/>
  <c r="AD185" i="65" s="1"/>
  <c r="AD186" i="65" s="1"/>
  <c r="AD187" i="65" s="1"/>
  <c r="AD188" i="65" s="1"/>
  <c r="AD189" i="65" s="1"/>
  <c r="AD190" i="65" s="1"/>
  <c r="AD191" i="65" s="1"/>
  <c r="AD192" i="65" s="1"/>
  <c r="AD193" i="65" s="1"/>
  <c r="AD194" i="65" s="1"/>
  <c r="AD195" i="65" s="1"/>
  <c r="AD196" i="65" s="1"/>
  <c r="AD197" i="65" s="1"/>
  <c r="AD198" i="65" s="1"/>
  <c r="AD199" i="65" s="1"/>
  <c r="AD200" i="65" s="1"/>
  <c r="AD201" i="65" s="1"/>
  <c r="AD202" i="65" s="1"/>
  <c r="AD203" i="65" s="1"/>
  <c r="AD204" i="65" s="1"/>
  <c r="AD205" i="65" s="1"/>
  <c r="AD206" i="65" s="1"/>
  <c r="AD207" i="65" s="1"/>
  <c r="AD208" i="65" s="1"/>
  <c r="AD209" i="65" s="1"/>
  <c r="AD210" i="65" s="1"/>
  <c r="AD211" i="65" s="1"/>
  <c r="AD212" i="65" s="1"/>
  <c r="AD213" i="65" s="1"/>
  <c r="AD214" i="65" s="1"/>
  <c r="AD215" i="65" s="1"/>
  <c r="AD216" i="65" s="1"/>
  <c r="AD217" i="65" s="1"/>
  <c r="AD218" i="65" s="1"/>
  <c r="AD219" i="65" s="1"/>
  <c r="AD220" i="65" s="1"/>
  <c r="AD221" i="65" s="1"/>
  <c r="AD222" i="65" s="1"/>
  <c r="AD223" i="65" s="1"/>
  <c r="AD224" i="65" s="1"/>
  <c r="AD225" i="65" s="1"/>
  <c r="AD226" i="65" s="1"/>
  <c r="AD227" i="65" s="1"/>
  <c r="AD228" i="65" s="1"/>
  <c r="AD229" i="65" s="1"/>
  <c r="AD230" i="65" s="1"/>
  <c r="AD231" i="65" s="1"/>
  <c r="AD232" i="65" s="1"/>
  <c r="AD233" i="65" s="1"/>
  <c r="AD234" i="65" s="1"/>
  <c r="AT140" i="65"/>
  <c r="EP140" i="65" s="1"/>
  <c r="BJ140" i="65"/>
  <c r="BZ140" i="65"/>
  <c r="BZ141" i="65" s="1"/>
  <c r="BZ142" i="65" s="1"/>
  <c r="BZ143" i="65" s="1"/>
  <c r="BZ144" i="65" s="1"/>
  <c r="BZ145" i="65" s="1"/>
  <c r="BZ146" i="65" s="1"/>
  <c r="BZ147" i="65" s="1"/>
  <c r="BZ148" i="65" s="1"/>
  <c r="BZ149" i="65" s="1"/>
  <c r="BZ150" i="65" s="1"/>
  <c r="BZ151" i="65" s="1"/>
  <c r="BZ152" i="65" s="1"/>
  <c r="BZ153" i="65" s="1"/>
  <c r="BZ154" i="65" s="1"/>
  <c r="BZ155" i="65" s="1"/>
  <c r="BZ156" i="65" s="1"/>
  <c r="BZ157" i="65" s="1"/>
  <c r="BZ158" i="65" s="1"/>
  <c r="BZ159" i="65" s="1"/>
  <c r="BZ160" i="65" s="1"/>
  <c r="BZ161" i="65" s="1"/>
  <c r="BZ162" i="65" s="1"/>
  <c r="BZ163" i="65" s="1"/>
  <c r="BZ164" i="65" s="1"/>
  <c r="BZ165" i="65" s="1"/>
  <c r="BZ166" i="65" s="1"/>
  <c r="BZ167" i="65" s="1"/>
  <c r="BZ168" i="65" s="1"/>
  <c r="BZ169" i="65" s="1"/>
  <c r="BZ170" i="65" s="1"/>
  <c r="BZ171" i="65" s="1"/>
  <c r="BZ172" i="65" s="1"/>
  <c r="BZ173" i="65" s="1"/>
  <c r="BZ174" i="65" s="1"/>
  <c r="BZ175" i="65" s="1"/>
  <c r="BZ176" i="65" s="1"/>
  <c r="BZ177" i="65" s="1"/>
  <c r="BZ178" i="65" s="1"/>
  <c r="BZ179" i="65" s="1"/>
  <c r="BZ180" i="65" s="1"/>
  <c r="BZ181" i="65" s="1"/>
  <c r="BZ182" i="65" s="1"/>
  <c r="BZ183" i="65" s="1"/>
  <c r="BZ184" i="65" s="1"/>
  <c r="BZ185" i="65" s="1"/>
  <c r="BZ186" i="65" s="1"/>
  <c r="BZ187" i="65" s="1"/>
  <c r="BZ188" i="65" s="1"/>
  <c r="BZ189" i="65" s="1"/>
  <c r="BZ190" i="65" s="1"/>
  <c r="BZ191" i="65" s="1"/>
  <c r="BZ192" i="65" s="1"/>
  <c r="BZ193" i="65" s="1"/>
  <c r="BZ194" i="65" s="1"/>
  <c r="BZ195" i="65" s="1"/>
  <c r="BZ196" i="65" s="1"/>
  <c r="BZ197" i="65" s="1"/>
  <c r="BZ198" i="65" s="1"/>
  <c r="BZ199" i="65" s="1"/>
  <c r="BZ200" i="65" s="1"/>
  <c r="BZ201" i="65" s="1"/>
  <c r="BZ202" i="65" s="1"/>
  <c r="BZ203" i="65" s="1"/>
  <c r="BZ204" i="65" s="1"/>
  <c r="BZ205" i="65" s="1"/>
  <c r="BZ206" i="65" s="1"/>
  <c r="BZ207" i="65" s="1"/>
  <c r="BZ208" i="65" s="1"/>
  <c r="BZ209" i="65" s="1"/>
  <c r="BZ210" i="65" s="1"/>
  <c r="BZ211" i="65" s="1"/>
  <c r="BZ212" i="65" s="1"/>
  <c r="BZ213" i="65" s="1"/>
  <c r="BZ214" i="65" s="1"/>
  <c r="BZ215" i="65" s="1"/>
  <c r="BZ216" i="65" s="1"/>
  <c r="BZ217" i="65" s="1"/>
  <c r="BZ218" i="65" s="1"/>
  <c r="BZ219" i="65" s="1"/>
  <c r="BZ220" i="65" s="1"/>
  <c r="BZ221" i="65" s="1"/>
  <c r="BZ222" i="65" s="1"/>
  <c r="BZ223" i="65" s="1"/>
  <c r="BZ224" i="65" s="1"/>
  <c r="BZ225" i="65" s="1"/>
  <c r="BZ226" i="65" s="1"/>
  <c r="BZ227" i="65" s="1"/>
  <c r="BZ228" i="65" s="1"/>
  <c r="BZ229" i="65" s="1"/>
  <c r="BZ230" i="65" s="1"/>
  <c r="BZ231" i="65" s="1"/>
  <c r="BZ232" i="65" s="1"/>
  <c r="BZ233" i="65" s="1"/>
  <c r="BZ234" i="65" s="1"/>
  <c r="CP140" i="65"/>
  <c r="CP141" i="65" s="1"/>
  <c r="CP142" i="65" s="1"/>
  <c r="CP143" i="65" s="1"/>
  <c r="CP144" i="65" s="1"/>
  <c r="CP145" i="65" s="1"/>
  <c r="CP146" i="65" s="1"/>
  <c r="CP147" i="65" s="1"/>
  <c r="CP148" i="65" s="1"/>
  <c r="CP149" i="65" s="1"/>
  <c r="CP150" i="65" s="1"/>
  <c r="CP151" i="65" s="1"/>
  <c r="CP152" i="65" s="1"/>
  <c r="CP153" i="65" s="1"/>
  <c r="CP154" i="65" s="1"/>
  <c r="CP155" i="65" s="1"/>
  <c r="CP156" i="65" s="1"/>
  <c r="CP157" i="65" s="1"/>
  <c r="CP158" i="65" s="1"/>
  <c r="CP159" i="65" s="1"/>
  <c r="CP160" i="65" s="1"/>
  <c r="CP161" i="65" s="1"/>
  <c r="CP162" i="65" s="1"/>
  <c r="CP163" i="65" s="1"/>
  <c r="CP164" i="65" s="1"/>
  <c r="CP165" i="65" s="1"/>
  <c r="CP166" i="65" s="1"/>
  <c r="CP167" i="65" s="1"/>
  <c r="CP168" i="65" s="1"/>
  <c r="CP169" i="65" s="1"/>
  <c r="CP170" i="65" s="1"/>
  <c r="DF140" i="65"/>
  <c r="DF141" i="65" s="1"/>
  <c r="DF142" i="65" s="1"/>
  <c r="DF143" i="65" s="1"/>
  <c r="DF144" i="65" s="1"/>
  <c r="DF145" i="65" s="1"/>
  <c r="DF146" i="65" s="1"/>
  <c r="DF147" i="65" s="1"/>
  <c r="DF148" i="65" s="1"/>
  <c r="DF149" i="65" s="1"/>
  <c r="DF150" i="65" s="1"/>
  <c r="DF151" i="65" s="1"/>
  <c r="DF152" i="65" s="1"/>
  <c r="DF153" i="65" s="1"/>
  <c r="EM41" i="65"/>
  <c r="O141" i="65"/>
  <c r="O142" i="65" s="1"/>
  <c r="O143" i="65" s="1"/>
  <c r="AE141" i="65"/>
  <c r="AE142" i="65" s="1"/>
  <c r="AE143" i="65" s="1"/>
  <c r="AE144" i="65" s="1"/>
  <c r="AE145" i="65" s="1"/>
  <c r="AE146" i="65" s="1"/>
  <c r="AE147" i="65" s="1"/>
  <c r="AE148" i="65" s="1"/>
  <c r="AE149" i="65" s="1"/>
  <c r="AU141" i="65"/>
  <c r="EQ141" i="65" s="1"/>
  <c r="BK141" i="65"/>
  <c r="BK142" i="65" s="1"/>
  <c r="BK143" i="65" s="1"/>
  <c r="BK144" i="65" s="1"/>
  <c r="BK145" i="65" s="1"/>
  <c r="BK146" i="65" s="1"/>
  <c r="BK147" i="65" s="1"/>
  <c r="BK148" i="65" s="1"/>
  <c r="BK149" i="65" s="1"/>
  <c r="BK150" i="65" s="1"/>
  <c r="BK151" i="65" s="1"/>
  <c r="BK152" i="65" s="1"/>
  <c r="BK153" i="65" s="1"/>
  <c r="BK154" i="65" s="1"/>
  <c r="BK155" i="65" s="1"/>
  <c r="BK156" i="65" s="1"/>
  <c r="BK157" i="65" s="1"/>
  <c r="BK158" i="65" s="1"/>
  <c r="BK159" i="65" s="1"/>
  <c r="BK160" i="65" s="1"/>
  <c r="BK161" i="65" s="1"/>
  <c r="BK162" i="65" s="1"/>
  <c r="BK163" i="65" s="1"/>
  <c r="BK164" i="65" s="1"/>
  <c r="BK165" i="65" s="1"/>
  <c r="BK166" i="65" s="1"/>
  <c r="BK167" i="65" s="1"/>
  <c r="BK168" i="65" s="1"/>
  <c r="BK169" i="65" s="1"/>
  <c r="BK170" i="65" s="1"/>
  <c r="BK171" i="65" s="1"/>
  <c r="BK172" i="65" s="1"/>
  <c r="BK173" i="65" s="1"/>
  <c r="BK174" i="65" s="1"/>
  <c r="BK175" i="65" s="1"/>
  <c r="BK176" i="65" s="1"/>
  <c r="BK177" i="65" s="1"/>
  <c r="BK178" i="65" s="1"/>
  <c r="BK179" i="65" s="1"/>
  <c r="BK180" i="65" s="1"/>
  <c r="BK181" i="65" s="1"/>
  <c r="BK182" i="65" s="1"/>
  <c r="BK183" i="65" s="1"/>
  <c r="BK184" i="65" s="1"/>
  <c r="BK185" i="65" s="1"/>
  <c r="BK186" i="65" s="1"/>
  <c r="BK187" i="65" s="1"/>
  <c r="BK188" i="65" s="1"/>
  <c r="BK189" i="65" s="1"/>
  <c r="BK190" i="65" s="1"/>
  <c r="BK191" i="65" s="1"/>
  <c r="BK192" i="65" s="1"/>
  <c r="BK193" i="65" s="1"/>
  <c r="BK194" i="65" s="1"/>
  <c r="BK195" i="65" s="1"/>
  <c r="BK196" i="65" s="1"/>
  <c r="BK197" i="65" s="1"/>
  <c r="BK198" i="65" s="1"/>
  <c r="BK199" i="65" s="1"/>
  <c r="BK200" i="65" s="1"/>
  <c r="BK201" i="65" s="1"/>
  <c r="BK202" i="65" s="1"/>
  <c r="BK203" i="65" s="1"/>
  <c r="BK204" i="65" s="1"/>
  <c r="BK205" i="65" s="1"/>
  <c r="BK206" i="65" s="1"/>
  <c r="BK207" i="65" s="1"/>
  <c r="BK208" i="65" s="1"/>
  <c r="BK209" i="65" s="1"/>
  <c r="BK210" i="65" s="1"/>
  <c r="BK211" i="65" s="1"/>
  <c r="BK212" i="65" s="1"/>
  <c r="BK213" i="65" s="1"/>
  <c r="BK214" i="65" s="1"/>
  <c r="BK215" i="65" s="1"/>
  <c r="BK216" i="65" s="1"/>
  <c r="BK217" i="65" s="1"/>
  <c r="BK218" i="65" s="1"/>
  <c r="BK219" i="65" s="1"/>
  <c r="BK220" i="65" s="1"/>
  <c r="BK221" i="65" s="1"/>
  <c r="BK222" i="65" s="1"/>
  <c r="BK223" i="65" s="1"/>
  <c r="BK224" i="65" s="1"/>
  <c r="BK225" i="65" s="1"/>
  <c r="BK226" i="65" s="1"/>
  <c r="BK227" i="65" s="1"/>
  <c r="BK228" i="65" s="1"/>
  <c r="BK229" i="65" s="1"/>
  <c r="BK230" i="65" s="1"/>
  <c r="BK231" i="65" s="1"/>
  <c r="BK232" i="65" s="1"/>
  <c r="BK233" i="65" s="1"/>
  <c r="BK234" i="65" s="1"/>
  <c r="CA141" i="65"/>
  <c r="CA142" i="65" s="1"/>
  <c r="CA143" i="65" s="1"/>
  <c r="CA144" i="65" s="1"/>
  <c r="CA145" i="65" s="1"/>
  <c r="CA146" i="65" s="1"/>
  <c r="CA147" i="65" s="1"/>
  <c r="CQ141" i="65"/>
  <c r="CQ142" i="65" s="1"/>
  <c r="CQ143" i="65" s="1"/>
  <c r="CQ144" i="65" s="1"/>
  <c r="CQ145" i="65" s="1"/>
  <c r="CQ146" i="65" s="1"/>
  <c r="CQ147" i="65" s="1"/>
  <c r="DG141" i="65"/>
  <c r="DG142" i="65" s="1"/>
  <c r="DG143" i="65" s="1"/>
  <c r="DG144" i="65" s="1"/>
  <c r="DG145" i="65" s="1"/>
  <c r="DG146" i="65" s="1"/>
  <c r="DG147" i="65" s="1"/>
  <c r="DG148" i="65" s="1"/>
  <c r="DG149" i="65" s="1"/>
  <c r="DG150" i="65" s="1"/>
  <c r="DG151" i="65" s="1"/>
  <c r="EN42" i="65"/>
  <c r="EO43" i="65"/>
  <c r="EP44" i="65"/>
  <c r="EQ45" i="65"/>
  <c r="ER46" i="65"/>
  <c r="EH49" i="65"/>
  <c r="EA51" i="65"/>
  <c r="EK53" i="65"/>
  <c r="EC60" i="65"/>
  <c r="EE61" i="65"/>
  <c r="DX64" i="65"/>
  <c r="AA52" i="65"/>
  <c r="AA53" i="65"/>
  <c r="AA121" i="65"/>
  <c r="AA122" i="65"/>
  <c r="AA123" i="65"/>
  <c r="CB141" i="65"/>
  <c r="CB142" i="65" s="1"/>
  <c r="CB143" i="65" s="1"/>
  <c r="CB144" i="65" s="1"/>
  <c r="CB145" i="65" s="1"/>
  <c r="CB146" i="65" s="1"/>
  <c r="CB147" i="65" s="1"/>
  <c r="CB148" i="65" s="1"/>
  <c r="CB149" i="65" s="1"/>
  <c r="CB150" i="65" s="1"/>
  <c r="CB151" i="65" s="1"/>
  <c r="CB152" i="65" s="1"/>
  <c r="CB153" i="65" s="1"/>
  <c r="CB154" i="65" s="1"/>
  <c r="CB155" i="65" s="1"/>
  <c r="CB156" i="65" s="1"/>
  <c r="CB157" i="65" s="1"/>
  <c r="CB158" i="65" s="1"/>
  <c r="CB159" i="65" s="1"/>
  <c r="CB160" i="65" s="1"/>
  <c r="CB161" i="65" s="1"/>
  <c r="CB162" i="65" s="1"/>
  <c r="CB163" i="65" s="1"/>
  <c r="CB164" i="65" s="1"/>
  <c r="CB165" i="65" s="1"/>
  <c r="CB166" i="65" s="1"/>
  <c r="CB167" i="65" s="1"/>
  <c r="CB168" i="65" s="1"/>
  <c r="CB169" i="65" s="1"/>
  <c r="CB170" i="65" s="1"/>
  <c r="CB171" i="65" s="1"/>
  <c r="CB172" i="65" s="1"/>
  <c r="CB173" i="65" s="1"/>
  <c r="CB174" i="65" s="1"/>
  <c r="CB175" i="65" s="1"/>
  <c r="CB176" i="65" s="1"/>
  <c r="CB177" i="65" s="1"/>
  <c r="CB178" i="65" s="1"/>
  <c r="CB179" i="65" s="1"/>
  <c r="CB180" i="65" s="1"/>
  <c r="CB181" i="65" s="1"/>
  <c r="CB182" i="65" s="1"/>
  <c r="CB183" i="65" s="1"/>
  <c r="CB184" i="65" s="1"/>
  <c r="CB185" i="65" s="1"/>
  <c r="CB186" i="65" s="1"/>
  <c r="CB187" i="65" s="1"/>
  <c r="CB188" i="65" s="1"/>
  <c r="CB189" i="65" s="1"/>
  <c r="CB190" i="65" s="1"/>
  <c r="CB191" i="65" s="1"/>
  <c r="CB192" i="65" s="1"/>
  <c r="CB193" i="65" s="1"/>
  <c r="CB194" i="65" s="1"/>
  <c r="CB195" i="65" s="1"/>
  <c r="CB196" i="65" s="1"/>
  <c r="CB197" i="65" s="1"/>
  <c r="CB198" i="65" s="1"/>
  <c r="CB199" i="65" s="1"/>
  <c r="CB200" i="65" s="1"/>
  <c r="CB201" i="65" s="1"/>
  <c r="CB202" i="65" s="1"/>
  <c r="CB203" i="65" s="1"/>
  <c r="CB204" i="65" s="1"/>
  <c r="CB205" i="65" s="1"/>
  <c r="CB206" i="65" s="1"/>
  <c r="CB207" i="65" s="1"/>
  <c r="CB208" i="65" s="1"/>
  <c r="CB209" i="65" s="1"/>
  <c r="CB210" i="65" s="1"/>
  <c r="CB211" i="65" s="1"/>
  <c r="CB212" i="65" s="1"/>
  <c r="CB213" i="65" s="1"/>
  <c r="CB214" i="65" s="1"/>
  <c r="CB215" i="65" s="1"/>
  <c r="CB216" i="65" s="1"/>
  <c r="CB217" i="65" s="1"/>
  <c r="CB218" i="65" s="1"/>
  <c r="CB219" i="65" s="1"/>
  <c r="CB220" i="65" s="1"/>
  <c r="CB221" i="65" s="1"/>
  <c r="CB222" i="65" s="1"/>
  <c r="CB223" i="65" s="1"/>
  <c r="CB224" i="65" s="1"/>
  <c r="CB225" i="65" s="1"/>
  <c r="CB226" i="65" s="1"/>
  <c r="CB227" i="65" s="1"/>
  <c r="CB228" i="65" s="1"/>
  <c r="CB229" i="65" s="1"/>
  <c r="CB230" i="65" s="1"/>
  <c r="CB231" i="65" s="1"/>
  <c r="CB232" i="65" s="1"/>
  <c r="CB233" i="65" s="1"/>
  <c r="CB234" i="65" s="1"/>
  <c r="DH141" i="65"/>
  <c r="DH142" i="65" s="1"/>
  <c r="DH143" i="65" s="1"/>
  <c r="DH144" i="65" s="1"/>
  <c r="DH145" i="65" s="1"/>
  <c r="DH146" i="65" s="1"/>
  <c r="DH147" i="65" s="1"/>
  <c r="DH148" i="65" s="1"/>
  <c r="DH149" i="65" s="1"/>
  <c r="DH150" i="65" s="1"/>
  <c r="DH151" i="65" s="1"/>
  <c r="DH152" i="65" s="1"/>
  <c r="DH153" i="65" s="1"/>
  <c r="DH154" i="65" s="1"/>
  <c r="DH155" i="65" s="1"/>
  <c r="DH156" i="65" s="1"/>
  <c r="DH157" i="65" s="1"/>
  <c r="DH158" i="65" s="1"/>
  <c r="DH159" i="65" s="1"/>
  <c r="DH160" i="65" s="1"/>
  <c r="DH161" i="65" s="1"/>
  <c r="DH162" i="65" s="1"/>
  <c r="DH163" i="65" s="1"/>
  <c r="DH164" i="65" s="1"/>
  <c r="DH165" i="65" s="1"/>
  <c r="DH166" i="65" s="1"/>
  <c r="DH167" i="65" s="1"/>
  <c r="DH168" i="65" s="1"/>
  <c r="DH169" i="65" s="1"/>
  <c r="DH170" i="65" s="1"/>
  <c r="DH171" i="65" s="1"/>
  <c r="DH172" i="65" s="1"/>
  <c r="DH173" i="65" s="1"/>
  <c r="DH174" i="65" s="1"/>
  <c r="DH175" i="65" s="1"/>
  <c r="DH176" i="65" s="1"/>
  <c r="DH177" i="65" s="1"/>
  <c r="DH178" i="65" s="1"/>
  <c r="DH179" i="65" s="1"/>
  <c r="DH180" i="65" s="1"/>
  <c r="DH181" i="65" s="1"/>
  <c r="DH182" i="65" s="1"/>
  <c r="DH183" i="65" s="1"/>
  <c r="DH184" i="65" s="1"/>
  <c r="DH185" i="65" s="1"/>
  <c r="DH186" i="65" s="1"/>
  <c r="DH187" i="65" s="1"/>
  <c r="DH188" i="65" s="1"/>
  <c r="DH189" i="65" s="1"/>
  <c r="DH190" i="65" s="1"/>
  <c r="DH191" i="65" s="1"/>
  <c r="DH192" i="65" s="1"/>
  <c r="DH193" i="65" s="1"/>
  <c r="DH194" i="65" s="1"/>
  <c r="DH195" i="65" s="1"/>
  <c r="DH196" i="65" s="1"/>
  <c r="DH197" i="65" s="1"/>
  <c r="DH198" i="65" s="1"/>
  <c r="DH199" i="65" s="1"/>
  <c r="DH200" i="65" s="1"/>
  <c r="DH201" i="65" s="1"/>
  <c r="DH202" i="65" s="1"/>
  <c r="DH203" i="65" s="1"/>
  <c r="DH204" i="65" s="1"/>
  <c r="DH205" i="65" s="1"/>
  <c r="DH206" i="65" s="1"/>
  <c r="DH207" i="65" s="1"/>
  <c r="DH208" i="65" s="1"/>
  <c r="DH209" i="65" s="1"/>
  <c r="DH210" i="65" s="1"/>
  <c r="DH211" i="65" s="1"/>
  <c r="DH212" i="65" s="1"/>
  <c r="DH213" i="65" s="1"/>
  <c r="DH214" i="65" s="1"/>
  <c r="DH215" i="65" s="1"/>
  <c r="DH216" i="65" s="1"/>
  <c r="DH217" i="65" s="1"/>
  <c r="DH218" i="65" s="1"/>
  <c r="DH219" i="65" s="1"/>
  <c r="DH220" i="65" s="1"/>
  <c r="DH221" i="65" s="1"/>
  <c r="DH222" i="65" s="1"/>
  <c r="DH223" i="65" s="1"/>
  <c r="DH224" i="65" s="1"/>
  <c r="DH225" i="65" s="1"/>
  <c r="DH226" i="65" s="1"/>
  <c r="DH227" i="65" s="1"/>
  <c r="DH228" i="65" s="1"/>
  <c r="DH229" i="65" s="1"/>
  <c r="DH230" i="65" s="1"/>
  <c r="DH231" i="65" s="1"/>
  <c r="DH232" i="65" s="1"/>
  <c r="DH233" i="65" s="1"/>
  <c r="DH234" i="65" s="1"/>
  <c r="AH143" i="65"/>
  <c r="AH144" i="65" s="1"/>
  <c r="AH145" i="65" s="1"/>
  <c r="AH146" i="65" s="1"/>
  <c r="AH147" i="65" s="1"/>
  <c r="AH148" i="65" s="1"/>
  <c r="AH149" i="65" s="1"/>
  <c r="AH150" i="65" s="1"/>
  <c r="AH151" i="65" s="1"/>
  <c r="AH152" i="65" s="1"/>
  <c r="AH153" i="65" s="1"/>
  <c r="AH154" i="65" s="1"/>
  <c r="AH155" i="65" s="1"/>
  <c r="AH156" i="65" s="1"/>
  <c r="AH157" i="65" s="1"/>
  <c r="AH158" i="65" s="1"/>
  <c r="AH159" i="65" s="1"/>
  <c r="AH160" i="65" s="1"/>
  <c r="AH161" i="65" s="1"/>
  <c r="AH162" i="65" s="1"/>
  <c r="AH163" i="65" s="1"/>
  <c r="AH164" i="65" s="1"/>
  <c r="AH165" i="65" s="1"/>
  <c r="AH166" i="65" s="1"/>
  <c r="AH167" i="65" s="1"/>
  <c r="AH168" i="65" s="1"/>
  <c r="AH169" i="65" s="1"/>
  <c r="AH170" i="65" s="1"/>
  <c r="AH171" i="65" s="1"/>
  <c r="AH172" i="65" s="1"/>
  <c r="AH173" i="65" s="1"/>
  <c r="AH174" i="65" s="1"/>
  <c r="AH175" i="65" s="1"/>
  <c r="AH176" i="65" s="1"/>
  <c r="AH177" i="65" s="1"/>
  <c r="AH178" i="65" s="1"/>
  <c r="AH179" i="65" s="1"/>
  <c r="AH180" i="65" s="1"/>
  <c r="AH181" i="65" s="1"/>
  <c r="AH182" i="65" s="1"/>
  <c r="AH183" i="65" s="1"/>
  <c r="AH184" i="65" s="1"/>
  <c r="AH185" i="65" s="1"/>
  <c r="AH186" i="65" s="1"/>
  <c r="AH187" i="65" s="1"/>
  <c r="AH188" i="65" s="1"/>
  <c r="AH189" i="65" s="1"/>
  <c r="AH190" i="65" s="1"/>
  <c r="AH191" i="65" s="1"/>
  <c r="AH192" i="65" s="1"/>
  <c r="AH193" i="65" s="1"/>
  <c r="AH194" i="65" s="1"/>
  <c r="AH195" i="65" s="1"/>
  <c r="AH196" i="65" s="1"/>
  <c r="AH197" i="65" s="1"/>
  <c r="AH198" i="65" s="1"/>
  <c r="AH199" i="65" s="1"/>
  <c r="AH200" i="65" s="1"/>
  <c r="AH201" i="65" s="1"/>
  <c r="AH202" i="65" s="1"/>
  <c r="AH203" i="65" s="1"/>
  <c r="AH204" i="65" s="1"/>
  <c r="AH205" i="65" s="1"/>
  <c r="AH206" i="65" s="1"/>
  <c r="AH207" i="65" s="1"/>
  <c r="AH208" i="65" s="1"/>
  <c r="AH209" i="65" s="1"/>
  <c r="AH210" i="65" s="1"/>
  <c r="AH211" i="65" s="1"/>
  <c r="AH212" i="65" s="1"/>
  <c r="AH213" i="65" s="1"/>
  <c r="AH214" i="65" s="1"/>
  <c r="AH215" i="65" s="1"/>
  <c r="AH216" i="65" s="1"/>
  <c r="AH217" i="65" s="1"/>
  <c r="AH218" i="65" s="1"/>
  <c r="AH219" i="65" s="1"/>
  <c r="AH220" i="65" s="1"/>
  <c r="AH221" i="65" s="1"/>
  <c r="AH222" i="65" s="1"/>
  <c r="AH223" i="65" s="1"/>
  <c r="AH224" i="65" s="1"/>
  <c r="AH225" i="65" s="1"/>
  <c r="AH226" i="65" s="1"/>
  <c r="AH227" i="65" s="1"/>
  <c r="AH228" i="65" s="1"/>
  <c r="AH229" i="65" s="1"/>
  <c r="AH230" i="65" s="1"/>
  <c r="AH231" i="65" s="1"/>
  <c r="AH232" i="65" s="1"/>
  <c r="AH233" i="65" s="1"/>
  <c r="AH234" i="65" s="1"/>
  <c r="EA44" i="65"/>
  <c r="EQ44" i="65"/>
  <c r="EB45" i="65"/>
  <c r="ER45" i="65"/>
  <c r="EC46" i="65"/>
  <c r="ED47" i="65"/>
  <c r="EO50" i="65"/>
  <c r="EG51" i="65"/>
  <c r="EQ52" i="65"/>
  <c r="EC52" i="65"/>
  <c r="EC54" i="65"/>
  <c r="EH54" i="65"/>
  <c r="EB54" i="65"/>
  <c r="EB56" i="65"/>
  <c r="EB59" i="65"/>
  <c r="ED60" i="65"/>
  <c r="EB65" i="65"/>
  <c r="AA73" i="65"/>
  <c r="AA74" i="65"/>
  <c r="AA75" i="65"/>
  <c r="AA81" i="65"/>
  <c r="AA79" i="65"/>
  <c r="AA80" i="65"/>
  <c r="AA87" i="65"/>
  <c r="AA86" i="65"/>
  <c r="AA85" i="65"/>
  <c r="AA93" i="65"/>
  <c r="AA91" i="65"/>
  <c r="AA92" i="65"/>
  <c r="AA97" i="65"/>
  <c r="AA98" i="65"/>
  <c r="AA99" i="65"/>
  <c r="AA105" i="65"/>
  <c r="AA104" i="65"/>
  <c r="AA103" i="65"/>
  <c r="AA109" i="65"/>
  <c r="AA110" i="65"/>
  <c r="AA111" i="65"/>
  <c r="AA116" i="65"/>
  <c r="AA117" i="65"/>
  <c r="AA115" i="65"/>
  <c r="AA127" i="65"/>
  <c r="AA128" i="65"/>
  <c r="AA129" i="65"/>
  <c r="AA133" i="65"/>
  <c r="AA134" i="65"/>
  <c r="AA135" i="65"/>
  <c r="DW8" i="65"/>
  <c r="DW16" i="65"/>
  <c r="DW18" i="65"/>
  <c r="DW20" i="65"/>
  <c r="DW22" i="65"/>
  <c r="DW24" i="65"/>
  <c r="DW26" i="65"/>
  <c r="DW28" i="65"/>
  <c r="DW30" i="65"/>
  <c r="DW32" i="65"/>
  <c r="DW34" i="65"/>
  <c r="DW36" i="65"/>
  <c r="DX40" i="65"/>
  <c r="AF140" i="65"/>
  <c r="AF141" i="65" s="1"/>
  <c r="AF142" i="65" s="1"/>
  <c r="AF143" i="65" s="1"/>
  <c r="AF144" i="65" s="1"/>
  <c r="AF145" i="65" s="1"/>
  <c r="AF146" i="65" s="1"/>
  <c r="AF147" i="65" s="1"/>
  <c r="AF148" i="65" s="1"/>
  <c r="AF149" i="65" s="1"/>
  <c r="AF150" i="65" s="1"/>
  <c r="AF151" i="65" s="1"/>
  <c r="AF152" i="65" s="1"/>
  <c r="AF153" i="65" s="1"/>
  <c r="AF154" i="65" s="1"/>
  <c r="AF155" i="65" s="1"/>
  <c r="AF156" i="65" s="1"/>
  <c r="AF157" i="65" s="1"/>
  <c r="AF158" i="65" s="1"/>
  <c r="AF159" i="65" s="1"/>
  <c r="AF160" i="65" s="1"/>
  <c r="AF161" i="65" s="1"/>
  <c r="AF162" i="65" s="1"/>
  <c r="AF163" i="65" s="1"/>
  <c r="AF164" i="65" s="1"/>
  <c r="AF165" i="65" s="1"/>
  <c r="AF166" i="65" s="1"/>
  <c r="AF167" i="65" s="1"/>
  <c r="AF168" i="65" s="1"/>
  <c r="AF169" i="65" s="1"/>
  <c r="AF170" i="65" s="1"/>
  <c r="AF171" i="65" s="1"/>
  <c r="AF172" i="65" s="1"/>
  <c r="AF173" i="65" s="1"/>
  <c r="AF174" i="65" s="1"/>
  <c r="AF175" i="65" s="1"/>
  <c r="AF176" i="65" s="1"/>
  <c r="AF177" i="65" s="1"/>
  <c r="AF178" i="65" s="1"/>
  <c r="AF179" i="65" s="1"/>
  <c r="AF180" i="65" s="1"/>
  <c r="AF181" i="65" s="1"/>
  <c r="AF182" i="65" s="1"/>
  <c r="AF183" i="65" s="1"/>
  <c r="AF184" i="65" s="1"/>
  <c r="AF185" i="65" s="1"/>
  <c r="AF186" i="65" s="1"/>
  <c r="AF187" i="65" s="1"/>
  <c r="AF188" i="65" s="1"/>
  <c r="AF189" i="65" s="1"/>
  <c r="AF190" i="65" s="1"/>
  <c r="AF191" i="65" s="1"/>
  <c r="AF192" i="65" s="1"/>
  <c r="AF193" i="65" s="1"/>
  <c r="AF194" i="65" s="1"/>
  <c r="AF195" i="65" s="1"/>
  <c r="AF196" i="65" s="1"/>
  <c r="AF197" i="65" s="1"/>
  <c r="AF198" i="65" s="1"/>
  <c r="AF199" i="65" s="1"/>
  <c r="AF200" i="65" s="1"/>
  <c r="AF201" i="65" s="1"/>
  <c r="AF202" i="65" s="1"/>
  <c r="AF203" i="65" s="1"/>
  <c r="AF204" i="65" s="1"/>
  <c r="AF205" i="65" s="1"/>
  <c r="AF206" i="65" s="1"/>
  <c r="AF207" i="65" s="1"/>
  <c r="AF208" i="65" s="1"/>
  <c r="AF209" i="65" s="1"/>
  <c r="AF210" i="65" s="1"/>
  <c r="AF211" i="65" s="1"/>
  <c r="AF212" i="65" s="1"/>
  <c r="AF213" i="65" s="1"/>
  <c r="AF214" i="65" s="1"/>
  <c r="AF215" i="65" s="1"/>
  <c r="AF216" i="65" s="1"/>
  <c r="AF217" i="65" s="1"/>
  <c r="AF218" i="65" s="1"/>
  <c r="AF219" i="65" s="1"/>
  <c r="AF220" i="65" s="1"/>
  <c r="AF221" i="65" s="1"/>
  <c r="AF222" i="65" s="1"/>
  <c r="AF223" i="65" s="1"/>
  <c r="AF224" i="65" s="1"/>
  <c r="AF225" i="65" s="1"/>
  <c r="AF226" i="65" s="1"/>
  <c r="AF227" i="65" s="1"/>
  <c r="AF228" i="65" s="1"/>
  <c r="AF229" i="65" s="1"/>
  <c r="AF230" i="65" s="1"/>
  <c r="AF231" i="65" s="1"/>
  <c r="AF232" i="65" s="1"/>
  <c r="AF233" i="65" s="1"/>
  <c r="AF234" i="65" s="1"/>
  <c r="AV140" i="65"/>
  <c r="BL140" i="65"/>
  <c r="BL141" i="65" s="1"/>
  <c r="BL142" i="65" s="1"/>
  <c r="BL143" i="65" s="1"/>
  <c r="CB140" i="65"/>
  <c r="CR140" i="65"/>
  <c r="CR141" i="65" s="1"/>
  <c r="CR142" i="65" s="1"/>
  <c r="CR143" i="65" s="1"/>
  <c r="CR144" i="65" s="1"/>
  <c r="CR145" i="65" s="1"/>
  <c r="CR146" i="65" s="1"/>
  <c r="CR147" i="65" s="1"/>
  <c r="CR148" i="65" s="1"/>
  <c r="CR149" i="65" s="1"/>
  <c r="CR150" i="65" s="1"/>
  <c r="CR151" i="65" s="1"/>
  <c r="CR152" i="65" s="1"/>
  <c r="CR153" i="65" s="1"/>
  <c r="CR154" i="65" s="1"/>
  <c r="CR155" i="65" s="1"/>
  <c r="CR156" i="65" s="1"/>
  <c r="CR157" i="65" s="1"/>
  <c r="CR158" i="65" s="1"/>
  <c r="CR159" i="65" s="1"/>
  <c r="CR160" i="65" s="1"/>
  <c r="CR161" i="65" s="1"/>
  <c r="CR162" i="65" s="1"/>
  <c r="CR163" i="65" s="1"/>
  <c r="CR164" i="65" s="1"/>
  <c r="CR165" i="65" s="1"/>
  <c r="CR166" i="65" s="1"/>
  <c r="CR167" i="65" s="1"/>
  <c r="CR168" i="65" s="1"/>
  <c r="CR169" i="65" s="1"/>
  <c r="CR170" i="65" s="1"/>
  <c r="CR171" i="65" s="1"/>
  <c r="CR172" i="65" s="1"/>
  <c r="CR173" i="65" s="1"/>
  <c r="CR174" i="65" s="1"/>
  <c r="CR175" i="65" s="1"/>
  <c r="CR176" i="65" s="1"/>
  <c r="CR177" i="65" s="1"/>
  <c r="CR178" i="65" s="1"/>
  <c r="CR179" i="65" s="1"/>
  <c r="CR180" i="65" s="1"/>
  <c r="CR181" i="65" s="1"/>
  <c r="CR182" i="65" s="1"/>
  <c r="CR183" i="65" s="1"/>
  <c r="CR184" i="65" s="1"/>
  <c r="CR185" i="65" s="1"/>
  <c r="CR186" i="65" s="1"/>
  <c r="CR187" i="65" s="1"/>
  <c r="CR188" i="65" s="1"/>
  <c r="CR189" i="65" s="1"/>
  <c r="CR190" i="65" s="1"/>
  <c r="CR191" i="65" s="1"/>
  <c r="CR192" i="65" s="1"/>
  <c r="CR193" i="65" s="1"/>
  <c r="CR194" i="65" s="1"/>
  <c r="CR195" i="65" s="1"/>
  <c r="CR196" i="65" s="1"/>
  <c r="CR197" i="65" s="1"/>
  <c r="CR198" i="65" s="1"/>
  <c r="CR199" i="65" s="1"/>
  <c r="CR200" i="65" s="1"/>
  <c r="CR201" i="65" s="1"/>
  <c r="CR202" i="65" s="1"/>
  <c r="CR203" i="65" s="1"/>
  <c r="CR204" i="65" s="1"/>
  <c r="CR205" i="65" s="1"/>
  <c r="CR206" i="65" s="1"/>
  <c r="CR207" i="65" s="1"/>
  <c r="CR208" i="65" s="1"/>
  <c r="CR209" i="65" s="1"/>
  <c r="CR210" i="65" s="1"/>
  <c r="CR211" i="65" s="1"/>
  <c r="CR212" i="65" s="1"/>
  <c r="CR213" i="65" s="1"/>
  <c r="CR214" i="65" s="1"/>
  <c r="CR215" i="65" s="1"/>
  <c r="CR216" i="65" s="1"/>
  <c r="CR217" i="65" s="1"/>
  <c r="CR218" i="65" s="1"/>
  <c r="CR219" i="65" s="1"/>
  <c r="CR220" i="65" s="1"/>
  <c r="CR221" i="65" s="1"/>
  <c r="CR222" i="65" s="1"/>
  <c r="CR223" i="65" s="1"/>
  <c r="CR224" i="65" s="1"/>
  <c r="CR225" i="65" s="1"/>
  <c r="CR226" i="65" s="1"/>
  <c r="CR227" i="65" s="1"/>
  <c r="CR228" i="65" s="1"/>
  <c r="CR229" i="65" s="1"/>
  <c r="CR230" i="65" s="1"/>
  <c r="CR231" i="65" s="1"/>
  <c r="CR232" i="65" s="1"/>
  <c r="CR233" i="65" s="1"/>
  <c r="CR234" i="65" s="1"/>
  <c r="DH140" i="65"/>
  <c r="EL49" i="65"/>
  <c r="EK49" i="65"/>
  <c r="EH51" i="65"/>
  <c r="ED52" i="65"/>
  <c r="EG53" i="65"/>
  <c r="ED54" i="65"/>
  <c r="EP54" i="65"/>
  <c r="P56" i="65"/>
  <c r="EB58" i="65"/>
  <c r="EC59" i="65"/>
  <c r="DX62" i="65"/>
  <c r="DY63" i="65"/>
  <c r="EC65" i="65"/>
  <c r="DY40" i="65"/>
  <c r="Q140" i="65"/>
  <c r="AG140" i="65"/>
  <c r="AG141" i="65" s="1"/>
  <c r="AG142" i="65" s="1"/>
  <c r="AG143" i="65" s="1"/>
  <c r="AG144" i="65" s="1"/>
  <c r="AG145" i="65" s="1"/>
  <c r="AG146" i="65" s="1"/>
  <c r="AG147" i="65" s="1"/>
  <c r="AG148" i="65" s="1"/>
  <c r="AG149" i="65" s="1"/>
  <c r="AG150" i="65" s="1"/>
  <c r="AG151" i="65" s="1"/>
  <c r="AG152" i="65" s="1"/>
  <c r="AG153" i="65" s="1"/>
  <c r="AG154" i="65" s="1"/>
  <c r="AG155" i="65" s="1"/>
  <c r="AG156" i="65" s="1"/>
  <c r="AG157" i="65" s="1"/>
  <c r="AG158" i="65" s="1"/>
  <c r="AG159" i="65" s="1"/>
  <c r="AG160" i="65" s="1"/>
  <c r="AG161" i="65" s="1"/>
  <c r="AG162" i="65" s="1"/>
  <c r="AG163" i="65" s="1"/>
  <c r="AG164" i="65" s="1"/>
  <c r="AG165" i="65" s="1"/>
  <c r="AG166" i="65" s="1"/>
  <c r="AW140" i="65"/>
  <c r="AW141" i="65" s="1"/>
  <c r="AW142" i="65" s="1"/>
  <c r="AW143" i="65" s="1"/>
  <c r="AW144" i="65" s="1"/>
  <c r="AW145" i="65" s="1"/>
  <c r="AW146" i="65" s="1"/>
  <c r="AW147" i="65" s="1"/>
  <c r="AW148" i="65" s="1"/>
  <c r="AW149" i="65" s="1"/>
  <c r="AW150" i="65" s="1"/>
  <c r="AW151" i="65" s="1"/>
  <c r="AW152" i="65" s="1"/>
  <c r="AW153" i="65" s="1"/>
  <c r="AW154" i="65" s="1"/>
  <c r="AW155" i="65" s="1"/>
  <c r="AW156" i="65" s="1"/>
  <c r="AW157" i="65" s="1"/>
  <c r="AW158" i="65" s="1"/>
  <c r="AW159" i="65" s="1"/>
  <c r="AW160" i="65" s="1"/>
  <c r="AW161" i="65" s="1"/>
  <c r="AW162" i="65" s="1"/>
  <c r="AW163" i="65" s="1"/>
  <c r="AW164" i="65" s="1"/>
  <c r="AW165" i="65" s="1"/>
  <c r="AW166" i="65" s="1"/>
  <c r="AW167" i="65" s="1"/>
  <c r="AW168" i="65" s="1"/>
  <c r="AW169" i="65" s="1"/>
  <c r="AW170" i="65" s="1"/>
  <c r="AW171" i="65" s="1"/>
  <c r="AW172" i="65" s="1"/>
  <c r="AW173" i="65" s="1"/>
  <c r="AW174" i="65" s="1"/>
  <c r="AW175" i="65" s="1"/>
  <c r="AW176" i="65" s="1"/>
  <c r="AW177" i="65" s="1"/>
  <c r="AW178" i="65" s="1"/>
  <c r="AW179" i="65" s="1"/>
  <c r="AW180" i="65" s="1"/>
  <c r="AW181" i="65" s="1"/>
  <c r="AW182" i="65" s="1"/>
  <c r="AW183" i="65" s="1"/>
  <c r="AW184" i="65" s="1"/>
  <c r="AW185" i="65" s="1"/>
  <c r="AW186" i="65" s="1"/>
  <c r="AW187" i="65" s="1"/>
  <c r="AW188" i="65" s="1"/>
  <c r="AW189" i="65" s="1"/>
  <c r="AW190" i="65" s="1"/>
  <c r="AW191" i="65" s="1"/>
  <c r="AW192" i="65" s="1"/>
  <c r="AW193" i="65" s="1"/>
  <c r="AW194" i="65" s="1"/>
  <c r="AW195" i="65" s="1"/>
  <c r="AW196" i="65" s="1"/>
  <c r="AW197" i="65" s="1"/>
  <c r="AW198" i="65" s="1"/>
  <c r="AW199" i="65" s="1"/>
  <c r="AW200" i="65" s="1"/>
  <c r="AW201" i="65" s="1"/>
  <c r="AW202" i="65" s="1"/>
  <c r="AW203" i="65" s="1"/>
  <c r="AW204" i="65" s="1"/>
  <c r="AW205" i="65" s="1"/>
  <c r="AW206" i="65" s="1"/>
  <c r="AW207" i="65" s="1"/>
  <c r="AW208" i="65" s="1"/>
  <c r="AW209" i="65" s="1"/>
  <c r="AW210" i="65" s="1"/>
  <c r="AW211" i="65" s="1"/>
  <c r="AW212" i="65" s="1"/>
  <c r="AW213" i="65" s="1"/>
  <c r="AW214" i="65" s="1"/>
  <c r="AW215" i="65" s="1"/>
  <c r="AW216" i="65" s="1"/>
  <c r="AW217" i="65" s="1"/>
  <c r="AW218" i="65" s="1"/>
  <c r="AW219" i="65" s="1"/>
  <c r="AW220" i="65" s="1"/>
  <c r="AW221" i="65" s="1"/>
  <c r="AW222" i="65" s="1"/>
  <c r="AW223" i="65" s="1"/>
  <c r="AW224" i="65" s="1"/>
  <c r="AW225" i="65" s="1"/>
  <c r="AW226" i="65" s="1"/>
  <c r="AW227" i="65" s="1"/>
  <c r="AW228" i="65" s="1"/>
  <c r="AW229" i="65" s="1"/>
  <c r="AW230" i="65" s="1"/>
  <c r="AW231" i="65" s="1"/>
  <c r="AW232" i="65" s="1"/>
  <c r="AW233" i="65" s="1"/>
  <c r="AW234" i="65" s="1"/>
  <c r="BM140" i="65"/>
  <c r="BM141" i="65" s="1"/>
  <c r="BM142" i="65" s="1"/>
  <c r="BM143" i="65" s="1"/>
  <c r="BM144" i="65" s="1"/>
  <c r="BM145" i="65" s="1"/>
  <c r="BM146" i="65" s="1"/>
  <c r="BM147" i="65" s="1"/>
  <c r="BM148" i="65" s="1"/>
  <c r="BM149" i="65" s="1"/>
  <c r="BM150" i="65" s="1"/>
  <c r="BM151" i="65" s="1"/>
  <c r="BM152" i="65" s="1"/>
  <c r="BM153" i="65" s="1"/>
  <c r="BM154" i="65" s="1"/>
  <c r="BM155" i="65" s="1"/>
  <c r="BM156" i="65" s="1"/>
  <c r="BM157" i="65" s="1"/>
  <c r="BM158" i="65" s="1"/>
  <c r="BM159" i="65" s="1"/>
  <c r="BM160" i="65" s="1"/>
  <c r="BM161" i="65" s="1"/>
  <c r="BM162" i="65" s="1"/>
  <c r="BM163" i="65" s="1"/>
  <c r="BM164" i="65" s="1"/>
  <c r="BM165" i="65" s="1"/>
  <c r="BM166" i="65" s="1"/>
  <c r="BM167" i="65" s="1"/>
  <c r="BM168" i="65" s="1"/>
  <c r="BM169" i="65" s="1"/>
  <c r="BM170" i="65" s="1"/>
  <c r="BM171" i="65" s="1"/>
  <c r="BM172" i="65" s="1"/>
  <c r="BM173" i="65" s="1"/>
  <c r="BM174" i="65" s="1"/>
  <c r="BM175" i="65" s="1"/>
  <c r="BM176" i="65" s="1"/>
  <c r="BM177" i="65" s="1"/>
  <c r="BM178" i="65" s="1"/>
  <c r="BM179" i="65" s="1"/>
  <c r="BM180" i="65" s="1"/>
  <c r="BM181" i="65" s="1"/>
  <c r="BM182" i="65" s="1"/>
  <c r="BM183" i="65" s="1"/>
  <c r="BM184" i="65" s="1"/>
  <c r="BM185" i="65" s="1"/>
  <c r="BM186" i="65" s="1"/>
  <c r="BM187" i="65" s="1"/>
  <c r="BM188" i="65" s="1"/>
  <c r="BM189" i="65" s="1"/>
  <c r="BM190" i="65" s="1"/>
  <c r="BM191" i="65" s="1"/>
  <c r="BM192" i="65" s="1"/>
  <c r="BM193" i="65" s="1"/>
  <c r="BM194" i="65" s="1"/>
  <c r="BM195" i="65" s="1"/>
  <c r="BM196" i="65" s="1"/>
  <c r="BM197" i="65" s="1"/>
  <c r="BM198" i="65" s="1"/>
  <c r="BM199" i="65" s="1"/>
  <c r="BM200" i="65" s="1"/>
  <c r="BM201" i="65" s="1"/>
  <c r="BM202" i="65" s="1"/>
  <c r="BM203" i="65" s="1"/>
  <c r="BM204" i="65" s="1"/>
  <c r="BM205" i="65" s="1"/>
  <c r="BM206" i="65" s="1"/>
  <c r="BM207" i="65" s="1"/>
  <c r="BM208" i="65" s="1"/>
  <c r="BM209" i="65" s="1"/>
  <c r="BM210" i="65" s="1"/>
  <c r="BM211" i="65" s="1"/>
  <c r="BM212" i="65" s="1"/>
  <c r="BM213" i="65" s="1"/>
  <c r="BM214" i="65" s="1"/>
  <c r="BM215" i="65" s="1"/>
  <c r="BM216" i="65" s="1"/>
  <c r="BM217" i="65" s="1"/>
  <c r="BM218" i="65" s="1"/>
  <c r="BM219" i="65" s="1"/>
  <c r="BM220" i="65" s="1"/>
  <c r="BM221" i="65" s="1"/>
  <c r="BM222" i="65" s="1"/>
  <c r="BM223" i="65" s="1"/>
  <c r="BM224" i="65" s="1"/>
  <c r="BM225" i="65" s="1"/>
  <c r="BM226" i="65" s="1"/>
  <c r="BM227" i="65" s="1"/>
  <c r="BM228" i="65" s="1"/>
  <c r="BM229" i="65" s="1"/>
  <c r="BM230" i="65" s="1"/>
  <c r="BM231" i="65" s="1"/>
  <c r="BM232" i="65" s="1"/>
  <c r="BM233" i="65" s="1"/>
  <c r="BM234" i="65" s="1"/>
  <c r="CC140" i="65"/>
  <c r="CC141" i="65" s="1"/>
  <c r="CC142" i="65" s="1"/>
  <c r="CC143" i="65" s="1"/>
  <c r="CC144" i="65" s="1"/>
  <c r="CC145" i="65" s="1"/>
  <c r="CC146" i="65" s="1"/>
  <c r="CC147" i="65" s="1"/>
  <c r="CC148" i="65" s="1"/>
  <c r="CC149" i="65" s="1"/>
  <c r="CC150" i="65" s="1"/>
  <c r="CC151" i="65" s="1"/>
  <c r="CC152" i="65" s="1"/>
  <c r="CC153" i="65" s="1"/>
  <c r="CC154" i="65" s="1"/>
  <c r="CC155" i="65" s="1"/>
  <c r="CC156" i="65" s="1"/>
  <c r="CC157" i="65" s="1"/>
  <c r="CC158" i="65" s="1"/>
  <c r="CC159" i="65" s="1"/>
  <c r="CC160" i="65" s="1"/>
  <c r="CC161" i="65" s="1"/>
  <c r="CC162" i="65" s="1"/>
  <c r="CC163" i="65" s="1"/>
  <c r="CC164" i="65" s="1"/>
  <c r="CC165" i="65" s="1"/>
  <c r="CC166" i="65" s="1"/>
  <c r="CC167" i="65" s="1"/>
  <c r="CC168" i="65" s="1"/>
  <c r="CC169" i="65" s="1"/>
  <c r="CC170" i="65" s="1"/>
  <c r="CC171" i="65" s="1"/>
  <c r="CC172" i="65" s="1"/>
  <c r="CC173" i="65" s="1"/>
  <c r="CC174" i="65" s="1"/>
  <c r="CC175" i="65" s="1"/>
  <c r="CC176" i="65" s="1"/>
  <c r="CC177" i="65" s="1"/>
  <c r="CC178" i="65" s="1"/>
  <c r="CC179" i="65" s="1"/>
  <c r="CC180" i="65" s="1"/>
  <c r="CC181" i="65" s="1"/>
  <c r="CC182" i="65" s="1"/>
  <c r="CC183" i="65" s="1"/>
  <c r="CC184" i="65" s="1"/>
  <c r="CC185" i="65" s="1"/>
  <c r="CC186" i="65" s="1"/>
  <c r="CC187" i="65" s="1"/>
  <c r="CC188" i="65" s="1"/>
  <c r="CC189" i="65" s="1"/>
  <c r="CC190" i="65" s="1"/>
  <c r="CC191" i="65" s="1"/>
  <c r="CC192" i="65" s="1"/>
  <c r="CC193" i="65" s="1"/>
  <c r="CC194" i="65" s="1"/>
  <c r="CC195" i="65" s="1"/>
  <c r="CC196" i="65" s="1"/>
  <c r="CC197" i="65" s="1"/>
  <c r="CC198" i="65" s="1"/>
  <c r="CC199" i="65" s="1"/>
  <c r="CC200" i="65" s="1"/>
  <c r="CC201" i="65" s="1"/>
  <c r="CC202" i="65" s="1"/>
  <c r="CC203" i="65" s="1"/>
  <c r="CC204" i="65" s="1"/>
  <c r="CC205" i="65" s="1"/>
  <c r="CC206" i="65" s="1"/>
  <c r="CC207" i="65" s="1"/>
  <c r="CC208" i="65" s="1"/>
  <c r="CC209" i="65" s="1"/>
  <c r="CC210" i="65" s="1"/>
  <c r="CC211" i="65" s="1"/>
  <c r="CC212" i="65" s="1"/>
  <c r="CC213" i="65" s="1"/>
  <c r="CC214" i="65" s="1"/>
  <c r="CC215" i="65" s="1"/>
  <c r="CC216" i="65" s="1"/>
  <c r="CC217" i="65" s="1"/>
  <c r="CC218" i="65" s="1"/>
  <c r="CC219" i="65" s="1"/>
  <c r="CC220" i="65" s="1"/>
  <c r="CC221" i="65" s="1"/>
  <c r="CC222" i="65" s="1"/>
  <c r="CC223" i="65" s="1"/>
  <c r="CC224" i="65" s="1"/>
  <c r="CC225" i="65" s="1"/>
  <c r="CC226" i="65" s="1"/>
  <c r="CC227" i="65" s="1"/>
  <c r="CC228" i="65" s="1"/>
  <c r="CC229" i="65" s="1"/>
  <c r="CC230" i="65" s="1"/>
  <c r="CC231" i="65" s="1"/>
  <c r="CC232" i="65" s="1"/>
  <c r="CC233" i="65" s="1"/>
  <c r="CC234" i="65" s="1"/>
  <c r="CS140" i="65"/>
  <c r="CS141" i="65" s="1"/>
  <c r="CS142" i="65" s="1"/>
  <c r="CS143" i="65" s="1"/>
  <c r="CS144" i="65" s="1"/>
  <c r="CS145" i="65" s="1"/>
  <c r="CS146" i="65" s="1"/>
  <c r="CS147" i="65" s="1"/>
  <c r="CS148" i="65" s="1"/>
  <c r="CS149" i="65" s="1"/>
  <c r="CS150" i="65" s="1"/>
  <c r="CS151" i="65" s="1"/>
  <c r="CS152" i="65" s="1"/>
  <c r="CS153" i="65" s="1"/>
  <c r="CS154" i="65" s="1"/>
  <c r="CS155" i="65" s="1"/>
  <c r="CS156" i="65" s="1"/>
  <c r="CS157" i="65" s="1"/>
  <c r="CS158" i="65" s="1"/>
  <c r="CS159" i="65" s="1"/>
  <c r="CS160" i="65" s="1"/>
  <c r="CS161" i="65" s="1"/>
  <c r="CS162" i="65" s="1"/>
  <c r="CS163" i="65" s="1"/>
  <c r="CS164" i="65" s="1"/>
  <c r="CS165" i="65" s="1"/>
  <c r="CS166" i="65" s="1"/>
  <c r="CS167" i="65" s="1"/>
  <c r="CS168" i="65" s="1"/>
  <c r="CS169" i="65" s="1"/>
  <c r="CS170" i="65" s="1"/>
  <c r="CS171" i="65" s="1"/>
  <c r="CS172" i="65" s="1"/>
  <c r="CS173" i="65" s="1"/>
  <c r="CS174" i="65" s="1"/>
  <c r="CS175" i="65" s="1"/>
  <c r="CS176" i="65" s="1"/>
  <c r="CS177" i="65" s="1"/>
  <c r="CS178" i="65" s="1"/>
  <c r="CS179" i="65" s="1"/>
  <c r="CS180" i="65" s="1"/>
  <c r="CS181" i="65" s="1"/>
  <c r="CS182" i="65" s="1"/>
  <c r="CS183" i="65" s="1"/>
  <c r="CS184" i="65" s="1"/>
  <c r="CS185" i="65" s="1"/>
  <c r="CS186" i="65" s="1"/>
  <c r="CS187" i="65" s="1"/>
  <c r="CS188" i="65" s="1"/>
  <c r="CS189" i="65" s="1"/>
  <c r="CS190" i="65" s="1"/>
  <c r="CS191" i="65" s="1"/>
  <c r="CS192" i="65" s="1"/>
  <c r="CS193" i="65" s="1"/>
  <c r="CS194" i="65" s="1"/>
  <c r="CS195" i="65" s="1"/>
  <c r="CS196" i="65" s="1"/>
  <c r="CS197" i="65" s="1"/>
  <c r="CS198" i="65" s="1"/>
  <c r="CS199" i="65" s="1"/>
  <c r="CS200" i="65" s="1"/>
  <c r="CS201" i="65" s="1"/>
  <c r="CS202" i="65" s="1"/>
  <c r="CS203" i="65" s="1"/>
  <c r="CS204" i="65" s="1"/>
  <c r="CS205" i="65" s="1"/>
  <c r="CS206" i="65" s="1"/>
  <c r="CS207" i="65" s="1"/>
  <c r="CS208" i="65" s="1"/>
  <c r="CS209" i="65" s="1"/>
  <c r="CS210" i="65" s="1"/>
  <c r="CS211" i="65" s="1"/>
  <c r="CS212" i="65" s="1"/>
  <c r="CS213" i="65" s="1"/>
  <c r="CS214" i="65" s="1"/>
  <c r="CS215" i="65" s="1"/>
  <c r="CS216" i="65" s="1"/>
  <c r="CS217" i="65" s="1"/>
  <c r="CS218" i="65" s="1"/>
  <c r="CS219" i="65" s="1"/>
  <c r="CS220" i="65" s="1"/>
  <c r="CS221" i="65" s="1"/>
  <c r="CS222" i="65" s="1"/>
  <c r="CS223" i="65" s="1"/>
  <c r="CS224" i="65" s="1"/>
  <c r="CS225" i="65" s="1"/>
  <c r="CS226" i="65" s="1"/>
  <c r="CS227" i="65" s="1"/>
  <c r="CS228" i="65" s="1"/>
  <c r="CS229" i="65" s="1"/>
  <c r="CS230" i="65" s="1"/>
  <c r="CS231" i="65" s="1"/>
  <c r="CS232" i="65" s="1"/>
  <c r="CS233" i="65" s="1"/>
  <c r="CS234" i="65" s="1"/>
  <c r="DI140" i="65"/>
  <c r="DI141" i="65" s="1"/>
  <c r="DI142" i="65" s="1"/>
  <c r="DI143" i="65" s="1"/>
  <c r="DI144" i="65" s="1"/>
  <c r="DI145" i="65" s="1"/>
  <c r="DI146" i="65" s="1"/>
  <c r="DI147" i="65" s="1"/>
  <c r="DI148" i="65" s="1"/>
  <c r="DZ41" i="65"/>
  <c r="S142" i="65"/>
  <c r="S143" i="65" s="1"/>
  <c r="S144" i="65" s="1"/>
  <c r="EH48" i="65"/>
  <c r="EG49" i="65"/>
  <c r="EA50" i="65"/>
  <c r="EI51" i="65"/>
  <c r="EE52" i="65"/>
  <c r="EJ54" i="65"/>
  <c r="DX56" i="65"/>
  <c r="DX61" i="65"/>
  <c r="DY62" i="65"/>
  <c r="DZ63" i="65"/>
  <c r="I142" i="65"/>
  <c r="DZ40" i="65"/>
  <c r="EP40" i="65"/>
  <c r="R140" i="65"/>
  <c r="AH140" i="65"/>
  <c r="AH141" i="65" s="1"/>
  <c r="AH142" i="65" s="1"/>
  <c r="AX140" i="65"/>
  <c r="AX141" i="65" s="1"/>
  <c r="AX142" i="65" s="1"/>
  <c r="AX143" i="65" s="1"/>
  <c r="AX144" i="65" s="1"/>
  <c r="AX145" i="65" s="1"/>
  <c r="AX146" i="65" s="1"/>
  <c r="AX147" i="65" s="1"/>
  <c r="AX148" i="65" s="1"/>
  <c r="AX149" i="65" s="1"/>
  <c r="AX150" i="65" s="1"/>
  <c r="AX151" i="65" s="1"/>
  <c r="AX152" i="65" s="1"/>
  <c r="AX153" i="65" s="1"/>
  <c r="AX154" i="65" s="1"/>
  <c r="AX155" i="65" s="1"/>
  <c r="AX156" i="65" s="1"/>
  <c r="AX157" i="65" s="1"/>
  <c r="AX158" i="65" s="1"/>
  <c r="AX159" i="65" s="1"/>
  <c r="AX160" i="65" s="1"/>
  <c r="AX161" i="65" s="1"/>
  <c r="AX162" i="65" s="1"/>
  <c r="AX163" i="65" s="1"/>
  <c r="AX164" i="65" s="1"/>
  <c r="AX165" i="65" s="1"/>
  <c r="AX166" i="65" s="1"/>
  <c r="AX167" i="65" s="1"/>
  <c r="AX168" i="65" s="1"/>
  <c r="AX169" i="65" s="1"/>
  <c r="AX170" i="65" s="1"/>
  <c r="AX171" i="65" s="1"/>
  <c r="AX172" i="65" s="1"/>
  <c r="AX173" i="65" s="1"/>
  <c r="AX174" i="65" s="1"/>
  <c r="AX175" i="65" s="1"/>
  <c r="AX176" i="65" s="1"/>
  <c r="AX177" i="65" s="1"/>
  <c r="AX178" i="65" s="1"/>
  <c r="AX179" i="65" s="1"/>
  <c r="AX180" i="65" s="1"/>
  <c r="AX181" i="65" s="1"/>
  <c r="AX182" i="65" s="1"/>
  <c r="AX183" i="65" s="1"/>
  <c r="AX184" i="65" s="1"/>
  <c r="AX185" i="65" s="1"/>
  <c r="AX186" i="65" s="1"/>
  <c r="AX187" i="65" s="1"/>
  <c r="AX188" i="65" s="1"/>
  <c r="AX189" i="65" s="1"/>
  <c r="AX190" i="65" s="1"/>
  <c r="AX191" i="65" s="1"/>
  <c r="AX192" i="65" s="1"/>
  <c r="AX193" i="65" s="1"/>
  <c r="AX194" i="65" s="1"/>
  <c r="AX195" i="65" s="1"/>
  <c r="AX196" i="65" s="1"/>
  <c r="AX197" i="65" s="1"/>
  <c r="AX198" i="65" s="1"/>
  <c r="AX199" i="65" s="1"/>
  <c r="AX200" i="65" s="1"/>
  <c r="AX201" i="65" s="1"/>
  <c r="AX202" i="65" s="1"/>
  <c r="AX203" i="65" s="1"/>
  <c r="AX204" i="65" s="1"/>
  <c r="AX205" i="65" s="1"/>
  <c r="AX206" i="65" s="1"/>
  <c r="AX207" i="65" s="1"/>
  <c r="AX208" i="65" s="1"/>
  <c r="AX209" i="65" s="1"/>
  <c r="AX210" i="65" s="1"/>
  <c r="AX211" i="65" s="1"/>
  <c r="AX212" i="65" s="1"/>
  <c r="AX213" i="65" s="1"/>
  <c r="AX214" i="65" s="1"/>
  <c r="AX215" i="65" s="1"/>
  <c r="AX216" i="65" s="1"/>
  <c r="AX217" i="65" s="1"/>
  <c r="AX218" i="65" s="1"/>
  <c r="AX219" i="65" s="1"/>
  <c r="AX220" i="65" s="1"/>
  <c r="AX221" i="65" s="1"/>
  <c r="AX222" i="65" s="1"/>
  <c r="AX223" i="65" s="1"/>
  <c r="AX224" i="65" s="1"/>
  <c r="AX225" i="65" s="1"/>
  <c r="AX226" i="65" s="1"/>
  <c r="AX227" i="65" s="1"/>
  <c r="AX228" i="65" s="1"/>
  <c r="AX229" i="65" s="1"/>
  <c r="AX230" i="65" s="1"/>
  <c r="AX231" i="65" s="1"/>
  <c r="AX232" i="65" s="1"/>
  <c r="AX233" i="65" s="1"/>
  <c r="AX234" i="65" s="1"/>
  <c r="BN140" i="65"/>
  <c r="BN141" i="65" s="1"/>
  <c r="BN142" i="65" s="1"/>
  <c r="BN143" i="65" s="1"/>
  <c r="BN144" i="65" s="1"/>
  <c r="BN145" i="65" s="1"/>
  <c r="BN146" i="65" s="1"/>
  <c r="BN147" i="65" s="1"/>
  <c r="BN148" i="65" s="1"/>
  <c r="BN149" i="65" s="1"/>
  <c r="CD140" i="65"/>
  <c r="CD141" i="65" s="1"/>
  <c r="CD142" i="65" s="1"/>
  <c r="CD143" i="65" s="1"/>
  <c r="CD144" i="65" s="1"/>
  <c r="CD145" i="65" s="1"/>
  <c r="CD146" i="65" s="1"/>
  <c r="CD147" i="65" s="1"/>
  <c r="CD148" i="65" s="1"/>
  <c r="CD149" i="65" s="1"/>
  <c r="CD150" i="65" s="1"/>
  <c r="CD151" i="65" s="1"/>
  <c r="CD152" i="65" s="1"/>
  <c r="CD153" i="65" s="1"/>
  <c r="CD154" i="65" s="1"/>
  <c r="CD155" i="65" s="1"/>
  <c r="CD156" i="65" s="1"/>
  <c r="CD157" i="65" s="1"/>
  <c r="CD158" i="65" s="1"/>
  <c r="CD159" i="65" s="1"/>
  <c r="CD160" i="65" s="1"/>
  <c r="CD161" i="65" s="1"/>
  <c r="CD162" i="65" s="1"/>
  <c r="CD163" i="65" s="1"/>
  <c r="CD164" i="65" s="1"/>
  <c r="CD165" i="65" s="1"/>
  <c r="CD166" i="65" s="1"/>
  <c r="CD167" i="65" s="1"/>
  <c r="CD168" i="65" s="1"/>
  <c r="CD169" i="65" s="1"/>
  <c r="CD170" i="65" s="1"/>
  <c r="CD171" i="65" s="1"/>
  <c r="CD172" i="65" s="1"/>
  <c r="CD173" i="65" s="1"/>
  <c r="CD174" i="65" s="1"/>
  <c r="CD175" i="65" s="1"/>
  <c r="CD176" i="65" s="1"/>
  <c r="CD177" i="65" s="1"/>
  <c r="CD178" i="65" s="1"/>
  <c r="CD179" i="65" s="1"/>
  <c r="CD180" i="65" s="1"/>
  <c r="CD181" i="65" s="1"/>
  <c r="CD182" i="65" s="1"/>
  <c r="CD183" i="65" s="1"/>
  <c r="CD184" i="65" s="1"/>
  <c r="CD185" i="65" s="1"/>
  <c r="CD186" i="65" s="1"/>
  <c r="CD187" i="65" s="1"/>
  <c r="CD188" i="65" s="1"/>
  <c r="CD189" i="65" s="1"/>
  <c r="CD190" i="65" s="1"/>
  <c r="CD191" i="65" s="1"/>
  <c r="CD192" i="65" s="1"/>
  <c r="CD193" i="65" s="1"/>
  <c r="CD194" i="65" s="1"/>
  <c r="CD195" i="65" s="1"/>
  <c r="CD196" i="65" s="1"/>
  <c r="CD197" i="65" s="1"/>
  <c r="CD198" i="65" s="1"/>
  <c r="CD199" i="65" s="1"/>
  <c r="CD200" i="65" s="1"/>
  <c r="CD201" i="65" s="1"/>
  <c r="CD202" i="65" s="1"/>
  <c r="CD203" i="65" s="1"/>
  <c r="CD204" i="65" s="1"/>
  <c r="CD205" i="65" s="1"/>
  <c r="CD206" i="65" s="1"/>
  <c r="CD207" i="65" s="1"/>
  <c r="CD208" i="65" s="1"/>
  <c r="CD209" i="65" s="1"/>
  <c r="CD210" i="65" s="1"/>
  <c r="CD211" i="65" s="1"/>
  <c r="CD212" i="65" s="1"/>
  <c r="CD213" i="65" s="1"/>
  <c r="CD214" i="65" s="1"/>
  <c r="CD215" i="65" s="1"/>
  <c r="CD216" i="65" s="1"/>
  <c r="CD217" i="65" s="1"/>
  <c r="CD218" i="65" s="1"/>
  <c r="CD219" i="65" s="1"/>
  <c r="CD220" i="65" s="1"/>
  <c r="CD221" i="65" s="1"/>
  <c r="CD222" i="65" s="1"/>
  <c r="CD223" i="65" s="1"/>
  <c r="CD224" i="65" s="1"/>
  <c r="CD225" i="65" s="1"/>
  <c r="CD226" i="65" s="1"/>
  <c r="CD227" i="65" s="1"/>
  <c r="CD228" i="65" s="1"/>
  <c r="CD229" i="65" s="1"/>
  <c r="CD230" i="65" s="1"/>
  <c r="CD231" i="65" s="1"/>
  <c r="CD232" i="65" s="1"/>
  <c r="CD233" i="65" s="1"/>
  <c r="CD234" i="65" s="1"/>
  <c r="CT140" i="65"/>
  <c r="CT141" i="65" s="1"/>
  <c r="CT142" i="65" s="1"/>
  <c r="CT143" i="65" s="1"/>
  <c r="CT144" i="65" s="1"/>
  <c r="CT145" i="65" s="1"/>
  <c r="CT146" i="65" s="1"/>
  <c r="CT147" i="65" s="1"/>
  <c r="CT148" i="65" s="1"/>
  <c r="CT149" i="65" s="1"/>
  <c r="CT150" i="65" s="1"/>
  <c r="CT151" i="65" s="1"/>
  <c r="CT152" i="65" s="1"/>
  <c r="CT153" i="65" s="1"/>
  <c r="CT154" i="65" s="1"/>
  <c r="CT155" i="65" s="1"/>
  <c r="CT156" i="65" s="1"/>
  <c r="CT157" i="65" s="1"/>
  <c r="CT158" i="65" s="1"/>
  <c r="CT159" i="65" s="1"/>
  <c r="CT160" i="65" s="1"/>
  <c r="CT161" i="65" s="1"/>
  <c r="CT162" i="65" s="1"/>
  <c r="CT163" i="65" s="1"/>
  <c r="CT164" i="65" s="1"/>
  <c r="CT165" i="65" s="1"/>
  <c r="CT166" i="65" s="1"/>
  <c r="CT167" i="65" s="1"/>
  <c r="CT168" i="65" s="1"/>
  <c r="CT169" i="65" s="1"/>
  <c r="CT170" i="65" s="1"/>
  <c r="CT171" i="65" s="1"/>
  <c r="CT172" i="65" s="1"/>
  <c r="CT173" i="65" s="1"/>
  <c r="CT174" i="65" s="1"/>
  <c r="CT175" i="65" s="1"/>
  <c r="CT176" i="65" s="1"/>
  <c r="CT177" i="65" s="1"/>
  <c r="CT178" i="65" s="1"/>
  <c r="CT179" i="65" s="1"/>
  <c r="CT180" i="65" s="1"/>
  <c r="CT181" i="65" s="1"/>
  <c r="CT182" i="65" s="1"/>
  <c r="CT183" i="65" s="1"/>
  <c r="CT184" i="65" s="1"/>
  <c r="CT185" i="65" s="1"/>
  <c r="CT186" i="65" s="1"/>
  <c r="CT187" i="65" s="1"/>
  <c r="CT188" i="65" s="1"/>
  <c r="CT189" i="65" s="1"/>
  <c r="CT190" i="65" s="1"/>
  <c r="CT191" i="65" s="1"/>
  <c r="CT192" i="65" s="1"/>
  <c r="CT193" i="65" s="1"/>
  <c r="CT194" i="65" s="1"/>
  <c r="CT195" i="65" s="1"/>
  <c r="CT196" i="65" s="1"/>
  <c r="CT197" i="65" s="1"/>
  <c r="CT198" i="65" s="1"/>
  <c r="CT199" i="65" s="1"/>
  <c r="CT200" i="65" s="1"/>
  <c r="CT201" i="65" s="1"/>
  <c r="CT202" i="65" s="1"/>
  <c r="CT203" i="65" s="1"/>
  <c r="CT204" i="65" s="1"/>
  <c r="CT205" i="65" s="1"/>
  <c r="CT206" i="65" s="1"/>
  <c r="CT207" i="65" s="1"/>
  <c r="CT208" i="65" s="1"/>
  <c r="CT209" i="65" s="1"/>
  <c r="CT210" i="65" s="1"/>
  <c r="CT211" i="65" s="1"/>
  <c r="CT212" i="65" s="1"/>
  <c r="CT213" i="65" s="1"/>
  <c r="CT214" i="65" s="1"/>
  <c r="CT215" i="65" s="1"/>
  <c r="CT216" i="65" s="1"/>
  <c r="CT217" i="65" s="1"/>
  <c r="CT218" i="65" s="1"/>
  <c r="CT219" i="65" s="1"/>
  <c r="CT220" i="65" s="1"/>
  <c r="CT221" i="65" s="1"/>
  <c r="CT222" i="65" s="1"/>
  <c r="CT223" i="65" s="1"/>
  <c r="CT224" i="65" s="1"/>
  <c r="CT225" i="65" s="1"/>
  <c r="CT226" i="65" s="1"/>
  <c r="CT227" i="65" s="1"/>
  <c r="CT228" i="65" s="1"/>
  <c r="CT229" i="65" s="1"/>
  <c r="CT230" i="65" s="1"/>
  <c r="CT231" i="65" s="1"/>
  <c r="CT232" i="65" s="1"/>
  <c r="CT233" i="65" s="1"/>
  <c r="CT234" i="65" s="1"/>
  <c r="DJ140" i="65"/>
  <c r="DJ141" i="65" s="1"/>
  <c r="DJ142" i="65" s="1"/>
  <c r="DJ143" i="65" s="1"/>
  <c r="DJ144" i="65" s="1"/>
  <c r="DJ145" i="65" s="1"/>
  <c r="DJ146" i="65" s="1"/>
  <c r="DJ147" i="65" s="1"/>
  <c r="DJ148" i="65" s="1"/>
  <c r="DJ149" i="65" s="1"/>
  <c r="DJ150" i="65" s="1"/>
  <c r="DJ151" i="65" s="1"/>
  <c r="DJ152" i="65" s="1"/>
  <c r="DJ153" i="65" s="1"/>
  <c r="DJ154" i="65" s="1"/>
  <c r="DJ155" i="65" s="1"/>
  <c r="DJ156" i="65" s="1"/>
  <c r="DJ157" i="65" s="1"/>
  <c r="DJ158" i="65" s="1"/>
  <c r="DJ159" i="65" s="1"/>
  <c r="DJ160" i="65" s="1"/>
  <c r="DJ161" i="65" s="1"/>
  <c r="DJ162" i="65" s="1"/>
  <c r="DJ163" i="65" s="1"/>
  <c r="DJ164" i="65" s="1"/>
  <c r="DJ165" i="65" s="1"/>
  <c r="DJ166" i="65" s="1"/>
  <c r="DJ167" i="65" s="1"/>
  <c r="DJ168" i="65" s="1"/>
  <c r="DJ169" i="65" s="1"/>
  <c r="DJ170" i="65" s="1"/>
  <c r="DJ171" i="65" s="1"/>
  <c r="DJ172" i="65" s="1"/>
  <c r="DJ173" i="65" s="1"/>
  <c r="DJ174" i="65" s="1"/>
  <c r="DJ175" i="65" s="1"/>
  <c r="DJ176" i="65" s="1"/>
  <c r="DJ177" i="65" s="1"/>
  <c r="DJ178" i="65" s="1"/>
  <c r="DJ179" i="65" s="1"/>
  <c r="DJ180" i="65" s="1"/>
  <c r="DJ181" i="65" s="1"/>
  <c r="DJ182" i="65" s="1"/>
  <c r="DJ183" i="65" s="1"/>
  <c r="DJ184" i="65" s="1"/>
  <c r="DJ185" i="65" s="1"/>
  <c r="DJ186" i="65" s="1"/>
  <c r="DJ187" i="65" s="1"/>
  <c r="DJ188" i="65" s="1"/>
  <c r="DJ189" i="65" s="1"/>
  <c r="DJ190" i="65" s="1"/>
  <c r="DJ191" i="65" s="1"/>
  <c r="DJ192" i="65" s="1"/>
  <c r="DJ193" i="65" s="1"/>
  <c r="DJ194" i="65" s="1"/>
  <c r="DJ195" i="65" s="1"/>
  <c r="DJ196" i="65" s="1"/>
  <c r="DJ197" i="65" s="1"/>
  <c r="DJ198" i="65" s="1"/>
  <c r="DJ199" i="65" s="1"/>
  <c r="DJ200" i="65" s="1"/>
  <c r="DJ201" i="65" s="1"/>
  <c r="DJ202" i="65" s="1"/>
  <c r="DJ203" i="65" s="1"/>
  <c r="DJ204" i="65" s="1"/>
  <c r="DJ205" i="65" s="1"/>
  <c r="DJ206" i="65" s="1"/>
  <c r="DJ207" i="65" s="1"/>
  <c r="DJ208" i="65" s="1"/>
  <c r="DJ209" i="65" s="1"/>
  <c r="DJ210" i="65" s="1"/>
  <c r="DJ211" i="65" s="1"/>
  <c r="DJ212" i="65" s="1"/>
  <c r="DJ213" i="65" s="1"/>
  <c r="DJ214" i="65" s="1"/>
  <c r="DJ215" i="65" s="1"/>
  <c r="DJ216" i="65" s="1"/>
  <c r="DJ217" i="65" s="1"/>
  <c r="DJ218" i="65" s="1"/>
  <c r="DJ219" i="65" s="1"/>
  <c r="DJ220" i="65" s="1"/>
  <c r="DJ221" i="65" s="1"/>
  <c r="DJ222" i="65" s="1"/>
  <c r="DJ223" i="65" s="1"/>
  <c r="DJ224" i="65" s="1"/>
  <c r="DJ225" i="65" s="1"/>
  <c r="DJ226" i="65" s="1"/>
  <c r="DJ227" i="65" s="1"/>
  <c r="DJ228" i="65" s="1"/>
  <c r="DJ229" i="65" s="1"/>
  <c r="DJ230" i="65" s="1"/>
  <c r="DJ231" i="65" s="1"/>
  <c r="DJ232" i="65" s="1"/>
  <c r="DJ233" i="65" s="1"/>
  <c r="DJ234" i="65" s="1"/>
  <c r="EA41" i="65"/>
  <c r="EQ41" i="65"/>
  <c r="S141" i="65"/>
  <c r="AI141" i="65"/>
  <c r="AI142" i="65" s="1"/>
  <c r="AI143" i="65" s="1"/>
  <c r="AI144" i="65" s="1"/>
  <c r="AI145" i="65" s="1"/>
  <c r="AI146" i="65" s="1"/>
  <c r="AI147" i="65" s="1"/>
  <c r="AI148" i="65" s="1"/>
  <c r="AI149" i="65" s="1"/>
  <c r="AI150" i="65" s="1"/>
  <c r="AI151" i="65" s="1"/>
  <c r="AI152" i="65" s="1"/>
  <c r="AI153" i="65" s="1"/>
  <c r="AI154" i="65" s="1"/>
  <c r="AI155" i="65" s="1"/>
  <c r="AI156" i="65" s="1"/>
  <c r="AI157" i="65" s="1"/>
  <c r="AI158" i="65" s="1"/>
  <c r="AI159" i="65" s="1"/>
  <c r="AI160" i="65" s="1"/>
  <c r="AI161" i="65" s="1"/>
  <c r="AI162" i="65" s="1"/>
  <c r="AI163" i="65" s="1"/>
  <c r="AI164" i="65" s="1"/>
  <c r="AI165" i="65" s="1"/>
  <c r="AI166" i="65" s="1"/>
  <c r="AI167" i="65" s="1"/>
  <c r="AI168" i="65" s="1"/>
  <c r="AI169" i="65" s="1"/>
  <c r="AI170" i="65" s="1"/>
  <c r="AI171" i="65" s="1"/>
  <c r="AI172" i="65" s="1"/>
  <c r="AI173" i="65" s="1"/>
  <c r="AI174" i="65" s="1"/>
  <c r="AI175" i="65" s="1"/>
  <c r="AI176" i="65" s="1"/>
  <c r="AI177" i="65" s="1"/>
  <c r="AI178" i="65" s="1"/>
  <c r="AI179" i="65" s="1"/>
  <c r="AI180" i="65" s="1"/>
  <c r="AI181" i="65" s="1"/>
  <c r="AI182" i="65" s="1"/>
  <c r="AI183" i="65" s="1"/>
  <c r="AI184" i="65" s="1"/>
  <c r="AI185" i="65" s="1"/>
  <c r="AI186" i="65" s="1"/>
  <c r="AI187" i="65" s="1"/>
  <c r="AI188" i="65" s="1"/>
  <c r="AI189" i="65" s="1"/>
  <c r="AI190" i="65" s="1"/>
  <c r="AI191" i="65" s="1"/>
  <c r="AI192" i="65" s="1"/>
  <c r="AI193" i="65" s="1"/>
  <c r="AI194" i="65" s="1"/>
  <c r="AI195" i="65" s="1"/>
  <c r="AI196" i="65" s="1"/>
  <c r="AI197" i="65" s="1"/>
  <c r="AI198" i="65" s="1"/>
  <c r="AI199" i="65" s="1"/>
  <c r="AI200" i="65" s="1"/>
  <c r="AI201" i="65" s="1"/>
  <c r="AI202" i="65" s="1"/>
  <c r="AI203" i="65" s="1"/>
  <c r="AI204" i="65" s="1"/>
  <c r="AI205" i="65" s="1"/>
  <c r="AI206" i="65" s="1"/>
  <c r="AI207" i="65" s="1"/>
  <c r="AI208" i="65" s="1"/>
  <c r="AI209" i="65" s="1"/>
  <c r="AI210" i="65" s="1"/>
  <c r="AI211" i="65" s="1"/>
  <c r="AI212" i="65" s="1"/>
  <c r="AI213" i="65" s="1"/>
  <c r="AI214" i="65" s="1"/>
  <c r="AI215" i="65" s="1"/>
  <c r="AI216" i="65" s="1"/>
  <c r="AI217" i="65" s="1"/>
  <c r="AI218" i="65" s="1"/>
  <c r="AI219" i="65" s="1"/>
  <c r="AI220" i="65" s="1"/>
  <c r="AI221" i="65" s="1"/>
  <c r="AI222" i="65" s="1"/>
  <c r="AI223" i="65" s="1"/>
  <c r="AI224" i="65" s="1"/>
  <c r="AI225" i="65" s="1"/>
  <c r="AI226" i="65" s="1"/>
  <c r="AI227" i="65" s="1"/>
  <c r="AI228" i="65" s="1"/>
  <c r="AI229" i="65" s="1"/>
  <c r="AI230" i="65" s="1"/>
  <c r="AI231" i="65" s="1"/>
  <c r="AI232" i="65" s="1"/>
  <c r="AI233" i="65" s="1"/>
  <c r="AI234" i="65" s="1"/>
  <c r="AY141" i="65"/>
  <c r="AY142" i="65" s="1"/>
  <c r="AY143" i="65" s="1"/>
  <c r="AY144" i="65" s="1"/>
  <c r="AY145" i="65" s="1"/>
  <c r="AY146" i="65" s="1"/>
  <c r="AY147" i="65" s="1"/>
  <c r="AY148" i="65" s="1"/>
  <c r="AY149" i="65" s="1"/>
  <c r="AY150" i="65" s="1"/>
  <c r="AY151" i="65" s="1"/>
  <c r="AY152" i="65" s="1"/>
  <c r="AY153" i="65" s="1"/>
  <c r="AY154" i="65" s="1"/>
  <c r="AY155" i="65" s="1"/>
  <c r="AY156" i="65" s="1"/>
  <c r="AY157" i="65" s="1"/>
  <c r="AY158" i="65" s="1"/>
  <c r="AY159" i="65" s="1"/>
  <c r="AY160" i="65" s="1"/>
  <c r="AY161" i="65" s="1"/>
  <c r="AY162" i="65" s="1"/>
  <c r="AY163" i="65" s="1"/>
  <c r="AY164" i="65" s="1"/>
  <c r="AY165" i="65" s="1"/>
  <c r="AY166" i="65" s="1"/>
  <c r="AY167" i="65" s="1"/>
  <c r="AY168" i="65" s="1"/>
  <c r="AY169" i="65" s="1"/>
  <c r="AY170" i="65" s="1"/>
  <c r="AY171" i="65" s="1"/>
  <c r="AY172" i="65" s="1"/>
  <c r="AY173" i="65" s="1"/>
  <c r="BO141" i="65"/>
  <c r="BO142" i="65" s="1"/>
  <c r="BO143" i="65" s="1"/>
  <c r="BO144" i="65" s="1"/>
  <c r="BO145" i="65" s="1"/>
  <c r="BO146" i="65" s="1"/>
  <c r="BO147" i="65" s="1"/>
  <c r="BO148" i="65" s="1"/>
  <c r="BO149" i="65" s="1"/>
  <c r="BO150" i="65" s="1"/>
  <c r="BO151" i="65" s="1"/>
  <c r="BO152" i="65" s="1"/>
  <c r="BO153" i="65" s="1"/>
  <c r="BO154" i="65" s="1"/>
  <c r="BO155" i="65" s="1"/>
  <c r="BO156" i="65" s="1"/>
  <c r="BO157" i="65" s="1"/>
  <c r="BO158" i="65" s="1"/>
  <c r="BO159" i="65" s="1"/>
  <c r="BO160" i="65" s="1"/>
  <c r="BO161" i="65" s="1"/>
  <c r="BO162" i="65" s="1"/>
  <c r="BO163" i="65" s="1"/>
  <c r="BO164" i="65" s="1"/>
  <c r="BO165" i="65" s="1"/>
  <c r="BO166" i="65" s="1"/>
  <c r="BO167" i="65" s="1"/>
  <c r="BO168" i="65" s="1"/>
  <c r="BO169" i="65" s="1"/>
  <c r="BO170" i="65" s="1"/>
  <c r="BO171" i="65" s="1"/>
  <c r="BO172" i="65" s="1"/>
  <c r="BO173" i="65" s="1"/>
  <c r="BO174" i="65" s="1"/>
  <c r="BO175" i="65" s="1"/>
  <c r="BO176" i="65" s="1"/>
  <c r="BO177" i="65" s="1"/>
  <c r="BO178" i="65" s="1"/>
  <c r="BO179" i="65" s="1"/>
  <c r="BO180" i="65" s="1"/>
  <c r="BO181" i="65" s="1"/>
  <c r="BO182" i="65" s="1"/>
  <c r="BO183" i="65" s="1"/>
  <c r="BO184" i="65" s="1"/>
  <c r="BO185" i="65" s="1"/>
  <c r="BO186" i="65" s="1"/>
  <c r="BO187" i="65" s="1"/>
  <c r="BO188" i="65" s="1"/>
  <c r="BO189" i="65" s="1"/>
  <c r="BO190" i="65" s="1"/>
  <c r="BO191" i="65" s="1"/>
  <c r="BO192" i="65" s="1"/>
  <c r="BO193" i="65" s="1"/>
  <c r="BO194" i="65" s="1"/>
  <c r="BO195" i="65" s="1"/>
  <c r="BO196" i="65" s="1"/>
  <c r="BO197" i="65" s="1"/>
  <c r="BO198" i="65" s="1"/>
  <c r="BO199" i="65" s="1"/>
  <c r="BO200" i="65" s="1"/>
  <c r="BO201" i="65" s="1"/>
  <c r="BO202" i="65" s="1"/>
  <c r="BO203" i="65" s="1"/>
  <c r="BO204" i="65" s="1"/>
  <c r="BO205" i="65" s="1"/>
  <c r="BO206" i="65" s="1"/>
  <c r="BO207" i="65" s="1"/>
  <c r="BO208" i="65" s="1"/>
  <c r="BO209" i="65" s="1"/>
  <c r="BO210" i="65" s="1"/>
  <c r="BO211" i="65" s="1"/>
  <c r="BO212" i="65" s="1"/>
  <c r="BO213" i="65" s="1"/>
  <c r="BO214" i="65" s="1"/>
  <c r="BO215" i="65" s="1"/>
  <c r="BO216" i="65" s="1"/>
  <c r="BO217" i="65" s="1"/>
  <c r="BO218" i="65" s="1"/>
  <c r="BO219" i="65" s="1"/>
  <c r="BO220" i="65" s="1"/>
  <c r="BO221" i="65" s="1"/>
  <c r="BO222" i="65" s="1"/>
  <c r="BO223" i="65" s="1"/>
  <c r="BO224" i="65" s="1"/>
  <c r="BO225" i="65" s="1"/>
  <c r="BO226" i="65" s="1"/>
  <c r="BO227" i="65" s="1"/>
  <c r="BO228" i="65" s="1"/>
  <c r="BO229" i="65" s="1"/>
  <c r="BO230" i="65" s="1"/>
  <c r="BO231" i="65" s="1"/>
  <c r="BO232" i="65" s="1"/>
  <c r="BO233" i="65" s="1"/>
  <c r="BO234" i="65" s="1"/>
  <c r="CE141" i="65"/>
  <c r="CE142" i="65" s="1"/>
  <c r="CE143" i="65" s="1"/>
  <c r="CE144" i="65" s="1"/>
  <c r="CE145" i="65" s="1"/>
  <c r="CE146" i="65" s="1"/>
  <c r="CE147" i="65" s="1"/>
  <c r="CE148" i="65" s="1"/>
  <c r="CE149" i="65" s="1"/>
  <c r="CE150" i="65" s="1"/>
  <c r="CE151" i="65" s="1"/>
  <c r="CE152" i="65" s="1"/>
  <c r="CE153" i="65" s="1"/>
  <c r="CE154" i="65" s="1"/>
  <c r="CE155" i="65" s="1"/>
  <c r="CE156" i="65" s="1"/>
  <c r="CE157" i="65" s="1"/>
  <c r="CE158" i="65" s="1"/>
  <c r="CE159" i="65" s="1"/>
  <c r="CE160" i="65" s="1"/>
  <c r="CE161" i="65" s="1"/>
  <c r="CE162" i="65" s="1"/>
  <c r="CE163" i="65" s="1"/>
  <c r="CE164" i="65" s="1"/>
  <c r="CE165" i="65" s="1"/>
  <c r="CE166" i="65" s="1"/>
  <c r="CE167" i="65" s="1"/>
  <c r="CE168" i="65" s="1"/>
  <c r="CE169" i="65" s="1"/>
  <c r="CE170" i="65" s="1"/>
  <c r="CE171" i="65" s="1"/>
  <c r="CE172" i="65" s="1"/>
  <c r="CE173" i="65" s="1"/>
  <c r="CE174" i="65" s="1"/>
  <c r="CE175" i="65" s="1"/>
  <c r="CE176" i="65" s="1"/>
  <c r="CE177" i="65" s="1"/>
  <c r="CE178" i="65" s="1"/>
  <c r="CE179" i="65" s="1"/>
  <c r="CE180" i="65" s="1"/>
  <c r="CE181" i="65" s="1"/>
  <c r="CE182" i="65" s="1"/>
  <c r="CE183" i="65" s="1"/>
  <c r="CE184" i="65" s="1"/>
  <c r="CE185" i="65" s="1"/>
  <c r="CE186" i="65" s="1"/>
  <c r="CE187" i="65" s="1"/>
  <c r="CE188" i="65" s="1"/>
  <c r="CE189" i="65" s="1"/>
  <c r="CE190" i="65" s="1"/>
  <c r="CE191" i="65" s="1"/>
  <c r="CE192" i="65" s="1"/>
  <c r="CE193" i="65" s="1"/>
  <c r="CE194" i="65" s="1"/>
  <c r="CE195" i="65" s="1"/>
  <c r="CE196" i="65" s="1"/>
  <c r="CE197" i="65" s="1"/>
  <c r="CE198" i="65" s="1"/>
  <c r="CE199" i="65" s="1"/>
  <c r="CE200" i="65" s="1"/>
  <c r="CE201" i="65" s="1"/>
  <c r="CE202" i="65" s="1"/>
  <c r="CE203" i="65" s="1"/>
  <c r="CE204" i="65" s="1"/>
  <c r="CE205" i="65" s="1"/>
  <c r="CE206" i="65" s="1"/>
  <c r="CE207" i="65" s="1"/>
  <c r="CE208" i="65" s="1"/>
  <c r="CE209" i="65" s="1"/>
  <c r="CE210" i="65" s="1"/>
  <c r="CE211" i="65" s="1"/>
  <c r="CE212" i="65" s="1"/>
  <c r="CE213" i="65" s="1"/>
  <c r="CE214" i="65" s="1"/>
  <c r="CE215" i="65" s="1"/>
  <c r="CE216" i="65" s="1"/>
  <c r="CE217" i="65" s="1"/>
  <c r="CE218" i="65" s="1"/>
  <c r="CE219" i="65" s="1"/>
  <c r="CE220" i="65" s="1"/>
  <c r="CE221" i="65" s="1"/>
  <c r="CE222" i="65" s="1"/>
  <c r="CE223" i="65" s="1"/>
  <c r="CE224" i="65" s="1"/>
  <c r="CE225" i="65" s="1"/>
  <c r="CE226" i="65" s="1"/>
  <c r="CE227" i="65" s="1"/>
  <c r="CE228" i="65" s="1"/>
  <c r="CE229" i="65" s="1"/>
  <c r="CE230" i="65" s="1"/>
  <c r="CE231" i="65" s="1"/>
  <c r="CE232" i="65" s="1"/>
  <c r="CE233" i="65" s="1"/>
  <c r="CE234" i="65" s="1"/>
  <c r="CU141" i="65"/>
  <c r="CU142" i="65" s="1"/>
  <c r="CU143" i="65" s="1"/>
  <c r="CU144" i="65" s="1"/>
  <c r="CU145" i="65" s="1"/>
  <c r="CU146" i="65" s="1"/>
  <c r="CU147" i="65" s="1"/>
  <c r="CU148" i="65" s="1"/>
  <c r="CU149" i="65" s="1"/>
  <c r="CU150" i="65" s="1"/>
  <c r="CU151" i="65" s="1"/>
  <c r="CU152" i="65" s="1"/>
  <c r="CU153" i="65" s="1"/>
  <c r="CU154" i="65" s="1"/>
  <c r="CU155" i="65" s="1"/>
  <c r="CU156" i="65" s="1"/>
  <c r="CU157" i="65" s="1"/>
  <c r="CU158" i="65" s="1"/>
  <c r="CU159" i="65" s="1"/>
  <c r="CU160" i="65" s="1"/>
  <c r="CU161" i="65" s="1"/>
  <c r="CU162" i="65" s="1"/>
  <c r="CU163" i="65" s="1"/>
  <c r="CU164" i="65" s="1"/>
  <c r="CU165" i="65" s="1"/>
  <c r="CU166" i="65" s="1"/>
  <c r="CU167" i="65" s="1"/>
  <c r="CU168" i="65" s="1"/>
  <c r="CU169" i="65" s="1"/>
  <c r="CU170" i="65" s="1"/>
  <c r="CU171" i="65" s="1"/>
  <c r="CU172" i="65" s="1"/>
  <c r="CU173" i="65" s="1"/>
  <c r="CU174" i="65" s="1"/>
  <c r="CU175" i="65" s="1"/>
  <c r="CU176" i="65" s="1"/>
  <c r="CU177" i="65" s="1"/>
  <c r="CU178" i="65" s="1"/>
  <c r="CU179" i="65" s="1"/>
  <c r="CU180" i="65" s="1"/>
  <c r="CU181" i="65" s="1"/>
  <c r="CU182" i="65" s="1"/>
  <c r="CU183" i="65" s="1"/>
  <c r="CU184" i="65" s="1"/>
  <c r="CU185" i="65" s="1"/>
  <c r="CU186" i="65" s="1"/>
  <c r="CU187" i="65" s="1"/>
  <c r="CU188" i="65" s="1"/>
  <c r="CU189" i="65" s="1"/>
  <c r="CU190" i="65" s="1"/>
  <c r="CU191" i="65" s="1"/>
  <c r="CU192" i="65" s="1"/>
  <c r="CU193" i="65" s="1"/>
  <c r="CU194" i="65" s="1"/>
  <c r="CU195" i="65" s="1"/>
  <c r="CU196" i="65" s="1"/>
  <c r="CU197" i="65" s="1"/>
  <c r="CU198" i="65" s="1"/>
  <c r="CU199" i="65" s="1"/>
  <c r="CU200" i="65" s="1"/>
  <c r="CU201" i="65" s="1"/>
  <c r="CU202" i="65" s="1"/>
  <c r="CU203" i="65" s="1"/>
  <c r="CU204" i="65" s="1"/>
  <c r="CU205" i="65" s="1"/>
  <c r="CU206" i="65" s="1"/>
  <c r="CU207" i="65" s="1"/>
  <c r="CU208" i="65" s="1"/>
  <c r="CU209" i="65" s="1"/>
  <c r="CU210" i="65" s="1"/>
  <c r="CU211" i="65" s="1"/>
  <c r="CU212" i="65" s="1"/>
  <c r="CU213" i="65" s="1"/>
  <c r="CU214" i="65" s="1"/>
  <c r="CU215" i="65" s="1"/>
  <c r="CU216" i="65" s="1"/>
  <c r="CU217" i="65" s="1"/>
  <c r="CU218" i="65" s="1"/>
  <c r="CU219" i="65" s="1"/>
  <c r="CU220" i="65" s="1"/>
  <c r="CU221" i="65" s="1"/>
  <c r="CU222" i="65" s="1"/>
  <c r="CU223" i="65" s="1"/>
  <c r="CU224" i="65" s="1"/>
  <c r="CU225" i="65" s="1"/>
  <c r="CU226" i="65" s="1"/>
  <c r="CU227" i="65" s="1"/>
  <c r="CU228" i="65" s="1"/>
  <c r="CU229" i="65" s="1"/>
  <c r="CU230" i="65" s="1"/>
  <c r="CU231" i="65" s="1"/>
  <c r="CU232" i="65" s="1"/>
  <c r="CU233" i="65" s="1"/>
  <c r="CU234" i="65" s="1"/>
  <c r="DK141" i="65"/>
  <c r="DK142" i="65" s="1"/>
  <c r="DK143" i="65" s="1"/>
  <c r="DK144" i="65" s="1"/>
  <c r="DK145" i="65" s="1"/>
  <c r="DK146" i="65" s="1"/>
  <c r="DK147" i="65" s="1"/>
  <c r="DK148" i="65" s="1"/>
  <c r="DK149" i="65" s="1"/>
  <c r="DK150" i="65" s="1"/>
  <c r="DK151" i="65" s="1"/>
  <c r="DK152" i="65" s="1"/>
  <c r="DK153" i="65" s="1"/>
  <c r="DK154" i="65" s="1"/>
  <c r="DK155" i="65" s="1"/>
  <c r="DK156" i="65" s="1"/>
  <c r="DK157" i="65" s="1"/>
  <c r="DK158" i="65" s="1"/>
  <c r="DK159" i="65" s="1"/>
  <c r="DK160" i="65" s="1"/>
  <c r="DK161" i="65" s="1"/>
  <c r="DK162" i="65" s="1"/>
  <c r="DK163" i="65" s="1"/>
  <c r="DK164" i="65" s="1"/>
  <c r="DK165" i="65" s="1"/>
  <c r="DK166" i="65" s="1"/>
  <c r="DK167" i="65" s="1"/>
  <c r="DK168" i="65" s="1"/>
  <c r="DK169" i="65" s="1"/>
  <c r="DK170" i="65" s="1"/>
  <c r="DK171" i="65" s="1"/>
  <c r="DK172" i="65" s="1"/>
  <c r="DK173" i="65" s="1"/>
  <c r="DK174" i="65" s="1"/>
  <c r="DK175" i="65" s="1"/>
  <c r="DK176" i="65" s="1"/>
  <c r="DK177" i="65" s="1"/>
  <c r="DK178" i="65" s="1"/>
  <c r="DK179" i="65" s="1"/>
  <c r="DK180" i="65" s="1"/>
  <c r="DK181" i="65" s="1"/>
  <c r="DK182" i="65" s="1"/>
  <c r="DK183" i="65" s="1"/>
  <c r="DK184" i="65" s="1"/>
  <c r="DK185" i="65" s="1"/>
  <c r="DK186" i="65" s="1"/>
  <c r="DK187" i="65" s="1"/>
  <c r="DK188" i="65" s="1"/>
  <c r="DK189" i="65" s="1"/>
  <c r="DK190" i="65" s="1"/>
  <c r="DK191" i="65" s="1"/>
  <c r="DK192" i="65" s="1"/>
  <c r="DK193" i="65" s="1"/>
  <c r="DK194" i="65" s="1"/>
  <c r="DK195" i="65" s="1"/>
  <c r="DK196" i="65" s="1"/>
  <c r="DK197" i="65" s="1"/>
  <c r="DK198" i="65" s="1"/>
  <c r="DK199" i="65" s="1"/>
  <c r="DK200" i="65" s="1"/>
  <c r="DK201" i="65" s="1"/>
  <c r="DK202" i="65" s="1"/>
  <c r="DK203" i="65" s="1"/>
  <c r="DK204" i="65" s="1"/>
  <c r="DK205" i="65" s="1"/>
  <c r="DK206" i="65" s="1"/>
  <c r="DK207" i="65" s="1"/>
  <c r="DK208" i="65" s="1"/>
  <c r="DK209" i="65" s="1"/>
  <c r="DK210" i="65" s="1"/>
  <c r="DK211" i="65" s="1"/>
  <c r="DK212" i="65" s="1"/>
  <c r="DK213" i="65" s="1"/>
  <c r="DK214" i="65" s="1"/>
  <c r="DK215" i="65" s="1"/>
  <c r="DK216" i="65" s="1"/>
  <c r="DK217" i="65" s="1"/>
  <c r="DK218" i="65" s="1"/>
  <c r="DK219" i="65" s="1"/>
  <c r="DK220" i="65" s="1"/>
  <c r="DK221" i="65" s="1"/>
  <c r="DK222" i="65" s="1"/>
  <c r="DK223" i="65" s="1"/>
  <c r="DK224" i="65" s="1"/>
  <c r="DK225" i="65" s="1"/>
  <c r="DK226" i="65" s="1"/>
  <c r="DK227" i="65" s="1"/>
  <c r="DK228" i="65" s="1"/>
  <c r="DK229" i="65" s="1"/>
  <c r="DK230" i="65" s="1"/>
  <c r="DK231" i="65" s="1"/>
  <c r="DK232" i="65" s="1"/>
  <c r="DK233" i="65" s="1"/>
  <c r="DK234" i="65" s="1"/>
  <c r="EB42" i="65"/>
  <c r="ER42" i="65"/>
  <c r="EC43" i="65"/>
  <c r="ED44" i="65"/>
  <c r="EE45" i="65"/>
  <c r="EF46" i="65"/>
  <c r="EF48" i="65"/>
  <c r="EN49" i="65"/>
  <c r="EB50" i="65"/>
  <c r="EB55" i="65"/>
  <c r="DX57" i="65"/>
  <c r="DX60" i="65"/>
  <c r="AA70" i="65"/>
  <c r="AA72" i="65"/>
  <c r="AA71" i="65"/>
  <c r="AA118" i="65"/>
  <c r="AA120" i="65"/>
  <c r="AA119" i="65"/>
  <c r="EA40" i="65"/>
  <c r="EB41" i="65"/>
  <c r="AZ141" i="65"/>
  <c r="AZ142" i="65" s="1"/>
  <c r="AZ143" i="65" s="1"/>
  <c r="AZ144" i="65" s="1"/>
  <c r="AZ145" i="65" s="1"/>
  <c r="AZ146" i="65" s="1"/>
  <c r="AZ147" i="65" s="1"/>
  <c r="AZ148" i="65" s="1"/>
  <c r="AZ149" i="65" s="1"/>
  <c r="AZ150" i="65" s="1"/>
  <c r="AZ151" i="65" s="1"/>
  <c r="AZ152" i="65" s="1"/>
  <c r="AZ153" i="65" s="1"/>
  <c r="AZ154" i="65" s="1"/>
  <c r="AZ155" i="65" s="1"/>
  <c r="AZ156" i="65" s="1"/>
  <c r="AZ157" i="65" s="1"/>
  <c r="AZ158" i="65" s="1"/>
  <c r="AZ159" i="65" s="1"/>
  <c r="AZ160" i="65" s="1"/>
  <c r="AZ161" i="65" s="1"/>
  <c r="AZ162" i="65" s="1"/>
  <c r="AZ163" i="65" s="1"/>
  <c r="AZ164" i="65" s="1"/>
  <c r="AZ165" i="65" s="1"/>
  <c r="AZ166" i="65" s="1"/>
  <c r="AZ167" i="65" s="1"/>
  <c r="AZ168" i="65" s="1"/>
  <c r="AZ169" i="65" s="1"/>
  <c r="AZ170" i="65" s="1"/>
  <c r="AZ171" i="65" s="1"/>
  <c r="AZ172" i="65" s="1"/>
  <c r="AZ173" i="65" s="1"/>
  <c r="AZ174" i="65" s="1"/>
  <c r="AZ175" i="65" s="1"/>
  <c r="AZ176" i="65" s="1"/>
  <c r="AZ177" i="65" s="1"/>
  <c r="AZ178" i="65" s="1"/>
  <c r="AZ179" i="65" s="1"/>
  <c r="AZ180" i="65" s="1"/>
  <c r="AZ181" i="65" s="1"/>
  <c r="AZ182" i="65" s="1"/>
  <c r="AZ183" i="65" s="1"/>
  <c r="AZ184" i="65" s="1"/>
  <c r="AZ185" i="65" s="1"/>
  <c r="AZ186" i="65" s="1"/>
  <c r="AZ187" i="65" s="1"/>
  <c r="AZ188" i="65" s="1"/>
  <c r="AZ189" i="65" s="1"/>
  <c r="AZ190" i="65" s="1"/>
  <c r="AZ191" i="65" s="1"/>
  <c r="AZ192" i="65" s="1"/>
  <c r="AZ193" i="65" s="1"/>
  <c r="AZ194" i="65" s="1"/>
  <c r="AZ195" i="65" s="1"/>
  <c r="AZ196" i="65" s="1"/>
  <c r="AZ197" i="65" s="1"/>
  <c r="AZ198" i="65" s="1"/>
  <c r="AZ199" i="65" s="1"/>
  <c r="AZ200" i="65" s="1"/>
  <c r="AZ201" i="65" s="1"/>
  <c r="AZ202" i="65" s="1"/>
  <c r="AZ203" i="65" s="1"/>
  <c r="AZ204" i="65" s="1"/>
  <c r="AZ205" i="65" s="1"/>
  <c r="AZ206" i="65" s="1"/>
  <c r="AZ207" i="65" s="1"/>
  <c r="AZ208" i="65" s="1"/>
  <c r="AZ209" i="65" s="1"/>
  <c r="AZ210" i="65" s="1"/>
  <c r="AZ211" i="65" s="1"/>
  <c r="AZ212" i="65" s="1"/>
  <c r="AZ213" i="65" s="1"/>
  <c r="AZ214" i="65" s="1"/>
  <c r="AZ215" i="65" s="1"/>
  <c r="AZ216" i="65" s="1"/>
  <c r="AZ217" i="65" s="1"/>
  <c r="AZ218" i="65" s="1"/>
  <c r="AZ219" i="65" s="1"/>
  <c r="AZ220" i="65" s="1"/>
  <c r="AZ221" i="65" s="1"/>
  <c r="AZ222" i="65" s="1"/>
  <c r="AZ223" i="65" s="1"/>
  <c r="AZ224" i="65" s="1"/>
  <c r="AZ225" i="65" s="1"/>
  <c r="AZ226" i="65" s="1"/>
  <c r="AZ227" i="65" s="1"/>
  <c r="AZ228" i="65" s="1"/>
  <c r="AZ229" i="65" s="1"/>
  <c r="AZ230" i="65" s="1"/>
  <c r="AZ231" i="65" s="1"/>
  <c r="AZ232" i="65" s="1"/>
  <c r="AZ233" i="65" s="1"/>
  <c r="AZ234" i="65" s="1"/>
  <c r="EC42" i="65"/>
  <c r="EJ48" i="65"/>
  <c r="EC50" i="65"/>
  <c r="DY52" i="65"/>
  <c r="EP53" i="65"/>
  <c r="EL54" i="65"/>
  <c r="EF54" i="65"/>
  <c r="DY57" i="65"/>
  <c r="AA82" i="65"/>
  <c r="AA83" i="65"/>
  <c r="AA84" i="65"/>
  <c r="AA100" i="65"/>
  <c r="AA101" i="65"/>
  <c r="AA102" i="65"/>
  <c r="AA112" i="65"/>
  <c r="AA113" i="65"/>
  <c r="AA114" i="65"/>
  <c r="AA61" i="65"/>
  <c r="AA62" i="65"/>
  <c r="AA63" i="65"/>
  <c r="DY139" i="65"/>
  <c r="DZ139" i="65"/>
  <c r="EB40" i="65"/>
  <c r="ER40" i="65"/>
  <c r="T140" i="65"/>
  <c r="AJ140" i="65"/>
  <c r="AZ140" i="65"/>
  <c r="BP140" i="65"/>
  <c r="BP141" i="65" s="1"/>
  <c r="BP142" i="65" s="1"/>
  <c r="BP143" i="65" s="1"/>
  <c r="BP144" i="65" s="1"/>
  <c r="BP145" i="65" s="1"/>
  <c r="BP146" i="65" s="1"/>
  <c r="BP147" i="65" s="1"/>
  <c r="BP148" i="65" s="1"/>
  <c r="BP149" i="65" s="1"/>
  <c r="BP150" i="65" s="1"/>
  <c r="BP151" i="65" s="1"/>
  <c r="BP152" i="65" s="1"/>
  <c r="BP153" i="65" s="1"/>
  <c r="BP154" i="65" s="1"/>
  <c r="BP155" i="65" s="1"/>
  <c r="BP156" i="65" s="1"/>
  <c r="BP157" i="65" s="1"/>
  <c r="BP158" i="65" s="1"/>
  <c r="BP159" i="65" s="1"/>
  <c r="BP160" i="65" s="1"/>
  <c r="BP161" i="65" s="1"/>
  <c r="BP162" i="65" s="1"/>
  <c r="BP163" i="65" s="1"/>
  <c r="BP164" i="65" s="1"/>
  <c r="BP165" i="65" s="1"/>
  <c r="BP166" i="65" s="1"/>
  <c r="BP167" i="65" s="1"/>
  <c r="BP168" i="65" s="1"/>
  <c r="BP169" i="65" s="1"/>
  <c r="BP170" i="65" s="1"/>
  <c r="BP171" i="65" s="1"/>
  <c r="BP172" i="65" s="1"/>
  <c r="BP173" i="65" s="1"/>
  <c r="BP174" i="65" s="1"/>
  <c r="BP175" i="65" s="1"/>
  <c r="BP176" i="65" s="1"/>
  <c r="BP177" i="65" s="1"/>
  <c r="BP178" i="65" s="1"/>
  <c r="BP179" i="65" s="1"/>
  <c r="BP180" i="65" s="1"/>
  <c r="BP181" i="65" s="1"/>
  <c r="BP182" i="65" s="1"/>
  <c r="BP183" i="65" s="1"/>
  <c r="BP184" i="65" s="1"/>
  <c r="BP185" i="65" s="1"/>
  <c r="BP186" i="65" s="1"/>
  <c r="BP187" i="65" s="1"/>
  <c r="BP188" i="65" s="1"/>
  <c r="BP189" i="65" s="1"/>
  <c r="BP190" i="65" s="1"/>
  <c r="BP191" i="65" s="1"/>
  <c r="BP192" i="65" s="1"/>
  <c r="BP193" i="65" s="1"/>
  <c r="BP194" i="65" s="1"/>
  <c r="BP195" i="65" s="1"/>
  <c r="BP196" i="65" s="1"/>
  <c r="BP197" i="65" s="1"/>
  <c r="BP198" i="65" s="1"/>
  <c r="BP199" i="65" s="1"/>
  <c r="BP200" i="65" s="1"/>
  <c r="BP201" i="65" s="1"/>
  <c r="BP202" i="65" s="1"/>
  <c r="BP203" i="65" s="1"/>
  <c r="BP204" i="65" s="1"/>
  <c r="BP205" i="65" s="1"/>
  <c r="BP206" i="65" s="1"/>
  <c r="BP207" i="65" s="1"/>
  <c r="BP208" i="65" s="1"/>
  <c r="BP209" i="65" s="1"/>
  <c r="BP210" i="65" s="1"/>
  <c r="BP211" i="65" s="1"/>
  <c r="BP212" i="65" s="1"/>
  <c r="BP213" i="65" s="1"/>
  <c r="BP214" i="65" s="1"/>
  <c r="BP215" i="65" s="1"/>
  <c r="BP216" i="65" s="1"/>
  <c r="BP217" i="65" s="1"/>
  <c r="BP218" i="65" s="1"/>
  <c r="BP219" i="65" s="1"/>
  <c r="BP220" i="65" s="1"/>
  <c r="BP221" i="65" s="1"/>
  <c r="BP222" i="65" s="1"/>
  <c r="BP223" i="65" s="1"/>
  <c r="BP224" i="65" s="1"/>
  <c r="BP225" i="65" s="1"/>
  <c r="BP226" i="65" s="1"/>
  <c r="BP227" i="65" s="1"/>
  <c r="BP228" i="65" s="1"/>
  <c r="BP229" i="65" s="1"/>
  <c r="BP230" i="65" s="1"/>
  <c r="BP231" i="65" s="1"/>
  <c r="BP232" i="65" s="1"/>
  <c r="BP233" i="65" s="1"/>
  <c r="BP234" i="65" s="1"/>
  <c r="CF140" i="65"/>
  <c r="CF141" i="65" s="1"/>
  <c r="CF142" i="65" s="1"/>
  <c r="CF143" i="65" s="1"/>
  <c r="CF144" i="65" s="1"/>
  <c r="CF145" i="65" s="1"/>
  <c r="CF146" i="65" s="1"/>
  <c r="CF147" i="65" s="1"/>
  <c r="CF148" i="65" s="1"/>
  <c r="CF149" i="65" s="1"/>
  <c r="CF150" i="65" s="1"/>
  <c r="CF151" i="65" s="1"/>
  <c r="CF152" i="65" s="1"/>
  <c r="CF153" i="65" s="1"/>
  <c r="CF154" i="65" s="1"/>
  <c r="CF155" i="65" s="1"/>
  <c r="CF156" i="65" s="1"/>
  <c r="CF157" i="65" s="1"/>
  <c r="CF158" i="65" s="1"/>
  <c r="CF159" i="65" s="1"/>
  <c r="CF160" i="65" s="1"/>
  <c r="CF161" i="65" s="1"/>
  <c r="CF162" i="65" s="1"/>
  <c r="CF163" i="65" s="1"/>
  <c r="CF164" i="65" s="1"/>
  <c r="CF165" i="65" s="1"/>
  <c r="CF166" i="65" s="1"/>
  <c r="CF167" i="65" s="1"/>
  <c r="CF168" i="65" s="1"/>
  <c r="CF169" i="65" s="1"/>
  <c r="CF170" i="65" s="1"/>
  <c r="CF171" i="65" s="1"/>
  <c r="CF172" i="65" s="1"/>
  <c r="CF173" i="65" s="1"/>
  <c r="CF174" i="65" s="1"/>
  <c r="CF175" i="65" s="1"/>
  <c r="CF176" i="65" s="1"/>
  <c r="CF177" i="65" s="1"/>
  <c r="CF178" i="65" s="1"/>
  <c r="CF179" i="65" s="1"/>
  <c r="CF180" i="65" s="1"/>
  <c r="CF181" i="65" s="1"/>
  <c r="CF182" i="65" s="1"/>
  <c r="CF183" i="65" s="1"/>
  <c r="CF184" i="65" s="1"/>
  <c r="CF185" i="65" s="1"/>
  <c r="CF186" i="65" s="1"/>
  <c r="CF187" i="65" s="1"/>
  <c r="CF188" i="65" s="1"/>
  <c r="CF189" i="65" s="1"/>
  <c r="CF190" i="65" s="1"/>
  <c r="CF191" i="65" s="1"/>
  <c r="CF192" i="65" s="1"/>
  <c r="CF193" i="65" s="1"/>
  <c r="CF194" i="65" s="1"/>
  <c r="CF195" i="65" s="1"/>
  <c r="CF196" i="65" s="1"/>
  <c r="CF197" i="65" s="1"/>
  <c r="CF198" i="65" s="1"/>
  <c r="CF199" i="65" s="1"/>
  <c r="CF200" i="65" s="1"/>
  <c r="CF201" i="65" s="1"/>
  <c r="CF202" i="65" s="1"/>
  <c r="CF203" i="65" s="1"/>
  <c r="CF204" i="65" s="1"/>
  <c r="CF205" i="65" s="1"/>
  <c r="CF206" i="65" s="1"/>
  <c r="CF207" i="65" s="1"/>
  <c r="CF208" i="65" s="1"/>
  <c r="CF209" i="65" s="1"/>
  <c r="CF210" i="65" s="1"/>
  <c r="CF211" i="65" s="1"/>
  <c r="CF212" i="65" s="1"/>
  <c r="CF213" i="65" s="1"/>
  <c r="CF214" i="65" s="1"/>
  <c r="CF215" i="65" s="1"/>
  <c r="CF216" i="65" s="1"/>
  <c r="CF217" i="65" s="1"/>
  <c r="CF218" i="65" s="1"/>
  <c r="CF219" i="65" s="1"/>
  <c r="CF220" i="65" s="1"/>
  <c r="CF221" i="65" s="1"/>
  <c r="CF222" i="65" s="1"/>
  <c r="CF223" i="65" s="1"/>
  <c r="CF224" i="65" s="1"/>
  <c r="CF225" i="65" s="1"/>
  <c r="CF226" i="65" s="1"/>
  <c r="CF227" i="65" s="1"/>
  <c r="CF228" i="65" s="1"/>
  <c r="CF229" i="65" s="1"/>
  <c r="CF230" i="65" s="1"/>
  <c r="CF231" i="65" s="1"/>
  <c r="CF232" i="65" s="1"/>
  <c r="CF233" i="65" s="1"/>
  <c r="CF234" i="65" s="1"/>
  <c r="CV140" i="65"/>
  <c r="CV141" i="65" s="1"/>
  <c r="CV142" i="65" s="1"/>
  <c r="CV143" i="65" s="1"/>
  <c r="CV144" i="65" s="1"/>
  <c r="CV145" i="65" s="1"/>
  <c r="CV146" i="65" s="1"/>
  <c r="CV147" i="65" s="1"/>
  <c r="CV148" i="65" s="1"/>
  <c r="CV149" i="65" s="1"/>
  <c r="CV150" i="65" s="1"/>
  <c r="CV151" i="65" s="1"/>
  <c r="CV152" i="65" s="1"/>
  <c r="CV153" i="65" s="1"/>
  <c r="CV154" i="65" s="1"/>
  <c r="CV155" i="65" s="1"/>
  <c r="CV156" i="65" s="1"/>
  <c r="CV157" i="65" s="1"/>
  <c r="CV158" i="65" s="1"/>
  <c r="CV159" i="65" s="1"/>
  <c r="CV160" i="65" s="1"/>
  <c r="CV161" i="65" s="1"/>
  <c r="CV162" i="65" s="1"/>
  <c r="CV163" i="65" s="1"/>
  <c r="CV164" i="65" s="1"/>
  <c r="CV165" i="65" s="1"/>
  <c r="CV166" i="65" s="1"/>
  <c r="CV167" i="65" s="1"/>
  <c r="CV168" i="65" s="1"/>
  <c r="CV169" i="65" s="1"/>
  <c r="CV170" i="65" s="1"/>
  <c r="CV171" i="65" s="1"/>
  <c r="CV172" i="65" s="1"/>
  <c r="CV173" i="65" s="1"/>
  <c r="CV174" i="65" s="1"/>
  <c r="CV175" i="65" s="1"/>
  <c r="CV176" i="65" s="1"/>
  <c r="CV177" i="65" s="1"/>
  <c r="CV178" i="65" s="1"/>
  <c r="CV179" i="65" s="1"/>
  <c r="CV180" i="65" s="1"/>
  <c r="CV181" i="65" s="1"/>
  <c r="CV182" i="65" s="1"/>
  <c r="CV183" i="65" s="1"/>
  <c r="CV184" i="65" s="1"/>
  <c r="CV185" i="65" s="1"/>
  <c r="CV186" i="65" s="1"/>
  <c r="CV187" i="65" s="1"/>
  <c r="CV188" i="65" s="1"/>
  <c r="CV189" i="65" s="1"/>
  <c r="CV190" i="65" s="1"/>
  <c r="CV191" i="65" s="1"/>
  <c r="CV192" i="65" s="1"/>
  <c r="CV193" i="65" s="1"/>
  <c r="CV194" i="65" s="1"/>
  <c r="CV195" i="65" s="1"/>
  <c r="CV196" i="65" s="1"/>
  <c r="CV197" i="65" s="1"/>
  <c r="CV198" i="65" s="1"/>
  <c r="CV199" i="65" s="1"/>
  <c r="CV200" i="65" s="1"/>
  <c r="CV201" i="65" s="1"/>
  <c r="CV202" i="65" s="1"/>
  <c r="CV203" i="65" s="1"/>
  <c r="CV204" i="65" s="1"/>
  <c r="CV205" i="65" s="1"/>
  <c r="CV206" i="65" s="1"/>
  <c r="CV207" i="65" s="1"/>
  <c r="CV208" i="65" s="1"/>
  <c r="CV209" i="65" s="1"/>
  <c r="CV210" i="65" s="1"/>
  <c r="CV211" i="65" s="1"/>
  <c r="CV212" i="65" s="1"/>
  <c r="CV213" i="65" s="1"/>
  <c r="CV214" i="65" s="1"/>
  <c r="CV215" i="65" s="1"/>
  <c r="CV216" i="65" s="1"/>
  <c r="CV217" i="65" s="1"/>
  <c r="CV218" i="65" s="1"/>
  <c r="CV219" i="65" s="1"/>
  <c r="CV220" i="65" s="1"/>
  <c r="CV221" i="65" s="1"/>
  <c r="CV222" i="65" s="1"/>
  <c r="CV223" i="65" s="1"/>
  <c r="CV224" i="65" s="1"/>
  <c r="CV225" i="65" s="1"/>
  <c r="CV226" i="65" s="1"/>
  <c r="CV227" i="65" s="1"/>
  <c r="CV228" i="65" s="1"/>
  <c r="CV229" i="65" s="1"/>
  <c r="CV230" i="65" s="1"/>
  <c r="CV231" i="65" s="1"/>
  <c r="CV232" i="65" s="1"/>
  <c r="CV233" i="65" s="1"/>
  <c r="CV234" i="65" s="1"/>
  <c r="DL140" i="65"/>
  <c r="DL141" i="65" s="1"/>
  <c r="DL142" i="65" s="1"/>
  <c r="DL143" i="65" s="1"/>
  <c r="DL144" i="65" s="1"/>
  <c r="DL145" i="65" s="1"/>
  <c r="DL146" i="65" s="1"/>
  <c r="DL147" i="65" s="1"/>
  <c r="DL148" i="65" s="1"/>
  <c r="E141" i="65"/>
  <c r="E142" i="65" s="1"/>
  <c r="E143" i="65" s="1"/>
  <c r="E144" i="65" s="1"/>
  <c r="E145" i="65" s="1"/>
  <c r="E146" i="65" s="1"/>
  <c r="E147" i="65" s="1"/>
  <c r="E148" i="65" s="1"/>
  <c r="E149" i="65" s="1"/>
  <c r="E150" i="65" s="1"/>
  <c r="E151" i="65" s="1"/>
  <c r="E152" i="65" s="1"/>
  <c r="E153" i="65" s="1"/>
  <c r="E154" i="65" s="1"/>
  <c r="E155" i="65" s="1"/>
  <c r="E156" i="65" s="1"/>
  <c r="E157" i="65" s="1"/>
  <c r="E158" i="65" s="1"/>
  <c r="E159" i="65" s="1"/>
  <c r="E160" i="65" s="1"/>
  <c r="E161" i="65" s="1"/>
  <c r="E162" i="65" s="1"/>
  <c r="E163" i="65" s="1"/>
  <c r="E164" i="65" s="1"/>
  <c r="E165" i="65" s="1"/>
  <c r="E166" i="65" s="1"/>
  <c r="E167" i="65" s="1"/>
  <c r="E168" i="65" s="1"/>
  <c r="E169" i="65" s="1"/>
  <c r="E170" i="65" s="1"/>
  <c r="E171" i="65" s="1"/>
  <c r="E172" i="65" s="1"/>
  <c r="E173" i="65" s="1"/>
  <c r="E174" i="65" s="1"/>
  <c r="E175" i="65" s="1"/>
  <c r="E176" i="65" s="1"/>
  <c r="E177" i="65" s="1"/>
  <c r="E178" i="65" s="1"/>
  <c r="E179" i="65" s="1"/>
  <c r="E180" i="65" s="1"/>
  <c r="E181" i="65" s="1"/>
  <c r="E182" i="65" s="1"/>
  <c r="E183" i="65" s="1"/>
  <c r="E184" i="65" s="1"/>
  <c r="E185" i="65" s="1"/>
  <c r="E186" i="65" s="1"/>
  <c r="E187" i="65" s="1"/>
  <c r="E188" i="65" s="1"/>
  <c r="E189" i="65" s="1"/>
  <c r="E190" i="65" s="1"/>
  <c r="E191" i="65" s="1"/>
  <c r="E192" i="65" s="1"/>
  <c r="E193" i="65" s="1"/>
  <c r="E194" i="65" s="1"/>
  <c r="E195" i="65" s="1"/>
  <c r="E196" i="65" s="1"/>
  <c r="E197" i="65" s="1"/>
  <c r="E198" i="65" s="1"/>
  <c r="E199" i="65" s="1"/>
  <c r="E200" i="65" s="1"/>
  <c r="E201" i="65" s="1"/>
  <c r="E202" i="65" s="1"/>
  <c r="E203" i="65" s="1"/>
  <c r="E204" i="65" s="1"/>
  <c r="E205" i="65" s="1"/>
  <c r="E206" i="65" s="1"/>
  <c r="E207" i="65" s="1"/>
  <c r="E208" i="65" s="1"/>
  <c r="E209" i="65" s="1"/>
  <c r="E210" i="65" s="1"/>
  <c r="E211" i="65" s="1"/>
  <c r="E212" i="65" s="1"/>
  <c r="E213" i="65" s="1"/>
  <c r="E214" i="65" s="1"/>
  <c r="E215" i="65" s="1"/>
  <c r="E216" i="65" s="1"/>
  <c r="E217" i="65" s="1"/>
  <c r="E218" i="65" s="1"/>
  <c r="E219" i="65" s="1"/>
  <c r="E220" i="65" s="1"/>
  <c r="E221" i="65" s="1"/>
  <c r="E222" i="65" s="1"/>
  <c r="E223" i="65" s="1"/>
  <c r="E224" i="65" s="1"/>
  <c r="E225" i="65" s="1"/>
  <c r="E226" i="65" s="1"/>
  <c r="E227" i="65" s="1"/>
  <c r="E228" i="65" s="1"/>
  <c r="E229" i="65" s="1"/>
  <c r="E230" i="65" s="1"/>
  <c r="E231" i="65" s="1"/>
  <c r="E232" i="65" s="1"/>
  <c r="E233" i="65" s="1"/>
  <c r="E234" i="65" s="1"/>
  <c r="U141" i="65"/>
  <c r="AK141" i="65"/>
  <c r="AK142" i="65" s="1"/>
  <c r="AK143" i="65" s="1"/>
  <c r="AK144" i="65" s="1"/>
  <c r="AK145" i="65" s="1"/>
  <c r="AK146" i="65" s="1"/>
  <c r="AK147" i="65" s="1"/>
  <c r="AK148" i="65" s="1"/>
  <c r="AK149" i="65" s="1"/>
  <c r="AK150" i="65" s="1"/>
  <c r="AK151" i="65" s="1"/>
  <c r="AK152" i="65" s="1"/>
  <c r="AK153" i="65" s="1"/>
  <c r="AK154" i="65" s="1"/>
  <c r="AK155" i="65" s="1"/>
  <c r="AK156" i="65" s="1"/>
  <c r="AK157" i="65" s="1"/>
  <c r="AK158" i="65" s="1"/>
  <c r="AK159" i="65" s="1"/>
  <c r="AK160" i="65" s="1"/>
  <c r="AK161" i="65" s="1"/>
  <c r="AK162" i="65" s="1"/>
  <c r="AK163" i="65" s="1"/>
  <c r="AK164" i="65" s="1"/>
  <c r="AK165" i="65" s="1"/>
  <c r="AK166" i="65" s="1"/>
  <c r="AK167" i="65" s="1"/>
  <c r="AK168" i="65" s="1"/>
  <c r="AK169" i="65" s="1"/>
  <c r="AK170" i="65" s="1"/>
  <c r="AK171" i="65" s="1"/>
  <c r="AK172" i="65" s="1"/>
  <c r="AK173" i="65" s="1"/>
  <c r="AK174" i="65" s="1"/>
  <c r="AK175" i="65" s="1"/>
  <c r="AK176" i="65" s="1"/>
  <c r="AK177" i="65" s="1"/>
  <c r="BA141" i="65"/>
  <c r="BA142" i="65" s="1"/>
  <c r="BA143" i="65" s="1"/>
  <c r="BA144" i="65" s="1"/>
  <c r="BA145" i="65" s="1"/>
  <c r="BA146" i="65" s="1"/>
  <c r="BA147" i="65" s="1"/>
  <c r="BA148" i="65" s="1"/>
  <c r="BA149" i="65" s="1"/>
  <c r="BA150" i="65" s="1"/>
  <c r="BA151" i="65" s="1"/>
  <c r="BA152" i="65" s="1"/>
  <c r="BA153" i="65" s="1"/>
  <c r="BA154" i="65" s="1"/>
  <c r="BA155" i="65" s="1"/>
  <c r="BA156" i="65" s="1"/>
  <c r="BA157" i="65" s="1"/>
  <c r="BA158" i="65" s="1"/>
  <c r="BA159" i="65" s="1"/>
  <c r="BA160" i="65" s="1"/>
  <c r="BA161" i="65" s="1"/>
  <c r="BA162" i="65" s="1"/>
  <c r="BA163" i="65" s="1"/>
  <c r="BA164" i="65" s="1"/>
  <c r="BA165" i="65" s="1"/>
  <c r="BA166" i="65" s="1"/>
  <c r="BA167" i="65" s="1"/>
  <c r="BA168" i="65" s="1"/>
  <c r="BA169" i="65" s="1"/>
  <c r="BA170" i="65" s="1"/>
  <c r="BA171" i="65" s="1"/>
  <c r="BA172" i="65" s="1"/>
  <c r="BQ141" i="65"/>
  <c r="BQ142" i="65" s="1"/>
  <c r="BQ143" i="65" s="1"/>
  <c r="BQ144" i="65" s="1"/>
  <c r="BQ145" i="65" s="1"/>
  <c r="BQ146" i="65" s="1"/>
  <c r="BQ147" i="65" s="1"/>
  <c r="BQ148" i="65" s="1"/>
  <c r="BQ149" i="65" s="1"/>
  <c r="BQ150" i="65" s="1"/>
  <c r="BQ151" i="65" s="1"/>
  <c r="BQ152" i="65" s="1"/>
  <c r="BQ153" i="65" s="1"/>
  <c r="BQ154" i="65" s="1"/>
  <c r="BQ155" i="65" s="1"/>
  <c r="BQ156" i="65" s="1"/>
  <c r="BQ157" i="65" s="1"/>
  <c r="BQ158" i="65" s="1"/>
  <c r="BQ159" i="65" s="1"/>
  <c r="BQ160" i="65" s="1"/>
  <c r="BQ161" i="65" s="1"/>
  <c r="BQ162" i="65" s="1"/>
  <c r="BQ163" i="65" s="1"/>
  <c r="BQ164" i="65" s="1"/>
  <c r="BQ165" i="65" s="1"/>
  <c r="BQ166" i="65" s="1"/>
  <c r="BQ167" i="65" s="1"/>
  <c r="BQ168" i="65" s="1"/>
  <c r="BQ169" i="65" s="1"/>
  <c r="BQ170" i="65" s="1"/>
  <c r="BQ171" i="65" s="1"/>
  <c r="BQ172" i="65" s="1"/>
  <c r="BQ173" i="65" s="1"/>
  <c r="BQ174" i="65" s="1"/>
  <c r="BQ175" i="65" s="1"/>
  <c r="BQ176" i="65" s="1"/>
  <c r="BQ177" i="65" s="1"/>
  <c r="BQ178" i="65" s="1"/>
  <c r="BQ179" i="65" s="1"/>
  <c r="BQ180" i="65" s="1"/>
  <c r="BQ181" i="65" s="1"/>
  <c r="BQ182" i="65" s="1"/>
  <c r="BQ183" i="65" s="1"/>
  <c r="BQ184" i="65" s="1"/>
  <c r="BQ185" i="65" s="1"/>
  <c r="BQ186" i="65" s="1"/>
  <c r="BQ187" i="65" s="1"/>
  <c r="BQ188" i="65" s="1"/>
  <c r="BQ189" i="65" s="1"/>
  <c r="BQ190" i="65" s="1"/>
  <c r="BQ191" i="65" s="1"/>
  <c r="BQ192" i="65" s="1"/>
  <c r="BQ193" i="65" s="1"/>
  <c r="BQ194" i="65" s="1"/>
  <c r="BQ195" i="65" s="1"/>
  <c r="BQ196" i="65" s="1"/>
  <c r="BQ197" i="65" s="1"/>
  <c r="BQ198" i="65" s="1"/>
  <c r="BQ199" i="65" s="1"/>
  <c r="BQ200" i="65" s="1"/>
  <c r="BQ201" i="65" s="1"/>
  <c r="BQ202" i="65" s="1"/>
  <c r="BQ203" i="65" s="1"/>
  <c r="BQ204" i="65" s="1"/>
  <c r="BQ205" i="65" s="1"/>
  <c r="BQ206" i="65" s="1"/>
  <c r="BQ207" i="65" s="1"/>
  <c r="BQ208" i="65" s="1"/>
  <c r="BQ209" i="65" s="1"/>
  <c r="BQ210" i="65" s="1"/>
  <c r="BQ211" i="65" s="1"/>
  <c r="BQ212" i="65" s="1"/>
  <c r="BQ213" i="65" s="1"/>
  <c r="BQ214" i="65" s="1"/>
  <c r="BQ215" i="65" s="1"/>
  <c r="BQ216" i="65" s="1"/>
  <c r="BQ217" i="65" s="1"/>
  <c r="BQ218" i="65" s="1"/>
  <c r="BQ219" i="65" s="1"/>
  <c r="BQ220" i="65" s="1"/>
  <c r="BQ221" i="65" s="1"/>
  <c r="BQ222" i="65" s="1"/>
  <c r="BQ223" i="65" s="1"/>
  <c r="BQ224" i="65" s="1"/>
  <c r="BQ225" i="65" s="1"/>
  <c r="BQ226" i="65" s="1"/>
  <c r="BQ227" i="65" s="1"/>
  <c r="BQ228" i="65" s="1"/>
  <c r="BQ229" i="65" s="1"/>
  <c r="BQ230" i="65" s="1"/>
  <c r="BQ231" i="65" s="1"/>
  <c r="BQ232" i="65" s="1"/>
  <c r="BQ233" i="65" s="1"/>
  <c r="BQ234" i="65" s="1"/>
  <c r="CG141" i="65"/>
  <c r="CG142" i="65" s="1"/>
  <c r="CG143" i="65" s="1"/>
  <c r="CG144" i="65" s="1"/>
  <c r="CG145" i="65" s="1"/>
  <c r="CG146" i="65" s="1"/>
  <c r="CG147" i="65" s="1"/>
  <c r="CG148" i="65" s="1"/>
  <c r="CG149" i="65" s="1"/>
  <c r="CG150" i="65" s="1"/>
  <c r="CG151" i="65" s="1"/>
  <c r="CG152" i="65" s="1"/>
  <c r="CG153" i="65" s="1"/>
  <c r="CG154" i="65" s="1"/>
  <c r="CG155" i="65" s="1"/>
  <c r="CG156" i="65" s="1"/>
  <c r="CG157" i="65" s="1"/>
  <c r="CG158" i="65" s="1"/>
  <c r="CG159" i="65" s="1"/>
  <c r="CG160" i="65" s="1"/>
  <c r="CG161" i="65" s="1"/>
  <c r="CG162" i="65" s="1"/>
  <c r="CG163" i="65" s="1"/>
  <c r="CG164" i="65" s="1"/>
  <c r="CG165" i="65" s="1"/>
  <c r="CG166" i="65" s="1"/>
  <c r="CG167" i="65" s="1"/>
  <c r="CG168" i="65" s="1"/>
  <c r="CG169" i="65" s="1"/>
  <c r="CG170" i="65" s="1"/>
  <c r="CG171" i="65" s="1"/>
  <c r="CG172" i="65" s="1"/>
  <c r="CG173" i="65" s="1"/>
  <c r="CG174" i="65" s="1"/>
  <c r="CG175" i="65" s="1"/>
  <c r="CG176" i="65" s="1"/>
  <c r="CG177" i="65" s="1"/>
  <c r="CG178" i="65" s="1"/>
  <c r="CG179" i="65" s="1"/>
  <c r="CG180" i="65" s="1"/>
  <c r="CW141" i="65"/>
  <c r="CW142" i="65" s="1"/>
  <c r="CW143" i="65" s="1"/>
  <c r="CW144" i="65" s="1"/>
  <c r="CW145" i="65" s="1"/>
  <c r="CW146" i="65" s="1"/>
  <c r="CW147" i="65" s="1"/>
  <c r="CW148" i="65" s="1"/>
  <c r="CW149" i="65" s="1"/>
  <c r="CW150" i="65" s="1"/>
  <c r="CW151" i="65" s="1"/>
  <c r="CW152" i="65" s="1"/>
  <c r="CW153" i="65" s="1"/>
  <c r="CW154" i="65" s="1"/>
  <c r="CW155" i="65" s="1"/>
  <c r="CW156" i="65" s="1"/>
  <c r="CW157" i="65" s="1"/>
  <c r="CW158" i="65" s="1"/>
  <c r="CW159" i="65" s="1"/>
  <c r="CW160" i="65" s="1"/>
  <c r="CW161" i="65" s="1"/>
  <c r="CW162" i="65" s="1"/>
  <c r="CW163" i="65" s="1"/>
  <c r="CW164" i="65" s="1"/>
  <c r="CW165" i="65" s="1"/>
  <c r="CW166" i="65" s="1"/>
  <c r="CW167" i="65" s="1"/>
  <c r="CW168" i="65" s="1"/>
  <c r="CW169" i="65" s="1"/>
  <c r="CW170" i="65" s="1"/>
  <c r="CW171" i="65" s="1"/>
  <c r="CW172" i="65" s="1"/>
  <c r="CW173" i="65" s="1"/>
  <c r="CW174" i="65" s="1"/>
  <c r="CW175" i="65" s="1"/>
  <c r="CW176" i="65" s="1"/>
  <c r="CW177" i="65" s="1"/>
  <c r="CW178" i="65" s="1"/>
  <c r="CW179" i="65" s="1"/>
  <c r="CW180" i="65" s="1"/>
  <c r="CW181" i="65" s="1"/>
  <c r="CW182" i="65" s="1"/>
  <c r="CW183" i="65" s="1"/>
  <c r="CW184" i="65" s="1"/>
  <c r="CW185" i="65" s="1"/>
  <c r="CW186" i="65" s="1"/>
  <c r="CW187" i="65" s="1"/>
  <c r="CW188" i="65" s="1"/>
  <c r="CW189" i="65" s="1"/>
  <c r="CW190" i="65" s="1"/>
  <c r="CW191" i="65" s="1"/>
  <c r="CW192" i="65" s="1"/>
  <c r="CW193" i="65" s="1"/>
  <c r="CW194" i="65" s="1"/>
  <c r="CW195" i="65" s="1"/>
  <c r="CW196" i="65" s="1"/>
  <c r="CW197" i="65" s="1"/>
  <c r="CW198" i="65" s="1"/>
  <c r="CW199" i="65" s="1"/>
  <c r="CW200" i="65" s="1"/>
  <c r="CW201" i="65" s="1"/>
  <c r="CW202" i="65" s="1"/>
  <c r="CW203" i="65" s="1"/>
  <c r="CW204" i="65" s="1"/>
  <c r="CW205" i="65" s="1"/>
  <c r="CW206" i="65" s="1"/>
  <c r="CW207" i="65" s="1"/>
  <c r="CW208" i="65" s="1"/>
  <c r="CW209" i="65" s="1"/>
  <c r="CW210" i="65" s="1"/>
  <c r="CW211" i="65" s="1"/>
  <c r="CW212" i="65" s="1"/>
  <c r="CW213" i="65" s="1"/>
  <c r="CW214" i="65" s="1"/>
  <c r="CW215" i="65" s="1"/>
  <c r="CW216" i="65" s="1"/>
  <c r="CW217" i="65" s="1"/>
  <c r="CW218" i="65" s="1"/>
  <c r="CW219" i="65" s="1"/>
  <c r="CW220" i="65" s="1"/>
  <c r="CW221" i="65" s="1"/>
  <c r="CW222" i="65" s="1"/>
  <c r="CW223" i="65" s="1"/>
  <c r="CW224" i="65" s="1"/>
  <c r="CW225" i="65" s="1"/>
  <c r="CW226" i="65" s="1"/>
  <c r="CW227" i="65" s="1"/>
  <c r="CW228" i="65" s="1"/>
  <c r="CW229" i="65" s="1"/>
  <c r="CW230" i="65" s="1"/>
  <c r="CW231" i="65" s="1"/>
  <c r="CW232" i="65" s="1"/>
  <c r="CW233" i="65" s="1"/>
  <c r="CW234" i="65" s="1"/>
  <c r="DM141" i="65"/>
  <c r="DM142" i="65" s="1"/>
  <c r="DM143" i="65" s="1"/>
  <c r="DM144" i="65" s="1"/>
  <c r="DM145" i="65" s="1"/>
  <c r="DM146" i="65" s="1"/>
  <c r="DM147" i="65" s="1"/>
  <c r="DM148" i="65" s="1"/>
  <c r="DM149" i="65" s="1"/>
  <c r="DM150" i="65" s="1"/>
  <c r="DM151" i="65" s="1"/>
  <c r="DM152" i="65" s="1"/>
  <c r="DM153" i="65" s="1"/>
  <c r="DM154" i="65" s="1"/>
  <c r="DM155" i="65" s="1"/>
  <c r="DM156" i="65" s="1"/>
  <c r="DM157" i="65" s="1"/>
  <c r="DM158" i="65" s="1"/>
  <c r="DM159" i="65" s="1"/>
  <c r="DM160" i="65" s="1"/>
  <c r="DM161" i="65" s="1"/>
  <c r="DM162" i="65" s="1"/>
  <c r="DM163" i="65" s="1"/>
  <c r="DM164" i="65" s="1"/>
  <c r="DM165" i="65" s="1"/>
  <c r="DM166" i="65" s="1"/>
  <c r="DM167" i="65" s="1"/>
  <c r="DM168" i="65" s="1"/>
  <c r="DM169" i="65" s="1"/>
  <c r="DM170" i="65" s="1"/>
  <c r="DM171" i="65" s="1"/>
  <c r="DM172" i="65" s="1"/>
  <c r="DM173" i="65" s="1"/>
  <c r="DM174" i="65" s="1"/>
  <c r="DM175" i="65" s="1"/>
  <c r="DM176" i="65" s="1"/>
  <c r="DM177" i="65" s="1"/>
  <c r="DM178" i="65" s="1"/>
  <c r="DM179" i="65" s="1"/>
  <c r="DM180" i="65" s="1"/>
  <c r="DM181" i="65" s="1"/>
  <c r="DM182" i="65" s="1"/>
  <c r="DM183" i="65" s="1"/>
  <c r="DM184" i="65" s="1"/>
  <c r="DM185" i="65" s="1"/>
  <c r="DM186" i="65" s="1"/>
  <c r="DM187" i="65" s="1"/>
  <c r="DM188" i="65" s="1"/>
  <c r="DM189" i="65" s="1"/>
  <c r="DM190" i="65" s="1"/>
  <c r="DM191" i="65" s="1"/>
  <c r="DM192" i="65" s="1"/>
  <c r="DM193" i="65" s="1"/>
  <c r="DM194" i="65" s="1"/>
  <c r="DM195" i="65" s="1"/>
  <c r="DM196" i="65" s="1"/>
  <c r="DM197" i="65" s="1"/>
  <c r="DM198" i="65" s="1"/>
  <c r="DM199" i="65" s="1"/>
  <c r="DM200" i="65" s="1"/>
  <c r="DM201" i="65" s="1"/>
  <c r="DM202" i="65" s="1"/>
  <c r="DM203" i="65" s="1"/>
  <c r="DM204" i="65" s="1"/>
  <c r="DM205" i="65" s="1"/>
  <c r="DM206" i="65" s="1"/>
  <c r="DM207" i="65" s="1"/>
  <c r="DM208" i="65" s="1"/>
  <c r="DM209" i="65" s="1"/>
  <c r="DM210" i="65" s="1"/>
  <c r="DM211" i="65" s="1"/>
  <c r="DM212" i="65" s="1"/>
  <c r="DM213" i="65" s="1"/>
  <c r="DM214" i="65" s="1"/>
  <c r="DM215" i="65" s="1"/>
  <c r="DM216" i="65" s="1"/>
  <c r="DM217" i="65" s="1"/>
  <c r="DM218" i="65" s="1"/>
  <c r="DM219" i="65" s="1"/>
  <c r="DM220" i="65" s="1"/>
  <c r="DM221" i="65" s="1"/>
  <c r="DM222" i="65" s="1"/>
  <c r="DM223" i="65" s="1"/>
  <c r="DM224" i="65" s="1"/>
  <c r="DM225" i="65" s="1"/>
  <c r="DM226" i="65" s="1"/>
  <c r="DM227" i="65" s="1"/>
  <c r="DM228" i="65" s="1"/>
  <c r="DM229" i="65" s="1"/>
  <c r="DM230" i="65" s="1"/>
  <c r="DM231" i="65" s="1"/>
  <c r="DM232" i="65" s="1"/>
  <c r="DM233" i="65" s="1"/>
  <c r="DM234" i="65" s="1"/>
  <c r="EF44" i="65"/>
  <c r="EG45" i="65"/>
  <c r="EH46" i="65"/>
  <c r="EI47" i="65"/>
  <c r="AA48" i="65"/>
  <c r="EK48" i="65"/>
  <c r="DW49" i="65"/>
  <c r="EP49" i="65"/>
  <c r="DY50" i="65"/>
  <c r="ED50" i="65"/>
  <c r="DZ52" i="65"/>
  <c r="G24" i="51" s="1"/>
  <c r="AA54" i="65"/>
  <c r="ED55" i="65"/>
  <c r="EI55" i="65"/>
  <c r="EC55" i="65"/>
  <c r="DY58" i="65"/>
  <c r="AA58" i="65"/>
  <c r="AA59" i="65"/>
  <c r="AA60" i="65"/>
  <c r="AA132" i="65"/>
  <c r="AA130" i="65"/>
  <c r="AA131" i="65"/>
  <c r="AA68" i="65"/>
  <c r="AA69" i="65"/>
  <c r="AA67" i="65"/>
  <c r="EA139" i="65"/>
  <c r="EC40" i="65"/>
  <c r="ED41" i="65"/>
  <c r="V141" i="65"/>
  <c r="AL141" i="65"/>
  <c r="EH141" i="65" s="1"/>
  <c r="EE42" i="65"/>
  <c r="EF43" i="65"/>
  <c r="EG44" i="65"/>
  <c r="DA144" i="65"/>
  <c r="DA145" i="65" s="1"/>
  <c r="DA146" i="65" s="1"/>
  <c r="DA147" i="65" s="1"/>
  <c r="DA148" i="65" s="1"/>
  <c r="DA149" i="65" s="1"/>
  <c r="DA150" i="65" s="1"/>
  <c r="DA151" i="65" s="1"/>
  <c r="DA152" i="65" s="1"/>
  <c r="DA153" i="65" s="1"/>
  <c r="DA154" i="65" s="1"/>
  <c r="DA155" i="65" s="1"/>
  <c r="DA156" i="65" s="1"/>
  <c r="DA157" i="65" s="1"/>
  <c r="DA158" i="65" s="1"/>
  <c r="DA159" i="65" s="1"/>
  <c r="DA160" i="65" s="1"/>
  <c r="DA161" i="65" s="1"/>
  <c r="DA162" i="65" s="1"/>
  <c r="DA163" i="65" s="1"/>
  <c r="DA164" i="65" s="1"/>
  <c r="DA165" i="65" s="1"/>
  <c r="DA166" i="65" s="1"/>
  <c r="DA167" i="65" s="1"/>
  <c r="DA168" i="65" s="1"/>
  <c r="DA169" i="65" s="1"/>
  <c r="DA170" i="65" s="1"/>
  <c r="DA171" i="65" s="1"/>
  <c r="DA172" i="65" s="1"/>
  <c r="DA173" i="65" s="1"/>
  <c r="DA174" i="65" s="1"/>
  <c r="DA175" i="65" s="1"/>
  <c r="DA176" i="65" s="1"/>
  <c r="DA177" i="65" s="1"/>
  <c r="DA178" i="65" s="1"/>
  <c r="DA179" i="65" s="1"/>
  <c r="DA180" i="65" s="1"/>
  <c r="DA181" i="65" s="1"/>
  <c r="DA182" i="65" s="1"/>
  <c r="DA183" i="65" s="1"/>
  <c r="DA184" i="65" s="1"/>
  <c r="DA185" i="65" s="1"/>
  <c r="DA186" i="65" s="1"/>
  <c r="DA187" i="65" s="1"/>
  <c r="DA188" i="65" s="1"/>
  <c r="DA189" i="65" s="1"/>
  <c r="DA190" i="65" s="1"/>
  <c r="DA191" i="65" s="1"/>
  <c r="DA192" i="65" s="1"/>
  <c r="DA193" i="65" s="1"/>
  <c r="DA194" i="65" s="1"/>
  <c r="DA195" i="65" s="1"/>
  <c r="DA196" i="65" s="1"/>
  <c r="DA197" i="65" s="1"/>
  <c r="DA198" i="65" s="1"/>
  <c r="DA199" i="65" s="1"/>
  <c r="DA200" i="65" s="1"/>
  <c r="DA201" i="65" s="1"/>
  <c r="DA202" i="65" s="1"/>
  <c r="DA203" i="65" s="1"/>
  <c r="DA204" i="65" s="1"/>
  <c r="DA205" i="65" s="1"/>
  <c r="DA206" i="65" s="1"/>
  <c r="DA207" i="65" s="1"/>
  <c r="DA208" i="65" s="1"/>
  <c r="DA209" i="65" s="1"/>
  <c r="DA210" i="65" s="1"/>
  <c r="DA211" i="65" s="1"/>
  <c r="DA212" i="65" s="1"/>
  <c r="DA213" i="65" s="1"/>
  <c r="DA214" i="65" s="1"/>
  <c r="DA215" i="65" s="1"/>
  <c r="DA216" i="65" s="1"/>
  <c r="DA217" i="65" s="1"/>
  <c r="DA218" i="65" s="1"/>
  <c r="DA219" i="65" s="1"/>
  <c r="DA220" i="65" s="1"/>
  <c r="DA221" i="65" s="1"/>
  <c r="DA222" i="65" s="1"/>
  <c r="DA223" i="65" s="1"/>
  <c r="DA224" i="65" s="1"/>
  <c r="DA225" i="65" s="1"/>
  <c r="DA226" i="65" s="1"/>
  <c r="DA227" i="65" s="1"/>
  <c r="DA228" i="65" s="1"/>
  <c r="DA229" i="65" s="1"/>
  <c r="DA230" i="65" s="1"/>
  <c r="DA231" i="65" s="1"/>
  <c r="DA232" i="65" s="1"/>
  <c r="DA233" i="65" s="1"/>
  <c r="DA234" i="65" s="1"/>
  <c r="DQ144" i="65"/>
  <c r="DQ145" i="65" s="1"/>
  <c r="DQ146" i="65" s="1"/>
  <c r="DQ147" i="65" s="1"/>
  <c r="DQ148" i="65" s="1"/>
  <c r="DQ149" i="65" s="1"/>
  <c r="DQ150" i="65" s="1"/>
  <c r="DQ151" i="65" s="1"/>
  <c r="DQ152" i="65" s="1"/>
  <c r="DQ153" i="65" s="1"/>
  <c r="DQ154" i="65" s="1"/>
  <c r="DQ155" i="65" s="1"/>
  <c r="DQ156" i="65" s="1"/>
  <c r="DQ157" i="65" s="1"/>
  <c r="DQ158" i="65" s="1"/>
  <c r="DQ159" i="65" s="1"/>
  <c r="DQ160" i="65" s="1"/>
  <c r="DQ161" i="65" s="1"/>
  <c r="DQ162" i="65" s="1"/>
  <c r="DQ163" i="65" s="1"/>
  <c r="DQ164" i="65" s="1"/>
  <c r="DQ165" i="65" s="1"/>
  <c r="DQ166" i="65" s="1"/>
  <c r="DQ167" i="65" s="1"/>
  <c r="DQ168" i="65" s="1"/>
  <c r="DQ169" i="65" s="1"/>
  <c r="EH45" i="65"/>
  <c r="EI46" i="65"/>
  <c r="AA47" i="65"/>
  <c r="EJ47" i="65"/>
  <c r="CA148" i="65"/>
  <c r="CA149" i="65" s="1"/>
  <c r="CA150" i="65" s="1"/>
  <c r="CA151" i="65" s="1"/>
  <c r="CA152" i="65" s="1"/>
  <c r="CA153" i="65" s="1"/>
  <c r="CA154" i="65" s="1"/>
  <c r="CA155" i="65" s="1"/>
  <c r="CA156" i="65" s="1"/>
  <c r="CA157" i="65" s="1"/>
  <c r="CA158" i="65" s="1"/>
  <c r="CA159" i="65" s="1"/>
  <c r="CA160" i="65" s="1"/>
  <c r="CA161" i="65" s="1"/>
  <c r="CA162" i="65" s="1"/>
  <c r="CA163" i="65" s="1"/>
  <c r="CA164" i="65" s="1"/>
  <c r="CA165" i="65" s="1"/>
  <c r="CA166" i="65" s="1"/>
  <c r="CA167" i="65" s="1"/>
  <c r="CA168" i="65" s="1"/>
  <c r="CA169" i="65" s="1"/>
  <c r="CA170" i="65" s="1"/>
  <c r="CA171" i="65" s="1"/>
  <c r="CA172" i="65" s="1"/>
  <c r="CA173" i="65" s="1"/>
  <c r="CA174" i="65" s="1"/>
  <c r="CA175" i="65" s="1"/>
  <c r="CA176" i="65" s="1"/>
  <c r="CA177" i="65" s="1"/>
  <c r="CA178" i="65" s="1"/>
  <c r="CA179" i="65" s="1"/>
  <c r="CA180" i="65" s="1"/>
  <c r="CA181" i="65" s="1"/>
  <c r="CA182" i="65" s="1"/>
  <c r="CA183" i="65" s="1"/>
  <c r="CA184" i="65" s="1"/>
  <c r="CA185" i="65" s="1"/>
  <c r="CA186" i="65" s="1"/>
  <c r="CA187" i="65" s="1"/>
  <c r="CA188" i="65" s="1"/>
  <c r="CA189" i="65" s="1"/>
  <c r="CA190" i="65" s="1"/>
  <c r="CA191" i="65" s="1"/>
  <c r="CA192" i="65" s="1"/>
  <c r="CA193" i="65" s="1"/>
  <c r="CA194" i="65" s="1"/>
  <c r="CA195" i="65" s="1"/>
  <c r="CA196" i="65" s="1"/>
  <c r="CA197" i="65" s="1"/>
  <c r="CA198" i="65" s="1"/>
  <c r="CA199" i="65" s="1"/>
  <c r="CA200" i="65" s="1"/>
  <c r="CA201" i="65" s="1"/>
  <c r="CA202" i="65" s="1"/>
  <c r="CA203" i="65" s="1"/>
  <c r="CA204" i="65" s="1"/>
  <c r="CA205" i="65" s="1"/>
  <c r="CA206" i="65" s="1"/>
  <c r="CA207" i="65" s="1"/>
  <c r="CA208" i="65" s="1"/>
  <c r="CA209" i="65" s="1"/>
  <c r="CA210" i="65" s="1"/>
  <c r="CA211" i="65" s="1"/>
  <c r="CA212" i="65" s="1"/>
  <c r="CA213" i="65" s="1"/>
  <c r="CA214" i="65" s="1"/>
  <c r="CA215" i="65" s="1"/>
  <c r="CA216" i="65" s="1"/>
  <c r="CA217" i="65" s="1"/>
  <c r="CA218" i="65" s="1"/>
  <c r="CA219" i="65" s="1"/>
  <c r="CA220" i="65" s="1"/>
  <c r="CA221" i="65" s="1"/>
  <c r="CA222" i="65" s="1"/>
  <c r="CA223" i="65" s="1"/>
  <c r="CA224" i="65" s="1"/>
  <c r="CA225" i="65" s="1"/>
  <c r="CA226" i="65" s="1"/>
  <c r="CA227" i="65" s="1"/>
  <c r="CA228" i="65" s="1"/>
  <c r="CA229" i="65" s="1"/>
  <c r="CA230" i="65" s="1"/>
  <c r="CA231" i="65" s="1"/>
  <c r="CA232" i="65" s="1"/>
  <c r="CA233" i="65" s="1"/>
  <c r="CA234" i="65" s="1"/>
  <c r="CQ148" i="65"/>
  <c r="CQ149" i="65" s="1"/>
  <c r="CQ150" i="65" s="1"/>
  <c r="CQ151" i="65" s="1"/>
  <c r="CQ152" i="65" s="1"/>
  <c r="CQ153" i="65" s="1"/>
  <c r="CQ154" i="65" s="1"/>
  <c r="CQ155" i="65" s="1"/>
  <c r="CQ156" i="65" s="1"/>
  <c r="CQ157" i="65" s="1"/>
  <c r="CQ158" i="65" s="1"/>
  <c r="CQ159" i="65" s="1"/>
  <c r="CQ160" i="65" s="1"/>
  <c r="CQ161" i="65" s="1"/>
  <c r="CQ162" i="65" s="1"/>
  <c r="CQ163" i="65" s="1"/>
  <c r="CQ164" i="65" s="1"/>
  <c r="CQ165" i="65" s="1"/>
  <c r="CQ166" i="65" s="1"/>
  <c r="CQ167" i="65" s="1"/>
  <c r="CQ168" i="65" s="1"/>
  <c r="CQ169" i="65" s="1"/>
  <c r="CQ170" i="65" s="1"/>
  <c r="DX49" i="65"/>
  <c r="EQ49" i="65"/>
  <c r="DZ50" i="65"/>
  <c r="EE50" i="65"/>
  <c r="AA51" i="65"/>
  <c r="EA52" i="65"/>
  <c r="ER53" i="65"/>
  <c r="ED53" i="65"/>
  <c r="DZ58" i="65"/>
  <c r="DZ59" i="65"/>
  <c r="EA60" i="65"/>
  <c r="EB61" i="65"/>
  <c r="EH61" i="65"/>
  <c r="EC62" i="65"/>
  <c r="EI62" i="65"/>
  <c r="ED63" i="65"/>
  <c r="EJ63" i="65"/>
  <c r="DX63" i="65"/>
  <c r="EE64" i="65"/>
  <c r="EJ64" i="65"/>
  <c r="AA65" i="65"/>
  <c r="EA65" i="65"/>
  <c r="EC67" i="65"/>
  <c r="AA124" i="65"/>
  <c r="AA125" i="65"/>
  <c r="AA126" i="65"/>
  <c r="AA56" i="65"/>
  <c r="AA57" i="65"/>
  <c r="P52" i="65"/>
  <c r="P54" i="65"/>
  <c r="P58" i="65"/>
  <c r="P59" i="65"/>
  <c r="P60" i="65"/>
  <c r="P64" i="65"/>
  <c r="P65" i="65"/>
  <c r="P66" i="65"/>
  <c r="P71" i="65"/>
  <c r="P70" i="65"/>
  <c r="P72" i="65"/>
  <c r="P76" i="65"/>
  <c r="P77" i="65"/>
  <c r="P78" i="65"/>
  <c r="P83" i="65"/>
  <c r="P82" i="65"/>
  <c r="P84" i="65"/>
  <c r="P88" i="65"/>
  <c r="P89" i="65"/>
  <c r="P90" i="65"/>
  <c r="P94" i="65"/>
  <c r="P95" i="65"/>
  <c r="P96" i="65"/>
  <c r="P101" i="65"/>
  <c r="P102" i="65"/>
  <c r="P100" i="65"/>
  <c r="P106" i="65"/>
  <c r="P107" i="65"/>
  <c r="P108" i="65"/>
  <c r="P112" i="65"/>
  <c r="P113" i="65"/>
  <c r="P114" i="65"/>
  <c r="P119" i="65"/>
  <c r="P118" i="65"/>
  <c r="P120" i="65"/>
  <c r="P124" i="65"/>
  <c r="P125" i="65"/>
  <c r="P126" i="65"/>
  <c r="P130" i="65"/>
  <c r="P131" i="65"/>
  <c r="P132" i="65"/>
  <c r="EB139" i="65"/>
  <c r="ED40" i="65"/>
  <c r="F140" i="65"/>
  <c r="F141" i="65" s="1"/>
  <c r="F142" i="65" s="1"/>
  <c r="F143" i="65" s="1"/>
  <c r="F144" i="65" s="1"/>
  <c r="F145" i="65" s="1"/>
  <c r="F146" i="65" s="1"/>
  <c r="F147" i="65" s="1"/>
  <c r="F148" i="65" s="1"/>
  <c r="F149" i="65" s="1"/>
  <c r="F150" i="65" s="1"/>
  <c r="F151" i="65" s="1"/>
  <c r="F152" i="65" s="1"/>
  <c r="F153" i="65" s="1"/>
  <c r="F154" i="65" s="1"/>
  <c r="F155" i="65" s="1"/>
  <c r="F156" i="65" s="1"/>
  <c r="F157" i="65" s="1"/>
  <c r="F158" i="65" s="1"/>
  <c r="F159" i="65" s="1"/>
  <c r="F160" i="65" s="1"/>
  <c r="F161" i="65" s="1"/>
  <c r="F162" i="65" s="1"/>
  <c r="F163" i="65" s="1"/>
  <c r="F164" i="65" s="1"/>
  <c r="F165" i="65" s="1"/>
  <c r="F166" i="65" s="1"/>
  <c r="F167" i="65" s="1"/>
  <c r="F168" i="65" s="1"/>
  <c r="F169" i="65" s="1"/>
  <c r="F170" i="65" s="1"/>
  <c r="F171" i="65" s="1"/>
  <c r="F172" i="65" s="1"/>
  <c r="F173" i="65" s="1"/>
  <c r="F174" i="65" s="1"/>
  <c r="F175" i="65" s="1"/>
  <c r="F176" i="65" s="1"/>
  <c r="F177" i="65" s="1"/>
  <c r="F178" i="65" s="1"/>
  <c r="F179" i="65" s="1"/>
  <c r="F180" i="65" s="1"/>
  <c r="F181" i="65" s="1"/>
  <c r="F182" i="65" s="1"/>
  <c r="F183" i="65" s="1"/>
  <c r="F184" i="65" s="1"/>
  <c r="F185" i="65" s="1"/>
  <c r="F186" i="65" s="1"/>
  <c r="F187" i="65" s="1"/>
  <c r="F188" i="65" s="1"/>
  <c r="F189" i="65" s="1"/>
  <c r="F190" i="65" s="1"/>
  <c r="F191" i="65" s="1"/>
  <c r="F192" i="65" s="1"/>
  <c r="F193" i="65" s="1"/>
  <c r="F194" i="65" s="1"/>
  <c r="F195" i="65" s="1"/>
  <c r="F196" i="65" s="1"/>
  <c r="F197" i="65" s="1"/>
  <c r="F198" i="65" s="1"/>
  <c r="F199" i="65" s="1"/>
  <c r="F200" i="65" s="1"/>
  <c r="F201" i="65" s="1"/>
  <c r="F202" i="65" s="1"/>
  <c r="F203" i="65" s="1"/>
  <c r="F204" i="65" s="1"/>
  <c r="F205" i="65" s="1"/>
  <c r="F206" i="65" s="1"/>
  <c r="F207" i="65" s="1"/>
  <c r="F208" i="65" s="1"/>
  <c r="F209" i="65" s="1"/>
  <c r="F210" i="65" s="1"/>
  <c r="F211" i="65" s="1"/>
  <c r="F212" i="65" s="1"/>
  <c r="F213" i="65" s="1"/>
  <c r="F214" i="65" s="1"/>
  <c r="F215" i="65" s="1"/>
  <c r="F216" i="65" s="1"/>
  <c r="F217" i="65" s="1"/>
  <c r="F218" i="65" s="1"/>
  <c r="F219" i="65" s="1"/>
  <c r="F220" i="65" s="1"/>
  <c r="F221" i="65" s="1"/>
  <c r="F222" i="65" s="1"/>
  <c r="F223" i="65" s="1"/>
  <c r="F224" i="65" s="1"/>
  <c r="F225" i="65" s="1"/>
  <c r="F226" i="65" s="1"/>
  <c r="F227" i="65" s="1"/>
  <c r="F228" i="65" s="1"/>
  <c r="F229" i="65" s="1"/>
  <c r="F230" i="65" s="1"/>
  <c r="F231" i="65" s="1"/>
  <c r="F232" i="65" s="1"/>
  <c r="F233" i="65" s="1"/>
  <c r="F234" i="65" s="1"/>
  <c r="V140" i="65"/>
  <c r="AL140" i="65"/>
  <c r="EH140" i="65" s="1"/>
  <c r="BB140" i="65"/>
  <c r="BB141" i="65" s="1"/>
  <c r="BB142" i="65" s="1"/>
  <c r="BB143" i="65" s="1"/>
  <c r="BB144" i="65" s="1"/>
  <c r="BB145" i="65" s="1"/>
  <c r="BB146" i="65" s="1"/>
  <c r="BB147" i="65" s="1"/>
  <c r="BB148" i="65" s="1"/>
  <c r="BB149" i="65" s="1"/>
  <c r="BB150" i="65" s="1"/>
  <c r="BB151" i="65" s="1"/>
  <c r="BB152" i="65" s="1"/>
  <c r="BB153" i="65" s="1"/>
  <c r="BB154" i="65" s="1"/>
  <c r="BB155" i="65" s="1"/>
  <c r="BB156" i="65" s="1"/>
  <c r="BB157" i="65" s="1"/>
  <c r="BB158" i="65" s="1"/>
  <c r="BB159" i="65" s="1"/>
  <c r="BB160" i="65" s="1"/>
  <c r="BB161" i="65" s="1"/>
  <c r="BB162" i="65" s="1"/>
  <c r="BB163" i="65" s="1"/>
  <c r="BB164" i="65" s="1"/>
  <c r="BB165" i="65" s="1"/>
  <c r="BB166" i="65" s="1"/>
  <c r="BB167" i="65" s="1"/>
  <c r="BB168" i="65" s="1"/>
  <c r="BB169" i="65" s="1"/>
  <c r="BB170" i="65" s="1"/>
  <c r="BB171" i="65" s="1"/>
  <c r="BB172" i="65" s="1"/>
  <c r="BB173" i="65" s="1"/>
  <c r="BB174" i="65" s="1"/>
  <c r="BB175" i="65" s="1"/>
  <c r="BB176" i="65" s="1"/>
  <c r="BB177" i="65" s="1"/>
  <c r="BB178" i="65" s="1"/>
  <c r="BB179" i="65" s="1"/>
  <c r="BB180" i="65" s="1"/>
  <c r="BB181" i="65" s="1"/>
  <c r="BB182" i="65" s="1"/>
  <c r="BB183" i="65" s="1"/>
  <c r="BB184" i="65" s="1"/>
  <c r="BB185" i="65" s="1"/>
  <c r="BB186" i="65" s="1"/>
  <c r="BB187" i="65" s="1"/>
  <c r="BB188" i="65" s="1"/>
  <c r="BB189" i="65" s="1"/>
  <c r="BB190" i="65" s="1"/>
  <c r="BB191" i="65" s="1"/>
  <c r="BB192" i="65" s="1"/>
  <c r="BB193" i="65" s="1"/>
  <c r="BB194" i="65" s="1"/>
  <c r="BB195" i="65" s="1"/>
  <c r="BB196" i="65" s="1"/>
  <c r="BB197" i="65" s="1"/>
  <c r="BB198" i="65" s="1"/>
  <c r="BB199" i="65" s="1"/>
  <c r="BB200" i="65" s="1"/>
  <c r="BB201" i="65" s="1"/>
  <c r="BB202" i="65" s="1"/>
  <c r="BB203" i="65" s="1"/>
  <c r="BB204" i="65" s="1"/>
  <c r="BB205" i="65" s="1"/>
  <c r="BB206" i="65" s="1"/>
  <c r="BB207" i="65" s="1"/>
  <c r="BB208" i="65" s="1"/>
  <c r="BB209" i="65" s="1"/>
  <c r="BB210" i="65" s="1"/>
  <c r="BB211" i="65" s="1"/>
  <c r="BB212" i="65" s="1"/>
  <c r="BB213" i="65" s="1"/>
  <c r="BB214" i="65" s="1"/>
  <c r="BB215" i="65" s="1"/>
  <c r="BB216" i="65" s="1"/>
  <c r="BB217" i="65" s="1"/>
  <c r="BB218" i="65" s="1"/>
  <c r="BB219" i="65" s="1"/>
  <c r="BB220" i="65" s="1"/>
  <c r="BB221" i="65" s="1"/>
  <c r="BB222" i="65" s="1"/>
  <c r="BB223" i="65" s="1"/>
  <c r="BB224" i="65" s="1"/>
  <c r="BB225" i="65" s="1"/>
  <c r="BB226" i="65" s="1"/>
  <c r="BB227" i="65" s="1"/>
  <c r="BB228" i="65" s="1"/>
  <c r="BB229" i="65" s="1"/>
  <c r="BB230" i="65" s="1"/>
  <c r="BB231" i="65" s="1"/>
  <c r="BB232" i="65" s="1"/>
  <c r="BB233" i="65" s="1"/>
  <c r="BB234" i="65" s="1"/>
  <c r="BR140" i="65"/>
  <c r="BR141" i="65" s="1"/>
  <c r="BR142" i="65" s="1"/>
  <c r="BR143" i="65" s="1"/>
  <c r="BR144" i="65" s="1"/>
  <c r="BR145" i="65" s="1"/>
  <c r="BR146" i="65" s="1"/>
  <c r="BR147" i="65" s="1"/>
  <c r="BR148" i="65" s="1"/>
  <c r="BR149" i="65" s="1"/>
  <c r="BR150" i="65" s="1"/>
  <c r="BR151" i="65" s="1"/>
  <c r="BR152" i="65" s="1"/>
  <c r="BR153" i="65" s="1"/>
  <c r="BR154" i="65" s="1"/>
  <c r="BR155" i="65" s="1"/>
  <c r="BR156" i="65" s="1"/>
  <c r="BR157" i="65" s="1"/>
  <c r="BR158" i="65" s="1"/>
  <c r="BR159" i="65" s="1"/>
  <c r="BR160" i="65" s="1"/>
  <c r="BR161" i="65" s="1"/>
  <c r="BR162" i="65" s="1"/>
  <c r="BR163" i="65" s="1"/>
  <c r="BR164" i="65" s="1"/>
  <c r="BR165" i="65" s="1"/>
  <c r="BR166" i="65" s="1"/>
  <c r="BR167" i="65" s="1"/>
  <c r="BR168" i="65" s="1"/>
  <c r="BR169" i="65" s="1"/>
  <c r="BR170" i="65" s="1"/>
  <c r="BR171" i="65" s="1"/>
  <c r="BR172" i="65" s="1"/>
  <c r="BR173" i="65" s="1"/>
  <c r="BR174" i="65" s="1"/>
  <c r="BR175" i="65" s="1"/>
  <c r="BR176" i="65" s="1"/>
  <c r="BR177" i="65" s="1"/>
  <c r="BR178" i="65" s="1"/>
  <c r="BR179" i="65" s="1"/>
  <c r="BR180" i="65" s="1"/>
  <c r="BR181" i="65" s="1"/>
  <c r="BR182" i="65" s="1"/>
  <c r="BR183" i="65" s="1"/>
  <c r="BR184" i="65" s="1"/>
  <c r="BR185" i="65" s="1"/>
  <c r="BR186" i="65" s="1"/>
  <c r="BR187" i="65" s="1"/>
  <c r="BR188" i="65" s="1"/>
  <c r="BR189" i="65" s="1"/>
  <c r="BR190" i="65" s="1"/>
  <c r="BR191" i="65" s="1"/>
  <c r="BR192" i="65" s="1"/>
  <c r="BR193" i="65" s="1"/>
  <c r="BR194" i="65" s="1"/>
  <c r="BR195" i="65" s="1"/>
  <c r="BR196" i="65" s="1"/>
  <c r="BR197" i="65" s="1"/>
  <c r="BR198" i="65" s="1"/>
  <c r="BR199" i="65" s="1"/>
  <c r="BR200" i="65" s="1"/>
  <c r="BR201" i="65" s="1"/>
  <c r="BR202" i="65" s="1"/>
  <c r="BR203" i="65" s="1"/>
  <c r="BR204" i="65" s="1"/>
  <c r="BR205" i="65" s="1"/>
  <c r="BR206" i="65" s="1"/>
  <c r="BR207" i="65" s="1"/>
  <c r="BR208" i="65" s="1"/>
  <c r="BR209" i="65" s="1"/>
  <c r="BR210" i="65" s="1"/>
  <c r="BR211" i="65" s="1"/>
  <c r="BR212" i="65" s="1"/>
  <c r="BR213" i="65" s="1"/>
  <c r="BR214" i="65" s="1"/>
  <c r="BR215" i="65" s="1"/>
  <c r="BR216" i="65" s="1"/>
  <c r="BR217" i="65" s="1"/>
  <c r="BR218" i="65" s="1"/>
  <c r="BR219" i="65" s="1"/>
  <c r="BR220" i="65" s="1"/>
  <c r="BR221" i="65" s="1"/>
  <c r="BR222" i="65" s="1"/>
  <c r="BR223" i="65" s="1"/>
  <c r="BR224" i="65" s="1"/>
  <c r="BR225" i="65" s="1"/>
  <c r="BR226" i="65" s="1"/>
  <c r="BR227" i="65" s="1"/>
  <c r="BR228" i="65" s="1"/>
  <c r="BR229" i="65" s="1"/>
  <c r="BR230" i="65" s="1"/>
  <c r="BR231" i="65" s="1"/>
  <c r="BR232" i="65" s="1"/>
  <c r="BR233" i="65" s="1"/>
  <c r="BR234" i="65" s="1"/>
  <c r="CH140" i="65"/>
  <c r="CH141" i="65" s="1"/>
  <c r="CH142" i="65" s="1"/>
  <c r="CH143" i="65" s="1"/>
  <c r="CH144" i="65" s="1"/>
  <c r="CH145" i="65" s="1"/>
  <c r="CH146" i="65" s="1"/>
  <c r="CH147" i="65" s="1"/>
  <c r="CH148" i="65" s="1"/>
  <c r="CH149" i="65" s="1"/>
  <c r="CH150" i="65" s="1"/>
  <c r="CH151" i="65" s="1"/>
  <c r="CH152" i="65" s="1"/>
  <c r="CH153" i="65" s="1"/>
  <c r="CH154" i="65" s="1"/>
  <c r="CH155" i="65" s="1"/>
  <c r="CH156" i="65" s="1"/>
  <c r="CH157" i="65" s="1"/>
  <c r="CH158" i="65" s="1"/>
  <c r="CH159" i="65" s="1"/>
  <c r="CH160" i="65" s="1"/>
  <c r="CH161" i="65" s="1"/>
  <c r="CH162" i="65" s="1"/>
  <c r="CH163" i="65" s="1"/>
  <c r="CH164" i="65" s="1"/>
  <c r="CH165" i="65" s="1"/>
  <c r="CH166" i="65" s="1"/>
  <c r="CH167" i="65" s="1"/>
  <c r="CH168" i="65" s="1"/>
  <c r="CH169" i="65" s="1"/>
  <c r="CH170" i="65" s="1"/>
  <c r="CH171" i="65" s="1"/>
  <c r="CH172" i="65" s="1"/>
  <c r="CH173" i="65" s="1"/>
  <c r="CH174" i="65" s="1"/>
  <c r="CH175" i="65" s="1"/>
  <c r="CH176" i="65" s="1"/>
  <c r="CH177" i="65" s="1"/>
  <c r="CH178" i="65" s="1"/>
  <c r="CH179" i="65" s="1"/>
  <c r="CH180" i="65" s="1"/>
  <c r="CH181" i="65" s="1"/>
  <c r="CH182" i="65" s="1"/>
  <c r="CH183" i="65" s="1"/>
  <c r="CH184" i="65" s="1"/>
  <c r="CH185" i="65" s="1"/>
  <c r="CH186" i="65" s="1"/>
  <c r="CH187" i="65" s="1"/>
  <c r="CH188" i="65" s="1"/>
  <c r="CH189" i="65" s="1"/>
  <c r="CH190" i="65" s="1"/>
  <c r="CH191" i="65" s="1"/>
  <c r="CH192" i="65" s="1"/>
  <c r="CH193" i="65" s="1"/>
  <c r="CH194" i="65" s="1"/>
  <c r="CH195" i="65" s="1"/>
  <c r="CH196" i="65" s="1"/>
  <c r="CH197" i="65" s="1"/>
  <c r="CH198" i="65" s="1"/>
  <c r="CH199" i="65" s="1"/>
  <c r="CH200" i="65" s="1"/>
  <c r="CH201" i="65" s="1"/>
  <c r="CH202" i="65" s="1"/>
  <c r="CH203" i="65" s="1"/>
  <c r="CH204" i="65" s="1"/>
  <c r="CH205" i="65" s="1"/>
  <c r="CH206" i="65" s="1"/>
  <c r="CH207" i="65" s="1"/>
  <c r="CH208" i="65" s="1"/>
  <c r="CH209" i="65" s="1"/>
  <c r="CH210" i="65" s="1"/>
  <c r="CH211" i="65" s="1"/>
  <c r="CH212" i="65" s="1"/>
  <c r="CH213" i="65" s="1"/>
  <c r="CH214" i="65" s="1"/>
  <c r="CH215" i="65" s="1"/>
  <c r="CH216" i="65" s="1"/>
  <c r="CH217" i="65" s="1"/>
  <c r="CH218" i="65" s="1"/>
  <c r="CH219" i="65" s="1"/>
  <c r="CH220" i="65" s="1"/>
  <c r="CH221" i="65" s="1"/>
  <c r="CH222" i="65" s="1"/>
  <c r="CH223" i="65" s="1"/>
  <c r="CH224" i="65" s="1"/>
  <c r="CH225" i="65" s="1"/>
  <c r="CH226" i="65" s="1"/>
  <c r="CH227" i="65" s="1"/>
  <c r="CH228" i="65" s="1"/>
  <c r="CH229" i="65" s="1"/>
  <c r="CH230" i="65" s="1"/>
  <c r="CH231" i="65" s="1"/>
  <c r="CH232" i="65" s="1"/>
  <c r="CH233" i="65" s="1"/>
  <c r="CH234" i="65" s="1"/>
  <c r="CX140" i="65"/>
  <c r="CX141" i="65" s="1"/>
  <c r="CX142" i="65" s="1"/>
  <c r="CX143" i="65" s="1"/>
  <c r="CX144" i="65" s="1"/>
  <c r="CX145" i="65" s="1"/>
  <c r="CX146" i="65" s="1"/>
  <c r="CX147" i="65" s="1"/>
  <c r="CX148" i="65" s="1"/>
  <c r="CX149" i="65" s="1"/>
  <c r="CX150" i="65" s="1"/>
  <c r="CX151" i="65" s="1"/>
  <c r="CX152" i="65" s="1"/>
  <c r="CX153" i="65" s="1"/>
  <c r="CX154" i="65" s="1"/>
  <c r="CX155" i="65" s="1"/>
  <c r="CX156" i="65" s="1"/>
  <c r="CX157" i="65" s="1"/>
  <c r="CX158" i="65" s="1"/>
  <c r="CX159" i="65" s="1"/>
  <c r="CX160" i="65" s="1"/>
  <c r="CX161" i="65" s="1"/>
  <c r="CX162" i="65" s="1"/>
  <c r="CX163" i="65" s="1"/>
  <c r="CX164" i="65" s="1"/>
  <c r="CX165" i="65" s="1"/>
  <c r="CX166" i="65" s="1"/>
  <c r="CX167" i="65" s="1"/>
  <c r="CX168" i="65" s="1"/>
  <c r="CX169" i="65" s="1"/>
  <c r="CX170" i="65" s="1"/>
  <c r="CX171" i="65" s="1"/>
  <c r="CX172" i="65" s="1"/>
  <c r="CX173" i="65" s="1"/>
  <c r="CX174" i="65" s="1"/>
  <c r="CX175" i="65" s="1"/>
  <c r="CX176" i="65" s="1"/>
  <c r="CX177" i="65" s="1"/>
  <c r="CX178" i="65" s="1"/>
  <c r="CX179" i="65" s="1"/>
  <c r="CX180" i="65" s="1"/>
  <c r="CX181" i="65" s="1"/>
  <c r="CX182" i="65" s="1"/>
  <c r="CX183" i="65" s="1"/>
  <c r="CX184" i="65" s="1"/>
  <c r="CX185" i="65" s="1"/>
  <c r="CX186" i="65" s="1"/>
  <c r="CX187" i="65" s="1"/>
  <c r="CX188" i="65" s="1"/>
  <c r="CX189" i="65" s="1"/>
  <c r="CX190" i="65" s="1"/>
  <c r="CX191" i="65" s="1"/>
  <c r="CX192" i="65" s="1"/>
  <c r="CX193" i="65" s="1"/>
  <c r="CX194" i="65" s="1"/>
  <c r="CX195" i="65" s="1"/>
  <c r="CX196" i="65" s="1"/>
  <c r="CX197" i="65" s="1"/>
  <c r="CX198" i="65" s="1"/>
  <c r="CX199" i="65" s="1"/>
  <c r="CX200" i="65" s="1"/>
  <c r="CX201" i="65" s="1"/>
  <c r="CX202" i="65" s="1"/>
  <c r="CX203" i="65" s="1"/>
  <c r="CX204" i="65" s="1"/>
  <c r="CX205" i="65" s="1"/>
  <c r="CX206" i="65" s="1"/>
  <c r="CX207" i="65" s="1"/>
  <c r="CX208" i="65" s="1"/>
  <c r="CX209" i="65" s="1"/>
  <c r="CX210" i="65" s="1"/>
  <c r="CX211" i="65" s="1"/>
  <c r="CX212" i="65" s="1"/>
  <c r="CX213" i="65" s="1"/>
  <c r="CX214" i="65" s="1"/>
  <c r="CX215" i="65" s="1"/>
  <c r="CX216" i="65" s="1"/>
  <c r="CX217" i="65" s="1"/>
  <c r="CX218" i="65" s="1"/>
  <c r="CX219" i="65" s="1"/>
  <c r="CX220" i="65" s="1"/>
  <c r="CX221" i="65" s="1"/>
  <c r="CX222" i="65" s="1"/>
  <c r="CX223" i="65" s="1"/>
  <c r="CX224" i="65" s="1"/>
  <c r="CX225" i="65" s="1"/>
  <c r="CX226" i="65" s="1"/>
  <c r="CX227" i="65" s="1"/>
  <c r="CX228" i="65" s="1"/>
  <c r="CX229" i="65" s="1"/>
  <c r="CX230" i="65" s="1"/>
  <c r="CX231" i="65" s="1"/>
  <c r="CX232" i="65" s="1"/>
  <c r="CX233" i="65" s="1"/>
  <c r="CX234" i="65" s="1"/>
  <c r="DN140" i="65"/>
  <c r="DN141" i="65" s="1"/>
  <c r="DN142" i="65" s="1"/>
  <c r="DN143" i="65" s="1"/>
  <c r="DN144" i="65" s="1"/>
  <c r="DN145" i="65" s="1"/>
  <c r="DN146" i="65" s="1"/>
  <c r="DN147" i="65" s="1"/>
  <c r="DN148" i="65" s="1"/>
  <c r="DN149" i="65" s="1"/>
  <c r="DN150" i="65" s="1"/>
  <c r="DN151" i="65" s="1"/>
  <c r="DN152" i="65" s="1"/>
  <c r="DN153" i="65" s="1"/>
  <c r="DN154" i="65" s="1"/>
  <c r="DN155" i="65" s="1"/>
  <c r="DN156" i="65" s="1"/>
  <c r="DN157" i="65" s="1"/>
  <c r="DN158" i="65" s="1"/>
  <c r="DN159" i="65" s="1"/>
  <c r="DN160" i="65" s="1"/>
  <c r="DN161" i="65" s="1"/>
  <c r="DN162" i="65" s="1"/>
  <c r="DN163" i="65" s="1"/>
  <c r="DN164" i="65" s="1"/>
  <c r="DN165" i="65" s="1"/>
  <c r="DN166" i="65" s="1"/>
  <c r="DN167" i="65" s="1"/>
  <c r="DN168" i="65" s="1"/>
  <c r="DN169" i="65" s="1"/>
  <c r="DN170" i="65" s="1"/>
  <c r="DN171" i="65" s="1"/>
  <c r="DN172" i="65" s="1"/>
  <c r="DN173" i="65" s="1"/>
  <c r="DN174" i="65" s="1"/>
  <c r="DN175" i="65" s="1"/>
  <c r="DN176" i="65" s="1"/>
  <c r="DN177" i="65" s="1"/>
  <c r="DN178" i="65" s="1"/>
  <c r="DN179" i="65" s="1"/>
  <c r="DN180" i="65" s="1"/>
  <c r="DN181" i="65" s="1"/>
  <c r="DN182" i="65" s="1"/>
  <c r="DN183" i="65" s="1"/>
  <c r="DN184" i="65" s="1"/>
  <c r="DN185" i="65" s="1"/>
  <c r="DN186" i="65" s="1"/>
  <c r="DN187" i="65" s="1"/>
  <c r="DN188" i="65" s="1"/>
  <c r="DN189" i="65" s="1"/>
  <c r="DN190" i="65" s="1"/>
  <c r="DN191" i="65" s="1"/>
  <c r="DN192" i="65" s="1"/>
  <c r="DN193" i="65" s="1"/>
  <c r="DN194" i="65" s="1"/>
  <c r="DN195" i="65" s="1"/>
  <c r="DN196" i="65" s="1"/>
  <c r="DN197" i="65" s="1"/>
  <c r="DN198" i="65" s="1"/>
  <c r="DN199" i="65" s="1"/>
  <c r="DN200" i="65" s="1"/>
  <c r="DN201" i="65" s="1"/>
  <c r="DN202" i="65" s="1"/>
  <c r="DN203" i="65" s="1"/>
  <c r="DN204" i="65" s="1"/>
  <c r="DN205" i="65" s="1"/>
  <c r="DN206" i="65" s="1"/>
  <c r="DN207" i="65" s="1"/>
  <c r="DN208" i="65" s="1"/>
  <c r="DN209" i="65" s="1"/>
  <c r="DN210" i="65" s="1"/>
  <c r="DN211" i="65" s="1"/>
  <c r="DN212" i="65" s="1"/>
  <c r="DN213" i="65" s="1"/>
  <c r="DN214" i="65" s="1"/>
  <c r="DN215" i="65" s="1"/>
  <c r="DN216" i="65" s="1"/>
  <c r="DN217" i="65" s="1"/>
  <c r="DN218" i="65" s="1"/>
  <c r="DN219" i="65" s="1"/>
  <c r="DN220" i="65" s="1"/>
  <c r="DN221" i="65" s="1"/>
  <c r="DN222" i="65" s="1"/>
  <c r="DN223" i="65" s="1"/>
  <c r="DN224" i="65" s="1"/>
  <c r="DN225" i="65" s="1"/>
  <c r="DN226" i="65" s="1"/>
  <c r="DN227" i="65" s="1"/>
  <c r="DN228" i="65" s="1"/>
  <c r="DN229" i="65" s="1"/>
  <c r="DN230" i="65" s="1"/>
  <c r="DN231" i="65" s="1"/>
  <c r="DN232" i="65" s="1"/>
  <c r="DN233" i="65" s="1"/>
  <c r="DN234" i="65" s="1"/>
  <c r="EE41" i="65"/>
  <c r="G141" i="65"/>
  <c r="G142" i="65" s="1"/>
  <c r="G143" i="65" s="1"/>
  <c r="G144" i="65" s="1"/>
  <c r="G145" i="65" s="1"/>
  <c r="G146" i="65" s="1"/>
  <c r="G147" i="65" s="1"/>
  <c r="G148" i="65" s="1"/>
  <c r="G149" i="65" s="1"/>
  <c r="G150" i="65" s="1"/>
  <c r="G151" i="65" s="1"/>
  <c r="G152" i="65" s="1"/>
  <c r="G153" i="65" s="1"/>
  <c r="G154" i="65" s="1"/>
  <c r="G155" i="65" s="1"/>
  <c r="G156" i="65" s="1"/>
  <c r="G157" i="65" s="1"/>
  <c r="G158" i="65" s="1"/>
  <c r="G159" i="65" s="1"/>
  <c r="G160" i="65" s="1"/>
  <c r="G161" i="65" s="1"/>
  <c r="G162" i="65" s="1"/>
  <c r="G163" i="65" s="1"/>
  <c r="G164" i="65" s="1"/>
  <c r="G165" i="65" s="1"/>
  <c r="G166" i="65" s="1"/>
  <c r="G167" i="65" s="1"/>
  <c r="G168" i="65" s="1"/>
  <c r="G169" i="65" s="1"/>
  <c r="G170" i="65" s="1"/>
  <c r="G171" i="65" s="1"/>
  <c r="G172" i="65" s="1"/>
  <c r="G173" i="65" s="1"/>
  <c r="G174" i="65" s="1"/>
  <c r="G175" i="65" s="1"/>
  <c r="G176" i="65" s="1"/>
  <c r="G177" i="65" s="1"/>
  <c r="G178" i="65" s="1"/>
  <c r="G179" i="65" s="1"/>
  <c r="G180" i="65" s="1"/>
  <c r="G181" i="65" s="1"/>
  <c r="G182" i="65" s="1"/>
  <c r="G183" i="65" s="1"/>
  <c r="G184" i="65" s="1"/>
  <c r="G185" i="65" s="1"/>
  <c r="G186" i="65" s="1"/>
  <c r="G187" i="65" s="1"/>
  <c r="G188" i="65" s="1"/>
  <c r="G189" i="65" s="1"/>
  <c r="G190" i="65" s="1"/>
  <c r="G191" i="65" s="1"/>
  <c r="G192" i="65" s="1"/>
  <c r="G193" i="65" s="1"/>
  <c r="G194" i="65" s="1"/>
  <c r="G195" i="65" s="1"/>
  <c r="G196" i="65" s="1"/>
  <c r="G197" i="65" s="1"/>
  <c r="G198" i="65" s="1"/>
  <c r="G199" i="65" s="1"/>
  <c r="G200" i="65" s="1"/>
  <c r="G201" i="65" s="1"/>
  <c r="G202" i="65" s="1"/>
  <c r="G203" i="65" s="1"/>
  <c r="G204" i="65" s="1"/>
  <c r="G205" i="65" s="1"/>
  <c r="G206" i="65" s="1"/>
  <c r="G207" i="65" s="1"/>
  <c r="G208" i="65" s="1"/>
  <c r="G209" i="65" s="1"/>
  <c r="G210" i="65" s="1"/>
  <c r="G211" i="65" s="1"/>
  <c r="G212" i="65" s="1"/>
  <c r="G213" i="65" s="1"/>
  <c r="G214" i="65" s="1"/>
  <c r="G215" i="65" s="1"/>
  <c r="G216" i="65" s="1"/>
  <c r="G217" i="65" s="1"/>
  <c r="G218" i="65" s="1"/>
  <c r="G219" i="65" s="1"/>
  <c r="G220" i="65" s="1"/>
  <c r="G221" i="65" s="1"/>
  <c r="G222" i="65" s="1"/>
  <c r="G223" i="65" s="1"/>
  <c r="G224" i="65" s="1"/>
  <c r="G225" i="65" s="1"/>
  <c r="G226" i="65" s="1"/>
  <c r="G227" i="65" s="1"/>
  <c r="G228" i="65" s="1"/>
  <c r="G229" i="65" s="1"/>
  <c r="G230" i="65" s="1"/>
  <c r="G231" i="65" s="1"/>
  <c r="G232" i="65" s="1"/>
  <c r="G233" i="65" s="1"/>
  <c r="G234" i="65" s="1"/>
  <c r="AM141" i="65"/>
  <c r="BC141" i="65"/>
  <c r="BC142" i="65" s="1"/>
  <c r="BC143" i="65" s="1"/>
  <c r="BC144" i="65" s="1"/>
  <c r="BC145" i="65" s="1"/>
  <c r="BC146" i="65" s="1"/>
  <c r="BC147" i="65" s="1"/>
  <c r="BC148" i="65" s="1"/>
  <c r="BC149" i="65" s="1"/>
  <c r="BC150" i="65" s="1"/>
  <c r="BC151" i="65" s="1"/>
  <c r="BC152" i="65" s="1"/>
  <c r="BC153" i="65" s="1"/>
  <c r="BC154" i="65" s="1"/>
  <c r="BC155" i="65" s="1"/>
  <c r="BC156" i="65" s="1"/>
  <c r="BC157" i="65" s="1"/>
  <c r="BC158" i="65" s="1"/>
  <c r="BC159" i="65" s="1"/>
  <c r="BC160" i="65" s="1"/>
  <c r="BC161" i="65" s="1"/>
  <c r="BC162" i="65" s="1"/>
  <c r="BC163" i="65" s="1"/>
  <c r="BC164" i="65" s="1"/>
  <c r="BC165" i="65" s="1"/>
  <c r="BC166" i="65" s="1"/>
  <c r="BC167" i="65" s="1"/>
  <c r="BC168" i="65" s="1"/>
  <c r="BC169" i="65" s="1"/>
  <c r="BC170" i="65" s="1"/>
  <c r="BC171" i="65" s="1"/>
  <c r="BC172" i="65" s="1"/>
  <c r="BC173" i="65" s="1"/>
  <c r="BC174" i="65" s="1"/>
  <c r="BC175" i="65" s="1"/>
  <c r="BC176" i="65" s="1"/>
  <c r="BC177" i="65" s="1"/>
  <c r="BC178" i="65" s="1"/>
  <c r="BC179" i="65" s="1"/>
  <c r="BC180" i="65" s="1"/>
  <c r="BC181" i="65" s="1"/>
  <c r="BC182" i="65" s="1"/>
  <c r="BC183" i="65" s="1"/>
  <c r="BC184" i="65" s="1"/>
  <c r="BC185" i="65" s="1"/>
  <c r="BC186" i="65" s="1"/>
  <c r="BC187" i="65" s="1"/>
  <c r="BC188" i="65" s="1"/>
  <c r="BC189" i="65" s="1"/>
  <c r="BC190" i="65" s="1"/>
  <c r="BC191" i="65" s="1"/>
  <c r="BC192" i="65" s="1"/>
  <c r="BC193" i="65" s="1"/>
  <c r="BC194" i="65" s="1"/>
  <c r="BC195" i="65" s="1"/>
  <c r="BC196" i="65" s="1"/>
  <c r="BC197" i="65" s="1"/>
  <c r="BC198" i="65" s="1"/>
  <c r="BC199" i="65" s="1"/>
  <c r="BC200" i="65" s="1"/>
  <c r="BC201" i="65" s="1"/>
  <c r="BC202" i="65" s="1"/>
  <c r="BC203" i="65" s="1"/>
  <c r="BC204" i="65" s="1"/>
  <c r="BC205" i="65" s="1"/>
  <c r="BC206" i="65" s="1"/>
  <c r="BC207" i="65" s="1"/>
  <c r="BC208" i="65" s="1"/>
  <c r="BC209" i="65" s="1"/>
  <c r="BC210" i="65" s="1"/>
  <c r="BC211" i="65" s="1"/>
  <c r="BC212" i="65" s="1"/>
  <c r="BC213" i="65" s="1"/>
  <c r="BC214" i="65" s="1"/>
  <c r="BC215" i="65" s="1"/>
  <c r="BC216" i="65" s="1"/>
  <c r="BC217" i="65" s="1"/>
  <c r="BC218" i="65" s="1"/>
  <c r="BC219" i="65" s="1"/>
  <c r="BC220" i="65" s="1"/>
  <c r="BC221" i="65" s="1"/>
  <c r="BC222" i="65" s="1"/>
  <c r="BC223" i="65" s="1"/>
  <c r="BC224" i="65" s="1"/>
  <c r="BC225" i="65" s="1"/>
  <c r="BC226" i="65" s="1"/>
  <c r="BC227" i="65" s="1"/>
  <c r="BC228" i="65" s="1"/>
  <c r="BC229" i="65" s="1"/>
  <c r="BC230" i="65" s="1"/>
  <c r="BC231" i="65" s="1"/>
  <c r="BC232" i="65" s="1"/>
  <c r="BC233" i="65" s="1"/>
  <c r="BC234" i="65" s="1"/>
  <c r="BS141" i="65"/>
  <c r="BS142" i="65" s="1"/>
  <c r="BS143" i="65" s="1"/>
  <c r="BS144" i="65" s="1"/>
  <c r="BS145" i="65" s="1"/>
  <c r="BS146" i="65" s="1"/>
  <c r="BS147" i="65" s="1"/>
  <c r="BS148" i="65" s="1"/>
  <c r="BS149" i="65" s="1"/>
  <c r="BS150" i="65" s="1"/>
  <c r="BS151" i="65" s="1"/>
  <c r="BS152" i="65" s="1"/>
  <c r="BS153" i="65" s="1"/>
  <c r="BS154" i="65" s="1"/>
  <c r="BS155" i="65" s="1"/>
  <c r="BS156" i="65" s="1"/>
  <c r="BS157" i="65" s="1"/>
  <c r="BS158" i="65" s="1"/>
  <c r="BS159" i="65" s="1"/>
  <c r="BS160" i="65" s="1"/>
  <c r="BS161" i="65" s="1"/>
  <c r="BS162" i="65" s="1"/>
  <c r="BS163" i="65" s="1"/>
  <c r="BS164" i="65" s="1"/>
  <c r="BS165" i="65" s="1"/>
  <c r="BS166" i="65" s="1"/>
  <c r="BS167" i="65" s="1"/>
  <c r="BS168" i="65" s="1"/>
  <c r="BS169" i="65" s="1"/>
  <c r="BS170" i="65" s="1"/>
  <c r="BS171" i="65" s="1"/>
  <c r="BS172" i="65" s="1"/>
  <c r="BS173" i="65" s="1"/>
  <c r="BS174" i="65" s="1"/>
  <c r="BS175" i="65" s="1"/>
  <c r="BS176" i="65" s="1"/>
  <c r="BS177" i="65" s="1"/>
  <c r="BS178" i="65" s="1"/>
  <c r="BS179" i="65" s="1"/>
  <c r="BS180" i="65" s="1"/>
  <c r="BS181" i="65" s="1"/>
  <c r="BS182" i="65" s="1"/>
  <c r="BS183" i="65" s="1"/>
  <c r="BS184" i="65" s="1"/>
  <c r="BS185" i="65" s="1"/>
  <c r="BS186" i="65" s="1"/>
  <c r="BS187" i="65" s="1"/>
  <c r="BS188" i="65" s="1"/>
  <c r="BS189" i="65" s="1"/>
  <c r="BS190" i="65" s="1"/>
  <c r="BS191" i="65" s="1"/>
  <c r="BS192" i="65" s="1"/>
  <c r="BS193" i="65" s="1"/>
  <c r="BS194" i="65" s="1"/>
  <c r="BS195" i="65" s="1"/>
  <c r="BS196" i="65" s="1"/>
  <c r="BS197" i="65" s="1"/>
  <c r="BS198" i="65" s="1"/>
  <c r="BS199" i="65" s="1"/>
  <c r="BS200" i="65" s="1"/>
  <c r="BS201" i="65" s="1"/>
  <c r="BS202" i="65" s="1"/>
  <c r="BS203" i="65" s="1"/>
  <c r="BS204" i="65" s="1"/>
  <c r="BS205" i="65" s="1"/>
  <c r="BS206" i="65" s="1"/>
  <c r="BS207" i="65" s="1"/>
  <c r="BS208" i="65" s="1"/>
  <c r="BS209" i="65" s="1"/>
  <c r="BS210" i="65" s="1"/>
  <c r="BS211" i="65" s="1"/>
  <c r="BS212" i="65" s="1"/>
  <c r="BS213" i="65" s="1"/>
  <c r="BS214" i="65" s="1"/>
  <c r="BS215" i="65" s="1"/>
  <c r="BS216" i="65" s="1"/>
  <c r="BS217" i="65" s="1"/>
  <c r="BS218" i="65" s="1"/>
  <c r="BS219" i="65" s="1"/>
  <c r="BS220" i="65" s="1"/>
  <c r="BS221" i="65" s="1"/>
  <c r="BS222" i="65" s="1"/>
  <c r="BS223" i="65" s="1"/>
  <c r="BS224" i="65" s="1"/>
  <c r="BS225" i="65" s="1"/>
  <c r="BS226" i="65" s="1"/>
  <c r="BS227" i="65" s="1"/>
  <c r="BS228" i="65" s="1"/>
  <c r="BS229" i="65" s="1"/>
  <c r="BS230" i="65" s="1"/>
  <c r="BS231" i="65" s="1"/>
  <c r="BS232" i="65" s="1"/>
  <c r="BS233" i="65" s="1"/>
  <c r="BS234" i="65" s="1"/>
  <c r="CI141" i="65"/>
  <c r="CI142" i="65" s="1"/>
  <c r="CI143" i="65" s="1"/>
  <c r="CI144" i="65" s="1"/>
  <c r="CI145" i="65" s="1"/>
  <c r="CI146" i="65" s="1"/>
  <c r="CI147" i="65" s="1"/>
  <c r="CI148" i="65" s="1"/>
  <c r="CI149" i="65" s="1"/>
  <c r="CI150" i="65" s="1"/>
  <c r="CI151" i="65" s="1"/>
  <c r="CI152" i="65" s="1"/>
  <c r="CI153" i="65" s="1"/>
  <c r="CI154" i="65" s="1"/>
  <c r="CI155" i="65" s="1"/>
  <c r="CI156" i="65" s="1"/>
  <c r="CI157" i="65" s="1"/>
  <c r="CI158" i="65" s="1"/>
  <c r="CI159" i="65" s="1"/>
  <c r="CI160" i="65" s="1"/>
  <c r="CI161" i="65" s="1"/>
  <c r="CI162" i="65" s="1"/>
  <c r="CI163" i="65" s="1"/>
  <c r="CI164" i="65" s="1"/>
  <c r="CI165" i="65" s="1"/>
  <c r="CI166" i="65" s="1"/>
  <c r="CI167" i="65" s="1"/>
  <c r="CI168" i="65" s="1"/>
  <c r="CI169" i="65" s="1"/>
  <c r="CI170" i="65" s="1"/>
  <c r="CI171" i="65" s="1"/>
  <c r="CI172" i="65" s="1"/>
  <c r="CI173" i="65" s="1"/>
  <c r="CI174" i="65" s="1"/>
  <c r="CI175" i="65" s="1"/>
  <c r="CI176" i="65" s="1"/>
  <c r="CI177" i="65" s="1"/>
  <c r="CI178" i="65" s="1"/>
  <c r="CI179" i="65" s="1"/>
  <c r="CI180" i="65" s="1"/>
  <c r="CI181" i="65" s="1"/>
  <c r="CI182" i="65" s="1"/>
  <c r="CI183" i="65" s="1"/>
  <c r="CI184" i="65" s="1"/>
  <c r="CI185" i="65" s="1"/>
  <c r="CI186" i="65" s="1"/>
  <c r="CI187" i="65" s="1"/>
  <c r="CI188" i="65" s="1"/>
  <c r="CI189" i="65" s="1"/>
  <c r="CI190" i="65" s="1"/>
  <c r="CI191" i="65" s="1"/>
  <c r="CI192" i="65" s="1"/>
  <c r="CI193" i="65" s="1"/>
  <c r="CI194" i="65" s="1"/>
  <c r="CI195" i="65" s="1"/>
  <c r="CI196" i="65" s="1"/>
  <c r="CI197" i="65" s="1"/>
  <c r="CI198" i="65" s="1"/>
  <c r="CI199" i="65" s="1"/>
  <c r="CI200" i="65" s="1"/>
  <c r="CI201" i="65" s="1"/>
  <c r="CI202" i="65" s="1"/>
  <c r="CI203" i="65" s="1"/>
  <c r="CI204" i="65" s="1"/>
  <c r="CI205" i="65" s="1"/>
  <c r="CI206" i="65" s="1"/>
  <c r="CI207" i="65" s="1"/>
  <c r="CI208" i="65" s="1"/>
  <c r="CI209" i="65" s="1"/>
  <c r="CI210" i="65" s="1"/>
  <c r="CI211" i="65" s="1"/>
  <c r="CI212" i="65" s="1"/>
  <c r="CI213" i="65" s="1"/>
  <c r="CI214" i="65" s="1"/>
  <c r="CI215" i="65" s="1"/>
  <c r="CI216" i="65" s="1"/>
  <c r="CI217" i="65" s="1"/>
  <c r="CI218" i="65" s="1"/>
  <c r="CI219" i="65" s="1"/>
  <c r="CI220" i="65" s="1"/>
  <c r="CI221" i="65" s="1"/>
  <c r="CI222" i="65" s="1"/>
  <c r="CI223" i="65" s="1"/>
  <c r="CI224" i="65" s="1"/>
  <c r="CI225" i="65" s="1"/>
  <c r="CI226" i="65" s="1"/>
  <c r="CI227" i="65" s="1"/>
  <c r="CI228" i="65" s="1"/>
  <c r="CI229" i="65" s="1"/>
  <c r="CI230" i="65" s="1"/>
  <c r="CI231" i="65" s="1"/>
  <c r="CI232" i="65" s="1"/>
  <c r="CI233" i="65" s="1"/>
  <c r="CI234" i="65" s="1"/>
  <c r="EF42" i="65"/>
  <c r="CJ142" i="65"/>
  <c r="CJ143" i="65" s="1"/>
  <c r="CJ144" i="65" s="1"/>
  <c r="CJ145" i="65" s="1"/>
  <c r="CJ146" i="65" s="1"/>
  <c r="CJ147" i="65" s="1"/>
  <c r="CJ148" i="65" s="1"/>
  <c r="CJ149" i="65" s="1"/>
  <c r="CJ150" i="65" s="1"/>
  <c r="CJ151" i="65" s="1"/>
  <c r="CJ152" i="65" s="1"/>
  <c r="CJ153" i="65" s="1"/>
  <c r="CZ142" i="65"/>
  <c r="CZ143" i="65" s="1"/>
  <c r="CZ144" i="65" s="1"/>
  <c r="CZ145" i="65" s="1"/>
  <c r="CZ146" i="65" s="1"/>
  <c r="CZ147" i="65" s="1"/>
  <c r="CZ148" i="65" s="1"/>
  <c r="CZ149" i="65" s="1"/>
  <c r="CZ150" i="65" s="1"/>
  <c r="CZ151" i="65" s="1"/>
  <c r="CZ152" i="65" s="1"/>
  <c r="CZ153" i="65" s="1"/>
  <c r="CZ154" i="65" s="1"/>
  <c r="CZ155" i="65" s="1"/>
  <c r="CZ156" i="65" s="1"/>
  <c r="CZ157" i="65" s="1"/>
  <c r="CZ158" i="65" s="1"/>
  <c r="CZ159" i="65" s="1"/>
  <c r="CZ160" i="65" s="1"/>
  <c r="CZ161" i="65" s="1"/>
  <c r="CZ162" i="65" s="1"/>
  <c r="CZ163" i="65" s="1"/>
  <c r="CZ164" i="65" s="1"/>
  <c r="CZ165" i="65" s="1"/>
  <c r="CZ166" i="65" s="1"/>
  <c r="CZ167" i="65" s="1"/>
  <c r="CZ168" i="65" s="1"/>
  <c r="CZ169" i="65" s="1"/>
  <c r="CZ170" i="65" s="1"/>
  <c r="CZ171" i="65" s="1"/>
  <c r="CZ172" i="65" s="1"/>
  <c r="CZ173" i="65" s="1"/>
  <c r="CZ174" i="65" s="1"/>
  <c r="CZ175" i="65" s="1"/>
  <c r="CZ176" i="65" s="1"/>
  <c r="CZ177" i="65" s="1"/>
  <c r="CZ178" i="65" s="1"/>
  <c r="CZ179" i="65" s="1"/>
  <c r="CZ180" i="65" s="1"/>
  <c r="CZ181" i="65" s="1"/>
  <c r="CZ182" i="65" s="1"/>
  <c r="CZ183" i="65" s="1"/>
  <c r="CZ184" i="65" s="1"/>
  <c r="CZ185" i="65" s="1"/>
  <c r="CZ186" i="65" s="1"/>
  <c r="CZ187" i="65" s="1"/>
  <c r="CZ188" i="65" s="1"/>
  <c r="CZ189" i="65" s="1"/>
  <c r="CZ190" i="65" s="1"/>
  <c r="CZ191" i="65" s="1"/>
  <c r="CZ192" i="65" s="1"/>
  <c r="CZ193" i="65" s="1"/>
  <c r="CZ194" i="65" s="1"/>
  <c r="CZ195" i="65" s="1"/>
  <c r="CZ196" i="65" s="1"/>
  <c r="CZ197" i="65" s="1"/>
  <c r="CZ198" i="65" s="1"/>
  <c r="CZ199" i="65" s="1"/>
  <c r="CZ200" i="65" s="1"/>
  <c r="CZ201" i="65" s="1"/>
  <c r="CZ202" i="65" s="1"/>
  <c r="CZ203" i="65" s="1"/>
  <c r="CZ204" i="65" s="1"/>
  <c r="CZ205" i="65" s="1"/>
  <c r="CZ206" i="65" s="1"/>
  <c r="CZ207" i="65" s="1"/>
  <c r="CZ208" i="65" s="1"/>
  <c r="CZ209" i="65" s="1"/>
  <c r="CZ210" i="65" s="1"/>
  <c r="CZ211" i="65" s="1"/>
  <c r="CZ212" i="65" s="1"/>
  <c r="CZ213" i="65" s="1"/>
  <c r="CZ214" i="65" s="1"/>
  <c r="CZ215" i="65" s="1"/>
  <c r="CZ216" i="65" s="1"/>
  <c r="CZ217" i="65" s="1"/>
  <c r="CZ218" i="65" s="1"/>
  <c r="CZ219" i="65" s="1"/>
  <c r="CZ220" i="65" s="1"/>
  <c r="CZ221" i="65" s="1"/>
  <c r="CZ222" i="65" s="1"/>
  <c r="CZ223" i="65" s="1"/>
  <c r="CZ224" i="65" s="1"/>
  <c r="CZ225" i="65" s="1"/>
  <c r="CZ226" i="65" s="1"/>
  <c r="CZ227" i="65" s="1"/>
  <c r="CZ228" i="65" s="1"/>
  <c r="CZ229" i="65" s="1"/>
  <c r="CZ230" i="65" s="1"/>
  <c r="CZ231" i="65" s="1"/>
  <c r="CZ232" i="65" s="1"/>
  <c r="CZ233" i="65" s="1"/>
  <c r="CZ234" i="65" s="1"/>
  <c r="DP142" i="65"/>
  <c r="DP143" i="65" s="1"/>
  <c r="DP144" i="65" s="1"/>
  <c r="DP145" i="65" s="1"/>
  <c r="DP146" i="65" s="1"/>
  <c r="DP147" i="65" s="1"/>
  <c r="DP148" i="65" s="1"/>
  <c r="DP149" i="65" s="1"/>
  <c r="DP150" i="65" s="1"/>
  <c r="DP151" i="65" s="1"/>
  <c r="DP152" i="65" s="1"/>
  <c r="DP153" i="65" s="1"/>
  <c r="DP154" i="65" s="1"/>
  <c r="DP155" i="65" s="1"/>
  <c r="DP156" i="65" s="1"/>
  <c r="DP157" i="65" s="1"/>
  <c r="DP158" i="65" s="1"/>
  <c r="DP159" i="65" s="1"/>
  <c r="DP160" i="65" s="1"/>
  <c r="DP161" i="65" s="1"/>
  <c r="DP162" i="65" s="1"/>
  <c r="DP163" i="65" s="1"/>
  <c r="DP164" i="65" s="1"/>
  <c r="DP165" i="65" s="1"/>
  <c r="DP166" i="65" s="1"/>
  <c r="DP167" i="65" s="1"/>
  <c r="DP168" i="65" s="1"/>
  <c r="DP169" i="65" s="1"/>
  <c r="DP170" i="65" s="1"/>
  <c r="DP171" i="65" s="1"/>
  <c r="DP172" i="65" s="1"/>
  <c r="DP173" i="65" s="1"/>
  <c r="DP174" i="65" s="1"/>
  <c r="DP175" i="65" s="1"/>
  <c r="DP176" i="65" s="1"/>
  <c r="DP177" i="65" s="1"/>
  <c r="DP178" i="65" s="1"/>
  <c r="DP179" i="65" s="1"/>
  <c r="DP180" i="65" s="1"/>
  <c r="DP181" i="65" s="1"/>
  <c r="DP182" i="65" s="1"/>
  <c r="DP183" i="65" s="1"/>
  <c r="DP184" i="65" s="1"/>
  <c r="DP185" i="65" s="1"/>
  <c r="DP186" i="65" s="1"/>
  <c r="DP187" i="65" s="1"/>
  <c r="DP188" i="65" s="1"/>
  <c r="DP189" i="65" s="1"/>
  <c r="DP190" i="65" s="1"/>
  <c r="DP191" i="65" s="1"/>
  <c r="DP192" i="65" s="1"/>
  <c r="DP193" i="65" s="1"/>
  <c r="DP194" i="65" s="1"/>
  <c r="DP195" i="65" s="1"/>
  <c r="DP196" i="65" s="1"/>
  <c r="DP197" i="65" s="1"/>
  <c r="DP198" i="65" s="1"/>
  <c r="DP199" i="65" s="1"/>
  <c r="DP200" i="65" s="1"/>
  <c r="DP201" i="65" s="1"/>
  <c r="DP202" i="65" s="1"/>
  <c r="DP203" i="65" s="1"/>
  <c r="DP204" i="65" s="1"/>
  <c r="DP205" i="65" s="1"/>
  <c r="DP206" i="65" s="1"/>
  <c r="DP207" i="65" s="1"/>
  <c r="DP208" i="65" s="1"/>
  <c r="DP209" i="65" s="1"/>
  <c r="DP210" i="65" s="1"/>
  <c r="DP211" i="65" s="1"/>
  <c r="DP212" i="65" s="1"/>
  <c r="DP213" i="65" s="1"/>
  <c r="DP214" i="65" s="1"/>
  <c r="DP215" i="65" s="1"/>
  <c r="DP216" i="65" s="1"/>
  <c r="DP217" i="65" s="1"/>
  <c r="DP218" i="65" s="1"/>
  <c r="DP219" i="65" s="1"/>
  <c r="DP220" i="65" s="1"/>
  <c r="DP221" i="65" s="1"/>
  <c r="DP222" i="65" s="1"/>
  <c r="DP223" i="65" s="1"/>
  <c r="DP224" i="65" s="1"/>
  <c r="DP225" i="65" s="1"/>
  <c r="DP226" i="65" s="1"/>
  <c r="DP227" i="65" s="1"/>
  <c r="DP228" i="65" s="1"/>
  <c r="DP229" i="65" s="1"/>
  <c r="DP230" i="65" s="1"/>
  <c r="DP231" i="65" s="1"/>
  <c r="DP232" i="65" s="1"/>
  <c r="DP233" i="65" s="1"/>
  <c r="DP234" i="65" s="1"/>
  <c r="EG43" i="65"/>
  <c r="I143" i="65"/>
  <c r="I144" i="65" s="1"/>
  <c r="I145" i="65" s="1"/>
  <c r="I146" i="65" s="1"/>
  <c r="I147" i="65" s="1"/>
  <c r="I148" i="65" s="1"/>
  <c r="I149" i="65" s="1"/>
  <c r="I150" i="65" s="1"/>
  <c r="I151" i="65" s="1"/>
  <c r="I152" i="65" s="1"/>
  <c r="I153" i="65" s="1"/>
  <c r="I154" i="65" s="1"/>
  <c r="I155" i="65" s="1"/>
  <c r="I156" i="65" s="1"/>
  <c r="I157" i="65" s="1"/>
  <c r="I158" i="65" s="1"/>
  <c r="I159" i="65" s="1"/>
  <c r="I160" i="65" s="1"/>
  <c r="I161" i="65" s="1"/>
  <c r="I162" i="65" s="1"/>
  <c r="I163" i="65" s="1"/>
  <c r="I164" i="65" s="1"/>
  <c r="I165" i="65" s="1"/>
  <c r="I166" i="65" s="1"/>
  <c r="I167" i="65" s="1"/>
  <c r="I168" i="65" s="1"/>
  <c r="I169" i="65" s="1"/>
  <c r="I170" i="65" s="1"/>
  <c r="I171" i="65" s="1"/>
  <c r="I172" i="65" s="1"/>
  <c r="I173" i="65" s="1"/>
  <c r="I174" i="65" s="1"/>
  <c r="I175" i="65" s="1"/>
  <c r="I176" i="65" s="1"/>
  <c r="I177" i="65" s="1"/>
  <c r="I178" i="65" s="1"/>
  <c r="I179" i="65" s="1"/>
  <c r="I180" i="65" s="1"/>
  <c r="I181" i="65" s="1"/>
  <c r="I182" i="65" s="1"/>
  <c r="I183" i="65" s="1"/>
  <c r="I184" i="65" s="1"/>
  <c r="I185" i="65" s="1"/>
  <c r="I186" i="65" s="1"/>
  <c r="I187" i="65" s="1"/>
  <c r="I188" i="65" s="1"/>
  <c r="I189" i="65" s="1"/>
  <c r="I190" i="65" s="1"/>
  <c r="I191" i="65" s="1"/>
  <c r="I192" i="65" s="1"/>
  <c r="I193" i="65" s="1"/>
  <c r="I194" i="65" s="1"/>
  <c r="I195" i="65" s="1"/>
  <c r="I196" i="65" s="1"/>
  <c r="I197" i="65" s="1"/>
  <c r="I198" i="65" s="1"/>
  <c r="I199" i="65" s="1"/>
  <c r="I200" i="65" s="1"/>
  <c r="I201" i="65" s="1"/>
  <c r="I202" i="65" s="1"/>
  <c r="I203" i="65" s="1"/>
  <c r="I204" i="65" s="1"/>
  <c r="I205" i="65" s="1"/>
  <c r="I206" i="65" s="1"/>
  <c r="I207" i="65" s="1"/>
  <c r="I208" i="65" s="1"/>
  <c r="I209" i="65" s="1"/>
  <c r="I210" i="65" s="1"/>
  <c r="I211" i="65" s="1"/>
  <c r="I212" i="65" s="1"/>
  <c r="I213" i="65" s="1"/>
  <c r="I214" i="65" s="1"/>
  <c r="I215" i="65" s="1"/>
  <c r="I216" i="65" s="1"/>
  <c r="I217" i="65" s="1"/>
  <c r="I218" i="65" s="1"/>
  <c r="I219" i="65" s="1"/>
  <c r="I220" i="65" s="1"/>
  <c r="I221" i="65" s="1"/>
  <c r="I222" i="65" s="1"/>
  <c r="I223" i="65" s="1"/>
  <c r="I224" i="65" s="1"/>
  <c r="I225" i="65" s="1"/>
  <c r="I226" i="65" s="1"/>
  <c r="I227" i="65" s="1"/>
  <c r="I228" i="65" s="1"/>
  <c r="I229" i="65" s="1"/>
  <c r="I230" i="65" s="1"/>
  <c r="I231" i="65" s="1"/>
  <c r="I232" i="65" s="1"/>
  <c r="I233" i="65" s="1"/>
  <c r="I234" i="65" s="1"/>
  <c r="EH44" i="65"/>
  <c r="EI45" i="65"/>
  <c r="CM145" i="65"/>
  <c r="CM146" i="65" s="1"/>
  <c r="CM147" i="65" s="1"/>
  <c r="CM148" i="65" s="1"/>
  <c r="CM149" i="65" s="1"/>
  <c r="CM150" i="65" s="1"/>
  <c r="CM151" i="65" s="1"/>
  <c r="CM152" i="65" s="1"/>
  <c r="CM153" i="65" s="1"/>
  <c r="CM154" i="65" s="1"/>
  <c r="CM155" i="65" s="1"/>
  <c r="CM156" i="65" s="1"/>
  <c r="CM157" i="65" s="1"/>
  <c r="CM158" i="65" s="1"/>
  <c r="CM159" i="65" s="1"/>
  <c r="CM160" i="65" s="1"/>
  <c r="CM161" i="65" s="1"/>
  <c r="CM162" i="65" s="1"/>
  <c r="CM163" i="65" s="1"/>
  <c r="CM164" i="65" s="1"/>
  <c r="CM165" i="65" s="1"/>
  <c r="CM166" i="65" s="1"/>
  <c r="CM167" i="65" s="1"/>
  <c r="DS145" i="65"/>
  <c r="DS146" i="65" s="1"/>
  <c r="DS147" i="65" s="1"/>
  <c r="DS148" i="65" s="1"/>
  <c r="DS149" i="65" s="1"/>
  <c r="DS150" i="65" s="1"/>
  <c r="DS151" i="65" s="1"/>
  <c r="DS152" i="65" s="1"/>
  <c r="DS153" i="65" s="1"/>
  <c r="DS154" i="65" s="1"/>
  <c r="DS155" i="65" s="1"/>
  <c r="DS156" i="65" s="1"/>
  <c r="DS157" i="65" s="1"/>
  <c r="DS158" i="65" s="1"/>
  <c r="DS159" i="65" s="1"/>
  <c r="DS160" i="65" s="1"/>
  <c r="DS161" i="65" s="1"/>
  <c r="DS162" i="65" s="1"/>
  <c r="DS163" i="65" s="1"/>
  <c r="DS164" i="65" s="1"/>
  <c r="DS165" i="65" s="1"/>
  <c r="DS166" i="65" s="1"/>
  <c r="DS167" i="65" s="1"/>
  <c r="DS168" i="65" s="1"/>
  <c r="DS169" i="65" s="1"/>
  <c r="DS170" i="65" s="1"/>
  <c r="DS171" i="65" s="1"/>
  <c r="DS172" i="65" s="1"/>
  <c r="DS173" i="65" s="1"/>
  <c r="DS174" i="65" s="1"/>
  <c r="DS175" i="65" s="1"/>
  <c r="DS176" i="65" s="1"/>
  <c r="DS177" i="65" s="1"/>
  <c r="DS178" i="65" s="1"/>
  <c r="DS179" i="65" s="1"/>
  <c r="DS180" i="65" s="1"/>
  <c r="DS181" i="65" s="1"/>
  <c r="DS182" i="65" s="1"/>
  <c r="DS183" i="65" s="1"/>
  <c r="DS184" i="65" s="1"/>
  <c r="DS185" i="65" s="1"/>
  <c r="DS186" i="65" s="1"/>
  <c r="DS187" i="65" s="1"/>
  <c r="DS188" i="65" s="1"/>
  <c r="DS189" i="65" s="1"/>
  <c r="DS190" i="65" s="1"/>
  <c r="DS191" i="65" s="1"/>
  <c r="DS192" i="65" s="1"/>
  <c r="DS193" i="65" s="1"/>
  <c r="DS194" i="65" s="1"/>
  <c r="DS195" i="65" s="1"/>
  <c r="DS196" i="65" s="1"/>
  <c r="DS197" i="65" s="1"/>
  <c r="DS198" i="65" s="1"/>
  <c r="DS199" i="65" s="1"/>
  <c r="DS200" i="65" s="1"/>
  <c r="DS201" i="65" s="1"/>
  <c r="DS202" i="65" s="1"/>
  <c r="DS203" i="65" s="1"/>
  <c r="DS204" i="65" s="1"/>
  <c r="DS205" i="65" s="1"/>
  <c r="DS206" i="65" s="1"/>
  <c r="DS207" i="65" s="1"/>
  <c r="DS208" i="65" s="1"/>
  <c r="DS209" i="65" s="1"/>
  <c r="DS210" i="65" s="1"/>
  <c r="DS211" i="65" s="1"/>
  <c r="DS212" i="65" s="1"/>
  <c r="DS213" i="65" s="1"/>
  <c r="DS214" i="65" s="1"/>
  <c r="DS215" i="65" s="1"/>
  <c r="DS216" i="65" s="1"/>
  <c r="DS217" i="65" s="1"/>
  <c r="DS218" i="65" s="1"/>
  <c r="DS219" i="65" s="1"/>
  <c r="DS220" i="65" s="1"/>
  <c r="DS221" i="65" s="1"/>
  <c r="DS222" i="65" s="1"/>
  <c r="DS223" i="65" s="1"/>
  <c r="DS224" i="65" s="1"/>
  <c r="DS225" i="65" s="1"/>
  <c r="DS226" i="65" s="1"/>
  <c r="DS227" i="65" s="1"/>
  <c r="DS228" i="65" s="1"/>
  <c r="DS229" i="65" s="1"/>
  <c r="DS230" i="65" s="1"/>
  <c r="DS231" i="65" s="1"/>
  <c r="DS232" i="65" s="1"/>
  <c r="DS233" i="65" s="1"/>
  <c r="DS234" i="65" s="1"/>
  <c r="EJ46" i="65"/>
  <c r="BX146" i="65"/>
  <c r="BX147" i="65" s="1"/>
  <c r="BX148" i="65" s="1"/>
  <c r="BX149" i="65" s="1"/>
  <c r="BX150" i="65" s="1"/>
  <c r="BX151" i="65" s="1"/>
  <c r="BX152" i="65" s="1"/>
  <c r="BX153" i="65" s="1"/>
  <c r="BX154" i="65" s="1"/>
  <c r="BX155" i="65" s="1"/>
  <c r="BX156" i="65" s="1"/>
  <c r="BX157" i="65" s="1"/>
  <c r="BX158" i="65" s="1"/>
  <c r="BX159" i="65" s="1"/>
  <c r="BX160" i="65" s="1"/>
  <c r="BX161" i="65" s="1"/>
  <c r="BX162" i="65" s="1"/>
  <c r="BX163" i="65" s="1"/>
  <c r="BX164" i="65" s="1"/>
  <c r="BX165" i="65" s="1"/>
  <c r="BX166" i="65" s="1"/>
  <c r="BX167" i="65" s="1"/>
  <c r="BX168" i="65" s="1"/>
  <c r="BX169" i="65" s="1"/>
  <c r="BX170" i="65" s="1"/>
  <c r="BX171" i="65" s="1"/>
  <c r="BX172" i="65" s="1"/>
  <c r="BX173" i="65" s="1"/>
  <c r="BX174" i="65" s="1"/>
  <c r="BX175" i="65" s="1"/>
  <c r="BX176" i="65" s="1"/>
  <c r="BX177" i="65" s="1"/>
  <c r="BX178" i="65" s="1"/>
  <c r="BX179" i="65" s="1"/>
  <c r="BX180" i="65" s="1"/>
  <c r="BX181" i="65" s="1"/>
  <c r="BX182" i="65" s="1"/>
  <c r="BX183" i="65" s="1"/>
  <c r="BX184" i="65" s="1"/>
  <c r="BX185" i="65" s="1"/>
  <c r="BX186" i="65" s="1"/>
  <c r="BX187" i="65" s="1"/>
  <c r="BX188" i="65" s="1"/>
  <c r="BX189" i="65" s="1"/>
  <c r="BX190" i="65" s="1"/>
  <c r="BX191" i="65" s="1"/>
  <c r="BX192" i="65" s="1"/>
  <c r="BX193" i="65" s="1"/>
  <c r="BX194" i="65" s="1"/>
  <c r="BX195" i="65" s="1"/>
  <c r="BX196" i="65" s="1"/>
  <c r="BX197" i="65" s="1"/>
  <c r="BX198" i="65" s="1"/>
  <c r="BX199" i="65" s="1"/>
  <c r="BX200" i="65" s="1"/>
  <c r="BX201" i="65" s="1"/>
  <c r="BX202" i="65" s="1"/>
  <c r="BX203" i="65" s="1"/>
  <c r="BX204" i="65" s="1"/>
  <c r="BX205" i="65" s="1"/>
  <c r="BX206" i="65" s="1"/>
  <c r="BX207" i="65" s="1"/>
  <c r="BX208" i="65" s="1"/>
  <c r="BX209" i="65" s="1"/>
  <c r="BX210" i="65" s="1"/>
  <c r="BX211" i="65" s="1"/>
  <c r="BX212" i="65" s="1"/>
  <c r="BX213" i="65" s="1"/>
  <c r="BX214" i="65" s="1"/>
  <c r="BX215" i="65" s="1"/>
  <c r="BX216" i="65" s="1"/>
  <c r="BX217" i="65" s="1"/>
  <c r="BX218" i="65" s="1"/>
  <c r="BX219" i="65" s="1"/>
  <c r="BX220" i="65" s="1"/>
  <c r="BX221" i="65" s="1"/>
  <c r="BX222" i="65" s="1"/>
  <c r="BX223" i="65" s="1"/>
  <c r="BX224" i="65" s="1"/>
  <c r="BX225" i="65" s="1"/>
  <c r="BX226" i="65" s="1"/>
  <c r="BX227" i="65" s="1"/>
  <c r="BX228" i="65" s="1"/>
  <c r="BX229" i="65" s="1"/>
  <c r="BX230" i="65" s="1"/>
  <c r="BX231" i="65" s="1"/>
  <c r="BX232" i="65" s="1"/>
  <c r="BX233" i="65" s="1"/>
  <c r="BX234" i="65" s="1"/>
  <c r="EK47" i="65"/>
  <c r="M147" i="65"/>
  <c r="M148" i="65" s="1"/>
  <c r="M149" i="65" s="1"/>
  <c r="M150" i="65" s="1"/>
  <c r="M151" i="65" s="1"/>
  <c r="M152" i="65" s="1"/>
  <c r="M153" i="65" s="1"/>
  <c r="M154" i="65" s="1"/>
  <c r="M155" i="65" s="1"/>
  <c r="M156" i="65" s="1"/>
  <c r="M157" i="65" s="1"/>
  <c r="M158" i="65" s="1"/>
  <c r="M159" i="65" s="1"/>
  <c r="M160" i="65" s="1"/>
  <c r="M161" i="65" s="1"/>
  <c r="M162" i="65" s="1"/>
  <c r="M163" i="65" s="1"/>
  <c r="M164" i="65" s="1"/>
  <c r="M165" i="65" s="1"/>
  <c r="M166" i="65" s="1"/>
  <c r="M167" i="65" s="1"/>
  <c r="M168" i="65" s="1"/>
  <c r="M169" i="65" s="1"/>
  <c r="M170" i="65" s="1"/>
  <c r="M171" i="65" s="1"/>
  <c r="M172" i="65" s="1"/>
  <c r="M173" i="65" s="1"/>
  <c r="M174" i="65" s="1"/>
  <c r="M175" i="65" s="1"/>
  <c r="M176" i="65" s="1"/>
  <c r="M177" i="65" s="1"/>
  <c r="M178" i="65" s="1"/>
  <c r="M179" i="65" s="1"/>
  <c r="M180" i="65" s="1"/>
  <c r="M181" i="65" s="1"/>
  <c r="M182" i="65" s="1"/>
  <c r="M183" i="65" s="1"/>
  <c r="M184" i="65" s="1"/>
  <c r="M185" i="65" s="1"/>
  <c r="M186" i="65" s="1"/>
  <c r="M187" i="65" s="1"/>
  <c r="M188" i="65" s="1"/>
  <c r="M189" i="65" s="1"/>
  <c r="M190" i="65" s="1"/>
  <c r="M191" i="65" s="1"/>
  <c r="M192" i="65" s="1"/>
  <c r="M193" i="65" s="1"/>
  <c r="M194" i="65" s="1"/>
  <c r="M195" i="65" s="1"/>
  <c r="M196" i="65" s="1"/>
  <c r="M197" i="65" s="1"/>
  <c r="M198" i="65" s="1"/>
  <c r="M199" i="65" s="1"/>
  <c r="M200" i="65" s="1"/>
  <c r="M201" i="65" s="1"/>
  <c r="M202" i="65" s="1"/>
  <c r="M203" i="65" s="1"/>
  <c r="M204" i="65" s="1"/>
  <c r="M205" i="65" s="1"/>
  <c r="M206" i="65" s="1"/>
  <c r="M207" i="65" s="1"/>
  <c r="M208" i="65" s="1"/>
  <c r="M209" i="65" s="1"/>
  <c r="M210" i="65" s="1"/>
  <c r="M211" i="65" s="1"/>
  <c r="M212" i="65" s="1"/>
  <c r="M213" i="65" s="1"/>
  <c r="M214" i="65" s="1"/>
  <c r="M215" i="65" s="1"/>
  <c r="M216" i="65" s="1"/>
  <c r="M217" i="65" s="1"/>
  <c r="M218" i="65" s="1"/>
  <c r="M219" i="65" s="1"/>
  <c r="M220" i="65" s="1"/>
  <c r="M221" i="65" s="1"/>
  <c r="M222" i="65" s="1"/>
  <c r="M223" i="65" s="1"/>
  <c r="M224" i="65" s="1"/>
  <c r="M225" i="65" s="1"/>
  <c r="M226" i="65" s="1"/>
  <c r="M227" i="65" s="1"/>
  <c r="M228" i="65" s="1"/>
  <c r="M229" i="65" s="1"/>
  <c r="M230" i="65" s="1"/>
  <c r="M231" i="65" s="1"/>
  <c r="M232" i="65" s="1"/>
  <c r="M233" i="65" s="1"/>
  <c r="M234" i="65" s="1"/>
  <c r="BI147" i="65"/>
  <c r="BI148" i="65" s="1"/>
  <c r="BI149" i="65" s="1"/>
  <c r="BI150" i="65" s="1"/>
  <c r="BI151" i="65" s="1"/>
  <c r="BI152" i="65" s="1"/>
  <c r="BI153" i="65" s="1"/>
  <c r="BI154" i="65" s="1"/>
  <c r="BI155" i="65" s="1"/>
  <c r="BI156" i="65" s="1"/>
  <c r="BI157" i="65" s="1"/>
  <c r="BI158" i="65" s="1"/>
  <c r="BI159" i="65" s="1"/>
  <c r="BI160" i="65" s="1"/>
  <c r="BI161" i="65" s="1"/>
  <c r="BI162" i="65" s="1"/>
  <c r="BI163" i="65" s="1"/>
  <c r="BI164" i="65" s="1"/>
  <c r="BI165" i="65" s="1"/>
  <c r="BI166" i="65" s="1"/>
  <c r="BI167" i="65" s="1"/>
  <c r="BI168" i="65" s="1"/>
  <c r="BI169" i="65" s="1"/>
  <c r="BI170" i="65" s="1"/>
  <c r="BI171" i="65" s="1"/>
  <c r="BI172" i="65" s="1"/>
  <c r="BI173" i="65" s="1"/>
  <c r="EM48" i="65"/>
  <c r="DY49" i="65"/>
  <c r="ER49" i="65"/>
  <c r="DL149" i="65"/>
  <c r="DL150" i="65" s="1"/>
  <c r="DL151" i="65" s="1"/>
  <c r="DL152" i="65" s="1"/>
  <c r="DL153" i="65" s="1"/>
  <c r="DL154" i="65" s="1"/>
  <c r="DL155" i="65" s="1"/>
  <c r="DL156" i="65" s="1"/>
  <c r="DL157" i="65" s="1"/>
  <c r="DL158" i="65" s="1"/>
  <c r="DL159" i="65" s="1"/>
  <c r="DL160" i="65" s="1"/>
  <c r="DL161" i="65" s="1"/>
  <c r="DL162" i="65" s="1"/>
  <c r="DL163" i="65" s="1"/>
  <c r="DL164" i="65" s="1"/>
  <c r="DL165" i="65" s="1"/>
  <c r="DL166" i="65" s="1"/>
  <c r="DL167" i="65" s="1"/>
  <c r="DL168" i="65" s="1"/>
  <c r="DL169" i="65" s="1"/>
  <c r="DL170" i="65" s="1"/>
  <c r="DL171" i="65" s="1"/>
  <c r="DL172" i="65" s="1"/>
  <c r="DL173" i="65" s="1"/>
  <c r="DL174" i="65" s="1"/>
  <c r="DL175" i="65" s="1"/>
  <c r="DL176" i="65" s="1"/>
  <c r="DL177" i="65" s="1"/>
  <c r="DL178" i="65" s="1"/>
  <c r="DL179" i="65" s="1"/>
  <c r="DL180" i="65" s="1"/>
  <c r="DL181" i="65" s="1"/>
  <c r="DL182" i="65" s="1"/>
  <c r="DL183" i="65" s="1"/>
  <c r="DL184" i="65" s="1"/>
  <c r="DL185" i="65" s="1"/>
  <c r="DL186" i="65" s="1"/>
  <c r="DL187" i="65" s="1"/>
  <c r="DL188" i="65" s="1"/>
  <c r="DL189" i="65" s="1"/>
  <c r="DL190" i="65" s="1"/>
  <c r="DL191" i="65" s="1"/>
  <c r="DL192" i="65" s="1"/>
  <c r="DL193" i="65" s="1"/>
  <c r="DL194" i="65" s="1"/>
  <c r="DL195" i="65" s="1"/>
  <c r="DL196" i="65" s="1"/>
  <c r="DL197" i="65" s="1"/>
  <c r="DL198" i="65" s="1"/>
  <c r="DL199" i="65" s="1"/>
  <c r="DL200" i="65" s="1"/>
  <c r="DL201" i="65" s="1"/>
  <c r="DL202" i="65" s="1"/>
  <c r="DL203" i="65" s="1"/>
  <c r="DL204" i="65" s="1"/>
  <c r="DL205" i="65" s="1"/>
  <c r="DL206" i="65" s="1"/>
  <c r="DL207" i="65" s="1"/>
  <c r="DL208" i="65" s="1"/>
  <c r="DL209" i="65" s="1"/>
  <c r="DL210" i="65" s="1"/>
  <c r="DL211" i="65" s="1"/>
  <c r="DL212" i="65" s="1"/>
  <c r="DL213" i="65" s="1"/>
  <c r="DL214" i="65" s="1"/>
  <c r="DL215" i="65" s="1"/>
  <c r="DL216" i="65" s="1"/>
  <c r="DL217" i="65" s="1"/>
  <c r="DL218" i="65" s="1"/>
  <c r="DL219" i="65" s="1"/>
  <c r="DL220" i="65" s="1"/>
  <c r="DL221" i="65" s="1"/>
  <c r="DL222" i="65" s="1"/>
  <c r="DL223" i="65" s="1"/>
  <c r="DL224" i="65" s="1"/>
  <c r="DL225" i="65" s="1"/>
  <c r="DL226" i="65" s="1"/>
  <c r="DL227" i="65" s="1"/>
  <c r="DL228" i="65" s="1"/>
  <c r="DL229" i="65" s="1"/>
  <c r="DL230" i="65" s="1"/>
  <c r="DL231" i="65" s="1"/>
  <c r="DL232" i="65" s="1"/>
  <c r="DL233" i="65" s="1"/>
  <c r="DL234" i="65" s="1"/>
  <c r="EF50" i="65"/>
  <c r="EN51" i="65"/>
  <c r="ER51" i="65"/>
  <c r="EB52" i="65"/>
  <c r="EL52" i="65"/>
  <c r="P53" i="65"/>
  <c r="EE53" i="65"/>
  <c r="EK55" i="65"/>
  <c r="EC56" i="65"/>
  <c r="ER56" i="65"/>
  <c r="EA59" i="65"/>
  <c r="EB60" i="65"/>
  <c r="EC61" i="65"/>
  <c r="ED62" i="65"/>
  <c r="EE63" i="65"/>
  <c r="EF64" i="65"/>
  <c r="DY64" i="65"/>
  <c r="DZ67" i="65"/>
  <c r="EN66" i="65"/>
  <c r="EB67" i="65"/>
  <c r="DY69" i="65"/>
  <c r="ER72" i="65"/>
  <c r="EL68" i="65"/>
  <c r="DZ69" i="65"/>
  <c r="ER70" i="65"/>
  <c r="EQ71" i="65"/>
  <c r="DZ71" i="65"/>
  <c r="DZ73" i="65"/>
  <c r="AB149" i="65"/>
  <c r="AB150" i="65" s="1"/>
  <c r="AB151" i="65" s="1"/>
  <c r="AB152" i="65" s="1"/>
  <c r="AB153" i="65" s="1"/>
  <c r="AB154" i="65" s="1"/>
  <c r="AB155" i="65" s="1"/>
  <c r="AB156" i="65" s="1"/>
  <c r="AB157" i="65" s="1"/>
  <c r="AB158" i="65" s="1"/>
  <c r="AB159" i="65" s="1"/>
  <c r="AB160" i="65" s="1"/>
  <c r="AB161" i="65" s="1"/>
  <c r="AB162" i="65" s="1"/>
  <c r="AB163" i="65" s="1"/>
  <c r="AB164" i="65" s="1"/>
  <c r="AB165" i="65" s="1"/>
  <c r="AB166" i="65" s="1"/>
  <c r="AB167" i="65" s="1"/>
  <c r="AB168" i="65" s="1"/>
  <c r="AB169" i="65" s="1"/>
  <c r="AB170" i="65" s="1"/>
  <c r="AB171" i="65" s="1"/>
  <c r="AB172" i="65" s="1"/>
  <c r="AB173" i="65" s="1"/>
  <c r="AB174" i="65" s="1"/>
  <c r="AB175" i="65" s="1"/>
  <c r="AB176" i="65" s="1"/>
  <c r="AB177" i="65" s="1"/>
  <c r="AB178" i="65" s="1"/>
  <c r="AB179" i="65" s="1"/>
  <c r="AB180" i="65" s="1"/>
  <c r="AB181" i="65" s="1"/>
  <c r="AB182" i="65" s="1"/>
  <c r="AB183" i="65" s="1"/>
  <c r="AB184" i="65" s="1"/>
  <c r="AB185" i="65" s="1"/>
  <c r="AB186" i="65" s="1"/>
  <c r="AB187" i="65" s="1"/>
  <c r="AB188" i="65" s="1"/>
  <c r="AB189" i="65" s="1"/>
  <c r="AB190" i="65" s="1"/>
  <c r="AB191" i="65" s="1"/>
  <c r="AB192" i="65" s="1"/>
  <c r="AB193" i="65" s="1"/>
  <c r="AB194" i="65" s="1"/>
  <c r="AB195" i="65" s="1"/>
  <c r="AB196" i="65" s="1"/>
  <c r="AB197" i="65" s="1"/>
  <c r="AB198" i="65" s="1"/>
  <c r="AB199" i="65" s="1"/>
  <c r="AB200" i="65" s="1"/>
  <c r="AB201" i="65" s="1"/>
  <c r="AB202" i="65" s="1"/>
  <c r="AB203" i="65" s="1"/>
  <c r="AB204" i="65" s="1"/>
  <c r="AB205" i="65" s="1"/>
  <c r="AB206" i="65" s="1"/>
  <c r="AB207" i="65" s="1"/>
  <c r="AB208" i="65" s="1"/>
  <c r="AB209" i="65" s="1"/>
  <c r="AB210" i="65" s="1"/>
  <c r="AB211" i="65" s="1"/>
  <c r="AB212" i="65" s="1"/>
  <c r="AB213" i="65" s="1"/>
  <c r="AB214" i="65" s="1"/>
  <c r="AB215" i="65" s="1"/>
  <c r="AB216" i="65" s="1"/>
  <c r="AB217" i="65" s="1"/>
  <c r="AB218" i="65" s="1"/>
  <c r="AB219" i="65" s="1"/>
  <c r="AB220" i="65" s="1"/>
  <c r="AB221" i="65" s="1"/>
  <c r="AB222" i="65" s="1"/>
  <c r="AB223" i="65" s="1"/>
  <c r="AB224" i="65" s="1"/>
  <c r="AB225" i="65" s="1"/>
  <c r="AB226" i="65" s="1"/>
  <c r="AB227" i="65" s="1"/>
  <c r="AB228" i="65" s="1"/>
  <c r="AB229" i="65" s="1"/>
  <c r="AB230" i="65" s="1"/>
  <c r="AB231" i="65" s="1"/>
  <c r="AB232" i="65" s="1"/>
  <c r="AB233" i="65" s="1"/>
  <c r="AB234" i="65" s="1"/>
  <c r="DT149" i="65"/>
  <c r="DT150" i="65" s="1"/>
  <c r="DT151" i="65" s="1"/>
  <c r="DG152" i="65"/>
  <c r="DG153" i="65" s="1"/>
  <c r="DG154" i="65" s="1"/>
  <c r="DG155" i="65" s="1"/>
  <c r="DG156" i="65" s="1"/>
  <c r="DG157" i="65" s="1"/>
  <c r="DG158" i="65" s="1"/>
  <c r="DG159" i="65" s="1"/>
  <c r="DG160" i="65" s="1"/>
  <c r="DG161" i="65" s="1"/>
  <c r="DG162" i="65" s="1"/>
  <c r="DG163" i="65" s="1"/>
  <c r="DG164" i="65" s="1"/>
  <c r="DG165" i="65" s="1"/>
  <c r="DG166" i="65" s="1"/>
  <c r="DG167" i="65" s="1"/>
  <c r="DG168" i="65" s="1"/>
  <c r="DG169" i="65" s="1"/>
  <c r="DG170" i="65" s="1"/>
  <c r="DG171" i="65" s="1"/>
  <c r="DG172" i="65" s="1"/>
  <c r="DG173" i="65" s="1"/>
  <c r="DG174" i="65" s="1"/>
  <c r="DG175" i="65" s="1"/>
  <c r="DG176" i="65" s="1"/>
  <c r="DG177" i="65" s="1"/>
  <c r="DG178" i="65" s="1"/>
  <c r="DG179" i="65" s="1"/>
  <c r="DG180" i="65" s="1"/>
  <c r="DG181" i="65" s="1"/>
  <c r="DG182" i="65" s="1"/>
  <c r="DG183" i="65" s="1"/>
  <c r="DG184" i="65" s="1"/>
  <c r="DG185" i="65" s="1"/>
  <c r="DG186" i="65" s="1"/>
  <c r="DG187" i="65" s="1"/>
  <c r="DG188" i="65" s="1"/>
  <c r="DG189" i="65" s="1"/>
  <c r="DG190" i="65" s="1"/>
  <c r="DG191" i="65" s="1"/>
  <c r="DG192" i="65" s="1"/>
  <c r="DG193" i="65" s="1"/>
  <c r="DG194" i="65" s="1"/>
  <c r="DG195" i="65" s="1"/>
  <c r="DG196" i="65" s="1"/>
  <c r="DG197" i="65" s="1"/>
  <c r="DG198" i="65" s="1"/>
  <c r="DG199" i="65" s="1"/>
  <c r="DG200" i="65" s="1"/>
  <c r="DG201" i="65" s="1"/>
  <c r="DG202" i="65" s="1"/>
  <c r="DG203" i="65" s="1"/>
  <c r="DG204" i="65" s="1"/>
  <c r="DG205" i="65" s="1"/>
  <c r="DG206" i="65" s="1"/>
  <c r="DG207" i="65" s="1"/>
  <c r="DG208" i="65" s="1"/>
  <c r="DG209" i="65" s="1"/>
  <c r="DG210" i="65" s="1"/>
  <c r="DG211" i="65" s="1"/>
  <c r="DG212" i="65" s="1"/>
  <c r="DG213" i="65" s="1"/>
  <c r="DG214" i="65" s="1"/>
  <c r="DG215" i="65" s="1"/>
  <c r="DG216" i="65" s="1"/>
  <c r="DG217" i="65" s="1"/>
  <c r="DG218" i="65" s="1"/>
  <c r="DG219" i="65" s="1"/>
  <c r="DG220" i="65" s="1"/>
  <c r="DG221" i="65" s="1"/>
  <c r="DG222" i="65" s="1"/>
  <c r="DG223" i="65" s="1"/>
  <c r="DG224" i="65" s="1"/>
  <c r="DG225" i="65" s="1"/>
  <c r="DG226" i="65" s="1"/>
  <c r="DG227" i="65" s="1"/>
  <c r="DG228" i="65" s="1"/>
  <c r="DG229" i="65" s="1"/>
  <c r="DG230" i="65" s="1"/>
  <c r="DG231" i="65" s="1"/>
  <c r="DG232" i="65" s="1"/>
  <c r="DG233" i="65" s="1"/>
  <c r="DG234" i="65" s="1"/>
  <c r="EL65" i="65"/>
  <c r="EN68" i="65"/>
  <c r="EB69" i="65"/>
  <c r="AE150" i="65"/>
  <c r="AE151" i="65" s="1"/>
  <c r="AE152" i="65" s="1"/>
  <c r="AE153" i="65" s="1"/>
  <c r="AE154" i="65" s="1"/>
  <c r="AE155" i="65" s="1"/>
  <c r="AE156" i="65" s="1"/>
  <c r="AE157" i="65" s="1"/>
  <c r="AE158" i="65" s="1"/>
  <c r="AE159" i="65" s="1"/>
  <c r="AE160" i="65" s="1"/>
  <c r="AE161" i="65" s="1"/>
  <c r="AE162" i="65" s="1"/>
  <c r="AE163" i="65" s="1"/>
  <c r="AE164" i="65" s="1"/>
  <c r="AE165" i="65" s="1"/>
  <c r="AE166" i="65" s="1"/>
  <c r="AE167" i="65" s="1"/>
  <c r="AE168" i="65" s="1"/>
  <c r="AE169" i="65" s="1"/>
  <c r="AE170" i="65" s="1"/>
  <c r="AE171" i="65" s="1"/>
  <c r="AE172" i="65" s="1"/>
  <c r="AE173" i="65" s="1"/>
  <c r="AE174" i="65" s="1"/>
  <c r="AE175" i="65" s="1"/>
  <c r="AE176" i="65" s="1"/>
  <c r="AE177" i="65" s="1"/>
  <c r="AE178" i="65" s="1"/>
  <c r="AE179" i="65" s="1"/>
  <c r="AE180" i="65" s="1"/>
  <c r="AE181" i="65" s="1"/>
  <c r="AE182" i="65" s="1"/>
  <c r="AE183" i="65" s="1"/>
  <c r="AE184" i="65" s="1"/>
  <c r="AE185" i="65" s="1"/>
  <c r="AE186" i="65" s="1"/>
  <c r="AE187" i="65" s="1"/>
  <c r="AE188" i="65" s="1"/>
  <c r="AE189" i="65" s="1"/>
  <c r="AE190" i="65" s="1"/>
  <c r="AE191" i="65" s="1"/>
  <c r="AE192" i="65" s="1"/>
  <c r="AE193" i="65" s="1"/>
  <c r="AE194" i="65" s="1"/>
  <c r="AE195" i="65" s="1"/>
  <c r="AE196" i="65" s="1"/>
  <c r="AE197" i="65" s="1"/>
  <c r="AE198" i="65" s="1"/>
  <c r="AE199" i="65" s="1"/>
  <c r="AE200" i="65" s="1"/>
  <c r="AE201" i="65" s="1"/>
  <c r="AE202" i="65" s="1"/>
  <c r="AE203" i="65" s="1"/>
  <c r="AE204" i="65" s="1"/>
  <c r="AE205" i="65" s="1"/>
  <c r="AE206" i="65" s="1"/>
  <c r="AE207" i="65" s="1"/>
  <c r="AE208" i="65" s="1"/>
  <c r="AE209" i="65" s="1"/>
  <c r="AE210" i="65" s="1"/>
  <c r="AE211" i="65" s="1"/>
  <c r="AE212" i="65" s="1"/>
  <c r="AE213" i="65" s="1"/>
  <c r="AE214" i="65" s="1"/>
  <c r="AE215" i="65" s="1"/>
  <c r="AE216" i="65" s="1"/>
  <c r="AE217" i="65" s="1"/>
  <c r="AE218" i="65" s="1"/>
  <c r="AE219" i="65" s="1"/>
  <c r="AE220" i="65" s="1"/>
  <c r="AE221" i="65" s="1"/>
  <c r="AE222" i="65" s="1"/>
  <c r="AE223" i="65" s="1"/>
  <c r="AE224" i="65" s="1"/>
  <c r="AE225" i="65" s="1"/>
  <c r="AE226" i="65" s="1"/>
  <c r="AE227" i="65" s="1"/>
  <c r="AE228" i="65" s="1"/>
  <c r="AE229" i="65" s="1"/>
  <c r="AE230" i="65" s="1"/>
  <c r="AE231" i="65" s="1"/>
  <c r="AE232" i="65" s="1"/>
  <c r="AE233" i="65" s="1"/>
  <c r="AE234" i="65" s="1"/>
  <c r="EL64" i="65"/>
  <c r="ER66" i="65"/>
  <c r="EI69" i="65"/>
  <c r="EC73" i="65"/>
  <c r="EJ69" i="65"/>
  <c r="DZ70" i="65"/>
  <c r="ED73" i="65"/>
  <c r="EH67" i="65"/>
  <c r="EK69" i="65"/>
  <c r="EA70" i="65"/>
  <c r="EA71" i="65"/>
  <c r="EB72" i="65"/>
  <c r="EE73" i="65"/>
  <c r="DI149" i="65"/>
  <c r="DI150" i="65" s="1"/>
  <c r="DI151" i="65" s="1"/>
  <c r="DI152" i="65" s="1"/>
  <c r="DI153" i="65" s="1"/>
  <c r="DI154" i="65" s="1"/>
  <c r="DI155" i="65" s="1"/>
  <c r="DI156" i="65" s="1"/>
  <c r="DI157" i="65" s="1"/>
  <c r="DI158" i="65" s="1"/>
  <c r="DI159" i="65" s="1"/>
  <c r="DI160" i="65" s="1"/>
  <c r="DI161" i="65" s="1"/>
  <c r="DI162" i="65" s="1"/>
  <c r="DI163" i="65" s="1"/>
  <c r="DI164" i="65" s="1"/>
  <c r="DI165" i="65" s="1"/>
  <c r="DI166" i="65" s="1"/>
  <c r="DI167" i="65" s="1"/>
  <c r="DI168" i="65" s="1"/>
  <c r="DI169" i="65" s="1"/>
  <c r="DI170" i="65" s="1"/>
  <c r="DI171" i="65" s="1"/>
  <c r="DI172" i="65" s="1"/>
  <c r="DI173" i="65" s="1"/>
  <c r="DI174" i="65" s="1"/>
  <c r="DI175" i="65" s="1"/>
  <c r="DI176" i="65" s="1"/>
  <c r="DI177" i="65" s="1"/>
  <c r="DI178" i="65" s="1"/>
  <c r="DI179" i="65" s="1"/>
  <c r="DI180" i="65" s="1"/>
  <c r="DI181" i="65" s="1"/>
  <c r="DI182" i="65" s="1"/>
  <c r="DI183" i="65" s="1"/>
  <c r="DI184" i="65" s="1"/>
  <c r="DI185" i="65" s="1"/>
  <c r="DI186" i="65" s="1"/>
  <c r="DI187" i="65" s="1"/>
  <c r="DI188" i="65" s="1"/>
  <c r="DI189" i="65" s="1"/>
  <c r="DI190" i="65" s="1"/>
  <c r="DI191" i="65" s="1"/>
  <c r="DI192" i="65" s="1"/>
  <c r="DI193" i="65" s="1"/>
  <c r="DI194" i="65" s="1"/>
  <c r="DI195" i="65" s="1"/>
  <c r="DI196" i="65" s="1"/>
  <c r="DI197" i="65" s="1"/>
  <c r="DI198" i="65" s="1"/>
  <c r="DI199" i="65" s="1"/>
  <c r="DI200" i="65" s="1"/>
  <c r="DI201" i="65" s="1"/>
  <c r="DI202" i="65" s="1"/>
  <c r="DI203" i="65" s="1"/>
  <c r="DI204" i="65" s="1"/>
  <c r="DI205" i="65" s="1"/>
  <c r="DI206" i="65" s="1"/>
  <c r="DI207" i="65" s="1"/>
  <c r="DI208" i="65" s="1"/>
  <c r="DI209" i="65" s="1"/>
  <c r="DI210" i="65" s="1"/>
  <c r="DI211" i="65" s="1"/>
  <c r="DI212" i="65" s="1"/>
  <c r="DI213" i="65" s="1"/>
  <c r="DI214" i="65" s="1"/>
  <c r="DI215" i="65" s="1"/>
  <c r="DI216" i="65" s="1"/>
  <c r="DI217" i="65" s="1"/>
  <c r="DI218" i="65" s="1"/>
  <c r="DI219" i="65" s="1"/>
  <c r="DI220" i="65" s="1"/>
  <c r="DI221" i="65" s="1"/>
  <c r="DI222" i="65" s="1"/>
  <c r="DI223" i="65" s="1"/>
  <c r="DI224" i="65" s="1"/>
  <c r="DI225" i="65" s="1"/>
  <c r="DI226" i="65" s="1"/>
  <c r="DI227" i="65" s="1"/>
  <c r="DI228" i="65" s="1"/>
  <c r="DI229" i="65" s="1"/>
  <c r="DI230" i="65" s="1"/>
  <c r="DI231" i="65" s="1"/>
  <c r="DI232" i="65" s="1"/>
  <c r="DI233" i="65" s="1"/>
  <c r="DI234" i="65" s="1"/>
  <c r="BN150" i="65"/>
  <c r="BN151" i="65" s="1"/>
  <c r="BN152" i="65" s="1"/>
  <c r="BN153" i="65" s="1"/>
  <c r="BN154" i="65" s="1"/>
  <c r="BN155" i="65" s="1"/>
  <c r="BN156" i="65" s="1"/>
  <c r="BN157" i="65" s="1"/>
  <c r="BN158" i="65" s="1"/>
  <c r="BN159" i="65" s="1"/>
  <c r="BN160" i="65" s="1"/>
  <c r="BN161" i="65" s="1"/>
  <c r="BN162" i="65" s="1"/>
  <c r="BN163" i="65" s="1"/>
  <c r="BN164" i="65" s="1"/>
  <c r="BN165" i="65" s="1"/>
  <c r="BN166" i="65" s="1"/>
  <c r="BN167" i="65" s="1"/>
  <c r="BN168" i="65" s="1"/>
  <c r="BN169" i="65" s="1"/>
  <c r="BN170" i="65" s="1"/>
  <c r="BN171" i="65" s="1"/>
  <c r="BN172" i="65" s="1"/>
  <c r="BN173" i="65" s="1"/>
  <c r="BN174" i="65" s="1"/>
  <c r="BN175" i="65" s="1"/>
  <c r="BN176" i="65" s="1"/>
  <c r="BN177" i="65" s="1"/>
  <c r="BN178" i="65" s="1"/>
  <c r="BN179" i="65" s="1"/>
  <c r="BN180" i="65" s="1"/>
  <c r="BN181" i="65" s="1"/>
  <c r="BN182" i="65" s="1"/>
  <c r="BN183" i="65" s="1"/>
  <c r="BN184" i="65" s="1"/>
  <c r="BN185" i="65" s="1"/>
  <c r="BN186" i="65" s="1"/>
  <c r="BN187" i="65" s="1"/>
  <c r="BN188" i="65" s="1"/>
  <c r="BN189" i="65" s="1"/>
  <c r="BN190" i="65" s="1"/>
  <c r="BN191" i="65" s="1"/>
  <c r="BN192" i="65" s="1"/>
  <c r="BN193" i="65" s="1"/>
  <c r="BN194" i="65" s="1"/>
  <c r="BN195" i="65" s="1"/>
  <c r="BN196" i="65" s="1"/>
  <c r="BN197" i="65" s="1"/>
  <c r="BN198" i="65" s="1"/>
  <c r="BN199" i="65" s="1"/>
  <c r="BN200" i="65" s="1"/>
  <c r="BN201" i="65" s="1"/>
  <c r="BN202" i="65" s="1"/>
  <c r="BN203" i="65" s="1"/>
  <c r="BN204" i="65" s="1"/>
  <c r="BN205" i="65" s="1"/>
  <c r="BN206" i="65" s="1"/>
  <c r="BN207" i="65" s="1"/>
  <c r="BN208" i="65" s="1"/>
  <c r="BN209" i="65" s="1"/>
  <c r="BN210" i="65" s="1"/>
  <c r="BN211" i="65" s="1"/>
  <c r="BN212" i="65" s="1"/>
  <c r="BN213" i="65" s="1"/>
  <c r="BN214" i="65" s="1"/>
  <c r="BN215" i="65" s="1"/>
  <c r="BN216" i="65" s="1"/>
  <c r="BN217" i="65" s="1"/>
  <c r="BN218" i="65" s="1"/>
  <c r="BN219" i="65" s="1"/>
  <c r="BN220" i="65" s="1"/>
  <c r="BN221" i="65" s="1"/>
  <c r="BN222" i="65" s="1"/>
  <c r="BN223" i="65" s="1"/>
  <c r="BN224" i="65" s="1"/>
  <c r="BN225" i="65" s="1"/>
  <c r="BN226" i="65" s="1"/>
  <c r="BN227" i="65" s="1"/>
  <c r="BN228" i="65" s="1"/>
  <c r="BN229" i="65" s="1"/>
  <c r="BN230" i="65" s="1"/>
  <c r="BN231" i="65" s="1"/>
  <c r="BN232" i="65" s="1"/>
  <c r="BN233" i="65" s="1"/>
  <c r="BN234" i="65" s="1"/>
  <c r="EH58" i="65"/>
  <c r="EI59" i="65"/>
  <c r="EJ60" i="65"/>
  <c r="EK61" i="65"/>
  <c r="EL62" i="65"/>
  <c r="EM63" i="65"/>
  <c r="EO64" i="65"/>
  <c r="EQ65" i="65"/>
  <c r="EI67" i="65"/>
  <c r="EB70" i="65"/>
  <c r="EH70" i="65"/>
  <c r="EB71" i="65"/>
  <c r="EC72" i="65"/>
  <c r="ED66" i="65"/>
  <c r="AG167" i="65"/>
  <c r="AG168" i="65" s="1"/>
  <c r="AG169" i="65" s="1"/>
  <c r="AG170" i="65" s="1"/>
  <c r="AG171" i="65" s="1"/>
  <c r="AG172" i="65" s="1"/>
  <c r="AG173" i="65" s="1"/>
  <c r="EC68" i="65"/>
  <c r="EC70" i="65"/>
  <c r="EC71" i="65"/>
  <c r="EH71" i="65"/>
  <c r="ED72" i="65"/>
  <c r="CJ154" i="65"/>
  <c r="CJ155" i="65" s="1"/>
  <c r="CJ156" i="65" s="1"/>
  <c r="CJ157" i="65" s="1"/>
  <c r="CJ158" i="65" s="1"/>
  <c r="CJ159" i="65" s="1"/>
  <c r="CJ160" i="65" s="1"/>
  <c r="CJ161" i="65" s="1"/>
  <c r="CJ162" i="65" s="1"/>
  <c r="CJ163" i="65" s="1"/>
  <c r="CJ164" i="65" s="1"/>
  <c r="CJ165" i="65" s="1"/>
  <c r="CJ166" i="65" s="1"/>
  <c r="CJ167" i="65" s="1"/>
  <c r="CJ168" i="65" s="1"/>
  <c r="CJ169" i="65" s="1"/>
  <c r="CJ170" i="65" s="1"/>
  <c r="CJ171" i="65" s="1"/>
  <c r="CJ172" i="65" s="1"/>
  <c r="CJ173" i="65" s="1"/>
  <c r="CJ174" i="65" s="1"/>
  <c r="CJ175" i="65" s="1"/>
  <c r="CJ176" i="65" s="1"/>
  <c r="CJ177" i="65" s="1"/>
  <c r="CJ178" i="65" s="1"/>
  <c r="CJ179" i="65" s="1"/>
  <c r="CJ180" i="65" s="1"/>
  <c r="CJ181" i="65" s="1"/>
  <c r="CJ182" i="65" s="1"/>
  <c r="CJ183" i="65" s="1"/>
  <c r="CJ184" i="65" s="1"/>
  <c r="CJ185" i="65" s="1"/>
  <c r="CJ186" i="65" s="1"/>
  <c r="CJ187" i="65" s="1"/>
  <c r="CJ188" i="65" s="1"/>
  <c r="CJ189" i="65" s="1"/>
  <c r="CJ190" i="65" s="1"/>
  <c r="CJ191" i="65" s="1"/>
  <c r="CJ192" i="65" s="1"/>
  <c r="CJ193" i="65" s="1"/>
  <c r="CJ194" i="65" s="1"/>
  <c r="CJ195" i="65" s="1"/>
  <c r="CJ196" i="65" s="1"/>
  <c r="CJ197" i="65" s="1"/>
  <c r="CJ198" i="65" s="1"/>
  <c r="CJ199" i="65" s="1"/>
  <c r="CJ200" i="65" s="1"/>
  <c r="CJ201" i="65" s="1"/>
  <c r="CJ202" i="65" s="1"/>
  <c r="CJ203" i="65" s="1"/>
  <c r="CJ204" i="65" s="1"/>
  <c r="CJ205" i="65" s="1"/>
  <c r="CJ206" i="65" s="1"/>
  <c r="CJ207" i="65" s="1"/>
  <c r="CJ208" i="65" s="1"/>
  <c r="CJ209" i="65" s="1"/>
  <c r="CJ210" i="65" s="1"/>
  <c r="CJ211" i="65" s="1"/>
  <c r="CJ212" i="65" s="1"/>
  <c r="CJ213" i="65" s="1"/>
  <c r="CJ214" i="65" s="1"/>
  <c r="CJ215" i="65" s="1"/>
  <c r="CJ216" i="65" s="1"/>
  <c r="CJ217" i="65" s="1"/>
  <c r="CJ218" i="65" s="1"/>
  <c r="CJ219" i="65" s="1"/>
  <c r="CJ220" i="65" s="1"/>
  <c r="CJ221" i="65" s="1"/>
  <c r="CJ222" i="65" s="1"/>
  <c r="CJ223" i="65" s="1"/>
  <c r="CJ224" i="65" s="1"/>
  <c r="CJ225" i="65" s="1"/>
  <c r="CJ226" i="65" s="1"/>
  <c r="CJ227" i="65" s="1"/>
  <c r="CJ228" i="65" s="1"/>
  <c r="CJ229" i="65" s="1"/>
  <c r="CJ230" i="65" s="1"/>
  <c r="CJ231" i="65" s="1"/>
  <c r="CJ232" i="65" s="1"/>
  <c r="CJ233" i="65" s="1"/>
  <c r="CJ234" i="65" s="1"/>
  <c r="DX68" i="65"/>
  <c r="EJ70" i="65"/>
  <c r="EE72" i="65"/>
  <c r="ER64" i="65"/>
  <c r="EF66" i="65"/>
  <c r="DY68" i="65"/>
  <c r="EE68" i="65"/>
  <c r="EO69" i="65"/>
  <c r="EF72" i="65"/>
  <c r="EK57" i="65"/>
  <c r="EL58" i="65"/>
  <c r="EM59" i="65"/>
  <c r="EN60" i="65"/>
  <c r="EO61" i="65"/>
  <c r="EP62" i="65"/>
  <c r="EQ63" i="65"/>
  <c r="EG66" i="65"/>
  <c r="EM67" i="65"/>
  <c r="EF68" i="65"/>
  <c r="DX69" i="65"/>
  <c r="EL70" i="65"/>
  <c r="EF71" i="65"/>
  <c r="EK71" i="65"/>
  <c r="DX59" i="65"/>
  <c r="DY60" i="65"/>
  <c r="DZ61" i="65"/>
  <c r="EA62" i="65"/>
  <c r="EB63" i="65"/>
  <c r="EC64" i="65"/>
  <c r="EE65" i="65"/>
  <c r="EH66" i="65"/>
  <c r="EN67" i="65"/>
  <c r="EA68" i="65"/>
  <c r="EG68" i="65"/>
  <c r="EA69" i="65"/>
  <c r="EN72" i="65"/>
  <c r="EL56" i="65"/>
  <c r="EM57" i="65"/>
  <c r="DX58" i="65"/>
  <c r="EN58" i="65"/>
  <c r="DY59" i="65"/>
  <c r="EO59" i="65"/>
  <c r="DZ60" i="65"/>
  <c r="EP60" i="65"/>
  <c r="EA61" i="65"/>
  <c r="EQ61" i="65"/>
  <c r="EB62" i="65"/>
  <c r="ER62" i="65"/>
  <c r="EC63" i="65"/>
  <c r="ED64" i="65"/>
  <c r="EF65" i="65"/>
  <c r="EI66" i="65"/>
  <c r="ER67" i="65"/>
  <c r="EH68" i="65"/>
  <c r="EC69" i="65"/>
  <c r="EM71" i="65"/>
  <c r="EG71" i="65"/>
  <c r="EJ53" i="65"/>
  <c r="EK54" i="65"/>
  <c r="EL55" i="65"/>
  <c r="EM56" i="65"/>
  <c r="EN57" i="65"/>
  <c r="EO58" i="65"/>
  <c r="EP59" i="65"/>
  <c r="EQ60" i="65"/>
  <c r="ER61" i="65"/>
  <c r="EG65" i="65"/>
  <c r="EL66" i="65"/>
  <c r="EJ66" i="65"/>
  <c r="DY67" i="65"/>
  <c r="EI68" i="65"/>
  <c r="ED69" i="65"/>
  <c r="DZ72" i="65"/>
  <c r="DY72" i="65"/>
  <c r="EA74" i="65"/>
  <c r="DT152" i="65"/>
  <c r="DT153" i="65" s="1"/>
  <c r="DT154" i="65" s="1"/>
  <c r="DT155" i="65" s="1"/>
  <c r="DT156" i="65" s="1"/>
  <c r="DT157" i="65" s="1"/>
  <c r="DT158" i="65" s="1"/>
  <c r="DT159" i="65" s="1"/>
  <c r="DT160" i="65" s="1"/>
  <c r="DT161" i="65" s="1"/>
  <c r="DT162" i="65" s="1"/>
  <c r="DT163" i="65" s="1"/>
  <c r="DT164" i="65" s="1"/>
  <c r="DT165" i="65" s="1"/>
  <c r="DT166" i="65" s="1"/>
  <c r="DT167" i="65" s="1"/>
  <c r="DT168" i="65" s="1"/>
  <c r="DT169" i="65" s="1"/>
  <c r="DT170" i="65" s="1"/>
  <c r="DT171" i="65" s="1"/>
  <c r="DT172" i="65" s="1"/>
  <c r="DT173" i="65" s="1"/>
  <c r="DT174" i="65" s="1"/>
  <c r="DT175" i="65" s="1"/>
  <c r="DT176" i="65" s="1"/>
  <c r="DT177" i="65" s="1"/>
  <c r="DT178" i="65" s="1"/>
  <c r="DT179" i="65" s="1"/>
  <c r="DT180" i="65" s="1"/>
  <c r="DT181" i="65" s="1"/>
  <c r="DT182" i="65" s="1"/>
  <c r="DT183" i="65" s="1"/>
  <c r="DT184" i="65" s="1"/>
  <c r="DT185" i="65" s="1"/>
  <c r="DT186" i="65" s="1"/>
  <c r="DT187" i="65" s="1"/>
  <c r="DT188" i="65" s="1"/>
  <c r="DT189" i="65" s="1"/>
  <c r="DT190" i="65" s="1"/>
  <c r="DT191" i="65" s="1"/>
  <c r="DT192" i="65" s="1"/>
  <c r="DT193" i="65" s="1"/>
  <c r="DT194" i="65" s="1"/>
  <c r="DT195" i="65" s="1"/>
  <c r="DT196" i="65" s="1"/>
  <c r="DT197" i="65" s="1"/>
  <c r="DT198" i="65" s="1"/>
  <c r="DT199" i="65" s="1"/>
  <c r="DT200" i="65" s="1"/>
  <c r="DT201" i="65" s="1"/>
  <c r="DT202" i="65" s="1"/>
  <c r="DT203" i="65" s="1"/>
  <c r="DT204" i="65" s="1"/>
  <c r="DT205" i="65" s="1"/>
  <c r="DT206" i="65" s="1"/>
  <c r="DT207" i="65" s="1"/>
  <c r="DT208" i="65" s="1"/>
  <c r="DT209" i="65" s="1"/>
  <c r="DT210" i="65" s="1"/>
  <c r="DT211" i="65" s="1"/>
  <c r="DT212" i="65" s="1"/>
  <c r="DT213" i="65" s="1"/>
  <c r="DT214" i="65" s="1"/>
  <c r="DT215" i="65" s="1"/>
  <c r="DT216" i="65" s="1"/>
  <c r="DT217" i="65" s="1"/>
  <c r="DT218" i="65" s="1"/>
  <c r="DT219" i="65" s="1"/>
  <c r="DT220" i="65" s="1"/>
  <c r="DT221" i="65" s="1"/>
  <c r="DT222" i="65" s="1"/>
  <c r="DT223" i="65" s="1"/>
  <c r="DT224" i="65" s="1"/>
  <c r="DT225" i="65" s="1"/>
  <c r="DT226" i="65" s="1"/>
  <c r="DT227" i="65" s="1"/>
  <c r="DT228" i="65" s="1"/>
  <c r="DT229" i="65" s="1"/>
  <c r="DT230" i="65" s="1"/>
  <c r="DT231" i="65" s="1"/>
  <c r="DT232" i="65" s="1"/>
  <c r="DT233" i="65" s="1"/>
  <c r="DT234" i="65" s="1"/>
  <c r="AC153" i="65"/>
  <c r="AC154" i="65" s="1"/>
  <c r="AC155" i="65" s="1"/>
  <c r="AC156" i="65" s="1"/>
  <c r="AC157" i="65" s="1"/>
  <c r="AC158" i="65" s="1"/>
  <c r="AC159" i="65" s="1"/>
  <c r="AC160" i="65" s="1"/>
  <c r="AC161" i="65" s="1"/>
  <c r="AC162" i="65" s="1"/>
  <c r="AC163" i="65" s="1"/>
  <c r="AC164" i="65" s="1"/>
  <c r="AC165" i="65" s="1"/>
  <c r="AC166" i="65" s="1"/>
  <c r="AC167" i="65" s="1"/>
  <c r="AC168" i="65" s="1"/>
  <c r="AC169" i="65" s="1"/>
  <c r="AC170" i="65" s="1"/>
  <c r="AC171" i="65" s="1"/>
  <c r="AC172" i="65" s="1"/>
  <c r="AC173" i="65" s="1"/>
  <c r="AC174" i="65" s="1"/>
  <c r="AC175" i="65" s="1"/>
  <c r="AC176" i="65" s="1"/>
  <c r="AC177" i="65" s="1"/>
  <c r="AC178" i="65" s="1"/>
  <c r="AC179" i="65" s="1"/>
  <c r="AC180" i="65" s="1"/>
  <c r="AC181" i="65" s="1"/>
  <c r="AC182" i="65" s="1"/>
  <c r="AC183" i="65" s="1"/>
  <c r="AC184" i="65" s="1"/>
  <c r="AC185" i="65" s="1"/>
  <c r="AC186" i="65" s="1"/>
  <c r="AC187" i="65" s="1"/>
  <c r="AC188" i="65" s="1"/>
  <c r="AC189" i="65" s="1"/>
  <c r="AC190" i="65" s="1"/>
  <c r="AC191" i="65" s="1"/>
  <c r="AC192" i="65" s="1"/>
  <c r="AC193" i="65" s="1"/>
  <c r="AC194" i="65" s="1"/>
  <c r="AC195" i="65" s="1"/>
  <c r="AC196" i="65" s="1"/>
  <c r="AC197" i="65" s="1"/>
  <c r="AC198" i="65" s="1"/>
  <c r="AC199" i="65" s="1"/>
  <c r="AC200" i="65" s="1"/>
  <c r="AC201" i="65" s="1"/>
  <c r="AC202" i="65" s="1"/>
  <c r="AC203" i="65" s="1"/>
  <c r="AC204" i="65" s="1"/>
  <c r="AC205" i="65" s="1"/>
  <c r="AC206" i="65" s="1"/>
  <c r="AC207" i="65" s="1"/>
  <c r="AC208" i="65" s="1"/>
  <c r="AC209" i="65" s="1"/>
  <c r="AC210" i="65" s="1"/>
  <c r="AC211" i="65" s="1"/>
  <c r="AC212" i="65" s="1"/>
  <c r="AC213" i="65" s="1"/>
  <c r="AC214" i="65" s="1"/>
  <c r="AC215" i="65" s="1"/>
  <c r="AC216" i="65" s="1"/>
  <c r="AC217" i="65" s="1"/>
  <c r="AC218" i="65" s="1"/>
  <c r="AC219" i="65" s="1"/>
  <c r="AC220" i="65" s="1"/>
  <c r="AC221" i="65" s="1"/>
  <c r="AC222" i="65" s="1"/>
  <c r="AC223" i="65" s="1"/>
  <c r="AC224" i="65" s="1"/>
  <c r="AC225" i="65" s="1"/>
  <c r="AC226" i="65" s="1"/>
  <c r="AC227" i="65" s="1"/>
  <c r="AC228" i="65" s="1"/>
  <c r="AC229" i="65" s="1"/>
  <c r="AC230" i="65" s="1"/>
  <c r="AC231" i="65" s="1"/>
  <c r="AC232" i="65" s="1"/>
  <c r="AC233" i="65" s="1"/>
  <c r="AC234" i="65" s="1"/>
  <c r="DF154" i="65"/>
  <c r="DF155" i="65" s="1"/>
  <c r="DF156" i="65" s="1"/>
  <c r="DF157" i="65" s="1"/>
  <c r="DF158" i="65" s="1"/>
  <c r="DF159" i="65" s="1"/>
  <c r="DF160" i="65" s="1"/>
  <c r="DF161" i="65" s="1"/>
  <c r="DF162" i="65" s="1"/>
  <c r="DF163" i="65" s="1"/>
  <c r="DF164" i="65" s="1"/>
  <c r="DF165" i="65" s="1"/>
  <c r="DF166" i="65" s="1"/>
  <c r="DF167" i="65" s="1"/>
  <c r="DF168" i="65" s="1"/>
  <c r="DF169" i="65" s="1"/>
  <c r="DF170" i="65" s="1"/>
  <c r="DF171" i="65" s="1"/>
  <c r="DF172" i="65" s="1"/>
  <c r="DF173" i="65" s="1"/>
  <c r="DF174" i="65" s="1"/>
  <c r="DF175" i="65" s="1"/>
  <c r="DF176" i="65" s="1"/>
  <c r="DF177" i="65" s="1"/>
  <c r="DF178" i="65" s="1"/>
  <c r="DF179" i="65" s="1"/>
  <c r="DF180" i="65" s="1"/>
  <c r="DF181" i="65" s="1"/>
  <c r="DF182" i="65" s="1"/>
  <c r="DF183" i="65" s="1"/>
  <c r="DF184" i="65" s="1"/>
  <c r="DF185" i="65" s="1"/>
  <c r="DF186" i="65" s="1"/>
  <c r="DF187" i="65" s="1"/>
  <c r="DF188" i="65" s="1"/>
  <c r="DF189" i="65" s="1"/>
  <c r="DF190" i="65" s="1"/>
  <c r="DF191" i="65" s="1"/>
  <c r="DF192" i="65" s="1"/>
  <c r="DF193" i="65" s="1"/>
  <c r="DF194" i="65" s="1"/>
  <c r="DF195" i="65" s="1"/>
  <c r="DF196" i="65" s="1"/>
  <c r="DF197" i="65" s="1"/>
  <c r="DF198" i="65" s="1"/>
  <c r="DF199" i="65" s="1"/>
  <c r="DF200" i="65" s="1"/>
  <c r="DF201" i="65" s="1"/>
  <c r="DF202" i="65" s="1"/>
  <c r="DF203" i="65" s="1"/>
  <c r="DF204" i="65" s="1"/>
  <c r="DF205" i="65" s="1"/>
  <c r="DF206" i="65" s="1"/>
  <c r="DF207" i="65" s="1"/>
  <c r="DF208" i="65" s="1"/>
  <c r="DF209" i="65" s="1"/>
  <c r="DF210" i="65" s="1"/>
  <c r="DF211" i="65" s="1"/>
  <c r="DF212" i="65" s="1"/>
  <c r="DF213" i="65" s="1"/>
  <c r="DF214" i="65" s="1"/>
  <c r="DF215" i="65" s="1"/>
  <c r="DF216" i="65" s="1"/>
  <c r="DF217" i="65" s="1"/>
  <c r="DF218" i="65" s="1"/>
  <c r="DF219" i="65" s="1"/>
  <c r="DF220" i="65" s="1"/>
  <c r="DF221" i="65" s="1"/>
  <c r="DF222" i="65" s="1"/>
  <c r="DF223" i="65" s="1"/>
  <c r="DF224" i="65" s="1"/>
  <c r="DF225" i="65" s="1"/>
  <c r="DF226" i="65" s="1"/>
  <c r="DF227" i="65" s="1"/>
  <c r="DF228" i="65" s="1"/>
  <c r="DF229" i="65" s="1"/>
  <c r="DF230" i="65" s="1"/>
  <c r="DF231" i="65" s="1"/>
  <c r="DF232" i="65" s="1"/>
  <c r="DF233" i="65" s="1"/>
  <c r="DF234" i="65" s="1"/>
  <c r="EO57" i="65"/>
  <c r="EP58" i="65"/>
  <c r="EQ59" i="65"/>
  <c r="ER60" i="65"/>
  <c r="EK65" i="65"/>
  <c r="EH65" i="65"/>
  <c r="EM66" i="65"/>
  <c r="EK66" i="65"/>
  <c r="EA67" i="65"/>
  <c r="EJ68" i="65"/>
  <c r="EK68" i="65"/>
  <c r="EE69" i="65"/>
  <c r="EP70" i="65"/>
  <c r="DY71" i="65"/>
  <c r="EA72" i="65"/>
  <c r="DX73" i="65"/>
  <c r="AY174" i="65"/>
  <c r="EL80" i="65"/>
  <c r="EB82" i="65"/>
  <c r="EM84" i="65"/>
  <c r="EC86" i="65"/>
  <c r="EH86" i="65"/>
  <c r="EG91" i="65"/>
  <c r="EK79" i="65"/>
  <c r="EQ81" i="65"/>
  <c r="EE83" i="65"/>
  <c r="EI83" i="65"/>
  <c r="DX84" i="65"/>
  <c r="EN84" i="65"/>
  <c r="EQ96" i="65"/>
  <c r="DY96" i="65"/>
  <c r="ED96" i="65"/>
  <c r="EC74" i="65"/>
  <c r="ED75" i="65"/>
  <c r="EE76" i="65"/>
  <c r="EJ78" i="65"/>
  <c r="DZ81" i="65"/>
  <c r="ER81" i="65"/>
  <c r="EE82" i="65"/>
  <c r="EF85" i="65"/>
  <c r="DX87" i="65"/>
  <c r="EN87" i="65"/>
  <c r="EK90" i="65"/>
  <c r="DX93" i="65"/>
  <c r="ED98" i="65"/>
  <c r="BA173" i="65"/>
  <c r="BA174" i="65" s="1"/>
  <c r="BA175" i="65" s="1"/>
  <c r="BA176" i="65" s="1"/>
  <c r="BA177" i="65" s="1"/>
  <c r="BA178" i="65" s="1"/>
  <c r="BA179" i="65" s="1"/>
  <c r="BA180" i="65" s="1"/>
  <c r="BA181" i="65" s="1"/>
  <c r="BA182" i="65" s="1"/>
  <c r="BA183" i="65" s="1"/>
  <c r="BA184" i="65" s="1"/>
  <c r="BA185" i="65" s="1"/>
  <c r="BA186" i="65" s="1"/>
  <c r="BA187" i="65" s="1"/>
  <c r="BA188" i="65" s="1"/>
  <c r="BA189" i="65" s="1"/>
  <c r="BA190" i="65" s="1"/>
  <c r="BA191" i="65" s="1"/>
  <c r="BA192" i="65" s="1"/>
  <c r="BA193" i="65" s="1"/>
  <c r="BA194" i="65" s="1"/>
  <c r="BA195" i="65" s="1"/>
  <c r="BA196" i="65" s="1"/>
  <c r="BA197" i="65" s="1"/>
  <c r="BA198" i="65" s="1"/>
  <c r="BA199" i="65" s="1"/>
  <c r="BA200" i="65" s="1"/>
  <c r="BA201" i="65" s="1"/>
  <c r="BA202" i="65" s="1"/>
  <c r="BA203" i="65" s="1"/>
  <c r="BA204" i="65" s="1"/>
  <c r="BA205" i="65" s="1"/>
  <c r="BA206" i="65" s="1"/>
  <c r="BA207" i="65" s="1"/>
  <c r="BA208" i="65" s="1"/>
  <c r="BA209" i="65" s="1"/>
  <c r="BA210" i="65" s="1"/>
  <c r="BA211" i="65" s="1"/>
  <c r="BA212" i="65" s="1"/>
  <c r="BA213" i="65" s="1"/>
  <c r="BA214" i="65" s="1"/>
  <c r="BA215" i="65" s="1"/>
  <c r="BA216" i="65" s="1"/>
  <c r="BA217" i="65" s="1"/>
  <c r="BA218" i="65" s="1"/>
  <c r="BA219" i="65" s="1"/>
  <c r="BA220" i="65" s="1"/>
  <c r="BA221" i="65" s="1"/>
  <c r="BA222" i="65" s="1"/>
  <c r="BA223" i="65" s="1"/>
  <c r="BA224" i="65" s="1"/>
  <c r="BA225" i="65" s="1"/>
  <c r="BA226" i="65" s="1"/>
  <c r="BA227" i="65" s="1"/>
  <c r="BA228" i="65" s="1"/>
  <c r="BA229" i="65" s="1"/>
  <c r="BA230" i="65" s="1"/>
  <c r="BA231" i="65" s="1"/>
  <c r="BA232" i="65" s="1"/>
  <c r="BA233" i="65" s="1"/>
  <c r="BA234" i="65" s="1"/>
  <c r="EH78" i="65"/>
  <c r="EJ79" i="65"/>
  <c r="EN80" i="65"/>
  <c r="EA81" i="65"/>
  <c r="EK83" i="65"/>
  <c r="EG85" i="65"/>
  <c r="EL85" i="65"/>
  <c r="EB89" i="65"/>
  <c r="EF90" i="65"/>
  <c r="EC94" i="65"/>
  <c r="DX67" i="65"/>
  <c r="EO68" i="65"/>
  <c r="EP69" i="65"/>
  <c r="EQ70" i="65"/>
  <c r="ER71" i="65"/>
  <c r="EH77" i="65"/>
  <c r="EI78" i="65"/>
  <c r="EL79" i="65"/>
  <c r="EL83" i="65"/>
  <c r="EQ84" i="65"/>
  <c r="EG86" i="65"/>
  <c r="DY95" i="65"/>
  <c r="EB97" i="65"/>
  <c r="EH76" i="65"/>
  <c r="EI77" i="65"/>
  <c r="ED82" i="65"/>
  <c r="EC84" i="65"/>
  <c r="EN85" i="65"/>
  <c r="EM86" i="65"/>
  <c r="EJ89" i="65"/>
  <c r="EA93" i="65"/>
  <c r="EP95" i="65"/>
  <c r="DX95" i="65"/>
  <c r="EC95" i="65"/>
  <c r="EG98" i="65"/>
  <c r="ED71" i="65"/>
  <c r="EL78" i="65"/>
  <c r="ER80" i="65"/>
  <c r="EQ80" i="65"/>
  <c r="EI82" i="65"/>
  <c r="EO83" i="65"/>
  <c r="EN83" i="65"/>
  <c r="DY85" i="65"/>
  <c r="EO85" i="65"/>
  <c r="EE89" i="65"/>
  <c r="DZ92" i="65"/>
  <c r="EB93" i="65"/>
  <c r="EM78" i="65"/>
  <c r="EO79" i="65"/>
  <c r="EP83" i="65"/>
  <c r="EO86" i="65"/>
  <c r="EA88" i="65"/>
  <c r="EA92" i="65"/>
  <c r="EA96" i="65"/>
  <c r="EH73" i="65"/>
  <c r="EI74" i="65"/>
  <c r="EJ75" i="65"/>
  <c r="EK76" i="65"/>
  <c r="EL77" i="65"/>
  <c r="EC81" i="65"/>
  <c r="EK82" i="65"/>
  <c r="EQ83" i="65"/>
  <c r="DZ84" i="65"/>
  <c r="DZ85" i="65"/>
  <c r="DX94" i="65"/>
  <c r="EF97" i="65"/>
  <c r="EO78" i="65"/>
  <c r="EQ79" i="65"/>
  <c r="EH81" i="65"/>
  <c r="EL82" i="65"/>
  <c r="EA84" i="65"/>
  <c r="EI88" i="65"/>
  <c r="EG88" i="65"/>
  <c r="EO94" i="65"/>
  <c r="EB94" i="65"/>
  <c r="DQ170" i="65"/>
  <c r="DQ171" i="65" s="1"/>
  <c r="DQ172" i="65" s="1"/>
  <c r="DQ173" i="65" s="1"/>
  <c r="DQ174" i="65" s="1"/>
  <c r="DQ175" i="65" s="1"/>
  <c r="DQ176" i="65" s="1"/>
  <c r="DQ177" i="65" s="1"/>
  <c r="DQ178" i="65" s="1"/>
  <c r="DQ179" i="65" s="1"/>
  <c r="DQ180" i="65" s="1"/>
  <c r="DQ181" i="65" s="1"/>
  <c r="DQ182" i="65" s="1"/>
  <c r="DQ183" i="65" s="1"/>
  <c r="DQ184" i="65" s="1"/>
  <c r="DQ185" i="65" s="1"/>
  <c r="DQ186" i="65" s="1"/>
  <c r="DQ187" i="65" s="1"/>
  <c r="DQ188" i="65" s="1"/>
  <c r="DQ189" i="65" s="1"/>
  <c r="DQ190" i="65" s="1"/>
  <c r="DQ191" i="65" s="1"/>
  <c r="DQ192" i="65" s="1"/>
  <c r="DQ193" i="65" s="1"/>
  <c r="DQ194" i="65" s="1"/>
  <c r="DQ195" i="65" s="1"/>
  <c r="DQ196" i="65" s="1"/>
  <c r="DQ197" i="65" s="1"/>
  <c r="DQ198" i="65" s="1"/>
  <c r="DQ199" i="65" s="1"/>
  <c r="DQ200" i="65" s="1"/>
  <c r="DQ201" i="65" s="1"/>
  <c r="DQ202" i="65" s="1"/>
  <c r="DQ203" i="65" s="1"/>
  <c r="DQ204" i="65" s="1"/>
  <c r="DQ205" i="65" s="1"/>
  <c r="DQ206" i="65" s="1"/>
  <c r="DQ207" i="65" s="1"/>
  <c r="DQ208" i="65" s="1"/>
  <c r="DQ209" i="65" s="1"/>
  <c r="DQ210" i="65" s="1"/>
  <c r="DQ211" i="65" s="1"/>
  <c r="DQ212" i="65" s="1"/>
  <c r="DQ213" i="65" s="1"/>
  <c r="DQ214" i="65" s="1"/>
  <c r="DQ215" i="65" s="1"/>
  <c r="DQ216" i="65" s="1"/>
  <c r="DQ217" i="65" s="1"/>
  <c r="DQ218" i="65" s="1"/>
  <c r="DQ219" i="65" s="1"/>
  <c r="DQ220" i="65" s="1"/>
  <c r="DQ221" i="65" s="1"/>
  <c r="DQ222" i="65" s="1"/>
  <c r="DQ223" i="65" s="1"/>
  <c r="DQ224" i="65" s="1"/>
  <c r="DQ225" i="65" s="1"/>
  <c r="DQ226" i="65" s="1"/>
  <c r="DQ227" i="65" s="1"/>
  <c r="DQ228" i="65" s="1"/>
  <c r="DQ229" i="65" s="1"/>
  <c r="DQ230" i="65" s="1"/>
  <c r="DQ231" i="65" s="1"/>
  <c r="DQ232" i="65" s="1"/>
  <c r="DQ233" i="65" s="1"/>
  <c r="DQ234" i="65" s="1"/>
  <c r="EI72" i="65"/>
  <c r="EJ73" i="65"/>
  <c r="EK74" i="65"/>
  <c r="BI174" i="65"/>
  <c r="BI175" i="65" s="1"/>
  <c r="BI176" i="65" s="1"/>
  <c r="BI177" i="65" s="1"/>
  <c r="BI178" i="65" s="1"/>
  <c r="BI179" i="65" s="1"/>
  <c r="BI180" i="65" s="1"/>
  <c r="BI181" i="65" s="1"/>
  <c r="BI182" i="65" s="1"/>
  <c r="BI183" i="65" s="1"/>
  <c r="BI184" i="65" s="1"/>
  <c r="BI185" i="65" s="1"/>
  <c r="BI186" i="65" s="1"/>
  <c r="BI187" i="65" s="1"/>
  <c r="BI188" i="65" s="1"/>
  <c r="BI189" i="65" s="1"/>
  <c r="BI190" i="65" s="1"/>
  <c r="BI191" i="65" s="1"/>
  <c r="BI192" i="65" s="1"/>
  <c r="BI193" i="65" s="1"/>
  <c r="BI194" i="65" s="1"/>
  <c r="BI195" i="65" s="1"/>
  <c r="BI196" i="65" s="1"/>
  <c r="BI197" i="65" s="1"/>
  <c r="BI198" i="65" s="1"/>
  <c r="BI199" i="65" s="1"/>
  <c r="BI200" i="65" s="1"/>
  <c r="BI201" i="65" s="1"/>
  <c r="BI202" i="65" s="1"/>
  <c r="BI203" i="65" s="1"/>
  <c r="BI204" i="65" s="1"/>
  <c r="BI205" i="65" s="1"/>
  <c r="BI206" i="65" s="1"/>
  <c r="BI207" i="65" s="1"/>
  <c r="BI208" i="65" s="1"/>
  <c r="BI209" i="65" s="1"/>
  <c r="BI210" i="65" s="1"/>
  <c r="BI211" i="65" s="1"/>
  <c r="BI212" i="65" s="1"/>
  <c r="BI213" i="65" s="1"/>
  <c r="BI214" i="65" s="1"/>
  <c r="BI215" i="65" s="1"/>
  <c r="BI216" i="65" s="1"/>
  <c r="BI217" i="65" s="1"/>
  <c r="BI218" i="65" s="1"/>
  <c r="BI219" i="65" s="1"/>
  <c r="BI220" i="65" s="1"/>
  <c r="BI221" i="65" s="1"/>
  <c r="BI222" i="65" s="1"/>
  <c r="BI223" i="65" s="1"/>
  <c r="BI224" i="65" s="1"/>
  <c r="BI225" i="65" s="1"/>
  <c r="BI226" i="65" s="1"/>
  <c r="BI227" i="65" s="1"/>
  <c r="BI228" i="65" s="1"/>
  <c r="BI229" i="65" s="1"/>
  <c r="BI230" i="65" s="1"/>
  <c r="BI231" i="65" s="1"/>
  <c r="BI232" i="65" s="1"/>
  <c r="BI233" i="65" s="1"/>
  <c r="BI234" i="65" s="1"/>
  <c r="EL75" i="65"/>
  <c r="EM76" i="65"/>
  <c r="EN77" i="65"/>
  <c r="EN82" i="65"/>
  <c r="DX85" i="65"/>
  <c r="ED85" i="65"/>
  <c r="DZ87" i="65"/>
  <c r="ED88" i="65"/>
  <c r="EJ88" i="65"/>
  <c r="EF93" i="65"/>
  <c r="EH99" i="65"/>
  <c r="EI71" i="65"/>
  <c r="EJ72" i="65"/>
  <c r="EK73" i="65"/>
  <c r="EL74" i="65"/>
  <c r="EM75" i="65"/>
  <c r="EN76" i="65"/>
  <c r="EO77" i="65"/>
  <c r="EQ78" i="65"/>
  <c r="EB80" i="65"/>
  <c r="EJ81" i="65"/>
  <c r="EO82" i="65"/>
  <c r="DY83" i="65"/>
  <c r="EG87" i="65"/>
  <c r="EE88" i="65"/>
  <c r="DX90" i="65"/>
  <c r="EE92" i="65"/>
  <c r="DZ95" i="65"/>
  <c r="EE96" i="65"/>
  <c r="EC99" i="65"/>
  <c r="CN171" i="65"/>
  <c r="CN172" i="65" s="1"/>
  <c r="CN173" i="65" s="1"/>
  <c r="CN174" i="65" s="1"/>
  <c r="CN175" i="65" s="1"/>
  <c r="CN176" i="65" s="1"/>
  <c r="CN177" i="65" s="1"/>
  <c r="CN178" i="65" s="1"/>
  <c r="CN179" i="65" s="1"/>
  <c r="CN180" i="65" s="1"/>
  <c r="CN181" i="65" s="1"/>
  <c r="CN182" i="65" s="1"/>
  <c r="CN183" i="65" s="1"/>
  <c r="CN184" i="65" s="1"/>
  <c r="CN185" i="65" s="1"/>
  <c r="CN186" i="65" s="1"/>
  <c r="CN187" i="65" s="1"/>
  <c r="CN188" i="65" s="1"/>
  <c r="CN189" i="65" s="1"/>
  <c r="CN190" i="65" s="1"/>
  <c r="CN191" i="65" s="1"/>
  <c r="CN192" i="65" s="1"/>
  <c r="CN193" i="65" s="1"/>
  <c r="CN194" i="65" s="1"/>
  <c r="CN195" i="65" s="1"/>
  <c r="CN196" i="65" s="1"/>
  <c r="CN197" i="65" s="1"/>
  <c r="CN198" i="65" s="1"/>
  <c r="CN199" i="65" s="1"/>
  <c r="CN200" i="65" s="1"/>
  <c r="CN201" i="65" s="1"/>
  <c r="CN202" i="65" s="1"/>
  <c r="CN203" i="65" s="1"/>
  <c r="CN204" i="65" s="1"/>
  <c r="CN205" i="65" s="1"/>
  <c r="CN206" i="65" s="1"/>
  <c r="CN207" i="65" s="1"/>
  <c r="CN208" i="65" s="1"/>
  <c r="CN209" i="65" s="1"/>
  <c r="CN210" i="65" s="1"/>
  <c r="CN211" i="65" s="1"/>
  <c r="CN212" i="65" s="1"/>
  <c r="CN213" i="65" s="1"/>
  <c r="CN214" i="65" s="1"/>
  <c r="CN215" i="65" s="1"/>
  <c r="CN216" i="65" s="1"/>
  <c r="CN217" i="65" s="1"/>
  <c r="CN218" i="65" s="1"/>
  <c r="CN219" i="65" s="1"/>
  <c r="CN220" i="65" s="1"/>
  <c r="CN221" i="65" s="1"/>
  <c r="CN222" i="65" s="1"/>
  <c r="CN223" i="65" s="1"/>
  <c r="CN224" i="65" s="1"/>
  <c r="CN225" i="65" s="1"/>
  <c r="CN226" i="65" s="1"/>
  <c r="CN227" i="65" s="1"/>
  <c r="CN228" i="65" s="1"/>
  <c r="CN229" i="65" s="1"/>
  <c r="CN230" i="65" s="1"/>
  <c r="CN231" i="65" s="1"/>
  <c r="CN232" i="65" s="1"/>
  <c r="CN233" i="65" s="1"/>
  <c r="CN234" i="65" s="1"/>
  <c r="EM74" i="65"/>
  <c r="DX75" i="65"/>
  <c r="EN75" i="65"/>
  <c r="DY76" i="65"/>
  <c r="DZ77" i="65"/>
  <c r="EA78" i="65"/>
  <c r="ER78" i="65"/>
  <c r="EF80" i="65"/>
  <c r="EP82" i="65"/>
  <c r="EC83" i="65"/>
  <c r="DY86" i="65"/>
  <c r="EH87" i="65"/>
  <c r="EN93" i="65"/>
  <c r="EC98" i="65"/>
  <c r="CN170" i="65"/>
  <c r="EL72" i="65"/>
  <c r="EM73" i="65"/>
  <c r="DX74" i="65"/>
  <c r="EN74" i="65"/>
  <c r="DY75" i="65"/>
  <c r="EO75" i="65"/>
  <c r="DZ76" i="65"/>
  <c r="EP76" i="65"/>
  <c r="EA77" i="65"/>
  <c r="EQ77" i="65"/>
  <c r="EB78" i="65"/>
  <c r="AK178" i="65"/>
  <c r="AK179" i="65" s="1"/>
  <c r="AK180" i="65" s="1"/>
  <c r="ED79" i="65"/>
  <c r="EG80" i="65"/>
  <c r="EM81" i="65"/>
  <c r="EL81" i="65"/>
  <c r="DY82" i="65"/>
  <c r="ED83" i="65"/>
  <c r="EE84" i="65"/>
  <c r="EO84" i="65"/>
  <c r="EA85" i="65"/>
  <c r="EC87" i="65"/>
  <c r="EI87" i="65"/>
  <c r="EG92" i="65"/>
  <c r="DY98" i="65"/>
  <c r="ED102" i="65"/>
  <c r="CM168" i="65"/>
  <c r="CM169" i="65" s="1"/>
  <c r="CM170" i="65" s="1"/>
  <c r="CM171" i="65" s="1"/>
  <c r="CM172" i="65" s="1"/>
  <c r="CM173" i="65" s="1"/>
  <c r="CM174" i="65" s="1"/>
  <c r="CM175" i="65" s="1"/>
  <c r="CM176" i="65" s="1"/>
  <c r="CM177" i="65" s="1"/>
  <c r="CM178" i="65" s="1"/>
  <c r="CM179" i="65" s="1"/>
  <c r="CM180" i="65" s="1"/>
  <c r="CM181" i="65" s="1"/>
  <c r="CM182" i="65" s="1"/>
  <c r="CM183" i="65" s="1"/>
  <c r="CM184" i="65" s="1"/>
  <c r="CM185" i="65" s="1"/>
  <c r="CM186" i="65" s="1"/>
  <c r="CM187" i="65" s="1"/>
  <c r="CM188" i="65" s="1"/>
  <c r="CM189" i="65" s="1"/>
  <c r="CM190" i="65" s="1"/>
  <c r="CM191" i="65" s="1"/>
  <c r="CM192" i="65" s="1"/>
  <c r="CM193" i="65" s="1"/>
  <c r="CM194" i="65" s="1"/>
  <c r="CM195" i="65" s="1"/>
  <c r="CM196" i="65" s="1"/>
  <c r="CM197" i="65" s="1"/>
  <c r="CM198" i="65" s="1"/>
  <c r="CM199" i="65" s="1"/>
  <c r="CM200" i="65" s="1"/>
  <c r="CM201" i="65" s="1"/>
  <c r="CM202" i="65" s="1"/>
  <c r="CM203" i="65" s="1"/>
  <c r="CM204" i="65" s="1"/>
  <c r="CM205" i="65" s="1"/>
  <c r="CM206" i="65" s="1"/>
  <c r="CM207" i="65" s="1"/>
  <c r="CM208" i="65" s="1"/>
  <c r="CM209" i="65" s="1"/>
  <c r="CM210" i="65" s="1"/>
  <c r="CM211" i="65" s="1"/>
  <c r="CM212" i="65" s="1"/>
  <c r="CM213" i="65" s="1"/>
  <c r="CM214" i="65" s="1"/>
  <c r="CM215" i="65" s="1"/>
  <c r="CM216" i="65" s="1"/>
  <c r="CM217" i="65" s="1"/>
  <c r="CM218" i="65" s="1"/>
  <c r="CM219" i="65" s="1"/>
  <c r="CM220" i="65" s="1"/>
  <c r="CM221" i="65" s="1"/>
  <c r="CM222" i="65" s="1"/>
  <c r="CM223" i="65" s="1"/>
  <c r="CM224" i="65" s="1"/>
  <c r="CM225" i="65" s="1"/>
  <c r="CM226" i="65" s="1"/>
  <c r="CM227" i="65" s="1"/>
  <c r="CM228" i="65" s="1"/>
  <c r="CM229" i="65" s="1"/>
  <c r="CM230" i="65" s="1"/>
  <c r="CM231" i="65" s="1"/>
  <c r="CM232" i="65" s="1"/>
  <c r="CM233" i="65" s="1"/>
  <c r="CM234" i="65" s="1"/>
  <c r="EK70" i="65"/>
  <c r="EL71" i="65"/>
  <c r="CP171" i="65"/>
  <c r="CP172" i="65" s="1"/>
  <c r="CP173" i="65" s="1"/>
  <c r="CP174" i="65" s="1"/>
  <c r="CP175" i="65" s="1"/>
  <c r="CP176" i="65" s="1"/>
  <c r="CP177" i="65" s="1"/>
  <c r="CP178" i="65" s="1"/>
  <c r="CP179" i="65" s="1"/>
  <c r="CP180" i="65" s="1"/>
  <c r="CP181" i="65" s="1"/>
  <c r="CP182" i="65" s="1"/>
  <c r="CP183" i="65" s="1"/>
  <c r="CP184" i="65" s="1"/>
  <c r="CP185" i="65" s="1"/>
  <c r="CP186" i="65" s="1"/>
  <c r="CP187" i="65" s="1"/>
  <c r="CP188" i="65" s="1"/>
  <c r="CP189" i="65" s="1"/>
  <c r="CP190" i="65" s="1"/>
  <c r="CP191" i="65" s="1"/>
  <c r="CP192" i="65" s="1"/>
  <c r="CP193" i="65" s="1"/>
  <c r="CP194" i="65" s="1"/>
  <c r="CP195" i="65" s="1"/>
  <c r="CP196" i="65" s="1"/>
  <c r="CP197" i="65" s="1"/>
  <c r="CP198" i="65" s="1"/>
  <c r="CP199" i="65" s="1"/>
  <c r="CP200" i="65" s="1"/>
  <c r="CP201" i="65" s="1"/>
  <c r="CP202" i="65" s="1"/>
  <c r="CP203" i="65" s="1"/>
  <c r="CP204" i="65" s="1"/>
  <c r="CP205" i="65" s="1"/>
  <c r="CP206" i="65" s="1"/>
  <c r="CP207" i="65" s="1"/>
  <c r="CP208" i="65" s="1"/>
  <c r="CP209" i="65" s="1"/>
  <c r="CP210" i="65" s="1"/>
  <c r="CP211" i="65" s="1"/>
  <c r="CP212" i="65" s="1"/>
  <c r="CP213" i="65" s="1"/>
  <c r="CP214" i="65" s="1"/>
  <c r="CP215" i="65" s="1"/>
  <c r="CP216" i="65" s="1"/>
  <c r="CP217" i="65" s="1"/>
  <c r="CP218" i="65" s="1"/>
  <c r="CP219" i="65" s="1"/>
  <c r="CP220" i="65" s="1"/>
  <c r="CP221" i="65" s="1"/>
  <c r="CP222" i="65" s="1"/>
  <c r="CP223" i="65" s="1"/>
  <c r="CP224" i="65" s="1"/>
  <c r="CP225" i="65" s="1"/>
  <c r="CP226" i="65" s="1"/>
  <c r="CP227" i="65" s="1"/>
  <c r="CP228" i="65" s="1"/>
  <c r="CP229" i="65" s="1"/>
  <c r="CP230" i="65" s="1"/>
  <c r="CP231" i="65" s="1"/>
  <c r="CP232" i="65" s="1"/>
  <c r="CP233" i="65" s="1"/>
  <c r="CP234" i="65" s="1"/>
  <c r="EM72" i="65"/>
  <c r="EN73" i="65"/>
  <c r="DY74" i="65"/>
  <c r="EO74" i="65"/>
  <c r="AG174" i="65"/>
  <c r="AG175" i="65" s="1"/>
  <c r="AG176" i="65" s="1"/>
  <c r="AG177" i="65" s="1"/>
  <c r="AG178" i="65" s="1"/>
  <c r="AG179" i="65" s="1"/>
  <c r="AG180" i="65" s="1"/>
  <c r="AG181" i="65" s="1"/>
  <c r="AG182" i="65" s="1"/>
  <c r="AG183" i="65" s="1"/>
  <c r="AG184" i="65" s="1"/>
  <c r="AG185" i="65" s="1"/>
  <c r="AG186" i="65" s="1"/>
  <c r="AG187" i="65" s="1"/>
  <c r="AG188" i="65" s="1"/>
  <c r="AG189" i="65" s="1"/>
  <c r="AG190" i="65" s="1"/>
  <c r="AG191" i="65" s="1"/>
  <c r="AG192" i="65" s="1"/>
  <c r="AG193" i="65" s="1"/>
  <c r="AG194" i="65" s="1"/>
  <c r="AG195" i="65" s="1"/>
  <c r="AG196" i="65" s="1"/>
  <c r="AG197" i="65" s="1"/>
  <c r="AG198" i="65" s="1"/>
  <c r="AG199" i="65" s="1"/>
  <c r="AG200" i="65" s="1"/>
  <c r="AG201" i="65" s="1"/>
  <c r="AG202" i="65" s="1"/>
  <c r="AG203" i="65" s="1"/>
  <c r="AG204" i="65" s="1"/>
  <c r="AG205" i="65" s="1"/>
  <c r="AG206" i="65" s="1"/>
  <c r="AG207" i="65" s="1"/>
  <c r="AG208" i="65" s="1"/>
  <c r="AG209" i="65" s="1"/>
  <c r="AG210" i="65" s="1"/>
  <c r="AG211" i="65" s="1"/>
  <c r="AG212" i="65" s="1"/>
  <c r="AG213" i="65" s="1"/>
  <c r="AG214" i="65" s="1"/>
  <c r="AG215" i="65" s="1"/>
  <c r="AG216" i="65" s="1"/>
  <c r="AG217" i="65" s="1"/>
  <c r="AG218" i="65" s="1"/>
  <c r="AG219" i="65" s="1"/>
  <c r="AG220" i="65" s="1"/>
  <c r="AG221" i="65" s="1"/>
  <c r="AG222" i="65" s="1"/>
  <c r="AG223" i="65" s="1"/>
  <c r="AG224" i="65" s="1"/>
  <c r="AG225" i="65" s="1"/>
  <c r="AG226" i="65" s="1"/>
  <c r="AG227" i="65" s="1"/>
  <c r="AG228" i="65" s="1"/>
  <c r="AG229" i="65" s="1"/>
  <c r="AG230" i="65" s="1"/>
  <c r="AG231" i="65" s="1"/>
  <c r="AG232" i="65" s="1"/>
  <c r="AG233" i="65" s="1"/>
  <c r="AG234" i="65" s="1"/>
  <c r="DZ75" i="65"/>
  <c r="EA76" i="65"/>
  <c r="EB77" i="65"/>
  <c r="EC78" i="65"/>
  <c r="EE79" i="65"/>
  <c r="EH80" i="65"/>
  <c r="EN81" i="65"/>
  <c r="DZ82" i="65"/>
  <c r="ER82" i="65"/>
  <c r="EF83" i="65"/>
  <c r="EF84" i="65"/>
  <c r="ER84" i="65"/>
  <c r="EB85" i="65"/>
  <c r="EF86" i="65"/>
  <c r="ED87" i="65"/>
  <c r="EM92" i="65"/>
  <c r="ER97" i="65"/>
  <c r="DZ97" i="65"/>
  <c r="EE97" i="65"/>
  <c r="EQ100" i="65"/>
  <c r="DZ100" i="65"/>
  <c r="CQ171" i="65"/>
  <c r="CQ172" i="65" s="1"/>
  <c r="CQ173" i="65" s="1"/>
  <c r="CQ174" i="65" s="1"/>
  <c r="CQ175" i="65" s="1"/>
  <c r="CQ176" i="65" s="1"/>
  <c r="CQ177" i="65" s="1"/>
  <c r="CQ178" i="65" s="1"/>
  <c r="CQ179" i="65" s="1"/>
  <c r="CQ180" i="65" s="1"/>
  <c r="CQ181" i="65" s="1"/>
  <c r="CQ182" i="65" s="1"/>
  <c r="CQ183" i="65" s="1"/>
  <c r="CQ184" i="65" s="1"/>
  <c r="CQ185" i="65" s="1"/>
  <c r="CQ186" i="65" s="1"/>
  <c r="CQ187" i="65" s="1"/>
  <c r="CQ188" i="65" s="1"/>
  <c r="CQ189" i="65" s="1"/>
  <c r="CQ190" i="65" s="1"/>
  <c r="CQ191" i="65" s="1"/>
  <c r="CQ192" i="65" s="1"/>
  <c r="CQ193" i="65" s="1"/>
  <c r="CQ194" i="65" s="1"/>
  <c r="CQ195" i="65" s="1"/>
  <c r="CQ196" i="65" s="1"/>
  <c r="CQ197" i="65" s="1"/>
  <c r="CQ198" i="65" s="1"/>
  <c r="CQ199" i="65" s="1"/>
  <c r="CQ200" i="65" s="1"/>
  <c r="CQ201" i="65" s="1"/>
  <c r="CQ202" i="65" s="1"/>
  <c r="CQ203" i="65" s="1"/>
  <c r="CQ204" i="65" s="1"/>
  <c r="CQ205" i="65" s="1"/>
  <c r="CQ206" i="65" s="1"/>
  <c r="CQ207" i="65" s="1"/>
  <c r="CQ208" i="65" s="1"/>
  <c r="CQ209" i="65" s="1"/>
  <c r="CQ210" i="65" s="1"/>
  <c r="CQ211" i="65" s="1"/>
  <c r="CQ212" i="65" s="1"/>
  <c r="CQ213" i="65" s="1"/>
  <c r="CQ214" i="65" s="1"/>
  <c r="CQ215" i="65" s="1"/>
  <c r="CQ216" i="65" s="1"/>
  <c r="CQ217" i="65" s="1"/>
  <c r="CQ218" i="65" s="1"/>
  <c r="CQ219" i="65" s="1"/>
  <c r="CQ220" i="65" s="1"/>
  <c r="CQ221" i="65" s="1"/>
  <c r="CQ222" i="65" s="1"/>
  <c r="CQ223" i="65" s="1"/>
  <c r="CQ224" i="65" s="1"/>
  <c r="CQ225" i="65" s="1"/>
  <c r="CQ226" i="65" s="1"/>
  <c r="CQ227" i="65" s="1"/>
  <c r="CQ228" i="65" s="1"/>
  <c r="CQ229" i="65" s="1"/>
  <c r="CQ230" i="65" s="1"/>
  <c r="CQ231" i="65" s="1"/>
  <c r="CQ232" i="65" s="1"/>
  <c r="CQ233" i="65" s="1"/>
  <c r="CQ234" i="65" s="1"/>
  <c r="DX72" i="65"/>
  <c r="DY73" i="65"/>
  <c r="EO73" i="65"/>
  <c r="DZ74" i="65"/>
  <c r="EP74" i="65"/>
  <c r="EA75" i="65"/>
  <c r="EQ75" i="65"/>
  <c r="AY175" i="65"/>
  <c r="AY176" i="65" s="1"/>
  <c r="AY177" i="65" s="1"/>
  <c r="AY178" i="65" s="1"/>
  <c r="AY179" i="65" s="1"/>
  <c r="AY180" i="65" s="1"/>
  <c r="AY181" i="65" s="1"/>
  <c r="AY182" i="65" s="1"/>
  <c r="AY183" i="65" s="1"/>
  <c r="AY184" i="65" s="1"/>
  <c r="AY185" i="65" s="1"/>
  <c r="AY186" i="65" s="1"/>
  <c r="AY187" i="65" s="1"/>
  <c r="AY188" i="65" s="1"/>
  <c r="AY189" i="65" s="1"/>
  <c r="AY190" i="65" s="1"/>
  <c r="AY191" i="65" s="1"/>
  <c r="AY192" i="65" s="1"/>
  <c r="AY193" i="65" s="1"/>
  <c r="AY194" i="65" s="1"/>
  <c r="AY195" i="65" s="1"/>
  <c r="AY196" i="65" s="1"/>
  <c r="AY197" i="65" s="1"/>
  <c r="AY198" i="65" s="1"/>
  <c r="AY199" i="65" s="1"/>
  <c r="AY200" i="65" s="1"/>
  <c r="AY201" i="65" s="1"/>
  <c r="AY202" i="65" s="1"/>
  <c r="AY203" i="65" s="1"/>
  <c r="AY204" i="65" s="1"/>
  <c r="AY205" i="65" s="1"/>
  <c r="AY206" i="65" s="1"/>
  <c r="AY207" i="65" s="1"/>
  <c r="AY208" i="65" s="1"/>
  <c r="AY209" i="65" s="1"/>
  <c r="AY210" i="65" s="1"/>
  <c r="AY211" i="65" s="1"/>
  <c r="AY212" i="65" s="1"/>
  <c r="AY213" i="65" s="1"/>
  <c r="AY214" i="65" s="1"/>
  <c r="AY215" i="65" s="1"/>
  <c r="AY216" i="65" s="1"/>
  <c r="AY217" i="65" s="1"/>
  <c r="AY218" i="65" s="1"/>
  <c r="AY219" i="65" s="1"/>
  <c r="AY220" i="65" s="1"/>
  <c r="AY221" i="65" s="1"/>
  <c r="AY222" i="65" s="1"/>
  <c r="AY223" i="65" s="1"/>
  <c r="AY224" i="65" s="1"/>
  <c r="AY225" i="65" s="1"/>
  <c r="AY226" i="65" s="1"/>
  <c r="AY227" i="65" s="1"/>
  <c r="AY228" i="65" s="1"/>
  <c r="AY229" i="65" s="1"/>
  <c r="AY230" i="65" s="1"/>
  <c r="AY231" i="65" s="1"/>
  <c r="AY232" i="65" s="1"/>
  <c r="AY233" i="65" s="1"/>
  <c r="AY234" i="65" s="1"/>
  <c r="EB76" i="65"/>
  <c r="I19" i="51" s="1"/>
  <c r="ER76" i="65"/>
  <c r="EC77" i="65"/>
  <c r="ED78" i="65"/>
  <c r="I46" i="51" s="1"/>
  <c r="EF79" i="65"/>
  <c r="EI80" i="65"/>
  <c r="EO81" i="65"/>
  <c r="DX82" i="65"/>
  <c r="EA82" i="65"/>
  <c r="EG83" i="65"/>
  <c r="EP85" i="65"/>
  <c r="EB86" i="65"/>
  <c r="DX89" i="65"/>
  <c r="EL91" i="65"/>
  <c r="DY94" i="65"/>
  <c r="ED95" i="65"/>
  <c r="EI99" i="65"/>
  <c r="ER100" i="65"/>
  <c r="EK102" i="65"/>
  <c r="EL105" i="65"/>
  <c r="EC100" i="65"/>
  <c r="EL102" i="65"/>
  <c r="ED103" i="65"/>
  <c r="EG105" i="65"/>
  <c r="DX100" i="65"/>
  <c r="EG102" i="65"/>
  <c r="EE103" i="65"/>
  <c r="EE104" i="65"/>
  <c r="AK181" i="65"/>
  <c r="AK182" i="65" s="1"/>
  <c r="AK183" i="65" s="1"/>
  <c r="AK184" i="65" s="1"/>
  <c r="AK185" i="65" s="1"/>
  <c r="AK186" i="65" s="1"/>
  <c r="AK187" i="65" s="1"/>
  <c r="AK188" i="65" s="1"/>
  <c r="AK189" i="65" s="1"/>
  <c r="AK190" i="65" s="1"/>
  <c r="AK191" i="65" s="1"/>
  <c r="AK192" i="65" s="1"/>
  <c r="AK193" i="65" s="1"/>
  <c r="AK194" i="65" s="1"/>
  <c r="AK195" i="65" s="1"/>
  <c r="AK196" i="65" s="1"/>
  <c r="AK197" i="65" s="1"/>
  <c r="AK198" i="65" s="1"/>
  <c r="AK199" i="65" s="1"/>
  <c r="AK200" i="65" s="1"/>
  <c r="AK201" i="65" s="1"/>
  <c r="AK202" i="65" s="1"/>
  <c r="AK203" i="65" s="1"/>
  <c r="AK204" i="65" s="1"/>
  <c r="AK205" i="65" s="1"/>
  <c r="AK206" i="65" s="1"/>
  <c r="AK207" i="65" s="1"/>
  <c r="AK208" i="65" s="1"/>
  <c r="AK209" i="65" s="1"/>
  <c r="AK210" i="65" s="1"/>
  <c r="AK211" i="65" s="1"/>
  <c r="AK212" i="65" s="1"/>
  <c r="AK213" i="65" s="1"/>
  <c r="AK214" i="65" s="1"/>
  <c r="AK215" i="65" s="1"/>
  <c r="AK216" i="65" s="1"/>
  <c r="AK217" i="65" s="1"/>
  <c r="AK218" i="65" s="1"/>
  <c r="AK219" i="65" s="1"/>
  <c r="AK220" i="65" s="1"/>
  <c r="AK221" i="65" s="1"/>
  <c r="AK222" i="65" s="1"/>
  <c r="AK223" i="65" s="1"/>
  <c r="AK224" i="65" s="1"/>
  <c r="AK225" i="65" s="1"/>
  <c r="AK226" i="65" s="1"/>
  <c r="AK227" i="65" s="1"/>
  <c r="AK228" i="65" s="1"/>
  <c r="AK229" i="65" s="1"/>
  <c r="AK230" i="65" s="1"/>
  <c r="AK231" i="65" s="1"/>
  <c r="AK232" i="65" s="1"/>
  <c r="AK233" i="65" s="1"/>
  <c r="AK234" i="65" s="1"/>
  <c r="CG181" i="65"/>
  <c r="CG182" i="65" s="1"/>
  <c r="CG183" i="65" s="1"/>
  <c r="CG184" i="65" s="1"/>
  <c r="CG185" i="65" s="1"/>
  <c r="CG186" i="65" s="1"/>
  <c r="EK89" i="65"/>
  <c r="EL90" i="65"/>
  <c r="EM91" i="65"/>
  <c r="EN92" i="65"/>
  <c r="EO93" i="65"/>
  <c r="EP94" i="65"/>
  <c r="EQ95" i="65"/>
  <c r="ER96" i="65"/>
  <c r="EH98" i="65"/>
  <c r="EF98" i="65"/>
  <c r="DZ101" i="65"/>
  <c r="EF104" i="65"/>
  <c r="EK104" i="65"/>
  <c r="EC104" i="65"/>
  <c r="EH85" i="65"/>
  <c r="EI86" i="65"/>
  <c r="EJ87" i="65"/>
  <c r="EK88" i="65"/>
  <c r="EL89" i="65"/>
  <c r="EM90" i="65"/>
  <c r="EN91" i="65"/>
  <c r="EO92" i="65"/>
  <c r="EP93" i="65"/>
  <c r="EQ94" i="65"/>
  <c r="ER95" i="65"/>
  <c r="EC96" i="65"/>
  <c r="ED97" i="65"/>
  <c r="EA101" i="65"/>
  <c r="EL103" i="65"/>
  <c r="EA100" i="65"/>
  <c r="ED101" i="65"/>
  <c r="K46" i="51" s="1"/>
  <c r="DX102" i="65"/>
  <c r="EM103" i="65"/>
  <c r="EM104" i="65"/>
  <c r="EJ98" i="65"/>
  <c r="EB100" i="65"/>
  <c r="DY101" i="65"/>
  <c r="K14" i="51" s="1"/>
  <c r="EG101" i="65"/>
  <c r="DY102" i="65"/>
  <c r="EN104" i="65"/>
  <c r="EH97" i="65"/>
  <c r="EP99" i="65"/>
  <c r="EI100" i="65"/>
  <c r="EB102" i="65"/>
  <c r="ER102" i="65"/>
  <c r="EA102" i="65"/>
  <c r="DY88" i="65"/>
  <c r="J14" i="51" s="1"/>
  <c r="EO88" i="65"/>
  <c r="DZ89" i="65"/>
  <c r="EP89" i="65"/>
  <c r="EA90" i="65"/>
  <c r="EQ90" i="65"/>
  <c r="EB91" i="65"/>
  <c r="ER91" i="65"/>
  <c r="EC92" i="65"/>
  <c r="ED93" i="65"/>
  <c r="EE94" i="65"/>
  <c r="EF95" i="65"/>
  <c r="EG96" i="65"/>
  <c r="EI97" i="65"/>
  <c r="EL98" i="65"/>
  <c r="EQ99" i="65"/>
  <c r="DX99" i="65"/>
  <c r="EJ100" i="65"/>
  <c r="EF102" i="65"/>
  <c r="DX86" i="65"/>
  <c r="EN86" i="65"/>
  <c r="DY87" i="65"/>
  <c r="EO87" i="65"/>
  <c r="DZ88" i="65"/>
  <c r="EP88" i="65"/>
  <c r="EA89" i="65"/>
  <c r="EQ89" i="65"/>
  <c r="EB90" i="65"/>
  <c r="ER90" i="65"/>
  <c r="EC91" i="65"/>
  <c r="ED92" i="65"/>
  <c r="EE93" i="65"/>
  <c r="EF94" i="65"/>
  <c r="EG95" i="65"/>
  <c r="EH96" i="65"/>
  <c r="EG97" i="65"/>
  <c r="EJ97" i="65"/>
  <c r="EM98" i="65"/>
  <c r="DY99" i="65"/>
  <c r="EE100" i="65"/>
  <c r="EB101" i="65"/>
  <c r="EG103" i="65"/>
  <c r="DY105" i="65"/>
  <c r="EP87" i="65"/>
  <c r="EQ88" i="65"/>
  <c r="ER89" i="65"/>
  <c r="EH95" i="65"/>
  <c r="EI96" i="65"/>
  <c r="EK97" i="65"/>
  <c r="EO98" i="65"/>
  <c r="EN98" i="65"/>
  <c r="EC101" i="65"/>
  <c r="DZ105" i="65"/>
  <c r="DZ86" i="65"/>
  <c r="EP86" i="65"/>
  <c r="EA87" i="65"/>
  <c r="EQ87" i="65"/>
  <c r="EB88" i="65"/>
  <c r="ER88" i="65"/>
  <c r="EC89" i="65"/>
  <c r="ED90" i="65"/>
  <c r="EE91" i="65"/>
  <c r="EF92" i="65"/>
  <c r="EG93" i="65"/>
  <c r="EH94" i="65"/>
  <c r="EI95" i="65"/>
  <c r="EJ96" i="65"/>
  <c r="EL97" i="65"/>
  <c r="EP98" i="65"/>
  <c r="EJ101" i="65"/>
  <c r="EP101" i="65"/>
  <c r="DX103" i="65"/>
  <c r="EC103" i="65"/>
  <c r="EJ103" i="65"/>
  <c r="DX104" i="65"/>
  <c r="EA86" i="65"/>
  <c r="EQ86" i="65"/>
  <c r="EB87" i="65"/>
  <c r="ER87" i="65"/>
  <c r="EC88" i="65"/>
  <c r="ED89" i="65"/>
  <c r="EH93" i="65"/>
  <c r="EI94" i="65"/>
  <c r="EJ95" i="65"/>
  <c r="EK96" i="65"/>
  <c r="EQ98" i="65"/>
  <c r="DZ99" i="65"/>
  <c r="ED99" i="65"/>
  <c r="EN100" i="65"/>
  <c r="EK101" i="65"/>
  <c r="EQ101" i="65"/>
  <c r="DY104" i="65"/>
  <c r="EP84" i="65"/>
  <c r="EQ85" i="65"/>
  <c r="ER86" i="65"/>
  <c r="CG187" i="65"/>
  <c r="CG188" i="65" s="1"/>
  <c r="CG189" i="65" s="1"/>
  <c r="CG190" i="65" s="1"/>
  <c r="CG191" i="65" s="1"/>
  <c r="CG192" i="65" s="1"/>
  <c r="CG193" i="65" s="1"/>
  <c r="CG194" i="65" s="1"/>
  <c r="CG195" i="65" s="1"/>
  <c r="CG196" i="65" s="1"/>
  <c r="CG197" i="65" s="1"/>
  <c r="CG198" i="65" s="1"/>
  <c r="CG199" i="65" s="1"/>
  <c r="CG200" i="65" s="1"/>
  <c r="EH92" i="65"/>
  <c r="EI93" i="65"/>
  <c r="EJ94" i="65"/>
  <c r="EK95" i="65"/>
  <c r="EL96" i="65"/>
  <c r="EN97" i="65"/>
  <c r="DZ98" i="65"/>
  <c r="ER98" i="65"/>
  <c r="EA99" i="65"/>
  <c r="EE99" i="65"/>
  <c r="EF101" i="65"/>
  <c r="DZ103" i="65"/>
  <c r="DY103" i="65"/>
  <c r="EG106" i="65"/>
  <c r="ER85" i="65"/>
  <c r="EF89" i="65"/>
  <c r="EG90" i="65"/>
  <c r="DX97" i="65"/>
  <c r="EA98" i="65"/>
  <c r="EG99" i="65"/>
  <c r="EF99" i="65"/>
  <c r="EC102" i="65"/>
  <c r="EQ102" i="65"/>
  <c r="EA104" i="65"/>
  <c r="EM106" i="65"/>
  <c r="EG116" i="65"/>
  <c r="EK118" i="65"/>
  <c r="EB125" i="65"/>
  <c r="EL130" i="65"/>
  <c r="EJ116" i="65"/>
  <c r="EI116" i="65"/>
  <c r="EQ117" i="65"/>
  <c r="EL118" i="65"/>
  <c r="EG130" i="65"/>
  <c r="DX108" i="65"/>
  <c r="DY109" i="65"/>
  <c r="DZ110" i="65"/>
  <c r="EA111" i="65"/>
  <c r="EB112" i="65"/>
  <c r="EC113" i="65"/>
  <c r="ED114" i="65"/>
  <c r="EE115" i="65"/>
  <c r="EK116" i="65"/>
  <c r="ER117" i="65"/>
  <c r="DZ117" i="65"/>
  <c r="EC119" i="65"/>
  <c r="EB119" i="65"/>
  <c r="EK129" i="65"/>
  <c r="EC133" i="65"/>
  <c r="DX107" i="65"/>
  <c r="EN107" i="65"/>
  <c r="DY108" i="65"/>
  <c r="EO108" i="65"/>
  <c r="DZ109" i="65"/>
  <c r="EP109" i="65"/>
  <c r="EA110" i="65"/>
  <c r="EQ110" i="65"/>
  <c r="EB111" i="65"/>
  <c r="ER111" i="65"/>
  <c r="EC112" i="65"/>
  <c r="ED113" i="65"/>
  <c r="L46" i="51" s="1"/>
  <c r="EE114" i="65"/>
  <c r="L56" i="51" s="1"/>
  <c r="EI115" i="65"/>
  <c r="EF115" i="65"/>
  <c r="EL116" i="65"/>
  <c r="EC117" i="65"/>
  <c r="ED119" i="65"/>
  <c r="EI119" i="65"/>
  <c r="DZ120" i="65"/>
  <c r="EF124" i="65"/>
  <c r="EE124" i="65"/>
  <c r="EF129" i="65"/>
  <c r="DZ134" i="65"/>
  <c r="EP134" i="65"/>
  <c r="DY134" i="65"/>
  <c r="EH100" i="65"/>
  <c r="EI101" i="65"/>
  <c r="EJ102" i="65"/>
  <c r="EK103" i="65"/>
  <c r="EL104" i="65"/>
  <c r="EM105" i="65"/>
  <c r="DX106" i="65"/>
  <c r="EN106" i="65"/>
  <c r="EO107" i="65"/>
  <c r="EP108" i="65"/>
  <c r="EQ109" i="65"/>
  <c r="ER110" i="65"/>
  <c r="EF114" i="65"/>
  <c r="EG115" i="65"/>
  <c r="L51" i="51" s="1"/>
  <c r="ED117" i="65"/>
  <c r="EJ119" i="65"/>
  <c r="EA124" i="65"/>
  <c r="EJ128" i="65"/>
  <c r="EN105" i="65"/>
  <c r="EO106" i="65"/>
  <c r="EP107" i="65"/>
  <c r="EQ108" i="65"/>
  <c r="ER109" i="65"/>
  <c r="EH115" i="65"/>
  <c r="EK119" i="65"/>
  <c r="EE128" i="65"/>
  <c r="EO105" i="65"/>
  <c r="EP106" i="65"/>
  <c r="EQ107" i="65"/>
  <c r="ER108" i="65"/>
  <c r="EH114" i="65"/>
  <c r="EJ115" i="65"/>
  <c r="DY118" i="65"/>
  <c r="EL119" i="65"/>
  <c r="EC120" i="65"/>
  <c r="EG121" i="65"/>
  <c r="EE123" i="65"/>
  <c r="ED123" i="65"/>
  <c r="EB132" i="65"/>
  <c r="EG133" i="65"/>
  <c r="EA117" i="65"/>
  <c r="EG117" i="65"/>
  <c r="ER118" i="65"/>
  <c r="EM119" i="65"/>
  <c r="EJ120" i="65"/>
  <c r="DZ123" i="65"/>
  <c r="ED124" i="65"/>
  <c r="M46" i="51" s="1"/>
  <c r="EI127" i="65"/>
  <c r="DZ131" i="65"/>
  <c r="DX134" i="65"/>
  <c r="EQ116" i="65"/>
  <c r="EB117" i="65"/>
  <c r="EH117" i="65"/>
  <c r="EE120" i="65"/>
  <c r="ED127" i="65"/>
  <c r="DY133" i="65"/>
  <c r="EO133" i="65"/>
  <c r="DX133" i="65"/>
  <c r="EM115" i="65"/>
  <c r="EI117" i="65"/>
  <c r="DX118" i="65"/>
  <c r="EE118" i="65"/>
  <c r="ED122" i="65"/>
  <c r="EC122" i="65"/>
  <c r="DY130" i="65"/>
  <c r="EO101" i="65"/>
  <c r="DZ102" i="65"/>
  <c r="EP102" i="65"/>
  <c r="EQ103" i="65"/>
  <c r="ER104" i="65"/>
  <c r="EH110" i="65"/>
  <c r="EI111" i="65"/>
  <c r="EJ112" i="65"/>
  <c r="EK113" i="65"/>
  <c r="EL114" i="65"/>
  <c r="EN115" i="65"/>
  <c r="EJ117" i="65"/>
  <c r="EF118" i="65"/>
  <c r="DY122" i="65"/>
  <c r="DZ130" i="65"/>
  <c r="ED105" i="65"/>
  <c r="EE106" i="65"/>
  <c r="EF107" i="65"/>
  <c r="EG108" i="65"/>
  <c r="EH109" i="65"/>
  <c r="EI110" i="65"/>
  <c r="EJ111" i="65"/>
  <c r="EK112" i="65"/>
  <c r="EL113" i="65"/>
  <c r="EM114" i="65"/>
  <c r="DX115" i="65"/>
  <c r="EO115" i="65"/>
  <c r="EK117" i="65"/>
  <c r="EG118" i="65"/>
  <c r="DZ119" i="65"/>
  <c r="EH126" i="65"/>
  <c r="EG126" i="65"/>
  <c r="EG127" i="65"/>
  <c r="DX129" i="65"/>
  <c r="ED104" i="65"/>
  <c r="EE105" i="65"/>
  <c r="EF106" i="65"/>
  <c r="EG107" i="65"/>
  <c r="EH108" i="65"/>
  <c r="EI109" i="65"/>
  <c r="EJ110" i="65"/>
  <c r="EK111" i="65"/>
  <c r="EL112" i="65"/>
  <c r="EM113" i="65"/>
  <c r="DX114" i="65"/>
  <c r="EN114" i="65"/>
  <c r="DY115" i="65"/>
  <c r="EC116" i="65"/>
  <c r="EA118" i="65"/>
  <c r="EA119" i="65"/>
  <c r="EC121" i="65"/>
  <c r="EB121" i="65"/>
  <c r="EC126" i="65"/>
  <c r="DY129" i="65"/>
  <c r="DX132" i="65"/>
  <c r="EN132" i="65"/>
  <c r="EC134" i="65"/>
  <c r="ER101" i="65"/>
  <c r="EH107" i="65"/>
  <c r="EI108" i="65"/>
  <c r="EJ109" i="65"/>
  <c r="EK110" i="65"/>
  <c r="EL111" i="65"/>
  <c r="EM112" i="65"/>
  <c r="EN113" i="65"/>
  <c r="EO114" i="65"/>
  <c r="EQ115" i="65"/>
  <c r="ED116" i="65"/>
  <c r="EB118" i="65"/>
  <c r="EE119" i="65"/>
  <c r="DY120" i="65"/>
  <c r="DX121" i="65"/>
  <c r="EB122" i="65"/>
  <c r="ED134" i="65"/>
  <c r="CG201" i="65"/>
  <c r="CG202" i="65" s="1"/>
  <c r="CG203" i="65" s="1"/>
  <c r="CG204" i="65" s="1"/>
  <c r="CG205" i="65" s="1"/>
  <c r="CG206" i="65" s="1"/>
  <c r="CG207" i="65" s="1"/>
  <c r="CG208" i="65" s="1"/>
  <c r="CG209" i="65" s="1"/>
  <c r="CG210" i="65" s="1"/>
  <c r="CG211" i="65" s="1"/>
  <c r="CG212" i="65" s="1"/>
  <c r="CG213" i="65" s="1"/>
  <c r="CG214" i="65" s="1"/>
  <c r="CG215" i="65" s="1"/>
  <c r="CG216" i="65" s="1"/>
  <c r="CG217" i="65" s="1"/>
  <c r="CG218" i="65" s="1"/>
  <c r="CG219" i="65" s="1"/>
  <c r="CG220" i="65" s="1"/>
  <c r="CG221" i="65" s="1"/>
  <c r="CG222" i="65" s="1"/>
  <c r="CG223" i="65" s="1"/>
  <c r="CG224" i="65" s="1"/>
  <c r="CG225" i="65" s="1"/>
  <c r="CG226" i="65" s="1"/>
  <c r="CG227" i="65" s="1"/>
  <c r="CG228" i="65" s="1"/>
  <c r="CG229" i="65" s="1"/>
  <c r="CG230" i="65" s="1"/>
  <c r="CG231" i="65" s="1"/>
  <c r="CG232" i="65" s="1"/>
  <c r="CG233" i="65" s="1"/>
  <c r="CG234" i="65" s="1"/>
  <c r="EH106" i="65"/>
  <c r="EI107" i="65"/>
  <c r="EJ108" i="65"/>
  <c r="EK109" i="65"/>
  <c r="EL110" i="65"/>
  <c r="EM111" i="65"/>
  <c r="DX112" i="65"/>
  <c r="EN112" i="65"/>
  <c r="DY113" i="65"/>
  <c r="EO113" i="65"/>
  <c r="DZ114" i="65"/>
  <c r="EP114" i="65"/>
  <c r="EA115" i="65"/>
  <c r="ER115" i="65"/>
  <c r="EA116" i="65"/>
  <c r="EE116" i="65"/>
  <c r="EC118" i="65"/>
  <c r="DY119" i="65"/>
  <c r="EF119" i="65"/>
  <c r="DX128" i="65"/>
  <c r="EG131" i="65"/>
  <c r="EE102" i="65"/>
  <c r="EF103" i="65"/>
  <c r="EG104" i="65"/>
  <c r="EH105" i="65"/>
  <c r="EI106" i="65"/>
  <c r="EJ107" i="65"/>
  <c r="EK108" i="65"/>
  <c r="EL109" i="65"/>
  <c r="EM110" i="65"/>
  <c r="DX111" i="65"/>
  <c r="EN111" i="65"/>
  <c r="DY112" i="65"/>
  <c r="EO112" i="65"/>
  <c r="DZ113" i="65"/>
  <c r="L24" i="51" s="1"/>
  <c r="F168" i="51" s="1"/>
  <c r="EP113" i="65"/>
  <c r="EA114" i="65"/>
  <c r="EQ114" i="65"/>
  <c r="EB115" i="65"/>
  <c r="EH116" i="65"/>
  <c r="EF116" i="65"/>
  <c r="EJ118" i="65"/>
  <c r="EG119" i="65"/>
  <c r="EB120" i="65"/>
  <c r="ER120" i="65"/>
  <c r="EA120" i="65"/>
  <c r="EG125" i="65"/>
  <c r="EF125" i="65"/>
  <c r="EM131" i="65"/>
  <c r="EQ135" i="65"/>
  <c r="ER135" i="65"/>
  <c r="DX135" i="65"/>
  <c r="DY135" i="65"/>
  <c r="EE122" i="65"/>
  <c r="EF123" i="65"/>
  <c r="EG124" i="65"/>
  <c r="EH125" i="65"/>
  <c r="EI126" i="65"/>
  <c r="EJ127" i="65"/>
  <c r="EK128" i="65"/>
  <c r="EL129" i="65"/>
  <c r="EM130" i="65"/>
  <c r="EN131" i="65"/>
  <c r="EO132" i="65"/>
  <c r="EP133" i="65"/>
  <c r="EQ134" i="65"/>
  <c r="ED120" i="65"/>
  <c r="EH124" i="65"/>
  <c r="EI125" i="65"/>
  <c r="EJ126" i="65"/>
  <c r="EK127" i="65"/>
  <c r="EL128" i="65"/>
  <c r="EM129" i="65"/>
  <c r="EN130" i="65"/>
  <c r="EO131" i="65"/>
  <c r="EP132" i="65"/>
  <c r="EQ133" i="65"/>
  <c r="ER134" i="65"/>
  <c r="EA135" i="65"/>
  <c r="EF121" i="65"/>
  <c r="EH123" i="65"/>
  <c r="EI124" i="65"/>
  <c r="EJ125" i="65"/>
  <c r="EK126" i="65"/>
  <c r="EL127" i="65"/>
  <c r="EM128" i="65"/>
  <c r="EN129" i="65"/>
  <c r="EO130" i="65"/>
  <c r="EP131" i="65"/>
  <c r="EQ132" i="65"/>
  <c r="ER133" i="65"/>
  <c r="EB135" i="65"/>
  <c r="EF120" i="65"/>
  <c r="EC135" i="65"/>
  <c r="EH135" i="65"/>
  <c r="ED135" i="65"/>
  <c r="EI135" i="65"/>
  <c r="EE135" i="65"/>
  <c r="EJ135" i="65"/>
  <c r="EI120" i="65"/>
  <c r="EJ121" i="65"/>
  <c r="EK122" i="65"/>
  <c r="EL123" i="65"/>
  <c r="EM124" i="65"/>
  <c r="EN125" i="65"/>
  <c r="EO126" i="65"/>
  <c r="EP127" i="65"/>
  <c r="EQ128" i="65"/>
  <c r="ER129" i="65"/>
  <c r="EF135" i="65"/>
  <c r="EK135" i="65"/>
  <c r="EK121" i="65"/>
  <c r="EL122" i="65"/>
  <c r="EM123" i="65"/>
  <c r="DX124" i="65"/>
  <c r="EN124" i="65"/>
  <c r="DY125" i="65"/>
  <c r="EO125" i="65"/>
  <c r="DZ126" i="65"/>
  <c r="EP126" i="65"/>
  <c r="EA127" i="65"/>
  <c r="EQ127" i="65"/>
  <c r="EB128" i="65"/>
  <c r="ER128" i="65"/>
  <c r="EC129" i="65"/>
  <c r="ED130" i="65"/>
  <c r="EE131" i="65"/>
  <c r="EF132" i="65"/>
  <c r="EH134" i="65"/>
  <c r="EG135" i="65"/>
  <c r="EL135" i="65"/>
  <c r="EK120" i="65"/>
  <c r="EL121" i="65"/>
  <c r="EM122" i="65"/>
  <c r="DX123" i="65"/>
  <c r="EN123" i="65"/>
  <c r="DY124" i="65"/>
  <c r="EO124" i="65"/>
  <c r="DZ125" i="65"/>
  <c r="EP125" i="65"/>
  <c r="EA126" i="65"/>
  <c r="EQ126" i="65"/>
  <c r="EB127" i="65"/>
  <c r="ER127" i="65"/>
  <c r="EC128" i="65"/>
  <c r="ED129" i="65"/>
  <c r="EE130" i="65"/>
  <c r="EF131" i="65"/>
  <c r="EG132" i="65"/>
  <c r="EH133" i="65"/>
  <c r="EI134" i="65"/>
  <c r="EM135" i="65"/>
  <c r="EL120" i="65"/>
  <c r="EM121" i="65"/>
  <c r="DX122" i="65"/>
  <c r="EN122" i="65"/>
  <c r="DY123" i="65"/>
  <c r="EO123" i="65"/>
  <c r="DZ124" i="65"/>
  <c r="EP124" i="65"/>
  <c r="EA125" i="65"/>
  <c r="EQ125" i="65"/>
  <c r="EB126" i="65"/>
  <c r="ER126" i="65"/>
  <c r="EC127" i="65"/>
  <c r="ED128" i="65"/>
  <c r="EE129" i="65"/>
  <c r="EH132" i="65"/>
  <c r="EI133" i="65"/>
  <c r="EJ134" i="65"/>
  <c r="EN135" i="65"/>
  <c r="EM120" i="65"/>
  <c r="EN121" i="65"/>
  <c r="EO122" i="65"/>
  <c r="EP123" i="65"/>
  <c r="EQ124" i="65"/>
  <c r="ER125" i="65"/>
  <c r="EH131" i="65"/>
  <c r="EI132" i="65"/>
  <c r="EJ133" i="65"/>
  <c r="EK134" i="65"/>
  <c r="EO135" i="65"/>
  <c r="DX120" i="65"/>
  <c r="EN120" i="65"/>
  <c r="DY121" i="65"/>
  <c r="EO121" i="65"/>
  <c r="DZ122" i="65"/>
  <c r="EP122" i="65"/>
  <c r="EA123" i="65"/>
  <c r="EQ123" i="65"/>
  <c r="EB124" i="65"/>
  <c r="ER124" i="65"/>
  <c r="EC125" i="65"/>
  <c r="M43" i="51" s="1"/>
  <c r="ED126" i="65"/>
  <c r="EE127" i="65"/>
  <c r="EF128" i="65"/>
  <c r="EG129" i="65"/>
  <c r="EH130" i="65"/>
  <c r="EI131" i="65"/>
  <c r="EJ132" i="65"/>
  <c r="EK133" i="65"/>
  <c r="EL134" i="65"/>
  <c r="DZ135" i="65"/>
  <c r="M64" i="51" l="1"/>
  <c r="M62" i="51" s="1"/>
  <c r="K138" i="41"/>
  <c r="I52" i="10"/>
  <c r="H47" i="10"/>
  <c r="F70" i="10"/>
  <c r="F69" i="10"/>
  <c r="F38" i="10"/>
  <c r="F37" i="10"/>
  <c r="M14" i="51"/>
  <c r="H24" i="51"/>
  <c r="J11" i="51"/>
  <c r="G56" i="51"/>
  <c r="M19" i="51"/>
  <c r="L11" i="51"/>
  <c r="K43" i="51"/>
  <c r="I56" i="51"/>
  <c r="G43" i="51"/>
  <c r="P140" i="65"/>
  <c r="G51" i="51"/>
  <c r="L14" i="51"/>
  <c r="H43" i="51"/>
  <c r="M56" i="51"/>
  <c r="K56" i="51"/>
  <c r="ED140" i="65"/>
  <c r="F14" i="51"/>
  <c r="L43" i="51"/>
  <c r="F43" i="51"/>
  <c r="L19" i="51"/>
  <c r="F164" i="51" s="1"/>
  <c r="J24" i="51"/>
  <c r="EC140" i="65"/>
  <c r="DW40" i="65"/>
  <c r="I51" i="51"/>
  <c r="J56" i="51"/>
  <c r="AL142" i="65"/>
  <c r="EA140" i="65"/>
  <c r="AN141" i="65"/>
  <c r="AO141" i="65"/>
  <c r="G46" i="51"/>
  <c r="H51" i="51"/>
  <c r="M11" i="51"/>
  <c r="M51" i="51"/>
  <c r="K51" i="51"/>
  <c r="F46" i="51"/>
  <c r="F24" i="51"/>
  <c r="F19" i="51"/>
  <c r="AU142" i="65"/>
  <c r="F56" i="51"/>
  <c r="K19" i="51"/>
  <c r="H11" i="51"/>
  <c r="I43" i="51"/>
  <c r="M24" i="51"/>
  <c r="G19" i="51"/>
  <c r="I14" i="51"/>
  <c r="H14" i="51"/>
  <c r="H19" i="51"/>
  <c r="J19" i="51"/>
  <c r="J46" i="51"/>
  <c r="H46" i="51"/>
  <c r="H56" i="51"/>
  <c r="G14" i="51"/>
  <c r="F51" i="51"/>
  <c r="J43" i="51"/>
  <c r="F11" i="51"/>
  <c r="K11" i="51"/>
  <c r="K24" i="51"/>
  <c r="I24" i="51"/>
  <c r="J51" i="51"/>
  <c r="DY140" i="65"/>
  <c r="R141" i="65"/>
  <c r="DW132" i="65"/>
  <c r="DW102" i="65"/>
  <c r="DW71" i="65"/>
  <c r="EI141" i="65"/>
  <c r="AM142" i="65"/>
  <c r="DW130" i="65"/>
  <c r="DW96" i="65"/>
  <c r="DW65" i="65"/>
  <c r="Y143" i="65"/>
  <c r="ED141" i="65"/>
  <c r="W142" i="65"/>
  <c r="DW126" i="65"/>
  <c r="DW95" i="65"/>
  <c r="DW64" i="65"/>
  <c r="DW125" i="65"/>
  <c r="DW94" i="65"/>
  <c r="DW60" i="65"/>
  <c r="EC141" i="65"/>
  <c r="V142" i="65"/>
  <c r="DW135" i="65"/>
  <c r="DW105" i="65"/>
  <c r="DW124" i="65"/>
  <c r="DW90" i="65"/>
  <c r="DW59" i="65"/>
  <c r="EQ142" i="65"/>
  <c r="AU143" i="65"/>
  <c r="DW120" i="65"/>
  <c r="DW89" i="65"/>
  <c r="DW58" i="65"/>
  <c r="EF140" i="65"/>
  <c r="DW108" i="65"/>
  <c r="DW77" i="65"/>
  <c r="EH142" i="65"/>
  <c r="AL143" i="65"/>
  <c r="AJ141" i="65"/>
  <c r="AJ142" i="65" s="1"/>
  <c r="AJ143" i="65" s="1"/>
  <c r="AJ144" i="65" s="1"/>
  <c r="AJ145" i="65" s="1"/>
  <c r="AJ146" i="65" s="1"/>
  <c r="AJ147" i="65" s="1"/>
  <c r="AJ148" i="65" s="1"/>
  <c r="AJ149" i="65" s="1"/>
  <c r="AJ150" i="65" s="1"/>
  <c r="AJ151" i="65" s="1"/>
  <c r="AJ152" i="65" s="1"/>
  <c r="AJ153" i="65" s="1"/>
  <c r="AJ154" i="65" s="1"/>
  <c r="AJ155" i="65" s="1"/>
  <c r="AJ156" i="65" s="1"/>
  <c r="AJ157" i="65" s="1"/>
  <c r="AJ158" i="65" s="1"/>
  <c r="AJ159" i="65" s="1"/>
  <c r="AJ160" i="65" s="1"/>
  <c r="AJ161" i="65" s="1"/>
  <c r="AJ162" i="65" s="1"/>
  <c r="AJ163" i="65" s="1"/>
  <c r="AJ164" i="65" s="1"/>
  <c r="AJ165" i="65" s="1"/>
  <c r="AJ166" i="65" s="1"/>
  <c r="AJ167" i="65" s="1"/>
  <c r="AJ168" i="65" s="1"/>
  <c r="AJ169" i="65" s="1"/>
  <c r="AJ170" i="65" s="1"/>
  <c r="AJ171" i="65" s="1"/>
  <c r="AJ172" i="65" s="1"/>
  <c r="AJ173" i="65" s="1"/>
  <c r="AJ174" i="65" s="1"/>
  <c r="AJ175" i="65" s="1"/>
  <c r="AJ176" i="65" s="1"/>
  <c r="AJ177" i="65" s="1"/>
  <c r="AJ178" i="65" s="1"/>
  <c r="AJ179" i="65" s="1"/>
  <c r="AJ180" i="65" s="1"/>
  <c r="AJ181" i="65" s="1"/>
  <c r="AJ182" i="65" s="1"/>
  <c r="AJ183" i="65" s="1"/>
  <c r="AJ184" i="65" s="1"/>
  <c r="AJ185" i="65" s="1"/>
  <c r="AJ186" i="65" s="1"/>
  <c r="AJ187" i="65" s="1"/>
  <c r="AJ188" i="65" s="1"/>
  <c r="AJ189" i="65" s="1"/>
  <c r="AJ190" i="65" s="1"/>
  <c r="AJ191" i="65" s="1"/>
  <c r="AJ192" i="65" s="1"/>
  <c r="AJ193" i="65" s="1"/>
  <c r="AJ194" i="65" s="1"/>
  <c r="AJ195" i="65" s="1"/>
  <c r="AJ196" i="65" s="1"/>
  <c r="AJ197" i="65" s="1"/>
  <c r="AJ198" i="65" s="1"/>
  <c r="AJ199" i="65" s="1"/>
  <c r="AJ200" i="65" s="1"/>
  <c r="AJ201" i="65" s="1"/>
  <c r="AJ202" i="65" s="1"/>
  <c r="AJ203" i="65" s="1"/>
  <c r="AJ204" i="65" s="1"/>
  <c r="AJ205" i="65" s="1"/>
  <c r="AJ206" i="65" s="1"/>
  <c r="AJ207" i="65" s="1"/>
  <c r="AJ208" i="65" s="1"/>
  <c r="AJ209" i="65" s="1"/>
  <c r="AJ210" i="65" s="1"/>
  <c r="AJ211" i="65" s="1"/>
  <c r="AJ212" i="65" s="1"/>
  <c r="AJ213" i="65" s="1"/>
  <c r="AJ214" i="65" s="1"/>
  <c r="AJ215" i="65" s="1"/>
  <c r="AJ216" i="65" s="1"/>
  <c r="AJ217" i="65" s="1"/>
  <c r="AJ218" i="65" s="1"/>
  <c r="AJ219" i="65" s="1"/>
  <c r="AJ220" i="65" s="1"/>
  <c r="AJ221" i="65" s="1"/>
  <c r="AJ222" i="65" s="1"/>
  <c r="AJ223" i="65" s="1"/>
  <c r="AJ224" i="65" s="1"/>
  <c r="AJ225" i="65" s="1"/>
  <c r="AJ226" i="65" s="1"/>
  <c r="AJ227" i="65" s="1"/>
  <c r="AJ228" i="65" s="1"/>
  <c r="AJ229" i="65" s="1"/>
  <c r="AJ230" i="65" s="1"/>
  <c r="AJ231" i="65" s="1"/>
  <c r="AJ232" i="65" s="1"/>
  <c r="AJ233" i="65" s="1"/>
  <c r="AJ234" i="65" s="1"/>
  <c r="DW53" i="65"/>
  <c r="DW131" i="65"/>
  <c r="DW101" i="65"/>
  <c r="DW66" i="65"/>
  <c r="DW56" i="65"/>
  <c r="DZ143" i="65"/>
  <c r="DW109" i="65"/>
  <c r="DW75" i="65"/>
  <c r="EO142" i="65"/>
  <c r="AS143" i="65"/>
  <c r="DX140" i="65"/>
  <c r="DW103" i="65"/>
  <c r="DW74" i="65"/>
  <c r="EG140" i="65"/>
  <c r="DW73" i="65"/>
  <c r="EB141" i="65"/>
  <c r="U142" i="65"/>
  <c r="DW134" i="65"/>
  <c r="DW104" i="65"/>
  <c r="DW67" i="65"/>
  <c r="DW45" i="65"/>
  <c r="DZ144" i="65"/>
  <c r="S145" i="65"/>
  <c r="DW133" i="65"/>
  <c r="DW97" i="65"/>
  <c r="DW69" i="65"/>
  <c r="DW55" i="65"/>
  <c r="EP141" i="65"/>
  <c r="AT142" i="65"/>
  <c r="DW118" i="65"/>
  <c r="DW88" i="65"/>
  <c r="DW54" i="65"/>
  <c r="DW119" i="65"/>
  <c r="DW84" i="65"/>
  <c r="DW52" i="65"/>
  <c r="DZ142" i="65"/>
  <c r="DW127" i="65"/>
  <c r="DW93" i="65"/>
  <c r="DW62" i="65"/>
  <c r="DW114" i="65"/>
  <c r="DW82" i="65"/>
  <c r="DW57" i="65"/>
  <c r="DW123" i="65"/>
  <c r="DW92" i="65"/>
  <c r="DW61" i="65"/>
  <c r="EB140" i="65"/>
  <c r="DW113" i="65"/>
  <c r="DW83" i="65"/>
  <c r="Q141" i="65"/>
  <c r="DW121" i="65"/>
  <c r="DW87" i="65"/>
  <c r="T141" i="65"/>
  <c r="DW117" i="65"/>
  <c r="DW86" i="65"/>
  <c r="AA141" i="65"/>
  <c r="DZ140" i="65"/>
  <c r="DW100" i="65"/>
  <c r="DW70" i="65"/>
  <c r="ER140" i="65"/>
  <c r="AV141" i="65"/>
  <c r="AQ141" i="65"/>
  <c r="DW41" i="65"/>
  <c r="DW140" i="65"/>
  <c r="DW129" i="65"/>
  <c r="DW99" i="65"/>
  <c r="DW68" i="65"/>
  <c r="EG141" i="65"/>
  <c r="AP142" i="65"/>
  <c r="DW128" i="65"/>
  <c r="DW98" i="65"/>
  <c r="DW63" i="65"/>
  <c r="Z142" i="65"/>
  <c r="DW47" i="65"/>
  <c r="EE140" i="65"/>
  <c r="DW48" i="65"/>
  <c r="DW122" i="65"/>
  <c r="DW91" i="65"/>
  <c r="DW42" i="65"/>
  <c r="DW51" i="65"/>
  <c r="X141" i="65"/>
  <c r="DW112" i="65"/>
  <c r="DW78" i="65"/>
  <c r="DW116" i="65"/>
  <c r="DW85" i="65"/>
  <c r="DZ141" i="65"/>
  <c r="DW115" i="65"/>
  <c r="DW81" i="65"/>
  <c r="DW44" i="65"/>
  <c r="AR142" i="65"/>
  <c r="AA142" i="65"/>
  <c r="AA143" i="65" s="1"/>
  <c r="AA144" i="65" s="1"/>
  <c r="AA145" i="65" s="1"/>
  <c r="AA146" i="65" s="1"/>
  <c r="AA147" i="65" s="1"/>
  <c r="AA148" i="65" s="1"/>
  <c r="AA149" i="65" s="1"/>
  <c r="AA150" i="65" s="1"/>
  <c r="AA151" i="65" s="1"/>
  <c r="AA152" i="65" s="1"/>
  <c r="AA153" i="65" s="1"/>
  <c r="AA154" i="65" s="1"/>
  <c r="AA155" i="65" s="1"/>
  <c r="AA156" i="65" s="1"/>
  <c r="AA157" i="65" s="1"/>
  <c r="AA158" i="65" s="1"/>
  <c r="AA159" i="65" s="1"/>
  <c r="AA160" i="65" s="1"/>
  <c r="AA161" i="65" s="1"/>
  <c r="AA162" i="65" s="1"/>
  <c r="AA163" i="65" s="1"/>
  <c r="AA164" i="65" s="1"/>
  <c r="AA165" i="65" s="1"/>
  <c r="AA166" i="65" s="1"/>
  <c r="AA167" i="65" s="1"/>
  <c r="AA168" i="65" s="1"/>
  <c r="AA169" i="65" s="1"/>
  <c r="AA170" i="65" s="1"/>
  <c r="AA171" i="65" s="1"/>
  <c r="AA172" i="65" s="1"/>
  <c r="AA173" i="65" s="1"/>
  <c r="AA174" i="65" s="1"/>
  <c r="AA175" i="65" s="1"/>
  <c r="AA176" i="65" s="1"/>
  <c r="AA177" i="65" s="1"/>
  <c r="AA178" i="65" s="1"/>
  <c r="AA179" i="65" s="1"/>
  <c r="AA180" i="65" s="1"/>
  <c r="AA181" i="65" s="1"/>
  <c r="AA182" i="65" s="1"/>
  <c r="AA183" i="65" s="1"/>
  <c r="AA184" i="65" s="1"/>
  <c r="AA185" i="65" s="1"/>
  <c r="AA186" i="65" s="1"/>
  <c r="AA187" i="65" s="1"/>
  <c r="AA188" i="65" s="1"/>
  <c r="AA189" i="65" s="1"/>
  <c r="AA190" i="65" s="1"/>
  <c r="AA191" i="65" s="1"/>
  <c r="AA192" i="65" s="1"/>
  <c r="AA193" i="65" s="1"/>
  <c r="AA194" i="65" s="1"/>
  <c r="AA195" i="65" s="1"/>
  <c r="AA196" i="65" s="1"/>
  <c r="AA197" i="65" s="1"/>
  <c r="AA198" i="65" s="1"/>
  <c r="AA199" i="65" s="1"/>
  <c r="AA200" i="65" s="1"/>
  <c r="AA201" i="65" s="1"/>
  <c r="AA202" i="65" s="1"/>
  <c r="AA203" i="65" s="1"/>
  <c r="AA204" i="65" s="1"/>
  <c r="AA205" i="65" s="1"/>
  <c r="AA206" i="65" s="1"/>
  <c r="AA207" i="65" s="1"/>
  <c r="AA208" i="65" s="1"/>
  <c r="AA209" i="65" s="1"/>
  <c r="AA210" i="65" s="1"/>
  <c r="AA211" i="65" s="1"/>
  <c r="AA212" i="65" s="1"/>
  <c r="AA213" i="65" s="1"/>
  <c r="AA214" i="65" s="1"/>
  <c r="AA215" i="65" s="1"/>
  <c r="AA216" i="65" s="1"/>
  <c r="AA217" i="65" s="1"/>
  <c r="AA218" i="65" s="1"/>
  <c r="AA219" i="65" s="1"/>
  <c r="AA220" i="65" s="1"/>
  <c r="AA221" i="65" s="1"/>
  <c r="AA222" i="65" s="1"/>
  <c r="AA223" i="65" s="1"/>
  <c r="AA224" i="65" s="1"/>
  <c r="AA225" i="65" s="1"/>
  <c r="AA226" i="65" s="1"/>
  <c r="AA227" i="65" s="1"/>
  <c r="AA228" i="65" s="1"/>
  <c r="AA229" i="65" s="1"/>
  <c r="AA230" i="65" s="1"/>
  <c r="AA231" i="65" s="1"/>
  <c r="AA232" i="65" s="1"/>
  <c r="AA233" i="65" s="1"/>
  <c r="AA234" i="65" s="1"/>
  <c r="DW107" i="65"/>
  <c r="DW76" i="65"/>
  <c r="P141" i="65"/>
  <c r="DW111" i="65"/>
  <c r="DW80" i="65"/>
  <c r="DW106" i="65"/>
  <c r="DW72" i="65"/>
  <c r="DW110" i="65"/>
  <c r="DW79" i="65"/>
  <c r="G164" i="51" l="1"/>
  <c r="G168" i="51"/>
  <c r="G160" i="51"/>
  <c r="F160" i="51"/>
  <c r="I64" i="51"/>
  <c r="G64" i="51"/>
  <c r="K64" i="51"/>
  <c r="K62" i="51" s="1"/>
  <c r="J64" i="51"/>
  <c r="F64" i="51"/>
  <c r="L64" i="51"/>
  <c r="H64" i="51"/>
  <c r="L138" i="41"/>
  <c r="I47" i="10"/>
  <c r="J52" i="10"/>
  <c r="EK141" i="65"/>
  <c r="AO142" i="65"/>
  <c r="EJ141" i="65"/>
  <c r="AN142" i="65"/>
  <c r="EG142" i="65"/>
  <c r="Z143" i="65"/>
  <c r="EF141" i="65"/>
  <c r="DX141" i="65"/>
  <c r="Q142" i="65"/>
  <c r="EN142" i="65"/>
  <c r="AR143" i="65"/>
  <c r="EO143" i="65"/>
  <c r="AS144" i="65"/>
  <c r="EM141" i="65"/>
  <c r="AQ142" i="65"/>
  <c r="EB142" i="65"/>
  <c r="U143" i="65"/>
  <c r="EI142" i="65"/>
  <c r="AM143" i="65"/>
  <c r="ER141" i="65"/>
  <c r="AV142" i="65"/>
  <c r="DZ145" i="65"/>
  <c r="S146" i="65"/>
  <c r="DW141" i="65"/>
  <c r="P142" i="65"/>
  <c r="EA141" i="65"/>
  <c r="T142" i="65"/>
  <c r="EP142" i="65"/>
  <c r="AT143" i="65"/>
  <c r="EH143" i="65"/>
  <c r="AL144" i="65"/>
  <c r="EL142" i="65"/>
  <c r="AP143" i="65"/>
  <c r="ED142" i="65"/>
  <c r="W143" i="65"/>
  <c r="EQ143" i="65"/>
  <c r="AU144" i="65"/>
  <c r="EC142" i="65"/>
  <c r="V143" i="65"/>
  <c r="EF143" i="65"/>
  <c r="Y144" i="65"/>
  <c r="EF142" i="65"/>
  <c r="EE141" i="65"/>
  <c r="X142" i="65"/>
  <c r="DY141" i="65"/>
  <c r="R142" i="65"/>
  <c r="M138" i="41" l="1"/>
  <c r="K52" i="10"/>
  <c r="J47" i="10"/>
  <c r="EK142" i="65"/>
  <c r="AO143" i="65"/>
  <c r="EJ142" i="65"/>
  <c r="AN143" i="65"/>
  <c r="EI143" i="65"/>
  <c r="AM144" i="65"/>
  <c r="EB143" i="65"/>
  <c r="U144" i="65"/>
  <c r="EM142" i="65"/>
  <c r="AQ143" i="65"/>
  <c r="EL143" i="65"/>
  <c r="AP144" i="65"/>
  <c r="DY142" i="65"/>
  <c r="R143" i="65"/>
  <c r="EA142" i="65"/>
  <c r="T143" i="65"/>
  <c r="EO144" i="65"/>
  <c r="AS145" i="65"/>
  <c r="ED143" i="65"/>
  <c r="W144" i="65"/>
  <c r="EH144" i="65"/>
  <c r="AL145" i="65"/>
  <c r="EP143" i="65"/>
  <c r="AT144" i="65"/>
  <c r="EE142" i="65"/>
  <c r="X143" i="65"/>
  <c r="EF144" i="65"/>
  <c r="Y145" i="65"/>
  <c r="DW142" i="65"/>
  <c r="P143" i="65"/>
  <c r="EN143" i="65"/>
  <c r="AR144" i="65"/>
  <c r="EC143" i="65"/>
  <c r="V144" i="65"/>
  <c r="DZ146" i="65"/>
  <c r="S147" i="65"/>
  <c r="EQ144" i="65"/>
  <c r="AU145" i="65"/>
  <c r="ER142" i="65"/>
  <c r="AV143" i="65"/>
  <c r="DX142" i="65"/>
  <c r="Q143" i="65"/>
  <c r="EG143" i="65"/>
  <c r="Z144" i="65"/>
  <c r="N138" i="41" l="1"/>
  <c r="K47" i="10"/>
  <c r="L52" i="10"/>
  <c r="AN144" i="65"/>
  <c r="EJ143" i="65"/>
  <c r="EK143" i="65"/>
  <c r="AO144" i="65"/>
  <c r="EO145" i="65"/>
  <c r="AS146" i="65"/>
  <c r="DW143" i="65"/>
  <c r="P144" i="65"/>
  <c r="EF145" i="65"/>
  <c r="Y146" i="65"/>
  <c r="EL144" i="65"/>
  <c r="AP145" i="65"/>
  <c r="EQ145" i="65"/>
  <c r="AU146" i="65"/>
  <c r="EC144" i="65"/>
  <c r="V145" i="65"/>
  <c r="EN144" i="65"/>
  <c r="AR145" i="65"/>
  <c r="EA143" i="65"/>
  <c r="T144" i="65"/>
  <c r="EG144" i="65"/>
  <c r="Z145" i="65"/>
  <c r="DX143" i="65"/>
  <c r="Q144" i="65"/>
  <c r="DY143" i="65"/>
  <c r="R144" i="65"/>
  <c r="ER143" i="65"/>
  <c r="AV144" i="65"/>
  <c r="EE143" i="65"/>
  <c r="X144" i="65"/>
  <c r="EP144" i="65"/>
  <c r="AT145" i="65"/>
  <c r="EM143" i="65"/>
  <c r="AQ144" i="65"/>
  <c r="EH145" i="65"/>
  <c r="AL146" i="65"/>
  <c r="EB144" i="65"/>
  <c r="U145" i="65"/>
  <c r="DZ147" i="65"/>
  <c r="S148" i="65"/>
  <c r="ED144" i="65"/>
  <c r="W145" i="65"/>
  <c r="EI144" i="65"/>
  <c r="AM145" i="65"/>
  <c r="O138" i="41" l="1"/>
  <c r="M52" i="10"/>
  <c r="L47" i="10"/>
  <c r="AO145" i="65"/>
  <c r="EK144" i="65"/>
  <c r="AN145" i="65"/>
  <c r="EJ144" i="65"/>
  <c r="EP145" i="65"/>
  <c r="AT146" i="65"/>
  <c r="EA144" i="65"/>
  <c r="T145" i="65"/>
  <c r="EM144" i="65"/>
  <c r="AQ145" i="65"/>
  <c r="ER144" i="65"/>
  <c r="AV145" i="65"/>
  <c r="EC145" i="65"/>
  <c r="V146" i="65"/>
  <c r="ED145" i="65"/>
  <c r="W146" i="65"/>
  <c r="EN145" i="65"/>
  <c r="AR146" i="65"/>
  <c r="EO146" i="65"/>
  <c r="AS147" i="65"/>
  <c r="EI145" i="65"/>
  <c r="AM146" i="65"/>
  <c r="EE144" i="65"/>
  <c r="X145" i="65"/>
  <c r="EQ146" i="65"/>
  <c r="AU147" i="65"/>
  <c r="DZ148" i="65"/>
  <c r="S149" i="65"/>
  <c r="DY144" i="65"/>
  <c r="R145" i="65"/>
  <c r="EL145" i="65"/>
  <c r="AP146" i="65"/>
  <c r="EB145" i="65"/>
  <c r="U146" i="65"/>
  <c r="DX144" i="65"/>
  <c r="Q145" i="65"/>
  <c r="EF146" i="65"/>
  <c r="Y147" i="65"/>
  <c r="EH146" i="65"/>
  <c r="AL147" i="65"/>
  <c r="DW144" i="65"/>
  <c r="P145" i="65"/>
  <c r="EG145" i="65"/>
  <c r="Z146" i="65"/>
  <c r="P138" i="41" l="1"/>
  <c r="M47" i="10"/>
  <c r="AO146" i="65"/>
  <c r="EK145" i="65"/>
  <c r="AN146" i="65"/>
  <c r="EJ145" i="65"/>
  <c r="EG146" i="65"/>
  <c r="Z147" i="65"/>
  <c r="EO147" i="65"/>
  <c r="AS148" i="65"/>
  <c r="DX145" i="65"/>
  <c r="Q146" i="65"/>
  <c r="EB146" i="65"/>
  <c r="U147" i="65"/>
  <c r="EN146" i="65"/>
  <c r="AR147" i="65"/>
  <c r="EL146" i="65"/>
  <c r="AP147" i="65"/>
  <c r="ED146" i="65"/>
  <c r="W147" i="65"/>
  <c r="DY145" i="65"/>
  <c r="R146" i="65"/>
  <c r="EC146" i="65"/>
  <c r="V147" i="65"/>
  <c r="DW145" i="65"/>
  <c r="P146" i="65"/>
  <c r="DZ149" i="65"/>
  <c r="S150" i="65"/>
  <c r="ER145" i="65"/>
  <c r="AV146" i="65"/>
  <c r="EQ147" i="65"/>
  <c r="AU148" i="65"/>
  <c r="EM145" i="65"/>
  <c r="AQ146" i="65"/>
  <c r="EH147" i="65"/>
  <c r="AL148" i="65"/>
  <c r="EE145" i="65"/>
  <c r="X146" i="65"/>
  <c r="EA145" i="65"/>
  <c r="T146" i="65"/>
  <c r="EF147" i="65"/>
  <c r="Y148" i="65"/>
  <c r="EI146" i="65"/>
  <c r="AM147" i="65"/>
  <c r="EP146" i="65"/>
  <c r="AT147" i="65"/>
  <c r="Q138" i="41" l="1"/>
  <c r="EJ146" i="65"/>
  <c r="AN147" i="65"/>
  <c r="EK146" i="65"/>
  <c r="AO147" i="65"/>
  <c r="EM146" i="65"/>
  <c r="AQ147" i="65"/>
  <c r="EP147" i="65"/>
  <c r="AT148" i="65"/>
  <c r="EQ148" i="65"/>
  <c r="AU149" i="65"/>
  <c r="ED147" i="65"/>
  <c r="W148" i="65"/>
  <c r="EL147" i="65"/>
  <c r="AP148" i="65"/>
  <c r="EI147" i="65"/>
  <c r="AM148" i="65"/>
  <c r="ER146" i="65"/>
  <c r="AV147" i="65"/>
  <c r="EN147" i="65"/>
  <c r="AR148" i="65"/>
  <c r="EF148" i="65"/>
  <c r="Y149" i="65"/>
  <c r="DZ150" i="65"/>
  <c r="S151" i="65"/>
  <c r="EB147" i="65"/>
  <c r="U148" i="65"/>
  <c r="EA146" i="65"/>
  <c r="T147" i="65"/>
  <c r="DW146" i="65"/>
  <c r="P147" i="65"/>
  <c r="DX146" i="65"/>
  <c r="Q147" i="65"/>
  <c r="EE146" i="65"/>
  <c r="X147" i="65"/>
  <c r="EC147" i="65"/>
  <c r="V148" i="65"/>
  <c r="EO148" i="65"/>
  <c r="AS149" i="65"/>
  <c r="EH148" i="65"/>
  <c r="AL149" i="65"/>
  <c r="DY146" i="65"/>
  <c r="R147" i="65"/>
  <c r="EG147" i="65"/>
  <c r="Z148" i="65"/>
  <c r="R138" i="41" l="1"/>
  <c r="EK147" i="65"/>
  <c r="AO148" i="65"/>
  <c r="EJ147" i="65"/>
  <c r="AN148" i="65"/>
  <c r="EI148" i="65"/>
  <c r="AM149" i="65"/>
  <c r="DW147" i="65"/>
  <c r="P148" i="65"/>
  <c r="DX147" i="65"/>
  <c r="Q148" i="65"/>
  <c r="EL148" i="65"/>
  <c r="AP149" i="65"/>
  <c r="EG148" i="65"/>
  <c r="Z149" i="65"/>
  <c r="EA147" i="65"/>
  <c r="T148" i="65"/>
  <c r="DY147" i="65"/>
  <c r="R148" i="65"/>
  <c r="EB148" i="65"/>
  <c r="U149" i="65"/>
  <c r="ED148" i="65"/>
  <c r="W149" i="65"/>
  <c r="EH149" i="65"/>
  <c r="AL150" i="65"/>
  <c r="DZ151" i="65"/>
  <c r="S152" i="65"/>
  <c r="EQ149" i="65"/>
  <c r="AU150" i="65"/>
  <c r="EO149" i="65"/>
  <c r="AS150" i="65"/>
  <c r="EF149" i="65"/>
  <c r="Y150" i="65"/>
  <c r="EC148" i="65"/>
  <c r="V149" i="65"/>
  <c r="EN148" i="65"/>
  <c r="AR149" i="65"/>
  <c r="EP148" i="65"/>
  <c r="AT149" i="65"/>
  <c r="EE147" i="65"/>
  <c r="X148" i="65"/>
  <c r="ER147" i="65"/>
  <c r="AV148" i="65"/>
  <c r="EM147" i="65"/>
  <c r="AQ148" i="65"/>
  <c r="S138" i="41" l="1"/>
  <c r="EJ148" i="65"/>
  <c r="AN149" i="65"/>
  <c r="EK148" i="65"/>
  <c r="AO149" i="65"/>
  <c r="EC149" i="65"/>
  <c r="V150" i="65"/>
  <c r="EF150" i="65"/>
  <c r="Y151" i="65"/>
  <c r="DY148" i="65"/>
  <c r="R149" i="65"/>
  <c r="EM148" i="65"/>
  <c r="AQ149" i="65"/>
  <c r="EO150" i="65"/>
  <c r="AS151" i="65"/>
  <c r="EA148" i="65"/>
  <c r="T149" i="65"/>
  <c r="EI149" i="65"/>
  <c r="AM150" i="65"/>
  <c r="ER148" i="65"/>
  <c r="AV149" i="65"/>
  <c r="EE148" i="65"/>
  <c r="X149" i="65"/>
  <c r="DZ152" i="65"/>
  <c r="S153" i="65"/>
  <c r="EL149" i="65"/>
  <c r="AP150" i="65"/>
  <c r="EG149" i="65"/>
  <c r="Z150" i="65"/>
  <c r="EP149" i="65"/>
  <c r="AT150" i="65"/>
  <c r="EH150" i="65"/>
  <c r="AL151" i="65"/>
  <c r="DX148" i="65"/>
  <c r="Q149" i="65"/>
  <c r="EB149" i="65"/>
  <c r="U150" i="65"/>
  <c r="EQ150" i="65"/>
  <c r="AU151" i="65"/>
  <c r="EN149" i="65"/>
  <c r="AR150" i="65"/>
  <c r="ED149" i="65"/>
  <c r="W150" i="65"/>
  <c r="DW148" i="65"/>
  <c r="P149" i="65"/>
  <c r="EK149" i="65" l="1"/>
  <c r="AO150" i="65"/>
  <c r="EJ149" i="65"/>
  <c r="AN150" i="65"/>
  <c r="EH151" i="65"/>
  <c r="AL152" i="65"/>
  <c r="EP150" i="65"/>
  <c r="AT151" i="65"/>
  <c r="EM149" i="65"/>
  <c r="AQ150" i="65"/>
  <c r="EA149" i="65"/>
  <c r="T150" i="65"/>
  <c r="EO151" i="65"/>
  <c r="AS152" i="65"/>
  <c r="DW149" i="65"/>
  <c r="P150" i="65"/>
  <c r="EG150" i="65"/>
  <c r="Z151" i="65"/>
  <c r="ED150" i="65"/>
  <c r="W151" i="65"/>
  <c r="EL150" i="65"/>
  <c r="AP151" i="65"/>
  <c r="EN150" i="65"/>
  <c r="AR151" i="65"/>
  <c r="DZ153" i="65"/>
  <c r="S154" i="65"/>
  <c r="DY149" i="65"/>
  <c r="R150" i="65"/>
  <c r="EQ151" i="65"/>
  <c r="AU152" i="65"/>
  <c r="EE149" i="65"/>
  <c r="X150" i="65"/>
  <c r="EF151" i="65"/>
  <c r="Y152" i="65"/>
  <c r="EB150" i="65"/>
  <c r="U151" i="65"/>
  <c r="ER149" i="65"/>
  <c r="AV150" i="65"/>
  <c r="DX149" i="65"/>
  <c r="Q150" i="65"/>
  <c r="EI150" i="65"/>
  <c r="AM151" i="65"/>
  <c r="EC150" i="65"/>
  <c r="V151" i="65"/>
  <c r="EJ150" i="65" l="1"/>
  <c r="AN151" i="65"/>
  <c r="EK150" i="65"/>
  <c r="AO151" i="65"/>
  <c r="DW150" i="65"/>
  <c r="P151" i="65"/>
  <c r="EC151" i="65"/>
  <c r="V152" i="65"/>
  <c r="EA150" i="65"/>
  <c r="T151" i="65"/>
  <c r="DX150" i="65"/>
  <c r="Q151" i="65"/>
  <c r="EF152" i="65"/>
  <c r="Y153" i="65"/>
  <c r="EG151" i="65"/>
  <c r="Z152" i="65"/>
  <c r="EE150" i="65"/>
  <c r="X151" i="65"/>
  <c r="EQ152" i="65"/>
  <c r="AU153" i="65"/>
  <c r="DY150" i="65"/>
  <c r="R151" i="65"/>
  <c r="EN151" i="65"/>
  <c r="AR152" i="65"/>
  <c r="ER150" i="65"/>
  <c r="AV151" i="65"/>
  <c r="EL151" i="65"/>
  <c r="AP152" i="65"/>
  <c r="EP151" i="65"/>
  <c r="AT152" i="65"/>
  <c r="EB151" i="65"/>
  <c r="U152" i="65"/>
  <c r="ED151" i="65"/>
  <c r="W152" i="65"/>
  <c r="EH152" i="65"/>
  <c r="AL153" i="65"/>
  <c r="EO152" i="65"/>
  <c r="AS153" i="65"/>
  <c r="EI151" i="65"/>
  <c r="AM152" i="65"/>
  <c r="DZ154" i="65"/>
  <c r="S155" i="65"/>
  <c r="EM150" i="65"/>
  <c r="AQ151" i="65"/>
  <c r="EK151" i="65" l="1"/>
  <c r="AO152" i="65"/>
  <c r="EJ151" i="65"/>
  <c r="AN152" i="65"/>
  <c r="EE151" i="65"/>
  <c r="X152" i="65"/>
  <c r="EP152" i="65"/>
  <c r="AT153" i="65"/>
  <c r="EF153" i="65"/>
  <c r="Y154" i="65"/>
  <c r="ER151" i="65"/>
  <c r="AV152" i="65"/>
  <c r="EN152" i="65"/>
  <c r="AR153" i="65"/>
  <c r="EG152" i="65"/>
  <c r="Z153" i="65"/>
  <c r="EM151" i="65"/>
  <c r="AQ152" i="65"/>
  <c r="EI152" i="65"/>
  <c r="AM153" i="65"/>
  <c r="DX151" i="65"/>
  <c r="Q152" i="65"/>
  <c r="EO153" i="65"/>
  <c r="AS154" i="65"/>
  <c r="EH153" i="65"/>
  <c r="AL154" i="65"/>
  <c r="DY151" i="65"/>
  <c r="R152" i="65"/>
  <c r="ED152" i="65"/>
  <c r="W153" i="65"/>
  <c r="EQ153" i="65"/>
  <c r="AU154" i="65"/>
  <c r="DW151" i="65"/>
  <c r="P152" i="65"/>
  <c r="EB152" i="65"/>
  <c r="U153" i="65"/>
  <c r="EL152" i="65"/>
  <c r="AP153" i="65"/>
  <c r="DZ155" i="65"/>
  <c r="S156" i="65"/>
  <c r="EA151" i="65"/>
  <c r="T152" i="65"/>
  <c r="EC152" i="65"/>
  <c r="V153" i="65"/>
  <c r="EJ152" i="65" l="1"/>
  <c r="AN153" i="65"/>
  <c r="AO153" i="65"/>
  <c r="EK152" i="65"/>
  <c r="EQ154" i="65"/>
  <c r="AU155" i="65"/>
  <c r="EC153" i="65"/>
  <c r="V154" i="65"/>
  <c r="EH154" i="65"/>
  <c r="AL155" i="65"/>
  <c r="DZ156" i="65"/>
  <c r="S157" i="65"/>
  <c r="EO154" i="65"/>
  <c r="AS155" i="65"/>
  <c r="EM152" i="65"/>
  <c r="AQ153" i="65"/>
  <c r="EN153" i="65"/>
  <c r="AR154" i="65"/>
  <c r="ER152" i="65"/>
  <c r="AV153" i="65"/>
  <c r="EI153" i="65"/>
  <c r="AM154" i="65"/>
  <c r="DW152" i="65"/>
  <c r="P153" i="65"/>
  <c r="EG153" i="65"/>
  <c r="Z154" i="65"/>
  <c r="ED153" i="65"/>
  <c r="W154" i="65"/>
  <c r="EA152" i="65"/>
  <c r="T153" i="65"/>
  <c r="DY152" i="65"/>
  <c r="R153" i="65"/>
  <c r="EF154" i="65"/>
  <c r="Y155" i="65"/>
  <c r="EL153" i="65"/>
  <c r="AP154" i="65"/>
  <c r="DX152" i="65"/>
  <c r="Q153" i="65"/>
  <c r="EP153" i="65"/>
  <c r="AT154" i="65"/>
  <c r="EB153" i="65"/>
  <c r="U154" i="65"/>
  <c r="EE152" i="65"/>
  <c r="X153" i="65"/>
  <c r="AO154" i="65" l="1"/>
  <c r="EK153" i="65"/>
  <c r="AN154" i="65"/>
  <c r="EJ153" i="65"/>
  <c r="EN154" i="65"/>
  <c r="AR155" i="65"/>
  <c r="EA153" i="65"/>
  <c r="T154" i="65"/>
  <c r="EB154" i="65"/>
  <c r="U155" i="65"/>
  <c r="EP154" i="65"/>
  <c r="AT155" i="65"/>
  <c r="DX153" i="65"/>
  <c r="Q154" i="65"/>
  <c r="DY153" i="65"/>
  <c r="R154" i="65"/>
  <c r="EO155" i="65"/>
  <c r="AS156" i="65"/>
  <c r="ED154" i="65"/>
  <c r="W155" i="65"/>
  <c r="EH155" i="65"/>
  <c r="AL156" i="65"/>
  <c r="DW153" i="65"/>
  <c r="P154" i="65"/>
  <c r="EI154" i="65"/>
  <c r="AM155" i="65"/>
  <c r="EF155" i="65"/>
  <c r="Y156" i="65"/>
  <c r="ER153" i="65"/>
  <c r="AV154" i="65"/>
  <c r="EQ155" i="65"/>
  <c r="AU156" i="65"/>
  <c r="EM153" i="65"/>
  <c r="AQ154" i="65"/>
  <c r="EE153" i="65"/>
  <c r="X154" i="65"/>
  <c r="DZ157" i="65"/>
  <c r="S158" i="65"/>
  <c r="EG154" i="65"/>
  <c r="Z155" i="65"/>
  <c r="EL154" i="65"/>
  <c r="AP155" i="65"/>
  <c r="EC154" i="65"/>
  <c r="V155" i="65"/>
  <c r="EJ154" i="65" l="1"/>
  <c r="AN155" i="65"/>
  <c r="EK154" i="65"/>
  <c r="AO155" i="65"/>
  <c r="ED155" i="65"/>
  <c r="W156" i="65"/>
  <c r="EC155" i="65"/>
  <c r="V156" i="65"/>
  <c r="EL155" i="65"/>
  <c r="AP156" i="65"/>
  <c r="EB155" i="65"/>
  <c r="U156" i="65"/>
  <c r="EM154" i="65"/>
  <c r="AQ155" i="65"/>
  <c r="EQ156" i="65"/>
  <c r="AU157" i="65"/>
  <c r="DX154" i="65"/>
  <c r="Q155" i="65"/>
  <c r="EI155" i="65"/>
  <c r="AM156" i="65"/>
  <c r="EO156" i="65"/>
  <c r="AS157" i="65"/>
  <c r="DY154" i="65"/>
  <c r="R155" i="65"/>
  <c r="EG155" i="65"/>
  <c r="Z156" i="65"/>
  <c r="DZ158" i="65"/>
  <c r="S159" i="65"/>
  <c r="DW154" i="65"/>
  <c r="P155" i="65"/>
  <c r="EA154" i="65"/>
  <c r="T155" i="65"/>
  <c r="ER154" i="65"/>
  <c r="AV155" i="65"/>
  <c r="EP155" i="65"/>
  <c r="AT156" i="65"/>
  <c r="EE154" i="65"/>
  <c r="X155" i="65"/>
  <c r="EH156" i="65"/>
  <c r="AL157" i="65"/>
  <c r="EN155" i="65"/>
  <c r="AR156" i="65"/>
  <c r="EF156" i="65"/>
  <c r="Y157" i="65"/>
  <c r="EK155" i="65" l="1"/>
  <c r="AO156" i="65"/>
  <c r="AN156" i="65"/>
  <c r="EJ155" i="65"/>
  <c r="EQ157" i="65"/>
  <c r="AU158" i="65"/>
  <c r="EH157" i="65"/>
  <c r="AL158" i="65"/>
  <c r="DX155" i="65"/>
  <c r="Q156" i="65"/>
  <c r="DW155" i="65"/>
  <c r="P156" i="65"/>
  <c r="EM155" i="65"/>
  <c r="AQ156" i="65"/>
  <c r="EB156" i="65"/>
  <c r="U157" i="65"/>
  <c r="EP156" i="65"/>
  <c r="AT157" i="65"/>
  <c r="EF157" i="65"/>
  <c r="Y158" i="65"/>
  <c r="DZ159" i="65"/>
  <c r="S160" i="65"/>
  <c r="EG156" i="65"/>
  <c r="Z157" i="65"/>
  <c r="EE155" i="65"/>
  <c r="X156" i="65"/>
  <c r="DY155" i="65"/>
  <c r="R156" i="65"/>
  <c r="EL156" i="65"/>
  <c r="AP157" i="65"/>
  <c r="EO157" i="65"/>
  <c r="AS158" i="65"/>
  <c r="ER155" i="65"/>
  <c r="AV156" i="65"/>
  <c r="EI156" i="65"/>
  <c r="AM157" i="65"/>
  <c r="ED156" i="65"/>
  <c r="W157" i="65"/>
  <c r="EA155" i="65"/>
  <c r="T156" i="65"/>
  <c r="EN156" i="65"/>
  <c r="AR157" i="65"/>
  <c r="EC156" i="65"/>
  <c r="V157" i="65"/>
  <c r="EJ156" i="65" l="1"/>
  <c r="AN157" i="65"/>
  <c r="EK156" i="65"/>
  <c r="AO157" i="65"/>
  <c r="EP157" i="65"/>
  <c r="AT158" i="65"/>
  <c r="EB157" i="65"/>
  <c r="U158" i="65"/>
  <c r="EC157" i="65"/>
  <c r="V158" i="65"/>
  <c r="EM156" i="65"/>
  <c r="AQ157" i="65"/>
  <c r="EN157" i="65"/>
  <c r="AR158" i="65"/>
  <c r="DX156" i="65"/>
  <c r="Q157" i="65"/>
  <c r="EO158" i="65"/>
  <c r="AS159" i="65"/>
  <c r="EL157" i="65"/>
  <c r="AP158" i="65"/>
  <c r="DY156" i="65"/>
  <c r="R157" i="65"/>
  <c r="EA156" i="65"/>
  <c r="T157" i="65"/>
  <c r="EG157" i="65"/>
  <c r="Z158" i="65"/>
  <c r="EH158" i="65"/>
  <c r="AL159" i="65"/>
  <c r="DZ160" i="65"/>
  <c r="S161" i="65"/>
  <c r="EI157" i="65"/>
  <c r="AM158" i="65"/>
  <c r="EF158" i="65"/>
  <c r="Y159" i="65"/>
  <c r="ER156" i="65"/>
  <c r="AV157" i="65"/>
  <c r="DW156" i="65"/>
  <c r="P157" i="65"/>
  <c r="EE156" i="65"/>
  <c r="X157" i="65"/>
  <c r="ED157" i="65"/>
  <c r="W158" i="65"/>
  <c r="EQ158" i="65"/>
  <c r="AU159" i="65"/>
  <c r="EK157" i="65" l="1"/>
  <c r="AO158" i="65"/>
  <c r="EJ157" i="65"/>
  <c r="AN158" i="65"/>
  <c r="EO159" i="65"/>
  <c r="AS160" i="65"/>
  <c r="EI158" i="65"/>
  <c r="AM159" i="65"/>
  <c r="EM157" i="65"/>
  <c r="AQ158" i="65"/>
  <c r="EC158" i="65"/>
  <c r="V159" i="65"/>
  <c r="EF159" i="65"/>
  <c r="Y160" i="65"/>
  <c r="DX157" i="65"/>
  <c r="Q158" i="65"/>
  <c r="DZ161" i="65"/>
  <c r="S162" i="65"/>
  <c r="EN158" i="65"/>
  <c r="AR159" i="65"/>
  <c r="EE157" i="65"/>
  <c r="X158" i="65"/>
  <c r="DW157" i="65"/>
  <c r="P158" i="65"/>
  <c r="EB158" i="65"/>
  <c r="U159" i="65"/>
  <c r="ER157" i="65"/>
  <c r="AV158" i="65"/>
  <c r="DY157" i="65"/>
  <c r="R158" i="65"/>
  <c r="EP158" i="65"/>
  <c r="AT159" i="65"/>
  <c r="EL158" i="65"/>
  <c r="AP159" i="65"/>
  <c r="EQ159" i="65"/>
  <c r="AU160" i="65"/>
  <c r="ED158" i="65"/>
  <c r="W159" i="65"/>
  <c r="EH159" i="65"/>
  <c r="AL160" i="65"/>
  <c r="EG158" i="65"/>
  <c r="Z159" i="65"/>
  <c r="EA157" i="65"/>
  <c r="T158" i="65"/>
  <c r="AN159" i="65" l="1"/>
  <c r="EJ158" i="65"/>
  <c r="EK158" i="65"/>
  <c r="AO159" i="65"/>
  <c r="DZ162" i="65"/>
  <c r="S163" i="65"/>
  <c r="EA158" i="65"/>
  <c r="T159" i="65"/>
  <c r="EF160" i="65"/>
  <c r="Y161" i="65"/>
  <c r="EG159" i="65"/>
  <c r="Z160" i="65"/>
  <c r="DX158" i="65"/>
  <c r="Q159" i="65"/>
  <c r="EP159" i="65"/>
  <c r="AT160" i="65"/>
  <c r="DY158" i="65"/>
  <c r="R159" i="65"/>
  <c r="ER158" i="65"/>
  <c r="AV159" i="65"/>
  <c r="EB159" i="65"/>
  <c r="U160" i="65"/>
  <c r="EH160" i="65"/>
  <c r="AL161" i="65"/>
  <c r="DW158" i="65"/>
  <c r="P159" i="65"/>
  <c r="EI159" i="65"/>
  <c r="AM160" i="65"/>
  <c r="EN159" i="65"/>
  <c r="AR160" i="65"/>
  <c r="EC159" i="65"/>
  <c r="V160" i="65"/>
  <c r="EM158" i="65"/>
  <c r="AQ159" i="65"/>
  <c r="ED159" i="65"/>
  <c r="W160" i="65"/>
  <c r="EE158" i="65"/>
  <c r="X159" i="65"/>
  <c r="EQ160" i="65"/>
  <c r="AU161" i="65"/>
  <c r="EO160" i="65"/>
  <c r="AS161" i="65"/>
  <c r="EL159" i="65"/>
  <c r="AP160" i="65"/>
  <c r="EK159" i="65" l="1"/>
  <c r="AO160" i="65"/>
  <c r="AN160" i="65"/>
  <c r="EJ159" i="65"/>
  <c r="ER159" i="65"/>
  <c r="AV160" i="65"/>
  <c r="DY159" i="65"/>
  <c r="R160" i="65"/>
  <c r="EN160" i="65"/>
  <c r="AR161" i="65"/>
  <c r="DX159" i="65"/>
  <c r="Q160" i="65"/>
  <c r="EG160" i="65"/>
  <c r="Z161" i="65"/>
  <c r="DW159" i="65"/>
  <c r="P160" i="65"/>
  <c r="EP160" i="65"/>
  <c r="AT161" i="65"/>
  <c r="EO161" i="65"/>
  <c r="AS162" i="65"/>
  <c r="EH161" i="65"/>
  <c r="AL162" i="65"/>
  <c r="EM159" i="65"/>
  <c r="AQ160" i="65"/>
  <c r="EB160" i="65"/>
  <c r="U161" i="65"/>
  <c r="DZ163" i="65"/>
  <c r="S164" i="65"/>
  <c r="EC160" i="65"/>
  <c r="V161" i="65"/>
  <c r="EL160" i="65"/>
  <c r="AP161" i="65"/>
  <c r="EQ161" i="65"/>
  <c r="AU162" i="65"/>
  <c r="EI160" i="65"/>
  <c r="AM161" i="65"/>
  <c r="EE159" i="65"/>
  <c r="X160" i="65"/>
  <c r="EF161" i="65"/>
  <c r="Y162" i="65"/>
  <c r="ED160" i="65"/>
  <c r="W161" i="65"/>
  <c r="EA159" i="65"/>
  <c r="T160" i="65"/>
  <c r="AN161" i="65" l="1"/>
  <c r="EJ160" i="65"/>
  <c r="EK160" i="65"/>
  <c r="AO161" i="65"/>
  <c r="EL161" i="65"/>
  <c r="AP162" i="65"/>
  <c r="EG161" i="65"/>
  <c r="Z162" i="65"/>
  <c r="ED161" i="65"/>
  <c r="W162" i="65"/>
  <c r="EF162" i="65"/>
  <c r="Y163" i="65"/>
  <c r="EN161" i="65"/>
  <c r="AR162" i="65"/>
  <c r="EA160" i="65"/>
  <c r="T161" i="65"/>
  <c r="DX160" i="65"/>
  <c r="Q161" i="65"/>
  <c r="EM160" i="65"/>
  <c r="AQ161" i="65"/>
  <c r="EH162" i="65"/>
  <c r="AL163" i="65"/>
  <c r="EQ162" i="65"/>
  <c r="AU163" i="65"/>
  <c r="EO162" i="65"/>
  <c r="AS163" i="65"/>
  <c r="ER160" i="65"/>
  <c r="AV161" i="65"/>
  <c r="EP161" i="65"/>
  <c r="AT162" i="65"/>
  <c r="DW160" i="65"/>
  <c r="P161" i="65"/>
  <c r="EC161" i="65"/>
  <c r="V162" i="65"/>
  <c r="DZ164" i="65"/>
  <c r="S165" i="65"/>
  <c r="EB161" i="65"/>
  <c r="U162" i="65"/>
  <c r="EE160" i="65"/>
  <c r="X161" i="65"/>
  <c r="EI161" i="65"/>
  <c r="AM162" i="65"/>
  <c r="DY160" i="65"/>
  <c r="R161" i="65"/>
  <c r="EK161" i="65" l="1"/>
  <c r="AO162" i="65"/>
  <c r="EJ161" i="65"/>
  <c r="AN162" i="65"/>
  <c r="DX161" i="65"/>
  <c r="Q162" i="65"/>
  <c r="DY161" i="65"/>
  <c r="R162" i="65"/>
  <c r="EP162" i="65"/>
  <c r="AT163" i="65"/>
  <c r="DW161" i="65"/>
  <c r="P162" i="65"/>
  <c r="EN162" i="65"/>
  <c r="AR163" i="65"/>
  <c r="EO163" i="65"/>
  <c r="AS164" i="65"/>
  <c r="ED162" i="65"/>
  <c r="W163" i="65"/>
  <c r="EB162" i="65"/>
  <c r="U163" i="65"/>
  <c r="EG162" i="65"/>
  <c r="Z163" i="65"/>
  <c r="EC162" i="65"/>
  <c r="V163" i="65"/>
  <c r="EL162" i="65"/>
  <c r="AP163" i="65"/>
  <c r="EA161" i="65"/>
  <c r="T162" i="65"/>
  <c r="ER161" i="65"/>
  <c r="AV162" i="65"/>
  <c r="EI162" i="65"/>
  <c r="AM163" i="65"/>
  <c r="EF163" i="65"/>
  <c r="Y164" i="65"/>
  <c r="EE161" i="65"/>
  <c r="X162" i="65"/>
  <c r="EQ163" i="65"/>
  <c r="AU164" i="65"/>
  <c r="EH163" i="65"/>
  <c r="AL164" i="65"/>
  <c r="DZ165" i="65"/>
  <c r="S166" i="65"/>
  <c r="EM161" i="65"/>
  <c r="AQ162" i="65"/>
  <c r="EJ162" i="65" l="1"/>
  <c r="AN163" i="65"/>
  <c r="EK162" i="65"/>
  <c r="AO163" i="65"/>
  <c r="EI163" i="65"/>
  <c r="AM164" i="65"/>
  <c r="ER162" i="65"/>
  <c r="AV163" i="65"/>
  <c r="DW162" i="65"/>
  <c r="P163" i="65"/>
  <c r="EP163" i="65"/>
  <c r="AT164" i="65"/>
  <c r="EM162" i="65"/>
  <c r="AQ163" i="65"/>
  <c r="EA162" i="65"/>
  <c r="T163" i="65"/>
  <c r="DZ166" i="65"/>
  <c r="S167" i="65"/>
  <c r="EL163" i="65"/>
  <c r="AP164" i="65"/>
  <c r="EH164" i="65"/>
  <c r="AL165" i="65"/>
  <c r="EC163" i="65"/>
  <c r="V164" i="65"/>
  <c r="EF164" i="65"/>
  <c r="Y165" i="65"/>
  <c r="EG163" i="65"/>
  <c r="Z164" i="65"/>
  <c r="DX162" i="65"/>
  <c r="Q163" i="65"/>
  <c r="EB163" i="65"/>
  <c r="U164" i="65"/>
  <c r="ED163" i="65"/>
  <c r="W164" i="65"/>
  <c r="EO164" i="65"/>
  <c r="AS165" i="65"/>
  <c r="EN163" i="65"/>
  <c r="AR164" i="65"/>
  <c r="EQ164" i="65"/>
  <c r="AU165" i="65"/>
  <c r="EE162" i="65"/>
  <c r="X163" i="65"/>
  <c r="DY162" i="65"/>
  <c r="R163" i="65"/>
  <c r="EK163" i="65" l="1"/>
  <c r="AO164" i="65"/>
  <c r="AN164" i="65"/>
  <c r="EJ163" i="65"/>
  <c r="EB164" i="65"/>
  <c r="U165" i="65"/>
  <c r="DX163" i="65"/>
  <c r="Q164" i="65"/>
  <c r="EM163" i="65"/>
  <c r="AQ164" i="65"/>
  <c r="EP164" i="65"/>
  <c r="AT165" i="65"/>
  <c r="EL164" i="65"/>
  <c r="AP165" i="65"/>
  <c r="EA163" i="65"/>
  <c r="T164" i="65"/>
  <c r="EG164" i="65"/>
  <c r="Z165" i="65"/>
  <c r="EQ165" i="65"/>
  <c r="AU166" i="65"/>
  <c r="DW163" i="65"/>
  <c r="P164" i="65"/>
  <c r="EN164" i="65"/>
  <c r="AR165" i="65"/>
  <c r="EH165" i="65"/>
  <c r="AL166" i="65"/>
  <c r="EI164" i="65"/>
  <c r="AM165" i="65"/>
  <c r="ED164" i="65"/>
  <c r="W165" i="65"/>
  <c r="DZ167" i="65"/>
  <c r="S168" i="65"/>
  <c r="DY163" i="65"/>
  <c r="R164" i="65"/>
  <c r="EE163" i="65"/>
  <c r="X164" i="65"/>
  <c r="EF165" i="65"/>
  <c r="Y166" i="65"/>
  <c r="EC164" i="65"/>
  <c r="V165" i="65"/>
  <c r="ER163" i="65"/>
  <c r="AV164" i="65"/>
  <c r="EO165" i="65"/>
  <c r="AS166" i="65"/>
  <c r="EJ164" i="65" l="1"/>
  <c r="AN165" i="65"/>
  <c r="AO165" i="65"/>
  <c r="EK164" i="65"/>
  <c r="EA164" i="65"/>
  <c r="T165" i="65"/>
  <c r="EO166" i="65"/>
  <c r="AS167" i="65"/>
  <c r="EH166" i="65"/>
  <c r="AL167" i="65"/>
  <c r="EM164" i="65"/>
  <c r="AQ165" i="65"/>
  <c r="DY164" i="65"/>
  <c r="R165" i="65"/>
  <c r="DZ168" i="65"/>
  <c r="S169" i="65"/>
  <c r="EL165" i="65"/>
  <c r="AP166" i="65"/>
  <c r="EI165" i="65"/>
  <c r="AM166" i="65"/>
  <c r="EC165" i="65"/>
  <c r="V166" i="65"/>
  <c r="EN165" i="65"/>
  <c r="AR166" i="65"/>
  <c r="DW164" i="65"/>
  <c r="P165" i="65"/>
  <c r="EQ166" i="65"/>
  <c r="AU167" i="65"/>
  <c r="EB165" i="65"/>
  <c r="U166" i="65"/>
  <c r="EG165" i="65"/>
  <c r="Z166" i="65"/>
  <c r="ED165" i="65"/>
  <c r="W166" i="65"/>
  <c r="ER164" i="65"/>
  <c r="AV165" i="65"/>
  <c r="EP165" i="65"/>
  <c r="AT166" i="65"/>
  <c r="EF166" i="65"/>
  <c r="Y167" i="65"/>
  <c r="DX164" i="65"/>
  <c r="Q165" i="65"/>
  <c r="EE164" i="65"/>
  <c r="X165" i="65"/>
  <c r="AO166" i="65" l="1"/>
  <c r="EK165" i="65"/>
  <c r="AN166" i="65"/>
  <c r="EJ165" i="65"/>
  <c r="ED166" i="65"/>
  <c r="W167" i="65"/>
  <c r="DZ169" i="65"/>
  <c r="S170" i="65"/>
  <c r="DY165" i="65"/>
  <c r="R166" i="65"/>
  <c r="DX165" i="65"/>
  <c r="Q166" i="65"/>
  <c r="DW165" i="65"/>
  <c r="P166" i="65"/>
  <c r="EL166" i="65"/>
  <c r="AP167" i="65"/>
  <c r="EE165" i="65"/>
  <c r="X166" i="65"/>
  <c r="EQ167" i="65"/>
  <c r="AU168" i="65"/>
  <c r="EF167" i="65"/>
  <c r="Y168" i="65"/>
  <c r="EN166" i="65"/>
  <c r="AR167" i="65"/>
  <c r="EC166" i="65"/>
  <c r="V167" i="65"/>
  <c r="ER165" i="65"/>
  <c r="AV166" i="65"/>
  <c r="EI166" i="65"/>
  <c r="AM167" i="65"/>
  <c r="EA165" i="65"/>
  <c r="T166" i="65"/>
  <c r="EG166" i="65"/>
  <c r="Z167" i="65"/>
  <c r="EB166" i="65"/>
  <c r="U167" i="65"/>
  <c r="EM165" i="65"/>
  <c r="AQ166" i="65"/>
  <c r="EH167" i="65"/>
  <c r="AL168" i="65"/>
  <c r="EP166" i="65"/>
  <c r="AT167" i="65"/>
  <c r="EO167" i="65"/>
  <c r="AS168" i="65"/>
  <c r="AN167" i="65" l="1"/>
  <c r="EJ166" i="65"/>
  <c r="EK166" i="65"/>
  <c r="AO167" i="65"/>
  <c r="EE166" i="65"/>
  <c r="X167" i="65"/>
  <c r="EL167" i="65"/>
  <c r="AP168" i="65"/>
  <c r="EO168" i="65"/>
  <c r="AS169" i="65"/>
  <c r="ER166" i="65"/>
  <c r="AV167" i="65"/>
  <c r="DW166" i="65"/>
  <c r="P167" i="65"/>
  <c r="EN167" i="65"/>
  <c r="AR168" i="65"/>
  <c r="EF168" i="65"/>
  <c r="Y169" i="65"/>
  <c r="EQ168" i="65"/>
  <c r="AU169" i="65"/>
  <c r="ED167" i="65"/>
  <c r="W168" i="65"/>
  <c r="EG167" i="65"/>
  <c r="Z168" i="65"/>
  <c r="EA166" i="65"/>
  <c r="T167" i="65"/>
  <c r="EI167" i="65"/>
  <c r="AM168" i="65"/>
  <c r="EP167" i="65"/>
  <c r="AT168" i="65"/>
  <c r="EC167" i="65"/>
  <c r="V168" i="65"/>
  <c r="DX166" i="65"/>
  <c r="Q167" i="65"/>
  <c r="EH168" i="65"/>
  <c r="AL169" i="65"/>
  <c r="DY166" i="65"/>
  <c r="R167" i="65"/>
  <c r="EM166" i="65"/>
  <c r="AQ167" i="65"/>
  <c r="DZ170" i="65"/>
  <c r="S171" i="65"/>
  <c r="EB167" i="65"/>
  <c r="U168" i="65"/>
  <c r="EK167" i="65" l="1"/>
  <c r="AO168" i="65"/>
  <c r="EJ167" i="65"/>
  <c r="AN168" i="65"/>
  <c r="DZ171" i="65"/>
  <c r="S172" i="65"/>
  <c r="EC168" i="65"/>
  <c r="V169" i="65"/>
  <c r="EA167" i="65"/>
  <c r="T168" i="65"/>
  <c r="EG168" i="65"/>
  <c r="Z169" i="65"/>
  <c r="DY167" i="65"/>
  <c r="R168" i="65"/>
  <c r="EH169" i="65"/>
  <c r="AL170" i="65"/>
  <c r="EN168" i="65"/>
  <c r="AR169" i="65"/>
  <c r="EP168" i="65"/>
  <c r="AT169" i="65"/>
  <c r="EB168" i="65"/>
  <c r="U169" i="65"/>
  <c r="EI168" i="65"/>
  <c r="AM169" i="65"/>
  <c r="DW167" i="65"/>
  <c r="P168" i="65"/>
  <c r="ER167" i="65"/>
  <c r="AV168" i="65"/>
  <c r="ED168" i="65"/>
  <c r="W169" i="65"/>
  <c r="EQ169" i="65"/>
  <c r="AU170" i="65"/>
  <c r="DX167" i="65"/>
  <c r="Q168" i="65"/>
  <c r="EF169" i="65"/>
  <c r="Y170" i="65"/>
  <c r="EE167" i="65"/>
  <c r="X168" i="65"/>
  <c r="EM167" i="65"/>
  <c r="AQ168" i="65"/>
  <c r="EO169" i="65"/>
  <c r="AS170" i="65"/>
  <c r="EL168" i="65"/>
  <c r="AP169" i="65"/>
  <c r="EJ168" i="65" l="1"/>
  <c r="AN169" i="65"/>
  <c r="EK168" i="65"/>
  <c r="AO169" i="65"/>
  <c r="ED169" i="65"/>
  <c r="W170" i="65"/>
  <c r="DY168" i="65"/>
  <c r="R169" i="65"/>
  <c r="EO170" i="65"/>
  <c r="AS171" i="65"/>
  <c r="ER168" i="65"/>
  <c r="AV169" i="65"/>
  <c r="EA168" i="65"/>
  <c r="T169" i="65"/>
  <c r="EI169" i="65"/>
  <c r="AM170" i="65"/>
  <c r="EN169" i="65"/>
  <c r="AR170" i="65"/>
  <c r="EH170" i="65"/>
  <c r="AL171" i="65"/>
  <c r="EL169" i="65"/>
  <c r="AP170" i="65"/>
  <c r="EG169" i="65"/>
  <c r="Z170" i="65"/>
  <c r="EM168" i="65"/>
  <c r="AQ169" i="65"/>
  <c r="EE168" i="65"/>
  <c r="X169" i="65"/>
  <c r="EF170" i="65"/>
  <c r="Y171" i="65"/>
  <c r="EB169" i="65"/>
  <c r="U170" i="65"/>
  <c r="DX168" i="65"/>
  <c r="Q169" i="65"/>
  <c r="EP169" i="65"/>
  <c r="AT170" i="65"/>
  <c r="DZ172" i="65"/>
  <c r="S173" i="65"/>
  <c r="EQ170" i="65"/>
  <c r="AU171" i="65"/>
  <c r="DW168" i="65"/>
  <c r="P169" i="65"/>
  <c r="EC169" i="65"/>
  <c r="V170" i="65"/>
  <c r="EK169" i="65" l="1"/>
  <c r="AO170" i="65"/>
  <c r="EJ169" i="65"/>
  <c r="AN170" i="65"/>
  <c r="EH171" i="65"/>
  <c r="AL172" i="65"/>
  <c r="EN170" i="65"/>
  <c r="AR171" i="65"/>
  <c r="EC170" i="65"/>
  <c r="V171" i="65"/>
  <c r="EE169" i="65"/>
  <c r="X170" i="65"/>
  <c r="EM169" i="65"/>
  <c r="AQ170" i="65"/>
  <c r="EP170" i="65"/>
  <c r="AT171" i="65"/>
  <c r="DX169" i="65"/>
  <c r="Q170" i="65"/>
  <c r="EI170" i="65"/>
  <c r="AM171" i="65"/>
  <c r="EF171" i="65"/>
  <c r="Y172" i="65"/>
  <c r="ER169" i="65"/>
  <c r="AV170" i="65"/>
  <c r="EQ171" i="65"/>
  <c r="AU172" i="65"/>
  <c r="EG170" i="65"/>
  <c r="Z171" i="65"/>
  <c r="DZ173" i="65"/>
  <c r="S174" i="65"/>
  <c r="EL170" i="65"/>
  <c r="AP171" i="65"/>
  <c r="ED170" i="65"/>
  <c r="W171" i="65"/>
  <c r="EB170" i="65"/>
  <c r="U171" i="65"/>
  <c r="EA169" i="65"/>
  <c r="T170" i="65"/>
  <c r="DW169" i="65"/>
  <c r="P170" i="65"/>
  <c r="EO171" i="65"/>
  <c r="AS172" i="65"/>
  <c r="DY169" i="65"/>
  <c r="R170" i="65"/>
  <c r="EJ170" i="65" l="1"/>
  <c r="AN171" i="65"/>
  <c r="EK170" i="65"/>
  <c r="AO171" i="65"/>
  <c r="EP171" i="65"/>
  <c r="AT172" i="65"/>
  <c r="EG171" i="65"/>
  <c r="Z172" i="65"/>
  <c r="EE170" i="65"/>
  <c r="X171" i="65"/>
  <c r="EC171" i="65"/>
  <c r="V172" i="65"/>
  <c r="ED171" i="65"/>
  <c r="W172" i="65"/>
  <c r="EL171" i="65"/>
  <c r="AP172" i="65"/>
  <c r="DY170" i="65"/>
  <c r="R171" i="65"/>
  <c r="EM170" i="65"/>
  <c r="AQ171" i="65"/>
  <c r="DW170" i="65"/>
  <c r="P171" i="65"/>
  <c r="ER170" i="65"/>
  <c r="AV171" i="65"/>
  <c r="EB171" i="65"/>
  <c r="U172" i="65"/>
  <c r="EF172" i="65"/>
  <c r="Y173" i="65"/>
  <c r="EH172" i="65"/>
  <c r="AL173" i="65"/>
  <c r="EI171" i="65"/>
  <c r="AM172" i="65"/>
  <c r="DX170" i="65"/>
  <c r="Q171" i="65"/>
  <c r="DZ174" i="65"/>
  <c r="S175" i="65"/>
  <c r="EO172" i="65"/>
  <c r="AS173" i="65"/>
  <c r="EQ172" i="65"/>
  <c r="AU173" i="65"/>
  <c r="EA170" i="65"/>
  <c r="T171" i="65"/>
  <c r="EN171" i="65"/>
  <c r="AR172" i="65"/>
  <c r="AO172" i="65" l="1"/>
  <c r="EK171" i="65"/>
  <c r="AN172" i="65"/>
  <c r="EJ171" i="65"/>
  <c r="DX171" i="65"/>
  <c r="Q172" i="65"/>
  <c r="DY171" i="65"/>
  <c r="R172" i="65"/>
  <c r="EH173" i="65"/>
  <c r="AL174" i="65"/>
  <c r="ED172" i="65"/>
  <c r="W173" i="65"/>
  <c r="EA171" i="65"/>
  <c r="T172" i="65"/>
  <c r="EQ173" i="65"/>
  <c r="AU174" i="65"/>
  <c r="EL172" i="65"/>
  <c r="AP173" i="65"/>
  <c r="EF173" i="65"/>
  <c r="Y174" i="65"/>
  <c r="EB172" i="65"/>
  <c r="U173" i="65"/>
  <c r="ER171" i="65"/>
  <c r="AV172" i="65"/>
  <c r="EO173" i="65"/>
  <c r="AS174" i="65"/>
  <c r="DZ175" i="65"/>
  <c r="S176" i="65"/>
  <c r="DW171" i="65"/>
  <c r="P172" i="65"/>
  <c r="EP172" i="65"/>
  <c r="AT173" i="65"/>
  <c r="EM171" i="65"/>
  <c r="AQ172" i="65"/>
  <c r="EI172" i="65"/>
  <c r="AM173" i="65"/>
  <c r="EN172" i="65"/>
  <c r="AR173" i="65"/>
  <c r="EC172" i="65"/>
  <c r="V173" i="65"/>
  <c r="EE171" i="65"/>
  <c r="X172" i="65"/>
  <c r="EG172" i="65"/>
  <c r="Z173" i="65"/>
  <c r="EJ172" i="65" l="1"/>
  <c r="AN173" i="65"/>
  <c r="AO173" i="65"/>
  <c r="EK172" i="65"/>
  <c r="EM172" i="65"/>
  <c r="AQ173" i="65"/>
  <c r="EL173" i="65"/>
  <c r="AP174" i="65"/>
  <c r="EG173" i="65"/>
  <c r="Z174" i="65"/>
  <c r="DZ176" i="65"/>
  <c r="S177" i="65"/>
  <c r="EO174" i="65"/>
  <c r="AS175" i="65"/>
  <c r="EQ174" i="65"/>
  <c r="AU175" i="65"/>
  <c r="EE172" i="65"/>
  <c r="X173" i="65"/>
  <c r="ED173" i="65"/>
  <c r="W174" i="65"/>
  <c r="EN173" i="65"/>
  <c r="AR174" i="65"/>
  <c r="EI173" i="65"/>
  <c r="AM174" i="65"/>
  <c r="EB173" i="65"/>
  <c r="U174" i="65"/>
  <c r="DX172" i="65"/>
  <c r="Q173" i="65"/>
  <c r="EF174" i="65"/>
  <c r="Y175" i="65"/>
  <c r="EP173" i="65"/>
  <c r="AT174" i="65"/>
  <c r="DW172" i="65"/>
  <c r="P173" i="65"/>
  <c r="EA172" i="65"/>
  <c r="T173" i="65"/>
  <c r="EC173" i="65"/>
  <c r="V174" i="65"/>
  <c r="EH174" i="65"/>
  <c r="AL175" i="65"/>
  <c r="ER172" i="65"/>
  <c r="AV173" i="65"/>
  <c r="DY172" i="65"/>
  <c r="R173" i="65"/>
  <c r="AO174" i="65" l="1"/>
  <c r="EK173" i="65"/>
  <c r="AN174" i="65"/>
  <c r="EJ173" i="65"/>
  <c r="EQ175" i="65"/>
  <c r="AU176" i="65"/>
  <c r="EO175" i="65"/>
  <c r="AS176" i="65"/>
  <c r="EB174" i="65"/>
  <c r="U175" i="65"/>
  <c r="EI174" i="65"/>
  <c r="AM175" i="65"/>
  <c r="EG174" i="65"/>
  <c r="Z175" i="65"/>
  <c r="EP174" i="65"/>
  <c r="AT175" i="65"/>
  <c r="DY173" i="65"/>
  <c r="R174" i="65"/>
  <c r="DX173" i="65"/>
  <c r="Q174" i="65"/>
  <c r="ER173" i="65"/>
  <c r="AV174" i="65"/>
  <c r="DZ177" i="65"/>
  <c r="S178" i="65"/>
  <c r="EC174" i="65"/>
  <c r="V175" i="65"/>
  <c r="EA173" i="65"/>
  <c r="T174" i="65"/>
  <c r="DW173" i="65"/>
  <c r="P174" i="65"/>
  <c r="ED174" i="65"/>
  <c r="W175" i="65"/>
  <c r="EM173" i="65"/>
  <c r="AQ174" i="65"/>
  <c r="EE173" i="65"/>
  <c r="X174" i="65"/>
  <c r="EF175" i="65"/>
  <c r="Y176" i="65"/>
  <c r="EH175" i="65"/>
  <c r="AL176" i="65"/>
  <c r="EN174" i="65"/>
  <c r="AR175" i="65"/>
  <c r="EL174" i="65"/>
  <c r="AP175" i="65"/>
  <c r="AO175" i="65" l="1"/>
  <c r="EK174" i="65"/>
  <c r="EJ174" i="65"/>
  <c r="AN175" i="65"/>
  <c r="DX174" i="65"/>
  <c r="Q175" i="65"/>
  <c r="ED175" i="65"/>
  <c r="W176" i="65"/>
  <c r="EP175" i="65"/>
  <c r="AT176" i="65"/>
  <c r="EI175" i="65"/>
  <c r="AM176" i="65"/>
  <c r="EH176" i="65"/>
  <c r="AL177" i="65"/>
  <c r="EB175" i="65"/>
  <c r="U176" i="65"/>
  <c r="EF176" i="65"/>
  <c r="Y177" i="65"/>
  <c r="EM174" i="65"/>
  <c r="AQ175" i="65"/>
  <c r="EL175" i="65"/>
  <c r="AP176" i="65"/>
  <c r="EA174" i="65"/>
  <c r="T175" i="65"/>
  <c r="EG175" i="65"/>
  <c r="Z176" i="65"/>
  <c r="EC175" i="65"/>
  <c r="V176" i="65"/>
  <c r="EE174" i="65"/>
  <c r="X175" i="65"/>
  <c r="ER174" i="65"/>
  <c r="AV175" i="65"/>
  <c r="EQ176" i="65"/>
  <c r="AU177" i="65"/>
  <c r="DY174" i="65"/>
  <c r="R175" i="65"/>
  <c r="DW174" i="65"/>
  <c r="P175" i="65"/>
  <c r="EN175" i="65"/>
  <c r="AR176" i="65"/>
  <c r="DZ178" i="65"/>
  <c r="S179" i="65"/>
  <c r="EO176" i="65"/>
  <c r="AS177" i="65"/>
  <c r="EJ175" i="65" l="1"/>
  <c r="AN176" i="65"/>
  <c r="AO176" i="65"/>
  <c r="EK175" i="65"/>
  <c r="EB176" i="65"/>
  <c r="U177" i="65"/>
  <c r="EN176" i="65"/>
  <c r="AR177" i="65"/>
  <c r="EF177" i="65"/>
  <c r="Y178" i="65"/>
  <c r="EO177" i="65"/>
  <c r="AS178" i="65"/>
  <c r="EC176" i="65"/>
  <c r="V177" i="65"/>
  <c r="EI176" i="65"/>
  <c r="AM177" i="65"/>
  <c r="EG176" i="65"/>
  <c r="Z177" i="65"/>
  <c r="EA175" i="65"/>
  <c r="T176" i="65"/>
  <c r="DY175" i="65"/>
  <c r="R176" i="65"/>
  <c r="EQ177" i="65"/>
  <c r="AU178" i="65"/>
  <c r="EM175" i="65"/>
  <c r="AQ176" i="65"/>
  <c r="DX175" i="65"/>
  <c r="Q176" i="65"/>
  <c r="ER175" i="65"/>
  <c r="AV176" i="65"/>
  <c r="EE175" i="65"/>
  <c r="X176" i="65"/>
  <c r="EH177" i="65"/>
  <c r="AL178" i="65"/>
  <c r="DZ179" i="65"/>
  <c r="S180" i="65"/>
  <c r="DW175" i="65"/>
  <c r="P176" i="65"/>
  <c r="EP176" i="65"/>
  <c r="AT177" i="65"/>
  <c r="EL176" i="65"/>
  <c r="AP177" i="65"/>
  <c r="ED176" i="65"/>
  <c r="W177" i="65"/>
  <c r="AO177" i="65" l="1"/>
  <c r="EK176" i="65"/>
  <c r="EJ176" i="65"/>
  <c r="AN177" i="65"/>
  <c r="EG177" i="65"/>
  <c r="Z178" i="65"/>
  <c r="EE176" i="65"/>
  <c r="X177" i="65"/>
  <c r="ER176" i="65"/>
  <c r="AV177" i="65"/>
  <c r="EL177" i="65"/>
  <c r="AP178" i="65"/>
  <c r="EM176" i="65"/>
  <c r="AQ177" i="65"/>
  <c r="EQ178" i="65"/>
  <c r="AU179" i="65"/>
  <c r="EI177" i="65"/>
  <c r="AM178" i="65"/>
  <c r="ED177" i="65"/>
  <c r="W178" i="65"/>
  <c r="EC177" i="65"/>
  <c r="V178" i="65"/>
  <c r="EO178" i="65"/>
  <c r="AS179" i="65"/>
  <c r="EF178" i="65"/>
  <c r="Y179" i="65"/>
  <c r="DW176" i="65"/>
  <c r="P177" i="65"/>
  <c r="DY176" i="65"/>
  <c r="R177" i="65"/>
  <c r="DZ180" i="65"/>
  <c r="S181" i="65"/>
  <c r="EA176" i="65"/>
  <c r="T177" i="65"/>
  <c r="EB177" i="65"/>
  <c r="U178" i="65"/>
  <c r="EH178" i="65"/>
  <c r="AL179" i="65"/>
  <c r="DX176" i="65"/>
  <c r="Q177" i="65"/>
  <c r="EP177" i="65"/>
  <c r="AT178" i="65"/>
  <c r="EN177" i="65"/>
  <c r="AR178" i="65"/>
  <c r="AN178" i="65" l="1"/>
  <c r="EJ177" i="65"/>
  <c r="AO178" i="65"/>
  <c r="EK177" i="65"/>
  <c r="EB178" i="65"/>
  <c r="U179" i="65"/>
  <c r="EI178" i="65"/>
  <c r="AM179" i="65"/>
  <c r="EA177" i="65"/>
  <c r="T178" i="65"/>
  <c r="EQ179" i="65"/>
  <c r="AU180" i="65"/>
  <c r="EN178" i="65"/>
  <c r="AR179" i="65"/>
  <c r="DW177" i="65"/>
  <c r="P178" i="65"/>
  <c r="EF179" i="65"/>
  <c r="Y180" i="65"/>
  <c r="EO179" i="65"/>
  <c r="AS180" i="65"/>
  <c r="EC178" i="65"/>
  <c r="V179" i="65"/>
  <c r="EG178" i="65"/>
  <c r="Z179" i="65"/>
  <c r="ED178" i="65"/>
  <c r="W179" i="65"/>
  <c r="DZ181" i="65"/>
  <c r="S182" i="65"/>
  <c r="DY177" i="65"/>
  <c r="R178" i="65"/>
  <c r="EM177" i="65"/>
  <c r="AQ178" i="65"/>
  <c r="EL178" i="65"/>
  <c r="AP179" i="65"/>
  <c r="EP178" i="65"/>
  <c r="AT179" i="65"/>
  <c r="ER177" i="65"/>
  <c r="AV178" i="65"/>
  <c r="DX177" i="65"/>
  <c r="Q178" i="65"/>
  <c r="EE177" i="65"/>
  <c r="X178" i="65"/>
  <c r="EH179" i="65"/>
  <c r="AL180" i="65"/>
  <c r="AO179" i="65" l="1"/>
  <c r="EK178" i="65"/>
  <c r="EJ178" i="65"/>
  <c r="AN179" i="65"/>
  <c r="EH180" i="65"/>
  <c r="AL181" i="65"/>
  <c r="EN179" i="65"/>
  <c r="AR180" i="65"/>
  <c r="EE178" i="65"/>
  <c r="X179" i="65"/>
  <c r="EQ180" i="65"/>
  <c r="AU181" i="65"/>
  <c r="EA178" i="65"/>
  <c r="T179" i="65"/>
  <c r="EF180" i="65"/>
  <c r="Y181" i="65"/>
  <c r="DY178" i="65"/>
  <c r="R179" i="65"/>
  <c r="DW178" i="65"/>
  <c r="P179" i="65"/>
  <c r="DZ182" i="65"/>
  <c r="S183" i="65"/>
  <c r="DX178" i="65"/>
  <c r="Q179" i="65"/>
  <c r="ER178" i="65"/>
  <c r="AV179" i="65"/>
  <c r="EP179" i="65"/>
  <c r="AT180" i="65"/>
  <c r="EC179" i="65"/>
  <c r="V180" i="65"/>
  <c r="EL179" i="65"/>
  <c r="AP180" i="65"/>
  <c r="EO180" i="65"/>
  <c r="AS181" i="65"/>
  <c r="EB179" i="65"/>
  <c r="U180" i="65"/>
  <c r="EM178" i="65"/>
  <c r="AQ179" i="65"/>
  <c r="ED179" i="65"/>
  <c r="W180" i="65"/>
  <c r="EG179" i="65"/>
  <c r="Z180" i="65"/>
  <c r="EI179" i="65"/>
  <c r="AM180" i="65"/>
  <c r="AN180" i="65" l="1"/>
  <c r="EJ179" i="65"/>
  <c r="EK179" i="65"/>
  <c r="AO180" i="65"/>
  <c r="EO181" i="65"/>
  <c r="AS182" i="65"/>
  <c r="EF181" i="65"/>
  <c r="Y182" i="65"/>
  <c r="EC180" i="65"/>
  <c r="V181" i="65"/>
  <c r="EA179" i="65"/>
  <c r="T180" i="65"/>
  <c r="EG180" i="65"/>
  <c r="Z181" i="65"/>
  <c r="EP180" i="65"/>
  <c r="AT181" i="65"/>
  <c r="EE179" i="65"/>
  <c r="X180" i="65"/>
  <c r="DZ183" i="65"/>
  <c r="S184" i="65"/>
  <c r="EB180" i="65"/>
  <c r="U181" i="65"/>
  <c r="DW179" i="65"/>
  <c r="P180" i="65"/>
  <c r="EH181" i="65"/>
  <c r="AL182" i="65"/>
  <c r="DY179" i="65"/>
  <c r="R180" i="65"/>
  <c r="EL180" i="65"/>
  <c r="AP181" i="65"/>
  <c r="EI180" i="65"/>
  <c r="AM181" i="65"/>
  <c r="EQ181" i="65"/>
  <c r="AU182" i="65"/>
  <c r="ED180" i="65"/>
  <c r="W181" i="65"/>
  <c r="ER179" i="65"/>
  <c r="AV180" i="65"/>
  <c r="DX179" i="65"/>
  <c r="Q180" i="65"/>
  <c r="EM179" i="65"/>
  <c r="AQ180" i="65"/>
  <c r="EN180" i="65"/>
  <c r="AR181" i="65"/>
  <c r="AO181" i="65" l="1"/>
  <c r="EK180" i="65"/>
  <c r="EJ180" i="65"/>
  <c r="AN181" i="65"/>
  <c r="EI181" i="65"/>
  <c r="AM182" i="65"/>
  <c r="EA180" i="65"/>
  <c r="T181" i="65"/>
  <c r="DW180" i="65"/>
  <c r="P181" i="65"/>
  <c r="EB181" i="65"/>
  <c r="U182" i="65"/>
  <c r="EL181" i="65"/>
  <c r="AP182" i="65"/>
  <c r="DY180" i="65"/>
  <c r="R181" i="65"/>
  <c r="EM180" i="65"/>
  <c r="AQ181" i="65"/>
  <c r="DX180" i="65"/>
  <c r="Q181" i="65"/>
  <c r="ER180" i="65"/>
  <c r="AV181" i="65"/>
  <c r="DZ184" i="65"/>
  <c r="S185" i="65"/>
  <c r="EQ182" i="65"/>
  <c r="AU183" i="65"/>
  <c r="EE180" i="65"/>
  <c r="X181" i="65"/>
  <c r="EO182" i="65"/>
  <c r="AS183" i="65"/>
  <c r="EP181" i="65"/>
  <c r="AT182" i="65"/>
  <c r="EG181" i="65"/>
  <c r="Z182" i="65"/>
  <c r="EN181" i="65"/>
  <c r="AR182" i="65"/>
  <c r="EH182" i="65"/>
  <c r="AL183" i="65"/>
  <c r="EC181" i="65"/>
  <c r="V182" i="65"/>
  <c r="ED181" i="65"/>
  <c r="W182" i="65"/>
  <c r="EF182" i="65"/>
  <c r="Y183" i="65"/>
  <c r="EJ181" i="65" l="1"/>
  <c r="AN182" i="65"/>
  <c r="EK181" i="65"/>
  <c r="AO182" i="65"/>
  <c r="ED182" i="65"/>
  <c r="W183" i="65"/>
  <c r="EG182" i="65"/>
  <c r="Z183" i="65"/>
  <c r="DY181" i="65"/>
  <c r="R182" i="65"/>
  <c r="EL182" i="65"/>
  <c r="AP183" i="65"/>
  <c r="EE181" i="65"/>
  <c r="X182" i="65"/>
  <c r="EC182" i="65"/>
  <c r="V183" i="65"/>
  <c r="DW181" i="65"/>
  <c r="P182" i="65"/>
  <c r="EN182" i="65"/>
  <c r="AR183" i="65"/>
  <c r="DX181" i="65"/>
  <c r="Q182" i="65"/>
  <c r="EI182" i="65"/>
  <c r="AM183" i="65"/>
  <c r="EM181" i="65"/>
  <c r="AQ182" i="65"/>
  <c r="EP182" i="65"/>
  <c r="AT183" i="65"/>
  <c r="EF183" i="65"/>
  <c r="Y184" i="65"/>
  <c r="EO183" i="65"/>
  <c r="AS184" i="65"/>
  <c r="EB182" i="65"/>
  <c r="U183" i="65"/>
  <c r="EQ183" i="65"/>
  <c r="AU184" i="65"/>
  <c r="DZ185" i="65"/>
  <c r="S186" i="65"/>
  <c r="EH183" i="65"/>
  <c r="AL184" i="65"/>
  <c r="ER181" i="65"/>
  <c r="AV182" i="65"/>
  <c r="EA181" i="65"/>
  <c r="T182" i="65"/>
  <c r="AN183" i="65" l="1"/>
  <c r="EJ182" i="65"/>
  <c r="AO183" i="65"/>
  <c r="EK182" i="65"/>
  <c r="EF184" i="65"/>
  <c r="Y185" i="65"/>
  <c r="EE182" i="65"/>
  <c r="X183" i="65"/>
  <c r="EL183" i="65"/>
  <c r="AP184" i="65"/>
  <c r="EH184" i="65"/>
  <c r="AL185" i="65"/>
  <c r="DX182" i="65"/>
  <c r="Q183" i="65"/>
  <c r="EO184" i="65"/>
  <c r="AS185" i="65"/>
  <c r="EP183" i="65"/>
  <c r="AT184" i="65"/>
  <c r="EM182" i="65"/>
  <c r="AQ183" i="65"/>
  <c r="EI183" i="65"/>
  <c r="AM184" i="65"/>
  <c r="EG183" i="65"/>
  <c r="Z184" i="65"/>
  <c r="EN183" i="65"/>
  <c r="AR184" i="65"/>
  <c r="EB183" i="65"/>
  <c r="U184" i="65"/>
  <c r="ED183" i="65"/>
  <c r="W184" i="65"/>
  <c r="DW182" i="65"/>
  <c r="P183" i="65"/>
  <c r="EC183" i="65"/>
  <c r="V184" i="65"/>
  <c r="EA182" i="65"/>
  <c r="T183" i="65"/>
  <c r="ER182" i="65"/>
  <c r="AV183" i="65"/>
  <c r="DY182" i="65"/>
  <c r="R183" i="65"/>
  <c r="DZ186" i="65"/>
  <c r="S187" i="65"/>
  <c r="EQ184" i="65"/>
  <c r="AU185" i="65"/>
  <c r="AO184" i="65" l="1"/>
  <c r="EK183" i="65"/>
  <c r="AN184" i="65"/>
  <c r="EJ183" i="65"/>
  <c r="ED184" i="65"/>
  <c r="W185" i="65"/>
  <c r="DX183" i="65"/>
  <c r="Q184" i="65"/>
  <c r="EB184" i="65"/>
  <c r="U185" i="65"/>
  <c r="EN184" i="65"/>
  <c r="AR185" i="65"/>
  <c r="EM183" i="65"/>
  <c r="AQ184" i="65"/>
  <c r="DW183" i="65"/>
  <c r="P184" i="65"/>
  <c r="EO185" i="65"/>
  <c r="AS186" i="65"/>
  <c r="DZ187" i="65"/>
  <c r="S188" i="65"/>
  <c r="EH185" i="65"/>
  <c r="AL186" i="65"/>
  <c r="EL184" i="65"/>
  <c r="AP185" i="65"/>
  <c r="EG184" i="65"/>
  <c r="Z185" i="65"/>
  <c r="EA183" i="65"/>
  <c r="T184" i="65"/>
  <c r="EI184" i="65"/>
  <c r="AM185" i="65"/>
  <c r="EF185" i="65"/>
  <c r="Y186" i="65"/>
  <c r="EC184" i="65"/>
  <c r="V185" i="65"/>
  <c r="EP184" i="65"/>
  <c r="AT185" i="65"/>
  <c r="EQ185" i="65"/>
  <c r="AU186" i="65"/>
  <c r="DY183" i="65"/>
  <c r="R184" i="65"/>
  <c r="ER183" i="65"/>
  <c r="AV184" i="65"/>
  <c r="EE183" i="65"/>
  <c r="X184" i="65"/>
  <c r="EJ184" i="65" l="1"/>
  <c r="AN185" i="65"/>
  <c r="EK184" i="65"/>
  <c r="AO185" i="65"/>
  <c r="EF186" i="65"/>
  <c r="Y187" i="65"/>
  <c r="EM184" i="65"/>
  <c r="AQ185" i="65"/>
  <c r="DY184" i="65"/>
  <c r="R185" i="65"/>
  <c r="EQ186" i="65"/>
  <c r="AU187" i="65"/>
  <c r="EE184" i="65"/>
  <c r="X185" i="65"/>
  <c r="EI185" i="65"/>
  <c r="AM186" i="65"/>
  <c r="EA184" i="65"/>
  <c r="T185" i="65"/>
  <c r="EN185" i="65"/>
  <c r="AR186" i="65"/>
  <c r="EB185" i="65"/>
  <c r="U186" i="65"/>
  <c r="EH186" i="65"/>
  <c r="AL187" i="65"/>
  <c r="EP185" i="65"/>
  <c r="AT186" i="65"/>
  <c r="DZ188" i="65"/>
  <c r="S189" i="65"/>
  <c r="ED185" i="65"/>
  <c r="W186" i="65"/>
  <c r="EC185" i="65"/>
  <c r="V186" i="65"/>
  <c r="EO186" i="65"/>
  <c r="AS187" i="65"/>
  <c r="DW184" i="65"/>
  <c r="P185" i="65"/>
  <c r="ER184" i="65"/>
  <c r="AV185" i="65"/>
  <c r="EG185" i="65"/>
  <c r="Z186" i="65"/>
  <c r="EL185" i="65"/>
  <c r="AP186" i="65"/>
  <c r="DX184" i="65"/>
  <c r="Q185" i="65"/>
  <c r="AO186" i="65" l="1"/>
  <c r="EK185" i="65"/>
  <c r="EJ185" i="65"/>
  <c r="AN186" i="65"/>
  <c r="EI186" i="65"/>
  <c r="AM187" i="65"/>
  <c r="ED186" i="65"/>
  <c r="W187" i="65"/>
  <c r="DX185" i="65"/>
  <c r="Q186" i="65"/>
  <c r="EL186" i="65"/>
  <c r="AP187" i="65"/>
  <c r="EH187" i="65"/>
  <c r="AL188" i="65"/>
  <c r="DY185" i="65"/>
  <c r="R186" i="65"/>
  <c r="EM185" i="65"/>
  <c r="AQ186" i="65"/>
  <c r="EE185" i="65"/>
  <c r="X186" i="65"/>
  <c r="DZ189" i="65"/>
  <c r="S190" i="65"/>
  <c r="EQ187" i="65"/>
  <c r="AU188" i="65"/>
  <c r="ER185" i="65"/>
  <c r="AV186" i="65"/>
  <c r="DW185" i="65"/>
  <c r="P186" i="65"/>
  <c r="EO187" i="65"/>
  <c r="AS188" i="65"/>
  <c r="EA185" i="65"/>
  <c r="T186" i="65"/>
  <c r="EC186" i="65"/>
  <c r="V187" i="65"/>
  <c r="EP186" i="65"/>
  <c r="AT187" i="65"/>
  <c r="EG186" i="65"/>
  <c r="Z187" i="65"/>
  <c r="EB186" i="65"/>
  <c r="U187" i="65"/>
  <c r="EN186" i="65"/>
  <c r="AR187" i="65"/>
  <c r="EF187" i="65"/>
  <c r="Y188" i="65"/>
  <c r="EJ186" i="65" l="1"/>
  <c r="AN187" i="65"/>
  <c r="EK186" i="65"/>
  <c r="AO187" i="65"/>
  <c r="DY186" i="65"/>
  <c r="R187" i="65"/>
  <c r="EE186" i="65"/>
  <c r="X187" i="65"/>
  <c r="EM186" i="65"/>
  <c r="AQ187" i="65"/>
  <c r="EO188" i="65"/>
  <c r="AS189" i="65"/>
  <c r="EN187" i="65"/>
  <c r="AR188" i="65"/>
  <c r="DW186" i="65"/>
  <c r="P187" i="65"/>
  <c r="ER186" i="65"/>
  <c r="AV187" i="65"/>
  <c r="EL187" i="65"/>
  <c r="AP188" i="65"/>
  <c r="EG187" i="65"/>
  <c r="Z188" i="65"/>
  <c r="DX186" i="65"/>
  <c r="Q187" i="65"/>
  <c r="EP187" i="65"/>
  <c r="AT188" i="65"/>
  <c r="EC187" i="65"/>
  <c r="V188" i="65"/>
  <c r="DZ190" i="65"/>
  <c r="S191" i="65"/>
  <c r="EI187" i="65"/>
  <c r="AM188" i="65"/>
  <c r="EA186" i="65"/>
  <c r="T187" i="65"/>
  <c r="EF188" i="65"/>
  <c r="Y189" i="65"/>
  <c r="EH188" i="65"/>
  <c r="AL189" i="65"/>
  <c r="EB187" i="65"/>
  <c r="U188" i="65"/>
  <c r="EQ188" i="65"/>
  <c r="AU189" i="65"/>
  <c r="ED187" i="65"/>
  <c r="W188" i="65"/>
  <c r="EK187" i="65" l="1"/>
  <c r="AO188" i="65"/>
  <c r="EJ187" i="65"/>
  <c r="AN188" i="65"/>
  <c r="EI188" i="65"/>
  <c r="AM189" i="65"/>
  <c r="DW187" i="65"/>
  <c r="P188" i="65"/>
  <c r="ED188" i="65"/>
  <c r="W189" i="65"/>
  <c r="EQ189" i="65"/>
  <c r="AU190" i="65"/>
  <c r="EB188" i="65"/>
  <c r="U189" i="65"/>
  <c r="DX187" i="65"/>
  <c r="Q188" i="65"/>
  <c r="ER187" i="65"/>
  <c r="AV188" i="65"/>
  <c r="DZ191" i="65"/>
  <c r="S192" i="65"/>
  <c r="EC188" i="65"/>
  <c r="V189" i="65"/>
  <c r="EN188" i="65"/>
  <c r="AR189" i="65"/>
  <c r="EO189" i="65"/>
  <c r="AS190" i="65"/>
  <c r="EP188" i="65"/>
  <c r="AT189" i="65"/>
  <c r="EH189" i="65"/>
  <c r="AL190" i="65"/>
  <c r="EG188" i="65"/>
  <c r="Z189" i="65"/>
  <c r="EA187" i="65"/>
  <c r="T188" i="65"/>
  <c r="EL188" i="65"/>
  <c r="AP189" i="65"/>
  <c r="EM187" i="65"/>
  <c r="AQ188" i="65"/>
  <c r="EE187" i="65"/>
  <c r="X188" i="65"/>
  <c r="EF189" i="65"/>
  <c r="Y190" i="65"/>
  <c r="DY187" i="65"/>
  <c r="R188" i="65"/>
  <c r="EJ188" i="65" l="1"/>
  <c r="AN189" i="65"/>
  <c r="EK188" i="65"/>
  <c r="AO189" i="65"/>
  <c r="EL189" i="65"/>
  <c r="AP190" i="65"/>
  <c r="EA188" i="65"/>
  <c r="T189" i="65"/>
  <c r="DY188" i="65"/>
  <c r="R189" i="65"/>
  <c r="DX188" i="65"/>
  <c r="Q189" i="65"/>
  <c r="EF190" i="65"/>
  <c r="Y191" i="65"/>
  <c r="EH190" i="65"/>
  <c r="AL191" i="65"/>
  <c r="EB189" i="65"/>
  <c r="U190" i="65"/>
  <c r="EE188" i="65"/>
  <c r="X189" i="65"/>
  <c r="EP189" i="65"/>
  <c r="AT190" i="65"/>
  <c r="EQ190" i="65"/>
  <c r="AU191" i="65"/>
  <c r="EM188" i="65"/>
  <c r="AQ189" i="65"/>
  <c r="EO190" i="65"/>
  <c r="AS191" i="65"/>
  <c r="ED189" i="65"/>
  <c r="W190" i="65"/>
  <c r="EN189" i="65"/>
  <c r="AR190" i="65"/>
  <c r="DZ192" i="65"/>
  <c r="S193" i="65"/>
  <c r="ER188" i="65"/>
  <c r="AV189" i="65"/>
  <c r="EG189" i="65"/>
  <c r="Z190" i="65"/>
  <c r="DW188" i="65"/>
  <c r="P189" i="65"/>
  <c r="EC189" i="65"/>
  <c r="V190" i="65"/>
  <c r="EI189" i="65"/>
  <c r="AM190" i="65"/>
  <c r="EJ189" i="65" l="1"/>
  <c r="AN190" i="65"/>
  <c r="AO190" i="65"/>
  <c r="EK189" i="65"/>
  <c r="EI190" i="65"/>
  <c r="AM191" i="65"/>
  <c r="EN190" i="65"/>
  <c r="AR191" i="65"/>
  <c r="EE189" i="65"/>
  <c r="X190" i="65"/>
  <c r="EB190" i="65"/>
  <c r="U191" i="65"/>
  <c r="EH191" i="65"/>
  <c r="AL192" i="65"/>
  <c r="EC190" i="65"/>
  <c r="V191" i="65"/>
  <c r="EF191" i="65"/>
  <c r="Y192" i="65"/>
  <c r="DX189" i="65"/>
  <c r="Q190" i="65"/>
  <c r="EM189" i="65"/>
  <c r="AQ190" i="65"/>
  <c r="EQ191" i="65"/>
  <c r="AU192" i="65"/>
  <c r="EG190" i="65"/>
  <c r="Z191" i="65"/>
  <c r="EP190" i="65"/>
  <c r="AT191" i="65"/>
  <c r="EL190" i="65"/>
  <c r="AP191" i="65"/>
  <c r="ER189" i="65"/>
  <c r="AV190" i="65"/>
  <c r="DZ193" i="65"/>
  <c r="S194" i="65"/>
  <c r="ED190" i="65"/>
  <c r="W191" i="65"/>
  <c r="EO191" i="65"/>
  <c r="AS192" i="65"/>
  <c r="DW189" i="65"/>
  <c r="P190" i="65"/>
  <c r="DY189" i="65"/>
  <c r="R190" i="65"/>
  <c r="EA189" i="65"/>
  <c r="T190" i="65"/>
  <c r="EK190" i="65" l="1"/>
  <c r="AO191" i="65"/>
  <c r="AN191" i="65"/>
  <c r="EJ190" i="65"/>
  <c r="EF192" i="65"/>
  <c r="Y193" i="65"/>
  <c r="DY190" i="65"/>
  <c r="R191" i="65"/>
  <c r="EL191" i="65"/>
  <c r="AP192" i="65"/>
  <c r="EA190" i="65"/>
  <c r="T191" i="65"/>
  <c r="EC191" i="65"/>
  <c r="V192" i="65"/>
  <c r="EG191" i="65"/>
  <c r="Z192" i="65"/>
  <c r="EQ192" i="65"/>
  <c r="AU193" i="65"/>
  <c r="EB191" i="65"/>
  <c r="U192" i="65"/>
  <c r="EO192" i="65"/>
  <c r="AS193" i="65"/>
  <c r="EM190" i="65"/>
  <c r="AQ191" i="65"/>
  <c r="DZ194" i="65"/>
  <c r="S195" i="65"/>
  <c r="DX190" i="65"/>
  <c r="Q191" i="65"/>
  <c r="EI191" i="65"/>
  <c r="AM192" i="65"/>
  <c r="ER190" i="65"/>
  <c r="AV191" i="65"/>
  <c r="EP191" i="65"/>
  <c r="AT192" i="65"/>
  <c r="EH192" i="65"/>
  <c r="AL193" i="65"/>
  <c r="DW190" i="65"/>
  <c r="P191" i="65"/>
  <c r="EE190" i="65"/>
  <c r="X191" i="65"/>
  <c r="ED191" i="65"/>
  <c r="W192" i="65"/>
  <c r="EN191" i="65"/>
  <c r="AR192" i="65"/>
  <c r="EK191" i="65" l="1"/>
  <c r="AO192" i="65"/>
  <c r="EJ191" i="65"/>
  <c r="AN192" i="65"/>
  <c r="EP192" i="65"/>
  <c r="AT193" i="65"/>
  <c r="EA191" i="65"/>
  <c r="T192" i="65"/>
  <c r="EI192" i="65"/>
  <c r="AM193" i="65"/>
  <c r="EQ193" i="65"/>
  <c r="AU194" i="65"/>
  <c r="ED192" i="65"/>
  <c r="W193" i="65"/>
  <c r="EG192" i="65"/>
  <c r="Z193" i="65"/>
  <c r="EN192" i="65"/>
  <c r="AR193" i="65"/>
  <c r="EE191" i="65"/>
  <c r="X192" i="65"/>
  <c r="DY191" i="65"/>
  <c r="R192" i="65"/>
  <c r="EH193" i="65"/>
  <c r="AL194" i="65"/>
  <c r="EB192" i="65"/>
  <c r="U193" i="65"/>
  <c r="EF193" i="65"/>
  <c r="Y194" i="65"/>
  <c r="ER191" i="65"/>
  <c r="AV192" i="65"/>
  <c r="EC192" i="65"/>
  <c r="V193" i="65"/>
  <c r="DX191" i="65"/>
  <c r="Q192" i="65"/>
  <c r="DZ195" i="65"/>
  <c r="S196" i="65"/>
  <c r="EL192" i="65"/>
  <c r="AP193" i="65"/>
  <c r="EM191" i="65"/>
  <c r="AQ192" i="65"/>
  <c r="DW191" i="65"/>
  <c r="P192" i="65"/>
  <c r="EO193" i="65"/>
  <c r="AS194" i="65"/>
  <c r="AN193" i="65" l="1"/>
  <c r="EJ192" i="65"/>
  <c r="EK192" i="65"/>
  <c r="AO193" i="65"/>
  <c r="DX192" i="65"/>
  <c r="Q193" i="65"/>
  <c r="EE192" i="65"/>
  <c r="X193" i="65"/>
  <c r="EC193" i="65"/>
  <c r="V194" i="65"/>
  <c r="EN193" i="65"/>
  <c r="AR194" i="65"/>
  <c r="EG193" i="65"/>
  <c r="Z194" i="65"/>
  <c r="DW192" i="65"/>
  <c r="P193" i="65"/>
  <c r="EM192" i="65"/>
  <c r="AQ193" i="65"/>
  <c r="EQ194" i="65"/>
  <c r="AU195" i="65"/>
  <c r="EI193" i="65"/>
  <c r="AM194" i="65"/>
  <c r="EL193" i="65"/>
  <c r="AP194" i="65"/>
  <c r="DY192" i="65"/>
  <c r="R193" i="65"/>
  <c r="DZ196" i="65"/>
  <c r="S197" i="65"/>
  <c r="EP193" i="65"/>
  <c r="AT194" i="65"/>
  <c r="EO194" i="65"/>
  <c r="AS195" i="65"/>
  <c r="ER192" i="65"/>
  <c r="AV193" i="65"/>
  <c r="EF194" i="65"/>
  <c r="Y195" i="65"/>
  <c r="ED193" i="65"/>
  <c r="W194" i="65"/>
  <c r="EB193" i="65"/>
  <c r="U194" i="65"/>
  <c r="EH194" i="65"/>
  <c r="AL195" i="65"/>
  <c r="EA192" i="65"/>
  <c r="T193" i="65"/>
  <c r="EK193" i="65" l="1"/>
  <c r="AO194" i="65"/>
  <c r="AN194" i="65"/>
  <c r="EJ193" i="65"/>
  <c r="EO195" i="65"/>
  <c r="AS196" i="65"/>
  <c r="EM193" i="65"/>
  <c r="AQ194" i="65"/>
  <c r="EQ195" i="65"/>
  <c r="AU196" i="65"/>
  <c r="DW193" i="65"/>
  <c r="P194" i="65"/>
  <c r="EH195" i="65"/>
  <c r="AL196" i="65"/>
  <c r="DZ197" i="65"/>
  <c r="S198" i="65"/>
  <c r="EL194" i="65"/>
  <c r="AP195" i="65"/>
  <c r="EE193" i="65"/>
  <c r="X194" i="65"/>
  <c r="EF195" i="65"/>
  <c r="Y196" i="65"/>
  <c r="EI194" i="65"/>
  <c r="AM195" i="65"/>
  <c r="DX193" i="65"/>
  <c r="Q194" i="65"/>
  <c r="ER193" i="65"/>
  <c r="AV194" i="65"/>
  <c r="EA193" i="65"/>
  <c r="T194" i="65"/>
  <c r="EP194" i="65"/>
  <c r="AT195" i="65"/>
  <c r="EG194" i="65"/>
  <c r="Z195" i="65"/>
  <c r="EN194" i="65"/>
  <c r="AR195" i="65"/>
  <c r="EB194" i="65"/>
  <c r="U195" i="65"/>
  <c r="DY193" i="65"/>
  <c r="R194" i="65"/>
  <c r="EC194" i="65"/>
  <c r="V195" i="65"/>
  <c r="ED194" i="65"/>
  <c r="W195" i="65"/>
  <c r="AN195" i="65" l="1"/>
  <c r="EJ194" i="65"/>
  <c r="AO195" i="65"/>
  <c r="EK194" i="65"/>
  <c r="EL195" i="65"/>
  <c r="AP196" i="65"/>
  <c r="EE194" i="65"/>
  <c r="X195" i="65"/>
  <c r="EP195" i="65"/>
  <c r="AT196" i="65"/>
  <c r="EA194" i="65"/>
  <c r="T195" i="65"/>
  <c r="ED195" i="65"/>
  <c r="W196" i="65"/>
  <c r="EH196" i="65"/>
  <c r="AL197" i="65"/>
  <c r="ER194" i="65"/>
  <c r="AV195" i="65"/>
  <c r="EB195" i="65"/>
  <c r="U196" i="65"/>
  <c r="EQ196" i="65"/>
  <c r="AU197" i="65"/>
  <c r="EN195" i="65"/>
  <c r="AR196" i="65"/>
  <c r="EM194" i="65"/>
  <c r="AQ195" i="65"/>
  <c r="EF196" i="65"/>
  <c r="Y197" i="65"/>
  <c r="EO196" i="65"/>
  <c r="AS197" i="65"/>
  <c r="EG195" i="65"/>
  <c r="Z196" i="65"/>
  <c r="DZ198" i="65"/>
  <c r="S199" i="65"/>
  <c r="EC195" i="65"/>
  <c r="V196" i="65"/>
  <c r="DY194" i="65"/>
  <c r="R195" i="65"/>
  <c r="DW194" i="65"/>
  <c r="P195" i="65"/>
  <c r="DX194" i="65"/>
  <c r="Q195" i="65"/>
  <c r="EI195" i="65"/>
  <c r="AM196" i="65"/>
  <c r="AN196" i="65" l="1"/>
  <c r="EJ195" i="65"/>
  <c r="EK195" i="65"/>
  <c r="AO196" i="65"/>
  <c r="EH197" i="65"/>
  <c r="AL198" i="65"/>
  <c r="EG196" i="65"/>
  <c r="Z197" i="65"/>
  <c r="EI196" i="65"/>
  <c r="AM197" i="65"/>
  <c r="EB196" i="65"/>
  <c r="U197" i="65"/>
  <c r="EF197" i="65"/>
  <c r="Y198" i="65"/>
  <c r="DW195" i="65"/>
  <c r="P196" i="65"/>
  <c r="EA195" i="65"/>
  <c r="T196" i="65"/>
  <c r="EM195" i="65"/>
  <c r="AQ196" i="65"/>
  <c r="EC196" i="65"/>
  <c r="V197" i="65"/>
  <c r="EN196" i="65"/>
  <c r="AR197" i="65"/>
  <c r="EE195" i="65"/>
  <c r="X196" i="65"/>
  <c r="DZ199" i="65"/>
  <c r="S200" i="65"/>
  <c r="EQ197" i="65"/>
  <c r="AU198" i="65"/>
  <c r="EL196" i="65"/>
  <c r="AP197" i="65"/>
  <c r="ER195" i="65"/>
  <c r="AV196" i="65"/>
  <c r="EO197" i="65"/>
  <c r="AS198" i="65"/>
  <c r="DX195" i="65"/>
  <c r="Q196" i="65"/>
  <c r="ED196" i="65"/>
  <c r="W197" i="65"/>
  <c r="DY195" i="65"/>
  <c r="R196" i="65"/>
  <c r="EP196" i="65"/>
  <c r="AT197" i="65"/>
  <c r="AO197" i="65" l="1"/>
  <c r="EK196" i="65"/>
  <c r="EJ196" i="65"/>
  <c r="AN197" i="65"/>
  <c r="EL197" i="65"/>
  <c r="AP198" i="65"/>
  <c r="EQ198" i="65"/>
  <c r="AU199" i="65"/>
  <c r="EF198" i="65"/>
  <c r="Y199" i="65"/>
  <c r="DY196" i="65"/>
  <c r="R197" i="65"/>
  <c r="EA196" i="65"/>
  <c r="T197" i="65"/>
  <c r="EP197" i="65"/>
  <c r="AT198" i="65"/>
  <c r="DZ200" i="65"/>
  <c r="S201" i="65"/>
  <c r="ER196" i="65"/>
  <c r="AV197" i="65"/>
  <c r="DW196" i="65"/>
  <c r="P197" i="65"/>
  <c r="EE196" i="65"/>
  <c r="X197" i="65"/>
  <c r="EB197" i="65"/>
  <c r="U198" i="65"/>
  <c r="ED197" i="65"/>
  <c r="W198" i="65"/>
  <c r="EN197" i="65"/>
  <c r="AR198" i="65"/>
  <c r="EI197" i="65"/>
  <c r="AM198" i="65"/>
  <c r="DX196" i="65"/>
  <c r="Q197" i="65"/>
  <c r="EC197" i="65"/>
  <c r="V198" i="65"/>
  <c r="EG197" i="65"/>
  <c r="Z198" i="65"/>
  <c r="EO198" i="65"/>
  <c r="AS199" i="65"/>
  <c r="EM196" i="65"/>
  <c r="AQ197" i="65"/>
  <c r="EH198" i="65"/>
  <c r="AL199" i="65"/>
  <c r="EK197" i="65" l="1"/>
  <c r="AO198" i="65"/>
  <c r="AN198" i="65"/>
  <c r="EJ197" i="65"/>
  <c r="EE197" i="65"/>
  <c r="X198" i="65"/>
  <c r="EP198" i="65"/>
  <c r="AT199" i="65"/>
  <c r="EH199" i="65"/>
  <c r="AL200" i="65"/>
  <c r="EB198" i="65"/>
  <c r="U199" i="65"/>
  <c r="EA197" i="65"/>
  <c r="T198" i="65"/>
  <c r="ED198" i="65"/>
  <c r="W199" i="65"/>
  <c r="EM197" i="65"/>
  <c r="AQ198" i="65"/>
  <c r="EO199" i="65"/>
  <c r="AS200" i="65"/>
  <c r="EI198" i="65"/>
  <c r="AM199" i="65"/>
  <c r="EN198" i="65"/>
  <c r="AR199" i="65"/>
  <c r="DY197" i="65"/>
  <c r="R198" i="65"/>
  <c r="EF199" i="65"/>
  <c r="Y200" i="65"/>
  <c r="EG198" i="65"/>
  <c r="Z199" i="65"/>
  <c r="DW197" i="65"/>
  <c r="P198" i="65"/>
  <c r="EC198" i="65"/>
  <c r="V199" i="65"/>
  <c r="ER197" i="65"/>
  <c r="AV198" i="65"/>
  <c r="EQ199" i="65"/>
  <c r="AU200" i="65"/>
  <c r="DX197" i="65"/>
  <c r="Q198" i="65"/>
  <c r="DZ201" i="65"/>
  <c r="S202" i="65"/>
  <c r="EL198" i="65"/>
  <c r="AP199" i="65"/>
  <c r="EJ198" i="65" l="1"/>
  <c r="AN199" i="65"/>
  <c r="AO199" i="65"/>
  <c r="EK198" i="65"/>
  <c r="DW198" i="65"/>
  <c r="P199" i="65"/>
  <c r="EG199" i="65"/>
  <c r="Z200" i="65"/>
  <c r="EF200" i="65"/>
  <c r="Y201" i="65"/>
  <c r="DY198" i="65"/>
  <c r="R199" i="65"/>
  <c r="EN199" i="65"/>
  <c r="AR200" i="65"/>
  <c r="EE198" i="65"/>
  <c r="X199" i="65"/>
  <c r="EO200" i="65"/>
  <c r="AS201" i="65"/>
  <c r="EM198" i="65"/>
  <c r="AQ199" i="65"/>
  <c r="EL199" i="65"/>
  <c r="AP200" i="65"/>
  <c r="ED199" i="65"/>
  <c r="W200" i="65"/>
  <c r="DZ202" i="65"/>
  <c r="S203" i="65"/>
  <c r="EA198" i="65"/>
  <c r="T199" i="65"/>
  <c r="DX198" i="65"/>
  <c r="Q199" i="65"/>
  <c r="EB199" i="65"/>
  <c r="U200" i="65"/>
  <c r="EQ200" i="65"/>
  <c r="AU201" i="65"/>
  <c r="EH200" i="65"/>
  <c r="AL201" i="65"/>
  <c r="ER198" i="65"/>
  <c r="AV199" i="65"/>
  <c r="EI199" i="65"/>
  <c r="AM200" i="65"/>
  <c r="EP199" i="65"/>
  <c r="AT200" i="65"/>
  <c r="EC199" i="65"/>
  <c r="V200" i="65"/>
  <c r="AO200" i="65" l="1"/>
  <c r="EK199" i="65"/>
  <c r="EJ199" i="65"/>
  <c r="AN200" i="65"/>
  <c r="EB200" i="65"/>
  <c r="U201" i="65"/>
  <c r="EQ201" i="65"/>
  <c r="AU202" i="65"/>
  <c r="EA199" i="65"/>
  <c r="T200" i="65"/>
  <c r="DZ203" i="65"/>
  <c r="S204" i="65"/>
  <c r="EI200" i="65"/>
  <c r="AM201" i="65"/>
  <c r="EO201" i="65"/>
  <c r="AS202" i="65"/>
  <c r="EE199" i="65"/>
  <c r="X200" i="65"/>
  <c r="EN200" i="65"/>
  <c r="AR201" i="65"/>
  <c r="DY199" i="65"/>
  <c r="R200" i="65"/>
  <c r="EP200" i="65"/>
  <c r="AT201" i="65"/>
  <c r="EF201" i="65"/>
  <c r="Y202" i="65"/>
  <c r="ER199" i="65"/>
  <c r="AV200" i="65"/>
  <c r="EG200" i="65"/>
  <c r="Z201" i="65"/>
  <c r="EH201" i="65"/>
  <c r="AL202" i="65"/>
  <c r="EM199" i="65"/>
  <c r="AQ200" i="65"/>
  <c r="DW199" i="65"/>
  <c r="P200" i="65"/>
  <c r="DX199" i="65"/>
  <c r="Q200" i="65"/>
  <c r="EC200" i="65"/>
  <c r="V201" i="65"/>
  <c r="ED200" i="65"/>
  <c r="W201" i="65"/>
  <c r="EL200" i="65"/>
  <c r="AP201" i="65"/>
  <c r="EJ200" i="65" l="1"/>
  <c r="AN201" i="65"/>
  <c r="EK200" i="65"/>
  <c r="AO201" i="65"/>
  <c r="EH202" i="65"/>
  <c r="AL203" i="65"/>
  <c r="EL201" i="65"/>
  <c r="AP202" i="65"/>
  <c r="EI201" i="65"/>
  <c r="AM202" i="65"/>
  <c r="DZ204" i="65"/>
  <c r="S205" i="65"/>
  <c r="EA200" i="65"/>
  <c r="T201" i="65"/>
  <c r="EE200" i="65"/>
  <c r="X201" i="65"/>
  <c r="ER200" i="65"/>
  <c r="AV201" i="65"/>
  <c r="EF202" i="65"/>
  <c r="Y203" i="65"/>
  <c r="EC201" i="65"/>
  <c r="V202" i="65"/>
  <c r="DX200" i="65"/>
  <c r="Q201" i="65"/>
  <c r="DW200" i="65"/>
  <c r="P201" i="65"/>
  <c r="DY200" i="65"/>
  <c r="R201" i="65"/>
  <c r="EM200" i="65"/>
  <c r="AQ201" i="65"/>
  <c r="EN201" i="65"/>
  <c r="AR202" i="65"/>
  <c r="EB201" i="65"/>
  <c r="U202" i="65"/>
  <c r="EG201" i="65"/>
  <c r="Z202" i="65"/>
  <c r="EO202" i="65"/>
  <c r="AS203" i="65"/>
  <c r="ED201" i="65"/>
  <c r="W202" i="65"/>
  <c r="EP201" i="65"/>
  <c r="AT202" i="65"/>
  <c r="EQ202" i="65"/>
  <c r="AU203" i="65"/>
  <c r="EK201" i="65" l="1"/>
  <c r="AO202" i="65"/>
  <c r="AN202" i="65"/>
  <c r="EJ201" i="65"/>
  <c r="ER201" i="65"/>
  <c r="AV202" i="65"/>
  <c r="EM201" i="65"/>
  <c r="AQ202" i="65"/>
  <c r="EA201" i="65"/>
  <c r="T202" i="65"/>
  <c r="DW201" i="65"/>
  <c r="P202" i="65"/>
  <c r="DX201" i="65"/>
  <c r="Q202" i="65"/>
  <c r="EE201" i="65"/>
  <c r="X202" i="65"/>
  <c r="EQ203" i="65"/>
  <c r="AU204" i="65"/>
  <c r="EP202" i="65"/>
  <c r="AT203" i="65"/>
  <c r="EI202" i="65"/>
  <c r="AM203" i="65"/>
  <c r="EC202" i="65"/>
  <c r="V203" i="65"/>
  <c r="EG202" i="65"/>
  <c r="Z203" i="65"/>
  <c r="EF203" i="65"/>
  <c r="Y204" i="65"/>
  <c r="EH203" i="65"/>
  <c r="AL204" i="65"/>
  <c r="EB202" i="65"/>
  <c r="U203" i="65"/>
  <c r="EN202" i="65"/>
  <c r="AR203" i="65"/>
  <c r="DY201" i="65"/>
  <c r="R202" i="65"/>
  <c r="DZ205" i="65"/>
  <c r="S206" i="65"/>
  <c r="ED202" i="65"/>
  <c r="W203" i="65"/>
  <c r="EO203" i="65"/>
  <c r="AS204" i="65"/>
  <c r="EL202" i="65"/>
  <c r="AP203" i="65"/>
  <c r="EJ202" i="65" l="1"/>
  <c r="AN203" i="65"/>
  <c r="EK202" i="65"/>
  <c r="AO203" i="65"/>
  <c r="EB203" i="65"/>
  <c r="U204" i="65"/>
  <c r="EP203" i="65"/>
  <c r="AT204" i="65"/>
  <c r="EQ204" i="65"/>
  <c r="AU205" i="65"/>
  <c r="EL203" i="65"/>
  <c r="AP204" i="65"/>
  <c r="EH204" i="65"/>
  <c r="AL205" i="65"/>
  <c r="EO204" i="65"/>
  <c r="AS205" i="65"/>
  <c r="DX202" i="65"/>
  <c r="Q203" i="65"/>
  <c r="ED203" i="65"/>
  <c r="W204" i="65"/>
  <c r="DW202" i="65"/>
  <c r="P203" i="65"/>
  <c r="EA202" i="65"/>
  <c r="T203" i="65"/>
  <c r="ER202" i="65"/>
  <c r="AV203" i="65"/>
  <c r="EN203" i="65"/>
  <c r="AR204" i="65"/>
  <c r="EE202" i="65"/>
  <c r="X203" i="65"/>
  <c r="EF204" i="65"/>
  <c r="Y205" i="65"/>
  <c r="EG203" i="65"/>
  <c r="Z204" i="65"/>
  <c r="DZ206" i="65"/>
  <c r="S207" i="65"/>
  <c r="EC203" i="65"/>
  <c r="V204" i="65"/>
  <c r="DY202" i="65"/>
  <c r="R203" i="65"/>
  <c r="EI203" i="65"/>
  <c r="AM204" i="65"/>
  <c r="EM202" i="65"/>
  <c r="AQ203" i="65"/>
  <c r="EK203" i="65" l="1"/>
  <c r="AO204" i="65"/>
  <c r="EJ203" i="65"/>
  <c r="AN204" i="65"/>
  <c r="DX203" i="65"/>
  <c r="Q204" i="65"/>
  <c r="ED204" i="65"/>
  <c r="W205" i="65"/>
  <c r="EF205" i="65"/>
  <c r="Y206" i="65"/>
  <c r="EM203" i="65"/>
  <c r="AQ204" i="65"/>
  <c r="EN204" i="65"/>
  <c r="AR205" i="65"/>
  <c r="EI204" i="65"/>
  <c r="AM205" i="65"/>
  <c r="ER203" i="65"/>
  <c r="AV204" i="65"/>
  <c r="DY203" i="65"/>
  <c r="R204" i="65"/>
  <c r="EC204" i="65"/>
  <c r="V205" i="65"/>
  <c r="EP204" i="65"/>
  <c r="AT205" i="65"/>
  <c r="DZ207" i="65"/>
  <c r="S208" i="65"/>
  <c r="DW203" i="65"/>
  <c r="P204" i="65"/>
  <c r="EB204" i="65"/>
  <c r="U205" i="65"/>
  <c r="EG204" i="65"/>
  <c r="Z205" i="65"/>
  <c r="EE203" i="65"/>
  <c r="X204" i="65"/>
  <c r="EO205" i="65"/>
  <c r="AS206" i="65"/>
  <c r="EH205" i="65"/>
  <c r="AL206" i="65"/>
  <c r="EL204" i="65"/>
  <c r="AP205" i="65"/>
  <c r="EQ205" i="65"/>
  <c r="AU206" i="65"/>
  <c r="EA203" i="65"/>
  <c r="T204" i="65"/>
  <c r="EJ204" i="65" l="1"/>
  <c r="AN205" i="65"/>
  <c r="AO205" i="65"/>
  <c r="EK204" i="65"/>
  <c r="ER204" i="65"/>
  <c r="AV205" i="65"/>
  <c r="EB205" i="65"/>
  <c r="U206" i="65"/>
  <c r="DZ208" i="65"/>
  <c r="S209" i="65"/>
  <c r="EP205" i="65"/>
  <c r="AT206" i="65"/>
  <c r="EF206" i="65"/>
  <c r="Y207" i="65"/>
  <c r="EG205" i="65"/>
  <c r="Z206" i="65"/>
  <c r="DW204" i="65"/>
  <c r="P205" i="65"/>
  <c r="EQ206" i="65"/>
  <c r="AU207" i="65"/>
  <c r="EM204" i="65"/>
  <c r="AQ205" i="65"/>
  <c r="EE204" i="65"/>
  <c r="X205" i="65"/>
  <c r="DX204" i="65"/>
  <c r="Q205" i="65"/>
  <c r="EI205" i="65"/>
  <c r="AM206" i="65"/>
  <c r="EA204" i="65"/>
  <c r="T205" i="65"/>
  <c r="EN205" i="65"/>
  <c r="AR206" i="65"/>
  <c r="EL205" i="65"/>
  <c r="AP206" i="65"/>
  <c r="EH206" i="65"/>
  <c r="AL207" i="65"/>
  <c r="EC205" i="65"/>
  <c r="V206" i="65"/>
  <c r="EO206" i="65"/>
  <c r="AS207" i="65"/>
  <c r="ED205" i="65"/>
  <c r="W206" i="65"/>
  <c r="DY204" i="65"/>
  <c r="R205" i="65"/>
  <c r="EK205" i="65" l="1"/>
  <c r="AO206" i="65"/>
  <c r="EJ205" i="65"/>
  <c r="AN206" i="65"/>
  <c r="EN206" i="65"/>
  <c r="AR207" i="65"/>
  <c r="EG206" i="65"/>
  <c r="Z207" i="65"/>
  <c r="EF207" i="65"/>
  <c r="Y208" i="65"/>
  <c r="EQ207" i="65"/>
  <c r="AU208" i="65"/>
  <c r="DX205" i="65"/>
  <c r="Q206" i="65"/>
  <c r="EO207" i="65"/>
  <c r="AS208" i="65"/>
  <c r="EL206" i="65"/>
  <c r="AP207" i="65"/>
  <c r="DY205" i="65"/>
  <c r="R206" i="65"/>
  <c r="ED206" i="65"/>
  <c r="W207" i="65"/>
  <c r="EP206" i="65"/>
  <c r="AT207" i="65"/>
  <c r="DZ209" i="65"/>
  <c r="S210" i="65"/>
  <c r="EM205" i="65"/>
  <c r="AQ206" i="65"/>
  <c r="ER205" i="65"/>
  <c r="AV206" i="65"/>
  <c r="DW205" i="65"/>
  <c r="P206" i="65"/>
  <c r="EA205" i="65"/>
  <c r="T206" i="65"/>
  <c r="EI206" i="65"/>
  <c r="AM207" i="65"/>
  <c r="EE205" i="65"/>
  <c r="X206" i="65"/>
  <c r="EC206" i="65"/>
  <c r="V207" i="65"/>
  <c r="EB206" i="65"/>
  <c r="U207" i="65"/>
  <c r="EH207" i="65"/>
  <c r="AL208" i="65"/>
  <c r="EJ206" i="65" l="1"/>
  <c r="AN207" i="65"/>
  <c r="EK206" i="65"/>
  <c r="AO207" i="65"/>
  <c r="EA206" i="65"/>
  <c r="T207" i="65"/>
  <c r="DW206" i="65"/>
  <c r="P207" i="65"/>
  <c r="EO208" i="65"/>
  <c r="AS209" i="65"/>
  <c r="DX206" i="65"/>
  <c r="Q207" i="65"/>
  <c r="EQ208" i="65"/>
  <c r="AU209" i="65"/>
  <c r="DZ210" i="65"/>
  <c r="S211" i="65"/>
  <c r="EH208" i="65"/>
  <c r="AL209" i="65"/>
  <c r="EM206" i="65"/>
  <c r="AQ207" i="65"/>
  <c r="EC207" i="65"/>
  <c r="V208" i="65"/>
  <c r="ED207" i="65"/>
  <c r="W208" i="65"/>
  <c r="EN207" i="65"/>
  <c r="AR208" i="65"/>
  <c r="DY206" i="65"/>
  <c r="R207" i="65"/>
  <c r="EL207" i="65"/>
  <c r="AP208" i="65"/>
  <c r="ER206" i="65"/>
  <c r="AV207" i="65"/>
  <c r="EB207" i="65"/>
  <c r="U208" i="65"/>
  <c r="EE206" i="65"/>
  <c r="X207" i="65"/>
  <c r="EF208" i="65"/>
  <c r="Y209" i="65"/>
  <c r="EP207" i="65"/>
  <c r="AT208" i="65"/>
  <c r="EG207" i="65"/>
  <c r="Z208" i="65"/>
  <c r="EI207" i="65"/>
  <c r="AM208" i="65"/>
  <c r="EK207" i="65" l="1"/>
  <c r="AO208" i="65"/>
  <c r="EJ207" i="65"/>
  <c r="AN208" i="65"/>
  <c r="DZ211" i="65"/>
  <c r="S212" i="65"/>
  <c r="EL208" i="65"/>
  <c r="AP209" i="65"/>
  <c r="DX207" i="65"/>
  <c r="Q208" i="65"/>
  <c r="EM207" i="65"/>
  <c r="AQ208" i="65"/>
  <c r="EH209" i="65"/>
  <c r="AL210" i="65"/>
  <c r="EI208" i="65"/>
  <c r="AM209" i="65"/>
  <c r="ER207" i="65"/>
  <c r="AV208" i="65"/>
  <c r="EG208" i="65"/>
  <c r="Z209" i="65"/>
  <c r="EQ209" i="65"/>
  <c r="AU210" i="65"/>
  <c r="EO209" i="65"/>
  <c r="AS210" i="65"/>
  <c r="EF209" i="65"/>
  <c r="Y210" i="65"/>
  <c r="ED208" i="65"/>
  <c r="W209" i="65"/>
  <c r="EE207" i="65"/>
  <c r="X208" i="65"/>
  <c r="EC208" i="65"/>
  <c r="V209" i="65"/>
  <c r="EA207" i="65"/>
  <c r="T208" i="65"/>
  <c r="EB208" i="65"/>
  <c r="U209" i="65"/>
  <c r="EP208" i="65"/>
  <c r="AT209" i="65"/>
  <c r="DY207" i="65"/>
  <c r="R208" i="65"/>
  <c r="EN208" i="65"/>
  <c r="AR209" i="65"/>
  <c r="DW207" i="65"/>
  <c r="P208" i="65"/>
  <c r="AO209" i="65" l="1"/>
  <c r="EK208" i="65"/>
  <c r="EJ208" i="65"/>
  <c r="AN209" i="65"/>
  <c r="EA208" i="65"/>
  <c r="T209" i="65"/>
  <c r="EI209" i="65"/>
  <c r="AM210" i="65"/>
  <c r="DW208" i="65"/>
  <c r="P209" i="65"/>
  <c r="EE208" i="65"/>
  <c r="X209" i="65"/>
  <c r="EM208" i="65"/>
  <c r="AQ209" i="65"/>
  <c r="DY208" i="65"/>
  <c r="R209" i="65"/>
  <c r="DX208" i="65"/>
  <c r="Q209" i="65"/>
  <c r="EH210" i="65"/>
  <c r="AL211" i="65"/>
  <c r="ED209" i="65"/>
  <c r="W210" i="65"/>
  <c r="EF210" i="65"/>
  <c r="Y211" i="65"/>
  <c r="EB209" i="65"/>
  <c r="U210" i="65"/>
  <c r="EG209" i="65"/>
  <c r="Z210" i="65"/>
  <c r="DZ212" i="65"/>
  <c r="S213" i="65"/>
  <c r="ER208" i="65"/>
  <c r="AV209" i="65"/>
  <c r="EC209" i="65"/>
  <c r="V210" i="65"/>
  <c r="EN209" i="65"/>
  <c r="AR210" i="65"/>
  <c r="EP209" i="65"/>
  <c r="AT210" i="65"/>
  <c r="EO210" i="65"/>
  <c r="AS211" i="65"/>
  <c r="EQ210" i="65"/>
  <c r="AU211" i="65"/>
  <c r="EL209" i="65"/>
  <c r="AP210" i="65"/>
  <c r="EJ209" i="65" l="1"/>
  <c r="AN210" i="65"/>
  <c r="EK209" i="65"/>
  <c r="AO210" i="65"/>
  <c r="EC210" i="65"/>
  <c r="V211" i="65"/>
  <c r="DZ213" i="65"/>
  <c r="S214" i="65"/>
  <c r="EO211" i="65"/>
  <c r="AS212" i="65"/>
  <c r="DW209" i="65"/>
  <c r="P210" i="65"/>
  <c r="EH211" i="65"/>
  <c r="AL212" i="65"/>
  <c r="ER209" i="65"/>
  <c r="AV210" i="65"/>
  <c r="EG210" i="65"/>
  <c r="Z211" i="65"/>
  <c r="EE209" i="65"/>
  <c r="X210" i="65"/>
  <c r="EF211" i="65"/>
  <c r="Y212" i="65"/>
  <c r="EN210" i="65"/>
  <c r="AR211" i="65"/>
  <c r="ED210" i="65"/>
  <c r="W211" i="65"/>
  <c r="EA209" i="65"/>
  <c r="T210" i="65"/>
  <c r="DX209" i="65"/>
  <c r="Q210" i="65"/>
  <c r="EL210" i="65"/>
  <c r="AP211" i="65"/>
  <c r="DY209" i="65"/>
  <c r="R210" i="65"/>
  <c r="EQ211" i="65"/>
  <c r="AU212" i="65"/>
  <c r="EM209" i="65"/>
  <c r="AQ210" i="65"/>
  <c r="EP210" i="65"/>
  <c r="AT211" i="65"/>
  <c r="EB210" i="65"/>
  <c r="U211" i="65"/>
  <c r="EI210" i="65"/>
  <c r="AM211" i="65"/>
  <c r="AO211" i="65" l="1"/>
  <c r="EK210" i="65"/>
  <c r="EJ210" i="65"/>
  <c r="AN211" i="65"/>
  <c r="EE210" i="65"/>
  <c r="X211" i="65"/>
  <c r="EH212" i="65"/>
  <c r="AL213" i="65"/>
  <c r="EB211" i="65"/>
  <c r="U212" i="65"/>
  <c r="EQ212" i="65"/>
  <c r="AU213" i="65"/>
  <c r="DY210" i="65"/>
  <c r="R211" i="65"/>
  <c r="EG211" i="65"/>
  <c r="Z212" i="65"/>
  <c r="EI211" i="65"/>
  <c r="AM212" i="65"/>
  <c r="ER210" i="65"/>
  <c r="AV211" i="65"/>
  <c r="EA210" i="65"/>
  <c r="T211" i="65"/>
  <c r="EO212" i="65"/>
  <c r="AS213" i="65"/>
  <c r="EN211" i="65"/>
  <c r="AR212" i="65"/>
  <c r="EM210" i="65"/>
  <c r="AQ211" i="65"/>
  <c r="EF212" i="65"/>
  <c r="Y213" i="65"/>
  <c r="EC211" i="65"/>
  <c r="V212" i="65"/>
  <c r="EL211" i="65"/>
  <c r="AP212" i="65"/>
  <c r="DX210" i="65"/>
  <c r="Q211" i="65"/>
  <c r="DW210" i="65"/>
  <c r="P211" i="65"/>
  <c r="EP211" i="65"/>
  <c r="AT212" i="65"/>
  <c r="ED211" i="65"/>
  <c r="W212" i="65"/>
  <c r="DZ214" i="65"/>
  <c r="S215" i="65"/>
  <c r="AN212" i="65" l="1"/>
  <c r="EJ211" i="65"/>
  <c r="EK211" i="65"/>
  <c r="AO212" i="65"/>
  <c r="EC212" i="65"/>
  <c r="V213" i="65"/>
  <c r="EI212" i="65"/>
  <c r="AM213" i="65"/>
  <c r="DZ215" i="65"/>
  <c r="S216" i="65"/>
  <c r="EG212" i="65"/>
  <c r="Z213" i="65"/>
  <c r="ED212" i="65"/>
  <c r="W213" i="65"/>
  <c r="DY211" i="65"/>
  <c r="R212" i="65"/>
  <c r="DW211" i="65"/>
  <c r="P212" i="65"/>
  <c r="EO213" i="65"/>
  <c r="AS214" i="65"/>
  <c r="DX211" i="65"/>
  <c r="Q212" i="65"/>
  <c r="EH213" i="65"/>
  <c r="AL214" i="65"/>
  <c r="EL212" i="65"/>
  <c r="AP213" i="65"/>
  <c r="EE211" i="65"/>
  <c r="X212" i="65"/>
  <c r="ER211" i="65"/>
  <c r="AV212" i="65"/>
  <c r="EF213" i="65"/>
  <c r="Y214" i="65"/>
  <c r="EM211" i="65"/>
  <c r="AQ212" i="65"/>
  <c r="EN212" i="65"/>
  <c r="AR213" i="65"/>
  <c r="EP212" i="65"/>
  <c r="AT213" i="65"/>
  <c r="EQ213" i="65"/>
  <c r="AU214" i="65"/>
  <c r="EB212" i="65"/>
  <c r="U213" i="65"/>
  <c r="EA211" i="65"/>
  <c r="T212" i="65"/>
  <c r="AO213" i="65" l="1"/>
  <c r="EK212" i="65"/>
  <c r="AN213" i="65"/>
  <c r="EJ212" i="65"/>
  <c r="DW212" i="65"/>
  <c r="P213" i="65"/>
  <c r="EA212" i="65"/>
  <c r="T213" i="65"/>
  <c r="EE212" i="65"/>
  <c r="X213" i="65"/>
  <c r="ED213" i="65"/>
  <c r="W214" i="65"/>
  <c r="EQ214" i="65"/>
  <c r="AU215" i="65"/>
  <c r="EP213" i="65"/>
  <c r="AT214" i="65"/>
  <c r="DX212" i="65"/>
  <c r="Q213" i="65"/>
  <c r="EM212" i="65"/>
  <c r="AQ213" i="65"/>
  <c r="EO214" i="65"/>
  <c r="AS215" i="65"/>
  <c r="EC213" i="65"/>
  <c r="V214" i="65"/>
  <c r="EF214" i="65"/>
  <c r="Y215" i="65"/>
  <c r="ER212" i="65"/>
  <c r="AV213" i="65"/>
  <c r="DY212" i="65"/>
  <c r="R213" i="65"/>
  <c r="EB213" i="65"/>
  <c r="U214" i="65"/>
  <c r="EL213" i="65"/>
  <c r="AP214" i="65"/>
  <c r="EG213" i="65"/>
  <c r="Z214" i="65"/>
  <c r="EH214" i="65"/>
  <c r="AL215" i="65"/>
  <c r="DZ216" i="65"/>
  <c r="S217" i="65"/>
  <c r="EN213" i="65"/>
  <c r="AR214" i="65"/>
  <c r="EI213" i="65"/>
  <c r="AM214" i="65"/>
  <c r="EJ213" i="65" l="1"/>
  <c r="AN214" i="65"/>
  <c r="EK213" i="65"/>
  <c r="AO214" i="65"/>
  <c r="EB214" i="65"/>
  <c r="U215" i="65"/>
  <c r="EP214" i="65"/>
  <c r="AT215" i="65"/>
  <c r="EQ215" i="65"/>
  <c r="AU216" i="65"/>
  <c r="EH215" i="65"/>
  <c r="AL216" i="65"/>
  <c r="DY213" i="65"/>
  <c r="R214" i="65"/>
  <c r="ED214" i="65"/>
  <c r="W215" i="65"/>
  <c r="EN214" i="65"/>
  <c r="AR215" i="65"/>
  <c r="EA213" i="65"/>
  <c r="T214" i="65"/>
  <c r="DW213" i="65"/>
  <c r="P214" i="65"/>
  <c r="EI214" i="65"/>
  <c r="AM215" i="65"/>
  <c r="ER213" i="65"/>
  <c r="AV214" i="65"/>
  <c r="EF215" i="65"/>
  <c r="Y216" i="65"/>
  <c r="DZ217" i="65"/>
  <c r="S218" i="65"/>
  <c r="EC214" i="65"/>
  <c r="V215" i="65"/>
  <c r="EE213" i="65"/>
  <c r="X214" i="65"/>
  <c r="EO215" i="65"/>
  <c r="AS216" i="65"/>
  <c r="EG214" i="65"/>
  <c r="Z215" i="65"/>
  <c r="EM213" i="65"/>
  <c r="AQ214" i="65"/>
  <c r="EL214" i="65"/>
  <c r="AP215" i="65"/>
  <c r="DX213" i="65"/>
  <c r="Q214" i="65"/>
  <c r="EK214" i="65" l="1"/>
  <c r="AO215" i="65"/>
  <c r="AN215" i="65"/>
  <c r="EJ214" i="65"/>
  <c r="EC215" i="65"/>
  <c r="V216" i="65"/>
  <c r="DY214" i="65"/>
  <c r="R215" i="65"/>
  <c r="EE214" i="65"/>
  <c r="X215" i="65"/>
  <c r="EL215" i="65"/>
  <c r="AP216" i="65"/>
  <c r="ED215" i="65"/>
  <c r="W216" i="65"/>
  <c r="DX214" i="65"/>
  <c r="Q215" i="65"/>
  <c r="EH216" i="65"/>
  <c r="AL217" i="65"/>
  <c r="ER214" i="65"/>
  <c r="AV215" i="65"/>
  <c r="EM214" i="65"/>
  <c r="AQ215" i="65"/>
  <c r="EQ216" i="65"/>
  <c r="AU217" i="65"/>
  <c r="EG215" i="65"/>
  <c r="Z216" i="65"/>
  <c r="DW214" i="65"/>
  <c r="P215" i="65"/>
  <c r="EO216" i="65"/>
  <c r="AS217" i="65"/>
  <c r="EA214" i="65"/>
  <c r="T215" i="65"/>
  <c r="EB215" i="65"/>
  <c r="U216" i="65"/>
  <c r="EN215" i="65"/>
  <c r="AR216" i="65"/>
  <c r="DZ218" i="65"/>
  <c r="S219" i="65"/>
  <c r="EF216" i="65"/>
  <c r="Y217" i="65"/>
  <c r="EI215" i="65"/>
  <c r="AM216" i="65"/>
  <c r="EP215" i="65"/>
  <c r="AT216" i="65"/>
  <c r="AN216" i="65" l="1"/>
  <c r="EJ215" i="65"/>
  <c r="EK215" i="65"/>
  <c r="AO216" i="65"/>
  <c r="EB216" i="65"/>
  <c r="U217" i="65"/>
  <c r="EA215" i="65"/>
  <c r="T216" i="65"/>
  <c r="EH217" i="65"/>
  <c r="AL218" i="65"/>
  <c r="EP216" i="65"/>
  <c r="AT217" i="65"/>
  <c r="DX215" i="65"/>
  <c r="Q216" i="65"/>
  <c r="DW215" i="65"/>
  <c r="P216" i="65"/>
  <c r="EL216" i="65"/>
  <c r="AP217" i="65"/>
  <c r="EQ217" i="65"/>
  <c r="AU218" i="65"/>
  <c r="DZ219" i="65"/>
  <c r="S220" i="65"/>
  <c r="EM215" i="65"/>
  <c r="AQ216" i="65"/>
  <c r="EN216" i="65"/>
  <c r="AR217" i="65"/>
  <c r="ER215" i="65"/>
  <c r="AV216" i="65"/>
  <c r="EC216" i="65"/>
  <c r="V217" i="65"/>
  <c r="EO217" i="65"/>
  <c r="AS218" i="65"/>
  <c r="EI216" i="65"/>
  <c r="AM217" i="65"/>
  <c r="ED216" i="65"/>
  <c r="W217" i="65"/>
  <c r="EG216" i="65"/>
  <c r="Z217" i="65"/>
  <c r="EF217" i="65"/>
  <c r="Y218" i="65"/>
  <c r="EE215" i="65"/>
  <c r="X216" i="65"/>
  <c r="DY215" i="65"/>
  <c r="R216" i="65"/>
  <c r="EK216" i="65" l="1"/>
  <c r="AO217" i="65"/>
  <c r="EJ216" i="65"/>
  <c r="AN217" i="65"/>
  <c r="EL217" i="65"/>
  <c r="AP218" i="65"/>
  <c r="DY216" i="65"/>
  <c r="R217" i="65"/>
  <c r="DW216" i="65"/>
  <c r="P217" i="65"/>
  <c r="DX216" i="65"/>
  <c r="Q217" i="65"/>
  <c r="EP217" i="65"/>
  <c r="AT218" i="65"/>
  <c r="EN217" i="65"/>
  <c r="AR218" i="65"/>
  <c r="EQ218" i="65"/>
  <c r="AU219" i="65"/>
  <c r="EE216" i="65"/>
  <c r="X217" i="65"/>
  <c r="EF218" i="65"/>
  <c r="Y219" i="65"/>
  <c r="ER216" i="65"/>
  <c r="AV217" i="65"/>
  <c r="EG217" i="65"/>
  <c r="Z218" i="65"/>
  <c r="EM216" i="65"/>
  <c r="AQ217" i="65"/>
  <c r="ED217" i="65"/>
  <c r="W218" i="65"/>
  <c r="DZ220" i="65"/>
  <c r="S221" i="65"/>
  <c r="EB217" i="65"/>
  <c r="U218" i="65"/>
  <c r="EI217" i="65"/>
  <c r="AM218" i="65"/>
  <c r="EO218" i="65"/>
  <c r="AS219" i="65"/>
  <c r="EC217" i="65"/>
  <c r="V218" i="65"/>
  <c r="EH218" i="65"/>
  <c r="AL219" i="65"/>
  <c r="EA216" i="65"/>
  <c r="T217" i="65"/>
  <c r="EJ217" i="65" l="1"/>
  <c r="AN218" i="65"/>
  <c r="AO218" i="65"/>
  <c r="EK217" i="65"/>
  <c r="EQ219" i="65"/>
  <c r="AU220" i="65"/>
  <c r="ED218" i="65"/>
  <c r="W219" i="65"/>
  <c r="EN218" i="65"/>
  <c r="AR219" i="65"/>
  <c r="EP218" i="65"/>
  <c r="AT219" i="65"/>
  <c r="EH219" i="65"/>
  <c r="AL220" i="65"/>
  <c r="EB218" i="65"/>
  <c r="U219" i="65"/>
  <c r="DZ221" i="65"/>
  <c r="S222" i="65"/>
  <c r="EA217" i="65"/>
  <c r="T218" i="65"/>
  <c r="EM217" i="65"/>
  <c r="AQ218" i="65"/>
  <c r="EG218" i="65"/>
  <c r="Z219" i="65"/>
  <c r="DW217" i="65"/>
  <c r="P218" i="65"/>
  <c r="EO219" i="65"/>
  <c r="AS220" i="65"/>
  <c r="EI218" i="65"/>
  <c r="AM219" i="65"/>
  <c r="EE217" i="65"/>
  <c r="X218" i="65"/>
  <c r="EL218" i="65"/>
  <c r="AP219" i="65"/>
  <c r="DX217" i="65"/>
  <c r="Q218" i="65"/>
  <c r="EC218" i="65"/>
  <c r="V219" i="65"/>
  <c r="ER217" i="65"/>
  <c r="AV218" i="65"/>
  <c r="EF219" i="65"/>
  <c r="Y220" i="65"/>
  <c r="DY217" i="65"/>
  <c r="R218" i="65"/>
  <c r="EK218" i="65" l="1"/>
  <c r="AO219" i="65"/>
  <c r="AN219" i="65"/>
  <c r="EJ218" i="65"/>
  <c r="EB219" i="65"/>
  <c r="U220" i="65"/>
  <c r="EP219" i="65"/>
  <c r="AT220" i="65"/>
  <c r="EN219" i="65"/>
  <c r="AR220" i="65"/>
  <c r="EA218" i="65"/>
  <c r="T219" i="65"/>
  <c r="EL219" i="65"/>
  <c r="AP220" i="65"/>
  <c r="DZ222" i="65"/>
  <c r="S223" i="65"/>
  <c r="EH220" i="65"/>
  <c r="AL221" i="65"/>
  <c r="ER218" i="65"/>
  <c r="AV219" i="65"/>
  <c r="EC219" i="65"/>
  <c r="V220" i="65"/>
  <c r="DX218" i="65"/>
  <c r="Q219" i="65"/>
  <c r="EM218" i="65"/>
  <c r="AQ219" i="65"/>
  <c r="EQ220" i="65"/>
  <c r="AU221" i="65"/>
  <c r="DY218" i="65"/>
  <c r="R219" i="65"/>
  <c r="EE218" i="65"/>
  <c r="X219" i="65"/>
  <c r="EF220" i="65"/>
  <c r="Y221" i="65"/>
  <c r="EI219" i="65"/>
  <c r="AM220" i="65"/>
  <c r="EO220" i="65"/>
  <c r="AS221" i="65"/>
  <c r="DW218" i="65"/>
  <c r="P219" i="65"/>
  <c r="EG219" i="65"/>
  <c r="Z220" i="65"/>
  <c r="ED219" i="65"/>
  <c r="W220" i="65"/>
  <c r="EJ219" i="65" l="1"/>
  <c r="AN220" i="65"/>
  <c r="EK219" i="65"/>
  <c r="AO220" i="65"/>
  <c r="EH221" i="65"/>
  <c r="AL222" i="65"/>
  <c r="DZ223" i="65"/>
  <c r="S224" i="65"/>
  <c r="ED220" i="65"/>
  <c r="W221" i="65"/>
  <c r="EL220" i="65"/>
  <c r="AP221" i="65"/>
  <c r="EG220" i="65"/>
  <c r="Z221" i="65"/>
  <c r="EA219" i="65"/>
  <c r="T220" i="65"/>
  <c r="DX219" i="65"/>
  <c r="Q220" i="65"/>
  <c r="EE219" i="65"/>
  <c r="X220" i="65"/>
  <c r="DY219" i="65"/>
  <c r="R220" i="65"/>
  <c r="EQ221" i="65"/>
  <c r="AU222" i="65"/>
  <c r="DW219" i="65"/>
  <c r="P220" i="65"/>
  <c r="EO221" i="65"/>
  <c r="AS222" i="65"/>
  <c r="EI220" i="65"/>
  <c r="AM221" i="65"/>
  <c r="EC220" i="65"/>
  <c r="V221" i="65"/>
  <c r="EF221" i="65"/>
  <c r="Y222" i="65"/>
  <c r="ER219" i="65"/>
  <c r="AV220" i="65"/>
  <c r="EB220" i="65"/>
  <c r="U221" i="65"/>
  <c r="EM219" i="65"/>
  <c r="AQ220" i="65"/>
  <c r="EN220" i="65"/>
  <c r="AR221" i="65"/>
  <c r="EP220" i="65"/>
  <c r="AT221" i="65"/>
  <c r="EK220" i="65" l="1"/>
  <c r="AO221" i="65"/>
  <c r="EJ220" i="65"/>
  <c r="AN221" i="65"/>
  <c r="EF222" i="65"/>
  <c r="Y223" i="65"/>
  <c r="EC221" i="65"/>
  <c r="V222" i="65"/>
  <c r="EI221" i="65"/>
  <c r="AM222" i="65"/>
  <c r="DX220" i="65"/>
  <c r="Q221" i="65"/>
  <c r="EA220" i="65"/>
  <c r="T221" i="65"/>
  <c r="EN221" i="65"/>
  <c r="AR222" i="65"/>
  <c r="EG221" i="65"/>
  <c r="Z222" i="65"/>
  <c r="DW220" i="65"/>
  <c r="P221" i="65"/>
  <c r="EL221" i="65"/>
  <c r="AP222" i="65"/>
  <c r="EQ222" i="65"/>
  <c r="AU223" i="65"/>
  <c r="EB221" i="65"/>
  <c r="U222" i="65"/>
  <c r="DY220" i="65"/>
  <c r="R221" i="65"/>
  <c r="ER220" i="65"/>
  <c r="AV221" i="65"/>
  <c r="EE220" i="65"/>
  <c r="X221" i="65"/>
  <c r="EH222" i="65"/>
  <c r="AL223" i="65"/>
  <c r="EP221" i="65"/>
  <c r="AT222" i="65"/>
  <c r="EO222" i="65"/>
  <c r="AS223" i="65"/>
  <c r="EM220" i="65"/>
  <c r="AQ221" i="65"/>
  <c r="ED221" i="65"/>
  <c r="W222" i="65"/>
  <c r="DZ224" i="65"/>
  <c r="S225" i="65"/>
  <c r="AN222" i="65" l="1"/>
  <c r="EJ221" i="65"/>
  <c r="EK221" i="65"/>
  <c r="AO222" i="65"/>
  <c r="EH223" i="65"/>
  <c r="AL224" i="65"/>
  <c r="EE221" i="65"/>
  <c r="X222" i="65"/>
  <c r="ED222" i="65"/>
  <c r="W223" i="65"/>
  <c r="DW221" i="65"/>
  <c r="P222" i="65"/>
  <c r="EG222" i="65"/>
  <c r="Z223" i="65"/>
  <c r="DZ225" i="65"/>
  <c r="S226" i="65"/>
  <c r="ER221" i="65"/>
  <c r="AV222" i="65"/>
  <c r="EA221" i="65"/>
  <c r="T222" i="65"/>
  <c r="EM221" i="65"/>
  <c r="AQ222" i="65"/>
  <c r="DX221" i="65"/>
  <c r="Q222" i="65"/>
  <c r="EB222" i="65"/>
  <c r="U223" i="65"/>
  <c r="EI222" i="65"/>
  <c r="AM223" i="65"/>
  <c r="EQ223" i="65"/>
  <c r="AU224" i="65"/>
  <c r="EP222" i="65"/>
  <c r="AT223" i="65"/>
  <c r="EL222" i="65"/>
  <c r="AP223" i="65"/>
  <c r="EF223" i="65"/>
  <c r="Y224" i="65"/>
  <c r="EN222" i="65"/>
  <c r="AR223" i="65"/>
  <c r="DY221" i="65"/>
  <c r="R222" i="65"/>
  <c r="EO223" i="65"/>
  <c r="AS224" i="65"/>
  <c r="EC222" i="65"/>
  <c r="V223" i="65"/>
  <c r="AO223" i="65" l="1"/>
  <c r="EK222" i="65"/>
  <c r="EJ222" i="65"/>
  <c r="AN223" i="65"/>
  <c r="EC223" i="65"/>
  <c r="V224" i="65"/>
  <c r="ER222" i="65"/>
  <c r="AV223" i="65"/>
  <c r="EG223" i="65"/>
  <c r="Z224" i="65"/>
  <c r="EO224" i="65"/>
  <c r="AS225" i="65"/>
  <c r="EI223" i="65"/>
  <c r="AM224" i="65"/>
  <c r="ED223" i="65"/>
  <c r="W224" i="65"/>
  <c r="DY222" i="65"/>
  <c r="R223" i="65"/>
  <c r="EE222" i="65"/>
  <c r="X223" i="65"/>
  <c r="EN223" i="65"/>
  <c r="AR224" i="65"/>
  <c r="EH224" i="65"/>
  <c r="AL225" i="65"/>
  <c r="EF224" i="65"/>
  <c r="Y225" i="65"/>
  <c r="EA222" i="65"/>
  <c r="T223" i="65"/>
  <c r="EL223" i="65"/>
  <c r="AP224" i="65"/>
  <c r="EP223" i="65"/>
  <c r="AT224" i="65"/>
  <c r="DZ226" i="65"/>
  <c r="S227" i="65"/>
  <c r="EQ224" i="65"/>
  <c r="AU225" i="65"/>
  <c r="DW222" i="65"/>
  <c r="P223" i="65"/>
  <c r="EB223" i="65"/>
  <c r="U224" i="65"/>
  <c r="DX222" i="65"/>
  <c r="Q223" i="65"/>
  <c r="EM222" i="65"/>
  <c r="AQ223" i="65"/>
  <c r="EJ223" i="65" l="1"/>
  <c r="AN224" i="65"/>
  <c r="EK223" i="65"/>
  <c r="AO224" i="65"/>
  <c r="EP224" i="65"/>
  <c r="AT225" i="65"/>
  <c r="ED224" i="65"/>
  <c r="W225" i="65"/>
  <c r="EI224" i="65"/>
  <c r="AM225" i="65"/>
  <c r="EB224" i="65"/>
  <c r="U225" i="65"/>
  <c r="DY223" i="65"/>
  <c r="R224" i="65"/>
  <c r="EL224" i="65"/>
  <c r="AP225" i="65"/>
  <c r="EM223" i="65"/>
  <c r="AQ224" i="65"/>
  <c r="EA223" i="65"/>
  <c r="T224" i="65"/>
  <c r="EF225" i="65"/>
  <c r="Y226" i="65"/>
  <c r="EO225" i="65"/>
  <c r="AS226" i="65"/>
  <c r="DW223" i="65"/>
  <c r="P224" i="65"/>
  <c r="EG224" i="65"/>
  <c r="Z225" i="65"/>
  <c r="EQ225" i="65"/>
  <c r="AU226" i="65"/>
  <c r="ER223" i="65"/>
  <c r="AV224" i="65"/>
  <c r="DZ227" i="65"/>
  <c r="S228" i="65"/>
  <c r="EE223" i="65"/>
  <c r="X224" i="65"/>
  <c r="EC224" i="65"/>
  <c r="V225" i="65"/>
  <c r="DX223" i="65"/>
  <c r="Q224" i="65"/>
  <c r="EH225" i="65"/>
  <c r="AL226" i="65"/>
  <c r="EN224" i="65"/>
  <c r="AR225" i="65"/>
  <c r="EJ224" i="65" l="1"/>
  <c r="AN225" i="65"/>
  <c r="EK224" i="65"/>
  <c r="AO225" i="65"/>
  <c r="EL225" i="65"/>
  <c r="AP226" i="65"/>
  <c r="EN225" i="65"/>
  <c r="AR226" i="65"/>
  <c r="DY224" i="65"/>
  <c r="R225" i="65"/>
  <c r="EB225" i="65"/>
  <c r="U226" i="65"/>
  <c r="DX224" i="65"/>
  <c r="Q225" i="65"/>
  <c r="EO226" i="65"/>
  <c r="AS227" i="65"/>
  <c r="EM224" i="65"/>
  <c r="AQ225" i="65"/>
  <c r="EQ226" i="65"/>
  <c r="AU227" i="65"/>
  <c r="EI225" i="65"/>
  <c r="AM226" i="65"/>
  <c r="EF226" i="65"/>
  <c r="Y227" i="65"/>
  <c r="EA224" i="65"/>
  <c r="T225" i="65"/>
  <c r="EP225" i="65"/>
  <c r="AT226" i="65"/>
  <c r="DZ228" i="65"/>
  <c r="S229" i="65"/>
  <c r="ER224" i="65"/>
  <c r="AV225" i="65"/>
  <c r="EH226" i="65"/>
  <c r="AL227" i="65"/>
  <c r="EG225" i="65"/>
  <c r="Z226" i="65"/>
  <c r="DW224" i="65"/>
  <c r="P225" i="65"/>
  <c r="EC225" i="65"/>
  <c r="V226" i="65"/>
  <c r="ED225" i="65"/>
  <c r="W226" i="65"/>
  <c r="EE224" i="65"/>
  <c r="X225" i="65"/>
  <c r="EK225" i="65" l="1"/>
  <c r="AO226" i="65"/>
  <c r="AN226" i="65"/>
  <c r="EJ225" i="65"/>
  <c r="EQ227" i="65"/>
  <c r="AU228" i="65"/>
  <c r="ER225" i="65"/>
  <c r="AV226" i="65"/>
  <c r="EE225" i="65"/>
  <c r="X226" i="65"/>
  <c r="EA225" i="65"/>
  <c r="T226" i="65"/>
  <c r="EF227" i="65"/>
  <c r="Y228" i="65"/>
  <c r="EH227" i="65"/>
  <c r="AL228" i="65"/>
  <c r="EM225" i="65"/>
  <c r="AQ226" i="65"/>
  <c r="DZ229" i="65"/>
  <c r="S230" i="65"/>
  <c r="EP226" i="65"/>
  <c r="AT227" i="65"/>
  <c r="EB226" i="65"/>
  <c r="U227" i="65"/>
  <c r="DY225" i="65"/>
  <c r="R226" i="65"/>
  <c r="EG226" i="65"/>
  <c r="Z227" i="65"/>
  <c r="EI226" i="65"/>
  <c r="AM227" i="65"/>
  <c r="EL226" i="65"/>
  <c r="AP227" i="65"/>
  <c r="EO227" i="65"/>
  <c r="AS228" i="65"/>
  <c r="ED226" i="65"/>
  <c r="W227" i="65"/>
  <c r="DX225" i="65"/>
  <c r="Q226" i="65"/>
  <c r="EC226" i="65"/>
  <c r="V227" i="65"/>
  <c r="DW225" i="65"/>
  <c r="P226" i="65"/>
  <c r="EN226" i="65"/>
  <c r="AR227" i="65"/>
  <c r="AN227" i="65" l="1"/>
  <c r="EJ226" i="65"/>
  <c r="AO227" i="65"/>
  <c r="EK226" i="65"/>
  <c r="EH228" i="65"/>
  <c r="AL229" i="65"/>
  <c r="DW226" i="65"/>
  <c r="P227" i="65"/>
  <c r="EC227" i="65"/>
  <c r="V228" i="65"/>
  <c r="DZ230" i="65"/>
  <c r="S231" i="65"/>
  <c r="EL227" i="65"/>
  <c r="AP228" i="65"/>
  <c r="EN227" i="65"/>
  <c r="AR228" i="65"/>
  <c r="EF228" i="65"/>
  <c r="Y229" i="65"/>
  <c r="EA226" i="65"/>
  <c r="T227" i="65"/>
  <c r="EE226" i="65"/>
  <c r="X227" i="65"/>
  <c r="DX226" i="65"/>
  <c r="Q227" i="65"/>
  <c r="ER226" i="65"/>
  <c r="AV227" i="65"/>
  <c r="ED227" i="65"/>
  <c r="W228" i="65"/>
  <c r="EP227" i="65"/>
  <c r="AT228" i="65"/>
  <c r="EQ228" i="65"/>
  <c r="AU229" i="65"/>
  <c r="EO228" i="65"/>
  <c r="AS229" i="65"/>
  <c r="EM226" i="65"/>
  <c r="AQ227" i="65"/>
  <c r="EI227" i="65"/>
  <c r="AM228" i="65"/>
  <c r="EG227" i="65"/>
  <c r="Z228" i="65"/>
  <c r="DY226" i="65"/>
  <c r="R227" i="65"/>
  <c r="EB227" i="65"/>
  <c r="U228" i="65"/>
  <c r="EK227" i="65" l="1"/>
  <c r="AO228" i="65"/>
  <c r="EJ227" i="65"/>
  <c r="AN228" i="65"/>
  <c r="EO229" i="65"/>
  <c r="AS230" i="65"/>
  <c r="EN228" i="65"/>
  <c r="AR229" i="65"/>
  <c r="EP228" i="65"/>
  <c r="AT229" i="65"/>
  <c r="DY227" i="65"/>
  <c r="R228" i="65"/>
  <c r="EQ229" i="65"/>
  <c r="AU230" i="65"/>
  <c r="EB228" i="65"/>
  <c r="U229" i="65"/>
  <c r="EL228" i="65"/>
  <c r="AP229" i="65"/>
  <c r="ED228" i="65"/>
  <c r="W229" i="65"/>
  <c r="EC228" i="65"/>
  <c r="V229" i="65"/>
  <c r="EI228" i="65"/>
  <c r="AM229" i="65"/>
  <c r="EE227" i="65"/>
  <c r="X228" i="65"/>
  <c r="EM227" i="65"/>
  <c r="AQ228" i="65"/>
  <c r="EA227" i="65"/>
  <c r="T228" i="65"/>
  <c r="EH229" i="65"/>
  <c r="AL230" i="65"/>
  <c r="EF229" i="65"/>
  <c r="Y230" i="65"/>
  <c r="DZ231" i="65"/>
  <c r="S232" i="65"/>
  <c r="ER227" i="65"/>
  <c r="AV228" i="65"/>
  <c r="EG228" i="65"/>
  <c r="Z229" i="65"/>
  <c r="DX227" i="65"/>
  <c r="Q228" i="65"/>
  <c r="DW227" i="65"/>
  <c r="P228" i="65"/>
  <c r="EK228" i="65" l="1"/>
  <c r="AO229" i="65"/>
  <c r="EJ228" i="65"/>
  <c r="AN229" i="65"/>
  <c r="EH230" i="65"/>
  <c r="AL231" i="65"/>
  <c r="EB229" i="65"/>
  <c r="U230" i="65"/>
  <c r="EE228" i="65"/>
  <c r="X229" i="65"/>
  <c r="EI229" i="65"/>
  <c r="AM230" i="65"/>
  <c r="ED229" i="65"/>
  <c r="W230" i="65"/>
  <c r="EA228" i="65"/>
  <c r="T229" i="65"/>
  <c r="EL229" i="65"/>
  <c r="AP230" i="65"/>
  <c r="DW228" i="65"/>
  <c r="P229" i="65"/>
  <c r="EM228" i="65"/>
  <c r="AQ229" i="65"/>
  <c r="EQ230" i="65"/>
  <c r="AU231" i="65"/>
  <c r="ER228" i="65"/>
  <c r="AV229" i="65"/>
  <c r="DZ232" i="65"/>
  <c r="S233" i="65"/>
  <c r="EF230" i="65"/>
  <c r="Y231" i="65"/>
  <c r="EO230" i="65"/>
  <c r="AS231" i="65"/>
  <c r="DX228" i="65"/>
  <c r="Q229" i="65"/>
  <c r="EG229" i="65"/>
  <c r="Z230" i="65"/>
  <c r="DY228" i="65"/>
  <c r="R229" i="65"/>
  <c r="EP229" i="65"/>
  <c r="AT230" i="65"/>
  <c r="EC229" i="65"/>
  <c r="V230" i="65"/>
  <c r="EN229" i="65"/>
  <c r="AR230" i="65"/>
  <c r="AN230" i="65" l="1"/>
  <c r="EJ229" i="65"/>
  <c r="AO230" i="65"/>
  <c r="EK229" i="65"/>
  <c r="EL230" i="65"/>
  <c r="AP231" i="65"/>
  <c r="EN230" i="65"/>
  <c r="AR231" i="65"/>
  <c r="EC230" i="65"/>
  <c r="V231" i="65"/>
  <c r="EP230" i="65"/>
  <c r="AT231" i="65"/>
  <c r="EE229" i="65"/>
  <c r="X230" i="65"/>
  <c r="EO231" i="65"/>
  <c r="AS232" i="65"/>
  <c r="EF231" i="65"/>
  <c r="Y232" i="65"/>
  <c r="ER229" i="65"/>
  <c r="AV230" i="65"/>
  <c r="DY229" i="65"/>
  <c r="R230" i="65"/>
  <c r="EM229" i="65"/>
  <c r="AQ230" i="65"/>
  <c r="DX229" i="65"/>
  <c r="Q230" i="65"/>
  <c r="DW229" i="65"/>
  <c r="P230" i="65"/>
  <c r="EH231" i="65"/>
  <c r="AL232" i="65"/>
  <c r="EA229" i="65"/>
  <c r="T230" i="65"/>
  <c r="ED230" i="65"/>
  <c r="W231" i="65"/>
  <c r="DZ233" i="65"/>
  <c r="S234" i="65"/>
  <c r="DZ234" i="65" s="1"/>
  <c r="EI230" i="65"/>
  <c r="AM231" i="65"/>
  <c r="EQ231" i="65"/>
  <c r="AU232" i="65"/>
  <c r="EG230" i="65"/>
  <c r="Z231" i="65"/>
  <c r="EB230" i="65"/>
  <c r="U231" i="65"/>
  <c r="EK230" i="65" l="1"/>
  <c r="AO231" i="65"/>
  <c r="AN231" i="65"/>
  <c r="EJ230" i="65"/>
  <c r="EE230" i="65"/>
  <c r="X231" i="65"/>
  <c r="EA230" i="65"/>
  <c r="T231" i="65"/>
  <c r="EO232" i="65"/>
  <c r="AS233" i="65"/>
  <c r="EH232" i="65"/>
  <c r="AL233" i="65"/>
  <c r="DW230" i="65"/>
  <c r="P231" i="65"/>
  <c r="EP231" i="65"/>
  <c r="AT232" i="65"/>
  <c r="DX230" i="65"/>
  <c r="Q231" i="65"/>
  <c r="EQ232" i="65"/>
  <c r="AU233" i="65"/>
  <c r="EM230" i="65"/>
  <c r="AQ231" i="65"/>
  <c r="EC231" i="65"/>
  <c r="V232" i="65"/>
  <c r="EN231" i="65"/>
  <c r="AR232" i="65"/>
  <c r="ER230" i="65"/>
  <c r="AV231" i="65"/>
  <c r="ED231" i="65"/>
  <c r="W232" i="65"/>
  <c r="EF232" i="65"/>
  <c r="Y233" i="65"/>
  <c r="EL231" i="65"/>
  <c r="AP232" i="65"/>
  <c r="EB231" i="65"/>
  <c r="U232" i="65"/>
  <c r="EG231" i="65"/>
  <c r="Z232" i="65"/>
  <c r="EI231" i="65"/>
  <c r="AM232" i="65"/>
  <c r="DY230" i="65"/>
  <c r="R231" i="65"/>
  <c r="EJ231" i="65" l="1"/>
  <c r="AN232" i="65"/>
  <c r="EK231" i="65"/>
  <c r="AO232" i="65"/>
  <c r="EL232" i="65"/>
  <c r="AP233" i="65"/>
  <c r="ER231" i="65"/>
  <c r="AV232" i="65"/>
  <c r="EI232" i="65"/>
  <c r="AM233" i="65"/>
  <c r="EQ233" i="65"/>
  <c r="AU234" i="65"/>
  <c r="EQ234" i="65" s="1"/>
  <c r="EP232" i="65"/>
  <c r="AT233" i="65"/>
  <c r="ED232" i="65"/>
  <c r="W233" i="65"/>
  <c r="EH233" i="65"/>
  <c r="AL234" i="65"/>
  <c r="EH234" i="65" s="1"/>
  <c r="EN232" i="65"/>
  <c r="AR233" i="65"/>
  <c r="EA231" i="65"/>
  <c r="T232" i="65"/>
  <c r="EG232" i="65"/>
  <c r="Z233" i="65"/>
  <c r="EM231" i="65"/>
  <c r="AQ232" i="65"/>
  <c r="EE231" i="65"/>
  <c r="X232" i="65"/>
  <c r="EB232" i="65"/>
  <c r="U233" i="65"/>
  <c r="DX231" i="65"/>
  <c r="Q232" i="65"/>
  <c r="EF233" i="65"/>
  <c r="Y234" i="65"/>
  <c r="EF234" i="65" s="1"/>
  <c r="DW231" i="65"/>
  <c r="P232" i="65"/>
  <c r="DY231" i="65"/>
  <c r="R232" i="65"/>
  <c r="EO233" i="65"/>
  <c r="AS234" i="65"/>
  <c r="EO234" i="65" s="1"/>
  <c r="EC232" i="65"/>
  <c r="V233" i="65"/>
  <c r="EK232" i="65" l="1"/>
  <c r="AO233" i="65"/>
  <c r="AN233" i="65"/>
  <c r="EJ232" i="65"/>
  <c r="DW232" i="65"/>
  <c r="P233" i="65"/>
  <c r="EI233" i="65"/>
  <c r="AM234" i="65"/>
  <c r="EI234" i="65" s="1"/>
  <c r="DY232" i="65"/>
  <c r="R233" i="65"/>
  <c r="EA232" i="65"/>
  <c r="T233" i="65"/>
  <c r="EL233" i="65"/>
  <c r="AP234" i="65"/>
  <c r="EL234" i="65" s="1"/>
  <c r="EN233" i="65"/>
  <c r="AR234" i="65"/>
  <c r="EN234" i="65" s="1"/>
  <c r="DX232" i="65"/>
  <c r="Q233" i="65"/>
  <c r="ED233" i="65"/>
  <c r="W234" i="65"/>
  <c r="ED234" i="65" s="1"/>
  <c r="EB233" i="65"/>
  <c r="U234" i="65"/>
  <c r="EB234" i="65" s="1"/>
  <c r="EP233" i="65"/>
  <c r="AT234" i="65"/>
  <c r="EP234" i="65" s="1"/>
  <c r="EE232" i="65"/>
  <c r="X233" i="65"/>
  <c r="EC233" i="65"/>
  <c r="V234" i="65"/>
  <c r="EC234" i="65" s="1"/>
  <c r="EM232" i="65"/>
  <c r="AQ233" i="65"/>
  <c r="EG233" i="65"/>
  <c r="Z234" i="65"/>
  <c r="EG234" i="65" s="1"/>
  <c r="ER232" i="65"/>
  <c r="AV233" i="65"/>
  <c r="EJ233" i="65" l="1"/>
  <c r="AN234" i="65"/>
  <c r="EJ234" i="65" s="1"/>
  <c r="EK233" i="65"/>
  <c r="AO234" i="65"/>
  <c r="EK234" i="65" s="1"/>
  <c r="DX233" i="65"/>
  <c r="Q234" i="65"/>
  <c r="DX234" i="65" s="1"/>
  <c r="DY233" i="65"/>
  <c r="R234" i="65"/>
  <c r="DY234" i="65" s="1"/>
  <c r="DW233" i="65"/>
  <c r="P234" i="65"/>
  <c r="DW234" i="65" s="1"/>
  <c r="ER233" i="65"/>
  <c r="AV234" i="65"/>
  <c r="ER234" i="65" s="1"/>
  <c r="EM233" i="65"/>
  <c r="AQ234" i="65"/>
  <c r="EM234" i="65" s="1"/>
  <c r="EA233" i="65"/>
  <c r="T234" i="65"/>
  <c r="EA234" i="65" s="1"/>
  <c r="EE233" i="65"/>
  <c r="X234" i="65"/>
  <c r="EE234" i="65" s="1"/>
  <c r="X74" i="51" l="1"/>
  <c r="W74" i="51"/>
  <c r="V74" i="51"/>
  <c r="U74" i="51"/>
  <c r="T74" i="51"/>
  <c r="U74" i="10"/>
  <c r="V74" i="10"/>
  <c r="W74" i="10"/>
  <c r="X74" i="10"/>
  <c r="T74" i="10"/>
  <c r="A36" i="14" l="1"/>
  <c r="J122" i="31"/>
  <c r="J123" i="31" s="1"/>
  <c r="J124" i="31" s="1"/>
  <c r="J125" i="31" s="1"/>
  <c r="J126" i="31" s="1"/>
  <c r="J127" i="31" s="1"/>
  <c r="J128" i="31" s="1"/>
  <c r="J129" i="31" s="1"/>
  <c r="J130" i="31" s="1"/>
  <c r="J131" i="31" s="1"/>
  <c r="J132" i="31" s="1"/>
  <c r="J133" i="31" s="1"/>
  <c r="J134" i="31" s="1"/>
  <c r="J135" i="31" s="1"/>
  <c r="J136" i="31" s="1"/>
  <c r="J137" i="31" s="1"/>
  <c r="J138" i="31" s="1"/>
  <c r="J139" i="31" s="1"/>
  <c r="J140" i="31" s="1"/>
  <c r="J141" i="31" s="1"/>
  <c r="J142" i="31" s="1"/>
  <c r="J143" i="31" s="1"/>
  <c r="J144" i="31" s="1"/>
  <c r="J145" i="31" s="1"/>
  <c r="J146" i="31" s="1"/>
  <c r="J147" i="31" s="1"/>
  <c r="J148" i="31" s="1"/>
  <c r="J149" i="31" s="1"/>
  <c r="J150" i="31" s="1"/>
  <c r="J151" i="31" s="1"/>
  <c r="J152" i="31" s="1"/>
  <c r="J153" i="31" s="1"/>
  <c r="J154" i="31" s="1"/>
  <c r="J155" i="31" s="1"/>
  <c r="J156" i="31" s="1"/>
  <c r="J157" i="31" s="1"/>
  <c r="R1" i="31"/>
  <c r="I1" i="31"/>
  <c r="Y14" i="31"/>
  <c r="Z14" i="31"/>
  <c r="AA14" i="31"/>
  <c r="AB14" i="31"/>
  <c r="AC14" i="31"/>
  <c r="R2" i="20"/>
  <c r="R6" i="20"/>
  <c r="R11" i="20"/>
  <c r="R15" i="20"/>
  <c r="R18" i="20"/>
  <c r="R22" i="20"/>
  <c r="R27" i="20"/>
  <c r="R31" i="20"/>
  <c r="R34" i="20"/>
  <c r="R38" i="20"/>
  <c r="R43" i="20"/>
  <c r="R47" i="20"/>
  <c r="R50" i="20"/>
  <c r="R54" i="20"/>
  <c r="R59" i="20"/>
  <c r="R63" i="20"/>
  <c r="R66" i="20"/>
  <c r="R70" i="20"/>
  <c r="R75" i="20"/>
  <c r="R79" i="20"/>
  <c r="R82" i="20"/>
  <c r="R86" i="20"/>
  <c r="R91" i="20"/>
  <c r="R95" i="20"/>
  <c r="R98" i="20"/>
  <c r="R102" i="20"/>
  <c r="R107" i="20"/>
  <c r="R111" i="20"/>
  <c r="R114" i="20"/>
  <c r="R118" i="20"/>
  <c r="R3" i="20"/>
  <c r="R4" i="20"/>
  <c r="R5" i="20"/>
  <c r="R7" i="20"/>
  <c r="R8" i="20"/>
  <c r="R9" i="20"/>
  <c r="R10" i="20"/>
  <c r="R12" i="20"/>
  <c r="R13" i="20"/>
  <c r="R14" i="20"/>
  <c r="R16" i="20"/>
  <c r="R17" i="20"/>
  <c r="R19" i="20"/>
  <c r="R20" i="20"/>
  <c r="R21" i="20"/>
  <c r="R23" i="20"/>
  <c r="R24" i="20"/>
  <c r="R25" i="20"/>
  <c r="R26" i="20"/>
  <c r="R28" i="20"/>
  <c r="R29" i="20"/>
  <c r="R30" i="20"/>
  <c r="R32" i="20"/>
  <c r="R33" i="20"/>
  <c r="R35" i="20"/>
  <c r="R36" i="20"/>
  <c r="R37" i="20"/>
  <c r="R39" i="20"/>
  <c r="R40" i="20"/>
  <c r="R41" i="20"/>
  <c r="R42" i="20"/>
  <c r="R44" i="20"/>
  <c r="R45" i="20"/>
  <c r="R46" i="20"/>
  <c r="R48" i="20"/>
  <c r="R49" i="20"/>
  <c r="R51" i="20"/>
  <c r="R52" i="20"/>
  <c r="R53" i="20"/>
  <c r="R55" i="20"/>
  <c r="R56" i="20"/>
  <c r="R57" i="20"/>
  <c r="R58" i="20"/>
  <c r="R60" i="20"/>
  <c r="R61" i="20"/>
  <c r="R62" i="20"/>
  <c r="R64" i="20"/>
  <c r="R65" i="20"/>
  <c r="R67" i="20"/>
  <c r="R68" i="20"/>
  <c r="R69" i="20"/>
  <c r="R71" i="20"/>
  <c r="R72" i="20"/>
  <c r="R73" i="20"/>
  <c r="R74" i="20"/>
  <c r="R76" i="20"/>
  <c r="R77" i="20"/>
  <c r="R78" i="20"/>
  <c r="R80" i="20"/>
  <c r="R81" i="20"/>
  <c r="R83" i="20"/>
  <c r="R84" i="20"/>
  <c r="R85" i="20"/>
  <c r="R87" i="20"/>
  <c r="R88" i="20"/>
  <c r="R89" i="20"/>
  <c r="R90" i="20"/>
  <c r="R92" i="20"/>
  <c r="R93" i="20"/>
  <c r="R94" i="20"/>
  <c r="R96" i="20"/>
  <c r="R97" i="20"/>
  <c r="R99" i="20"/>
  <c r="R100" i="20"/>
  <c r="R101" i="20"/>
  <c r="R103" i="20"/>
  <c r="R104" i="20"/>
  <c r="R105" i="20"/>
  <c r="R106" i="20"/>
  <c r="R108" i="20"/>
  <c r="R109" i="20"/>
  <c r="R110" i="20"/>
  <c r="R112" i="20"/>
  <c r="R113" i="20"/>
  <c r="R115" i="20"/>
  <c r="R116" i="20"/>
  <c r="R117" i="20"/>
  <c r="R119" i="20"/>
  <c r="R120" i="20"/>
  <c r="R121" i="20"/>
  <c r="R1" i="20"/>
  <c r="I1" i="20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E8" i="11"/>
  <c r="AX79" i="61"/>
  <c r="AW79" i="61"/>
  <c r="AV79" i="61"/>
  <c r="AU79" i="61"/>
  <c r="AT79" i="61"/>
  <c r="AT77" i="61"/>
  <c r="X66" i="61"/>
  <c r="AX77" i="61"/>
  <c r="AX62" i="61"/>
  <c r="AD61" i="61"/>
  <c r="AE61" i="61"/>
  <c r="AF61" i="61"/>
  <c r="AF77" i="61" s="1"/>
  <c r="AF80" i="61" s="1"/>
  <c r="AG61" i="61"/>
  <c r="AG77" i="61" s="1"/>
  <c r="AH61" i="61"/>
  <c r="AH77" i="61" s="1"/>
  <c r="AH82" i="61" s="1"/>
  <c r="AI61" i="61"/>
  <c r="AI77" i="61" s="1"/>
  <c r="AI82" i="61" s="1"/>
  <c r="AJ61" i="61"/>
  <c r="AJ77" i="61" s="1"/>
  <c r="AK61" i="61"/>
  <c r="AK77" i="61" s="1"/>
  <c r="AK82" i="61" s="1"/>
  <c r="AL61" i="61"/>
  <c r="AL77" i="61" s="1"/>
  <c r="AM61" i="61"/>
  <c r="AN61" i="61"/>
  <c r="AO61" i="61"/>
  <c r="AP61" i="61"/>
  <c r="AQ61" i="61"/>
  <c r="AR61" i="61"/>
  <c r="AS61" i="61"/>
  <c r="AT61" i="61"/>
  <c r="AU61" i="61"/>
  <c r="AV61" i="61"/>
  <c r="AV77" i="61" s="1"/>
  <c r="AW61" i="61"/>
  <c r="AX61" i="61"/>
  <c r="AD62" i="61"/>
  <c r="AD77" i="61" s="1"/>
  <c r="AE62" i="61"/>
  <c r="AF62" i="61"/>
  <c r="AG62" i="61"/>
  <c r="AH62" i="61"/>
  <c r="AI62" i="61"/>
  <c r="AJ62" i="61"/>
  <c r="AK62" i="61"/>
  <c r="AL62" i="61"/>
  <c r="AM62" i="61"/>
  <c r="AN62" i="61"/>
  <c r="AN77" i="61" s="1"/>
  <c r="AN81" i="61" s="1"/>
  <c r="AO62" i="61"/>
  <c r="AP62" i="61"/>
  <c r="AP77" i="61" s="1"/>
  <c r="AP81" i="61" s="1"/>
  <c r="AQ62" i="61"/>
  <c r="AQ77" i="61" s="1"/>
  <c r="AR62" i="61"/>
  <c r="AS62" i="61"/>
  <c r="AT62" i="61"/>
  <c r="AU62" i="61"/>
  <c r="AV62" i="61"/>
  <c r="AW62" i="61"/>
  <c r="AW77" i="61" s="1"/>
  <c r="AD63" i="61"/>
  <c r="AE63" i="61"/>
  <c r="AF63" i="61"/>
  <c r="AG63" i="61"/>
  <c r="AH63" i="61"/>
  <c r="AI63" i="61"/>
  <c r="AJ63" i="61"/>
  <c r="AK63" i="61"/>
  <c r="AL63" i="61"/>
  <c r="AM63" i="61"/>
  <c r="AM77" i="61" s="1"/>
  <c r="AN63" i="61"/>
  <c r="AO63" i="61"/>
  <c r="AO77" i="61" s="1"/>
  <c r="AP63" i="61"/>
  <c r="AQ63" i="61"/>
  <c r="AR63" i="61"/>
  <c r="AS63" i="61"/>
  <c r="AT63" i="61"/>
  <c r="AU63" i="61"/>
  <c r="AV63" i="61"/>
  <c r="AW63" i="61"/>
  <c r="AX63" i="61"/>
  <c r="AD64" i="61"/>
  <c r="AE64" i="61"/>
  <c r="AF64" i="61"/>
  <c r="AG64" i="61"/>
  <c r="AH64" i="61"/>
  <c r="AI64" i="61"/>
  <c r="AJ64" i="61"/>
  <c r="AK64" i="61"/>
  <c r="AL64" i="61"/>
  <c r="AM64" i="61"/>
  <c r="AN64" i="61"/>
  <c r="AO64" i="61"/>
  <c r="AP64" i="61"/>
  <c r="AQ64" i="61"/>
  <c r="AR64" i="61"/>
  <c r="AS64" i="61"/>
  <c r="AT64" i="61"/>
  <c r="AU64" i="61"/>
  <c r="AV64" i="61"/>
  <c r="AW64" i="61"/>
  <c r="AX64" i="61"/>
  <c r="AD65" i="61"/>
  <c r="AE65" i="61"/>
  <c r="AE77" i="61" s="1"/>
  <c r="AF65" i="61"/>
  <c r="AG65" i="61"/>
  <c r="AH65" i="61"/>
  <c r="AI65" i="61"/>
  <c r="AJ65" i="61"/>
  <c r="AK65" i="61"/>
  <c r="AL65" i="61"/>
  <c r="AM65" i="61"/>
  <c r="AN65" i="61"/>
  <c r="AO65" i="61"/>
  <c r="AP65" i="61"/>
  <c r="AQ65" i="61"/>
  <c r="AR65" i="61"/>
  <c r="AS65" i="61"/>
  <c r="AT65" i="61"/>
  <c r="AU65" i="61"/>
  <c r="AU77" i="61" s="1"/>
  <c r="AV65" i="61"/>
  <c r="AW65" i="61"/>
  <c r="AX65" i="61"/>
  <c r="AD66" i="61"/>
  <c r="AE66" i="61"/>
  <c r="AF66" i="61"/>
  <c r="AG66" i="61"/>
  <c r="AH66" i="61"/>
  <c r="AI66" i="61"/>
  <c r="AJ66" i="61"/>
  <c r="AK66" i="61"/>
  <c r="AL66" i="61"/>
  <c r="AM66" i="61"/>
  <c r="AN66" i="61"/>
  <c r="AO66" i="61"/>
  <c r="AP66" i="61"/>
  <c r="AQ66" i="61"/>
  <c r="AR66" i="61"/>
  <c r="AS66" i="61"/>
  <c r="AT66" i="61"/>
  <c r="AU66" i="61"/>
  <c r="AV66" i="61"/>
  <c r="AW66" i="61"/>
  <c r="AX66" i="61"/>
  <c r="AD67" i="61"/>
  <c r="AE67" i="61"/>
  <c r="AF67" i="61"/>
  <c r="AG67" i="61"/>
  <c r="AH67" i="61"/>
  <c r="AI67" i="61"/>
  <c r="AJ67" i="61"/>
  <c r="AK67" i="61"/>
  <c r="AL67" i="61"/>
  <c r="AM67" i="61"/>
  <c r="AN67" i="61"/>
  <c r="AO67" i="61"/>
  <c r="AP67" i="61"/>
  <c r="AQ67" i="61"/>
  <c r="AR67" i="61"/>
  <c r="AS67" i="61"/>
  <c r="AT67" i="61"/>
  <c r="AU67" i="61"/>
  <c r="AV67" i="61"/>
  <c r="AW67" i="61"/>
  <c r="AX67" i="61"/>
  <c r="AD68" i="61"/>
  <c r="AE68" i="61"/>
  <c r="AF68" i="61"/>
  <c r="AG68" i="61"/>
  <c r="AH68" i="61"/>
  <c r="AI68" i="61"/>
  <c r="AJ68" i="61"/>
  <c r="AK68" i="61"/>
  <c r="AL68" i="61"/>
  <c r="AM68" i="61"/>
  <c r="AN68" i="61"/>
  <c r="AO68" i="61"/>
  <c r="AP68" i="61"/>
  <c r="AQ68" i="61"/>
  <c r="AR68" i="61"/>
  <c r="AS68" i="61"/>
  <c r="AT68" i="61"/>
  <c r="AU68" i="61"/>
  <c r="AV68" i="61"/>
  <c r="AW68" i="61"/>
  <c r="AX68" i="61"/>
  <c r="AD69" i="61"/>
  <c r="AE69" i="61"/>
  <c r="AF69" i="61"/>
  <c r="AG69" i="61"/>
  <c r="AH69" i="61"/>
  <c r="AI69" i="61"/>
  <c r="AJ69" i="61"/>
  <c r="AK69" i="61"/>
  <c r="AL69" i="61"/>
  <c r="AM69" i="61"/>
  <c r="AN69" i="61"/>
  <c r="AO69" i="61"/>
  <c r="AP69" i="61"/>
  <c r="AQ69" i="61"/>
  <c r="AR69" i="61"/>
  <c r="AS69" i="61"/>
  <c r="AT69" i="61"/>
  <c r="AU69" i="61"/>
  <c r="AV69" i="61"/>
  <c r="AW69" i="61"/>
  <c r="AX69" i="61"/>
  <c r="AD70" i="61"/>
  <c r="AE70" i="61"/>
  <c r="AF70" i="61"/>
  <c r="AG70" i="61"/>
  <c r="AH70" i="61"/>
  <c r="AI70" i="61"/>
  <c r="AJ70" i="61"/>
  <c r="AK70" i="61"/>
  <c r="AL70" i="61"/>
  <c r="AM70" i="61"/>
  <c r="AN70" i="61"/>
  <c r="AO70" i="61"/>
  <c r="AP70" i="61"/>
  <c r="AQ70" i="61"/>
  <c r="AR70" i="61"/>
  <c r="AS70" i="61"/>
  <c r="AT70" i="61"/>
  <c r="AU70" i="61"/>
  <c r="AV70" i="61"/>
  <c r="AW70" i="61"/>
  <c r="AX70" i="61"/>
  <c r="AD71" i="61"/>
  <c r="AE71" i="61"/>
  <c r="AF71" i="61"/>
  <c r="AG71" i="61"/>
  <c r="AH71" i="61"/>
  <c r="AI71" i="61"/>
  <c r="AJ71" i="61"/>
  <c r="AK71" i="61"/>
  <c r="AL71" i="61"/>
  <c r="AM71" i="61"/>
  <c r="AN71" i="61"/>
  <c r="AO71" i="61"/>
  <c r="AP71" i="61"/>
  <c r="AQ71" i="61"/>
  <c r="AR71" i="61"/>
  <c r="AS71" i="61"/>
  <c r="AT71" i="61"/>
  <c r="AU71" i="61"/>
  <c r="AV71" i="61"/>
  <c r="AW71" i="61"/>
  <c r="AX71" i="61"/>
  <c r="AD72" i="61"/>
  <c r="AE72" i="61"/>
  <c r="AF72" i="61"/>
  <c r="AG72" i="61"/>
  <c r="AH72" i="61"/>
  <c r="AI72" i="61"/>
  <c r="AJ72" i="61"/>
  <c r="AK72" i="61"/>
  <c r="AL72" i="61"/>
  <c r="AM72" i="61"/>
  <c r="AN72" i="61"/>
  <c r="AO72" i="61"/>
  <c r="AP72" i="61"/>
  <c r="AQ72" i="61"/>
  <c r="AR72" i="61"/>
  <c r="AS72" i="61"/>
  <c r="AT72" i="61"/>
  <c r="AU72" i="61"/>
  <c r="AV72" i="61"/>
  <c r="AW72" i="61"/>
  <c r="AX72" i="61"/>
  <c r="AD73" i="61"/>
  <c r="AE73" i="61"/>
  <c r="AF73" i="61"/>
  <c r="AG73" i="61"/>
  <c r="AH73" i="61"/>
  <c r="AI73" i="61"/>
  <c r="AJ73" i="61"/>
  <c r="AK73" i="61"/>
  <c r="AL73" i="61"/>
  <c r="AM73" i="61"/>
  <c r="AN73" i="61"/>
  <c r="AO73" i="61"/>
  <c r="AP73" i="61"/>
  <c r="AQ73" i="61"/>
  <c r="AR73" i="61"/>
  <c r="AS73" i="61"/>
  <c r="AT73" i="61"/>
  <c r="AU73" i="61"/>
  <c r="AV73" i="61"/>
  <c r="AW73" i="61"/>
  <c r="AX73" i="61"/>
  <c r="AD74" i="61"/>
  <c r="AE74" i="61"/>
  <c r="AF74" i="61"/>
  <c r="AG74" i="61"/>
  <c r="AH74" i="61"/>
  <c r="AI74" i="61"/>
  <c r="AJ74" i="61"/>
  <c r="AK74" i="61"/>
  <c r="AL74" i="61"/>
  <c r="AM74" i="61"/>
  <c r="AN74" i="61"/>
  <c r="AO74" i="61"/>
  <c r="AP74" i="61"/>
  <c r="AQ74" i="61"/>
  <c r="AR74" i="61"/>
  <c r="AS74" i="61"/>
  <c r="AT74" i="61"/>
  <c r="AU74" i="61"/>
  <c r="AV74" i="61"/>
  <c r="AW74" i="61"/>
  <c r="AX74" i="61"/>
  <c r="AD75" i="61"/>
  <c r="AE75" i="61"/>
  <c r="AF75" i="61"/>
  <c r="AG75" i="61"/>
  <c r="AH75" i="61"/>
  <c r="AI75" i="61"/>
  <c r="AJ75" i="61"/>
  <c r="AK75" i="61"/>
  <c r="AL75" i="61"/>
  <c r="AM75" i="61"/>
  <c r="AM82" i="61" s="1"/>
  <c r="AN75" i="61"/>
  <c r="AO75" i="61"/>
  <c r="AP75" i="61"/>
  <c r="AQ75" i="61"/>
  <c r="AR75" i="61"/>
  <c r="AR82" i="61" s="1"/>
  <c r="AS75" i="61"/>
  <c r="AS77" i="61" s="1"/>
  <c r="AT75" i="61"/>
  <c r="AU75" i="61"/>
  <c r="AV75" i="61"/>
  <c r="AW75" i="61"/>
  <c r="AX75" i="61"/>
  <c r="AC62" i="61"/>
  <c r="AC63" i="61"/>
  <c r="AC64" i="61"/>
  <c r="AC65" i="61"/>
  <c r="AC66" i="61"/>
  <c r="AC67" i="61"/>
  <c r="AC68" i="61"/>
  <c r="AC69" i="61"/>
  <c r="AC70" i="61"/>
  <c r="AC71" i="61"/>
  <c r="AC72" i="61"/>
  <c r="AC73" i="61"/>
  <c r="AC74" i="61"/>
  <c r="AC75" i="61"/>
  <c r="AC61" i="61"/>
  <c r="AA62" i="61"/>
  <c r="AA63" i="61"/>
  <c r="AA64" i="61"/>
  <c r="AA65" i="61"/>
  <c r="AA66" i="61"/>
  <c r="AA67" i="61"/>
  <c r="AA68" i="61"/>
  <c r="AA79" i="61" s="1"/>
  <c r="AA69" i="61"/>
  <c r="AA70" i="61"/>
  <c r="AA71" i="61"/>
  <c r="AA72" i="61"/>
  <c r="AA80" i="61" s="1"/>
  <c r="AA73" i="61"/>
  <c r="AA74" i="61"/>
  <c r="AA75" i="61"/>
  <c r="AA61" i="61"/>
  <c r="AA82" i="61"/>
  <c r="AA81" i="61"/>
  <c r="AA78" i="61"/>
  <c r="AR77" i="61"/>
  <c r="AR81" i="61" s="1"/>
  <c r="H101" i="7"/>
  <c r="K122" i="28"/>
  <c r="K123" i="28" s="1"/>
  <c r="K124" i="28" s="1"/>
  <c r="K125" i="28" s="1"/>
  <c r="K126" i="28" s="1"/>
  <c r="K127" i="28" s="1"/>
  <c r="K128" i="28" s="1"/>
  <c r="K129" i="28" s="1"/>
  <c r="K130" i="28" s="1"/>
  <c r="K131" i="28" s="1"/>
  <c r="K132" i="28" s="1"/>
  <c r="K133" i="28" s="1"/>
  <c r="K134" i="28" s="1"/>
  <c r="K135" i="28" s="1"/>
  <c r="K136" i="28" s="1"/>
  <c r="K137" i="28" s="1"/>
  <c r="K138" i="28" s="1"/>
  <c r="K139" i="28" s="1"/>
  <c r="K140" i="28" s="1"/>
  <c r="K141" i="28" s="1"/>
  <c r="K142" i="28" s="1"/>
  <c r="K143" i="28" s="1"/>
  <c r="K144" i="28" s="1"/>
  <c r="K145" i="28" s="1"/>
  <c r="K146" i="28" s="1"/>
  <c r="K147" i="28" s="1"/>
  <c r="K148" i="28" s="1"/>
  <c r="K149" i="28" s="1"/>
  <c r="K150" i="28" s="1"/>
  <c r="K151" i="28" s="1"/>
  <c r="K152" i="28" s="1"/>
  <c r="K153" i="28" s="1"/>
  <c r="K154" i="28" s="1"/>
  <c r="K155" i="28" s="1"/>
  <c r="K156" i="28" s="1"/>
  <c r="K157" i="28" s="1"/>
  <c r="K158" i="28" s="1"/>
  <c r="K159" i="28" s="1"/>
  <c r="K160" i="28" s="1"/>
  <c r="K161" i="28" s="1"/>
  <c r="K162" i="28" s="1"/>
  <c r="K163" i="28" s="1"/>
  <c r="K164" i="28" s="1"/>
  <c r="K165" i="28" s="1"/>
  <c r="K166" i="28" s="1"/>
  <c r="K167" i="28" s="1"/>
  <c r="K168" i="28" s="1"/>
  <c r="K169" i="28" s="1"/>
  <c r="K170" i="28" s="1"/>
  <c r="K171" i="28" s="1"/>
  <c r="K172" i="28" s="1"/>
  <c r="K173" i="28" s="1"/>
  <c r="K174" i="28" s="1"/>
  <c r="K175" i="28" s="1"/>
  <c r="K176" i="28" s="1"/>
  <c r="K177" i="28" s="1"/>
  <c r="K178" i="28" s="1"/>
  <c r="K179" i="28" s="1"/>
  <c r="K180" i="28" s="1"/>
  <c r="K181" i="28" s="1"/>
  <c r="K182" i="28" s="1"/>
  <c r="K183" i="28" s="1"/>
  <c r="K184" i="28" s="1"/>
  <c r="K185" i="28" s="1"/>
  <c r="K186" i="28" s="1"/>
  <c r="K187" i="28" s="1"/>
  <c r="K188" i="28" s="1"/>
  <c r="K189" i="28" s="1"/>
  <c r="K190" i="28" s="1"/>
  <c r="K191" i="28" s="1"/>
  <c r="K192" i="28" s="1"/>
  <c r="K193" i="28" s="1"/>
  <c r="K194" i="28" s="1"/>
  <c r="K195" i="28" s="1"/>
  <c r="K196" i="28" s="1"/>
  <c r="K197" i="28" s="1"/>
  <c r="K198" i="28" s="1"/>
  <c r="K199" i="28" s="1"/>
  <c r="K200" i="28" s="1"/>
  <c r="K201" i="28" s="1"/>
  <c r="K202" i="28" s="1"/>
  <c r="K203" i="28" s="1"/>
  <c r="K204" i="28" s="1"/>
  <c r="K205" i="28" s="1"/>
  <c r="T8" i="37"/>
  <c r="U8" i="37"/>
  <c r="V8" i="37"/>
  <c r="T9" i="37"/>
  <c r="U9" i="37"/>
  <c r="V9" i="37"/>
  <c r="T10" i="37"/>
  <c r="U10" i="37"/>
  <c r="V10" i="37"/>
  <c r="S9" i="37"/>
  <c r="S10" i="37"/>
  <c r="S8" i="37"/>
  <c r="AC8" i="34"/>
  <c r="AD8" i="34"/>
  <c r="AE8" i="34"/>
  <c r="AC9" i="34"/>
  <c r="AD9" i="34"/>
  <c r="AE9" i="34"/>
  <c r="AC10" i="34"/>
  <c r="AD10" i="34"/>
  <c r="AE10" i="34"/>
  <c r="AC11" i="34"/>
  <c r="AD11" i="34"/>
  <c r="AE11" i="34"/>
  <c r="AC12" i="34"/>
  <c r="AD12" i="34"/>
  <c r="AE12" i="34"/>
  <c r="AC13" i="34"/>
  <c r="AD13" i="34"/>
  <c r="AE13" i="34"/>
  <c r="AC14" i="34"/>
  <c r="AD14" i="34"/>
  <c r="AE14" i="34"/>
  <c r="AC15" i="34"/>
  <c r="AD15" i="34"/>
  <c r="AE15" i="34"/>
  <c r="AB9" i="34"/>
  <c r="AB10" i="34"/>
  <c r="AB11" i="34"/>
  <c r="AB12" i="34"/>
  <c r="AB13" i="34"/>
  <c r="AB14" i="34"/>
  <c r="AB15" i="34"/>
  <c r="AB8" i="34"/>
  <c r="V8" i="33"/>
  <c r="W8" i="33"/>
  <c r="X8" i="33"/>
  <c r="V9" i="33"/>
  <c r="W9" i="33"/>
  <c r="X9" i="33"/>
  <c r="V10" i="33"/>
  <c r="W10" i="33"/>
  <c r="X10" i="33"/>
  <c r="V11" i="33"/>
  <c r="W11" i="33"/>
  <c r="X11" i="33"/>
  <c r="V12" i="33"/>
  <c r="W12" i="33"/>
  <c r="X12" i="33"/>
  <c r="U9" i="33"/>
  <c r="U10" i="33"/>
  <c r="U11" i="33"/>
  <c r="U12" i="33"/>
  <c r="U8" i="33"/>
  <c r="R8" i="32"/>
  <c r="S8" i="32"/>
  <c r="T8" i="32"/>
  <c r="R9" i="32"/>
  <c r="S9" i="32"/>
  <c r="T9" i="32"/>
  <c r="R10" i="32"/>
  <c r="S10" i="32"/>
  <c r="T10" i="32"/>
  <c r="Q9" i="32"/>
  <c r="Q10" i="32"/>
  <c r="Q8" i="32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A13" i="31"/>
  <c r="AB13" i="31"/>
  <c r="AC13" i="31"/>
  <c r="Z9" i="31"/>
  <c r="Z10" i="31"/>
  <c r="Z11" i="31"/>
  <c r="Z12" i="31"/>
  <c r="Z13" i="31"/>
  <c r="Z8" i="31"/>
  <c r="Y8" i="30"/>
  <c r="Z8" i="30"/>
  <c r="AA8" i="30"/>
  <c r="Y9" i="30"/>
  <c r="Z9" i="30"/>
  <c r="AA9" i="30"/>
  <c r="Y10" i="30"/>
  <c r="Z10" i="30"/>
  <c r="AA10" i="30"/>
  <c r="Y11" i="30"/>
  <c r="Z11" i="30"/>
  <c r="AA11" i="30"/>
  <c r="Y12" i="30"/>
  <c r="Z12" i="30"/>
  <c r="AA12" i="30"/>
  <c r="Y13" i="30"/>
  <c r="Z13" i="30"/>
  <c r="AA13" i="30"/>
  <c r="X9" i="30"/>
  <c r="X10" i="30"/>
  <c r="X11" i="30"/>
  <c r="X12" i="30"/>
  <c r="X13" i="30"/>
  <c r="X8" i="30"/>
  <c r="AA8" i="29"/>
  <c r="AB8" i="29"/>
  <c r="AC8" i="29"/>
  <c r="AA9" i="29"/>
  <c r="AB9" i="29"/>
  <c r="AC9" i="29"/>
  <c r="AA10" i="29"/>
  <c r="AB10" i="29"/>
  <c r="AC10" i="29"/>
  <c r="AA11" i="29"/>
  <c r="AB11" i="29"/>
  <c r="AC11" i="29"/>
  <c r="AA12" i="29"/>
  <c r="AB12" i="29"/>
  <c r="AC12" i="29"/>
  <c r="AA13" i="29"/>
  <c r="AB13" i="29"/>
  <c r="AC13" i="29"/>
  <c r="AA14" i="29"/>
  <c r="AB14" i="29"/>
  <c r="AC14" i="29"/>
  <c r="Z9" i="29"/>
  <c r="Z10" i="29"/>
  <c r="Z11" i="29"/>
  <c r="Z12" i="29"/>
  <c r="Z13" i="29"/>
  <c r="Z14" i="29"/>
  <c r="Z8" i="29"/>
  <c r="AC8" i="28"/>
  <c r="AD8" i="28"/>
  <c r="AE8" i="28"/>
  <c r="AC9" i="28"/>
  <c r="AD9" i="28"/>
  <c r="AE9" i="28"/>
  <c r="AC10" i="28"/>
  <c r="AD10" i="28"/>
  <c r="AE10" i="28"/>
  <c r="AC11" i="28"/>
  <c r="AD11" i="28"/>
  <c r="AE11" i="28"/>
  <c r="AC12" i="28"/>
  <c r="AD12" i="28"/>
  <c r="AE12" i="28"/>
  <c r="AC13" i="28"/>
  <c r="AD13" i="28"/>
  <c r="AE13" i="28"/>
  <c r="AC14" i="28"/>
  <c r="AD14" i="28"/>
  <c r="AE14" i="28"/>
  <c r="AC15" i="28"/>
  <c r="AD15" i="28"/>
  <c r="AE15" i="28"/>
  <c r="AB9" i="28"/>
  <c r="AB10" i="28"/>
  <c r="AB11" i="28"/>
  <c r="AB12" i="28"/>
  <c r="AB13" i="28"/>
  <c r="AB14" i="28"/>
  <c r="AB15" i="28"/>
  <c r="AB8" i="28"/>
  <c r="G42" i="42"/>
  <c r="G43" i="42"/>
  <c r="G44" i="42"/>
  <c r="G45" i="42"/>
  <c r="G46" i="42"/>
  <c r="G47" i="42"/>
  <c r="G41" i="42"/>
  <c r="T97" i="11"/>
  <c r="E97" i="11"/>
  <c r="B106" i="11"/>
  <c r="R136" i="61"/>
  <c r="Q138" i="61"/>
  <c r="J8" i="7" a="1"/>
  <c r="J8" i="7" s="1"/>
  <c r="H19" i="42"/>
  <c r="C136" i="61"/>
  <c r="D136" i="61"/>
  <c r="E136" i="61"/>
  <c r="F136" i="61"/>
  <c r="G136" i="61"/>
  <c r="H136" i="61"/>
  <c r="H144" i="61" s="1"/>
  <c r="I136" i="61"/>
  <c r="I144" i="61" s="1"/>
  <c r="J136" i="61"/>
  <c r="K136" i="61"/>
  <c r="K144" i="61" s="1"/>
  <c r="L136" i="61"/>
  <c r="L144" i="61" s="1"/>
  <c r="M136" i="61"/>
  <c r="N136" i="61"/>
  <c r="O136" i="61"/>
  <c r="P136" i="61"/>
  <c r="Q136" i="61"/>
  <c r="S136" i="61"/>
  <c r="T136" i="61"/>
  <c r="U136" i="61"/>
  <c r="V136" i="61"/>
  <c r="W136" i="61"/>
  <c r="C137" i="61"/>
  <c r="D137" i="61"/>
  <c r="E137" i="61"/>
  <c r="F137" i="61"/>
  <c r="G137" i="61"/>
  <c r="H137" i="61"/>
  <c r="I137" i="61"/>
  <c r="J137" i="61"/>
  <c r="K137" i="61"/>
  <c r="L137" i="61"/>
  <c r="M137" i="61"/>
  <c r="N137" i="61"/>
  <c r="O137" i="61"/>
  <c r="P137" i="61"/>
  <c r="Q137" i="61"/>
  <c r="R137" i="61"/>
  <c r="S137" i="61"/>
  <c r="T137" i="61"/>
  <c r="U137" i="61"/>
  <c r="V137" i="61"/>
  <c r="W137" i="61"/>
  <c r="C138" i="61"/>
  <c r="D138" i="61"/>
  <c r="E138" i="61"/>
  <c r="F138" i="61"/>
  <c r="G138" i="61"/>
  <c r="H138" i="61"/>
  <c r="I138" i="61"/>
  <c r="J138" i="61"/>
  <c r="K138" i="61"/>
  <c r="L138" i="61"/>
  <c r="M138" i="61"/>
  <c r="N138" i="61"/>
  <c r="O138" i="61"/>
  <c r="P138" i="61"/>
  <c r="R138" i="61"/>
  <c r="S138" i="61"/>
  <c r="T138" i="61"/>
  <c r="U138" i="61"/>
  <c r="V138" i="61"/>
  <c r="W138" i="61"/>
  <c r="C139" i="61"/>
  <c r="D139" i="61"/>
  <c r="E139" i="61"/>
  <c r="F139" i="61"/>
  <c r="G139" i="61"/>
  <c r="H139" i="61"/>
  <c r="I139" i="61"/>
  <c r="J139" i="61"/>
  <c r="K139" i="61"/>
  <c r="L139" i="61"/>
  <c r="M139" i="61"/>
  <c r="N139" i="61"/>
  <c r="O139" i="61"/>
  <c r="P139" i="61"/>
  <c r="Q139" i="61"/>
  <c r="R139" i="61"/>
  <c r="S139" i="61"/>
  <c r="T139" i="61"/>
  <c r="U139" i="61"/>
  <c r="V139" i="61"/>
  <c r="W139" i="61"/>
  <c r="C140" i="61"/>
  <c r="D140" i="61"/>
  <c r="E140" i="61"/>
  <c r="F140" i="61"/>
  <c r="G140" i="61"/>
  <c r="H140" i="61"/>
  <c r="I140" i="61"/>
  <c r="J140" i="61"/>
  <c r="K140" i="61"/>
  <c r="L140" i="61"/>
  <c r="M140" i="61"/>
  <c r="N140" i="61"/>
  <c r="O140" i="61"/>
  <c r="P140" i="61"/>
  <c r="Q140" i="61"/>
  <c r="R140" i="61"/>
  <c r="S140" i="61"/>
  <c r="T140" i="61"/>
  <c r="U140" i="61"/>
  <c r="V140" i="61"/>
  <c r="W140" i="61"/>
  <c r="C141" i="61"/>
  <c r="D141" i="61"/>
  <c r="E141" i="61"/>
  <c r="F141" i="61"/>
  <c r="G141" i="61"/>
  <c r="H141" i="61"/>
  <c r="I141" i="61"/>
  <c r="J141" i="61"/>
  <c r="K141" i="61"/>
  <c r="L141" i="61"/>
  <c r="M141" i="61"/>
  <c r="N141" i="61"/>
  <c r="O141" i="61"/>
  <c r="P141" i="61"/>
  <c r="Q141" i="61"/>
  <c r="R141" i="61"/>
  <c r="S141" i="61"/>
  <c r="T141" i="61"/>
  <c r="U141" i="61"/>
  <c r="V141" i="61"/>
  <c r="W141" i="61"/>
  <c r="X137" i="61"/>
  <c r="X138" i="61"/>
  <c r="X139" i="61"/>
  <c r="X140" i="61"/>
  <c r="X141" i="61"/>
  <c r="X136" i="61"/>
  <c r="X144" i="61" s="1"/>
  <c r="A141" i="61"/>
  <c r="A137" i="61"/>
  <c r="A138" i="61"/>
  <c r="A139" i="61"/>
  <c r="A140" i="61"/>
  <c r="A136" i="61"/>
  <c r="B135" i="61"/>
  <c r="C135" i="61"/>
  <c r="C142" i="61" s="1"/>
  <c r="C144" i="61" s="1"/>
  <c r="D135" i="61"/>
  <c r="D142" i="61" s="1"/>
  <c r="D144" i="61" s="1"/>
  <c r="E135" i="61"/>
  <c r="E142" i="61" s="1"/>
  <c r="E144" i="61" s="1"/>
  <c r="F135" i="61"/>
  <c r="F142" i="61" s="1"/>
  <c r="F144" i="61" s="1"/>
  <c r="G135" i="61"/>
  <c r="G142" i="61" s="1"/>
  <c r="G144" i="61" s="1"/>
  <c r="H135" i="61"/>
  <c r="H142" i="61" s="1"/>
  <c r="I135" i="61"/>
  <c r="I142" i="61" s="1"/>
  <c r="J135" i="61"/>
  <c r="J142" i="61" s="1"/>
  <c r="K135" i="61"/>
  <c r="K142" i="61" s="1"/>
  <c r="L135" i="61"/>
  <c r="L142" i="61" s="1"/>
  <c r="M135" i="61"/>
  <c r="M142" i="61" s="1"/>
  <c r="N135" i="61"/>
  <c r="N142" i="61" s="1"/>
  <c r="N144" i="61" s="1"/>
  <c r="O135" i="61"/>
  <c r="O142" i="61" s="1"/>
  <c r="P135" i="61"/>
  <c r="P142" i="61" s="1"/>
  <c r="P144" i="61" s="1"/>
  <c r="Q135" i="61"/>
  <c r="Q142" i="61" s="1"/>
  <c r="R135" i="61"/>
  <c r="R142" i="61" s="1"/>
  <c r="S135" i="61"/>
  <c r="S142" i="61" s="1"/>
  <c r="S144" i="61" s="1"/>
  <c r="T135" i="61"/>
  <c r="T142" i="61" s="1"/>
  <c r="T144" i="61" s="1"/>
  <c r="U135" i="61"/>
  <c r="U142" i="61" s="1"/>
  <c r="U144" i="61" s="1"/>
  <c r="V135" i="61"/>
  <c r="V142" i="61" s="1"/>
  <c r="V144" i="61" s="1"/>
  <c r="W135" i="61"/>
  <c r="W142" i="61" s="1"/>
  <c r="W144" i="61" s="1"/>
  <c r="X135" i="61"/>
  <c r="X142" i="61" s="1"/>
  <c r="M20" i="42"/>
  <c r="A37" i="14" l="1"/>
  <c r="A38" i="14" s="1"/>
  <c r="A39" i="14" s="1"/>
  <c r="A40" i="14" s="1"/>
  <c r="A41" i="14" s="1"/>
  <c r="A42" i="14" s="1"/>
  <c r="A43" i="14" s="1"/>
  <c r="A44" i="14" s="1"/>
  <c r="A45" i="14" s="1"/>
  <c r="A46" i="14" s="1"/>
  <c r="R149" i="31"/>
  <c r="R126" i="31"/>
  <c r="R134" i="31"/>
  <c r="R142" i="31"/>
  <c r="R150" i="31"/>
  <c r="R133" i="31"/>
  <c r="R157" i="31"/>
  <c r="R125" i="31"/>
  <c r="R127" i="31"/>
  <c r="R135" i="31"/>
  <c r="R143" i="31"/>
  <c r="R151" i="31"/>
  <c r="R141" i="31"/>
  <c r="R128" i="31"/>
  <c r="R136" i="31"/>
  <c r="R144" i="31"/>
  <c r="R152" i="31"/>
  <c r="R129" i="31"/>
  <c r="R137" i="31"/>
  <c r="R145" i="31"/>
  <c r="R153" i="31"/>
  <c r="R122" i="31"/>
  <c r="R130" i="31"/>
  <c r="R138" i="31"/>
  <c r="R146" i="31"/>
  <c r="R154" i="31"/>
  <c r="R123" i="31"/>
  <c r="R131" i="31"/>
  <c r="R139" i="31"/>
  <c r="R147" i="31"/>
  <c r="R155" i="31"/>
  <c r="R124" i="31"/>
  <c r="R132" i="31"/>
  <c r="R140" i="31"/>
  <c r="R148" i="31"/>
  <c r="R156" i="31"/>
  <c r="R121" i="31"/>
  <c r="R114" i="31"/>
  <c r="R105" i="31"/>
  <c r="R98" i="31"/>
  <c r="R89" i="31"/>
  <c r="R82" i="31"/>
  <c r="R73" i="31"/>
  <c r="R66" i="31"/>
  <c r="R57" i="31"/>
  <c r="R111" i="31"/>
  <c r="R95" i="31"/>
  <c r="R79" i="31"/>
  <c r="R63" i="31"/>
  <c r="R47" i="31"/>
  <c r="R31" i="31"/>
  <c r="R15" i="31"/>
  <c r="R110" i="31"/>
  <c r="R94" i="31"/>
  <c r="R78" i="31"/>
  <c r="R62" i="31"/>
  <c r="R46" i="31"/>
  <c r="R30" i="31"/>
  <c r="R14" i="31"/>
  <c r="R109" i="31"/>
  <c r="R93" i="31"/>
  <c r="R77" i="31"/>
  <c r="R61" i="31"/>
  <c r="R45" i="31"/>
  <c r="R29" i="31"/>
  <c r="R13" i="31"/>
  <c r="R108" i="31"/>
  <c r="R92" i="31"/>
  <c r="R76" i="31"/>
  <c r="R60" i="31"/>
  <c r="R44" i="31"/>
  <c r="R28" i="31"/>
  <c r="R12" i="31"/>
  <c r="R107" i="31"/>
  <c r="R91" i="31"/>
  <c r="R75" i="31"/>
  <c r="R59" i="31"/>
  <c r="R43" i="31"/>
  <c r="R27" i="31"/>
  <c r="R11" i="31"/>
  <c r="R106" i="31"/>
  <c r="R90" i="31"/>
  <c r="R74" i="31"/>
  <c r="R58" i="31"/>
  <c r="R42" i="31"/>
  <c r="R26" i="31"/>
  <c r="R10" i="31"/>
  <c r="R41" i="31"/>
  <c r="R25" i="31"/>
  <c r="R9" i="31"/>
  <c r="R120" i="31"/>
  <c r="R104" i="31"/>
  <c r="R88" i="31"/>
  <c r="R72" i="31"/>
  <c r="R56" i="31"/>
  <c r="R40" i="31"/>
  <c r="R24" i="31"/>
  <c r="R8" i="31"/>
  <c r="R119" i="31"/>
  <c r="R103" i="31"/>
  <c r="R87" i="31"/>
  <c r="R71" i="31"/>
  <c r="R55" i="31"/>
  <c r="R39" i="31"/>
  <c r="R23" i="31"/>
  <c r="R7" i="31"/>
  <c r="R118" i="31"/>
  <c r="R102" i="31"/>
  <c r="R86" i="31"/>
  <c r="R70" i="31"/>
  <c r="R54" i="31"/>
  <c r="R38" i="31"/>
  <c r="R22" i="31"/>
  <c r="R6" i="31"/>
  <c r="R117" i="31"/>
  <c r="R101" i="31"/>
  <c r="R85" i="31"/>
  <c r="R69" i="31"/>
  <c r="R53" i="31"/>
  <c r="R37" i="31"/>
  <c r="R21" i="31"/>
  <c r="R5" i="31"/>
  <c r="R116" i="31"/>
  <c r="R100" i="31"/>
  <c r="R84" i="31"/>
  <c r="R68" i="31"/>
  <c r="R52" i="31"/>
  <c r="R36" i="31"/>
  <c r="R20" i="31"/>
  <c r="R4" i="31"/>
  <c r="R115" i="31"/>
  <c r="R99" i="31"/>
  <c r="R83" i="31"/>
  <c r="R67" i="31"/>
  <c r="R51" i="31"/>
  <c r="R35" i="31"/>
  <c r="R19" i="31"/>
  <c r="R3" i="31"/>
  <c r="R50" i="31"/>
  <c r="R34" i="31"/>
  <c r="R18" i="31"/>
  <c r="R113" i="31"/>
  <c r="R97" i="31"/>
  <c r="R81" i="31"/>
  <c r="R65" i="31"/>
  <c r="R49" i="31"/>
  <c r="R33" i="31"/>
  <c r="R17" i="31"/>
  <c r="R112" i="31"/>
  <c r="R96" i="31"/>
  <c r="R80" i="31"/>
  <c r="R64" i="31"/>
  <c r="R48" i="31"/>
  <c r="R32" i="31"/>
  <c r="R16" i="31"/>
  <c r="AJ78" i="61"/>
  <c r="AJ79" i="61"/>
  <c r="AV80" i="61"/>
  <c r="AQ78" i="61"/>
  <c r="AX82" i="61"/>
  <c r="AO81" i="61"/>
  <c r="AO82" i="61"/>
  <c r="AM80" i="61"/>
  <c r="AM81" i="61"/>
  <c r="AC77" i="61"/>
  <c r="AL78" i="61"/>
  <c r="AL80" i="61"/>
  <c r="AN80" i="61"/>
  <c r="AN78" i="61"/>
  <c r="AK79" i="61"/>
  <c r="AL79" i="61"/>
  <c r="AQ82" i="61"/>
  <c r="AD78" i="61"/>
  <c r="AT78" i="61"/>
  <c r="AO80" i="61"/>
  <c r="AO78" i="61"/>
  <c r="AE78" i="61"/>
  <c r="AU78" i="61"/>
  <c r="AN79" i="61"/>
  <c r="AQ80" i="61"/>
  <c r="AJ81" i="61"/>
  <c r="AS82" i="61"/>
  <c r="AK78" i="61"/>
  <c r="AK80" i="61"/>
  <c r="AP80" i="61"/>
  <c r="AP82" i="61"/>
  <c r="AP78" i="61"/>
  <c r="AI81" i="61"/>
  <c r="AI78" i="61"/>
  <c r="AI80" i="61"/>
  <c r="AF78" i="61"/>
  <c r="AV78" i="61"/>
  <c r="AO79" i="61"/>
  <c r="AR80" i="61"/>
  <c r="AK81" i="61"/>
  <c r="AD82" i="61"/>
  <c r="AT82" i="61"/>
  <c r="AQ79" i="61"/>
  <c r="AQ81" i="61"/>
  <c r="AP79" i="61"/>
  <c r="AS80" i="61"/>
  <c r="AL81" i="61"/>
  <c r="AE82" i="61"/>
  <c r="AU82" i="61"/>
  <c r="AR79" i="61"/>
  <c r="AR78" i="61"/>
  <c r="AD80" i="61"/>
  <c r="AT80" i="61"/>
  <c r="AF82" i="61"/>
  <c r="AV82" i="61"/>
  <c r="AS81" i="61"/>
  <c r="AS78" i="61"/>
  <c r="AE80" i="61"/>
  <c r="AU80" i="61"/>
  <c r="AG82" i="61"/>
  <c r="AW82" i="61"/>
  <c r="AD79" i="61"/>
  <c r="AD81" i="61"/>
  <c r="AT81" i="61"/>
  <c r="AE79" i="61"/>
  <c r="AE81" i="61"/>
  <c r="AU81" i="61"/>
  <c r="AF79" i="61"/>
  <c r="AF81" i="61"/>
  <c r="AV81" i="61"/>
  <c r="AH80" i="61"/>
  <c r="AX80" i="61"/>
  <c r="AJ82" i="61"/>
  <c r="AG79" i="61"/>
  <c r="AG78" i="61"/>
  <c r="AG80" i="61"/>
  <c r="AG81" i="61"/>
  <c r="AW81" i="61"/>
  <c r="AW78" i="61"/>
  <c r="AW80" i="61"/>
  <c r="AH79" i="61"/>
  <c r="AH78" i="61"/>
  <c r="AH81" i="61"/>
  <c r="AX81" i="61"/>
  <c r="AX78" i="61"/>
  <c r="AJ80" i="61"/>
  <c r="AL82" i="61"/>
  <c r="AI79" i="61"/>
  <c r="AN82" i="61"/>
  <c r="AM79" i="61"/>
  <c r="AM78" i="61"/>
  <c r="R144" i="61"/>
  <c r="Q144" i="61"/>
  <c r="O144" i="61"/>
  <c r="M144" i="61"/>
  <c r="J144" i="61"/>
  <c r="I1" i="2" l="1"/>
  <c r="FP1" i="2"/>
  <c r="EV1" i="3" s="1"/>
  <c r="FQ1" i="2"/>
  <c r="EW1" i="3" s="1"/>
  <c r="W1" i="2"/>
  <c r="AF1" i="2"/>
  <c r="AH1" i="2"/>
  <c r="FU1" i="2"/>
  <c r="FV1" i="2"/>
  <c r="FW1" i="2"/>
  <c r="BD1" i="2"/>
  <c r="BK1" i="2"/>
  <c r="BP1" i="2"/>
  <c r="BW1" i="2"/>
  <c r="GB1" i="2"/>
  <c r="GC1" i="2"/>
  <c r="GD1" i="2"/>
  <c r="CN1" i="2"/>
  <c r="EM1" i="2" s="1"/>
  <c r="CO1" i="2"/>
  <c r="EN1" i="2" s="1"/>
  <c r="CP1" i="2"/>
  <c r="CQ1" i="2"/>
  <c r="FD1" i="2" s="1"/>
  <c r="CR1" i="2"/>
  <c r="FE1" i="2" s="1"/>
  <c r="CS1" i="2"/>
  <c r="FF1" i="2" s="1"/>
  <c r="CT1" i="2"/>
  <c r="CU1" i="2"/>
  <c r="FH1" i="2" s="1"/>
  <c r="CV1" i="2"/>
  <c r="EU1" i="2" s="1"/>
  <c r="CW1" i="2"/>
  <c r="EV1" i="2" s="1"/>
  <c r="CX1" i="2"/>
  <c r="FK1" i="2" s="1"/>
  <c r="CY1" i="2"/>
  <c r="FL1" i="2" s="1"/>
  <c r="CZ1" i="2"/>
  <c r="EY1" i="2" s="1"/>
  <c r="DA1" i="2"/>
  <c r="FN1" i="2" s="1"/>
  <c r="GA1" i="2" l="1"/>
  <c r="FD1" i="3" s="1"/>
  <c r="FM1" i="2"/>
  <c r="ES1" i="2"/>
  <c r="E1" i="36"/>
  <c r="E1" i="25"/>
  <c r="FC1" i="2"/>
  <c r="E1" i="34"/>
  <c r="E1" i="23"/>
  <c r="E1" i="19"/>
  <c r="E1" i="29"/>
  <c r="FB1" i="2"/>
  <c r="FJ1" i="2"/>
  <c r="E1" i="2"/>
  <c r="FG1" i="2"/>
  <c r="BY1" i="2"/>
  <c r="BV1" i="2"/>
  <c r="BT1" i="2"/>
  <c r="BJ1" i="2"/>
  <c r="AC1" i="2"/>
  <c r="FZ1" i="2"/>
  <c r="FC1" i="3" s="1"/>
  <c r="FA1" i="2"/>
  <c r="AD1" i="2"/>
  <c r="ET1" i="2"/>
  <c r="U1" i="2"/>
  <c r="R1" i="2"/>
  <c r="FY1" i="2"/>
  <c r="FB1" i="3" s="1"/>
  <c r="Q1" i="2"/>
  <c r="BN1" i="2"/>
  <c r="EW1" i="2"/>
  <c r="EQ1" i="2"/>
  <c r="FR1" i="2"/>
  <c r="EX1" i="3" s="1"/>
  <c r="FO1" i="2"/>
  <c r="EU1" i="3" s="1"/>
  <c r="F1" i="2"/>
  <c r="BH1" i="2"/>
  <c r="FI1" i="2"/>
  <c r="BE1" i="2"/>
  <c r="FX1" i="2"/>
  <c r="FA1" i="3" s="1"/>
  <c r="ER1" i="2"/>
  <c r="EP1" i="2"/>
  <c r="EO1" i="2"/>
  <c r="AK1" i="2"/>
  <c r="O1" i="2"/>
  <c r="FT1" i="2"/>
  <c r="EZ1" i="3" s="1"/>
  <c r="AI1" i="2"/>
  <c r="L1" i="2"/>
  <c r="FS1" i="2"/>
  <c r="EY1" i="3" s="1"/>
  <c r="K1" i="2"/>
  <c r="BQ1" i="2"/>
  <c r="EZ1" i="2"/>
  <c r="EX1" i="2"/>
  <c r="AA1" i="2"/>
  <c r="X1" i="2"/>
  <c r="J1" i="19" l="1"/>
  <c r="J1" i="29"/>
  <c r="O48" i="12"/>
  <c r="BB20" i="40"/>
  <c r="AT20" i="40"/>
  <c r="V20" i="40"/>
  <c r="N20" i="40"/>
  <c r="F20" i="40"/>
  <c r="P48" i="12" l="1"/>
  <c r="S48" i="12"/>
  <c r="Q48" i="12"/>
  <c r="T48" i="12"/>
  <c r="R48" i="12"/>
  <c r="U48" i="12"/>
  <c r="R2" i="30" l="1"/>
  <c r="R3" i="30"/>
  <c r="R4" i="30"/>
  <c r="R5" i="30"/>
  <c r="R6" i="30"/>
  <c r="R7" i="30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T2" i="31"/>
  <c r="T3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V2" i="34"/>
  <c r="V3" i="34"/>
  <c r="V4" i="34"/>
  <c r="V5" i="34"/>
  <c r="V6" i="34"/>
  <c r="V7" i="34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T2" i="35"/>
  <c r="T3" i="35"/>
  <c r="T4" i="35"/>
  <c r="T5" i="35"/>
  <c r="T6" i="35"/>
  <c r="T7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R2" i="36"/>
  <c r="R3" i="36"/>
  <c r="R4" i="36"/>
  <c r="R5" i="36"/>
  <c r="R6" i="36"/>
  <c r="R7" i="36"/>
  <c r="R8" i="36"/>
  <c r="R9" i="36"/>
  <c r="R10" i="36"/>
  <c r="R11" i="36"/>
  <c r="R12" i="36"/>
  <c r="R13" i="36"/>
  <c r="R14" i="36"/>
  <c r="R15" i="36"/>
  <c r="R16" i="36"/>
  <c r="R17" i="36"/>
  <c r="R18" i="36"/>
  <c r="R19" i="36"/>
  <c r="R20" i="36"/>
  <c r="R21" i="36"/>
  <c r="R22" i="36"/>
  <c r="R23" i="36"/>
  <c r="R24" i="36"/>
  <c r="R25" i="36"/>
  <c r="S2" i="36"/>
  <c r="S3" i="36"/>
  <c r="S4" i="36"/>
  <c r="S5" i="36"/>
  <c r="S6" i="36"/>
  <c r="S7" i="36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U2" i="35"/>
  <c r="U3" i="35"/>
  <c r="U4" i="35"/>
  <c r="U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W2" i="34"/>
  <c r="W3" i="34"/>
  <c r="W4" i="34"/>
  <c r="W5" i="34"/>
  <c r="W6" i="34"/>
  <c r="W7" i="34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U2" i="31"/>
  <c r="U3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S2" i="30"/>
  <c r="S3" i="30"/>
  <c r="S4" i="30"/>
  <c r="S5" i="30"/>
  <c r="S6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T2" i="29"/>
  <c r="T3" i="29"/>
  <c r="T4" i="29"/>
  <c r="T5" i="29"/>
  <c r="T6" i="29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U2" i="29"/>
  <c r="U3" i="29"/>
  <c r="U4" i="29"/>
  <c r="U5" i="29"/>
  <c r="U6" i="29"/>
  <c r="U7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V2" i="28"/>
  <c r="V3" i="28"/>
  <c r="V4" i="28"/>
  <c r="V5" i="28"/>
  <c r="V6" i="28"/>
  <c r="V7" i="28"/>
  <c r="V8" i="28"/>
  <c r="V9" i="28"/>
  <c r="V10" i="28"/>
  <c r="V11" i="28"/>
  <c r="V12" i="28"/>
  <c r="V13" i="28"/>
  <c r="V14" i="28"/>
  <c r="V15" i="28"/>
  <c r="V16" i="28"/>
  <c r="V17" i="28"/>
  <c r="V18" i="28"/>
  <c r="V19" i="28"/>
  <c r="V20" i="28"/>
  <c r="V21" i="28"/>
  <c r="V22" i="28"/>
  <c r="V23" i="28"/>
  <c r="V24" i="28"/>
  <c r="V25" i="28"/>
  <c r="W2" i="28"/>
  <c r="W3" i="28"/>
  <c r="W4" i="28"/>
  <c r="W5" i="28"/>
  <c r="W6" i="28"/>
  <c r="W7" i="28"/>
  <c r="W8" i="28"/>
  <c r="W9" i="28"/>
  <c r="W10" i="28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N2" i="37"/>
  <c r="N3" i="37"/>
  <c r="N4" i="37"/>
  <c r="N5" i="37"/>
  <c r="N6" i="37"/>
  <c r="N7" i="37"/>
  <c r="N8" i="37"/>
  <c r="N9" i="37"/>
  <c r="N10" i="37"/>
  <c r="N11" i="37"/>
  <c r="N12" i="37"/>
  <c r="N13" i="37"/>
  <c r="N14" i="37"/>
  <c r="N15" i="37"/>
  <c r="N16" i="37"/>
  <c r="N17" i="37"/>
  <c r="N18" i="37"/>
  <c r="N19" i="37"/>
  <c r="N20" i="37"/>
  <c r="N21" i="37"/>
  <c r="N22" i="37"/>
  <c r="N23" i="37"/>
  <c r="N24" i="37"/>
  <c r="N25" i="37"/>
  <c r="P2" i="33"/>
  <c r="P3" i="33"/>
  <c r="P4" i="33"/>
  <c r="P5" i="33"/>
  <c r="P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L2" i="32"/>
  <c r="L3" i="32"/>
  <c r="L4" i="32"/>
  <c r="L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D1" i="23"/>
  <c r="D1" i="21"/>
  <c r="D1" i="20"/>
  <c r="D1" i="18"/>
  <c r="D1" i="19"/>
  <c r="D1" i="17"/>
  <c r="N2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R2" i="25"/>
  <c r="R3" i="25"/>
  <c r="R4" i="25"/>
  <c r="R5" i="25"/>
  <c r="R6" i="25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T2" i="24"/>
  <c r="T3" i="24"/>
  <c r="T4" i="24"/>
  <c r="T5" i="24"/>
  <c r="T6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V2" i="23"/>
  <c r="V3" i="23"/>
  <c r="V4" i="23"/>
  <c r="V5" i="23"/>
  <c r="V6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P2" i="22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L2" i="21"/>
  <c r="L3" i="21"/>
  <c r="L4" i="21"/>
  <c r="L5" i="21"/>
  <c r="L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T2" i="20"/>
  <c r="T3" i="20"/>
  <c r="T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R2" i="18"/>
  <c r="R3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T2" i="19"/>
  <c r="T3" i="19"/>
  <c r="T4" i="19"/>
  <c r="T5" i="19"/>
  <c r="T6" i="19"/>
  <c r="T7" i="19"/>
  <c r="T8" i="19"/>
  <c r="T9" i="19"/>
  <c r="T10" i="19"/>
  <c r="T11" i="19"/>
  <c r="T12" i="19"/>
  <c r="T13" i="19"/>
  <c r="T14" i="19"/>
  <c r="T15" i="19"/>
  <c r="T16" i="19"/>
  <c r="T17" i="19"/>
  <c r="T18" i="19"/>
  <c r="T19" i="19"/>
  <c r="T20" i="19"/>
  <c r="T21" i="19"/>
  <c r="T22" i="19"/>
  <c r="T23" i="19"/>
  <c r="T24" i="19"/>
  <c r="T25" i="19"/>
  <c r="V2" i="17"/>
  <c r="V3" i="17"/>
  <c r="V4" i="17"/>
  <c r="V5" i="17"/>
  <c r="V6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Q106" i="11"/>
  <c r="Q105" i="11"/>
  <c r="Q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D134" i="10"/>
  <c r="D139" i="10" s="1"/>
  <c r="D133" i="10"/>
  <c r="D138" i="10" s="1"/>
  <c r="G79" i="10"/>
  <c r="H79" i="10"/>
  <c r="H108" i="10" s="1"/>
  <c r="H124" i="10" s="1"/>
  <c r="H132" i="10" s="1"/>
  <c r="H137" i="10" s="1"/>
  <c r="I79" i="10"/>
  <c r="I108" i="10" s="1"/>
  <c r="I116" i="10" s="1"/>
  <c r="J79" i="10"/>
  <c r="J108" i="10" s="1"/>
  <c r="J116" i="10" s="1"/>
  <c r="K79" i="10"/>
  <c r="K108" i="10" s="1"/>
  <c r="K124" i="10" s="1"/>
  <c r="K132" i="10" s="1"/>
  <c r="K137" i="10" s="1"/>
  <c r="L79" i="10"/>
  <c r="L108" i="10" s="1"/>
  <c r="L124" i="10" s="1"/>
  <c r="L132" i="10" s="1"/>
  <c r="L137" i="10" s="1"/>
  <c r="M79" i="10"/>
  <c r="M108" i="10" s="1"/>
  <c r="N79" i="10"/>
  <c r="O79" i="10"/>
  <c r="O108" i="10" s="1"/>
  <c r="P79" i="10"/>
  <c r="P108" i="10" s="1"/>
  <c r="P124" i="10" s="1"/>
  <c r="P132" i="10" s="1"/>
  <c r="P137" i="10" s="1"/>
  <c r="Q79" i="10"/>
  <c r="Q108" i="10" s="1"/>
  <c r="R79" i="10"/>
  <c r="S79" i="10"/>
  <c r="S108" i="10" s="1"/>
  <c r="S124" i="10" s="1"/>
  <c r="S132" i="10" s="1"/>
  <c r="S137" i="10" s="1"/>
  <c r="T79" i="10"/>
  <c r="T108" i="10" s="1"/>
  <c r="F79" i="10"/>
  <c r="F108" i="10"/>
  <c r="F116" i="10" s="1"/>
  <c r="R108" i="10"/>
  <c r="R124" i="10" s="1"/>
  <c r="R132" i="10" s="1"/>
  <c r="R137" i="10" s="1"/>
  <c r="N108" i="10"/>
  <c r="N116" i="10" s="1"/>
  <c r="G108" i="10"/>
  <c r="G124" i="10" s="1"/>
  <c r="G132" i="10" s="1"/>
  <c r="G137" i="10" s="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C102" i="11"/>
  <c r="F23" i="11"/>
  <c r="D23" i="11"/>
  <c r="E23" i="11"/>
  <c r="C23" i="11"/>
  <c r="B105" i="11"/>
  <c r="B104" i="11"/>
  <c r="B103" i="11"/>
  <c r="CB3" i="3"/>
  <c r="CB4" i="3"/>
  <c r="CB5" i="3"/>
  <c r="CB6" i="3"/>
  <c r="CB7" i="3"/>
  <c r="CB8" i="3"/>
  <c r="CB9" i="3"/>
  <c r="CB10" i="3"/>
  <c r="CB11" i="3"/>
  <c r="CB12" i="3"/>
  <c r="CB13" i="3"/>
  <c r="CB14" i="3"/>
  <c r="CB15" i="3"/>
  <c r="CB16" i="3"/>
  <c r="CB17" i="3"/>
  <c r="CB18" i="3"/>
  <c r="CB19" i="3"/>
  <c r="CB20" i="3"/>
  <c r="D135" i="51"/>
  <c r="D140" i="51" s="1"/>
  <c r="D134" i="51"/>
  <c r="D139" i="51" s="1"/>
  <c r="D133" i="51"/>
  <c r="D138" i="51" s="1"/>
  <c r="Q116" i="10" l="1"/>
  <c r="Q124" i="10"/>
  <c r="Q132" i="10" s="1"/>
  <c r="Q137" i="10" s="1"/>
  <c r="C25" i="11"/>
  <c r="L23" i="11" a="1"/>
  <c r="L23" i="11" s="1"/>
  <c r="AA23" i="11" s="1"/>
  <c r="M23" i="11" a="1"/>
  <c r="M23" i="11" s="1"/>
  <c r="AB23" i="11" s="1"/>
  <c r="N23" i="11" a="1"/>
  <c r="N23" i="11" s="1"/>
  <c r="AC23" i="11" s="1"/>
  <c r="K23" i="11" a="1"/>
  <c r="K23" i="11" s="1"/>
  <c r="Z23" i="11" s="1"/>
  <c r="O23" i="11" a="1"/>
  <c r="O23" i="11" s="1"/>
  <c r="AD23" i="11" s="1"/>
  <c r="H23" i="11" a="1"/>
  <c r="H23" i="11" s="1"/>
  <c r="W23" i="11" s="1"/>
  <c r="J23" i="11" a="1"/>
  <c r="J23" i="11" s="1"/>
  <c r="Y23" i="11" s="1"/>
  <c r="G23" i="11" a="1"/>
  <c r="G23" i="11" s="1"/>
  <c r="C34" i="11"/>
  <c r="R23" i="11"/>
  <c r="R25" i="11" s="1"/>
  <c r="I23" i="11" a="1"/>
  <c r="I23" i="11" s="1"/>
  <c r="X23" i="11" s="1"/>
  <c r="T23" i="11"/>
  <c r="E34" i="11"/>
  <c r="E33" i="11" s="1"/>
  <c r="D22" i="11"/>
  <c r="S22" i="11" s="1"/>
  <c r="S44" i="11" s="1"/>
  <c r="S55" i="11" s="1"/>
  <c r="D34" i="11"/>
  <c r="D33" i="11" s="1"/>
  <c r="S23" i="11"/>
  <c r="U23" i="11"/>
  <c r="F34" i="11"/>
  <c r="F22" i="11"/>
  <c r="U22" i="11" s="1"/>
  <c r="F33" i="11"/>
  <c r="F45" i="11"/>
  <c r="E22" i="11"/>
  <c r="T22" i="11" s="1"/>
  <c r="T44" i="11" s="1"/>
  <c r="T55" i="11" s="1"/>
  <c r="G116" i="10"/>
  <c r="M116" i="10"/>
  <c r="M124" i="10"/>
  <c r="M132" i="10" s="1"/>
  <c r="M137" i="10" s="1"/>
  <c r="O124" i="10"/>
  <c r="O132" i="10" s="1"/>
  <c r="O137" i="10" s="1"/>
  <c r="O116" i="10"/>
  <c r="T124" i="10"/>
  <c r="T132" i="10" s="1"/>
  <c r="T137" i="10" s="1"/>
  <c r="T116" i="10"/>
  <c r="P116" i="10"/>
  <c r="N124" i="10"/>
  <c r="N132" i="10" s="1"/>
  <c r="N137" i="10" s="1"/>
  <c r="R116" i="10"/>
  <c r="S116" i="10"/>
  <c r="F124" i="10"/>
  <c r="F132" i="10" s="1"/>
  <c r="F137" i="10" s="1"/>
  <c r="J124" i="10"/>
  <c r="J132" i="10" s="1"/>
  <c r="J137" i="10" s="1"/>
  <c r="H116" i="10"/>
  <c r="I124" i="10"/>
  <c r="I132" i="10" s="1"/>
  <c r="I137" i="10" s="1"/>
  <c r="K116" i="10"/>
  <c r="L116" i="10"/>
  <c r="C22" i="11"/>
  <c r="R22" i="11" s="1"/>
  <c r="R44" i="11" s="1"/>
  <c r="R55" i="11" s="1"/>
  <c r="F44" i="11" l="1"/>
  <c r="U45" i="11"/>
  <c r="V23" i="11"/>
  <c r="G34" i="11"/>
  <c r="E45" i="11"/>
  <c r="D45" i="11"/>
  <c r="C36" i="11"/>
  <c r="C33" i="11"/>
  <c r="C45" i="11"/>
  <c r="R45" i="11" s="1"/>
  <c r="R47" i="11" s="1"/>
  <c r="D44" i="11" l="1"/>
  <c r="D55" i="11" s="1"/>
  <c r="S45" i="11"/>
  <c r="E44" i="11"/>
  <c r="E55" i="11" s="1"/>
  <c r="T45" i="11"/>
  <c r="G45" i="11"/>
  <c r="G33" i="11"/>
  <c r="C44" i="11"/>
  <c r="C55" i="11" s="1"/>
  <c r="C47" i="11"/>
  <c r="G44" i="11" l="1"/>
  <c r="V45" i="11"/>
  <c r="J158" i="31"/>
  <c r="R158" i="31" s="1"/>
  <c r="J159" i="31" l="1"/>
  <c r="R159" i="31" s="1"/>
  <c r="J160" i="31" l="1"/>
  <c r="R160" i="31" s="1"/>
  <c r="J161" i="31" l="1"/>
  <c r="R161" i="31" s="1"/>
  <c r="J162" i="31" l="1"/>
  <c r="R162" i="31" s="1"/>
  <c r="J163" i="31" l="1"/>
  <c r="R163" i="31" s="1"/>
  <c r="J164" i="31" l="1"/>
  <c r="R164" i="31" s="1"/>
  <c r="J165" i="31" l="1"/>
  <c r="R165" i="31" s="1"/>
  <c r="J166" i="31" l="1"/>
  <c r="R166" i="31" s="1"/>
  <c r="J167" i="31" l="1"/>
  <c r="R167" i="31" s="1"/>
  <c r="J168" i="31" l="1"/>
  <c r="R168" i="31" s="1"/>
  <c r="J169" i="31" l="1"/>
  <c r="R169" i="31" s="1"/>
  <c r="J170" i="31" l="1"/>
  <c r="R170" i="31" s="1"/>
  <c r="J171" i="31" l="1"/>
  <c r="R171" i="31" s="1"/>
  <c r="J172" i="31" l="1"/>
  <c r="R172" i="31" s="1"/>
  <c r="J173" i="31" l="1"/>
  <c r="R173" i="31" s="1"/>
  <c r="J174" i="31" l="1"/>
  <c r="R174" i="31" s="1"/>
  <c r="J175" i="31" l="1"/>
  <c r="R175" i="31" s="1"/>
  <c r="J176" i="31" l="1"/>
  <c r="R176" i="31" s="1"/>
  <c r="J177" i="31" l="1"/>
  <c r="R177" i="31" s="1"/>
  <c r="J178" i="31" l="1"/>
  <c r="R178" i="31" s="1"/>
  <c r="J179" i="31" l="1"/>
  <c r="R179" i="31" s="1"/>
  <c r="J180" i="31" l="1"/>
  <c r="R180" i="31" s="1"/>
  <c r="J181" i="31" l="1"/>
  <c r="R181" i="31" s="1"/>
  <c r="J182" i="31" l="1"/>
  <c r="R182" i="31" s="1"/>
  <c r="J183" i="31" l="1"/>
  <c r="R183" i="31" s="1"/>
  <c r="J184" i="31" l="1"/>
  <c r="R184" i="31" s="1"/>
  <c r="J185" i="31" l="1"/>
  <c r="R185" i="31" s="1"/>
  <c r="J186" i="31" l="1"/>
  <c r="R186" i="31" s="1"/>
  <c r="J187" i="31" l="1"/>
  <c r="R187" i="31" s="1"/>
  <c r="J188" i="31" l="1"/>
  <c r="R188" i="31" s="1"/>
  <c r="J189" i="31" l="1"/>
  <c r="R189" i="31" s="1"/>
  <c r="J190" i="31" l="1"/>
  <c r="R190" i="31" s="1"/>
  <c r="J191" i="31" l="1"/>
  <c r="R191" i="31" s="1"/>
  <c r="J192" i="31" l="1"/>
  <c r="R192" i="31" s="1"/>
  <c r="J193" i="31" l="1"/>
  <c r="R193" i="31" s="1"/>
  <c r="J194" i="31" l="1"/>
  <c r="R194" i="31" s="1"/>
  <c r="J195" i="31" l="1"/>
  <c r="R195" i="31" s="1"/>
  <c r="J196" i="31" l="1"/>
  <c r="R196" i="31" s="1"/>
  <c r="J197" i="31" l="1"/>
  <c r="R197" i="31" s="1"/>
  <c r="J198" i="31" l="1"/>
  <c r="R198" i="31" s="1"/>
  <c r="J199" i="31" l="1"/>
  <c r="R199" i="31" s="1"/>
  <c r="J200" i="31" l="1"/>
  <c r="R200" i="31" s="1"/>
  <c r="J201" i="31" l="1"/>
  <c r="R201" i="31" s="1"/>
  <c r="J202" i="31" l="1"/>
  <c r="R202" i="31" s="1"/>
  <c r="J203" i="31" l="1"/>
  <c r="R203" i="31" s="1"/>
  <c r="J204" i="31" l="1"/>
  <c r="R204" i="31" s="1"/>
  <c r="J205" i="31" l="1"/>
  <c r="R205" i="31" s="1"/>
  <c r="G79" i="51" l="1"/>
  <c r="G108" i="51" s="1"/>
  <c r="H79" i="51"/>
  <c r="H108" i="51" s="1"/>
  <c r="I79" i="51"/>
  <c r="I108" i="51" s="1"/>
  <c r="J79" i="51"/>
  <c r="J108" i="51" s="1"/>
  <c r="K79" i="51"/>
  <c r="K108" i="51" s="1"/>
  <c r="L79" i="51"/>
  <c r="L108" i="51" s="1"/>
  <c r="M79" i="51"/>
  <c r="M108" i="51" s="1"/>
  <c r="N79" i="51"/>
  <c r="N108" i="51" s="1"/>
  <c r="O79" i="51"/>
  <c r="O108" i="51" s="1"/>
  <c r="P79" i="51"/>
  <c r="P108" i="51" s="1"/>
  <c r="Q79" i="51"/>
  <c r="Q108" i="51" s="1"/>
  <c r="R79" i="51"/>
  <c r="R108" i="51" s="1"/>
  <c r="S79" i="51"/>
  <c r="S108" i="51" s="1"/>
  <c r="T79" i="51"/>
  <c r="T108" i="51" s="1"/>
  <c r="F79" i="51"/>
  <c r="F108" i="51" s="1"/>
  <c r="F116" i="51" s="1"/>
  <c r="D78" i="61"/>
  <c r="E78" i="61"/>
  <c r="F78" i="61"/>
  <c r="G78" i="61"/>
  <c r="H78" i="61"/>
  <c r="I78" i="61"/>
  <c r="J78" i="61"/>
  <c r="K78" i="61"/>
  <c r="L78" i="61"/>
  <c r="M78" i="61"/>
  <c r="N78" i="61"/>
  <c r="O78" i="61"/>
  <c r="P78" i="61"/>
  <c r="Q78" i="61"/>
  <c r="R78" i="61"/>
  <c r="S78" i="61"/>
  <c r="T78" i="61"/>
  <c r="U78" i="61"/>
  <c r="V78" i="61"/>
  <c r="W78" i="61"/>
  <c r="D79" i="61"/>
  <c r="E79" i="61"/>
  <c r="F79" i="61"/>
  <c r="G79" i="61"/>
  <c r="H79" i="61"/>
  <c r="I79" i="61"/>
  <c r="J79" i="61"/>
  <c r="K79" i="61"/>
  <c r="L79" i="61"/>
  <c r="M79" i="61"/>
  <c r="N79" i="61"/>
  <c r="O79" i="61"/>
  <c r="P79" i="61"/>
  <c r="Q79" i="61"/>
  <c r="R79" i="61"/>
  <c r="S79" i="61"/>
  <c r="T79" i="61"/>
  <c r="U79" i="61"/>
  <c r="V79" i="61"/>
  <c r="W79" i="61"/>
  <c r="D80" i="61"/>
  <c r="E80" i="61"/>
  <c r="F80" i="61"/>
  <c r="G80" i="61"/>
  <c r="H80" i="61"/>
  <c r="I80" i="61"/>
  <c r="J80" i="61"/>
  <c r="K80" i="61"/>
  <c r="L80" i="61"/>
  <c r="M80" i="61"/>
  <c r="N80" i="61"/>
  <c r="O80" i="61"/>
  <c r="P80" i="61"/>
  <c r="Q80" i="61"/>
  <c r="R80" i="61"/>
  <c r="S80" i="61"/>
  <c r="T80" i="61"/>
  <c r="U80" i="61"/>
  <c r="V80" i="61"/>
  <c r="W80" i="61"/>
  <c r="D81" i="61"/>
  <c r="E81" i="61"/>
  <c r="F81" i="61"/>
  <c r="G81" i="61"/>
  <c r="H81" i="61"/>
  <c r="I81" i="61"/>
  <c r="J81" i="61"/>
  <c r="K81" i="61"/>
  <c r="L81" i="61"/>
  <c r="M81" i="61"/>
  <c r="N81" i="61"/>
  <c r="O81" i="61"/>
  <c r="P81" i="61"/>
  <c r="Q81" i="61"/>
  <c r="R81" i="61"/>
  <c r="S81" i="61"/>
  <c r="T81" i="61"/>
  <c r="U81" i="61"/>
  <c r="V81" i="61"/>
  <c r="W81" i="61"/>
  <c r="D82" i="61"/>
  <c r="E82" i="61"/>
  <c r="F82" i="61"/>
  <c r="G82" i="61"/>
  <c r="H82" i="61"/>
  <c r="I82" i="61"/>
  <c r="J82" i="61"/>
  <c r="K82" i="61"/>
  <c r="L82" i="61"/>
  <c r="M82" i="61"/>
  <c r="N82" i="61"/>
  <c r="O82" i="61"/>
  <c r="P82" i="61"/>
  <c r="Q82" i="61"/>
  <c r="R82" i="61"/>
  <c r="S82" i="61"/>
  <c r="T82" i="61"/>
  <c r="U82" i="61"/>
  <c r="V82" i="61"/>
  <c r="W82" i="61"/>
  <c r="X80" i="61"/>
  <c r="X81" i="61"/>
  <c r="X82" i="61"/>
  <c r="X79" i="61"/>
  <c r="X78" i="61"/>
  <c r="A82" i="61"/>
  <c r="A81" i="61"/>
  <c r="A80" i="61"/>
  <c r="A79" i="61"/>
  <c r="A78" i="61"/>
  <c r="C77" i="61"/>
  <c r="D77" i="61"/>
  <c r="E77" i="61"/>
  <c r="F77" i="61"/>
  <c r="G77" i="61"/>
  <c r="H77" i="61"/>
  <c r="I77" i="61"/>
  <c r="J77" i="61"/>
  <c r="K77" i="61"/>
  <c r="L77" i="61"/>
  <c r="M77" i="61"/>
  <c r="N77" i="61"/>
  <c r="O77" i="61"/>
  <c r="P77" i="61"/>
  <c r="Q77" i="61"/>
  <c r="R77" i="61"/>
  <c r="T77" i="61"/>
  <c r="U77" i="61"/>
  <c r="V77" i="61"/>
  <c r="W77" i="61"/>
  <c r="X77" i="61"/>
  <c r="C72" i="61"/>
  <c r="D72" i="61"/>
  <c r="E72" i="61"/>
  <c r="F72" i="61"/>
  <c r="G72" i="61"/>
  <c r="H72" i="61"/>
  <c r="I72" i="61"/>
  <c r="J72" i="61"/>
  <c r="K72" i="61"/>
  <c r="L72" i="61"/>
  <c r="M72" i="61"/>
  <c r="N72" i="61"/>
  <c r="O72" i="61"/>
  <c r="P72" i="61"/>
  <c r="Q72" i="61"/>
  <c r="R72" i="61"/>
  <c r="S72" i="61"/>
  <c r="T72" i="61"/>
  <c r="U72" i="61"/>
  <c r="V72" i="61"/>
  <c r="W72" i="61"/>
  <c r="X72" i="61"/>
  <c r="C73" i="61"/>
  <c r="D73" i="61"/>
  <c r="E73" i="61"/>
  <c r="F73" i="61"/>
  <c r="G73" i="61"/>
  <c r="H73" i="61"/>
  <c r="I73" i="61"/>
  <c r="J73" i="61"/>
  <c r="K73" i="61"/>
  <c r="L73" i="61"/>
  <c r="M73" i="61"/>
  <c r="N73" i="61"/>
  <c r="O73" i="61"/>
  <c r="P73" i="61"/>
  <c r="Q73" i="61"/>
  <c r="R73" i="61"/>
  <c r="S73" i="61"/>
  <c r="T73" i="61"/>
  <c r="U73" i="61"/>
  <c r="V73" i="61"/>
  <c r="W73" i="61"/>
  <c r="X73" i="61"/>
  <c r="C74" i="61"/>
  <c r="D74" i="61"/>
  <c r="E74" i="61"/>
  <c r="F74" i="61"/>
  <c r="G74" i="61"/>
  <c r="H74" i="61"/>
  <c r="I74" i="61"/>
  <c r="J74" i="61"/>
  <c r="K74" i="61"/>
  <c r="L74" i="61"/>
  <c r="M74" i="61"/>
  <c r="N74" i="61"/>
  <c r="O74" i="61"/>
  <c r="P74" i="61"/>
  <c r="Q74" i="61"/>
  <c r="R74" i="61"/>
  <c r="S74" i="61"/>
  <c r="T74" i="61"/>
  <c r="U74" i="61"/>
  <c r="V74" i="61"/>
  <c r="W74" i="61"/>
  <c r="X74" i="61"/>
  <c r="C75" i="61"/>
  <c r="D75" i="61"/>
  <c r="E75" i="61"/>
  <c r="F75" i="61"/>
  <c r="G75" i="61"/>
  <c r="H75" i="61"/>
  <c r="I75" i="61"/>
  <c r="J75" i="61"/>
  <c r="K75" i="61"/>
  <c r="L75" i="61"/>
  <c r="M75" i="61"/>
  <c r="N75" i="61"/>
  <c r="O75" i="61"/>
  <c r="P75" i="61"/>
  <c r="Q75" i="61"/>
  <c r="R75" i="61"/>
  <c r="S75" i="61"/>
  <c r="T75" i="61"/>
  <c r="U75" i="61"/>
  <c r="V75" i="61"/>
  <c r="W75" i="61"/>
  <c r="X75" i="61"/>
  <c r="A73" i="61"/>
  <c r="A74" i="61"/>
  <c r="A75" i="61"/>
  <c r="A71" i="61"/>
  <c r="A72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P61" i="61"/>
  <c r="Q61" i="61"/>
  <c r="R61" i="61"/>
  <c r="T61" i="61"/>
  <c r="U61" i="61"/>
  <c r="V61" i="61"/>
  <c r="W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P62" i="61"/>
  <c r="Q62" i="61"/>
  <c r="R62" i="61"/>
  <c r="S62" i="61"/>
  <c r="T62" i="61"/>
  <c r="U62" i="61"/>
  <c r="V62" i="61"/>
  <c r="W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P63" i="61"/>
  <c r="Q63" i="61"/>
  <c r="R63" i="61"/>
  <c r="S63" i="61"/>
  <c r="T63" i="61"/>
  <c r="U63" i="61"/>
  <c r="V63" i="61"/>
  <c r="W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P64" i="61"/>
  <c r="Q64" i="61"/>
  <c r="R64" i="61"/>
  <c r="S64" i="61"/>
  <c r="T64" i="61"/>
  <c r="U64" i="61"/>
  <c r="V64" i="61"/>
  <c r="W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P65" i="61"/>
  <c r="Q65" i="61"/>
  <c r="R65" i="61"/>
  <c r="S65" i="61"/>
  <c r="T65" i="61"/>
  <c r="U65" i="61"/>
  <c r="V65" i="61"/>
  <c r="W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P66" i="61"/>
  <c r="Q66" i="61"/>
  <c r="R66" i="61"/>
  <c r="S66" i="61"/>
  <c r="T66" i="61"/>
  <c r="U66" i="61"/>
  <c r="V66" i="61"/>
  <c r="W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P67" i="61"/>
  <c r="Q67" i="61"/>
  <c r="R67" i="61"/>
  <c r="S67" i="61"/>
  <c r="T67" i="61"/>
  <c r="U67" i="61"/>
  <c r="V67" i="61"/>
  <c r="W67" i="61"/>
  <c r="C68" i="61"/>
  <c r="D68" i="61"/>
  <c r="E68" i="61"/>
  <c r="F68" i="61"/>
  <c r="G68" i="61"/>
  <c r="H68" i="61"/>
  <c r="I68" i="61"/>
  <c r="J68" i="61"/>
  <c r="K68" i="61"/>
  <c r="L68" i="61"/>
  <c r="M68" i="61"/>
  <c r="N68" i="61"/>
  <c r="O68" i="61"/>
  <c r="P68" i="61"/>
  <c r="Q68" i="61"/>
  <c r="R68" i="61"/>
  <c r="S68" i="61"/>
  <c r="T68" i="61"/>
  <c r="U68" i="61"/>
  <c r="V68" i="61"/>
  <c r="W68" i="61"/>
  <c r="C69" i="61"/>
  <c r="D69" i="61"/>
  <c r="E69" i="61"/>
  <c r="F69" i="61"/>
  <c r="G69" i="61"/>
  <c r="H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U69" i="61"/>
  <c r="V69" i="61"/>
  <c r="W69" i="61"/>
  <c r="C70" i="61"/>
  <c r="D70" i="61"/>
  <c r="E70" i="61"/>
  <c r="F70" i="61"/>
  <c r="G70" i="61"/>
  <c r="H70" i="61"/>
  <c r="I70" i="61"/>
  <c r="J70" i="61"/>
  <c r="K70" i="61"/>
  <c r="L70" i="61"/>
  <c r="M70" i="61"/>
  <c r="N70" i="61"/>
  <c r="O70" i="61"/>
  <c r="P70" i="61"/>
  <c r="Q70" i="61"/>
  <c r="R70" i="61"/>
  <c r="S70" i="61"/>
  <c r="T70" i="61"/>
  <c r="U70" i="61"/>
  <c r="V70" i="61"/>
  <c r="W70" i="61"/>
  <c r="X70" i="61"/>
  <c r="X62" i="61"/>
  <c r="X63" i="61"/>
  <c r="X64" i="61"/>
  <c r="X65" i="61"/>
  <c r="X67" i="61"/>
  <c r="X68" i="61"/>
  <c r="X69" i="61"/>
  <c r="A62" i="61"/>
  <c r="A63" i="61"/>
  <c r="A64" i="61"/>
  <c r="A65" i="61"/>
  <c r="A66" i="61"/>
  <c r="A67" i="61"/>
  <c r="A68" i="61"/>
  <c r="A69" i="61"/>
  <c r="A70" i="61"/>
  <c r="A61" i="61"/>
  <c r="X61" i="61"/>
  <c r="BB14" i="3"/>
  <c r="AC26" i="6"/>
  <c r="AC28" i="6"/>
  <c r="AC17" i="6"/>
  <c r="AC16" i="6"/>
  <c r="AC27" i="6"/>
  <c r="C5" i="7"/>
  <c r="D5" i="7"/>
  <c r="E5" i="7"/>
  <c r="C6" i="7"/>
  <c r="D6" i="7"/>
  <c r="E6" i="7"/>
  <c r="C7" i="7"/>
  <c r="D7" i="7"/>
  <c r="E7" i="7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C13" i="7"/>
  <c r="D13" i="7"/>
  <c r="E13" i="7"/>
  <c r="C14" i="7"/>
  <c r="D14" i="7"/>
  <c r="E14" i="7"/>
  <c r="C15" i="7"/>
  <c r="D15" i="7"/>
  <c r="E15" i="7"/>
  <c r="C16" i="7"/>
  <c r="D16" i="7"/>
  <c r="E16" i="7"/>
  <c r="C17" i="7"/>
  <c r="D17" i="7"/>
  <c r="E17" i="7"/>
  <c r="E4" i="7"/>
  <c r="C4" i="7"/>
  <c r="D4" i="7"/>
  <c r="BI18" i="7"/>
  <c r="BE18" i="7"/>
  <c r="BC18" i="7"/>
  <c r="BB18" i="7"/>
  <c r="BA18" i="7"/>
  <c r="AZ18" i="7"/>
  <c r="BI17" i="7"/>
  <c r="BJ17" i="7" s="1"/>
  <c r="BJ16" i="7"/>
  <c r="BI16" i="7"/>
  <c r="BJ15" i="7"/>
  <c r="BI15" i="7"/>
  <c r="BJ14" i="7"/>
  <c r="BI14" i="7"/>
  <c r="BG14" i="7"/>
  <c r="BJ13" i="7"/>
  <c r="BI13" i="7"/>
  <c r="BI12" i="7"/>
  <c r="BI8" i="7"/>
  <c r="BJ8" i="7" s="1"/>
  <c r="BI7" i="7"/>
  <c r="BJ7" i="7" s="1"/>
  <c r="BI6" i="7"/>
  <c r="BJ6" i="7" s="1"/>
  <c r="BI5" i="7"/>
  <c r="BJ5" i="7" s="1"/>
  <c r="BI4" i="7"/>
  <c r="BG4" i="7"/>
  <c r="BG18" i="7" s="1"/>
  <c r="BJ18" i="7" s="1"/>
  <c r="BF4" i="7"/>
  <c r="BF18" i="7" s="1"/>
  <c r="U44" i="11"/>
  <c r="U55" i="11" s="1"/>
  <c r="V22" i="11"/>
  <c r="V44" i="11"/>
  <c r="V55" i="11" s="1"/>
  <c r="G22" i="11"/>
  <c r="T124" i="51" l="1"/>
  <c r="T132" i="51" s="1"/>
  <c r="T137" i="51" s="1"/>
  <c r="T116" i="51"/>
  <c r="S124" i="51"/>
  <c r="S132" i="51" s="1"/>
  <c r="S137" i="51" s="1"/>
  <c r="S116" i="51"/>
  <c r="R124" i="51"/>
  <c r="R132" i="51" s="1"/>
  <c r="R137" i="51" s="1"/>
  <c r="R116" i="51"/>
  <c r="Q124" i="51"/>
  <c r="Q132" i="51" s="1"/>
  <c r="Q137" i="51" s="1"/>
  <c r="Q116" i="51"/>
  <c r="P124" i="51"/>
  <c r="P132" i="51" s="1"/>
  <c r="P137" i="51" s="1"/>
  <c r="P116" i="51"/>
  <c r="O124" i="51"/>
  <c r="O132" i="51" s="1"/>
  <c r="O137" i="51" s="1"/>
  <c r="O116" i="51"/>
  <c r="N124" i="51"/>
  <c r="N132" i="51" s="1"/>
  <c r="N137" i="51" s="1"/>
  <c r="N116" i="51"/>
  <c r="M124" i="51"/>
  <c r="M132" i="51" s="1"/>
  <c r="M137" i="51" s="1"/>
  <c r="M116" i="51"/>
  <c r="L124" i="51"/>
  <c r="L132" i="51" s="1"/>
  <c r="L137" i="51" s="1"/>
  <c r="L116" i="51"/>
  <c r="K124" i="51"/>
  <c r="K132" i="51" s="1"/>
  <c r="K137" i="51" s="1"/>
  <c r="K116" i="51"/>
  <c r="J124" i="51"/>
  <c r="J132" i="51" s="1"/>
  <c r="J137" i="51" s="1"/>
  <c r="J116" i="51"/>
  <c r="I124" i="51"/>
  <c r="I132" i="51" s="1"/>
  <c r="I137" i="51" s="1"/>
  <c r="I116" i="51"/>
  <c r="H124" i="51"/>
  <c r="H132" i="51" s="1"/>
  <c r="H137" i="51" s="1"/>
  <c r="H116" i="51"/>
  <c r="G124" i="51"/>
  <c r="G132" i="51" s="1"/>
  <c r="G137" i="51" s="1"/>
  <c r="G116" i="51"/>
  <c r="F124" i="51"/>
  <c r="BJ4" i="7"/>
  <c r="F132" i="51" l="1"/>
  <c r="F137" i="51" s="1"/>
  <c r="X11" i="42" l="1"/>
  <c r="Y3" i="42" s="1"/>
  <c r="Y5" i="42" l="1"/>
  <c r="Y10" i="42"/>
  <c r="Y9" i="42"/>
  <c r="Y8" i="42"/>
  <c r="Y7" i="42"/>
  <c r="Y6" i="42"/>
  <c r="Y4" i="42"/>
  <c r="D23" i="42" l="1"/>
  <c r="D24" i="42"/>
  <c r="D22" i="42"/>
  <c r="Y4" i="5"/>
  <c r="Z4" i="5"/>
  <c r="AA4" i="5"/>
  <c r="AB4" i="5"/>
  <c r="AC4" i="5"/>
  <c r="AD4" i="5"/>
  <c r="AE4" i="5"/>
  <c r="AF4" i="5"/>
  <c r="AG4" i="5"/>
  <c r="AJ4" i="5"/>
  <c r="Y5" i="5"/>
  <c r="Z5" i="5"/>
  <c r="AA5" i="5"/>
  <c r="AB5" i="5"/>
  <c r="AC5" i="5"/>
  <c r="AD5" i="5"/>
  <c r="AE5" i="5"/>
  <c r="AF5" i="5"/>
  <c r="AG5" i="5"/>
  <c r="AJ5" i="5"/>
  <c r="Y6" i="5"/>
  <c r="Z6" i="5"/>
  <c r="AA6" i="5"/>
  <c r="AB6" i="5"/>
  <c r="AC6" i="5"/>
  <c r="AD6" i="5"/>
  <c r="AE6" i="5"/>
  <c r="AF6" i="5"/>
  <c r="AG6" i="5"/>
  <c r="AJ6" i="5"/>
  <c r="Y7" i="5"/>
  <c r="Z7" i="5"/>
  <c r="AA7" i="5"/>
  <c r="AB7" i="5"/>
  <c r="AC7" i="5"/>
  <c r="AD7" i="5"/>
  <c r="AE7" i="5"/>
  <c r="AF7" i="5"/>
  <c r="AG7" i="5"/>
  <c r="AJ7" i="5"/>
  <c r="Y8" i="5"/>
  <c r="Z8" i="5"/>
  <c r="AA8" i="5"/>
  <c r="AB8" i="5"/>
  <c r="AC8" i="5"/>
  <c r="AD8" i="5"/>
  <c r="AE8" i="5"/>
  <c r="AF8" i="5"/>
  <c r="AG8" i="5"/>
  <c r="AJ8" i="5"/>
  <c r="Y9" i="5"/>
  <c r="Z9" i="5"/>
  <c r="AA9" i="5"/>
  <c r="AB9" i="5"/>
  <c r="AC9" i="5"/>
  <c r="AD9" i="5"/>
  <c r="AE9" i="5"/>
  <c r="AF9" i="5"/>
  <c r="AG9" i="5"/>
  <c r="AJ9" i="5"/>
  <c r="Y10" i="5"/>
  <c r="Z10" i="5"/>
  <c r="AA10" i="5"/>
  <c r="AB10" i="5"/>
  <c r="AC10" i="5"/>
  <c r="AD10" i="5"/>
  <c r="AE10" i="5"/>
  <c r="AF10" i="5"/>
  <c r="AG10" i="5"/>
  <c r="AJ10" i="5"/>
  <c r="AC11" i="5"/>
  <c r="AD11" i="5"/>
  <c r="AE11" i="5"/>
  <c r="AJ11" i="5"/>
  <c r="AC12" i="5"/>
  <c r="AD12" i="5"/>
  <c r="AE12" i="5"/>
  <c r="AJ12" i="5"/>
  <c r="AC13" i="5"/>
  <c r="AD13" i="5"/>
  <c r="AE13" i="5"/>
  <c r="AJ13" i="5"/>
  <c r="AC14" i="5"/>
  <c r="AD14" i="5"/>
  <c r="AE14" i="5"/>
  <c r="AJ14" i="5"/>
  <c r="AC15" i="5"/>
  <c r="AD15" i="5"/>
  <c r="AE15" i="5"/>
  <c r="AJ15" i="5"/>
  <c r="AC16" i="5"/>
  <c r="AD16" i="5"/>
  <c r="AE16" i="5"/>
  <c r="AJ16" i="5"/>
  <c r="AC17" i="5"/>
  <c r="AD17" i="5"/>
  <c r="AE17" i="5"/>
  <c r="AJ17" i="5"/>
  <c r="AC18" i="5"/>
  <c r="AD18" i="5"/>
  <c r="AE18" i="5"/>
  <c r="AJ18" i="5"/>
  <c r="AC19" i="5"/>
  <c r="AD19" i="5"/>
  <c r="AE19" i="5"/>
  <c r="AJ19" i="5"/>
  <c r="AC20" i="5"/>
  <c r="AD20" i="5"/>
  <c r="AE20" i="5"/>
  <c r="AJ20" i="5"/>
  <c r="AC21" i="5"/>
  <c r="AD21" i="5"/>
  <c r="AE21" i="5"/>
  <c r="AJ21" i="5"/>
  <c r="AE31" i="5"/>
  <c r="F87" i="7"/>
  <c r="G87" i="7"/>
  <c r="H87" i="7"/>
  <c r="F88" i="7"/>
  <c r="G88" i="7"/>
  <c r="H88" i="7"/>
  <c r="F89" i="7"/>
  <c r="G89" i="7"/>
  <c r="H89" i="7"/>
  <c r="F91" i="7"/>
  <c r="G91" i="7"/>
  <c r="H91" i="7"/>
  <c r="F92" i="7"/>
  <c r="G92" i="7"/>
  <c r="H92" i="7"/>
  <c r="F93" i="7"/>
  <c r="G93" i="7"/>
  <c r="H93" i="7"/>
  <c r="E87" i="7"/>
  <c r="E88" i="7"/>
  <c r="E89" i="7"/>
  <c r="E91" i="7"/>
  <c r="E92" i="7"/>
  <c r="E93" i="7"/>
  <c r="AH11" i="7"/>
  <c r="AI11" i="7"/>
  <c r="D87" i="7" s="1"/>
  <c r="AJ11" i="7"/>
  <c r="AK11" i="7"/>
  <c r="AL11" i="7"/>
  <c r="AM11" i="7"/>
  <c r="AN11" i="7"/>
  <c r="AO11" i="7"/>
  <c r="AP11" i="7"/>
  <c r="AQ11" i="7"/>
  <c r="AR11" i="7"/>
  <c r="AH12" i="7"/>
  <c r="C88" i="7" s="1"/>
  <c r="AI12" i="7"/>
  <c r="AJ12" i="7"/>
  <c r="AK12" i="7"/>
  <c r="AL12" i="7"/>
  <c r="AM12" i="7"/>
  <c r="AN12" i="7"/>
  <c r="AO12" i="7"/>
  <c r="AP12" i="7"/>
  <c r="AQ12" i="7"/>
  <c r="AR12" i="7" s="1"/>
  <c r="AH13" i="7"/>
  <c r="C89" i="7" s="1"/>
  <c r="AI13" i="7"/>
  <c r="D89" i="7" s="1"/>
  <c r="AJ13" i="7"/>
  <c r="AK13" i="7"/>
  <c r="AL13" i="7"/>
  <c r="AM13" i="7"/>
  <c r="AN13" i="7"/>
  <c r="AO13" i="7"/>
  <c r="AP13" i="7" s="1"/>
  <c r="AQ13" i="7" s="1"/>
  <c r="AR13" i="7" s="1"/>
  <c r="AH15" i="7"/>
  <c r="C91" i="7" s="1"/>
  <c r="AI15" i="7"/>
  <c r="AJ15" i="7"/>
  <c r="AK15" i="7"/>
  <c r="AL15" i="7"/>
  <c r="AM15" i="7"/>
  <c r="AN15" i="7"/>
  <c r="AO15" i="7"/>
  <c r="AP15" i="7"/>
  <c r="AQ15" i="7" s="1"/>
  <c r="AR15" i="7" s="1"/>
  <c r="AH16" i="7"/>
  <c r="C92" i="7" s="1"/>
  <c r="AI16" i="7"/>
  <c r="D92" i="7" s="1"/>
  <c r="AJ16" i="7"/>
  <c r="AK16" i="7"/>
  <c r="AL16" i="7"/>
  <c r="AM16" i="7"/>
  <c r="AN16" i="7"/>
  <c r="AH17" i="7"/>
  <c r="C93" i="7" s="1"/>
  <c r="AI17" i="7"/>
  <c r="D93" i="7" s="1"/>
  <c r="AJ17" i="7"/>
  <c r="AK17" i="7"/>
  <c r="AL17" i="7"/>
  <c r="AM17" i="7"/>
  <c r="AN17" i="7"/>
  <c r="AO17" i="7"/>
  <c r="AP17" i="7"/>
  <c r="AQ17" i="7" s="1"/>
  <c r="AR17" i="7" s="1"/>
  <c r="AH91" i="7"/>
  <c r="AI91" i="7"/>
  <c r="AJ91" i="7"/>
  <c r="AG91" i="7"/>
  <c r="D88" i="7"/>
  <c r="D91" i="7"/>
  <c r="B86" i="7"/>
  <c r="B87" i="7"/>
  <c r="B88" i="7"/>
  <c r="B85" i="7"/>
  <c r="AM91" i="7"/>
  <c r="AM65" i="7"/>
  <c r="AM66" i="7"/>
  <c r="AM67" i="7"/>
  <c r="AM68" i="7"/>
  <c r="AM70" i="7"/>
  <c r="AM71" i="7"/>
  <c r="AG27" i="7"/>
  <c r="AG28" i="7"/>
  <c r="AG29" i="7"/>
  <c r="AG30" i="7"/>
  <c r="AH30" i="7"/>
  <c r="T30" i="7"/>
  <c r="T11" i="7"/>
  <c r="C65" i="7" s="1"/>
  <c r="U11" i="7"/>
  <c r="V11" i="7"/>
  <c r="D65" i="7" s="1"/>
  <c r="W11" i="7"/>
  <c r="E65" i="7" s="1"/>
  <c r="X11" i="7"/>
  <c r="Y11" i="7"/>
  <c r="T12" i="7"/>
  <c r="C66" i="7" s="1"/>
  <c r="U12" i="7"/>
  <c r="V12" i="7"/>
  <c r="W12" i="7"/>
  <c r="X12" i="7"/>
  <c r="Y12" i="7"/>
  <c r="Z59" i="7"/>
  <c r="AA11" i="7"/>
  <c r="AB11" i="7"/>
  <c r="AC11" i="7"/>
  <c r="AD11" i="7"/>
  <c r="AA12" i="7"/>
  <c r="AB12" i="7"/>
  <c r="AC12" i="7"/>
  <c r="AD12" i="7"/>
  <c r="AA13" i="7"/>
  <c r="AB13" i="7"/>
  <c r="AC13" i="7"/>
  <c r="AD13" i="7"/>
  <c r="AA15" i="7"/>
  <c r="AB15" i="7"/>
  <c r="AC15" i="7"/>
  <c r="AD15" i="7"/>
  <c r="AA17" i="7"/>
  <c r="AB17" i="7"/>
  <c r="AC17" i="7"/>
  <c r="AD17" i="7"/>
  <c r="Z11" i="7"/>
  <c r="Z12" i="7"/>
  <c r="Z13" i="7"/>
  <c r="Z15" i="7"/>
  <c r="Z16" i="7"/>
  <c r="Z17" i="7"/>
  <c r="P59" i="7"/>
  <c r="S27" i="7"/>
  <c r="S28" i="7"/>
  <c r="S29" i="7"/>
  <c r="S30" i="7"/>
  <c r="Z66" i="7"/>
  <c r="Z67" i="7"/>
  <c r="Z68" i="7"/>
  <c r="Z70" i="7"/>
  <c r="P62" i="7"/>
  <c r="P63" i="7"/>
  <c r="P68" i="7"/>
  <c r="P69" i="7"/>
  <c r="P72" i="7"/>
  <c r="P81" i="7"/>
  <c r="P85" i="7"/>
  <c r="P67" i="7" s="1"/>
  <c r="P78" i="7"/>
  <c r="P60" i="7" s="1"/>
  <c r="P79" i="7"/>
  <c r="P61" i="7" s="1"/>
  <c r="P80" i="7"/>
  <c r="P86" i="7"/>
  <c r="P87" i="7"/>
  <c r="P88" i="7"/>
  <c r="P70" i="7" s="1"/>
  <c r="P89" i="7"/>
  <c r="P71" i="7" s="1"/>
  <c r="P90" i="7"/>
  <c r="B64" i="7"/>
  <c r="P83" i="7" s="1"/>
  <c r="P65" i="7" s="1"/>
  <c r="B65" i="7"/>
  <c r="P84" i="7" s="1"/>
  <c r="P66" i="7" s="1"/>
  <c r="B66" i="7"/>
  <c r="B63" i="7"/>
  <c r="P82" i="7" s="1"/>
  <c r="P64" i="7" s="1"/>
  <c r="F65" i="7"/>
  <c r="G65" i="7"/>
  <c r="F66" i="7"/>
  <c r="G66" i="7"/>
  <c r="B58" i="7"/>
  <c r="AI30" i="7" l="1"/>
  <c r="X29" i="7"/>
  <c r="T29" i="7"/>
  <c r="W29" i="7"/>
  <c r="J91" i="7"/>
  <c r="Y29" i="7"/>
  <c r="V29" i="7"/>
  <c r="U29" i="7"/>
  <c r="I24" i="42"/>
  <c r="M23" i="42"/>
  <c r="K23" i="42"/>
  <c r="L23" i="42"/>
  <c r="AH88" i="7"/>
  <c r="AJ88" i="7"/>
  <c r="AG88" i="7"/>
  <c r="AI88" i="7"/>
  <c r="J92" i="7"/>
  <c r="J93" i="7"/>
  <c r="J89" i="7"/>
  <c r="AI29" i="7"/>
  <c r="AH29" i="7"/>
  <c r="J88" i="7"/>
  <c r="C87" i="7"/>
  <c r="E66" i="7"/>
  <c r="Z30" i="7"/>
  <c r="Z29" i="7"/>
  <c r="V30" i="7"/>
  <c r="D66" i="7"/>
  <c r="Y30" i="7"/>
  <c r="AB29" i="7"/>
  <c r="AA29" i="7"/>
  <c r="AC29" i="7"/>
  <c r="X30" i="7"/>
  <c r="AA30" i="7"/>
  <c r="U30" i="7"/>
  <c r="W30" i="7"/>
  <c r="AD29" i="7"/>
  <c r="F22" i="42" l="1"/>
  <c r="G22" i="42"/>
  <c r="H22" i="42"/>
  <c r="G24" i="42"/>
  <c r="J24" i="42"/>
  <c r="F24" i="42"/>
  <c r="H24" i="42"/>
  <c r="K24" i="42"/>
  <c r="F23" i="42"/>
  <c r="K22" i="42"/>
  <c r="AH89" i="7"/>
  <c r="AI89" i="7"/>
  <c r="AJ89" i="7"/>
  <c r="AG89" i="7"/>
  <c r="J87" i="7"/>
  <c r="AG86" i="7"/>
  <c r="AI86" i="7"/>
  <c r="AH86" i="7"/>
  <c r="AJ86" i="7"/>
  <c r="AH90" i="7"/>
  <c r="AI90" i="7"/>
  <c r="AJ90" i="7"/>
  <c r="AG90" i="7"/>
  <c r="AG85" i="7"/>
  <c r="AH85" i="7"/>
  <c r="AI85" i="7"/>
  <c r="AJ85" i="7"/>
  <c r="AM88" i="7"/>
  <c r="AB30" i="7"/>
  <c r="I22" i="42" l="1"/>
  <c r="J22" i="42"/>
  <c r="L22" i="42"/>
  <c r="G23" i="42"/>
  <c r="L24" i="42"/>
  <c r="AM86" i="7"/>
  <c r="AM90" i="7"/>
  <c r="AM89" i="7"/>
  <c r="AI84" i="7"/>
  <c r="AJ84" i="7"/>
  <c r="AH84" i="7"/>
  <c r="AG84" i="7"/>
  <c r="AM85" i="7"/>
  <c r="AC30" i="7"/>
  <c r="AM84" i="7" l="1"/>
  <c r="M24" i="42"/>
  <c r="H23" i="42"/>
  <c r="M22" i="42"/>
  <c r="AD30" i="7"/>
  <c r="Q22" i="42" l="1" a="1"/>
  <c r="Q22" i="42" s="1"/>
  <c r="N6" i="42" s="1"/>
  <c r="Q24" i="42" a="1"/>
  <c r="Q24" i="42" s="1"/>
  <c r="N8" i="42" s="1"/>
  <c r="I23" i="42"/>
  <c r="J23" i="42"/>
  <c r="Q23" i="42" s="1" a="1"/>
  <c r="Q23" i="42" s="1"/>
  <c r="N7" i="42" s="1"/>
  <c r="O7" i="42" s="1"/>
  <c r="O8" i="42" l="1"/>
  <c r="O24" i="42" s="1"/>
  <c r="N24" i="42"/>
  <c r="O6" i="42"/>
  <c r="O22" i="42" s="1"/>
  <c r="N22" i="42"/>
  <c r="N23" i="42"/>
  <c r="O23" i="42" l="1"/>
  <c r="M16" i="7" l="1" a="1"/>
  <c r="M16" i="7" s="1"/>
  <c r="AD16" i="7" s="1"/>
  <c r="L16" i="7" a="1"/>
  <c r="L16" i="7" s="1"/>
  <c r="AC16" i="7" s="1"/>
  <c r="K16" i="7" a="1"/>
  <c r="K16" i="7" s="1"/>
  <c r="AB16" i="7" s="1"/>
  <c r="J16" i="7" a="1"/>
  <c r="J16" i="7" s="1"/>
  <c r="M14" i="7" a="1"/>
  <c r="M14" i="7" s="1"/>
  <c r="L14" i="7" a="1"/>
  <c r="L14" i="7" s="1"/>
  <c r="K14" i="7" a="1"/>
  <c r="K14" i="7" s="1"/>
  <c r="J14" i="7" a="1"/>
  <c r="J14" i="7" s="1"/>
  <c r="M10" i="7" a="1"/>
  <c r="M10" i="7" s="1"/>
  <c r="L10" i="7" a="1"/>
  <c r="L10" i="7" s="1"/>
  <c r="K10" i="7" a="1"/>
  <c r="K10" i="7" s="1"/>
  <c r="J10" i="7" a="1"/>
  <c r="J10" i="7" s="1"/>
  <c r="M8" i="7" a="1"/>
  <c r="M8" i="7" s="1"/>
  <c r="L8" i="7" a="1"/>
  <c r="L8" i="7" s="1"/>
  <c r="K8" i="7" a="1"/>
  <c r="K8" i="7" s="1"/>
  <c r="M7" i="7" a="1"/>
  <c r="M7" i="7" s="1"/>
  <c r="L7" i="7" a="1"/>
  <c r="L7" i="7" s="1"/>
  <c r="K7" i="7" a="1"/>
  <c r="K7" i="7" s="1"/>
  <c r="J7" i="7" a="1"/>
  <c r="J7" i="7" s="1"/>
  <c r="K5" i="7" a="1"/>
  <c r="K5" i="7" s="1"/>
  <c r="L5" i="7" a="1"/>
  <c r="L5" i="7" s="1"/>
  <c r="M5" i="7" a="1"/>
  <c r="M5" i="7" s="1"/>
  <c r="J5" i="7" a="1"/>
  <c r="J5" i="7" s="1"/>
  <c r="J4" i="7"/>
  <c r="H65" i="7"/>
  <c r="J65" i="7" s="1"/>
  <c r="H66" i="7"/>
  <c r="J66" i="7" s="1"/>
  <c r="D125" i="7"/>
  <c r="E125" i="7"/>
  <c r="F125" i="7"/>
  <c r="G125" i="7"/>
  <c r="C125" i="7"/>
  <c r="B126" i="7"/>
  <c r="B127" i="7"/>
  <c r="B128" i="7"/>
  <c r="B129" i="7"/>
  <c r="B125" i="7"/>
  <c r="AG5" i="7"/>
  <c r="AG6" i="7"/>
  <c r="AG7" i="7"/>
  <c r="AG8" i="7"/>
  <c r="AG13" i="7"/>
  <c r="AG14" i="7"/>
  <c r="AG15" i="7"/>
  <c r="AG16" i="7"/>
  <c r="AG17" i="7"/>
  <c r="AG4" i="7"/>
  <c r="S10" i="7"/>
  <c r="AG10" i="7" s="1"/>
  <c r="S11" i="7"/>
  <c r="AG11" i="7" s="1"/>
  <c r="S12" i="7"/>
  <c r="AG12" i="7" s="1"/>
  <c r="S9" i="7"/>
  <c r="AG9" i="7" s="1"/>
  <c r="J9" i="7"/>
  <c r="AA16" i="7" l="1"/>
  <c r="AO16" i="7"/>
  <c r="AP16" i="7" s="1"/>
  <c r="AQ16" i="7" s="1"/>
  <c r="AR16" i="7" s="1"/>
  <c r="S84" i="7"/>
  <c r="T84" i="7"/>
  <c r="U84" i="7"/>
  <c r="V84" i="7"/>
  <c r="W84" i="7"/>
  <c r="X84" i="7"/>
  <c r="S85" i="7"/>
  <c r="T85" i="7"/>
  <c r="U85" i="7"/>
  <c r="V85" i="7"/>
  <c r="W85" i="7"/>
  <c r="X85" i="7"/>
  <c r="H125" i="7"/>
  <c r="K9" i="7"/>
  <c r="L9" i="7" s="1"/>
  <c r="M9" i="7" s="1"/>
  <c r="K4" i="7"/>
  <c r="L4" i="7"/>
  <c r="M4" i="7" s="1"/>
  <c r="Z85" i="7" l="1"/>
  <c r="Z84" i="7"/>
  <c r="E18" i="42" l="1"/>
  <c r="AC25" i="6"/>
  <c r="CF111" i="2"/>
  <c r="CF112" i="2"/>
  <c r="CF113" i="2"/>
  <c r="CF114" i="2"/>
  <c r="CF115" i="2"/>
  <c r="CF116" i="2"/>
  <c r="CF117" i="2"/>
  <c r="CF118" i="2"/>
  <c r="CF119" i="2"/>
  <c r="CF120" i="2"/>
  <c r="CF121" i="2"/>
  <c r="CF110" i="2"/>
  <c r="AS112" i="2"/>
  <c r="AS113" i="2"/>
  <c r="AS114" i="2"/>
  <c r="AS115" i="2"/>
  <c r="AS116" i="2"/>
  <c r="AS117" i="2"/>
  <c r="AS118" i="2"/>
  <c r="AS119" i="2"/>
  <c r="AS120" i="2"/>
  <c r="AS121" i="2"/>
  <c r="AS111" i="2"/>
  <c r="AS110" i="2"/>
  <c r="AC29" i="6" l="1"/>
  <c r="A47" i="14"/>
  <c r="AB42" i="8"/>
  <c r="L34" i="73" s="1"/>
  <c r="AC42" i="8"/>
  <c r="M34" i="73" s="1"/>
  <c r="AD42" i="8"/>
  <c r="N34" i="73" s="1"/>
  <c r="AE42" i="8"/>
  <c r="O34" i="73" s="1"/>
  <c r="AF42" i="8"/>
  <c r="P34" i="73" s="1"/>
  <c r="AG42" i="8"/>
  <c r="Q34" i="73" s="1"/>
  <c r="AH42" i="8"/>
  <c r="R34" i="73" s="1"/>
  <c r="AB43" i="8"/>
  <c r="L35" i="73" s="1"/>
  <c r="AC43" i="8"/>
  <c r="M35" i="73" s="1"/>
  <c r="AD43" i="8"/>
  <c r="N35" i="73" s="1"/>
  <c r="AE43" i="8"/>
  <c r="O35" i="73" s="1"/>
  <c r="AF43" i="8"/>
  <c r="P35" i="73" s="1"/>
  <c r="AG43" i="8"/>
  <c r="Q35" i="73" s="1"/>
  <c r="AH43" i="8"/>
  <c r="R35" i="73" s="1"/>
  <c r="AB44" i="8"/>
  <c r="L36" i="73" s="1"/>
  <c r="AC44" i="8"/>
  <c r="M36" i="73" s="1"/>
  <c r="AD44" i="8"/>
  <c r="N36" i="73" s="1"/>
  <c r="AE44" i="8"/>
  <c r="O36" i="73" s="1"/>
  <c r="AF44" i="8"/>
  <c r="P36" i="73" s="1"/>
  <c r="AG44" i="8"/>
  <c r="Q36" i="73" s="1"/>
  <c r="AH44" i="8"/>
  <c r="R36" i="73" s="1"/>
  <c r="AB13" i="8"/>
  <c r="C34" i="73" s="1"/>
  <c r="AC13" i="8"/>
  <c r="D34" i="73" s="1"/>
  <c r="AD13" i="8"/>
  <c r="E34" i="73" s="1"/>
  <c r="AE13" i="8"/>
  <c r="F34" i="73" s="1"/>
  <c r="AF13" i="8"/>
  <c r="G34" i="73" s="1"/>
  <c r="AG13" i="8"/>
  <c r="H34" i="73" s="1"/>
  <c r="AH13" i="8"/>
  <c r="I34" i="73" s="1"/>
  <c r="AB14" i="8"/>
  <c r="C35" i="73" s="1"/>
  <c r="AC14" i="8"/>
  <c r="D35" i="73" s="1"/>
  <c r="AD14" i="8"/>
  <c r="E35" i="73" s="1"/>
  <c r="AE14" i="8"/>
  <c r="F35" i="73" s="1"/>
  <c r="AF14" i="8"/>
  <c r="G35" i="73" s="1"/>
  <c r="AG14" i="8"/>
  <c r="H35" i="73" s="1"/>
  <c r="AH14" i="8"/>
  <c r="I35" i="73" s="1"/>
  <c r="AB15" i="8"/>
  <c r="C36" i="73" s="1"/>
  <c r="AC15" i="8"/>
  <c r="D36" i="73" s="1"/>
  <c r="AD15" i="8"/>
  <c r="E36" i="73" s="1"/>
  <c r="AE15" i="8"/>
  <c r="F36" i="73" s="1"/>
  <c r="AF15" i="8"/>
  <c r="G36" i="73" s="1"/>
  <c r="AG15" i="8"/>
  <c r="H36" i="73" s="1"/>
  <c r="AH15" i="8"/>
  <c r="I36" i="73" s="1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H109" i="36"/>
  <c r="O109" i="36" s="1"/>
  <c r="I109" i="36"/>
  <c r="P109" i="36" s="1"/>
  <c r="K109" i="36"/>
  <c r="H110" i="36"/>
  <c r="O110" i="36" s="1"/>
  <c r="K110" i="36"/>
  <c r="H111" i="36"/>
  <c r="O111" i="36" s="1"/>
  <c r="K111" i="36"/>
  <c r="H112" i="36"/>
  <c r="O112" i="36" s="1"/>
  <c r="K112" i="36"/>
  <c r="H113" i="36"/>
  <c r="O113" i="36" s="1"/>
  <c r="K113" i="36"/>
  <c r="H114" i="36"/>
  <c r="O114" i="36" s="1"/>
  <c r="K114" i="36"/>
  <c r="H115" i="36"/>
  <c r="O115" i="36" s="1"/>
  <c r="K115" i="36"/>
  <c r="H116" i="36"/>
  <c r="O116" i="36" s="1"/>
  <c r="K116" i="36"/>
  <c r="H117" i="36"/>
  <c r="O117" i="36" s="1"/>
  <c r="K117" i="36"/>
  <c r="H118" i="36"/>
  <c r="O118" i="36" s="1"/>
  <c r="K118" i="36"/>
  <c r="H119" i="36"/>
  <c r="O119" i="36" s="1"/>
  <c r="K119" i="36"/>
  <c r="H120" i="36"/>
  <c r="O120" i="36" s="1"/>
  <c r="K120" i="36"/>
  <c r="H121" i="36"/>
  <c r="O121" i="36" s="1"/>
  <c r="K121" i="36"/>
  <c r="I108" i="35"/>
  <c r="Q108" i="35" s="1"/>
  <c r="J108" i="35"/>
  <c r="R108" i="35" s="1"/>
  <c r="L108" i="35"/>
  <c r="I109" i="35"/>
  <c r="Q109" i="35" s="1"/>
  <c r="J109" i="35"/>
  <c r="R109" i="35" s="1"/>
  <c r="L109" i="35"/>
  <c r="I110" i="35"/>
  <c r="Q110" i="35" s="1"/>
  <c r="L110" i="35"/>
  <c r="I111" i="35"/>
  <c r="Q111" i="35" s="1"/>
  <c r="L111" i="35"/>
  <c r="I112" i="35"/>
  <c r="Q112" i="35" s="1"/>
  <c r="L112" i="35"/>
  <c r="I113" i="35"/>
  <c r="Q113" i="35" s="1"/>
  <c r="L113" i="35"/>
  <c r="I114" i="35"/>
  <c r="Q114" i="35" s="1"/>
  <c r="L114" i="35"/>
  <c r="I115" i="35"/>
  <c r="Q115" i="35" s="1"/>
  <c r="L115" i="35"/>
  <c r="I116" i="35"/>
  <c r="Q116" i="35" s="1"/>
  <c r="L116" i="35"/>
  <c r="I117" i="35"/>
  <c r="Q117" i="35" s="1"/>
  <c r="L117" i="35"/>
  <c r="I118" i="35"/>
  <c r="Q118" i="35" s="1"/>
  <c r="L118" i="35"/>
  <c r="I119" i="35"/>
  <c r="Q119" i="35" s="1"/>
  <c r="L119" i="35"/>
  <c r="I120" i="35"/>
  <c r="Q120" i="35" s="1"/>
  <c r="L120" i="35"/>
  <c r="I121" i="35"/>
  <c r="Q121" i="35" s="1"/>
  <c r="L121" i="35"/>
  <c r="S110" i="34"/>
  <c r="M110" i="34"/>
  <c r="S111" i="34"/>
  <c r="M111" i="34"/>
  <c r="S112" i="34"/>
  <c r="M112" i="34"/>
  <c r="S113" i="34"/>
  <c r="M113" i="34"/>
  <c r="S114" i="34"/>
  <c r="M114" i="34"/>
  <c r="S115" i="34"/>
  <c r="M115" i="34"/>
  <c r="S116" i="34"/>
  <c r="M116" i="34"/>
  <c r="S117" i="34"/>
  <c r="M117" i="34"/>
  <c r="S118" i="34"/>
  <c r="M118" i="34"/>
  <c r="S119" i="34"/>
  <c r="M119" i="34"/>
  <c r="S120" i="34"/>
  <c r="M120" i="34"/>
  <c r="S121" i="34"/>
  <c r="M121" i="34"/>
  <c r="E110" i="33"/>
  <c r="K110" i="33" s="1"/>
  <c r="H110" i="33"/>
  <c r="N110" i="33" s="1"/>
  <c r="J110" i="33"/>
  <c r="E111" i="33"/>
  <c r="K111" i="33" s="1"/>
  <c r="H111" i="33"/>
  <c r="N111" i="33" s="1"/>
  <c r="J111" i="33"/>
  <c r="E112" i="33"/>
  <c r="K112" i="33" s="1"/>
  <c r="H112" i="33"/>
  <c r="N112" i="33" s="1"/>
  <c r="J112" i="33"/>
  <c r="E113" i="33"/>
  <c r="K113" i="33" s="1"/>
  <c r="H113" i="33"/>
  <c r="N113" i="33" s="1"/>
  <c r="J113" i="33"/>
  <c r="E114" i="33"/>
  <c r="K114" i="33" s="1"/>
  <c r="H114" i="33"/>
  <c r="N114" i="33" s="1"/>
  <c r="J114" i="33"/>
  <c r="E115" i="33"/>
  <c r="K115" i="33" s="1"/>
  <c r="H115" i="33"/>
  <c r="N115" i="33" s="1"/>
  <c r="J115" i="33"/>
  <c r="E116" i="33"/>
  <c r="K116" i="33" s="1"/>
  <c r="H116" i="33"/>
  <c r="N116" i="33" s="1"/>
  <c r="J116" i="33"/>
  <c r="E117" i="33"/>
  <c r="K117" i="33" s="1"/>
  <c r="H117" i="33"/>
  <c r="N117" i="33" s="1"/>
  <c r="J117" i="33"/>
  <c r="E118" i="33"/>
  <c r="K118" i="33" s="1"/>
  <c r="H118" i="33"/>
  <c r="N118" i="33" s="1"/>
  <c r="J118" i="33"/>
  <c r="E119" i="33"/>
  <c r="K119" i="33" s="1"/>
  <c r="H119" i="33"/>
  <c r="N119" i="33" s="1"/>
  <c r="J119" i="33"/>
  <c r="E120" i="33"/>
  <c r="K120" i="33" s="1"/>
  <c r="H120" i="33"/>
  <c r="N120" i="33" s="1"/>
  <c r="J120" i="33"/>
  <c r="E121" i="33"/>
  <c r="K121" i="33" s="1"/>
  <c r="H121" i="33"/>
  <c r="N121" i="33" s="1"/>
  <c r="J121" i="33"/>
  <c r="F108" i="32"/>
  <c r="J108" i="32" s="1"/>
  <c r="H108" i="32"/>
  <c r="F109" i="32"/>
  <c r="J109" i="32" s="1"/>
  <c r="H109" i="32"/>
  <c r="F110" i="32"/>
  <c r="J110" i="32" s="1"/>
  <c r="H110" i="32"/>
  <c r="F111" i="32"/>
  <c r="J111" i="32" s="1"/>
  <c r="H111" i="32"/>
  <c r="F112" i="32"/>
  <c r="J112" i="32" s="1"/>
  <c r="H112" i="32"/>
  <c r="F113" i="32"/>
  <c r="J113" i="32" s="1"/>
  <c r="H113" i="32"/>
  <c r="F114" i="32"/>
  <c r="J114" i="32" s="1"/>
  <c r="H114" i="32"/>
  <c r="F115" i="32"/>
  <c r="J115" i="32" s="1"/>
  <c r="H115" i="32"/>
  <c r="F116" i="32"/>
  <c r="J116" i="32" s="1"/>
  <c r="H116" i="32"/>
  <c r="F117" i="32"/>
  <c r="J117" i="32" s="1"/>
  <c r="H117" i="32"/>
  <c r="F118" i="32"/>
  <c r="J118" i="32" s="1"/>
  <c r="H118" i="32"/>
  <c r="F119" i="32"/>
  <c r="J119" i="32" s="1"/>
  <c r="H119" i="32"/>
  <c r="F120" i="32"/>
  <c r="J120" i="32" s="1"/>
  <c r="H120" i="32"/>
  <c r="F121" i="32"/>
  <c r="J121" i="32" s="1"/>
  <c r="H121" i="32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G109" i="30"/>
  <c r="N109" i="30" s="1"/>
  <c r="K109" i="30"/>
  <c r="G110" i="30"/>
  <c r="N110" i="30" s="1"/>
  <c r="K110" i="30"/>
  <c r="G111" i="30"/>
  <c r="N111" i="30" s="1"/>
  <c r="K111" i="30"/>
  <c r="G112" i="30"/>
  <c r="N112" i="30" s="1"/>
  <c r="K112" i="30"/>
  <c r="G113" i="30"/>
  <c r="N113" i="30" s="1"/>
  <c r="K113" i="30"/>
  <c r="G114" i="30"/>
  <c r="N114" i="30" s="1"/>
  <c r="K114" i="30"/>
  <c r="G115" i="30"/>
  <c r="N115" i="30" s="1"/>
  <c r="K115" i="30"/>
  <c r="G116" i="30"/>
  <c r="N116" i="30" s="1"/>
  <c r="K116" i="30"/>
  <c r="G117" i="30"/>
  <c r="N117" i="30" s="1"/>
  <c r="K117" i="30"/>
  <c r="G118" i="30"/>
  <c r="N118" i="30" s="1"/>
  <c r="K118" i="30"/>
  <c r="G119" i="30"/>
  <c r="N119" i="30" s="1"/>
  <c r="K119" i="30"/>
  <c r="G120" i="30"/>
  <c r="N120" i="30" s="1"/>
  <c r="K120" i="30"/>
  <c r="G121" i="30"/>
  <c r="N121" i="30" s="1"/>
  <c r="K121" i="30"/>
  <c r="K122" i="30"/>
  <c r="N122" i="30"/>
  <c r="P110" i="29"/>
  <c r="L110" i="29"/>
  <c r="P111" i="29"/>
  <c r="L111" i="29"/>
  <c r="P112" i="29"/>
  <c r="L112" i="29"/>
  <c r="P113" i="29"/>
  <c r="L113" i="29"/>
  <c r="P114" i="29"/>
  <c r="L114" i="29"/>
  <c r="P115" i="29"/>
  <c r="L115" i="29"/>
  <c r="P116" i="29"/>
  <c r="L116" i="29"/>
  <c r="P117" i="29"/>
  <c r="L117" i="29"/>
  <c r="P118" i="29"/>
  <c r="L118" i="29"/>
  <c r="P119" i="29"/>
  <c r="L119" i="29"/>
  <c r="P120" i="29"/>
  <c r="L120" i="29"/>
  <c r="P121" i="29"/>
  <c r="L121" i="29"/>
  <c r="T110" i="28"/>
  <c r="M110" i="28"/>
  <c r="T111" i="28"/>
  <c r="M111" i="28"/>
  <c r="T112" i="28"/>
  <c r="M112" i="28"/>
  <c r="T113" i="28"/>
  <c r="M113" i="28"/>
  <c r="T114" i="28"/>
  <c r="M114" i="28"/>
  <c r="T115" i="28"/>
  <c r="M115" i="28"/>
  <c r="T116" i="28"/>
  <c r="M116" i="28"/>
  <c r="T117" i="28"/>
  <c r="M117" i="28"/>
  <c r="T118" i="28"/>
  <c r="M118" i="28"/>
  <c r="T119" i="28"/>
  <c r="M119" i="28"/>
  <c r="T120" i="28"/>
  <c r="M120" i="28"/>
  <c r="T121" i="28"/>
  <c r="M121" i="28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H110" i="25"/>
  <c r="O110" i="25" s="1"/>
  <c r="K110" i="25"/>
  <c r="H111" i="25"/>
  <c r="O111" i="25" s="1"/>
  <c r="K111" i="25"/>
  <c r="H112" i="25"/>
  <c r="O112" i="25" s="1"/>
  <c r="K112" i="25"/>
  <c r="H113" i="25"/>
  <c r="O113" i="25" s="1"/>
  <c r="K113" i="25"/>
  <c r="H114" i="25"/>
  <c r="O114" i="25" s="1"/>
  <c r="K114" i="25"/>
  <c r="H115" i="25"/>
  <c r="O115" i="25" s="1"/>
  <c r="K115" i="25"/>
  <c r="H116" i="25"/>
  <c r="O116" i="25" s="1"/>
  <c r="K116" i="25"/>
  <c r="H117" i="25"/>
  <c r="O117" i="25" s="1"/>
  <c r="K117" i="25"/>
  <c r="H118" i="25"/>
  <c r="O118" i="25" s="1"/>
  <c r="K118" i="25"/>
  <c r="H119" i="25"/>
  <c r="O119" i="25" s="1"/>
  <c r="K119" i="25"/>
  <c r="H120" i="25"/>
  <c r="O120" i="25" s="1"/>
  <c r="K120" i="25"/>
  <c r="H121" i="25"/>
  <c r="O121" i="25" s="1"/>
  <c r="K121" i="25"/>
  <c r="I110" i="24"/>
  <c r="Q110" i="24" s="1"/>
  <c r="L110" i="24"/>
  <c r="I111" i="24"/>
  <c r="Q111" i="24" s="1"/>
  <c r="L111" i="24"/>
  <c r="I112" i="24"/>
  <c r="Q112" i="24" s="1"/>
  <c r="L112" i="24"/>
  <c r="I113" i="24"/>
  <c r="Q113" i="24" s="1"/>
  <c r="L113" i="24"/>
  <c r="I114" i="24"/>
  <c r="Q114" i="24" s="1"/>
  <c r="L114" i="24"/>
  <c r="I115" i="24"/>
  <c r="Q115" i="24" s="1"/>
  <c r="L115" i="24"/>
  <c r="I116" i="24"/>
  <c r="Q116" i="24" s="1"/>
  <c r="L116" i="24"/>
  <c r="I117" i="24"/>
  <c r="Q117" i="24" s="1"/>
  <c r="L117" i="24"/>
  <c r="I118" i="24"/>
  <c r="Q118" i="24" s="1"/>
  <c r="L118" i="24"/>
  <c r="I119" i="24"/>
  <c r="Q119" i="24" s="1"/>
  <c r="L119" i="24"/>
  <c r="I120" i="24"/>
  <c r="Q120" i="24" s="1"/>
  <c r="L120" i="24"/>
  <c r="I121" i="24"/>
  <c r="Q121" i="24" s="1"/>
  <c r="L121" i="24"/>
  <c r="S110" i="23"/>
  <c r="M110" i="23"/>
  <c r="S111" i="23"/>
  <c r="M111" i="23"/>
  <c r="S112" i="23"/>
  <c r="M112" i="23"/>
  <c r="S113" i="23"/>
  <c r="M113" i="23"/>
  <c r="S114" i="23"/>
  <c r="M114" i="23"/>
  <c r="S115" i="23"/>
  <c r="M115" i="23"/>
  <c r="S116" i="23"/>
  <c r="M116" i="23"/>
  <c r="S117" i="23"/>
  <c r="M117" i="23"/>
  <c r="S118" i="23"/>
  <c r="M118" i="23"/>
  <c r="S119" i="23"/>
  <c r="M119" i="23"/>
  <c r="S120" i="23"/>
  <c r="M120" i="23"/>
  <c r="S121" i="23"/>
  <c r="M121" i="23"/>
  <c r="E110" i="22"/>
  <c r="K110" i="22" s="1"/>
  <c r="H110" i="22"/>
  <c r="N110" i="22" s="1"/>
  <c r="J110" i="22"/>
  <c r="E111" i="22"/>
  <c r="K111" i="22" s="1"/>
  <c r="H111" i="22"/>
  <c r="N111" i="22" s="1"/>
  <c r="J111" i="22"/>
  <c r="E112" i="22"/>
  <c r="K112" i="22" s="1"/>
  <c r="H112" i="22"/>
  <c r="N112" i="22" s="1"/>
  <c r="J112" i="22"/>
  <c r="E113" i="22"/>
  <c r="K113" i="22" s="1"/>
  <c r="H113" i="22"/>
  <c r="N113" i="22" s="1"/>
  <c r="J113" i="22"/>
  <c r="E114" i="22"/>
  <c r="K114" i="22" s="1"/>
  <c r="H114" i="22"/>
  <c r="N114" i="22" s="1"/>
  <c r="J114" i="22"/>
  <c r="E115" i="22"/>
  <c r="K115" i="22" s="1"/>
  <c r="H115" i="22"/>
  <c r="N115" i="22" s="1"/>
  <c r="J115" i="22"/>
  <c r="E116" i="22"/>
  <c r="K116" i="22" s="1"/>
  <c r="H116" i="22"/>
  <c r="N116" i="22" s="1"/>
  <c r="J116" i="22"/>
  <c r="E117" i="22"/>
  <c r="K117" i="22" s="1"/>
  <c r="H117" i="22"/>
  <c r="N117" i="22" s="1"/>
  <c r="J117" i="22"/>
  <c r="E118" i="22"/>
  <c r="K118" i="22" s="1"/>
  <c r="H118" i="22"/>
  <c r="N118" i="22" s="1"/>
  <c r="J118" i="22"/>
  <c r="E119" i="22"/>
  <c r="K119" i="22" s="1"/>
  <c r="H119" i="22"/>
  <c r="N119" i="22" s="1"/>
  <c r="J119" i="22"/>
  <c r="E120" i="22"/>
  <c r="K120" i="22" s="1"/>
  <c r="H120" i="22"/>
  <c r="N120" i="22" s="1"/>
  <c r="J120" i="22"/>
  <c r="E121" i="22"/>
  <c r="K121" i="22" s="1"/>
  <c r="H121" i="22"/>
  <c r="N121" i="22" s="1"/>
  <c r="J121" i="22"/>
  <c r="F110" i="21"/>
  <c r="J110" i="21" s="1"/>
  <c r="H110" i="21"/>
  <c r="F111" i="21"/>
  <c r="J111" i="21" s="1"/>
  <c r="H111" i="21"/>
  <c r="F112" i="21"/>
  <c r="J112" i="21" s="1"/>
  <c r="H112" i="21"/>
  <c r="F113" i="21"/>
  <c r="J113" i="21" s="1"/>
  <c r="H113" i="21"/>
  <c r="F114" i="21"/>
  <c r="J114" i="21" s="1"/>
  <c r="H114" i="21"/>
  <c r="F115" i="21"/>
  <c r="J115" i="21" s="1"/>
  <c r="H115" i="21"/>
  <c r="F116" i="21"/>
  <c r="J116" i="21" s="1"/>
  <c r="H116" i="21"/>
  <c r="F117" i="21"/>
  <c r="J117" i="21" s="1"/>
  <c r="H117" i="21"/>
  <c r="F118" i="21"/>
  <c r="J118" i="21" s="1"/>
  <c r="H118" i="21"/>
  <c r="F119" i="21"/>
  <c r="J119" i="21" s="1"/>
  <c r="H119" i="21"/>
  <c r="F120" i="21"/>
  <c r="J120" i="21" s="1"/>
  <c r="H120" i="21"/>
  <c r="F121" i="21"/>
  <c r="J121" i="21" s="1"/>
  <c r="H121" i="21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G110" i="18"/>
  <c r="N110" i="18" s="1"/>
  <c r="K110" i="18"/>
  <c r="G111" i="18"/>
  <c r="N111" i="18" s="1"/>
  <c r="K111" i="18"/>
  <c r="G112" i="18"/>
  <c r="N112" i="18" s="1"/>
  <c r="K112" i="18"/>
  <c r="G113" i="18"/>
  <c r="N113" i="18" s="1"/>
  <c r="K113" i="18"/>
  <c r="G114" i="18"/>
  <c r="N114" i="18" s="1"/>
  <c r="K114" i="18"/>
  <c r="G115" i="18"/>
  <c r="N115" i="18" s="1"/>
  <c r="K115" i="18"/>
  <c r="G116" i="18"/>
  <c r="N116" i="18" s="1"/>
  <c r="K116" i="18"/>
  <c r="G117" i="18"/>
  <c r="N117" i="18" s="1"/>
  <c r="K117" i="18"/>
  <c r="G118" i="18"/>
  <c r="N118" i="18" s="1"/>
  <c r="K118" i="18"/>
  <c r="G119" i="18"/>
  <c r="N119" i="18" s="1"/>
  <c r="K119" i="18"/>
  <c r="G120" i="18"/>
  <c r="N120" i="18" s="1"/>
  <c r="K120" i="18"/>
  <c r="G121" i="18"/>
  <c r="N121" i="18" s="1"/>
  <c r="K121" i="18"/>
  <c r="A59" i="14" l="1"/>
  <c r="AC30" i="6"/>
  <c r="AC31" i="6" s="1"/>
  <c r="A71" i="14" l="1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10" i="2"/>
  <c r="DC110" i="2"/>
  <c r="DD110" i="2"/>
  <c r="DE110" i="2"/>
  <c r="DF110" i="2"/>
  <c r="DG110" i="2"/>
  <c r="DL110" i="2"/>
  <c r="DM110" i="2"/>
  <c r="DN110" i="2"/>
  <c r="DO110" i="2"/>
  <c r="DP110" i="2"/>
  <c r="DB111" i="2"/>
  <c r="DC111" i="2"/>
  <c r="DD111" i="2"/>
  <c r="DE111" i="2"/>
  <c r="DF111" i="2"/>
  <c r="DG111" i="2"/>
  <c r="DL111" i="2"/>
  <c r="DM111" i="2"/>
  <c r="DN111" i="2"/>
  <c r="DO111" i="2"/>
  <c r="DP111" i="2"/>
  <c r="DB112" i="2"/>
  <c r="DC112" i="2"/>
  <c r="DD112" i="2"/>
  <c r="DE112" i="2"/>
  <c r="DF112" i="2"/>
  <c r="DG112" i="2"/>
  <c r="DL112" i="2"/>
  <c r="DM112" i="2"/>
  <c r="DN112" i="2"/>
  <c r="DO112" i="2"/>
  <c r="DP112" i="2"/>
  <c r="DB113" i="2"/>
  <c r="DC113" i="2"/>
  <c r="DD113" i="2"/>
  <c r="DE113" i="2"/>
  <c r="DF113" i="2"/>
  <c r="DG113" i="2"/>
  <c r="DL113" i="2"/>
  <c r="DM113" i="2"/>
  <c r="DN113" i="2"/>
  <c r="DO113" i="2"/>
  <c r="DP113" i="2"/>
  <c r="DB114" i="2"/>
  <c r="DC114" i="2"/>
  <c r="DD114" i="2"/>
  <c r="DE114" i="2"/>
  <c r="DF114" i="2"/>
  <c r="DG114" i="2"/>
  <c r="DL114" i="2"/>
  <c r="DM114" i="2"/>
  <c r="DN114" i="2"/>
  <c r="DO114" i="2"/>
  <c r="DP114" i="2"/>
  <c r="DB115" i="2"/>
  <c r="DC115" i="2"/>
  <c r="DD115" i="2"/>
  <c r="DE115" i="2"/>
  <c r="DF115" i="2"/>
  <c r="DG115" i="2"/>
  <c r="DL115" i="2"/>
  <c r="DM115" i="2"/>
  <c r="DN115" i="2"/>
  <c r="DO115" i="2"/>
  <c r="DP115" i="2"/>
  <c r="DB116" i="2"/>
  <c r="DC116" i="2"/>
  <c r="DD116" i="2"/>
  <c r="DE116" i="2"/>
  <c r="DF116" i="2"/>
  <c r="DG116" i="2"/>
  <c r="DB117" i="2"/>
  <c r="DC117" i="2"/>
  <c r="DD117" i="2"/>
  <c r="DE117" i="2"/>
  <c r="DF117" i="2"/>
  <c r="DG117" i="2"/>
  <c r="DB118" i="2"/>
  <c r="DC118" i="2"/>
  <c r="DD118" i="2"/>
  <c r="DE118" i="2"/>
  <c r="DF118" i="2"/>
  <c r="DG118" i="2"/>
  <c r="DB119" i="2"/>
  <c r="DC119" i="2"/>
  <c r="DD119" i="2"/>
  <c r="DE119" i="2"/>
  <c r="DF119" i="2"/>
  <c r="DG119" i="2"/>
  <c r="DB120" i="2"/>
  <c r="DC120" i="2"/>
  <c r="DD120" i="2"/>
  <c r="DE120" i="2"/>
  <c r="DF120" i="2"/>
  <c r="DG120" i="2"/>
  <c r="P110" i="19"/>
  <c r="L110" i="19"/>
  <c r="P111" i="19"/>
  <c r="L111" i="19"/>
  <c r="P112" i="19"/>
  <c r="L112" i="19"/>
  <c r="P113" i="19"/>
  <c r="L113" i="19"/>
  <c r="P114" i="19"/>
  <c r="L114" i="19"/>
  <c r="P115" i="19"/>
  <c r="L115" i="19"/>
  <c r="P116" i="19"/>
  <c r="L116" i="19"/>
  <c r="P117" i="19"/>
  <c r="L117" i="19"/>
  <c r="P118" i="19"/>
  <c r="L118" i="19"/>
  <c r="P119" i="19"/>
  <c r="L119" i="19"/>
  <c r="P120" i="19"/>
  <c r="L120" i="19"/>
  <c r="P121" i="19"/>
  <c r="L121" i="19"/>
  <c r="T110" i="17"/>
  <c r="M110" i="17"/>
  <c r="T111" i="17"/>
  <c r="M111" i="17"/>
  <c r="T112" i="17"/>
  <c r="M112" i="17"/>
  <c r="T113" i="17"/>
  <c r="M113" i="17"/>
  <c r="T114" i="17"/>
  <c r="M114" i="17"/>
  <c r="T115" i="17"/>
  <c r="M115" i="17"/>
  <c r="T116" i="17"/>
  <c r="M116" i="17"/>
  <c r="T117" i="17"/>
  <c r="M117" i="17"/>
  <c r="T118" i="17"/>
  <c r="M118" i="17"/>
  <c r="T119" i="17"/>
  <c r="M119" i="17"/>
  <c r="T120" i="17"/>
  <c r="M120" i="17"/>
  <c r="T121" i="17"/>
  <c r="M121" i="17"/>
  <c r="EO110" i="2"/>
  <c r="EP110" i="2"/>
  <c r="FD110" i="2"/>
  <c r="FE110" i="2"/>
  <c r="FG110" i="2"/>
  <c r="ES111" i="2"/>
  <c r="ES112" i="2"/>
  <c r="ET112" i="2"/>
  <c r="FG112" i="2"/>
  <c r="FH112" i="2"/>
  <c r="FI112" i="2"/>
  <c r="EU113" i="2"/>
  <c r="FK113" i="2"/>
  <c r="EX114" i="2"/>
  <c r="EE110" i="2"/>
  <c r="EF110" i="2"/>
  <c r="EE111" i="2"/>
  <c r="EF111" i="2"/>
  <c r="EE112" i="2"/>
  <c r="EF112" i="2"/>
  <c r="EE113" i="2"/>
  <c r="EF113" i="2"/>
  <c r="EE114" i="2"/>
  <c r="EF114" i="2"/>
  <c r="EE115" i="2"/>
  <c r="EF115" i="2"/>
  <c r="EE116" i="2"/>
  <c r="EF116" i="2"/>
  <c r="EE117" i="2"/>
  <c r="EF117" i="2"/>
  <c r="EE118" i="2"/>
  <c r="EF118" i="2"/>
  <c r="EE119" i="2"/>
  <c r="EF119" i="2"/>
  <c r="EE120" i="2"/>
  <c r="EF120" i="2"/>
  <c r="EE121" i="2"/>
  <c r="EF12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DT110" i="2"/>
  <c r="DU110" i="2"/>
  <c r="DV110" i="2"/>
  <c r="DW110" i="2"/>
  <c r="DX110" i="2"/>
  <c r="DY110" i="2"/>
  <c r="DZ110" i="2"/>
  <c r="EA110" i="2"/>
  <c r="EB110" i="2"/>
  <c r="EC110" i="2"/>
  <c r="ED110" i="2"/>
  <c r="DS110" i="2"/>
  <c r="A119" i="19" l="1"/>
  <c r="G119" i="26"/>
  <c r="L119" i="26" s="1"/>
  <c r="G119" i="37"/>
  <c r="L119" i="37" s="1"/>
  <c r="G115" i="26"/>
  <c r="L115" i="26" s="1"/>
  <c r="G115" i="37"/>
  <c r="L115" i="37" s="1"/>
  <c r="G111" i="26"/>
  <c r="L111" i="26" s="1"/>
  <c r="G111" i="37"/>
  <c r="L111" i="37" s="1"/>
  <c r="E115" i="25"/>
  <c r="I114" i="20"/>
  <c r="I114" i="31"/>
  <c r="I111" i="31"/>
  <c r="I111" i="20"/>
  <c r="A121" i="17"/>
  <c r="G120" i="37"/>
  <c r="L120" i="37" s="1"/>
  <c r="G120" i="26"/>
  <c r="L120" i="26" s="1"/>
  <c r="G116" i="26"/>
  <c r="L116" i="26" s="1"/>
  <c r="G116" i="37"/>
  <c r="L116" i="37" s="1"/>
  <c r="G112" i="26"/>
  <c r="L112" i="26" s="1"/>
  <c r="G112" i="37"/>
  <c r="L112" i="37" s="1"/>
  <c r="EN114" i="2"/>
  <c r="A116" i="19"/>
  <c r="E118" i="25"/>
  <c r="E110" i="25"/>
  <c r="I115" i="20"/>
  <c r="I115" i="31"/>
  <c r="G121" i="26"/>
  <c r="L121" i="26" s="1"/>
  <c r="G121" i="37"/>
  <c r="L121" i="37" s="1"/>
  <c r="G117" i="26"/>
  <c r="L117" i="26" s="1"/>
  <c r="G117" i="37"/>
  <c r="L117" i="37" s="1"/>
  <c r="G113" i="26"/>
  <c r="L113" i="26" s="1"/>
  <c r="G113" i="37"/>
  <c r="L113" i="37" s="1"/>
  <c r="I112" i="31"/>
  <c r="I112" i="20"/>
  <c r="E119" i="25"/>
  <c r="G118" i="26"/>
  <c r="L118" i="26" s="1"/>
  <c r="G118" i="37"/>
  <c r="L118" i="37" s="1"/>
  <c r="G114" i="26"/>
  <c r="L114" i="26" s="1"/>
  <c r="G114" i="37"/>
  <c r="L114" i="37" s="1"/>
  <c r="G110" i="26"/>
  <c r="L110" i="26" s="1"/>
  <c r="G110" i="37"/>
  <c r="L110" i="37" s="1"/>
  <c r="FF111" i="2"/>
  <c r="I113" i="31"/>
  <c r="I113" i="20"/>
  <c r="I110" i="31"/>
  <c r="I110" i="20"/>
  <c r="Q110" i="20" s="1"/>
  <c r="ER111" i="2"/>
  <c r="H111" i="28" s="1"/>
  <c r="Q111" i="28" s="1"/>
  <c r="FL114" i="2"/>
  <c r="FB114" i="2"/>
  <c r="E113" i="23"/>
  <c r="E113" i="19"/>
  <c r="E116" i="25"/>
  <c r="E114" i="23"/>
  <c r="E114" i="19"/>
  <c r="M114" i="19" s="1"/>
  <c r="E117" i="25"/>
  <c r="E115" i="23"/>
  <c r="E115" i="19"/>
  <c r="M115" i="19" s="1"/>
  <c r="E121" i="23"/>
  <c r="E121" i="19"/>
  <c r="J110" i="19"/>
  <c r="R110" i="19" s="1"/>
  <c r="J110" i="29"/>
  <c r="R110" i="29" s="1"/>
  <c r="E117" i="23"/>
  <c r="N117" i="23" s="1"/>
  <c r="E117" i="19"/>
  <c r="E111" i="25"/>
  <c r="E116" i="23"/>
  <c r="E116" i="19"/>
  <c r="E120" i="25"/>
  <c r="L120" i="25" s="1"/>
  <c r="E118" i="23"/>
  <c r="E118" i="19"/>
  <c r="M118" i="19" s="1"/>
  <c r="E112" i="25"/>
  <c r="E110" i="23"/>
  <c r="E110" i="19"/>
  <c r="M110" i="19" s="1"/>
  <c r="E121" i="25"/>
  <c r="L121" i="25" s="1"/>
  <c r="E119" i="23"/>
  <c r="E119" i="19"/>
  <c r="E113" i="25"/>
  <c r="E111" i="23"/>
  <c r="E111" i="19"/>
  <c r="M111" i="19" s="1"/>
  <c r="E120" i="23"/>
  <c r="E120" i="19"/>
  <c r="M120" i="19" s="1"/>
  <c r="E114" i="25"/>
  <c r="E112" i="23"/>
  <c r="E112" i="19"/>
  <c r="M112" i="19" s="1"/>
  <c r="EY112" i="2"/>
  <c r="F118" i="19"/>
  <c r="N118" i="19" s="1"/>
  <c r="FB115" i="2"/>
  <c r="EV112" i="2"/>
  <c r="F111" i="19"/>
  <c r="N111" i="19" s="1"/>
  <c r="E116" i="17"/>
  <c r="N116" i="17" s="1"/>
  <c r="EV121" i="2"/>
  <c r="F112" i="19"/>
  <c r="N112" i="19" s="1"/>
  <c r="F111" i="17"/>
  <c r="O111" i="17" s="1"/>
  <c r="FA117" i="2"/>
  <c r="F121" i="19"/>
  <c r="N121" i="19" s="1"/>
  <c r="FJ114" i="2"/>
  <c r="FH113" i="2"/>
  <c r="FB110" i="2"/>
  <c r="F121" i="17"/>
  <c r="O121" i="17" s="1"/>
  <c r="EP120" i="2"/>
  <c r="FB119" i="2"/>
  <c r="EZ117" i="2"/>
  <c r="EX116" i="2"/>
  <c r="FB111" i="2"/>
  <c r="E119" i="17"/>
  <c r="N119" i="17" s="1"/>
  <c r="FE113" i="2"/>
  <c r="EM111" i="2"/>
  <c r="F115" i="19"/>
  <c r="N115" i="19" s="1"/>
  <c r="EN112" i="2"/>
  <c r="T129" i="3"/>
  <c r="T128" i="3"/>
  <c r="T127" i="3"/>
  <c r="T126" i="3"/>
  <c r="T125" i="3"/>
  <c r="T124" i="3"/>
  <c r="T123" i="3"/>
  <c r="T132" i="3"/>
  <c r="T131" i="3"/>
  <c r="T133" i="3"/>
  <c r="T130" i="3"/>
  <c r="T122" i="3"/>
  <c r="A83" i="14"/>
  <c r="C111" i="17"/>
  <c r="C117" i="17"/>
  <c r="C116" i="19"/>
  <c r="FG111" i="2"/>
  <c r="FE111" i="2"/>
  <c r="FG120" i="2"/>
  <c r="EM117" i="2"/>
  <c r="EQ110" i="2"/>
  <c r="FA116" i="2"/>
  <c r="FD111" i="2"/>
  <c r="EW113" i="2"/>
  <c r="FF116" i="2"/>
  <c r="EN117" i="2"/>
  <c r="EZ115" i="2"/>
  <c r="FA115" i="2"/>
  <c r="FK110" i="2"/>
  <c r="ER112" i="2"/>
  <c r="H112" i="28" s="1"/>
  <c r="Q112" i="28" s="1"/>
  <c r="EO117" i="2"/>
  <c r="EZ110" i="2"/>
  <c r="FI111" i="2"/>
  <c r="EO114" i="2"/>
  <c r="FM111" i="2"/>
  <c r="FJ111" i="2"/>
  <c r="EM116" i="2"/>
  <c r="FA110" i="2"/>
  <c r="FH120" i="2"/>
  <c r="FF119" i="2"/>
  <c r="FL113" i="2"/>
  <c r="FB117" i="2"/>
  <c r="FJ113" i="2"/>
  <c r="FA111" i="2"/>
  <c r="EQ119" i="2"/>
  <c r="FJ118" i="2"/>
  <c r="ET111" i="2"/>
  <c r="EP116" i="2"/>
  <c r="ET120" i="2"/>
  <c r="ER119" i="2"/>
  <c r="H119" i="28" s="1"/>
  <c r="Q119" i="28" s="1"/>
  <c r="FD118" i="2"/>
  <c r="FA114" i="2"/>
  <c r="ER118" i="2"/>
  <c r="FM115" i="2"/>
  <c r="FE119" i="2"/>
  <c r="FK117" i="2"/>
  <c r="FC118" i="2"/>
  <c r="FK114" i="2"/>
  <c r="E117" i="17"/>
  <c r="N117" i="17" s="1"/>
  <c r="FD115" i="2"/>
  <c r="EQ111" i="2"/>
  <c r="FJ121" i="2"/>
  <c r="EP117" i="2"/>
  <c r="FH111" i="2"/>
  <c r="EW112" i="2"/>
  <c r="FL120" i="2"/>
  <c r="ES113" i="2"/>
  <c r="FF110" i="2"/>
  <c r="EU115" i="2"/>
  <c r="EX119" i="2"/>
  <c r="EV113" i="2"/>
  <c r="EP118" i="2"/>
  <c r="ET119" i="2"/>
  <c r="EY113" i="2"/>
  <c r="FK112" i="2"/>
  <c r="EZ121" i="2"/>
  <c r="F110" i="19"/>
  <c r="N110" i="19" s="1"/>
  <c r="FF117" i="2"/>
  <c r="EN115" i="2"/>
  <c r="FL112" i="2"/>
  <c r="EX120" i="2"/>
  <c r="ER117" i="2"/>
  <c r="H117" i="17" s="1"/>
  <c r="Q117" i="17" s="1"/>
  <c r="FI121" i="2"/>
  <c r="FA118" i="2"/>
  <c r="EV111" i="2"/>
  <c r="FN113" i="2"/>
  <c r="EX112" i="2"/>
  <c r="EZ113" i="2"/>
  <c r="FH110" i="2"/>
  <c r="F110" i="17"/>
  <c r="O110" i="17" s="1"/>
  <c r="FJ112" i="2"/>
  <c r="EQ113" i="2"/>
  <c r="FF112" i="2"/>
  <c r="EU111" i="2"/>
  <c r="EM110" i="2"/>
  <c r="EY115" i="2"/>
  <c r="EV118" i="2"/>
  <c r="FH115" i="2"/>
  <c r="FK116" i="2"/>
  <c r="FG114" i="2"/>
  <c r="EW116" i="2"/>
  <c r="FL119" i="2"/>
  <c r="FN121" i="2"/>
  <c r="ET118" i="2"/>
  <c r="EO116" i="2"/>
  <c r="FJ119" i="2"/>
  <c r="EX117" i="2"/>
  <c r="EO119" i="2"/>
  <c r="FG116" i="2"/>
  <c r="EU114" i="2"/>
  <c r="FD121" i="2"/>
  <c r="FK118" i="2"/>
  <c r="EW115" i="2"/>
  <c r="FG113" i="2"/>
  <c r="FG119" i="2"/>
  <c r="EQ118" i="2"/>
  <c r="FL121" i="2"/>
  <c r="EZ111" i="2"/>
  <c r="FI118" i="2"/>
  <c r="EQ120" i="2"/>
  <c r="FC113" i="2"/>
  <c r="FK119" i="2"/>
  <c r="EY118" i="2"/>
  <c r="EQ112" i="2"/>
  <c r="FN120" i="2"/>
  <c r="FH117" i="2"/>
  <c r="EZ120" i="2"/>
  <c r="FK120" i="2"/>
  <c r="ES116" i="2"/>
  <c r="FC114" i="2"/>
  <c r="FN111" i="2"/>
  <c r="EV119" i="2"/>
  <c r="FD116" i="2"/>
  <c r="EM115" i="2"/>
  <c r="FI113" i="2"/>
  <c r="ER110" i="2"/>
  <c r="EZ114" i="2"/>
  <c r="FF118" i="2"/>
  <c r="EQ117" i="2"/>
  <c r="FG121" i="2"/>
  <c r="E110" i="17"/>
  <c r="N110" i="17" s="1"/>
  <c r="EM118" i="2"/>
  <c r="FK115" i="2"/>
  <c r="ER115" i="2"/>
  <c r="ET116" i="2"/>
  <c r="H116" i="23" s="1"/>
  <c r="Q116" i="23" s="1"/>
  <c r="FH116" i="2"/>
  <c r="FM121" i="2"/>
  <c r="EV120" i="2"/>
  <c r="FD117" i="2"/>
  <c r="EX121" i="2"/>
  <c r="EP119" i="2"/>
  <c r="EY116" i="2"/>
  <c r="EO111" i="2"/>
  <c r="FC119" i="2"/>
  <c r="FI114" i="2"/>
  <c r="FE112" i="2"/>
  <c r="FI120" i="2"/>
  <c r="EZ119" i="2"/>
  <c r="EX118" i="2"/>
  <c r="FN115" i="2"/>
  <c r="FA113" i="2"/>
  <c r="EZ112" i="2"/>
  <c r="FC111" i="2"/>
  <c r="FC110" i="2"/>
  <c r="FE120" i="2"/>
  <c r="EQ121" i="2"/>
  <c r="EY117" i="2"/>
  <c r="ES118" i="2"/>
  <c r="EO121" i="2"/>
  <c r="FI119" i="2"/>
  <c r="FG118" i="2"/>
  <c r="FC116" i="2"/>
  <c r="EP114" i="2"/>
  <c r="FI117" i="2"/>
  <c r="FJ120" i="2"/>
  <c r="EP113" i="2"/>
  <c r="F116" i="17"/>
  <c r="O116" i="17" s="1"/>
  <c r="FA120" i="2"/>
  <c r="EW118" i="2"/>
  <c r="ES117" i="2"/>
  <c r="FL111" i="2"/>
  <c r="M113" i="19"/>
  <c r="EX115" i="2"/>
  <c r="ET113" i="2"/>
  <c r="EQ115" i="2"/>
  <c r="FM119" i="2"/>
  <c r="EM121" i="2"/>
  <c r="G121" i="17" s="1"/>
  <c r="P121" i="17" s="1"/>
  <c r="FL115" i="2"/>
  <c r="FE118" i="2"/>
  <c r="FF115" i="2"/>
  <c r="FB113" i="2"/>
  <c r="FN114" i="2"/>
  <c r="EN110" i="2"/>
  <c r="FL110" i="2"/>
  <c r="F113" i="19"/>
  <c r="N113" i="19" s="1"/>
  <c r="FB120" i="2"/>
  <c r="EU120" i="2"/>
  <c r="ET115" i="2"/>
  <c r="H115" i="23" s="1"/>
  <c r="Q115" i="23" s="1"/>
  <c r="F117" i="17"/>
  <c r="O117" i="17" s="1"/>
  <c r="FH114" i="2"/>
  <c r="FN116" i="2"/>
  <c r="FM116" i="2"/>
  <c r="EP115" i="2"/>
  <c r="E118" i="17"/>
  <c r="N118" i="17" s="1"/>
  <c r="EY121" i="2"/>
  <c r="FD119" i="2"/>
  <c r="ET121" i="2"/>
  <c r="EW120" i="2"/>
  <c r="FB118" i="2"/>
  <c r="EU119" i="2"/>
  <c r="EZ116" i="2"/>
  <c r="FC117" i="2"/>
  <c r="FM114" i="2"/>
  <c r="FK121" i="2"/>
  <c r="EY114" i="2"/>
  <c r="EW121" i="2"/>
  <c r="EX110" i="2"/>
  <c r="EN113" i="2"/>
  <c r="ET110" i="2"/>
  <c r="H110" i="34" s="1"/>
  <c r="Q110" i="34" s="1"/>
  <c r="FL118" i="2"/>
  <c r="FB121" i="2"/>
  <c r="FD114" i="2"/>
  <c r="FJ117" i="2"/>
  <c r="F116" i="19"/>
  <c r="N116" i="19" s="1"/>
  <c r="EN121" i="2"/>
  <c r="E121" i="17"/>
  <c r="N121" i="17" s="1"/>
  <c r="FM120" i="2"/>
  <c r="ES119" i="2"/>
  <c r="FH119" i="2"/>
  <c r="FN118" i="2"/>
  <c r="EV117" i="2"/>
  <c r="FB116" i="2"/>
  <c r="FE115" i="2"/>
  <c r="EX111" i="2"/>
  <c r="F120" i="19"/>
  <c r="N120" i="19" s="1"/>
  <c r="ES115" i="2"/>
  <c r="EO112" i="2"/>
  <c r="EY110" i="2"/>
  <c r="EW117" i="2"/>
  <c r="FA119" i="2"/>
  <c r="FH121" i="2"/>
  <c r="ES120" i="2"/>
  <c r="EO118" i="2"/>
  <c r="EU117" i="2"/>
  <c r="FG115" i="2"/>
  <c r="EW114" i="2"/>
  <c r="EP111" i="2"/>
  <c r="F112" i="17"/>
  <c r="O112" i="17" s="1"/>
  <c r="ER120" i="2"/>
  <c r="EY119" i="2"/>
  <c r="EN118" i="2"/>
  <c r="FB112" i="2"/>
  <c r="E112" i="17"/>
  <c r="N112" i="17" s="1"/>
  <c r="EQ114" i="2"/>
  <c r="FA112" i="2"/>
  <c r="FM110" i="2"/>
  <c r="FC121" i="2"/>
  <c r="EM120" i="2"/>
  <c r="FM117" i="2"/>
  <c r="EU116" i="2"/>
  <c r="FE114" i="2"/>
  <c r="FE121" i="2"/>
  <c r="FC112" i="2"/>
  <c r="EO120" i="2"/>
  <c r="FL117" i="2"/>
  <c r="ER114" i="2"/>
  <c r="F119" i="17"/>
  <c r="O119" i="17" s="1"/>
  <c r="F114" i="17"/>
  <c r="O114" i="17" s="1"/>
  <c r="EX113" i="2"/>
  <c r="FN110" i="2"/>
  <c r="EP121" i="2"/>
  <c r="EY120" i="2"/>
  <c r="FF114" i="2"/>
  <c r="EM114" i="2"/>
  <c r="FI116" i="2"/>
  <c r="FK111" i="2"/>
  <c r="FE116" i="2"/>
  <c r="EU110" i="2"/>
  <c r="EO115" i="2"/>
  <c r="FM112" i="2"/>
  <c r="FI110" i="2"/>
  <c r="FG117" i="2"/>
  <c r="FC115" i="2"/>
  <c r="FM118" i="2"/>
  <c r="EU118" i="2"/>
  <c r="ES114" i="2"/>
  <c r="EM112" i="2"/>
  <c r="EW111" i="2"/>
  <c r="EQ116" i="2"/>
  <c r="EM119" i="2"/>
  <c r="FI115" i="2"/>
  <c r="E111" i="17"/>
  <c r="N111" i="17" s="1"/>
  <c r="M119" i="19"/>
  <c r="EU121" i="2"/>
  <c r="FF120" i="2"/>
  <c r="EN120" i="2"/>
  <c r="EO113" i="2"/>
  <c r="F120" i="17"/>
  <c r="O120" i="17" s="1"/>
  <c r="F115" i="17"/>
  <c r="O115" i="17" s="1"/>
  <c r="ES121" i="2"/>
  <c r="FC120" i="2"/>
  <c r="FN119" i="2"/>
  <c r="EW119" i="2"/>
  <c r="FH118" i="2"/>
  <c r="FJ116" i="2"/>
  <c r="ER116" i="2"/>
  <c r="EV114" i="2"/>
  <c r="FN112" i="2"/>
  <c r="EV110" i="2"/>
  <c r="M121" i="19"/>
  <c r="F119" i="19"/>
  <c r="N119" i="19" s="1"/>
  <c r="FA121" i="2"/>
  <c r="EZ118" i="2"/>
  <c r="ET117" i="2"/>
  <c r="EN116" i="2"/>
  <c r="FD113" i="2"/>
  <c r="EM113" i="2"/>
  <c r="FE117" i="2"/>
  <c r="E115" i="17"/>
  <c r="N115" i="17" s="1"/>
  <c r="EV116" i="2"/>
  <c r="FM113" i="2"/>
  <c r="EY111" i="2"/>
  <c r="FJ110" i="2"/>
  <c r="ES110" i="2"/>
  <c r="EG111" i="2"/>
  <c r="EW110" i="2"/>
  <c r="F117" i="19"/>
  <c r="N117" i="19" s="1"/>
  <c r="E120" i="17"/>
  <c r="N120" i="17" s="1"/>
  <c r="EG112" i="2"/>
  <c r="F118" i="17"/>
  <c r="O118" i="17" s="1"/>
  <c r="E114" i="17"/>
  <c r="N114" i="17" s="1"/>
  <c r="E113" i="17"/>
  <c r="N113" i="17" s="1"/>
  <c r="C112" i="20"/>
  <c r="C112" i="26"/>
  <c r="C112" i="21"/>
  <c r="C112" i="37"/>
  <c r="C112" i="22"/>
  <c r="C112" i="36"/>
  <c r="C112" i="29"/>
  <c r="C112" i="25"/>
  <c r="C112" i="24"/>
  <c r="C112" i="35"/>
  <c r="C112" i="31"/>
  <c r="C112" i="18"/>
  <c r="C112" i="34"/>
  <c r="C112" i="32"/>
  <c r="C112" i="30"/>
  <c r="C112" i="33"/>
  <c r="C112" i="28"/>
  <c r="C112" i="23"/>
  <c r="C112" i="19"/>
  <c r="C112" i="17"/>
  <c r="C121" i="22"/>
  <c r="C121" i="34"/>
  <c r="C121" i="28"/>
  <c r="C121" i="23"/>
  <c r="C121" i="37"/>
  <c r="C121" i="32"/>
  <c r="C121" i="24"/>
  <c r="C121" i="35"/>
  <c r="C121" i="30"/>
  <c r="C121" i="33"/>
  <c r="C121" i="25"/>
  <c r="C121" i="36"/>
  <c r="C121" i="18"/>
  <c r="C121" i="26"/>
  <c r="C121" i="21"/>
  <c r="C121" i="31"/>
  <c r="C121" i="29"/>
  <c r="C121" i="20"/>
  <c r="C121" i="19"/>
  <c r="C121" i="17"/>
  <c r="C120" i="33"/>
  <c r="C120" i="18"/>
  <c r="C120" i="30"/>
  <c r="C120" i="36"/>
  <c r="C120" i="32"/>
  <c r="C120" i="34"/>
  <c r="C120" i="20"/>
  <c r="C120" i="29"/>
  <c r="C120" i="26"/>
  <c r="C120" i="21"/>
  <c r="C120" i="31"/>
  <c r="C120" i="28"/>
  <c r="C120" i="23"/>
  <c r="C120" i="22"/>
  <c r="C120" i="24"/>
  <c r="C120" i="37"/>
  <c r="C120" i="35"/>
  <c r="C120" i="25"/>
  <c r="C120" i="19"/>
  <c r="C120" i="17"/>
  <c r="C119" i="28"/>
  <c r="C119" i="24"/>
  <c r="C119" i="26"/>
  <c r="C119" i="21"/>
  <c r="C119" i="31"/>
  <c r="C119" i="25"/>
  <c r="C119" i="22"/>
  <c r="C119" i="35"/>
  <c r="C119" i="34"/>
  <c r="C119" i="33"/>
  <c r="C119" i="37"/>
  <c r="C119" i="18"/>
  <c r="C119" i="36"/>
  <c r="C119" i="30"/>
  <c r="C119" i="23"/>
  <c r="C119" i="32"/>
  <c r="C119" i="29"/>
  <c r="C119" i="20"/>
  <c r="C119" i="19"/>
  <c r="C119" i="17"/>
  <c r="C115" i="37"/>
  <c r="C115" i="35"/>
  <c r="C115" i="28"/>
  <c r="C115" i="29"/>
  <c r="C115" i="25"/>
  <c r="C115" i="23"/>
  <c r="C115" i="24"/>
  <c r="C115" i="33"/>
  <c r="C115" i="22"/>
  <c r="C115" i="18"/>
  <c r="C115" i="32"/>
  <c r="C115" i="34"/>
  <c r="C115" i="36"/>
  <c r="C115" i="31"/>
  <c r="C115" i="20"/>
  <c r="C115" i="30"/>
  <c r="C115" i="26"/>
  <c r="C115" i="21"/>
  <c r="C115" i="19"/>
  <c r="C115" i="17"/>
  <c r="C114" i="22"/>
  <c r="C114" i="36"/>
  <c r="C114" i="20"/>
  <c r="C114" i="32"/>
  <c r="C114" i="31"/>
  <c r="C114" i="28"/>
  <c r="C114" i="30"/>
  <c r="C114" i="23"/>
  <c r="C114" i="29"/>
  <c r="C114" i="26"/>
  <c r="C114" i="35"/>
  <c r="C114" i="21"/>
  <c r="C114" i="25"/>
  <c r="C114" i="37"/>
  <c r="C114" i="24"/>
  <c r="C114" i="18"/>
  <c r="C114" i="34"/>
  <c r="C114" i="33"/>
  <c r="C114" i="17"/>
  <c r="C114" i="19"/>
  <c r="C118" i="33"/>
  <c r="C118" i="18"/>
  <c r="C118" i="36"/>
  <c r="C118" i="37"/>
  <c r="C118" i="30"/>
  <c r="C118" i="29"/>
  <c r="C118" i="28"/>
  <c r="C118" i="20"/>
  <c r="C118" i="25"/>
  <c r="C118" i="24"/>
  <c r="C118" i="32"/>
  <c r="C118" i="35"/>
  <c r="C118" i="22"/>
  <c r="C118" i="34"/>
  <c r="C118" i="31"/>
  <c r="C118" i="26"/>
  <c r="C118" i="23"/>
  <c r="C118" i="21"/>
  <c r="C118" i="19"/>
  <c r="C118" i="17"/>
  <c r="C113" i="30"/>
  <c r="C113" i="35"/>
  <c r="C113" i="25"/>
  <c r="C113" i="18"/>
  <c r="C113" i="24"/>
  <c r="C113" i="33"/>
  <c r="C113" i="34"/>
  <c r="C113" i="26"/>
  <c r="C113" i="21"/>
  <c r="C113" i="37"/>
  <c r="C113" i="28"/>
  <c r="C113" i="23"/>
  <c r="C113" i="22"/>
  <c r="C113" i="20"/>
  <c r="C113" i="36"/>
  <c r="C113" i="29"/>
  <c r="C113" i="32"/>
  <c r="C113" i="31"/>
  <c r="C113" i="19"/>
  <c r="C113" i="17"/>
  <c r="G115" i="33"/>
  <c r="M115" i="33" s="1"/>
  <c r="G115" i="22"/>
  <c r="M115" i="22" s="1"/>
  <c r="A118" i="19"/>
  <c r="EG117" i="2"/>
  <c r="E119" i="24"/>
  <c r="M119" i="24" s="1"/>
  <c r="L119" i="25"/>
  <c r="E119" i="18"/>
  <c r="L119" i="18" s="1"/>
  <c r="N119" i="23"/>
  <c r="E119" i="20"/>
  <c r="M119" i="20" s="1"/>
  <c r="N111" i="23"/>
  <c r="E111" i="18"/>
  <c r="L111" i="18" s="1"/>
  <c r="E111" i="20"/>
  <c r="M111" i="20" s="1"/>
  <c r="L111" i="25"/>
  <c r="E111" i="24"/>
  <c r="M111" i="24" s="1"/>
  <c r="A112" i="37"/>
  <c r="A112" i="26"/>
  <c r="A112" i="21"/>
  <c r="A112" i="36"/>
  <c r="A112" i="22"/>
  <c r="A112" i="35"/>
  <c r="A112" i="31"/>
  <c r="A112" i="25"/>
  <c r="A112" i="24"/>
  <c r="A112" i="34"/>
  <c r="A112" i="32"/>
  <c r="A112" i="30"/>
  <c r="A112" i="18"/>
  <c r="A112" i="33"/>
  <c r="A112" i="28"/>
  <c r="A112" i="23"/>
  <c r="A112" i="20"/>
  <c r="I114" i="25"/>
  <c r="P114" i="25" s="1"/>
  <c r="J114" i="24"/>
  <c r="R114" i="24" s="1"/>
  <c r="I114" i="36"/>
  <c r="P114" i="36" s="1"/>
  <c r="J114" i="35"/>
  <c r="R114" i="35" s="1"/>
  <c r="H113" i="34"/>
  <c r="Q113" i="34" s="1"/>
  <c r="H113" i="23"/>
  <c r="Q113" i="23" s="1"/>
  <c r="EG116" i="2"/>
  <c r="F116" i="25"/>
  <c r="M116" i="25" s="1"/>
  <c r="F116" i="24"/>
  <c r="N116" i="24" s="1"/>
  <c r="F116" i="20"/>
  <c r="N116" i="20" s="1"/>
  <c r="F115" i="23"/>
  <c r="O115" i="23" s="1"/>
  <c r="F115" i="18"/>
  <c r="M115" i="18" s="1"/>
  <c r="B116" i="17"/>
  <c r="B116" i="31"/>
  <c r="B116" i="36"/>
  <c r="B116" i="30"/>
  <c r="B116" i="37"/>
  <c r="B116" i="34"/>
  <c r="B116" i="35"/>
  <c r="B116" i="28"/>
  <c r="B116" i="32"/>
  <c r="B116" i="29"/>
  <c r="B116" i="33"/>
  <c r="B110" i="34"/>
  <c r="B110" i="36"/>
  <c r="B110" i="29"/>
  <c r="B110" i="35"/>
  <c r="B110" i="37"/>
  <c r="B110" i="28"/>
  <c r="B110" i="33"/>
  <c r="B110" i="30"/>
  <c r="B110" i="31"/>
  <c r="B110" i="32"/>
  <c r="G114" i="33"/>
  <c r="M114" i="33" s="1"/>
  <c r="G114" i="22"/>
  <c r="M114" i="22" s="1"/>
  <c r="H119" i="34"/>
  <c r="Q119" i="34" s="1"/>
  <c r="H119" i="23"/>
  <c r="Q119" i="23" s="1"/>
  <c r="G115" i="23"/>
  <c r="P115" i="23" s="1"/>
  <c r="G115" i="34"/>
  <c r="P115" i="34" s="1"/>
  <c r="A112" i="17"/>
  <c r="EG115" i="2"/>
  <c r="E120" i="18"/>
  <c r="L120" i="18" s="1"/>
  <c r="E120" i="20"/>
  <c r="M120" i="20" s="1"/>
  <c r="N120" i="23"/>
  <c r="E120" i="24"/>
  <c r="M120" i="24" s="1"/>
  <c r="E112" i="20"/>
  <c r="M112" i="20" s="1"/>
  <c r="L112" i="25"/>
  <c r="E112" i="24"/>
  <c r="M112" i="24" s="1"/>
  <c r="E112" i="18"/>
  <c r="L112" i="18" s="1"/>
  <c r="N112" i="23"/>
  <c r="B115" i="19"/>
  <c r="B115" i="37"/>
  <c r="B115" i="35"/>
  <c r="B115" i="28"/>
  <c r="B115" i="29"/>
  <c r="B115" i="33"/>
  <c r="B115" i="32"/>
  <c r="B115" i="34"/>
  <c r="B115" i="36"/>
  <c r="B115" i="31"/>
  <c r="B115" i="30"/>
  <c r="A110" i="23"/>
  <c r="A110" i="20"/>
  <c r="A110" i="36"/>
  <c r="A110" i="24"/>
  <c r="A110" i="22"/>
  <c r="A110" i="35"/>
  <c r="A110" i="37"/>
  <c r="A110" i="28"/>
  <c r="A110" i="26"/>
  <c r="A110" i="21"/>
  <c r="A110" i="18"/>
  <c r="A110" i="33"/>
  <c r="A110" i="30"/>
  <c r="A110" i="31"/>
  <c r="A110" i="32"/>
  <c r="A110" i="34"/>
  <c r="A110" i="25"/>
  <c r="J121" i="35"/>
  <c r="R121" i="35" s="1"/>
  <c r="J121" i="24"/>
  <c r="R121" i="24" s="1"/>
  <c r="I121" i="36"/>
  <c r="P121" i="36" s="1"/>
  <c r="I121" i="25"/>
  <c r="P121" i="25" s="1"/>
  <c r="J113" i="35"/>
  <c r="R113" i="35" s="1"/>
  <c r="I113" i="25"/>
  <c r="P113" i="25" s="1"/>
  <c r="J113" i="24"/>
  <c r="R113" i="24" s="1"/>
  <c r="I113" i="36"/>
  <c r="P113" i="36" s="1"/>
  <c r="A114" i="19"/>
  <c r="EG114" i="2"/>
  <c r="F117" i="24"/>
  <c r="N117" i="24" s="1"/>
  <c r="F117" i="25"/>
  <c r="M117" i="25" s="1"/>
  <c r="F117" i="20"/>
  <c r="N117" i="20" s="1"/>
  <c r="F116" i="23"/>
  <c r="O116" i="23" s="1"/>
  <c r="F116" i="18"/>
  <c r="M116" i="18" s="1"/>
  <c r="C110" i="25"/>
  <c r="C110" i="34"/>
  <c r="C110" i="23"/>
  <c r="C110" i="20"/>
  <c r="C110" i="36"/>
  <c r="C110" i="29"/>
  <c r="C110" i="24"/>
  <c r="C110" i="22"/>
  <c r="C110" i="35"/>
  <c r="C110" i="37"/>
  <c r="C110" i="26"/>
  <c r="C110" i="28"/>
  <c r="C110" i="21"/>
  <c r="C110" i="18"/>
  <c r="C110" i="33"/>
  <c r="C110" i="30"/>
  <c r="C110" i="31"/>
  <c r="C110" i="32"/>
  <c r="A115" i="37"/>
  <c r="A115" i="35"/>
  <c r="A115" i="28"/>
  <c r="A115" i="25"/>
  <c r="A115" i="23"/>
  <c r="A115" i="33"/>
  <c r="A115" i="24"/>
  <c r="A115" i="22"/>
  <c r="A115" i="32"/>
  <c r="A115" i="18"/>
  <c r="A115" i="34"/>
  <c r="A115" i="36"/>
  <c r="A115" i="31"/>
  <c r="A115" i="20"/>
  <c r="A115" i="30"/>
  <c r="A115" i="26"/>
  <c r="A115" i="21"/>
  <c r="G121" i="22"/>
  <c r="M121" i="22" s="1"/>
  <c r="G121" i="33"/>
  <c r="M121" i="33" s="1"/>
  <c r="G113" i="33"/>
  <c r="M113" i="33" s="1"/>
  <c r="G113" i="22"/>
  <c r="M113" i="22" s="1"/>
  <c r="G118" i="28"/>
  <c r="P118" i="28" s="1"/>
  <c r="H111" i="34"/>
  <c r="Q111" i="34" s="1"/>
  <c r="C110" i="17"/>
  <c r="C111" i="19"/>
  <c r="EG113" i="2"/>
  <c r="E121" i="20"/>
  <c r="M121" i="20" s="1"/>
  <c r="N121" i="23"/>
  <c r="E121" i="24"/>
  <c r="M121" i="24" s="1"/>
  <c r="E121" i="18"/>
  <c r="L121" i="18" s="1"/>
  <c r="L113" i="25"/>
  <c r="E113" i="18"/>
  <c r="L113" i="18" s="1"/>
  <c r="E113" i="24"/>
  <c r="M113" i="24" s="1"/>
  <c r="N113" i="23"/>
  <c r="E113" i="20"/>
  <c r="M113" i="20" s="1"/>
  <c r="B111" i="19"/>
  <c r="B111" i="33"/>
  <c r="B111" i="31"/>
  <c r="B111" i="30"/>
  <c r="B111" i="28"/>
  <c r="B111" i="32"/>
  <c r="B111" i="36"/>
  <c r="B111" i="29"/>
  <c r="B111" i="37"/>
  <c r="B111" i="34"/>
  <c r="B111" i="35"/>
  <c r="A111" i="18"/>
  <c r="A111" i="33"/>
  <c r="A111" i="31"/>
  <c r="A111" i="30"/>
  <c r="A111" i="28"/>
  <c r="A111" i="32"/>
  <c r="A111" i="20"/>
  <c r="A111" i="36"/>
  <c r="A111" i="37"/>
  <c r="A111" i="34"/>
  <c r="A111" i="22"/>
  <c r="A111" i="26"/>
  <c r="A111" i="25"/>
  <c r="A111" i="24"/>
  <c r="A111" i="21"/>
  <c r="A111" i="35"/>
  <c r="A111" i="23"/>
  <c r="B121" i="34"/>
  <c r="B121" i="28"/>
  <c r="B121" i="37"/>
  <c r="B121" i="32"/>
  <c r="B121" i="35"/>
  <c r="B121" i="30"/>
  <c r="B121" i="33"/>
  <c r="B121" i="36"/>
  <c r="B121" i="31"/>
  <c r="B121" i="29"/>
  <c r="J120" i="24"/>
  <c r="R120" i="24" s="1"/>
  <c r="J120" i="35"/>
  <c r="R120" i="35" s="1"/>
  <c r="I120" i="25"/>
  <c r="P120" i="25" s="1"/>
  <c r="I120" i="36"/>
  <c r="P120" i="36" s="1"/>
  <c r="I112" i="36"/>
  <c r="P112" i="36" s="1"/>
  <c r="J112" i="35"/>
  <c r="R112" i="35" s="1"/>
  <c r="I112" i="25"/>
  <c r="P112" i="25" s="1"/>
  <c r="J112" i="24"/>
  <c r="R112" i="24" s="1"/>
  <c r="A119" i="17"/>
  <c r="A110" i="17"/>
  <c r="A111" i="19"/>
  <c r="F118" i="20"/>
  <c r="N118" i="20" s="1"/>
  <c r="F118" i="25"/>
  <c r="M118" i="25" s="1"/>
  <c r="F118" i="24"/>
  <c r="N118" i="24" s="1"/>
  <c r="F117" i="23"/>
  <c r="O117" i="23" s="1"/>
  <c r="F117" i="18"/>
  <c r="M117" i="18" s="1"/>
  <c r="F110" i="25"/>
  <c r="M110" i="25" s="1"/>
  <c r="F110" i="20"/>
  <c r="N110" i="20" s="1"/>
  <c r="F110" i="24"/>
  <c r="N110" i="24" s="1"/>
  <c r="C117" i="35"/>
  <c r="C117" i="23"/>
  <c r="C117" i="32"/>
  <c r="C117" i="34"/>
  <c r="C117" i="22"/>
  <c r="C117" i="28"/>
  <c r="C117" i="31"/>
  <c r="C117" i="33"/>
  <c r="C117" i="26"/>
  <c r="C117" i="21"/>
  <c r="C117" i="29"/>
  <c r="C117" i="18"/>
  <c r="C117" i="36"/>
  <c r="C117" i="25"/>
  <c r="C117" i="20"/>
  <c r="C117" i="30"/>
  <c r="C117" i="37"/>
  <c r="C117" i="24"/>
  <c r="B114" i="36"/>
  <c r="B114" i="32"/>
  <c r="B114" i="31"/>
  <c r="B114" i="28"/>
  <c r="B114" i="30"/>
  <c r="B114" i="29"/>
  <c r="B114" i="35"/>
  <c r="B114" i="37"/>
  <c r="B114" i="34"/>
  <c r="B114" i="33"/>
  <c r="A121" i="34"/>
  <c r="A121" i="22"/>
  <c r="A121" i="28"/>
  <c r="A121" i="37"/>
  <c r="A121" i="23"/>
  <c r="A121" i="32"/>
  <c r="A121" i="35"/>
  <c r="A121" i="30"/>
  <c r="A122" i="30" s="1"/>
  <c r="A121" i="24"/>
  <c r="A121" i="33"/>
  <c r="A121" i="36"/>
  <c r="A121" i="25"/>
  <c r="A121" i="18"/>
  <c r="A121" i="26"/>
  <c r="A121" i="21"/>
  <c r="A121" i="31"/>
  <c r="A121" i="20"/>
  <c r="G120" i="33"/>
  <c r="M120" i="33" s="1"/>
  <c r="G120" i="22"/>
  <c r="M120" i="22" s="1"/>
  <c r="G112" i="22"/>
  <c r="M112" i="22" s="1"/>
  <c r="G112" i="33"/>
  <c r="M112" i="33" s="1"/>
  <c r="H111" i="17"/>
  <c r="Q111" i="17" s="1"/>
  <c r="G110" i="17"/>
  <c r="P110" i="17" s="1"/>
  <c r="G110" i="34"/>
  <c r="P110" i="34" s="1"/>
  <c r="G110" i="23"/>
  <c r="P110" i="23" s="1"/>
  <c r="G110" i="28"/>
  <c r="P110" i="28" s="1"/>
  <c r="A117" i="17"/>
  <c r="A115" i="17"/>
  <c r="C117" i="19"/>
  <c r="E114" i="20"/>
  <c r="M114" i="20" s="1"/>
  <c r="N114" i="23"/>
  <c r="L114" i="25"/>
  <c r="E114" i="24"/>
  <c r="M114" i="24" s="1"/>
  <c r="E114" i="18"/>
  <c r="L114" i="18" s="1"/>
  <c r="B119" i="17"/>
  <c r="B119" i="31"/>
  <c r="B119" i="35"/>
  <c r="B119" i="34"/>
  <c r="B119" i="33"/>
  <c r="B119" i="37"/>
  <c r="B119" i="36"/>
  <c r="B119" i="30"/>
  <c r="B119" i="32"/>
  <c r="B119" i="29"/>
  <c r="B119" i="28"/>
  <c r="A114" i="36"/>
  <c r="A114" i="32"/>
  <c r="A114" i="20"/>
  <c r="A114" i="31"/>
  <c r="A114" i="28"/>
  <c r="A114" i="30"/>
  <c r="A114" i="23"/>
  <c r="A114" i="35"/>
  <c r="A114" i="26"/>
  <c r="A114" i="21"/>
  <c r="A114" i="37"/>
  <c r="A114" i="25"/>
  <c r="A114" i="24"/>
  <c r="A114" i="18"/>
  <c r="A114" i="34"/>
  <c r="A114" i="33"/>
  <c r="A114" i="22"/>
  <c r="J119" i="24"/>
  <c r="R119" i="24" s="1"/>
  <c r="I119" i="25"/>
  <c r="P119" i="25" s="1"/>
  <c r="J119" i="35"/>
  <c r="R119" i="35" s="1"/>
  <c r="I119" i="36"/>
  <c r="P119" i="36" s="1"/>
  <c r="I111" i="25"/>
  <c r="P111" i="25" s="1"/>
  <c r="J111" i="24"/>
  <c r="R111" i="24" s="1"/>
  <c r="J111" i="35"/>
  <c r="R111" i="35" s="1"/>
  <c r="I111" i="36"/>
  <c r="P111" i="36" s="1"/>
  <c r="A113" i="17"/>
  <c r="A117" i="19"/>
  <c r="F119" i="20"/>
  <c r="N119" i="20" s="1"/>
  <c r="F119" i="24"/>
  <c r="N119" i="24" s="1"/>
  <c r="F119" i="25"/>
  <c r="M119" i="25" s="1"/>
  <c r="F118" i="18"/>
  <c r="M118" i="18" s="1"/>
  <c r="F118" i="23"/>
  <c r="O118" i="23" s="1"/>
  <c r="F111" i="20"/>
  <c r="N111" i="20" s="1"/>
  <c r="F111" i="25"/>
  <c r="M111" i="25" s="1"/>
  <c r="F111" i="24"/>
  <c r="N111" i="24" s="1"/>
  <c r="F110" i="23"/>
  <c r="O110" i="23" s="1"/>
  <c r="F110" i="18"/>
  <c r="M110" i="18" s="1"/>
  <c r="B117" i="19"/>
  <c r="B117" i="35"/>
  <c r="B117" i="32"/>
  <c r="B117" i="34"/>
  <c r="B117" i="28"/>
  <c r="B117" i="31"/>
  <c r="B117" i="33"/>
  <c r="B117" i="29"/>
  <c r="B117" i="36"/>
  <c r="B117" i="30"/>
  <c r="B117" i="37"/>
  <c r="A119" i="31"/>
  <c r="A119" i="26"/>
  <c r="A119" i="21"/>
  <c r="A119" i="25"/>
  <c r="A119" i="22"/>
  <c r="A119" i="35"/>
  <c r="A119" i="34"/>
  <c r="A119" i="33"/>
  <c r="A119" i="37"/>
  <c r="A119" i="18"/>
  <c r="A119" i="36"/>
  <c r="A119" i="30"/>
  <c r="A119" i="23"/>
  <c r="A119" i="32"/>
  <c r="A119" i="20"/>
  <c r="A119" i="28"/>
  <c r="A119" i="24"/>
  <c r="B120" i="19"/>
  <c r="B120" i="33"/>
  <c r="B120" i="30"/>
  <c r="B120" i="36"/>
  <c r="B120" i="32"/>
  <c r="B120" i="34"/>
  <c r="B120" i="29"/>
  <c r="B120" i="31"/>
  <c r="B120" i="28"/>
  <c r="B120" i="37"/>
  <c r="B120" i="35"/>
  <c r="G119" i="22"/>
  <c r="M119" i="22" s="1"/>
  <c r="G119" i="33"/>
  <c r="M119" i="33" s="1"/>
  <c r="G111" i="33"/>
  <c r="M111" i="33" s="1"/>
  <c r="G111" i="22"/>
  <c r="M111" i="22" s="1"/>
  <c r="H120" i="34"/>
  <c r="Q120" i="34" s="1"/>
  <c r="H120" i="23"/>
  <c r="Q120" i="23" s="1"/>
  <c r="G119" i="23"/>
  <c r="P119" i="23" s="1"/>
  <c r="G116" i="17"/>
  <c r="P116" i="17" s="1"/>
  <c r="G116" i="23"/>
  <c r="P116" i="23" s="1"/>
  <c r="G116" i="34"/>
  <c r="P116" i="34" s="1"/>
  <c r="G116" i="28"/>
  <c r="P116" i="28" s="1"/>
  <c r="L115" i="25"/>
  <c r="N115" i="23"/>
  <c r="E115" i="24"/>
  <c r="M115" i="24" s="1"/>
  <c r="E115" i="18"/>
  <c r="L115" i="18" s="1"/>
  <c r="E115" i="20"/>
  <c r="M115" i="20" s="1"/>
  <c r="B112" i="37"/>
  <c r="B112" i="36"/>
  <c r="B112" i="29"/>
  <c r="B112" i="35"/>
  <c r="B112" i="31"/>
  <c r="B112" i="34"/>
  <c r="B112" i="32"/>
  <c r="B112" i="30"/>
  <c r="B112" i="33"/>
  <c r="B112" i="28"/>
  <c r="A116" i="23"/>
  <c r="A116" i="36"/>
  <c r="A116" i="24"/>
  <c r="A116" i="18"/>
  <c r="A116" i="26"/>
  <c r="A116" i="21"/>
  <c r="A116" i="20"/>
  <c r="A116" i="30"/>
  <c r="A116" i="37"/>
  <c r="A116" i="34"/>
  <c r="A116" i="35"/>
  <c r="A116" i="28"/>
  <c r="A116" i="32"/>
  <c r="A116" i="22"/>
  <c r="A116" i="33"/>
  <c r="A116" i="25"/>
  <c r="A116" i="31"/>
  <c r="B113" i="19"/>
  <c r="B113" i="30"/>
  <c r="B113" i="35"/>
  <c r="B113" i="33"/>
  <c r="B113" i="34"/>
  <c r="B113" i="37"/>
  <c r="B113" i="28"/>
  <c r="B113" i="36"/>
  <c r="B113" i="29"/>
  <c r="B113" i="32"/>
  <c r="B113" i="31"/>
  <c r="A120" i="30"/>
  <c r="A120" i="18"/>
  <c r="A120" i="36"/>
  <c r="A120" i="32"/>
  <c r="A120" i="34"/>
  <c r="A120" i="20"/>
  <c r="A120" i="26"/>
  <c r="A120" i="21"/>
  <c r="A120" i="31"/>
  <c r="A120" i="28"/>
  <c r="A120" i="23"/>
  <c r="A120" i="22"/>
  <c r="A120" i="24"/>
  <c r="A120" i="37"/>
  <c r="A120" i="35"/>
  <c r="A120" i="25"/>
  <c r="A120" i="33"/>
  <c r="I118" i="36"/>
  <c r="P118" i="36" s="1"/>
  <c r="I118" i="25"/>
  <c r="P118" i="25" s="1"/>
  <c r="J118" i="24"/>
  <c r="R118" i="24" s="1"/>
  <c r="J118" i="35"/>
  <c r="R118" i="35" s="1"/>
  <c r="I110" i="25"/>
  <c r="P110" i="25" s="1"/>
  <c r="I110" i="36"/>
  <c r="P110" i="36" s="1"/>
  <c r="J110" i="24"/>
  <c r="R110" i="24" s="1"/>
  <c r="J110" i="35"/>
  <c r="R110" i="35" s="1"/>
  <c r="A112" i="19"/>
  <c r="F120" i="25"/>
  <c r="M120" i="25" s="1"/>
  <c r="F120" i="20"/>
  <c r="N120" i="20" s="1"/>
  <c r="F120" i="24"/>
  <c r="N120" i="24" s="1"/>
  <c r="F119" i="18"/>
  <c r="M119" i="18" s="1"/>
  <c r="F119" i="23"/>
  <c r="O119" i="23" s="1"/>
  <c r="F112" i="20"/>
  <c r="N112" i="20" s="1"/>
  <c r="F112" i="25"/>
  <c r="M112" i="25" s="1"/>
  <c r="F112" i="24"/>
  <c r="N112" i="24" s="1"/>
  <c r="F111" i="23"/>
  <c r="O111" i="23" s="1"/>
  <c r="F111" i="18"/>
  <c r="M111" i="18" s="1"/>
  <c r="C116" i="33"/>
  <c r="C116" i="31"/>
  <c r="C116" i="23"/>
  <c r="C116" i="24"/>
  <c r="C116" i="18"/>
  <c r="C116" i="36"/>
  <c r="C116" i="26"/>
  <c r="C116" i="21"/>
  <c r="C116" i="20"/>
  <c r="C116" i="30"/>
  <c r="C116" i="37"/>
  <c r="C116" i="34"/>
  <c r="C116" i="35"/>
  <c r="C116" i="28"/>
  <c r="C116" i="32"/>
  <c r="C116" i="22"/>
  <c r="C116" i="29"/>
  <c r="C116" i="25"/>
  <c r="B118" i="17"/>
  <c r="B118" i="36"/>
  <c r="B118" i="37"/>
  <c r="B118" i="30"/>
  <c r="B118" i="29"/>
  <c r="B118" i="28"/>
  <c r="B118" i="32"/>
  <c r="B118" i="35"/>
  <c r="B118" i="34"/>
  <c r="B118" i="31"/>
  <c r="B118" i="33"/>
  <c r="A113" i="35"/>
  <c r="A113" i="25"/>
  <c r="A113" i="18"/>
  <c r="A113" i="33"/>
  <c r="A113" i="24"/>
  <c r="A113" i="34"/>
  <c r="A113" i="26"/>
  <c r="A113" i="21"/>
  <c r="A113" i="37"/>
  <c r="A113" i="28"/>
  <c r="A113" i="23"/>
  <c r="A113" i="22"/>
  <c r="A113" i="20"/>
  <c r="A113" i="36"/>
  <c r="A113" i="32"/>
  <c r="A113" i="31"/>
  <c r="A113" i="30"/>
  <c r="G118" i="33"/>
  <c r="M118" i="33" s="1"/>
  <c r="G118" i="22"/>
  <c r="M118" i="22" s="1"/>
  <c r="G110" i="22"/>
  <c r="M110" i="22" s="1"/>
  <c r="G110" i="33"/>
  <c r="M110" i="33" s="1"/>
  <c r="H120" i="28"/>
  <c r="Q120" i="28" s="1"/>
  <c r="H112" i="23"/>
  <c r="Q112" i="23" s="1"/>
  <c r="H112" i="34"/>
  <c r="Q112" i="34" s="1"/>
  <c r="G111" i="23"/>
  <c r="P111" i="23" s="1"/>
  <c r="G111" i="28"/>
  <c r="P111" i="28" s="1"/>
  <c r="G111" i="34"/>
  <c r="P111" i="34" s="1"/>
  <c r="A111" i="17"/>
  <c r="L116" i="25"/>
  <c r="N116" i="23"/>
  <c r="E116" i="24"/>
  <c r="M116" i="24" s="1"/>
  <c r="E116" i="18"/>
  <c r="L116" i="18" s="1"/>
  <c r="E116" i="20"/>
  <c r="M116" i="20" s="1"/>
  <c r="A118" i="18"/>
  <c r="A118" i="36"/>
  <c r="A118" i="37"/>
  <c r="A118" i="30"/>
  <c r="A118" i="28"/>
  <c r="A118" i="20"/>
  <c r="A118" i="32"/>
  <c r="A118" i="25"/>
  <c r="A118" i="24"/>
  <c r="A118" i="35"/>
  <c r="A118" i="34"/>
  <c r="A118" i="31"/>
  <c r="A118" i="22"/>
  <c r="A118" i="26"/>
  <c r="A118" i="23"/>
  <c r="A118" i="21"/>
  <c r="A118" i="33"/>
  <c r="I117" i="25"/>
  <c r="P117" i="25" s="1"/>
  <c r="J117" i="24"/>
  <c r="R117" i="24" s="1"/>
  <c r="J117" i="35"/>
  <c r="R117" i="35" s="1"/>
  <c r="I117" i="36"/>
  <c r="P117" i="36" s="1"/>
  <c r="EG110" i="2"/>
  <c r="F121" i="20"/>
  <c r="N121" i="20" s="1"/>
  <c r="F121" i="24"/>
  <c r="N121" i="24" s="1"/>
  <c r="F121" i="25"/>
  <c r="M121" i="25" s="1"/>
  <c r="F120" i="18"/>
  <c r="M120" i="18" s="1"/>
  <c r="F120" i="23"/>
  <c r="O120" i="23" s="1"/>
  <c r="F113" i="25"/>
  <c r="M113" i="25" s="1"/>
  <c r="F113" i="24"/>
  <c r="N113" i="24" s="1"/>
  <c r="F113" i="20"/>
  <c r="N113" i="20" s="1"/>
  <c r="F112" i="23"/>
  <c r="O112" i="23" s="1"/>
  <c r="F112" i="18"/>
  <c r="M112" i="18" s="1"/>
  <c r="G117" i="22"/>
  <c r="M117" i="22" s="1"/>
  <c r="G117" i="33"/>
  <c r="M117" i="33" s="1"/>
  <c r="H112" i="17"/>
  <c r="Q112" i="17" s="1"/>
  <c r="A120" i="17"/>
  <c r="C116" i="17"/>
  <c r="A120" i="19"/>
  <c r="A115" i="19"/>
  <c r="C110" i="19"/>
  <c r="EG121" i="2"/>
  <c r="E117" i="18"/>
  <c r="L117" i="18" s="1"/>
  <c r="L117" i="25"/>
  <c r="E117" i="20"/>
  <c r="M117" i="20" s="1"/>
  <c r="E117" i="24"/>
  <c r="M117" i="24" s="1"/>
  <c r="I116" i="25"/>
  <c r="P116" i="25" s="1"/>
  <c r="I116" i="36"/>
  <c r="P116" i="36" s="1"/>
  <c r="J116" i="24"/>
  <c r="R116" i="24" s="1"/>
  <c r="J116" i="35"/>
  <c r="R116" i="35" s="1"/>
  <c r="H118" i="23"/>
  <c r="Q118" i="23" s="1"/>
  <c r="H118" i="34"/>
  <c r="Q118" i="34" s="1"/>
  <c r="H115" i="28"/>
  <c r="Q115" i="28" s="1"/>
  <c r="G114" i="34"/>
  <c r="P114" i="34" s="1"/>
  <c r="G114" i="28"/>
  <c r="P114" i="28" s="1"/>
  <c r="G114" i="23"/>
  <c r="P114" i="23" s="1"/>
  <c r="A116" i="17"/>
  <c r="A113" i="19"/>
  <c r="A110" i="19"/>
  <c r="EG120" i="2"/>
  <c r="F121" i="23"/>
  <c r="O121" i="23" s="1"/>
  <c r="F121" i="18"/>
  <c r="M121" i="18" s="1"/>
  <c r="F114" i="20"/>
  <c r="N114" i="20" s="1"/>
  <c r="F114" i="25"/>
  <c r="M114" i="25" s="1"/>
  <c r="F114" i="24"/>
  <c r="N114" i="24" s="1"/>
  <c r="F113" i="18"/>
  <c r="M113" i="18" s="1"/>
  <c r="F113" i="23"/>
  <c r="O113" i="23" s="1"/>
  <c r="A117" i="35"/>
  <c r="A117" i="32"/>
  <c r="A117" i="23"/>
  <c r="A117" i="34"/>
  <c r="A117" i="28"/>
  <c r="A117" i="22"/>
  <c r="A117" i="31"/>
  <c r="A117" i="33"/>
  <c r="A117" i="26"/>
  <c r="A117" i="21"/>
  <c r="A117" i="36"/>
  <c r="A117" i="18"/>
  <c r="A117" i="25"/>
  <c r="A117" i="30"/>
  <c r="A117" i="20"/>
  <c r="A117" i="37"/>
  <c r="A117" i="24"/>
  <c r="C111" i="35"/>
  <c r="C111" i="18"/>
  <c r="C111" i="33"/>
  <c r="C111" i="31"/>
  <c r="C111" i="30"/>
  <c r="C111" i="28"/>
  <c r="C111" i="32"/>
  <c r="C111" i="20"/>
  <c r="C111" i="36"/>
  <c r="C111" i="29"/>
  <c r="C111" i="22"/>
  <c r="C111" i="37"/>
  <c r="C111" i="34"/>
  <c r="C111" i="26"/>
  <c r="C111" i="25"/>
  <c r="C111" i="24"/>
  <c r="C111" i="21"/>
  <c r="C111" i="23"/>
  <c r="G116" i="22"/>
  <c r="M116" i="22" s="1"/>
  <c r="G116" i="33"/>
  <c r="M116" i="33" s="1"/>
  <c r="H121" i="34"/>
  <c r="Q121" i="34" s="1"/>
  <c r="H121" i="23"/>
  <c r="Q121" i="23" s="1"/>
  <c r="G120" i="34"/>
  <c r="P120" i="34" s="1"/>
  <c r="G120" i="28"/>
  <c r="P120" i="28" s="1"/>
  <c r="G120" i="23"/>
  <c r="P120" i="23" s="1"/>
  <c r="G117" i="34"/>
  <c r="P117" i="34" s="1"/>
  <c r="G117" i="23"/>
  <c r="P117" i="23" s="1"/>
  <c r="G117" i="28"/>
  <c r="P117" i="28" s="1"/>
  <c r="A118" i="17"/>
  <c r="A114" i="17"/>
  <c r="EG119" i="2"/>
  <c r="E118" i="18"/>
  <c r="L118" i="18" s="1"/>
  <c r="E118" i="20"/>
  <c r="M118" i="20" s="1"/>
  <c r="L118" i="25"/>
  <c r="E118" i="24"/>
  <c r="M118" i="24" s="1"/>
  <c r="N118" i="23"/>
  <c r="L110" i="25"/>
  <c r="N110" i="23"/>
  <c r="E110" i="20"/>
  <c r="M110" i="20" s="1"/>
  <c r="E110" i="24"/>
  <c r="M110" i="24" s="1"/>
  <c r="E110" i="18"/>
  <c r="L110" i="18" s="1"/>
  <c r="J115" i="35"/>
  <c r="R115" i="35" s="1"/>
  <c r="I115" i="25"/>
  <c r="P115" i="25" s="1"/>
  <c r="J115" i="24"/>
  <c r="R115" i="24" s="1"/>
  <c r="I115" i="36"/>
  <c r="P115" i="36" s="1"/>
  <c r="H118" i="28"/>
  <c r="Q118" i="28" s="1"/>
  <c r="A121" i="19"/>
  <c r="EG118" i="2"/>
  <c r="FJ115" i="2"/>
  <c r="F115" i="25"/>
  <c r="M115" i="25" s="1"/>
  <c r="F115" i="24"/>
  <c r="N115" i="24" s="1"/>
  <c r="F115" i="20"/>
  <c r="N115" i="20" s="1"/>
  <c r="ET114" i="2"/>
  <c r="F114" i="23"/>
  <c r="O114" i="23" s="1"/>
  <c r="F114" i="18"/>
  <c r="M114" i="18" s="1"/>
  <c r="H114" i="30"/>
  <c r="O114" i="30" s="1"/>
  <c r="H114" i="18"/>
  <c r="O114" i="18" s="1"/>
  <c r="H115" i="18"/>
  <c r="O115" i="18" s="1"/>
  <c r="H115" i="30"/>
  <c r="O115" i="30" s="1"/>
  <c r="E113" i="21"/>
  <c r="I113" i="21" s="1"/>
  <c r="K113" i="21" s="1"/>
  <c r="F113" i="33"/>
  <c r="L113" i="33" s="1"/>
  <c r="E113" i="32"/>
  <c r="I113" i="32" s="1"/>
  <c r="K113" i="32" s="1"/>
  <c r="F113" i="22"/>
  <c r="L113" i="22" s="1"/>
  <c r="Q110" i="31"/>
  <c r="H119" i="24"/>
  <c r="P119" i="24" s="1"/>
  <c r="H119" i="35"/>
  <c r="P119" i="35" s="1"/>
  <c r="H112" i="30"/>
  <c r="O112" i="30" s="1"/>
  <c r="H112" i="18"/>
  <c r="O112" i="18" s="1"/>
  <c r="E110" i="21"/>
  <c r="I110" i="21" s="1"/>
  <c r="K110" i="21" s="1"/>
  <c r="F110" i="33"/>
  <c r="L110" i="33" s="1"/>
  <c r="E110" i="32"/>
  <c r="I110" i="32" s="1"/>
  <c r="K110" i="32" s="1"/>
  <c r="F110" i="22"/>
  <c r="L110" i="22" s="1"/>
  <c r="H119" i="18"/>
  <c r="O119" i="18" s="1"/>
  <c r="H119" i="30"/>
  <c r="O119" i="30" s="1"/>
  <c r="H116" i="24"/>
  <c r="P116" i="24" s="1"/>
  <c r="H116" i="35"/>
  <c r="P116" i="35" s="1"/>
  <c r="Q112" i="20"/>
  <c r="Q112" i="31"/>
  <c r="Q114" i="31"/>
  <c r="Q114" i="20"/>
  <c r="H113" i="35"/>
  <c r="P113" i="35" s="1"/>
  <c r="H113" i="24"/>
  <c r="P113" i="24" s="1"/>
  <c r="H118" i="35"/>
  <c r="P118" i="35" s="1"/>
  <c r="H118" i="24"/>
  <c r="P118" i="24" s="1"/>
  <c r="H116" i="30"/>
  <c r="O116" i="30" s="1"/>
  <c r="H116" i="18"/>
  <c r="O116" i="18" s="1"/>
  <c r="E114" i="32"/>
  <c r="I114" i="32" s="1"/>
  <c r="K114" i="32" s="1"/>
  <c r="F114" i="22"/>
  <c r="L114" i="22" s="1"/>
  <c r="E114" i="21"/>
  <c r="I114" i="21" s="1"/>
  <c r="K114" i="21" s="1"/>
  <c r="F114" i="33"/>
  <c r="L114" i="33" s="1"/>
  <c r="Q111" i="31"/>
  <c r="Q111" i="20"/>
  <c r="H110" i="35"/>
  <c r="P110" i="35" s="1"/>
  <c r="H110" i="24"/>
  <c r="P110" i="24" s="1"/>
  <c r="H113" i="18"/>
  <c r="O113" i="18" s="1"/>
  <c r="H113" i="30"/>
  <c r="O113" i="30" s="1"/>
  <c r="E111" i="21"/>
  <c r="I111" i="21" s="1"/>
  <c r="K111" i="21" s="1"/>
  <c r="F111" i="22"/>
  <c r="L111" i="22" s="1"/>
  <c r="F111" i="33"/>
  <c r="L111" i="33" s="1"/>
  <c r="E111" i="32"/>
  <c r="I111" i="32" s="1"/>
  <c r="K111" i="32" s="1"/>
  <c r="H110" i="30"/>
  <c r="O110" i="30" s="1"/>
  <c r="H110" i="18"/>
  <c r="O110" i="18" s="1"/>
  <c r="H118" i="30"/>
  <c r="O118" i="30" s="1"/>
  <c r="H118" i="18"/>
  <c r="O118" i="18" s="1"/>
  <c r="Q115" i="31"/>
  <c r="Q115" i="20"/>
  <c r="H114" i="24"/>
  <c r="P114" i="24" s="1"/>
  <c r="H114" i="35"/>
  <c r="P114" i="35" s="1"/>
  <c r="H111" i="30"/>
  <c r="O111" i="30" s="1"/>
  <c r="H111" i="18"/>
  <c r="O111" i="18" s="1"/>
  <c r="H111" i="24"/>
  <c r="P111" i="24" s="1"/>
  <c r="H111" i="35"/>
  <c r="P111" i="35" s="1"/>
  <c r="H120" i="30"/>
  <c r="O120" i="30" s="1"/>
  <c r="H120" i="18"/>
  <c r="O120" i="18" s="1"/>
  <c r="H117" i="35"/>
  <c r="P117" i="35" s="1"/>
  <c r="H117" i="24"/>
  <c r="P117" i="24" s="1"/>
  <c r="H115" i="35"/>
  <c r="P115" i="35" s="1"/>
  <c r="H115" i="24"/>
  <c r="P115" i="24" s="1"/>
  <c r="F115" i="33"/>
  <c r="L115" i="33" s="1"/>
  <c r="E115" i="32"/>
  <c r="I115" i="32" s="1"/>
  <c r="K115" i="32" s="1"/>
  <c r="F115" i="22"/>
  <c r="L115" i="22" s="1"/>
  <c r="E115" i="21"/>
  <c r="I115" i="21" s="1"/>
  <c r="K115" i="21" s="1"/>
  <c r="H120" i="35"/>
  <c r="P120" i="35" s="1"/>
  <c r="H120" i="24"/>
  <c r="P120" i="24" s="1"/>
  <c r="E112" i="32"/>
  <c r="I112" i="32" s="1"/>
  <c r="K112" i="32" s="1"/>
  <c r="F112" i="22"/>
  <c r="L112" i="22" s="1"/>
  <c r="F112" i="33"/>
  <c r="L112" i="33" s="1"/>
  <c r="E112" i="21"/>
  <c r="I112" i="21" s="1"/>
  <c r="K112" i="21" s="1"/>
  <c r="H117" i="18"/>
  <c r="O117" i="18" s="1"/>
  <c r="H117" i="30"/>
  <c r="O117" i="30" s="1"/>
  <c r="Q113" i="20"/>
  <c r="Q113" i="31"/>
  <c r="H112" i="24"/>
  <c r="P112" i="24" s="1"/>
  <c r="H112" i="35"/>
  <c r="P112" i="35" s="1"/>
  <c r="FV121" i="2"/>
  <c r="C46" i="14"/>
  <c r="X132" i="3"/>
  <c r="W123" i="3"/>
  <c r="AB129" i="3"/>
  <c r="GD121" i="2"/>
  <c r="U130" i="3"/>
  <c r="AA129" i="3"/>
  <c r="X125" i="3"/>
  <c r="AB122" i="3"/>
  <c r="W125" i="3"/>
  <c r="AB131" i="3"/>
  <c r="Z129" i="3"/>
  <c r="AA122" i="3"/>
  <c r="AA131" i="3"/>
  <c r="Y129" i="3"/>
  <c r="X127" i="3"/>
  <c r="V125" i="3"/>
  <c r="AB124" i="3"/>
  <c r="Z122" i="3"/>
  <c r="X123" i="3"/>
  <c r="U132" i="3"/>
  <c r="AB133" i="3"/>
  <c r="Z131" i="3"/>
  <c r="W127" i="3"/>
  <c r="U125" i="3"/>
  <c r="AA124" i="3"/>
  <c r="Y122" i="3"/>
  <c r="Y131" i="3"/>
  <c r="W130" i="3"/>
  <c r="AA127" i="3"/>
  <c r="V127" i="3"/>
  <c r="AB126" i="3"/>
  <c r="Z124" i="3"/>
  <c r="S130" i="3"/>
  <c r="BV46" i="14"/>
  <c r="Z133" i="3"/>
  <c r="W129" i="3"/>
  <c r="U127" i="3"/>
  <c r="AA126" i="3"/>
  <c r="Y124" i="3"/>
  <c r="X122" i="3"/>
  <c r="U128" i="3"/>
  <c r="S131" i="3"/>
  <c r="AA133" i="3"/>
  <c r="X129" i="3"/>
  <c r="S129" i="3"/>
  <c r="BR46" i="14"/>
  <c r="Y133" i="3"/>
  <c r="X131" i="3"/>
  <c r="V129" i="3"/>
  <c r="AB128" i="3"/>
  <c r="Z126" i="3"/>
  <c r="W122" i="3"/>
  <c r="X124" i="3"/>
  <c r="U123" i="3"/>
  <c r="S127" i="3"/>
  <c r="F121" i="26"/>
  <c r="K121" i="26" s="1"/>
  <c r="BH46" i="14"/>
  <c r="F121" i="37"/>
  <c r="K121" i="37" s="1"/>
  <c r="AK46" i="14"/>
  <c r="X133" i="3"/>
  <c r="V131" i="3"/>
  <c r="AB130" i="3"/>
  <c r="BB46" i="14"/>
  <c r="U131" i="3"/>
  <c r="V124" i="3"/>
  <c r="BN46" i="14"/>
  <c r="GB121" i="2"/>
  <c r="AO46" i="14"/>
  <c r="AA130" i="3"/>
  <c r="AB132" i="3"/>
  <c r="U129" i="3"/>
  <c r="S126" i="3"/>
  <c r="W133" i="3"/>
  <c r="AX46" i="14"/>
  <c r="Z130" i="3"/>
  <c r="AG46" i="14"/>
  <c r="Y128" i="3"/>
  <c r="X126" i="3"/>
  <c r="AA46" i="14"/>
  <c r="U124" i="3"/>
  <c r="U46" i="14"/>
  <c r="U133" i="3"/>
  <c r="Y130" i="3"/>
  <c r="X128" i="3"/>
  <c r="S123" i="3"/>
  <c r="O46" i="14"/>
  <c r="U126" i="3"/>
  <c r="Y123" i="3"/>
  <c r="S122" i="3"/>
  <c r="K46" i="14"/>
  <c r="Y132" i="3"/>
  <c r="X130" i="3"/>
  <c r="V128" i="3"/>
  <c r="AB127" i="3"/>
  <c r="Z125" i="3"/>
  <c r="V132" i="3"/>
  <c r="V130" i="3"/>
  <c r="Y126" i="3"/>
  <c r="AA128" i="3"/>
  <c r="W132" i="3"/>
  <c r="S124" i="3"/>
  <c r="V126" i="3"/>
  <c r="U122" i="3"/>
  <c r="Z128" i="3"/>
  <c r="S133" i="3"/>
  <c r="W128" i="3"/>
  <c r="AA132" i="3"/>
  <c r="Y125" i="3"/>
  <c r="AB123" i="3"/>
  <c r="W131" i="3"/>
  <c r="Z132" i="3"/>
  <c r="GC121" i="2"/>
  <c r="Z123" i="3"/>
  <c r="FW121" i="2"/>
  <c r="V123" i="3"/>
  <c r="S132" i="3"/>
  <c r="Y127" i="3"/>
  <c r="AT46" i="14"/>
  <c r="GA121" i="2"/>
  <c r="FU121" i="2"/>
  <c r="AA125" i="3"/>
  <c r="S128" i="3"/>
  <c r="W124" i="3"/>
  <c r="G46" i="14"/>
  <c r="Z127" i="3"/>
  <c r="AA123" i="3"/>
  <c r="V133" i="3"/>
  <c r="AB125" i="3"/>
  <c r="S125" i="3"/>
  <c r="W126" i="3"/>
  <c r="V122" i="3"/>
  <c r="B121" i="25"/>
  <c r="B121" i="20"/>
  <c r="B121" i="21"/>
  <c r="B121" i="24"/>
  <c r="B121" i="26"/>
  <c r="B121" i="18"/>
  <c r="B121" i="22"/>
  <c r="B121" i="23"/>
  <c r="B113" i="17"/>
  <c r="B114" i="22"/>
  <c r="B114" i="21"/>
  <c r="B114" i="26"/>
  <c r="B114" i="20"/>
  <c r="B114" i="23"/>
  <c r="B114" i="25"/>
  <c r="B114" i="24"/>
  <c r="B114" i="18"/>
  <c r="B116" i="19"/>
  <c r="B119" i="23"/>
  <c r="B119" i="18"/>
  <c r="B119" i="21"/>
  <c r="B119" i="26"/>
  <c r="B119" i="25"/>
  <c r="B119" i="24"/>
  <c r="B119" i="22"/>
  <c r="B119" i="20"/>
  <c r="B120" i="26"/>
  <c r="B120" i="23"/>
  <c r="B120" i="25"/>
  <c r="B120" i="22"/>
  <c r="B120" i="24"/>
  <c r="B120" i="20"/>
  <c r="B120" i="21"/>
  <c r="B120" i="18"/>
  <c r="B121" i="17"/>
  <c r="B113" i="24"/>
  <c r="B113" i="18"/>
  <c r="B113" i="25"/>
  <c r="B113" i="22"/>
  <c r="B113" i="23"/>
  <c r="B113" i="20"/>
  <c r="B113" i="21"/>
  <c r="B113" i="26"/>
  <c r="B119" i="19"/>
  <c r="B118" i="26"/>
  <c r="B118" i="20"/>
  <c r="B118" i="23"/>
  <c r="B118" i="22"/>
  <c r="B118" i="25"/>
  <c r="B118" i="18"/>
  <c r="B118" i="21"/>
  <c r="B118" i="24"/>
  <c r="B114" i="19"/>
  <c r="B114" i="17"/>
  <c r="B112" i="24"/>
  <c r="B112" i="18"/>
  <c r="B112" i="21"/>
  <c r="B112" i="26"/>
  <c r="B112" i="25"/>
  <c r="B112" i="23"/>
  <c r="B112" i="22"/>
  <c r="B112" i="20"/>
  <c r="B117" i="18"/>
  <c r="B117" i="24"/>
  <c r="B117" i="20"/>
  <c r="B117" i="23"/>
  <c r="B117" i="21"/>
  <c r="B117" i="26"/>
  <c r="B117" i="22"/>
  <c r="B117" i="25"/>
  <c r="B121" i="19"/>
  <c r="B116" i="25"/>
  <c r="B116" i="21"/>
  <c r="B116" i="22"/>
  <c r="B116" i="26"/>
  <c r="B116" i="24"/>
  <c r="B116" i="23"/>
  <c r="B116" i="18"/>
  <c r="B116" i="20"/>
  <c r="B117" i="17"/>
  <c r="B112" i="17"/>
  <c r="B115" i="17"/>
  <c r="B112" i="19"/>
  <c r="B115" i="20"/>
  <c r="B115" i="25"/>
  <c r="B115" i="24"/>
  <c r="B115" i="23"/>
  <c r="B115" i="21"/>
  <c r="B115" i="22"/>
  <c r="B115" i="26"/>
  <c r="B115" i="18"/>
  <c r="B120" i="17"/>
  <c r="B118" i="19"/>
  <c r="B111" i="17"/>
  <c r="B111" i="20"/>
  <c r="B111" i="26"/>
  <c r="B111" i="18"/>
  <c r="B111" i="23"/>
  <c r="B111" i="21"/>
  <c r="B111" i="24"/>
  <c r="B111" i="25"/>
  <c r="B111" i="22"/>
  <c r="B110" i="24"/>
  <c r="B110" i="18"/>
  <c r="B110" i="25"/>
  <c r="B110" i="21"/>
  <c r="B110" i="22"/>
  <c r="B110" i="26"/>
  <c r="B110" i="23"/>
  <c r="B110" i="20"/>
  <c r="B110" i="17"/>
  <c r="B110" i="19"/>
  <c r="G120" i="17"/>
  <c r="P120" i="17" s="1"/>
  <c r="G114" i="17"/>
  <c r="P114" i="17" s="1"/>
  <c r="H115" i="17"/>
  <c r="Q115" i="17" s="1"/>
  <c r="G115" i="17"/>
  <c r="P115" i="17" s="1"/>
  <c r="H118" i="17"/>
  <c r="Q118" i="17" s="1"/>
  <c r="G118" i="17"/>
  <c r="P118" i="17" s="1"/>
  <c r="H119" i="17"/>
  <c r="Q119" i="17" s="1"/>
  <c r="G119" i="17"/>
  <c r="P119" i="17" s="1"/>
  <c r="H120" i="17"/>
  <c r="Q120" i="17" s="1"/>
  <c r="FN117" i="2"/>
  <c r="ER113" i="2"/>
  <c r="EU112" i="2"/>
  <c r="EN119" i="2"/>
  <c r="FF113" i="2"/>
  <c r="M116" i="19"/>
  <c r="FD120" i="2"/>
  <c r="FL116" i="2"/>
  <c r="H110" i="17"/>
  <c r="Q110" i="17" s="1"/>
  <c r="G111" i="17"/>
  <c r="P111" i="17" s="1"/>
  <c r="M117" i="19"/>
  <c r="H116" i="17"/>
  <c r="Q116" i="17" s="1"/>
  <c r="EP112" i="2"/>
  <c r="G117" i="17"/>
  <c r="P117" i="17" s="1"/>
  <c r="EV115" i="2"/>
  <c r="F114" i="19"/>
  <c r="N114" i="19" s="1"/>
  <c r="FD112" i="2"/>
  <c r="G112" i="17"/>
  <c r="P112" i="17" s="1"/>
  <c r="F113" i="17"/>
  <c r="O113" i="17" s="1"/>
  <c r="ER121" i="2"/>
  <c r="FF121" i="2"/>
  <c r="EN111" i="2"/>
  <c r="I111" i="17"/>
  <c r="R111" i="17" s="1"/>
  <c r="I114" i="17"/>
  <c r="R114" i="17" s="1"/>
  <c r="G121" i="28" l="1"/>
  <c r="P121" i="28" s="1"/>
  <c r="G115" i="28"/>
  <c r="P115" i="28" s="1"/>
  <c r="G119" i="34"/>
  <c r="P119" i="34" s="1"/>
  <c r="H111" i="23"/>
  <c r="Q111" i="23" s="1"/>
  <c r="H110" i="23"/>
  <c r="Q110" i="23" s="1"/>
  <c r="H115" i="34"/>
  <c r="Q115" i="34" s="1"/>
  <c r="H117" i="28"/>
  <c r="Q117" i="28" s="1"/>
  <c r="G118" i="23"/>
  <c r="P118" i="23" s="1"/>
  <c r="FD133" i="3"/>
  <c r="G118" i="34"/>
  <c r="P118" i="34" s="1"/>
  <c r="G121" i="34"/>
  <c r="P121" i="34" s="1"/>
  <c r="J116" i="29"/>
  <c r="R116" i="29" s="1"/>
  <c r="J116" i="19"/>
  <c r="R116" i="19" s="1"/>
  <c r="J117" i="29"/>
  <c r="R117" i="29" s="1"/>
  <c r="J117" i="19"/>
  <c r="R117" i="19" s="1"/>
  <c r="J120" i="29"/>
  <c r="R120" i="29" s="1"/>
  <c r="J120" i="19"/>
  <c r="R120" i="19" s="1"/>
  <c r="J113" i="29"/>
  <c r="R113" i="29" s="1"/>
  <c r="J113" i="19"/>
  <c r="R113" i="19" s="1"/>
  <c r="G113" i="34"/>
  <c r="P113" i="34" s="1"/>
  <c r="J112" i="29"/>
  <c r="R112" i="29" s="1"/>
  <c r="J112" i="19"/>
  <c r="R112" i="19" s="1"/>
  <c r="G113" i="17"/>
  <c r="P113" i="17" s="1"/>
  <c r="G121" i="23"/>
  <c r="P121" i="23" s="1"/>
  <c r="J115" i="29"/>
  <c r="R115" i="29" s="1"/>
  <c r="J115" i="19"/>
  <c r="R115" i="19" s="1"/>
  <c r="J121" i="29"/>
  <c r="R121" i="29" s="1"/>
  <c r="J121" i="19"/>
  <c r="R121" i="19" s="1"/>
  <c r="J111" i="19"/>
  <c r="R111" i="19" s="1"/>
  <c r="J111" i="29"/>
  <c r="R111" i="29" s="1"/>
  <c r="J119" i="29"/>
  <c r="R119" i="29" s="1"/>
  <c r="J119" i="19"/>
  <c r="R119" i="19" s="1"/>
  <c r="J118" i="29"/>
  <c r="R118" i="29" s="1"/>
  <c r="J118" i="19"/>
  <c r="R118" i="19" s="1"/>
  <c r="J114" i="29"/>
  <c r="R114" i="29" s="1"/>
  <c r="J114" i="19"/>
  <c r="R114" i="19" s="1"/>
  <c r="H116" i="28"/>
  <c r="Q116" i="28" s="1"/>
  <c r="G112" i="23"/>
  <c r="P112" i="23" s="1"/>
  <c r="H114" i="17"/>
  <c r="Q114" i="17" s="1"/>
  <c r="H114" i="28"/>
  <c r="Q114" i="28" s="1"/>
  <c r="I116" i="17"/>
  <c r="R116" i="17" s="1"/>
  <c r="H110" i="28"/>
  <c r="Q110" i="28" s="1"/>
  <c r="G119" i="19"/>
  <c r="O119" i="19" s="1"/>
  <c r="H121" i="28"/>
  <c r="Q121" i="28" s="1"/>
  <c r="H116" i="34"/>
  <c r="Q116" i="34" s="1"/>
  <c r="G119" i="28"/>
  <c r="P119" i="28" s="1"/>
  <c r="H113" i="28"/>
  <c r="Q113" i="28" s="1"/>
  <c r="A95" i="14"/>
  <c r="O114" i="22"/>
  <c r="H117" i="34"/>
  <c r="Q117" i="34" s="1"/>
  <c r="H117" i="23"/>
  <c r="Q117" i="23" s="1"/>
  <c r="G113" i="23"/>
  <c r="P113" i="23" s="1"/>
  <c r="G117" i="19"/>
  <c r="O117" i="19" s="1"/>
  <c r="G113" i="28"/>
  <c r="P113" i="28" s="1"/>
  <c r="O112" i="33"/>
  <c r="G116" i="19"/>
  <c r="O116" i="19" s="1"/>
  <c r="O115" i="22"/>
  <c r="O113" i="33"/>
  <c r="O112" i="22"/>
  <c r="O114" i="33"/>
  <c r="G112" i="34"/>
  <c r="P112" i="34" s="1"/>
  <c r="O115" i="33"/>
  <c r="G112" i="28"/>
  <c r="P112" i="28" s="1"/>
  <c r="O111" i="22"/>
  <c r="G111" i="19"/>
  <c r="O111" i="19" s="1"/>
  <c r="G111" i="29"/>
  <c r="O111" i="29" s="1"/>
  <c r="G112" i="29"/>
  <c r="O112" i="29" s="1"/>
  <c r="I112" i="28"/>
  <c r="R112" i="28" s="1"/>
  <c r="I111" i="34"/>
  <c r="R111" i="34" s="1"/>
  <c r="I112" i="23"/>
  <c r="R112" i="23" s="1"/>
  <c r="G111" i="20"/>
  <c r="O111" i="20" s="1"/>
  <c r="G112" i="31"/>
  <c r="O112" i="31" s="1"/>
  <c r="G112" i="20"/>
  <c r="O112" i="20" s="1"/>
  <c r="O111" i="33"/>
  <c r="I112" i="34"/>
  <c r="R112" i="34" s="1"/>
  <c r="O110" i="22"/>
  <c r="I112" i="17"/>
  <c r="R112" i="17" s="1"/>
  <c r="I111" i="28"/>
  <c r="R111" i="28" s="1"/>
  <c r="I111" i="23"/>
  <c r="R111" i="23" s="1"/>
  <c r="O113" i="22"/>
  <c r="G111" i="31"/>
  <c r="O111" i="31" s="1"/>
  <c r="G112" i="19"/>
  <c r="O112" i="19" s="1"/>
  <c r="O110" i="33"/>
  <c r="H114" i="34"/>
  <c r="Q114" i="34" s="1"/>
  <c r="H114" i="23"/>
  <c r="Q114" i="23" s="1"/>
  <c r="B122" i="30"/>
  <c r="C122" i="30"/>
  <c r="I118" i="34"/>
  <c r="R118" i="34" s="1"/>
  <c r="I118" i="23"/>
  <c r="R118" i="23" s="1"/>
  <c r="G118" i="29"/>
  <c r="O118" i="29" s="1"/>
  <c r="I118" i="28"/>
  <c r="R118" i="28" s="1"/>
  <c r="G118" i="20"/>
  <c r="O118" i="20" s="1"/>
  <c r="G118" i="31"/>
  <c r="O118" i="31" s="1"/>
  <c r="G118" i="19"/>
  <c r="O118" i="19" s="1"/>
  <c r="I118" i="17"/>
  <c r="R118" i="17" s="1"/>
  <c r="G110" i="19"/>
  <c r="O110" i="19" s="1"/>
  <c r="I110" i="34"/>
  <c r="R110" i="34" s="1"/>
  <c r="G110" i="29"/>
  <c r="O110" i="29" s="1"/>
  <c r="G110" i="20"/>
  <c r="O110" i="20" s="1"/>
  <c r="I110" i="23"/>
  <c r="R110" i="23" s="1"/>
  <c r="I110" i="28"/>
  <c r="R110" i="28" s="1"/>
  <c r="G110" i="31"/>
  <c r="O110" i="31" s="1"/>
  <c r="I110" i="17"/>
  <c r="R110" i="17" s="1"/>
  <c r="G120" i="29"/>
  <c r="O120" i="29" s="1"/>
  <c r="I120" i="34"/>
  <c r="R120" i="34" s="1"/>
  <c r="G120" i="20"/>
  <c r="O120" i="20" s="1"/>
  <c r="G120" i="31"/>
  <c r="O120" i="31" s="1"/>
  <c r="I120" i="28"/>
  <c r="R120" i="28" s="1"/>
  <c r="I120" i="23"/>
  <c r="R120" i="23" s="1"/>
  <c r="G120" i="19"/>
  <c r="O120" i="19" s="1"/>
  <c r="I120" i="17"/>
  <c r="R120" i="17" s="1"/>
  <c r="G115" i="19"/>
  <c r="O115" i="19" s="1"/>
  <c r="G115" i="29"/>
  <c r="O115" i="29" s="1"/>
  <c r="I115" i="28"/>
  <c r="R115" i="28" s="1"/>
  <c r="I115" i="23"/>
  <c r="R115" i="23" s="1"/>
  <c r="G115" i="31"/>
  <c r="O115" i="31" s="1"/>
  <c r="I115" i="34"/>
  <c r="R115" i="34" s="1"/>
  <c r="G115" i="20"/>
  <c r="O115" i="20" s="1"/>
  <c r="I115" i="17"/>
  <c r="R115" i="17" s="1"/>
  <c r="G113" i="31"/>
  <c r="O113" i="31" s="1"/>
  <c r="I113" i="34"/>
  <c r="R113" i="34" s="1"/>
  <c r="I113" i="28"/>
  <c r="R113" i="28" s="1"/>
  <c r="G113" i="20"/>
  <c r="O113" i="20" s="1"/>
  <c r="I113" i="23"/>
  <c r="R113" i="23" s="1"/>
  <c r="G113" i="29"/>
  <c r="O113" i="29" s="1"/>
  <c r="G113" i="19"/>
  <c r="O113" i="19" s="1"/>
  <c r="I113" i="17"/>
  <c r="R113" i="17" s="1"/>
  <c r="G121" i="31"/>
  <c r="O121" i="31" s="1"/>
  <c r="G121" i="29"/>
  <c r="O121" i="29" s="1"/>
  <c r="G121" i="20"/>
  <c r="O121" i="20" s="1"/>
  <c r="I121" i="34"/>
  <c r="R121" i="34" s="1"/>
  <c r="I121" i="28"/>
  <c r="R121" i="28" s="1"/>
  <c r="I121" i="23"/>
  <c r="R121" i="23" s="1"/>
  <c r="I121" i="17"/>
  <c r="R121" i="17" s="1"/>
  <c r="G121" i="19"/>
  <c r="O121" i="19" s="1"/>
  <c r="G116" i="29"/>
  <c r="O116" i="29" s="1"/>
  <c r="G116" i="31"/>
  <c r="O116" i="31" s="1"/>
  <c r="I116" i="23"/>
  <c r="R116" i="23" s="1"/>
  <c r="G116" i="20"/>
  <c r="O116" i="20" s="1"/>
  <c r="I116" i="34"/>
  <c r="R116" i="34" s="1"/>
  <c r="I116" i="28"/>
  <c r="R116" i="28" s="1"/>
  <c r="I119" i="23"/>
  <c r="R119" i="23" s="1"/>
  <c r="G119" i="20"/>
  <c r="O119" i="20" s="1"/>
  <c r="I119" i="28"/>
  <c r="R119" i="28" s="1"/>
  <c r="G119" i="31"/>
  <c r="O119" i="31" s="1"/>
  <c r="I119" i="34"/>
  <c r="R119" i="34" s="1"/>
  <c r="G119" i="29"/>
  <c r="O119" i="29" s="1"/>
  <c r="I119" i="17"/>
  <c r="R119" i="17" s="1"/>
  <c r="G114" i="19"/>
  <c r="O114" i="19" s="1"/>
  <c r="I114" i="34"/>
  <c r="R114" i="34" s="1"/>
  <c r="G114" i="31"/>
  <c r="O114" i="31" s="1"/>
  <c r="G114" i="20"/>
  <c r="O114" i="20" s="1"/>
  <c r="I114" i="28"/>
  <c r="R114" i="28" s="1"/>
  <c r="G114" i="29"/>
  <c r="O114" i="29" s="1"/>
  <c r="I114" i="23"/>
  <c r="R114" i="23" s="1"/>
  <c r="I117" i="17"/>
  <c r="R117" i="17" s="1"/>
  <c r="I117" i="34"/>
  <c r="R117" i="34" s="1"/>
  <c r="I117" i="23"/>
  <c r="R117" i="23" s="1"/>
  <c r="G117" i="31"/>
  <c r="O117" i="31" s="1"/>
  <c r="I117" i="28"/>
  <c r="R117" i="28" s="1"/>
  <c r="G117" i="29"/>
  <c r="O117" i="29" s="1"/>
  <c r="G117" i="20"/>
  <c r="O117" i="20" s="1"/>
  <c r="H113" i="17"/>
  <c r="Q113" i="17" s="1"/>
  <c r="H121" i="17"/>
  <c r="Q121" i="17" s="1"/>
  <c r="A107" i="14" l="1"/>
  <c r="A119" i="14" l="1"/>
  <c r="C3" i="51" l="1"/>
  <c r="F21" i="51"/>
  <c r="G21" i="51" s="1"/>
  <c r="H21" i="51" s="1"/>
  <c r="I21" i="51" s="1"/>
  <c r="J21" i="51" s="1"/>
  <c r="K21" i="51" s="1"/>
  <c r="L21" i="51" s="1"/>
  <c r="M21" i="51" s="1"/>
  <c r="N21" i="51" s="1"/>
  <c r="O21" i="51" s="1"/>
  <c r="P21" i="51" s="1"/>
  <c r="Q21" i="51" s="1"/>
  <c r="R21" i="51" s="1"/>
  <c r="S21" i="51" s="1"/>
  <c r="T21" i="51" s="1"/>
  <c r="U21" i="51" s="1"/>
  <c r="V21" i="51" s="1"/>
  <c r="W21" i="51" s="1"/>
  <c r="X21" i="51" s="1"/>
  <c r="E6" i="51"/>
  <c r="K26" i="51" s="1"/>
  <c r="L26" i="51" s="1"/>
  <c r="M26" i="51" s="1"/>
  <c r="N26" i="51" s="1"/>
  <c r="O26" i="51" s="1"/>
  <c r="P26" i="51" s="1"/>
  <c r="Q26" i="51" s="1"/>
  <c r="R26" i="51" s="1"/>
  <c r="S26" i="51" s="1"/>
  <c r="T26" i="51" s="1"/>
  <c r="U26" i="51" s="1"/>
  <c r="V26" i="51" s="1"/>
  <c r="W26" i="51" s="1"/>
  <c r="X26" i="51" s="1"/>
  <c r="B79" i="51"/>
  <c r="B93" i="51"/>
  <c r="W80" i="51"/>
  <c r="E175" i="51" s="1"/>
  <c r="E185" i="51" s="1"/>
  <c r="E194" i="51" s="1"/>
  <c r="W81" i="51"/>
  <c r="E176" i="51" s="1"/>
  <c r="E186" i="51" s="1"/>
  <c r="E195" i="51" s="1"/>
  <c r="W82" i="51"/>
  <c r="E177" i="51" s="1"/>
  <c r="E187" i="51" s="1"/>
  <c r="E196" i="51" s="1"/>
  <c r="W83" i="51"/>
  <c r="E178" i="51" s="1"/>
  <c r="E188" i="51" s="1"/>
  <c r="E197" i="51" s="1"/>
  <c r="W84" i="51"/>
  <c r="E179" i="51" s="1"/>
  <c r="E189" i="51" s="1"/>
  <c r="E198" i="51" s="1"/>
  <c r="W85" i="51"/>
  <c r="E180" i="51" s="1"/>
  <c r="E190" i="51" s="1"/>
  <c r="E199" i="51" s="1"/>
  <c r="X99" i="51"/>
  <c r="G88" i="51"/>
  <c r="H88" i="51" s="1"/>
  <c r="I88" i="51" s="1"/>
  <c r="J88" i="51" s="1"/>
  <c r="K88" i="51" s="1"/>
  <c r="L88" i="51" s="1"/>
  <c r="M88" i="51" s="1"/>
  <c r="N88" i="51" s="1"/>
  <c r="O88" i="51" s="1"/>
  <c r="P88" i="51" s="1"/>
  <c r="Q88" i="51" s="1"/>
  <c r="R88" i="51" s="1"/>
  <c r="S88" i="51" s="1"/>
  <c r="T88" i="51" s="1"/>
  <c r="D89" i="51"/>
  <c r="D90" i="51"/>
  <c r="D91" i="51"/>
  <c r="W94" i="51"/>
  <c r="W95" i="51"/>
  <c r="W96" i="51"/>
  <c r="X96" i="51"/>
  <c r="Y96" i="51"/>
  <c r="Z96" i="51"/>
  <c r="W97" i="51"/>
  <c r="X97" i="51"/>
  <c r="Y97" i="51"/>
  <c r="Z97" i="51"/>
  <c r="W98" i="51"/>
  <c r="X98" i="51"/>
  <c r="Y98" i="51"/>
  <c r="Z98" i="51"/>
  <c r="W99" i="51"/>
  <c r="Y99" i="51"/>
  <c r="Z99" i="51"/>
  <c r="G102" i="51"/>
  <c r="H102" i="51" s="1"/>
  <c r="I102" i="51" s="1"/>
  <c r="J102" i="51" s="1"/>
  <c r="K102" i="51" s="1"/>
  <c r="L102" i="51" s="1"/>
  <c r="M102" i="51" s="1"/>
  <c r="N102" i="51" s="1"/>
  <c r="O102" i="51" s="1"/>
  <c r="P102" i="51" s="1"/>
  <c r="Q102" i="51" s="1"/>
  <c r="R102" i="51" s="1"/>
  <c r="S102" i="51" s="1"/>
  <c r="T102" i="51" s="1"/>
  <c r="D103" i="51"/>
  <c r="D104" i="51"/>
  <c r="D105" i="51"/>
  <c r="F174" i="51"/>
  <c r="I174" i="51" s="1"/>
  <c r="L174" i="51" s="1"/>
  <c r="O174" i="51" s="1"/>
  <c r="R174" i="51" s="1"/>
  <c r="U174" i="51" s="1"/>
  <c r="X174" i="51" s="1"/>
  <c r="AA174" i="51" s="1"/>
  <c r="AD174" i="51" s="1"/>
  <c r="G174" i="51"/>
  <c r="J174" i="51" s="1"/>
  <c r="M174" i="51" s="1"/>
  <c r="P174" i="51" s="1"/>
  <c r="S174" i="51" s="1"/>
  <c r="V174" i="51" s="1"/>
  <c r="Y174" i="51" s="1"/>
  <c r="AB174" i="51" s="1"/>
  <c r="AE174" i="51" s="1"/>
  <c r="H174" i="51"/>
  <c r="K174" i="51" s="1"/>
  <c r="N174" i="51" s="1"/>
  <c r="Q174" i="51" s="1"/>
  <c r="T174" i="51" s="1"/>
  <c r="W174" i="51" s="1"/>
  <c r="Z174" i="51" s="1"/>
  <c r="AC174" i="51" s="1"/>
  <c r="AF174" i="51" s="1"/>
  <c r="F177" i="51"/>
  <c r="G177" i="51"/>
  <c r="H177" i="51"/>
  <c r="F178" i="51"/>
  <c r="G178" i="51"/>
  <c r="H178" i="51"/>
  <c r="F179" i="51"/>
  <c r="G179" i="51"/>
  <c r="H179" i="51"/>
  <c r="G180" i="51"/>
  <c r="H180" i="51"/>
  <c r="E200" i="51"/>
  <c r="C4" i="51" l="1"/>
  <c r="E4" i="51" s="1"/>
  <c r="E3" i="51"/>
  <c r="K58" i="51"/>
  <c r="L58" i="51" s="1"/>
  <c r="M58" i="51" s="1"/>
  <c r="N58" i="51" s="1"/>
  <c r="O58" i="51" s="1"/>
  <c r="P58" i="51" s="1"/>
  <c r="Q58" i="51" s="1"/>
  <c r="R58" i="51" s="1"/>
  <c r="S58" i="51" s="1"/>
  <c r="T58" i="51" s="1"/>
  <c r="U58" i="51" s="1"/>
  <c r="V58" i="51" s="1"/>
  <c r="W58" i="51" s="1"/>
  <c r="X58" i="51" s="1"/>
  <c r="F180" i="51"/>
  <c r="F53" i="51"/>
  <c r="G53" i="51" s="1"/>
  <c r="H53" i="51" s="1"/>
  <c r="I53" i="51" s="1"/>
  <c r="J53" i="51" s="1"/>
  <c r="K53" i="51" s="1"/>
  <c r="L53" i="51" s="1"/>
  <c r="M53" i="51" s="1"/>
  <c r="N53" i="51" s="1"/>
  <c r="O53" i="51" s="1"/>
  <c r="P53" i="51" s="1"/>
  <c r="Q53" i="51" s="1"/>
  <c r="R53" i="51" l="1"/>
  <c r="S53" i="51" s="1"/>
  <c r="F16" i="51"/>
  <c r="G16" i="51" s="1"/>
  <c r="H16" i="51" s="1"/>
  <c r="I16" i="51" s="1"/>
  <c r="J16" i="51" s="1"/>
  <c r="K16" i="51" s="1"/>
  <c r="L16" i="51" s="1"/>
  <c r="M16" i="51" s="1"/>
  <c r="N16" i="51" s="1"/>
  <c r="O16" i="51" s="1"/>
  <c r="P16" i="51" s="1"/>
  <c r="Q16" i="51" s="1"/>
  <c r="R16" i="51" s="1"/>
  <c r="S16" i="51" s="1"/>
  <c r="T16" i="51" s="1"/>
  <c r="U16" i="51" s="1"/>
  <c r="V16" i="51" s="1"/>
  <c r="W16" i="51" s="1"/>
  <c r="X16" i="51" s="1"/>
  <c r="F48" i="51"/>
  <c r="G48" i="51" s="1"/>
  <c r="H48" i="51" s="1"/>
  <c r="I48" i="51" s="1"/>
  <c r="J48" i="51" s="1"/>
  <c r="K48" i="51" s="1"/>
  <c r="L48" i="51" s="1"/>
  <c r="M48" i="51" s="1"/>
  <c r="N48" i="51" s="1"/>
  <c r="O48" i="51" s="1"/>
  <c r="P48" i="51" s="1"/>
  <c r="Q48" i="51" s="1"/>
  <c r="R48" i="51" s="1"/>
  <c r="S48" i="51" s="1"/>
  <c r="T48" i="51" s="1"/>
  <c r="U48" i="51" s="1"/>
  <c r="V48" i="51" s="1"/>
  <c r="W48" i="51" s="1"/>
  <c r="X48" i="51" s="1"/>
  <c r="T53" i="51" l="1"/>
  <c r="U53" i="51" s="1"/>
  <c r="V53" i="51" s="1"/>
  <c r="W53" i="51" s="1"/>
  <c r="X53" i="51" s="1"/>
  <c r="AI59" i="7"/>
  <c r="B181" i="44"/>
  <c r="B201" i="44" s="1"/>
  <c r="B187" i="44"/>
  <c r="B207" i="44" s="1"/>
  <c r="B171" i="44"/>
  <c r="B191" i="44" s="1"/>
  <c r="S2" i="44"/>
  <c r="S56" i="44" s="1"/>
  <c r="R2" i="44"/>
  <c r="R56" i="44" s="1"/>
  <c r="Q2" i="44"/>
  <c r="Q56" i="44" s="1"/>
  <c r="P2" i="44"/>
  <c r="P56" i="44" s="1"/>
  <c r="O2" i="44"/>
  <c r="O56" i="44" s="1"/>
  <c r="N2" i="44"/>
  <c r="N56" i="44" s="1"/>
  <c r="M2" i="44"/>
  <c r="M56" i="44" s="1"/>
  <c r="L2" i="44"/>
  <c r="L56" i="44" s="1"/>
  <c r="K2" i="44"/>
  <c r="K56" i="44" s="1"/>
  <c r="J2" i="44"/>
  <c r="J56" i="44" s="1"/>
  <c r="I2" i="44"/>
  <c r="I56" i="44" s="1"/>
  <c r="H2" i="44"/>
  <c r="H56" i="44" s="1"/>
  <c r="G2" i="44"/>
  <c r="G56" i="44" s="1"/>
  <c r="F2" i="44"/>
  <c r="F56" i="44" s="1"/>
  <c r="E2" i="44"/>
  <c r="E56" i="44" s="1"/>
  <c r="D2" i="44"/>
  <c r="D56" i="44" s="1"/>
  <c r="C2" i="44"/>
  <c r="C56" i="44" s="1"/>
  <c r="F2" i="42"/>
  <c r="E16" i="42"/>
  <c r="F16" i="42" s="1"/>
  <c r="G16" i="42" s="1"/>
  <c r="H16" i="42" s="1"/>
  <c r="I16" i="42" s="1"/>
  <c r="J16" i="42" s="1"/>
  <c r="K16" i="42" s="1"/>
  <c r="L16" i="42" s="1"/>
  <c r="M16" i="42" s="1"/>
  <c r="N16" i="42" s="1"/>
  <c r="O16" i="42" s="1"/>
  <c r="O31" i="42" s="1"/>
  <c r="F19" i="42"/>
  <c r="D16" i="42"/>
  <c r="D31" i="42" s="1"/>
  <c r="O47" i="12"/>
  <c r="O21" i="12"/>
  <c r="F9" i="42" l="1"/>
  <c r="E11" i="42"/>
  <c r="N117" i="44"/>
  <c r="N171" i="44" s="1"/>
  <c r="N191" i="44" s="1"/>
  <c r="E117" i="44"/>
  <c r="E171" i="44" s="1"/>
  <c r="E191" i="44" s="1"/>
  <c r="P117" i="44"/>
  <c r="O117" i="44"/>
  <c r="F117" i="44"/>
  <c r="F171" i="44" s="1"/>
  <c r="F191" i="44" s="1"/>
  <c r="H117" i="44"/>
  <c r="H171" i="44" s="1"/>
  <c r="H191" i="44" s="1"/>
  <c r="I117" i="44"/>
  <c r="I171" i="44" s="1"/>
  <c r="I191" i="44" s="1"/>
  <c r="Q117" i="44"/>
  <c r="M117" i="44"/>
  <c r="M171" i="44" s="1"/>
  <c r="M191" i="44" s="1"/>
  <c r="K117" i="44"/>
  <c r="K171" i="44" s="1"/>
  <c r="K191" i="44" s="1"/>
  <c r="J117" i="44"/>
  <c r="J171" i="44" s="1"/>
  <c r="J191" i="44" s="1"/>
  <c r="G117" i="44"/>
  <c r="G171" i="44" s="1"/>
  <c r="G191" i="44" s="1"/>
  <c r="D117" i="44"/>
  <c r="D171" i="44" s="1"/>
  <c r="D191" i="44" s="1"/>
  <c r="C117" i="44"/>
  <c r="C171" i="44" s="1"/>
  <c r="C191" i="44" s="1"/>
  <c r="S117" i="44"/>
  <c r="R117" i="44"/>
  <c r="G31" i="42"/>
  <c r="D25" i="42"/>
  <c r="N31" i="42"/>
  <c r="D26" i="42"/>
  <c r="D21" i="42"/>
  <c r="M31" i="42"/>
  <c r="D20" i="42"/>
  <c r="F18" i="42"/>
  <c r="D19" i="42"/>
  <c r="L31" i="42"/>
  <c r="F20" i="42"/>
  <c r="K31" i="42"/>
  <c r="K20" i="42"/>
  <c r="J31" i="42"/>
  <c r="I31" i="42"/>
  <c r="F21" i="42"/>
  <c r="G2" i="42"/>
  <c r="H31" i="42"/>
  <c r="K21" i="42"/>
  <c r="F31" i="42"/>
  <c r="L117" i="44"/>
  <c r="L171" i="44" s="1"/>
  <c r="L191" i="44" s="1"/>
  <c r="F29" i="42"/>
  <c r="O23" i="12" l="1"/>
  <c r="G18" i="42"/>
  <c r="F26" i="42"/>
  <c r="G9" i="42"/>
  <c r="Q31" i="42" a="1"/>
  <c r="Q31" i="42" s="1"/>
  <c r="H9" i="42"/>
  <c r="F25" i="42"/>
  <c r="F27" i="42" s="1"/>
  <c r="F12" i="42"/>
  <c r="R171" i="44"/>
  <c r="R191" i="44" s="1"/>
  <c r="S171" i="44"/>
  <c r="S191" i="44" s="1"/>
  <c r="P171" i="44"/>
  <c r="P191" i="44" s="1"/>
  <c r="Q171" i="44"/>
  <c r="Q191" i="44" s="1"/>
  <c r="F11" i="42"/>
  <c r="K19" i="42"/>
  <c r="O171" i="44"/>
  <c r="O191" i="44" s="1"/>
  <c r="Q23" i="12"/>
  <c r="R23" i="12"/>
  <c r="U23" i="12"/>
  <c r="T23" i="12"/>
  <c r="S23" i="12"/>
  <c r="G111" i="35"/>
  <c r="O111" i="35" s="1"/>
  <c r="K111" i="34"/>
  <c r="T111" i="34" s="1"/>
  <c r="H111" i="31"/>
  <c r="P111" i="31" s="1"/>
  <c r="I111" i="30"/>
  <c r="P111" i="30" s="1"/>
  <c r="I111" i="18"/>
  <c r="P111" i="18" s="1"/>
  <c r="Q111" i="18" s="1"/>
  <c r="K111" i="23"/>
  <c r="T111" i="23" s="1"/>
  <c r="U111" i="23" s="1"/>
  <c r="J111" i="28"/>
  <c r="S111" i="28" s="1"/>
  <c r="G111" i="36"/>
  <c r="N111" i="36" s="1"/>
  <c r="E111" i="37"/>
  <c r="J111" i="37" s="1"/>
  <c r="E111" i="26"/>
  <c r="J111" i="26" s="1"/>
  <c r="H111" i="20"/>
  <c r="P111" i="20" s="1"/>
  <c r="S111" i="20" s="1"/>
  <c r="I111" i="29"/>
  <c r="Q111" i="29" s="1"/>
  <c r="G111" i="25"/>
  <c r="N111" i="25" s="1"/>
  <c r="Q111" i="25" s="1"/>
  <c r="G111" i="24"/>
  <c r="O111" i="24" s="1"/>
  <c r="S111" i="24" s="1"/>
  <c r="I111" i="19"/>
  <c r="Q111" i="19" s="1"/>
  <c r="S111" i="19" s="1"/>
  <c r="J111" i="17"/>
  <c r="S111" i="17" s="1"/>
  <c r="U111" i="17" s="1"/>
  <c r="P23" i="12"/>
  <c r="H2" i="42"/>
  <c r="G10" i="42"/>
  <c r="G25" i="42"/>
  <c r="L20" i="42"/>
  <c r="K29" i="42"/>
  <c r="L21" i="42"/>
  <c r="Q22" i="12" l="1"/>
  <c r="U22" i="12"/>
  <c r="Q21" i="12"/>
  <c r="T21" i="12"/>
  <c r="U21" i="12"/>
  <c r="R21" i="12"/>
  <c r="R22" i="12"/>
  <c r="T22" i="12"/>
  <c r="P22" i="12"/>
  <c r="S22" i="12"/>
  <c r="S21" i="12"/>
  <c r="P21" i="12"/>
  <c r="R47" i="12"/>
  <c r="T47" i="12"/>
  <c r="S47" i="12"/>
  <c r="Q47" i="12"/>
  <c r="O22" i="12"/>
  <c r="U47" i="12"/>
  <c r="P47" i="12"/>
  <c r="I9" i="42"/>
  <c r="H18" i="42"/>
  <c r="G26" i="42"/>
  <c r="G12" i="42"/>
  <c r="L19" i="42"/>
  <c r="G11" i="42"/>
  <c r="G19" i="42"/>
  <c r="G21" i="42"/>
  <c r="G20" i="42"/>
  <c r="M21" i="42"/>
  <c r="H10" i="42"/>
  <c r="G29" i="42"/>
  <c r="L29" i="42"/>
  <c r="I2" i="42"/>
  <c r="J9" i="42" l="1"/>
  <c r="I18" i="42"/>
  <c r="G27" i="42"/>
  <c r="M19" i="42"/>
  <c r="H12" i="42"/>
  <c r="H11" i="42"/>
  <c r="H26" i="42"/>
  <c r="H25" i="42"/>
  <c r="H20" i="42"/>
  <c r="H21" i="42"/>
  <c r="I25" i="42"/>
  <c r="H29" i="42"/>
  <c r="M29" i="42"/>
  <c r="I10" i="42"/>
  <c r="I26" i="42" s="1"/>
  <c r="J2" i="42"/>
  <c r="B112" i="41"/>
  <c r="B111" i="41"/>
  <c r="B110" i="41"/>
  <c r="B100" i="41"/>
  <c r="B99" i="41"/>
  <c r="L72" i="41"/>
  <c r="L81" i="41" s="1"/>
  <c r="M72" i="41"/>
  <c r="M81" i="41" s="1"/>
  <c r="N72" i="41"/>
  <c r="N81" i="41" s="1"/>
  <c r="O72" i="41"/>
  <c r="O81" i="41" s="1"/>
  <c r="P72" i="41"/>
  <c r="P81" i="41" s="1"/>
  <c r="Q72" i="41"/>
  <c r="Q81" i="41" s="1"/>
  <c r="R72" i="41"/>
  <c r="R81" i="41" s="1"/>
  <c r="B77" i="41"/>
  <c r="K77" i="41" s="1"/>
  <c r="C72" i="41"/>
  <c r="C81" i="41" s="1"/>
  <c r="D72" i="41"/>
  <c r="D81" i="41" s="1"/>
  <c r="E72" i="41"/>
  <c r="E81" i="41" s="1"/>
  <c r="F72" i="41"/>
  <c r="F81" i="41" s="1"/>
  <c r="G72" i="41"/>
  <c r="G81" i="41" s="1"/>
  <c r="H72" i="41"/>
  <c r="H81" i="41" s="1"/>
  <c r="I72" i="41"/>
  <c r="I81" i="41" s="1"/>
  <c r="B56" i="8"/>
  <c r="B55" i="8"/>
  <c r="B28" i="8"/>
  <c r="B27" i="8"/>
  <c r="L41" i="41"/>
  <c r="M41" i="41"/>
  <c r="N41" i="41"/>
  <c r="O41" i="41"/>
  <c r="P41" i="41"/>
  <c r="Q41" i="41"/>
  <c r="R41" i="41"/>
  <c r="H27" i="41"/>
  <c r="H41" i="41" s="1"/>
  <c r="I27" i="41"/>
  <c r="I41" i="41" s="1"/>
  <c r="C27" i="41"/>
  <c r="C41" i="41" s="1"/>
  <c r="D27" i="41"/>
  <c r="D41" i="41" s="1"/>
  <c r="E27" i="41"/>
  <c r="E41" i="41" s="1"/>
  <c r="F27" i="41"/>
  <c r="F41" i="41" s="1"/>
  <c r="G27" i="41"/>
  <c r="G41" i="41" s="1"/>
  <c r="B34" i="41"/>
  <c r="K34" i="41" s="1"/>
  <c r="K48" i="41" s="1"/>
  <c r="B35" i="41"/>
  <c r="K35" i="41" s="1"/>
  <c r="K49" i="41" s="1"/>
  <c r="B101" i="41"/>
  <c r="B36" i="41"/>
  <c r="K36" i="41" s="1"/>
  <c r="K50" i="41" s="1"/>
  <c r="AW6" i="40"/>
  <c r="AW7" i="40" s="1"/>
  <c r="AO6" i="40"/>
  <c r="BE5" i="40"/>
  <c r="BL5" i="40" s="1"/>
  <c r="BL6" i="40" s="1"/>
  <c r="Q6" i="40"/>
  <c r="Q7" i="40" s="1"/>
  <c r="I6" i="40"/>
  <c r="I7" i="40" s="1"/>
  <c r="Y5" i="40"/>
  <c r="Y6" i="40" s="1"/>
  <c r="B6" i="40"/>
  <c r="CT5" i="39"/>
  <c r="CJ6" i="39"/>
  <c r="C18" i="12"/>
  <c r="C25" i="12" s="1"/>
  <c r="C5" i="12"/>
  <c r="C6" i="12"/>
  <c r="C7" i="12"/>
  <c r="C8" i="12"/>
  <c r="C9" i="12"/>
  <c r="C4" i="12"/>
  <c r="Y94" i="10"/>
  <c r="Z94" i="10"/>
  <c r="Y95" i="10"/>
  <c r="Z95" i="10"/>
  <c r="Y96" i="10"/>
  <c r="Z96" i="10"/>
  <c r="Y97" i="10"/>
  <c r="Z97" i="10"/>
  <c r="X95" i="10"/>
  <c r="X96" i="10"/>
  <c r="X97" i="10"/>
  <c r="X94" i="10"/>
  <c r="U49" i="12"/>
  <c r="T49" i="12"/>
  <c r="S49" i="12"/>
  <c r="R49" i="12"/>
  <c r="Q49" i="12"/>
  <c r="P49" i="12"/>
  <c r="O49" i="12"/>
  <c r="N49" i="12"/>
  <c r="D49" i="12"/>
  <c r="N44" i="12"/>
  <c r="L5" i="39"/>
  <c r="L6" i="39" s="1"/>
  <c r="B6" i="39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122" i="36"/>
  <c r="P122" i="36" s="1"/>
  <c r="K122" i="36"/>
  <c r="O122" i="36"/>
  <c r="I123" i="36"/>
  <c r="P123" i="36" s="1"/>
  <c r="K123" i="36"/>
  <c r="O123" i="36"/>
  <c r="I124" i="36"/>
  <c r="P124" i="36" s="1"/>
  <c r="K124" i="36"/>
  <c r="O124" i="36"/>
  <c r="I125" i="36"/>
  <c r="P125" i="36" s="1"/>
  <c r="K125" i="36"/>
  <c r="O125" i="36"/>
  <c r="I126" i="36"/>
  <c r="P126" i="36" s="1"/>
  <c r="K126" i="36"/>
  <c r="O126" i="36"/>
  <c r="I127" i="36"/>
  <c r="I139" i="36" s="1"/>
  <c r="K127" i="36"/>
  <c r="O127" i="36"/>
  <c r="I128" i="36"/>
  <c r="P128" i="36" s="1"/>
  <c r="K128" i="36"/>
  <c r="O128" i="36"/>
  <c r="I129" i="36"/>
  <c r="I141" i="36" s="1"/>
  <c r="K129" i="36"/>
  <c r="O129" i="36"/>
  <c r="I130" i="36"/>
  <c r="P130" i="36" s="1"/>
  <c r="K130" i="36"/>
  <c r="O130" i="36"/>
  <c r="I131" i="36"/>
  <c r="P131" i="36" s="1"/>
  <c r="K131" i="36"/>
  <c r="O131" i="36"/>
  <c r="I132" i="36"/>
  <c r="P132" i="36" s="1"/>
  <c r="K132" i="36"/>
  <c r="O132" i="36"/>
  <c r="I133" i="36"/>
  <c r="I145" i="36" s="1"/>
  <c r="K133" i="36"/>
  <c r="O133" i="36"/>
  <c r="K134" i="36"/>
  <c r="O134" i="36"/>
  <c r="K135" i="36"/>
  <c r="O135" i="36"/>
  <c r="K136" i="36"/>
  <c r="O136" i="36"/>
  <c r="K137" i="36"/>
  <c r="O137" i="36"/>
  <c r="K138" i="36"/>
  <c r="O138" i="36"/>
  <c r="K139" i="36"/>
  <c r="O139" i="36"/>
  <c r="K140" i="36"/>
  <c r="O140" i="36"/>
  <c r="K141" i="36"/>
  <c r="O141" i="36"/>
  <c r="K142" i="36"/>
  <c r="O142" i="36"/>
  <c r="K143" i="36"/>
  <c r="O143" i="36"/>
  <c r="K144" i="36"/>
  <c r="O144" i="36"/>
  <c r="K145" i="36"/>
  <c r="O145" i="36"/>
  <c r="K146" i="36"/>
  <c r="O146" i="36"/>
  <c r="K147" i="36"/>
  <c r="O147" i="36"/>
  <c r="K148" i="36"/>
  <c r="O148" i="36"/>
  <c r="K149" i="36"/>
  <c r="O149" i="36"/>
  <c r="K150" i="36"/>
  <c r="O150" i="36"/>
  <c r="K151" i="36"/>
  <c r="O151" i="36"/>
  <c r="K152" i="36"/>
  <c r="O152" i="36"/>
  <c r="K153" i="36"/>
  <c r="O153" i="36"/>
  <c r="K154" i="36"/>
  <c r="O154" i="36"/>
  <c r="K155" i="36"/>
  <c r="O155" i="36"/>
  <c r="K156" i="36"/>
  <c r="O156" i="36"/>
  <c r="K157" i="36"/>
  <c r="O157" i="36"/>
  <c r="K158" i="36"/>
  <c r="O158" i="36"/>
  <c r="K159" i="36"/>
  <c r="O159" i="36"/>
  <c r="K160" i="36"/>
  <c r="O160" i="36"/>
  <c r="K161" i="36"/>
  <c r="O161" i="36"/>
  <c r="K162" i="36"/>
  <c r="O162" i="36"/>
  <c r="K163" i="36"/>
  <c r="O163" i="36"/>
  <c r="K164" i="36"/>
  <c r="O164" i="36"/>
  <c r="K165" i="36"/>
  <c r="O165" i="36"/>
  <c r="K166" i="36"/>
  <c r="O166" i="36"/>
  <c r="K167" i="36"/>
  <c r="O167" i="36"/>
  <c r="K168" i="36"/>
  <c r="O168" i="36"/>
  <c r="K169" i="36"/>
  <c r="O169" i="36"/>
  <c r="K170" i="36"/>
  <c r="O170" i="36"/>
  <c r="K171" i="36"/>
  <c r="O171" i="36"/>
  <c r="K172" i="36"/>
  <c r="O172" i="36"/>
  <c r="K173" i="36"/>
  <c r="O173" i="36"/>
  <c r="K174" i="36"/>
  <c r="O174" i="36"/>
  <c r="K175" i="36"/>
  <c r="O175" i="36"/>
  <c r="K176" i="36"/>
  <c r="O176" i="36"/>
  <c r="K177" i="36"/>
  <c r="O177" i="36"/>
  <c r="K178" i="36"/>
  <c r="O178" i="36"/>
  <c r="K179" i="36"/>
  <c r="O179" i="36"/>
  <c r="K180" i="36"/>
  <c r="O180" i="36"/>
  <c r="K181" i="36"/>
  <c r="O181" i="36"/>
  <c r="K182" i="36"/>
  <c r="O182" i="36"/>
  <c r="K183" i="36"/>
  <c r="O183" i="36"/>
  <c r="K184" i="36"/>
  <c r="O184" i="36"/>
  <c r="K185" i="36"/>
  <c r="O185" i="36"/>
  <c r="K186" i="36"/>
  <c r="O186" i="36"/>
  <c r="K187" i="36"/>
  <c r="O187" i="36"/>
  <c r="K188" i="36"/>
  <c r="O188" i="36"/>
  <c r="K189" i="36"/>
  <c r="O189" i="36"/>
  <c r="K190" i="36"/>
  <c r="O190" i="36"/>
  <c r="K191" i="36"/>
  <c r="O191" i="36"/>
  <c r="K192" i="36"/>
  <c r="O192" i="36"/>
  <c r="K193" i="36"/>
  <c r="O193" i="36"/>
  <c r="K194" i="36"/>
  <c r="O194" i="36"/>
  <c r="K195" i="36"/>
  <c r="O195" i="36"/>
  <c r="K196" i="36"/>
  <c r="O196" i="36"/>
  <c r="K197" i="36"/>
  <c r="O197" i="36"/>
  <c r="K198" i="36"/>
  <c r="O198" i="36"/>
  <c r="K199" i="36"/>
  <c r="O199" i="36"/>
  <c r="K200" i="36"/>
  <c r="O200" i="36"/>
  <c r="K201" i="36"/>
  <c r="O201" i="36"/>
  <c r="K202" i="36"/>
  <c r="O202" i="36"/>
  <c r="K203" i="36"/>
  <c r="O203" i="36"/>
  <c r="K204" i="36"/>
  <c r="O204" i="36"/>
  <c r="K205" i="36"/>
  <c r="O205" i="36"/>
  <c r="L122" i="35"/>
  <c r="Q122" i="35"/>
  <c r="L123" i="35"/>
  <c r="Q123" i="35"/>
  <c r="L124" i="35"/>
  <c r="Q124" i="35"/>
  <c r="L125" i="35"/>
  <c r="Q125" i="35"/>
  <c r="L126" i="35"/>
  <c r="Q126" i="35"/>
  <c r="L127" i="35"/>
  <c r="Q127" i="35"/>
  <c r="L128" i="35"/>
  <c r="Q128" i="35"/>
  <c r="L129" i="35"/>
  <c r="Q129" i="35"/>
  <c r="L130" i="35"/>
  <c r="Q130" i="35"/>
  <c r="L131" i="35"/>
  <c r="Q131" i="35"/>
  <c r="L132" i="35"/>
  <c r="Q132" i="35"/>
  <c r="L133" i="35"/>
  <c r="Q133" i="35"/>
  <c r="L134" i="35"/>
  <c r="Q134" i="35"/>
  <c r="L135" i="35"/>
  <c r="Q135" i="35"/>
  <c r="L136" i="35"/>
  <c r="Q136" i="35"/>
  <c r="L137" i="35"/>
  <c r="Q137" i="35"/>
  <c r="L138" i="35"/>
  <c r="Q138" i="35"/>
  <c r="L139" i="35"/>
  <c r="Q139" i="35"/>
  <c r="L140" i="35"/>
  <c r="Q140" i="35"/>
  <c r="L141" i="35"/>
  <c r="Q141" i="35"/>
  <c r="L142" i="35"/>
  <c r="Q142" i="35"/>
  <c r="L143" i="35"/>
  <c r="Q143" i="35"/>
  <c r="L144" i="35"/>
  <c r="Q144" i="35"/>
  <c r="L145" i="35"/>
  <c r="Q145" i="35"/>
  <c r="L146" i="35"/>
  <c r="Q146" i="35"/>
  <c r="L147" i="35"/>
  <c r="Q147" i="35"/>
  <c r="L148" i="35"/>
  <c r="Q148" i="35"/>
  <c r="L149" i="35"/>
  <c r="Q149" i="35"/>
  <c r="L150" i="35"/>
  <c r="Q150" i="35"/>
  <c r="L151" i="35"/>
  <c r="Q151" i="35"/>
  <c r="L152" i="35"/>
  <c r="Q152" i="35"/>
  <c r="L153" i="35"/>
  <c r="Q153" i="35"/>
  <c r="L154" i="35"/>
  <c r="Q154" i="35"/>
  <c r="L155" i="35"/>
  <c r="Q155" i="35"/>
  <c r="L156" i="35"/>
  <c r="Q156" i="35"/>
  <c r="L157" i="35"/>
  <c r="Q157" i="35"/>
  <c r="L158" i="35"/>
  <c r="Q158" i="35"/>
  <c r="L159" i="35"/>
  <c r="Q159" i="35"/>
  <c r="L160" i="35"/>
  <c r="Q160" i="35"/>
  <c r="L161" i="35"/>
  <c r="Q161" i="35"/>
  <c r="L162" i="35"/>
  <c r="Q162" i="35"/>
  <c r="L163" i="35"/>
  <c r="Q163" i="35"/>
  <c r="L164" i="35"/>
  <c r="Q164" i="35"/>
  <c r="L165" i="35"/>
  <c r="Q165" i="35"/>
  <c r="L166" i="35"/>
  <c r="Q166" i="35"/>
  <c r="L167" i="35"/>
  <c r="Q167" i="35"/>
  <c r="L168" i="35"/>
  <c r="Q168" i="35"/>
  <c r="L169" i="35"/>
  <c r="Q169" i="35"/>
  <c r="L170" i="35"/>
  <c r="Q170" i="35"/>
  <c r="L171" i="35"/>
  <c r="Q171" i="35"/>
  <c r="L172" i="35"/>
  <c r="Q172" i="35"/>
  <c r="L173" i="35"/>
  <c r="Q173" i="35"/>
  <c r="L174" i="35"/>
  <c r="Q174" i="35"/>
  <c r="L175" i="35"/>
  <c r="Q175" i="35"/>
  <c r="L176" i="35"/>
  <c r="Q176" i="35"/>
  <c r="L177" i="35"/>
  <c r="Q177" i="35"/>
  <c r="L178" i="35"/>
  <c r="Q178" i="35"/>
  <c r="L179" i="35"/>
  <c r="Q179" i="35"/>
  <c r="L180" i="35"/>
  <c r="Q180" i="35"/>
  <c r="L181" i="35"/>
  <c r="Q181" i="35"/>
  <c r="L182" i="35"/>
  <c r="Q182" i="35"/>
  <c r="L183" i="35"/>
  <c r="Q183" i="35"/>
  <c r="L184" i="35"/>
  <c r="Q184" i="35"/>
  <c r="L185" i="35"/>
  <c r="Q185" i="35"/>
  <c r="L186" i="35"/>
  <c r="Q186" i="35"/>
  <c r="L187" i="35"/>
  <c r="Q187" i="35"/>
  <c r="L188" i="35"/>
  <c r="Q188" i="35"/>
  <c r="L189" i="35"/>
  <c r="Q189" i="35"/>
  <c r="L190" i="35"/>
  <c r="Q190" i="35"/>
  <c r="L191" i="35"/>
  <c r="Q191" i="35"/>
  <c r="L192" i="35"/>
  <c r="Q192" i="35"/>
  <c r="L193" i="35"/>
  <c r="Q193" i="35"/>
  <c r="L194" i="35"/>
  <c r="Q194" i="35"/>
  <c r="L195" i="35"/>
  <c r="Q195" i="35"/>
  <c r="L196" i="35"/>
  <c r="Q196" i="35"/>
  <c r="L197" i="35"/>
  <c r="Q197" i="35"/>
  <c r="L198" i="35"/>
  <c r="Q198" i="35"/>
  <c r="L199" i="35"/>
  <c r="Q199" i="35"/>
  <c r="L200" i="35"/>
  <c r="Q200" i="35"/>
  <c r="L201" i="35"/>
  <c r="Q201" i="35"/>
  <c r="L202" i="35"/>
  <c r="Q202" i="35"/>
  <c r="L203" i="35"/>
  <c r="Q203" i="35"/>
  <c r="L204" i="35"/>
  <c r="Q204" i="35"/>
  <c r="L205" i="35"/>
  <c r="Q205" i="35"/>
  <c r="J123" i="35"/>
  <c r="J135" i="35" s="1"/>
  <c r="J147" i="35" s="1"/>
  <c r="J159" i="35" s="1"/>
  <c r="J171" i="35" s="1"/>
  <c r="J183" i="35" s="1"/>
  <c r="J195" i="35" s="1"/>
  <c r="R195" i="35" s="1"/>
  <c r="J124" i="35"/>
  <c r="J136" i="35" s="1"/>
  <c r="J148" i="35" s="1"/>
  <c r="J160" i="35" s="1"/>
  <c r="J172" i="35" s="1"/>
  <c r="J184" i="35" s="1"/>
  <c r="J196" i="35" s="1"/>
  <c r="R196" i="35" s="1"/>
  <c r="J127" i="35"/>
  <c r="J139" i="35" s="1"/>
  <c r="J151" i="35" s="1"/>
  <c r="J163" i="35" s="1"/>
  <c r="J175" i="35" s="1"/>
  <c r="J187" i="35" s="1"/>
  <c r="J199" i="35" s="1"/>
  <c r="R199" i="35" s="1"/>
  <c r="J128" i="35"/>
  <c r="J140" i="35" s="1"/>
  <c r="J152" i="35" s="1"/>
  <c r="J164" i="35" s="1"/>
  <c r="J176" i="35" s="1"/>
  <c r="J188" i="35" s="1"/>
  <c r="J200" i="35" s="1"/>
  <c r="R200" i="35" s="1"/>
  <c r="J130" i="35"/>
  <c r="J142" i="35" s="1"/>
  <c r="J154" i="35" s="1"/>
  <c r="J166" i="35" s="1"/>
  <c r="J178" i="35" s="1"/>
  <c r="J190" i="35" s="1"/>
  <c r="J202" i="35" s="1"/>
  <c r="R202" i="35" s="1"/>
  <c r="J131" i="35"/>
  <c r="J143" i="35" s="1"/>
  <c r="J155" i="35" s="1"/>
  <c r="J167" i="35" s="1"/>
  <c r="J179" i="35" s="1"/>
  <c r="J191" i="35" s="1"/>
  <c r="J203" i="35" s="1"/>
  <c r="R203" i="35" s="1"/>
  <c r="J122" i="35"/>
  <c r="J134" i="35" s="1"/>
  <c r="J125" i="35"/>
  <c r="J137" i="35" s="1"/>
  <c r="J149" i="35" s="1"/>
  <c r="J161" i="35" s="1"/>
  <c r="J173" i="35" s="1"/>
  <c r="J185" i="35" s="1"/>
  <c r="J197" i="35" s="1"/>
  <c r="R197" i="35" s="1"/>
  <c r="J126" i="35"/>
  <c r="J138" i="35" s="1"/>
  <c r="J150" i="35" s="1"/>
  <c r="J162" i="35" s="1"/>
  <c r="J174" i="35" s="1"/>
  <c r="J186" i="35" s="1"/>
  <c r="J198" i="35" s="1"/>
  <c r="R198" i="35" s="1"/>
  <c r="J129" i="35"/>
  <c r="J141" i="35" s="1"/>
  <c r="J132" i="35"/>
  <c r="J144" i="35" s="1"/>
  <c r="J156" i="35" s="1"/>
  <c r="J168" i="35" s="1"/>
  <c r="J180" i="35" s="1"/>
  <c r="J192" i="35" s="1"/>
  <c r="J204" i="35" s="1"/>
  <c r="R204" i="35" s="1"/>
  <c r="J133" i="35"/>
  <c r="J145" i="35" s="1"/>
  <c r="M122" i="34"/>
  <c r="P122" i="34"/>
  <c r="Q122" i="34"/>
  <c r="M123" i="34"/>
  <c r="P123" i="34"/>
  <c r="Q123" i="34"/>
  <c r="M124" i="34"/>
  <c r="P124" i="34"/>
  <c r="Q124" i="34"/>
  <c r="M125" i="34"/>
  <c r="P125" i="34"/>
  <c r="Q125" i="34"/>
  <c r="M126" i="34"/>
  <c r="P126" i="34"/>
  <c r="Q126" i="34"/>
  <c r="M127" i="34"/>
  <c r="P127" i="34"/>
  <c r="Q127" i="34"/>
  <c r="M128" i="34"/>
  <c r="P128" i="34"/>
  <c r="Q128" i="34"/>
  <c r="M129" i="34"/>
  <c r="P129" i="34"/>
  <c r="Q129" i="34"/>
  <c r="M130" i="34"/>
  <c r="P130" i="34"/>
  <c r="Q130" i="34"/>
  <c r="M131" i="34"/>
  <c r="P131" i="34"/>
  <c r="Q131" i="34"/>
  <c r="M132" i="34"/>
  <c r="P132" i="34"/>
  <c r="Q132" i="34"/>
  <c r="M133" i="34"/>
  <c r="P133" i="34"/>
  <c r="Q133" i="34"/>
  <c r="M134" i="34"/>
  <c r="P134" i="34"/>
  <c r="Q134" i="34"/>
  <c r="M135" i="34"/>
  <c r="P135" i="34"/>
  <c r="Q135" i="34"/>
  <c r="M136" i="34"/>
  <c r="P136" i="34"/>
  <c r="Q136" i="34"/>
  <c r="M137" i="34"/>
  <c r="P137" i="34"/>
  <c r="Q137" i="34"/>
  <c r="M138" i="34"/>
  <c r="P138" i="34"/>
  <c r="Q138" i="34"/>
  <c r="M139" i="34"/>
  <c r="P139" i="34"/>
  <c r="Q139" i="34"/>
  <c r="M140" i="34"/>
  <c r="P140" i="34"/>
  <c r="Q140" i="34"/>
  <c r="M141" i="34"/>
  <c r="P141" i="34"/>
  <c r="Q141" i="34"/>
  <c r="M142" i="34"/>
  <c r="P142" i="34"/>
  <c r="Q142" i="34"/>
  <c r="M143" i="34"/>
  <c r="P143" i="34"/>
  <c r="Q143" i="34"/>
  <c r="M144" i="34"/>
  <c r="P144" i="34"/>
  <c r="Q144" i="34"/>
  <c r="M145" i="34"/>
  <c r="P145" i="34"/>
  <c r="Q145" i="34"/>
  <c r="M146" i="34"/>
  <c r="P146" i="34"/>
  <c r="Q146" i="34"/>
  <c r="M147" i="34"/>
  <c r="P147" i="34"/>
  <c r="Q147" i="34"/>
  <c r="M148" i="34"/>
  <c r="P148" i="34"/>
  <c r="Q148" i="34"/>
  <c r="M149" i="34"/>
  <c r="P149" i="34"/>
  <c r="Q149" i="34"/>
  <c r="M150" i="34"/>
  <c r="P150" i="34"/>
  <c r="Q150" i="34"/>
  <c r="M151" i="34"/>
  <c r="P151" i="34"/>
  <c r="Q151" i="34"/>
  <c r="M152" i="34"/>
  <c r="P152" i="34"/>
  <c r="Q152" i="34"/>
  <c r="M153" i="34"/>
  <c r="P153" i="34"/>
  <c r="Q153" i="34"/>
  <c r="M154" i="34"/>
  <c r="P154" i="34"/>
  <c r="Q154" i="34"/>
  <c r="M155" i="34"/>
  <c r="P155" i="34"/>
  <c r="Q155" i="34"/>
  <c r="M156" i="34"/>
  <c r="P156" i="34"/>
  <c r="Q156" i="34"/>
  <c r="M157" i="34"/>
  <c r="P157" i="34"/>
  <c r="Q157" i="34"/>
  <c r="M158" i="34"/>
  <c r="P158" i="34"/>
  <c r="Q158" i="34"/>
  <c r="M159" i="34"/>
  <c r="P159" i="34"/>
  <c r="Q159" i="34"/>
  <c r="M160" i="34"/>
  <c r="P160" i="34"/>
  <c r="Q160" i="34"/>
  <c r="M161" i="34"/>
  <c r="P161" i="34"/>
  <c r="Q161" i="34"/>
  <c r="M162" i="34"/>
  <c r="P162" i="34"/>
  <c r="Q162" i="34"/>
  <c r="M163" i="34"/>
  <c r="P163" i="34"/>
  <c r="Q163" i="34"/>
  <c r="M164" i="34"/>
  <c r="P164" i="34"/>
  <c r="Q164" i="34"/>
  <c r="M165" i="34"/>
  <c r="P165" i="34"/>
  <c r="Q165" i="34"/>
  <c r="M166" i="34"/>
  <c r="P166" i="34"/>
  <c r="Q166" i="34"/>
  <c r="M167" i="34"/>
  <c r="P167" i="34"/>
  <c r="Q167" i="34"/>
  <c r="M168" i="34"/>
  <c r="P168" i="34"/>
  <c r="Q168" i="34"/>
  <c r="M169" i="34"/>
  <c r="P169" i="34"/>
  <c r="Q169" i="34"/>
  <c r="M170" i="34"/>
  <c r="P170" i="34"/>
  <c r="Q170" i="34"/>
  <c r="M171" i="34"/>
  <c r="P171" i="34"/>
  <c r="Q171" i="34"/>
  <c r="M172" i="34"/>
  <c r="P172" i="34"/>
  <c r="Q172" i="34"/>
  <c r="M173" i="34"/>
  <c r="P173" i="34"/>
  <c r="Q173" i="34"/>
  <c r="M174" i="34"/>
  <c r="P174" i="34"/>
  <c r="Q174" i="34"/>
  <c r="M175" i="34"/>
  <c r="P175" i="34"/>
  <c r="Q175" i="34"/>
  <c r="M176" i="34"/>
  <c r="P176" i="34"/>
  <c r="Q176" i="34"/>
  <c r="M177" i="34"/>
  <c r="P177" i="34"/>
  <c r="Q177" i="34"/>
  <c r="M178" i="34"/>
  <c r="P178" i="34"/>
  <c r="Q178" i="34"/>
  <c r="M179" i="34"/>
  <c r="P179" i="34"/>
  <c r="Q179" i="34"/>
  <c r="M180" i="34"/>
  <c r="P180" i="34"/>
  <c r="Q180" i="34"/>
  <c r="M181" i="34"/>
  <c r="P181" i="34"/>
  <c r="Q181" i="34"/>
  <c r="M182" i="34"/>
  <c r="P182" i="34"/>
  <c r="Q182" i="34"/>
  <c r="M183" i="34"/>
  <c r="P183" i="34"/>
  <c r="Q183" i="34"/>
  <c r="M184" i="34"/>
  <c r="P184" i="34"/>
  <c r="Q184" i="34"/>
  <c r="M185" i="34"/>
  <c r="P185" i="34"/>
  <c r="Q185" i="34"/>
  <c r="M186" i="34"/>
  <c r="P186" i="34"/>
  <c r="Q186" i="34"/>
  <c r="M187" i="34"/>
  <c r="P187" i="34"/>
  <c r="Q187" i="34"/>
  <c r="M188" i="34"/>
  <c r="P188" i="34"/>
  <c r="Q188" i="34"/>
  <c r="M189" i="34"/>
  <c r="P189" i="34"/>
  <c r="Q189" i="34"/>
  <c r="M190" i="34"/>
  <c r="P190" i="34"/>
  <c r="Q190" i="34"/>
  <c r="M191" i="34"/>
  <c r="P191" i="34"/>
  <c r="Q191" i="34"/>
  <c r="M192" i="34"/>
  <c r="P192" i="34"/>
  <c r="Q192" i="34"/>
  <c r="M193" i="34"/>
  <c r="P193" i="34"/>
  <c r="Q193" i="34"/>
  <c r="M194" i="34"/>
  <c r="P194" i="34"/>
  <c r="Q194" i="34"/>
  <c r="M195" i="34"/>
  <c r="P195" i="34"/>
  <c r="Q195" i="34"/>
  <c r="M196" i="34"/>
  <c r="P196" i="34"/>
  <c r="Q196" i="34"/>
  <c r="M197" i="34"/>
  <c r="P197" i="34"/>
  <c r="Q197" i="34"/>
  <c r="M198" i="34"/>
  <c r="P198" i="34"/>
  <c r="Q198" i="34"/>
  <c r="M199" i="34"/>
  <c r="P199" i="34"/>
  <c r="Q199" i="34"/>
  <c r="M200" i="34"/>
  <c r="P200" i="34"/>
  <c r="Q200" i="34"/>
  <c r="M201" i="34"/>
  <c r="P201" i="34"/>
  <c r="Q201" i="34"/>
  <c r="M202" i="34"/>
  <c r="P202" i="34"/>
  <c r="Q202" i="34"/>
  <c r="M203" i="34"/>
  <c r="P203" i="34"/>
  <c r="Q203" i="34"/>
  <c r="M204" i="34"/>
  <c r="P204" i="34"/>
  <c r="Q204" i="34"/>
  <c r="M205" i="34"/>
  <c r="P205" i="34"/>
  <c r="Q205" i="34"/>
  <c r="K147" i="34"/>
  <c r="K183" i="34" s="1"/>
  <c r="T183" i="34" s="1"/>
  <c r="I125" i="34"/>
  <c r="I137" i="34" s="1"/>
  <c r="I149" i="34" s="1"/>
  <c r="I161" i="34" s="1"/>
  <c r="I173" i="34" s="1"/>
  <c r="I185" i="34" s="1"/>
  <c r="I197" i="34" s="1"/>
  <c r="R197" i="34" s="1"/>
  <c r="J122" i="34"/>
  <c r="J123" i="34" s="1"/>
  <c r="J124" i="34" s="1"/>
  <c r="J125" i="34" s="1"/>
  <c r="J126" i="34" s="1"/>
  <c r="J127" i="34" s="1"/>
  <c r="J128" i="34" s="1"/>
  <c r="J129" i="34" s="1"/>
  <c r="J130" i="34" s="1"/>
  <c r="J131" i="34" s="1"/>
  <c r="J132" i="34" s="1"/>
  <c r="J133" i="34" s="1"/>
  <c r="J134" i="34" s="1"/>
  <c r="J135" i="34" s="1"/>
  <c r="J136" i="34" s="1"/>
  <c r="J137" i="34" s="1"/>
  <c r="J138" i="34" s="1"/>
  <c r="J139" i="34" s="1"/>
  <c r="J140" i="34" s="1"/>
  <c r="J141" i="34" s="1"/>
  <c r="J142" i="34" s="1"/>
  <c r="J143" i="34" s="1"/>
  <c r="J144" i="34" s="1"/>
  <c r="J145" i="34" s="1"/>
  <c r="J146" i="34" s="1"/>
  <c r="J147" i="34" s="1"/>
  <c r="J148" i="34" s="1"/>
  <c r="J149" i="34" s="1"/>
  <c r="J150" i="34" s="1"/>
  <c r="J151" i="34" s="1"/>
  <c r="J152" i="34" s="1"/>
  <c r="J153" i="34" s="1"/>
  <c r="J154" i="34" s="1"/>
  <c r="J155" i="34" s="1"/>
  <c r="J156" i="34" s="1"/>
  <c r="J157" i="34" s="1"/>
  <c r="J158" i="34" s="1"/>
  <c r="J159" i="34" s="1"/>
  <c r="J160" i="34" s="1"/>
  <c r="J161" i="34" s="1"/>
  <c r="J162" i="34" s="1"/>
  <c r="J163" i="34" s="1"/>
  <c r="J164" i="34" s="1"/>
  <c r="J165" i="34" s="1"/>
  <c r="J166" i="34" s="1"/>
  <c r="J167" i="34" s="1"/>
  <c r="J168" i="34" s="1"/>
  <c r="J169" i="34" s="1"/>
  <c r="J170" i="34" s="1"/>
  <c r="J171" i="34" s="1"/>
  <c r="J172" i="34" s="1"/>
  <c r="J173" i="34" s="1"/>
  <c r="J174" i="34" s="1"/>
  <c r="J175" i="34" s="1"/>
  <c r="J176" i="34" s="1"/>
  <c r="J177" i="34" s="1"/>
  <c r="J178" i="34" s="1"/>
  <c r="J179" i="34" s="1"/>
  <c r="J180" i="34" s="1"/>
  <c r="J181" i="34" s="1"/>
  <c r="J182" i="34" s="1"/>
  <c r="J183" i="34" s="1"/>
  <c r="J184" i="34" s="1"/>
  <c r="J185" i="34" s="1"/>
  <c r="J186" i="34" s="1"/>
  <c r="J187" i="34" s="1"/>
  <c r="J188" i="34" s="1"/>
  <c r="J189" i="34" s="1"/>
  <c r="J190" i="34" s="1"/>
  <c r="J191" i="34" s="1"/>
  <c r="J192" i="34" s="1"/>
  <c r="J193" i="34" s="1"/>
  <c r="J194" i="34" s="1"/>
  <c r="J195" i="34" s="1"/>
  <c r="J196" i="34" s="1"/>
  <c r="J197" i="34" s="1"/>
  <c r="J198" i="34" s="1"/>
  <c r="J199" i="34" s="1"/>
  <c r="J200" i="34" s="1"/>
  <c r="J201" i="34" s="1"/>
  <c r="J202" i="34" s="1"/>
  <c r="J203" i="34" s="1"/>
  <c r="J204" i="34" s="1"/>
  <c r="J205" i="34" s="1"/>
  <c r="S205" i="34" s="1"/>
  <c r="I127" i="34"/>
  <c r="I139" i="34" s="1"/>
  <c r="I151" i="34" s="1"/>
  <c r="I163" i="34" s="1"/>
  <c r="I175" i="34" s="1"/>
  <c r="I187" i="34" s="1"/>
  <c r="I199" i="34" s="1"/>
  <c r="R199" i="34" s="1"/>
  <c r="I128" i="34"/>
  <c r="I140" i="34" s="1"/>
  <c r="I152" i="34" s="1"/>
  <c r="I164" i="34" s="1"/>
  <c r="I176" i="34" s="1"/>
  <c r="I188" i="34" s="1"/>
  <c r="I200" i="34" s="1"/>
  <c r="R200" i="34" s="1"/>
  <c r="I130" i="34"/>
  <c r="I142" i="34" s="1"/>
  <c r="I154" i="34" s="1"/>
  <c r="I166" i="34" s="1"/>
  <c r="I178" i="34" s="1"/>
  <c r="I190" i="34" s="1"/>
  <c r="I202" i="34" s="1"/>
  <c r="R202" i="34" s="1"/>
  <c r="I131" i="34"/>
  <c r="I143" i="34" s="1"/>
  <c r="I155" i="34" s="1"/>
  <c r="I167" i="34" s="1"/>
  <c r="I179" i="34" s="1"/>
  <c r="I191" i="34" s="1"/>
  <c r="I203" i="34" s="1"/>
  <c r="R203" i="34" s="1"/>
  <c r="I133" i="34"/>
  <c r="I145" i="34" s="1"/>
  <c r="I157" i="34" s="1"/>
  <c r="I169" i="34" s="1"/>
  <c r="I181" i="34" s="1"/>
  <c r="I193" i="34" s="1"/>
  <c r="I205" i="34" s="1"/>
  <c r="R205" i="34" s="1"/>
  <c r="I122" i="34"/>
  <c r="R122" i="34" s="1"/>
  <c r="I123" i="34"/>
  <c r="R123" i="34" s="1"/>
  <c r="I124" i="34"/>
  <c r="I136" i="34" s="1"/>
  <c r="I148" i="34" s="1"/>
  <c r="I160" i="34" s="1"/>
  <c r="I172" i="34" s="1"/>
  <c r="I184" i="34" s="1"/>
  <c r="I196" i="34" s="1"/>
  <c r="R196" i="34" s="1"/>
  <c r="I126" i="34"/>
  <c r="R126" i="34" s="1"/>
  <c r="I129" i="34"/>
  <c r="I141" i="34" s="1"/>
  <c r="I153" i="34" s="1"/>
  <c r="I165" i="34" s="1"/>
  <c r="I177" i="34" s="1"/>
  <c r="I189" i="34" s="1"/>
  <c r="I201" i="34" s="1"/>
  <c r="R201" i="34" s="1"/>
  <c r="I132" i="34"/>
  <c r="I144" i="34" s="1"/>
  <c r="I156" i="34" s="1"/>
  <c r="I168" i="34" s="1"/>
  <c r="I180" i="34" s="1"/>
  <c r="I192" i="34" s="1"/>
  <c r="I204" i="34" s="1"/>
  <c r="R204" i="34" s="1"/>
  <c r="J122" i="33"/>
  <c r="K122" i="33"/>
  <c r="N122" i="33"/>
  <c r="J123" i="33"/>
  <c r="K123" i="33"/>
  <c r="N123" i="33"/>
  <c r="J124" i="33"/>
  <c r="K124" i="33"/>
  <c r="N124" i="33"/>
  <c r="J125" i="33"/>
  <c r="K125" i="33"/>
  <c r="N125" i="33"/>
  <c r="J126" i="33"/>
  <c r="K126" i="33"/>
  <c r="N126" i="33"/>
  <c r="J127" i="33"/>
  <c r="K127" i="33"/>
  <c r="N127" i="33"/>
  <c r="J128" i="33"/>
  <c r="K128" i="33"/>
  <c r="N128" i="33"/>
  <c r="J129" i="33"/>
  <c r="K129" i="33"/>
  <c r="N129" i="33"/>
  <c r="J130" i="33"/>
  <c r="K130" i="33"/>
  <c r="N130" i="33"/>
  <c r="J131" i="33"/>
  <c r="K131" i="33"/>
  <c r="N131" i="33"/>
  <c r="J132" i="33"/>
  <c r="K132" i="33"/>
  <c r="N132" i="33"/>
  <c r="J133" i="33"/>
  <c r="K133" i="33"/>
  <c r="N133" i="33"/>
  <c r="J134" i="33"/>
  <c r="K134" i="33"/>
  <c r="N134" i="33"/>
  <c r="J135" i="33"/>
  <c r="K135" i="33"/>
  <c r="N135" i="33"/>
  <c r="J136" i="33"/>
  <c r="K136" i="33"/>
  <c r="N136" i="33"/>
  <c r="J137" i="33"/>
  <c r="K137" i="33"/>
  <c r="N137" i="33"/>
  <c r="J138" i="33"/>
  <c r="K138" i="33"/>
  <c r="N138" i="33"/>
  <c r="J139" i="33"/>
  <c r="K139" i="33"/>
  <c r="N139" i="33"/>
  <c r="J140" i="33"/>
  <c r="K140" i="33"/>
  <c r="N140" i="33"/>
  <c r="J141" i="33"/>
  <c r="K141" i="33"/>
  <c r="N141" i="33"/>
  <c r="J142" i="33"/>
  <c r="K142" i="33"/>
  <c r="N142" i="33"/>
  <c r="J143" i="33"/>
  <c r="K143" i="33"/>
  <c r="N143" i="33"/>
  <c r="J144" i="33"/>
  <c r="K144" i="33"/>
  <c r="N144" i="33"/>
  <c r="J145" i="33"/>
  <c r="K145" i="33"/>
  <c r="N145" i="33"/>
  <c r="J146" i="33"/>
  <c r="K146" i="33"/>
  <c r="N146" i="33"/>
  <c r="J147" i="33"/>
  <c r="K147" i="33"/>
  <c r="N147" i="33"/>
  <c r="J148" i="33"/>
  <c r="K148" i="33"/>
  <c r="N148" i="33"/>
  <c r="J149" i="33"/>
  <c r="K149" i="33"/>
  <c r="N149" i="33"/>
  <c r="J150" i="33"/>
  <c r="K150" i="33"/>
  <c r="N150" i="33"/>
  <c r="J151" i="33"/>
  <c r="K151" i="33"/>
  <c r="N151" i="33"/>
  <c r="J152" i="33"/>
  <c r="K152" i="33"/>
  <c r="N152" i="33"/>
  <c r="J153" i="33"/>
  <c r="K153" i="33"/>
  <c r="N153" i="33"/>
  <c r="J154" i="33"/>
  <c r="K154" i="33"/>
  <c r="N154" i="33"/>
  <c r="J155" i="33"/>
  <c r="K155" i="33"/>
  <c r="N155" i="33"/>
  <c r="J156" i="33"/>
  <c r="K156" i="33"/>
  <c r="N156" i="33"/>
  <c r="J157" i="33"/>
  <c r="K157" i="33"/>
  <c r="N157" i="33"/>
  <c r="J158" i="33"/>
  <c r="K158" i="33"/>
  <c r="N158" i="33"/>
  <c r="J159" i="33"/>
  <c r="K159" i="33"/>
  <c r="N159" i="33"/>
  <c r="J160" i="33"/>
  <c r="K160" i="33"/>
  <c r="N160" i="33"/>
  <c r="J161" i="33"/>
  <c r="K161" i="33"/>
  <c r="N161" i="33"/>
  <c r="J162" i="33"/>
  <c r="K162" i="33"/>
  <c r="N162" i="33"/>
  <c r="J163" i="33"/>
  <c r="K163" i="33"/>
  <c r="N163" i="33"/>
  <c r="J164" i="33"/>
  <c r="K164" i="33"/>
  <c r="N164" i="33"/>
  <c r="J165" i="33"/>
  <c r="K165" i="33"/>
  <c r="N165" i="33"/>
  <c r="J166" i="33"/>
  <c r="K166" i="33"/>
  <c r="N166" i="33"/>
  <c r="J167" i="33"/>
  <c r="K167" i="33"/>
  <c r="N167" i="33"/>
  <c r="J168" i="33"/>
  <c r="K168" i="33"/>
  <c r="N168" i="33"/>
  <c r="J169" i="33"/>
  <c r="K169" i="33"/>
  <c r="N169" i="33"/>
  <c r="J170" i="33"/>
  <c r="K170" i="33"/>
  <c r="N170" i="33"/>
  <c r="J171" i="33"/>
  <c r="K171" i="33"/>
  <c r="N171" i="33"/>
  <c r="J172" i="33"/>
  <c r="K172" i="33"/>
  <c r="N172" i="33"/>
  <c r="J173" i="33"/>
  <c r="K173" i="33"/>
  <c r="N173" i="33"/>
  <c r="J174" i="33"/>
  <c r="K174" i="33"/>
  <c r="N174" i="33"/>
  <c r="J175" i="33"/>
  <c r="K175" i="33"/>
  <c r="N175" i="33"/>
  <c r="J176" i="33"/>
  <c r="K176" i="33"/>
  <c r="N176" i="33"/>
  <c r="J177" i="33"/>
  <c r="K177" i="33"/>
  <c r="N177" i="33"/>
  <c r="J178" i="33"/>
  <c r="K178" i="33"/>
  <c r="N178" i="33"/>
  <c r="J179" i="33"/>
  <c r="K179" i="33"/>
  <c r="N179" i="33"/>
  <c r="J180" i="33"/>
  <c r="K180" i="33"/>
  <c r="N180" i="33"/>
  <c r="J181" i="33"/>
  <c r="K181" i="33"/>
  <c r="N181" i="33"/>
  <c r="J182" i="33"/>
  <c r="K182" i="33"/>
  <c r="N182" i="33"/>
  <c r="J183" i="33"/>
  <c r="K183" i="33"/>
  <c r="N183" i="33"/>
  <c r="J184" i="33"/>
  <c r="K184" i="33"/>
  <c r="N184" i="33"/>
  <c r="J185" i="33"/>
  <c r="K185" i="33"/>
  <c r="N185" i="33"/>
  <c r="J186" i="33"/>
  <c r="K186" i="33"/>
  <c r="N186" i="33"/>
  <c r="J187" i="33"/>
  <c r="K187" i="33"/>
  <c r="N187" i="33"/>
  <c r="J188" i="33"/>
  <c r="K188" i="33"/>
  <c r="N188" i="33"/>
  <c r="J189" i="33"/>
  <c r="K189" i="33"/>
  <c r="N189" i="33"/>
  <c r="J190" i="33"/>
  <c r="K190" i="33"/>
  <c r="N190" i="33"/>
  <c r="J191" i="33"/>
  <c r="K191" i="33"/>
  <c r="N191" i="33"/>
  <c r="J192" i="33"/>
  <c r="K192" i="33"/>
  <c r="N192" i="33"/>
  <c r="J193" i="33"/>
  <c r="K193" i="33"/>
  <c r="N193" i="33"/>
  <c r="J194" i="33"/>
  <c r="K194" i="33"/>
  <c r="N194" i="33"/>
  <c r="J195" i="33"/>
  <c r="K195" i="33"/>
  <c r="N195" i="33"/>
  <c r="J196" i="33"/>
  <c r="K196" i="33"/>
  <c r="N196" i="33"/>
  <c r="J197" i="33"/>
  <c r="K197" i="33"/>
  <c r="N197" i="33"/>
  <c r="J198" i="33"/>
  <c r="K198" i="33"/>
  <c r="N198" i="33"/>
  <c r="J199" i="33"/>
  <c r="K199" i="33"/>
  <c r="N199" i="33"/>
  <c r="J200" i="33"/>
  <c r="K200" i="33"/>
  <c r="N200" i="33"/>
  <c r="J201" i="33"/>
  <c r="K201" i="33"/>
  <c r="N201" i="33"/>
  <c r="J202" i="33"/>
  <c r="K202" i="33"/>
  <c r="N202" i="33"/>
  <c r="J203" i="33"/>
  <c r="K203" i="33"/>
  <c r="N203" i="33"/>
  <c r="J204" i="33"/>
  <c r="K204" i="33"/>
  <c r="N204" i="33"/>
  <c r="J205" i="33"/>
  <c r="K205" i="33"/>
  <c r="N205" i="33"/>
  <c r="G123" i="33"/>
  <c r="G135" i="33" s="1"/>
  <c r="G147" i="33" s="1"/>
  <c r="G159" i="33" s="1"/>
  <c r="G171" i="33" s="1"/>
  <c r="G183" i="33" s="1"/>
  <c r="G195" i="33" s="1"/>
  <c r="M195" i="33" s="1"/>
  <c r="G129" i="33"/>
  <c r="G141" i="33" s="1"/>
  <c r="G153" i="33" s="1"/>
  <c r="G165" i="33" s="1"/>
  <c r="G177" i="33" s="1"/>
  <c r="G189" i="33" s="1"/>
  <c r="G201" i="33" s="1"/>
  <c r="M201" i="33" s="1"/>
  <c r="G132" i="33"/>
  <c r="G144" i="33" s="1"/>
  <c r="G156" i="33" s="1"/>
  <c r="G168" i="33" s="1"/>
  <c r="G180" i="33" s="1"/>
  <c r="G192" i="33" s="1"/>
  <c r="G204" i="33" s="1"/>
  <c r="M204" i="33" s="1"/>
  <c r="G133" i="33"/>
  <c r="G145" i="33" s="1"/>
  <c r="G157" i="33" s="1"/>
  <c r="G169" i="33" s="1"/>
  <c r="G181" i="33" s="1"/>
  <c r="G193" i="33" s="1"/>
  <c r="G205" i="33" s="1"/>
  <c r="M205" i="33" s="1"/>
  <c r="G122" i="33"/>
  <c r="G134" i="33" s="1"/>
  <c r="G146" i="33" s="1"/>
  <c r="G158" i="33" s="1"/>
  <c r="G170" i="33" s="1"/>
  <c r="G182" i="33" s="1"/>
  <c r="G194" i="33" s="1"/>
  <c r="M194" i="33" s="1"/>
  <c r="G124" i="33"/>
  <c r="G136" i="33" s="1"/>
  <c r="G148" i="33" s="1"/>
  <c r="G160" i="33" s="1"/>
  <c r="G172" i="33" s="1"/>
  <c r="G184" i="33" s="1"/>
  <c r="G196" i="33" s="1"/>
  <c r="M196" i="33" s="1"/>
  <c r="G125" i="33"/>
  <c r="M125" i="33" s="1"/>
  <c r="G126" i="33"/>
  <c r="G138" i="33" s="1"/>
  <c r="G150" i="33" s="1"/>
  <c r="G162" i="33" s="1"/>
  <c r="G174" i="33" s="1"/>
  <c r="G186" i="33" s="1"/>
  <c r="G198" i="33" s="1"/>
  <c r="M198" i="33" s="1"/>
  <c r="G127" i="33"/>
  <c r="G139" i="33" s="1"/>
  <c r="G151" i="33" s="1"/>
  <c r="G163" i="33" s="1"/>
  <c r="G175" i="33" s="1"/>
  <c r="G187" i="33" s="1"/>
  <c r="G199" i="33" s="1"/>
  <c r="M199" i="33" s="1"/>
  <c r="G128" i="33"/>
  <c r="M128" i="33" s="1"/>
  <c r="G130" i="33"/>
  <c r="G142" i="33" s="1"/>
  <c r="G131" i="33"/>
  <c r="M131" i="33" s="1"/>
  <c r="H122" i="32"/>
  <c r="J122" i="32"/>
  <c r="H123" i="32"/>
  <c r="J123" i="32"/>
  <c r="H124" i="32"/>
  <c r="J124" i="32"/>
  <c r="H125" i="32"/>
  <c r="J125" i="32"/>
  <c r="H126" i="32"/>
  <c r="J126" i="32"/>
  <c r="H127" i="32"/>
  <c r="J127" i="32"/>
  <c r="H128" i="32"/>
  <c r="J128" i="32"/>
  <c r="H129" i="32"/>
  <c r="J129" i="32"/>
  <c r="H130" i="32"/>
  <c r="J130" i="32"/>
  <c r="H131" i="32"/>
  <c r="J131" i="32"/>
  <c r="H132" i="32"/>
  <c r="J132" i="32"/>
  <c r="H133" i="32"/>
  <c r="J133" i="32"/>
  <c r="H134" i="32"/>
  <c r="J134" i="32"/>
  <c r="H135" i="32"/>
  <c r="J135" i="32"/>
  <c r="H136" i="32"/>
  <c r="J136" i="32"/>
  <c r="H137" i="32"/>
  <c r="J137" i="32"/>
  <c r="H138" i="32"/>
  <c r="J138" i="32"/>
  <c r="H139" i="32"/>
  <c r="J139" i="32"/>
  <c r="H140" i="32"/>
  <c r="J140" i="32"/>
  <c r="H141" i="32"/>
  <c r="J141" i="32"/>
  <c r="H142" i="32"/>
  <c r="J142" i="32"/>
  <c r="H143" i="32"/>
  <c r="J143" i="32"/>
  <c r="H144" i="32"/>
  <c r="J144" i="32"/>
  <c r="H145" i="32"/>
  <c r="J145" i="32"/>
  <c r="H146" i="32"/>
  <c r="J146" i="32"/>
  <c r="H147" i="32"/>
  <c r="J147" i="32"/>
  <c r="H148" i="32"/>
  <c r="J148" i="32"/>
  <c r="H149" i="32"/>
  <c r="J149" i="32"/>
  <c r="H150" i="32"/>
  <c r="J150" i="32"/>
  <c r="H151" i="32"/>
  <c r="J151" i="32"/>
  <c r="H152" i="32"/>
  <c r="J152" i="32"/>
  <c r="H153" i="32"/>
  <c r="J153" i="32"/>
  <c r="H154" i="32"/>
  <c r="J154" i="32"/>
  <c r="H155" i="32"/>
  <c r="J155" i="32"/>
  <c r="H156" i="32"/>
  <c r="J156" i="32"/>
  <c r="H157" i="32"/>
  <c r="J157" i="32"/>
  <c r="H158" i="32"/>
  <c r="J158" i="32"/>
  <c r="H159" i="32"/>
  <c r="J159" i="32"/>
  <c r="H160" i="32"/>
  <c r="J160" i="32"/>
  <c r="H161" i="32"/>
  <c r="J161" i="32"/>
  <c r="H162" i="32"/>
  <c r="J162" i="32"/>
  <c r="H163" i="32"/>
  <c r="J163" i="32"/>
  <c r="H164" i="32"/>
  <c r="J164" i="32"/>
  <c r="H165" i="32"/>
  <c r="J165" i="32"/>
  <c r="H166" i="32"/>
  <c r="J166" i="32"/>
  <c r="H167" i="32"/>
  <c r="J167" i="32"/>
  <c r="H168" i="32"/>
  <c r="J168" i="32"/>
  <c r="H169" i="32"/>
  <c r="J169" i="32"/>
  <c r="H170" i="32"/>
  <c r="J170" i="32"/>
  <c r="H171" i="32"/>
  <c r="J171" i="32"/>
  <c r="H172" i="32"/>
  <c r="J172" i="32"/>
  <c r="H173" i="32"/>
  <c r="J173" i="32"/>
  <c r="H174" i="32"/>
  <c r="J174" i="32"/>
  <c r="H175" i="32"/>
  <c r="J175" i="32"/>
  <c r="H176" i="32"/>
  <c r="J176" i="32"/>
  <c r="H177" i="32"/>
  <c r="J177" i="32"/>
  <c r="H178" i="32"/>
  <c r="J178" i="32"/>
  <c r="H179" i="32"/>
  <c r="J179" i="32"/>
  <c r="H180" i="32"/>
  <c r="J180" i="32"/>
  <c r="H181" i="32"/>
  <c r="J181" i="32"/>
  <c r="H182" i="32"/>
  <c r="J182" i="32"/>
  <c r="H183" i="32"/>
  <c r="J183" i="32"/>
  <c r="H184" i="32"/>
  <c r="J184" i="32"/>
  <c r="H185" i="32"/>
  <c r="J185" i="32"/>
  <c r="H186" i="32"/>
  <c r="J186" i="32"/>
  <c r="H187" i="32"/>
  <c r="J187" i="32"/>
  <c r="H188" i="32"/>
  <c r="J188" i="32"/>
  <c r="H189" i="32"/>
  <c r="J189" i="32"/>
  <c r="H190" i="32"/>
  <c r="J190" i="32"/>
  <c r="H191" i="32"/>
  <c r="J191" i="32"/>
  <c r="H192" i="32"/>
  <c r="J192" i="32"/>
  <c r="H193" i="32"/>
  <c r="J193" i="32"/>
  <c r="H194" i="32"/>
  <c r="J194" i="32"/>
  <c r="H195" i="32"/>
  <c r="J195" i="32"/>
  <c r="H196" i="32"/>
  <c r="J196" i="32"/>
  <c r="H197" i="32"/>
  <c r="J197" i="32"/>
  <c r="H198" i="32"/>
  <c r="J198" i="32"/>
  <c r="H199" i="32"/>
  <c r="J199" i="32"/>
  <c r="H200" i="32"/>
  <c r="J200" i="32"/>
  <c r="H201" i="32"/>
  <c r="J201" i="32"/>
  <c r="H202" i="32"/>
  <c r="J202" i="32"/>
  <c r="H203" i="32"/>
  <c r="J203" i="32"/>
  <c r="H204" i="32"/>
  <c r="J204" i="32"/>
  <c r="H205" i="32"/>
  <c r="J205" i="32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G124" i="31"/>
  <c r="G136" i="31" s="1"/>
  <c r="G148" i="31" s="1"/>
  <c r="G160" i="31" s="1"/>
  <c r="G172" i="31" s="1"/>
  <c r="G184" i="31" s="1"/>
  <c r="G196" i="31" s="1"/>
  <c r="O196" i="31" s="1"/>
  <c r="G125" i="31"/>
  <c r="G137" i="31" s="1"/>
  <c r="G149" i="31" s="1"/>
  <c r="G161" i="31" s="1"/>
  <c r="G173" i="31" s="1"/>
  <c r="G185" i="31" s="1"/>
  <c r="G197" i="31" s="1"/>
  <c r="O197" i="31" s="1"/>
  <c r="G127" i="31"/>
  <c r="G139" i="31" s="1"/>
  <c r="G151" i="31" s="1"/>
  <c r="G163" i="31" s="1"/>
  <c r="G175" i="31" s="1"/>
  <c r="G187" i="31" s="1"/>
  <c r="G199" i="31" s="1"/>
  <c r="O199" i="31" s="1"/>
  <c r="G130" i="31"/>
  <c r="G142" i="31" s="1"/>
  <c r="G154" i="31" s="1"/>
  <c r="G166" i="31" s="1"/>
  <c r="G178" i="31" s="1"/>
  <c r="G190" i="31" s="1"/>
  <c r="G202" i="31" s="1"/>
  <c r="O202" i="31" s="1"/>
  <c r="G132" i="31"/>
  <c r="G144" i="31" s="1"/>
  <c r="G156" i="31" s="1"/>
  <c r="G168" i="31" s="1"/>
  <c r="G180" i="31" s="1"/>
  <c r="G192" i="31" s="1"/>
  <c r="G204" i="31" s="1"/>
  <c r="O204" i="31" s="1"/>
  <c r="G133" i="31"/>
  <c r="G145" i="31" s="1"/>
  <c r="G157" i="31" s="1"/>
  <c r="G169" i="31" s="1"/>
  <c r="G181" i="31" s="1"/>
  <c r="G193" i="31" s="1"/>
  <c r="G205" i="31" s="1"/>
  <c r="O205" i="31" s="1"/>
  <c r="G122" i="31"/>
  <c r="O122" i="31" s="1"/>
  <c r="G123" i="31"/>
  <c r="G135" i="31" s="1"/>
  <c r="G147" i="31" s="1"/>
  <c r="G159" i="31" s="1"/>
  <c r="G171" i="31" s="1"/>
  <c r="G183" i="31" s="1"/>
  <c r="G195" i="31" s="1"/>
  <c r="O195" i="31" s="1"/>
  <c r="G126" i="31"/>
  <c r="G138" i="31" s="1"/>
  <c r="G150" i="31" s="1"/>
  <c r="G162" i="31" s="1"/>
  <c r="G174" i="31" s="1"/>
  <c r="G186" i="31" s="1"/>
  <c r="G198" i="31" s="1"/>
  <c r="O198" i="31" s="1"/>
  <c r="G128" i="31"/>
  <c r="G140" i="31" s="1"/>
  <c r="G152" i="31" s="1"/>
  <c r="G164" i="31" s="1"/>
  <c r="G176" i="31" s="1"/>
  <c r="G188" i="31" s="1"/>
  <c r="G200" i="31" s="1"/>
  <c r="O200" i="31" s="1"/>
  <c r="G129" i="31"/>
  <c r="G141" i="31" s="1"/>
  <c r="G153" i="31" s="1"/>
  <c r="G165" i="31" s="1"/>
  <c r="G177" i="31" s="1"/>
  <c r="G189" i="31" s="1"/>
  <c r="G201" i="31" s="1"/>
  <c r="O201" i="31" s="1"/>
  <c r="G131" i="31"/>
  <c r="G143" i="31" s="1"/>
  <c r="G155" i="31" s="1"/>
  <c r="G167" i="31" s="1"/>
  <c r="G179" i="31" s="1"/>
  <c r="G191" i="31" s="1"/>
  <c r="G203" i="31" s="1"/>
  <c r="O203" i="31" s="1"/>
  <c r="K123" i="30"/>
  <c r="N123" i="30"/>
  <c r="K124" i="30"/>
  <c r="N124" i="30"/>
  <c r="K125" i="30"/>
  <c r="N125" i="30"/>
  <c r="K126" i="30"/>
  <c r="N126" i="30"/>
  <c r="K127" i="30"/>
  <c r="N127" i="30"/>
  <c r="K128" i="30"/>
  <c r="N128" i="30"/>
  <c r="K129" i="30"/>
  <c r="N129" i="30"/>
  <c r="K130" i="30"/>
  <c r="N130" i="30"/>
  <c r="K131" i="30"/>
  <c r="N131" i="30"/>
  <c r="K132" i="30"/>
  <c r="N132" i="30"/>
  <c r="K133" i="30"/>
  <c r="N133" i="30"/>
  <c r="K134" i="30"/>
  <c r="N134" i="30"/>
  <c r="K135" i="30"/>
  <c r="N135" i="30"/>
  <c r="K136" i="30"/>
  <c r="N136" i="30"/>
  <c r="K137" i="30"/>
  <c r="N137" i="30"/>
  <c r="K138" i="30"/>
  <c r="N138" i="30"/>
  <c r="K139" i="30"/>
  <c r="N139" i="30"/>
  <c r="K140" i="30"/>
  <c r="N140" i="30"/>
  <c r="K141" i="30"/>
  <c r="N141" i="30"/>
  <c r="K142" i="30"/>
  <c r="N142" i="30"/>
  <c r="K143" i="30"/>
  <c r="N143" i="30"/>
  <c r="K144" i="30"/>
  <c r="N144" i="30"/>
  <c r="K145" i="30"/>
  <c r="N145" i="30"/>
  <c r="K146" i="30"/>
  <c r="N146" i="30"/>
  <c r="K147" i="30"/>
  <c r="N147" i="30"/>
  <c r="K148" i="30"/>
  <c r="N148" i="30"/>
  <c r="K149" i="30"/>
  <c r="N149" i="30"/>
  <c r="K150" i="30"/>
  <c r="N150" i="30"/>
  <c r="K151" i="30"/>
  <c r="N151" i="30"/>
  <c r="K152" i="30"/>
  <c r="N152" i="30"/>
  <c r="K153" i="30"/>
  <c r="N153" i="30"/>
  <c r="K154" i="30"/>
  <c r="N154" i="30"/>
  <c r="K155" i="30"/>
  <c r="N155" i="30"/>
  <c r="K156" i="30"/>
  <c r="N156" i="30"/>
  <c r="K157" i="30"/>
  <c r="N157" i="30"/>
  <c r="K158" i="30"/>
  <c r="N158" i="30"/>
  <c r="K159" i="30"/>
  <c r="N159" i="30"/>
  <c r="K160" i="30"/>
  <c r="N160" i="30"/>
  <c r="K161" i="30"/>
  <c r="N161" i="30"/>
  <c r="K162" i="30"/>
  <c r="N162" i="30"/>
  <c r="K163" i="30"/>
  <c r="N163" i="30"/>
  <c r="K164" i="30"/>
  <c r="N164" i="30"/>
  <c r="K165" i="30"/>
  <c r="N165" i="30"/>
  <c r="K166" i="30"/>
  <c r="N166" i="30"/>
  <c r="K167" i="30"/>
  <c r="N167" i="30"/>
  <c r="K168" i="30"/>
  <c r="N168" i="30"/>
  <c r="K169" i="30"/>
  <c r="N169" i="30"/>
  <c r="K170" i="30"/>
  <c r="N170" i="30"/>
  <c r="K171" i="30"/>
  <c r="N171" i="30"/>
  <c r="K172" i="30"/>
  <c r="N172" i="30"/>
  <c r="K173" i="30"/>
  <c r="N173" i="30"/>
  <c r="K174" i="30"/>
  <c r="N174" i="30"/>
  <c r="K175" i="30"/>
  <c r="N175" i="30"/>
  <c r="K176" i="30"/>
  <c r="N176" i="30"/>
  <c r="K177" i="30"/>
  <c r="N177" i="30"/>
  <c r="K178" i="30"/>
  <c r="N178" i="30"/>
  <c r="K179" i="30"/>
  <c r="N179" i="30"/>
  <c r="K180" i="30"/>
  <c r="N180" i="30"/>
  <c r="K181" i="30"/>
  <c r="N181" i="30"/>
  <c r="K182" i="30"/>
  <c r="N182" i="30"/>
  <c r="K183" i="30"/>
  <c r="N183" i="30"/>
  <c r="K184" i="30"/>
  <c r="N184" i="30"/>
  <c r="K185" i="30"/>
  <c r="N185" i="30"/>
  <c r="K186" i="30"/>
  <c r="N186" i="30"/>
  <c r="K187" i="30"/>
  <c r="N187" i="30"/>
  <c r="K188" i="30"/>
  <c r="N188" i="30"/>
  <c r="K189" i="30"/>
  <c r="N189" i="30"/>
  <c r="K190" i="30"/>
  <c r="N190" i="30"/>
  <c r="K191" i="30"/>
  <c r="N191" i="30"/>
  <c r="K192" i="30"/>
  <c r="N192" i="30"/>
  <c r="K193" i="30"/>
  <c r="N193" i="30"/>
  <c r="K194" i="30"/>
  <c r="N194" i="30"/>
  <c r="K195" i="30"/>
  <c r="N195" i="30"/>
  <c r="K196" i="30"/>
  <c r="N196" i="30"/>
  <c r="K197" i="30"/>
  <c r="N197" i="30"/>
  <c r="K198" i="30"/>
  <c r="N198" i="30"/>
  <c r="K199" i="30"/>
  <c r="N199" i="30"/>
  <c r="K200" i="30"/>
  <c r="N200" i="30"/>
  <c r="K201" i="30"/>
  <c r="N201" i="30"/>
  <c r="K202" i="30"/>
  <c r="N202" i="30"/>
  <c r="K203" i="30"/>
  <c r="N203" i="30"/>
  <c r="K204" i="30"/>
  <c r="N204" i="30"/>
  <c r="K205" i="30"/>
  <c r="N205" i="30"/>
  <c r="B219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172" i="6"/>
  <c r="B173" i="6"/>
  <c r="B174" i="6"/>
  <c r="B175" i="6"/>
  <c r="B176" i="6"/>
  <c r="B177" i="6"/>
  <c r="B178" i="6"/>
  <c r="B179" i="6"/>
  <c r="B180" i="6"/>
  <c r="B181" i="6"/>
  <c r="B182" i="6"/>
  <c r="B228" i="6"/>
  <c r="B229" i="6" s="1"/>
  <c r="L122" i="29"/>
  <c r="R122" i="29"/>
  <c r="L123" i="29"/>
  <c r="R123" i="29"/>
  <c r="L124" i="29"/>
  <c r="R124" i="29"/>
  <c r="L125" i="29"/>
  <c r="R125" i="29"/>
  <c r="L126" i="29"/>
  <c r="R126" i="29"/>
  <c r="L127" i="29"/>
  <c r="R127" i="29"/>
  <c r="L128" i="29"/>
  <c r="R128" i="29"/>
  <c r="L129" i="29"/>
  <c r="R129" i="29"/>
  <c r="L130" i="29"/>
  <c r="R130" i="29"/>
  <c r="L131" i="29"/>
  <c r="R131" i="29"/>
  <c r="L132" i="29"/>
  <c r="R132" i="29"/>
  <c r="L133" i="29"/>
  <c r="R133" i="29"/>
  <c r="L134" i="29"/>
  <c r="R134" i="29"/>
  <c r="L135" i="29"/>
  <c r="R135" i="29"/>
  <c r="L136" i="29"/>
  <c r="R136" i="29"/>
  <c r="L137" i="29"/>
  <c r="R137" i="29"/>
  <c r="L138" i="29"/>
  <c r="R138" i="29"/>
  <c r="L139" i="29"/>
  <c r="R139" i="29"/>
  <c r="L140" i="29"/>
  <c r="R140" i="29"/>
  <c r="L141" i="29"/>
  <c r="R141" i="29"/>
  <c r="L142" i="29"/>
  <c r="R142" i="29"/>
  <c r="L143" i="29"/>
  <c r="R143" i="29"/>
  <c r="L144" i="29"/>
  <c r="R144" i="29"/>
  <c r="L145" i="29"/>
  <c r="R145" i="29"/>
  <c r="L146" i="29"/>
  <c r="R146" i="29"/>
  <c r="L147" i="29"/>
  <c r="R147" i="29"/>
  <c r="L148" i="29"/>
  <c r="R148" i="29"/>
  <c r="L149" i="29"/>
  <c r="R149" i="29"/>
  <c r="L150" i="29"/>
  <c r="R150" i="29"/>
  <c r="L151" i="29"/>
  <c r="R151" i="29"/>
  <c r="L152" i="29"/>
  <c r="R152" i="29"/>
  <c r="L153" i="29"/>
  <c r="R153" i="29"/>
  <c r="L154" i="29"/>
  <c r="R154" i="29"/>
  <c r="L155" i="29"/>
  <c r="R155" i="29"/>
  <c r="L156" i="29"/>
  <c r="R156" i="29"/>
  <c r="L157" i="29"/>
  <c r="R157" i="29"/>
  <c r="L158" i="29"/>
  <c r="R158" i="29"/>
  <c r="L159" i="29"/>
  <c r="R159" i="29"/>
  <c r="L160" i="29"/>
  <c r="R160" i="29"/>
  <c r="L161" i="29"/>
  <c r="R161" i="29"/>
  <c r="L162" i="29"/>
  <c r="R162" i="29"/>
  <c r="L163" i="29"/>
  <c r="R163" i="29"/>
  <c r="L164" i="29"/>
  <c r="R164" i="29"/>
  <c r="L165" i="29"/>
  <c r="R165" i="29"/>
  <c r="L166" i="29"/>
  <c r="R166" i="29"/>
  <c r="L167" i="29"/>
  <c r="R167" i="29"/>
  <c r="L168" i="29"/>
  <c r="R168" i="29"/>
  <c r="L169" i="29"/>
  <c r="R169" i="29"/>
  <c r="L170" i="29"/>
  <c r="R170" i="29"/>
  <c r="L171" i="29"/>
  <c r="R171" i="29"/>
  <c r="L172" i="29"/>
  <c r="R172" i="29"/>
  <c r="L173" i="29"/>
  <c r="R173" i="29"/>
  <c r="L174" i="29"/>
  <c r="R174" i="29"/>
  <c r="L175" i="29"/>
  <c r="R175" i="29"/>
  <c r="L176" i="29"/>
  <c r="R176" i="29"/>
  <c r="L177" i="29"/>
  <c r="R177" i="29"/>
  <c r="L178" i="29"/>
  <c r="R178" i="29"/>
  <c r="L179" i="29"/>
  <c r="R179" i="29"/>
  <c r="L180" i="29"/>
  <c r="R180" i="29"/>
  <c r="L181" i="29"/>
  <c r="R181" i="29"/>
  <c r="L182" i="29"/>
  <c r="R182" i="29"/>
  <c r="L183" i="29"/>
  <c r="R183" i="29"/>
  <c r="L184" i="29"/>
  <c r="R184" i="29"/>
  <c r="L185" i="29"/>
  <c r="R185" i="29"/>
  <c r="L186" i="29"/>
  <c r="R186" i="29"/>
  <c r="L187" i="29"/>
  <c r="R187" i="29"/>
  <c r="L188" i="29"/>
  <c r="R188" i="29"/>
  <c r="L189" i="29"/>
  <c r="R189" i="29"/>
  <c r="L190" i="29"/>
  <c r="R190" i="29"/>
  <c r="L191" i="29"/>
  <c r="R191" i="29"/>
  <c r="L192" i="29"/>
  <c r="R192" i="29"/>
  <c r="L193" i="29"/>
  <c r="R193" i="29"/>
  <c r="L194" i="29"/>
  <c r="R194" i="29"/>
  <c r="L195" i="29"/>
  <c r="R195" i="29"/>
  <c r="L196" i="29"/>
  <c r="R196" i="29"/>
  <c r="L197" i="29"/>
  <c r="R197" i="29"/>
  <c r="L198" i="29"/>
  <c r="R198" i="29"/>
  <c r="L199" i="29"/>
  <c r="R199" i="29"/>
  <c r="L200" i="29"/>
  <c r="R200" i="29"/>
  <c r="L201" i="29"/>
  <c r="R201" i="29"/>
  <c r="L202" i="29"/>
  <c r="R202" i="29"/>
  <c r="L203" i="29"/>
  <c r="R203" i="29"/>
  <c r="L204" i="29"/>
  <c r="R204" i="29"/>
  <c r="L205" i="29"/>
  <c r="R205" i="29"/>
  <c r="H122" i="29"/>
  <c r="H123" i="29" s="1"/>
  <c r="H124" i="29" s="1"/>
  <c r="H125" i="29" s="1"/>
  <c r="H126" i="29" s="1"/>
  <c r="H127" i="29" s="1"/>
  <c r="H128" i="29" s="1"/>
  <c r="H129" i="29" s="1"/>
  <c r="H130" i="29" s="1"/>
  <c r="H131" i="29" s="1"/>
  <c r="H132" i="29" s="1"/>
  <c r="H133" i="29" s="1"/>
  <c r="H134" i="29" s="1"/>
  <c r="H135" i="29" s="1"/>
  <c r="H136" i="29" s="1"/>
  <c r="H137" i="29" s="1"/>
  <c r="H138" i="29" s="1"/>
  <c r="H139" i="29" s="1"/>
  <c r="H140" i="29" s="1"/>
  <c r="H141" i="29" s="1"/>
  <c r="H142" i="29" s="1"/>
  <c r="H143" i="29" s="1"/>
  <c r="H144" i="29" s="1"/>
  <c r="H145" i="29" s="1"/>
  <c r="H146" i="29" s="1"/>
  <c r="H147" i="29" s="1"/>
  <c r="H148" i="29" s="1"/>
  <c r="H149" i="29" s="1"/>
  <c r="H150" i="29" s="1"/>
  <c r="H151" i="29" s="1"/>
  <c r="H152" i="29" s="1"/>
  <c r="H153" i="29" s="1"/>
  <c r="H154" i="29" s="1"/>
  <c r="H155" i="29" s="1"/>
  <c r="H156" i="29" s="1"/>
  <c r="H157" i="29" s="1"/>
  <c r="H158" i="29" s="1"/>
  <c r="H159" i="29" s="1"/>
  <c r="H160" i="29" s="1"/>
  <c r="H161" i="29" s="1"/>
  <c r="H162" i="29" s="1"/>
  <c r="H163" i="29" s="1"/>
  <c r="H164" i="29" s="1"/>
  <c r="H165" i="29" s="1"/>
  <c r="H166" i="29" s="1"/>
  <c r="H167" i="29" s="1"/>
  <c r="H168" i="29" s="1"/>
  <c r="H169" i="29" s="1"/>
  <c r="H170" i="29" s="1"/>
  <c r="H171" i="29" s="1"/>
  <c r="H172" i="29" s="1"/>
  <c r="H173" i="29" s="1"/>
  <c r="H174" i="29" s="1"/>
  <c r="H175" i="29" s="1"/>
  <c r="H176" i="29" s="1"/>
  <c r="H177" i="29" s="1"/>
  <c r="H178" i="29" s="1"/>
  <c r="H179" i="29" s="1"/>
  <c r="H180" i="29" s="1"/>
  <c r="H181" i="29" s="1"/>
  <c r="H182" i="29" s="1"/>
  <c r="H183" i="29" s="1"/>
  <c r="H184" i="29" s="1"/>
  <c r="H185" i="29" s="1"/>
  <c r="H186" i="29" s="1"/>
  <c r="H187" i="29" s="1"/>
  <c r="H188" i="29" s="1"/>
  <c r="H189" i="29" s="1"/>
  <c r="H190" i="29" s="1"/>
  <c r="H191" i="29" s="1"/>
  <c r="H192" i="29" s="1"/>
  <c r="H193" i="29" s="1"/>
  <c r="H194" i="29" s="1"/>
  <c r="H195" i="29" s="1"/>
  <c r="H196" i="29" s="1"/>
  <c r="H197" i="29" s="1"/>
  <c r="H198" i="29" s="1"/>
  <c r="H199" i="29" s="1"/>
  <c r="H200" i="29" s="1"/>
  <c r="H201" i="29" s="1"/>
  <c r="H202" i="29" s="1"/>
  <c r="H203" i="29" s="1"/>
  <c r="H204" i="29" s="1"/>
  <c r="H205" i="29" s="1"/>
  <c r="P205" i="29" s="1"/>
  <c r="G127" i="29"/>
  <c r="G139" i="29" s="1"/>
  <c r="G151" i="29" s="1"/>
  <c r="G163" i="29" s="1"/>
  <c r="G175" i="29" s="1"/>
  <c r="G187" i="29" s="1"/>
  <c r="G199" i="29" s="1"/>
  <c r="O199" i="29" s="1"/>
  <c r="G129" i="29"/>
  <c r="G141" i="29" s="1"/>
  <c r="G153" i="29" s="1"/>
  <c r="G165" i="29" s="1"/>
  <c r="G177" i="29" s="1"/>
  <c r="G189" i="29" s="1"/>
  <c r="G201" i="29" s="1"/>
  <c r="O201" i="29" s="1"/>
  <c r="G130" i="29"/>
  <c r="G142" i="29" s="1"/>
  <c r="G154" i="29" s="1"/>
  <c r="G166" i="29" s="1"/>
  <c r="G178" i="29" s="1"/>
  <c r="G190" i="29" s="1"/>
  <c r="G202" i="29" s="1"/>
  <c r="O202" i="29" s="1"/>
  <c r="G122" i="29"/>
  <c r="O122" i="29" s="1"/>
  <c r="G123" i="29"/>
  <c r="G135" i="29" s="1"/>
  <c r="G147" i="29" s="1"/>
  <c r="G159" i="29" s="1"/>
  <c r="G171" i="29" s="1"/>
  <c r="G183" i="29" s="1"/>
  <c r="G195" i="29" s="1"/>
  <c r="O195" i="29" s="1"/>
  <c r="G124" i="29"/>
  <c r="G136" i="29" s="1"/>
  <c r="G148" i="29" s="1"/>
  <c r="G160" i="29" s="1"/>
  <c r="G172" i="29" s="1"/>
  <c r="G184" i="29" s="1"/>
  <c r="G196" i="29" s="1"/>
  <c r="O196" i="29" s="1"/>
  <c r="G125" i="29"/>
  <c r="O125" i="29" s="1"/>
  <c r="G126" i="29"/>
  <c r="G138" i="29" s="1"/>
  <c r="G150" i="29" s="1"/>
  <c r="G162" i="29" s="1"/>
  <c r="G174" i="29" s="1"/>
  <c r="G186" i="29" s="1"/>
  <c r="G198" i="29" s="1"/>
  <c r="O198" i="29" s="1"/>
  <c r="G128" i="29"/>
  <c r="O128" i="29" s="1"/>
  <c r="G131" i="29"/>
  <c r="G143" i="29" s="1"/>
  <c r="G155" i="29" s="1"/>
  <c r="G167" i="29" s="1"/>
  <c r="G179" i="29" s="1"/>
  <c r="G191" i="29" s="1"/>
  <c r="G203" i="29" s="1"/>
  <c r="O203" i="29" s="1"/>
  <c r="G132" i="29"/>
  <c r="O132" i="29" s="1"/>
  <c r="G133" i="29"/>
  <c r="G145" i="29" s="1"/>
  <c r="G157" i="29" s="1"/>
  <c r="G169" i="29" s="1"/>
  <c r="G181" i="29" s="1"/>
  <c r="G193" i="29" s="1"/>
  <c r="G205" i="29" s="1"/>
  <c r="O205" i="29" s="1"/>
  <c r="M122" i="28"/>
  <c r="P122" i="28"/>
  <c r="Q122" i="28"/>
  <c r="M123" i="28"/>
  <c r="P123" i="28"/>
  <c r="Q123" i="28"/>
  <c r="M124" i="28"/>
  <c r="P124" i="28"/>
  <c r="Q124" i="28"/>
  <c r="M125" i="28"/>
  <c r="P125" i="28"/>
  <c r="Q125" i="28"/>
  <c r="M126" i="28"/>
  <c r="P126" i="28"/>
  <c r="Q126" i="28"/>
  <c r="M127" i="28"/>
  <c r="P127" i="28"/>
  <c r="Q127" i="28"/>
  <c r="M128" i="28"/>
  <c r="P128" i="28"/>
  <c r="Q128" i="28"/>
  <c r="M129" i="28"/>
  <c r="P129" i="28"/>
  <c r="Q129" i="28"/>
  <c r="M130" i="28"/>
  <c r="P130" i="28"/>
  <c r="Q130" i="28"/>
  <c r="M131" i="28"/>
  <c r="P131" i="28"/>
  <c r="Q131" i="28"/>
  <c r="M132" i="28"/>
  <c r="P132" i="28"/>
  <c r="Q132" i="28"/>
  <c r="M133" i="28"/>
  <c r="P133" i="28"/>
  <c r="Q133" i="28"/>
  <c r="M134" i="28"/>
  <c r="P134" i="28"/>
  <c r="Q134" i="28"/>
  <c r="M135" i="28"/>
  <c r="P135" i="28"/>
  <c r="Q135" i="28"/>
  <c r="M136" i="28"/>
  <c r="P136" i="28"/>
  <c r="Q136" i="28"/>
  <c r="M137" i="28"/>
  <c r="P137" i="28"/>
  <c r="Q137" i="28"/>
  <c r="M138" i="28"/>
  <c r="P138" i="28"/>
  <c r="Q138" i="28"/>
  <c r="M139" i="28"/>
  <c r="P139" i="28"/>
  <c r="Q139" i="28"/>
  <c r="M140" i="28"/>
  <c r="P140" i="28"/>
  <c r="Q140" i="28"/>
  <c r="M141" i="28"/>
  <c r="P141" i="28"/>
  <c r="Q141" i="28"/>
  <c r="M142" i="28"/>
  <c r="P142" i="28"/>
  <c r="Q142" i="28"/>
  <c r="M143" i="28"/>
  <c r="P143" i="28"/>
  <c r="Q143" i="28"/>
  <c r="M144" i="28"/>
  <c r="P144" i="28"/>
  <c r="Q144" i="28"/>
  <c r="M145" i="28"/>
  <c r="P145" i="28"/>
  <c r="Q145" i="28"/>
  <c r="M146" i="28"/>
  <c r="P146" i="28"/>
  <c r="Q146" i="28"/>
  <c r="M147" i="28"/>
  <c r="P147" i="28"/>
  <c r="Q147" i="28"/>
  <c r="M148" i="28"/>
  <c r="P148" i="28"/>
  <c r="Q148" i="28"/>
  <c r="M149" i="28"/>
  <c r="P149" i="28"/>
  <c r="Q149" i="28"/>
  <c r="M150" i="28"/>
  <c r="P150" i="28"/>
  <c r="Q150" i="28"/>
  <c r="M151" i="28"/>
  <c r="P151" i="28"/>
  <c r="Q151" i="28"/>
  <c r="M152" i="28"/>
  <c r="P152" i="28"/>
  <c r="Q152" i="28"/>
  <c r="M153" i="28"/>
  <c r="P153" i="28"/>
  <c r="Q153" i="28"/>
  <c r="M154" i="28"/>
  <c r="P154" i="28"/>
  <c r="Q154" i="28"/>
  <c r="M155" i="28"/>
  <c r="P155" i="28"/>
  <c r="Q155" i="28"/>
  <c r="M156" i="28"/>
  <c r="P156" i="28"/>
  <c r="Q156" i="28"/>
  <c r="M157" i="28"/>
  <c r="P157" i="28"/>
  <c r="Q157" i="28"/>
  <c r="M158" i="28"/>
  <c r="P158" i="28"/>
  <c r="Q158" i="28"/>
  <c r="M159" i="28"/>
  <c r="P159" i="28"/>
  <c r="Q159" i="28"/>
  <c r="M160" i="28"/>
  <c r="P160" i="28"/>
  <c r="Q160" i="28"/>
  <c r="M161" i="28"/>
  <c r="P161" i="28"/>
  <c r="Q161" i="28"/>
  <c r="M162" i="28"/>
  <c r="P162" i="28"/>
  <c r="Q162" i="28"/>
  <c r="M163" i="28"/>
  <c r="P163" i="28"/>
  <c r="Q163" i="28"/>
  <c r="M164" i="28"/>
  <c r="P164" i="28"/>
  <c r="Q164" i="28"/>
  <c r="M165" i="28"/>
  <c r="P165" i="28"/>
  <c r="Q165" i="28"/>
  <c r="M166" i="28"/>
  <c r="P166" i="28"/>
  <c r="Q166" i="28"/>
  <c r="M167" i="28"/>
  <c r="P167" i="28"/>
  <c r="Q167" i="28"/>
  <c r="M168" i="28"/>
  <c r="P168" i="28"/>
  <c r="Q168" i="28"/>
  <c r="M169" i="28"/>
  <c r="P169" i="28"/>
  <c r="Q169" i="28"/>
  <c r="M170" i="28"/>
  <c r="P170" i="28"/>
  <c r="Q170" i="28"/>
  <c r="M171" i="28"/>
  <c r="P171" i="28"/>
  <c r="Q171" i="28"/>
  <c r="M172" i="28"/>
  <c r="P172" i="28"/>
  <c r="Q172" i="28"/>
  <c r="M173" i="28"/>
  <c r="P173" i="28"/>
  <c r="Q173" i="28"/>
  <c r="M174" i="28"/>
  <c r="P174" i="28"/>
  <c r="Q174" i="28"/>
  <c r="M175" i="28"/>
  <c r="P175" i="28"/>
  <c r="Q175" i="28"/>
  <c r="M176" i="28"/>
  <c r="P176" i="28"/>
  <c r="Q176" i="28"/>
  <c r="M177" i="28"/>
  <c r="P177" i="28"/>
  <c r="Q177" i="28"/>
  <c r="M178" i="28"/>
  <c r="P178" i="28"/>
  <c r="Q178" i="28"/>
  <c r="M179" i="28"/>
  <c r="P179" i="28"/>
  <c r="Q179" i="28"/>
  <c r="M180" i="28"/>
  <c r="P180" i="28"/>
  <c r="Q180" i="28"/>
  <c r="M181" i="28"/>
  <c r="P181" i="28"/>
  <c r="Q181" i="28"/>
  <c r="M182" i="28"/>
  <c r="P182" i="28"/>
  <c r="Q182" i="28"/>
  <c r="M183" i="28"/>
  <c r="P183" i="28"/>
  <c r="Q183" i="28"/>
  <c r="M184" i="28"/>
  <c r="P184" i="28"/>
  <c r="Q184" i="28"/>
  <c r="M185" i="28"/>
  <c r="P185" i="28"/>
  <c r="Q185" i="28"/>
  <c r="M186" i="28"/>
  <c r="P186" i="28"/>
  <c r="Q186" i="28"/>
  <c r="M187" i="28"/>
  <c r="P187" i="28"/>
  <c r="Q187" i="28"/>
  <c r="M188" i="28"/>
  <c r="P188" i="28"/>
  <c r="Q188" i="28"/>
  <c r="M189" i="28"/>
  <c r="P189" i="28"/>
  <c r="Q189" i="28"/>
  <c r="M190" i="28"/>
  <c r="P190" i="28"/>
  <c r="Q190" i="28"/>
  <c r="M191" i="28"/>
  <c r="P191" i="28"/>
  <c r="Q191" i="28"/>
  <c r="M192" i="28"/>
  <c r="P192" i="28"/>
  <c r="Q192" i="28"/>
  <c r="M193" i="28"/>
  <c r="P193" i="28"/>
  <c r="Q193" i="28"/>
  <c r="M194" i="28"/>
  <c r="P194" i="28"/>
  <c r="Q194" i="28"/>
  <c r="M195" i="28"/>
  <c r="P195" i="28"/>
  <c r="Q195" i="28"/>
  <c r="M196" i="28"/>
  <c r="P196" i="28"/>
  <c r="Q196" i="28"/>
  <c r="M197" i="28"/>
  <c r="P197" i="28"/>
  <c r="Q197" i="28"/>
  <c r="M198" i="28"/>
  <c r="P198" i="28"/>
  <c r="Q198" i="28"/>
  <c r="M199" i="28"/>
  <c r="P199" i="28"/>
  <c r="Q199" i="28"/>
  <c r="M200" i="28"/>
  <c r="P200" i="28"/>
  <c r="Q200" i="28"/>
  <c r="M201" i="28"/>
  <c r="P201" i="28"/>
  <c r="Q201" i="28"/>
  <c r="M202" i="28"/>
  <c r="P202" i="28"/>
  <c r="Q202" i="28"/>
  <c r="M203" i="28"/>
  <c r="P203" i="28"/>
  <c r="Q203" i="28"/>
  <c r="M204" i="28"/>
  <c r="P204" i="28"/>
  <c r="Q204" i="28"/>
  <c r="M205" i="28"/>
  <c r="P205" i="28"/>
  <c r="Q205" i="28"/>
  <c r="I128" i="28"/>
  <c r="I140" i="28" s="1"/>
  <c r="I152" i="28" s="1"/>
  <c r="I164" i="28" s="1"/>
  <c r="I176" i="28" s="1"/>
  <c r="I188" i="28" s="1"/>
  <c r="I200" i="28" s="1"/>
  <c r="R200" i="28" s="1"/>
  <c r="I129" i="28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E97" i="37"/>
  <c r="I96" i="37"/>
  <c r="E96" i="37"/>
  <c r="I95" i="37"/>
  <c r="E95" i="37"/>
  <c r="J95" i="37" s="1"/>
  <c r="I94" i="37"/>
  <c r="E94" i="37"/>
  <c r="J94" i="37" s="1"/>
  <c r="I93" i="37"/>
  <c r="E93" i="37"/>
  <c r="J93" i="37" s="1"/>
  <c r="I92" i="37"/>
  <c r="E92" i="37"/>
  <c r="J92" i="37" s="1"/>
  <c r="I91" i="37"/>
  <c r="E91" i="37"/>
  <c r="I90" i="37"/>
  <c r="E90" i="37"/>
  <c r="E126" i="37" s="1"/>
  <c r="E162" i="37" s="1"/>
  <c r="E198" i="37" s="1"/>
  <c r="J198" i="37" s="1"/>
  <c r="I89" i="37"/>
  <c r="E89" i="37"/>
  <c r="J89" i="37" s="1"/>
  <c r="I88" i="37"/>
  <c r="E88" i="37"/>
  <c r="I87" i="37"/>
  <c r="E87" i="37"/>
  <c r="J87" i="37" s="1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E63" i="37"/>
  <c r="J63" i="37" s="1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E49" i="37"/>
  <c r="J49" i="37" s="1"/>
  <c r="I48" i="37"/>
  <c r="E48" i="37"/>
  <c r="J48" i="37" s="1"/>
  <c r="I47" i="37"/>
  <c r="E47" i="37"/>
  <c r="J47" i="37" s="1"/>
  <c r="I46" i="37"/>
  <c r="E46" i="37"/>
  <c r="J46" i="37" s="1"/>
  <c r="I45" i="37"/>
  <c r="E45" i="37"/>
  <c r="J45" i="37" s="1"/>
  <c r="I44" i="37"/>
  <c r="E44" i="37"/>
  <c r="J44" i="37" s="1"/>
  <c r="I43" i="37"/>
  <c r="E43" i="37"/>
  <c r="J43" i="37" s="1"/>
  <c r="I42" i="37"/>
  <c r="E42" i="37"/>
  <c r="J42" i="37" s="1"/>
  <c r="I41" i="37"/>
  <c r="E41" i="37"/>
  <c r="J41" i="37" s="1"/>
  <c r="I40" i="37"/>
  <c r="E40" i="37"/>
  <c r="J40" i="37" s="1"/>
  <c r="I39" i="37"/>
  <c r="E39" i="37"/>
  <c r="J39" i="37" s="1"/>
  <c r="I38" i="37"/>
  <c r="E38" i="37"/>
  <c r="J38" i="37" s="1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E15" i="37"/>
  <c r="J15" i="37" s="1"/>
  <c r="I14" i="37"/>
  <c r="I13" i="37"/>
  <c r="I12" i="37"/>
  <c r="I11" i="37"/>
  <c r="I10" i="37"/>
  <c r="I9" i="37"/>
  <c r="I8" i="37"/>
  <c r="I7" i="37"/>
  <c r="I6" i="37"/>
  <c r="I5" i="37"/>
  <c r="I4" i="37"/>
  <c r="I3" i="37"/>
  <c r="I2" i="37"/>
  <c r="I1" i="37"/>
  <c r="E1" i="37"/>
  <c r="J1" i="37" s="1"/>
  <c r="K108" i="36"/>
  <c r="I108" i="36"/>
  <c r="P108" i="36" s="1"/>
  <c r="H108" i="36"/>
  <c r="O108" i="36" s="1"/>
  <c r="K107" i="36"/>
  <c r="I107" i="36"/>
  <c r="P107" i="36" s="1"/>
  <c r="H107" i="36"/>
  <c r="O107" i="36" s="1"/>
  <c r="K106" i="36"/>
  <c r="I106" i="36"/>
  <c r="P106" i="36" s="1"/>
  <c r="H106" i="36"/>
  <c r="O106" i="36" s="1"/>
  <c r="K105" i="36"/>
  <c r="I105" i="36"/>
  <c r="P105" i="36" s="1"/>
  <c r="H105" i="36"/>
  <c r="O105" i="36" s="1"/>
  <c r="K104" i="36"/>
  <c r="I104" i="36"/>
  <c r="P104" i="36" s="1"/>
  <c r="H104" i="36"/>
  <c r="O104" i="36" s="1"/>
  <c r="K103" i="36"/>
  <c r="I103" i="36"/>
  <c r="P103" i="36" s="1"/>
  <c r="H103" i="36"/>
  <c r="O103" i="36" s="1"/>
  <c r="K102" i="36"/>
  <c r="I102" i="36"/>
  <c r="P102" i="36" s="1"/>
  <c r="H102" i="36"/>
  <c r="O102" i="36" s="1"/>
  <c r="K101" i="36"/>
  <c r="I101" i="36"/>
  <c r="P101" i="36" s="1"/>
  <c r="H101" i="36"/>
  <c r="O101" i="36" s="1"/>
  <c r="K100" i="36"/>
  <c r="I100" i="36"/>
  <c r="P100" i="36" s="1"/>
  <c r="H100" i="36"/>
  <c r="O100" i="36" s="1"/>
  <c r="K99" i="36"/>
  <c r="I99" i="36"/>
  <c r="P99" i="36" s="1"/>
  <c r="H99" i="36"/>
  <c r="O99" i="36" s="1"/>
  <c r="K98" i="36"/>
  <c r="I98" i="36"/>
  <c r="P98" i="36" s="1"/>
  <c r="H98" i="36"/>
  <c r="O98" i="36" s="1"/>
  <c r="K97" i="36"/>
  <c r="I97" i="36"/>
  <c r="P97" i="36" s="1"/>
  <c r="H97" i="36"/>
  <c r="O97" i="36" s="1"/>
  <c r="G97" i="36"/>
  <c r="K96" i="36"/>
  <c r="I96" i="36"/>
  <c r="P96" i="36" s="1"/>
  <c r="H96" i="36"/>
  <c r="O96" i="36" s="1"/>
  <c r="G96" i="36"/>
  <c r="K95" i="36"/>
  <c r="I95" i="36"/>
  <c r="P95" i="36" s="1"/>
  <c r="H95" i="36"/>
  <c r="O95" i="36" s="1"/>
  <c r="G95" i="36"/>
  <c r="K94" i="36"/>
  <c r="I94" i="36"/>
  <c r="P94" i="36" s="1"/>
  <c r="H94" i="36"/>
  <c r="O94" i="36" s="1"/>
  <c r="G94" i="36"/>
  <c r="N94" i="36" s="1"/>
  <c r="K93" i="36"/>
  <c r="I93" i="36"/>
  <c r="P93" i="36" s="1"/>
  <c r="H93" i="36"/>
  <c r="O93" i="36" s="1"/>
  <c r="G93" i="36"/>
  <c r="N93" i="36" s="1"/>
  <c r="K92" i="36"/>
  <c r="I92" i="36"/>
  <c r="P92" i="36" s="1"/>
  <c r="H92" i="36"/>
  <c r="O92" i="36" s="1"/>
  <c r="G92" i="36"/>
  <c r="N92" i="36" s="1"/>
  <c r="K91" i="36"/>
  <c r="I91" i="36"/>
  <c r="P91" i="36" s="1"/>
  <c r="H91" i="36"/>
  <c r="O91" i="36" s="1"/>
  <c r="G91" i="36"/>
  <c r="N91" i="36" s="1"/>
  <c r="K90" i="36"/>
  <c r="I90" i="36"/>
  <c r="P90" i="36" s="1"/>
  <c r="H90" i="36"/>
  <c r="O90" i="36" s="1"/>
  <c r="G90" i="36"/>
  <c r="K89" i="36"/>
  <c r="I89" i="36"/>
  <c r="P89" i="36" s="1"/>
  <c r="H89" i="36"/>
  <c r="O89" i="36" s="1"/>
  <c r="G89" i="36"/>
  <c r="N89" i="36" s="1"/>
  <c r="K88" i="36"/>
  <c r="I88" i="36"/>
  <c r="P88" i="36" s="1"/>
  <c r="H88" i="36"/>
  <c r="O88" i="36" s="1"/>
  <c r="G88" i="36"/>
  <c r="N88" i="36" s="1"/>
  <c r="K87" i="36"/>
  <c r="I87" i="36"/>
  <c r="P87" i="36" s="1"/>
  <c r="H87" i="36"/>
  <c r="O87" i="36" s="1"/>
  <c r="G87" i="36"/>
  <c r="K86" i="36"/>
  <c r="I86" i="36"/>
  <c r="P86" i="36" s="1"/>
  <c r="H86" i="36"/>
  <c r="O86" i="36" s="1"/>
  <c r="K85" i="36"/>
  <c r="I85" i="36"/>
  <c r="P85" i="36" s="1"/>
  <c r="H85" i="36"/>
  <c r="O85" i="36" s="1"/>
  <c r="K84" i="36"/>
  <c r="I84" i="36"/>
  <c r="P84" i="36" s="1"/>
  <c r="H84" i="36"/>
  <c r="O84" i="36" s="1"/>
  <c r="K83" i="36"/>
  <c r="I83" i="36"/>
  <c r="P83" i="36" s="1"/>
  <c r="H83" i="36"/>
  <c r="O83" i="36" s="1"/>
  <c r="K82" i="36"/>
  <c r="I82" i="36"/>
  <c r="P82" i="36" s="1"/>
  <c r="H82" i="36"/>
  <c r="O82" i="36" s="1"/>
  <c r="K81" i="36"/>
  <c r="I81" i="36"/>
  <c r="P81" i="36" s="1"/>
  <c r="H81" i="36"/>
  <c r="O81" i="36" s="1"/>
  <c r="K80" i="36"/>
  <c r="I80" i="36"/>
  <c r="P80" i="36" s="1"/>
  <c r="H80" i="36"/>
  <c r="O80" i="36" s="1"/>
  <c r="K79" i="36"/>
  <c r="I79" i="36"/>
  <c r="P79" i="36" s="1"/>
  <c r="H79" i="36"/>
  <c r="O79" i="36" s="1"/>
  <c r="K78" i="36"/>
  <c r="I78" i="36"/>
  <c r="P78" i="36" s="1"/>
  <c r="H78" i="36"/>
  <c r="O78" i="36" s="1"/>
  <c r="K77" i="36"/>
  <c r="I77" i="36"/>
  <c r="P77" i="36" s="1"/>
  <c r="H77" i="36"/>
  <c r="O77" i="36" s="1"/>
  <c r="K76" i="36"/>
  <c r="I76" i="36"/>
  <c r="P76" i="36" s="1"/>
  <c r="H76" i="36"/>
  <c r="O76" i="36" s="1"/>
  <c r="K75" i="36"/>
  <c r="I75" i="36"/>
  <c r="P75" i="36" s="1"/>
  <c r="H75" i="36"/>
  <c r="O75" i="36" s="1"/>
  <c r="K74" i="36"/>
  <c r="I74" i="36"/>
  <c r="P74" i="36" s="1"/>
  <c r="H74" i="36"/>
  <c r="O74" i="36" s="1"/>
  <c r="K73" i="36"/>
  <c r="I73" i="36"/>
  <c r="P73" i="36" s="1"/>
  <c r="H73" i="36"/>
  <c r="O73" i="36" s="1"/>
  <c r="K72" i="36"/>
  <c r="I72" i="36"/>
  <c r="P72" i="36" s="1"/>
  <c r="H72" i="36"/>
  <c r="O72" i="36" s="1"/>
  <c r="K71" i="36"/>
  <c r="I71" i="36"/>
  <c r="P71" i="36" s="1"/>
  <c r="H71" i="36"/>
  <c r="O71" i="36" s="1"/>
  <c r="K70" i="36"/>
  <c r="I70" i="36"/>
  <c r="P70" i="36" s="1"/>
  <c r="H70" i="36"/>
  <c r="O70" i="36" s="1"/>
  <c r="K69" i="36"/>
  <c r="I69" i="36"/>
  <c r="P69" i="36" s="1"/>
  <c r="H69" i="36"/>
  <c r="O69" i="36" s="1"/>
  <c r="K68" i="36"/>
  <c r="I68" i="36"/>
  <c r="P68" i="36" s="1"/>
  <c r="H68" i="36"/>
  <c r="O68" i="36" s="1"/>
  <c r="K67" i="36"/>
  <c r="I67" i="36"/>
  <c r="P67" i="36" s="1"/>
  <c r="H67" i="36"/>
  <c r="O67" i="36" s="1"/>
  <c r="K66" i="36"/>
  <c r="I66" i="36"/>
  <c r="P66" i="36" s="1"/>
  <c r="H66" i="36"/>
  <c r="O66" i="36" s="1"/>
  <c r="K65" i="36"/>
  <c r="I65" i="36"/>
  <c r="P65" i="36" s="1"/>
  <c r="H65" i="36"/>
  <c r="O65" i="36" s="1"/>
  <c r="K64" i="36"/>
  <c r="I64" i="36"/>
  <c r="P64" i="36" s="1"/>
  <c r="H64" i="36"/>
  <c r="O64" i="36" s="1"/>
  <c r="K63" i="36"/>
  <c r="I63" i="36"/>
  <c r="P63" i="36" s="1"/>
  <c r="H63" i="36"/>
  <c r="O63" i="36" s="1"/>
  <c r="G63" i="36"/>
  <c r="N63" i="36" s="1"/>
  <c r="K62" i="36"/>
  <c r="I62" i="36"/>
  <c r="P62" i="36" s="1"/>
  <c r="H62" i="36"/>
  <c r="O62" i="36" s="1"/>
  <c r="K61" i="36"/>
  <c r="I61" i="36"/>
  <c r="P61" i="36" s="1"/>
  <c r="H61" i="36"/>
  <c r="O61" i="36" s="1"/>
  <c r="K60" i="36"/>
  <c r="I60" i="36"/>
  <c r="P60" i="36" s="1"/>
  <c r="H60" i="36"/>
  <c r="O60" i="36" s="1"/>
  <c r="K59" i="36"/>
  <c r="I59" i="36"/>
  <c r="P59" i="36" s="1"/>
  <c r="H59" i="36"/>
  <c r="O59" i="36" s="1"/>
  <c r="K58" i="36"/>
  <c r="I58" i="36"/>
  <c r="P58" i="36" s="1"/>
  <c r="H58" i="36"/>
  <c r="O58" i="36" s="1"/>
  <c r="K57" i="36"/>
  <c r="I57" i="36"/>
  <c r="P57" i="36" s="1"/>
  <c r="H57" i="36"/>
  <c r="O57" i="36" s="1"/>
  <c r="K56" i="36"/>
  <c r="I56" i="36"/>
  <c r="P56" i="36" s="1"/>
  <c r="H56" i="36"/>
  <c r="O56" i="36" s="1"/>
  <c r="K55" i="36"/>
  <c r="I55" i="36"/>
  <c r="P55" i="36" s="1"/>
  <c r="H55" i="36"/>
  <c r="O55" i="36" s="1"/>
  <c r="K54" i="36"/>
  <c r="I54" i="36"/>
  <c r="P54" i="36" s="1"/>
  <c r="H54" i="36"/>
  <c r="O54" i="36" s="1"/>
  <c r="K53" i="36"/>
  <c r="I53" i="36"/>
  <c r="P53" i="36" s="1"/>
  <c r="H53" i="36"/>
  <c r="O53" i="36" s="1"/>
  <c r="K52" i="36"/>
  <c r="I52" i="36"/>
  <c r="P52" i="36" s="1"/>
  <c r="H52" i="36"/>
  <c r="O52" i="36" s="1"/>
  <c r="K51" i="36"/>
  <c r="I51" i="36"/>
  <c r="P51" i="36" s="1"/>
  <c r="H51" i="36"/>
  <c r="O51" i="36" s="1"/>
  <c r="K50" i="36"/>
  <c r="I50" i="36"/>
  <c r="P50" i="36" s="1"/>
  <c r="H50" i="36"/>
  <c r="O50" i="36" s="1"/>
  <c r="K49" i="36"/>
  <c r="I49" i="36"/>
  <c r="P49" i="36" s="1"/>
  <c r="H49" i="36"/>
  <c r="O49" i="36" s="1"/>
  <c r="G49" i="36"/>
  <c r="N49" i="36" s="1"/>
  <c r="K48" i="36"/>
  <c r="I48" i="36"/>
  <c r="P48" i="36" s="1"/>
  <c r="H48" i="36"/>
  <c r="O48" i="36" s="1"/>
  <c r="G48" i="36"/>
  <c r="N48" i="36" s="1"/>
  <c r="K47" i="36"/>
  <c r="I47" i="36"/>
  <c r="P47" i="36" s="1"/>
  <c r="H47" i="36"/>
  <c r="O47" i="36" s="1"/>
  <c r="G47" i="36"/>
  <c r="N47" i="36" s="1"/>
  <c r="K46" i="36"/>
  <c r="I46" i="36"/>
  <c r="P46" i="36" s="1"/>
  <c r="H46" i="36"/>
  <c r="O46" i="36" s="1"/>
  <c r="G46" i="36"/>
  <c r="N46" i="36" s="1"/>
  <c r="K45" i="36"/>
  <c r="I45" i="36"/>
  <c r="P45" i="36" s="1"/>
  <c r="H45" i="36"/>
  <c r="O45" i="36" s="1"/>
  <c r="G45" i="36"/>
  <c r="N45" i="36" s="1"/>
  <c r="K44" i="36"/>
  <c r="I44" i="36"/>
  <c r="P44" i="36" s="1"/>
  <c r="H44" i="36"/>
  <c r="O44" i="36" s="1"/>
  <c r="G44" i="36"/>
  <c r="N44" i="36" s="1"/>
  <c r="K43" i="36"/>
  <c r="I43" i="36"/>
  <c r="P43" i="36" s="1"/>
  <c r="H43" i="36"/>
  <c r="O43" i="36" s="1"/>
  <c r="G43" i="36"/>
  <c r="N43" i="36" s="1"/>
  <c r="K42" i="36"/>
  <c r="I42" i="36"/>
  <c r="P42" i="36" s="1"/>
  <c r="H42" i="36"/>
  <c r="O42" i="36" s="1"/>
  <c r="G42" i="36"/>
  <c r="N42" i="36" s="1"/>
  <c r="K41" i="36"/>
  <c r="I41" i="36"/>
  <c r="P41" i="36" s="1"/>
  <c r="H41" i="36"/>
  <c r="O41" i="36" s="1"/>
  <c r="G41" i="36"/>
  <c r="N41" i="36" s="1"/>
  <c r="K40" i="36"/>
  <c r="I40" i="36"/>
  <c r="P40" i="36" s="1"/>
  <c r="H40" i="36"/>
  <c r="O40" i="36" s="1"/>
  <c r="G40" i="36"/>
  <c r="N40" i="36" s="1"/>
  <c r="K39" i="36"/>
  <c r="I39" i="36"/>
  <c r="P39" i="36" s="1"/>
  <c r="H39" i="36"/>
  <c r="O39" i="36" s="1"/>
  <c r="G39" i="36"/>
  <c r="N39" i="36" s="1"/>
  <c r="K38" i="36"/>
  <c r="I38" i="36"/>
  <c r="P38" i="36" s="1"/>
  <c r="H38" i="36"/>
  <c r="O38" i="36" s="1"/>
  <c r="G38" i="36"/>
  <c r="N38" i="36" s="1"/>
  <c r="K37" i="36"/>
  <c r="I37" i="36"/>
  <c r="P37" i="36" s="1"/>
  <c r="H37" i="36"/>
  <c r="O37" i="36" s="1"/>
  <c r="K36" i="36"/>
  <c r="I36" i="36"/>
  <c r="P36" i="36" s="1"/>
  <c r="H36" i="36"/>
  <c r="O36" i="36" s="1"/>
  <c r="K35" i="36"/>
  <c r="I35" i="36"/>
  <c r="P35" i="36" s="1"/>
  <c r="H35" i="36"/>
  <c r="O35" i="36" s="1"/>
  <c r="K34" i="36"/>
  <c r="I34" i="36"/>
  <c r="P34" i="36" s="1"/>
  <c r="H34" i="36"/>
  <c r="O34" i="36" s="1"/>
  <c r="K33" i="36"/>
  <c r="I33" i="36"/>
  <c r="P33" i="36" s="1"/>
  <c r="H33" i="36"/>
  <c r="O33" i="36" s="1"/>
  <c r="K32" i="36"/>
  <c r="I32" i="36"/>
  <c r="P32" i="36" s="1"/>
  <c r="H32" i="36"/>
  <c r="O32" i="36" s="1"/>
  <c r="K31" i="36"/>
  <c r="I31" i="36"/>
  <c r="P31" i="36" s="1"/>
  <c r="H31" i="36"/>
  <c r="O31" i="36" s="1"/>
  <c r="K30" i="36"/>
  <c r="I30" i="36"/>
  <c r="P30" i="36" s="1"/>
  <c r="H30" i="36"/>
  <c r="O30" i="36" s="1"/>
  <c r="K29" i="36"/>
  <c r="I29" i="36"/>
  <c r="P29" i="36" s="1"/>
  <c r="H29" i="36"/>
  <c r="O29" i="36" s="1"/>
  <c r="K28" i="36"/>
  <c r="I28" i="36"/>
  <c r="P28" i="36" s="1"/>
  <c r="H28" i="36"/>
  <c r="O28" i="36" s="1"/>
  <c r="K27" i="36"/>
  <c r="I27" i="36"/>
  <c r="P27" i="36" s="1"/>
  <c r="H27" i="36"/>
  <c r="O27" i="36" s="1"/>
  <c r="K26" i="36"/>
  <c r="I26" i="36"/>
  <c r="P26" i="36" s="1"/>
  <c r="H26" i="36"/>
  <c r="O26" i="36" s="1"/>
  <c r="K25" i="36"/>
  <c r="I25" i="36"/>
  <c r="P25" i="36" s="1"/>
  <c r="H25" i="36"/>
  <c r="O25" i="36" s="1"/>
  <c r="K24" i="36"/>
  <c r="I24" i="36"/>
  <c r="P24" i="36" s="1"/>
  <c r="H24" i="36"/>
  <c r="O24" i="36" s="1"/>
  <c r="K23" i="36"/>
  <c r="I23" i="36"/>
  <c r="P23" i="36" s="1"/>
  <c r="H23" i="36"/>
  <c r="O23" i="36" s="1"/>
  <c r="K22" i="36"/>
  <c r="I22" i="36"/>
  <c r="P22" i="36" s="1"/>
  <c r="H22" i="36"/>
  <c r="O22" i="36" s="1"/>
  <c r="K21" i="36"/>
  <c r="I21" i="36"/>
  <c r="P21" i="36" s="1"/>
  <c r="H21" i="36"/>
  <c r="O21" i="36" s="1"/>
  <c r="K20" i="36"/>
  <c r="I20" i="36"/>
  <c r="P20" i="36" s="1"/>
  <c r="H20" i="36"/>
  <c r="O20" i="36" s="1"/>
  <c r="K19" i="36"/>
  <c r="I19" i="36"/>
  <c r="P19" i="36" s="1"/>
  <c r="H19" i="36"/>
  <c r="O19" i="36" s="1"/>
  <c r="K18" i="36"/>
  <c r="I18" i="36"/>
  <c r="P18" i="36" s="1"/>
  <c r="H18" i="36"/>
  <c r="O18" i="36" s="1"/>
  <c r="K17" i="36"/>
  <c r="I17" i="36"/>
  <c r="P17" i="36" s="1"/>
  <c r="H17" i="36"/>
  <c r="O17" i="36" s="1"/>
  <c r="K16" i="36"/>
  <c r="I16" i="36"/>
  <c r="P16" i="36" s="1"/>
  <c r="H16" i="36"/>
  <c r="O16" i="36" s="1"/>
  <c r="K15" i="36"/>
  <c r="I15" i="36"/>
  <c r="P15" i="36" s="1"/>
  <c r="H15" i="36"/>
  <c r="O15" i="36" s="1"/>
  <c r="G15" i="36"/>
  <c r="N15" i="36" s="1"/>
  <c r="K14" i="36"/>
  <c r="I14" i="36"/>
  <c r="P14" i="36" s="1"/>
  <c r="H14" i="36"/>
  <c r="O14" i="36" s="1"/>
  <c r="K13" i="36"/>
  <c r="I13" i="36"/>
  <c r="P13" i="36" s="1"/>
  <c r="H13" i="36"/>
  <c r="O13" i="36" s="1"/>
  <c r="K12" i="36"/>
  <c r="I12" i="36"/>
  <c r="P12" i="36" s="1"/>
  <c r="H12" i="36"/>
  <c r="O12" i="36" s="1"/>
  <c r="K11" i="36"/>
  <c r="I11" i="36"/>
  <c r="P11" i="36" s="1"/>
  <c r="H11" i="36"/>
  <c r="O11" i="36" s="1"/>
  <c r="K10" i="36"/>
  <c r="I10" i="36"/>
  <c r="P10" i="36" s="1"/>
  <c r="H10" i="36"/>
  <c r="O10" i="36" s="1"/>
  <c r="K9" i="36"/>
  <c r="I9" i="36"/>
  <c r="P9" i="36" s="1"/>
  <c r="H9" i="36"/>
  <c r="O9" i="36" s="1"/>
  <c r="K8" i="36"/>
  <c r="I8" i="36"/>
  <c r="P8" i="36" s="1"/>
  <c r="H8" i="36"/>
  <c r="O8" i="36" s="1"/>
  <c r="K7" i="36"/>
  <c r="I7" i="36"/>
  <c r="P7" i="36" s="1"/>
  <c r="H7" i="36"/>
  <c r="O7" i="36" s="1"/>
  <c r="K6" i="36"/>
  <c r="I6" i="36"/>
  <c r="P6" i="36" s="1"/>
  <c r="H6" i="36"/>
  <c r="O6" i="36" s="1"/>
  <c r="K5" i="36"/>
  <c r="I5" i="36"/>
  <c r="P5" i="36" s="1"/>
  <c r="H5" i="36"/>
  <c r="O5" i="36" s="1"/>
  <c r="K4" i="36"/>
  <c r="I4" i="36"/>
  <c r="P4" i="36" s="1"/>
  <c r="H4" i="36"/>
  <c r="O4" i="36" s="1"/>
  <c r="K3" i="36"/>
  <c r="I3" i="36"/>
  <c r="P3" i="36" s="1"/>
  <c r="H3" i="36"/>
  <c r="O3" i="36" s="1"/>
  <c r="K2" i="36"/>
  <c r="I2" i="36"/>
  <c r="P2" i="36" s="1"/>
  <c r="H2" i="36"/>
  <c r="O2" i="36" s="1"/>
  <c r="K1" i="36"/>
  <c r="I1" i="36"/>
  <c r="P1" i="36" s="1"/>
  <c r="H1" i="36"/>
  <c r="O1" i="36" s="1"/>
  <c r="G1" i="36"/>
  <c r="N1" i="36" s="1"/>
  <c r="L107" i="35"/>
  <c r="J107" i="35"/>
  <c r="R107" i="35" s="1"/>
  <c r="I107" i="35"/>
  <c r="Q107" i="35" s="1"/>
  <c r="L106" i="35"/>
  <c r="J106" i="35"/>
  <c r="R106" i="35" s="1"/>
  <c r="I106" i="35"/>
  <c r="Q106" i="35" s="1"/>
  <c r="L105" i="35"/>
  <c r="J105" i="35"/>
  <c r="R105" i="35" s="1"/>
  <c r="I105" i="35"/>
  <c r="Q105" i="35" s="1"/>
  <c r="L104" i="35"/>
  <c r="J104" i="35"/>
  <c r="R104" i="35" s="1"/>
  <c r="I104" i="35"/>
  <c r="Q104" i="35" s="1"/>
  <c r="L103" i="35"/>
  <c r="J103" i="35"/>
  <c r="R103" i="35" s="1"/>
  <c r="I103" i="35"/>
  <c r="Q103" i="35" s="1"/>
  <c r="L102" i="35"/>
  <c r="J102" i="35"/>
  <c r="R102" i="35" s="1"/>
  <c r="I102" i="35"/>
  <c r="Q102" i="35" s="1"/>
  <c r="L101" i="35"/>
  <c r="J101" i="35"/>
  <c r="R101" i="35" s="1"/>
  <c r="I101" i="35"/>
  <c r="Q101" i="35" s="1"/>
  <c r="L100" i="35"/>
  <c r="J100" i="35"/>
  <c r="R100" i="35" s="1"/>
  <c r="I100" i="35"/>
  <c r="Q100" i="35" s="1"/>
  <c r="L99" i="35"/>
  <c r="J99" i="35"/>
  <c r="R99" i="35" s="1"/>
  <c r="I99" i="35"/>
  <c r="Q99" i="35" s="1"/>
  <c r="L98" i="35"/>
  <c r="J98" i="35"/>
  <c r="R98" i="35" s="1"/>
  <c r="I98" i="35"/>
  <c r="Q98" i="35" s="1"/>
  <c r="L97" i="35"/>
  <c r="J97" i="35"/>
  <c r="R97" i="35" s="1"/>
  <c r="I97" i="35"/>
  <c r="Q97" i="35" s="1"/>
  <c r="G97" i="35"/>
  <c r="O97" i="35" s="1"/>
  <c r="L96" i="35"/>
  <c r="J96" i="35"/>
  <c r="R96" i="35" s="1"/>
  <c r="I96" i="35"/>
  <c r="Q96" i="35" s="1"/>
  <c r="G96" i="35"/>
  <c r="O96" i="35" s="1"/>
  <c r="L95" i="35"/>
  <c r="J95" i="35"/>
  <c r="R95" i="35" s="1"/>
  <c r="I95" i="35"/>
  <c r="Q95" i="35" s="1"/>
  <c r="G95" i="35"/>
  <c r="O95" i="35" s="1"/>
  <c r="L94" i="35"/>
  <c r="J94" i="35"/>
  <c r="R94" i="35" s="1"/>
  <c r="I94" i="35"/>
  <c r="Q94" i="35" s="1"/>
  <c r="G94" i="35"/>
  <c r="G130" i="35" s="1"/>
  <c r="L93" i="35"/>
  <c r="J93" i="35"/>
  <c r="R93" i="35" s="1"/>
  <c r="I93" i="35"/>
  <c r="Q93" i="35" s="1"/>
  <c r="G93" i="35"/>
  <c r="L92" i="35"/>
  <c r="J92" i="35"/>
  <c r="R92" i="35" s="1"/>
  <c r="I92" i="35"/>
  <c r="Q92" i="35" s="1"/>
  <c r="G92" i="35"/>
  <c r="L91" i="35"/>
  <c r="J91" i="35"/>
  <c r="R91" i="35" s="1"/>
  <c r="I91" i="35"/>
  <c r="Q91" i="35" s="1"/>
  <c r="G91" i="35"/>
  <c r="L90" i="35"/>
  <c r="J90" i="35"/>
  <c r="R90" i="35" s="1"/>
  <c r="I90" i="35"/>
  <c r="Q90" i="35" s="1"/>
  <c r="G90" i="35"/>
  <c r="L89" i="35"/>
  <c r="J89" i="35"/>
  <c r="R89" i="35" s="1"/>
  <c r="I89" i="35"/>
  <c r="Q89" i="35" s="1"/>
  <c r="G89" i="35"/>
  <c r="L88" i="35"/>
  <c r="J88" i="35"/>
  <c r="R88" i="35" s="1"/>
  <c r="I88" i="35"/>
  <c r="Q88" i="35" s="1"/>
  <c r="G88" i="35"/>
  <c r="L87" i="35"/>
  <c r="J87" i="35"/>
  <c r="R87" i="35" s="1"/>
  <c r="I87" i="35"/>
  <c r="Q87" i="35" s="1"/>
  <c r="G87" i="35"/>
  <c r="O87" i="35" s="1"/>
  <c r="L86" i="35"/>
  <c r="J86" i="35"/>
  <c r="R86" i="35" s="1"/>
  <c r="I86" i="35"/>
  <c r="Q86" i="35" s="1"/>
  <c r="L85" i="35"/>
  <c r="J85" i="35"/>
  <c r="R85" i="35" s="1"/>
  <c r="I85" i="35"/>
  <c r="Q85" i="35" s="1"/>
  <c r="L84" i="35"/>
  <c r="J84" i="35"/>
  <c r="R84" i="35" s="1"/>
  <c r="I84" i="35"/>
  <c r="Q84" i="35" s="1"/>
  <c r="L83" i="35"/>
  <c r="J83" i="35"/>
  <c r="R83" i="35" s="1"/>
  <c r="I83" i="35"/>
  <c r="Q83" i="35" s="1"/>
  <c r="L82" i="35"/>
  <c r="J82" i="35"/>
  <c r="R82" i="35" s="1"/>
  <c r="I82" i="35"/>
  <c r="Q82" i="35" s="1"/>
  <c r="L81" i="35"/>
  <c r="J81" i="35"/>
  <c r="R81" i="35" s="1"/>
  <c r="I81" i="35"/>
  <c r="Q81" i="35" s="1"/>
  <c r="L80" i="35"/>
  <c r="J80" i="35"/>
  <c r="R80" i="35" s="1"/>
  <c r="I80" i="35"/>
  <c r="Q80" i="35" s="1"/>
  <c r="L79" i="35"/>
  <c r="J79" i="35"/>
  <c r="R79" i="35" s="1"/>
  <c r="I79" i="35"/>
  <c r="Q79" i="35" s="1"/>
  <c r="L78" i="35"/>
  <c r="J78" i="35"/>
  <c r="R78" i="35" s="1"/>
  <c r="I78" i="35"/>
  <c r="Q78" i="35" s="1"/>
  <c r="L77" i="35"/>
  <c r="J77" i="35"/>
  <c r="R77" i="35" s="1"/>
  <c r="I77" i="35"/>
  <c r="Q77" i="35" s="1"/>
  <c r="L76" i="35"/>
  <c r="J76" i="35"/>
  <c r="R76" i="35" s="1"/>
  <c r="I76" i="35"/>
  <c r="Q76" i="35" s="1"/>
  <c r="L75" i="35"/>
  <c r="J75" i="35"/>
  <c r="R75" i="35" s="1"/>
  <c r="I75" i="35"/>
  <c r="Q75" i="35" s="1"/>
  <c r="L74" i="35"/>
  <c r="J74" i="35"/>
  <c r="R74" i="35" s="1"/>
  <c r="I74" i="35"/>
  <c r="Q74" i="35" s="1"/>
  <c r="L73" i="35"/>
  <c r="J73" i="35"/>
  <c r="R73" i="35" s="1"/>
  <c r="I73" i="35"/>
  <c r="Q73" i="35" s="1"/>
  <c r="L72" i="35"/>
  <c r="J72" i="35"/>
  <c r="R72" i="35" s="1"/>
  <c r="I72" i="35"/>
  <c r="Q72" i="35" s="1"/>
  <c r="L71" i="35"/>
  <c r="J71" i="35"/>
  <c r="R71" i="35" s="1"/>
  <c r="I71" i="35"/>
  <c r="Q71" i="35" s="1"/>
  <c r="L70" i="35"/>
  <c r="J70" i="35"/>
  <c r="R70" i="35" s="1"/>
  <c r="I70" i="35"/>
  <c r="Q70" i="35" s="1"/>
  <c r="L69" i="35"/>
  <c r="J69" i="35"/>
  <c r="R69" i="35" s="1"/>
  <c r="I69" i="35"/>
  <c r="Q69" i="35" s="1"/>
  <c r="L68" i="35"/>
  <c r="J68" i="35"/>
  <c r="R68" i="35" s="1"/>
  <c r="I68" i="35"/>
  <c r="Q68" i="35" s="1"/>
  <c r="L67" i="35"/>
  <c r="J67" i="35"/>
  <c r="R67" i="35" s="1"/>
  <c r="I67" i="35"/>
  <c r="Q67" i="35" s="1"/>
  <c r="L66" i="35"/>
  <c r="J66" i="35"/>
  <c r="R66" i="35" s="1"/>
  <c r="I66" i="35"/>
  <c r="Q66" i="35" s="1"/>
  <c r="L65" i="35"/>
  <c r="J65" i="35"/>
  <c r="R65" i="35" s="1"/>
  <c r="I65" i="35"/>
  <c r="Q65" i="35" s="1"/>
  <c r="L64" i="35"/>
  <c r="J64" i="35"/>
  <c r="R64" i="35" s="1"/>
  <c r="I64" i="35"/>
  <c r="Q64" i="35" s="1"/>
  <c r="L63" i="35"/>
  <c r="J63" i="35"/>
  <c r="R63" i="35" s="1"/>
  <c r="I63" i="35"/>
  <c r="Q63" i="35" s="1"/>
  <c r="G63" i="35"/>
  <c r="O63" i="35" s="1"/>
  <c r="L62" i="35"/>
  <c r="J62" i="35"/>
  <c r="R62" i="35" s="1"/>
  <c r="I62" i="35"/>
  <c r="Q62" i="35" s="1"/>
  <c r="L61" i="35"/>
  <c r="J61" i="35"/>
  <c r="R61" i="35" s="1"/>
  <c r="I61" i="35"/>
  <c r="Q61" i="35" s="1"/>
  <c r="L60" i="35"/>
  <c r="J60" i="35"/>
  <c r="R60" i="35" s="1"/>
  <c r="I60" i="35"/>
  <c r="Q60" i="35" s="1"/>
  <c r="L59" i="35"/>
  <c r="J59" i="35"/>
  <c r="R59" i="35" s="1"/>
  <c r="I59" i="35"/>
  <c r="Q59" i="35" s="1"/>
  <c r="L58" i="35"/>
  <c r="J58" i="35"/>
  <c r="R58" i="35" s="1"/>
  <c r="I58" i="35"/>
  <c r="Q58" i="35" s="1"/>
  <c r="L57" i="35"/>
  <c r="J57" i="35"/>
  <c r="R57" i="35" s="1"/>
  <c r="I57" i="35"/>
  <c r="Q57" i="35" s="1"/>
  <c r="L56" i="35"/>
  <c r="J56" i="35"/>
  <c r="R56" i="35" s="1"/>
  <c r="I56" i="35"/>
  <c r="Q56" i="35" s="1"/>
  <c r="L55" i="35"/>
  <c r="J55" i="35"/>
  <c r="R55" i="35" s="1"/>
  <c r="I55" i="35"/>
  <c r="Q55" i="35" s="1"/>
  <c r="L54" i="35"/>
  <c r="J54" i="35"/>
  <c r="R54" i="35" s="1"/>
  <c r="I54" i="35"/>
  <c r="Q54" i="35" s="1"/>
  <c r="L53" i="35"/>
  <c r="J53" i="35"/>
  <c r="R53" i="35" s="1"/>
  <c r="I53" i="35"/>
  <c r="Q53" i="35" s="1"/>
  <c r="L52" i="35"/>
  <c r="J52" i="35"/>
  <c r="R52" i="35" s="1"/>
  <c r="I52" i="35"/>
  <c r="Q52" i="35" s="1"/>
  <c r="L51" i="35"/>
  <c r="J51" i="35"/>
  <c r="R51" i="35" s="1"/>
  <c r="I51" i="35"/>
  <c r="Q51" i="35" s="1"/>
  <c r="L50" i="35"/>
  <c r="J50" i="35"/>
  <c r="R50" i="35" s="1"/>
  <c r="I50" i="35"/>
  <c r="Q50" i="35" s="1"/>
  <c r="L49" i="35"/>
  <c r="J49" i="35"/>
  <c r="R49" i="35" s="1"/>
  <c r="I49" i="35"/>
  <c r="Q49" i="35" s="1"/>
  <c r="G49" i="35"/>
  <c r="O49" i="35" s="1"/>
  <c r="L48" i="35"/>
  <c r="J48" i="35"/>
  <c r="R48" i="35" s="1"/>
  <c r="I48" i="35"/>
  <c r="Q48" i="35" s="1"/>
  <c r="G48" i="35"/>
  <c r="O48" i="35" s="1"/>
  <c r="L47" i="35"/>
  <c r="J47" i="35"/>
  <c r="R47" i="35" s="1"/>
  <c r="I47" i="35"/>
  <c r="Q47" i="35" s="1"/>
  <c r="G47" i="35"/>
  <c r="O47" i="35" s="1"/>
  <c r="L46" i="35"/>
  <c r="J46" i="35"/>
  <c r="R46" i="35" s="1"/>
  <c r="I46" i="35"/>
  <c r="Q46" i="35" s="1"/>
  <c r="G46" i="35"/>
  <c r="O46" i="35" s="1"/>
  <c r="L45" i="35"/>
  <c r="J45" i="35"/>
  <c r="R45" i="35" s="1"/>
  <c r="I45" i="35"/>
  <c r="Q45" i="35" s="1"/>
  <c r="G45" i="35"/>
  <c r="O45" i="35" s="1"/>
  <c r="L44" i="35"/>
  <c r="J44" i="35"/>
  <c r="R44" i="35" s="1"/>
  <c r="I44" i="35"/>
  <c r="Q44" i="35" s="1"/>
  <c r="G44" i="35"/>
  <c r="O44" i="35" s="1"/>
  <c r="L43" i="35"/>
  <c r="J43" i="35"/>
  <c r="R43" i="35" s="1"/>
  <c r="I43" i="35"/>
  <c r="Q43" i="35" s="1"/>
  <c r="G43" i="35"/>
  <c r="O43" i="35" s="1"/>
  <c r="L42" i="35"/>
  <c r="J42" i="35"/>
  <c r="R42" i="35" s="1"/>
  <c r="I42" i="35"/>
  <c r="Q42" i="35" s="1"/>
  <c r="G42" i="35"/>
  <c r="O42" i="35" s="1"/>
  <c r="L41" i="35"/>
  <c r="J41" i="35"/>
  <c r="R41" i="35" s="1"/>
  <c r="I41" i="35"/>
  <c r="Q41" i="35" s="1"/>
  <c r="G41" i="35"/>
  <c r="O41" i="35" s="1"/>
  <c r="L40" i="35"/>
  <c r="J40" i="35"/>
  <c r="R40" i="35" s="1"/>
  <c r="I40" i="35"/>
  <c r="Q40" i="35" s="1"/>
  <c r="G40" i="35"/>
  <c r="O40" i="35" s="1"/>
  <c r="L39" i="35"/>
  <c r="J39" i="35"/>
  <c r="R39" i="35" s="1"/>
  <c r="I39" i="35"/>
  <c r="Q39" i="35" s="1"/>
  <c r="G39" i="35"/>
  <c r="O39" i="35" s="1"/>
  <c r="L38" i="35"/>
  <c r="J38" i="35"/>
  <c r="R38" i="35" s="1"/>
  <c r="I38" i="35"/>
  <c r="Q38" i="35" s="1"/>
  <c r="G38" i="35"/>
  <c r="O38" i="35" s="1"/>
  <c r="L37" i="35"/>
  <c r="J37" i="35"/>
  <c r="R37" i="35" s="1"/>
  <c r="I37" i="35"/>
  <c r="Q37" i="35" s="1"/>
  <c r="L36" i="35"/>
  <c r="J36" i="35"/>
  <c r="R36" i="35" s="1"/>
  <c r="I36" i="35"/>
  <c r="Q36" i="35" s="1"/>
  <c r="L35" i="35"/>
  <c r="J35" i="35"/>
  <c r="R35" i="35" s="1"/>
  <c r="I35" i="35"/>
  <c r="Q35" i="35" s="1"/>
  <c r="L34" i="35"/>
  <c r="J34" i="35"/>
  <c r="R34" i="35" s="1"/>
  <c r="I34" i="35"/>
  <c r="Q34" i="35" s="1"/>
  <c r="L33" i="35"/>
  <c r="J33" i="35"/>
  <c r="R33" i="35" s="1"/>
  <c r="I33" i="35"/>
  <c r="Q33" i="35" s="1"/>
  <c r="L32" i="35"/>
  <c r="J32" i="35"/>
  <c r="R32" i="35" s="1"/>
  <c r="I32" i="35"/>
  <c r="Q32" i="35" s="1"/>
  <c r="L31" i="35"/>
  <c r="J31" i="35"/>
  <c r="R31" i="35" s="1"/>
  <c r="I31" i="35"/>
  <c r="Q31" i="35" s="1"/>
  <c r="L30" i="35"/>
  <c r="J30" i="35"/>
  <c r="R30" i="35" s="1"/>
  <c r="I30" i="35"/>
  <c r="Q30" i="35" s="1"/>
  <c r="L29" i="35"/>
  <c r="J29" i="35"/>
  <c r="R29" i="35" s="1"/>
  <c r="I29" i="35"/>
  <c r="Q29" i="35" s="1"/>
  <c r="L28" i="35"/>
  <c r="J28" i="35"/>
  <c r="R28" i="35" s="1"/>
  <c r="I28" i="35"/>
  <c r="Q28" i="35" s="1"/>
  <c r="L27" i="35"/>
  <c r="J27" i="35"/>
  <c r="R27" i="35" s="1"/>
  <c r="I27" i="35"/>
  <c r="Q27" i="35" s="1"/>
  <c r="L26" i="35"/>
  <c r="J26" i="35"/>
  <c r="R26" i="35" s="1"/>
  <c r="I26" i="35"/>
  <c r="Q26" i="35" s="1"/>
  <c r="L25" i="35"/>
  <c r="J25" i="35"/>
  <c r="R25" i="35" s="1"/>
  <c r="I25" i="35"/>
  <c r="Q25" i="35" s="1"/>
  <c r="L24" i="35"/>
  <c r="J24" i="35"/>
  <c r="R24" i="35" s="1"/>
  <c r="I24" i="35"/>
  <c r="Q24" i="35" s="1"/>
  <c r="L23" i="35"/>
  <c r="J23" i="35"/>
  <c r="R23" i="35" s="1"/>
  <c r="I23" i="35"/>
  <c r="Q23" i="35" s="1"/>
  <c r="L22" i="35"/>
  <c r="J22" i="35"/>
  <c r="R22" i="35" s="1"/>
  <c r="I22" i="35"/>
  <c r="Q22" i="35" s="1"/>
  <c r="L21" i="35"/>
  <c r="J21" i="35"/>
  <c r="R21" i="35" s="1"/>
  <c r="I21" i="35"/>
  <c r="Q21" i="35" s="1"/>
  <c r="L20" i="35"/>
  <c r="J20" i="35"/>
  <c r="R20" i="35" s="1"/>
  <c r="I20" i="35"/>
  <c r="Q20" i="35" s="1"/>
  <c r="L19" i="35"/>
  <c r="J19" i="35"/>
  <c r="R19" i="35" s="1"/>
  <c r="I19" i="35"/>
  <c r="Q19" i="35" s="1"/>
  <c r="L18" i="35"/>
  <c r="J18" i="35"/>
  <c r="R18" i="35" s="1"/>
  <c r="I18" i="35"/>
  <c r="Q18" i="35" s="1"/>
  <c r="L17" i="35"/>
  <c r="J17" i="35"/>
  <c r="R17" i="35" s="1"/>
  <c r="I17" i="35"/>
  <c r="Q17" i="35" s="1"/>
  <c r="L16" i="35"/>
  <c r="J16" i="35"/>
  <c r="R16" i="35" s="1"/>
  <c r="I16" i="35"/>
  <c r="Q16" i="35" s="1"/>
  <c r="L15" i="35"/>
  <c r="J15" i="35"/>
  <c r="R15" i="35" s="1"/>
  <c r="I15" i="35"/>
  <c r="Q15" i="35" s="1"/>
  <c r="G15" i="35"/>
  <c r="O15" i="35" s="1"/>
  <c r="L14" i="35"/>
  <c r="J14" i="35"/>
  <c r="R14" i="35" s="1"/>
  <c r="I14" i="35"/>
  <c r="Q14" i="35" s="1"/>
  <c r="L13" i="35"/>
  <c r="J13" i="35"/>
  <c r="R13" i="35" s="1"/>
  <c r="I13" i="35"/>
  <c r="Q13" i="35" s="1"/>
  <c r="L12" i="35"/>
  <c r="J12" i="35"/>
  <c r="R12" i="35" s="1"/>
  <c r="I12" i="35"/>
  <c r="Q12" i="35" s="1"/>
  <c r="L11" i="35"/>
  <c r="J11" i="35"/>
  <c r="R11" i="35" s="1"/>
  <c r="I11" i="35"/>
  <c r="Q11" i="35" s="1"/>
  <c r="L10" i="35"/>
  <c r="J10" i="35"/>
  <c r="R10" i="35" s="1"/>
  <c r="I10" i="35"/>
  <c r="Q10" i="35" s="1"/>
  <c r="L9" i="35"/>
  <c r="J9" i="35"/>
  <c r="R9" i="35" s="1"/>
  <c r="I9" i="35"/>
  <c r="Q9" i="35" s="1"/>
  <c r="L8" i="35"/>
  <c r="J8" i="35"/>
  <c r="R8" i="35" s="1"/>
  <c r="I8" i="35"/>
  <c r="Q8" i="35" s="1"/>
  <c r="L7" i="35"/>
  <c r="J7" i="35"/>
  <c r="R7" i="35" s="1"/>
  <c r="I7" i="35"/>
  <c r="Q7" i="35" s="1"/>
  <c r="L6" i="35"/>
  <c r="J6" i="35"/>
  <c r="R6" i="35" s="1"/>
  <c r="I6" i="35"/>
  <c r="Q6" i="35" s="1"/>
  <c r="L5" i="35"/>
  <c r="J5" i="35"/>
  <c r="R5" i="35" s="1"/>
  <c r="I5" i="35"/>
  <c r="Q5" i="35" s="1"/>
  <c r="L4" i="35"/>
  <c r="J4" i="35"/>
  <c r="R4" i="35" s="1"/>
  <c r="I4" i="35"/>
  <c r="Q4" i="35" s="1"/>
  <c r="L3" i="35"/>
  <c r="J3" i="35"/>
  <c r="R3" i="35" s="1"/>
  <c r="I3" i="35"/>
  <c r="Q3" i="35" s="1"/>
  <c r="L2" i="35"/>
  <c r="J2" i="35"/>
  <c r="R2" i="35" s="1"/>
  <c r="I2" i="35"/>
  <c r="Q2" i="35" s="1"/>
  <c r="L1" i="35"/>
  <c r="J1" i="35"/>
  <c r="R1" i="35" s="1"/>
  <c r="I1" i="35"/>
  <c r="Q1" i="35" s="1"/>
  <c r="H1" i="35"/>
  <c r="P1" i="35" s="1"/>
  <c r="G1" i="35"/>
  <c r="O1" i="35" s="1"/>
  <c r="M109" i="34"/>
  <c r="S109" i="34"/>
  <c r="I109" i="34"/>
  <c r="R109" i="34" s="1"/>
  <c r="M108" i="34"/>
  <c r="S108" i="34"/>
  <c r="I108" i="34"/>
  <c r="R108" i="34" s="1"/>
  <c r="M107" i="34"/>
  <c r="S107" i="34"/>
  <c r="I107" i="34"/>
  <c r="R107" i="34" s="1"/>
  <c r="M106" i="34"/>
  <c r="S106" i="34"/>
  <c r="I106" i="34"/>
  <c r="R106" i="34" s="1"/>
  <c r="M105" i="34"/>
  <c r="S105" i="34"/>
  <c r="I105" i="34"/>
  <c r="R105" i="34" s="1"/>
  <c r="M104" i="34"/>
  <c r="S104" i="34"/>
  <c r="I104" i="34"/>
  <c r="R104" i="34" s="1"/>
  <c r="M103" i="34"/>
  <c r="S103" i="34"/>
  <c r="I103" i="34"/>
  <c r="R103" i="34" s="1"/>
  <c r="M102" i="34"/>
  <c r="S102" i="34"/>
  <c r="I102" i="34"/>
  <c r="R102" i="34" s="1"/>
  <c r="M101" i="34"/>
  <c r="S101" i="34"/>
  <c r="I101" i="34"/>
  <c r="R101" i="34" s="1"/>
  <c r="M100" i="34"/>
  <c r="S100" i="34"/>
  <c r="I100" i="34"/>
  <c r="R100" i="34" s="1"/>
  <c r="M99" i="34"/>
  <c r="S99" i="34"/>
  <c r="I99" i="34"/>
  <c r="R99" i="34" s="1"/>
  <c r="M98" i="34"/>
  <c r="S98" i="34"/>
  <c r="I98" i="34"/>
  <c r="R98" i="34" s="1"/>
  <c r="M97" i="34"/>
  <c r="K97" i="34"/>
  <c r="K133" i="34" s="1"/>
  <c r="K169" i="34" s="1"/>
  <c r="K205" i="34" s="1"/>
  <c r="T205" i="34" s="1"/>
  <c r="S97" i="34"/>
  <c r="I97" i="34"/>
  <c r="R97" i="34" s="1"/>
  <c r="M96" i="34"/>
  <c r="K96" i="34"/>
  <c r="T96" i="34" s="1"/>
  <c r="S96" i="34"/>
  <c r="I96" i="34"/>
  <c r="R96" i="34" s="1"/>
  <c r="M95" i="34"/>
  <c r="K95" i="34"/>
  <c r="T95" i="34" s="1"/>
  <c r="S95" i="34"/>
  <c r="I95" i="34"/>
  <c r="R95" i="34" s="1"/>
  <c r="M94" i="34"/>
  <c r="K94" i="34"/>
  <c r="S94" i="34"/>
  <c r="I94" i="34"/>
  <c r="R94" i="34" s="1"/>
  <c r="M93" i="34"/>
  <c r="K93" i="34"/>
  <c r="T93" i="34" s="1"/>
  <c r="S93" i="34"/>
  <c r="I93" i="34"/>
  <c r="R93" i="34" s="1"/>
  <c r="M92" i="34"/>
  <c r="K92" i="34"/>
  <c r="T92" i="34" s="1"/>
  <c r="S92" i="34"/>
  <c r="I92" i="34"/>
  <c r="R92" i="34" s="1"/>
  <c r="M91" i="34"/>
  <c r="K91" i="34"/>
  <c r="T91" i="34" s="1"/>
  <c r="S91" i="34"/>
  <c r="I91" i="34"/>
  <c r="R91" i="34" s="1"/>
  <c r="M90" i="34"/>
  <c r="K90" i="34"/>
  <c r="S90" i="34"/>
  <c r="I90" i="34"/>
  <c r="R90" i="34" s="1"/>
  <c r="M89" i="34"/>
  <c r="K89" i="34"/>
  <c r="K125" i="34" s="1"/>
  <c r="K161" i="34" s="1"/>
  <c r="S89" i="34"/>
  <c r="I89" i="34"/>
  <c r="R89" i="34" s="1"/>
  <c r="M88" i="34"/>
  <c r="K88" i="34"/>
  <c r="T88" i="34" s="1"/>
  <c r="S88" i="34"/>
  <c r="I88" i="34"/>
  <c r="R88" i="34" s="1"/>
  <c r="M87" i="34"/>
  <c r="K87" i="34"/>
  <c r="S87" i="34"/>
  <c r="I87" i="34"/>
  <c r="R87" i="34" s="1"/>
  <c r="M86" i="34"/>
  <c r="S86" i="34"/>
  <c r="I86" i="34"/>
  <c r="R86" i="34" s="1"/>
  <c r="M85" i="34"/>
  <c r="S85" i="34"/>
  <c r="I85" i="34"/>
  <c r="R85" i="34" s="1"/>
  <c r="M84" i="34"/>
  <c r="S84" i="34"/>
  <c r="I84" i="34"/>
  <c r="R84" i="34" s="1"/>
  <c r="M83" i="34"/>
  <c r="S83" i="34"/>
  <c r="I83" i="34"/>
  <c r="R83" i="34" s="1"/>
  <c r="M82" i="34"/>
  <c r="S82" i="34"/>
  <c r="I82" i="34"/>
  <c r="R82" i="34" s="1"/>
  <c r="M81" i="34"/>
  <c r="S81" i="34"/>
  <c r="I81" i="34"/>
  <c r="R81" i="34" s="1"/>
  <c r="M80" i="34"/>
  <c r="S80" i="34"/>
  <c r="I80" i="34"/>
  <c r="R80" i="34" s="1"/>
  <c r="M79" i="34"/>
  <c r="S79" i="34"/>
  <c r="I79" i="34"/>
  <c r="R79" i="34" s="1"/>
  <c r="M78" i="34"/>
  <c r="S78" i="34"/>
  <c r="I78" i="34"/>
  <c r="R78" i="34" s="1"/>
  <c r="M77" i="34"/>
  <c r="S77" i="34"/>
  <c r="I77" i="34"/>
  <c r="R77" i="34" s="1"/>
  <c r="M76" i="34"/>
  <c r="S76" i="34"/>
  <c r="I76" i="34"/>
  <c r="R76" i="34" s="1"/>
  <c r="M75" i="34"/>
  <c r="S75" i="34"/>
  <c r="I75" i="34"/>
  <c r="R75" i="34" s="1"/>
  <c r="M74" i="34"/>
  <c r="S74" i="34"/>
  <c r="I74" i="34"/>
  <c r="R74" i="34" s="1"/>
  <c r="M73" i="34"/>
  <c r="S73" i="34"/>
  <c r="I73" i="34"/>
  <c r="R73" i="34" s="1"/>
  <c r="M72" i="34"/>
  <c r="S72" i="34"/>
  <c r="I72" i="34"/>
  <c r="R72" i="34" s="1"/>
  <c r="M71" i="34"/>
  <c r="S71" i="34"/>
  <c r="I71" i="34"/>
  <c r="R71" i="34" s="1"/>
  <c r="M70" i="34"/>
  <c r="S70" i="34"/>
  <c r="I70" i="34"/>
  <c r="R70" i="34" s="1"/>
  <c r="M69" i="34"/>
  <c r="S69" i="34"/>
  <c r="I69" i="34"/>
  <c r="R69" i="34" s="1"/>
  <c r="M68" i="34"/>
  <c r="S68" i="34"/>
  <c r="I68" i="34"/>
  <c r="R68" i="34" s="1"/>
  <c r="M67" i="34"/>
  <c r="S67" i="34"/>
  <c r="I67" i="34"/>
  <c r="R67" i="34" s="1"/>
  <c r="M66" i="34"/>
  <c r="S66" i="34"/>
  <c r="I66" i="34"/>
  <c r="R66" i="34" s="1"/>
  <c r="M65" i="34"/>
  <c r="S65" i="34"/>
  <c r="I65" i="34"/>
  <c r="R65" i="34" s="1"/>
  <c r="M64" i="34"/>
  <c r="S64" i="34"/>
  <c r="I64" i="34"/>
  <c r="R64" i="34" s="1"/>
  <c r="M63" i="34"/>
  <c r="K63" i="34"/>
  <c r="T63" i="34" s="1"/>
  <c r="S63" i="34"/>
  <c r="I63" i="34"/>
  <c r="R63" i="34" s="1"/>
  <c r="M62" i="34"/>
  <c r="S62" i="34"/>
  <c r="I62" i="34"/>
  <c r="R62" i="34" s="1"/>
  <c r="M61" i="34"/>
  <c r="S61" i="34"/>
  <c r="I61" i="34"/>
  <c r="R61" i="34" s="1"/>
  <c r="M60" i="34"/>
  <c r="S60" i="34"/>
  <c r="I60" i="34"/>
  <c r="R60" i="34" s="1"/>
  <c r="M59" i="34"/>
  <c r="S59" i="34"/>
  <c r="I59" i="34"/>
  <c r="R59" i="34" s="1"/>
  <c r="M58" i="34"/>
  <c r="S58" i="34"/>
  <c r="I58" i="34"/>
  <c r="R58" i="34" s="1"/>
  <c r="M57" i="34"/>
  <c r="S57" i="34"/>
  <c r="I57" i="34"/>
  <c r="R57" i="34" s="1"/>
  <c r="M56" i="34"/>
  <c r="S56" i="34"/>
  <c r="I56" i="34"/>
  <c r="R56" i="34" s="1"/>
  <c r="M55" i="34"/>
  <c r="S55" i="34"/>
  <c r="I55" i="34"/>
  <c r="R55" i="34" s="1"/>
  <c r="M54" i="34"/>
  <c r="S54" i="34"/>
  <c r="I54" i="34"/>
  <c r="R54" i="34" s="1"/>
  <c r="M53" i="34"/>
  <c r="S53" i="34"/>
  <c r="I53" i="34"/>
  <c r="R53" i="34" s="1"/>
  <c r="M52" i="34"/>
  <c r="S52" i="34"/>
  <c r="I52" i="34"/>
  <c r="R52" i="34" s="1"/>
  <c r="M51" i="34"/>
  <c r="S51" i="34"/>
  <c r="I51" i="34"/>
  <c r="R51" i="34" s="1"/>
  <c r="M50" i="34"/>
  <c r="S50" i="34"/>
  <c r="I50" i="34"/>
  <c r="R50" i="34" s="1"/>
  <c r="M49" i="34"/>
  <c r="K49" i="34"/>
  <c r="T49" i="34" s="1"/>
  <c r="S49" i="34"/>
  <c r="I49" i="34"/>
  <c r="R49" i="34" s="1"/>
  <c r="M48" i="34"/>
  <c r="K48" i="34"/>
  <c r="T48" i="34" s="1"/>
  <c r="S48" i="34"/>
  <c r="I48" i="34"/>
  <c r="R48" i="34" s="1"/>
  <c r="M47" i="34"/>
  <c r="K47" i="34"/>
  <c r="T47" i="34" s="1"/>
  <c r="S47" i="34"/>
  <c r="I47" i="34"/>
  <c r="R47" i="34" s="1"/>
  <c r="M46" i="34"/>
  <c r="K46" i="34"/>
  <c r="T46" i="34" s="1"/>
  <c r="S46" i="34"/>
  <c r="I46" i="34"/>
  <c r="R46" i="34" s="1"/>
  <c r="M45" i="34"/>
  <c r="K45" i="34"/>
  <c r="T45" i="34" s="1"/>
  <c r="S45" i="34"/>
  <c r="I45" i="34"/>
  <c r="R45" i="34" s="1"/>
  <c r="M44" i="34"/>
  <c r="K44" i="34"/>
  <c r="T44" i="34" s="1"/>
  <c r="S44" i="34"/>
  <c r="I44" i="34"/>
  <c r="R44" i="34" s="1"/>
  <c r="M43" i="34"/>
  <c r="K43" i="34"/>
  <c r="T43" i="34" s="1"/>
  <c r="S43" i="34"/>
  <c r="I43" i="34"/>
  <c r="R43" i="34" s="1"/>
  <c r="M42" i="34"/>
  <c r="K42" i="34"/>
  <c r="T42" i="34" s="1"/>
  <c r="S42" i="34"/>
  <c r="I42" i="34"/>
  <c r="R42" i="34" s="1"/>
  <c r="M41" i="34"/>
  <c r="K41" i="34"/>
  <c r="T41" i="34" s="1"/>
  <c r="S41" i="34"/>
  <c r="I41" i="34"/>
  <c r="R41" i="34" s="1"/>
  <c r="M40" i="34"/>
  <c r="K40" i="34"/>
  <c r="T40" i="34" s="1"/>
  <c r="S40" i="34"/>
  <c r="I40" i="34"/>
  <c r="R40" i="34" s="1"/>
  <c r="M39" i="34"/>
  <c r="K39" i="34"/>
  <c r="T39" i="34" s="1"/>
  <c r="S39" i="34"/>
  <c r="I39" i="34"/>
  <c r="R39" i="34" s="1"/>
  <c r="M38" i="34"/>
  <c r="K38" i="34"/>
  <c r="T38" i="34" s="1"/>
  <c r="S38" i="34"/>
  <c r="I38" i="34"/>
  <c r="R38" i="34" s="1"/>
  <c r="M37" i="34"/>
  <c r="S37" i="34"/>
  <c r="I37" i="34"/>
  <c r="R37" i="34" s="1"/>
  <c r="M36" i="34"/>
  <c r="S36" i="34"/>
  <c r="I36" i="34"/>
  <c r="R36" i="34" s="1"/>
  <c r="M35" i="34"/>
  <c r="S35" i="34"/>
  <c r="I35" i="34"/>
  <c r="R35" i="34" s="1"/>
  <c r="M34" i="34"/>
  <c r="S34" i="34"/>
  <c r="I34" i="34"/>
  <c r="R34" i="34" s="1"/>
  <c r="M33" i="34"/>
  <c r="S33" i="34"/>
  <c r="I33" i="34"/>
  <c r="R33" i="34" s="1"/>
  <c r="M32" i="34"/>
  <c r="S32" i="34"/>
  <c r="I32" i="34"/>
  <c r="R32" i="34" s="1"/>
  <c r="M31" i="34"/>
  <c r="S31" i="34"/>
  <c r="I31" i="34"/>
  <c r="R31" i="34" s="1"/>
  <c r="M30" i="34"/>
  <c r="S30" i="34"/>
  <c r="I30" i="34"/>
  <c r="R30" i="34" s="1"/>
  <c r="M29" i="34"/>
  <c r="S29" i="34"/>
  <c r="I29" i="34"/>
  <c r="R29" i="34" s="1"/>
  <c r="M28" i="34"/>
  <c r="S28" i="34"/>
  <c r="I28" i="34"/>
  <c r="R28" i="34" s="1"/>
  <c r="M27" i="34"/>
  <c r="S27" i="34"/>
  <c r="I27" i="34"/>
  <c r="R27" i="34" s="1"/>
  <c r="M26" i="34"/>
  <c r="S26" i="34"/>
  <c r="I26" i="34"/>
  <c r="R26" i="34" s="1"/>
  <c r="M25" i="34"/>
  <c r="S25" i="34"/>
  <c r="I25" i="34"/>
  <c r="R25" i="34" s="1"/>
  <c r="M24" i="34"/>
  <c r="S24" i="34"/>
  <c r="I24" i="34"/>
  <c r="R24" i="34" s="1"/>
  <c r="M23" i="34"/>
  <c r="S23" i="34"/>
  <c r="I23" i="34"/>
  <c r="R23" i="34" s="1"/>
  <c r="M22" i="34"/>
  <c r="S22" i="34"/>
  <c r="I22" i="34"/>
  <c r="R22" i="34" s="1"/>
  <c r="M21" i="34"/>
  <c r="S21" i="34"/>
  <c r="I21" i="34"/>
  <c r="R21" i="34" s="1"/>
  <c r="M20" i="34"/>
  <c r="S20" i="34"/>
  <c r="I20" i="34"/>
  <c r="R20" i="34" s="1"/>
  <c r="M19" i="34"/>
  <c r="S19" i="34"/>
  <c r="I19" i="34"/>
  <c r="R19" i="34" s="1"/>
  <c r="M18" i="34"/>
  <c r="S18" i="34"/>
  <c r="I18" i="34"/>
  <c r="R18" i="34" s="1"/>
  <c r="M17" i="34"/>
  <c r="S17" i="34"/>
  <c r="I17" i="34"/>
  <c r="R17" i="34" s="1"/>
  <c r="M16" i="34"/>
  <c r="S16" i="34"/>
  <c r="I16" i="34"/>
  <c r="R16" i="34" s="1"/>
  <c r="M15" i="34"/>
  <c r="K15" i="34"/>
  <c r="T15" i="34" s="1"/>
  <c r="S15" i="34"/>
  <c r="I15" i="34"/>
  <c r="R15" i="34" s="1"/>
  <c r="M14" i="34"/>
  <c r="S14" i="34"/>
  <c r="I14" i="34"/>
  <c r="R14" i="34" s="1"/>
  <c r="M13" i="34"/>
  <c r="S13" i="34"/>
  <c r="I13" i="34"/>
  <c r="R13" i="34" s="1"/>
  <c r="M12" i="34"/>
  <c r="S12" i="34"/>
  <c r="I12" i="34"/>
  <c r="R12" i="34" s="1"/>
  <c r="M11" i="34"/>
  <c r="S11" i="34"/>
  <c r="I11" i="34"/>
  <c r="R11" i="34" s="1"/>
  <c r="M10" i="34"/>
  <c r="S10" i="34"/>
  <c r="I10" i="34"/>
  <c r="R10" i="34" s="1"/>
  <c r="M9" i="34"/>
  <c r="S9" i="34"/>
  <c r="I9" i="34"/>
  <c r="R9" i="34" s="1"/>
  <c r="M8" i="34"/>
  <c r="S8" i="34"/>
  <c r="I8" i="34"/>
  <c r="R8" i="34" s="1"/>
  <c r="M7" i="34"/>
  <c r="S7" i="34"/>
  <c r="I7" i="34"/>
  <c r="R7" i="34" s="1"/>
  <c r="M6" i="34"/>
  <c r="S6" i="34"/>
  <c r="I6" i="34"/>
  <c r="R6" i="34" s="1"/>
  <c r="M5" i="34"/>
  <c r="S5" i="34"/>
  <c r="I5" i="34"/>
  <c r="R5" i="34" s="1"/>
  <c r="M4" i="34"/>
  <c r="S4" i="34"/>
  <c r="I4" i="34"/>
  <c r="R4" i="34" s="1"/>
  <c r="M3" i="34"/>
  <c r="S3" i="34"/>
  <c r="I3" i="34"/>
  <c r="R3" i="34" s="1"/>
  <c r="M2" i="34"/>
  <c r="S2" i="34"/>
  <c r="I2" i="34"/>
  <c r="R2" i="34" s="1"/>
  <c r="M1" i="34"/>
  <c r="K1" i="34"/>
  <c r="T1" i="34" s="1"/>
  <c r="S1" i="34"/>
  <c r="I1" i="34"/>
  <c r="R1" i="34" s="1"/>
  <c r="J109" i="33"/>
  <c r="H109" i="33"/>
  <c r="N109" i="33" s="1"/>
  <c r="G109" i="33"/>
  <c r="M109" i="33" s="1"/>
  <c r="E109" i="33"/>
  <c r="K109" i="33" s="1"/>
  <c r="J108" i="33"/>
  <c r="H108" i="33"/>
  <c r="N108" i="33" s="1"/>
  <c r="G108" i="33"/>
  <c r="M108" i="33" s="1"/>
  <c r="E108" i="33"/>
  <c r="K108" i="33" s="1"/>
  <c r="J107" i="33"/>
  <c r="H107" i="33"/>
  <c r="N107" i="33" s="1"/>
  <c r="G107" i="33"/>
  <c r="M107" i="33" s="1"/>
  <c r="E107" i="33"/>
  <c r="K107" i="33" s="1"/>
  <c r="J106" i="33"/>
  <c r="H106" i="33"/>
  <c r="N106" i="33" s="1"/>
  <c r="G106" i="33"/>
  <c r="M106" i="33" s="1"/>
  <c r="E106" i="33"/>
  <c r="K106" i="33" s="1"/>
  <c r="J105" i="33"/>
  <c r="H105" i="33"/>
  <c r="N105" i="33" s="1"/>
  <c r="G105" i="33"/>
  <c r="M105" i="33" s="1"/>
  <c r="E105" i="33"/>
  <c r="K105" i="33" s="1"/>
  <c r="J104" i="33"/>
  <c r="H104" i="33"/>
  <c r="N104" i="33" s="1"/>
  <c r="G104" i="33"/>
  <c r="M104" i="33" s="1"/>
  <c r="E104" i="33"/>
  <c r="K104" i="33" s="1"/>
  <c r="J103" i="33"/>
  <c r="H103" i="33"/>
  <c r="N103" i="33" s="1"/>
  <c r="G103" i="33"/>
  <c r="M103" i="33" s="1"/>
  <c r="E103" i="33"/>
  <c r="K103" i="33" s="1"/>
  <c r="J102" i="33"/>
  <c r="H102" i="33"/>
  <c r="N102" i="33" s="1"/>
  <c r="G102" i="33"/>
  <c r="M102" i="33" s="1"/>
  <c r="E102" i="33"/>
  <c r="K102" i="33" s="1"/>
  <c r="J101" i="33"/>
  <c r="H101" i="33"/>
  <c r="N101" i="33" s="1"/>
  <c r="G101" i="33"/>
  <c r="M101" i="33" s="1"/>
  <c r="E101" i="33"/>
  <c r="K101" i="33" s="1"/>
  <c r="J100" i="33"/>
  <c r="H100" i="33"/>
  <c r="N100" i="33" s="1"/>
  <c r="G100" i="33"/>
  <c r="M100" i="33" s="1"/>
  <c r="E100" i="33"/>
  <c r="K100" i="33" s="1"/>
  <c r="J99" i="33"/>
  <c r="H99" i="33"/>
  <c r="N99" i="33" s="1"/>
  <c r="G99" i="33"/>
  <c r="M99" i="33" s="1"/>
  <c r="E99" i="33"/>
  <c r="K99" i="33" s="1"/>
  <c r="J98" i="33"/>
  <c r="H98" i="33"/>
  <c r="N98" i="33" s="1"/>
  <c r="G98" i="33"/>
  <c r="M98" i="33" s="1"/>
  <c r="E98" i="33"/>
  <c r="K98" i="33" s="1"/>
  <c r="J97" i="33"/>
  <c r="H97" i="33"/>
  <c r="N97" i="33" s="1"/>
  <c r="G97" i="33"/>
  <c r="M97" i="33" s="1"/>
  <c r="E97" i="33"/>
  <c r="K97" i="33" s="1"/>
  <c r="J96" i="33"/>
  <c r="H96" i="33"/>
  <c r="N96" i="33" s="1"/>
  <c r="G96" i="33"/>
  <c r="M96" i="33" s="1"/>
  <c r="E96" i="33"/>
  <c r="K96" i="33" s="1"/>
  <c r="J95" i="33"/>
  <c r="H95" i="33"/>
  <c r="N95" i="33" s="1"/>
  <c r="G95" i="33"/>
  <c r="M95" i="33" s="1"/>
  <c r="E95" i="33"/>
  <c r="K95" i="33" s="1"/>
  <c r="J94" i="33"/>
  <c r="H94" i="33"/>
  <c r="N94" i="33" s="1"/>
  <c r="G94" i="33"/>
  <c r="M94" i="33" s="1"/>
  <c r="E94" i="33"/>
  <c r="K94" i="33" s="1"/>
  <c r="J93" i="33"/>
  <c r="H93" i="33"/>
  <c r="N93" i="33" s="1"/>
  <c r="G93" i="33"/>
  <c r="M93" i="33" s="1"/>
  <c r="E93" i="33"/>
  <c r="K93" i="33" s="1"/>
  <c r="J92" i="33"/>
  <c r="H92" i="33"/>
  <c r="N92" i="33" s="1"/>
  <c r="G92" i="33"/>
  <c r="M92" i="33" s="1"/>
  <c r="E92" i="33"/>
  <c r="K92" i="33" s="1"/>
  <c r="J91" i="33"/>
  <c r="H91" i="33"/>
  <c r="N91" i="33" s="1"/>
  <c r="G91" i="33"/>
  <c r="M91" i="33" s="1"/>
  <c r="E91" i="33"/>
  <c r="K91" i="33" s="1"/>
  <c r="J90" i="33"/>
  <c r="H90" i="33"/>
  <c r="N90" i="33" s="1"/>
  <c r="G90" i="33"/>
  <c r="M90" i="33" s="1"/>
  <c r="E90" i="33"/>
  <c r="K90" i="33" s="1"/>
  <c r="J89" i="33"/>
  <c r="H89" i="33"/>
  <c r="N89" i="33" s="1"/>
  <c r="G89" i="33"/>
  <c r="M89" i="33" s="1"/>
  <c r="E89" i="33"/>
  <c r="K89" i="33" s="1"/>
  <c r="J88" i="33"/>
  <c r="H88" i="33"/>
  <c r="N88" i="33" s="1"/>
  <c r="G88" i="33"/>
  <c r="M88" i="33" s="1"/>
  <c r="E88" i="33"/>
  <c r="K88" i="33" s="1"/>
  <c r="J87" i="33"/>
  <c r="H87" i="33"/>
  <c r="N87" i="33" s="1"/>
  <c r="G87" i="33"/>
  <c r="M87" i="33" s="1"/>
  <c r="E87" i="33"/>
  <c r="K87" i="33" s="1"/>
  <c r="J86" i="33"/>
  <c r="H86" i="33"/>
  <c r="N86" i="33" s="1"/>
  <c r="G86" i="33"/>
  <c r="M86" i="33" s="1"/>
  <c r="E86" i="33"/>
  <c r="K86" i="33" s="1"/>
  <c r="J85" i="33"/>
  <c r="H85" i="33"/>
  <c r="N85" i="33" s="1"/>
  <c r="G85" i="33"/>
  <c r="M85" i="33" s="1"/>
  <c r="E85" i="33"/>
  <c r="K85" i="33" s="1"/>
  <c r="J84" i="33"/>
  <c r="H84" i="33"/>
  <c r="N84" i="33" s="1"/>
  <c r="G84" i="33"/>
  <c r="M84" i="33" s="1"/>
  <c r="E84" i="33"/>
  <c r="K84" i="33" s="1"/>
  <c r="J83" i="33"/>
  <c r="H83" i="33"/>
  <c r="N83" i="33" s="1"/>
  <c r="G83" i="33"/>
  <c r="M83" i="33" s="1"/>
  <c r="E83" i="33"/>
  <c r="K83" i="33" s="1"/>
  <c r="J82" i="33"/>
  <c r="H82" i="33"/>
  <c r="N82" i="33" s="1"/>
  <c r="G82" i="33"/>
  <c r="M82" i="33" s="1"/>
  <c r="E82" i="33"/>
  <c r="K82" i="33" s="1"/>
  <c r="J81" i="33"/>
  <c r="H81" i="33"/>
  <c r="N81" i="33" s="1"/>
  <c r="G81" i="33"/>
  <c r="M81" i="33" s="1"/>
  <c r="E81" i="33"/>
  <c r="K81" i="33" s="1"/>
  <c r="J80" i="33"/>
  <c r="H80" i="33"/>
  <c r="N80" i="33" s="1"/>
  <c r="G80" i="33"/>
  <c r="M80" i="33" s="1"/>
  <c r="E80" i="33"/>
  <c r="K80" i="33" s="1"/>
  <c r="J79" i="33"/>
  <c r="H79" i="33"/>
  <c r="N79" i="33" s="1"/>
  <c r="G79" i="33"/>
  <c r="M79" i="33" s="1"/>
  <c r="E79" i="33"/>
  <c r="K79" i="33" s="1"/>
  <c r="J78" i="33"/>
  <c r="H78" i="33"/>
  <c r="N78" i="33" s="1"/>
  <c r="G78" i="33"/>
  <c r="M78" i="33" s="1"/>
  <c r="E78" i="33"/>
  <c r="K78" i="33" s="1"/>
  <c r="J77" i="33"/>
  <c r="H77" i="33"/>
  <c r="N77" i="33" s="1"/>
  <c r="G77" i="33"/>
  <c r="M77" i="33" s="1"/>
  <c r="E77" i="33"/>
  <c r="K77" i="33" s="1"/>
  <c r="J76" i="33"/>
  <c r="H76" i="33"/>
  <c r="N76" i="33" s="1"/>
  <c r="G76" i="33"/>
  <c r="M76" i="33" s="1"/>
  <c r="E76" i="33"/>
  <c r="K76" i="33" s="1"/>
  <c r="J75" i="33"/>
  <c r="H75" i="33"/>
  <c r="N75" i="33" s="1"/>
  <c r="G75" i="33"/>
  <c r="M75" i="33" s="1"/>
  <c r="E75" i="33"/>
  <c r="K75" i="33" s="1"/>
  <c r="J74" i="33"/>
  <c r="H74" i="33"/>
  <c r="N74" i="33" s="1"/>
  <c r="G74" i="33"/>
  <c r="M74" i="33" s="1"/>
  <c r="E74" i="33"/>
  <c r="K74" i="33" s="1"/>
  <c r="J73" i="33"/>
  <c r="H73" i="33"/>
  <c r="N73" i="33" s="1"/>
  <c r="G73" i="33"/>
  <c r="M73" i="33" s="1"/>
  <c r="E73" i="33"/>
  <c r="K73" i="33" s="1"/>
  <c r="J72" i="33"/>
  <c r="H72" i="33"/>
  <c r="N72" i="33" s="1"/>
  <c r="G72" i="33"/>
  <c r="M72" i="33" s="1"/>
  <c r="E72" i="33"/>
  <c r="K72" i="33" s="1"/>
  <c r="J71" i="33"/>
  <c r="H71" i="33"/>
  <c r="N71" i="33" s="1"/>
  <c r="G71" i="33"/>
  <c r="M71" i="33" s="1"/>
  <c r="E71" i="33"/>
  <c r="K71" i="33" s="1"/>
  <c r="J70" i="33"/>
  <c r="H70" i="33"/>
  <c r="N70" i="33" s="1"/>
  <c r="G70" i="33"/>
  <c r="M70" i="33" s="1"/>
  <c r="E70" i="33"/>
  <c r="K70" i="33" s="1"/>
  <c r="J69" i="33"/>
  <c r="H69" i="33"/>
  <c r="N69" i="33" s="1"/>
  <c r="G69" i="33"/>
  <c r="M69" i="33" s="1"/>
  <c r="E69" i="33"/>
  <c r="K69" i="33" s="1"/>
  <c r="J68" i="33"/>
  <c r="H68" i="33"/>
  <c r="N68" i="33" s="1"/>
  <c r="G68" i="33"/>
  <c r="M68" i="33" s="1"/>
  <c r="E68" i="33"/>
  <c r="K68" i="33" s="1"/>
  <c r="J67" i="33"/>
  <c r="H67" i="33"/>
  <c r="N67" i="33" s="1"/>
  <c r="G67" i="33"/>
  <c r="M67" i="33" s="1"/>
  <c r="E67" i="33"/>
  <c r="K67" i="33" s="1"/>
  <c r="J66" i="33"/>
  <c r="H66" i="33"/>
  <c r="N66" i="33" s="1"/>
  <c r="G66" i="33"/>
  <c r="M66" i="33" s="1"/>
  <c r="E66" i="33"/>
  <c r="K66" i="33" s="1"/>
  <c r="J65" i="33"/>
  <c r="H65" i="33"/>
  <c r="N65" i="33" s="1"/>
  <c r="G65" i="33"/>
  <c r="M65" i="33" s="1"/>
  <c r="E65" i="33"/>
  <c r="K65" i="33" s="1"/>
  <c r="J64" i="33"/>
  <c r="H64" i="33"/>
  <c r="N64" i="33" s="1"/>
  <c r="G64" i="33"/>
  <c r="M64" i="33" s="1"/>
  <c r="E64" i="33"/>
  <c r="K64" i="33" s="1"/>
  <c r="J63" i="33"/>
  <c r="H63" i="33"/>
  <c r="N63" i="33" s="1"/>
  <c r="G63" i="33"/>
  <c r="M63" i="33" s="1"/>
  <c r="E63" i="33"/>
  <c r="K63" i="33" s="1"/>
  <c r="J62" i="33"/>
  <c r="H62" i="33"/>
  <c r="N62" i="33" s="1"/>
  <c r="G62" i="33"/>
  <c r="M62" i="33" s="1"/>
  <c r="E62" i="33"/>
  <c r="K62" i="33" s="1"/>
  <c r="J61" i="33"/>
  <c r="H61" i="33"/>
  <c r="N61" i="33" s="1"/>
  <c r="G61" i="33"/>
  <c r="M61" i="33" s="1"/>
  <c r="E61" i="33"/>
  <c r="K61" i="33" s="1"/>
  <c r="J60" i="33"/>
  <c r="H60" i="33"/>
  <c r="N60" i="33" s="1"/>
  <c r="G60" i="33"/>
  <c r="M60" i="33" s="1"/>
  <c r="E60" i="33"/>
  <c r="K60" i="33" s="1"/>
  <c r="J59" i="33"/>
  <c r="H59" i="33"/>
  <c r="N59" i="33" s="1"/>
  <c r="G59" i="33"/>
  <c r="M59" i="33" s="1"/>
  <c r="E59" i="33"/>
  <c r="K59" i="33" s="1"/>
  <c r="J58" i="33"/>
  <c r="H58" i="33"/>
  <c r="N58" i="33" s="1"/>
  <c r="G58" i="33"/>
  <c r="M58" i="33" s="1"/>
  <c r="E58" i="33"/>
  <c r="K58" i="33" s="1"/>
  <c r="J57" i="33"/>
  <c r="H57" i="33"/>
  <c r="N57" i="33" s="1"/>
  <c r="G57" i="33"/>
  <c r="M57" i="33" s="1"/>
  <c r="E57" i="33"/>
  <c r="K57" i="33" s="1"/>
  <c r="J56" i="33"/>
  <c r="H56" i="33"/>
  <c r="N56" i="33" s="1"/>
  <c r="G56" i="33"/>
  <c r="M56" i="33" s="1"/>
  <c r="E56" i="33"/>
  <c r="K56" i="33" s="1"/>
  <c r="J55" i="33"/>
  <c r="H55" i="33"/>
  <c r="N55" i="33" s="1"/>
  <c r="G55" i="33"/>
  <c r="M55" i="33" s="1"/>
  <c r="E55" i="33"/>
  <c r="K55" i="33" s="1"/>
  <c r="J54" i="33"/>
  <c r="H54" i="33"/>
  <c r="N54" i="33" s="1"/>
  <c r="G54" i="33"/>
  <c r="M54" i="33" s="1"/>
  <c r="E54" i="33"/>
  <c r="K54" i="33" s="1"/>
  <c r="J53" i="33"/>
  <c r="H53" i="33"/>
  <c r="N53" i="33" s="1"/>
  <c r="G53" i="33"/>
  <c r="M53" i="33" s="1"/>
  <c r="E53" i="33"/>
  <c r="K53" i="33" s="1"/>
  <c r="J52" i="33"/>
  <c r="H52" i="33"/>
  <c r="N52" i="33" s="1"/>
  <c r="G52" i="33"/>
  <c r="M52" i="33" s="1"/>
  <c r="E52" i="33"/>
  <c r="K52" i="33" s="1"/>
  <c r="J51" i="33"/>
  <c r="H51" i="33"/>
  <c r="N51" i="33" s="1"/>
  <c r="G51" i="33"/>
  <c r="M51" i="33" s="1"/>
  <c r="E51" i="33"/>
  <c r="K51" i="33" s="1"/>
  <c r="J50" i="33"/>
  <c r="H50" i="33"/>
  <c r="N50" i="33" s="1"/>
  <c r="G50" i="33"/>
  <c r="M50" i="33" s="1"/>
  <c r="E50" i="33"/>
  <c r="K50" i="33" s="1"/>
  <c r="J49" i="33"/>
  <c r="H49" i="33"/>
  <c r="N49" i="33" s="1"/>
  <c r="G49" i="33"/>
  <c r="M49" i="33" s="1"/>
  <c r="E49" i="33"/>
  <c r="K49" i="33" s="1"/>
  <c r="J48" i="33"/>
  <c r="H48" i="33"/>
  <c r="N48" i="33" s="1"/>
  <c r="G48" i="33"/>
  <c r="M48" i="33" s="1"/>
  <c r="E48" i="33"/>
  <c r="K48" i="33" s="1"/>
  <c r="J47" i="33"/>
  <c r="H47" i="33"/>
  <c r="N47" i="33" s="1"/>
  <c r="G47" i="33"/>
  <c r="M47" i="33" s="1"/>
  <c r="E47" i="33"/>
  <c r="K47" i="33" s="1"/>
  <c r="J46" i="33"/>
  <c r="H46" i="33"/>
  <c r="N46" i="33" s="1"/>
  <c r="G46" i="33"/>
  <c r="M46" i="33" s="1"/>
  <c r="E46" i="33"/>
  <c r="K46" i="33" s="1"/>
  <c r="J45" i="33"/>
  <c r="H45" i="33"/>
  <c r="N45" i="33" s="1"/>
  <c r="G45" i="33"/>
  <c r="M45" i="33" s="1"/>
  <c r="E45" i="33"/>
  <c r="K45" i="33" s="1"/>
  <c r="J44" i="33"/>
  <c r="H44" i="33"/>
  <c r="N44" i="33" s="1"/>
  <c r="G44" i="33"/>
  <c r="M44" i="33" s="1"/>
  <c r="E44" i="33"/>
  <c r="K44" i="33" s="1"/>
  <c r="J43" i="33"/>
  <c r="H43" i="33"/>
  <c r="N43" i="33" s="1"/>
  <c r="G43" i="33"/>
  <c r="M43" i="33" s="1"/>
  <c r="E43" i="33"/>
  <c r="K43" i="33" s="1"/>
  <c r="J42" i="33"/>
  <c r="H42" i="33"/>
  <c r="N42" i="33" s="1"/>
  <c r="G42" i="33"/>
  <c r="M42" i="33" s="1"/>
  <c r="E42" i="33"/>
  <c r="K42" i="33" s="1"/>
  <c r="J41" i="33"/>
  <c r="H41" i="33"/>
  <c r="N41" i="33" s="1"/>
  <c r="G41" i="33"/>
  <c r="M41" i="33" s="1"/>
  <c r="E41" i="33"/>
  <c r="K41" i="33" s="1"/>
  <c r="J40" i="33"/>
  <c r="H40" i="33"/>
  <c r="N40" i="33" s="1"/>
  <c r="G40" i="33"/>
  <c r="M40" i="33" s="1"/>
  <c r="E40" i="33"/>
  <c r="K40" i="33" s="1"/>
  <c r="J39" i="33"/>
  <c r="H39" i="33"/>
  <c r="N39" i="33" s="1"/>
  <c r="G39" i="33"/>
  <c r="M39" i="33" s="1"/>
  <c r="E39" i="33"/>
  <c r="K39" i="33" s="1"/>
  <c r="J38" i="33"/>
  <c r="H38" i="33"/>
  <c r="N38" i="33" s="1"/>
  <c r="G38" i="33"/>
  <c r="M38" i="33" s="1"/>
  <c r="E38" i="33"/>
  <c r="K38" i="33" s="1"/>
  <c r="J37" i="33"/>
  <c r="H37" i="33"/>
  <c r="N37" i="33" s="1"/>
  <c r="G37" i="33"/>
  <c r="M37" i="33" s="1"/>
  <c r="E37" i="33"/>
  <c r="K37" i="33" s="1"/>
  <c r="J36" i="33"/>
  <c r="H36" i="33"/>
  <c r="N36" i="33" s="1"/>
  <c r="G36" i="33"/>
  <c r="M36" i="33" s="1"/>
  <c r="E36" i="33"/>
  <c r="K36" i="33" s="1"/>
  <c r="J35" i="33"/>
  <c r="H35" i="33"/>
  <c r="N35" i="33" s="1"/>
  <c r="G35" i="33"/>
  <c r="M35" i="33" s="1"/>
  <c r="E35" i="33"/>
  <c r="K35" i="33" s="1"/>
  <c r="J34" i="33"/>
  <c r="H34" i="33"/>
  <c r="N34" i="33" s="1"/>
  <c r="G34" i="33"/>
  <c r="M34" i="33" s="1"/>
  <c r="E34" i="33"/>
  <c r="K34" i="33" s="1"/>
  <c r="J33" i="33"/>
  <c r="H33" i="33"/>
  <c r="N33" i="33" s="1"/>
  <c r="G33" i="33"/>
  <c r="M33" i="33" s="1"/>
  <c r="E33" i="33"/>
  <c r="K33" i="33" s="1"/>
  <c r="J32" i="33"/>
  <c r="H32" i="33"/>
  <c r="N32" i="33" s="1"/>
  <c r="G32" i="33"/>
  <c r="M32" i="33" s="1"/>
  <c r="E32" i="33"/>
  <c r="K32" i="33" s="1"/>
  <c r="J31" i="33"/>
  <c r="H31" i="33"/>
  <c r="N31" i="33" s="1"/>
  <c r="G31" i="33"/>
  <c r="M31" i="33" s="1"/>
  <c r="E31" i="33"/>
  <c r="K31" i="33" s="1"/>
  <c r="J30" i="33"/>
  <c r="H30" i="33"/>
  <c r="N30" i="33" s="1"/>
  <c r="G30" i="33"/>
  <c r="M30" i="33" s="1"/>
  <c r="E30" i="33"/>
  <c r="K30" i="33" s="1"/>
  <c r="J29" i="33"/>
  <c r="H29" i="33"/>
  <c r="N29" i="33" s="1"/>
  <c r="G29" i="33"/>
  <c r="M29" i="33" s="1"/>
  <c r="E29" i="33"/>
  <c r="K29" i="33" s="1"/>
  <c r="J28" i="33"/>
  <c r="H28" i="33"/>
  <c r="N28" i="33" s="1"/>
  <c r="G28" i="33"/>
  <c r="M28" i="33" s="1"/>
  <c r="E28" i="33"/>
  <c r="K28" i="33" s="1"/>
  <c r="J27" i="33"/>
  <c r="H27" i="33"/>
  <c r="N27" i="33" s="1"/>
  <c r="G27" i="33"/>
  <c r="M27" i="33" s="1"/>
  <c r="E27" i="33"/>
  <c r="K27" i="33" s="1"/>
  <c r="J26" i="33"/>
  <c r="H26" i="33"/>
  <c r="N26" i="33" s="1"/>
  <c r="G26" i="33"/>
  <c r="M26" i="33" s="1"/>
  <c r="E26" i="33"/>
  <c r="K26" i="33" s="1"/>
  <c r="J25" i="33"/>
  <c r="H25" i="33"/>
  <c r="N25" i="33" s="1"/>
  <c r="G25" i="33"/>
  <c r="M25" i="33" s="1"/>
  <c r="E25" i="33"/>
  <c r="K25" i="33" s="1"/>
  <c r="J24" i="33"/>
  <c r="H24" i="33"/>
  <c r="N24" i="33" s="1"/>
  <c r="G24" i="33"/>
  <c r="M24" i="33" s="1"/>
  <c r="E24" i="33"/>
  <c r="K24" i="33" s="1"/>
  <c r="J23" i="33"/>
  <c r="H23" i="33"/>
  <c r="N23" i="33" s="1"/>
  <c r="G23" i="33"/>
  <c r="M23" i="33" s="1"/>
  <c r="E23" i="33"/>
  <c r="K23" i="33" s="1"/>
  <c r="J22" i="33"/>
  <c r="H22" i="33"/>
  <c r="N22" i="33" s="1"/>
  <c r="G22" i="33"/>
  <c r="M22" i="33" s="1"/>
  <c r="E22" i="33"/>
  <c r="K22" i="33" s="1"/>
  <c r="J21" i="33"/>
  <c r="H21" i="33"/>
  <c r="N21" i="33" s="1"/>
  <c r="G21" i="33"/>
  <c r="M21" i="33" s="1"/>
  <c r="E21" i="33"/>
  <c r="K21" i="33" s="1"/>
  <c r="J20" i="33"/>
  <c r="H20" i="33"/>
  <c r="N20" i="33" s="1"/>
  <c r="G20" i="33"/>
  <c r="M20" i="33" s="1"/>
  <c r="E20" i="33"/>
  <c r="K20" i="33" s="1"/>
  <c r="J19" i="33"/>
  <c r="H19" i="33"/>
  <c r="N19" i="33" s="1"/>
  <c r="G19" i="33"/>
  <c r="M19" i="33" s="1"/>
  <c r="E19" i="33"/>
  <c r="K19" i="33" s="1"/>
  <c r="J18" i="33"/>
  <c r="H18" i="33"/>
  <c r="N18" i="33" s="1"/>
  <c r="G18" i="33"/>
  <c r="M18" i="33" s="1"/>
  <c r="E18" i="33"/>
  <c r="K18" i="33" s="1"/>
  <c r="J17" i="33"/>
  <c r="H17" i="33"/>
  <c r="N17" i="33" s="1"/>
  <c r="G17" i="33"/>
  <c r="M17" i="33" s="1"/>
  <c r="E17" i="33"/>
  <c r="K17" i="33" s="1"/>
  <c r="J16" i="33"/>
  <c r="H16" i="33"/>
  <c r="N16" i="33" s="1"/>
  <c r="G16" i="33"/>
  <c r="M16" i="33" s="1"/>
  <c r="E16" i="33"/>
  <c r="K16" i="33" s="1"/>
  <c r="J15" i="33"/>
  <c r="H15" i="33"/>
  <c r="N15" i="33" s="1"/>
  <c r="G15" i="33"/>
  <c r="M15" i="33" s="1"/>
  <c r="E15" i="33"/>
  <c r="K15" i="33" s="1"/>
  <c r="J14" i="33"/>
  <c r="H14" i="33"/>
  <c r="N14" i="33" s="1"/>
  <c r="G14" i="33"/>
  <c r="M14" i="33" s="1"/>
  <c r="E14" i="33"/>
  <c r="K14" i="33" s="1"/>
  <c r="J13" i="33"/>
  <c r="H13" i="33"/>
  <c r="N13" i="33" s="1"/>
  <c r="G13" i="33"/>
  <c r="M13" i="33" s="1"/>
  <c r="E13" i="33"/>
  <c r="K13" i="33" s="1"/>
  <c r="J12" i="33"/>
  <c r="H12" i="33"/>
  <c r="N12" i="33" s="1"/>
  <c r="G12" i="33"/>
  <c r="M12" i="33" s="1"/>
  <c r="E12" i="33"/>
  <c r="K12" i="33" s="1"/>
  <c r="J11" i="33"/>
  <c r="H11" i="33"/>
  <c r="N11" i="33" s="1"/>
  <c r="G11" i="33"/>
  <c r="M11" i="33" s="1"/>
  <c r="E11" i="33"/>
  <c r="K11" i="33" s="1"/>
  <c r="J10" i="33"/>
  <c r="H10" i="33"/>
  <c r="N10" i="33" s="1"/>
  <c r="G10" i="33"/>
  <c r="M10" i="33" s="1"/>
  <c r="E10" i="33"/>
  <c r="K10" i="33" s="1"/>
  <c r="J9" i="33"/>
  <c r="H9" i="33"/>
  <c r="N9" i="33" s="1"/>
  <c r="G9" i="33"/>
  <c r="M9" i="33" s="1"/>
  <c r="E9" i="33"/>
  <c r="K9" i="33" s="1"/>
  <c r="J8" i="33"/>
  <c r="H8" i="33"/>
  <c r="N8" i="33" s="1"/>
  <c r="G8" i="33"/>
  <c r="M8" i="33" s="1"/>
  <c r="E8" i="33"/>
  <c r="K8" i="33" s="1"/>
  <c r="J7" i="33"/>
  <c r="H7" i="33"/>
  <c r="N7" i="33" s="1"/>
  <c r="G7" i="33"/>
  <c r="M7" i="33" s="1"/>
  <c r="E7" i="33"/>
  <c r="K7" i="33" s="1"/>
  <c r="J6" i="33"/>
  <c r="H6" i="33"/>
  <c r="N6" i="33" s="1"/>
  <c r="G6" i="33"/>
  <c r="M6" i="33" s="1"/>
  <c r="E6" i="33"/>
  <c r="K6" i="33" s="1"/>
  <c r="J5" i="33"/>
  <c r="H5" i="33"/>
  <c r="N5" i="33" s="1"/>
  <c r="G5" i="33"/>
  <c r="M5" i="33" s="1"/>
  <c r="E5" i="33"/>
  <c r="K5" i="33" s="1"/>
  <c r="J4" i="33"/>
  <c r="H4" i="33"/>
  <c r="N4" i="33" s="1"/>
  <c r="G4" i="33"/>
  <c r="M4" i="33" s="1"/>
  <c r="E4" i="33"/>
  <c r="K4" i="33" s="1"/>
  <c r="J3" i="33"/>
  <c r="H3" i="33"/>
  <c r="N3" i="33" s="1"/>
  <c r="G3" i="33"/>
  <c r="M3" i="33" s="1"/>
  <c r="E3" i="33"/>
  <c r="K3" i="33" s="1"/>
  <c r="J2" i="33"/>
  <c r="H2" i="33"/>
  <c r="N2" i="33" s="1"/>
  <c r="G2" i="33"/>
  <c r="M2" i="33" s="1"/>
  <c r="E2" i="33"/>
  <c r="K2" i="33" s="1"/>
  <c r="J1" i="33"/>
  <c r="H1" i="33"/>
  <c r="N1" i="33" s="1"/>
  <c r="G1" i="33"/>
  <c r="M1" i="33" s="1"/>
  <c r="F1" i="33"/>
  <c r="L1" i="33" s="1"/>
  <c r="E1" i="33"/>
  <c r="K1" i="33" s="1"/>
  <c r="H107" i="32"/>
  <c r="F107" i="32"/>
  <c r="J107" i="32" s="1"/>
  <c r="H106" i="32"/>
  <c r="F106" i="32"/>
  <c r="J106" i="32" s="1"/>
  <c r="H105" i="32"/>
  <c r="F105" i="32"/>
  <c r="J105" i="32" s="1"/>
  <c r="H104" i="32"/>
  <c r="F104" i="32"/>
  <c r="J104" i="32" s="1"/>
  <c r="H103" i="32"/>
  <c r="F103" i="32"/>
  <c r="J103" i="32" s="1"/>
  <c r="H102" i="32"/>
  <c r="F102" i="32"/>
  <c r="J102" i="32" s="1"/>
  <c r="H101" i="32"/>
  <c r="F101" i="32"/>
  <c r="J101" i="32" s="1"/>
  <c r="H100" i="32"/>
  <c r="F100" i="32"/>
  <c r="J100" i="32" s="1"/>
  <c r="H99" i="32"/>
  <c r="F99" i="32"/>
  <c r="J99" i="32" s="1"/>
  <c r="H98" i="32"/>
  <c r="F98" i="32"/>
  <c r="J98" i="32" s="1"/>
  <c r="H97" i="32"/>
  <c r="F97" i="32"/>
  <c r="J97" i="32" s="1"/>
  <c r="H96" i="32"/>
  <c r="F96" i="32"/>
  <c r="J96" i="32" s="1"/>
  <c r="H95" i="32"/>
  <c r="F95" i="32"/>
  <c r="J95" i="32" s="1"/>
  <c r="H94" i="32"/>
  <c r="F94" i="32"/>
  <c r="J94" i="32" s="1"/>
  <c r="H93" i="32"/>
  <c r="F93" i="32"/>
  <c r="J93" i="32" s="1"/>
  <c r="H92" i="32"/>
  <c r="F92" i="32"/>
  <c r="J92" i="32" s="1"/>
  <c r="H91" i="32"/>
  <c r="F91" i="32"/>
  <c r="J91" i="32" s="1"/>
  <c r="H90" i="32"/>
  <c r="F90" i="32"/>
  <c r="J90" i="32" s="1"/>
  <c r="H89" i="32"/>
  <c r="F89" i="32"/>
  <c r="J89" i="32" s="1"/>
  <c r="H88" i="32"/>
  <c r="F88" i="32"/>
  <c r="J88" i="32" s="1"/>
  <c r="H87" i="32"/>
  <c r="F87" i="32"/>
  <c r="J87" i="32" s="1"/>
  <c r="H86" i="32"/>
  <c r="F86" i="32"/>
  <c r="J86" i="32" s="1"/>
  <c r="H85" i="32"/>
  <c r="F85" i="32"/>
  <c r="J85" i="32" s="1"/>
  <c r="H84" i="32"/>
  <c r="F84" i="32"/>
  <c r="J84" i="32" s="1"/>
  <c r="H83" i="32"/>
  <c r="F83" i="32"/>
  <c r="J83" i="32" s="1"/>
  <c r="H82" i="32"/>
  <c r="F82" i="32"/>
  <c r="J82" i="32" s="1"/>
  <c r="H81" i="32"/>
  <c r="F81" i="32"/>
  <c r="J81" i="32" s="1"/>
  <c r="H80" i="32"/>
  <c r="F80" i="32"/>
  <c r="J80" i="32" s="1"/>
  <c r="H79" i="32"/>
  <c r="F79" i="32"/>
  <c r="J79" i="32" s="1"/>
  <c r="H78" i="32"/>
  <c r="F78" i="32"/>
  <c r="J78" i="32" s="1"/>
  <c r="H77" i="32"/>
  <c r="F77" i="32"/>
  <c r="J77" i="32" s="1"/>
  <c r="H76" i="32"/>
  <c r="F76" i="32"/>
  <c r="J76" i="32" s="1"/>
  <c r="H75" i="32"/>
  <c r="F75" i="32"/>
  <c r="J75" i="32" s="1"/>
  <c r="H74" i="32"/>
  <c r="F74" i="32"/>
  <c r="J74" i="32" s="1"/>
  <c r="H73" i="32"/>
  <c r="F73" i="32"/>
  <c r="J73" i="32" s="1"/>
  <c r="H72" i="32"/>
  <c r="F72" i="32"/>
  <c r="J72" i="32" s="1"/>
  <c r="H71" i="32"/>
  <c r="F71" i="32"/>
  <c r="J71" i="32" s="1"/>
  <c r="H70" i="32"/>
  <c r="F70" i="32"/>
  <c r="J70" i="32" s="1"/>
  <c r="H69" i="32"/>
  <c r="F69" i="32"/>
  <c r="J69" i="32" s="1"/>
  <c r="H68" i="32"/>
  <c r="F68" i="32"/>
  <c r="J68" i="32" s="1"/>
  <c r="H67" i="32"/>
  <c r="F67" i="32"/>
  <c r="J67" i="32" s="1"/>
  <c r="H66" i="32"/>
  <c r="F66" i="32"/>
  <c r="J66" i="32" s="1"/>
  <c r="H65" i="32"/>
  <c r="F65" i="32"/>
  <c r="J65" i="32" s="1"/>
  <c r="H64" i="32"/>
  <c r="F64" i="32"/>
  <c r="J64" i="32" s="1"/>
  <c r="H63" i="32"/>
  <c r="F63" i="32"/>
  <c r="J63" i="32" s="1"/>
  <c r="H62" i="32"/>
  <c r="F62" i="32"/>
  <c r="J62" i="32" s="1"/>
  <c r="H61" i="32"/>
  <c r="F61" i="32"/>
  <c r="J61" i="32" s="1"/>
  <c r="H60" i="32"/>
  <c r="F60" i="32"/>
  <c r="J60" i="32" s="1"/>
  <c r="H59" i="32"/>
  <c r="F59" i="32"/>
  <c r="J59" i="32" s="1"/>
  <c r="H58" i="32"/>
  <c r="F58" i="32"/>
  <c r="J58" i="32" s="1"/>
  <c r="H57" i="32"/>
  <c r="F57" i="32"/>
  <c r="J57" i="32" s="1"/>
  <c r="H56" i="32"/>
  <c r="F56" i="32"/>
  <c r="J56" i="32" s="1"/>
  <c r="H55" i="32"/>
  <c r="F55" i="32"/>
  <c r="J55" i="32" s="1"/>
  <c r="H54" i="32"/>
  <c r="F54" i="32"/>
  <c r="J54" i="32" s="1"/>
  <c r="H53" i="32"/>
  <c r="F53" i="32"/>
  <c r="J53" i="32" s="1"/>
  <c r="H52" i="32"/>
  <c r="F52" i="32"/>
  <c r="J52" i="32" s="1"/>
  <c r="H51" i="32"/>
  <c r="F51" i="32"/>
  <c r="J51" i="32" s="1"/>
  <c r="H50" i="32"/>
  <c r="F50" i="32"/>
  <c r="J50" i="32" s="1"/>
  <c r="H49" i="32"/>
  <c r="F49" i="32"/>
  <c r="J49" i="32" s="1"/>
  <c r="H48" i="32"/>
  <c r="F48" i="32"/>
  <c r="J48" i="32" s="1"/>
  <c r="H47" i="32"/>
  <c r="F47" i="32"/>
  <c r="J47" i="32" s="1"/>
  <c r="H46" i="32"/>
  <c r="F46" i="32"/>
  <c r="J46" i="32" s="1"/>
  <c r="H45" i="32"/>
  <c r="F45" i="32"/>
  <c r="J45" i="32" s="1"/>
  <c r="H44" i="32"/>
  <c r="F44" i="32"/>
  <c r="J44" i="32" s="1"/>
  <c r="H43" i="32"/>
  <c r="F43" i="32"/>
  <c r="J43" i="32" s="1"/>
  <c r="H42" i="32"/>
  <c r="F42" i="32"/>
  <c r="J42" i="32" s="1"/>
  <c r="H41" i="32"/>
  <c r="F41" i="32"/>
  <c r="J41" i="32" s="1"/>
  <c r="H40" i="32"/>
  <c r="F40" i="32"/>
  <c r="J40" i="32" s="1"/>
  <c r="H39" i="32"/>
  <c r="F39" i="32"/>
  <c r="J39" i="32" s="1"/>
  <c r="H38" i="32"/>
  <c r="F38" i="32"/>
  <c r="J38" i="32" s="1"/>
  <c r="H37" i="32"/>
  <c r="F37" i="32"/>
  <c r="J37" i="32" s="1"/>
  <c r="H36" i="32"/>
  <c r="F36" i="32"/>
  <c r="J36" i="32" s="1"/>
  <c r="H35" i="32"/>
  <c r="F35" i="32"/>
  <c r="J35" i="32" s="1"/>
  <c r="H34" i="32"/>
  <c r="F34" i="32"/>
  <c r="J34" i="32" s="1"/>
  <c r="H33" i="32"/>
  <c r="F33" i="32"/>
  <c r="J33" i="32" s="1"/>
  <c r="H32" i="32"/>
  <c r="F32" i="32"/>
  <c r="J32" i="32" s="1"/>
  <c r="H31" i="32"/>
  <c r="F31" i="32"/>
  <c r="J31" i="32" s="1"/>
  <c r="H30" i="32"/>
  <c r="F30" i="32"/>
  <c r="J30" i="32" s="1"/>
  <c r="H29" i="32"/>
  <c r="F29" i="32"/>
  <c r="J29" i="32" s="1"/>
  <c r="H28" i="32"/>
  <c r="F28" i="32"/>
  <c r="J28" i="32" s="1"/>
  <c r="H27" i="32"/>
  <c r="F27" i="32"/>
  <c r="J27" i="32" s="1"/>
  <c r="H26" i="32"/>
  <c r="F26" i="32"/>
  <c r="J26" i="32" s="1"/>
  <c r="H25" i="32"/>
  <c r="F25" i="32"/>
  <c r="J25" i="32" s="1"/>
  <c r="H24" i="32"/>
  <c r="F24" i="32"/>
  <c r="J24" i="32" s="1"/>
  <c r="H23" i="32"/>
  <c r="F23" i="32"/>
  <c r="J23" i="32" s="1"/>
  <c r="H22" i="32"/>
  <c r="F22" i="32"/>
  <c r="J22" i="32" s="1"/>
  <c r="H21" i="32"/>
  <c r="F21" i="32"/>
  <c r="J21" i="32" s="1"/>
  <c r="H20" i="32"/>
  <c r="F20" i="32"/>
  <c r="J20" i="32" s="1"/>
  <c r="H19" i="32"/>
  <c r="F19" i="32"/>
  <c r="J19" i="32" s="1"/>
  <c r="H18" i="32"/>
  <c r="F18" i="32"/>
  <c r="J18" i="32" s="1"/>
  <c r="H17" i="32"/>
  <c r="F17" i="32"/>
  <c r="J17" i="32" s="1"/>
  <c r="H16" i="32"/>
  <c r="F16" i="32"/>
  <c r="J16" i="32" s="1"/>
  <c r="H15" i="32"/>
  <c r="F15" i="32"/>
  <c r="J15" i="32" s="1"/>
  <c r="H14" i="32"/>
  <c r="F14" i="32"/>
  <c r="J14" i="32" s="1"/>
  <c r="H13" i="32"/>
  <c r="F13" i="32"/>
  <c r="J13" i="32" s="1"/>
  <c r="H12" i="32"/>
  <c r="F12" i="32"/>
  <c r="J12" i="32" s="1"/>
  <c r="H11" i="32"/>
  <c r="F11" i="32"/>
  <c r="J11" i="32" s="1"/>
  <c r="H10" i="32"/>
  <c r="F10" i="32"/>
  <c r="J10" i="32" s="1"/>
  <c r="H9" i="32"/>
  <c r="F9" i="32"/>
  <c r="J9" i="32" s="1"/>
  <c r="H8" i="32"/>
  <c r="F8" i="32"/>
  <c r="J8" i="32" s="1"/>
  <c r="H7" i="32"/>
  <c r="F7" i="32"/>
  <c r="J7" i="32" s="1"/>
  <c r="H6" i="32"/>
  <c r="F6" i="32"/>
  <c r="J6" i="32" s="1"/>
  <c r="H5" i="32"/>
  <c r="F5" i="32"/>
  <c r="J5" i="32" s="1"/>
  <c r="H4" i="32"/>
  <c r="F4" i="32"/>
  <c r="J4" i="32" s="1"/>
  <c r="H3" i="32"/>
  <c r="F3" i="32"/>
  <c r="J3" i="32" s="1"/>
  <c r="H2" i="32"/>
  <c r="F2" i="32"/>
  <c r="J2" i="32" s="1"/>
  <c r="H1" i="32"/>
  <c r="F1" i="32"/>
  <c r="J1" i="32" s="1"/>
  <c r="E1" i="32"/>
  <c r="I1" i="32" s="1"/>
  <c r="L109" i="31"/>
  <c r="G109" i="31"/>
  <c r="O109" i="31" s="1"/>
  <c r="L108" i="31"/>
  <c r="G108" i="31"/>
  <c r="O108" i="31" s="1"/>
  <c r="L107" i="31"/>
  <c r="G107" i="31"/>
  <c r="O107" i="31" s="1"/>
  <c r="L106" i="31"/>
  <c r="G106" i="31"/>
  <c r="O106" i="31" s="1"/>
  <c r="L105" i="31"/>
  <c r="G105" i="31"/>
  <c r="O105" i="31" s="1"/>
  <c r="L104" i="31"/>
  <c r="G104" i="31"/>
  <c r="O104" i="31" s="1"/>
  <c r="L103" i="31"/>
  <c r="G103" i="31"/>
  <c r="O103" i="31" s="1"/>
  <c r="L102" i="31"/>
  <c r="G102" i="31"/>
  <c r="O102" i="31" s="1"/>
  <c r="L101" i="31"/>
  <c r="G101" i="31"/>
  <c r="O101" i="31" s="1"/>
  <c r="L100" i="31"/>
  <c r="G100" i="31"/>
  <c r="O100" i="31" s="1"/>
  <c r="L99" i="31"/>
  <c r="G99" i="31"/>
  <c r="O99" i="31" s="1"/>
  <c r="L98" i="31"/>
  <c r="G98" i="31"/>
  <c r="O98" i="31" s="1"/>
  <c r="L97" i="31"/>
  <c r="H97" i="31"/>
  <c r="G97" i="31"/>
  <c r="O97" i="31" s="1"/>
  <c r="L96" i="31"/>
  <c r="H96" i="31"/>
  <c r="P96" i="31" s="1"/>
  <c r="G96" i="31"/>
  <c r="O96" i="31" s="1"/>
  <c r="L95" i="31"/>
  <c r="H95" i="31"/>
  <c r="P95" i="31" s="1"/>
  <c r="G95" i="31"/>
  <c r="O95" i="31" s="1"/>
  <c r="L94" i="31"/>
  <c r="H94" i="31"/>
  <c r="H130" i="31" s="1"/>
  <c r="P130" i="31" s="1"/>
  <c r="G94" i="31"/>
  <c r="O94" i="31" s="1"/>
  <c r="L93" i="31"/>
  <c r="H93" i="31"/>
  <c r="G93" i="31"/>
  <c r="O93" i="31" s="1"/>
  <c r="L92" i="31"/>
  <c r="H92" i="31"/>
  <c r="H128" i="31" s="1"/>
  <c r="G92" i="31"/>
  <c r="O92" i="31" s="1"/>
  <c r="L91" i="31"/>
  <c r="H91" i="31"/>
  <c r="P91" i="31" s="1"/>
  <c r="G91" i="31"/>
  <c r="O91" i="31" s="1"/>
  <c r="L90" i="31"/>
  <c r="H90" i="31"/>
  <c r="P90" i="31" s="1"/>
  <c r="G90" i="31"/>
  <c r="O90" i="31" s="1"/>
  <c r="L89" i="31"/>
  <c r="H89" i="31"/>
  <c r="P89" i="31" s="1"/>
  <c r="G89" i="31"/>
  <c r="O89" i="31" s="1"/>
  <c r="L88" i="31"/>
  <c r="H88" i="31"/>
  <c r="G88" i="31"/>
  <c r="O88" i="31" s="1"/>
  <c r="L87" i="31"/>
  <c r="H87" i="31"/>
  <c r="P87" i="31" s="1"/>
  <c r="G87" i="31"/>
  <c r="O87" i="31" s="1"/>
  <c r="L86" i="31"/>
  <c r="G86" i="31"/>
  <c r="O86" i="31" s="1"/>
  <c r="L85" i="31"/>
  <c r="G85" i="31"/>
  <c r="O85" i="31" s="1"/>
  <c r="L84" i="31"/>
  <c r="G84" i="31"/>
  <c r="O84" i="31" s="1"/>
  <c r="L83" i="31"/>
  <c r="G83" i="31"/>
  <c r="O83" i="31" s="1"/>
  <c r="L82" i="31"/>
  <c r="G82" i="31"/>
  <c r="O82" i="31" s="1"/>
  <c r="L81" i="31"/>
  <c r="G81" i="31"/>
  <c r="O81" i="31" s="1"/>
  <c r="L80" i="31"/>
  <c r="G80" i="31"/>
  <c r="O80" i="31" s="1"/>
  <c r="L79" i="31"/>
  <c r="G79" i="31"/>
  <c r="O79" i="31" s="1"/>
  <c r="L78" i="31"/>
  <c r="G78" i="31"/>
  <c r="O78" i="31" s="1"/>
  <c r="L77" i="31"/>
  <c r="G77" i="31"/>
  <c r="O77" i="31" s="1"/>
  <c r="L76" i="31"/>
  <c r="G76" i="31"/>
  <c r="O76" i="31" s="1"/>
  <c r="L75" i="31"/>
  <c r="G75" i="31"/>
  <c r="O75" i="31" s="1"/>
  <c r="L74" i="31"/>
  <c r="G74" i="31"/>
  <c r="O74" i="31" s="1"/>
  <c r="L73" i="31"/>
  <c r="G73" i="31"/>
  <c r="O73" i="31" s="1"/>
  <c r="L72" i="31"/>
  <c r="G72" i="31"/>
  <c r="O72" i="31" s="1"/>
  <c r="L71" i="31"/>
  <c r="G71" i="31"/>
  <c r="O71" i="31" s="1"/>
  <c r="L70" i="31"/>
  <c r="G70" i="31"/>
  <c r="O70" i="31" s="1"/>
  <c r="L69" i="31"/>
  <c r="G69" i="31"/>
  <c r="O69" i="31" s="1"/>
  <c r="L68" i="31"/>
  <c r="G68" i="31"/>
  <c r="O68" i="31" s="1"/>
  <c r="L67" i="31"/>
  <c r="G67" i="31"/>
  <c r="O67" i="31" s="1"/>
  <c r="L66" i="31"/>
  <c r="G66" i="31"/>
  <c r="O66" i="31" s="1"/>
  <c r="L65" i="31"/>
  <c r="G65" i="31"/>
  <c r="O65" i="31" s="1"/>
  <c r="L64" i="31"/>
  <c r="G64" i="31"/>
  <c r="O64" i="31" s="1"/>
  <c r="L63" i="31"/>
  <c r="H63" i="31"/>
  <c r="P63" i="31" s="1"/>
  <c r="G63" i="31"/>
  <c r="O63" i="31" s="1"/>
  <c r="L62" i="31"/>
  <c r="G62" i="31"/>
  <c r="O62" i="31" s="1"/>
  <c r="L61" i="31"/>
  <c r="G61" i="31"/>
  <c r="O61" i="31" s="1"/>
  <c r="L60" i="31"/>
  <c r="G60" i="31"/>
  <c r="O60" i="31" s="1"/>
  <c r="L59" i="31"/>
  <c r="G59" i="31"/>
  <c r="O59" i="31" s="1"/>
  <c r="L58" i="31"/>
  <c r="G58" i="31"/>
  <c r="O58" i="31" s="1"/>
  <c r="L57" i="31"/>
  <c r="G57" i="31"/>
  <c r="O57" i="31" s="1"/>
  <c r="L56" i="31"/>
  <c r="G56" i="31"/>
  <c r="O56" i="31" s="1"/>
  <c r="L55" i="31"/>
  <c r="G55" i="31"/>
  <c r="O55" i="31" s="1"/>
  <c r="L54" i="31"/>
  <c r="G54" i="31"/>
  <c r="O54" i="31" s="1"/>
  <c r="L53" i="31"/>
  <c r="G53" i="31"/>
  <c r="O53" i="31" s="1"/>
  <c r="L52" i="31"/>
  <c r="G52" i="31"/>
  <c r="O52" i="31" s="1"/>
  <c r="L51" i="31"/>
  <c r="G51" i="31"/>
  <c r="O51" i="31" s="1"/>
  <c r="L50" i="31"/>
  <c r="G50" i="31"/>
  <c r="O50" i="31" s="1"/>
  <c r="L49" i="31"/>
  <c r="H49" i="31"/>
  <c r="P49" i="31" s="1"/>
  <c r="G49" i="31"/>
  <c r="O49" i="31" s="1"/>
  <c r="L48" i="31"/>
  <c r="H48" i="31"/>
  <c r="P48" i="31" s="1"/>
  <c r="G48" i="31"/>
  <c r="O48" i="31" s="1"/>
  <c r="L47" i="31"/>
  <c r="H47" i="31"/>
  <c r="P47" i="31" s="1"/>
  <c r="G47" i="31"/>
  <c r="O47" i="31" s="1"/>
  <c r="L46" i="31"/>
  <c r="H46" i="31"/>
  <c r="P46" i="31" s="1"/>
  <c r="G46" i="31"/>
  <c r="O46" i="31" s="1"/>
  <c r="L45" i="31"/>
  <c r="H45" i="31"/>
  <c r="P45" i="31" s="1"/>
  <c r="G45" i="31"/>
  <c r="O45" i="31" s="1"/>
  <c r="L44" i="31"/>
  <c r="H44" i="31"/>
  <c r="P44" i="31" s="1"/>
  <c r="G44" i="31"/>
  <c r="O44" i="31" s="1"/>
  <c r="L43" i="31"/>
  <c r="H43" i="31"/>
  <c r="P43" i="31" s="1"/>
  <c r="G43" i="31"/>
  <c r="O43" i="31" s="1"/>
  <c r="L42" i="31"/>
  <c r="H42" i="31"/>
  <c r="P42" i="31" s="1"/>
  <c r="G42" i="31"/>
  <c r="O42" i="31" s="1"/>
  <c r="L41" i="31"/>
  <c r="H41" i="31"/>
  <c r="P41" i="31" s="1"/>
  <c r="G41" i="31"/>
  <c r="O41" i="31" s="1"/>
  <c r="L40" i="31"/>
  <c r="H40" i="31"/>
  <c r="P40" i="31" s="1"/>
  <c r="G40" i="31"/>
  <c r="O40" i="31" s="1"/>
  <c r="L39" i="31"/>
  <c r="H39" i="31"/>
  <c r="P39" i="31" s="1"/>
  <c r="G39" i="31"/>
  <c r="O39" i="31" s="1"/>
  <c r="L38" i="31"/>
  <c r="H38" i="31"/>
  <c r="P38" i="31" s="1"/>
  <c r="G38" i="31"/>
  <c r="O38" i="31" s="1"/>
  <c r="L37" i="31"/>
  <c r="G37" i="31"/>
  <c r="O37" i="31" s="1"/>
  <c r="L36" i="31"/>
  <c r="G36" i="31"/>
  <c r="O36" i="31" s="1"/>
  <c r="L35" i="31"/>
  <c r="G35" i="31"/>
  <c r="O35" i="31" s="1"/>
  <c r="L34" i="31"/>
  <c r="G34" i="31"/>
  <c r="O34" i="31" s="1"/>
  <c r="L33" i="31"/>
  <c r="G33" i="31"/>
  <c r="O33" i="31" s="1"/>
  <c r="L32" i="31"/>
  <c r="G32" i="31"/>
  <c r="O32" i="31" s="1"/>
  <c r="L31" i="31"/>
  <c r="G31" i="31"/>
  <c r="O31" i="31" s="1"/>
  <c r="L30" i="31"/>
  <c r="G30" i="31"/>
  <c r="O30" i="31" s="1"/>
  <c r="L29" i="31"/>
  <c r="G29" i="31"/>
  <c r="O29" i="31" s="1"/>
  <c r="L28" i="31"/>
  <c r="G28" i="31"/>
  <c r="O28" i="31" s="1"/>
  <c r="L27" i="31"/>
  <c r="G27" i="31"/>
  <c r="O27" i="31" s="1"/>
  <c r="L26" i="31"/>
  <c r="G26" i="31"/>
  <c r="O26" i="31" s="1"/>
  <c r="L25" i="31"/>
  <c r="G25" i="31"/>
  <c r="O25" i="31" s="1"/>
  <c r="L24" i="31"/>
  <c r="G24" i="31"/>
  <c r="O24" i="31" s="1"/>
  <c r="L23" i="31"/>
  <c r="G23" i="31"/>
  <c r="O23" i="31" s="1"/>
  <c r="L22" i="31"/>
  <c r="G22" i="31"/>
  <c r="O22" i="31" s="1"/>
  <c r="L21" i="31"/>
  <c r="G21" i="31"/>
  <c r="O21" i="31" s="1"/>
  <c r="L20" i="31"/>
  <c r="G20" i="31"/>
  <c r="O20" i="31" s="1"/>
  <c r="L19" i="31"/>
  <c r="G19" i="31"/>
  <c r="O19" i="31" s="1"/>
  <c r="L18" i="31"/>
  <c r="G18" i="31"/>
  <c r="O18" i="31" s="1"/>
  <c r="L17" i="31"/>
  <c r="G17" i="31"/>
  <c r="O17" i="31" s="1"/>
  <c r="L16" i="31"/>
  <c r="G16" i="31"/>
  <c r="O16" i="31" s="1"/>
  <c r="L15" i="31"/>
  <c r="H15" i="31"/>
  <c r="P15" i="31" s="1"/>
  <c r="G15" i="31"/>
  <c r="O15" i="31" s="1"/>
  <c r="L14" i="31"/>
  <c r="G14" i="31"/>
  <c r="O14" i="31" s="1"/>
  <c r="L13" i="31"/>
  <c r="G13" i="31"/>
  <c r="O13" i="31" s="1"/>
  <c r="L12" i="31"/>
  <c r="G12" i="31"/>
  <c r="O12" i="31" s="1"/>
  <c r="L11" i="31"/>
  <c r="G11" i="31"/>
  <c r="O11" i="31" s="1"/>
  <c r="L10" i="31"/>
  <c r="G10" i="31"/>
  <c r="O10" i="31" s="1"/>
  <c r="L9" i="31"/>
  <c r="G9" i="31"/>
  <c r="O9" i="31" s="1"/>
  <c r="L8" i="31"/>
  <c r="G8" i="31"/>
  <c r="O8" i="31" s="1"/>
  <c r="L7" i="31"/>
  <c r="G7" i="31"/>
  <c r="O7" i="31" s="1"/>
  <c r="L6" i="31"/>
  <c r="G6" i="31"/>
  <c r="O6" i="31" s="1"/>
  <c r="L5" i="31"/>
  <c r="G5" i="31"/>
  <c r="O5" i="31" s="1"/>
  <c r="L4" i="31"/>
  <c r="G4" i="31"/>
  <c r="O4" i="31" s="1"/>
  <c r="L3" i="31"/>
  <c r="G3" i="31"/>
  <c r="O3" i="31" s="1"/>
  <c r="L2" i="31"/>
  <c r="G2" i="31"/>
  <c r="O2" i="31" s="1"/>
  <c r="L1" i="31"/>
  <c r="Q1" i="31"/>
  <c r="H1" i="31"/>
  <c r="P1" i="31" s="1"/>
  <c r="G1" i="31"/>
  <c r="O1" i="31" s="1"/>
  <c r="K108" i="30"/>
  <c r="G108" i="30"/>
  <c r="N108" i="30" s="1"/>
  <c r="K107" i="30"/>
  <c r="G107" i="30"/>
  <c r="N107" i="30" s="1"/>
  <c r="K106" i="30"/>
  <c r="G106" i="30"/>
  <c r="N106" i="30" s="1"/>
  <c r="K105" i="30"/>
  <c r="G105" i="30"/>
  <c r="N105" i="30" s="1"/>
  <c r="K104" i="30"/>
  <c r="G104" i="30"/>
  <c r="N104" i="30" s="1"/>
  <c r="K103" i="30"/>
  <c r="G103" i="30"/>
  <c r="N103" i="30" s="1"/>
  <c r="K102" i="30"/>
  <c r="G102" i="30"/>
  <c r="N102" i="30" s="1"/>
  <c r="K101" i="30"/>
  <c r="G101" i="30"/>
  <c r="N101" i="30" s="1"/>
  <c r="K100" i="30"/>
  <c r="G100" i="30"/>
  <c r="N100" i="30" s="1"/>
  <c r="K99" i="30"/>
  <c r="G99" i="30"/>
  <c r="N99" i="30" s="1"/>
  <c r="K98" i="30"/>
  <c r="G98" i="30"/>
  <c r="N98" i="30" s="1"/>
  <c r="K97" i="30"/>
  <c r="I97" i="30"/>
  <c r="G97" i="30"/>
  <c r="N97" i="30" s="1"/>
  <c r="K96" i="30"/>
  <c r="I96" i="30"/>
  <c r="G96" i="30"/>
  <c r="N96" i="30" s="1"/>
  <c r="K95" i="30"/>
  <c r="I95" i="30"/>
  <c r="P95" i="30" s="1"/>
  <c r="G95" i="30"/>
  <c r="N95" i="30" s="1"/>
  <c r="K94" i="30"/>
  <c r="I94" i="30"/>
  <c r="P94" i="30" s="1"/>
  <c r="G94" i="30"/>
  <c r="N94" i="30" s="1"/>
  <c r="K93" i="30"/>
  <c r="I93" i="30"/>
  <c r="I129" i="30" s="1"/>
  <c r="G93" i="30"/>
  <c r="N93" i="30" s="1"/>
  <c r="K92" i="30"/>
  <c r="I92" i="30"/>
  <c r="P92" i="30" s="1"/>
  <c r="G92" i="30"/>
  <c r="N92" i="30" s="1"/>
  <c r="K91" i="30"/>
  <c r="I91" i="30"/>
  <c r="G91" i="30"/>
  <c r="N91" i="30" s="1"/>
  <c r="K90" i="30"/>
  <c r="I90" i="30"/>
  <c r="P90" i="30" s="1"/>
  <c r="G90" i="30"/>
  <c r="N90" i="30" s="1"/>
  <c r="K89" i="30"/>
  <c r="I89" i="30"/>
  <c r="G89" i="30"/>
  <c r="N89" i="30" s="1"/>
  <c r="K88" i="30"/>
  <c r="I88" i="30"/>
  <c r="P88" i="30" s="1"/>
  <c r="G88" i="30"/>
  <c r="N88" i="30" s="1"/>
  <c r="K87" i="30"/>
  <c r="I87" i="30"/>
  <c r="G87" i="30"/>
  <c r="N87" i="30" s="1"/>
  <c r="K86" i="30"/>
  <c r="G86" i="30"/>
  <c r="N86" i="30" s="1"/>
  <c r="K85" i="30"/>
  <c r="G85" i="30"/>
  <c r="N85" i="30" s="1"/>
  <c r="K84" i="30"/>
  <c r="G84" i="30"/>
  <c r="N84" i="30" s="1"/>
  <c r="K83" i="30"/>
  <c r="G83" i="30"/>
  <c r="N83" i="30" s="1"/>
  <c r="K82" i="30"/>
  <c r="G82" i="30"/>
  <c r="N82" i="30" s="1"/>
  <c r="K81" i="30"/>
  <c r="G81" i="30"/>
  <c r="N81" i="30" s="1"/>
  <c r="K80" i="30"/>
  <c r="G80" i="30"/>
  <c r="N80" i="30" s="1"/>
  <c r="K79" i="30"/>
  <c r="G79" i="30"/>
  <c r="N79" i="30" s="1"/>
  <c r="K78" i="30"/>
  <c r="G78" i="30"/>
  <c r="N78" i="30" s="1"/>
  <c r="K77" i="30"/>
  <c r="G77" i="30"/>
  <c r="N77" i="30" s="1"/>
  <c r="K76" i="30"/>
  <c r="G76" i="30"/>
  <c r="N76" i="30" s="1"/>
  <c r="K75" i="30"/>
  <c r="G75" i="30"/>
  <c r="N75" i="30" s="1"/>
  <c r="K74" i="30"/>
  <c r="G74" i="30"/>
  <c r="N74" i="30" s="1"/>
  <c r="K73" i="30"/>
  <c r="G73" i="30"/>
  <c r="N73" i="30" s="1"/>
  <c r="K72" i="30"/>
  <c r="G72" i="30"/>
  <c r="N72" i="30" s="1"/>
  <c r="K71" i="30"/>
  <c r="G71" i="30"/>
  <c r="N71" i="30" s="1"/>
  <c r="K70" i="30"/>
  <c r="G70" i="30"/>
  <c r="N70" i="30" s="1"/>
  <c r="K69" i="30"/>
  <c r="G69" i="30"/>
  <c r="N69" i="30" s="1"/>
  <c r="K68" i="30"/>
  <c r="G68" i="30"/>
  <c r="N68" i="30" s="1"/>
  <c r="K67" i="30"/>
  <c r="G67" i="30"/>
  <c r="N67" i="30" s="1"/>
  <c r="K66" i="30"/>
  <c r="G66" i="30"/>
  <c r="N66" i="30" s="1"/>
  <c r="K65" i="30"/>
  <c r="G65" i="30"/>
  <c r="N65" i="30" s="1"/>
  <c r="K64" i="30"/>
  <c r="G64" i="30"/>
  <c r="N64" i="30" s="1"/>
  <c r="K63" i="30"/>
  <c r="I63" i="30"/>
  <c r="P63" i="30" s="1"/>
  <c r="G63" i="30"/>
  <c r="N63" i="30" s="1"/>
  <c r="K62" i="30"/>
  <c r="G62" i="30"/>
  <c r="N62" i="30" s="1"/>
  <c r="K61" i="30"/>
  <c r="G61" i="30"/>
  <c r="N61" i="30" s="1"/>
  <c r="K60" i="30"/>
  <c r="G60" i="30"/>
  <c r="N60" i="30" s="1"/>
  <c r="K59" i="30"/>
  <c r="G59" i="30"/>
  <c r="N59" i="30" s="1"/>
  <c r="K58" i="30"/>
  <c r="G58" i="30"/>
  <c r="N58" i="30" s="1"/>
  <c r="K57" i="30"/>
  <c r="G57" i="30"/>
  <c r="N57" i="30" s="1"/>
  <c r="K56" i="30"/>
  <c r="G56" i="30"/>
  <c r="N56" i="30" s="1"/>
  <c r="K55" i="30"/>
  <c r="G55" i="30"/>
  <c r="N55" i="30" s="1"/>
  <c r="K54" i="30"/>
  <c r="G54" i="30"/>
  <c r="N54" i="30" s="1"/>
  <c r="K53" i="30"/>
  <c r="G53" i="30"/>
  <c r="N53" i="30" s="1"/>
  <c r="K52" i="30"/>
  <c r="G52" i="30"/>
  <c r="N52" i="30" s="1"/>
  <c r="K51" i="30"/>
  <c r="G51" i="30"/>
  <c r="N51" i="30" s="1"/>
  <c r="K50" i="30"/>
  <c r="G50" i="30"/>
  <c r="N50" i="30" s="1"/>
  <c r="K49" i="30"/>
  <c r="I49" i="30"/>
  <c r="P49" i="30" s="1"/>
  <c r="G49" i="30"/>
  <c r="N49" i="30" s="1"/>
  <c r="K48" i="30"/>
  <c r="I48" i="30"/>
  <c r="P48" i="30" s="1"/>
  <c r="G48" i="30"/>
  <c r="N48" i="30" s="1"/>
  <c r="K47" i="30"/>
  <c r="I47" i="30"/>
  <c r="P47" i="30" s="1"/>
  <c r="G47" i="30"/>
  <c r="N47" i="30" s="1"/>
  <c r="K46" i="30"/>
  <c r="I46" i="30"/>
  <c r="P46" i="30" s="1"/>
  <c r="G46" i="30"/>
  <c r="N46" i="30" s="1"/>
  <c r="K45" i="30"/>
  <c r="I45" i="30"/>
  <c r="P45" i="30" s="1"/>
  <c r="G45" i="30"/>
  <c r="N45" i="30" s="1"/>
  <c r="K44" i="30"/>
  <c r="I44" i="30"/>
  <c r="P44" i="30" s="1"/>
  <c r="G44" i="30"/>
  <c r="N44" i="30" s="1"/>
  <c r="K43" i="30"/>
  <c r="I43" i="30"/>
  <c r="P43" i="30" s="1"/>
  <c r="G43" i="30"/>
  <c r="N43" i="30" s="1"/>
  <c r="K42" i="30"/>
  <c r="I42" i="30"/>
  <c r="P42" i="30" s="1"/>
  <c r="G42" i="30"/>
  <c r="N42" i="30" s="1"/>
  <c r="K41" i="30"/>
  <c r="I41" i="30"/>
  <c r="P41" i="30" s="1"/>
  <c r="G41" i="30"/>
  <c r="N41" i="30" s="1"/>
  <c r="K40" i="30"/>
  <c r="I40" i="30"/>
  <c r="P40" i="30" s="1"/>
  <c r="G40" i="30"/>
  <c r="N40" i="30" s="1"/>
  <c r="K39" i="30"/>
  <c r="I39" i="30"/>
  <c r="P39" i="30" s="1"/>
  <c r="G39" i="30"/>
  <c r="N39" i="30" s="1"/>
  <c r="K38" i="30"/>
  <c r="I38" i="30"/>
  <c r="P38" i="30" s="1"/>
  <c r="G38" i="30"/>
  <c r="N38" i="30" s="1"/>
  <c r="K37" i="30"/>
  <c r="G37" i="30"/>
  <c r="N37" i="30" s="1"/>
  <c r="K36" i="30"/>
  <c r="G36" i="30"/>
  <c r="N36" i="30" s="1"/>
  <c r="K35" i="30"/>
  <c r="G35" i="30"/>
  <c r="N35" i="30" s="1"/>
  <c r="K34" i="30"/>
  <c r="G34" i="30"/>
  <c r="N34" i="30" s="1"/>
  <c r="K33" i="30"/>
  <c r="G33" i="30"/>
  <c r="N33" i="30" s="1"/>
  <c r="K32" i="30"/>
  <c r="G32" i="30"/>
  <c r="N32" i="30" s="1"/>
  <c r="K31" i="30"/>
  <c r="G31" i="30"/>
  <c r="N31" i="30" s="1"/>
  <c r="K30" i="30"/>
  <c r="G30" i="30"/>
  <c r="N30" i="30" s="1"/>
  <c r="K29" i="30"/>
  <c r="G29" i="30"/>
  <c r="N29" i="30" s="1"/>
  <c r="K28" i="30"/>
  <c r="G28" i="30"/>
  <c r="N28" i="30" s="1"/>
  <c r="K27" i="30"/>
  <c r="G27" i="30"/>
  <c r="N27" i="30" s="1"/>
  <c r="K26" i="30"/>
  <c r="G26" i="30"/>
  <c r="N26" i="30" s="1"/>
  <c r="K25" i="30"/>
  <c r="G25" i="30"/>
  <c r="N25" i="30" s="1"/>
  <c r="K24" i="30"/>
  <c r="G24" i="30"/>
  <c r="N24" i="30" s="1"/>
  <c r="K23" i="30"/>
  <c r="G23" i="30"/>
  <c r="N23" i="30" s="1"/>
  <c r="K22" i="30"/>
  <c r="G22" i="30"/>
  <c r="N22" i="30" s="1"/>
  <c r="K21" i="30"/>
  <c r="G21" i="30"/>
  <c r="N21" i="30" s="1"/>
  <c r="K20" i="30"/>
  <c r="G20" i="30"/>
  <c r="N20" i="30" s="1"/>
  <c r="K19" i="30"/>
  <c r="G19" i="30"/>
  <c r="N19" i="30" s="1"/>
  <c r="K18" i="30"/>
  <c r="G18" i="30"/>
  <c r="N18" i="30" s="1"/>
  <c r="K17" i="30"/>
  <c r="G17" i="30"/>
  <c r="N17" i="30" s="1"/>
  <c r="K16" i="30"/>
  <c r="G16" i="30"/>
  <c r="N16" i="30" s="1"/>
  <c r="K15" i="30"/>
  <c r="I15" i="30"/>
  <c r="P15" i="30" s="1"/>
  <c r="G15" i="30"/>
  <c r="N15" i="30" s="1"/>
  <c r="K14" i="30"/>
  <c r="G14" i="30"/>
  <c r="N14" i="30" s="1"/>
  <c r="K13" i="30"/>
  <c r="G13" i="30"/>
  <c r="N13" i="30" s="1"/>
  <c r="K12" i="30"/>
  <c r="G12" i="30"/>
  <c r="N12" i="30" s="1"/>
  <c r="K11" i="30"/>
  <c r="G11" i="30"/>
  <c r="N11" i="30" s="1"/>
  <c r="K10" i="30"/>
  <c r="G10" i="30"/>
  <c r="N10" i="30" s="1"/>
  <c r="K9" i="30"/>
  <c r="G9" i="30"/>
  <c r="N9" i="30" s="1"/>
  <c r="K8" i="30"/>
  <c r="G8" i="30"/>
  <c r="N8" i="30" s="1"/>
  <c r="K7" i="30"/>
  <c r="G7" i="30"/>
  <c r="N7" i="30" s="1"/>
  <c r="K6" i="30"/>
  <c r="G6" i="30"/>
  <c r="N6" i="30" s="1"/>
  <c r="K5" i="30"/>
  <c r="G5" i="30"/>
  <c r="N5" i="30" s="1"/>
  <c r="K4" i="30"/>
  <c r="G4" i="30"/>
  <c r="N4" i="30" s="1"/>
  <c r="K3" i="30"/>
  <c r="G3" i="30"/>
  <c r="N3" i="30" s="1"/>
  <c r="K2" i="30"/>
  <c r="G2" i="30"/>
  <c r="N2" i="30" s="1"/>
  <c r="K1" i="30"/>
  <c r="I1" i="30"/>
  <c r="P1" i="30" s="1"/>
  <c r="H1" i="30"/>
  <c r="O1" i="30" s="1"/>
  <c r="G1" i="30"/>
  <c r="N1" i="30" s="1"/>
  <c r="L109" i="29"/>
  <c r="P109" i="29"/>
  <c r="G109" i="29"/>
  <c r="O109" i="29" s="1"/>
  <c r="L108" i="29"/>
  <c r="P108" i="29"/>
  <c r="G108" i="29"/>
  <c r="O108" i="29" s="1"/>
  <c r="L107" i="29"/>
  <c r="P107" i="29"/>
  <c r="G107" i="29"/>
  <c r="O107" i="29" s="1"/>
  <c r="L106" i="29"/>
  <c r="P106" i="29"/>
  <c r="G106" i="29"/>
  <c r="O106" i="29" s="1"/>
  <c r="L105" i="29"/>
  <c r="P105" i="29"/>
  <c r="G105" i="29"/>
  <c r="O105" i="29" s="1"/>
  <c r="L104" i="29"/>
  <c r="P104" i="29"/>
  <c r="G104" i="29"/>
  <c r="O104" i="29" s="1"/>
  <c r="L103" i="29"/>
  <c r="P103" i="29"/>
  <c r="G103" i="29"/>
  <c r="O103" i="29" s="1"/>
  <c r="L102" i="29"/>
  <c r="P102" i="29"/>
  <c r="G102" i="29"/>
  <c r="O102" i="29" s="1"/>
  <c r="L101" i="29"/>
  <c r="P101" i="29"/>
  <c r="G101" i="29"/>
  <c r="O101" i="29" s="1"/>
  <c r="L100" i="29"/>
  <c r="P100" i="29"/>
  <c r="G100" i="29"/>
  <c r="O100" i="29" s="1"/>
  <c r="L99" i="29"/>
  <c r="P99" i="29"/>
  <c r="G99" i="29"/>
  <c r="O99" i="29" s="1"/>
  <c r="L98" i="29"/>
  <c r="P98" i="29"/>
  <c r="G98" i="29"/>
  <c r="O98" i="29" s="1"/>
  <c r="L97" i="29"/>
  <c r="I97" i="29"/>
  <c r="I133" i="29" s="1"/>
  <c r="P97" i="29"/>
  <c r="G97" i="29"/>
  <c r="O97" i="29" s="1"/>
  <c r="L96" i="29"/>
  <c r="I96" i="29"/>
  <c r="Q96" i="29" s="1"/>
  <c r="P96" i="29"/>
  <c r="G96" i="29"/>
  <c r="O96" i="29" s="1"/>
  <c r="L95" i="29"/>
  <c r="I95" i="29"/>
  <c r="Q95" i="29" s="1"/>
  <c r="P95" i="29"/>
  <c r="G95" i="29"/>
  <c r="O95" i="29" s="1"/>
  <c r="L94" i="29"/>
  <c r="I94" i="29"/>
  <c r="P94" i="29"/>
  <c r="G94" i="29"/>
  <c r="O94" i="29" s="1"/>
  <c r="L93" i="29"/>
  <c r="I93" i="29"/>
  <c r="I129" i="29" s="1"/>
  <c r="I165" i="29" s="1"/>
  <c r="I201" i="29" s="1"/>
  <c r="Q201" i="29" s="1"/>
  <c r="P93" i="29"/>
  <c r="G93" i="29"/>
  <c r="O93" i="29" s="1"/>
  <c r="L92" i="29"/>
  <c r="I92" i="29"/>
  <c r="P92" i="29"/>
  <c r="G92" i="29"/>
  <c r="O92" i="29" s="1"/>
  <c r="L91" i="29"/>
  <c r="I91" i="29"/>
  <c r="Q91" i="29" s="1"/>
  <c r="P91" i="29"/>
  <c r="G91" i="29"/>
  <c r="O91" i="29" s="1"/>
  <c r="L90" i="29"/>
  <c r="I90" i="29"/>
  <c r="I126" i="29" s="1"/>
  <c r="P90" i="29"/>
  <c r="G90" i="29"/>
  <c r="O90" i="29" s="1"/>
  <c r="L89" i="29"/>
  <c r="I89" i="29"/>
  <c r="Q89" i="29" s="1"/>
  <c r="P89" i="29"/>
  <c r="G89" i="29"/>
  <c r="O89" i="29" s="1"/>
  <c r="L88" i="29"/>
  <c r="I88" i="29"/>
  <c r="P88" i="29"/>
  <c r="G88" i="29"/>
  <c r="O88" i="29" s="1"/>
  <c r="L87" i="29"/>
  <c r="I87" i="29"/>
  <c r="I123" i="29" s="1"/>
  <c r="Q123" i="29" s="1"/>
  <c r="P87" i="29"/>
  <c r="G87" i="29"/>
  <c r="O87" i="29" s="1"/>
  <c r="L86" i="29"/>
  <c r="P86" i="29"/>
  <c r="G86" i="29"/>
  <c r="O86" i="29" s="1"/>
  <c r="L85" i="29"/>
  <c r="P85" i="29"/>
  <c r="G85" i="29"/>
  <c r="O85" i="29" s="1"/>
  <c r="L84" i="29"/>
  <c r="P84" i="29"/>
  <c r="G84" i="29"/>
  <c r="O84" i="29" s="1"/>
  <c r="L83" i="29"/>
  <c r="P83" i="29"/>
  <c r="G83" i="29"/>
  <c r="O83" i="29" s="1"/>
  <c r="L82" i="29"/>
  <c r="P82" i="29"/>
  <c r="G82" i="29"/>
  <c r="O82" i="29" s="1"/>
  <c r="L81" i="29"/>
  <c r="P81" i="29"/>
  <c r="G81" i="29"/>
  <c r="O81" i="29" s="1"/>
  <c r="L80" i="29"/>
  <c r="P80" i="29"/>
  <c r="G80" i="29"/>
  <c r="O80" i="29" s="1"/>
  <c r="L79" i="29"/>
  <c r="P79" i="29"/>
  <c r="G79" i="29"/>
  <c r="O79" i="29" s="1"/>
  <c r="L78" i="29"/>
  <c r="P78" i="29"/>
  <c r="G78" i="29"/>
  <c r="O78" i="29" s="1"/>
  <c r="L77" i="29"/>
  <c r="P77" i="29"/>
  <c r="G77" i="29"/>
  <c r="O77" i="29" s="1"/>
  <c r="L76" i="29"/>
  <c r="P76" i="29"/>
  <c r="G76" i="29"/>
  <c r="O76" i="29" s="1"/>
  <c r="L75" i="29"/>
  <c r="P75" i="29"/>
  <c r="G75" i="29"/>
  <c r="O75" i="29" s="1"/>
  <c r="L74" i="29"/>
  <c r="P74" i="29"/>
  <c r="G74" i="29"/>
  <c r="O74" i="29" s="1"/>
  <c r="L73" i="29"/>
  <c r="P73" i="29"/>
  <c r="G73" i="29"/>
  <c r="O73" i="29" s="1"/>
  <c r="L72" i="29"/>
  <c r="P72" i="29"/>
  <c r="G72" i="29"/>
  <c r="O72" i="29" s="1"/>
  <c r="L71" i="29"/>
  <c r="P71" i="29"/>
  <c r="G71" i="29"/>
  <c r="O71" i="29" s="1"/>
  <c r="L70" i="29"/>
  <c r="P70" i="29"/>
  <c r="G70" i="29"/>
  <c r="O70" i="29" s="1"/>
  <c r="L69" i="29"/>
  <c r="P69" i="29"/>
  <c r="G69" i="29"/>
  <c r="O69" i="29" s="1"/>
  <c r="L68" i="29"/>
  <c r="P68" i="29"/>
  <c r="G68" i="29"/>
  <c r="O68" i="29" s="1"/>
  <c r="L67" i="29"/>
  <c r="P67" i="29"/>
  <c r="G67" i="29"/>
  <c r="O67" i="29" s="1"/>
  <c r="L66" i="29"/>
  <c r="P66" i="29"/>
  <c r="G66" i="29"/>
  <c r="O66" i="29" s="1"/>
  <c r="L65" i="29"/>
  <c r="P65" i="29"/>
  <c r="G65" i="29"/>
  <c r="O65" i="29" s="1"/>
  <c r="L64" i="29"/>
  <c r="P64" i="29"/>
  <c r="G64" i="29"/>
  <c r="O64" i="29" s="1"/>
  <c r="L63" i="29"/>
  <c r="I63" i="29"/>
  <c r="Q63" i="29" s="1"/>
  <c r="P63" i="29"/>
  <c r="G63" i="29"/>
  <c r="O63" i="29" s="1"/>
  <c r="L62" i="29"/>
  <c r="P62" i="29"/>
  <c r="G62" i="29"/>
  <c r="O62" i="29" s="1"/>
  <c r="L61" i="29"/>
  <c r="P61" i="29"/>
  <c r="G61" i="29"/>
  <c r="O61" i="29" s="1"/>
  <c r="L60" i="29"/>
  <c r="P60" i="29"/>
  <c r="G60" i="29"/>
  <c r="O60" i="29" s="1"/>
  <c r="L59" i="29"/>
  <c r="P59" i="29"/>
  <c r="G59" i="29"/>
  <c r="O59" i="29" s="1"/>
  <c r="L58" i="29"/>
  <c r="P58" i="29"/>
  <c r="G58" i="29"/>
  <c r="O58" i="29" s="1"/>
  <c r="L57" i="29"/>
  <c r="P57" i="29"/>
  <c r="G57" i="29"/>
  <c r="O57" i="29" s="1"/>
  <c r="L56" i="29"/>
  <c r="P56" i="29"/>
  <c r="G56" i="29"/>
  <c r="O56" i="29" s="1"/>
  <c r="L55" i="29"/>
  <c r="P55" i="29"/>
  <c r="G55" i="29"/>
  <c r="O55" i="29" s="1"/>
  <c r="L54" i="29"/>
  <c r="P54" i="29"/>
  <c r="G54" i="29"/>
  <c r="O54" i="29" s="1"/>
  <c r="L53" i="29"/>
  <c r="P53" i="29"/>
  <c r="G53" i="29"/>
  <c r="O53" i="29" s="1"/>
  <c r="L52" i="29"/>
  <c r="P52" i="29"/>
  <c r="G52" i="29"/>
  <c r="O52" i="29" s="1"/>
  <c r="L51" i="29"/>
  <c r="P51" i="29"/>
  <c r="G51" i="29"/>
  <c r="O51" i="29" s="1"/>
  <c r="L50" i="29"/>
  <c r="P50" i="29"/>
  <c r="G50" i="29"/>
  <c r="O50" i="29" s="1"/>
  <c r="L49" i="29"/>
  <c r="I49" i="29"/>
  <c r="Q49" i="29" s="1"/>
  <c r="P49" i="29"/>
  <c r="G49" i="29"/>
  <c r="O49" i="29" s="1"/>
  <c r="L48" i="29"/>
  <c r="I48" i="29"/>
  <c r="Q48" i="29" s="1"/>
  <c r="P48" i="29"/>
  <c r="G48" i="29"/>
  <c r="O48" i="29" s="1"/>
  <c r="L47" i="29"/>
  <c r="I47" i="29"/>
  <c r="Q47" i="29" s="1"/>
  <c r="P47" i="29"/>
  <c r="G47" i="29"/>
  <c r="O47" i="29" s="1"/>
  <c r="L46" i="29"/>
  <c r="I46" i="29"/>
  <c r="Q46" i="29" s="1"/>
  <c r="P46" i="29"/>
  <c r="G46" i="29"/>
  <c r="O46" i="29" s="1"/>
  <c r="L45" i="29"/>
  <c r="I45" i="29"/>
  <c r="Q45" i="29" s="1"/>
  <c r="P45" i="29"/>
  <c r="G45" i="29"/>
  <c r="O45" i="29" s="1"/>
  <c r="L44" i="29"/>
  <c r="I44" i="29"/>
  <c r="Q44" i="29" s="1"/>
  <c r="P44" i="29"/>
  <c r="G44" i="29"/>
  <c r="O44" i="29" s="1"/>
  <c r="L43" i="29"/>
  <c r="I43" i="29"/>
  <c r="Q43" i="29" s="1"/>
  <c r="P43" i="29"/>
  <c r="G43" i="29"/>
  <c r="O43" i="29" s="1"/>
  <c r="L42" i="29"/>
  <c r="I42" i="29"/>
  <c r="Q42" i="29" s="1"/>
  <c r="P42" i="29"/>
  <c r="G42" i="29"/>
  <c r="O42" i="29" s="1"/>
  <c r="L41" i="29"/>
  <c r="I41" i="29"/>
  <c r="Q41" i="29" s="1"/>
  <c r="P41" i="29"/>
  <c r="G41" i="29"/>
  <c r="O41" i="29" s="1"/>
  <c r="L40" i="29"/>
  <c r="I40" i="29"/>
  <c r="Q40" i="29" s="1"/>
  <c r="P40" i="29"/>
  <c r="G40" i="29"/>
  <c r="O40" i="29" s="1"/>
  <c r="L39" i="29"/>
  <c r="I39" i="29"/>
  <c r="Q39" i="29" s="1"/>
  <c r="P39" i="29"/>
  <c r="G39" i="29"/>
  <c r="O39" i="29" s="1"/>
  <c r="L38" i="29"/>
  <c r="I38" i="29"/>
  <c r="Q38" i="29" s="1"/>
  <c r="P38" i="29"/>
  <c r="G38" i="29"/>
  <c r="O38" i="29" s="1"/>
  <c r="L37" i="29"/>
  <c r="P37" i="29"/>
  <c r="G37" i="29"/>
  <c r="O37" i="29" s="1"/>
  <c r="L36" i="29"/>
  <c r="P36" i="29"/>
  <c r="G36" i="29"/>
  <c r="O36" i="29" s="1"/>
  <c r="L35" i="29"/>
  <c r="P35" i="29"/>
  <c r="G35" i="29"/>
  <c r="O35" i="29" s="1"/>
  <c r="L34" i="29"/>
  <c r="P34" i="29"/>
  <c r="G34" i="29"/>
  <c r="O34" i="29" s="1"/>
  <c r="L33" i="29"/>
  <c r="P33" i="29"/>
  <c r="G33" i="29"/>
  <c r="O33" i="29" s="1"/>
  <c r="L32" i="29"/>
  <c r="P32" i="29"/>
  <c r="G32" i="29"/>
  <c r="O32" i="29" s="1"/>
  <c r="L31" i="29"/>
  <c r="P31" i="29"/>
  <c r="G31" i="29"/>
  <c r="O31" i="29" s="1"/>
  <c r="L30" i="29"/>
  <c r="P30" i="29"/>
  <c r="G30" i="29"/>
  <c r="O30" i="29" s="1"/>
  <c r="L29" i="29"/>
  <c r="P29" i="29"/>
  <c r="G29" i="29"/>
  <c r="O29" i="29" s="1"/>
  <c r="L28" i="29"/>
  <c r="P28" i="29"/>
  <c r="G28" i="29"/>
  <c r="O28" i="29" s="1"/>
  <c r="L27" i="29"/>
  <c r="P27" i="29"/>
  <c r="G27" i="29"/>
  <c r="O27" i="29" s="1"/>
  <c r="L26" i="29"/>
  <c r="P26" i="29"/>
  <c r="G26" i="29"/>
  <c r="O26" i="29" s="1"/>
  <c r="L25" i="29"/>
  <c r="P25" i="29"/>
  <c r="G25" i="29"/>
  <c r="O25" i="29" s="1"/>
  <c r="L24" i="29"/>
  <c r="P24" i="29"/>
  <c r="G24" i="29"/>
  <c r="O24" i="29" s="1"/>
  <c r="L23" i="29"/>
  <c r="P23" i="29"/>
  <c r="G23" i="29"/>
  <c r="O23" i="29" s="1"/>
  <c r="L22" i="29"/>
  <c r="P22" i="29"/>
  <c r="G22" i="29"/>
  <c r="O22" i="29" s="1"/>
  <c r="L21" i="29"/>
  <c r="P21" i="29"/>
  <c r="G21" i="29"/>
  <c r="O21" i="29" s="1"/>
  <c r="L20" i="29"/>
  <c r="P20" i="29"/>
  <c r="G20" i="29"/>
  <c r="O20" i="29" s="1"/>
  <c r="L19" i="29"/>
  <c r="P19" i="29"/>
  <c r="G19" i="29"/>
  <c r="O19" i="29" s="1"/>
  <c r="L18" i="29"/>
  <c r="P18" i="29"/>
  <c r="G18" i="29"/>
  <c r="O18" i="29" s="1"/>
  <c r="L17" i="29"/>
  <c r="P17" i="29"/>
  <c r="G17" i="29"/>
  <c r="O17" i="29" s="1"/>
  <c r="L16" i="29"/>
  <c r="P16" i="29"/>
  <c r="G16" i="29"/>
  <c r="O16" i="29" s="1"/>
  <c r="L15" i="29"/>
  <c r="I15" i="29"/>
  <c r="Q15" i="29" s="1"/>
  <c r="P15" i="29"/>
  <c r="G15" i="29"/>
  <c r="O15" i="29" s="1"/>
  <c r="L14" i="29"/>
  <c r="P14" i="29"/>
  <c r="G14" i="29"/>
  <c r="O14" i="29" s="1"/>
  <c r="L13" i="29"/>
  <c r="P13" i="29"/>
  <c r="G13" i="29"/>
  <c r="O13" i="29" s="1"/>
  <c r="L12" i="29"/>
  <c r="P12" i="29"/>
  <c r="G12" i="29"/>
  <c r="O12" i="29" s="1"/>
  <c r="L11" i="29"/>
  <c r="P11" i="29"/>
  <c r="G11" i="29"/>
  <c r="O11" i="29" s="1"/>
  <c r="L10" i="29"/>
  <c r="P10" i="29"/>
  <c r="G10" i="29"/>
  <c r="O10" i="29" s="1"/>
  <c r="L9" i="29"/>
  <c r="P9" i="29"/>
  <c r="G9" i="29"/>
  <c r="O9" i="29" s="1"/>
  <c r="L8" i="29"/>
  <c r="P8" i="29"/>
  <c r="G8" i="29"/>
  <c r="O8" i="29" s="1"/>
  <c r="L7" i="29"/>
  <c r="P7" i="29"/>
  <c r="G7" i="29"/>
  <c r="O7" i="29" s="1"/>
  <c r="L6" i="29"/>
  <c r="P6" i="29"/>
  <c r="G6" i="29"/>
  <c r="O6" i="29" s="1"/>
  <c r="L5" i="29"/>
  <c r="P5" i="29"/>
  <c r="G5" i="29"/>
  <c r="O5" i="29" s="1"/>
  <c r="L4" i="29"/>
  <c r="P4" i="29"/>
  <c r="G4" i="29"/>
  <c r="O4" i="29" s="1"/>
  <c r="L3" i="29"/>
  <c r="P3" i="29"/>
  <c r="G3" i="29"/>
  <c r="O3" i="29" s="1"/>
  <c r="L2" i="29"/>
  <c r="G2" i="29"/>
  <c r="O2" i="29" s="1"/>
  <c r="L1" i="29"/>
  <c r="R1" i="29"/>
  <c r="I1" i="29"/>
  <c r="Q1" i="29" s="1"/>
  <c r="P1" i="29"/>
  <c r="G1" i="29"/>
  <c r="O1" i="29" s="1"/>
  <c r="M109" i="28"/>
  <c r="T109" i="28"/>
  <c r="I109" i="28"/>
  <c r="R109" i="28" s="1"/>
  <c r="M108" i="28"/>
  <c r="T108" i="28"/>
  <c r="I108" i="28"/>
  <c r="R108" i="28" s="1"/>
  <c r="M107" i="28"/>
  <c r="T107" i="28"/>
  <c r="I107" i="28"/>
  <c r="R107" i="28" s="1"/>
  <c r="M106" i="28"/>
  <c r="T106" i="28"/>
  <c r="I106" i="28"/>
  <c r="R106" i="28" s="1"/>
  <c r="M105" i="28"/>
  <c r="T105" i="28"/>
  <c r="I105" i="28"/>
  <c r="R105" i="28" s="1"/>
  <c r="M104" i="28"/>
  <c r="T104" i="28"/>
  <c r="I104" i="28"/>
  <c r="R104" i="28" s="1"/>
  <c r="M103" i="28"/>
  <c r="T103" i="28"/>
  <c r="I103" i="28"/>
  <c r="R103" i="28" s="1"/>
  <c r="M102" i="28"/>
  <c r="T102" i="28"/>
  <c r="I102" i="28"/>
  <c r="R102" i="28" s="1"/>
  <c r="M101" i="28"/>
  <c r="T101" i="28"/>
  <c r="I101" i="28"/>
  <c r="R101" i="28" s="1"/>
  <c r="M100" i="28"/>
  <c r="T100" i="28"/>
  <c r="I100" i="28"/>
  <c r="R100" i="28" s="1"/>
  <c r="M99" i="28"/>
  <c r="T99" i="28"/>
  <c r="I99" i="28"/>
  <c r="M98" i="28"/>
  <c r="T98" i="28"/>
  <c r="I98" i="28"/>
  <c r="R98" i="28" s="1"/>
  <c r="M97" i="28"/>
  <c r="T97" i="28"/>
  <c r="J97" i="28"/>
  <c r="I97" i="28"/>
  <c r="R97" i="28" s="1"/>
  <c r="M96" i="28"/>
  <c r="T96" i="28"/>
  <c r="J96" i="28"/>
  <c r="I96" i="28"/>
  <c r="R96" i="28" s="1"/>
  <c r="M95" i="28"/>
  <c r="T95" i="28"/>
  <c r="J95" i="28"/>
  <c r="I95" i="28"/>
  <c r="R95" i="28" s="1"/>
  <c r="M94" i="28"/>
  <c r="T94" i="28"/>
  <c r="J94" i="28"/>
  <c r="J142" i="28" s="1"/>
  <c r="J190" i="28" s="1"/>
  <c r="I94" i="28"/>
  <c r="R94" i="28" s="1"/>
  <c r="M93" i="28"/>
  <c r="T93" i="28"/>
  <c r="J93" i="28"/>
  <c r="I93" i="28"/>
  <c r="R93" i="28" s="1"/>
  <c r="M92" i="28"/>
  <c r="T92" i="28"/>
  <c r="J92" i="28"/>
  <c r="J140" i="28" s="1"/>
  <c r="J188" i="28" s="1"/>
  <c r="I92" i="28"/>
  <c r="R92" i="28" s="1"/>
  <c r="M91" i="28"/>
  <c r="T91" i="28"/>
  <c r="J91" i="28"/>
  <c r="J139" i="28" s="1"/>
  <c r="J187" i="28" s="1"/>
  <c r="I91" i="28"/>
  <c r="R91" i="28" s="1"/>
  <c r="M90" i="28"/>
  <c r="T90" i="28"/>
  <c r="J90" i="28"/>
  <c r="I90" i="28"/>
  <c r="R90" i="28" s="1"/>
  <c r="M89" i="28"/>
  <c r="T89" i="28"/>
  <c r="J89" i="28"/>
  <c r="I89" i="28"/>
  <c r="R89" i="28" s="1"/>
  <c r="M88" i="28"/>
  <c r="T88" i="28"/>
  <c r="J88" i="28"/>
  <c r="J136" i="28" s="1"/>
  <c r="I88" i="28"/>
  <c r="R88" i="28" s="1"/>
  <c r="M87" i="28"/>
  <c r="T87" i="28"/>
  <c r="J87" i="28"/>
  <c r="J135" i="28" s="1"/>
  <c r="J183" i="28" s="1"/>
  <c r="I87" i="28"/>
  <c r="R87" i="28" s="1"/>
  <c r="M86" i="28"/>
  <c r="T86" i="28"/>
  <c r="I86" i="28"/>
  <c r="R86" i="28" s="1"/>
  <c r="M85" i="28"/>
  <c r="T85" i="28"/>
  <c r="I85" i="28"/>
  <c r="R85" i="28" s="1"/>
  <c r="M84" i="28"/>
  <c r="T84" i="28"/>
  <c r="I84" i="28"/>
  <c r="R84" i="28" s="1"/>
  <c r="M83" i="28"/>
  <c r="T83" i="28"/>
  <c r="I83" i="28"/>
  <c r="R83" i="28" s="1"/>
  <c r="M82" i="28"/>
  <c r="T82" i="28"/>
  <c r="I82" i="28"/>
  <c r="R82" i="28" s="1"/>
  <c r="M81" i="28"/>
  <c r="T81" i="28"/>
  <c r="I81" i="28"/>
  <c r="R81" i="28" s="1"/>
  <c r="M80" i="28"/>
  <c r="T80" i="28"/>
  <c r="I80" i="28"/>
  <c r="R80" i="28" s="1"/>
  <c r="M79" i="28"/>
  <c r="T79" i="28"/>
  <c r="I79" i="28"/>
  <c r="R79" i="28" s="1"/>
  <c r="M78" i="28"/>
  <c r="T78" i="28"/>
  <c r="I78" i="28"/>
  <c r="R78" i="28" s="1"/>
  <c r="M77" i="28"/>
  <c r="T77" i="28"/>
  <c r="I77" i="28"/>
  <c r="R77" i="28" s="1"/>
  <c r="M76" i="28"/>
  <c r="T76" i="28"/>
  <c r="I76" i="28"/>
  <c r="R76" i="28" s="1"/>
  <c r="M75" i="28"/>
  <c r="T75" i="28"/>
  <c r="I75" i="28"/>
  <c r="R75" i="28" s="1"/>
  <c r="M74" i="28"/>
  <c r="T74" i="28"/>
  <c r="I74" i="28"/>
  <c r="R74" i="28" s="1"/>
  <c r="M73" i="28"/>
  <c r="T73" i="28"/>
  <c r="I73" i="28"/>
  <c r="R73" i="28" s="1"/>
  <c r="M72" i="28"/>
  <c r="T72" i="28"/>
  <c r="I72" i="28"/>
  <c r="R72" i="28" s="1"/>
  <c r="M71" i="28"/>
  <c r="T71" i="28"/>
  <c r="I71" i="28"/>
  <c r="R71" i="28" s="1"/>
  <c r="M70" i="28"/>
  <c r="T70" i="28"/>
  <c r="I70" i="28"/>
  <c r="R70" i="28" s="1"/>
  <c r="M69" i="28"/>
  <c r="T69" i="28"/>
  <c r="I69" i="28"/>
  <c r="R69" i="28" s="1"/>
  <c r="M68" i="28"/>
  <c r="T68" i="28"/>
  <c r="I68" i="28"/>
  <c r="R68" i="28" s="1"/>
  <c r="M67" i="28"/>
  <c r="T67" i="28"/>
  <c r="I67" i="28"/>
  <c r="R67" i="28" s="1"/>
  <c r="M66" i="28"/>
  <c r="T66" i="28"/>
  <c r="I66" i="28"/>
  <c r="R66" i="28" s="1"/>
  <c r="M65" i="28"/>
  <c r="T65" i="28"/>
  <c r="I65" i="28"/>
  <c r="R65" i="28" s="1"/>
  <c r="M64" i="28"/>
  <c r="T64" i="28"/>
  <c r="I64" i="28"/>
  <c r="R64" i="28" s="1"/>
  <c r="M63" i="28"/>
  <c r="T63" i="28"/>
  <c r="J63" i="28"/>
  <c r="I63" i="28"/>
  <c r="R63" i="28" s="1"/>
  <c r="M62" i="28"/>
  <c r="T62" i="28"/>
  <c r="I62" i="28"/>
  <c r="R62" i="28" s="1"/>
  <c r="M61" i="28"/>
  <c r="T61" i="28"/>
  <c r="I61" i="28"/>
  <c r="R61" i="28" s="1"/>
  <c r="M60" i="28"/>
  <c r="T60" i="28"/>
  <c r="I60" i="28"/>
  <c r="R60" i="28" s="1"/>
  <c r="M59" i="28"/>
  <c r="T59" i="28"/>
  <c r="I59" i="28"/>
  <c r="R59" i="28" s="1"/>
  <c r="M58" i="28"/>
  <c r="T58" i="28"/>
  <c r="I58" i="28"/>
  <c r="R58" i="28" s="1"/>
  <c r="M57" i="28"/>
  <c r="T57" i="28"/>
  <c r="I57" i="28"/>
  <c r="R57" i="28" s="1"/>
  <c r="M56" i="28"/>
  <c r="T56" i="28"/>
  <c r="I56" i="28"/>
  <c r="R56" i="28" s="1"/>
  <c r="M55" i="28"/>
  <c r="T55" i="28"/>
  <c r="I55" i="28"/>
  <c r="R55" i="28" s="1"/>
  <c r="M54" i="28"/>
  <c r="T54" i="28"/>
  <c r="I54" i="28"/>
  <c r="R54" i="28" s="1"/>
  <c r="M53" i="28"/>
  <c r="T53" i="28"/>
  <c r="I53" i="28"/>
  <c r="R53" i="28" s="1"/>
  <c r="M52" i="28"/>
  <c r="T52" i="28"/>
  <c r="I52" i="28"/>
  <c r="R52" i="28" s="1"/>
  <c r="M51" i="28"/>
  <c r="T51" i="28"/>
  <c r="I51" i="28"/>
  <c r="R51" i="28" s="1"/>
  <c r="M50" i="28"/>
  <c r="T50" i="28"/>
  <c r="I50" i="28"/>
  <c r="R50" i="28" s="1"/>
  <c r="M49" i="28"/>
  <c r="T49" i="28"/>
  <c r="J49" i="28"/>
  <c r="S49" i="28" s="1"/>
  <c r="I49" i="28"/>
  <c r="R49" i="28" s="1"/>
  <c r="M48" i="28"/>
  <c r="T48" i="28"/>
  <c r="J48" i="28"/>
  <c r="S48" i="28" s="1"/>
  <c r="I48" i="28"/>
  <c r="R48" i="28" s="1"/>
  <c r="M47" i="28"/>
  <c r="T47" i="28"/>
  <c r="J47" i="28"/>
  <c r="S47" i="28" s="1"/>
  <c r="I47" i="28"/>
  <c r="R47" i="28" s="1"/>
  <c r="M46" i="28"/>
  <c r="T46" i="28"/>
  <c r="J46" i="28"/>
  <c r="S46" i="28" s="1"/>
  <c r="I46" i="28"/>
  <c r="R46" i="28" s="1"/>
  <c r="M45" i="28"/>
  <c r="T45" i="28"/>
  <c r="J45" i="28"/>
  <c r="S45" i="28" s="1"/>
  <c r="I45" i="28"/>
  <c r="R45" i="28" s="1"/>
  <c r="M44" i="28"/>
  <c r="T44" i="28"/>
  <c r="J44" i="28"/>
  <c r="S44" i="28" s="1"/>
  <c r="I44" i="28"/>
  <c r="R44" i="28" s="1"/>
  <c r="M43" i="28"/>
  <c r="T43" i="28"/>
  <c r="J43" i="28"/>
  <c r="S43" i="28" s="1"/>
  <c r="I43" i="28"/>
  <c r="R43" i="28" s="1"/>
  <c r="M42" i="28"/>
  <c r="T42" i="28"/>
  <c r="J42" i="28"/>
  <c r="S42" i="28" s="1"/>
  <c r="I42" i="28"/>
  <c r="R42" i="28" s="1"/>
  <c r="M41" i="28"/>
  <c r="T41" i="28"/>
  <c r="J41" i="28"/>
  <c r="S41" i="28" s="1"/>
  <c r="I41" i="28"/>
  <c r="R41" i="28" s="1"/>
  <c r="M40" i="28"/>
  <c r="T40" i="28"/>
  <c r="J40" i="28"/>
  <c r="S40" i="28" s="1"/>
  <c r="I40" i="28"/>
  <c r="R40" i="28" s="1"/>
  <c r="M39" i="28"/>
  <c r="T39" i="28"/>
  <c r="J39" i="28"/>
  <c r="S39" i="28" s="1"/>
  <c r="I39" i="28"/>
  <c r="R39" i="28" s="1"/>
  <c r="M38" i="28"/>
  <c r="T38" i="28"/>
  <c r="J38" i="28"/>
  <c r="S38" i="28" s="1"/>
  <c r="I38" i="28"/>
  <c r="R38" i="28" s="1"/>
  <c r="M37" i="28"/>
  <c r="T37" i="28"/>
  <c r="I37" i="28"/>
  <c r="R37" i="28" s="1"/>
  <c r="M36" i="28"/>
  <c r="T36" i="28"/>
  <c r="I36" i="28"/>
  <c r="R36" i="28" s="1"/>
  <c r="M35" i="28"/>
  <c r="T35" i="28"/>
  <c r="I35" i="28"/>
  <c r="R35" i="28" s="1"/>
  <c r="M34" i="28"/>
  <c r="T34" i="28"/>
  <c r="I34" i="28"/>
  <c r="R34" i="28" s="1"/>
  <c r="M33" i="28"/>
  <c r="T33" i="28"/>
  <c r="I33" i="28"/>
  <c r="R33" i="28" s="1"/>
  <c r="M32" i="28"/>
  <c r="T32" i="28"/>
  <c r="I32" i="28"/>
  <c r="R32" i="28" s="1"/>
  <c r="M31" i="28"/>
  <c r="T31" i="28"/>
  <c r="I31" i="28"/>
  <c r="R31" i="28" s="1"/>
  <c r="M30" i="28"/>
  <c r="T30" i="28"/>
  <c r="I30" i="28"/>
  <c r="R30" i="28" s="1"/>
  <c r="M29" i="28"/>
  <c r="T29" i="28"/>
  <c r="I29" i="28"/>
  <c r="R29" i="28" s="1"/>
  <c r="M28" i="28"/>
  <c r="T28" i="28"/>
  <c r="I28" i="28"/>
  <c r="R28" i="28" s="1"/>
  <c r="M27" i="28"/>
  <c r="T27" i="28"/>
  <c r="I27" i="28"/>
  <c r="R27" i="28" s="1"/>
  <c r="M26" i="28"/>
  <c r="T26" i="28"/>
  <c r="I26" i="28"/>
  <c r="R26" i="28" s="1"/>
  <c r="M25" i="28"/>
  <c r="T25" i="28"/>
  <c r="I25" i="28"/>
  <c r="R25" i="28" s="1"/>
  <c r="M24" i="28"/>
  <c r="T24" i="28"/>
  <c r="I24" i="28"/>
  <c r="R24" i="28" s="1"/>
  <c r="M23" i="28"/>
  <c r="T23" i="28"/>
  <c r="I23" i="28"/>
  <c r="R23" i="28" s="1"/>
  <c r="M22" i="28"/>
  <c r="T22" i="28"/>
  <c r="I22" i="28"/>
  <c r="R22" i="28" s="1"/>
  <c r="M21" i="28"/>
  <c r="T21" i="28"/>
  <c r="I21" i="28"/>
  <c r="R21" i="28" s="1"/>
  <c r="M20" i="28"/>
  <c r="T20" i="28"/>
  <c r="I20" i="28"/>
  <c r="R20" i="28" s="1"/>
  <c r="M19" i="28"/>
  <c r="T19" i="28"/>
  <c r="I19" i="28"/>
  <c r="R19" i="28" s="1"/>
  <c r="M18" i="28"/>
  <c r="T18" i="28"/>
  <c r="I18" i="28"/>
  <c r="R18" i="28" s="1"/>
  <c r="M17" i="28"/>
  <c r="T17" i="28"/>
  <c r="I17" i="28"/>
  <c r="R17" i="28" s="1"/>
  <c r="M16" i="28"/>
  <c r="T16" i="28"/>
  <c r="I16" i="28"/>
  <c r="R16" i="28" s="1"/>
  <c r="M15" i="28"/>
  <c r="T15" i="28"/>
  <c r="J15" i="28"/>
  <c r="S15" i="28" s="1"/>
  <c r="I15" i="28"/>
  <c r="R15" i="28" s="1"/>
  <c r="M14" i="28"/>
  <c r="T14" i="28"/>
  <c r="I14" i="28"/>
  <c r="R14" i="28" s="1"/>
  <c r="M13" i="28"/>
  <c r="T13" i="28"/>
  <c r="I13" i="28"/>
  <c r="R13" i="28" s="1"/>
  <c r="M12" i="28"/>
  <c r="T12" i="28"/>
  <c r="I12" i="28"/>
  <c r="R12" i="28" s="1"/>
  <c r="M11" i="28"/>
  <c r="T11" i="28"/>
  <c r="I11" i="28"/>
  <c r="R11" i="28" s="1"/>
  <c r="M10" i="28"/>
  <c r="T10" i="28"/>
  <c r="I10" i="28"/>
  <c r="R10" i="28" s="1"/>
  <c r="M9" i="28"/>
  <c r="T9" i="28"/>
  <c r="I9" i="28"/>
  <c r="R9" i="28" s="1"/>
  <c r="M8" i="28"/>
  <c r="T8" i="28"/>
  <c r="I8" i="28"/>
  <c r="R8" i="28" s="1"/>
  <c r="M7" i="28"/>
  <c r="T7" i="28"/>
  <c r="I7" i="28"/>
  <c r="R7" i="28" s="1"/>
  <c r="M6" i="28"/>
  <c r="T6" i="28"/>
  <c r="I6" i="28"/>
  <c r="R6" i="28" s="1"/>
  <c r="M5" i="28"/>
  <c r="T5" i="28"/>
  <c r="I5" i="28"/>
  <c r="R5" i="28" s="1"/>
  <c r="M4" i="28"/>
  <c r="T4" i="28"/>
  <c r="I4" i="28"/>
  <c r="R4" i="28" s="1"/>
  <c r="M3" i="28"/>
  <c r="T3" i="28"/>
  <c r="I3" i="28"/>
  <c r="R3" i="28" s="1"/>
  <c r="M2" i="28"/>
  <c r="T2" i="28"/>
  <c r="I2" i="28"/>
  <c r="R2" i="28" s="1"/>
  <c r="M1" i="28"/>
  <c r="T1" i="28"/>
  <c r="J1" i="28"/>
  <c r="S1" i="28" s="1"/>
  <c r="I1" i="28"/>
  <c r="R1" i="28" s="1"/>
  <c r="H109" i="22"/>
  <c r="N109" i="22" s="1"/>
  <c r="H108" i="22"/>
  <c r="N108" i="22" s="1"/>
  <c r="H107" i="22"/>
  <c r="N107" i="22" s="1"/>
  <c r="H106" i="22"/>
  <c r="N106" i="22" s="1"/>
  <c r="H105" i="22"/>
  <c r="N105" i="22" s="1"/>
  <c r="H104" i="22"/>
  <c r="N104" i="22" s="1"/>
  <c r="H103" i="22"/>
  <c r="N103" i="22" s="1"/>
  <c r="H102" i="22"/>
  <c r="N102" i="22" s="1"/>
  <c r="H101" i="22"/>
  <c r="N101" i="22" s="1"/>
  <c r="H100" i="22"/>
  <c r="N100" i="22" s="1"/>
  <c r="H99" i="22"/>
  <c r="N99" i="22" s="1"/>
  <c r="H98" i="22"/>
  <c r="N98" i="22" s="1"/>
  <c r="H97" i="22"/>
  <c r="N97" i="22" s="1"/>
  <c r="H96" i="22"/>
  <c r="N96" i="22" s="1"/>
  <c r="H95" i="22"/>
  <c r="N95" i="22" s="1"/>
  <c r="H94" i="22"/>
  <c r="N94" i="22" s="1"/>
  <c r="H93" i="22"/>
  <c r="N93" i="22" s="1"/>
  <c r="H92" i="22"/>
  <c r="N92" i="22" s="1"/>
  <c r="H91" i="22"/>
  <c r="N91" i="22" s="1"/>
  <c r="H90" i="22"/>
  <c r="N90" i="22" s="1"/>
  <c r="H89" i="22"/>
  <c r="N89" i="22" s="1"/>
  <c r="H88" i="22"/>
  <c r="N88" i="22" s="1"/>
  <c r="H87" i="22"/>
  <c r="N87" i="22" s="1"/>
  <c r="H86" i="22"/>
  <c r="N86" i="22" s="1"/>
  <c r="H85" i="22"/>
  <c r="N85" i="22" s="1"/>
  <c r="H84" i="22"/>
  <c r="N84" i="22" s="1"/>
  <c r="H83" i="22"/>
  <c r="N83" i="22" s="1"/>
  <c r="H82" i="22"/>
  <c r="N82" i="22" s="1"/>
  <c r="H81" i="22"/>
  <c r="N81" i="22" s="1"/>
  <c r="H80" i="22"/>
  <c r="N80" i="22" s="1"/>
  <c r="H79" i="22"/>
  <c r="N79" i="22" s="1"/>
  <c r="H78" i="22"/>
  <c r="N78" i="22" s="1"/>
  <c r="H77" i="22"/>
  <c r="N77" i="22" s="1"/>
  <c r="H76" i="22"/>
  <c r="N76" i="22" s="1"/>
  <c r="H75" i="22"/>
  <c r="N75" i="22" s="1"/>
  <c r="H74" i="22"/>
  <c r="N74" i="22" s="1"/>
  <c r="H73" i="22"/>
  <c r="N73" i="22" s="1"/>
  <c r="H72" i="22"/>
  <c r="N72" i="22" s="1"/>
  <c r="H71" i="22"/>
  <c r="N71" i="22" s="1"/>
  <c r="H70" i="22"/>
  <c r="N70" i="22" s="1"/>
  <c r="H69" i="22"/>
  <c r="N69" i="22" s="1"/>
  <c r="H68" i="22"/>
  <c r="N68" i="22" s="1"/>
  <c r="H67" i="22"/>
  <c r="N67" i="22" s="1"/>
  <c r="H66" i="22"/>
  <c r="N66" i="22" s="1"/>
  <c r="H65" i="22"/>
  <c r="N65" i="22" s="1"/>
  <c r="H64" i="22"/>
  <c r="N64" i="22" s="1"/>
  <c r="H63" i="22"/>
  <c r="N63" i="22" s="1"/>
  <c r="H62" i="22"/>
  <c r="N62" i="22" s="1"/>
  <c r="H61" i="22"/>
  <c r="N61" i="22" s="1"/>
  <c r="H60" i="22"/>
  <c r="N60" i="22" s="1"/>
  <c r="H59" i="22"/>
  <c r="N59" i="22" s="1"/>
  <c r="H58" i="22"/>
  <c r="N58" i="22" s="1"/>
  <c r="H57" i="22"/>
  <c r="N57" i="22" s="1"/>
  <c r="H56" i="22"/>
  <c r="N56" i="22" s="1"/>
  <c r="H55" i="22"/>
  <c r="N55" i="22" s="1"/>
  <c r="H54" i="22"/>
  <c r="N54" i="22" s="1"/>
  <c r="H53" i="22"/>
  <c r="N53" i="22" s="1"/>
  <c r="H52" i="22"/>
  <c r="N52" i="22" s="1"/>
  <c r="H51" i="22"/>
  <c r="N51" i="22" s="1"/>
  <c r="H50" i="22"/>
  <c r="N50" i="22" s="1"/>
  <c r="H49" i="22"/>
  <c r="N49" i="22" s="1"/>
  <c r="H48" i="22"/>
  <c r="N48" i="22" s="1"/>
  <c r="H47" i="22"/>
  <c r="N47" i="22" s="1"/>
  <c r="H46" i="22"/>
  <c r="N46" i="22" s="1"/>
  <c r="H45" i="22"/>
  <c r="N45" i="22" s="1"/>
  <c r="H44" i="22"/>
  <c r="N44" i="22" s="1"/>
  <c r="H43" i="22"/>
  <c r="N43" i="22" s="1"/>
  <c r="H42" i="22"/>
  <c r="N42" i="22" s="1"/>
  <c r="H41" i="22"/>
  <c r="N41" i="22" s="1"/>
  <c r="H40" i="22"/>
  <c r="N40" i="22" s="1"/>
  <c r="H39" i="22"/>
  <c r="N39" i="22" s="1"/>
  <c r="H38" i="22"/>
  <c r="N38" i="22" s="1"/>
  <c r="H37" i="22"/>
  <c r="N37" i="22" s="1"/>
  <c r="H36" i="22"/>
  <c r="N36" i="22" s="1"/>
  <c r="H35" i="22"/>
  <c r="N35" i="22" s="1"/>
  <c r="H34" i="22"/>
  <c r="N34" i="22" s="1"/>
  <c r="H33" i="22"/>
  <c r="N33" i="22" s="1"/>
  <c r="H32" i="22"/>
  <c r="N32" i="22" s="1"/>
  <c r="H31" i="22"/>
  <c r="N31" i="22" s="1"/>
  <c r="H30" i="22"/>
  <c r="N30" i="22" s="1"/>
  <c r="H29" i="22"/>
  <c r="N29" i="22" s="1"/>
  <c r="H28" i="22"/>
  <c r="N28" i="22" s="1"/>
  <c r="H27" i="22"/>
  <c r="N27" i="22" s="1"/>
  <c r="H26" i="22"/>
  <c r="N26" i="22" s="1"/>
  <c r="H25" i="22"/>
  <c r="N25" i="22" s="1"/>
  <c r="H24" i="22"/>
  <c r="N24" i="22" s="1"/>
  <c r="H23" i="22"/>
  <c r="N23" i="22" s="1"/>
  <c r="H22" i="22"/>
  <c r="N22" i="22" s="1"/>
  <c r="H21" i="22"/>
  <c r="N21" i="22" s="1"/>
  <c r="H20" i="22"/>
  <c r="N20" i="22" s="1"/>
  <c r="H19" i="22"/>
  <c r="N19" i="22" s="1"/>
  <c r="H18" i="22"/>
  <c r="N18" i="22" s="1"/>
  <c r="H17" i="22"/>
  <c r="N17" i="22" s="1"/>
  <c r="H16" i="22"/>
  <c r="N16" i="22" s="1"/>
  <c r="H15" i="22"/>
  <c r="N15" i="22" s="1"/>
  <c r="H14" i="22"/>
  <c r="N14" i="22" s="1"/>
  <c r="H13" i="22"/>
  <c r="N13" i="22" s="1"/>
  <c r="H12" i="22"/>
  <c r="N12" i="22" s="1"/>
  <c r="H11" i="22"/>
  <c r="N11" i="22" s="1"/>
  <c r="H10" i="22"/>
  <c r="N10" i="22" s="1"/>
  <c r="H9" i="22"/>
  <c r="N9" i="22" s="1"/>
  <c r="H8" i="22"/>
  <c r="N8" i="22" s="1"/>
  <c r="H7" i="22"/>
  <c r="N7" i="22" s="1"/>
  <c r="H6" i="22"/>
  <c r="N6" i="22" s="1"/>
  <c r="H5" i="22"/>
  <c r="N5" i="22" s="1"/>
  <c r="H4" i="22"/>
  <c r="N4" i="22" s="1"/>
  <c r="H3" i="22"/>
  <c r="N3" i="22" s="1"/>
  <c r="H2" i="22"/>
  <c r="N2" i="22" s="1"/>
  <c r="H1" i="22"/>
  <c r="N1" i="22" s="1"/>
  <c r="G2" i="22"/>
  <c r="M2" i="22" s="1"/>
  <c r="G3" i="22"/>
  <c r="M3" i="22" s="1"/>
  <c r="G4" i="22"/>
  <c r="M4" i="22" s="1"/>
  <c r="G5" i="22"/>
  <c r="M5" i="22" s="1"/>
  <c r="G6" i="22"/>
  <c r="M6" i="22" s="1"/>
  <c r="G7" i="22"/>
  <c r="M7" i="22" s="1"/>
  <c r="G8" i="22"/>
  <c r="M8" i="22" s="1"/>
  <c r="G9" i="22"/>
  <c r="M9" i="22" s="1"/>
  <c r="G10" i="22"/>
  <c r="M10" i="22" s="1"/>
  <c r="G11" i="22"/>
  <c r="M11" i="22" s="1"/>
  <c r="G12" i="22"/>
  <c r="M12" i="22" s="1"/>
  <c r="G13" i="22"/>
  <c r="M13" i="22" s="1"/>
  <c r="G14" i="22"/>
  <c r="M14" i="22" s="1"/>
  <c r="G15" i="22"/>
  <c r="M15" i="22" s="1"/>
  <c r="G16" i="22"/>
  <c r="M16" i="22" s="1"/>
  <c r="G17" i="22"/>
  <c r="M17" i="22" s="1"/>
  <c r="G18" i="22"/>
  <c r="M18" i="22" s="1"/>
  <c r="G19" i="22"/>
  <c r="M19" i="22" s="1"/>
  <c r="G20" i="22"/>
  <c r="M20" i="22" s="1"/>
  <c r="G21" i="22"/>
  <c r="M21" i="22" s="1"/>
  <c r="G22" i="22"/>
  <c r="M22" i="22" s="1"/>
  <c r="G23" i="22"/>
  <c r="M23" i="22" s="1"/>
  <c r="G24" i="22"/>
  <c r="M24" i="22" s="1"/>
  <c r="G25" i="22"/>
  <c r="M25" i="22" s="1"/>
  <c r="G26" i="22"/>
  <c r="M26" i="22" s="1"/>
  <c r="G27" i="22"/>
  <c r="M27" i="22" s="1"/>
  <c r="G28" i="22"/>
  <c r="M28" i="22" s="1"/>
  <c r="G29" i="22"/>
  <c r="M29" i="22" s="1"/>
  <c r="G30" i="22"/>
  <c r="M30" i="22" s="1"/>
  <c r="G31" i="22"/>
  <c r="M31" i="22" s="1"/>
  <c r="G32" i="22"/>
  <c r="M32" i="22" s="1"/>
  <c r="G33" i="22"/>
  <c r="M33" i="22" s="1"/>
  <c r="G34" i="22"/>
  <c r="M34" i="22" s="1"/>
  <c r="G35" i="22"/>
  <c r="M35" i="22" s="1"/>
  <c r="G36" i="22"/>
  <c r="M36" i="22" s="1"/>
  <c r="G37" i="22"/>
  <c r="M37" i="22" s="1"/>
  <c r="G38" i="22"/>
  <c r="M38" i="22" s="1"/>
  <c r="G39" i="22"/>
  <c r="M39" i="22" s="1"/>
  <c r="G40" i="22"/>
  <c r="M40" i="22" s="1"/>
  <c r="G41" i="22"/>
  <c r="M41" i="22" s="1"/>
  <c r="G42" i="22"/>
  <c r="M42" i="22" s="1"/>
  <c r="G43" i="22"/>
  <c r="M43" i="22" s="1"/>
  <c r="G44" i="22"/>
  <c r="M44" i="22" s="1"/>
  <c r="G45" i="22"/>
  <c r="M45" i="22" s="1"/>
  <c r="G46" i="22"/>
  <c r="M46" i="22" s="1"/>
  <c r="G47" i="22"/>
  <c r="M47" i="22" s="1"/>
  <c r="G48" i="22"/>
  <c r="M48" i="22" s="1"/>
  <c r="G49" i="22"/>
  <c r="M49" i="22" s="1"/>
  <c r="G50" i="22"/>
  <c r="M50" i="22" s="1"/>
  <c r="G51" i="22"/>
  <c r="M51" i="22" s="1"/>
  <c r="G52" i="22"/>
  <c r="M52" i="22" s="1"/>
  <c r="G53" i="22"/>
  <c r="M53" i="22" s="1"/>
  <c r="G54" i="22"/>
  <c r="M54" i="22" s="1"/>
  <c r="G55" i="22"/>
  <c r="M55" i="22" s="1"/>
  <c r="G56" i="22"/>
  <c r="M56" i="22" s="1"/>
  <c r="G57" i="22"/>
  <c r="M57" i="22" s="1"/>
  <c r="G58" i="22"/>
  <c r="M58" i="22" s="1"/>
  <c r="G59" i="22"/>
  <c r="M59" i="22" s="1"/>
  <c r="G60" i="22"/>
  <c r="M60" i="22" s="1"/>
  <c r="G61" i="22"/>
  <c r="M61" i="22" s="1"/>
  <c r="G62" i="22"/>
  <c r="M62" i="22" s="1"/>
  <c r="G63" i="22"/>
  <c r="M63" i="22" s="1"/>
  <c r="G64" i="22"/>
  <c r="M64" i="22" s="1"/>
  <c r="G65" i="22"/>
  <c r="M65" i="22" s="1"/>
  <c r="G66" i="22"/>
  <c r="M66" i="22" s="1"/>
  <c r="G67" i="22"/>
  <c r="M67" i="22" s="1"/>
  <c r="G68" i="22"/>
  <c r="M68" i="22" s="1"/>
  <c r="G69" i="22"/>
  <c r="M69" i="22" s="1"/>
  <c r="G70" i="22"/>
  <c r="M70" i="22" s="1"/>
  <c r="G71" i="22"/>
  <c r="M71" i="22" s="1"/>
  <c r="G72" i="22"/>
  <c r="M72" i="22" s="1"/>
  <c r="G73" i="22"/>
  <c r="M73" i="22" s="1"/>
  <c r="G74" i="22"/>
  <c r="M74" i="22" s="1"/>
  <c r="G75" i="22"/>
  <c r="M75" i="22" s="1"/>
  <c r="G76" i="22"/>
  <c r="M76" i="22" s="1"/>
  <c r="G77" i="22"/>
  <c r="M77" i="22" s="1"/>
  <c r="G78" i="22"/>
  <c r="M78" i="22" s="1"/>
  <c r="G79" i="22"/>
  <c r="M79" i="22" s="1"/>
  <c r="G80" i="22"/>
  <c r="M80" i="22" s="1"/>
  <c r="G81" i="22"/>
  <c r="M81" i="22" s="1"/>
  <c r="G82" i="22"/>
  <c r="M82" i="22" s="1"/>
  <c r="G83" i="22"/>
  <c r="M83" i="22" s="1"/>
  <c r="G84" i="22"/>
  <c r="M84" i="22" s="1"/>
  <c r="G85" i="22"/>
  <c r="M85" i="22" s="1"/>
  <c r="G86" i="22"/>
  <c r="M86" i="22" s="1"/>
  <c r="G87" i="22"/>
  <c r="M87" i="22" s="1"/>
  <c r="G88" i="22"/>
  <c r="M88" i="22" s="1"/>
  <c r="G89" i="22"/>
  <c r="M89" i="22" s="1"/>
  <c r="G90" i="22"/>
  <c r="M90" i="22" s="1"/>
  <c r="G91" i="22"/>
  <c r="M91" i="22" s="1"/>
  <c r="G92" i="22"/>
  <c r="M92" i="22" s="1"/>
  <c r="G93" i="22"/>
  <c r="M93" i="22" s="1"/>
  <c r="G94" i="22"/>
  <c r="M94" i="22" s="1"/>
  <c r="G95" i="22"/>
  <c r="M95" i="22" s="1"/>
  <c r="G96" i="22"/>
  <c r="M96" i="22" s="1"/>
  <c r="G97" i="22"/>
  <c r="M97" i="22" s="1"/>
  <c r="G98" i="22"/>
  <c r="M98" i="22" s="1"/>
  <c r="G99" i="22"/>
  <c r="M99" i="22" s="1"/>
  <c r="G100" i="22"/>
  <c r="M100" i="22" s="1"/>
  <c r="G101" i="22"/>
  <c r="M101" i="22" s="1"/>
  <c r="G102" i="22"/>
  <c r="M102" i="22" s="1"/>
  <c r="G103" i="22"/>
  <c r="M103" i="22" s="1"/>
  <c r="G104" i="22"/>
  <c r="M104" i="22" s="1"/>
  <c r="G105" i="22"/>
  <c r="M105" i="22" s="1"/>
  <c r="G106" i="22"/>
  <c r="M106" i="22" s="1"/>
  <c r="G107" i="22"/>
  <c r="M107" i="22" s="1"/>
  <c r="G108" i="22"/>
  <c r="M108" i="22" s="1"/>
  <c r="G109" i="22"/>
  <c r="M109" i="22" s="1"/>
  <c r="G1" i="22"/>
  <c r="M1" i="22" s="1"/>
  <c r="F1" i="22"/>
  <c r="L1" i="22" s="1"/>
  <c r="E2" i="22"/>
  <c r="K2" i="22" s="1"/>
  <c r="E3" i="22"/>
  <c r="K3" i="22" s="1"/>
  <c r="E4" i="22"/>
  <c r="K4" i="22" s="1"/>
  <c r="E5" i="22"/>
  <c r="K5" i="22" s="1"/>
  <c r="E6" i="22"/>
  <c r="K6" i="22" s="1"/>
  <c r="E7" i="22"/>
  <c r="K7" i="22" s="1"/>
  <c r="E8" i="22"/>
  <c r="K8" i="22" s="1"/>
  <c r="E9" i="22"/>
  <c r="K9" i="22" s="1"/>
  <c r="E10" i="22"/>
  <c r="K10" i="22" s="1"/>
  <c r="E11" i="22"/>
  <c r="K11" i="22" s="1"/>
  <c r="E12" i="22"/>
  <c r="K12" i="22" s="1"/>
  <c r="E13" i="22"/>
  <c r="K13" i="22" s="1"/>
  <c r="E14" i="22"/>
  <c r="K14" i="22" s="1"/>
  <c r="E15" i="22"/>
  <c r="K15" i="22" s="1"/>
  <c r="E16" i="22"/>
  <c r="K16" i="22" s="1"/>
  <c r="E17" i="22"/>
  <c r="K17" i="22" s="1"/>
  <c r="E18" i="22"/>
  <c r="K18" i="22" s="1"/>
  <c r="E19" i="22"/>
  <c r="K19" i="22" s="1"/>
  <c r="E20" i="22"/>
  <c r="K20" i="22" s="1"/>
  <c r="E21" i="22"/>
  <c r="K21" i="22" s="1"/>
  <c r="E22" i="22"/>
  <c r="K22" i="22" s="1"/>
  <c r="E23" i="22"/>
  <c r="K23" i="22" s="1"/>
  <c r="E24" i="22"/>
  <c r="K24" i="22" s="1"/>
  <c r="E25" i="22"/>
  <c r="K25" i="22" s="1"/>
  <c r="E26" i="22"/>
  <c r="K26" i="22" s="1"/>
  <c r="E27" i="22"/>
  <c r="E28" i="22"/>
  <c r="K28" i="22" s="1"/>
  <c r="E29" i="22"/>
  <c r="K29" i="22" s="1"/>
  <c r="E30" i="22"/>
  <c r="K30" i="22" s="1"/>
  <c r="E31" i="22"/>
  <c r="K31" i="22" s="1"/>
  <c r="E32" i="22"/>
  <c r="K32" i="22" s="1"/>
  <c r="E33" i="22"/>
  <c r="K33" i="22" s="1"/>
  <c r="E34" i="22"/>
  <c r="K34" i="22" s="1"/>
  <c r="E35" i="22"/>
  <c r="K35" i="22" s="1"/>
  <c r="E36" i="22"/>
  <c r="K36" i="22" s="1"/>
  <c r="E37" i="22"/>
  <c r="K37" i="22" s="1"/>
  <c r="E38" i="22"/>
  <c r="K38" i="22" s="1"/>
  <c r="E39" i="22"/>
  <c r="K39" i="22" s="1"/>
  <c r="E40" i="22"/>
  <c r="K40" i="22" s="1"/>
  <c r="E41" i="22"/>
  <c r="K41" i="22" s="1"/>
  <c r="E42" i="22"/>
  <c r="K42" i="22" s="1"/>
  <c r="E43" i="22"/>
  <c r="K43" i="22" s="1"/>
  <c r="E44" i="22"/>
  <c r="K44" i="22" s="1"/>
  <c r="E45" i="22"/>
  <c r="K45" i="22" s="1"/>
  <c r="E46" i="22"/>
  <c r="K46" i="22" s="1"/>
  <c r="E47" i="22"/>
  <c r="K47" i="22" s="1"/>
  <c r="E48" i="22"/>
  <c r="K48" i="22" s="1"/>
  <c r="E49" i="22"/>
  <c r="K49" i="22" s="1"/>
  <c r="E50" i="22"/>
  <c r="K50" i="22" s="1"/>
  <c r="E51" i="22"/>
  <c r="K51" i="22" s="1"/>
  <c r="E52" i="22"/>
  <c r="K52" i="22" s="1"/>
  <c r="E53" i="22"/>
  <c r="K53" i="22" s="1"/>
  <c r="E54" i="22"/>
  <c r="K54" i="22" s="1"/>
  <c r="E55" i="22"/>
  <c r="K55" i="22" s="1"/>
  <c r="E56" i="22"/>
  <c r="K56" i="22" s="1"/>
  <c r="E57" i="22"/>
  <c r="K57" i="22" s="1"/>
  <c r="E58" i="22"/>
  <c r="K58" i="22" s="1"/>
  <c r="E59" i="22"/>
  <c r="K59" i="22" s="1"/>
  <c r="E60" i="22"/>
  <c r="K60" i="22" s="1"/>
  <c r="E61" i="22"/>
  <c r="K61" i="22" s="1"/>
  <c r="E62" i="22"/>
  <c r="K62" i="22" s="1"/>
  <c r="E63" i="22"/>
  <c r="K63" i="22" s="1"/>
  <c r="E64" i="22"/>
  <c r="K64" i="22" s="1"/>
  <c r="E65" i="22"/>
  <c r="K65" i="22" s="1"/>
  <c r="E66" i="22"/>
  <c r="K66" i="22" s="1"/>
  <c r="E67" i="22"/>
  <c r="K67" i="22" s="1"/>
  <c r="E68" i="22"/>
  <c r="K68" i="22" s="1"/>
  <c r="E69" i="22"/>
  <c r="K69" i="22" s="1"/>
  <c r="E70" i="22"/>
  <c r="K70" i="22" s="1"/>
  <c r="E71" i="22"/>
  <c r="K71" i="22" s="1"/>
  <c r="E72" i="22"/>
  <c r="K72" i="22" s="1"/>
  <c r="E73" i="22"/>
  <c r="K73" i="22" s="1"/>
  <c r="E74" i="22"/>
  <c r="K74" i="22" s="1"/>
  <c r="E75" i="22"/>
  <c r="K75" i="22" s="1"/>
  <c r="E76" i="22"/>
  <c r="K76" i="22" s="1"/>
  <c r="E77" i="22"/>
  <c r="K77" i="22" s="1"/>
  <c r="E78" i="22"/>
  <c r="K78" i="22" s="1"/>
  <c r="E79" i="22"/>
  <c r="K79" i="22" s="1"/>
  <c r="E80" i="22"/>
  <c r="K80" i="22" s="1"/>
  <c r="E81" i="22"/>
  <c r="K81" i="22" s="1"/>
  <c r="E82" i="22"/>
  <c r="K82" i="22" s="1"/>
  <c r="E83" i="22"/>
  <c r="K83" i="22" s="1"/>
  <c r="E84" i="22"/>
  <c r="K84" i="22" s="1"/>
  <c r="E85" i="22"/>
  <c r="K85" i="22" s="1"/>
  <c r="E86" i="22"/>
  <c r="K86" i="22" s="1"/>
  <c r="E87" i="22"/>
  <c r="K87" i="22" s="1"/>
  <c r="E88" i="22"/>
  <c r="K88" i="22" s="1"/>
  <c r="E89" i="22"/>
  <c r="K89" i="22" s="1"/>
  <c r="E90" i="22"/>
  <c r="K90" i="22" s="1"/>
  <c r="E91" i="22"/>
  <c r="K91" i="22" s="1"/>
  <c r="E92" i="22"/>
  <c r="K92" i="22" s="1"/>
  <c r="E93" i="22"/>
  <c r="K93" i="22" s="1"/>
  <c r="E94" i="22"/>
  <c r="K94" i="22" s="1"/>
  <c r="E95" i="22"/>
  <c r="K95" i="22" s="1"/>
  <c r="E96" i="22"/>
  <c r="K96" i="22" s="1"/>
  <c r="E97" i="22"/>
  <c r="K97" i="22" s="1"/>
  <c r="E98" i="22"/>
  <c r="K98" i="22" s="1"/>
  <c r="E99" i="22"/>
  <c r="K99" i="22" s="1"/>
  <c r="E100" i="22"/>
  <c r="K100" i="22" s="1"/>
  <c r="E101" i="22"/>
  <c r="K101" i="22" s="1"/>
  <c r="E102" i="22"/>
  <c r="K102" i="22" s="1"/>
  <c r="E103" i="22"/>
  <c r="K103" i="22" s="1"/>
  <c r="E104" i="22"/>
  <c r="K104" i="22" s="1"/>
  <c r="E105" i="22"/>
  <c r="K105" i="22" s="1"/>
  <c r="E106" i="22"/>
  <c r="K106" i="22" s="1"/>
  <c r="E107" i="22"/>
  <c r="K107" i="22" s="1"/>
  <c r="E108" i="22"/>
  <c r="K108" i="22" s="1"/>
  <c r="E109" i="22"/>
  <c r="K109" i="22" s="1"/>
  <c r="E1" i="22"/>
  <c r="K1" i="22" s="1"/>
  <c r="BM5" i="27"/>
  <c r="BE5" i="27"/>
  <c r="BE6" i="27" s="1"/>
  <c r="AX5" i="27"/>
  <c r="AR5" i="27"/>
  <c r="AK5" i="27"/>
  <c r="AK6" i="27" s="1"/>
  <c r="AC5" i="27"/>
  <c r="AC6" i="27" s="1"/>
  <c r="U5" i="27"/>
  <c r="U6" i="27" s="1"/>
  <c r="U7" i="27" s="1"/>
  <c r="N5" i="27"/>
  <c r="H5" i="27"/>
  <c r="H6" i="27" s="1"/>
  <c r="B5" i="27"/>
  <c r="B6" i="27" s="1"/>
  <c r="E15" i="26"/>
  <c r="J15" i="26" s="1"/>
  <c r="E38" i="26"/>
  <c r="J38" i="26" s="1"/>
  <c r="E39" i="26"/>
  <c r="J39" i="26" s="1"/>
  <c r="E40" i="26"/>
  <c r="J40" i="26" s="1"/>
  <c r="E41" i="26"/>
  <c r="J41" i="26" s="1"/>
  <c r="E42" i="26"/>
  <c r="J42" i="26" s="1"/>
  <c r="E43" i="26"/>
  <c r="J43" i="26" s="1"/>
  <c r="E44" i="26"/>
  <c r="J44" i="26" s="1"/>
  <c r="E45" i="26"/>
  <c r="J45" i="26" s="1"/>
  <c r="E46" i="26"/>
  <c r="J46" i="26" s="1"/>
  <c r="E47" i="26"/>
  <c r="J47" i="26" s="1"/>
  <c r="E48" i="26"/>
  <c r="J48" i="26" s="1"/>
  <c r="E49" i="26"/>
  <c r="J49" i="26" s="1"/>
  <c r="E63" i="26"/>
  <c r="J63" i="26" s="1"/>
  <c r="E87" i="26"/>
  <c r="J87" i="26" s="1"/>
  <c r="E88" i="26"/>
  <c r="J88" i="26" s="1"/>
  <c r="E89" i="26"/>
  <c r="J89" i="26" s="1"/>
  <c r="E90" i="26"/>
  <c r="J90" i="26" s="1"/>
  <c r="E91" i="26"/>
  <c r="J91" i="26" s="1"/>
  <c r="E92" i="26"/>
  <c r="J92" i="26" s="1"/>
  <c r="E93" i="26"/>
  <c r="J93" i="26" s="1"/>
  <c r="E94" i="26"/>
  <c r="J94" i="26" s="1"/>
  <c r="E95" i="26"/>
  <c r="J95" i="26" s="1"/>
  <c r="E96" i="26"/>
  <c r="J96" i="26" s="1"/>
  <c r="E97" i="26"/>
  <c r="J97" i="26" s="1"/>
  <c r="E1" i="26"/>
  <c r="J1" i="26" s="1"/>
  <c r="K2" i="25"/>
  <c r="K3" i="25"/>
  <c r="K4" i="25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I2" i="25"/>
  <c r="P2" i="25" s="1"/>
  <c r="I3" i="25"/>
  <c r="P3" i="25" s="1"/>
  <c r="I4" i="25"/>
  <c r="P4" i="25" s="1"/>
  <c r="I5" i="25"/>
  <c r="P5" i="25" s="1"/>
  <c r="I6" i="25"/>
  <c r="P6" i="25" s="1"/>
  <c r="I7" i="25"/>
  <c r="P7" i="25" s="1"/>
  <c r="I8" i="25"/>
  <c r="P8" i="25" s="1"/>
  <c r="I9" i="25"/>
  <c r="P9" i="25" s="1"/>
  <c r="I10" i="25"/>
  <c r="P10" i="25" s="1"/>
  <c r="I11" i="25"/>
  <c r="P11" i="25" s="1"/>
  <c r="I12" i="25"/>
  <c r="P12" i="25" s="1"/>
  <c r="I13" i="25"/>
  <c r="P13" i="25" s="1"/>
  <c r="I14" i="25"/>
  <c r="P14" i="25" s="1"/>
  <c r="I15" i="25"/>
  <c r="P15" i="25" s="1"/>
  <c r="I16" i="25"/>
  <c r="P16" i="25" s="1"/>
  <c r="I17" i="25"/>
  <c r="P17" i="25" s="1"/>
  <c r="I18" i="25"/>
  <c r="P18" i="25" s="1"/>
  <c r="I19" i="25"/>
  <c r="P19" i="25" s="1"/>
  <c r="I20" i="25"/>
  <c r="P20" i="25" s="1"/>
  <c r="I21" i="25"/>
  <c r="P21" i="25" s="1"/>
  <c r="I22" i="25"/>
  <c r="P22" i="25" s="1"/>
  <c r="I23" i="25"/>
  <c r="P23" i="25" s="1"/>
  <c r="I24" i="25"/>
  <c r="P24" i="25" s="1"/>
  <c r="I25" i="25"/>
  <c r="P25" i="25" s="1"/>
  <c r="I26" i="25"/>
  <c r="P26" i="25" s="1"/>
  <c r="I27" i="25"/>
  <c r="P27" i="25" s="1"/>
  <c r="I28" i="25"/>
  <c r="P28" i="25" s="1"/>
  <c r="I29" i="25"/>
  <c r="P29" i="25" s="1"/>
  <c r="I30" i="25"/>
  <c r="P30" i="25" s="1"/>
  <c r="I31" i="25"/>
  <c r="P31" i="25" s="1"/>
  <c r="I32" i="25"/>
  <c r="P32" i="25" s="1"/>
  <c r="I33" i="25"/>
  <c r="P33" i="25" s="1"/>
  <c r="I34" i="25"/>
  <c r="P34" i="25" s="1"/>
  <c r="I35" i="25"/>
  <c r="P35" i="25" s="1"/>
  <c r="I36" i="25"/>
  <c r="P36" i="25" s="1"/>
  <c r="I37" i="25"/>
  <c r="P37" i="25" s="1"/>
  <c r="I38" i="25"/>
  <c r="P38" i="25" s="1"/>
  <c r="I39" i="25"/>
  <c r="P39" i="25" s="1"/>
  <c r="I40" i="25"/>
  <c r="P40" i="25" s="1"/>
  <c r="I41" i="25"/>
  <c r="P41" i="25" s="1"/>
  <c r="I42" i="25"/>
  <c r="P42" i="25" s="1"/>
  <c r="I43" i="25"/>
  <c r="P43" i="25" s="1"/>
  <c r="I44" i="25"/>
  <c r="P44" i="25" s="1"/>
  <c r="I45" i="25"/>
  <c r="P45" i="25" s="1"/>
  <c r="I46" i="25"/>
  <c r="P46" i="25" s="1"/>
  <c r="I47" i="25"/>
  <c r="P47" i="25" s="1"/>
  <c r="I48" i="25"/>
  <c r="P48" i="25" s="1"/>
  <c r="I49" i="25"/>
  <c r="P49" i="25" s="1"/>
  <c r="I50" i="25"/>
  <c r="P50" i="25" s="1"/>
  <c r="I51" i="25"/>
  <c r="P51" i="25" s="1"/>
  <c r="I52" i="25"/>
  <c r="P52" i="25" s="1"/>
  <c r="I53" i="25"/>
  <c r="P53" i="25" s="1"/>
  <c r="I54" i="25"/>
  <c r="P54" i="25" s="1"/>
  <c r="I55" i="25"/>
  <c r="P55" i="25" s="1"/>
  <c r="I56" i="25"/>
  <c r="P56" i="25" s="1"/>
  <c r="I57" i="25"/>
  <c r="P57" i="25" s="1"/>
  <c r="I58" i="25"/>
  <c r="P58" i="25" s="1"/>
  <c r="I59" i="25"/>
  <c r="P59" i="25" s="1"/>
  <c r="I60" i="25"/>
  <c r="P60" i="25" s="1"/>
  <c r="I61" i="25"/>
  <c r="P61" i="25" s="1"/>
  <c r="I62" i="25"/>
  <c r="P62" i="25" s="1"/>
  <c r="I63" i="25"/>
  <c r="P63" i="25" s="1"/>
  <c r="I64" i="25"/>
  <c r="P64" i="25" s="1"/>
  <c r="I65" i="25"/>
  <c r="P65" i="25" s="1"/>
  <c r="I66" i="25"/>
  <c r="P66" i="25" s="1"/>
  <c r="I67" i="25"/>
  <c r="P67" i="25" s="1"/>
  <c r="I68" i="25"/>
  <c r="P68" i="25" s="1"/>
  <c r="I69" i="25"/>
  <c r="P69" i="25" s="1"/>
  <c r="I70" i="25"/>
  <c r="P70" i="25" s="1"/>
  <c r="I71" i="25"/>
  <c r="P71" i="25" s="1"/>
  <c r="I72" i="25"/>
  <c r="P72" i="25" s="1"/>
  <c r="I73" i="25"/>
  <c r="P73" i="25" s="1"/>
  <c r="I74" i="25"/>
  <c r="P74" i="25" s="1"/>
  <c r="I75" i="25"/>
  <c r="P75" i="25" s="1"/>
  <c r="I76" i="25"/>
  <c r="P76" i="25" s="1"/>
  <c r="I77" i="25"/>
  <c r="P77" i="25" s="1"/>
  <c r="I78" i="25"/>
  <c r="P78" i="25" s="1"/>
  <c r="I79" i="25"/>
  <c r="P79" i="25" s="1"/>
  <c r="I80" i="25"/>
  <c r="P80" i="25" s="1"/>
  <c r="I81" i="25"/>
  <c r="P81" i="25" s="1"/>
  <c r="I82" i="25"/>
  <c r="P82" i="25" s="1"/>
  <c r="I83" i="25"/>
  <c r="P83" i="25" s="1"/>
  <c r="I84" i="25"/>
  <c r="P84" i="25" s="1"/>
  <c r="I85" i="25"/>
  <c r="P85" i="25" s="1"/>
  <c r="I86" i="25"/>
  <c r="P86" i="25" s="1"/>
  <c r="I87" i="25"/>
  <c r="P87" i="25" s="1"/>
  <c r="I88" i="25"/>
  <c r="P88" i="25" s="1"/>
  <c r="I89" i="25"/>
  <c r="P89" i="25" s="1"/>
  <c r="I90" i="25"/>
  <c r="P90" i="25" s="1"/>
  <c r="I91" i="25"/>
  <c r="P91" i="25" s="1"/>
  <c r="I92" i="25"/>
  <c r="P92" i="25" s="1"/>
  <c r="I93" i="25"/>
  <c r="P93" i="25" s="1"/>
  <c r="I94" i="25"/>
  <c r="P94" i="25" s="1"/>
  <c r="I95" i="25"/>
  <c r="P95" i="25" s="1"/>
  <c r="I96" i="25"/>
  <c r="P96" i="25" s="1"/>
  <c r="I97" i="25"/>
  <c r="P97" i="25" s="1"/>
  <c r="I98" i="25"/>
  <c r="P98" i="25" s="1"/>
  <c r="I99" i="25"/>
  <c r="P99" i="25" s="1"/>
  <c r="I100" i="25"/>
  <c r="P100" i="25" s="1"/>
  <c r="I101" i="25"/>
  <c r="P101" i="25" s="1"/>
  <c r="I102" i="25"/>
  <c r="P102" i="25" s="1"/>
  <c r="I103" i="25"/>
  <c r="P103" i="25" s="1"/>
  <c r="I104" i="25"/>
  <c r="P104" i="25" s="1"/>
  <c r="I105" i="25"/>
  <c r="P105" i="25" s="1"/>
  <c r="I106" i="25"/>
  <c r="P106" i="25" s="1"/>
  <c r="I107" i="25"/>
  <c r="P107" i="25" s="1"/>
  <c r="I108" i="25"/>
  <c r="P108" i="25" s="1"/>
  <c r="I109" i="25"/>
  <c r="P109" i="25" s="1"/>
  <c r="I1" i="25"/>
  <c r="P1" i="25" s="1"/>
  <c r="H2" i="25"/>
  <c r="O2" i="25" s="1"/>
  <c r="H3" i="25"/>
  <c r="O3" i="25" s="1"/>
  <c r="H4" i="25"/>
  <c r="O4" i="25" s="1"/>
  <c r="H5" i="25"/>
  <c r="O5" i="25" s="1"/>
  <c r="H6" i="25"/>
  <c r="O6" i="25" s="1"/>
  <c r="H7" i="25"/>
  <c r="O7" i="25" s="1"/>
  <c r="H8" i="25"/>
  <c r="O8" i="25" s="1"/>
  <c r="H9" i="25"/>
  <c r="O9" i="25" s="1"/>
  <c r="H10" i="25"/>
  <c r="O10" i="25" s="1"/>
  <c r="H11" i="25"/>
  <c r="O11" i="25" s="1"/>
  <c r="H12" i="25"/>
  <c r="O12" i="25" s="1"/>
  <c r="H13" i="25"/>
  <c r="O13" i="25" s="1"/>
  <c r="H14" i="25"/>
  <c r="O14" i="25" s="1"/>
  <c r="H15" i="25"/>
  <c r="O15" i="25" s="1"/>
  <c r="H16" i="25"/>
  <c r="O16" i="25" s="1"/>
  <c r="H17" i="25"/>
  <c r="O17" i="25" s="1"/>
  <c r="H18" i="25"/>
  <c r="O18" i="25" s="1"/>
  <c r="H19" i="25"/>
  <c r="O19" i="25" s="1"/>
  <c r="H20" i="25"/>
  <c r="O20" i="25" s="1"/>
  <c r="H21" i="25"/>
  <c r="O21" i="25" s="1"/>
  <c r="H22" i="25"/>
  <c r="O22" i="25" s="1"/>
  <c r="H23" i="25"/>
  <c r="O23" i="25" s="1"/>
  <c r="H24" i="25"/>
  <c r="O24" i="25" s="1"/>
  <c r="H25" i="25"/>
  <c r="O25" i="25" s="1"/>
  <c r="H26" i="25"/>
  <c r="O26" i="25" s="1"/>
  <c r="H27" i="25"/>
  <c r="O27" i="25" s="1"/>
  <c r="H28" i="25"/>
  <c r="O28" i="25" s="1"/>
  <c r="H29" i="25"/>
  <c r="O29" i="25" s="1"/>
  <c r="H30" i="25"/>
  <c r="O30" i="25" s="1"/>
  <c r="H31" i="25"/>
  <c r="O31" i="25" s="1"/>
  <c r="H32" i="25"/>
  <c r="O32" i="25" s="1"/>
  <c r="H33" i="25"/>
  <c r="O33" i="25" s="1"/>
  <c r="H34" i="25"/>
  <c r="O34" i="25" s="1"/>
  <c r="H35" i="25"/>
  <c r="O35" i="25" s="1"/>
  <c r="H36" i="25"/>
  <c r="O36" i="25" s="1"/>
  <c r="H37" i="25"/>
  <c r="O37" i="25" s="1"/>
  <c r="H38" i="25"/>
  <c r="O38" i="25" s="1"/>
  <c r="H39" i="25"/>
  <c r="O39" i="25" s="1"/>
  <c r="H40" i="25"/>
  <c r="O40" i="25" s="1"/>
  <c r="H41" i="25"/>
  <c r="O41" i="25" s="1"/>
  <c r="H42" i="25"/>
  <c r="O42" i="25" s="1"/>
  <c r="H43" i="25"/>
  <c r="O43" i="25" s="1"/>
  <c r="H44" i="25"/>
  <c r="O44" i="25" s="1"/>
  <c r="H45" i="25"/>
  <c r="O45" i="25" s="1"/>
  <c r="H46" i="25"/>
  <c r="O46" i="25" s="1"/>
  <c r="H47" i="25"/>
  <c r="O47" i="25" s="1"/>
  <c r="H48" i="25"/>
  <c r="O48" i="25" s="1"/>
  <c r="H49" i="25"/>
  <c r="O49" i="25" s="1"/>
  <c r="H50" i="25"/>
  <c r="O50" i="25" s="1"/>
  <c r="H51" i="25"/>
  <c r="O51" i="25" s="1"/>
  <c r="H52" i="25"/>
  <c r="O52" i="25" s="1"/>
  <c r="H53" i="25"/>
  <c r="O53" i="25" s="1"/>
  <c r="H54" i="25"/>
  <c r="O54" i="25" s="1"/>
  <c r="H55" i="25"/>
  <c r="O55" i="25" s="1"/>
  <c r="H56" i="25"/>
  <c r="O56" i="25" s="1"/>
  <c r="H57" i="25"/>
  <c r="O57" i="25" s="1"/>
  <c r="H58" i="25"/>
  <c r="O58" i="25" s="1"/>
  <c r="H59" i="25"/>
  <c r="O59" i="25" s="1"/>
  <c r="H60" i="25"/>
  <c r="O60" i="25" s="1"/>
  <c r="H61" i="25"/>
  <c r="O61" i="25" s="1"/>
  <c r="H62" i="25"/>
  <c r="O62" i="25" s="1"/>
  <c r="H63" i="25"/>
  <c r="O63" i="25" s="1"/>
  <c r="H64" i="25"/>
  <c r="O64" i="25" s="1"/>
  <c r="H65" i="25"/>
  <c r="O65" i="25" s="1"/>
  <c r="H66" i="25"/>
  <c r="O66" i="25" s="1"/>
  <c r="H67" i="25"/>
  <c r="O67" i="25" s="1"/>
  <c r="H68" i="25"/>
  <c r="O68" i="25" s="1"/>
  <c r="H69" i="25"/>
  <c r="O69" i="25" s="1"/>
  <c r="H70" i="25"/>
  <c r="O70" i="25" s="1"/>
  <c r="H71" i="25"/>
  <c r="O71" i="25" s="1"/>
  <c r="H72" i="25"/>
  <c r="O72" i="25" s="1"/>
  <c r="H73" i="25"/>
  <c r="O73" i="25" s="1"/>
  <c r="H74" i="25"/>
  <c r="O74" i="25" s="1"/>
  <c r="H75" i="25"/>
  <c r="O75" i="25" s="1"/>
  <c r="H76" i="25"/>
  <c r="O76" i="25" s="1"/>
  <c r="H77" i="25"/>
  <c r="O77" i="25" s="1"/>
  <c r="H78" i="25"/>
  <c r="O78" i="25" s="1"/>
  <c r="H79" i="25"/>
  <c r="O79" i="25" s="1"/>
  <c r="H80" i="25"/>
  <c r="O80" i="25" s="1"/>
  <c r="H81" i="25"/>
  <c r="O81" i="25" s="1"/>
  <c r="H82" i="25"/>
  <c r="O82" i="25" s="1"/>
  <c r="H83" i="25"/>
  <c r="O83" i="25" s="1"/>
  <c r="H84" i="25"/>
  <c r="O84" i="25" s="1"/>
  <c r="H85" i="25"/>
  <c r="O85" i="25" s="1"/>
  <c r="H86" i="25"/>
  <c r="O86" i="25" s="1"/>
  <c r="H87" i="25"/>
  <c r="O87" i="25" s="1"/>
  <c r="H88" i="25"/>
  <c r="O88" i="25" s="1"/>
  <c r="H89" i="25"/>
  <c r="O89" i="25" s="1"/>
  <c r="H90" i="25"/>
  <c r="O90" i="25" s="1"/>
  <c r="H91" i="25"/>
  <c r="O91" i="25" s="1"/>
  <c r="H92" i="25"/>
  <c r="O92" i="25" s="1"/>
  <c r="H93" i="25"/>
  <c r="O93" i="25" s="1"/>
  <c r="H94" i="25"/>
  <c r="O94" i="25" s="1"/>
  <c r="H95" i="25"/>
  <c r="O95" i="25" s="1"/>
  <c r="H96" i="25"/>
  <c r="O96" i="25" s="1"/>
  <c r="H97" i="25"/>
  <c r="O97" i="25" s="1"/>
  <c r="H98" i="25"/>
  <c r="O98" i="25" s="1"/>
  <c r="H99" i="25"/>
  <c r="O99" i="25" s="1"/>
  <c r="H100" i="25"/>
  <c r="O100" i="25" s="1"/>
  <c r="H101" i="25"/>
  <c r="O101" i="25" s="1"/>
  <c r="H102" i="25"/>
  <c r="O102" i="25" s="1"/>
  <c r="H103" i="25"/>
  <c r="O103" i="25" s="1"/>
  <c r="H104" i="25"/>
  <c r="O104" i="25" s="1"/>
  <c r="H105" i="25"/>
  <c r="O105" i="25" s="1"/>
  <c r="H106" i="25"/>
  <c r="O106" i="25" s="1"/>
  <c r="H107" i="25"/>
  <c r="O107" i="25" s="1"/>
  <c r="H108" i="25"/>
  <c r="O108" i="25" s="1"/>
  <c r="H109" i="25"/>
  <c r="O109" i="25" s="1"/>
  <c r="H1" i="25"/>
  <c r="O1" i="25" s="1"/>
  <c r="L2" i="24"/>
  <c r="L3" i="24"/>
  <c r="L4" i="24"/>
  <c r="L5" i="24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J2" i="24"/>
  <c r="R2" i="24" s="1"/>
  <c r="J3" i="24"/>
  <c r="R3" i="24" s="1"/>
  <c r="J4" i="24"/>
  <c r="R4" i="24" s="1"/>
  <c r="J5" i="24"/>
  <c r="R5" i="24" s="1"/>
  <c r="J6" i="24"/>
  <c r="R6" i="24" s="1"/>
  <c r="J7" i="24"/>
  <c r="R7" i="24" s="1"/>
  <c r="J8" i="24"/>
  <c r="R8" i="24" s="1"/>
  <c r="J9" i="24"/>
  <c r="R9" i="24" s="1"/>
  <c r="J10" i="24"/>
  <c r="R10" i="24" s="1"/>
  <c r="J11" i="24"/>
  <c r="R11" i="24" s="1"/>
  <c r="J12" i="24"/>
  <c r="R12" i="24" s="1"/>
  <c r="J13" i="24"/>
  <c r="R13" i="24" s="1"/>
  <c r="J14" i="24"/>
  <c r="R14" i="24" s="1"/>
  <c r="J15" i="24"/>
  <c r="R15" i="24" s="1"/>
  <c r="J16" i="24"/>
  <c r="R16" i="24" s="1"/>
  <c r="J17" i="24"/>
  <c r="R17" i="24" s="1"/>
  <c r="J18" i="24"/>
  <c r="R18" i="24" s="1"/>
  <c r="J19" i="24"/>
  <c r="R19" i="24" s="1"/>
  <c r="J20" i="24"/>
  <c r="R20" i="24" s="1"/>
  <c r="J21" i="24"/>
  <c r="R21" i="24" s="1"/>
  <c r="J22" i="24"/>
  <c r="R22" i="24" s="1"/>
  <c r="J23" i="24"/>
  <c r="R23" i="24" s="1"/>
  <c r="J24" i="24"/>
  <c r="R24" i="24" s="1"/>
  <c r="J25" i="24"/>
  <c r="R25" i="24" s="1"/>
  <c r="J26" i="24"/>
  <c r="R26" i="24" s="1"/>
  <c r="J27" i="24"/>
  <c r="R27" i="24" s="1"/>
  <c r="J28" i="24"/>
  <c r="R28" i="24" s="1"/>
  <c r="J29" i="24"/>
  <c r="R29" i="24" s="1"/>
  <c r="J30" i="24"/>
  <c r="R30" i="24" s="1"/>
  <c r="J31" i="24"/>
  <c r="R31" i="24" s="1"/>
  <c r="J32" i="24"/>
  <c r="R32" i="24" s="1"/>
  <c r="J33" i="24"/>
  <c r="R33" i="24" s="1"/>
  <c r="J34" i="24"/>
  <c r="R34" i="24" s="1"/>
  <c r="J35" i="24"/>
  <c r="R35" i="24" s="1"/>
  <c r="J36" i="24"/>
  <c r="R36" i="24" s="1"/>
  <c r="J37" i="24"/>
  <c r="R37" i="24" s="1"/>
  <c r="J38" i="24"/>
  <c r="R38" i="24" s="1"/>
  <c r="J39" i="24"/>
  <c r="R39" i="24" s="1"/>
  <c r="J40" i="24"/>
  <c r="R40" i="24" s="1"/>
  <c r="J41" i="24"/>
  <c r="R41" i="24" s="1"/>
  <c r="J42" i="24"/>
  <c r="R42" i="24" s="1"/>
  <c r="J43" i="24"/>
  <c r="R43" i="24" s="1"/>
  <c r="J44" i="24"/>
  <c r="R44" i="24" s="1"/>
  <c r="J45" i="24"/>
  <c r="R45" i="24" s="1"/>
  <c r="J46" i="24"/>
  <c r="R46" i="24" s="1"/>
  <c r="J47" i="24"/>
  <c r="R47" i="24" s="1"/>
  <c r="J48" i="24"/>
  <c r="R48" i="24" s="1"/>
  <c r="J49" i="24"/>
  <c r="R49" i="24" s="1"/>
  <c r="J50" i="24"/>
  <c r="R50" i="24" s="1"/>
  <c r="J51" i="24"/>
  <c r="R51" i="24" s="1"/>
  <c r="J52" i="24"/>
  <c r="R52" i="24" s="1"/>
  <c r="J53" i="24"/>
  <c r="R53" i="24" s="1"/>
  <c r="J54" i="24"/>
  <c r="R54" i="24" s="1"/>
  <c r="J55" i="24"/>
  <c r="R55" i="24" s="1"/>
  <c r="J56" i="24"/>
  <c r="R56" i="24" s="1"/>
  <c r="J57" i="24"/>
  <c r="R57" i="24" s="1"/>
  <c r="J58" i="24"/>
  <c r="R58" i="24" s="1"/>
  <c r="J59" i="24"/>
  <c r="R59" i="24" s="1"/>
  <c r="J60" i="24"/>
  <c r="R60" i="24" s="1"/>
  <c r="J61" i="24"/>
  <c r="R61" i="24" s="1"/>
  <c r="J62" i="24"/>
  <c r="R62" i="24" s="1"/>
  <c r="J63" i="24"/>
  <c r="R63" i="24" s="1"/>
  <c r="J64" i="24"/>
  <c r="R64" i="24" s="1"/>
  <c r="J65" i="24"/>
  <c r="R65" i="24" s="1"/>
  <c r="J66" i="24"/>
  <c r="R66" i="24" s="1"/>
  <c r="J67" i="24"/>
  <c r="R67" i="24" s="1"/>
  <c r="J68" i="24"/>
  <c r="R68" i="24" s="1"/>
  <c r="J69" i="24"/>
  <c r="R69" i="24" s="1"/>
  <c r="J70" i="24"/>
  <c r="R70" i="24" s="1"/>
  <c r="J71" i="24"/>
  <c r="R71" i="24" s="1"/>
  <c r="J72" i="24"/>
  <c r="R72" i="24" s="1"/>
  <c r="J73" i="24"/>
  <c r="R73" i="24" s="1"/>
  <c r="J74" i="24"/>
  <c r="R74" i="24" s="1"/>
  <c r="J75" i="24"/>
  <c r="R75" i="24" s="1"/>
  <c r="J76" i="24"/>
  <c r="R76" i="24" s="1"/>
  <c r="J77" i="24"/>
  <c r="R77" i="24" s="1"/>
  <c r="J78" i="24"/>
  <c r="R78" i="24" s="1"/>
  <c r="J79" i="24"/>
  <c r="R79" i="24" s="1"/>
  <c r="J80" i="24"/>
  <c r="R80" i="24" s="1"/>
  <c r="J81" i="24"/>
  <c r="R81" i="24" s="1"/>
  <c r="J82" i="24"/>
  <c r="R82" i="24" s="1"/>
  <c r="J83" i="24"/>
  <c r="R83" i="24" s="1"/>
  <c r="J84" i="24"/>
  <c r="R84" i="24" s="1"/>
  <c r="J85" i="24"/>
  <c r="R85" i="24" s="1"/>
  <c r="J86" i="24"/>
  <c r="R86" i="24" s="1"/>
  <c r="J87" i="24"/>
  <c r="R87" i="24" s="1"/>
  <c r="J88" i="24"/>
  <c r="R88" i="24" s="1"/>
  <c r="J89" i="24"/>
  <c r="R89" i="24" s="1"/>
  <c r="J90" i="24"/>
  <c r="R90" i="24" s="1"/>
  <c r="J91" i="24"/>
  <c r="R91" i="24" s="1"/>
  <c r="J92" i="24"/>
  <c r="R92" i="24" s="1"/>
  <c r="J93" i="24"/>
  <c r="R93" i="24" s="1"/>
  <c r="J94" i="24"/>
  <c r="R94" i="24" s="1"/>
  <c r="J95" i="24"/>
  <c r="R95" i="24" s="1"/>
  <c r="J96" i="24"/>
  <c r="R96" i="24" s="1"/>
  <c r="J97" i="24"/>
  <c r="R97" i="24" s="1"/>
  <c r="J98" i="24"/>
  <c r="R98" i="24" s="1"/>
  <c r="J99" i="24"/>
  <c r="R99" i="24" s="1"/>
  <c r="J100" i="24"/>
  <c r="R100" i="24" s="1"/>
  <c r="J101" i="24"/>
  <c r="R101" i="24" s="1"/>
  <c r="J102" i="24"/>
  <c r="R102" i="24" s="1"/>
  <c r="J103" i="24"/>
  <c r="R103" i="24" s="1"/>
  <c r="J104" i="24"/>
  <c r="R104" i="24" s="1"/>
  <c r="J105" i="24"/>
  <c r="R105" i="24" s="1"/>
  <c r="J106" i="24"/>
  <c r="R106" i="24" s="1"/>
  <c r="J107" i="24"/>
  <c r="R107" i="24" s="1"/>
  <c r="J108" i="24"/>
  <c r="R108" i="24" s="1"/>
  <c r="J109" i="24"/>
  <c r="R109" i="24" s="1"/>
  <c r="J1" i="24"/>
  <c r="R1" i="24" s="1"/>
  <c r="H1" i="24"/>
  <c r="P1" i="24" s="1"/>
  <c r="M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I1" i="26"/>
  <c r="G97" i="25"/>
  <c r="N97" i="25" s="1"/>
  <c r="G96" i="25"/>
  <c r="N96" i="25" s="1"/>
  <c r="G95" i="25"/>
  <c r="N95" i="25" s="1"/>
  <c r="G94" i="25"/>
  <c r="N94" i="25" s="1"/>
  <c r="G93" i="25"/>
  <c r="N93" i="25" s="1"/>
  <c r="G92" i="25"/>
  <c r="N92" i="25" s="1"/>
  <c r="G91" i="25"/>
  <c r="N91" i="25" s="1"/>
  <c r="G90" i="25"/>
  <c r="N90" i="25" s="1"/>
  <c r="G89" i="25"/>
  <c r="N89" i="25" s="1"/>
  <c r="G88" i="25"/>
  <c r="N88" i="25" s="1"/>
  <c r="G87" i="25"/>
  <c r="N87" i="25" s="1"/>
  <c r="G63" i="25"/>
  <c r="N63" i="25" s="1"/>
  <c r="G49" i="25"/>
  <c r="N49" i="25" s="1"/>
  <c r="G48" i="25"/>
  <c r="N48" i="25" s="1"/>
  <c r="G47" i="25"/>
  <c r="N47" i="25" s="1"/>
  <c r="G46" i="25"/>
  <c r="N46" i="25" s="1"/>
  <c r="G45" i="25"/>
  <c r="N45" i="25" s="1"/>
  <c r="G44" i="25"/>
  <c r="N44" i="25" s="1"/>
  <c r="G43" i="25"/>
  <c r="N43" i="25" s="1"/>
  <c r="G42" i="25"/>
  <c r="N42" i="25" s="1"/>
  <c r="G41" i="25"/>
  <c r="N41" i="25" s="1"/>
  <c r="G40" i="25"/>
  <c r="N40" i="25" s="1"/>
  <c r="G39" i="25"/>
  <c r="N39" i="25" s="1"/>
  <c r="G38" i="25"/>
  <c r="N38" i="25" s="1"/>
  <c r="G15" i="25"/>
  <c r="N15" i="25" s="1"/>
  <c r="K1" i="25"/>
  <c r="G1" i="25"/>
  <c r="N1" i="25" s="1"/>
  <c r="I109" i="24"/>
  <c r="Q109" i="24" s="1"/>
  <c r="I108" i="24"/>
  <c r="Q108" i="24" s="1"/>
  <c r="I107" i="24"/>
  <c r="Q107" i="24" s="1"/>
  <c r="I106" i="24"/>
  <c r="Q106" i="24" s="1"/>
  <c r="I105" i="24"/>
  <c r="Q105" i="24" s="1"/>
  <c r="I104" i="24"/>
  <c r="Q104" i="24" s="1"/>
  <c r="I103" i="24"/>
  <c r="Q103" i="24" s="1"/>
  <c r="I102" i="24"/>
  <c r="Q102" i="24" s="1"/>
  <c r="I101" i="24"/>
  <c r="Q101" i="24" s="1"/>
  <c r="I100" i="24"/>
  <c r="Q100" i="24" s="1"/>
  <c r="I99" i="24"/>
  <c r="Q99" i="24" s="1"/>
  <c r="I98" i="24"/>
  <c r="Q98" i="24" s="1"/>
  <c r="G97" i="24"/>
  <c r="O97" i="24" s="1"/>
  <c r="I97" i="24"/>
  <c r="Q97" i="24" s="1"/>
  <c r="G96" i="24"/>
  <c r="O96" i="24" s="1"/>
  <c r="I96" i="24"/>
  <c r="Q96" i="24" s="1"/>
  <c r="G95" i="24"/>
  <c r="O95" i="24" s="1"/>
  <c r="I95" i="24"/>
  <c r="Q95" i="24" s="1"/>
  <c r="G94" i="24"/>
  <c r="O94" i="24" s="1"/>
  <c r="I94" i="24"/>
  <c r="Q94" i="24" s="1"/>
  <c r="G93" i="24"/>
  <c r="O93" i="24" s="1"/>
  <c r="I93" i="24"/>
  <c r="Q93" i="24" s="1"/>
  <c r="G92" i="24"/>
  <c r="O92" i="24" s="1"/>
  <c r="I92" i="24"/>
  <c r="Q92" i="24" s="1"/>
  <c r="G91" i="24"/>
  <c r="O91" i="24" s="1"/>
  <c r="I91" i="24"/>
  <c r="Q91" i="24" s="1"/>
  <c r="G90" i="24"/>
  <c r="O90" i="24" s="1"/>
  <c r="I90" i="24"/>
  <c r="Q90" i="24" s="1"/>
  <c r="G89" i="24"/>
  <c r="O89" i="24" s="1"/>
  <c r="I89" i="24"/>
  <c r="Q89" i="24" s="1"/>
  <c r="G88" i="24"/>
  <c r="O88" i="24" s="1"/>
  <c r="I88" i="24"/>
  <c r="Q88" i="24" s="1"/>
  <c r="G87" i="24"/>
  <c r="O87" i="24" s="1"/>
  <c r="I87" i="24"/>
  <c r="Q87" i="24" s="1"/>
  <c r="I86" i="24"/>
  <c r="Q86" i="24" s="1"/>
  <c r="I85" i="24"/>
  <c r="Q85" i="24" s="1"/>
  <c r="I84" i="24"/>
  <c r="Q84" i="24" s="1"/>
  <c r="I83" i="24"/>
  <c r="Q83" i="24" s="1"/>
  <c r="I82" i="24"/>
  <c r="Q82" i="24" s="1"/>
  <c r="I81" i="24"/>
  <c r="Q81" i="24" s="1"/>
  <c r="I80" i="24"/>
  <c r="Q80" i="24" s="1"/>
  <c r="I79" i="24"/>
  <c r="Q79" i="24" s="1"/>
  <c r="I78" i="24"/>
  <c r="Q78" i="24" s="1"/>
  <c r="I77" i="24"/>
  <c r="Q77" i="24" s="1"/>
  <c r="I76" i="24"/>
  <c r="Q76" i="24" s="1"/>
  <c r="I75" i="24"/>
  <c r="Q75" i="24" s="1"/>
  <c r="I74" i="24"/>
  <c r="Q74" i="24" s="1"/>
  <c r="I73" i="24"/>
  <c r="Q73" i="24" s="1"/>
  <c r="I72" i="24"/>
  <c r="Q72" i="24" s="1"/>
  <c r="I71" i="24"/>
  <c r="Q71" i="24" s="1"/>
  <c r="I70" i="24"/>
  <c r="Q70" i="24" s="1"/>
  <c r="I69" i="24"/>
  <c r="Q69" i="24" s="1"/>
  <c r="I68" i="24"/>
  <c r="Q68" i="24" s="1"/>
  <c r="I67" i="24"/>
  <c r="Q67" i="24" s="1"/>
  <c r="I66" i="24"/>
  <c r="Q66" i="24" s="1"/>
  <c r="I65" i="24"/>
  <c r="Q65" i="24" s="1"/>
  <c r="I64" i="24"/>
  <c r="Q64" i="24" s="1"/>
  <c r="G63" i="24"/>
  <c r="O63" i="24" s="1"/>
  <c r="I63" i="24"/>
  <c r="Q63" i="24" s="1"/>
  <c r="I62" i="24"/>
  <c r="Q62" i="24" s="1"/>
  <c r="I61" i="24"/>
  <c r="Q61" i="24" s="1"/>
  <c r="I60" i="24"/>
  <c r="Q60" i="24" s="1"/>
  <c r="I59" i="24"/>
  <c r="Q59" i="24" s="1"/>
  <c r="I58" i="24"/>
  <c r="Q58" i="24" s="1"/>
  <c r="I57" i="24"/>
  <c r="Q57" i="24" s="1"/>
  <c r="I56" i="24"/>
  <c r="Q56" i="24" s="1"/>
  <c r="I55" i="24"/>
  <c r="Q55" i="24" s="1"/>
  <c r="I54" i="24"/>
  <c r="Q54" i="24" s="1"/>
  <c r="I53" i="24"/>
  <c r="Q53" i="24" s="1"/>
  <c r="I52" i="24"/>
  <c r="Q52" i="24" s="1"/>
  <c r="I51" i="24"/>
  <c r="Q51" i="24" s="1"/>
  <c r="I50" i="24"/>
  <c r="Q50" i="24" s="1"/>
  <c r="G49" i="24"/>
  <c r="O49" i="24" s="1"/>
  <c r="I49" i="24"/>
  <c r="Q49" i="24" s="1"/>
  <c r="G48" i="24"/>
  <c r="O48" i="24" s="1"/>
  <c r="I48" i="24"/>
  <c r="Q48" i="24" s="1"/>
  <c r="G47" i="24"/>
  <c r="O47" i="24" s="1"/>
  <c r="I47" i="24"/>
  <c r="Q47" i="24" s="1"/>
  <c r="G46" i="24"/>
  <c r="O46" i="24" s="1"/>
  <c r="I46" i="24"/>
  <c r="Q46" i="24" s="1"/>
  <c r="G45" i="24"/>
  <c r="O45" i="24" s="1"/>
  <c r="I45" i="24"/>
  <c r="Q45" i="24" s="1"/>
  <c r="G44" i="24"/>
  <c r="O44" i="24" s="1"/>
  <c r="I44" i="24"/>
  <c r="Q44" i="24" s="1"/>
  <c r="G43" i="24"/>
  <c r="O43" i="24" s="1"/>
  <c r="I43" i="24"/>
  <c r="Q43" i="24" s="1"/>
  <c r="G42" i="24"/>
  <c r="O42" i="24" s="1"/>
  <c r="I42" i="24"/>
  <c r="Q42" i="24" s="1"/>
  <c r="G41" i="24"/>
  <c r="O41" i="24" s="1"/>
  <c r="I41" i="24"/>
  <c r="Q41" i="24" s="1"/>
  <c r="G40" i="24"/>
  <c r="O40" i="24" s="1"/>
  <c r="I40" i="24"/>
  <c r="Q40" i="24" s="1"/>
  <c r="G39" i="24"/>
  <c r="O39" i="24" s="1"/>
  <c r="I39" i="24"/>
  <c r="Q39" i="24" s="1"/>
  <c r="G38" i="24"/>
  <c r="O38" i="24" s="1"/>
  <c r="I38" i="24"/>
  <c r="Q38" i="24" s="1"/>
  <c r="I37" i="24"/>
  <c r="Q37" i="24" s="1"/>
  <c r="I36" i="24"/>
  <c r="Q36" i="24" s="1"/>
  <c r="I35" i="24"/>
  <c r="Q35" i="24" s="1"/>
  <c r="I34" i="24"/>
  <c r="Q34" i="24" s="1"/>
  <c r="I33" i="24"/>
  <c r="Q33" i="24" s="1"/>
  <c r="I32" i="24"/>
  <c r="Q32" i="24" s="1"/>
  <c r="I31" i="24"/>
  <c r="Q31" i="24" s="1"/>
  <c r="I30" i="24"/>
  <c r="Q30" i="24" s="1"/>
  <c r="I29" i="24"/>
  <c r="Q29" i="24" s="1"/>
  <c r="I28" i="24"/>
  <c r="Q28" i="24" s="1"/>
  <c r="I27" i="24"/>
  <c r="Q27" i="24" s="1"/>
  <c r="I26" i="24"/>
  <c r="Q26" i="24" s="1"/>
  <c r="I25" i="24"/>
  <c r="Q25" i="24" s="1"/>
  <c r="I24" i="24"/>
  <c r="Q24" i="24" s="1"/>
  <c r="I23" i="24"/>
  <c r="Q23" i="24" s="1"/>
  <c r="I22" i="24"/>
  <c r="Q22" i="24" s="1"/>
  <c r="I21" i="24"/>
  <c r="Q21" i="24" s="1"/>
  <c r="I20" i="24"/>
  <c r="Q20" i="24" s="1"/>
  <c r="I19" i="24"/>
  <c r="Q19" i="24" s="1"/>
  <c r="I18" i="24"/>
  <c r="Q18" i="24" s="1"/>
  <c r="I17" i="24"/>
  <c r="Q17" i="24" s="1"/>
  <c r="I16" i="24"/>
  <c r="Q16" i="24" s="1"/>
  <c r="G15" i="24"/>
  <c r="O15" i="24" s="1"/>
  <c r="I15" i="24"/>
  <c r="Q15" i="24" s="1"/>
  <c r="I14" i="24"/>
  <c r="Q14" i="24" s="1"/>
  <c r="I13" i="24"/>
  <c r="Q13" i="24" s="1"/>
  <c r="I12" i="24"/>
  <c r="Q12" i="24" s="1"/>
  <c r="I11" i="24"/>
  <c r="Q11" i="24" s="1"/>
  <c r="I10" i="24"/>
  <c r="Q10" i="24" s="1"/>
  <c r="I9" i="24"/>
  <c r="Q9" i="24" s="1"/>
  <c r="I8" i="24"/>
  <c r="Q8" i="24" s="1"/>
  <c r="I7" i="24"/>
  <c r="Q7" i="24" s="1"/>
  <c r="I6" i="24"/>
  <c r="Q6" i="24" s="1"/>
  <c r="I5" i="24"/>
  <c r="Q5" i="24" s="1"/>
  <c r="I4" i="24"/>
  <c r="Q4" i="24" s="1"/>
  <c r="I3" i="24"/>
  <c r="Q3" i="24" s="1"/>
  <c r="I2" i="24"/>
  <c r="Q2" i="24" s="1"/>
  <c r="L1" i="24"/>
  <c r="G1" i="24"/>
  <c r="O1" i="24" s="1"/>
  <c r="I1" i="24"/>
  <c r="Q1" i="24" s="1"/>
  <c r="S109" i="23"/>
  <c r="I109" i="23"/>
  <c r="R109" i="23" s="1"/>
  <c r="S108" i="23"/>
  <c r="I108" i="23"/>
  <c r="R108" i="23" s="1"/>
  <c r="S107" i="23"/>
  <c r="I107" i="23"/>
  <c r="R107" i="23" s="1"/>
  <c r="S106" i="23"/>
  <c r="I106" i="23"/>
  <c r="R106" i="23" s="1"/>
  <c r="S105" i="23"/>
  <c r="I105" i="23"/>
  <c r="R105" i="23" s="1"/>
  <c r="S104" i="23"/>
  <c r="I104" i="23"/>
  <c r="R104" i="23" s="1"/>
  <c r="S103" i="23"/>
  <c r="I103" i="23"/>
  <c r="R103" i="23" s="1"/>
  <c r="S102" i="23"/>
  <c r="I102" i="23"/>
  <c r="R102" i="23" s="1"/>
  <c r="S101" i="23"/>
  <c r="I101" i="23"/>
  <c r="R101" i="23" s="1"/>
  <c r="S100" i="23"/>
  <c r="I100" i="23"/>
  <c r="R100" i="23" s="1"/>
  <c r="S99" i="23"/>
  <c r="I99" i="23"/>
  <c r="R99" i="23" s="1"/>
  <c r="S98" i="23"/>
  <c r="I98" i="23"/>
  <c r="R98" i="23" s="1"/>
  <c r="S97" i="23"/>
  <c r="K97" i="23"/>
  <c r="T97" i="23" s="1"/>
  <c r="I97" i="23"/>
  <c r="R97" i="23" s="1"/>
  <c r="S96" i="23"/>
  <c r="K96" i="23"/>
  <c r="T96" i="23" s="1"/>
  <c r="I96" i="23"/>
  <c r="R96" i="23" s="1"/>
  <c r="S95" i="23"/>
  <c r="K95" i="23"/>
  <c r="T95" i="23" s="1"/>
  <c r="I95" i="23"/>
  <c r="R95" i="23" s="1"/>
  <c r="S94" i="23"/>
  <c r="K94" i="23"/>
  <c r="T94" i="23" s="1"/>
  <c r="I94" i="23"/>
  <c r="R94" i="23" s="1"/>
  <c r="S93" i="23"/>
  <c r="K93" i="23"/>
  <c r="T93" i="23" s="1"/>
  <c r="I93" i="23"/>
  <c r="R93" i="23" s="1"/>
  <c r="S92" i="23"/>
  <c r="K92" i="23"/>
  <c r="T92" i="23" s="1"/>
  <c r="I92" i="23"/>
  <c r="R92" i="23" s="1"/>
  <c r="S91" i="23"/>
  <c r="K91" i="23"/>
  <c r="T91" i="23" s="1"/>
  <c r="I91" i="23"/>
  <c r="R91" i="23" s="1"/>
  <c r="S90" i="23"/>
  <c r="K90" i="23"/>
  <c r="T90" i="23" s="1"/>
  <c r="I90" i="23"/>
  <c r="R90" i="23" s="1"/>
  <c r="S89" i="23"/>
  <c r="K89" i="23"/>
  <c r="T89" i="23" s="1"/>
  <c r="I89" i="23"/>
  <c r="R89" i="23" s="1"/>
  <c r="S88" i="23"/>
  <c r="K88" i="23"/>
  <c r="T88" i="23" s="1"/>
  <c r="I88" i="23"/>
  <c r="R88" i="23" s="1"/>
  <c r="S87" i="23"/>
  <c r="K87" i="23"/>
  <c r="T87" i="23" s="1"/>
  <c r="I87" i="23"/>
  <c r="R87" i="23" s="1"/>
  <c r="S86" i="23"/>
  <c r="I86" i="23"/>
  <c r="R86" i="23" s="1"/>
  <c r="S85" i="23"/>
  <c r="I85" i="23"/>
  <c r="R85" i="23" s="1"/>
  <c r="S84" i="23"/>
  <c r="I84" i="23"/>
  <c r="R84" i="23" s="1"/>
  <c r="S83" i="23"/>
  <c r="I83" i="23"/>
  <c r="R83" i="23" s="1"/>
  <c r="S82" i="23"/>
  <c r="I82" i="23"/>
  <c r="R82" i="23" s="1"/>
  <c r="S81" i="23"/>
  <c r="I81" i="23"/>
  <c r="R81" i="23" s="1"/>
  <c r="S80" i="23"/>
  <c r="I80" i="23"/>
  <c r="R80" i="23" s="1"/>
  <c r="S79" i="23"/>
  <c r="I79" i="23"/>
  <c r="R79" i="23" s="1"/>
  <c r="S78" i="23"/>
  <c r="I78" i="23"/>
  <c r="R78" i="23" s="1"/>
  <c r="S77" i="23"/>
  <c r="I77" i="23"/>
  <c r="R77" i="23" s="1"/>
  <c r="S76" i="23"/>
  <c r="I76" i="23"/>
  <c r="R76" i="23" s="1"/>
  <c r="S75" i="23"/>
  <c r="I75" i="23"/>
  <c r="R75" i="23" s="1"/>
  <c r="S74" i="23"/>
  <c r="I74" i="23"/>
  <c r="R74" i="23" s="1"/>
  <c r="S73" i="23"/>
  <c r="I73" i="23"/>
  <c r="R73" i="23" s="1"/>
  <c r="S72" i="23"/>
  <c r="I72" i="23"/>
  <c r="R72" i="23" s="1"/>
  <c r="S71" i="23"/>
  <c r="I71" i="23"/>
  <c r="R71" i="23" s="1"/>
  <c r="S70" i="23"/>
  <c r="I70" i="23"/>
  <c r="R70" i="23" s="1"/>
  <c r="S69" i="23"/>
  <c r="I69" i="23"/>
  <c r="R69" i="23" s="1"/>
  <c r="S68" i="23"/>
  <c r="I68" i="23"/>
  <c r="R68" i="23" s="1"/>
  <c r="S67" i="23"/>
  <c r="I67" i="23"/>
  <c r="R67" i="23" s="1"/>
  <c r="S66" i="23"/>
  <c r="I66" i="23"/>
  <c r="R66" i="23" s="1"/>
  <c r="S65" i="23"/>
  <c r="I65" i="23"/>
  <c r="R65" i="23" s="1"/>
  <c r="S64" i="23"/>
  <c r="I64" i="23"/>
  <c r="R64" i="23" s="1"/>
  <c r="S63" i="23"/>
  <c r="K63" i="23"/>
  <c r="T63" i="23" s="1"/>
  <c r="I63" i="23"/>
  <c r="R63" i="23" s="1"/>
  <c r="S62" i="23"/>
  <c r="I62" i="23"/>
  <c r="R62" i="23" s="1"/>
  <c r="S61" i="23"/>
  <c r="I61" i="23"/>
  <c r="R61" i="23" s="1"/>
  <c r="S60" i="23"/>
  <c r="I60" i="23"/>
  <c r="R60" i="23" s="1"/>
  <c r="S59" i="23"/>
  <c r="I59" i="23"/>
  <c r="R59" i="23" s="1"/>
  <c r="S58" i="23"/>
  <c r="I58" i="23"/>
  <c r="R58" i="23" s="1"/>
  <c r="S57" i="23"/>
  <c r="I57" i="23"/>
  <c r="R57" i="23" s="1"/>
  <c r="S56" i="23"/>
  <c r="I56" i="23"/>
  <c r="R56" i="23" s="1"/>
  <c r="S55" i="23"/>
  <c r="I55" i="23"/>
  <c r="R55" i="23" s="1"/>
  <c r="S54" i="23"/>
  <c r="I54" i="23"/>
  <c r="R54" i="23" s="1"/>
  <c r="S53" i="23"/>
  <c r="I53" i="23"/>
  <c r="R53" i="23" s="1"/>
  <c r="S52" i="23"/>
  <c r="I52" i="23"/>
  <c r="R52" i="23" s="1"/>
  <c r="S51" i="23"/>
  <c r="I51" i="23"/>
  <c r="R51" i="23" s="1"/>
  <c r="S50" i="23"/>
  <c r="I50" i="23"/>
  <c r="R50" i="23" s="1"/>
  <c r="S49" i="23"/>
  <c r="K49" i="23"/>
  <c r="T49" i="23" s="1"/>
  <c r="I49" i="23"/>
  <c r="R49" i="23" s="1"/>
  <c r="S48" i="23"/>
  <c r="K48" i="23"/>
  <c r="T48" i="23" s="1"/>
  <c r="I48" i="23"/>
  <c r="R48" i="23" s="1"/>
  <c r="S47" i="23"/>
  <c r="K47" i="23"/>
  <c r="T47" i="23" s="1"/>
  <c r="I47" i="23"/>
  <c r="R47" i="23" s="1"/>
  <c r="S46" i="23"/>
  <c r="K46" i="23"/>
  <c r="T46" i="23" s="1"/>
  <c r="I46" i="23"/>
  <c r="R46" i="23" s="1"/>
  <c r="S45" i="23"/>
  <c r="K45" i="23"/>
  <c r="T45" i="23" s="1"/>
  <c r="I45" i="23"/>
  <c r="R45" i="23" s="1"/>
  <c r="S44" i="23"/>
  <c r="K44" i="23"/>
  <c r="T44" i="23" s="1"/>
  <c r="I44" i="23"/>
  <c r="R44" i="23" s="1"/>
  <c r="S43" i="23"/>
  <c r="K43" i="23"/>
  <c r="T43" i="23" s="1"/>
  <c r="I43" i="23"/>
  <c r="R43" i="23" s="1"/>
  <c r="S42" i="23"/>
  <c r="K42" i="23"/>
  <c r="T42" i="23" s="1"/>
  <c r="I42" i="23"/>
  <c r="R42" i="23" s="1"/>
  <c r="S41" i="23"/>
  <c r="K41" i="23"/>
  <c r="T41" i="23" s="1"/>
  <c r="I41" i="23"/>
  <c r="R41" i="23" s="1"/>
  <c r="S40" i="23"/>
  <c r="K40" i="23"/>
  <c r="T40" i="23" s="1"/>
  <c r="I40" i="23"/>
  <c r="R40" i="23" s="1"/>
  <c r="S39" i="23"/>
  <c r="K39" i="23"/>
  <c r="T39" i="23" s="1"/>
  <c r="I39" i="23"/>
  <c r="R39" i="23" s="1"/>
  <c r="S38" i="23"/>
  <c r="K38" i="23"/>
  <c r="T38" i="23" s="1"/>
  <c r="I38" i="23"/>
  <c r="R38" i="23" s="1"/>
  <c r="S37" i="23"/>
  <c r="I37" i="23"/>
  <c r="R37" i="23" s="1"/>
  <c r="S36" i="23"/>
  <c r="I36" i="23"/>
  <c r="R36" i="23" s="1"/>
  <c r="S35" i="23"/>
  <c r="I35" i="23"/>
  <c r="R35" i="23" s="1"/>
  <c r="S34" i="23"/>
  <c r="I34" i="23"/>
  <c r="R34" i="23" s="1"/>
  <c r="S33" i="23"/>
  <c r="I33" i="23"/>
  <c r="R33" i="23" s="1"/>
  <c r="S32" i="23"/>
  <c r="I32" i="23"/>
  <c r="R32" i="23" s="1"/>
  <c r="S31" i="23"/>
  <c r="I31" i="23"/>
  <c r="R31" i="23" s="1"/>
  <c r="S30" i="23"/>
  <c r="I30" i="23"/>
  <c r="R30" i="23" s="1"/>
  <c r="S29" i="23"/>
  <c r="I29" i="23"/>
  <c r="R29" i="23" s="1"/>
  <c r="S28" i="23"/>
  <c r="I28" i="23"/>
  <c r="R28" i="23" s="1"/>
  <c r="S27" i="23"/>
  <c r="I27" i="23"/>
  <c r="R27" i="23" s="1"/>
  <c r="S26" i="23"/>
  <c r="I26" i="23"/>
  <c r="R26" i="23" s="1"/>
  <c r="S25" i="23"/>
  <c r="I25" i="23"/>
  <c r="R25" i="23" s="1"/>
  <c r="S24" i="23"/>
  <c r="I24" i="23"/>
  <c r="R24" i="23" s="1"/>
  <c r="S23" i="23"/>
  <c r="I23" i="23"/>
  <c r="R23" i="23" s="1"/>
  <c r="S22" i="23"/>
  <c r="I22" i="23"/>
  <c r="R22" i="23" s="1"/>
  <c r="S21" i="23"/>
  <c r="I21" i="23"/>
  <c r="R21" i="23" s="1"/>
  <c r="S20" i="23"/>
  <c r="I20" i="23"/>
  <c r="R20" i="23" s="1"/>
  <c r="S19" i="23"/>
  <c r="I19" i="23"/>
  <c r="R19" i="23" s="1"/>
  <c r="S18" i="23"/>
  <c r="I18" i="23"/>
  <c r="R18" i="23" s="1"/>
  <c r="S17" i="23"/>
  <c r="I17" i="23"/>
  <c r="R17" i="23" s="1"/>
  <c r="S16" i="23"/>
  <c r="I16" i="23"/>
  <c r="R16" i="23" s="1"/>
  <c r="S15" i="23"/>
  <c r="K15" i="23"/>
  <c r="T15" i="23" s="1"/>
  <c r="I15" i="23"/>
  <c r="R15" i="23" s="1"/>
  <c r="S14" i="23"/>
  <c r="I14" i="23"/>
  <c r="R14" i="23" s="1"/>
  <c r="S13" i="23"/>
  <c r="I13" i="23"/>
  <c r="R13" i="23" s="1"/>
  <c r="S12" i="23"/>
  <c r="I12" i="23"/>
  <c r="R12" i="23" s="1"/>
  <c r="S11" i="23"/>
  <c r="I11" i="23"/>
  <c r="R11" i="23" s="1"/>
  <c r="S10" i="23"/>
  <c r="I10" i="23"/>
  <c r="R10" i="23" s="1"/>
  <c r="S9" i="23"/>
  <c r="I9" i="23"/>
  <c r="R9" i="23" s="1"/>
  <c r="S8" i="23"/>
  <c r="I8" i="23"/>
  <c r="R8" i="23" s="1"/>
  <c r="S7" i="23"/>
  <c r="I7" i="23"/>
  <c r="R7" i="23" s="1"/>
  <c r="S6" i="23"/>
  <c r="I6" i="23"/>
  <c r="R6" i="23" s="1"/>
  <c r="S5" i="23"/>
  <c r="I5" i="23"/>
  <c r="R5" i="23" s="1"/>
  <c r="S4" i="23"/>
  <c r="I4" i="23"/>
  <c r="R4" i="23" s="1"/>
  <c r="S3" i="23"/>
  <c r="I3" i="23"/>
  <c r="R3" i="23" s="1"/>
  <c r="S2" i="23"/>
  <c r="I2" i="23"/>
  <c r="R2" i="23" s="1"/>
  <c r="M1" i="23"/>
  <c r="S1" i="23"/>
  <c r="K1" i="23"/>
  <c r="T1" i="23" s="1"/>
  <c r="I1" i="23"/>
  <c r="R1" i="23" s="1"/>
  <c r="K27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J2" i="22"/>
  <c r="J1" i="22"/>
  <c r="F2" i="21"/>
  <c r="J2" i="21" s="1"/>
  <c r="F3" i="21"/>
  <c r="J3" i="21" s="1"/>
  <c r="F4" i="21"/>
  <c r="J4" i="21" s="1"/>
  <c r="F5" i="21"/>
  <c r="J5" i="21" s="1"/>
  <c r="F6" i="21"/>
  <c r="J6" i="21" s="1"/>
  <c r="F7" i="21"/>
  <c r="J7" i="21" s="1"/>
  <c r="F8" i="21"/>
  <c r="J8" i="21" s="1"/>
  <c r="F9" i="21"/>
  <c r="J9" i="21" s="1"/>
  <c r="F10" i="21"/>
  <c r="J10" i="21" s="1"/>
  <c r="F11" i="21"/>
  <c r="J11" i="21" s="1"/>
  <c r="F12" i="21"/>
  <c r="J12" i="21" s="1"/>
  <c r="F13" i="21"/>
  <c r="J13" i="21" s="1"/>
  <c r="F14" i="21"/>
  <c r="J14" i="21" s="1"/>
  <c r="F15" i="21"/>
  <c r="J15" i="21" s="1"/>
  <c r="F16" i="21"/>
  <c r="J16" i="21" s="1"/>
  <c r="F17" i="21"/>
  <c r="J17" i="21" s="1"/>
  <c r="F18" i="21"/>
  <c r="J18" i="21" s="1"/>
  <c r="F19" i="21"/>
  <c r="J19" i="21" s="1"/>
  <c r="F20" i="21"/>
  <c r="J20" i="21" s="1"/>
  <c r="F21" i="21"/>
  <c r="J21" i="21" s="1"/>
  <c r="F22" i="21"/>
  <c r="J22" i="21" s="1"/>
  <c r="F23" i="21"/>
  <c r="J23" i="21" s="1"/>
  <c r="F24" i="21"/>
  <c r="J24" i="21" s="1"/>
  <c r="F25" i="21"/>
  <c r="J25" i="21" s="1"/>
  <c r="F26" i="21"/>
  <c r="J26" i="21" s="1"/>
  <c r="F27" i="21"/>
  <c r="J27" i="21" s="1"/>
  <c r="F28" i="21"/>
  <c r="J28" i="21" s="1"/>
  <c r="F29" i="21"/>
  <c r="J29" i="21" s="1"/>
  <c r="F30" i="21"/>
  <c r="J30" i="21" s="1"/>
  <c r="F31" i="21"/>
  <c r="J31" i="21" s="1"/>
  <c r="F32" i="21"/>
  <c r="J32" i="21" s="1"/>
  <c r="F33" i="21"/>
  <c r="J33" i="21" s="1"/>
  <c r="F34" i="21"/>
  <c r="J34" i="21" s="1"/>
  <c r="F35" i="21"/>
  <c r="J35" i="21" s="1"/>
  <c r="F36" i="21"/>
  <c r="J36" i="21" s="1"/>
  <c r="F37" i="21"/>
  <c r="J37" i="21" s="1"/>
  <c r="F38" i="21"/>
  <c r="J38" i="21" s="1"/>
  <c r="F39" i="21"/>
  <c r="J39" i="21" s="1"/>
  <c r="F40" i="21"/>
  <c r="J40" i="21" s="1"/>
  <c r="F41" i="21"/>
  <c r="J41" i="21" s="1"/>
  <c r="F42" i="21"/>
  <c r="J42" i="21" s="1"/>
  <c r="F43" i="21"/>
  <c r="J43" i="21" s="1"/>
  <c r="F44" i="21"/>
  <c r="J44" i="21" s="1"/>
  <c r="F45" i="21"/>
  <c r="J45" i="21" s="1"/>
  <c r="F46" i="21"/>
  <c r="J46" i="21" s="1"/>
  <c r="F47" i="21"/>
  <c r="J47" i="21" s="1"/>
  <c r="F48" i="21"/>
  <c r="J48" i="21" s="1"/>
  <c r="F49" i="21"/>
  <c r="J49" i="21" s="1"/>
  <c r="F50" i="21"/>
  <c r="J50" i="21" s="1"/>
  <c r="F51" i="21"/>
  <c r="J51" i="21" s="1"/>
  <c r="F52" i="21"/>
  <c r="J52" i="21" s="1"/>
  <c r="F53" i="21"/>
  <c r="J53" i="21" s="1"/>
  <c r="F54" i="21"/>
  <c r="J54" i="21" s="1"/>
  <c r="F55" i="21"/>
  <c r="J55" i="21" s="1"/>
  <c r="F56" i="21"/>
  <c r="J56" i="21" s="1"/>
  <c r="F57" i="21"/>
  <c r="J57" i="21" s="1"/>
  <c r="F58" i="21"/>
  <c r="J58" i="21" s="1"/>
  <c r="F59" i="21"/>
  <c r="J59" i="21" s="1"/>
  <c r="F60" i="21"/>
  <c r="J60" i="21" s="1"/>
  <c r="F61" i="21"/>
  <c r="J61" i="21" s="1"/>
  <c r="F62" i="21"/>
  <c r="J62" i="21" s="1"/>
  <c r="F63" i="21"/>
  <c r="J63" i="21" s="1"/>
  <c r="F64" i="21"/>
  <c r="J64" i="21" s="1"/>
  <c r="F65" i="21"/>
  <c r="J65" i="21" s="1"/>
  <c r="F66" i="21"/>
  <c r="J66" i="21" s="1"/>
  <c r="F67" i="21"/>
  <c r="J67" i="21" s="1"/>
  <c r="F68" i="21"/>
  <c r="J68" i="21" s="1"/>
  <c r="F69" i="21"/>
  <c r="J69" i="21" s="1"/>
  <c r="F70" i="21"/>
  <c r="J70" i="21" s="1"/>
  <c r="F71" i="21"/>
  <c r="J71" i="21" s="1"/>
  <c r="F72" i="21"/>
  <c r="J72" i="21" s="1"/>
  <c r="F73" i="21"/>
  <c r="J73" i="21" s="1"/>
  <c r="F74" i="21"/>
  <c r="J74" i="21" s="1"/>
  <c r="F75" i="21"/>
  <c r="J75" i="21" s="1"/>
  <c r="F76" i="21"/>
  <c r="J76" i="21" s="1"/>
  <c r="F77" i="21"/>
  <c r="J77" i="21" s="1"/>
  <c r="F78" i="21"/>
  <c r="J78" i="21" s="1"/>
  <c r="F79" i="21"/>
  <c r="J79" i="21" s="1"/>
  <c r="F80" i="21"/>
  <c r="J80" i="21" s="1"/>
  <c r="F81" i="21"/>
  <c r="J81" i="21" s="1"/>
  <c r="F82" i="21"/>
  <c r="J82" i="21" s="1"/>
  <c r="F83" i="21"/>
  <c r="J83" i="21" s="1"/>
  <c r="F84" i="21"/>
  <c r="J84" i="21" s="1"/>
  <c r="F85" i="21"/>
  <c r="J85" i="21" s="1"/>
  <c r="F86" i="21"/>
  <c r="J86" i="21" s="1"/>
  <c r="F87" i="21"/>
  <c r="J87" i="21" s="1"/>
  <c r="F88" i="21"/>
  <c r="J88" i="21" s="1"/>
  <c r="F89" i="21"/>
  <c r="J89" i="21" s="1"/>
  <c r="F90" i="21"/>
  <c r="J90" i="21" s="1"/>
  <c r="F91" i="21"/>
  <c r="J91" i="21" s="1"/>
  <c r="F92" i="21"/>
  <c r="J92" i="21" s="1"/>
  <c r="F93" i="21"/>
  <c r="J93" i="21" s="1"/>
  <c r="F94" i="21"/>
  <c r="J94" i="21" s="1"/>
  <c r="F95" i="21"/>
  <c r="J95" i="21" s="1"/>
  <c r="F96" i="21"/>
  <c r="J96" i="21" s="1"/>
  <c r="F97" i="21"/>
  <c r="J97" i="21" s="1"/>
  <c r="F98" i="21"/>
  <c r="J98" i="21" s="1"/>
  <c r="F99" i="21"/>
  <c r="J99" i="21" s="1"/>
  <c r="F100" i="21"/>
  <c r="J100" i="21" s="1"/>
  <c r="F101" i="21"/>
  <c r="J101" i="21" s="1"/>
  <c r="F102" i="21"/>
  <c r="J102" i="21" s="1"/>
  <c r="F103" i="21"/>
  <c r="J103" i="21" s="1"/>
  <c r="F104" i="21"/>
  <c r="J104" i="21" s="1"/>
  <c r="F105" i="21"/>
  <c r="J105" i="21" s="1"/>
  <c r="F106" i="21"/>
  <c r="J106" i="21" s="1"/>
  <c r="F107" i="21"/>
  <c r="J107" i="21" s="1"/>
  <c r="F108" i="21"/>
  <c r="J108" i="21" s="1"/>
  <c r="F109" i="21"/>
  <c r="J109" i="21" s="1"/>
  <c r="F1" i="21"/>
  <c r="J1" i="21" s="1"/>
  <c r="E1" i="21"/>
  <c r="I1" i="21" s="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H3" i="21"/>
  <c r="H2" i="21"/>
  <c r="H1" i="21"/>
  <c r="Q1" i="20"/>
  <c r="H15" i="20"/>
  <c r="P15" i="20" s="1"/>
  <c r="H38" i="20"/>
  <c r="P38" i="20" s="1"/>
  <c r="H39" i="20"/>
  <c r="P39" i="20" s="1"/>
  <c r="H40" i="20"/>
  <c r="P40" i="20" s="1"/>
  <c r="H41" i="20"/>
  <c r="P41" i="20" s="1"/>
  <c r="H42" i="20"/>
  <c r="P42" i="20" s="1"/>
  <c r="H43" i="20"/>
  <c r="P43" i="20" s="1"/>
  <c r="H44" i="20"/>
  <c r="P44" i="20" s="1"/>
  <c r="H45" i="20"/>
  <c r="P45" i="20" s="1"/>
  <c r="H46" i="20"/>
  <c r="P46" i="20" s="1"/>
  <c r="H47" i="20"/>
  <c r="P47" i="20" s="1"/>
  <c r="H48" i="20"/>
  <c r="P48" i="20" s="1"/>
  <c r="H49" i="20"/>
  <c r="P49" i="20" s="1"/>
  <c r="H63" i="20"/>
  <c r="P63" i="20" s="1"/>
  <c r="H87" i="20"/>
  <c r="P87" i="20" s="1"/>
  <c r="H88" i="20"/>
  <c r="P88" i="20" s="1"/>
  <c r="H89" i="20"/>
  <c r="P89" i="20" s="1"/>
  <c r="H90" i="20"/>
  <c r="P90" i="20" s="1"/>
  <c r="H91" i="20"/>
  <c r="P91" i="20" s="1"/>
  <c r="H92" i="20"/>
  <c r="P92" i="20" s="1"/>
  <c r="H93" i="20"/>
  <c r="P93" i="20" s="1"/>
  <c r="H94" i="20"/>
  <c r="P94" i="20" s="1"/>
  <c r="H95" i="20"/>
  <c r="P95" i="20" s="1"/>
  <c r="H96" i="20"/>
  <c r="P96" i="20" s="1"/>
  <c r="H97" i="20"/>
  <c r="P97" i="20" s="1"/>
  <c r="H1" i="20"/>
  <c r="P1" i="20" s="1"/>
  <c r="G2" i="20"/>
  <c r="O2" i="20" s="1"/>
  <c r="G3" i="20"/>
  <c r="O3" i="20" s="1"/>
  <c r="G4" i="20"/>
  <c r="O4" i="20" s="1"/>
  <c r="G5" i="20"/>
  <c r="O5" i="20" s="1"/>
  <c r="G6" i="20"/>
  <c r="O6" i="20" s="1"/>
  <c r="G7" i="20"/>
  <c r="O7" i="20" s="1"/>
  <c r="G8" i="20"/>
  <c r="O8" i="20" s="1"/>
  <c r="G9" i="20"/>
  <c r="O9" i="20" s="1"/>
  <c r="G10" i="20"/>
  <c r="O10" i="20" s="1"/>
  <c r="G11" i="20"/>
  <c r="O11" i="20" s="1"/>
  <c r="G12" i="20"/>
  <c r="O12" i="20" s="1"/>
  <c r="G13" i="20"/>
  <c r="O13" i="20" s="1"/>
  <c r="G14" i="20"/>
  <c r="O14" i="20" s="1"/>
  <c r="G15" i="20"/>
  <c r="O15" i="20" s="1"/>
  <c r="G16" i="20"/>
  <c r="O16" i="20" s="1"/>
  <c r="G17" i="20"/>
  <c r="O17" i="20" s="1"/>
  <c r="G18" i="20"/>
  <c r="O18" i="20" s="1"/>
  <c r="G19" i="20"/>
  <c r="O19" i="20" s="1"/>
  <c r="G20" i="20"/>
  <c r="O20" i="20" s="1"/>
  <c r="G21" i="20"/>
  <c r="O21" i="20" s="1"/>
  <c r="G22" i="20"/>
  <c r="O22" i="20" s="1"/>
  <c r="G23" i="20"/>
  <c r="O23" i="20" s="1"/>
  <c r="G24" i="20"/>
  <c r="O24" i="20" s="1"/>
  <c r="G25" i="20"/>
  <c r="O25" i="20" s="1"/>
  <c r="G26" i="20"/>
  <c r="O26" i="20" s="1"/>
  <c r="G27" i="20"/>
  <c r="O27" i="20" s="1"/>
  <c r="G28" i="20"/>
  <c r="O28" i="20" s="1"/>
  <c r="G29" i="20"/>
  <c r="O29" i="20" s="1"/>
  <c r="G30" i="20"/>
  <c r="O30" i="20" s="1"/>
  <c r="G31" i="20"/>
  <c r="O31" i="20" s="1"/>
  <c r="G32" i="20"/>
  <c r="O32" i="20" s="1"/>
  <c r="G33" i="20"/>
  <c r="O33" i="20" s="1"/>
  <c r="G34" i="20"/>
  <c r="O34" i="20" s="1"/>
  <c r="G35" i="20"/>
  <c r="O35" i="20" s="1"/>
  <c r="G36" i="20"/>
  <c r="O36" i="20" s="1"/>
  <c r="G37" i="20"/>
  <c r="O37" i="20" s="1"/>
  <c r="G38" i="20"/>
  <c r="O38" i="20" s="1"/>
  <c r="G39" i="20"/>
  <c r="O39" i="20" s="1"/>
  <c r="G40" i="20"/>
  <c r="O40" i="20" s="1"/>
  <c r="G41" i="20"/>
  <c r="O41" i="20" s="1"/>
  <c r="G42" i="20"/>
  <c r="O42" i="20" s="1"/>
  <c r="G43" i="20"/>
  <c r="O43" i="20" s="1"/>
  <c r="G44" i="20"/>
  <c r="O44" i="20" s="1"/>
  <c r="G45" i="20"/>
  <c r="O45" i="20" s="1"/>
  <c r="G46" i="20"/>
  <c r="O46" i="20" s="1"/>
  <c r="G47" i="20"/>
  <c r="O47" i="20" s="1"/>
  <c r="G48" i="20"/>
  <c r="O48" i="20" s="1"/>
  <c r="G49" i="20"/>
  <c r="O49" i="20" s="1"/>
  <c r="G50" i="20"/>
  <c r="O50" i="20" s="1"/>
  <c r="G51" i="20"/>
  <c r="O51" i="20" s="1"/>
  <c r="G52" i="20"/>
  <c r="O52" i="20" s="1"/>
  <c r="G53" i="20"/>
  <c r="O53" i="20" s="1"/>
  <c r="G54" i="20"/>
  <c r="O54" i="20" s="1"/>
  <c r="G55" i="20"/>
  <c r="O55" i="20" s="1"/>
  <c r="G56" i="20"/>
  <c r="O56" i="20" s="1"/>
  <c r="G57" i="20"/>
  <c r="O57" i="20" s="1"/>
  <c r="G58" i="20"/>
  <c r="O58" i="20" s="1"/>
  <c r="G59" i="20"/>
  <c r="O59" i="20" s="1"/>
  <c r="G60" i="20"/>
  <c r="O60" i="20" s="1"/>
  <c r="G61" i="20"/>
  <c r="O61" i="20" s="1"/>
  <c r="G62" i="20"/>
  <c r="O62" i="20" s="1"/>
  <c r="G63" i="20"/>
  <c r="O63" i="20" s="1"/>
  <c r="G64" i="20"/>
  <c r="O64" i="20" s="1"/>
  <c r="G65" i="20"/>
  <c r="O65" i="20" s="1"/>
  <c r="G66" i="20"/>
  <c r="O66" i="20" s="1"/>
  <c r="G67" i="20"/>
  <c r="O67" i="20" s="1"/>
  <c r="G68" i="20"/>
  <c r="O68" i="20" s="1"/>
  <c r="G69" i="20"/>
  <c r="O69" i="20" s="1"/>
  <c r="G70" i="20"/>
  <c r="O70" i="20" s="1"/>
  <c r="G71" i="20"/>
  <c r="O71" i="20" s="1"/>
  <c r="G72" i="20"/>
  <c r="O72" i="20" s="1"/>
  <c r="G73" i="20"/>
  <c r="O73" i="20" s="1"/>
  <c r="G74" i="20"/>
  <c r="O74" i="20" s="1"/>
  <c r="G75" i="20"/>
  <c r="O75" i="20" s="1"/>
  <c r="G76" i="20"/>
  <c r="O76" i="20" s="1"/>
  <c r="G77" i="20"/>
  <c r="O77" i="20" s="1"/>
  <c r="G78" i="20"/>
  <c r="O78" i="20" s="1"/>
  <c r="G79" i="20"/>
  <c r="O79" i="20" s="1"/>
  <c r="G80" i="20"/>
  <c r="O80" i="20" s="1"/>
  <c r="G81" i="20"/>
  <c r="O81" i="20" s="1"/>
  <c r="G82" i="20"/>
  <c r="O82" i="20" s="1"/>
  <c r="G83" i="20"/>
  <c r="O83" i="20" s="1"/>
  <c r="G84" i="20"/>
  <c r="O84" i="20" s="1"/>
  <c r="G85" i="20"/>
  <c r="O85" i="20" s="1"/>
  <c r="G86" i="20"/>
  <c r="O86" i="20" s="1"/>
  <c r="G87" i="20"/>
  <c r="O87" i="20" s="1"/>
  <c r="G88" i="20"/>
  <c r="O88" i="20" s="1"/>
  <c r="G89" i="20"/>
  <c r="O89" i="20" s="1"/>
  <c r="G90" i="20"/>
  <c r="O90" i="20" s="1"/>
  <c r="G91" i="20"/>
  <c r="O91" i="20" s="1"/>
  <c r="G92" i="20"/>
  <c r="O92" i="20" s="1"/>
  <c r="G93" i="20"/>
  <c r="O93" i="20" s="1"/>
  <c r="G94" i="20"/>
  <c r="O94" i="20" s="1"/>
  <c r="G95" i="20"/>
  <c r="O95" i="20" s="1"/>
  <c r="G96" i="20"/>
  <c r="O96" i="20" s="1"/>
  <c r="G97" i="20"/>
  <c r="O97" i="20" s="1"/>
  <c r="G98" i="20"/>
  <c r="O98" i="20" s="1"/>
  <c r="G99" i="20"/>
  <c r="O99" i="20" s="1"/>
  <c r="G100" i="20"/>
  <c r="O100" i="20" s="1"/>
  <c r="G101" i="20"/>
  <c r="O101" i="20" s="1"/>
  <c r="G102" i="20"/>
  <c r="O102" i="20" s="1"/>
  <c r="G103" i="20"/>
  <c r="O103" i="20" s="1"/>
  <c r="G104" i="20"/>
  <c r="O104" i="20" s="1"/>
  <c r="G105" i="20"/>
  <c r="O105" i="20" s="1"/>
  <c r="G106" i="20"/>
  <c r="O106" i="20" s="1"/>
  <c r="G107" i="20"/>
  <c r="O107" i="20" s="1"/>
  <c r="G108" i="20"/>
  <c r="O108" i="20" s="1"/>
  <c r="G109" i="20"/>
  <c r="O109" i="20" s="1"/>
  <c r="G1" i="20"/>
  <c r="O1" i="20" s="1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L4" i="20"/>
  <c r="L3" i="20"/>
  <c r="L2" i="20"/>
  <c r="L1" i="20"/>
  <c r="K2" i="18"/>
  <c r="K3" i="18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H1" i="18"/>
  <c r="O1" i="18" s="1"/>
  <c r="G2" i="18"/>
  <c r="N2" i="18" s="1"/>
  <c r="G3" i="18"/>
  <c r="N3" i="18" s="1"/>
  <c r="G4" i="18"/>
  <c r="N4" i="18" s="1"/>
  <c r="G5" i="18"/>
  <c r="N5" i="18" s="1"/>
  <c r="G6" i="18"/>
  <c r="N6" i="18" s="1"/>
  <c r="G7" i="18"/>
  <c r="N7" i="18" s="1"/>
  <c r="G8" i="18"/>
  <c r="N8" i="18" s="1"/>
  <c r="G9" i="18"/>
  <c r="N9" i="18" s="1"/>
  <c r="G10" i="18"/>
  <c r="N10" i="18" s="1"/>
  <c r="G11" i="18"/>
  <c r="N11" i="18" s="1"/>
  <c r="G12" i="18"/>
  <c r="N12" i="18" s="1"/>
  <c r="G13" i="18"/>
  <c r="N13" i="18" s="1"/>
  <c r="G14" i="18"/>
  <c r="N14" i="18" s="1"/>
  <c r="G15" i="18"/>
  <c r="N15" i="18" s="1"/>
  <c r="G16" i="18"/>
  <c r="N16" i="18" s="1"/>
  <c r="G17" i="18"/>
  <c r="N17" i="18" s="1"/>
  <c r="G18" i="18"/>
  <c r="N18" i="18" s="1"/>
  <c r="G19" i="18"/>
  <c r="N19" i="18" s="1"/>
  <c r="G20" i="18"/>
  <c r="N20" i="18" s="1"/>
  <c r="G21" i="18"/>
  <c r="N21" i="18" s="1"/>
  <c r="G22" i="18"/>
  <c r="N22" i="18" s="1"/>
  <c r="G23" i="18"/>
  <c r="N23" i="18" s="1"/>
  <c r="G24" i="18"/>
  <c r="N24" i="18" s="1"/>
  <c r="G25" i="18"/>
  <c r="N25" i="18" s="1"/>
  <c r="G26" i="18"/>
  <c r="N26" i="18" s="1"/>
  <c r="G27" i="18"/>
  <c r="N27" i="18" s="1"/>
  <c r="G28" i="18"/>
  <c r="N28" i="18" s="1"/>
  <c r="G29" i="18"/>
  <c r="N29" i="18" s="1"/>
  <c r="G30" i="18"/>
  <c r="N30" i="18" s="1"/>
  <c r="G31" i="18"/>
  <c r="N31" i="18" s="1"/>
  <c r="G32" i="18"/>
  <c r="N32" i="18" s="1"/>
  <c r="G33" i="18"/>
  <c r="N33" i="18" s="1"/>
  <c r="G34" i="18"/>
  <c r="N34" i="18" s="1"/>
  <c r="G35" i="18"/>
  <c r="N35" i="18" s="1"/>
  <c r="G36" i="18"/>
  <c r="N36" i="18" s="1"/>
  <c r="G37" i="18"/>
  <c r="N37" i="18" s="1"/>
  <c r="G38" i="18"/>
  <c r="N38" i="18" s="1"/>
  <c r="G39" i="18"/>
  <c r="N39" i="18" s="1"/>
  <c r="G40" i="18"/>
  <c r="N40" i="18" s="1"/>
  <c r="G41" i="18"/>
  <c r="N41" i="18" s="1"/>
  <c r="G42" i="18"/>
  <c r="N42" i="18" s="1"/>
  <c r="G43" i="18"/>
  <c r="N43" i="18" s="1"/>
  <c r="G44" i="18"/>
  <c r="N44" i="18" s="1"/>
  <c r="G45" i="18"/>
  <c r="N45" i="18" s="1"/>
  <c r="G46" i="18"/>
  <c r="N46" i="18" s="1"/>
  <c r="G47" i="18"/>
  <c r="N47" i="18" s="1"/>
  <c r="G48" i="18"/>
  <c r="N48" i="18" s="1"/>
  <c r="G49" i="18"/>
  <c r="N49" i="18" s="1"/>
  <c r="G50" i="18"/>
  <c r="N50" i="18" s="1"/>
  <c r="G51" i="18"/>
  <c r="N51" i="18" s="1"/>
  <c r="G52" i="18"/>
  <c r="N52" i="18" s="1"/>
  <c r="G53" i="18"/>
  <c r="N53" i="18" s="1"/>
  <c r="G54" i="18"/>
  <c r="N54" i="18" s="1"/>
  <c r="G55" i="18"/>
  <c r="N55" i="18" s="1"/>
  <c r="G56" i="18"/>
  <c r="N56" i="18" s="1"/>
  <c r="G57" i="18"/>
  <c r="N57" i="18" s="1"/>
  <c r="G58" i="18"/>
  <c r="N58" i="18" s="1"/>
  <c r="G59" i="18"/>
  <c r="N59" i="18" s="1"/>
  <c r="G60" i="18"/>
  <c r="N60" i="18" s="1"/>
  <c r="G61" i="18"/>
  <c r="N61" i="18" s="1"/>
  <c r="G62" i="18"/>
  <c r="N62" i="18" s="1"/>
  <c r="G63" i="18"/>
  <c r="N63" i="18" s="1"/>
  <c r="G64" i="18"/>
  <c r="N64" i="18" s="1"/>
  <c r="G65" i="18"/>
  <c r="N65" i="18" s="1"/>
  <c r="G66" i="18"/>
  <c r="N66" i="18" s="1"/>
  <c r="G67" i="18"/>
  <c r="N67" i="18" s="1"/>
  <c r="G68" i="18"/>
  <c r="N68" i="18" s="1"/>
  <c r="G69" i="18"/>
  <c r="N69" i="18" s="1"/>
  <c r="G70" i="18"/>
  <c r="N70" i="18" s="1"/>
  <c r="G71" i="18"/>
  <c r="N71" i="18" s="1"/>
  <c r="G72" i="18"/>
  <c r="N72" i="18" s="1"/>
  <c r="G73" i="18"/>
  <c r="N73" i="18" s="1"/>
  <c r="G74" i="18"/>
  <c r="N74" i="18" s="1"/>
  <c r="G75" i="18"/>
  <c r="N75" i="18" s="1"/>
  <c r="G76" i="18"/>
  <c r="N76" i="18" s="1"/>
  <c r="G77" i="18"/>
  <c r="N77" i="18" s="1"/>
  <c r="G78" i="18"/>
  <c r="N78" i="18" s="1"/>
  <c r="G79" i="18"/>
  <c r="N79" i="18" s="1"/>
  <c r="G80" i="18"/>
  <c r="N80" i="18" s="1"/>
  <c r="G81" i="18"/>
  <c r="N81" i="18" s="1"/>
  <c r="G82" i="18"/>
  <c r="N82" i="18" s="1"/>
  <c r="G83" i="18"/>
  <c r="N83" i="18" s="1"/>
  <c r="G84" i="18"/>
  <c r="N84" i="18" s="1"/>
  <c r="G85" i="18"/>
  <c r="N85" i="18" s="1"/>
  <c r="G86" i="18"/>
  <c r="N86" i="18" s="1"/>
  <c r="G87" i="18"/>
  <c r="N87" i="18" s="1"/>
  <c r="G88" i="18"/>
  <c r="N88" i="18" s="1"/>
  <c r="G89" i="18"/>
  <c r="N89" i="18" s="1"/>
  <c r="G90" i="18"/>
  <c r="N90" i="18" s="1"/>
  <c r="G91" i="18"/>
  <c r="N91" i="18" s="1"/>
  <c r="G92" i="18"/>
  <c r="N92" i="18" s="1"/>
  <c r="G93" i="18"/>
  <c r="N93" i="18" s="1"/>
  <c r="G94" i="18"/>
  <c r="N94" i="18" s="1"/>
  <c r="G95" i="18"/>
  <c r="N95" i="18" s="1"/>
  <c r="G96" i="18"/>
  <c r="N96" i="18" s="1"/>
  <c r="G97" i="18"/>
  <c r="N97" i="18" s="1"/>
  <c r="G98" i="18"/>
  <c r="N98" i="18" s="1"/>
  <c r="G99" i="18"/>
  <c r="N99" i="18" s="1"/>
  <c r="G100" i="18"/>
  <c r="N100" i="18" s="1"/>
  <c r="G101" i="18"/>
  <c r="N101" i="18" s="1"/>
  <c r="G102" i="18"/>
  <c r="N102" i="18" s="1"/>
  <c r="G103" i="18"/>
  <c r="N103" i="18" s="1"/>
  <c r="G104" i="18"/>
  <c r="N104" i="18" s="1"/>
  <c r="G105" i="18"/>
  <c r="N105" i="18" s="1"/>
  <c r="G106" i="18"/>
  <c r="N106" i="18" s="1"/>
  <c r="G107" i="18"/>
  <c r="N107" i="18" s="1"/>
  <c r="G108" i="18"/>
  <c r="N108" i="18" s="1"/>
  <c r="G109" i="18"/>
  <c r="N109" i="18" s="1"/>
  <c r="G1" i="18"/>
  <c r="N1" i="18" s="1"/>
  <c r="L2" i="19"/>
  <c r="L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R1" i="19"/>
  <c r="P109" i="19"/>
  <c r="G109" i="19"/>
  <c r="O109" i="19" s="1"/>
  <c r="P108" i="19"/>
  <c r="G108" i="19"/>
  <c r="O108" i="19" s="1"/>
  <c r="P107" i="19"/>
  <c r="G107" i="19"/>
  <c r="O107" i="19" s="1"/>
  <c r="P106" i="19"/>
  <c r="G106" i="19"/>
  <c r="O106" i="19" s="1"/>
  <c r="P105" i="19"/>
  <c r="G105" i="19"/>
  <c r="O105" i="19" s="1"/>
  <c r="P104" i="19"/>
  <c r="G104" i="19"/>
  <c r="O104" i="19" s="1"/>
  <c r="P103" i="19"/>
  <c r="G103" i="19"/>
  <c r="O103" i="19" s="1"/>
  <c r="P102" i="19"/>
  <c r="G102" i="19"/>
  <c r="O102" i="19" s="1"/>
  <c r="P101" i="19"/>
  <c r="G101" i="19"/>
  <c r="O101" i="19" s="1"/>
  <c r="P100" i="19"/>
  <c r="G100" i="19"/>
  <c r="O100" i="19" s="1"/>
  <c r="P99" i="19"/>
  <c r="G99" i="19"/>
  <c r="O99" i="19" s="1"/>
  <c r="P98" i="19"/>
  <c r="G98" i="19"/>
  <c r="O98" i="19" s="1"/>
  <c r="P97" i="19"/>
  <c r="I97" i="19"/>
  <c r="Q97" i="19" s="1"/>
  <c r="G97" i="19"/>
  <c r="O97" i="19" s="1"/>
  <c r="P96" i="19"/>
  <c r="I96" i="19"/>
  <c r="Q96" i="19" s="1"/>
  <c r="G96" i="19"/>
  <c r="O96" i="19" s="1"/>
  <c r="P95" i="19"/>
  <c r="I95" i="19"/>
  <c r="Q95" i="19" s="1"/>
  <c r="G95" i="19"/>
  <c r="O95" i="19" s="1"/>
  <c r="P94" i="19"/>
  <c r="I94" i="19"/>
  <c r="Q94" i="19" s="1"/>
  <c r="G94" i="19"/>
  <c r="O94" i="19" s="1"/>
  <c r="P93" i="19"/>
  <c r="I93" i="19"/>
  <c r="Q93" i="19" s="1"/>
  <c r="G93" i="19"/>
  <c r="O93" i="19" s="1"/>
  <c r="P92" i="19"/>
  <c r="I92" i="19"/>
  <c r="Q92" i="19" s="1"/>
  <c r="G92" i="19"/>
  <c r="O92" i="19" s="1"/>
  <c r="P91" i="19"/>
  <c r="I91" i="19"/>
  <c r="Q91" i="19" s="1"/>
  <c r="G91" i="19"/>
  <c r="O91" i="19" s="1"/>
  <c r="P90" i="19"/>
  <c r="I90" i="19"/>
  <c r="Q90" i="19" s="1"/>
  <c r="G90" i="19"/>
  <c r="O90" i="19" s="1"/>
  <c r="P89" i="19"/>
  <c r="I89" i="19"/>
  <c r="Q89" i="19" s="1"/>
  <c r="G89" i="19"/>
  <c r="O89" i="19" s="1"/>
  <c r="P88" i="19"/>
  <c r="I88" i="19"/>
  <c r="Q88" i="19" s="1"/>
  <c r="G88" i="19"/>
  <c r="O88" i="19" s="1"/>
  <c r="P87" i="19"/>
  <c r="I87" i="19"/>
  <c r="Q87" i="19" s="1"/>
  <c r="G87" i="19"/>
  <c r="O87" i="19" s="1"/>
  <c r="P86" i="19"/>
  <c r="G86" i="19"/>
  <c r="O86" i="19" s="1"/>
  <c r="P85" i="19"/>
  <c r="G85" i="19"/>
  <c r="O85" i="19" s="1"/>
  <c r="P84" i="19"/>
  <c r="G84" i="19"/>
  <c r="O84" i="19" s="1"/>
  <c r="P83" i="19"/>
  <c r="G83" i="19"/>
  <c r="O83" i="19" s="1"/>
  <c r="P82" i="19"/>
  <c r="G82" i="19"/>
  <c r="O82" i="19" s="1"/>
  <c r="P81" i="19"/>
  <c r="G81" i="19"/>
  <c r="O81" i="19" s="1"/>
  <c r="P80" i="19"/>
  <c r="G80" i="19"/>
  <c r="O80" i="19" s="1"/>
  <c r="P79" i="19"/>
  <c r="G79" i="19"/>
  <c r="O79" i="19" s="1"/>
  <c r="P78" i="19"/>
  <c r="G78" i="19"/>
  <c r="O78" i="19" s="1"/>
  <c r="P77" i="19"/>
  <c r="G77" i="19"/>
  <c r="O77" i="19" s="1"/>
  <c r="P76" i="19"/>
  <c r="G76" i="19"/>
  <c r="O76" i="19" s="1"/>
  <c r="P75" i="19"/>
  <c r="G75" i="19"/>
  <c r="O75" i="19" s="1"/>
  <c r="P74" i="19"/>
  <c r="G74" i="19"/>
  <c r="O74" i="19" s="1"/>
  <c r="P73" i="19"/>
  <c r="G73" i="19"/>
  <c r="O73" i="19" s="1"/>
  <c r="P72" i="19"/>
  <c r="G72" i="19"/>
  <c r="O72" i="19" s="1"/>
  <c r="P71" i="19"/>
  <c r="G71" i="19"/>
  <c r="O71" i="19" s="1"/>
  <c r="P70" i="19"/>
  <c r="G70" i="19"/>
  <c r="O70" i="19" s="1"/>
  <c r="P69" i="19"/>
  <c r="G69" i="19"/>
  <c r="O69" i="19" s="1"/>
  <c r="P68" i="19"/>
  <c r="G68" i="19"/>
  <c r="O68" i="19" s="1"/>
  <c r="P67" i="19"/>
  <c r="G67" i="19"/>
  <c r="O67" i="19" s="1"/>
  <c r="P66" i="19"/>
  <c r="G66" i="19"/>
  <c r="O66" i="19" s="1"/>
  <c r="P65" i="19"/>
  <c r="G65" i="19"/>
  <c r="O65" i="19" s="1"/>
  <c r="P64" i="19"/>
  <c r="G64" i="19"/>
  <c r="O64" i="19" s="1"/>
  <c r="P63" i="19"/>
  <c r="I63" i="19"/>
  <c r="Q63" i="19" s="1"/>
  <c r="G63" i="19"/>
  <c r="O63" i="19" s="1"/>
  <c r="P62" i="19"/>
  <c r="G62" i="19"/>
  <c r="O62" i="19" s="1"/>
  <c r="P61" i="19"/>
  <c r="G61" i="19"/>
  <c r="O61" i="19" s="1"/>
  <c r="P60" i="19"/>
  <c r="G60" i="19"/>
  <c r="O60" i="19" s="1"/>
  <c r="P59" i="19"/>
  <c r="G59" i="19"/>
  <c r="O59" i="19" s="1"/>
  <c r="P58" i="19"/>
  <c r="G58" i="19"/>
  <c r="O58" i="19" s="1"/>
  <c r="P57" i="19"/>
  <c r="G57" i="19"/>
  <c r="O57" i="19" s="1"/>
  <c r="P56" i="19"/>
  <c r="G56" i="19"/>
  <c r="O56" i="19" s="1"/>
  <c r="P55" i="19"/>
  <c r="G55" i="19"/>
  <c r="O55" i="19" s="1"/>
  <c r="P54" i="19"/>
  <c r="G54" i="19"/>
  <c r="O54" i="19" s="1"/>
  <c r="P53" i="19"/>
  <c r="G53" i="19"/>
  <c r="O53" i="19" s="1"/>
  <c r="P52" i="19"/>
  <c r="G52" i="19"/>
  <c r="O52" i="19" s="1"/>
  <c r="P51" i="19"/>
  <c r="G51" i="19"/>
  <c r="O51" i="19" s="1"/>
  <c r="P50" i="19"/>
  <c r="G50" i="19"/>
  <c r="O50" i="19" s="1"/>
  <c r="P49" i="19"/>
  <c r="I49" i="19"/>
  <c r="Q49" i="19" s="1"/>
  <c r="G49" i="19"/>
  <c r="O49" i="19" s="1"/>
  <c r="P48" i="19"/>
  <c r="I48" i="19"/>
  <c r="Q48" i="19" s="1"/>
  <c r="G48" i="19"/>
  <c r="O48" i="19" s="1"/>
  <c r="P47" i="19"/>
  <c r="I47" i="19"/>
  <c r="Q47" i="19" s="1"/>
  <c r="G47" i="19"/>
  <c r="O47" i="19" s="1"/>
  <c r="P46" i="19"/>
  <c r="I46" i="19"/>
  <c r="Q46" i="19" s="1"/>
  <c r="G46" i="19"/>
  <c r="O46" i="19" s="1"/>
  <c r="P45" i="19"/>
  <c r="I45" i="19"/>
  <c r="Q45" i="19" s="1"/>
  <c r="G45" i="19"/>
  <c r="O45" i="19" s="1"/>
  <c r="P44" i="19"/>
  <c r="I44" i="19"/>
  <c r="Q44" i="19" s="1"/>
  <c r="G44" i="19"/>
  <c r="O44" i="19" s="1"/>
  <c r="P43" i="19"/>
  <c r="I43" i="19"/>
  <c r="Q43" i="19" s="1"/>
  <c r="G43" i="19"/>
  <c r="O43" i="19" s="1"/>
  <c r="P42" i="19"/>
  <c r="I42" i="19"/>
  <c r="Q42" i="19" s="1"/>
  <c r="G42" i="19"/>
  <c r="O42" i="19" s="1"/>
  <c r="P41" i="19"/>
  <c r="I41" i="19"/>
  <c r="Q41" i="19" s="1"/>
  <c r="G41" i="19"/>
  <c r="O41" i="19" s="1"/>
  <c r="P40" i="19"/>
  <c r="I40" i="19"/>
  <c r="Q40" i="19" s="1"/>
  <c r="G40" i="19"/>
  <c r="O40" i="19" s="1"/>
  <c r="P39" i="19"/>
  <c r="I39" i="19"/>
  <c r="Q39" i="19" s="1"/>
  <c r="G39" i="19"/>
  <c r="O39" i="19" s="1"/>
  <c r="P38" i="19"/>
  <c r="I38" i="19"/>
  <c r="Q38" i="19" s="1"/>
  <c r="G38" i="19"/>
  <c r="O38" i="19" s="1"/>
  <c r="P37" i="19"/>
  <c r="G37" i="19"/>
  <c r="O37" i="19" s="1"/>
  <c r="P36" i="19"/>
  <c r="G36" i="19"/>
  <c r="O36" i="19" s="1"/>
  <c r="P35" i="19"/>
  <c r="G35" i="19"/>
  <c r="O35" i="19" s="1"/>
  <c r="P34" i="19"/>
  <c r="G34" i="19"/>
  <c r="O34" i="19" s="1"/>
  <c r="P33" i="19"/>
  <c r="G33" i="19"/>
  <c r="O33" i="19" s="1"/>
  <c r="P32" i="19"/>
  <c r="G32" i="19"/>
  <c r="O32" i="19" s="1"/>
  <c r="P31" i="19"/>
  <c r="G31" i="19"/>
  <c r="O31" i="19" s="1"/>
  <c r="P30" i="19"/>
  <c r="G30" i="19"/>
  <c r="O30" i="19" s="1"/>
  <c r="P29" i="19"/>
  <c r="G29" i="19"/>
  <c r="O29" i="19" s="1"/>
  <c r="P28" i="19"/>
  <c r="G28" i="19"/>
  <c r="O28" i="19" s="1"/>
  <c r="P27" i="19"/>
  <c r="G27" i="19"/>
  <c r="O27" i="19" s="1"/>
  <c r="P26" i="19"/>
  <c r="G26" i="19"/>
  <c r="O26" i="19" s="1"/>
  <c r="P25" i="19"/>
  <c r="G25" i="19"/>
  <c r="O25" i="19" s="1"/>
  <c r="P24" i="19"/>
  <c r="G24" i="19"/>
  <c r="O24" i="19" s="1"/>
  <c r="P23" i="19"/>
  <c r="G23" i="19"/>
  <c r="O23" i="19" s="1"/>
  <c r="P22" i="19"/>
  <c r="G22" i="19"/>
  <c r="O22" i="19" s="1"/>
  <c r="P21" i="19"/>
  <c r="G21" i="19"/>
  <c r="O21" i="19" s="1"/>
  <c r="P20" i="19"/>
  <c r="G20" i="19"/>
  <c r="O20" i="19" s="1"/>
  <c r="P19" i="19"/>
  <c r="G19" i="19"/>
  <c r="O19" i="19" s="1"/>
  <c r="P18" i="19"/>
  <c r="G18" i="19"/>
  <c r="O18" i="19" s="1"/>
  <c r="P17" i="19"/>
  <c r="G17" i="19"/>
  <c r="O17" i="19" s="1"/>
  <c r="P16" i="19"/>
  <c r="G16" i="19"/>
  <c r="O16" i="19" s="1"/>
  <c r="P15" i="19"/>
  <c r="I15" i="19"/>
  <c r="Q15" i="19" s="1"/>
  <c r="G15" i="19"/>
  <c r="O15" i="19" s="1"/>
  <c r="P14" i="19"/>
  <c r="G14" i="19"/>
  <c r="O14" i="19" s="1"/>
  <c r="P13" i="19"/>
  <c r="G13" i="19"/>
  <c r="O13" i="19" s="1"/>
  <c r="P12" i="19"/>
  <c r="G12" i="19"/>
  <c r="O12" i="19" s="1"/>
  <c r="P11" i="19"/>
  <c r="G11" i="19"/>
  <c r="O11" i="19" s="1"/>
  <c r="P10" i="19"/>
  <c r="G10" i="19"/>
  <c r="O10" i="19" s="1"/>
  <c r="P9" i="19"/>
  <c r="G9" i="19"/>
  <c r="O9" i="19" s="1"/>
  <c r="P8" i="19"/>
  <c r="G8" i="19"/>
  <c r="O8" i="19" s="1"/>
  <c r="P7" i="19"/>
  <c r="G7" i="19"/>
  <c r="O7" i="19" s="1"/>
  <c r="P6" i="19"/>
  <c r="G6" i="19"/>
  <c r="O6" i="19" s="1"/>
  <c r="P5" i="19"/>
  <c r="G5" i="19"/>
  <c r="O5" i="19" s="1"/>
  <c r="P4" i="19"/>
  <c r="G4" i="19"/>
  <c r="O4" i="19" s="1"/>
  <c r="P3" i="19"/>
  <c r="G3" i="19"/>
  <c r="O3" i="19" s="1"/>
  <c r="P2" i="19"/>
  <c r="G2" i="19"/>
  <c r="O2" i="19" s="1"/>
  <c r="L1" i="19"/>
  <c r="P1" i="19"/>
  <c r="I1" i="19"/>
  <c r="Q1" i="19" s="1"/>
  <c r="G1" i="19"/>
  <c r="O1" i="19" s="1"/>
  <c r="I97" i="18"/>
  <c r="P97" i="18" s="1"/>
  <c r="I96" i="18"/>
  <c r="P96" i="18" s="1"/>
  <c r="I95" i="18"/>
  <c r="P95" i="18" s="1"/>
  <c r="I94" i="18"/>
  <c r="P94" i="18" s="1"/>
  <c r="I93" i="18"/>
  <c r="P93" i="18" s="1"/>
  <c r="I92" i="18"/>
  <c r="P92" i="18" s="1"/>
  <c r="I91" i="18"/>
  <c r="P91" i="18" s="1"/>
  <c r="I90" i="18"/>
  <c r="P90" i="18" s="1"/>
  <c r="I89" i="18"/>
  <c r="P89" i="18" s="1"/>
  <c r="I88" i="18"/>
  <c r="P88" i="18" s="1"/>
  <c r="I87" i="18"/>
  <c r="P87" i="18" s="1"/>
  <c r="I63" i="18"/>
  <c r="P63" i="18" s="1"/>
  <c r="I49" i="18"/>
  <c r="P49" i="18" s="1"/>
  <c r="I48" i="18"/>
  <c r="P48" i="18" s="1"/>
  <c r="I47" i="18"/>
  <c r="P47" i="18" s="1"/>
  <c r="I46" i="18"/>
  <c r="P46" i="18" s="1"/>
  <c r="I45" i="18"/>
  <c r="P45" i="18" s="1"/>
  <c r="I44" i="18"/>
  <c r="P44" i="18" s="1"/>
  <c r="I43" i="18"/>
  <c r="P43" i="18" s="1"/>
  <c r="I42" i="18"/>
  <c r="P42" i="18" s="1"/>
  <c r="I41" i="18"/>
  <c r="P41" i="18" s="1"/>
  <c r="I40" i="18"/>
  <c r="P40" i="18" s="1"/>
  <c r="I39" i="18"/>
  <c r="P39" i="18" s="1"/>
  <c r="I38" i="18"/>
  <c r="P38" i="18" s="1"/>
  <c r="I15" i="18"/>
  <c r="P15" i="18" s="1"/>
  <c r="K1" i="18"/>
  <c r="I1" i="18"/>
  <c r="P1" i="18" s="1"/>
  <c r="M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" i="17"/>
  <c r="T2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J15" i="17"/>
  <c r="S15" i="17" s="1"/>
  <c r="J38" i="17"/>
  <c r="S38" i="17" s="1"/>
  <c r="J39" i="17"/>
  <c r="S39" i="17" s="1"/>
  <c r="J40" i="17"/>
  <c r="S40" i="17" s="1"/>
  <c r="J41" i="17"/>
  <c r="S41" i="17" s="1"/>
  <c r="J42" i="17"/>
  <c r="S42" i="17" s="1"/>
  <c r="J43" i="17"/>
  <c r="S43" i="17" s="1"/>
  <c r="J44" i="17"/>
  <c r="S44" i="17" s="1"/>
  <c r="J45" i="17"/>
  <c r="S45" i="17" s="1"/>
  <c r="J46" i="17"/>
  <c r="S46" i="17" s="1"/>
  <c r="J47" i="17"/>
  <c r="S47" i="17" s="1"/>
  <c r="J48" i="17"/>
  <c r="S48" i="17" s="1"/>
  <c r="J49" i="17"/>
  <c r="S49" i="17" s="1"/>
  <c r="J63" i="17"/>
  <c r="S63" i="17" s="1"/>
  <c r="J87" i="17"/>
  <c r="S87" i="17" s="1"/>
  <c r="J88" i="17"/>
  <c r="S88" i="17" s="1"/>
  <c r="J89" i="17"/>
  <c r="S89" i="17" s="1"/>
  <c r="J90" i="17"/>
  <c r="S90" i="17" s="1"/>
  <c r="J91" i="17"/>
  <c r="S91" i="17" s="1"/>
  <c r="J92" i="17"/>
  <c r="S92" i="17" s="1"/>
  <c r="J93" i="17"/>
  <c r="S93" i="17" s="1"/>
  <c r="J94" i="17"/>
  <c r="S94" i="17" s="1"/>
  <c r="J95" i="17"/>
  <c r="S95" i="17" s="1"/>
  <c r="J96" i="17"/>
  <c r="S96" i="17" s="1"/>
  <c r="J97" i="17"/>
  <c r="S97" i="17" s="1"/>
  <c r="J1" i="17"/>
  <c r="S1" i="17" s="1"/>
  <c r="T1" i="17"/>
  <c r="I2" i="17"/>
  <c r="R2" i="17" s="1"/>
  <c r="I3" i="17"/>
  <c r="R3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" i="17"/>
  <c r="R1" i="17" s="1"/>
  <c r="B3" i="41" l="1"/>
  <c r="B93" i="41" s="1"/>
  <c r="B3" i="73"/>
  <c r="B8" i="41"/>
  <c r="B33" i="41" s="1"/>
  <c r="B47" i="41" s="1"/>
  <c r="B58" i="41" s="1"/>
  <c r="B84" i="41" s="1"/>
  <c r="B8" i="73"/>
  <c r="B7" i="41"/>
  <c r="B32" i="41" s="1"/>
  <c r="K32" i="41" s="1"/>
  <c r="K46" i="41" s="1"/>
  <c r="B7" i="73"/>
  <c r="B6" i="41"/>
  <c r="B31" i="41" s="1"/>
  <c r="K31" i="41" s="1"/>
  <c r="K45" i="41" s="1"/>
  <c r="B6" i="73"/>
  <c r="C13" i="12"/>
  <c r="C20" i="12" s="1"/>
  <c r="C27" i="12" s="1"/>
  <c r="B5" i="73"/>
  <c r="C12" i="12"/>
  <c r="C19" i="12" s="1"/>
  <c r="C26" i="12" s="1"/>
  <c r="B4" i="73"/>
  <c r="B11" i="44"/>
  <c r="B125" i="41"/>
  <c r="B9" i="44"/>
  <c r="B124" i="44" s="1"/>
  <c r="B123" i="41"/>
  <c r="B10" i="44"/>
  <c r="B125" i="44" s="1"/>
  <c r="B141" i="44" s="1"/>
  <c r="B152" i="44" s="1"/>
  <c r="B124" i="41"/>
  <c r="B61" i="44"/>
  <c r="B74" i="44" s="1"/>
  <c r="B82" i="44" s="1"/>
  <c r="B134" i="41"/>
  <c r="B62" i="44"/>
  <c r="B68" i="44" s="1"/>
  <c r="B135" i="41"/>
  <c r="B63" i="44"/>
  <c r="B76" i="44" s="1"/>
  <c r="B84" i="44" s="1"/>
  <c r="B136" i="41"/>
  <c r="B3" i="44"/>
  <c r="B19" i="44" s="1"/>
  <c r="B29" i="44" s="1"/>
  <c r="B117" i="41"/>
  <c r="K9" i="42"/>
  <c r="J18" i="42"/>
  <c r="H27" i="42"/>
  <c r="I12" i="42"/>
  <c r="I11" i="42"/>
  <c r="Q90" i="29"/>
  <c r="R159" i="35"/>
  <c r="O94" i="35"/>
  <c r="G140" i="29"/>
  <c r="G152" i="29" s="1"/>
  <c r="G164" i="29" s="1"/>
  <c r="G176" i="29" s="1"/>
  <c r="G188" i="29" s="1"/>
  <c r="G200" i="29" s="1"/>
  <c r="O200" i="29" s="1"/>
  <c r="M168" i="33"/>
  <c r="I140" i="36"/>
  <c r="B239" i="6"/>
  <c r="O126" i="29"/>
  <c r="I144" i="36"/>
  <c r="R163" i="35"/>
  <c r="P133" i="36"/>
  <c r="I135" i="34"/>
  <c r="I147" i="34" s="1"/>
  <c r="I159" i="34" s="1"/>
  <c r="I171" i="34" s="1"/>
  <c r="I183" i="34" s="1"/>
  <c r="I195" i="34" s="1"/>
  <c r="R195" i="34" s="1"/>
  <c r="I138" i="36"/>
  <c r="P94" i="31"/>
  <c r="Q97" i="29"/>
  <c r="I136" i="36"/>
  <c r="O135" i="29"/>
  <c r="T89" i="34"/>
  <c r="B5" i="41"/>
  <c r="B30" i="41" s="1"/>
  <c r="K30" i="41" s="1"/>
  <c r="K44" i="41" s="1"/>
  <c r="T97" i="34"/>
  <c r="M144" i="33"/>
  <c r="R133" i="35"/>
  <c r="I135" i="36"/>
  <c r="R145" i="35"/>
  <c r="J157" i="35"/>
  <c r="J169" i="35" s="1"/>
  <c r="J181" i="35" s="1"/>
  <c r="J193" i="35" s="1"/>
  <c r="J205" i="35" s="1"/>
  <c r="R205" i="35" s="1"/>
  <c r="P141" i="36"/>
  <c r="I153" i="36"/>
  <c r="P145" i="36"/>
  <c r="I157" i="36"/>
  <c r="B240" i="6"/>
  <c r="B230" i="6"/>
  <c r="B231" i="6" s="1"/>
  <c r="I162" i="29"/>
  <c r="Q126" i="29"/>
  <c r="I132" i="29"/>
  <c r="Q132" i="29" s="1"/>
  <c r="P157" i="29"/>
  <c r="P126" i="29"/>
  <c r="G140" i="33"/>
  <c r="M186" i="33"/>
  <c r="M172" i="33"/>
  <c r="M148" i="33"/>
  <c r="I143" i="36"/>
  <c r="I155" i="36" s="1"/>
  <c r="I167" i="36" s="1"/>
  <c r="P129" i="36"/>
  <c r="J126" i="37"/>
  <c r="S91" i="28"/>
  <c r="H125" i="31"/>
  <c r="I138" i="34"/>
  <c r="T169" i="34"/>
  <c r="T125" i="34"/>
  <c r="R178" i="35"/>
  <c r="I134" i="36"/>
  <c r="I131" i="29"/>
  <c r="I167" i="29" s="1"/>
  <c r="Q167" i="29" s="1"/>
  <c r="P150" i="29"/>
  <c r="O131" i="29"/>
  <c r="H123" i="31"/>
  <c r="H159" i="31" s="1"/>
  <c r="R143" i="34"/>
  <c r="P162" i="29"/>
  <c r="P204" i="29"/>
  <c r="P192" i="29"/>
  <c r="P180" i="29"/>
  <c r="M171" i="33"/>
  <c r="M147" i="33"/>
  <c r="R188" i="34"/>
  <c r="R163" i="34"/>
  <c r="T133" i="34"/>
  <c r="B27" i="44"/>
  <c r="B37" i="44" s="1"/>
  <c r="B126" i="44"/>
  <c r="S88" i="28"/>
  <c r="I127" i="29"/>
  <c r="I163" i="29" s="1"/>
  <c r="P149" i="29"/>
  <c r="M180" i="33"/>
  <c r="M132" i="33"/>
  <c r="T147" i="34"/>
  <c r="I142" i="36"/>
  <c r="P93" i="30"/>
  <c r="P161" i="29"/>
  <c r="M156" i="33"/>
  <c r="I134" i="34"/>
  <c r="I146" i="34" s="1"/>
  <c r="I158" i="34" s="1"/>
  <c r="I170" i="34" s="1"/>
  <c r="I182" i="34" s="1"/>
  <c r="I194" i="34" s="1"/>
  <c r="R194" i="34" s="1"/>
  <c r="I137" i="36"/>
  <c r="O191" i="29"/>
  <c r="O179" i="29"/>
  <c r="O166" i="29"/>
  <c r="P154" i="29"/>
  <c r="Q129" i="29"/>
  <c r="P124" i="29"/>
  <c r="M184" i="33"/>
  <c r="K132" i="34"/>
  <c r="K168" i="34" s="1"/>
  <c r="G133" i="35"/>
  <c r="G169" i="35" s="1"/>
  <c r="G130" i="36"/>
  <c r="N130" i="36" s="1"/>
  <c r="I125" i="29"/>
  <c r="M160" i="33"/>
  <c r="R187" i="34"/>
  <c r="R132" i="34"/>
  <c r="G129" i="36"/>
  <c r="G165" i="36" s="1"/>
  <c r="E131" i="37"/>
  <c r="E167" i="37" s="1"/>
  <c r="E203" i="37" s="1"/>
  <c r="J203" i="37" s="1"/>
  <c r="Q87" i="29"/>
  <c r="P196" i="29"/>
  <c r="P184" i="29"/>
  <c r="I131" i="30"/>
  <c r="I167" i="30" s="1"/>
  <c r="G134" i="31"/>
  <c r="G146" i="31" s="1"/>
  <c r="G158" i="31" s="1"/>
  <c r="G170" i="31" s="1"/>
  <c r="G182" i="31" s="1"/>
  <c r="G194" i="31" s="1"/>
  <c r="O194" i="31" s="1"/>
  <c r="M174" i="33"/>
  <c r="K131" i="34"/>
  <c r="G123" i="35"/>
  <c r="G159" i="35" s="1"/>
  <c r="O159" i="35" s="1"/>
  <c r="G127" i="36"/>
  <c r="E129" i="37"/>
  <c r="J129" i="37" s="1"/>
  <c r="Q93" i="29"/>
  <c r="O190" i="29"/>
  <c r="O184" i="29"/>
  <c r="Q165" i="29"/>
  <c r="P153" i="29"/>
  <c r="P141" i="29"/>
  <c r="H131" i="31"/>
  <c r="K129" i="34"/>
  <c r="G125" i="36"/>
  <c r="N125" i="36" s="1"/>
  <c r="E128" i="37"/>
  <c r="J128" i="37" s="1"/>
  <c r="P178" i="29"/>
  <c r="P165" i="29"/>
  <c r="O153" i="29"/>
  <c r="I128" i="30"/>
  <c r="P128" i="30" s="1"/>
  <c r="M192" i="33"/>
  <c r="M183" i="33"/>
  <c r="M135" i="33"/>
  <c r="R181" i="34"/>
  <c r="G124" i="36"/>
  <c r="G160" i="36" s="1"/>
  <c r="G196" i="36" s="1"/>
  <c r="N196" i="36" s="1"/>
  <c r="E125" i="37"/>
  <c r="O165" i="29"/>
  <c r="P146" i="29"/>
  <c r="P127" i="29"/>
  <c r="P122" i="29"/>
  <c r="I126" i="30"/>
  <c r="I162" i="30" s="1"/>
  <c r="I198" i="30" s="1"/>
  <c r="P198" i="30" s="1"/>
  <c r="M187" i="33"/>
  <c r="M159" i="33"/>
  <c r="K128" i="34"/>
  <c r="R143" i="35"/>
  <c r="P92" i="31"/>
  <c r="G134" i="29"/>
  <c r="P158" i="29"/>
  <c r="I124" i="30"/>
  <c r="I160" i="30" s="1"/>
  <c r="K127" i="34"/>
  <c r="B140" i="44"/>
  <c r="B151" i="44" s="1"/>
  <c r="B178" i="44"/>
  <c r="B198" i="44" s="1"/>
  <c r="B131" i="44"/>
  <c r="H127" i="31"/>
  <c r="P127" i="31" s="1"/>
  <c r="P200" i="29"/>
  <c r="P188" i="29"/>
  <c r="O177" i="29"/>
  <c r="P145" i="29"/>
  <c r="H126" i="31"/>
  <c r="P126" i="31" s="1"/>
  <c r="G143" i="33"/>
  <c r="G155" i="33" s="1"/>
  <c r="G167" i="33" s="1"/>
  <c r="G179" i="33" s="1"/>
  <c r="G191" i="33" s="1"/>
  <c r="G203" i="33" s="1"/>
  <c r="M203" i="33" s="1"/>
  <c r="K124" i="34"/>
  <c r="I19" i="42"/>
  <c r="J19" i="42"/>
  <c r="Q19" i="42" s="1" a="1"/>
  <c r="Q19" i="42" s="1"/>
  <c r="I21" i="42"/>
  <c r="J21" i="42"/>
  <c r="Q21" i="42" s="1" a="1"/>
  <c r="Q21" i="42" s="1"/>
  <c r="I20" i="42"/>
  <c r="J20" i="42"/>
  <c r="Q20" i="42" s="1" a="1"/>
  <c r="Q20" i="42" s="1"/>
  <c r="N4" i="42" s="1"/>
  <c r="J10" i="42"/>
  <c r="I29" i="42"/>
  <c r="J29" i="42"/>
  <c r="Q29" i="42" s="1" a="1"/>
  <c r="Q29" i="42" s="1"/>
  <c r="N14" i="42" s="1"/>
  <c r="O14" i="42" s="1"/>
  <c r="O29" i="42" s="1"/>
  <c r="K2" i="42"/>
  <c r="AF5" i="40"/>
  <c r="AF6" i="40" s="1"/>
  <c r="AF7" i="40" s="1"/>
  <c r="AF8" i="40" s="1"/>
  <c r="I151" i="36"/>
  <c r="P139" i="36"/>
  <c r="P127" i="36"/>
  <c r="J146" i="35"/>
  <c r="R134" i="35"/>
  <c r="J153" i="35"/>
  <c r="R141" i="35"/>
  <c r="R192" i="35"/>
  <c r="R176" i="35"/>
  <c r="R166" i="35"/>
  <c r="R150" i="35"/>
  <c r="R124" i="35"/>
  <c r="R171" i="35"/>
  <c r="R155" i="35"/>
  <c r="R139" i="35"/>
  <c r="R129" i="35"/>
  <c r="R186" i="35"/>
  <c r="R160" i="35"/>
  <c r="R144" i="35"/>
  <c r="R191" i="35"/>
  <c r="R175" i="35"/>
  <c r="R149" i="35"/>
  <c r="R123" i="35"/>
  <c r="R180" i="35"/>
  <c r="R154" i="35"/>
  <c r="R138" i="35"/>
  <c r="R128" i="35"/>
  <c r="R185" i="35"/>
  <c r="R190" i="35"/>
  <c r="R174" i="35"/>
  <c r="R164" i="35"/>
  <c r="R148" i="35"/>
  <c r="R122" i="35"/>
  <c r="R179" i="35"/>
  <c r="R169" i="35"/>
  <c r="R127" i="35"/>
  <c r="R184" i="35"/>
  <c r="R142" i="35"/>
  <c r="R137" i="35"/>
  <c r="R132" i="35"/>
  <c r="R147" i="35"/>
  <c r="R173" i="35"/>
  <c r="R168" i="35"/>
  <c r="R152" i="35"/>
  <c r="R126" i="35"/>
  <c r="R183" i="35"/>
  <c r="R136" i="35"/>
  <c r="R131" i="35"/>
  <c r="R188" i="35"/>
  <c r="R162" i="35"/>
  <c r="R172" i="35"/>
  <c r="R167" i="35"/>
  <c r="R151" i="35"/>
  <c r="R125" i="35"/>
  <c r="R156" i="35"/>
  <c r="R140" i="35"/>
  <c r="R130" i="35"/>
  <c r="R187" i="35"/>
  <c r="R161" i="35"/>
  <c r="R135" i="35"/>
  <c r="S189" i="34"/>
  <c r="R183" i="34"/>
  <c r="S164" i="34"/>
  <c r="R161" i="34"/>
  <c r="S142" i="34"/>
  <c r="R139" i="34"/>
  <c r="S136" i="34"/>
  <c r="S133" i="34"/>
  <c r="R130" i="34"/>
  <c r="S127" i="34"/>
  <c r="S124" i="34"/>
  <c r="S192" i="34"/>
  <c r="R189" i="34"/>
  <c r="S173" i="34"/>
  <c r="S170" i="34"/>
  <c r="S167" i="34"/>
  <c r="R164" i="34"/>
  <c r="S151" i="34"/>
  <c r="S148" i="34"/>
  <c r="S145" i="34"/>
  <c r="R142" i="34"/>
  <c r="R136" i="34"/>
  <c r="R133" i="34"/>
  <c r="R127" i="34"/>
  <c r="R124" i="34"/>
  <c r="S195" i="34"/>
  <c r="R192" i="34"/>
  <c r="S176" i="34"/>
  <c r="R173" i="34"/>
  <c r="R167" i="34"/>
  <c r="S154" i="34"/>
  <c r="R151" i="34"/>
  <c r="R148" i="34"/>
  <c r="R145" i="34"/>
  <c r="S201" i="34"/>
  <c r="S198" i="34"/>
  <c r="S179" i="34"/>
  <c r="R176" i="34"/>
  <c r="S157" i="34"/>
  <c r="R154" i="34"/>
  <c r="S204" i="34"/>
  <c r="S182" i="34"/>
  <c r="R179" i="34"/>
  <c r="S160" i="34"/>
  <c r="R157" i="34"/>
  <c r="S188" i="34"/>
  <c r="S185" i="34"/>
  <c r="S163" i="34"/>
  <c r="R160" i="34"/>
  <c r="S141" i="34"/>
  <c r="S138" i="34"/>
  <c r="S135" i="34"/>
  <c r="S132" i="34"/>
  <c r="S129" i="34"/>
  <c r="S126" i="34"/>
  <c r="S123" i="34"/>
  <c r="S191" i="34"/>
  <c r="R185" i="34"/>
  <c r="S166" i="34"/>
  <c r="S150" i="34"/>
  <c r="S144" i="34"/>
  <c r="R141" i="34"/>
  <c r="R135" i="34"/>
  <c r="R129" i="34"/>
  <c r="S194" i="34"/>
  <c r="R191" i="34"/>
  <c r="S175" i="34"/>
  <c r="S172" i="34"/>
  <c r="S169" i="34"/>
  <c r="R166" i="34"/>
  <c r="S153" i="34"/>
  <c r="S147" i="34"/>
  <c r="R144" i="34"/>
  <c r="S197" i="34"/>
  <c r="S178" i="34"/>
  <c r="R175" i="34"/>
  <c r="R172" i="34"/>
  <c r="R169" i="34"/>
  <c r="S156" i="34"/>
  <c r="R153" i="34"/>
  <c r="R147" i="34"/>
  <c r="S203" i="34"/>
  <c r="S200" i="34"/>
  <c r="S181" i="34"/>
  <c r="R178" i="34"/>
  <c r="S159" i="34"/>
  <c r="R156" i="34"/>
  <c r="S187" i="34"/>
  <c r="S184" i="34"/>
  <c r="S162" i="34"/>
  <c r="R159" i="34"/>
  <c r="S140" i="34"/>
  <c r="S137" i="34"/>
  <c r="S134" i="34"/>
  <c r="S131" i="34"/>
  <c r="S122" i="34"/>
  <c r="S190" i="34"/>
  <c r="R184" i="34"/>
  <c r="S165" i="34"/>
  <c r="S143" i="34"/>
  <c r="R140" i="34"/>
  <c r="R137" i="34"/>
  <c r="R134" i="34"/>
  <c r="R131" i="34"/>
  <c r="S128" i="34"/>
  <c r="S125" i="34"/>
  <c r="S193" i="34"/>
  <c r="R190" i="34"/>
  <c r="S174" i="34"/>
  <c r="S171" i="34"/>
  <c r="S168" i="34"/>
  <c r="R165" i="34"/>
  <c r="S152" i="34"/>
  <c r="S149" i="34"/>
  <c r="S146" i="34"/>
  <c r="R128" i="34"/>
  <c r="R125" i="34"/>
  <c r="S196" i="34"/>
  <c r="R193" i="34"/>
  <c r="S177" i="34"/>
  <c r="R171" i="34"/>
  <c r="R168" i="34"/>
  <c r="S155" i="34"/>
  <c r="R152" i="34"/>
  <c r="R149" i="34"/>
  <c r="S202" i="34"/>
  <c r="S199" i="34"/>
  <c r="S180" i="34"/>
  <c r="R177" i="34"/>
  <c r="S158" i="34"/>
  <c r="R155" i="34"/>
  <c r="S186" i="34"/>
  <c r="S183" i="34"/>
  <c r="R180" i="34"/>
  <c r="S161" i="34"/>
  <c r="S139" i="34"/>
  <c r="S130" i="34"/>
  <c r="G154" i="33"/>
  <c r="M142" i="33"/>
  <c r="G137" i="33"/>
  <c r="M136" i="33"/>
  <c r="M124" i="33"/>
  <c r="M175" i="33"/>
  <c r="M163" i="33"/>
  <c r="M151" i="33"/>
  <c r="M139" i="33"/>
  <c r="M127" i="33"/>
  <c r="M123" i="33"/>
  <c r="M182" i="33"/>
  <c r="M170" i="33"/>
  <c r="M162" i="33"/>
  <c r="M158" i="33"/>
  <c r="M150" i="33"/>
  <c r="M146" i="33"/>
  <c r="M138" i="33"/>
  <c r="M134" i="33"/>
  <c r="M130" i="33"/>
  <c r="M126" i="33"/>
  <c r="M122" i="33"/>
  <c r="M193" i="33"/>
  <c r="M189" i="33"/>
  <c r="M181" i="33"/>
  <c r="M177" i="33"/>
  <c r="M169" i="33"/>
  <c r="M165" i="33"/>
  <c r="M157" i="33"/>
  <c r="M153" i="33"/>
  <c r="M145" i="33"/>
  <c r="M141" i="33"/>
  <c r="M133" i="33"/>
  <c r="M129" i="33"/>
  <c r="O187" i="31"/>
  <c r="O150" i="31"/>
  <c r="O143" i="31"/>
  <c r="O179" i="31"/>
  <c r="O172" i="31"/>
  <c r="O164" i="31"/>
  <c r="O136" i="31"/>
  <c r="O128" i="31"/>
  <c r="O193" i="31"/>
  <c r="O186" i="31"/>
  <c r="O156" i="31"/>
  <c r="O149" i="31"/>
  <c r="O142" i="31"/>
  <c r="O178" i="31"/>
  <c r="O171" i="31"/>
  <c r="O163" i="31"/>
  <c r="O135" i="31"/>
  <c r="O127" i="31"/>
  <c r="O185" i="31"/>
  <c r="O155" i="31"/>
  <c r="O141" i="31"/>
  <c r="O192" i="31"/>
  <c r="O177" i="31"/>
  <c r="O170" i="31"/>
  <c r="O162" i="31"/>
  <c r="O148" i="31"/>
  <c r="O126" i="31"/>
  <c r="O154" i="31"/>
  <c r="O191" i="31"/>
  <c r="O184" i="31"/>
  <c r="O176" i="31"/>
  <c r="O169" i="31"/>
  <c r="O161" i="31"/>
  <c r="O147" i="31"/>
  <c r="O140" i="31"/>
  <c r="O133" i="31"/>
  <c r="O125" i="31"/>
  <c r="O190" i="31"/>
  <c r="O183" i="31"/>
  <c r="O175" i="31"/>
  <c r="O168" i="31"/>
  <c r="O160" i="31"/>
  <c r="O153" i="31"/>
  <c r="O139" i="31"/>
  <c r="O132" i="31"/>
  <c r="O124" i="31"/>
  <c r="O174" i="31"/>
  <c r="O167" i="31"/>
  <c r="O159" i="31"/>
  <c r="O152" i="31"/>
  <c r="O131" i="31"/>
  <c r="O189" i="31"/>
  <c r="O145" i="31"/>
  <c r="O138" i="31"/>
  <c r="O123" i="31"/>
  <c r="O181" i="31"/>
  <c r="O166" i="31"/>
  <c r="O151" i="31"/>
  <c r="O130" i="31"/>
  <c r="O188" i="31"/>
  <c r="O173" i="31"/>
  <c r="O144" i="31"/>
  <c r="O137" i="31"/>
  <c r="O180" i="31"/>
  <c r="O165" i="31"/>
  <c r="O157" i="31"/>
  <c r="O129" i="31"/>
  <c r="O186" i="29"/>
  <c r="O178" i="29"/>
  <c r="P174" i="29"/>
  <c r="P170" i="29"/>
  <c r="P166" i="29"/>
  <c r="P139" i="29"/>
  <c r="P135" i="29"/>
  <c r="P131" i="29"/>
  <c r="O124" i="29"/>
  <c r="O174" i="29"/>
  <c r="O139" i="29"/>
  <c r="P201" i="29"/>
  <c r="P197" i="29"/>
  <c r="P193" i="29"/>
  <c r="P189" i="29"/>
  <c r="P185" i="29"/>
  <c r="P181" i="29"/>
  <c r="O162" i="29"/>
  <c r="O154" i="29"/>
  <c r="O150" i="29"/>
  <c r="P142" i="29"/>
  <c r="O127" i="29"/>
  <c r="O193" i="29"/>
  <c r="O189" i="29"/>
  <c r="O181" i="29"/>
  <c r="O142" i="29"/>
  <c r="P123" i="29"/>
  <c r="P177" i="29"/>
  <c r="P173" i="29"/>
  <c r="P169" i="29"/>
  <c r="P138" i="29"/>
  <c r="P134" i="29"/>
  <c r="P130" i="29"/>
  <c r="O123" i="29"/>
  <c r="G144" i="29"/>
  <c r="O169" i="29"/>
  <c r="O138" i="29"/>
  <c r="O130" i="29"/>
  <c r="O157" i="29"/>
  <c r="O145" i="29"/>
  <c r="P176" i="29"/>
  <c r="P172" i="29"/>
  <c r="P168" i="29"/>
  <c r="O141" i="29"/>
  <c r="P137" i="29"/>
  <c r="P133" i="29"/>
  <c r="O172" i="29"/>
  <c r="P164" i="29"/>
  <c r="P160" i="29"/>
  <c r="P156" i="29"/>
  <c r="P152" i="29"/>
  <c r="P148" i="29"/>
  <c r="P144" i="29"/>
  <c r="O133" i="29"/>
  <c r="P129" i="29"/>
  <c r="P203" i="29"/>
  <c r="P199" i="29"/>
  <c r="P195" i="29"/>
  <c r="P191" i="29"/>
  <c r="P187" i="29"/>
  <c r="P183" i="29"/>
  <c r="P179" i="29"/>
  <c r="O160" i="29"/>
  <c r="O152" i="29"/>
  <c r="O148" i="29"/>
  <c r="O129" i="29"/>
  <c r="O187" i="29"/>
  <c r="O183" i="29"/>
  <c r="P140" i="29"/>
  <c r="P125" i="29"/>
  <c r="G137" i="29"/>
  <c r="P175" i="29"/>
  <c r="P171" i="29"/>
  <c r="P167" i="29"/>
  <c r="P136" i="29"/>
  <c r="P132" i="29"/>
  <c r="O175" i="29"/>
  <c r="O171" i="29"/>
  <c r="O167" i="29"/>
  <c r="P163" i="29"/>
  <c r="P159" i="29"/>
  <c r="P155" i="29"/>
  <c r="P151" i="29"/>
  <c r="P147" i="29"/>
  <c r="P143" i="29"/>
  <c r="O136" i="29"/>
  <c r="P128" i="29"/>
  <c r="P202" i="29"/>
  <c r="P198" i="29"/>
  <c r="P194" i="29"/>
  <c r="P190" i="29"/>
  <c r="P186" i="29"/>
  <c r="P182" i="29"/>
  <c r="O163" i="29"/>
  <c r="O159" i="29"/>
  <c r="O155" i="29"/>
  <c r="O151" i="29"/>
  <c r="O147" i="29"/>
  <c r="O143" i="29"/>
  <c r="B4" i="41"/>
  <c r="B29" i="41" s="1"/>
  <c r="B43" i="41" s="1"/>
  <c r="O88" i="35"/>
  <c r="G124" i="35"/>
  <c r="E127" i="37"/>
  <c r="J91" i="37"/>
  <c r="J88" i="37"/>
  <c r="E124" i="37"/>
  <c r="S90" i="28"/>
  <c r="J138" i="28"/>
  <c r="J186" i="28" s="1"/>
  <c r="T90" i="34"/>
  <c r="K126" i="34"/>
  <c r="O91" i="35"/>
  <c r="G127" i="35"/>
  <c r="G126" i="35"/>
  <c r="O90" i="35"/>
  <c r="K167" i="34"/>
  <c r="T131" i="34"/>
  <c r="S93" i="28"/>
  <c r="J141" i="28"/>
  <c r="J189" i="28" s="1"/>
  <c r="P88" i="31"/>
  <c r="H124" i="31"/>
  <c r="K123" i="34"/>
  <c r="T87" i="34"/>
  <c r="E130" i="37"/>
  <c r="N90" i="36"/>
  <c r="G126" i="36"/>
  <c r="P91" i="30"/>
  <c r="I127" i="30"/>
  <c r="P96" i="30"/>
  <c r="I132" i="30"/>
  <c r="S97" i="28"/>
  <c r="J145" i="28"/>
  <c r="J193" i="28" s="1"/>
  <c r="P89" i="30"/>
  <c r="I125" i="30"/>
  <c r="H164" i="31"/>
  <c r="P128" i="31"/>
  <c r="T94" i="34"/>
  <c r="K130" i="34"/>
  <c r="P97" i="31"/>
  <c r="H133" i="31"/>
  <c r="G128" i="36"/>
  <c r="N95" i="36"/>
  <c r="G131" i="36"/>
  <c r="T161" i="34"/>
  <c r="K197" i="34"/>
  <c r="T197" i="34" s="1"/>
  <c r="I165" i="30"/>
  <c r="P129" i="30"/>
  <c r="Q92" i="29"/>
  <c r="I128" i="29"/>
  <c r="O92" i="35"/>
  <c r="G128" i="35"/>
  <c r="N87" i="36"/>
  <c r="G123" i="36"/>
  <c r="J97" i="37"/>
  <c r="E133" i="37"/>
  <c r="I169" i="29"/>
  <c r="Q133" i="29"/>
  <c r="Q88" i="29"/>
  <c r="I124" i="29"/>
  <c r="J96" i="37"/>
  <c r="E132" i="37"/>
  <c r="H166" i="31"/>
  <c r="I133" i="30"/>
  <c r="P97" i="30"/>
  <c r="O93" i="35"/>
  <c r="G129" i="35"/>
  <c r="J90" i="37"/>
  <c r="I198" i="29"/>
  <c r="Q198" i="29" s="1"/>
  <c r="Q162" i="29"/>
  <c r="J162" i="37"/>
  <c r="E123" i="37"/>
  <c r="S95" i="28"/>
  <c r="J143" i="28"/>
  <c r="J191" i="28" s="1"/>
  <c r="G195" i="35"/>
  <c r="O195" i="35" s="1"/>
  <c r="E147" i="37"/>
  <c r="I130" i="29"/>
  <c r="Q94" i="29"/>
  <c r="I147" i="29"/>
  <c r="P93" i="31"/>
  <c r="H129" i="31"/>
  <c r="I159" i="29"/>
  <c r="G166" i="35"/>
  <c r="O130" i="35"/>
  <c r="J184" i="28"/>
  <c r="S136" i="28"/>
  <c r="P87" i="30"/>
  <c r="I123" i="30"/>
  <c r="N97" i="36"/>
  <c r="G133" i="36"/>
  <c r="S89" i="28"/>
  <c r="J137" i="28"/>
  <c r="J185" i="28" s="1"/>
  <c r="O89" i="35"/>
  <c r="G125" i="35"/>
  <c r="I130" i="30"/>
  <c r="G131" i="35"/>
  <c r="N96" i="36"/>
  <c r="G132" i="36"/>
  <c r="S96" i="28"/>
  <c r="J144" i="28"/>
  <c r="J192" i="28" s="1"/>
  <c r="S63" i="28"/>
  <c r="J159" i="28"/>
  <c r="H132" i="31"/>
  <c r="G132" i="35"/>
  <c r="B118" i="44"/>
  <c r="B16" i="44"/>
  <c r="B25" i="44"/>
  <c r="B35" i="44" s="1"/>
  <c r="B17" i="44"/>
  <c r="B26" i="44"/>
  <c r="B36" i="44" s="1"/>
  <c r="B98" i="41"/>
  <c r="B97" i="41"/>
  <c r="B50" i="41"/>
  <c r="B49" i="41"/>
  <c r="B48" i="41"/>
  <c r="B46" i="41"/>
  <c r="B57" i="41" s="1"/>
  <c r="B28" i="41"/>
  <c r="BE6" i="40"/>
  <c r="AO7" i="40"/>
  <c r="AO8" i="40" s="1"/>
  <c r="AO9" i="40" s="1"/>
  <c r="AW8" i="40"/>
  <c r="AW9" i="40" s="1"/>
  <c r="BL7" i="40"/>
  <c r="Q8" i="40"/>
  <c r="I8" i="40"/>
  <c r="Y7" i="40"/>
  <c r="B7" i="40"/>
  <c r="CJ7" i="39"/>
  <c r="CJ8" i="39" s="1"/>
  <c r="DZ5" i="39"/>
  <c r="CT6" i="39"/>
  <c r="DD5" i="39"/>
  <c r="L7" i="39"/>
  <c r="L8" i="39" s="1"/>
  <c r="B7" i="39"/>
  <c r="B8" i="39" s="1"/>
  <c r="V5" i="39"/>
  <c r="AF5" i="39" s="1"/>
  <c r="AF6" i="39" s="1"/>
  <c r="B232" i="6"/>
  <c r="B242" i="6"/>
  <c r="B241" i="6"/>
  <c r="S140" i="28"/>
  <c r="S139" i="28"/>
  <c r="I133" i="28"/>
  <c r="I126" i="28"/>
  <c r="I141" i="28"/>
  <c r="R129" i="28"/>
  <c r="I123" i="28"/>
  <c r="S92" i="28"/>
  <c r="R176" i="28"/>
  <c r="R152" i="28"/>
  <c r="R128" i="28"/>
  <c r="S87" i="28"/>
  <c r="S135" i="28"/>
  <c r="S94" i="28"/>
  <c r="I122" i="28"/>
  <c r="R188" i="28"/>
  <c r="R164" i="28"/>
  <c r="R140" i="28"/>
  <c r="S188" i="28"/>
  <c r="R99" i="28"/>
  <c r="U8" i="27"/>
  <c r="U9" i="27" s="1"/>
  <c r="H7" i="27"/>
  <c r="H8" i="27" s="1"/>
  <c r="N6" i="27"/>
  <c r="AX6" i="27"/>
  <c r="AX7" i="27" s="1"/>
  <c r="AR6" i="27"/>
  <c r="BM6" i="27"/>
  <c r="BE7" i="27"/>
  <c r="AK7" i="27"/>
  <c r="AC7" i="27"/>
  <c r="B7" i="27"/>
  <c r="B8" i="27" s="1"/>
  <c r="B45" i="41" l="1"/>
  <c r="B56" i="41" s="1"/>
  <c r="B82" i="41" s="1"/>
  <c r="K82" i="41" s="1"/>
  <c r="B94" i="73"/>
  <c r="B118" i="73" s="1"/>
  <c r="B29" i="73"/>
  <c r="B43" i="73" s="1"/>
  <c r="B96" i="41"/>
  <c r="B30" i="73"/>
  <c r="B95" i="73"/>
  <c r="B119" i="73" s="1"/>
  <c r="B96" i="73"/>
  <c r="B120" i="73" s="1"/>
  <c r="B31" i="73"/>
  <c r="B32" i="73"/>
  <c r="B97" i="73"/>
  <c r="B121" i="73" s="1"/>
  <c r="B33" i="73"/>
  <c r="B47" i="73" s="1"/>
  <c r="B58" i="73" s="1"/>
  <c r="B84" i="73" s="1"/>
  <c r="B98" i="73"/>
  <c r="B122" i="73" s="1"/>
  <c r="B28" i="73"/>
  <c r="B93" i="73"/>
  <c r="B117" i="73" s="1"/>
  <c r="B67" i="44"/>
  <c r="B75" i="44"/>
  <c r="B83" i="44" s="1"/>
  <c r="B132" i="44"/>
  <c r="B179" i="44"/>
  <c r="B199" i="44" s="1"/>
  <c r="R157" i="35"/>
  <c r="R181" i="35"/>
  <c r="R193" i="35"/>
  <c r="T132" i="34"/>
  <c r="B6" i="44"/>
  <c r="B121" i="44" s="1"/>
  <c r="B120" i="41"/>
  <c r="B8" i="44"/>
  <c r="B123" i="44" s="1"/>
  <c r="B130" i="44" s="1"/>
  <c r="B122" i="41"/>
  <c r="B7" i="44"/>
  <c r="B122" i="44" s="1"/>
  <c r="B121" i="41"/>
  <c r="J167" i="37"/>
  <c r="G166" i="36"/>
  <c r="R158" i="34"/>
  <c r="O133" i="35"/>
  <c r="H162" i="31"/>
  <c r="G161" i="36"/>
  <c r="N161" i="36" s="1"/>
  <c r="E164" i="37"/>
  <c r="N29" i="42"/>
  <c r="I27" i="42"/>
  <c r="J26" i="42"/>
  <c r="L9" i="42"/>
  <c r="K18" i="42"/>
  <c r="N5" i="42"/>
  <c r="O5" i="42" s="1"/>
  <c r="O21" i="42" s="1"/>
  <c r="N3" i="42"/>
  <c r="O3" i="42" s="1"/>
  <c r="O4" i="42"/>
  <c r="O20" i="42" s="1"/>
  <c r="H163" i="31"/>
  <c r="P163" i="31" s="1"/>
  <c r="P123" i="31"/>
  <c r="P162" i="30"/>
  <c r="Q131" i="29"/>
  <c r="Q127" i="29"/>
  <c r="I203" i="29"/>
  <c r="Q203" i="29" s="1"/>
  <c r="O164" i="29"/>
  <c r="O176" i="29"/>
  <c r="O140" i="29"/>
  <c r="N129" i="36"/>
  <c r="N124" i="36"/>
  <c r="N160" i="36"/>
  <c r="O123" i="35"/>
  <c r="P143" i="36"/>
  <c r="R182" i="34"/>
  <c r="P155" i="36"/>
  <c r="J131" i="37"/>
  <c r="O182" i="31"/>
  <c r="O158" i="31"/>
  <c r="O146" i="31"/>
  <c r="B95" i="41"/>
  <c r="B44" i="41"/>
  <c r="J12" i="42"/>
  <c r="O134" i="31"/>
  <c r="J25" i="42"/>
  <c r="J11" i="42"/>
  <c r="P126" i="30"/>
  <c r="I168" i="29"/>
  <c r="I204" i="29" s="1"/>
  <c r="Q204" i="29" s="1"/>
  <c r="I164" i="30"/>
  <c r="I200" i="30" s="1"/>
  <c r="P200" i="30" s="1"/>
  <c r="R146" i="34"/>
  <c r="P131" i="30"/>
  <c r="R170" i="34"/>
  <c r="P124" i="30"/>
  <c r="M155" i="33"/>
  <c r="E165" i="37"/>
  <c r="J165" i="37" s="1"/>
  <c r="M143" i="33"/>
  <c r="M167" i="33"/>
  <c r="M179" i="33"/>
  <c r="O188" i="29"/>
  <c r="P144" i="36"/>
  <c r="I156" i="36"/>
  <c r="P140" i="36"/>
  <c r="I152" i="36"/>
  <c r="P136" i="36"/>
  <c r="I148" i="36"/>
  <c r="I150" i="36"/>
  <c r="P138" i="36"/>
  <c r="M191" i="33"/>
  <c r="I147" i="36"/>
  <c r="P135" i="36"/>
  <c r="G152" i="33"/>
  <c r="M140" i="33"/>
  <c r="B186" i="44"/>
  <c r="B206" i="44" s="1"/>
  <c r="K164" i="34"/>
  <c r="T128" i="34"/>
  <c r="P134" i="36"/>
  <c r="I146" i="36"/>
  <c r="B142" i="44"/>
  <c r="B153" i="44" s="1"/>
  <c r="B180" i="44"/>
  <c r="B200" i="44" s="1"/>
  <c r="T124" i="34"/>
  <c r="K160" i="34"/>
  <c r="B185" i="44"/>
  <c r="B205" i="44" s="1"/>
  <c r="G163" i="36"/>
  <c r="N127" i="36"/>
  <c r="I150" i="34"/>
  <c r="R138" i="34"/>
  <c r="I161" i="29"/>
  <c r="Q125" i="29"/>
  <c r="H161" i="31"/>
  <c r="P125" i="31"/>
  <c r="I169" i="36"/>
  <c r="P157" i="36"/>
  <c r="P137" i="36"/>
  <c r="I149" i="36"/>
  <c r="T127" i="34"/>
  <c r="K163" i="34"/>
  <c r="P153" i="36"/>
  <c r="I165" i="36"/>
  <c r="J125" i="37"/>
  <c r="E161" i="37"/>
  <c r="K165" i="34"/>
  <c r="T129" i="34"/>
  <c r="I154" i="36"/>
  <c r="P142" i="36"/>
  <c r="G146" i="29"/>
  <c r="O134" i="29"/>
  <c r="P131" i="31"/>
  <c r="H167" i="31"/>
  <c r="L2" i="42"/>
  <c r="K10" i="42"/>
  <c r="I163" i="36"/>
  <c r="P151" i="36"/>
  <c r="I179" i="36"/>
  <c r="P167" i="36"/>
  <c r="J165" i="35"/>
  <c r="R153" i="35"/>
  <c r="J158" i="35"/>
  <c r="R146" i="35"/>
  <c r="G149" i="33"/>
  <c r="M137" i="33"/>
  <c r="G166" i="33"/>
  <c r="M154" i="33"/>
  <c r="O137" i="29"/>
  <c r="G149" i="29"/>
  <c r="O144" i="29"/>
  <c r="G156" i="29"/>
  <c r="B94" i="41"/>
  <c r="I166" i="30"/>
  <c r="P130" i="30"/>
  <c r="I159" i="30"/>
  <c r="P123" i="30"/>
  <c r="I195" i="29"/>
  <c r="Q195" i="29" s="1"/>
  <c r="Q159" i="29"/>
  <c r="I205" i="29"/>
  <c r="Q205" i="29" s="1"/>
  <c r="Q169" i="29"/>
  <c r="G205" i="35"/>
  <c r="O205" i="35" s="1"/>
  <c r="O169" i="35"/>
  <c r="O132" i="35"/>
  <c r="G168" i="35"/>
  <c r="O125" i="35"/>
  <c r="G161" i="35"/>
  <c r="I169" i="30"/>
  <c r="P133" i="30"/>
  <c r="J164" i="37"/>
  <c r="E200" i="37"/>
  <c r="J200" i="37" s="1"/>
  <c r="I203" i="30"/>
  <c r="P203" i="30" s="1"/>
  <c r="P167" i="30"/>
  <c r="P133" i="31"/>
  <c r="H169" i="31"/>
  <c r="P125" i="30"/>
  <c r="I161" i="30"/>
  <c r="H147" i="31"/>
  <c r="G167" i="36"/>
  <c r="N131" i="36"/>
  <c r="J127" i="37"/>
  <c r="E163" i="37"/>
  <c r="Q130" i="29"/>
  <c r="I166" i="29"/>
  <c r="G159" i="36"/>
  <c r="N123" i="36"/>
  <c r="I201" i="30"/>
  <c r="P201" i="30" s="1"/>
  <c r="P165" i="30"/>
  <c r="G201" i="36"/>
  <c r="N201" i="36" s="1"/>
  <c r="N165" i="36"/>
  <c r="K203" i="34"/>
  <c r="T203" i="34" s="1"/>
  <c r="T167" i="34"/>
  <c r="K204" i="34"/>
  <c r="T204" i="34" s="1"/>
  <c r="T168" i="34"/>
  <c r="G168" i="36"/>
  <c r="N132" i="36"/>
  <c r="T123" i="34"/>
  <c r="K159" i="34"/>
  <c r="H168" i="31"/>
  <c r="P132" i="31"/>
  <c r="I183" i="29"/>
  <c r="Q183" i="29" s="1"/>
  <c r="Q147" i="29"/>
  <c r="O128" i="35"/>
  <c r="G164" i="35"/>
  <c r="H198" i="31"/>
  <c r="P198" i="31" s="1"/>
  <c r="P162" i="31"/>
  <c r="H195" i="31"/>
  <c r="P195" i="31" s="1"/>
  <c r="P159" i="31"/>
  <c r="H202" i="31"/>
  <c r="P202" i="31" s="1"/>
  <c r="P166" i="31"/>
  <c r="G164" i="36"/>
  <c r="N128" i="36"/>
  <c r="T130" i="34"/>
  <c r="K166" i="34"/>
  <c r="S138" i="28"/>
  <c r="G169" i="36"/>
  <c r="N133" i="36"/>
  <c r="E183" i="37"/>
  <c r="J183" i="37" s="1"/>
  <c r="J147" i="37"/>
  <c r="G165" i="35"/>
  <c r="O129" i="35"/>
  <c r="J132" i="37"/>
  <c r="E168" i="37"/>
  <c r="H200" i="31"/>
  <c r="P200" i="31" s="1"/>
  <c r="P164" i="31"/>
  <c r="G160" i="35"/>
  <c r="O124" i="35"/>
  <c r="H165" i="31"/>
  <c r="P129" i="31"/>
  <c r="I160" i="29"/>
  <c r="Q124" i="29"/>
  <c r="N126" i="36"/>
  <c r="G162" i="36"/>
  <c r="E160" i="37"/>
  <c r="J124" i="37"/>
  <c r="I196" i="30"/>
  <c r="P196" i="30" s="1"/>
  <c r="P160" i="30"/>
  <c r="H199" i="31"/>
  <c r="P199" i="31" s="1"/>
  <c r="I147" i="30"/>
  <c r="E169" i="37"/>
  <c r="J133" i="37"/>
  <c r="S137" i="28"/>
  <c r="I164" i="29"/>
  <c r="Q128" i="29"/>
  <c r="I168" i="30"/>
  <c r="P132" i="30"/>
  <c r="J130" i="37"/>
  <c r="E166" i="37"/>
  <c r="O127" i="35"/>
  <c r="G163" i="35"/>
  <c r="G167" i="35"/>
  <c r="O131" i="35"/>
  <c r="I199" i="29"/>
  <c r="Q199" i="29" s="1"/>
  <c r="Q163" i="29"/>
  <c r="G202" i="35"/>
  <c r="O202" i="35" s="1"/>
  <c r="O166" i="35"/>
  <c r="E159" i="37"/>
  <c r="J123" i="37"/>
  <c r="G202" i="36"/>
  <c r="N202" i="36" s="1"/>
  <c r="N166" i="36"/>
  <c r="I163" i="30"/>
  <c r="P127" i="30"/>
  <c r="G162" i="35"/>
  <c r="O126" i="35"/>
  <c r="K162" i="34"/>
  <c r="T126" i="34"/>
  <c r="H160" i="31"/>
  <c r="P124" i="31"/>
  <c r="G147" i="35"/>
  <c r="B134" i="44"/>
  <c r="B172" i="44"/>
  <c r="B192" i="44" s="1"/>
  <c r="B59" i="41"/>
  <c r="B67" i="41" s="1"/>
  <c r="B75" i="41" s="1"/>
  <c r="B60" i="41"/>
  <c r="B68" i="41" s="1"/>
  <c r="B76" i="41" s="1"/>
  <c r="K76" i="41" s="1"/>
  <c r="B66" i="41"/>
  <c r="B74" i="41" s="1"/>
  <c r="K74" i="41" s="1"/>
  <c r="B83" i="41"/>
  <c r="K83" i="41" s="1"/>
  <c r="B65" i="41"/>
  <c r="B73" i="41" s="1"/>
  <c r="K73" i="41" s="1"/>
  <c r="K28" i="41"/>
  <c r="K42" i="41" s="1"/>
  <c r="B42" i="41"/>
  <c r="AW10" i="40"/>
  <c r="AW11" i="40" s="1"/>
  <c r="BE7" i="40"/>
  <c r="AO10" i="40"/>
  <c r="BL8" i="40"/>
  <c r="AF9" i="40"/>
  <c r="Q9" i="40"/>
  <c r="I9" i="40"/>
  <c r="Y8" i="40"/>
  <c r="B8" i="40"/>
  <c r="CJ9" i="39"/>
  <c r="DO5" i="39"/>
  <c r="DD6" i="39"/>
  <c r="CT7" i="39"/>
  <c r="EG5" i="39"/>
  <c r="DZ6" i="39"/>
  <c r="EN5" i="39"/>
  <c r="EN6" i="39" s="1"/>
  <c r="EN7" i="39" s="1"/>
  <c r="EN8" i="39" s="1"/>
  <c r="EN9" i="39" s="1"/>
  <c r="EN10" i="39" s="1"/>
  <c r="EN11" i="39" s="1"/>
  <c r="EN12" i="39" s="1"/>
  <c r="EN13" i="39" s="1"/>
  <c r="AQ5" i="39"/>
  <c r="BB5" i="39" s="1"/>
  <c r="AF7" i="39"/>
  <c r="V6" i="39"/>
  <c r="BM5" i="39"/>
  <c r="B9" i="39"/>
  <c r="L9" i="39"/>
  <c r="B233" i="6"/>
  <c r="B243" i="6"/>
  <c r="S144" i="28"/>
  <c r="I124" i="28"/>
  <c r="I135" i="28"/>
  <c r="R123" i="28"/>
  <c r="S141" i="28"/>
  <c r="I134" i="28"/>
  <c r="R122" i="28"/>
  <c r="I145" i="28"/>
  <c r="R133" i="28"/>
  <c r="I132" i="28"/>
  <c r="S145" i="28"/>
  <c r="S142" i="28"/>
  <c r="I125" i="28"/>
  <c r="I153" i="28"/>
  <c r="R141" i="28"/>
  <c r="S159" i="28"/>
  <c r="S143" i="28"/>
  <c r="S183" i="28"/>
  <c r="I130" i="28"/>
  <c r="I127" i="28"/>
  <c r="R126" i="28"/>
  <c r="I138" i="28"/>
  <c r="S191" i="28"/>
  <c r="I131" i="28"/>
  <c r="N7" i="27"/>
  <c r="BE8" i="27"/>
  <c r="BM7" i="27"/>
  <c r="AX8" i="27"/>
  <c r="AR7" i="27"/>
  <c r="AK8" i="27"/>
  <c r="AC8" i="27"/>
  <c r="U10" i="27"/>
  <c r="H9" i="27"/>
  <c r="B9" i="27"/>
  <c r="B24" i="44" l="1"/>
  <c r="B34" i="44" s="1"/>
  <c r="B177" i="44"/>
  <c r="B197" i="44" s="1"/>
  <c r="K28" i="73"/>
  <c r="K42" i="73" s="1"/>
  <c r="B42" i="73"/>
  <c r="B46" i="73"/>
  <c r="B57" i="73" s="1"/>
  <c r="K32" i="73"/>
  <c r="K46" i="73" s="1"/>
  <c r="B45" i="73"/>
  <c r="B56" i="73" s="1"/>
  <c r="K31" i="73"/>
  <c r="K45" i="73" s="1"/>
  <c r="B44" i="73"/>
  <c r="K30" i="73"/>
  <c r="K44" i="73" s="1"/>
  <c r="B15" i="44"/>
  <c r="B139" i="44"/>
  <c r="B150" i="44" s="1"/>
  <c r="G197" i="36"/>
  <c r="N197" i="36" s="1"/>
  <c r="B175" i="44"/>
  <c r="B195" i="44" s="1"/>
  <c r="B128" i="44"/>
  <c r="B182" i="44" s="1"/>
  <c r="B202" i="44" s="1"/>
  <c r="B137" i="44"/>
  <c r="B148" i="44" s="1"/>
  <c r="B13" i="44"/>
  <c r="B22" i="44"/>
  <c r="B32" i="44" s="1"/>
  <c r="B14" i="44"/>
  <c r="B23" i="44"/>
  <c r="B33" i="44" s="1"/>
  <c r="B129" i="44"/>
  <c r="B183" i="44" s="1"/>
  <c r="B203" i="44" s="1"/>
  <c r="B176" i="44"/>
  <c r="B196" i="44" s="1"/>
  <c r="B138" i="44"/>
  <c r="B145" i="44"/>
  <c r="B4" i="44"/>
  <c r="B20" i="44" s="1"/>
  <c r="B30" i="44" s="1"/>
  <c r="B118" i="41"/>
  <c r="B5" i="44"/>
  <c r="B120" i="44" s="1"/>
  <c r="B119" i="41"/>
  <c r="N20" i="42"/>
  <c r="N21" i="42"/>
  <c r="M9" i="42"/>
  <c r="K26" i="42"/>
  <c r="L18" i="42"/>
  <c r="J27" i="42"/>
  <c r="P164" i="30"/>
  <c r="Q168" i="29"/>
  <c r="N19" i="42"/>
  <c r="K12" i="42"/>
  <c r="K25" i="42"/>
  <c r="K11" i="42"/>
  <c r="E201" i="37"/>
  <c r="J201" i="37" s="1"/>
  <c r="P152" i="36"/>
  <c r="I164" i="36"/>
  <c r="P156" i="36"/>
  <c r="I168" i="36"/>
  <c r="P147" i="36"/>
  <c r="I159" i="36"/>
  <c r="I162" i="36"/>
  <c r="P150" i="36"/>
  <c r="P148" i="36"/>
  <c r="I160" i="36"/>
  <c r="G199" i="36"/>
  <c r="N199" i="36" s="1"/>
  <c r="N163" i="36"/>
  <c r="P165" i="36"/>
  <c r="I177" i="36"/>
  <c r="K199" i="34"/>
  <c r="T199" i="34" s="1"/>
  <c r="T163" i="34"/>
  <c r="K196" i="34"/>
  <c r="T196" i="34" s="1"/>
  <c r="T160" i="34"/>
  <c r="P149" i="36"/>
  <c r="I161" i="36"/>
  <c r="EN14" i="39"/>
  <c r="EN15" i="39" s="1"/>
  <c r="H203" i="31"/>
  <c r="P203" i="31" s="1"/>
  <c r="P167" i="31"/>
  <c r="B184" i="44"/>
  <c r="B204" i="44" s="1"/>
  <c r="I181" i="36"/>
  <c r="P169" i="36"/>
  <c r="P146" i="36"/>
  <c r="I158" i="36"/>
  <c r="G158" i="29"/>
  <c r="O146" i="29"/>
  <c r="H197" i="31"/>
  <c r="P197" i="31" s="1"/>
  <c r="P161" i="31"/>
  <c r="K200" i="34"/>
  <c r="T200" i="34" s="1"/>
  <c r="T164" i="34"/>
  <c r="P154" i="36"/>
  <c r="I166" i="36"/>
  <c r="I197" i="29"/>
  <c r="Q197" i="29" s="1"/>
  <c r="Q161" i="29"/>
  <c r="K201" i="34"/>
  <c r="T201" i="34" s="1"/>
  <c r="T165" i="34"/>
  <c r="I162" i="34"/>
  <c r="R150" i="34"/>
  <c r="J161" i="37"/>
  <c r="E197" i="37"/>
  <c r="J197" i="37" s="1"/>
  <c r="G164" i="33"/>
  <c r="M152" i="33"/>
  <c r="L10" i="42"/>
  <c r="M2" i="42"/>
  <c r="I191" i="36"/>
  <c r="P179" i="36"/>
  <c r="I175" i="36"/>
  <c r="P163" i="36"/>
  <c r="J170" i="35"/>
  <c r="R158" i="35"/>
  <c r="J177" i="35"/>
  <c r="R165" i="35"/>
  <c r="G178" i="33"/>
  <c r="M166" i="33"/>
  <c r="G161" i="33"/>
  <c r="M149" i="33"/>
  <c r="G168" i="29"/>
  <c r="O156" i="29"/>
  <c r="G161" i="29"/>
  <c r="O149" i="29"/>
  <c r="G198" i="35"/>
  <c r="O198" i="35" s="1"/>
  <c r="O162" i="35"/>
  <c r="H201" i="31"/>
  <c r="P201" i="31" s="1"/>
  <c r="P165" i="31"/>
  <c r="H183" i="31"/>
  <c r="P183" i="31" s="1"/>
  <c r="P147" i="31"/>
  <c r="I200" i="29"/>
  <c r="Q200" i="29" s="1"/>
  <c r="Q164" i="29"/>
  <c r="G196" i="35"/>
  <c r="O196" i="35" s="1"/>
  <c r="O160" i="35"/>
  <c r="T159" i="34"/>
  <c r="K195" i="34"/>
  <c r="T195" i="34" s="1"/>
  <c r="G195" i="36"/>
  <c r="N195" i="36" s="1"/>
  <c r="N159" i="36"/>
  <c r="G203" i="35"/>
  <c r="O203" i="35" s="1"/>
  <c r="O167" i="35"/>
  <c r="G205" i="36"/>
  <c r="N205" i="36" s="1"/>
  <c r="N169" i="36"/>
  <c r="G197" i="35"/>
  <c r="O197" i="35" s="1"/>
  <c r="O161" i="35"/>
  <c r="I199" i="30"/>
  <c r="P199" i="30" s="1"/>
  <c r="P163" i="30"/>
  <c r="O164" i="35"/>
  <c r="G200" i="35"/>
  <c r="O200" i="35" s="1"/>
  <c r="I197" i="30"/>
  <c r="P197" i="30" s="1"/>
  <c r="P161" i="30"/>
  <c r="G204" i="35"/>
  <c r="O204" i="35" s="1"/>
  <c r="O168" i="35"/>
  <c r="O163" i="35"/>
  <c r="G199" i="35"/>
  <c r="O199" i="35" s="1"/>
  <c r="E196" i="37"/>
  <c r="J196" i="37" s="1"/>
  <c r="J160" i="37"/>
  <c r="I202" i="29"/>
  <c r="Q202" i="29" s="1"/>
  <c r="Q166" i="29"/>
  <c r="H205" i="31"/>
  <c r="P205" i="31" s="1"/>
  <c r="P169" i="31"/>
  <c r="I183" i="30"/>
  <c r="P183" i="30" s="1"/>
  <c r="P147" i="30"/>
  <c r="G198" i="36"/>
  <c r="N198" i="36" s="1"/>
  <c r="N162" i="36"/>
  <c r="E204" i="37"/>
  <c r="J204" i="37" s="1"/>
  <c r="J168" i="37"/>
  <c r="G204" i="36"/>
  <c r="N204" i="36" s="1"/>
  <c r="N168" i="36"/>
  <c r="G203" i="36"/>
  <c r="N203" i="36" s="1"/>
  <c r="N167" i="36"/>
  <c r="I195" i="30"/>
  <c r="P195" i="30" s="1"/>
  <c r="P159" i="30"/>
  <c r="E195" i="37"/>
  <c r="J195" i="37" s="1"/>
  <c r="J159" i="37"/>
  <c r="K202" i="34"/>
  <c r="T202" i="34" s="1"/>
  <c r="T166" i="34"/>
  <c r="G183" i="35"/>
  <c r="O183" i="35" s="1"/>
  <c r="O147" i="35"/>
  <c r="E202" i="37"/>
  <c r="J202" i="37" s="1"/>
  <c r="J166" i="37"/>
  <c r="I202" i="30"/>
  <c r="P202" i="30" s="1"/>
  <c r="P166" i="30"/>
  <c r="K198" i="34"/>
  <c r="T198" i="34" s="1"/>
  <c r="T162" i="34"/>
  <c r="E205" i="37"/>
  <c r="J205" i="37" s="1"/>
  <c r="J169" i="37"/>
  <c r="E199" i="37"/>
  <c r="J199" i="37" s="1"/>
  <c r="J163" i="37"/>
  <c r="G200" i="36"/>
  <c r="N200" i="36" s="1"/>
  <c r="N164" i="36"/>
  <c r="H196" i="31"/>
  <c r="P196" i="31" s="1"/>
  <c r="P160" i="31"/>
  <c r="I204" i="30"/>
  <c r="P204" i="30" s="1"/>
  <c r="P168" i="30"/>
  <c r="I196" i="29"/>
  <c r="Q196" i="29" s="1"/>
  <c r="Q160" i="29"/>
  <c r="G201" i="35"/>
  <c r="O201" i="35" s="1"/>
  <c r="O165" i="35"/>
  <c r="H204" i="31"/>
  <c r="P204" i="31" s="1"/>
  <c r="P168" i="31"/>
  <c r="I205" i="30"/>
  <c r="P205" i="30" s="1"/>
  <c r="P169" i="30"/>
  <c r="B86" i="41"/>
  <c r="K86" i="41" s="1"/>
  <c r="B85" i="41"/>
  <c r="K85" i="41" s="1"/>
  <c r="BE8" i="40"/>
  <c r="AW12" i="40"/>
  <c r="BL9" i="40"/>
  <c r="AO11" i="40"/>
  <c r="AF10" i="40"/>
  <c r="Q10" i="40"/>
  <c r="I10" i="40"/>
  <c r="Y9" i="40"/>
  <c r="B9" i="40"/>
  <c r="DO6" i="39"/>
  <c r="EG6" i="39"/>
  <c r="DD7" i="39"/>
  <c r="DZ7" i="39"/>
  <c r="CT8" i="39"/>
  <c r="CJ10" i="39"/>
  <c r="BT5" i="39"/>
  <c r="BB6" i="39"/>
  <c r="AQ6" i="39"/>
  <c r="AF8" i="39"/>
  <c r="CA5" i="39"/>
  <c r="BM6" i="39"/>
  <c r="V7" i="39"/>
  <c r="L10" i="39"/>
  <c r="B10" i="39"/>
  <c r="B234" i="6"/>
  <c r="B244" i="6"/>
  <c r="I165" i="28"/>
  <c r="R153" i="28"/>
  <c r="S187" i="28"/>
  <c r="I142" i="28"/>
  <c r="R130" i="28"/>
  <c r="I137" i="28"/>
  <c r="R125" i="28"/>
  <c r="I157" i="28"/>
  <c r="R145" i="28"/>
  <c r="S192" i="28"/>
  <c r="I143" i="28"/>
  <c r="R131" i="28"/>
  <c r="S189" i="28"/>
  <c r="I147" i="28"/>
  <c r="R135" i="28"/>
  <c r="S190" i="28"/>
  <c r="I144" i="28"/>
  <c r="R132" i="28"/>
  <c r="S186" i="28"/>
  <c r="I146" i="28"/>
  <c r="R134" i="28"/>
  <c r="I136" i="28"/>
  <c r="R124" i="28"/>
  <c r="I150" i="28"/>
  <c r="R138" i="28"/>
  <c r="S184" i="28"/>
  <c r="I139" i="28"/>
  <c r="R127" i="28"/>
  <c r="S185" i="28"/>
  <c r="S193" i="28"/>
  <c r="N8" i="27"/>
  <c r="AR8" i="27"/>
  <c r="AX9" i="27"/>
  <c r="BM8" i="27"/>
  <c r="BE9" i="27"/>
  <c r="AK9" i="27"/>
  <c r="AC9" i="27"/>
  <c r="U11" i="27"/>
  <c r="H10" i="27"/>
  <c r="B10" i="27"/>
  <c r="B82" i="73" l="1"/>
  <c r="K82" i="73" s="1"/>
  <c r="B65" i="73"/>
  <c r="B73" i="73" s="1"/>
  <c r="K73" i="73" s="1"/>
  <c r="B83" i="73"/>
  <c r="K83" i="73" s="1"/>
  <c r="B66" i="73"/>
  <c r="B74" i="73" s="1"/>
  <c r="K74" i="73" s="1"/>
  <c r="B149" i="44"/>
  <c r="B119" i="44"/>
  <c r="B21" i="44"/>
  <c r="B31" i="44" s="1"/>
  <c r="B174" i="44"/>
  <c r="B194" i="44" s="1"/>
  <c r="B136" i="44"/>
  <c r="B147" i="44" s="1"/>
  <c r="K27" i="42"/>
  <c r="N9" i="42"/>
  <c r="L26" i="42"/>
  <c r="M18" i="42"/>
  <c r="B135" i="44"/>
  <c r="O19" i="42"/>
  <c r="L25" i="42"/>
  <c r="L12" i="42"/>
  <c r="I180" i="36"/>
  <c r="P168" i="36"/>
  <c r="P164" i="36"/>
  <c r="I176" i="36"/>
  <c r="P160" i="36"/>
  <c r="I172" i="36"/>
  <c r="I174" i="36"/>
  <c r="P162" i="36"/>
  <c r="I171" i="36"/>
  <c r="P159" i="36"/>
  <c r="P166" i="36"/>
  <c r="I178" i="36"/>
  <c r="EN16" i="39"/>
  <c r="EN17" i="39" s="1"/>
  <c r="EN18" i="39" s="1"/>
  <c r="EN19" i="39" s="1"/>
  <c r="EN20" i="39" s="1"/>
  <c r="EN21" i="39" s="1"/>
  <c r="EN22" i="39" s="1"/>
  <c r="I173" i="36"/>
  <c r="P161" i="36"/>
  <c r="G176" i="33"/>
  <c r="M164" i="33"/>
  <c r="G170" i="29"/>
  <c r="O158" i="29"/>
  <c r="I174" i="34"/>
  <c r="R162" i="34"/>
  <c r="I170" i="36"/>
  <c r="P158" i="36"/>
  <c r="P177" i="36"/>
  <c r="I189" i="36"/>
  <c r="I193" i="36"/>
  <c r="P181" i="36"/>
  <c r="L11" i="42"/>
  <c r="N2" i="42"/>
  <c r="M10" i="42"/>
  <c r="I187" i="36"/>
  <c r="P175" i="36"/>
  <c r="I203" i="36"/>
  <c r="P203" i="36" s="1"/>
  <c r="P191" i="36"/>
  <c r="J189" i="35"/>
  <c r="R177" i="35"/>
  <c r="J182" i="35"/>
  <c r="R170" i="35"/>
  <c r="G173" i="33"/>
  <c r="M161" i="33"/>
  <c r="G190" i="33"/>
  <c r="M178" i="33"/>
  <c r="G173" i="29"/>
  <c r="O161" i="29"/>
  <c r="G180" i="29"/>
  <c r="O168" i="29"/>
  <c r="BE9" i="40"/>
  <c r="AO12" i="40"/>
  <c r="BL10" i="40"/>
  <c r="AW13" i="40"/>
  <c r="AF11" i="40"/>
  <c r="Q11" i="40"/>
  <c r="I11" i="40"/>
  <c r="Y10" i="40"/>
  <c r="B10" i="40"/>
  <c r="DO7" i="39"/>
  <c r="DD8" i="39"/>
  <c r="EG7" i="39"/>
  <c r="CT9" i="39"/>
  <c r="DZ8" i="39"/>
  <c r="CJ11" i="39"/>
  <c r="BB7" i="39"/>
  <c r="AQ7" i="39"/>
  <c r="AF9" i="39"/>
  <c r="BM7" i="39"/>
  <c r="CA6" i="39"/>
  <c r="V8" i="39"/>
  <c r="L11" i="39"/>
  <c r="B11" i="39"/>
  <c r="B245" i="6"/>
  <c r="B235" i="6"/>
  <c r="I154" i="28"/>
  <c r="R142" i="28"/>
  <c r="I177" i="28"/>
  <c r="R165" i="28"/>
  <c r="I162" i="28"/>
  <c r="R150" i="28"/>
  <c r="I158" i="28"/>
  <c r="R146" i="28"/>
  <c r="I155" i="28"/>
  <c r="R143" i="28"/>
  <c r="I169" i="28"/>
  <c r="R157" i="28"/>
  <c r="I149" i="28"/>
  <c r="R137" i="28"/>
  <c r="I151" i="28"/>
  <c r="R139" i="28"/>
  <c r="I156" i="28"/>
  <c r="R144" i="28"/>
  <c r="I159" i="28"/>
  <c r="R147" i="28"/>
  <c r="I148" i="28"/>
  <c r="R136" i="28"/>
  <c r="N9" i="27"/>
  <c r="BE10" i="27"/>
  <c r="BM9" i="27"/>
  <c r="AX10" i="27"/>
  <c r="AR9" i="27"/>
  <c r="AK10" i="27"/>
  <c r="AC10" i="27"/>
  <c r="U12" i="27"/>
  <c r="H11" i="27"/>
  <c r="B11" i="27"/>
  <c r="B173" i="44" l="1"/>
  <c r="B193" i="44" s="1"/>
  <c r="B146" i="44"/>
  <c r="O9" i="42"/>
  <c r="L27" i="42"/>
  <c r="N18" i="42"/>
  <c r="M26" i="42"/>
  <c r="M12" i="42"/>
  <c r="M25" i="42"/>
  <c r="P176" i="36"/>
  <c r="I188" i="36"/>
  <c r="P180" i="36"/>
  <c r="I192" i="36"/>
  <c r="P171" i="36"/>
  <c r="I183" i="36"/>
  <c r="I186" i="36"/>
  <c r="P174" i="36"/>
  <c r="I184" i="36"/>
  <c r="P172" i="36"/>
  <c r="P189" i="36"/>
  <c r="I201" i="36"/>
  <c r="P201" i="36" s="1"/>
  <c r="I182" i="36"/>
  <c r="P170" i="36"/>
  <c r="I186" i="34"/>
  <c r="R174" i="34"/>
  <c r="G182" i="29"/>
  <c r="O170" i="29"/>
  <c r="G188" i="33"/>
  <c r="M176" i="33"/>
  <c r="I185" i="36"/>
  <c r="P173" i="36"/>
  <c r="P178" i="36"/>
  <c r="I190" i="36"/>
  <c r="P193" i="36"/>
  <c r="I205" i="36"/>
  <c r="P205" i="36" s="1"/>
  <c r="N10" i="42"/>
  <c r="O2" i="42"/>
  <c r="M11" i="42"/>
  <c r="P187" i="36"/>
  <c r="I199" i="36"/>
  <c r="P199" i="36" s="1"/>
  <c r="J194" i="35"/>
  <c r="R194" i="35" s="1"/>
  <c r="R182" i="35"/>
  <c r="J201" i="35"/>
  <c r="R201" i="35" s="1"/>
  <c r="R189" i="35"/>
  <c r="G202" i="33"/>
  <c r="M202" i="33" s="1"/>
  <c r="M190" i="33"/>
  <c r="G185" i="33"/>
  <c r="M173" i="33"/>
  <c r="G192" i="29"/>
  <c r="O180" i="29"/>
  <c r="G185" i="29"/>
  <c r="O173" i="29"/>
  <c r="BE10" i="40"/>
  <c r="AW14" i="40"/>
  <c r="AW15" i="40" s="1"/>
  <c r="BL11" i="40"/>
  <c r="AO13" i="40"/>
  <c r="AF12" i="40"/>
  <c r="Q12" i="40"/>
  <c r="I12" i="40"/>
  <c r="Y11" i="40"/>
  <c r="B11" i="40"/>
  <c r="DZ9" i="39"/>
  <c r="CJ12" i="39"/>
  <c r="DO8" i="39"/>
  <c r="CT10" i="39"/>
  <c r="EG8" i="39"/>
  <c r="DD9" i="39"/>
  <c r="BB8" i="39"/>
  <c r="AQ8" i="39"/>
  <c r="AF10" i="39"/>
  <c r="V9" i="39"/>
  <c r="BM8" i="39"/>
  <c r="CA7" i="39"/>
  <c r="L12" i="39"/>
  <c r="B12" i="39"/>
  <c r="B246" i="6"/>
  <c r="B236" i="6"/>
  <c r="I163" i="28"/>
  <c r="R151" i="28"/>
  <c r="I161" i="28"/>
  <c r="R149" i="28"/>
  <c r="I181" i="28"/>
  <c r="R169" i="28"/>
  <c r="I167" i="28"/>
  <c r="R155" i="28"/>
  <c r="I170" i="28"/>
  <c r="R158" i="28"/>
  <c r="I160" i="28"/>
  <c r="R148" i="28"/>
  <c r="I174" i="28"/>
  <c r="R162" i="28"/>
  <c r="I171" i="28"/>
  <c r="R159" i="28"/>
  <c r="I189" i="28"/>
  <c r="R177" i="28"/>
  <c r="I168" i="28"/>
  <c r="R156" i="28"/>
  <c r="I166" i="28"/>
  <c r="R154" i="28"/>
  <c r="N10" i="27"/>
  <c r="AR10" i="27"/>
  <c r="AX11" i="27"/>
  <c r="BM10" i="27"/>
  <c r="BE11" i="27"/>
  <c r="AK11" i="27"/>
  <c r="AC11" i="27"/>
  <c r="U13" i="27"/>
  <c r="U14" i="27" s="1"/>
  <c r="H12" i="27"/>
  <c r="B12" i="27"/>
  <c r="Q25" i="42" l="1" a="1"/>
  <c r="Q25" i="42" s="1"/>
  <c r="Q26" i="42" a="1"/>
  <c r="Q26" i="42" s="1"/>
  <c r="M27" i="42"/>
  <c r="N26" i="42"/>
  <c r="N12" i="42"/>
  <c r="N25" i="42"/>
  <c r="P192" i="36"/>
  <c r="I204" i="36"/>
  <c r="P204" i="36" s="1"/>
  <c r="P188" i="36"/>
  <c r="I200" i="36"/>
  <c r="P200" i="36" s="1"/>
  <c r="P184" i="36"/>
  <c r="I196" i="36"/>
  <c r="P196" i="36" s="1"/>
  <c r="I198" i="36"/>
  <c r="P198" i="36" s="1"/>
  <c r="P186" i="36"/>
  <c r="I195" i="36"/>
  <c r="P195" i="36" s="1"/>
  <c r="P183" i="36"/>
  <c r="P190" i="36"/>
  <c r="I202" i="36"/>
  <c r="P202" i="36" s="1"/>
  <c r="I197" i="36"/>
  <c r="P197" i="36" s="1"/>
  <c r="P185" i="36"/>
  <c r="G200" i="33"/>
  <c r="M200" i="33" s="1"/>
  <c r="M188" i="33"/>
  <c r="G194" i="29"/>
  <c r="O194" i="29" s="1"/>
  <c r="O182" i="29"/>
  <c r="I198" i="34"/>
  <c r="R198" i="34" s="1"/>
  <c r="R186" i="34"/>
  <c r="I194" i="36"/>
  <c r="P194" i="36" s="1"/>
  <c r="P182" i="36"/>
  <c r="O18" i="42"/>
  <c r="N11" i="42"/>
  <c r="O10" i="42"/>
  <c r="O12" i="42" s="1"/>
  <c r="G197" i="33"/>
  <c r="M197" i="33" s="1"/>
  <c r="M185" i="33"/>
  <c r="G197" i="29"/>
  <c r="O197" i="29" s="1"/>
  <c r="O185" i="29"/>
  <c r="G204" i="29"/>
  <c r="O204" i="29" s="1"/>
  <c r="O192" i="29"/>
  <c r="BE11" i="40"/>
  <c r="BL12" i="40"/>
  <c r="AO14" i="40"/>
  <c r="AO15" i="40" s="1"/>
  <c r="AF13" i="40"/>
  <c r="Q13" i="40"/>
  <c r="I13" i="40"/>
  <c r="Y12" i="40"/>
  <c r="B12" i="40"/>
  <c r="CJ13" i="39"/>
  <c r="CJ14" i="39" s="1"/>
  <c r="CJ15" i="39" s="1"/>
  <c r="DZ10" i="39"/>
  <c r="DO9" i="39"/>
  <c r="EG9" i="39"/>
  <c r="CT11" i="39"/>
  <c r="DD10" i="39"/>
  <c r="BB9" i="39"/>
  <c r="AQ9" i="39"/>
  <c r="AF11" i="39"/>
  <c r="CA8" i="39"/>
  <c r="BM9" i="39"/>
  <c r="V10" i="39"/>
  <c r="L13" i="39"/>
  <c r="L14" i="39" s="1"/>
  <c r="B13" i="39"/>
  <c r="B14" i="39" s="1"/>
  <c r="B15" i="39" s="1"/>
  <c r="B247" i="6"/>
  <c r="B237" i="6"/>
  <c r="B248" i="6" s="1"/>
  <c r="I186" i="28"/>
  <c r="R174" i="28"/>
  <c r="I172" i="28"/>
  <c r="R160" i="28"/>
  <c r="I182" i="28"/>
  <c r="R170" i="28"/>
  <c r="I178" i="28"/>
  <c r="R166" i="28"/>
  <c r="I179" i="28"/>
  <c r="R167" i="28"/>
  <c r="I180" i="28"/>
  <c r="R168" i="28"/>
  <c r="I193" i="28"/>
  <c r="R181" i="28"/>
  <c r="I201" i="28"/>
  <c r="R201" i="28" s="1"/>
  <c r="R189" i="28"/>
  <c r="I173" i="28"/>
  <c r="R161" i="28"/>
  <c r="I183" i="28"/>
  <c r="R171" i="28"/>
  <c r="I175" i="28"/>
  <c r="R163" i="28"/>
  <c r="N11" i="27"/>
  <c r="BM11" i="27"/>
  <c r="BE12" i="27"/>
  <c r="AX12" i="27"/>
  <c r="AR11" i="27"/>
  <c r="AK12" i="27"/>
  <c r="AC12" i="27"/>
  <c r="H13" i="27"/>
  <c r="H14" i="27" s="1"/>
  <c r="B13" i="27"/>
  <c r="B14" i="27" s="1"/>
  <c r="O11" i="42" l="1"/>
  <c r="N27" i="42"/>
  <c r="O25" i="42"/>
  <c r="L15" i="39"/>
  <c r="O26" i="42"/>
  <c r="BE12" i="40"/>
  <c r="BL13" i="40"/>
  <c r="AF14" i="40"/>
  <c r="AF15" i="40" s="1"/>
  <c r="Q14" i="40"/>
  <c r="Q15" i="40" s="1"/>
  <c r="I14" i="40"/>
  <c r="I15" i="40" s="1"/>
  <c r="Y13" i="40"/>
  <c r="B13" i="40"/>
  <c r="CT12" i="39"/>
  <c r="DO10" i="39"/>
  <c r="DD11" i="39"/>
  <c r="DZ11" i="39"/>
  <c r="EG10" i="39"/>
  <c r="BB10" i="39"/>
  <c r="AQ10" i="39"/>
  <c r="AF12" i="39"/>
  <c r="CA9" i="39"/>
  <c r="BM10" i="39"/>
  <c r="V11" i="39"/>
  <c r="I205" i="28"/>
  <c r="R205" i="28" s="1"/>
  <c r="R193" i="28"/>
  <c r="I192" i="28"/>
  <c r="R180" i="28"/>
  <c r="I191" i="28"/>
  <c r="R179" i="28"/>
  <c r="I190" i="28"/>
  <c r="R178" i="28"/>
  <c r="I187" i="28"/>
  <c r="R175" i="28"/>
  <c r="I195" i="28"/>
  <c r="R195" i="28" s="1"/>
  <c r="R183" i="28"/>
  <c r="I194" i="28"/>
  <c r="R194" i="28" s="1"/>
  <c r="R182" i="28"/>
  <c r="I185" i="28"/>
  <c r="R173" i="28"/>
  <c r="I184" i="28"/>
  <c r="R172" i="28"/>
  <c r="I198" i="28"/>
  <c r="R198" i="28" s="1"/>
  <c r="R186" i="28"/>
  <c r="N12" i="27"/>
  <c r="AX13" i="27"/>
  <c r="AX14" i="27" s="1"/>
  <c r="BE13" i="27"/>
  <c r="BE14" i="27" s="1"/>
  <c r="AR12" i="27"/>
  <c r="BM12" i="27"/>
  <c r="AK13" i="27"/>
  <c r="AK14" i="27" s="1"/>
  <c r="AC13" i="27"/>
  <c r="AC14" i="27" s="1"/>
  <c r="O27" i="42" l="1"/>
  <c r="BE13" i="40"/>
  <c r="BL14" i="40"/>
  <c r="BL15" i="40" s="1"/>
  <c r="Y14" i="40"/>
  <c r="Y15" i="40" s="1"/>
  <c r="B14" i="40"/>
  <c r="B15" i="40" s="1"/>
  <c r="EG11" i="39"/>
  <c r="EH11" i="39" s="1"/>
  <c r="BM11" i="40" s="1"/>
  <c r="DD12" i="39"/>
  <c r="DO11" i="39"/>
  <c r="CT13" i="39"/>
  <c r="CT14" i="39" s="1"/>
  <c r="CT15" i="39" s="1"/>
  <c r="DZ12" i="39"/>
  <c r="BB11" i="39"/>
  <c r="AQ11" i="39"/>
  <c r="AF13" i="39"/>
  <c r="AF14" i="39" s="1"/>
  <c r="AF15" i="39" s="1"/>
  <c r="V12" i="39"/>
  <c r="BM11" i="39"/>
  <c r="CA10" i="39"/>
  <c r="I199" i="28"/>
  <c r="R199" i="28" s="1"/>
  <c r="R187" i="28"/>
  <c r="I202" i="28"/>
  <c r="R202" i="28" s="1"/>
  <c r="R190" i="28"/>
  <c r="I203" i="28"/>
  <c r="R203" i="28" s="1"/>
  <c r="R191" i="28"/>
  <c r="I196" i="28"/>
  <c r="R196" i="28" s="1"/>
  <c r="R184" i="28"/>
  <c r="I204" i="28"/>
  <c r="R204" i="28" s="1"/>
  <c r="R192" i="28"/>
  <c r="I197" i="28"/>
  <c r="R197" i="28" s="1"/>
  <c r="R185" i="28"/>
  <c r="N13" i="27"/>
  <c r="N14" i="27" s="1"/>
  <c r="AR13" i="27"/>
  <c r="AR14" i="27" s="1"/>
  <c r="BM13" i="27"/>
  <c r="BM14" i="27" s="1"/>
  <c r="BE14" i="40" l="1"/>
  <c r="BE15" i="40" s="1"/>
  <c r="DO12" i="39"/>
  <c r="CJ16" i="39"/>
  <c r="EG12" i="39"/>
  <c r="EH12" i="39" s="1"/>
  <c r="DZ13" i="39"/>
  <c r="DZ14" i="39" s="1"/>
  <c r="DZ15" i="39" s="1"/>
  <c r="DD13" i="39"/>
  <c r="DD14" i="39" s="1"/>
  <c r="DD15" i="39" s="1"/>
  <c r="BB12" i="39"/>
  <c r="AQ12" i="39"/>
  <c r="CA11" i="39"/>
  <c r="BM12" i="39"/>
  <c r="V13" i="39"/>
  <c r="V14" i="39" s="1"/>
  <c r="V15" i="39" s="1"/>
  <c r="L16" i="39"/>
  <c r="B16" i="39"/>
  <c r="CJ17" i="39" l="1"/>
  <c r="DO13" i="39"/>
  <c r="DO14" i="39" s="1"/>
  <c r="DO15" i="39" s="1"/>
  <c r="EG13" i="39"/>
  <c r="EG14" i="39" s="1"/>
  <c r="EG15" i="39" s="1"/>
  <c r="BB13" i="39"/>
  <c r="BB14" i="39" s="1"/>
  <c r="BB15" i="39" s="1"/>
  <c r="AQ13" i="39"/>
  <c r="AQ14" i="39" s="1"/>
  <c r="AQ15" i="39" s="1"/>
  <c r="BM13" i="39"/>
  <c r="BM14" i="39" s="1"/>
  <c r="BM15" i="39" s="1"/>
  <c r="CA12" i="39"/>
  <c r="B17" i="39"/>
  <c r="L17" i="39"/>
  <c r="A122" i="37"/>
  <c r="A122" i="32"/>
  <c r="CT16" i="39" l="1"/>
  <c r="CJ18" i="39"/>
  <c r="DZ16" i="39"/>
  <c r="DZ17" i="39" s="1"/>
  <c r="DZ18" i="39" s="1"/>
  <c r="DZ19" i="39" s="1"/>
  <c r="DZ20" i="39" s="1"/>
  <c r="DZ21" i="39" s="1"/>
  <c r="DZ22" i="39" s="1"/>
  <c r="AF16" i="39"/>
  <c r="CA13" i="39"/>
  <c r="CA14" i="39" s="1"/>
  <c r="CA15" i="39" s="1"/>
  <c r="V16" i="39"/>
  <c r="V17" i="39" s="1"/>
  <c r="V18" i="39" s="1"/>
  <c r="B18" i="39"/>
  <c r="L18" i="39"/>
  <c r="A123" i="37"/>
  <c r="C122" i="37"/>
  <c r="B122" i="37"/>
  <c r="A123" i="32"/>
  <c r="C122" i="32"/>
  <c r="B122" i="32"/>
  <c r="A122" i="31"/>
  <c r="A122" i="28"/>
  <c r="EG16" i="39" l="1"/>
  <c r="EG17" i="39" s="1"/>
  <c r="EG18" i="39" s="1"/>
  <c r="EG19" i="39" s="1"/>
  <c r="EG20" i="39" s="1"/>
  <c r="EG21" i="39" s="1"/>
  <c r="EG22" i="39" s="1"/>
  <c r="DD16" i="39"/>
  <c r="CJ19" i="39"/>
  <c r="CT17" i="39"/>
  <c r="AF17" i="39"/>
  <c r="V19" i="39"/>
  <c r="B19" i="39"/>
  <c r="L19" i="39"/>
  <c r="A124" i="37"/>
  <c r="C123" i="37"/>
  <c r="B123" i="37"/>
  <c r="A122" i="36"/>
  <c r="A122" i="35"/>
  <c r="A122" i="34"/>
  <c r="A122" i="33"/>
  <c r="A124" i="32"/>
  <c r="C123" i="32"/>
  <c r="B123" i="32"/>
  <c r="A123" i="31"/>
  <c r="C122" i="31"/>
  <c r="B122" i="31"/>
  <c r="B122" i="28"/>
  <c r="C122" i="28"/>
  <c r="A123" i="28"/>
  <c r="CJ20" i="39" l="1"/>
  <c r="DD17" i="39"/>
  <c r="CT18" i="39"/>
  <c r="DO16" i="39"/>
  <c r="BB16" i="39"/>
  <c r="AQ16" i="39"/>
  <c r="AF18" i="39"/>
  <c r="BM16" i="39"/>
  <c r="L20" i="39"/>
  <c r="B20" i="39"/>
  <c r="V20" i="39"/>
  <c r="A125" i="37"/>
  <c r="C124" i="37"/>
  <c r="B124" i="37"/>
  <c r="A123" i="36"/>
  <c r="C122" i="36"/>
  <c r="B122" i="36"/>
  <c r="A123" i="35"/>
  <c r="C122" i="35"/>
  <c r="B122" i="35"/>
  <c r="A123" i="34"/>
  <c r="C122" i="34"/>
  <c r="B122" i="34"/>
  <c r="A123" i="33"/>
  <c r="C122" i="33"/>
  <c r="B122" i="33"/>
  <c r="A125" i="32"/>
  <c r="C124" i="32"/>
  <c r="B124" i="32"/>
  <c r="A124" i="31"/>
  <c r="C123" i="31"/>
  <c r="B123" i="31"/>
  <c r="A123" i="30"/>
  <c r="B123" i="28"/>
  <c r="C123" i="28"/>
  <c r="A124" i="28"/>
  <c r="CT19" i="39" l="1"/>
  <c r="CJ21" i="39"/>
  <c r="DD18" i="39"/>
  <c r="DO17" i="39"/>
  <c r="BB17" i="39"/>
  <c r="AQ17" i="39"/>
  <c r="AF19" i="39"/>
  <c r="CA16" i="39"/>
  <c r="BM17" i="39"/>
  <c r="B21" i="39"/>
  <c r="B22" i="39" s="1"/>
  <c r="V21" i="39"/>
  <c r="V22" i="39" s="1"/>
  <c r="L21" i="39"/>
  <c r="L22" i="39" s="1"/>
  <c r="T122" i="28"/>
  <c r="C125" i="37"/>
  <c r="B125" i="37"/>
  <c r="A126" i="37"/>
  <c r="A124" i="36"/>
  <c r="C123" i="36"/>
  <c r="B123" i="36"/>
  <c r="A124" i="35"/>
  <c r="C123" i="35"/>
  <c r="B123" i="35"/>
  <c r="A124" i="34"/>
  <c r="C123" i="34"/>
  <c r="B123" i="34"/>
  <c r="A124" i="33"/>
  <c r="C123" i="33"/>
  <c r="B123" i="33"/>
  <c r="C125" i="32"/>
  <c r="B125" i="32"/>
  <c r="A126" i="32"/>
  <c r="A125" i="31"/>
  <c r="C124" i="31"/>
  <c r="B124" i="31"/>
  <c r="A124" i="30"/>
  <c r="C123" i="30"/>
  <c r="B123" i="30"/>
  <c r="B124" i="28"/>
  <c r="C124" i="28"/>
  <c r="A125" i="28"/>
  <c r="DO18" i="39" l="1"/>
  <c r="DD19" i="39"/>
  <c r="CT20" i="39"/>
  <c r="CJ22" i="39"/>
  <c r="BB18" i="39"/>
  <c r="AQ18" i="39"/>
  <c r="AF20" i="39"/>
  <c r="BM18" i="39"/>
  <c r="CA17" i="39"/>
  <c r="T123" i="28"/>
  <c r="A127" i="37"/>
  <c r="C126" i="37"/>
  <c r="B126" i="37"/>
  <c r="A125" i="36"/>
  <c r="C124" i="36"/>
  <c r="B124" i="36"/>
  <c r="A125" i="35"/>
  <c r="C124" i="35"/>
  <c r="B124" i="35"/>
  <c r="A125" i="34"/>
  <c r="C124" i="34"/>
  <c r="B124" i="34"/>
  <c r="A125" i="33"/>
  <c r="C124" i="33"/>
  <c r="B124" i="33"/>
  <c r="A127" i="32"/>
  <c r="C126" i="32"/>
  <c r="B126" i="32"/>
  <c r="C125" i="31"/>
  <c r="B125" i="31"/>
  <c r="A126" i="31"/>
  <c r="A125" i="30"/>
  <c r="C124" i="30"/>
  <c r="B124" i="30"/>
  <c r="A126" i="28"/>
  <c r="B125" i="28"/>
  <c r="C125" i="28"/>
  <c r="CT21" i="39" l="1"/>
  <c r="DO19" i="39"/>
  <c r="DD20" i="39"/>
  <c r="BB19" i="39"/>
  <c r="AQ19" i="39"/>
  <c r="AF21" i="39"/>
  <c r="CA18" i="39"/>
  <c r="BM19" i="39"/>
  <c r="BM20" i="39" s="1"/>
  <c r="BM21" i="39" s="1"/>
  <c r="BM22" i="39" s="1"/>
  <c r="T124" i="28"/>
  <c r="A128" i="37"/>
  <c r="C127" i="37"/>
  <c r="B127" i="37"/>
  <c r="C125" i="36"/>
  <c r="B125" i="36"/>
  <c r="A126" i="36"/>
  <c r="C125" i="35"/>
  <c r="B125" i="35"/>
  <c r="A126" i="35"/>
  <c r="C125" i="34"/>
  <c r="B125" i="34"/>
  <c r="A126" i="34"/>
  <c r="C125" i="33"/>
  <c r="B125" i="33"/>
  <c r="A126" i="33"/>
  <c r="A128" i="32"/>
  <c r="C127" i="32"/>
  <c r="B127" i="32"/>
  <c r="C126" i="31"/>
  <c r="A127" i="31"/>
  <c r="B126" i="31"/>
  <c r="C125" i="30"/>
  <c r="B125" i="30"/>
  <c r="A126" i="30"/>
  <c r="A127" i="28"/>
  <c r="B126" i="28"/>
  <c r="C126" i="28"/>
  <c r="DD21" i="39" l="1"/>
  <c r="CT22" i="39"/>
  <c r="DO20" i="39"/>
  <c r="BB20" i="39"/>
  <c r="AQ20" i="39"/>
  <c r="AF22" i="39"/>
  <c r="CA19" i="39"/>
  <c r="CA20" i="39" s="1"/>
  <c r="CA21" i="39" s="1"/>
  <c r="CA22" i="39" s="1"/>
  <c r="T125" i="28"/>
  <c r="A129" i="37"/>
  <c r="C128" i="37"/>
  <c r="B128" i="37"/>
  <c r="B126" i="36"/>
  <c r="A127" i="36"/>
  <c r="C126" i="36"/>
  <c r="B126" i="35"/>
  <c r="A127" i="35"/>
  <c r="C126" i="35"/>
  <c r="B126" i="34"/>
  <c r="A127" i="34"/>
  <c r="C126" i="34"/>
  <c r="B126" i="33"/>
  <c r="A127" i="33"/>
  <c r="C126" i="33"/>
  <c r="A129" i="32"/>
  <c r="C128" i="32"/>
  <c r="B128" i="32"/>
  <c r="B127" i="31"/>
  <c r="A128" i="31"/>
  <c r="C127" i="31"/>
  <c r="C126" i="30"/>
  <c r="A127" i="30"/>
  <c r="B126" i="30"/>
  <c r="B127" i="28"/>
  <c r="C127" i="28"/>
  <c r="A128" i="28"/>
  <c r="DO21" i="39" l="1"/>
  <c r="DD22" i="39"/>
  <c r="BB21" i="39"/>
  <c r="AQ21" i="39"/>
  <c r="T126" i="28"/>
  <c r="A130" i="37"/>
  <c r="C129" i="37"/>
  <c r="B129" i="37"/>
  <c r="A128" i="36"/>
  <c r="C127" i="36"/>
  <c r="B127" i="36"/>
  <c r="A128" i="35"/>
  <c r="C127" i="35"/>
  <c r="B127" i="35"/>
  <c r="A128" i="34"/>
  <c r="C127" i="34"/>
  <c r="B127" i="34"/>
  <c r="A128" i="33"/>
  <c r="C127" i="33"/>
  <c r="B127" i="33"/>
  <c r="A130" i="32"/>
  <c r="C129" i="32"/>
  <c r="B129" i="32"/>
  <c r="A129" i="31"/>
  <c r="C128" i="31"/>
  <c r="B128" i="31"/>
  <c r="A128" i="30"/>
  <c r="C127" i="30"/>
  <c r="B127" i="30"/>
  <c r="B128" i="28"/>
  <c r="C128" i="28"/>
  <c r="A129" i="28"/>
  <c r="DO22" i="39" l="1"/>
  <c r="BB22" i="39"/>
  <c r="AQ22" i="39"/>
  <c r="T127" i="28"/>
  <c r="A131" i="37"/>
  <c r="C130" i="37"/>
  <c r="B130" i="37"/>
  <c r="A129" i="36"/>
  <c r="C128" i="36"/>
  <c r="B128" i="36"/>
  <c r="A129" i="35"/>
  <c r="C128" i="35"/>
  <c r="B128" i="35"/>
  <c r="A129" i="34"/>
  <c r="C128" i="34"/>
  <c r="B128" i="34"/>
  <c r="A129" i="33"/>
  <c r="C128" i="33"/>
  <c r="B128" i="33"/>
  <c r="A131" i="32"/>
  <c r="C130" i="32"/>
  <c r="B130" i="32"/>
  <c r="A130" i="31"/>
  <c r="C129" i="31"/>
  <c r="B129" i="31"/>
  <c r="A129" i="30"/>
  <c r="C128" i="30"/>
  <c r="B128" i="30"/>
  <c r="B129" i="28"/>
  <c r="C129" i="28"/>
  <c r="A130" i="28"/>
  <c r="T128" i="28" l="1"/>
  <c r="A132" i="37"/>
  <c r="C131" i="37"/>
  <c r="B131" i="37"/>
  <c r="A130" i="36"/>
  <c r="C129" i="36"/>
  <c r="B129" i="36"/>
  <c r="A130" i="35"/>
  <c r="C129" i="35"/>
  <c r="B129" i="35"/>
  <c r="A130" i="34"/>
  <c r="C129" i="34"/>
  <c r="B129" i="34"/>
  <c r="A130" i="33"/>
  <c r="C129" i="33"/>
  <c r="B129" i="33"/>
  <c r="A132" i="32"/>
  <c r="C131" i="32"/>
  <c r="B131" i="32"/>
  <c r="A131" i="31"/>
  <c r="C130" i="31"/>
  <c r="B130" i="31"/>
  <c r="A130" i="30"/>
  <c r="C129" i="30"/>
  <c r="B129" i="30"/>
  <c r="B130" i="28"/>
  <c r="C130" i="28"/>
  <c r="A131" i="28"/>
  <c r="T129" i="28" l="1"/>
  <c r="A133" i="37"/>
  <c r="C132" i="37"/>
  <c r="B132" i="37"/>
  <c r="A131" i="36"/>
  <c r="C130" i="36"/>
  <c r="B130" i="36"/>
  <c r="A131" i="35"/>
  <c r="C130" i="35"/>
  <c r="B130" i="35"/>
  <c r="A131" i="34"/>
  <c r="C130" i="34"/>
  <c r="B130" i="34"/>
  <c r="A131" i="33"/>
  <c r="C130" i="33"/>
  <c r="B130" i="33"/>
  <c r="A133" i="32"/>
  <c r="C132" i="32"/>
  <c r="B132" i="32"/>
  <c r="A132" i="31"/>
  <c r="C131" i="31"/>
  <c r="B131" i="31"/>
  <c r="A131" i="30"/>
  <c r="C130" i="30"/>
  <c r="B130" i="30"/>
  <c r="B131" i="28"/>
  <c r="C131" i="28"/>
  <c r="A132" i="28"/>
  <c r="T130" i="28" l="1"/>
  <c r="A134" i="37"/>
  <c r="C133" i="37"/>
  <c r="B133" i="37"/>
  <c r="C131" i="36"/>
  <c r="B131" i="36"/>
  <c r="A132" i="36"/>
  <c r="C131" i="35"/>
  <c r="B131" i="35"/>
  <c r="A132" i="35"/>
  <c r="C131" i="34"/>
  <c r="B131" i="34"/>
  <c r="A132" i="34"/>
  <c r="C131" i="33"/>
  <c r="B131" i="33"/>
  <c r="A132" i="33"/>
  <c r="A134" i="32"/>
  <c r="C133" i="32"/>
  <c r="B133" i="32"/>
  <c r="C132" i="31"/>
  <c r="B132" i="31"/>
  <c r="A133" i="31"/>
  <c r="A132" i="30"/>
  <c r="C131" i="30"/>
  <c r="B131" i="30"/>
  <c r="B132" i="28"/>
  <c r="C132" i="28"/>
  <c r="A133" i="28"/>
  <c r="T131" i="28" l="1"/>
  <c r="A135" i="37"/>
  <c r="C134" i="37"/>
  <c r="B134" i="37"/>
  <c r="A133" i="36"/>
  <c r="C132" i="36"/>
  <c r="B132" i="36"/>
  <c r="A133" i="35"/>
  <c r="C132" i="35"/>
  <c r="B132" i="35"/>
  <c r="A133" i="34"/>
  <c r="C132" i="34"/>
  <c r="B132" i="34"/>
  <c r="A133" i="33"/>
  <c r="C132" i="33"/>
  <c r="B132" i="33"/>
  <c r="A135" i="32"/>
  <c r="C134" i="32"/>
  <c r="B134" i="32"/>
  <c r="A134" i="31"/>
  <c r="C133" i="31"/>
  <c r="B133" i="31"/>
  <c r="A133" i="30"/>
  <c r="C132" i="30"/>
  <c r="B132" i="30"/>
  <c r="B133" i="28"/>
  <c r="C133" i="28"/>
  <c r="A134" i="28"/>
  <c r="T132" i="28" l="1"/>
  <c r="A136" i="37"/>
  <c r="C135" i="37"/>
  <c r="B135" i="37"/>
  <c r="A134" i="36"/>
  <c r="C133" i="36"/>
  <c r="B133" i="36"/>
  <c r="A134" i="35"/>
  <c r="C133" i="35"/>
  <c r="B133" i="35"/>
  <c r="A134" i="34"/>
  <c r="C133" i="34"/>
  <c r="B133" i="34"/>
  <c r="A134" i="33"/>
  <c r="C133" i="33"/>
  <c r="B133" i="33"/>
  <c r="A136" i="32"/>
  <c r="C135" i="32"/>
  <c r="B135" i="32"/>
  <c r="A135" i="31"/>
  <c r="C134" i="31"/>
  <c r="B134" i="31"/>
  <c r="A134" i="30"/>
  <c r="C133" i="30"/>
  <c r="B133" i="30"/>
  <c r="B134" i="28"/>
  <c r="C134" i="28"/>
  <c r="A135" i="28"/>
  <c r="T133" i="28" l="1"/>
  <c r="B136" i="37"/>
  <c r="A137" i="37"/>
  <c r="C136" i="37"/>
  <c r="A135" i="36"/>
  <c r="C134" i="36"/>
  <c r="B134" i="36"/>
  <c r="A135" i="35"/>
  <c r="C134" i="35"/>
  <c r="B134" i="35"/>
  <c r="A135" i="34"/>
  <c r="C134" i="34"/>
  <c r="B134" i="34"/>
  <c r="A135" i="33"/>
  <c r="C134" i="33"/>
  <c r="B134" i="33"/>
  <c r="B136" i="32"/>
  <c r="A137" i="32"/>
  <c r="C136" i="32"/>
  <c r="A136" i="31"/>
  <c r="C135" i="31"/>
  <c r="B135" i="31"/>
  <c r="A135" i="30"/>
  <c r="C134" i="30"/>
  <c r="B134" i="30"/>
  <c r="B135" i="28"/>
  <c r="C135" i="28"/>
  <c r="A136" i="28"/>
  <c r="T134" i="28" l="1"/>
  <c r="C137" i="37"/>
  <c r="B137" i="37"/>
  <c r="A138" i="37"/>
  <c r="A136" i="36"/>
  <c r="C135" i="36"/>
  <c r="B135" i="36"/>
  <c r="A136" i="35"/>
  <c r="C135" i="35"/>
  <c r="B135" i="35"/>
  <c r="A136" i="34"/>
  <c r="C135" i="34"/>
  <c r="B135" i="34"/>
  <c r="A136" i="33"/>
  <c r="C135" i="33"/>
  <c r="B135" i="33"/>
  <c r="C137" i="32"/>
  <c r="B137" i="32"/>
  <c r="A138" i="32"/>
  <c r="B136" i="31"/>
  <c r="A137" i="31"/>
  <c r="C136" i="31"/>
  <c r="A136" i="30"/>
  <c r="C135" i="30"/>
  <c r="B135" i="30"/>
  <c r="C136" i="28"/>
  <c r="B136" i="28"/>
  <c r="A137" i="28"/>
  <c r="T135" i="28" l="1"/>
  <c r="A139" i="37"/>
  <c r="C138" i="37"/>
  <c r="B138" i="37"/>
  <c r="B136" i="36"/>
  <c r="A137" i="36"/>
  <c r="C136" i="36"/>
  <c r="B136" i="35"/>
  <c r="A137" i="35"/>
  <c r="C136" i="35"/>
  <c r="B136" i="34"/>
  <c r="A137" i="34"/>
  <c r="C136" i="34"/>
  <c r="B136" i="33"/>
  <c r="A137" i="33"/>
  <c r="C136" i="33"/>
  <c r="A139" i="32"/>
  <c r="C138" i="32"/>
  <c r="B138" i="32"/>
  <c r="B137" i="31"/>
  <c r="A138" i="31"/>
  <c r="C137" i="31"/>
  <c r="B136" i="30"/>
  <c r="A137" i="30"/>
  <c r="C136" i="30"/>
  <c r="C137" i="28"/>
  <c r="A138" i="28"/>
  <c r="B137" i="28"/>
  <c r="T136" i="28" l="1"/>
  <c r="A140" i="37"/>
  <c r="C139" i="37"/>
  <c r="B139" i="37"/>
  <c r="A138" i="36"/>
  <c r="C137" i="36"/>
  <c r="B137" i="36"/>
  <c r="A138" i="35"/>
  <c r="C137" i="35"/>
  <c r="B137" i="35"/>
  <c r="A138" i="34"/>
  <c r="C137" i="34"/>
  <c r="B137" i="34"/>
  <c r="A138" i="33"/>
  <c r="C137" i="33"/>
  <c r="B137" i="33"/>
  <c r="A140" i="32"/>
  <c r="C139" i="32"/>
  <c r="B139" i="32"/>
  <c r="A139" i="31"/>
  <c r="C138" i="31"/>
  <c r="B138" i="31"/>
  <c r="B137" i="30"/>
  <c r="A138" i="30"/>
  <c r="C137" i="30"/>
  <c r="B138" i="28"/>
  <c r="C138" i="28"/>
  <c r="A139" i="28"/>
  <c r="T137" i="28" l="1"/>
  <c r="A141" i="37"/>
  <c r="C140" i="37"/>
  <c r="B140" i="37"/>
  <c r="A139" i="36"/>
  <c r="C138" i="36"/>
  <c r="B138" i="36"/>
  <c r="A139" i="35"/>
  <c r="C138" i="35"/>
  <c r="B138" i="35"/>
  <c r="A139" i="34"/>
  <c r="C138" i="34"/>
  <c r="B138" i="34"/>
  <c r="A139" i="33"/>
  <c r="C138" i="33"/>
  <c r="B138" i="33"/>
  <c r="A141" i="32"/>
  <c r="C140" i="32"/>
  <c r="B140" i="32"/>
  <c r="A140" i="31"/>
  <c r="C139" i="31"/>
  <c r="B139" i="31"/>
  <c r="A139" i="30"/>
  <c r="C138" i="30"/>
  <c r="B138" i="30"/>
  <c r="B139" i="28"/>
  <c r="C139" i="28"/>
  <c r="A140" i="28"/>
  <c r="T138" i="28" l="1"/>
  <c r="C141" i="37"/>
  <c r="B141" i="37"/>
  <c r="A142" i="37"/>
  <c r="A140" i="36"/>
  <c r="C139" i="36"/>
  <c r="B139" i="36"/>
  <c r="A140" i="35"/>
  <c r="C139" i="35"/>
  <c r="B139" i="35"/>
  <c r="A140" i="34"/>
  <c r="C139" i="34"/>
  <c r="B139" i="34"/>
  <c r="A140" i="33"/>
  <c r="C139" i="33"/>
  <c r="B139" i="33"/>
  <c r="C141" i="32"/>
  <c r="B141" i="32"/>
  <c r="A142" i="32"/>
  <c r="A141" i="31"/>
  <c r="C140" i="31"/>
  <c r="B140" i="31"/>
  <c r="A140" i="30"/>
  <c r="C139" i="30"/>
  <c r="B139" i="30"/>
  <c r="B140" i="28"/>
  <c r="C140" i="28"/>
  <c r="A141" i="28"/>
  <c r="T139" i="28" l="1"/>
  <c r="A143" i="37"/>
  <c r="C142" i="37"/>
  <c r="B142" i="37"/>
  <c r="A141" i="36"/>
  <c r="C140" i="36"/>
  <c r="B140" i="36"/>
  <c r="A141" i="35"/>
  <c r="C140" i="35"/>
  <c r="B140" i="35"/>
  <c r="A141" i="34"/>
  <c r="C140" i="34"/>
  <c r="B140" i="34"/>
  <c r="A141" i="33"/>
  <c r="C140" i="33"/>
  <c r="B140" i="33"/>
  <c r="A143" i="32"/>
  <c r="C142" i="32"/>
  <c r="B142" i="32"/>
  <c r="C141" i="31"/>
  <c r="B141" i="31"/>
  <c r="A142" i="31"/>
  <c r="A141" i="30"/>
  <c r="C140" i="30"/>
  <c r="B140" i="30"/>
  <c r="A142" i="28"/>
  <c r="B141" i="28"/>
  <c r="C141" i="28"/>
  <c r="T140" i="28" l="1"/>
  <c r="A144" i="37"/>
  <c r="C143" i="37"/>
  <c r="B143" i="37"/>
  <c r="C141" i="36"/>
  <c r="B141" i="36"/>
  <c r="A142" i="36"/>
  <c r="C141" i="35"/>
  <c r="B141" i="35"/>
  <c r="A142" i="35"/>
  <c r="C141" i="34"/>
  <c r="B141" i="34"/>
  <c r="A142" i="34"/>
  <c r="C141" i="33"/>
  <c r="B141" i="33"/>
  <c r="A142" i="33"/>
  <c r="A144" i="32"/>
  <c r="C143" i="32"/>
  <c r="B143" i="32"/>
  <c r="A143" i="31"/>
  <c r="C142" i="31"/>
  <c r="B142" i="31"/>
  <c r="C141" i="30"/>
  <c r="B141" i="30"/>
  <c r="A142" i="30"/>
  <c r="A143" i="28"/>
  <c r="B142" i="28"/>
  <c r="C142" i="28"/>
  <c r="T141" i="28" l="1"/>
  <c r="A145" i="37"/>
  <c r="C144" i="37"/>
  <c r="B144" i="37"/>
  <c r="B142" i="36"/>
  <c r="A143" i="36"/>
  <c r="C142" i="36"/>
  <c r="B142" i="35"/>
  <c r="A143" i="35"/>
  <c r="C142" i="35"/>
  <c r="B142" i="34"/>
  <c r="A143" i="34"/>
  <c r="C142" i="34"/>
  <c r="B142" i="33"/>
  <c r="A143" i="33"/>
  <c r="C142" i="33"/>
  <c r="A145" i="32"/>
  <c r="C144" i="32"/>
  <c r="B144" i="32"/>
  <c r="A144" i="31"/>
  <c r="C143" i="31"/>
  <c r="B143" i="31"/>
  <c r="C142" i="30"/>
  <c r="A143" i="30"/>
  <c r="B142" i="30"/>
  <c r="B143" i="28"/>
  <c r="C143" i="28"/>
  <c r="A144" i="28"/>
  <c r="T142" i="28" l="1"/>
  <c r="A146" i="37"/>
  <c r="C145" i="37"/>
  <c r="B145" i="37"/>
  <c r="A144" i="36"/>
  <c r="C143" i="36"/>
  <c r="B143" i="36"/>
  <c r="A144" i="35"/>
  <c r="C143" i="35"/>
  <c r="B143" i="35"/>
  <c r="A144" i="34"/>
  <c r="C143" i="34"/>
  <c r="B143" i="34"/>
  <c r="A144" i="33"/>
  <c r="C143" i="33"/>
  <c r="B143" i="33"/>
  <c r="A146" i="32"/>
  <c r="C145" i="32"/>
  <c r="B145" i="32"/>
  <c r="A145" i="31"/>
  <c r="C144" i="31"/>
  <c r="B144" i="31"/>
  <c r="A144" i="30"/>
  <c r="C143" i="30"/>
  <c r="B143" i="30"/>
  <c r="B144" i="28"/>
  <c r="C144" i="28"/>
  <c r="A145" i="28"/>
  <c r="T143" i="28" l="1"/>
  <c r="A147" i="37"/>
  <c r="C146" i="37"/>
  <c r="B146" i="37"/>
  <c r="A145" i="36"/>
  <c r="C144" i="36"/>
  <c r="B144" i="36"/>
  <c r="A145" i="35"/>
  <c r="C144" i="35"/>
  <c r="B144" i="35"/>
  <c r="A145" i="34"/>
  <c r="C144" i="34"/>
  <c r="B144" i="34"/>
  <c r="A145" i="33"/>
  <c r="C144" i="33"/>
  <c r="B144" i="33"/>
  <c r="A147" i="32"/>
  <c r="C146" i="32"/>
  <c r="B146" i="32"/>
  <c r="A146" i="31"/>
  <c r="C145" i="31"/>
  <c r="B145" i="31"/>
  <c r="A145" i="30"/>
  <c r="C144" i="30"/>
  <c r="B144" i="30"/>
  <c r="B145" i="28"/>
  <c r="C145" i="28"/>
  <c r="A146" i="28"/>
  <c r="T144" i="28" l="1"/>
  <c r="A148" i="37"/>
  <c r="C147" i="37"/>
  <c r="B147" i="37"/>
  <c r="A146" i="36"/>
  <c r="C145" i="36"/>
  <c r="B145" i="36"/>
  <c r="A146" i="35"/>
  <c r="C145" i="35"/>
  <c r="B145" i="35"/>
  <c r="A146" i="34"/>
  <c r="C145" i="34"/>
  <c r="B145" i="34"/>
  <c r="A146" i="33"/>
  <c r="C145" i="33"/>
  <c r="B145" i="33"/>
  <c r="A148" i="32"/>
  <c r="C147" i="32"/>
  <c r="B147" i="32"/>
  <c r="A147" i="31"/>
  <c r="C146" i="31"/>
  <c r="B146" i="31"/>
  <c r="A146" i="30"/>
  <c r="C145" i="30"/>
  <c r="B145" i="30"/>
  <c r="B146" i="28"/>
  <c r="C146" i="28"/>
  <c r="A147" i="28"/>
  <c r="T145" i="28" l="1"/>
  <c r="B148" i="37"/>
  <c r="A149" i="37"/>
  <c r="C148" i="37"/>
  <c r="A147" i="36"/>
  <c r="C146" i="36"/>
  <c r="B146" i="36"/>
  <c r="A147" i="35"/>
  <c r="C146" i="35"/>
  <c r="B146" i="35"/>
  <c r="A147" i="34"/>
  <c r="C146" i="34"/>
  <c r="B146" i="34"/>
  <c r="A147" i="33"/>
  <c r="C146" i="33"/>
  <c r="B146" i="33"/>
  <c r="B148" i="32"/>
  <c r="A149" i="32"/>
  <c r="C148" i="32"/>
  <c r="A148" i="31"/>
  <c r="C147" i="31"/>
  <c r="B147" i="31"/>
  <c r="A147" i="30"/>
  <c r="C146" i="30"/>
  <c r="B146" i="30"/>
  <c r="B147" i="28"/>
  <c r="C147" i="28"/>
  <c r="A148" i="28"/>
  <c r="T146" i="28" l="1"/>
  <c r="A150" i="37"/>
  <c r="C149" i="37"/>
  <c r="B149" i="37"/>
  <c r="C147" i="36"/>
  <c r="B147" i="36"/>
  <c r="A148" i="36"/>
  <c r="C147" i="35"/>
  <c r="B147" i="35"/>
  <c r="A148" i="35"/>
  <c r="C147" i="34"/>
  <c r="B147" i="34"/>
  <c r="A148" i="34"/>
  <c r="C147" i="33"/>
  <c r="B147" i="33"/>
  <c r="A148" i="33"/>
  <c r="A150" i="32"/>
  <c r="C149" i="32"/>
  <c r="B149" i="32"/>
  <c r="C148" i="31"/>
  <c r="A149" i="31"/>
  <c r="B148" i="31"/>
  <c r="A148" i="30"/>
  <c r="C147" i="30"/>
  <c r="B147" i="30"/>
  <c r="B148" i="28"/>
  <c r="C148" i="28"/>
  <c r="A149" i="28"/>
  <c r="T147" i="28" l="1"/>
  <c r="A151" i="37"/>
  <c r="C150" i="37"/>
  <c r="B150" i="37"/>
  <c r="A149" i="36"/>
  <c r="C148" i="36"/>
  <c r="B148" i="36"/>
  <c r="A149" i="35"/>
  <c r="C148" i="35"/>
  <c r="B148" i="35"/>
  <c r="A149" i="34"/>
  <c r="C148" i="34"/>
  <c r="B148" i="34"/>
  <c r="A149" i="33"/>
  <c r="C148" i="33"/>
  <c r="B148" i="33"/>
  <c r="A151" i="32"/>
  <c r="C150" i="32"/>
  <c r="B150" i="32"/>
  <c r="A150" i="31"/>
  <c r="C149" i="31"/>
  <c r="B149" i="31"/>
  <c r="A149" i="30"/>
  <c r="C148" i="30"/>
  <c r="B148" i="30"/>
  <c r="B149" i="28"/>
  <c r="C149" i="28"/>
  <c r="A150" i="28"/>
  <c r="T148" i="28" l="1"/>
  <c r="A152" i="37"/>
  <c r="C151" i="37"/>
  <c r="B151" i="37"/>
  <c r="A150" i="36"/>
  <c r="C149" i="36"/>
  <c r="B149" i="36"/>
  <c r="A150" i="35"/>
  <c r="C149" i="35"/>
  <c r="B149" i="35"/>
  <c r="A150" i="34"/>
  <c r="C149" i="34"/>
  <c r="B149" i="34"/>
  <c r="A150" i="33"/>
  <c r="C149" i="33"/>
  <c r="B149" i="33"/>
  <c r="A152" i="32"/>
  <c r="C151" i="32"/>
  <c r="B151" i="32"/>
  <c r="A151" i="31"/>
  <c r="C150" i="31"/>
  <c r="B150" i="31"/>
  <c r="A150" i="30"/>
  <c r="C149" i="30"/>
  <c r="B149" i="30"/>
  <c r="B150" i="28"/>
  <c r="C150" i="28"/>
  <c r="A151" i="28"/>
  <c r="T149" i="28" l="1"/>
  <c r="B152" i="37"/>
  <c r="A153" i="37"/>
  <c r="C152" i="37"/>
  <c r="A151" i="36"/>
  <c r="C150" i="36"/>
  <c r="B150" i="36"/>
  <c r="A151" i="35"/>
  <c r="C150" i="35"/>
  <c r="B150" i="35"/>
  <c r="A151" i="34"/>
  <c r="C150" i="34"/>
  <c r="B150" i="34"/>
  <c r="A151" i="33"/>
  <c r="C150" i="33"/>
  <c r="B150" i="33"/>
  <c r="B152" i="32"/>
  <c r="A153" i="32"/>
  <c r="C152" i="32"/>
  <c r="A152" i="31"/>
  <c r="C151" i="31"/>
  <c r="B151" i="31"/>
  <c r="A151" i="30"/>
  <c r="C150" i="30"/>
  <c r="B150" i="30"/>
  <c r="B151" i="28"/>
  <c r="C151" i="28"/>
  <c r="A152" i="28"/>
  <c r="T150" i="28" l="1"/>
  <c r="B153" i="37"/>
  <c r="A154" i="37"/>
  <c r="C153" i="37"/>
  <c r="A152" i="36"/>
  <c r="C151" i="36"/>
  <c r="B151" i="36"/>
  <c r="A152" i="35"/>
  <c r="C151" i="35"/>
  <c r="B151" i="35"/>
  <c r="A152" i="34"/>
  <c r="C151" i="34"/>
  <c r="B151" i="34"/>
  <c r="A152" i="33"/>
  <c r="C151" i="33"/>
  <c r="B151" i="33"/>
  <c r="B153" i="32"/>
  <c r="A154" i="32"/>
  <c r="C153" i="32"/>
  <c r="B152" i="31"/>
  <c r="A153" i="31"/>
  <c r="C152" i="31"/>
  <c r="A152" i="30"/>
  <c r="C151" i="30"/>
  <c r="B151" i="30"/>
  <c r="C152" i="28"/>
  <c r="B152" i="28"/>
  <c r="A153" i="28"/>
  <c r="T151" i="28" l="1"/>
  <c r="A155" i="37"/>
  <c r="C154" i="37"/>
  <c r="B154" i="37"/>
  <c r="B152" i="36"/>
  <c r="A153" i="36"/>
  <c r="C152" i="36"/>
  <c r="B152" i="35"/>
  <c r="A153" i="35"/>
  <c r="C152" i="35"/>
  <c r="B152" i="34"/>
  <c r="A153" i="34"/>
  <c r="C152" i="34"/>
  <c r="B152" i="33"/>
  <c r="A153" i="33"/>
  <c r="C152" i="33"/>
  <c r="A155" i="32"/>
  <c r="C154" i="32"/>
  <c r="B154" i="32"/>
  <c r="B153" i="31"/>
  <c r="C153" i="31"/>
  <c r="A154" i="31"/>
  <c r="B152" i="30"/>
  <c r="A153" i="30"/>
  <c r="C152" i="30"/>
  <c r="C153" i="28"/>
  <c r="A154" i="28"/>
  <c r="B153" i="28"/>
  <c r="T152" i="28" l="1"/>
  <c r="A156" i="37"/>
  <c r="C155" i="37"/>
  <c r="B155" i="37"/>
  <c r="A154" i="36"/>
  <c r="C153" i="36"/>
  <c r="B153" i="36"/>
  <c r="A154" i="35"/>
  <c r="C153" i="35"/>
  <c r="B153" i="35"/>
  <c r="A154" i="34"/>
  <c r="C153" i="34"/>
  <c r="B153" i="34"/>
  <c r="A154" i="33"/>
  <c r="C153" i="33"/>
  <c r="B153" i="33"/>
  <c r="A156" i="32"/>
  <c r="C155" i="32"/>
  <c r="B155" i="32"/>
  <c r="A155" i="31"/>
  <c r="C154" i="31"/>
  <c r="B154" i="31"/>
  <c r="B153" i="30"/>
  <c r="A154" i="30"/>
  <c r="C153" i="30"/>
  <c r="B154" i="28"/>
  <c r="C154" i="28"/>
  <c r="A155" i="28"/>
  <c r="T153" i="28" l="1"/>
  <c r="A157" i="37"/>
  <c r="C156" i="37"/>
  <c r="B156" i="37"/>
  <c r="A155" i="36"/>
  <c r="C154" i="36"/>
  <c r="B154" i="36"/>
  <c r="A155" i="35"/>
  <c r="C154" i="35"/>
  <c r="B154" i="35"/>
  <c r="A155" i="34"/>
  <c r="C154" i="34"/>
  <c r="B154" i="34"/>
  <c r="A155" i="33"/>
  <c r="C154" i="33"/>
  <c r="B154" i="33"/>
  <c r="A157" i="32"/>
  <c r="C156" i="32"/>
  <c r="B156" i="32"/>
  <c r="A156" i="31"/>
  <c r="C155" i="31"/>
  <c r="B155" i="31"/>
  <c r="A155" i="30"/>
  <c r="C154" i="30"/>
  <c r="B154" i="30"/>
  <c r="B155" i="28"/>
  <c r="C155" i="28"/>
  <c r="A156" i="28"/>
  <c r="T154" i="28" l="1"/>
  <c r="C157" i="37"/>
  <c r="B157" i="37"/>
  <c r="A158" i="37"/>
  <c r="A156" i="36"/>
  <c r="C155" i="36"/>
  <c r="B155" i="36"/>
  <c r="A156" i="35"/>
  <c r="C155" i="35"/>
  <c r="B155" i="35"/>
  <c r="A156" i="34"/>
  <c r="C155" i="34"/>
  <c r="B155" i="34"/>
  <c r="A156" i="33"/>
  <c r="C155" i="33"/>
  <c r="B155" i="33"/>
  <c r="C157" i="32"/>
  <c r="B157" i="32"/>
  <c r="A158" i="32"/>
  <c r="A157" i="31"/>
  <c r="C156" i="31"/>
  <c r="B156" i="31"/>
  <c r="A156" i="30"/>
  <c r="C155" i="30"/>
  <c r="B155" i="30"/>
  <c r="B156" i="28"/>
  <c r="C156" i="28"/>
  <c r="A157" i="28"/>
  <c r="T155" i="28" l="1"/>
  <c r="A159" i="37"/>
  <c r="C158" i="37"/>
  <c r="B158" i="37"/>
  <c r="A157" i="36"/>
  <c r="C156" i="36"/>
  <c r="B156" i="36"/>
  <c r="A157" i="35"/>
  <c r="C156" i="35"/>
  <c r="B156" i="35"/>
  <c r="A157" i="34"/>
  <c r="C156" i="34"/>
  <c r="B156" i="34"/>
  <c r="A157" i="33"/>
  <c r="C156" i="33"/>
  <c r="B156" i="33"/>
  <c r="A159" i="32"/>
  <c r="C158" i="32"/>
  <c r="B158" i="32"/>
  <c r="C157" i="31"/>
  <c r="B157" i="31"/>
  <c r="A158" i="31"/>
  <c r="A157" i="30"/>
  <c r="C156" i="30"/>
  <c r="B156" i="30"/>
  <c r="A158" i="28"/>
  <c r="B157" i="28"/>
  <c r="C157" i="28"/>
  <c r="T156" i="28" l="1"/>
  <c r="A160" i="37"/>
  <c r="C159" i="37"/>
  <c r="B159" i="37"/>
  <c r="C157" i="36"/>
  <c r="B157" i="36"/>
  <c r="A158" i="36"/>
  <c r="C157" i="35"/>
  <c r="B157" i="35"/>
  <c r="A158" i="35"/>
  <c r="C157" i="34"/>
  <c r="B157" i="34"/>
  <c r="A158" i="34"/>
  <c r="C157" i="33"/>
  <c r="B157" i="33"/>
  <c r="A158" i="33"/>
  <c r="A160" i="32"/>
  <c r="C159" i="32"/>
  <c r="B159" i="32"/>
  <c r="C158" i="31"/>
  <c r="A159" i="31"/>
  <c r="B158" i="31"/>
  <c r="C157" i="30"/>
  <c r="B157" i="30"/>
  <c r="A158" i="30"/>
  <c r="A159" i="28"/>
  <c r="B158" i="28"/>
  <c r="C158" i="28"/>
  <c r="T157" i="28" l="1"/>
  <c r="A161" i="37"/>
  <c r="C160" i="37"/>
  <c r="B160" i="37"/>
  <c r="B158" i="36"/>
  <c r="A159" i="36"/>
  <c r="C158" i="36"/>
  <c r="B158" i="35"/>
  <c r="A159" i="35"/>
  <c r="C158" i="35"/>
  <c r="B158" i="34"/>
  <c r="A159" i="34"/>
  <c r="C158" i="34"/>
  <c r="B158" i="33"/>
  <c r="A159" i="33"/>
  <c r="C158" i="33"/>
  <c r="A161" i="32"/>
  <c r="C160" i="32"/>
  <c r="B160" i="32"/>
  <c r="A160" i="31"/>
  <c r="C159" i="31"/>
  <c r="B159" i="31"/>
  <c r="C158" i="30"/>
  <c r="A159" i="30"/>
  <c r="B158" i="30"/>
  <c r="B159" i="28"/>
  <c r="C159" i="28"/>
  <c r="A160" i="28"/>
  <c r="T158" i="28" l="1"/>
  <c r="A162" i="37"/>
  <c r="C161" i="37"/>
  <c r="B161" i="37"/>
  <c r="A160" i="36"/>
  <c r="C159" i="36"/>
  <c r="B159" i="36"/>
  <c r="A160" i="35"/>
  <c r="C159" i="35"/>
  <c r="B159" i="35"/>
  <c r="A160" i="34"/>
  <c r="C159" i="34"/>
  <c r="B159" i="34"/>
  <c r="A160" i="33"/>
  <c r="C159" i="33"/>
  <c r="B159" i="33"/>
  <c r="A162" i="32"/>
  <c r="C161" i="32"/>
  <c r="B161" i="32"/>
  <c r="A161" i="31"/>
  <c r="C160" i="31"/>
  <c r="B160" i="31"/>
  <c r="A160" i="30"/>
  <c r="C159" i="30"/>
  <c r="B159" i="30"/>
  <c r="B160" i="28"/>
  <c r="C160" i="28"/>
  <c r="A161" i="28"/>
  <c r="T159" i="28" l="1"/>
  <c r="A163" i="37"/>
  <c r="C162" i="37"/>
  <c r="B162" i="37"/>
  <c r="A161" i="36"/>
  <c r="C160" i="36"/>
  <c r="B160" i="36"/>
  <c r="A161" i="35"/>
  <c r="C160" i="35"/>
  <c r="B160" i="35"/>
  <c r="A161" i="34"/>
  <c r="C160" i="34"/>
  <c r="B160" i="34"/>
  <c r="A161" i="33"/>
  <c r="C160" i="33"/>
  <c r="B160" i="33"/>
  <c r="A163" i="32"/>
  <c r="C162" i="32"/>
  <c r="B162" i="32"/>
  <c r="A162" i="31"/>
  <c r="C161" i="31"/>
  <c r="B161" i="31"/>
  <c r="A161" i="30"/>
  <c r="C160" i="30"/>
  <c r="B160" i="30"/>
  <c r="B161" i="28"/>
  <c r="C161" i="28"/>
  <c r="A162" i="28"/>
  <c r="T160" i="28" l="1"/>
  <c r="A164" i="37"/>
  <c r="C163" i="37"/>
  <c r="B163" i="37"/>
  <c r="A162" i="36"/>
  <c r="C161" i="36"/>
  <c r="B161" i="36"/>
  <c r="A162" i="35"/>
  <c r="C161" i="35"/>
  <c r="B161" i="35"/>
  <c r="A162" i="34"/>
  <c r="C161" i="34"/>
  <c r="B161" i="34"/>
  <c r="A162" i="33"/>
  <c r="C161" i="33"/>
  <c r="B161" i="33"/>
  <c r="A164" i="32"/>
  <c r="C163" i="32"/>
  <c r="B163" i="32"/>
  <c r="A163" i="31"/>
  <c r="C162" i="31"/>
  <c r="B162" i="31"/>
  <c r="A162" i="30"/>
  <c r="C161" i="30"/>
  <c r="B161" i="30"/>
  <c r="B162" i="28"/>
  <c r="C162" i="28"/>
  <c r="A163" i="28"/>
  <c r="T161" i="28" l="1"/>
  <c r="B164" i="37"/>
  <c r="A165" i="37"/>
  <c r="C164" i="37"/>
  <c r="A163" i="36"/>
  <c r="C162" i="36"/>
  <c r="B162" i="36"/>
  <c r="A163" i="35"/>
  <c r="C162" i="35"/>
  <c r="B162" i="35"/>
  <c r="A163" i="34"/>
  <c r="C162" i="34"/>
  <c r="B162" i="34"/>
  <c r="A163" i="33"/>
  <c r="C162" i="33"/>
  <c r="B162" i="33"/>
  <c r="B164" i="32"/>
  <c r="A165" i="32"/>
  <c r="C164" i="32"/>
  <c r="A164" i="31"/>
  <c r="C163" i="31"/>
  <c r="B163" i="31"/>
  <c r="A163" i="30"/>
  <c r="C162" i="30"/>
  <c r="B162" i="30"/>
  <c r="B163" i="28"/>
  <c r="C163" i="28"/>
  <c r="A164" i="28"/>
  <c r="T162" i="28" l="1"/>
  <c r="A166" i="37"/>
  <c r="C165" i="37"/>
  <c r="B165" i="37"/>
  <c r="C163" i="36"/>
  <c r="B163" i="36"/>
  <c r="A164" i="36"/>
  <c r="C163" i="35"/>
  <c r="B163" i="35"/>
  <c r="A164" i="35"/>
  <c r="C163" i="34"/>
  <c r="B163" i="34"/>
  <c r="A164" i="34"/>
  <c r="C163" i="33"/>
  <c r="B163" i="33"/>
  <c r="A164" i="33"/>
  <c r="A166" i="32"/>
  <c r="C165" i="32"/>
  <c r="B165" i="32"/>
  <c r="C164" i="31"/>
  <c r="B164" i="31"/>
  <c r="A165" i="31"/>
  <c r="A164" i="30"/>
  <c r="C163" i="30"/>
  <c r="B163" i="30"/>
  <c r="B164" i="28"/>
  <c r="C164" i="28"/>
  <c r="A165" i="28"/>
  <c r="T163" i="28" l="1"/>
  <c r="A167" i="37"/>
  <c r="C166" i="37"/>
  <c r="B166" i="37"/>
  <c r="A165" i="36"/>
  <c r="C164" i="36"/>
  <c r="B164" i="36"/>
  <c r="A165" i="35"/>
  <c r="C164" i="35"/>
  <c r="B164" i="35"/>
  <c r="A165" i="34"/>
  <c r="C164" i="34"/>
  <c r="B164" i="34"/>
  <c r="A165" i="33"/>
  <c r="C164" i="33"/>
  <c r="B164" i="33"/>
  <c r="A167" i="32"/>
  <c r="C166" i="32"/>
  <c r="B166" i="32"/>
  <c r="A166" i="31"/>
  <c r="C165" i="31"/>
  <c r="B165" i="31"/>
  <c r="A165" i="30"/>
  <c r="C164" i="30"/>
  <c r="B164" i="30"/>
  <c r="B165" i="28"/>
  <c r="C165" i="28"/>
  <c r="A166" i="28"/>
  <c r="T164" i="28" l="1"/>
  <c r="A168" i="37"/>
  <c r="C167" i="37"/>
  <c r="B167" i="37"/>
  <c r="A166" i="36"/>
  <c r="C165" i="36"/>
  <c r="B165" i="36"/>
  <c r="A166" i="35"/>
  <c r="C165" i="35"/>
  <c r="B165" i="35"/>
  <c r="A166" i="34"/>
  <c r="C165" i="34"/>
  <c r="B165" i="34"/>
  <c r="A166" i="33"/>
  <c r="C165" i="33"/>
  <c r="B165" i="33"/>
  <c r="A168" i="32"/>
  <c r="C167" i="32"/>
  <c r="B167" i="32"/>
  <c r="A167" i="31"/>
  <c r="C166" i="31"/>
  <c r="B166" i="31"/>
  <c r="A166" i="30"/>
  <c r="C165" i="30"/>
  <c r="B165" i="30"/>
  <c r="B166" i="28"/>
  <c r="C166" i="28"/>
  <c r="A167" i="28"/>
  <c r="T165" i="28" l="1"/>
  <c r="B168" i="37"/>
  <c r="A169" i="37"/>
  <c r="C168" i="37"/>
  <c r="A167" i="36"/>
  <c r="C166" i="36"/>
  <c r="B166" i="36"/>
  <c r="A167" i="35"/>
  <c r="C166" i="35"/>
  <c r="B166" i="35"/>
  <c r="A167" i="34"/>
  <c r="C166" i="34"/>
  <c r="B166" i="34"/>
  <c r="A167" i="33"/>
  <c r="C166" i="33"/>
  <c r="B166" i="33"/>
  <c r="B168" i="32"/>
  <c r="A169" i="32"/>
  <c r="C168" i="32"/>
  <c r="A168" i="31"/>
  <c r="C167" i="31"/>
  <c r="B167" i="31"/>
  <c r="A167" i="30"/>
  <c r="C166" i="30"/>
  <c r="B166" i="30"/>
  <c r="B167" i="28"/>
  <c r="C167" i="28"/>
  <c r="A168" i="28"/>
  <c r="T166" i="28" l="1"/>
  <c r="C169" i="37"/>
  <c r="B169" i="37"/>
  <c r="A170" i="37"/>
  <c r="A168" i="36"/>
  <c r="C167" i="36"/>
  <c r="B167" i="36"/>
  <c r="A168" i="35"/>
  <c r="C167" i="35"/>
  <c r="B167" i="35"/>
  <c r="A168" i="34"/>
  <c r="C167" i="34"/>
  <c r="B167" i="34"/>
  <c r="A168" i="33"/>
  <c r="C167" i="33"/>
  <c r="B167" i="33"/>
  <c r="C169" i="32"/>
  <c r="B169" i="32"/>
  <c r="A170" i="32"/>
  <c r="B168" i="31"/>
  <c r="A169" i="31"/>
  <c r="C168" i="31"/>
  <c r="A168" i="30"/>
  <c r="C167" i="30"/>
  <c r="B167" i="30"/>
  <c r="C168" i="28"/>
  <c r="B168" i="28"/>
  <c r="A169" i="28"/>
  <c r="T167" i="28" l="1"/>
  <c r="A171" i="37"/>
  <c r="C170" i="37"/>
  <c r="B170" i="37"/>
  <c r="B168" i="36"/>
  <c r="A169" i="36"/>
  <c r="C168" i="36"/>
  <c r="B168" i="35"/>
  <c r="A169" i="35"/>
  <c r="C168" i="35"/>
  <c r="B168" i="34"/>
  <c r="A169" i="34"/>
  <c r="C168" i="34"/>
  <c r="B168" i="33"/>
  <c r="A169" i="33"/>
  <c r="C168" i="33"/>
  <c r="A171" i="32"/>
  <c r="C170" i="32"/>
  <c r="B170" i="32"/>
  <c r="B169" i="31"/>
  <c r="A170" i="31"/>
  <c r="C169" i="31"/>
  <c r="B168" i="30"/>
  <c r="A169" i="30"/>
  <c r="C168" i="30"/>
  <c r="C169" i="28"/>
  <c r="A170" i="28"/>
  <c r="B169" i="28"/>
  <c r="A171" i="28" l="1"/>
  <c r="T168" i="28"/>
  <c r="A172" i="37"/>
  <c r="C171" i="37"/>
  <c r="B171" i="37"/>
  <c r="A170" i="36"/>
  <c r="C169" i="36"/>
  <c r="B169" i="36"/>
  <c r="A170" i="35"/>
  <c r="C169" i="35"/>
  <c r="B169" i="35"/>
  <c r="A170" i="34"/>
  <c r="C169" i="34"/>
  <c r="B169" i="34"/>
  <c r="A170" i="33"/>
  <c r="C169" i="33"/>
  <c r="B169" i="33"/>
  <c r="A172" i="32"/>
  <c r="C171" i="32"/>
  <c r="B171" i="32"/>
  <c r="A171" i="31"/>
  <c r="C170" i="31"/>
  <c r="B170" i="31"/>
  <c r="B169" i="30"/>
  <c r="A170" i="30"/>
  <c r="C169" i="30"/>
  <c r="B170" i="28"/>
  <c r="C170" i="28"/>
  <c r="A172" i="28" l="1"/>
  <c r="C171" i="28"/>
  <c r="B171" i="28"/>
  <c r="T169" i="28"/>
  <c r="B172" i="28"/>
  <c r="A173" i="28"/>
  <c r="C172" i="28"/>
  <c r="A173" i="37"/>
  <c r="C172" i="37"/>
  <c r="B172" i="37"/>
  <c r="A171" i="36"/>
  <c r="C170" i="36"/>
  <c r="B170" i="36"/>
  <c r="A171" i="35"/>
  <c r="C170" i="35"/>
  <c r="B170" i="35"/>
  <c r="A171" i="34"/>
  <c r="C170" i="34"/>
  <c r="B170" i="34"/>
  <c r="A171" i="33"/>
  <c r="C170" i="33"/>
  <c r="B170" i="33"/>
  <c r="A173" i="32"/>
  <c r="C172" i="32"/>
  <c r="B172" i="32"/>
  <c r="A172" i="31"/>
  <c r="C171" i="31"/>
  <c r="B171" i="31"/>
  <c r="A171" i="30"/>
  <c r="C170" i="30"/>
  <c r="B170" i="30"/>
  <c r="C173" i="28" l="1"/>
  <c r="B173" i="28"/>
  <c r="A174" i="28"/>
  <c r="T170" i="28"/>
  <c r="C173" i="37"/>
  <c r="B173" i="37"/>
  <c r="A174" i="37"/>
  <c r="A172" i="36"/>
  <c r="C171" i="36"/>
  <c r="B171" i="36"/>
  <c r="A172" i="35"/>
  <c r="C171" i="35"/>
  <c r="B171" i="35"/>
  <c r="A172" i="34"/>
  <c r="C171" i="34"/>
  <c r="B171" i="34"/>
  <c r="A172" i="33"/>
  <c r="C171" i="33"/>
  <c r="B171" i="33"/>
  <c r="C173" i="32"/>
  <c r="B173" i="32"/>
  <c r="A174" i="32"/>
  <c r="A173" i="31"/>
  <c r="C172" i="31"/>
  <c r="B172" i="31"/>
  <c r="A172" i="30"/>
  <c r="C171" i="30"/>
  <c r="B171" i="30"/>
  <c r="T171" i="28" l="1"/>
  <c r="A175" i="28"/>
  <c r="B174" i="28"/>
  <c r="C174" i="28"/>
  <c r="A175" i="37"/>
  <c r="C174" i="37"/>
  <c r="B174" i="37"/>
  <c r="A173" i="36"/>
  <c r="C172" i="36"/>
  <c r="B172" i="36"/>
  <c r="A173" i="35"/>
  <c r="C172" i="35"/>
  <c r="B172" i="35"/>
  <c r="A173" i="34"/>
  <c r="C172" i="34"/>
  <c r="B172" i="34"/>
  <c r="A173" i="33"/>
  <c r="C172" i="33"/>
  <c r="B172" i="33"/>
  <c r="C174" i="32"/>
  <c r="A175" i="32"/>
  <c r="B174" i="32"/>
  <c r="C173" i="31"/>
  <c r="B173" i="31"/>
  <c r="A174" i="31"/>
  <c r="A173" i="30"/>
  <c r="C172" i="30"/>
  <c r="B172" i="30"/>
  <c r="A176" i="28" l="1"/>
  <c r="B175" i="28"/>
  <c r="C175" i="28"/>
  <c r="T172" i="28"/>
  <c r="A176" i="37"/>
  <c r="C175" i="37"/>
  <c r="B175" i="37"/>
  <c r="C173" i="36"/>
  <c r="B173" i="36"/>
  <c r="A174" i="36"/>
  <c r="C173" i="35"/>
  <c r="B173" i="35"/>
  <c r="A174" i="35"/>
  <c r="C173" i="34"/>
  <c r="B173" i="34"/>
  <c r="A174" i="34"/>
  <c r="C173" i="33"/>
  <c r="B173" i="33"/>
  <c r="A174" i="33"/>
  <c r="A176" i="32"/>
  <c r="C175" i="32"/>
  <c r="B175" i="32"/>
  <c r="A175" i="31"/>
  <c r="C174" i="31"/>
  <c r="B174" i="31"/>
  <c r="C173" i="30"/>
  <c r="B173" i="30"/>
  <c r="A174" i="30"/>
  <c r="T173" i="28" l="1"/>
  <c r="B176" i="28"/>
  <c r="C176" i="28"/>
  <c r="A177" i="28"/>
  <c r="A177" i="37"/>
  <c r="C176" i="37"/>
  <c r="B176" i="37"/>
  <c r="B174" i="36"/>
  <c r="A175" i="36"/>
  <c r="C174" i="36"/>
  <c r="B174" i="35"/>
  <c r="A175" i="35"/>
  <c r="C174" i="35"/>
  <c r="B174" i="34"/>
  <c r="A175" i="34"/>
  <c r="C174" i="34"/>
  <c r="B174" i="33"/>
  <c r="A175" i="33"/>
  <c r="C174" i="33"/>
  <c r="A177" i="32"/>
  <c r="C176" i="32"/>
  <c r="B176" i="32"/>
  <c r="B175" i="31"/>
  <c r="A176" i="31"/>
  <c r="C175" i="31"/>
  <c r="C174" i="30"/>
  <c r="A175" i="30"/>
  <c r="B174" i="30"/>
  <c r="B177" i="28" l="1"/>
  <c r="C177" i="28"/>
  <c r="A178" i="28"/>
  <c r="T174" i="28"/>
  <c r="A178" i="37"/>
  <c r="C177" i="37"/>
  <c r="B177" i="37"/>
  <c r="A176" i="36"/>
  <c r="C175" i="36"/>
  <c r="B175" i="36"/>
  <c r="A176" i="35"/>
  <c r="C175" i="35"/>
  <c r="B175" i="35"/>
  <c r="A176" i="34"/>
  <c r="C175" i="34"/>
  <c r="B175" i="34"/>
  <c r="A176" i="33"/>
  <c r="C175" i="33"/>
  <c r="B175" i="33"/>
  <c r="A178" i="32"/>
  <c r="C177" i="32"/>
  <c r="B177" i="32"/>
  <c r="A177" i="31"/>
  <c r="C176" i="31"/>
  <c r="B176" i="31"/>
  <c r="A176" i="30"/>
  <c r="C175" i="30"/>
  <c r="B175" i="30"/>
  <c r="T175" i="28" l="1"/>
  <c r="B178" i="28"/>
  <c r="C178" i="28"/>
  <c r="A179" i="28"/>
  <c r="A179" i="37"/>
  <c r="C178" i="37"/>
  <c r="B178" i="37"/>
  <c r="A177" i="36"/>
  <c r="C176" i="36"/>
  <c r="B176" i="36"/>
  <c r="A177" i="35"/>
  <c r="C176" i="35"/>
  <c r="B176" i="35"/>
  <c r="A177" i="34"/>
  <c r="C176" i="34"/>
  <c r="B176" i="34"/>
  <c r="A177" i="33"/>
  <c r="C176" i="33"/>
  <c r="B176" i="33"/>
  <c r="A179" i="32"/>
  <c r="C178" i="32"/>
  <c r="B178" i="32"/>
  <c r="A178" i="31"/>
  <c r="C177" i="31"/>
  <c r="B177" i="31"/>
  <c r="A177" i="30"/>
  <c r="C176" i="30"/>
  <c r="B176" i="30"/>
  <c r="C179" i="28" l="1"/>
  <c r="A180" i="28"/>
  <c r="B179" i="28"/>
  <c r="T176" i="28"/>
  <c r="A180" i="37"/>
  <c r="C179" i="37"/>
  <c r="B179" i="37"/>
  <c r="A178" i="36"/>
  <c r="C177" i="36"/>
  <c r="B177" i="36"/>
  <c r="A178" i="35"/>
  <c r="C177" i="35"/>
  <c r="B177" i="35"/>
  <c r="A178" i="34"/>
  <c r="C177" i="34"/>
  <c r="B177" i="34"/>
  <c r="A178" i="33"/>
  <c r="C177" i="33"/>
  <c r="B177" i="33"/>
  <c r="A180" i="32"/>
  <c r="C179" i="32"/>
  <c r="B179" i="32"/>
  <c r="A179" i="31"/>
  <c r="C178" i="31"/>
  <c r="B178" i="31"/>
  <c r="A178" i="30"/>
  <c r="C177" i="30"/>
  <c r="B177" i="30"/>
  <c r="T177" i="28" l="1"/>
  <c r="B180" i="28"/>
  <c r="C180" i="28"/>
  <c r="A181" i="28"/>
  <c r="B180" i="37"/>
  <c r="A181" i="37"/>
  <c r="C180" i="37"/>
  <c r="A179" i="36"/>
  <c r="C178" i="36"/>
  <c r="B178" i="36"/>
  <c r="A179" i="35"/>
  <c r="C178" i="35"/>
  <c r="B178" i="35"/>
  <c r="A179" i="34"/>
  <c r="C178" i="34"/>
  <c r="B178" i="34"/>
  <c r="A179" i="33"/>
  <c r="C178" i="33"/>
  <c r="B178" i="33"/>
  <c r="B180" i="32"/>
  <c r="A181" i="32"/>
  <c r="C180" i="32"/>
  <c r="A180" i="31"/>
  <c r="C179" i="31"/>
  <c r="B179" i="31"/>
  <c r="A179" i="30"/>
  <c r="C178" i="30"/>
  <c r="B178" i="30"/>
  <c r="C181" i="28" l="1"/>
  <c r="B181" i="28"/>
  <c r="A182" i="28"/>
  <c r="T178" i="28"/>
  <c r="A182" i="37"/>
  <c r="C181" i="37"/>
  <c r="B181" i="37"/>
  <c r="C179" i="36"/>
  <c r="B179" i="36"/>
  <c r="A180" i="36"/>
  <c r="B179" i="35"/>
  <c r="C179" i="35"/>
  <c r="A180" i="35"/>
  <c r="B179" i="34"/>
  <c r="C179" i="34"/>
  <c r="A180" i="34"/>
  <c r="C179" i="33"/>
  <c r="B179" i="33"/>
  <c r="A180" i="33"/>
  <c r="A182" i="32"/>
  <c r="C181" i="32"/>
  <c r="B181" i="32"/>
  <c r="C180" i="31"/>
  <c r="B180" i="31"/>
  <c r="A181" i="31"/>
  <c r="A180" i="30"/>
  <c r="C179" i="30"/>
  <c r="B179" i="30"/>
  <c r="T179" i="28" l="1"/>
  <c r="B182" i="28"/>
  <c r="C182" i="28"/>
  <c r="A183" i="28"/>
  <c r="A183" i="37"/>
  <c r="C182" i="37"/>
  <c r="B182" i="37"/>
  <c r="A181" i="36"/>
  <c r="C180" i="36"/>
  <c r="B180" i="36"/>
  <c r="A181" i="35"/>
  <c r="C180" i="35"/>
  <c r="B180" i="35"/>
  <c r="A181" i="34"/>
  <c r="C180" i="34"/>
  <c r="B180" i="34"/>
  <c r="A181" i="33"/>
  <c r="C180" i="33"/>
  <c r="B180" i="33"/>
  <c r="A183" i="32"/>
  <c r="C182" i="32"/>
  <c r="B182" i="32"/>
  <c r="A182" i="31"/>
  <c r="C181" i="31"/>
  <c r="B181" i="31"/>
  <c r="A181" i="30"/>
  <c r="C180" i="30"/>
  <c r="B180" i="30"/>
  <c r="C183" i="28" l="1"/>
  <c r="A184" i="28"/>
  <c r="B183" i="28"/>
  <c r="T180" i="28"/>
  <c r="A184" i="37"/>
  <c r="C183" i="37"/>
  <c r="B183" i="37"/>
  <c r="A182" i="36"/>
  <c r="C181" i="36"/>
  <c r="B181" i="36"/>
  <c r="A182" i="35"/>
  <c r="C181" i="35"/>
  <c r="B181" i="35"/>
  <c r="A182" i="34"/>
  <c r="C181" i="34"/>
  <c r="B181" i="34"/>
  <c r="A182" i="33"/>
  <c r="C181" i="33"/>
  <c r="B181" i="33"/>
  <c r="A184" i="32"/>
  <c r="C183" i="32"/>
  <c r="B183" i="32"/>
  <c r="A183" i="31"/>
  <c r="C182" i="31"/>
  <c r="B182" i="31"/>
  <c r="A182" i="30"/>
  <c r="C181" i="30"/>
  <c r="B181" i="30"/>
  <c r="T181" i="28" l="1"/>
  <c r="B184" i="28"/>
  <c r="A185" i="28"/>
  <c r="C184" i="28"/>
  <c r="B184" i="37"/>
  <c r="A185" i="37"/>
  <c r="C184" i="37"/>
  <c r="A183" i="36"/>
  <c r="C182" i="36"/>
  <c r="B182" i="36"/>
  <c r="A183" i="35"/>
  <c r="C182" i="35"/>
  <c r="B182" i="35"/>
  <c r="A183" i="34"/>
  <c r="C182" i="34"/>
  <c r="B182" i="34"/>
  <c r="A183" i="33"/>
  <c r="C182" i="33"/>
  <c r="B182" i="33"/>
  <c r="B184" i="32"/>
  <c r="A185" i="32"/>
  <c r="C184" i="32"/>
  <c r="A184" i="31"/>
  <c r="C183" i="31"/>
  <c r="B183" i="31"/>
  <c r="A183" i="30"/>
  <c r="C182" i="30"/>
  <c r="B182" i="30"/>
  <c r="C185" i="28" l="1"/>
  <c r="B185" i="28"/>
  <c r="A186" i="28"/>
  <c r="T182" i="28"/>
  <c r="C185" i="37"/>
  <c r="B185" i="37"/>
  <c r="A186" i="37"/>
  <c r="A184" i="36"/>
  <c r="C183" i="36"/>
  <c r="B183" i="36"/>
  <c r="A184" i="35"/>
  <c r="C183" i="35"/>
  <c r="B183" i="35"/>
  <c r="A184" i="34"/>
  <c r="C183" i="34"/>
  <c r="B183" i="34"/>
  <c r="A184" i="33"/>
  <c r="C183" i="33"/>
  <c r="B183" i="33"/>
  <c r="C185" i="32"/>
  <c r="B185" i="32"/>
  <c r="A186" i="32"/>
  <c r="B184" i="31"/>
  <c r="A185" i="31"/>
  <c r="C184" i="31"/>
  <c r="A184" i="30"/>
  <c r="C183" i="30"/>
  <c r="B183" i="30"/>
  <c r="T183" i="28" l="1"/>
  <c r="C186" i="28"/>
  <c r="B186" i="28"/>
  <c r="A187" i="28"/>
  <c r="A187" i="37"/>
  <c r="C186" i="37"/>
  <c r="B186" i="37"/>
  <c r="B184" i="36"/>
  <c r="C184" i="36"/>
  <c r="A185" i="36"/>
  <c r="B184" i="35"/>
  <c r="A185" i="35"/>
  <c r="C184" i="35"/>
  <c r="B184" i="34"/>
  <c r="A185" i="34"/>
  <c r="C184" i="34"/>
  <c r="B184" i="33"/>
  <c r="A185" i="33"/>
  <c r="C184" i="33"/>
  <c r="A187" i="32"/>
  <c r="C186" i="32"/>
  <c r="B186" i="32"/>
  <c r="A186" i="31"/>
  <c r="B185" i="31"/>
  <c r="C185" i="31"/>
  <c r="B184" i="30"/>
  <c r="A185" i="30"/>
  <c r="C184" i="30"/>
  <c r="B187" i="28" l="1"/>
  <c r="A188" i="28"/>
  <c r="C187" i="28"/>
  <c r="T184" i="28"/>
  <c r="A188" i="37"/>
  <c r="C187" i="37"/>
  <c r="B187" i="37"/>
  <c r="A186" i="36"/>
  <c r="C185" i="36"/>
  <c r="B185" i="36"/>
  <c r="A186" i="35"/>
  <c r="C185" i="35"/>
  <c r="B185" i="35"/>
  <c r="A186" i="34"/>
  <c r="C185" i="34"/>
  <c r="B185" i="34"/>
  <c r="A186" i="33"/>
  <c r="C185" i="33"/>
  <c r="B185" i="33"/>
  <c r="A188" i="32"/>
  <c r="C187" i="32"/>
  <c r="B187" i="32"/>
  <c r="A187" i="31"/>
  <c r="C186" i="31"/>
  <c r="B186" i="31"/>
  <c r="B185" i="30"/>
  <c r="A186" i="30"/>
  <c r="C185" i="30"/>
  <c r="T185" i="28" l="1"/>
  <c r="C188" i="28"/>
  <c r="B188" i="28"/>
  <c r="A189" i="28"/>
  <c r="A189" i="37"/>
  <c r="C188" i="37"/>
  <c r="B188" i="37"/>
  <c r="A187" i="36"/>
  <c r="C186" i="36"/>
  <c r="B186" i="36"/>
  <c r="A187" i="35"/>
  <c r="C186" i="35"/>
  <c r="B186" i="35"/>
  <c r="A187" i="34"/>
  <c r="C186" i="34"/>
  <c r="B186" i="34"/>
  <c r="A187" i="33"/>
  <c r="C186" i="33"/>
  <c r="B186" i="33"/>
  <c r="A189" i="32"/>
  <c r="C188" i="32"/>
  <c r="B188" i="32"/>
  <c r="A188" i="31"/>
  <c r="C187" i="31"/>
  <c r="B187" i="31"/>
  <c r="A187" i="30"/>
  <c r="C186" i="30"/>
  <c r="B186" i="30"/>
  <c r="C189" i="28" l="1"/>
  <c r="B189" i="28"/>
  <c r="A190" i="28"/>
  <c r="T186" i="28"/>
  <c r="C189" i="37"/>
  <c r="B189" i="37"/>
  <c r="A190" i="37"/>
  <c r="A188" i="36"/>
  <c r="C187" i="36"/>
  <c r="B187" i="36"/>
  <c r="A188" i="35"/>
  <c r="C187" i="35"/>
  <c r="B187" i="35"/>
  <c r="A188" i="34"/>
  <c r="C187" i="34"/>
  <c r="B187" i="34"/>
  <c r="A188" i="33"/>
  <c r="C187" i="33"/>
  <c r="B187" i="33"/>
  <c r="C189" i="32"/>
  <c r="B189" i="32"/>
  <c r="A190" i="32"/>
  <c r="A189" i="31"/>
  <c r="C188" i="31"/>
  <c r="B188" i="31"/>
  <c r="A188" i="30"/>
  <c r="C187" i="30"/>
  <c r="B187" i="30"/>
  <c r="T187" i="28" l="1"/>
  <c r="C190" i="28"/>
  <c r="B190" i="28"/>
  <c r="A191" i="28"/>
  <c r="A191" i="37"/>
  <c r="C190" i="37"/>
  <c r="B190" i="37"/>
  <c r="A189" i="36"/>
  <c r="C188" i="36"/>
  <c r="B188" i="36"/>
  <c r="A189" i="35"/>
  <c r="C188" i="35"/>
  <c r="B188" i="35"/>
  <c r="A189" i="34"/>
  <c r="C188" i="34"/>
  <c r="B188" i="34"/>
  <c r="A189" i="33"/>
  <c r="C188" i="33"/>
  <c r="B188" i="33"/>
  <c r="A191" i="32"/>
  <c r="C190" i="32"/>
  <c r="B190" i="32"/>
  <c r="C189" i="31"/>
  <c r="B189" i="31"/>
  <c r="A190" i="31"/>
  <c r="A189" i="30"/>
  <c r="C188" i="30"/>
  <c r="B188" i="30"/>
  <c r="A192" i="28" l="1"/>
  <c r="C191" i="28"/>
  <c r="B191" i="28"/>
  <c r="T188" i="28"/>
  <c r="A192" i="37"/>
  <c r="C191" i="37"/>
  <c r="B191" i="37"/>
  <c r="C189" i="36"/>
  <c r="B189" i="36"/>
  <c r="A190" i="36"/>
  <c r="C189" i="35"/>
  <c r="B189" i="35"/>
  <c r="A190" i="35"/>
  <c r="C189" i="34"/>
  <c r="B189" i="34"/>
  <c r="A190" i="34"/>
  <c r="C189" i="33"/>
  <c r="B189" i="33"/>
  <c r="A190" i="33"/>
  <c r="A192" i="32"/>
  <c r="C191" i="32"/>
  <c r="B191" i="32"/>
  <c r="C190" i="31"/>
  <c r="A191" i="31"/>
  <c r="B190" i="31"/>
  <c r="C189" i="30"/>
  <c r="B189" i="30"/>
  <c r="A190" i="30"/>
  <c r="T189" i="28" l="1"/>
  <c r="B192" i="28"/>
  <c r="A193" i="28"/>
  <c r="C192" i="28"/>
  <c r="A193" i="37"/>
  <c r="C192" i="37"/>
  <c r="B192" i="37"/>
  <c r="A191" i="36"/>
  <c r="C190" i="36"/>
  <c r="B190" i="36"/>
  <c r="B190" i="35"/>
  <c r="A191" i="35"/>
  <c r="C190" i="35"/>
  <c r="A191" i="34"/>
  <c r="C190" i="34"/>
  <c r="B190" i="34"/>
  <c r="A191" i="33"/>
  <c r="B190" i="33"/>
  <c r="C190" i="33"/>
  <c r="A193" i="32"/>
  <c r="C192" i="32"/>
  <c r="B192" i="32"/>
  <c r="B191" i="31"/>
  <c r="A192" i="31"/>
  <c r="C191" i="31"/>
  <c r="C190" i="30"/>
  <c r="A191" i="30"/>
  <c r="B190" i="30"/>
  <c r="B193" i="28" l="1"/>
  <c r="C193" i="28"/>
  <c r="A194" i="28"/>
  <c r="T190" i="28"/>
  <c r="A194" i="37"/>
  <c r="C193" i="37"/>
  <c r="B193" i="37"/>
  <c r="A192" i="36"/>
  <c r="C191" i="36"/>
  <c r="B191" i="36"/>
  <c r="A192" i="35"/>
  <c r="C191" i="35"/>
  <c r="B191" i="35"/>
  <c r="A192" i="34"/>
  <c r="C191" i="34"/>
  <c r="B191" i="34"/>
  <c r="A192" i="33"/>
  <c r="C191" i="33"/>
  <c r="B191" i="33"/>
  <c r="A194" i="32"/>
  <c r="C193" i="32"/>
  <c r="B193" i="32"/>
  <c r="A193" i="31"/>
  <c r="C192" i="31"/>
  <c r="B192" i="31"/>
  <c r="A192" i="30"/>
  <c r="C191" i="30"/>
  <c r="B191" i="30"/>
  <c r="T191" i="28" l="1"/>
  <c r="C194" i="28"/>
  <c r="A195" i="28"/>
  <c r="B194" i="28"/>
  <c r="A195" i="37"/>
  <c r="C194" i="37"/>
  <c r="B194" i="37"/>
  <c r="A193" i="36"/>
  <c r="C192" i="36"/>
  <c r="B192" i="36"/>
  <c r="A193" i="35"/>
  <c r="C192" i="35"/>
  <c r="B192" i="35"/>
  <c r="A193" i="34"/>
  <c r="C192" i="34"/>
  <c r="B192" i="34"/>
  <c r="A193" i="33"/>
  <c r="C192" i="33"/>
  <c r="B192" i="33"/>
  <c r="A195" i="32"/>
  <c r="C194" i="32"/>
  <c r="B194" i="32"/>
  <c r="A194" i="31"/>
  <c r="C193" i="31"/>
  <c r="B193" i="31"/>
  <c r="A193" i="30"/>
  <c r="C192" i="30"/>
  <c r="B192" i="30"/>
  <c r="C195" i="28" l="1"/>
  <c r="B195" i="28"/>
  <c r="A196" i="28"/>
  <c r="T192" i="28"/>
  <c r="A196" i="37"/>
  <c r="C195" i="37"/>
  <c r="B195" i="37"/>
  <c r="A194" i="36"/>
  <c r="C193" i="36"/>
  <c r="B193" i="36"/>
  <c r="A194" i="35"/>
  <c r="C193" i="35"/>
  <c r="B193" i="35"/>
  <c r="A194" i="34"/>
  <c r="C193" i="34"/>
  <c r="B193" i="34"/>
  <c r="A194" i="33"/>
  <c r="C193" i="33"/>
  <c r="B193" i="33"/>
  <c r="A196" i="32"/>
  <c r="C195" i="32"/>
  <c r="B195" i="32"/>
  <c r="A195" i="31"/>
  <c r="C194" i="31"/>
  <c r="B194" i="31"/>
  <c r="A194" i="30"/>
  <c r="C193" i="30"/>
  <c r="B193" i="30"/>
  <c r="T193" i="28" l="1"/>
  <c r="A197" i="28"/>
  <c r="B196" i="28"/>
  <c r="C196" i="28"/>
  <c r="A197" i="37"/>
  <c r="B196" i="37"/>
  <c r="C196" i="37"/>
  <c r="A195" i="36"/>
  <c r="C194" i="36"/>
  <c r="B194" i="36"/>
  <c r="A195" i="35"/>
  <c r="C194" i="35"/>
  <c r="B194" i="35"/>
  <c r="A195" i="34"/>
  <c r="C194" i="34"/>
  <c r="B194" i="34"/>
  <c r="A195" i="33"/>
  <c r="C194" i="33"/>
  <c r="B194" i="33"/>
  <c r="A197" i="32"/>
  <c r="C196" i="32"/>
  <c r="B196" i="32"/>
  <c r="A196" i="31"/>
  <c r="C195" i="31"/>
  <c r="B195" i="31"/>
  <c r="A195" i="30"/>
  <c r="C194" i="30"/>
  <c r="B194" i="30"/>
  <c r="C197" i="28" l="1"/>
  <c r="A198" i="28"/>
  <c r="B197" i="28"/>
  <c r="T194" i="28"/>
  <c r="A198" i="37"/>
  <c r="C197" i="37"/>
  <c r="B197" i="37"/>
  <c r="C195" i="36"/>
  <c r="B195" i="36"/>
  <c r="A196" i="36"/>
  <c r="B195" i="35"/>
  <c r="A196" i="35"/>
  <c r="C195" i="35"/>
  <c r="B195" i="34"/>
  <c r="C195" i="34"/>
  <c r="A196" i="34"/>
  <c r="C195" i="33"/>
  <c r="A196" i="33"/>
  <c r="B195" i="33"/>
  <c r="A198" i="32"/>
  <c r="C197" i="32"/>
  <c r="B197" i="32"/>
  <c r="C196" i="31"/>
  <c r="B196" i="31"/>
  <c r="A197" i="31"/>
  <c r="A196" i="30"/>
  <c r="C195" i="30"/>
  <c r="B195" i="30"/>
  <c r="T195" i="28" l="1"/>
  <c r="C198" i="28"/>
  <c r="B198" i="28"/>
  <c r="A199" i="28"/>
  <c r="A199" i="37"/>
  <c r="C198" i="37"/>
  <c r="B198" i="37"/>
  <c r="A197" i="36"/>
  <c r="C196" i="36"/>
  <c r="B196" i="36"/>
  <c r="A197" i="35"/>
  <c r="C196" i="35"/>
  <c r="B196" i="35"/>
  <c r="A197" i="34"/>
  <c r="C196" i="34"/>
  <c r="B196" i="34"/>
  <c r="A197" i="33"/>
  <c r="C196" i="33"/>
  <c r="B196" i="33"/>
  <c r="A199" i="32"/>
  <c r="C198" i="32"/>
  <c r="B198" i="32"/>
  <c r="A198" i="31"/>
  <c r="C197" i="31"/>
  <c r="B197" i="31"/>
  <c r="A197" i="30"/>
  <c r="C196" i="30"/>
  <c r="B196" i="30"/>
  <c r="B199" i="28" l="1"/>
  <c r="C199" i="28"/>
  <c r="A200" i="28"/>
  <c r="T196" i="28"/>
  <c r="A200" i="37"/>
  <c r="C199" i="37"/>
  <c r="B199" i="37"/>
  <c r="A198" i="36"/>
  <c r="C197" i="36"/>
  <c r="B197" i="36"/>
  <c r="A198" i="35"/>
  <c r="C197" i="35"/>
  <c r="B197" i="35"/>
  <c r="A198" i="34"/>
  <c r="C197" i="34"/>
  <c r="B197" i="34"/>
  <c r="A198" i="33"/>
  <c r="C197" i="33"/>
  <c r="B197" i="33"/>
  <c r="A200" i="32"/>
  <c r="C199" i="32"/>
  <c r="B199" i="32"/>
  <c r="A199" i="31"/>
  <c r="C198" i="31"/>
  <c r="B198" i="31"/>
  <c r="A198" i="30"/>
  <c r="C197" i="30"/>
  <c r="B197" i="30"/>
  <c r="T197" i="28" l="1"/>
  <c r="B200" i="28"/>
  <c r="C200" i="28"/>
  <c r="A201" i="28"/>
  <c r="B200" i="37"/>
  <c r="A201" i="37"/>
  <c r="C200" i="37"/>
  <c r="A199" i="36"/>
  <c r="C198" i="36"/>
  <c r="B198" i="36"/>
  <c r="A199" i="35"/>
  <c r="C198" i="35"/>
  <c r="B198" i="35"/>
  <c r="A199" i="34"/>
  <c r="C198" i="34"/>
  <c r="B198" i="34"/>
  <c r="A199" i="33"/>
  <c r="C198" i="33"/>
  <c r="B198" i="33"/>
  <c r="B200" i="32"/>
  <c r="A201" i="32"/>
  <c r="C200" i="32"/>
  <c r="A200" i="31"/>
  <c r="C199" i="31"/>
  <c r="B199" i="31"/>
  <c r="A199" i="30"/>
  <c r="C198" i="30"/>
  <c r="B198" i="30"/>
  <c r="B201" i="28" l="1"/>
  <c r="C201" i="28"/>
  <c r="A202" i="28"/>
  <c r="T198" i="28"/>
  <c r="B201" i="37"/>
  <c r="A202" i="37"/>
  <c r="C201" i="37"/>
  <c r="A200" i="36"/>
  <c r="C199" i="36"/>
  <c r="B199" i="36"/>
  <c r="A200" i="35"/>
  <c r="C199" i="35"/>
  <c r="B199" i="35"/>
  <c r="A200" i="34"/>
  <c r="C199" i="34"/>
  <c r="B199" i="34"/>
  <c r="A200" i="33"/>
  <c r="C199" i="33"/>
  <c r="B199" i="33"/>
  <c r="C201" i="32"/>
  <c r="B201" i="32"/>
  <c r="A202" i="32"/>
  <c r="B200" i="31"/>
  <c r="A201" i="31"/>
  <c r="C200" i="31"/>
  <c r="A200" i="30"/>
  <c r="C199" i="30"/>
  <c r="B199" i="30"/>
  <c r="T199" i="28" l="1"/>
  <c r="A203" i="28"/>
  <c r="B202" i="28"/>
  <c r="C202" i="28"/>
  <c r="A203" i="37"/>
  <c r="C202" i="37"/>
  <c r="B202" i="37"/>
  <c r="B200" i="36"/>
  <c r="A201" i="36"/>
  <c r="C200" i="36"/>
  <c r="B200" i="35"/>
  <c r="C200" i="35"/>
  <c r="A201" i="35"/>
  <c r="B200" i="34"/>
  <c r="C200" i="34"/>
  <c r="A201" i="34"/>
  <c r="B200" i="33"/>
  <c r="C200" i="33"/>
  <c r="A201" i="33"/>
  <c r="A203" i="32"/>
  <c r="C202" i="32"/>
  <c r="B202" i="32"/>
  <c r="C201" i="31"/>
  <c r="A202" i="31"/>
  <c r="B201" i="31"/>
  <c r="B200" i="30"/>
  <c r="A201" i="30"/>
  <c r="C200" i="30"/>
  <c r="B203" i="28" l="1"/>
  <c r="C203" i="28"/>
  <c r="A204" i="28"/>
  <c r="T200" i="28"/>
  <c r="A204" i="37"/>
  <c r="C203" i="37"/>
  <c r="B203" i="37"/>
  <c r="A202" i="36"/>
  <c r="C201" i="36"/>
  <c r="B201" i="36"/>
  <c r="A202" i="35"/>
  <c r="C201" i="35"/>
  <c r="B201" i="35"/>
  <c r="A202" i="34"/>
  <c r="C201" i="34"/>
  <c r="B201" i="34"/>
  <c r="A202" i="33"/>
  <c r="C201" i="33"/>
  <c r="B201" i="33"/>
  <c r="A204" i="32"/>
  <c r="C203" i="32"/>
  <c r="B203" i="32"/>
  <c r="A203" i="31"/>
  <c r="C202" i="31"/>
  <c r="B202" i="31"/>
  <c r="A202" i="30"/>
  <c r="C201" i="30"/>
  <c r="B201" i="30"/>
  <c r="T201" i="28" l="1"/>
  <c r="A205" i="28"/>
  <c r="B204" i="28"/>
  <c r="C204" i="28"/>
  <c r="A205" i="37"/>
  <c r="C204" i="37"/>
  <c r="B204" i="37"/>
  <c r="A203" i="36"/>
  <c r="C202" i="36"/>
  <c r="B202" i="36"/>
  <c r="A203" i="35"/>
  <c r="C202" i="35"/>
  <c r="B202" i="35"/>
  <c r="A203" i="34"/>
  <c r="C202" i="34"/>
  <c r="B202" i="34"/>
  <c r="A203" i="33"/>
  <c r="C202" i="33"/>
  <c r="B202" i="33"/>
  <c r="A205" i="32"/>
  <c r="C204" i="32"/>
  <c r="B204" i="32"/>
  <c r="A204" i="31"/>
  <c r="C203" i="31"/>
  <c r="B203" i="31"/>
  <c r="A203" i="30"/>
  <c r="C202" i="30"/>
  <c r="B202" i="30"/>
  <c r="B205" i="28" l="1"/>
  <c r="C205" i="28"/>
  <c r="T202" i="28"/>
  <c r="C205" i="37"/>
  <c r="B205" i="37"/>
  <c r="A204" i="36"/>
  <c r="C203" i="36"/>
  <c r="B203" i="36"/>
  <c r="A204" i="35"/>
  <c r="C203" i="35"/>
  <c r="B203" i="35"/>
  <c r="A204" i="34"/>
  <c r="C203" i="34"/>
  <c r="B203" i="34"/>
  <c r="A204" i="33"/>
  <c r="C203" i="33"/>
  <c r="B203" i="33"/>
  <c r="C205" i="32"/>
  <c r="B205" i="32"/>
  <c r="A205" i="31"/>
  <c r="C204" i="31"/>
  <c r="B204" i="31"/>
  <c r="A204" i="30"/>
  <c r="C203" i="30"/>
  <c r="B203" i="30"/>
  <c r="T203" i="28" l="1"/>
  <c r="A205" i="36"/>
  <c r="C204" i="36"/>
  <c r="B204" i="36"/>
  <c r="A205" i="35"/>
  <c r="C204" i="35"/>
  <c r="B204" i="35"/>
  <c r="A205" i="34"/>
  <c r="C204" i="34"/>
  <c r="B204" i="34"/>
  <c r="A205" i="33"/>
  <c r="C204" i="33"/>
  <c r="B204" i="33"/>
  <c r="C205" i="31"/>
  <c r="B205" i="31"/>
  <c r="A205" i="30"/>
  <c r="C204" i="30"/>
  <c r="B204" i="30"/>
  <c r="T205" i="28" l="1"/>
  <c r="T204" i="28"/>
  <c r="C205" i="36"/>
  <c r="B205" i="36"/>
  <c r="C205" i="35"/>
  <c r="B205" i="35"/>
  <c r="C205" i="34"/>
  <c r="B205" i="34"/>
  <c r="C205" i="33"/>
  <c r="B205" i="33"/>
  <c r="C205" i="30"/>
  <c r="B205" i="30"/>
  <c r="Y44" i="8" l="1"/>
  <c r="Y43" i="8"/>
  <c r="Y42" i="8"/>
  <c r="Y41" i="8"/>
  <c r="Y40" i="8"/>
  <c r="Y39" i="8"/>
  <c r="Y38" i="8"/>
  <c r="V44" i="8"/>
  <c r="V43" i="8"/>
  <c r="V42" i="8"/>
  <c r="V41" i="8"/>
  <c r="V40" i="8"/>
  <c r="V39" i="8"/>
  <c r="V38" i="8"/>
  <c r="S44" i="8"/>
  <c r="S43" i="8"/>
  <c r="S42" i="8"/>
  <c r="S41" i="8"/>
  <c r="S40" i="8"/>
  <c r="S39" i="8"/>
  <c r="S38" i="8"/>
  <c r="P44" i="8"/>
  <c r="P43" i="8"/>
  <c r="P42" i="8"/>
  <c r="P41" i="8"/>
  <c r="P40" i="8"/>
  <c r="P39" i="8"/>
  <c r="P38" i="8"/>
  <c r="M44" i="8"/>
  <c r="M43" i="8"/>
  <c r="M42" i="8"/>
  <c r="M41" i="8"/>
  <c r="M40" i="8"/>
  <c r="M39" i="8"/>
  <c r="M38" i="8"/>
  <c r="J44" i="8"/>
  <c r="J43" i="8"/>
  <c r="J42" i="8"/>
  <c r="J41" i="8"/>
  <c r="J40" i="8"/>
  <c r="J39" i="8"/>
  <c r="J38" i="8"/>
  <c r="G44" i="8"/>
  <c r="G43" i="8"/>
  <c r="G42" i="8"/>
  <c r="G41" i="8"/>
  <c r="G40" i="8"/>
  <c r="G39" i="8"/>
  <c r="G38" i="8"/>
  <c r="D44" i="8"/>
  <c r="D43" i="8"/>
  <c r="D42" i="8"/>
  <c r="D41" i="8"/>
  <c r="D40" i="8"/>
  <c r="D39" i="8"/>
  <c r="D38" i="8"/>
  <c r="R36" i="41"/>
  <c r="Q36" i="41"/>
  <c r="P36" i="41"/>
  <c r="O36" i="41"/>
  <c r="N36" i="41"/>
  <c r="M36" i="41"/>
  <c r="L36" i="41"/>
  <c r="C36" i="41"/>
  <c r="D36" i="41"/>
  <c r="E36" i="41"/>
  <c r="F36" i="41"/>
  <c r="G36" i="41"/>
  <c r="H36" i="41"/>
  <c r="I36" i="41"/>
  <c r="D24" i="7"/>
  <c r="E24" i="7" s="1"/>
  <c r="F24" i="7" s="1"/>
  <c r="G24" i="7" s="1"/>
  <c r="Y15" i="8"/>
  <c r="Y14" i="8"/>
  <c r="Y13" i="8"/>
  <c r="Y12" i="8"/>
  <c r="Y11" i="8"/>
  <c r="Y10" i="8"/>
  <c r="Y9" i="8"/>
  <c r="Y8" i="8"/>
  <c r="Y7" i="8"/>
  <c r="V15" i="8"/>
  <c r="V14" i="8"/>
  <c r="V13" i="8"/>
  <c r="V12" i="8"/>
  <c r="V11" i="8"/>
  <c r="V10" i="8"/>
  <c r="V9" i="8"/>
  <c r="V8" i="8"/>
  <c r="V7" i="8"/>
  <c r="S15" i="8"/>
  <c r="S14" i="8"/>
  <c r="S13" i="8"/>
  <c r="S12" i="8"/>
  <c r="S11" i="8"/>
  <c r="S10" i="8"/>
  <c r="S9" i="8"/>
  <c r="S8" i="8"/>
  <c r="S7" i="8"/>
  <c r="P15" i="8"/>
  <c r="P14" i="8"/>
  <c r="P13" i="8"/>
  <c r="P12" i="8"/>
  <c r="P11" i="8"/>
  <c r="P10" i="8"/>
  <c r="P9" i="8"/>
  <c r="P8" i="8"/>
  <c r="P7" i="8"/>
  <c r="M15" i="8"/>
  <c r="M14" i="8"/>
  <c r="M13" i="8"/>
  <c r="M12" i="8"/>
  <c r="M11" i="8"/>
  <c r="M10" i="8"/>
  <c r="M9" i="8"/>
  <c r="M8" i="8"/>
  <c r="M7" i="8"/>
  <c r="J15" i="8"/>
  <c r="J14" i="8"/>
  <c r="J13" i="8"/>
  <c r="J12" i="8"/>
  <c r="J11" i="8"/>
  <c r="J10" i="8"/>
  <c r="J9" i="8"/>
  <c r="J8" i="8"/>
  <c r="J7" i="8"/>
  <c r="G15" i="8"/>
  <c r="G14" i="8"/>
  <c r="G13" i="8"/>
  <c r="G12" i="8"/>
  <c r="G11" i="8"/>
  <c r="G10" i="8"/>
  <c r="G9" i="8"/>
  <c r="G8" i="8"/>
  <c r="G7" i="8"/>
  <c r="D15" i="8"/>
  <c r="D14" i="8"/>
  <c r="D13" i="8"/>
  <c r="D12" i="8"/>
  <c r="D11" i="8"/>
  <c r="D10" i="8"/>
  <c r="D9" i="8"/>
  <c r="D8" i="8"/>
  <c r="D7" i="8"/>
  <c r="B11" i="8"/>
  <c r="B12" i="8"/>
  <c r="B26" i="8" s="1"/>
  <c r="B10" i="8"/>
  <c r="P2" i="29" l="1"/>
  <c r="P34" i="41"/>
  <c r="X55" i="8"/>
  <c r="I34" i="41"/>
  <c r="AH27" i="8"/>
  <c r="Q34" i="41"/>
  <c r="AC55" i="8"/>
  <c r="H34" i="41"/>
  <c r="AC27" i="8"/>
  <c r="R34" i="41"/>
  <c r="AH55" i="8"/>
  <c r="G34" i="41"/>
  <c r="X27" i="8"/>
  <c r="F34" i="41"/>
  <c r="S27" i="8"/>
  <c r="E34" i="41"/>
  <c r="N27" i="8"/>
  <c r="L35" i="41"/>
  <c r="D56" i="8"/>
  <c r="D34" i="41"/>
  <c r="I27" i="8"/>
  <c r="M35" i="41"/>
  <c r="I56" i="8"/>
  <c r="C34" i="41"/>
  <c r="D27" i="8"/>
  <c r="N35" i="41"/>
  <c r="N56" i="8"/>
  <c r="O35" i="41"/>
  <c r="S56" i="8"/>
  <c r="I35" i="41"/>
  <c r="AH28" i="8"/>
  <c r="P35" i="41"/>
  <c r="X56" i="8"/>
  <c r="H35" i="41"/>
  <c r="AC28" i="8"/>
  <c r="Q35" i="41"/>
  <c r="AC56" i="8"/>
  <c r="G35" i="41"/>
  <c r="X28" i="8"/>
  <c r="R35" i="41"/>
  <c r="AH56" i="8"/>
  <c r="F35" i="41"/>
  <c r="S28" i="8"/>
  <c r="L34" i="41"/>
  <c r="D55" i="8"/>
  <c r="E35" i="41"/>
  <c r="N28" i="8"/>
  <c r="M34" i="41"/>
  <c r="I55" i="8"/>
  <c r="D35" i="41"/>
  <c r="I28" i="8"/>
  <c r="N34" i="41"/>
  <c r="N55" i="8"/>
  <c r="C35" i="41"/>
  <c r="D28" i="8"/>
  <c r="O34" i="41"/>
  <c r="S55" i="8"/>
  <c r="B40" i="8"/>
  <c r="B53" i="8" s="1"/>
  <c r="B24" i="8"/>
  <c r="B41" i="8"/>
  <c r="B54" i="8" s="1"/>
  <c r="B25" i="8"/>
  <c r="H119" i="7" l="1"/>
  <c r="H113" i="7"/>
  <c r="H107" i="7"/>
  <c r="E47" i="7"/>
  <c r="I47" i="7" s="1"/>
  <c r="O16" i="7" s="1"/>
  <c r="C47" i="7"/>
  <c r="E43" i="7"/>
  <c r="E44" i="7" s="1"/>
  <c r="C43" i="7"/>
  <c r="C44" i="7" s="1"/>
  <c r="BU27" i="14"/>
  <c r="BU28" i="14" s="1"/>
  <c r="BQ27" i="14"/>
  <c r="BQ28" i="14" s="1"/>
  <c r="BM27" i="14"/>
  <c r="BM28" i="14" s="1"/>
  <c r="BG27" i="14"/>
  <c r="BA27" i="14"/>
  <c r="AW27" i="14"/>
  <c r="AW28" i="14" s="1"/>
  <c r="AS27" i="14"/>
  <c r="AS5" i="14"/>
  <c r="AS6" i="14" s="1"/>
  <c r="AS7" i="14" s="1"/>
  <c r="AS8" i="14" s="1"/>
  <c r="AS9" i="14" s="1"/>
  <c r="AS10" i="14" s="1"/>
  <c r="AS11" i="14" s="1"/>
  <c r="AS12" i="14" s="1"/>
  <c r="AS13" i="14" s="1"/>
  <c r="AS14" i="14" s="1"/>
  <c r="AS15" i="14" s="1"/>
  <c r="AW4" i="14"/>
  <c r="T94" i="11"/>
  <c r="T96" i="11"/>
  <c r="E95" i="11"/>
  <c r="W7" i="11"/>
  <c r="EH23" i="3"/>
  <c r="EH3" i="3"/>
  <c r="DT23" i="3"/>
  <c r="DT3" i="3"/>
  <c r="DF23" i="3"/>
  <c r="DF3" i="3"/>
  <c r="CR23" i="3"/>
  <c r="CR3" i="3"/>
  <c r="CD23" i="3"/>
  <c r="CD3" i="3"/>
  <c r="EG22" i="3"/>
  <c r="EN45" i="3" s="1"/>
  <c r="EG2" i="3"/>
  <c r="EM45" i="3" s="1"/>
  <c r="DS22" i="3"/>
  <c r="DZ45" i="3" s="1"/>
  <c r="DS2" i="3"/>
  <c r="DY45" i="3" s="1"/>
  <c r="DE22" i="3"/>
  <c r="DL45" i="3" s="1"/>
  <c r="DE2" i="3"/>
  <c r="DK45" i="3" s="1"/>
  <c r="CQ22" i="3"/>
  <c r="CX45" i="3" s="1"/>
  <c r="CQ2" i="3"/>
  <c r="CW45" i="3" s="1"/>
  <c r="CC22" i="3"/>
  <c r="CJ45" i="3" s="1"/>
  <c r="CC2" i="3"/>
  <c r="CI45" i="3" s="1"/>
  <c r="EI1" i="3"/>
  <c r="EJ1" i="3" s="1"/>
  <c r="DU1" i="3"/>
  <c r="DU3" i="3" s="1"/>
  <c r="DG1" i="3"/>
  <c r="DG3" i="3" s="1"/>
  <c r="CS1" i="3"/>
  <c r="CS23" i="3" s="1"/>
  <c r="CE1" i="3"/>
  <c r="CE3" i="3" s="1"/>
  <c r="BP23" i="3"/>
  <c r="BP3" i="3"/>
  <c r="BO23" i="3"/>
  <c r="BO24" i="3" s="1"/>
  <c r="BO25" i="3" s="1"/>
  <c r="BO26" i="3" s="1"/>
  <c r="BO27" i="3" s="1"/>
  <c r="BO28" i="3" s="1"/>
  <c r="BO29" i="3" s="1"/>
  <c r="BO30" i="3" s="1"/>
  <c r="BO31" i="3" s="1"/>
  <c r="BO22" i="3"/>
  <c r="BV45" i="3" s="1"/>
  <c r="BO2" i="3"/>
  <c r="BU45" i="3" s="1"/>
  <c r="BO3" i="3"/>
  <c r="BO4" i="3" s="1"/>
  <c r="BO5" i="3" s="1"/>
  <c r="BO6" i="3" s="1"/>
  <c r="BO7" i="3" s="1"/>
  <c r="BO8" i="3" s="1"/>
  <c r="BO9" i="3" s="1"/>
  <c r="BO10" i="3" s="1"/>
  <c r="BO11" i="3" s="1"/>
  <c r="BO12" i="3" s="1"/>
  <c r="BQ1" i="3"/>
  <c r="BB23" i="3"/>
  <c r="BB3" i="3"/>
  <c r="BA22" i="3"/>
  <c r="BH45" i="3" s="1"/>
  <c r="BA2" i="3"/>
  <c r="BG45" i="3" s="1"/>
  <c r="BA4" i="3"/>
  <c r="BA5" i="3" s="1"/>
  <c r="BA6" i="3" s="1"/>
  <c r="BA7" i="3" s="1"/>
  <c r="BA8" i="3" s="1"/>
  <c r="BA9" i="3" s="1"/>
  <c r="BA10" i="3" s="1"/>
  <c r="BA11" i="3" s="1"/>
  <c r="BA12" i="3" s="1"/>
  <c r="EH12" i="3" s="1"/>
  <c r="BA24" i="3"/>
  <c r="BA25" i="3" s="1"/>
  <c r="BA26" i="3" s="1"/>
  <c r="BA27" i="3" s="1"/>
  <c r="BA28" i="3" s="1"/>
  <c r="BA29" i="3" s="1"/>
  <c r="BA30" i="3" s="1"/>
  <c r="BA31" i="3" s="1"/>
  <c r="BC1" i="3"/>
  <c r="BC3" i="3" s="1"/>
  <c r="B27" i="14"/>
  <c r="B28" i="14" s="1"/>
  <c r="B29" i="14" s="1"/>
  <c r="B30" i="14" s="1"/>
  <c r="B31" i="14" s="1"/>
  <c r="F27" i="14"/>
  <c r="F28" i="14" s="1"/>
  <c r="F29" i="14" s="1"/>
  <c r="F30" i="14" s="1"/>
  <c r="F31" i="14" s="1"/>
  <c r="J27" i="14"/>
  <c r="J28" i="14" s="1"/>
  <c r="J29" i="14" s="1"/>
  <c r="J30" i="14" s="1"/>
  <c r="J31" i="14" s="1"/>
  <c r="N27" i="14"/>
  <c r="N28" i="14" s="1"/>
  <c r="N29" i="14" s="1"/>
  <c r="N30" i="14" s="1"/>
  <c r="N31" i="14" s="1"/>
  <c r="T27" i="14"/>
  <c r="Z27" i="14"/>
  <c r="AF27" i="14"/>
  <c r="AF28" i="14" s="1"/>
  <c r="AF29" i="14" s="1"/>
  <c r="AF30" i="14" s="1"/>
  <c r="AF31" i="14" s="1"/>
  <c r="AJ27" i="14"/>
  <c r="AJ28" i="14" s="1"/>
  <c r="AJ29" i="14" s="1"/>
  <c r="AJ30" i="14" s="1"/>
  <c r="AJ31" i="14" s="1"/>
  <c r="AN27" i="14"/>
  <c r="AN28" i="14" s="1"/>
  <c r="AN29" i="14" s="1"/>
  <c r="AN30" i="14" s="1"/>
  <c r="AN31" i="14" s="1"/>
  <c r="F4" i="14"/>
  <c r="J4" i="14" s="1"/>
  <c r="N4" i="14" s="1"/>
  <c r="U24" i="12"/>
  <c r="T24" i="12"/>
  <c r="S24" i="12"/>
  <c r="R24" i="12"/>
  <c r="Q24" i="12"/>
  <c r="P24" i="12"/>
  <c r="O24" i="12"/>
  <c r="N24" i="12"/>
  <c r="D24" i="12"/>
  <c r="C14" i="12"/>
  <c r="C21" i="12" s="1"/>
  <c r="C28" i="12" s="1"/>
  <c r="C15" i="12"/>
  <c r="C22" i="12" s="1"/>
  <c r="C29" i="12" s="1"/>
  <c r="Z99" i="10"/>
  <c r="Y99" i="10"/>
  <c r="W97" i="10"/>
  <c r="W96" i="10"/>
  <c r="W95" i="10"/>
  <c r="W94" i="10"/>
  <c r="D105" i="10"/>
  <c r="D104" i="10"/>
  <c r="D103" i="10"/>
  <c r="G102" i="10"/>
  <c r="H102" i="10" s="1"/>
  <c r="I102" i="10" s="1"/>
  <c r="J102" i="10" s="1"/>
  <c r="K102" i="10" s="1"/>
  <c r="L102" i="10" s="1"/>
  <c r="M102" i="10" s="1"/>
  <c r="N102" i="10" s="1"/>
  <c r="O102" i="10" s="1"/>
  <c r="P102" i="10" s="1"/>
  <c r="Q102" i="10" s="1"/>
  <c r="R102" i="10" s="1"/>
  <c r="S102" i="10" s="1"/>
  <c r="T102" i="10" s="1"/>
  <c r="F175" i="10"/>
  <c r="G175" i="10"/>
  <c r="H175" i="10"/>
  <c r="X85" i="10"/>
  <c r="Y85" i="10"/>
  <c r="Z85" i="10"/>
  <c r="W81" i="10"/>
  <c r="W82" i="10"/>
  <c r="W83" i="10"/>
  <c r="E175" i="10" s="1"/>
  <c r="E184" i="10" s="1"/>
  <c r="E192" i="10" s="1"/>
  <c r="C38" i="12" s="1"/>
  <c r="B19" i="73" s="1"/>
  <c r="B109" i="73" s="1"/>
  <c r="B133" i="73" s="1"/>
  <c r="W80" i="10"/>
  <c r="D90" i="10"/>
  <c r="D91" i="10"/>
  <c r="D89" i="10"/>
  <c r="C3" i="10"/>
  <c r="BA28" i="14" l="1"/>
  <c r="BG28" i="14"/>
  <c r="Z28" i="14"/>
  <c r="T28" i="14"/>
  <c r="CC3" i="3"/>
  <c r="CC4" i="3" s="1"/>
  <c r="CC5" i="3" s="1"/>
  <c r="CC6" i="3" s="1"/>
  <c r="CC7" i="3" s="1"/>
  <c r="CC8" i="3" s="1"/>
  <c r="CC9" i="3" s="1"/>
  <c r="CC10" i="3" s="1"/>
  <c r="CC11" i="3" s="1"/>
  <c r="CC12" i="3" s="1"/>
  <c r="BC5" i="3"/>
  <c r="DG23" i="3"/>
  <c r="BC23" i="3"/>
  <c r="BQ4" i="3"/>
  <c r="BC27" i="3"/>
  <c r="EH4" i="3"/>
  <c r="CE7" i="3"/>
  <c r="DU9" i="3"/>
  <c r="CD6" i="3"/>
  <c r="DU5" i="3"/>
  <c r="CE23" i="3"/>
  <c r="BB5" i="3"/>
  <c r="BP12" i="3"/>
  <c r="DG12" i="3"/>
  <c r="BC12" i="3"/>
  <c r="BC4" i="3"/>
  <c r="BP9" i="3"/>
  <c r="DG11" i="3"/>
  <c r="BB12" i="3"/>
  <c r="BB4" i="3"/>
  <c r="BP8" i="3"/>
  <c r="DF11" i="3"/>
  <c r="BP5" i="3"/>
  <c r="DG8" i="3"/>
  <c r="BP4" i="3"/>
  <c r="DG7" i="3"/>
  <c r="DF7" i="3"/>
  <c r="CF1" i="3"/>
  <c r="CF23" i="3" s="1"/>
  <c r="EI12" i="3"/>
  <c r="DG4" i="3"/>
  <c r="BB9" i="3"/>
  <c r="CC23" i="3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C35" i="3" s="1"/>
  <c r="CC36" i="3" s="1"/>
  <c r="CC37" i="3" s="1"/>
  <c r="CC38" i="3" s="1"/>
  <c r="CC39" i="3" s="1"/>
  <c r="CC40" i="3" s="1"/>
  <c r="EI9" i="3"/>
  <c r="CS12" i="3"/>
  <c r="EI8" i="3"/>
  <c r="CS8" i="3"/>
  <c r="BC8" i="3"/>
  <c r="BD1" i="3"/>
  <c r="BE1" i="3" s="1"/>
  <c r="BE11" i="3" s="1"/>
  <c r="BB8" i="3"/>
  <c r="BC30" i="3"/>
  <c r="EH8" i="3"/>
  <c r="CS4" i="3"/>
  <c r="EI5" i="3"/>
  <c r="CE11" i="3"/>
  <c r="BC9" i="3"/>
  <c r="EI4" i="3"/>
  <c r="CD10" i="3"/>
  <c r="EJ3" i="3"/>
  <c r="EK1" i="3"/>
  <c r="EK10" i="3" s="1"/>
  <c r="EJ23" i="3"/>
  <c r="BA32" i="3"/>
  <c r="CD28" i="3"/>
  <c r="CD24" i="3"/>
  <c r="EI3" i="3"/>
  <c r="EH9" i="3"/>
  <c r="EH5" i="3"/>
  <c r="DU10" i="3"/>
  <c r="DU6" i="3"/>
  <c r="DF12" i="3"/>
  <c r="DF8" i="3"/>
  <c r="DF4" i="3"/>
  <c r="CS9" i="3"/>
  <c r="CS5" i="3"/>
  <c r="CD11" i="3"/>
  <c r="CD7" i="3"/>
  <c r="EJ31" i="3"/>
  <c r="EJ27" i="3"/>
  <c r="DU28" i="3"/>
  <c r="DU24" i="3"/>
  <c r="DT10" i="3"/>
  <c r="DT6" i="3"/>
  <c r="CS31" i="3"/>
  <c r="CS27" i="3"/>
  <c r="CS3" i="3"/>
  <c r="CR9" i="3"/>
  <c r="CR5" i="3"/>
  <c r="CF29" i="3"/>
  <c r="BQ29" i="3"/>
  <c r="EJ10" i="3"/>
  <c r="EJ6" i="3"/>
  <c r="EI31" i="3"/>
  <c r="EI27" i="3"/>
  <c r="DU23" i="3"/>
  <c r="DT28" i="3"/>
  <c r="DT24" i="3"/>
  <c r="DG30" i="3"/>
  <c r="DG26" i="3"/>
  <c r="CR31" i="3"/>
  <c r="CR27" i="3"/>
  <c r="CE29" i="3"/>
  <c r="CE25" i="3"/>
  <c r="BQ25" i="3"/>
  <c r="EI10" i="3"/>
  <c r="EI6" i="3"/>
  <c r="EH31" i="3"/>
  <c r="EH27" i="3"/>
  <c r="DG9" i="3"/>
  <c r="DG5" i="3"/>
  <c r="DF30" i="3"/>
  <c r="DF26" i="3"/>
  <c r="CE12" i="3"/>
  <c r="CE8" i="3"/>
  <c r="CE4" i="3"/>
  <c r="CD29" i="3"/>
  <c r="CD25" i="3"/>
  <c r="DF29" i="3"/>
  <c r="EH10" i="3"/>
  <c r="EH6" i="3"/>
  <c r="EK28" i="3"/>
  <c r="EK24" i="3"/>
  <c r="DU11" i="3"/>
  <c r="DU7" i="3"/>
  <c r="DF9" i="3"/>
  <c r="DF5" i="3"/>
  <c r="CS10" i="3"/>
  <c r="CS6" i="3"/>
  <c r="CD12" i="3"/>
  <c r="CD8" i="3"/>
  <c r="CD4" i="3"/>
  <c r="EK11" i="3"/>
  <c r="EK7" i="3"/>
  <c r="EJ28" i="3"/>
  <c r="EJ24" i="3"/>
  <c r="DU29" i="3"/>
  <c r="DU25" i="3"/>
  <c r="DT11" i="3"/>
  <c r="DT7" i="3"/>
  <c r="CS28" i="3"/>
  <c r="CS24" i="3"/>
  <c r="CR10" i="3"/>
  <c r="CR6" i="3"/>
  <c r="CF30" i="3"/>
  <c r="CF26" i="3"/>
  <c r="BP10" i="3"/>
  <c r="BP6" i="3"/>
  <c r="EJ11" i="3"/>
  <c r="EJ7" i="3"/>
  <c r="EI28" i="3"/>
  <c r="EI24" i="3"/>
  <c r="DT29" i="3"/>
  <c r="DT25" i="3"/>
  <c r="DG31" i="3"/>
  <c r="DG27" i="3"/>
  <c r="CR28" i="3"/>
  <c r="CR24" i="3"/>
  <c r="CF9" i="3"/>
  <c r="CF5" i="3"/>
  <c r="CE30" i="3"/>
  <c r="CE26" i="3"/>
  <c r="CC13" i="3"/>
  <c r="CC14" i="3" s="1"/>
  <c r="CC15" i="3" s="1"/>
  <c r="CC16" i="3" s="1"/>
  <c r="CC17" i="3" s="1"/>
  <c r="CC18" i="3" s="1"/>
  <c r="CC19" i="3" s="1"/>
  <c r="CC20" i="3" s="1"/>
  <c r="EI11" i="3"/>
  <c r="EI7" i="3"/>
  <c r="EI23" i="3"/>
  <c r="EH28" i="3"/>
  <c r="EH24" i="3"/>
  <c r="DG10" i="3"/>
  <c r="DG6" i="3"/>
  <c r="DF31" i="3"/>
  <c r="DF27" i="3"/>
  <c r="CF3" i="3"/>
  <c r="CE9" i="3"/>
  <c r="CE5" i="3"/>
  <c r="CD30" i="3"/>
  <c r="CD26" i="3"/>
  <c r="BD27" i="3"/>
  <c r="DF25" i="3"/>
  <c r="BC31" i="3"/>
  <c r="BB26" i="3"/>
  <c r="BC25" i="3"/>
  <c r="BQ10" i="3"/>
  <c r="BP31" i="3"/>
  <c r="BP27" i="3"/>
  <c r="BB25" i="3"/>
  <c r="BC11" i="3"/>
  <c r="BC7" i="3"/>
  <c r="BB24" i="3"/>
  <c r="BB11" i="3"/>
  <c r="BB7" i="3"/>
  <c r="BQ28" i="3"/>
  <c r="BQ24" i="3"/>
  <c r="EH11" i="3"/>
  <c r="EH7" i="3"/>
  <c r="EK29" i="3"/>
  <c r="EK25" i="3"/>
  <c r="DU12" i="3"/>
  <c r="DU8" i="3"/>
  <c r="DU4" i="3"/>
  <c r="DF10" i="3"/>
  <c r="DF6" i="3"/>
  <c r="CS11" i="3"/>
  <c r="CS7" i="3"/>
  <c r="CD9" i="3"/>
  <c r="CD5" i="3"/>
  <c r="EH26" i="3"/>
  <c r="BB31" i="3"/>
  <c r="BC24" i="3"/>
  <c r="BQ30" i="3"/>
  <c r="BQ26" i="3"/>
  <c r="BB30" i="3"/>
  <c r="BQ9" i="3"/>
  <c r="BQ5" i="3"/>
  <c r="BP30" i="3"/>
  <c r="BP26" i="3"/>
  <c r="BB29" i="3"/>
  <c r="BO32" i="3"/>
  <c r="BO33" i="3" s="1"/>
  <c r="BO34" i="3" s="1"/>
  <c r="BO35" i="3" s="1"/>
  <c r="BO36" i="3" s="1"/>
  <c r="BO37" i="3" s="1"/>
  <c r="BO38" i="3" s="1"/>
  <c r="BO39" i="3" s="1"/>
  <c r="BO40" i="3" s="1"/>
  <c r="BQ3" i="3"/>
  <c r="CQ3" i="3"/>
  <c r="BC29" i="3"/>
  <c r="BQ11" i="3"/>
  <c r="BQ7" i="3"/>
  <c r="BQ23" i="3"/>
  <c r="BP28" i="3"/>
  <c r="BP24" i="3"/>
  <c r="EK12" i="3"/>
  <c r="EK8" i="3"/>
  <c r="EK4" i="3"/>
  <c r="EJ29" i="3"/>
  <c r="EJ25" i="3"/>
  <c r="DU30" i="3"/>
  <c r="DU26" i="3"/>
  <c r="DT12" i="3"/>
  <c r="DT8" i="3"/>
  <c r="DT4" i="3"/>
  <c r="CS29" i="3"/>
  <c r="CS25" i="3"/>
  <c r="CR11" i="3"/>
  <c r="CR7" i="3"/>
  <c r="CF31" i="3"/>
  <c r="CF27" i="3"/>
  <c r="BO13" i="3"/>
  <c r="BO14" i="3" s="1"/>
  <c r="BO15" i="3" s="1"/>
  <c r="BO16" i="3" s="1"/>
  <c r="BO17" i="3" s="1"/>
  <c r="BO18" i="3" s="1"/>
  <c r="BO19" i="3" s="1"/>
  <c r="BO20" i="3" s="1"/>
  <c r="EH30" i="3"/>
  <c r="BA13" i="3"/>
  <c r="BC10" i="3"/>
  <c r="BC6" i="3"/>
  <c r="BB28" i="3"/>
  <c r="BB10" i="3"/>
  <c r="BB6" i="3"/>
  <c r="BB27" i="3"/>
  <c r="BC28" i="3"/>
  <c r="BQ31" i="3"/>
  <c r="BQ27" i="3"/>
  <c r="BQ6" i="3"/>
  <c r="BC26" i="3"/>
  <c r="BD23" i="3"/>
  <c r="BP11" i="3"/>
  <c r="BP7" i="3"/>
  <c r="EJ12" i="3"/>
  <c r="EJ8" i="3"/>
  <c r="EJ4" i="3"/>
  <c r="EI29" i="3"/>
  <c r="EI25" i="3"/>
  <c r="DT30" i="3"/>
  <c r="DT26" i="3"/>
  <c r="DG28" i="3"/>
  <c r="DG24" i="3"/>
  <c r="CR29" i="3"/>
  <c r="CR25" i="3"/>
  <c r="CF10" i="3"/>
  <c r="CF6" i="3"/>
  <c r="CE31" i="3"/>
  <c r="CE27" i="3"/>
  <c r="EH29" i="3"/>
  <c r="EH25" i="3"/>
  <c r="DF28" i="3"/>
  <c r="DF24" i="3"/>
  <c r="CE10" i="3"/>
  <c r="CE6" i="3"/>
  <c r="CD31" i="3"/>
  <c r="CD27" i="3"/>
  <c r="BR1" i="3"/>
  <c r="BR30" i="3" s="1"/>
  <c r="BQ12" i="3"/>
  <c r="BQ8" i="3"/>
  <c r="BP29" i="3"/>
  <c r="BP25" i="3"/>
  <c r="EK9" i="3"/>
  <c r="EK5" i="3"/>
  <c r="EJ30" i="3"/>
  <c r="EJ26" i="3"/>
  <c r="DU31" i="3"/>
  <c r="DU27" i="3"/>
  <c r="DT9" i="3"/>
  <c r="DT5" i="3"/>
  <c r="CS30" i="3"/>
  <c r="CS26" i="3"/>
  <c r="CR12" i="3"/>
  <c r="CR8" i="3"/>
  <c r="CR4" i="3"/>
  <c r="CF28" i="3"/>
  <c r="CF24" i="3"/>
  <c r="C43" i="12"/>
  <c r="C48" i="12" s="1"/>
  <c r="C53" i="12" s="1"/>
  <c r="B19" i="41"/>
  <c r="B109" i="41" s="1"/>
  <c r="EJ9" i="3"/>
  <c r="EJ5" i="3"/>
  <c r="EI30" i="3"/>
  <c r="EI26" i="3"/>
  <c r="DT31" i="3"/>
  <c r="DT27" i="3"/>
  <c r="DG29" i="3"/>
  <c r="DG25" i="3"/>
  <c r="CR30" i="3"/>
  <c r="CR26" i="3"/>
  <c r="CF11" i="3"/>
  <c r="CF7" i="3"/>
  <c r="CE28" i="3"/>
  <c r="CE24" i="3"/>
  <c r="A49" i="14"/>
  <c r="A48" i="14"/>
  <c r="C16" i="12"/>
  <c r="C23" i="12" s="1"/>
  <c r="C30" i="12" s="1"/>
  <c r="BM29" i="14"/>
  <c r="AW29" i="14"/>
  <c r="AW5" i="14"/>
  <c r="AW6" i="14" s="1"/>
  <c r="AW7" i="14" s="1"/>
  <c r="AW8" i="14" s="1"/>
  <c r="AW9" i="14" s="1"/>
  <c r="AW10" i="14" s="1"/>
  <c r="AW11" i="14" s="1"/>
  <c r="AW12" i="14" s="1"/>
  <c r="AW13" i="14" s="1"/>
  <c r="AW14" i="14" s="1"/>
  <c r="BA4" i="14"/>
  <c r="BU29" i="14"/>
  <c r="BQ29" i="14"/>
  <c r="AS28" i="14"/>
  <c r="BA29" i="14"/>
  <c r="BG29" i="14"/>
  <c r="DV1" i="3"/>
  <c r="DV26" i="3" s="1"/>
  <c r="DH1" i="3"/>
  <c r="DH25" i="3" s="1"/>
  <c r="CT1" i="3"/>
  <c r="CT27" i="3" s="1"/>
  <c r="CG1" i="3"/>
  <c r="CG30" i="3" s="1"/>
  <c r="N5" i="14"/>
  <c r="AF4" i="14"/>
  <c r="AN4" i="14" s="1"/>
  <c r="AN5" i="14" s="1"/>
  <c r="AN6" i="14" s="1"/>
  <c r="AN7" i="14" s="1"/>
  <c r="AN8" i="14" s="1"/>
  <c r="AN9" i="14" s="1"/>
  <c r="AN10" i="14" s="1"/>
  <c r="AN11" i="14" s="1"/>
  <c r="AN12" i="14" s="1"/>
  <c r="AN13" i="14" s="1"/>
  <c r="AN14" i="14" s="1"/>
  <c r="T4" i="14"/>
  <c r="T5" i="14" s="1"/>
  <c r="T6" i="14" s="1"/>
  <c r="T7" i="14" s="1"/>
  <c r="T8" i="14" s="1"/>
  <c r="T9" i="14" s="1"/>
  <c r="T10" i="14" s="1"/>
  <c r="T11" i="14" s="1"/>
  <c r="T12" i="14" s="1"/>
  <c r="T13" i="14" s="1"/>
  <c r="T14" i="14" s="1"/>
  <c r="J5" i="14"/>
  <c r="J6" i="14" s="1"/>
  <c r="J7" i="14" s="1"/>
  <c r="J8" i="14" s="1"/>
  <c r="J9" i="14" s="1"/>
  <c r="J10" i="14" s="1"/>
  <c r="J11" i="14" s="1"/>
  <c r="J12" i="14" s="1"/>
  <c r="J13" i="14" s="1"/>
  <c r="J14" i="14" s="1"/>
  <c r="Z4" i="14"/>
  <c r="F5" i="14"/>
  <c r="F6" i="14" s="1"/>
  <c r="F7" i="14" s="1"/>
  <c r="F8" i="14" s="1"/>
  <c r="F9" i="14" s="1"/>
  <c r="F10" i="14" s="1"/>
  <c r="F11" i="14" s="1"/>
  <c r="F12" i="14" s="1"/>
  <c r="F13" i="14" s="1"/>
  <c r="F14" i="14" s="1"/>
  <c r="X99" i="10"/>
  <c r="B60" i="44" l="1"/>
  <c r="B66" i="44" s="1"/>
  <c r="B133" i="41"/>
  <c r="A61" i="14"/>
  <c r="Z29" i="14"/>
  <c r="T29" i="14"/>
  <c r="A60" i="14"/>
  <c r="CF8" i="3"/>
  <c r="EK27" i="3"/>
  <c r="CF12" i="3"/>
  <c r="BE4" i="3"/>
  <c r="BE8" i="3"/>
  <c r="BE25" i="3"/>
  <c r="BD28" i="3"/>
  <c r="BE31" i="3"/>
  <c r="BE23" i="3"/>
  <c r="BD26" i="3"/>
  <c r="BE6" i="3"/>
  <c r="BD4" i="3"/>
  <c r="BD6" i="3"/>
  <c r="BD8" i="3"/>
  <c r="BD10" i="3"/>
  <c r="BE27" i="3"/>
  <c r="BE5" i="3"/>
  <c r="BD7" i="3"/>
  <c r="BE9" i="3"/>
  <c r="BD11" i="3"/>
  <c r="BD25" i="3"/>
  <c r="BD9" i="3"/>
  <c r="BE29" i="3"/>
  <c r="BE24" i="3"/>
  <c r="BE3" i="3"/>
  <c r="BE12" i="3"/>
  <c r="BE10" i="3"/>
  <c r="BE28" i="3"/>
  <c r="BD30" i="3"/>
  <c r="BD12" i="3"/>
  <c r="BD31" i="3"/>
  <c r="BE26" i="3"/>
  <c r="BE7" i="3"/>
  <c r="BD5" i="3"/>
  <c r="BD29" i="3"/>
  <c r="CF4" i="3"/>
  <c r="CF25" i="3"/>
  <c r="EK31" i="3"/>
  <c r="EK6" i="3"/>
  <c r="DH4" i="3"/>
  <c r="DH10" i="3"/>
  <c r="CG28" i="3"/>
  <c r="BR11" i="3"/>
  <c r="BD24" i="3"/>
  <c r="BD3" i="3"/>
  <c r="CQ23" i="3"/>
  <c r="DE23" i="3" s="1"/>
  <c r="BF1" i="3"/>
  <c r="BF13" i="3" s="1"/>
  <c r="BE30" i="3"/>
  <c r="BS1" i="3"/>
  <c r="BS28" i="3" s="1"/>
  <c r="CG26" i="3"/>
  <c r="DH30" i="3"/>
  <c r="DH24" i="3"/>
  <c r="DV4" i="3"/>
  <c r="CG10" i="3"/>
  <c r="CG5" i="3"/>
  <c r="CT6" i="3"/>
  <c r="CT24" i="3"/>
  <c r="CG23" i="3"/>
  <c r="CG3" i="3"/>
  <c r="DV31" i="3"/>
  <c r="DV5" i="3"/>
  <c r="DV9" i="3"/>
  <c r="DV6" i="3"/>
  <c r="DV10" i="3"/>
  <c r="DV3" i="3"/>
  <c r="DV27" i="3"/>
  <c r="DV23" i="3"/>
  <c r="DH28" i="3"/>
  <c r="DV8" i="3"/>
  <c r="BR26" i="3"/>
  <c r="DV24" i="3"/>
  <c r="DH7" i="3"/>
  <c r="CG9" i="3"/>
  <c r="CT10" i="3"/>
  <c r="DH5" i="3"/>
  <c r="A50" i="14"/>
  <c r="CG24" i="3"/>
  <c r="CQ4" i="3"/>
  <c r="CQ5" i="3" s="1"/>
  <c r="CQ6" i="3" s="1"/>
  <c r="CQ7" i="3" s="1"/>
  <c r="CQ8" i="3" s="1"/>
  <c r="CQ9" i="3" s="1"/>
  <c r="CQ10" i="3" s="1"/>
  <c r="CQ11" i="3" s="1"/>
  <c r="CQ12" i="3" s="1"/>
  <c r="DE3" i="3"/>
  <c r="DV30" i="3"/>
  <c r="CT28" i="3"/>
  <c r="CG27" i="3"/>
  <c r="DV12" i="3"/>
  <c r="DH27" i="3"/>
  <c r="CG25" i="3"/>
  <c r="DV28" i="3"/>
  <c r="BC32" i="3"/>
  <c r="BQ32" i="3"/>
  <c r="CR32" i="3"/>
  <c r="DU32" i="3"/>
  <c r="BR32" i="3"/>
  <c r="EH32" i="3"/>
  <c r="EI32" i="3"/>
  <c r="BB32" i="3"/>
  <c r="CE32" i="3"/>
  <c r="DF32" i="3"/>
  <c r="EJ32" i="3"/>
  <c r="BD32" i="3"/>
  <c r="CG32" i="3"/>
  <c r="DH32" i="3"/>
  <c r="BP32" i="3"/>
  <c r="EK32" i="3"/>
  <c r="DG32" i="3"/>
  <c r="CD32" i="3"/>
  <c r="BE32" i="3"/>
  <c r="CS32" i="3"/>
  <c r="DT32" i="3"/>
  <c r="DV32" i="3"/>
  <c r="CT32" i="3"/>
  <c r="CF32" i="3"/>
  <c r="BA33" i="3"/>
  <c r="DH11" i="3"/>
  <c r="CT25" i="3"/>
  <c r="DH9" i="3"/>
  <c r="CG4" i="3"/>
  <c r="BR4" i="3"/>
  <c r="BR25" i="3"/>
  <c r="BR29" i="3"/>
  <c r="BR3" i="3"/>
  <c r="BR5" i="3"/>
  <c r="BR9" i="3"/>
  <c r="BR23" i="3"/>
  <c r="BR8" i="3"/>
  <c r="BR12" i="3"/>
  <c r="CT7" i="3"/>
  <c r="CG7" i="3"/>
  <c r="BR6" i="3"/>
  <c r="CG31" i="3"/>
  <c r="DH31" i="3"/>
  <c r="CG29" i="3"/>
  <c r="CT29" i="3"/>
  <c r="CG8" i="3"/>
  <c r="DH8" i="3"/>
  <c r="BB13" i="3"/>
  <c r="BB15" i="3" s="1"/>
  <c r="BB16" i="3" s="1"/>
  <c r="DG13" i="3"/>
  <c r="DG14" i="3" s="1"/>
  <c r="DG15" i="3" s="1"/>
  <c r="DG16" i="3" s="1"/>
  <c r="DK47" i="3" s="1"/>
  <c r="BK62" i="3" s="1"/>
  <c r="BC13" i="3"/>
  <c r="BC14" i="3" s="1"/>
  <c r="BC15" i="3" s="1"/>
  <c r="BC16" i="3" s="1"/>
  <c r="BG47" i="3" s="1"/>
  <c r="BS62" i="3" s="1"/>
  <c r="DH13" i="3"/>
  <c r="BD13" i="3"/>
  <c r="BE13" i="3"/>
  <c r="CR13" i="3"/>
  <c r="CR14" i="3" s="1"/>
  <c r="CR15" i="3" s="1"/>
  <c r="CR16" i="3" s="1"/>
  <c r="CS13" i="3"/>
  <c r="CS14" i="3" s="1"/>
  <c r="CS15" i="3" s="1"/>
  <c r="CS16" i="3" s="1"/>
  <c r="BA14" i="3"/>
  <c r="BA15" i="3" s="1"/>
  <c r="BA16" i="3" s="1"/>
  <c r="BA17" i="3" s="1"/>
  <c r="BA18" i="3" s="1"/>
  <c r="BA19" i="3" s="1"/>
  <c r="BA20" i="3" s="1"/>
  <c r="CT13" i="3"/>
  <c r="CD13" i="3"/>
  <c r="CD14" i="3" s="1"/>
  <c r="CD15" i="3" s="1"/>
  <c r="CD16" i="3" s="1"/>
  <c r="CE13" i="3"/>
  <c r="CE14" i="3" s="1"/>
  <c r="CE15" i="3" s="1"/>
  <c r="CE16" i="3" s="1"/>
  <c r="EH13" i="3"/>
  <c r="EH14" i="3" s="1"/>
  <c r="EH15" i="3" s="1"/>
  <c r="EH16" i="3" s="1"/>
  <c r="EJ13" i="3"/>
  <c r="EJ14" i="3" s="1"/>
  <c r="EJ15" i="3" s="1"/>
  <c r="EJ16" i="3" s="1"/>
  <c r="CF13" i="3"/>
  <c r="EI13" i="3"/>
  <c r="EI14" i="3" s="1"/>
  <c r="EI15" i="3" s="1"/>
  <c r="EI16" i="3" s="1"/>
  <c r="EI17" i="3" s="1"/>
  <c r="EI18" i="3" s="1"/>
  <c r="EI19" i="3" s="1"/>
  <c r="EI20" i="3" s="1"/>
  <c r="BQ13" i="3"/>
  <c r="BQ14" i="3" s="1"/>
  <c r="BQ15" i="3" s="1"/>
  <c r="BQ16" i="3" s="1"/>
  <c r="DT13" i="3"/>
  <c r="DT14" i="3" s="1"/>
  <c r="DT15" i="3" s="1"/>
  <c r="DT16" i="3" s="1"/>
  <c r="EK13" i="3"/>
  <c r="BR13" i="3"/>
  <c r="DU13" i="3"/>
  <c r="DU14" i="3" s="1"/>
  <c r="DU15" i="3" s="1"/>
  <c r="DU16" i="3" s="1"/>
  <c r="DU17" i="3" s="1"/>
  <c r="DU18" i="3" s="1"/>
  <c r="DU19" i="3" s="1"/>
  <c r="DU20" i="3" s="1"/>
  <c r="DV13" i="3"/>
  <c r="DF13" i="3"/>
  <c r="DF14" i="3" s="1"/>
  <c r="DF15" i="3" s="1"/>
  <c r="DF16" i="3" s="1"/>
  <c r="CG13" i="3"/>
  <c r="BP13" i="3"/>
  <c r="BP14" i="3" s="1"/>
  <c r="BP15" i="3" s="1"/>
  <c r="BP16" i="3" s="1"/>
  <c r="BP17" i="3" s="1"/>
  <c r="BP18" i="3" s="1"/>
  <c r="BP19" i="3" s="1"/>
  <c r="BP20" i="3" s="1"/>
  <c r="CT11" i="3"/>
  <c r="BR24" i="3"/>
  <c r="DV25" i="3"/>
  <c r="DV7" i="3"/>
  <c r="DH23" i="3"/>
  <c r="DH3" i="3"/>
  <c r="CG11" i="3"/>
  <c r="BR10" i="3"/>
  <c r="BR27" i="3"/>
  <c r="BR7" i="3"/>
  <c r="DH6" i="3"/>
  <c r="DH26" i="3"/>
  <c r="CT4" i="3"/>
  <c r="CT8" i="3"/>
  <c r="CT12" i="3"/>
  <c r="CT30" i="3"/>
  <c r="CT5" i="3"/>
  <c r="CT9" i="3"/>
  <c r="CT23" i="3"/>
  <c r="CT3" i="3"/>
  <c r="CT26" i="3"/>
  <c r="CG12" i="3"/>
  <c r="EK3" i="3"/>
  <c r="EL1" i="3"/>
  <c r="EL13" i="3" s="1"/>
  <c r="EK26" i="3"/>
  <c r="EK23" i="3"/>
  <c r="EK30" i="3"/>
  <c r="DH12" i="3"/>
  <c r="DH29" i="3"/>
  <c r="BR31" i="3"/>
  <c r="CG6" i="3"/>
  <c r="BR28" i="3"/>
  <c r="DV29" i="3"/>
  <c r="DV11" i="3"/>
  <c r="CT31" i="3"/>
  <c r="T15" i="14"/>
  <c r="BQ30" i="14"/>
  <c r="BU30" i="14"/>
  <c r="AS29" i="14"/>
  <c r="AW15" i="14"/>
  <c r="BG30" i="14"/>
  <c r="BA5" i="14"/>
  <c r="BA6" i="14" s="1"/>
  <c r="BA7" i="14" s="1"/>
  <c r="BA8" i="14" s="1"/>
  <c r="BA9" i="14" s="1"/>
  <c r="BA10" i="14" s="1"/>
  <c r="BA11" i="14" s="1"/>
  <c r="BA12" i="14" s="1"/>
  <c r="BA13" i="14" s="1"/>
  <c r="BA14" i="14" s="1"/>
  <c r="BG4" i="14"/>
  <c r="BQ4" i="14"/>
  <c r="BM30" i="14"/>
  <c r="AW30" i="14"/>
  <c r="AS16" i="14"/>
  <c r="AS17" i="14" s="1"/>
  <c r="AS18" i="14" s="1"/>
  <c r="AS19" i="14" s="1"/>
  <c r="AS20" i="14" s="1"/>
  <c r="AS21" i="14" s="1"/>
  <c r="AS25" i="14"/>
  <c r="BA30" i="14"/>
  <c r="DW1" i="3"/>
  <c r="DW13" i="3" s="1"/>
  <c r="DI1" i="3"/>
  <c r="DI32" i="3" s="1"/>
  <c r="CU1" i="3"/>
  <c r="CH1" i="3"/>
  <c r="CH32" i="3" s="1"/>
  <c r="N6" i="14"/>
  <c r="AF5" i="14"/>
  <c r="AJ4" i="14"/>
  <c r="AJ5" i="14" s="1"/>
  <c r="AJ6" i="14" s="1"/>
  <c r="AJ7" i="14" s="1"/>
  <c r="AJ8" i="14" s="1"/>
  <c r="AJ9" i="14" s="1"/>
  <c r="AJ10" i="14" s="1"/>
  <c r="AJ11" i="14" s="1"/>
  <c r="AJ12" i="14" s="1"/>
  <c r="AJ13" i="14" s="1"/>
  <c r="AJ14" i="14" s="1"/>
  <c r="Z5" i="14"/>
  <c r="Z6" i="14" s="1"/>
  <c r="Z7" i="14" s="1"/>
  <c r="Z8" i="14" s="1"/>
  <c r="Z9" i="14" s="1"/>
  <c r="Z10" i="14" s="1"/>
  <c r="Z11" i="14" s="1"/>
  <c r="Z12" i="14" s="1"/>
  <c r="Z13" i="14" s="1"/>
  <c r="Z14" i="14" s="1"/>
  <c r="B73" i="44" l="1"/>
  <c r="B81" i="44" s="1"/>
  <c r="A73" i="14"/>
  <c r="A85" i="14" s="1"/>
  <c r="A62" i="14"/>
  <c r="Z30" i="14"/>
  <c r="T25" i="14"/>
  <c r="A72" i="14"/>
  <c r="T30" i="14"/>
  <c r="CQ24" i="3"/>
  <c r="CQ25" i="3" s="1"/>
  <c r="CQ26" i="3" s="1"/>
  <c r="CQ27" i="3" s="1"/>
  <c r="CQ28" i="3" s="1"/>
  <c r="CQ29" i="3" s="1"/>
  <c r="CQ30" i="3" s="1"/>
  <c r="CQ31" i="3" s="1"/>
  <c r="EK14" i="3"/>
  <c r="EK15" i="3" s="1"/>
  <c r="EK16" i="3" s="1"/>
  <c r="CF14" i="3"/>
  <c r="CF15" i="3" s="1"/>
  <c r="CF16" i="3" s="1"/>
  <c r="EM47" i="3"/>
  <c r="BG62" i="3" s="1"/>
  <c r="BS13" i="3"/>
  <c r="BE14" i="3"/>
  <c r="BE15" i="3" s="1"/>
  <c r="BE16" i="3" s="1"/>
  <c r="BE17" i="3" s="1"/>
  <c r="BE18" i="3" s="1"/>
  <c r="BE19" i="3" s="1"/>
  <c r="BE20" i="3" s="1"/>
  <c r="BS31" i="3"/>
  <c r="DY47" i="3"/>
  <c r="BI62" i="3" s="1"/>
  <c r="BS30" i="3"/>
  <c r="BD14" i="3"/>
  <c r="BD15" i="3" s="1"/>
  <c r="BD16" i="3" s="1"/>
  <c r="BG48" i="3" s="1"/>
  <c r="BS63" i="3" s="1"/>
  <c r="BS26" i="3"/>
  <c r="BF32" i="3"/>
  <c r="BS24" i="3"/>
  <c r="E3" i="35"/>
  <c r="BS11" i="3"/>
  <c r="BT1" i="3"/>
  <c r="BT13" i="3" s="1"/>
  <c r="BS10" i="3"/>
  <c r="BS7" i="3"/>
  <c r="BS23" i="3"/>
  <c r="BS8" i="3"/>
  <c r="BS4" i="3"/>
  <c r="BU46" i="3"/>
  <c r="BC17" i="3"/>
  <c r="BC18" i="3" s="1"/>
  <c r="BC19" i="3" s="1"/>
  <c r="BC20" i="3" s="1"/>
  <c r="DG17" i="3"/>
  <c r="DG18" i="3" s="1"/>
  <c r="DG19" i="3" s="1"/>
  <c r="DG20" i="3" s="1"/>
  <c r="E3" i="28"/>
  <c r="N3" i="28" s="1"/>
  <c r="E3" i="30"/>
  <c r="L3" i="30" s="1"/>
  <c r="BS27" i="3"/>
  <c r="E3" i="31"/>
  <c r="M3" i="31" s="1"/>
  <c r="BS5" i="3"/>
  <c r="BS32" i="3"/>
  <c r="BS29" i="3"/>
  <c r="BS3" i="3"/>
  <c r="BS9" i="3"/>
  <c r="F15" i="14"/>
  <c r="F25" i="14" s="1"/>
  <c r="BS25" i="3"/>
  <c r="BS6" i="3"/>
  <c r="BG1" i="3"/>
  <c r="BG33" i="3" s="1"/>
  <c r="BF27" i="3"/>
  <c r="BF5" i="3"/>
  <c r="BF31" i="3"/>
  <c r="BF8" i="3"/>
  <c r="BF11" i="3"/>
  <c r="BF28" i="3"/>
  <c r="BF7" i="3"/>
  <c r="BF24" i="3"/>
  <c r="BF4" i="3"/>
  <c r="BF25" i="3"/>
  <c r="BF9" i="3"/>
  <c r="BF10" i="3"/>
  <c r="BF29" i="3"/>
  <c r="BF26" i="3"/>
  <c r="BF23" i="3"/>
  <c r="BF3" i="3"/>
  <c r="BF30" i="3"/>
  <c r="BF12" i="3"/>
  <c r="BF6" i="3"/>
  <c r="DH14" i="3"/>
  <c r="DH15" i="3" s="1"/>
  <c r="DH16" i="3" s="1"/>
  <c r="BS12" i="3"/>
  <c r="AN15" i="14"/>
  <c r="AN25" i="14" s="1"/>
  <c r="CD17" i="3"/>
  <c r="CD18" i="3" s="1"/>
  <c r="CD19" i="3" s="1"/>
  <c r="CD20" i="3" s="1"/>
  <c r="CI46" i="3"/>
  <c r="BO61" i="3" s="1"/>
  <c r="CW47" i="3"/>
  <c r="CS17" i="3"/>
  <c r="CS18" i="3" s="1"/>
  <c r="CS19" i="3" s="1"/>
  <c r="CS20" i="3" s="1"/>
  <c r="CE17" i="3"/>
  <c r="CE18" i="3" s="1"/>
  <c r="CE19" i="3" s="1"/>
  <c r="CE20" i="3" s="1"/>
  <c r="CI47" i="3"/>
  <c r="BO62" i="3" s="1"/>
  <c r="BG46" i="3"/>
  <c r="BS61" i="3" s="1"/>
  <c r="BB17" i="3"/>
  <c r="BB18" i="3" s="1"/>
  <c r="BB19" i="3" s="1"/>
  <c r="BB20" i="3" s="1"/>
  <c r="DE4" i="3"/>
  <c r="DE5" i="3" s="1"/>
  <c r="DE6" i="3" s="1"/>
  <c r="DE7" i="3" s="1"/>
  <c r="DE8" i="3" s="1"/>
  <c r="DE9" i="3" s="1"/>
  <c r="DE10" i="3" s="1"/>
  <c r="DE11" i="3" s="1"/>
  <c r="DE12" i="3" s="1"/>
  <c r="DS3" i="3"/>
  <c r="CH13" i="3"/>
  <c r="CE33" i="3"/>
  <c r="CE34" i="3" s="1"/>
  <c r="CE35" i="3" s="1"/>
  <c r="CE36" i="3" s="1"/>
  <c r="CH33" i="3"/>
  <c r="DV33" i="3"/>
  <c r="DV34" i="3" s="1"/>
  <c r="DV35" i="3" s="1"/>
  <c r="DV36" i="3" s="1"/>
  <c r="DH33" i="3"/>
  <c r="DH34" i="3" s="1"/>
  <c r="DH35" i="3" s="1"/>
  <c r="DH36" i="3" s="1"/>
  <c r="BR33" i="3"/>
  <c r="BR34" i="3" s="1"/>
  <c r="BR35" i="3" s="1"/>
  <c r="BR36" i="3" s="1"/>
  <c r="EK33" i="3"/>
  <c r="EK34" i="3" s="1"/>
  <c r="EK35" i="3" s="1"/>
  <c r="EK36" i="3" s="1"/>
  <c r="CT33" i="3"/>
  <c r="CT34" i="3" s="1"/>
  <c r="CT35" i="3" s="1"/>
  <c r="CT36" i="3" s="1"/>
  <c r="CF33" i="3"/>
  <c r="CF34" i="3" s="1"/>
  <c r="CF35" i="3" s="1"/>
  <c r="CF36" i="3" s="1"/>
  <c r="BD33" i="3"/>
  <c r="BD34" i="3" s="1"/>
  <c r="BD35" i="3" s="1"/>
  <c r="BD36" i="3" s="1"/>
  <c r="EH33" i="3"/>
  <c r="EH34" i="3" s="1"/>
  <c r="EH35" i="3" s="1"/>
  <c r="EH36" i="3" s="1"/>
  <c r="DT33" i="3"/>
  <c r="DT34" i="3" s="1"/>
  <c r="DT35" i="3" s="1"/>
  <c r="DT36" i="3" s="1"/>
  <c r="BF33" i="3"/>
  <c r="CD33" i="3"/>
  <c r="CD34" i="3" s="1"/>
  <c r="CD35" i="3" s="1"/>
  <c r="CD36" i="3" s="1"/>
  <c r="BP33" i="3"/>
  <c r="BP34" i="3" s="1"/>
  <c r="BP35" i="3" s="1"/>
  <c r="BP36" i="3" s="1"/>
  <c r="BB33" i="3"/>
  <c r="BB34" i="3" s="1"/>
  <c r="BB35" i="3" s="1"/>
  <c r="BB36" i="3" s="1"/>
  <c r="EL33" i="3"/>
  <c r="CG33" i="3"/>
  <c r="CG34" i="3" s="1"/>
  <c r="CG35" i="3" s="1"/>
  <c r="CG36" i="3" s="1"/>
  <c r="BS33" i="3"/>
  <c r="CU33" i="3"/>
  <c r="EI33" i="3"/>
  <c r="EI34" i="3" s="1"/>
  <c r="EI35" i="3" s="1"/>
  <c r="EI36" i="3" s="1"/>
  <c r="DF33" i="3"/>
  <c r="DF34" i="3" s="1"/>
  <c r="DF35" i="3" s="1"/>
  <c r="DF36" i="3" s="1"/>
  <c r="CR33" i="3"/>
  <c r="CR34" i="3" s="1"/>
  <c r="CR35" i="3" s="1"/>
  <c r="CR36" i="3" s="1"/>
  <c r="BE33" i="3"/>
  <c r="BE34" i="3" s="1"/>
  <c r="BE35" i="3" s="1"/>
  <c r="BE36" i="3" s="1"/>
  <c r="DU33" i="3"/>
  <c r="DU34" i="3" s="1"/>
  <c r="DU35" i="3" s="1"/>
  <c r="DU36" i="3" s="1"/>
  <c r="DI33" i="3"/>
  <c r="DW33" i="3"/>
  <c r="BA34" i="3"/>
  <c r="BA35" i="3" s="1"/>
  <c r="BA36" i="3" s="1"/>
  <c r="BA37" i="3" s="1"/>
  <c r="BA38" i="3" s="1"/>
  <c r="BA39" i="3" s="1"/>
  <c r="BA40" i="3" s="1"/>
  <c r="EJ33" i="3"/>
  <c r="EJ34" i="3" s="1"/>
  <c r="EJ35" i="3" s="1"/>
  <c r="EJ36" i="3" s="1"/>
  <c r="CS33" i="3"/>
  <c r="CS34" i="3" s="1"/>
  <c r="CS35" i="3" s="1"/>
  <c r="CS36" i="3" s="1"/>
  <c r="DG33" i="3"/>
  <c r="DG34" i="3" s="1"/>
  <c r="DG35" i="3" s="1"/>
  <c r="DG36" i="3" s="1"/>
  <c r="BQ33" i="3"/>
  <c r="BQ34" i="3" s="1"/>
  <c r="BQ35" i="3" s="1"/>
  <c r="BQ36" i="3" s="1"/>
  <c r="BC33" i="3"/>
  <c r="BC34" i="3" s="1"/>
  <c r="BC35" i="3" s="1"/>
  <c r="BC36" i="3" s="1"/>
  <c r="CQ13" i="3"/>
  <c r="CQ14" i="3" s="1"/>
  <c r="CQ15" i="3" s="1"/>
  <c r="CQ16" i="3" s="1"/>
  <c r="CQ17" i="3" s="1"/>
  <c r="CQ18" i="3" s="1"/>
  <c r="CQ19" i="3" s="1"/>
  <c r="CQ20" i="3" s="1"/>
  <c r="EL3" i="3"/>
  <c r="EL5" i="3"/>
  <c r="EL9" i="3"/>
  <c r="EL23" i="3"/>
  <c r="EL25" i="3"/>
  <c r="EL4" i="3"/>
  <c r="EL11" i="3"/>
  <c r="EL26" i="3"/>
  <c r="EM1" i="3"/>
  <c r="EM33" i="3" s="1"/>
  <c r="EL28" i="3"/>
  <c r="EL7" i="3"/>
  <c r="EL30" i="3"/>
  <c r="EL24" i="3"/>
  <c r="EL27" i="3"/>
  <c r="EL10" i="3"/>
  <c r="EL12" i="3"/>
  <c r="EL31" i="3"/>
  <c r="EL29" i="3"/>
  <c r="EL6" i="3"/>
  <c r="EL8" i="3"/>
  <c r="DE24" i="3"/>
  <c r="DE25" i="3" s="1"/>
  <c r="DE26" i="3" s="1"/>
  <c r="DE27" i="3" s="1"/>
  <c r="DE28" i="3" s="1"/>
  <c r="DE29" i="3" s="1"/>
  <c r="DE30" i="3" s="1"/>
  <c r="DE31" i="3" s="1"/>
  <c r="DS23" i="3"/>
  <c r="CG14" i="3"/>
  <c r="CG15" i="3" s="1"/>
  <c r="CG16" i="3" s="1"/>
  <c r="CI49" i="3" s="1"/>
  <c r="BO64" i="3" s="1"/>
  <c r="EM46" i="3"/>
  <c r="BG61" i="3" s="1"/>
  <c r="EH17" i="3"/>
  <c r="EH18" i="3" s="1"/>
  <c r="EH19" i="3" s="1"/>
  <c r="EH20" i="3" s="1"/>
  <c r="DI13" i="3"/>
  <c r="CT14" i="3"/>
  <c r="CT15" i="3" s="1"/>
  <c r="CT16" i="3" s="1"/>
  <c r="CQ32" i="3"/>
  <c r="CQ33" i="3" s="1"/>
  <c r="CQ34" i="3" s="1"/>
  <c r="CQ35" i="3" s="1"/>
  <c r="CQ36" i="3" s="1"/>
  <c r="CQ37" i="3" s="1"/>
  <c r="CQ38" i="3" s="1"/>
  <c r="CQ39" i="3" s="1"/>
  <c r="CQ40" i="3" s="1"/>
  <c r="J15" i="14"/>
  <c r="J25" i="14" s="1"/>
  <c r="DW3" i="3"/>
  <c r="DW23" i="3"/>
  <c r="DW24" i="3"/>
  <c r="DW7" i="3"/>
  <c r="DW9" i="3"/>
  <c r="DW31" i="3"/>
  <c r="DW30" i="3"/>
  <c r="DW5" i="3"/>
  <c r="DW12" i="3"/>
  <c r="DW26" i="3"/>
  <c r="DW27" i="3"/>
  <c r="DW8" i="3"/>
  <c r="DW28" i="3"/>
  <c r="DW10" i="3"/>
  <c r="DW11" i="3"/>
  <c r="DW29" i="3"/>
  <c r="DW4" i="3"/>
  <c r="DW25" i="3"/>
  <c r="DW6" i="3"/>
  <c r="DT17" i="3"/>
  <c r="DT18" i="3" s="1"/>
  <c r="DT19" i="3" s="1"/>
  <c r="DT20" i="3" s="1"/>
  <c r="DY46" i="3"/>
  <c r="BI61" i="3" s="1"/>
  <c r="DF17" i="3"/>
  <c r="DF18" i="3" s="1"/>
  <c r="DF19" i="3" s="1"/>
  <c r="DF20" i="3" s="1"/>
  <c r="DK46" i="3"/>
  <c r="BK61" i="3" s="1"/>
  <c r="EL32" i="3"/>
  <c r="CU23" i="3"/>
  <c r="CU3" i="3"/>
  <c r="CU11" i="3"/>
  <c r="CU25" i="3"/>
  <c r="CU30" i="3"/>
  <c r="CU26" i="3"/>
  <c r="CU28" i="3"/>
  <c r="CU7" i="3"/>
  <c r="CU9" i="3"/>
  <c r="CU24" i="3"/>
  <c r="CU27" i="3"/>
  <c r="CU5" i="3"/>
  <c r="CU10" i="3"/>
  <c r="CU12" i="3"/>
  <c r="CU31" i="3"/>
  <c r="CU6" i="3"/>
  <c r="CU8" i="3"/>
  <c r="CU4" i="3"/>
  <c r="CU29" i="3"/>
  <c r="DV14" i="3"/>
  <c r="DV15" i="3" s="1"/>
  <c r="DV16" i="3" s="1"/>
  <c r="BT24" i="3"/>
  <c r="BT27" i="3"/>
  <c r="CW46" i="3"/>
  <c r="CR17" i="3"/>
  <c r="CR18" i="3" s="1"/>
  <c r="CR19" i="3" s="1"/>
  <c r="CR20" i="3" s="1"/>
  <c r="BR14" i="3"/>
  <c r="BR15" i="3" s="1"/>
  <c r="BR16" i="3" s="1"/>
  <c r="BU48" i="3" s="1"/>
  <c r="CH23" i="3"/>
  <c r="CH7" i="3"/>
  <c r="CH11" i="3"/>
  <c r="CH3" i="3"/>
  <c r="CH31" i="3"/>
  <c r="CH10" i="3"/>
  <c r="CH29" i="3"/>
  <c r="CH4" i="3"/>
  <c r="CH24" i="3"/>
  <c r="CH27" i="3"/>
  <c r="CH6" i="3"/>
  <c r="CH28" i="3"/>
  <c r="CH25" i="3"/>
  <c r="CH9" i="3"/>
  <c r="CH30" i="3"/>
  <c r="CH5" i="3"/>
  <c r="CH8" i="3"/>
  <c r="CH26" i="3"/>
  <c r="CH12" i="3"/>
  <c r="BT32" i="3"/>
  <c r="CU32" i="3"/>
  <c r="CU13" i="3"/>
  <c r="DI23" i="3"/>
  <c r="DI29" i="3"/>
  <c r="DI25" i="3"/>
  <c r="DI3" i="3"/>
  <c r="DI10" i="3"/>
  <c r="DI31" i="3"/>
  <c r="DI24" i="3"/>
  <c r="DI6" i="3"/>
  <c r="DI11" i="3"/>
  <c r="DI27" i="3"/>
  <c r="DI7" i="3"/>
  <c r="DI12" i="3"/>
  <c r="DI9" i="3"/>
  <c r="DI8" i="3"/>
  <c r="DI30" i="3"/>
  <c r="DI5" i="3"/>
  <c r="DI4" i="3"/>
  <c r="DI26" i="3"/>
  <c r="DI28" i="3"/>
  <c r="DW32" i="3"/>
  <c r="BQ17" i="3"/>
  <c r="BQ18" i="3" s="1"/>
  <c r="BQ19" i="3" s="1"/>
  <c r="BQ20" i="3" s="1"/>
  <c r="BU47" i="3"/>
  <c r="BQ62" i="3" s="1"/>
  <c r="T16" i="14"/>
  <c r="T17" i="14" s="1"/>
  <c r="T18" i="14" s="1"/>
  <c r="T19" i="14" s="1"/>
  <c r="BQ5" i="14"/>
  <c r="BQ6" i="14" s="1"/>
  <c r="BQ7" i="14" s="1"/>
  <c r="BQ8" i="14" s="1"/>
  <c r="BQ9" i="14" s="1"/>
  <c r="BQ10" i="14" s="1"/>
  <c r="BQ11" i="14" s="1"/>
  <c r="BQ12" i="14" s="1"/>
  <c r="BQ13" i="14" s="1"/>
  <c r="BQ14" i="14" s="1"/>
  <c r="BG5" i="14"/>
  <c r="BU4" i="14"/>
  <c r="BM4" i="14"/>
  <c r="BM5" i="14" s="1"/>
  <c r="BM6" i="14" s="1"/>
  <c r="BM7" i="14" s="1"/>
  <c r="BM8" i="14" s="1"/>
  <c r="BM9" i="14" s="1"/>
  <c r="BM10" i="14" s="1"/>
  <c r="BM11" i="14" s="1"/>
  <c r="BM12" i="14" s="1"/>
  <c r="BM13" i="14" s="1"/>
  <c r="BM14" i="14" s="1"/>
  <c r="BQ31" i="14"/>
  <c r="BA15" i="14"/>
  <c r="BU31" i="14"/>
  <c r="BG31" i="14"/>
  <c r="BA31" i="14"/>
  <c r="AW25" i="14"/>
  <c r="AW16" i="14"/>
  <c r="AW17" i="14" s="1"/>
  <c r="AW18" i="14" s="1"/>
  <c r="AW19" i="14" s="1"/>
  <c r="AW20" i="14" s="1"/>
  <c r="AW21" i="14" s="1"/>
  <c r="AW31" i="14"/>
  <c r="AS30" i="14"/>
  <c r="BM31" i="14"/>
  <c r="EJ17" i="3"/>
  <c r="EJ18" i="3" s="1"/>
  <c r="EJ19" i="3" s="1"/>
  <c r="EJ20" i="3" s="1"/>
  <c r="EM48" i="3"/>
  <c r="BG63" i="3" s="1"/>
  <c r="EM49" i="3"/>
  <c r="BG64" i="3" s="1"/>
  <c r="EK17" i="3"/>
  <c r="EK18" i="3" s="1"/>
  <c r="EK19" i="3" s="1"/>
  <c r="EK20" i="3" s="1"/>
  <c r="DX1" i="3"/>
  <c r="DJ1" i="3"/>
  <c r="DJ33" i="3" s="1"/>
  <c r="CV1" i="3"/>
  <c r="CI48" i="3"/>
  <c r="BO63" i="3" s="1"/>
  <c r="CF17" i="3"/>
  <c r="CF18" i="3" s="1"/>
  <c r="CF19" i="3" s="1"/>
  <c r="CF20" i="3" s="1"/>
  <c r="CI1" i="3"/>
  <c r="N7" i="14"/>
  <c r="AF6" i="14"/>
  <c r="B5" i="14"/>
  <c r="E15" i="35" l="1"/>
  <c r="E27" i="35" s="1"/>
  <c r="E39" i="35" s="1"/>
  <c r="E51" i="35" s="1"/>
  <c r="E63" i="35" s="1"/>
  <c r="E75" i="35" s="1"/>
  <c r="E87" i="35" s="1"/>
  <c r="E99" i="35" s="1"/>
  <c r="E111" i="35" s="1"/>
  <c r="E123" i="35" s="1"/>
  <c r="E135" i="35" s="1"/>
  <c r="E147" i="35" s="1"/>
  <c r="E159" i="35" s="1"/>
  <c r="E171" i="35" s="1"/>
  <c r="E183" i="35" s="1"/>
  <c r="E195" i="35" s="1"/>
  <c r="M3" i="35"/>
  <c r="E15" i="31"/>
  <c r="E27" i="31" s="1"/>
  <c r="E39" i="31" s="1"/>
  <c r="E51" i="31" s="1"/>
  <c r="E63" i="31" s="1"/>
  <c r="E75" i="31" s="1"/>
  <c r="E87" i="31" s="1"/>
  <c r="E99" i="31" s="1"/>
  <c r="E111" i="31" s="1"/>
  <c r="E123" i="31" s="1"/>
  <c r="E135" i="31" s="1"/>
  <c r="E147" i="31" s="1"/>
  <c r="E159" i="31" s="1"/>
  <c r="E171" i="31" s="1"/>
  <c r="E183" i="31" s="1"/>
  <c r="E195" i="31" s="1"/>
  <c r="E15" i="30"/>
  <c r="E27" i="30" s="1"/>
  <c r="E39" i="30" s="1"/>
  <c r="E51" i="30" s="1"/>
  <c r="E63" i="30" s="1"/>
  <c r="E75" i="30" s="1"/>
  <c r="E87" i="30" s="1"/>
  <c r="E99" i="30" s="1"/>
  <c r="E111" i="30" s="1"/>
  <c r="E123" i="30" s="1"/>
  <c r="E135" i="30" s="1"/>
  <c r="E147" i="30" s="1"/>
  <c r="E159" i="30" s="1"/>
  <c r="E171" i="30" s="1"/>
  <c r="E183" i="30" s="1"/>
  <c r="E195" i="30" s="1"/>
  <c r="E15" i="28"/>
  <c r="E27" i="28" s="1"/>
  <c r="E39" i="28" s="1"/>
  <c r="E51" i="28" s="1"/>
  <c r="E63" i="28" s="1"/>
  <c r="E75" i="28" s="1"/>
  <c r="E87" i="28" s="1"/>
  <c r="E99" i="28" s="1"/>
  <c r="E111" i="28" s="1"/>
  <c r="E123" i="28" s="1"/>
  <c r="E135" i="28" s="1"/>
  <c r="E147" i="28" s="1"/>
  <c r="E159" i="28" s="1"/>
  <c r="E171" i="28" s="1"/>
  <c r="E183" i="28" s="1"/>
  <c r="E195" i="28" s="1"/>
  <c r="E2" i="34"/>
  <c r="BQ61" i="3"/>
  <c r="E2" i="36"/>
  <c r="BM61" i="3"/>
  <c r="E3" i="36"/>
  <c r="L3" i="36" s="1"/>
  <c r="BM62" i="3"/>
  <c r="E4" i="34"/>
  <c r="BQ63" i="3"/>
  <c r="E3" i="34"/>
  <c r="R4" i="11"/>
  <c r="E3" i="29"/>
  <c r="M3" i="29" s="1"/>
  <c r="R3" i="11"/>
  <c r="E2" i="29"/>
  <c r="M2" i="29" s="1"/>
  <c r="R5" i="11"/>
  <c r="E4" i="29"/>
  <c r="A74" i="14"/>
  <c r="Z31" i="14"/>
  <c r="T31" i="14"/>
  <c r="A84" i="14"/>
  <c r="A51" i="14"/>
  <c r="A97" i="14"/>
  <c r="F16" i="14"/>
  <c r="F17" i="14" s="1"/>
  <c r="BG49" i="3"/>
  <c r="BS64" i="3" s="1"/>
  <c r="BD17" i="3"/>
  <c r="BD18" i="3" s="1"/>
  <c r="BD19" i="3" s="1"/>
  <c r="BD20" i="3" s="1"/>
  <c r="AJ15" i="14"/>
  <c r="AJ25" i="14" s="1"/>
  <c r="CG17" i="3"/>
  <c r="CG18" i="3" s="1"/>
  <c r="CG19" i="3" s="1"/>
  <c r="CG20" i="3" s="1"/>
  <c r="BS14" i="3"/>
  <c r="BS15" i="3" s="1"/>
  <c r="BS16" i="3" s="1"/>
  <c r="BS17" i="3" s="1"/>
  <c r="BS18" i="3" s="1"/>
  <c r="BS19" i="3" s="1"/>
  <c r="BS20" i="3" s="1"/>
  <c r="BT11" i="3"/>
  <c r="BT8" i="3"/>
  <c r="BT29" i="3"/>
  <c r="BT23" i="3"/>
  <c r="AN16" i="14"/>
  <c r="AN17" i="14" s="1"/>
  <c r="AN18" i="14" s="1"/>
  <c r="AN19" i="14" s="1"/>
  <c r="AN20" i="14" s="1"/>
  <c r="AN21" i="14" s="1"/>
  <c r="BR17" i="3"/>
  <c r="BR18" i="3" s="1"/>
  <c r="BR19" i="3" s="1"/>
  <c r="BR20" i="3" s="1"/>
  <c r="BT6" i="3"/>
  <c r="BT12" i="3"/>
  <c r="BT10" i="3"/>
  <c r="BT28" i="3"/>
  <c r="BT3" i="3"/>
  <c r="BT33" i="3"/>
  <c r="BT9" i="3"/>
  <c r="BT26" i="3"/>
  <c r="BT5" i="3"/>
  <c r="E4" i="35"/>
  <c r="E4" i="28"/>
  <c r="E4" i="30"/>
  <c r="E4" i="31"/>
  <c r="BT7" i="3"/>
  <c r="BT4" i="3"/>
  <c r="BT31" i="3"/>
  <c r="BT30" i="3"/>
  <c r="BU1" i="3"/>
  <c r="BU5" i="3" s="1"/>
  <c r="BT25" i="3"/>
  <c r="BS34" i="3"/>
  <c r="BS35" i="3" s="1"/>
  <c r="BS36" i="3" s="1"/>
  <c r="BV49" i="3" s="1"/>
  <c r="BR64" i="3" s="1"/>
  <c r="EL14" i="3"/>
  <c r="EL15" i="3" s="1"/>
  <c r="EL16" i="3" s="1"/>
  <c r="EM50" i="3" s="1"/>
  <c r="BG65" i="3" s="1"/>
  <c r="BF14" i="3"/>
  <c r="BF15" i="3" s="1"/>
  <c r="BF16" i="3" s="1"/>
  <c r="BF17" i="3" s="1"/>
  <c r="BF18" i="3" s="1"/>
  <c r="BF19" i="3" s="1"/>
  <c r="BF20" i="3" s="1"/>
  <c r="BF34" i="3"/>
  <c r="BF35" i="3" s="1"/>
  <c r="BF36" i="3" s="1"/>
  <c r="BF37" i="3" s="1"/>
  <c r="BF38" i="3" s="1"/>
  <c r="BF39" i="3" s="1"/>
  <c r="BF40" i="3" s="1"/>
  <c r="DW14" i="3"/>
  <c r="DW15" i="3" s="1"/>
  <c r="DW16" i="3" s="1"/>
  <c r="BH1" i="3"/>
  <c r="BG9" i="3"/>
  <c r="BG24" i="3"/>
  <c r="BG3" i="3"/>
  <c r="BG27" i="3"/>
  <c r="BG10" i="3"/>
  <c r="BG5" i="3"/>
  <c r="BG6" i="3"/>
  <c r="BG31" i="3"/>
  <c r="BG8" i="3"/>
  <c r="BG28" i="3"/>
  <c r="BG25" i="3"/>
  <c r="BG4" i="3"/>
  <c r="BG11" i="3"/>
  <c r="BG29" i="3"/>
  <c r="BG12" i="3"/>
  <c r="BG26" i="3"/>
  <c r="BG23" i="3"/>
  <c r="BG30" i="3"/>
  <c r="BG7" i="3"/>
  <c r="BG32" i="3"/>
  <c r="BG13" i="3"/>
  <c r="EK37" i="3"/>
  <c r="EK38" i="3" s="1"/>
  <c r="EK39" i="3" s="1"/>
  <c r="EK40" i="3" s="1"/>
  <c r="EN49" i="3"/>
  <c r="BH64" i="3" s="1"/>
  <c r="CF37" i="3"/>
  <c r="CF38" i="3" s="1"/>
  <c r="CF39" i="3" s="1"/>
  <c r="CF40" i="3" s="1"/>
  <c r="CJ48" i="3"/>
  <c r="DI34" i="3"/>
  <c r="DI35" i="3" s="1"/>
  <c r="DI36" i="3" s="1"/>
  <c r="DZ47" i="3"/>
  <c r="BJ62" i="3" s="1"/>
  <c r="DU37" i="3"/>
  <c r="DU38" i="3" s="1"/>
  <c r="DU39" i="3" s="1"/>
  <c r="DU40" i="3" s="1"/>
  <c r="BC37" i="3"/>
  <c r="BC38" i="3" s="1"/>
  <c r="BC39" i="3" s="1"/>
  <c r="BC40" i="3" s="1"/>
  <c r="BH47" i="3"/>
  <c r="BT62" i="3" s="1"/>
  <c r="BH49" i="3"/>
  <c r="BT64" i="3" s="1"/>
  <c r="BE37" i="3"/>
  <c r="BE38" i="3" s="1"/>
  <c r="BE39" i="3" s="1"/>
  <c r="BE40" i="3" s="1"/>
  <c r="BV47" i="3"/>
  <c r="BR62" i="3" s="1"/>
  <c r="BQ37" i="3"/>
  <c r="BQ38" i="3" s="1"/>
  <c r="BQ39" i="3" s="1"/>
  <c r="BQ40" i="3" s="1"/>
  <c r="EL34" i="3"/>
  <c r="EL35" i="3" s="1"/>
  <c r="EL36" i="3" s="1"/>
  <c r="CH34" i="3"/>
  <c r="CH35" i="3" s="1"/>
  <c r="CH36" i="3" s="1"/>
  <c r="CH37" i="3" s="1"/>
  <c r="CH38" i="3" s="1"/>
  <c r="CH39" i="3" s="1"/>
  <c r="CH40" i="3" s="1"/>
  <c r="BB37" i="3"/>
  <c r="BB38" i="3" s="1"/>
  <c r="BB39" i="3" s="1"/>
  <c r="BB40" i="3" s="1"/>
  <c r="BH46" i="3"/>
  <c r="BT61" i="3" s="1"/>
  <c r="DT37" i="3"/>
  <c r="DT38" i="3" s="1"/>
  <c r="DT39" i="3" s="1"/>
  <c r="DT40" i="3" s="1"/>
  <c r="DZ46" i="3"/>
  <c r="BJ61" i="3" s="1"/>
  <c r="BV48" i="3"/>
  <c r="BR63" i="3" s="1"/>
  <c r="BR37" i="3"/>
  <c r="BR38" i="3" s="1"/>
  <c r="BR39" i="3" s="1"/>
  <c r="BR40" i="3" s="1"/>
  <c r="CJ47" i="3"/>
  <c r="CE37" i="3"/>
  <c r="CE38" i="3" s="1"/>
  <c r="CE39" i="3" s="1"/>
  <c r="CE40" i="3" s="1"/>
  <c r="DG37" i="3"/>
  <c r="DG38" i="3" s="1"/>
  <c r="DG39" i="3" s="1"/>
  <c r="DG40" i="3" s="1"/>
  <c r="DL47" i="3"/>
  <c r="BL62" i="3" s="1"/>
  <c r="CX46" i="3"/>
  <c r="BN61" i="3" s="1"/>
  <c r="CR37" i="3"/>
  <c r="CR38" i="3" s="1"/>
  <c r="CR39" i="3" s="1"/>
  <c r="CR40" i="3" s="1"/>
  <c r="BP37" i="3"/>
  <c r="BP38" i="3" s="1"/>
  <c r="BP39" i="3" s="1"/>
  <c r="BP40" i="3" s="1"/>
  <c r="BV46" i="3"/>
  <c r="BR61" i="3" s="1"/>
  <c r="EN46" i="3"/>
  <c r="BH61" i="3" s="1"/>
  <c r="EH37" i="3"/>
  <c r="EH38" i="3" s="1"/>
  <c r="EH39" i="3" s="1"/>
  <c r="EH40" i="3" s="1"/>
  <c r="DJ8" i="3"/>
  <c r="DJ23" i="3"/>
  <c r="DJ4" i="3"/>
  <c r="DJ12" i="3"/>
  <c r="DJ3" i="3"/>
  <c r="DJ27" i="3"/>
  <c r="DJ9" i="3"/>
  <c r="DJ11" i="3"/>
  <c r="DJ5" i="3"/>
  <c r="DJ28" i="3"/>
  <c r="DJ6" i="3"/>
  <c r="DJ7" i="3"/>
  <c r="DJ30" i="3"/>
  <c r="DJ26" i="3"/>
  <c r="DJ24" i="3"/>
  <c r="DJ29" i="3"/>
  <c r="DJ31" i="3"/>
  <c r="DJ10" i="3"/>
  <c r="DJ25" i="3"/>
  <c r="DJ13" i="3"/>
  <c r="DJ32" i="3"/>
  <c r="DX3" i="3"/>
  <c r="DX23" i="3"/>
  <c r="DX5" i="3"/>
  <c r="DX30" i="3"/>
  <c r="DX11" i="3"/>
  <c r="DX10" i="3"/>
  <c r="DX26" i="3"/>
  <c r="DX7" i="3"/>
  <c r="DX6" i="3"/>
  <c r="DX28" i="3"/>
  <c r="DX12" i="3"/>
  <c r="DX24" i="3"/>
  <c r="DX29" i="3"/>
  <c r="DX8" i="3"/>
  <c r="DX31" i="3"/>
  <c r="DX25" i="3"/>
  <c r="DX4" i="3"/>
  <c r="DX9" i="3"/>
  <c r="DX27" i="3"/>
  <c r="DX13" i="3"/>
  <c r="DX32" i="3"/>
  <c r="CX47" i="3"/>
  <c r="BN62" i="3" s="1"/>
  <c r="CS37" i="3"/>
  <c r="CS38" i="3" s="1"/>
  <c r="CS39" i="3" s="1"/>
  <c r="CS40" i="3" s="1"/>
  <c r="DF37" i="3"/>
  <c r="DF38" i="3" s="1"/>
  <c r="DF39" i="3" s="1"/>
  <c r="DF40" i="3" s="1"/>
  <c r="DL46" i="3"/>
  <c r="BL61" i="3" s="1"/>
  <c r="CJ46" i="3"/>
  <c r="CD37" i="3"/>
  <c r="CD38" i="3" s="1"/>
  <c r="CD39" i="3" s="1"/>
  <c r="CD40" i="3" s="1"/>
  <c r="DX33" i="3"/>
  <c r="CU14" i="3"/>
  <c r="CU15" i="3" s="1"/>
  <c r="CU16" i="3" s="1"/>
  <c r="EM5" i="3"/>
  <c r="EM9" i="3"/>
  <c r="EM6" i="3"/>
  <c r="EM3" i="3"/>
  <c r="EM23" i="3"/>
  <c r="EM10" i="3"/>
  <c r="EM7" i="3"/>
  <c r="EM27" i="3"/>
  <c r="EM28" i="3"/>
  <c r="EM12" i="3"/>
  <c r="EM30" i="3"/>
  <c r="EM24" i="3"/>
  <c r="EM8" i="3"/>
  <c r="EM26" i="3"/>
  <c r="EM4" i="3"/>
  <c r="EM29" i="3"/>
  <c r="EM11" i="3"/>
  <c r="EM31" i="3"/>
  <c r="EM25" i="3"/>
  <c r="EN1" i="3"/>
  <c r="EM32" i="3"/>
  <c r="EM13" i="3"/>
  <c r="EN48" i="3"/>
  <c r="BH63" i="3" s="1"/>
  <c r="EJ37" i="3"/>
  <c r="EJ38" i="3" s="1"/>
  <c r="EJ39" i="3" s="1"/>
  <c r="EJ40" i="3" s="1"/>
  <c r="CH14" i="3"/>
  <c r="CH15" i="3" s="1"/>
  <c r="CH16" i="3" s="1"/>
  <c r="DI14" i="3"/>
  <c r="DI15" i="3" s="1"/>
  <c r="DI16" i="3" s="1"/>
  <c r="EN47" i="3"/>
  <c r="BH62" i="3" s="1"/>
  <c r="EI37" i="3"/>
  <c r="EI38" i="3" s="1"/>
  <c r="EI39" i="3" s="1"/>
  <c r="EI40" i="3" s="1"/>
  <c r="EG3" i="3"/>
  <c r="EG4" i="3" s="1"/>
  <c r="EG5" i="3" s="1"/>
  <c r="EG6" i="3" s="1"/>
  <c r="EG7" i="3" s="1"/>
  <c r="EG8" i="3" s="1"/>
  <c r="EG9" i="3" s="1"/>
  <c r="EG10" i="3" s="1"/>
  <c r="EG11" i="3" s="1"/>
  <c r="EG12" i="3" s="1"/>
  <c r="DS4" i="3"/>
  <c r="DS5" i="3" s="1"/>
  <c r="DS6" i="3" s="1"/>
  <c r="DS7" i="3" s="1"/>
  <c r="DS8" i="3" s="1"/>
  <c r="DS9" i="3" s="1"/>
  <c r="DS10" i="3" s="1"/>
  <c r="DS11" i="3" s="1"/>
  <c r="DS12" i="3" s="1"/>
  <c r="DE13" i="3"/>
  <c r="DE14" i="3" s="1"/>
  <c r="DE15" i="3" s="1"/>
  <c r="DE16" i="3" s="1"/>
  <c r="DE17" i="3" s="1"/>
  <c r="DE18" i="3" s="1"/>
  <c r="DE19" i="3" s="1"/>
  <c r="DE20" i="3" s="1"/>
  <c r="DS24" i="3"/>
  <c r="DS25" i="3" s="1"/>
  <c r="DS26" i="3" s="1"/>
  <c r="DS27" i="3" s="1"/>
  <c r="DS28" i="3" s="1"/>
  <c r="DS29" i="3" s="1"/>
  <c r="DS30" i="3" s="1"/>
  <c r="DS31" i="3" s="1"/>
  <c r="EG23" i="3"/>
  <c r="EG24" i="3" s="1"/>
  <c r="EG25" i="3" s="1"/>
  <c r="EG26" i="3" s="1"/>
  <c r="EG27" i="3" s="1"/>
  <c r="EG28" i="3" s="1"/>
  <c r="EG29" i="3" s="1"/>
  <c r="EG30" i="3" s="1"/>
  <c r="EG31" i="3" s="1"/>
  <c r="DE32" i="3"/>
  <c r="DE33" i="3" s="1"/>
  <c r="DE34" i="3" s="1"/>
  <c r="DE35" i="3" s="1"/>
  <c r="DE36" i="3" s="1"/>
  <c r="DE37" i="3" s="1"/>
  <c r="DE38" i="3" s="1"/>
  <c r="DE39" i="3" s="1"/>
  <c r="DE40" i="3" s="1"/>
  <c r="E2" i="30"/>
  <c r="E2" i="35"/>
  <c r="E2" i="31"/>
  <c r="E2" i="28"/>
  <c r="BU28" i="3"/>
  <c r="DW34" i="3"/>
  <c r="DW35" i="3" s="1"/>
  <c r="DW36" i="3" s="1"/>
  <c r="Z15" i="14"/>
  <c r="CV3" i="3"/>
  <c r="CV23" i="3"/>
  <c r="CV27" i="3"/>
  <c r="CV11" i="3"/>
  <c r="CV30" i="3"/>
  <c r="CV28" i="3"/>
  <c r="CV7" i="3"/>
  <c r="CV12" i="3"/>
  <c r="CV5" i="3"/>
  <c r="CV24" i="3"/>
  <c r="CV26" i="3"/>
  <c r="CV8" i="3"/>
  <c r="CV29" i="3"/>
  <c r="CV4" i="3"/>
  <c r="CV10" i="3"/>
  <c r="CV9" i="3"/>
  <c r="CV31" i="3"/>
  <c r="CV25" i="3"/>
  <c r="CV6" i="3"/>
  <c r="CV13" i="3"/>
  <c r="CV32" i="3"/>
  <c r="BD37" i="3"/>
  <c r="BD38" i="3" s="1"/>
  <c r="BD39" i="3" s="1"/>
  <c r="BD40" i="3" s="1"/>
  <c r="BH48" i="3"/>
  <c r="BT63" i="3" s="1"/>
  <c r="CI23" i="3"/>
  <c r="CI8" i="3"/>
  <c r="CI3" i="3"/>
  <c r="CI12" i="3"/>
  <c r="CI4" i="3"/>
  <c r="CI27" i="3"/>
  <c r="CI9" i="3"/>
  <c r="CI29" i="3"/>
  <c r="CI25" i="3"/>
  <c r="CI5" i="3"/>
  <c r="CI30" i="3"/>
  <c r="CI11" i="3"/>
  <c r="CI26" i="3"/>
  <c r="CI28" i="3"/>
  <c r="CI7" i="3"/>
  <c r="CI10" i="3"/>
  <c r="CI24" i="3"/>
  <c r="CI31" i="3"/>
  <c r="CI6" i="3"/>
  <c r="CI13" i="3"/>
  <c r="CI32" i="3"/>
  <c r="J16" i="14"/>
  <c r="J17" i="14" s="1"/>
  <c r="J18" i="14" s="1"/>
  <c r="J19" i="14" s="1"/>
  <c r="CU34" i="3"/>
  <c r="CU35" i="3" s="1"/>
  <c r="CU36" i="3" s="1"/>
  <c r="CI33" i="3"/>
  <c r="CV33" i="3"/>
  <c r="BA16" i="14"/>
  <c r="BA17" i="14" s="1"/>
  <c r="BA18" i="14" s="1"/>
  <c r="BA19" i="14" s="1"/>
  <c r="BA20" i="14" s="1"/>
  <c r="BA21" i="14" s="1"/>
  <c r="BA25" i="14"/>
  <c r="BM15" i="14"/>
  <c r="BG6" i="14"/>
  <c r="BU5" i="14"/>
  <c r="BQ15" i="14"/>
  <c r="AS31" i="14"/>
  <c r="DY1" i="3"/>
  <c r="DY48" i="3"/>
  <c r="BI63" i="3" s="1"/>
  <c r="DV17" i="3"/>
  <c r="DV18" i="3" s="1"/>
  <c r="DV19" i="3" s="1"/>
  <c r="DV20" i="3" s="1"/>
  <c r="DZ48" i="3"/>
  <c r="BJ63" i="3" s="1"/>
  <c r="DV37" i="3"/>
  <c r="DV38" i="3" s="1"/>
  <c r="DV39" i="3" s="1"/>
  <c r="DV40" i="3" s="1"/>
  <c r="DH37" i="3"/>
  <c r="DH38" i="3" s="1"/>
  <c r="DH39" i="3" s="1"/>
  <c r="DH40" i="3" s="1"/>
  <c r="DL48" i="3"/>
  <c r="DK1" i="3"/>
  <c r="DK48" i="3"/>
  <c r="BK63" i="3" s="1"/>
  <c r="DH17" i="3"/>
  <c r="DH18" i="3" s="1"/>
  <c r="DH19" i="3" s="1"/>
  <c r="DH20" i="3" s="1"/>
  <c r="CT37" i="3"/>
  <c r="CT38" i="3" s="1"/>
  <c r="CT39" i="3" s="1"/>
  <c r="CT40" i="3" s="1"/>
  <c r="CX48" i="3"/>
  <c r="CT17" i="3"/>
  <c r="CT18" i="3" s="1"/>
  <c r="CT19" i="3" s="1"/>
  <c r="CT20" i="3" s="1"/>
  <c r="CW48" i="3"/>
  <c r="CW1" i="3"/>
  <c r="CJ49" i="3"/>
  <c r="CG37" i="3"/>
  <c r="CG38" i="3" s="1"/>
  <c r="CG39" i="3" s="1"/>
  <c r="CG40" i="3" s="1"/>
  <c r="CJ1" i="3"/>
  <c r="F18" i="14"/>
  <c r="F19" i="14" s="1"/>
  <c r="T20" i="14"/>
  <c r="T21" i="14" s="1"/>
  <c r="N8" i="14"/>
  <c r="AF7" i="14"/>
  <c r="B6" i="14"/>
  <c r="AJ16" i="14" l="1"/>
  <c r="AJ17" i="14" s="1"/>
  <c r="E14" i="36"/>
  <c r="E26" i="36" s="1"/>
  <c r="E38" i="36" s="1"/>
  <c r="E50" i="36" s="1"/>
  <c r="E62" i="36" s="1"/>
  <c r="E74" i="36" s="1"/>
  <c r="E86" i="36" s="1"/>
  <c r="E98" i="36" s="1"/>
  <c r="E110" i="36" s="1"/>
  <c r="E122" i="36" s="1"/>
  <c r="E134" i="36" s="1"/>
  <c r="E146" i="36" s="1"/>
  <c r="E158" i="36" s="1"/>
  <c r="E170" i="36" s="1"/>
  <c r="E182" i="36" s="1"/>
  <c r="E194" i="36" s="1"/>
  <c r="L2" i="36"/>
  <c r="E15" i="36"/>
  <c r="E27" i="36" s="1"/>
  <c r="E39" i="36" s="1"/>
  <c r="E51" i="36" s="1"/>
  <c r="E63" i="36" s="1"/>
  <c r="E75" i="36" s="1"/>
  <c r="E87" i="36" s="1"/>
  <c r="E99" i="36" s="1"/>
  <c r="E111" i="36" s="1"/>
  <c r="E123" i="36" s="1"/>
  <c r="E135" i="36" s="1"/>
  <c r="E147" i="36" s="1"/>
  <c r="E159" i="36" s="1"/>
  <c r="E171" i="36" s="1"/>
  <c r="E183" i="36" s="1"/>
  <c r="E195" i="36" s="1"/>
  <c r="E14" i="35"/>
  <c r="E26" i="35" s="1"/>
  <c r="E38" i="35" s="1"/>
  <c r="E50" i="35" s="1"/>
  <c r="E62" i="35" s="1"/>
  <c r="E74" i="35" s="1"/>
  <c r="E86" i="35" s="1"/>
  <c r="E98" i="35" s="1"/>
  <c r="E110" i="35" s="1"/>
  <c r="E122" i="35" s="1"/>
  <c r="E134" i="35" s="1"/>
  <c r="E146" i="35" s="1"/>
  <c r="E158" i="35" s="1"/>
  <c r="E170" i="35" s="1"/>
  <c r="E182" i="35" s="1"/>
  <c r="E194" i="35" s="1"/>
  <c r="M2" i="35"/>
  <c r="E16" i="35"/>
  <c r="E28" i="35" s="1"/>
  <c r="E40" i="35" s="1"/>
  <c r="E52" i="35" s="1"/>
  <c r="E64" i="35" s="1"/>
  <c r="E76" i="35" s="1"/>
  <c r="E88" i="35" s="1"/>
  <c r="E100" i="35" s="1"/>
  <c r="E112" i="35" s="1"/>
  <c r="E124" i="35" s="1"/>
  <c r="E136" i="35" s="1"/>
  <c r="E148" i="35" s="1"/>
  <c r="E160" i="35" s="1"/>
  <c r="E172" i="35" s="1"/>
  <c r="E184" i="35" s="1"/>
  <c r="E196" i="35" s="1"/>
  <c r="M4" i="35"/>
  <c r="E15" i="34"/>
  <c r="E27" i="34" s="1"/>
  <c r="E39" i="34" s="1"/>
  <c r="E51" i="34" s="1"/>
  <c r="E63" i="34" s="1"/>
  <c r="E75" i="34" s="1"/>
  <c r="E87" i="34" s="1"/>
  <c r="E99" i="34" s="1"/>
  <c r="E111" i="34" s="1"/>
  <c r="E123" i="34" s="1"/>
  <c r="E135" i="34" s="1"/>
  <c r="E147" i="34" s="1"/>
  <c r="E159" i="34" s="1"/>
  <c r="E171" i="34" s="1"/>
  <c r="E183" i="34" s="1"/>
  <c r="E195" i="34" s="1"/>
  <c r="N3" i="34"/>
  <c r="E16" i="34"/>
  <c r="E28" i="34" s="1"/>
  <c r="E40" i="34" s="1"/>
  <c r="E52" i="34" s="1"/>
  <c r="E64" i="34" s="1"/>
  <c r="E76" i="34" s="1"/>
  <c r="E88" i="34" s="1"/>
  <c r="E100" i="34" s="1"/>
  <c r="E112" i="34" s="1"/>
  <c r="E124" i="34" s="1"/>
  <c r="E136" i="34" s="1"/>
  <c r="E148" i="34" s="1"/>
  <c r="E160" i="34" s="1"/>
  <c r="E172" i="34" s="1"/>
  <c r="E184" i="34" s="1"/>
  <c r="E196" i="34" s="1"/>
  <c r="N4" i="34"/>
  <c r="E14" i="34"/>
  <c r="E26" i="34" s="1"/>
  <c r="E38" i="34" s="1"/>
  <c r="E50" i="34" s="1"/>
  <c r="E62" i="34" s="1"/>
  <c r="E74" i="34" s="1"/>
  <c r="E86" i="34" s="1"/>
  <c r="E98" i="34" s="1"/>
  <c r="E110" i="34" s="1"/>
  <c r="E122" i="34" s="1"/>
  <c r="E134" i="34" s="1"/>
  <c r="E146" i="34" s="1"/>
  <c r="E158" i="34" s="1"/>
  <c r="E170" i="34" s="1"/>
  <c r="E182" i="34" s="1"/>
  <c r="E194" i="34" s="1"/>
  <c r="N2" i="34"/>
  <c r="E14" i="31"/>
  <c r="E26" i="31" s="1"/>
  <c r="E38" i="31" s="1"/>
  <c r="E50" i="31" s="1"/>
  <c r="E62" i="31" s="1"/>
  <c r="E74" i="31" s="1"/>
  <c r="E86" i="31" s="1"/>
  <c r="E98" i="31" s="1"/>
  <c r="E110" i="31" s="1"/>
  <c r="E122" i="31" s="1"/>
  <c r="E134" i="31" s="1"/>
  <c r="E146" i="31" s="1"/>
  <c r="E158" i="31" s="1"/>
  <c r="E170" i="31" s="1"/>
  <c r="E182" i="31" s="1"/>
  <c r="E194" i="31" s="1"/>
  <c r="M2" i="31"/>
  <c r="E16" i="31"/>
  <c r="E28" i="31" s="1"/>
  <c r="E40" i="31" s="1"/>
  <c r="E52" i="31" s="1"/>
  <c r="E64" i="31" s="1"/>
  <c r="E76" i="31" s="1"/>
  <c r="E88" i="31" s="1"/>
  <c r="E100" i="31" s="1"/>
  <c r="E112" i="31" s="1"/>
  <c r="E124" i="31" s="1"/>
  <c r="E136" i="31" s="1"/>
  <c r="E148" i="31" s="1"/>
  <c r="E160" i="31" s="1"/>
  <c r="E172" i="31" s="1"/>
  <c r="E184" i="31" s="1"/>
  <c r="E196" i="31" s="1"/>
  <c r="M4" i="31"/>
  <c r="E14" i="30"/>
  <c r="E26" i="30" s="1"/>
  <c r="E38" i="30" s="1"/>
  <c r="E50" i="30" s="1"/>
  <c r="E62" i="30" s="1"/>
  <c r="E74" i="30" s="1"/>
  <c r="E86" i="30" s="1"/>
  <c r="E98" i="30" s="1"/>
  <c r="E110" i="30" s="1"/>
  <c r="E122" i="30" s="1"/>
  <c r="E134" i="30" s="1"/>
  <c r="E146" i="30" s="1"/>
  <c r="E158" i="30" s="1"/>
  <c r="E170" i="30" s="1"/>
  <c r="E182" i="30" s="1"/>
  <c r="E194" i="30" s="1"/>
  <c r="L2" i="30"/>
  <c r="E16" i="30"/>
  <c r="E28" i="30" s="1"/>
  <c r="E40" i="30" s="1"/>
  <c r="E52" i="30" s="1"/>
  <c r="E64" i="30" s="1"/>
  <c r="E76" i="30" s="1"/>
  <c r="E88" i="30" s="1"/>
  <c r="E100" i="30" s="1"/>
  <c r="E112" i="30" s="1"/>
  <c r="E124" i="30" s="1"/>
  <c r="E136" i="30" s="1"/>
  <c r="E148" i="30" s="1"/>
  <c r="E160" i="30" s="1"/>
  <c r="E172" i="30" s="1"/>
  <c r="E184" i="30" s="1"/>
  <c r="E196" i="30" s="1"/>
  <c r="L4" i="30"/>
  <c r="E16" i="29"/>
  <c r="E28" i="29" s="1"/>
  <c r="E40" i="29" s="1"/>
  <c r="E52" i="29" s="1"/>
  <c r="E64" i="29" s="1"/>
  <c r="E76" i="29" s="1"/>
  <c r="E88" i="29" s="1"/>
  <c r="E100" i="29" s="1"/>
  <c r="E112" i="29" s="1"/>
  <c r="E124" i="29" s="1"/>
  <c r="E136" i="29" s="1"/>
  <c r="E148" i="29" s="1"/>
  <c r="E160" i="29" s="1"/>
  <c r="E172" i="29" s="1"/>
  <c r="E184" i="29" s="1"/>
  <c r="E196" i="29" s="1"/>
  <c r="M4" i="29"/>
  <c r="E14" i="29"/>
  <c r="E26" i="29" s="1"/>
  <c r="E38" i="29" s="1"/>
  <c r="E50" i="29" s="1"/>
  <c r="E62" i="29" s="1"/>
  <c r="E74" i="29" s="1"/>
  <c r="E86" i="29" s="1"/>
  <c r="E98" i="29" s="1"/>
  <c r="E110" i="29" s="1"/>
  <c r="E122" i="29" s="1"/>
  <c r="E134" i="29" s="1"/>
  <c r="E146" i="29" s="1"/>
  <c r="E158" i="29" s="1"/>
  <c r="E170" i="29" s="1"/>
  <c r="E182" i="29" s="1"/>
  <c r="E194" i="29" s="1"/>
  <c r="E15" i="29"/>
  <c r="E27" i="29" s="1"/>
  <c r="E39" i="29" s="1"/>
  <c r="E51" i="29" s="1"/>
  <c r="E63" i="29" s="1"/>
  <c r="E75" i="29" s="1"/>
  <c r="E87" i="29" s="1"/>
  <c r="E99" i="29" s="1"/>
  <c r="E111" i="29" s="1"/>
  <c r="E123" i="29" s="1"/>
  <c r="E135" i="29" s="1"/>
  <c r="E147" i="29" s="1"/>
  <c r="E159" i="29" s="1"/>
  <c r="E171" i="29" s="1"/>
  <c r="E183" i="29" s="1"/>
  <c r="E195" i="29" s="1"/>
  <c r="E14" i="28"/>
  <c r="E26" i="28" s="1"/>
  <c r="E38" i="28" s="1"/>
  <c r="E50" i="28" s="1"/>
  <c r="E62" i="28" s="1"/>
  <c r="E74" i="28" s="1"/>
  <c r="E86" i="28" s="1"/>
  <c r="E98" i="28" s="1"/>
  <c r="E110" i="28" s="1"/>
  <c r="E122" i="28" s="1"/>
  <c r="E134" i="28" s="1"/>
  <c r="E146" i="28" s="1"/>
  <c r="E158" i="28" s="1"/>
  <c r="E170" i="28" s="1"/>
  <c r="E182" i="28" s="1"/>
  <c r="E194" i="28" s="1"/>
  <c r="N2" i="28"/>
  <c r="E16" i="28"/>
  <c r="E28" i="28" s="1"/>
  <c r="E40" i="28" s="1"/>
  <c r="E52" i="28" s="1"/>
  <c r="E64" i="28" s="1"/>
  <c r="E76" i="28" s="1"/>
  <c r="E88" i="28" s="1"/>
  <c r="E100" i="28" s="1"/>
  <c r="E112" i="28" s="1"/>
  <c r="E124" i="28" s="1"/>
  <c r="E136" i="28" s="1"/>
  <c r="E148" i="28" s="1"/>
  <c r="E160" i="28" s="1"/>
  <c r="E172" i="28" s="1"/>
  <c r="E184" i="28" s="1"/>
  <c r="E196" i="28" s="1"/>
  <c r="N4" i="28"/>
  <c r="F4" i="28"/>
  <c r="BP63" i="3"/>
  <c r="F4" i="36"/>
  <c r="M4" i="36" s="1"/>
  <c r="BL63" i="3"/>
  <c r="F3" i="28"/>
  <c r="BP62" i="3"/>
  <c r="E4" i="36"/>
  <c r="L4" i="36" s="1"/>
  <c r="BM63" i="3"/>
  <c r="F2" i="28"/>
  <c r="BP61" i="3"/>
  <c r="F5" i="28"/>
  <c r="O5" i="28" s="1"/>
  <c r="BP64" i="3"/>
  <c r="F4" i="34"/>
  <c r="O4" i="34" s="1"/>
  <c r="BN63" i="3"/>
  <c r="BD47" i="14"/>
  <c r="A86" i="14"/>
  <c r="W47" i="14"/>
  <c r="W48" i="14" s="1"/>
  <c r="Z25" i="14"/>
  <c r="A63" i="14"/>
  <c r="A96" i="14"/>
  <c r="A109" i="14"/>
  <c r="A52" i="14"/>
  <c r="E5" i="28"/>
  <c r="N5" i="28" s="1"/>
  <c r="E5" i="35"/>
  <c r="E5" i="30"/>
  <c r="L5" i="30" s="1"/>
  <c r="E5" i="31"/>
  <c r="N15" i="28"/>
  <c r="BU49" i="3"/>
  <c r="BQ64" i="3" s="1"/>
  <c r="BS37" i="3"/>
  <c r="BS38" i="3" s="1"/>
  <c r="BS39" i="3" s="1"/>
  <c r="BS40" i="3" s="1"/>
  <c r="CJ50" i="3"/>
  <c r="EL17" i="3"/>
  <c r="EL18" i="3" s="1"/>
  <c r="EL19" i="3" s="1"/>
  <c r="EL20" i="3" s="1"/>
  <c r="BT14" i="3"/>
  <c r="BT15" i="3" s="1"/>
  <c r="BT16" i="3" s="1"/>
  <c r="BV1" i="3"/>
  <c r="BU12" i="3"/>
  <c r="BU31" i="3"/>
  <c r="BU7" i="3"/>
  <c r="BU25" i="3"/>
  <c r="BU11" i="3"/>
  <c r="BU29" i="3"/>
  <c r="BU4" i="3"/>
  <c r="BU26" i="3"/>
  <c r="BU33" i="3"/>
  <c r="BU3" i="3"/>
  <c r="BU30" i="3"/>
  <c r="BU13" i="3"/>
  <c r="BU23" i="3"/>
  <c r="BU32" i="3"/>
  <c r="BU10" i="3"/>
  <c r="BU8" i="3"/>
  <c r="BU6" i="3"/>
  <c r="BU27" i="3"/>
  <c r="BU9" i="3"/>
  <c r="BU24" i="3"/>
  <c r="BH50" i="3"/>
  <c r="BT65" i="3" s="1"/>
  <c r="BT34" i="3"/>
  <c r="BT35" i="3" s="1"/>
  <c r="BT36" i="3" s="1"/>
  <c r="BV50" i="3" s="1"/>
  <c r="BR65" i="3" s="1"/>
  <c r="Z16" i="14"/>
  <c r="BG50" i="3"/>
  <c r="BS65" i="3" s="1"/>
  <c r="EM34" i="3"/>
  <c r="EM35" i="3" s="1"/>
  <c r="EM36" i="3" s="1"/>
  <c r="EM37" i="3" s="1"/>
  <c r="EM38" i="3" s="1"/>
  <c r="EM39" i="3" s="1"/>
  <c r="EM40" i="3" s="1"/>
  <c r="CV34" i="3"/>
  <c r="CV35" i="3" s="1"/>
  <c r="CV36" i="3" s="1"/>
  <c r="BG14" i="3"/>
  <c r="BG15" i="3" s="1"/>
  <c r="BG16" i="3" s="1"/>
  <c r="BG34" i="3"/>
  <c r="BG35" i="3" s="1"/>
  <c r="BG36" i="3" s="1"/>
  <c r="BI1" i="3"/>
  <c r="BH24" i="3"/>
  <c r="BH3" i="3"/>
  <c r="BH12" i="3"/>
  <c r="BH10" i="3"/>
  <c r="BH6" i="3"/>
  <c r="BH8" i="3"/>
  <c r="BH25" i="3"/>
  <c r="BH31" i="3"/>
  <c r="BH4" i="3"/>
  <c r="BH30" i="3"/>
  <c r="BH9" i="3"/>
  <c r="BH28" i="3"/>
  <c r="BH29" i="3"/>
  <c r="BH5" i="3"/>
  <c r="BH26" i="3"/>
  <c r="BH11" i="3"/>
  <c r="BH23" i="3"/>
  <c r="BH7" i="3"/>
  <c r="BH27" i="3"/>
  <c r="BH13" i="3"/>
  <c r="BH32" i="3"/>
  <c r="BH33" i="3"/>
  <c r="CI34" i="3"/>
  <c r="CI35" i="3" s="1"/>
  <c r="CI36" i="3" s="1"/>
  <c r="EM14" i="3"/>
  <c r="EM15" i="3" s="1"/>
  <c r="EM16" i="3" s="1"/>
  <c r="DJ14" i="3"/>
  <c r="DJ15" i="3" s="1"/>
  <c r="DJ16" i="3" s="1"/>
  <c r="CV14" i="3"/>
  <c r="CV15" i="3" s="1"/>
  <c r="CV16" i="3" s="1"/>
  <c r="DS13" i="3"/>
  <c r="DS14" i="3" s="1"/>
  <c r="DS15" i="3" s="1"/>
  <c r="DS16" i="3" s="1"/>
  <c r="DS17" i="3" s="1"/>
  <c r="DS18" i="3" s="1"/>
  <c r="DS19" i="3" s="1"/>
  <c r="DS20" i="3" s="1"/>
  <c r="DY23" i="3"/>
  <c r="DY3" i="3"/>
  <c r="DY10" i="3"/>
  <c r="DY6" i="3"/>
  <c r="DY7" i="3"/>
  <c r="DY9" i="3"/>
  <c r="DY24" i="3"/>
  <c r="DY30" i="3"/>
  <c r="DY5" i="3"/>
  <c r="DY12" i="3"/>
  <c r="DY26" i="3"/>
  <c r="DY31" i="3"/>
  <c r="DY8" i="3"/>
  <c r="DY27" i="3"/>
  <c r="DY4" i="3"/>
  <c r="DY28" i="3"/>
  <c r="DY25" i="3"/>
  <c r="DY29" i="3"/>
  <c r="DY11" i="3"/>
  <c r="DY32" i="3"/>
  <c r="DY13" i="3"/>
  <c r="DY33" i="3"/>
  <c r="EG13" i="3"/>
  <c r="EG14" i="3" s="1"/>
  <c r="EG15" i="3" s="1"/>
  <c r="EG16" i="3" s="1"/>
  <c r="EG17" i="3" s="1"/>
  <c r="EG18" i="3" s="1"/>
  <c r="EG19" i="3" s="1"/>
  <c r="EG20" i="3" s="1"/>
  <c r="DX34" i="3"/>
  <c r="DX35" i="3" s="1"/>
  <c r="DX36" i="3" s="1"/>
  <c r="BV3" i="3"/>
  <c r="BV26" i="3"/>
  <c r="BV30" i="3"/>
  <c r="BV23" i="3"/>
  <c r="BV6" i="3"/>
  <c r="BV10" i="3"/>
  <c r="BV9" i="3"/>
  <c r="BV5" i="3"/>
  <c r="BV8" i="3"/>
  <c r="BV28" i="3"/>
  <c r="BV11" i="3"/>
  <c r="BV25" i="3"/>
  <c r="BV7" i="3"/>
  <c r="BV24" i="3"/>
  <c r="BV4" i="3"/>
  <c r="BV31" i="3"/>
  <c r="BV27" i="3"/>
  <c r="BV12" i="3"/>
  <c r="BV29" i="3"/>
  <c r="BV13" i="3"/>
  <c r="BV32" i="3"/>
  <c r="BV33" i="3"/>
  <c r="CI14" i="3"/>
  <c r="CI15" i="3" s="1"/>
  <c r="CI16" i="3" s="1"/>
  <c r="DJ34" i="3"/>
  <c r="DJ35" i="3" s="1"/>
  <c r="DJ36" i="3" s="1"/>
  <c r="F2" i="36"/>
  <c r="F2" i="35"/>
  <c r="F2" i="31"/>
  <c r="EG32" i="3"/>
  <c r="EG33" i="3" s="1"/>
  <c r="EG34" i="3" s="1"/>
  <c r="EG35" i="3" s="1"/>
  <c r="EG36" i="3" s="1"/>
  <c r="EG37" i="3" s="1"/>
  <c r="EG38" i="3" s="1"/>
  <c r="EG39" i="3" s="1"/>
  <c r="EG40" i="3" s="1"/>
  <c r="DS32" i="3"/>
  <c r="DS33" i="3" s="1"/>
  <c r="DS34" i="3" s="1"/>
  <c r="DS35" i="3" s="1"/>
  <c r="DS36" i="3" s="1"/>
  <c r="DS37" i="3" s="1"/>
  <c r="DS38" i="3" s="1"/>
  <c r="DS39" i="3" s="1"/>
  <c r="DS40" i="3" s="1"/>
  <c r="CJ23" i="3"/>
  <c r="CJ3" i="3"/>
  <c r="CJ9" i="3"/>
  <c r="CJ27" i="3"/>
  <c r="CJ11" i="3"/>
  <c r="CJ7" i="3"/>
  <c r="CJ5" i="3"/>
  <c r="CJ28" i="3"/>
  <c r="CJ24" i="3"/>
  <c r="CJ10" i="3"/>
  <c r="CJ30" i="3"/>
  <c r="CJ29" i="3"/>
  <c r="CJ12" i="3"/>
  <c r="CJ6" i="3"/>
  <c r="CJ26" i="3"/>
  <c r="CJ25" i="3"/>
  <c r="CJ8" i="3"/>
  <c r="CJ31" i="3"/>
  <c r="CJ4" i="3"/>
  <c r="CJ32" i="3"/>
  <c r="CJ13" i="3"/>
  <c r="CJ33" i="3"/>
  <c r="DK4" i="3"/>
  <c r="DK8" i="3"/>
  <c r="DK12" i="3"/>
  <c r="DK9" i="3"/>
  <c r="DK23" i="3"/>
  <c r="DK5" i="3"/>
  <c r="DK3" i="3"/>
  <c r="DK11" i="3"/>
  <c r="DK25" i="3"/>
  <c r="DK7" i="3"/>
  <c r="DK28" i="3"/>
  <c r="DK10" i="3"/>
  <c r="DK30" i="3"/>
  <c r="DK24" i="3"/>
  <c r="DK6" i="3"/>
  <c r="DK31" i="3"/>
  <c r="DK26" i="3"/>
  <c r="DK27" i="3"/>
  <c r="DK29" i="3"/>
  <c r="DK32" i="3"/>
  <c r="DK13" i="3"/>
  <c r="DK33" i="3"/>
  <c r="F3" i="34"/>
  <c r="F3" i="29"/>
  <c r="F3" i="30"/>
  <c r="F2" i="29"/>
  <c r="F2" i="30"/>
  <c r="F2" i="34"/>
  <c r="DX14" i="3"/>
  <c r="DX15" i="3" s="1"/>
  <c r="DX16" i="3" s="1"/>
  <c r="F3" i="36"/>
  <c r="F3" i="35"/>
  <c r="F3" i="31"/>
  <c r="EN3" i="3"/>
  <c r="EN23" i="3"/>
  <c r="EN30" i="3"/>
  <c r="EN25" i="3"/>
  <c r="EN5" i="3"/>
  <c r="EN12" i="3"/>
  <c r="EN26" i="3"/>
  <c r="EN31" i="3"/>
  <c r="EN8" i="3"/>
  <c r="EN28" i="3"/>
  <c r="EN27" i="3"/>
  <c r="EN10" i="3"/>
  <c r="EN4" i="3"/>
  <c r="EN24" i="3"/>
  <c r="EN6" i="3"/>
  <c r="EN11" i="3"/>
  <c r="EN29" i="3"/>
  <c r="EN7" i="3"/>
  <c r="EN9" i="3"/>
  <c r="EN32" i="3"/>
  <c r="EN13" i="3"/>
  <c r="EO1" i="3"/>
  <c r="EN33" i="3"/>
  <c r="EL37" i="3"/>
  <c r="EL38" i="3" s="1"/>
  <c r="EL39" i="3" s="1"/>
  <c r="EL40" i="3" s="1"/>
  <c r="EN50" i="3"/>
  <c r="BH65" i="3" s="1"/>
  <c r="CW3" i="3"/>
  <c r="CW5" i="3"/>
  <c r="CW9" i="3"/>
  <c r="CW23" i="3"/>
  <c r="CW30" i="3"/>
  <c r="CW7" i="3"/>
  <c r="CW26" i="3"/>
  <c r="CW31" i="3"/>
  <c r="CW28" i="3"/>
  <c r="CW10" i="3"/>
  <c r="CW27" i="3"/>
  <c r="CW12" i="3"/>
  <c r="CW24" i="3"/>
  <c r="CW25" i="3"/>
  <c r="CW6" i="3"/>
  <c r="CW8" i="3"/>
  <c r="CW29" i="3"/>
  <c r="CW11" i="3"/>
  <c r="CW4" i="3"/>
  <c r="CW32" i="3"/>
  <c r="CW13" i="3"/>
  <c r="CW33" i="3"/>
  <c r="BT17" i="3"/>
  <c r="BT18" i="3" s="1"/>
  <c r="BT19" i="3" s="1"/>
  <c r="BT20" i="3" s="1"/>
  <c r="BU50" i="3"/>
  <c r="M15" i="35"/>
  <c r="M15" i="31"/>
  <c r="L15" i="30"/>
  <c r="F4" i="31"/>
  <c r="F4" i="35"/>
  <c r="F4" i="29"/>
  <c r="F4" i="30"/>
  <c r="BG7" i="14"/>
  <c r="BU6" i="14"/>
  <c r="BQ16" i="14"/>
  <c r="BQ17" i="14" s="1"/>
  <c r="BQ18" i="14" s="1"/>
  <c r="BQ19" i="14" s="1"/>
  <c r="BQ20" i="14" s="1"/>
  <c r="BQ21" i="14" s="1"/>
  <c r="BQ25" i="14"/>
  <c r="BM16" i="14"/>
  <c r="BM17" i="14" s="1"/>
  <c r="BM18" i="14" s="1"/>
  <c r="BM19" i="14" s="1"/>
  <c r="BM20" i="14" s="1"/>
  <c r="BM21" i="14" s="1"/>
  <c r="BM25" i="14"/>
  <c r="DZ49" i="3"/>
  <c r="BJ64" i="3" s="1"/>
  <c r="DW37" i="3"/>
  <c r="DW38" i="3" s="1"/>
  <c r="DW39" i="3" s="1"/>
  <c r="DW40" i="3" s="1"/>
  <c r="DY49" i="3"/>
  <c r="BI64" i="3" s="1"/>
  <c r="DW17" i="3"/>
  <c r="DW18" i="3" s="1"/>
  <c r="DW19" i="3" s="1"/>
  <c r="DW20" i="3" s="1"/>
  <c r="DZ1" i="3"/>
  <c r="DL1" i="3"/>
  <c r="DL49" i="3"/>
  <c r="DI37" i="3"/>
  <c r="DI38" i="3" s="1"/>
  <c r="DI39" i="3" s="1"/>
  <c r="DI40" i="3" s="1"/>
  <c r="DK49" i="3"/>
  <c r="BK64" i="3" s="1"/>
  <c r="DI17" i="3"/>
  <c r="DI18" i="3" s="1"/>
  <c r="DI19" i="3" s="1"/>
  <c r="DI20" i="3" s="1"/>
  <c r="CX49" i="3"/>
  <c r="CU37" i="3"/>
  <c r="CU38" i="3" s="1"/>
  <c r="CU39" i="3" s="1"/>
  <c r="CU40" i="3" s="1"/>
  <c r="CX1" i="3"/>
  <c r="CU17" i="3"/>
  <c r="CU18" i="3" s="1"/>
  <c r="CU19" i="3" s="1"/>
  <c r="CU20" i="3" s="1"/>
  <c r="CW49" i="3"/>
  <c r="CK1" i="3"/>
  <c r="CH17" i="3"/>
  <c r="CH18" i="3" s="1"/>
  <c r="CH19" i="3" s="1"/>
  <c r="CH20" i="3" s="1"/>
  <c r="CI50" i="3"/>
  <c r="BO65" i="3" s="1"/>
  <c r="BW1" i="3"/>
  <c r="N9" i="14"/>
  <c r="AF8" i="14"/>
  <c r="J20" i="14"/>
  <c r="J21" i="14" s="1"/>
  <c r="AJ18" i="14"/>
  <c r="AJ19" i="14" s="1"/>
  <c r="F20" i="14"/>
  <c r="F21" i="14" s="1"/>
  <c r="B7" i="14"/>
  <c r="N15" i="34" l="1"/>
  <c r="F14" i="36"/>
  <c r="F26" i="36" s="1"/>
  <c r="F38" i="36" s="1"/>
  <c r="F50" i="36" s="1"/>
  <c r="F62" i="36" s="1"/>
  <c r="F74" i="36" s="1"/>
  <c r="F86" i="36" s="1"/>
  <c r="F98" i="36" s="1"/>
  <c r="F110" i="36" s="1"/>
  <c r="F122" i="36" s="1"/>
  <c r="F134" i="36" s="1"/>
  <c r="F146" i="36" s="1"/>
  <c r="F158" i="36" s="1"/>
  <c r="F170" i="36" s="1"/>
  <c r="F182" i="36" s="1"/>
  <c r="F194" i="36" s="1"/>
  <c r="M2" i="36"/>
  <c r="F15" i="36"/>
  <c r="F27" i="36" s="1"/>
  <c r="F39" i="36" s="1"/>
  <c r="F51" i="36" s="1"/>
  <c r="F63" i="36" s="1"/>
  <c r="F75" i="36" s="1"/>
  <c r="F87" i="36" s="1"/>
  <c r="F99" i="36" s="1"/>
  <c r="F111" i="36" s="1"/>
  <c r="F123" i="36" s="1"/>
  <c r="F135" i="36" s="1"/>
  <c r="F147" i="36" s="1"/>
  <c r="F159" i="36" s="1"/>
  <c r="F171" i="36" s="1"/>
  <c r="F183" i="36" s="1"/>
  <c r="F195" i="36" s="1"/>
  <c r="M3" i="36"/>
  <c r="F16" i="36"/>
  <c r="F28" i="36" s="1"/>
  <c r="F40" i="36" s="1"/>
  <c r="F52" i="36" s="1"/>
  <c r="F64" i="36" s="1"/>
  <c r="F76" i="36" s="1"/>
  <c r="F88" i="36" s="1"/>
  <c r="F100" i="36" s="1"/>
  <c r="F112" i="36" s="1"/>
  <c r="F124" i="36" s="1"/>
  <c r="F136" i="36" s="1"/>
  <c r="F148" i="36" s="1"/>
  <c r="F160" i="36" s="1"/>
  <c r="F172" i="36" s="1"/>
  <c r="F184" i="36" s="1"/>
  <c r="F196" i="36" s="1"/>
  <c r="E16" i="36"/>
  <c r="E28" i="36" s="1"/>
  <c r="E40" i="36" s="1"/>
  <c r="E52" i="36" s="1"/>
  <c r="E64" i="36" s="1"/>
  <c r="E76" i="36" s="1"/>
  <c r="E88" i="36" s="1"/>
  <c r="E100" i="36" s="1"/>
  <c r="E112" i="36" s="1"/>
  <c r="E124" i="36" s="1"/>
  <c r="E136" i="36" s="1"/>
  <c r="E148" i="36" s="1"/>
  <c r="E160" i="36" s="1"/>
  <c r="E172" i="36" s="1"/>
  <c r="E184" i="36" s="1"/>
  <c r="E196" i="36" s="1"/>
  <c r="F16" i="35"/>
  <c r="F28" i="35" s="1"/>
  <c r="F40" i="35" s="1"/>
  <c r="F52" i="35" s="1"/>
  <c r="F64" i="35" s="1"/>
  <c r="F76" i="35" s="1"/>
  <c r="F88" i="35" s="1"/>
  <c r="F100" i="35" s="1"/>
  <c r="F112" i="35" s="1"/>
  <c r="F124" i="35" s="1"/>
  <c r="F136" i="35" s="1"/>
  <c r="F148" i="35" s="1"/>
  <c r="F160" i="35" s="1"/>
  <c r="F172" i="35" s="1"/>
  <c r="F184" i="35" s="1"/>
  <c r="F196" i="35" s="1"/>
  <c r="N4" i="35"/>
  <c r="F14" i="35"/>
  <c r="F26" i="35" s="1"/>
  <c r="F38" i="35" s="1"/>
  <c r="F50" i="35" s="1"/>
  <c r="F62" i="35" s="1"/>
  <c r="F74" i="35" s="1"/>
  <c r="F86" i="35" s="1"/>
  <c r="F98" i="35" s="1"/>
  <c r="F110" i="35" s="1"/>
  <c r="F122" i="35" s="1"/>
  <c r="F134" i="35" s="1"/>
  <c r="F146" i="35" s="1"/>
  <c r="F158" i="35" s="1"/>
  <c r="F170" i="35" s="1"/>
  <c r="F182" i="35" s="1"/>
  <c r="F194" i="35" s="1"/>
  <c r="N2" i="35"/>
  <c r="E17" i="35"/>
  <c r="E29" i="35" s="1"/>
  <c r="E41" i="35" s="1"/>
  <c r="E53" i="35" s="1"/>
  <c r="E65" i="35" s="1"/>
  <c r="E77" i="35" s="1"/>
  <c r="E89" i="35" s="1"/>
  <c r="E101" i="35" s="1"/>
  <c r="E113" i="35" s="1"/>
  <c r="E125" i="35" s="1"/>
  <c r="E137" i="35" s="1"/>
  <c r="E149" i="35" s="1"/>
  <c r="E161" i="35" s="1"/>
  <c r="E173" i="35" s="1"/>
  <c r="E185" i="35" s="1"/>
  <c r="E197" i="35" s="1"/>
  <c r="M5" i="35"/>
  <c r="F15" i="35"/>
  <c r="F27" i="35" s="1"/>
  <c r="F39" i="35" s="1"/>
  <c r="F51" i="35" s="1"/>
  <c r="F63" i="35" s="1"/>
  <c r="F75" i="35" s="1"/>
  <c r="F87" i="35" s="1"/>
  <c r="F99" i="35" s="1"/>
  <c r="F111" i="35" s="1"/>
  <c r="F123" i="35" s="1"/>
  <c r="F135" i="35" s="1"/>
  <c r="F147" i="35" s="1"/>
  <c r="F159" i="35" s="1"/>
  <c r="F171" i="35" s="1"/>
  <c r="F183" i="35" s="1"/>
  <c r="F195" i="35" s="1"/>
  <c r="N3" i="35"/>
  <c r="F14" i="34"/>
  <c r="F26" i="34" s="1"/>
  <c r="F38" i="34" s="1"/>
  <c r="F50" i="34" s="1"/>
  <c r="F62" i="34" s="1"/>
  <c r="F74" i="34" s="1"/>
  <c r="F86" i="34" s="1"/>
  <c r="F98" i="34" s="1"/>
  <c r="F110" i="34" s="1"/>
  <c r="F122" i="34" s="1"/>
  <c r="F134" i="34" s="1"/>
  <c r="F146" i="34" s="1"/>
  <c r="F158" i="34" s="1"/>
  <c r="F170" i="34" s="1"/>
  <c r="F182" i="34" s="1"/>
  <c r="F194" i="34" s="1"/>
  <c r="O2" i="34"/>
  <c r="F15" i="34"/>
  <c r="F27" i="34" s="1"/>
  <c r="F39" i="34" s="1"/>
  <c r="F51" i="34" s="1"/>
  <c r="F63" i="34" s="1"/>
  <c r="F75" i="34" s="1"/>
  <c r="F87" i="34" s="1"/>
  <c r="F99" i="34" s="1"/>
  <c r="F111" i="34" s="1"/>
  <c r="F123" i="34" s="1"/>
  <c r="F135" i="34" s="1"/>
  <c r="F147" i="34" s="1"/>
  <c r="F159" i="34" s="1"/>
  <c r="F171" i="34" s="1"/>
  <c r="F183" i="34" s="1"/>
  <c r="F195" i="34" s="1"/>
  <c r="O3" i="34"/>
  <c r="F16" i="34"/>
  <c r="F28" i="34" s="1"/>
  <c r="F40" i="34" s="1"/>
  <c r="F52" i="34" s="1"/>
  <c r="F64" i="34" s="1"/>
  <c r="F76" i="34" s="1"/>
  <c r="F88" i="34" s="1"/>
  <c r="F100" i="34" s="1"/>
  <c r="F112" i="34" s="1"/>
  <c r="F124" i="34" s="1"/>
  <c r="F136" i="34" s="1"/>
  <c r="F148" i="34" s="1"/>
  <c r="F160" i="34" s="1"/>
  <c r="F172" i="34" s="1"/>
  <c r="F184" i="34" s="1"/>
  <c r="F196" i="34" s="1"/>
  <c r="E17" i="31"/>
  <c r="E29" i="31" s="1"/>
  <c r="E41" i="31" s="1"/>
  <c r="E53" i="31" s="1"/>
  <c r="E65" i="31" s="1"/>
  <c r="E77" i="31" s="1"/>
  <c r="E89" i="31" s="1"/>
  <c r="E101" i="31" s="1"/>
  <c r="E113" i="31" s="1"/>
  <c r="E125" i="31" s="1"/>
  <c r="E137" i="31" s="1"/>
  <c r="E149" i="31" s="1"/>
  <c r="E161" i="31" s="1"/>
  <c r="E173" i="31" s="1"/>
  <c r="E185" i="31" s="1"/>
  <c r="E197" i="31" s="1"/>
  <c r="M5" i="31"/>
  <c r="F16" i="31"/>
  <c r="F28" i="31" s="1"/>
  <c r="F40" i="31" s="1"/>
  <c r="F52" i="31" s="1"/>
  <c r="F64" i="31" s="1"/>
  <c r="F76" i="31" s="1"/>
  <c r="F88" i="31" s="1"/>
  <c r="F100" i="31" s="1"/>
  <c r="F112" i="31" s="1"/>
  <c r="F124" i="31" s="1"/>
  <c r="F136" i="31" s="1"/>
  <c r="F148" i="31" s="1"/>
  <c r="F160" i="31" s="1"/>
  <c r="F172" i="31" s="1"/>
  <c r="F184" i="31" s="1"/>
  <c r="F196" i="31" s="1"/>
  <c r="N4" i="31"/>
  <c r="F14" i="31"/>
  <c r="F26" i="31" s="1"/>
  <c r="F38" i="31" s="1"/>
  <c r="F50" i="31" s="1"/>
  <c r="F62" i="31" s="1"/>
  <c r="F74" i="31" s="1"/>
  <c r="F86" i="31" s="1"/>
  <c r="F98" i="31" s="1"/>
  <c r="F110" i="31" s="1"/>
  <c r="F122" i="31" s="1"/>
  <c r="F134" i="31" s="1"/>
  <c r="F146" i="31" s="1"/>
  <c r="F158" i="31" s="1"/>
  <c r="F170" i="31" s="1"/>
  <c r="F182" i="31" s="1"/>
  <c r="F194" i="31" s="1"/>
  <c r="N2" i="31"/>
  <c r="F15" i="31"/>
  <c r="F27" i="31" s="1"/>
  <c r="F39" i="31" s="1"/>
  <c r="F51" i="31" s="1"/>
  <c r="F63" i="31" s="1"/>
  <c r="F75" i="31" s="1"/>
  <c r="F87" i="31" s="1"/>
  <c r="F99" i="31" s="1"/>
  <c r="F111" i="31" s="1"/>
  <c r="F123" i="31" s="1"/>
  <c r="F135" i="31" s="1"/>
  <c r="F147" i="31" s="1"/>
  <c r="F159" i="31" s="1"/>
  <c r="F171" i="31" s="1"/>
  <c r="F183" i="31" s="1"/>
  <c r="F195" i="31" s="1"/>
  <c r="N3" i="31"/>
  <c r="N14" i="28"/>
  <c r="F15" i="30"/>
  <c r="F27" i="30" s="1"/>
  <c r="F39" i="30" s="1"/>
  <c r="F51" i="30" s="1"/>
  <c r="F63" i="30" s="1"/>
  <c r="F75" i="30" s="1"/>
  <c r="F87" i="30" s="1"/>
  <c r="F99" i="30" s="1"/>
  <c r="F111" i="30" s="1"/>
  <c r="F123" i="30" s="1"/>
  <c r="F135" i="30" s="1"/>
  <c r="F147" i="30" s="1"/>
  <c r="F159" i="30" s="1"/>
  <c r="F171" i="30" s="1"/>
  <c r="F183" i="30" s="1"/>
  <c r="F195" i="30" s="1"/>
  <c r="M3" i="30"/>
  <c r="F14" i="30"/>
  <c r="F26" i="30" s="1"/>
  <c r="F38" i="30" s="1"/>
  <c r="F50" i="30" s="1"/>
  <c r="F62" i="30" s="1"/>
  <c r="F74" i="30" s="1"/>
  <c r="F86" i="30" s="1"/>
  <c r="F98" i="30" s="1"/>
  <c r="F110" i="30" s="1"/>
  <c r="F122" i="30" s="1"/>
  <c r="F134" i="30" s="1"/>
  <c r="F146" i="30" s="1"/>
  <c r="F158" i="30" s="1"/>
  <c r="F170" i="30" s="1"/>
  <c r="F182" i="30" s="1"/>
  <c r="F194" i="30" s="1"/>
  <c r="M2" i="30"/>
  <c r="F16" i="30"/>
  <c r="F28" i="30" s="1"/>
  <c r="F40" i="30" s="1"/>
  <c r="F52" i="30" s="1"/>
  <c r="F64" i="30" s="1"/>
  <c r="F76" i="30" s="1"/>
  <c r="F88" i="30" s="1"/>
  <c r="F100" i="30" s="1"/>
  <c r="F112" i="30" s="1"/>
  <c r="F124" i="30" s="1"/>
  <c r="F136" i="30" s="1"/>
  <c r="F148" i="30" s="1"/>
  <c r="F160" i="30" s="1"/>
  <c r="F172" i="30" s="1"/>
  <c r="F184" i="30" s="1"/>
  <c r="F196" i="30" s="1"/>
  <c r="M4" i="30"/>
  <c r="E17" i="30"/>
  <c r="E29" i="30" s="1"/>
  <c r="E41" i="30" s="1"/>
  <c r="E53" i="30" s="1"/>
  <c r="E65" i="30" s="1"/>
  <c r="E77" i="30" s="1"/>
  <c r="E89" i="30" s="1"/>
  <c r="E101" i="30" s="1"/>
  <c r="E113" i="30" s="1"/>
  <c r="E125" i="30" s="1"/>
  <c r="E137" i="30" s="1"/>
  <c r="E149" i="30" s="1"/>
  <c r="E161" i="30" s="1"/>
  <c r="E173" i="30" s="1"/>
  <c r="E185" i="30" s="1"/>
  <c r="E197" i="30" s="1"/>
  <c r="F14" i="29"/>
  <c r="F26" i="29" s="1"/>
  <c r="F38" i="29" s="1"/>
  <c r="F50" i="29" s="1"/>
  <c r="F62" i="29" s="1"/>
  <c r="F74" i="29" s="1"/>
  <c r="F86" i="29" s="1"/>
  <c r="F98" i="29" s="1"/>
  <c r="F110" i="29" s="1"/>
  <c r="F122" i="29" s="1"/>
  <c r="F134" i="29" s="1"/>
  <c r="F146" i="29" s="1"/>
  <c r="F158" i="29" s="1"/>
  <c r="F170" i="29" s="1"/>
  <c r="F182" i="29" s="1"/>
  <c r="F194" i="29" s="1"/>
  <c r="N2" i="29"/>
  <c r="F15" i="29"/>
  <c r="F27" i="29" s="1"/>
  <c r="F39" i="29" s="1"/>
  <c r="F51" i="29" s="1"/>
  <c r="F63" i="29" s="1"/>
  <c r="F75" i="29" s="1"/>
  <c r="F87" i="29" s="1"/>
  <c r="F99" i="29" s="1"/>
  <c r="F111" i="29" s="1"/>
  <c r="F123" i="29" s="1"/>
  <c r="F135" i="29" s="1"/>
  <c r="F147" i="29" s="1"/>
  <c r="F159" i="29" s="1"/>
  <c r="F171" i="29" s="1"/>
  <c r="F183" i="29" s="1"/>
  <c r="F195" i="29" s="1"/>
  <c r="N3" i="29"/>
  <c r="F16" i="29"/>
  <c r="F28" i="29" s="1"/>
  <c r="F40" i="29" s="1"/>
  <c r="F52" i="29" s="1"/>
  <c r="F64" i="29" s="1"/>
  <c r="F76" i="29" s="1"/>
  <c r="F88" i="29" s="1"/>
  <c r="F100" i="29" s="1"/>
  <c r="F112" i="29" s="1"/>
  <c r="F124" i="29" s="1"/>
  <c r="F136" i="29" s="1"/>
  <c r="F148" i="29" s="1"/>
  <c r="F160" i="29" s="1"/>
  <c r="F172" i="29" s="1"/>
  <c r="F184" i="29" s="1"/>
  <c r="F196" i="29" s="1"/>
  <c r="N4" i="29"/>
  <c r="F14" i="28"/>
  <c r="F26" i="28" s="1"/>
  <c r="F38" i="28" s="1"/>
  <c r="F50" i="28" s="1"/>
  <c r="F62" i="28" s="1"/>
  <c r="F74" i="28" s="1"/>
  <c r="F86" i="28" s="1"/>
  <c r="F98" i="28" s="1"/>
  <c r="F110" i="28" s="1"/>
  <c r="F122" i="28" s="1"/>
  <c r="F134" i="28" s="1"/>
  <c r="F146" i="28" s="1"/>
  <c r="F158" i="28" s="1"/>
  <c r="F170" i="28" s="1"/>
  <c r="F182" i="28" s="1"/>
  <c r="F194" i="28" s="1"/>
  <c r="O2" i="28"/>
  <c r="F15" i="28"/>
  <c r="F27" i="28" s="1"/>
  <c r="F39" i="28" s="1"/>
  <c r="F51" i="28" s="1"/>
  <c r="F63" i="28" s="1"/>
  <c r="F75" i="28" s="1"/>
  <c r="F87" i="28" s="1"/>
  <c r="F99" i="28" s="1"/>
  <c r="F111" i="28" s="1"/>
  <c r="F123" i="28" s="1"/>
  <c r="F135" i="28" s="1"/>
  <c r="F147" i="28" s="1"/>
  <c r="F159" i="28" s="1"/>
  <c r="F171" i="28" s="1"/>
  <c r="F183" i="28" s="1"/>
  <c r="F195" i="28" s="1"/>
  <c r="O3" i="28"/>
  <c r="F16" i="28"/>
  <c r="F28" i="28" s="1"/>
  <c r="F40" i="28" s="1"/>
  <c r="F52" i="28" s="1"/>
  <c r="F64" i="28" s="1"/>
  <c r="F76" i="28" s="1"/>
  <c r="F88" i="28" s="1"/>
  <c r="F100" i="28" s="1"/>
  <c r="F112" i="28" s="1"/>
  <c r="F124" i="28" s="1"/>
  <c r="F136" i="28" s="1"/>
  <c r="F148" i="28" s="1"/>
  <c r="F160" i="28" s="1"/>
  <c r="F172" i="28" s="1"/>
  <c r="F184" i="28" s="1"/>
  <c r="F196" i="28" s="1"/>
  <c r="O4" i="28"/>
  <c r="E17" i="28"/>
  <c r="E29" i="28" s="1"/>
  <c r="E41" i="28" s="1"/>
  <c r="E53" i="28" s="1"/>
  <c r="E65" i="28" s="1"/>
  <c r="E77" i="28" s="1"/>
  <c r="E89" i="28" s="1"/>
  <c r="E101" i="28" s="1"/>
  <c r="E113" i="28" s="1"/>
  <c r="E125" i="28" s="1"/>
  <c r="E137" i="28" s="1"/>
  <c r="E149" i="28" s="1"/>
  <c r="E161" i="28" s="1"/>
  <c r="E173" i="28" s="1"/>
  <c r="E185" i="28" s="1"/>
  <c r="E197" i="28" s="1"/>
  <c r="F17" i="28"/>
  <c r="F29" i="28" s="1"/>
  <c r="F41" i="28" s="1"/>
  <c r="F53" i="28" s="1"/>
  <c r="F65" i="28" s="1"/>
  <c r="F77" i="28" s="1"/>
  <c r="F89" i="28" s="1"/>
  <c r="F101" i="28" s="1"/>
  <c r="F113" i="28" s="1"/>
  <c r="F125" i="28" s="1"/>
  <c r="F137" i="28" s="1"/>
  <c r="F149" i="28" s="1"/>
  <c r="F161" i="28" s="1"/>
  <c r="F173" i="28" s="1"/>
  <c r="F185" i="28" s="1"/>
  <c r="F197" i="28" s="1"/>
  <c r="L27" i="36"/>
  <c r="F5" i="34"/>
  <c r="O5" i="34" s="1"/>
  <c r="BN64" i="3"/>
  <c r="F5" i="36"/>
  <c r="M5" i="36" s="1"/>
  <c r="BL64" i="3"/>
  <c r="F6" i="28"/>
  <c r="O6" i="28" s="1"/>
  <c r="BP65" i="3"/>
  <c r="E6" i="34"/>
  <c r="N6" i="34" s="1"/>
  <c r="BQ65" i="3"/>
  <c r="E5" i="36"/>
  <c r="L5" i="36" s="1"/>
  <c r="BM64" i="3"/>
  <c r="N27" i="34"/>
  <c r="M15" i="29"/>
  <c r="E5" i="34"/>
  <c r="R6" i="11"/>
  <c r="E5" i="29"/>
  <c r="M5" i="29" s="1"/>
  <c r="R7" i="11"/>
  <c r="E6" i="29"/>
  <c r="BD48" i="14"/>
  <c r="A98" i="14"/>
  <c r="Z17" i="14"/>
  <c r="Z18" i="14" s="1"/>
  <c r="Z19" i="14" s="1"/>
  <c r="Z20" i="14" s="1"/>
  <c r="Z21" i="14" s="1"/>
  <c r="A121" i="14"/>
  <c r="A108" i="14"/>
  <c r="A110" i="14"/>
  <c r="A53" i="14"/>
  <c r="A75" i="14"/>
  <c r="A64" i="14"/>
  <c r="W49" i="14"/>
  <c r="N27" i="28"/>
  <c r="BT37" i="3"/>
  <c r="BT38" i="3" s="1"/>
  <c r="BT39" i="3" s="1"/>
  <c r="BT40" i="3" s="1"/>
  <c r="BU14" i="3"/>
  <c r="BU15" i="3" s="1"/>
  <c r="BU16" i="3" s="1"/>
  <c r="EN51" i="3"/>
  <c r="BH66" i="3" s="1"/>
  <c r="E6" i="31"/>
  <c r="E6" i="28"/>
  <c r="E6" i="30"/>
  <c r="L6" i="30" s="1"/>
  <c r="BU34" i="3"/>
  <c r="BU35" i="3" s="1"/>
  <c r="BU36" i="3" s="1"/>
  <c r="BV51" i="3" s="1"/>
  <c r="BR66" i="3" s="1"/>
  <c r="E6" i="35"/>
  <c r="BJ1" i="3"/>
  <c r="BI9" i="3"/>
  <c r="BI24" i="3"/>
  <c r="BI6" i="3"/>
  <c r="BI12" i="3"/>
  <c r="BI23" i="3"/>
  <c r="BI31" i="3"/>
  <c r="BI25" i="3"/>
  <c r="BI5" i="3"/>
  <c r="BI3" i="3"/>
  <c r="BI28" i="3"/>
  <c r="BI30" i="3"/>
  <c r="BI4" i="3"/>
  <c r="BI27" i="3"/>
  <c r="BI11" i="3"/>
  <c r="BI8" i="3"/>
  <c r="BI26" i="3"/>
  <c r="BI29" i="3"/>
  <c r="BI7" i="3"/>
  <c r="BI10" i="3"/>
  <c r="BI13" i="3"/>
  <c r="BI32" i="3"/>
  <c r="BI33" i="3"/>
  <c r="CJ34" i="3"/>
  <c r="CJ35" i="3" s="1"/>
  <c r="CJ36" i="3" s="1"/>
  <c r="BH51" i="3"/>
  <c r="BT66" i="3" s="1"/>
  <c r="BG37" i="3"/>
  <c r="BG38" i="3" s="1"/>
  <c r="BG39" i="3" s="1"/>
  <c r="BG40" i="3" s="1"/>
  <c r="BG17" i="3"/>
  <c r="BG18" i="3" s="1"/>
  <c r="BG19" i="3" s="1"/>
  <c r="BG20" i="3" s="1"/>
  <c r="BG51" i="3"/>
  <c r="BS66" i="3" s="1"/>
  <c r="BH34" i="3"/>
  <c r="BH35" i="3" s="1"/>
  <c r="BH36" i="3" s="1"/>
  <c r="BH14" i="3"/>
  <c r="BH15" i="3" s="1"/>
  <c r="BH16" i="3" s="1"/>
  <c r="EO3" i="3"/>
  <c r="EO27" i="3"/>
  <c r="EO31" i="3"/>
  <c r="EO23" i="3"/>
  <c r="EO10" i="3"/>
  <c r="EO28" i="3"/>
  <c r="EO7" i="3"/>
  <c r="EO30" i="3"/>
  <c r="EO6" i="3"/>
  <c r="EO12" i="3"/>
  <c r="EO24" i="3"/>
  <c r="EO26" i="3"/>
  <c r="EO8" i="3"/>
  <c r="EO29" i="3"/>
  <c r="EO4" i="3"/>
  <c r="EO9" i="3"/>
  <c r="EO25" i="3"/>
  <c r="EO5" i="3"/>
  <c r="EO11" i="3"/>
  <c r="EO13" i="3"/>
  <c r="EO32" i="3"/>
  <c r="EO33" i="3"/>
  <c r="EP1" i="3"/>
  <c r="EN14" i="3"/>
  <c r="EN15" i="3" s="1"/>
  <c r="EN16" i="3" s="1"/>
  <c r="CJ14" i="3"/>
  <c r="CJ15" i="3" s="1"/>
  <c r="CJ16" i="3" s="1"/>
  <c r="CJ17" i="3" s="1"/>
  <c r="CJ18" i="3" s="1"/>
  <c r="CJ19" i="3" s="1"/>
  <c r="CJ20" i="3" s="1"/>
  <c r="DY14" i="3"/>
  <c r="DY15" i="3" s="1"/>
  <c r="DY16" i="3" s="1"/>
  <c r="BW5" i="3"/>
  <c r="BW9" i="3"/>
  <c r="BW23" i="3"/>
  <c r="BW3" i="3"/>
  <c r="BW6" i="3"/>
  <c r="BW10" i="3"/>
  <c r="BW25" i="3"/>
  <c r="BW24" i="3"/>
  <c r="BW31" i="3"/>
  <c r="BW27" i="3"/>
  <c r="BW7" i="3"/>
  <c r="BW12" i="3"/>
  <c r="BW30" i="3"/>
  <c r="BW8" i="3"/>
  <c r="BW26" i="3"/>
  <c r="BW29" i="3"/>
  <c r="BW4" i="3"/>
  <c r="BW28" i="3"/>
  <c r="BW11" i="3"/>
  <c r="BW13" i="3"/>
  <c r="BW32" i="3"/>
  <c r="BW33" i="3"/>
  <c r="EM17" i="3"/>
  <c r="EM18" i="3" s="1"/>
  <c r="EM19" i="3" s="1"/>
  <c r="EM20" i="3" s="1"/>
  <c r="EM51" i="3"/>
  <c r="BG66" i="3" s="1"/>
  <c r="BV14" i="3"/>
  <c r="BV15" i="3" s="1"/>
  <c r="BV16" i="3" s="1"/>
  <c r="DK34" i="3"/>
  <c r="DK35" i="3" s="1"/>
  <c r="DK36" i="3" s="1"/>
  <c r="DL51" i="3" s="1"/>
  <c r="BV34" i="3"/>
  <c r="BV35" i="3" s="1"/>
  <c r="BV36" i="3" s="1"/>
  <c r="BV52" i="3" s="1"/>
  <c r="BR67" i="3" s="1"/>
  <c r="CW34" i="3"/>
  <c r="CW35" i="3" s="1"/>
  <c r="CW36" i="3" s="1"/>
  <c r="DY34" i="3"/>
  <c r="DY35" i="3" s="1"/>
  <c r="DY36" i="3" s="1"/>
  <c r="DY37" i="3" s="1"/>
  <c r="DY38" i="3" s="1"/>
  <c r="DY39" i="3" s="1"/>
  <c r="DY40" i="3" s="1"/>
  <c r="CK23" i="3"/>
  <c r="CK3" i="3"/>
  <c r="CK12" i="3"/>
  <c r="CK9" i="3"/>
  <c r="CK8" i="3"/>
  <c r="CK30" i="3"/>
  <c r="CK29" i="3"/>
  <c r="CK5" i="3"/>
  <c r="CK26" i="3"/>
  <c r="CK28" i="3"/>
  <c r="CK4" i="3"/>
  <c r="CK25" i="3"/>
  <c r="CK10" i="3"/>
  <c r="CK24" i="3"/>
  <c r="CK31" i="3"/>
  <c r="CK6" i="3"/>
  <c r="CK11" i="3"/>
  <c r="CK27" i="3"/>
  <c r="CK7" i="3"/>
  <c r="CK13" i="3"/>
  <c r="CK32" i="3"/>
  <c r="CK33" i="3"/>
  <c r="DL3" i="3"/>
  <c r="DL23" i="3"/>
  <c r="DL27" i="3"/>
  <c r="DL7" i="3"/>
  <c r="DL26" i="3"/>
  <c r="DL9" i="3"/>
  <c r="DL5" i="3"/>
  <c r="DL10" i="3"/>
  <c r="DL12" i="3"/>
  <c r="DL28" i="3"/>
  <c r="DL6" i="3"/>
  <c r="DL8" i="3"/>
  <c r="DL24" i="3"/>
  <c r="DL29" i="3"/>
  <c r="DL4" i="3"/>
  <c r="DL25" i="3"/>
  <c r="DL31" i="3"/>
  <c r="DL11" i="3"/>
  <c r="DL30" i="3"/>
  <c r="DL32" i="3"/>
  <c r="DL13" i="3"/>
  <c r="DL33" i="3"/>
  <c r="DZ23" i="3"/>
  <c r="DZ6" i="3"/>
  <c r="DZ10" i="3"/>
  <c r="DZ7" i="3"/>
  <c r="DZ3" i="3"/>
  <c r="DZ11" i="3"/>
  <c r="DZ24" i="3"/>
  <c r="DZ28" i="3"/>
  <c r="DZ8" i="3"/>
  <c r="DZ26" i="3"/>
  <c r="DZ12" i="3"/>
  <c r="DZ4" i="3"/>
  <c r="DZ29" i="3"/>
  <c r="DZ31" i="3"/>
  <c r="DZ25" i="3"/>
  <c r="DZ9" i="3"/>
  <c r="DZ27" i="3"/>
  <c r="DZ5" i="3"/>
  <c r="DZ30" i="3"/>
  <c r="DZ32" i="3"/>
  <c r="DZ13" i="3"/>
  <c r="DZ33" i="3"/>
  <c r="CW14" i="3"/>
  <c r="CW15" i="3" s="1"/>
  <c r="CW16" i="3" s="1"/>
  <c r="CX5" i="3"/>
  <c r="CX9" i="3"/>
  <c r="CX27" i="3"/>
  <c r="CX3" i="3"/>
  <c r="CX31" i="3"/>
  <c r="CX23" i="3"/>
  <c r="CX6" i="3"/>
  <c r="CX10" i="3"/>
  <c r="CX28" i="3"/>
  <c r="CX12" i="3"/>
  <c r="CX30" i="3"/>
  <c r="CX24" i="3"/>
  <c r="CX8" i="3"/>
  <c r="CX26" i="3"/>
  <c r="CX29" i="3"/>
  <c r="CX4" i="3"/>
  <c r="CX11" i="3"/>
  <c r="CX25" i="3"/>
  <c r="CX7" i="3"/>
  <c r="CX32" i="3"/>
  <c r="CX13" i="3"/>
  <c r="CX33" i="3"/>
  <c r="EN34" i="3"/>
  <c r="EN35" i="3" s="1"/>
  <c r="EN36" i="3" s="1"/>
  <c r="DK14" i="3"/>
  <c r="DK15" i="3" s="1"/>
  <c r="DK16" i="3" s="1"/>
  <c r="BU17" i="3"/>
  <c r="BU18" i="3" s="1"/>
  <c r="BU19" i="3" s="1"/>
  <c r="BU20" i="3" s="1"/>
  <c r="BU51" i="3"/>
  <c r="M27" i="35"/>
  <c r="M27" i="31"/>
  <c r="L27" i="30"/>
  <c r="F5" i="31"/>
  <c r="F5" i="35"/>
  <c r="F5" i="29"/>
  <c r="F5" i="30"/>
  <c r="A55" i="14"/>
  <c r="BU7" i="14"/>
  <c r="BG8" i="14"/>
  <c r="EA1" i="3"/>
  <c r="DX17" i="3"/>
  <c r="DX18" i="3" s="1"/>
  <c r="DX19" i="3" s="1"/>
  <c r="DX20" i="3" s="1"/>
  <c r="DY50" i="3"/>
  <c r="BI65" i="3" s="1"/>
  <c r="DX37" i="3"/>
  <c r="DX38" i="3" s="1"/>
  <c r="DX39" i="3" s="1"/>
  <c r="DX40" i="3" s="1"/>
  <c r="DZ50" i="3"/>
  <c r="BJ65" i="3" s="1"/>
  <c r="DJ37" i="3"/>
  <c r="DJ38" i="3" s="1"/>
  <c r="DJ39" i="3" s="1"/>
  <c r="DJ40" i="3" s="1"/>
  <c r="DL50" i="3"/>
  <c r="DM1" i="3"/>
  <c r="DJ17" i="3"/>
  <c r="DJ18" i="3" s="1"/>
  <c r="DJ19" i="3" s="1"/>
  <c r="DJ20" i="3" s="1"/>
  <c r="DK50" i="3"/>
  <c r="BK65" i="3" s="1"/>
  <c r="CV37" i="3"/>
  <c r="CV38" i="3" s="1"/>
  <c r="CV39" i="3" s="1"/>
  <c r="CV40" i="3" s="1"/>
  <c r="CX50" i="3"/>
  <c r="CY1" i="3"/>
  <c r="CW50" i="3"/>
  <c r="CV17" i="3"/>
  <c r="CV18" i="3" s="1"/>
  <c r="CV19" i="3" s="1"/>
  <c r="CV20" i="3" s="1"/>
  <c r="CL1" i="3"/>
  <c r="CI37" i="3"/>
  <c r="CI38" i="3" s="1"/>
  <c r="CI39" i="3" s="1"/>
  <c r="CI40" i="3" s="1"/>
  <c r="CJ51" i="3"/>
  <c r="CI17" i="3"/>
  <c r="CI18" i="3" s="1"/>
  <c r="CI19" i="3" s="1"/>
  <c r="CI20" i="3" s="1"/>
  <c r="CI51" i="3"/>
  <c r="BO66" i="3" s="1"/>
  <c r="BU37" i="3"/>
  <c r="BU38" i="3" s="1"/>
  <c r="BU39" i="3" s="1"/>
  <c r="BU40" i="3" s="1"/>
  <c r="BX1" i="3"/>
  <c r="AJ20" i="14"/>
  <c r="AJ21" i="14" s="1"/>
  <c r="N10" i="14"/>
  <c r="AF9" i="14"/>
  <c r="B8" i="14"/>
  <c r="E17" i="36" l="1"/>
  <c r="E29" i="36" s="1"/>
  <c r="E41" i="36" s="1"/>
  <c r="E53" i="36" s="1"/>
  <c r="E65" i="36" s="1"/>
  <c r="E77" i="36" s="1"/>
  <c r="E89" i="36" s="1"/>
  <c r="E101" i="36" s="1"/>
  <c r="E113" i="36" s="1"/>
  <c r="E125" i="36" s="1"/>
  <c r="E137" i="36" s="1"/>
  <c r="E149" i="36" s="1"/>
  <c r="E161" i="36" s="1"/>
  <c r="E173" i="36" s="1"/>
  <c r="E185" i="36" s="1"/>
  <c r="E197" i="36" s="1"/>
  <c r="F17" i="36"/>
  <c r="F29" i="36" s="1"/>
  <c r="F41" i="36" s="1"/>
  <c r="F53" i="36" s="1"/>
  <c r="F65" i="36" s="1"/>
  <c r="F77" i="36" s="1"/>
  <c r="F89" i="36" s="1"/>
  <c r="F101" i="36" s="1"/>
  <c r="F113" i="36" s="1"/>
  <c r="F125" i="36" s="1"/>
  <c r="F137" i="36" s="1"/>
  <c r="F149" i="36" s="1"/>
  <c r="F161" i="36" s="1"/>
  <c r="F173" i="36" s="1"/>
  <c r="F185" i="36" s="1"/>
  <c r="F197" i="36" s="1"/>
  <c r="E18" i="35"/>
  <c r="E30" i="35" s="1"/>
  <c r="E42" i="35" s="1"/>
  <c r="E54" i="35" s="1"/>
  <c r="E66" i="35" s="1"/>
  <c r="E78" i="35" s="1"/>
  <c r="E90" i="35" s="1"/>
  <c r="E102" i="35" s="1"/>
  <c r="E114" i="35" s="1"/>
  <c r="E126" i="35" s="1"/>
  <c r="E138" i="35" s="1"/>
  <c r="E150" i="35" s="1"/>
  <c r="E162" i="35" s="1"/>
  <c r="E174" i="35" s="1"/>
  <c r="E186" i="35" s="1"/>
  <c r="E198" i="35" s="1"/>
  <c r="M6" i="35"/>
  <c r="F17" i="35"/>
  <c r="F29" i="35" s="1"/>
  <c r="F41" i="35" s="1"/>
  <c r="F53" i="35" s="1"/>
  <c r="F65" i="35" s="1"/>
  <c r="F77" i="35" s="1"/>
  <c r="F89" i="35" s="1"/>
  <c r="F101" i="35" s="1"/>
  <c r="F113" i="35" s="1"/>
  <c r="F125" i="35" s="1"/>
  <c r="F137" i="35" s="1"/>
  <c r="F149" i="35" s="1"/>
  <c r="F161" i="35" s="1"/>
  <c r="F173" i="35" s="1"/>
  <c r="F185" i="35" s="1"/>
  <c r="F197" i="35" s="1"/>
  <c r="N5" i="35"/>
  <c r="E17" i="34"/>
  <c r="E29" i="34" s="1"/>
  <c r="E41" i="34" s="1"/>
  <c r="E53" i="34" s="1"/>
  <c r="E65" i="34" s="1"/>
  <c r="E77" i="34" s="1"/>
  <c r="E89" i="34" s="1"/>
  <c r="E101" i="34" s="1"/>
  <c r="E113" i="34" s="1"/>
  <c r="E125" i="34" s="1"/>
  <c r="E137" i="34" s="1"/>
  <c r="E149" i="34" s="1"/>
  <c r="E161" i="34" s="1"/>
  <c r="E173" i="34" s="1"/>
  <c r="E185" i="34" s="1"/>
  <c r="E197" i="34" s="1"/>
  <c r="N5" i="34"/>
  <c r="E18" i="34"/>
  <c r="E30" i="34" s="1"/>
  <c r="E42" i="34" s="1"/>
  <c r="E54" i="34" s="1"/>
  <c r="E66" i="34" s="1"/>
  <c r="E78" i="34" s="1"/>
  <c r="E90" i="34" s="1"/>
  <c r="E102" i="34" s="1"/>
  <c r="E114" i="34" s="1"/>
  <c r="E126" i="34" s="1"/>
  <c r="E138" i="34" s="1"/>
  <c r="E150" i="34" s="1"/>
  <c r="E162" i="34" s="1"/>
  <c r="E174" i="34" s="1"/>
  <c r="E186" i="34" s="1"/>
  <c r="E198" i="34" s="1"/>
  <c r="F17" i="34"/>
  <c r="F29" i="34" s="1"/>
  <c r="F41" i="34" s="1"/>
  <c r="F53" i="34" s="1"/>
  <c r="F65" i="34" s="1"/>
  <c r="F77" i="34" s="1"/>
  <c r="F89" i="34" s="1"/>
  <c r="F101" i="34" s="1"/>
  <c r="F113" i="34" s="1"/>
  <c r="F125" i="34" s="1"/>
  <c r="F137" i="34" s="1"/>
  <c r="F149" i="34" s="1"/>
  <c r="F161" i="34" s="1"/>
  <c r="F173" i="34" s="1"/>
  <c r="F185" i="34" s="1"/>
  <c r="F197" i="34" s="1"/>
  <c r="F17" i="31"/>
  <c r="F29" i="31" s="1"/>
  <c r="F41" i="31" s="1"/>
  <c r="F53" i="31" s="1"/>
  <c r="F65" i="31" s="1"/>
  <c r="F77" i="31" s="1"/>
  <c r="F89" i="31" s="1"/>
  <c r="F101" i="31" s="1"/>
  <c r="F113" i="31" s="1"/>
  <c r="F125" i="31" s="1"/>
  <c r="F137" i="31" s="1"/>
  <c r="F149" i="31" s="1"/>
  <c r="F161" i="31" s="1"/>
  <c r="F173" i="31" s="1"/>
  <c r="F185" i="31" s="1"/>
  <c r="F197" i="31" s="1"/>
  <c r="N5" i="31"/>
  <c r="E18" i="31"/>
  <c r="E30" i="31" s="1"/>
  <c r="E42" i="31" s="1"/>
  <c r="E54" i="31" s="1"/>
  <c r="E66" i="31" s="1"/>
  <c r="E78" i="31" s="1"/>
  <c r="E90" i="31" s="1"/>
  <c r="E102" i="31" s="1"/>
  <c r="E114" i="31" s="1"/>
  <c r="E126" i="31" s="1"/>
  <c r="E138" i="31" s="1"/>
  <c r="E150" i="31" s="1"/>
  <c r="E162" i="31" s="1"/>
  <c r="E174" i="31" s="1"/>
  <c r="E186" i="31" s="1"/>
  <c r="E198" i="31" s="1"/>
  <c r="M6" i="31"/>
  <c r="F17" i="30"/>
  <c r="F29" i="30" s="1"/>
  <c r="F41" i="30" s="1"/>
  <c r="F53" i="30" s="1"/>
  <c r="F65" i="30" s="1"/>
  <c r="F77" i="30" s="1"/>
  <c r="F89" i="30" s="1"/>
  <c r="F101" i="30" s="1"/>
  <c r="F113" i="30" s="1"/>
  <c r="F125" i="30" s="1"/>
  <c r="F137" i="30" s="1"/>
  <c r="F149" i="30" s="1"/>
  <c r="F161" i="30" s="1"/>
  <c r="F173" i="30" s="1"/>
  <c r="F185" i="30" s="1"/>
  <c r="F197" i="30" s="1"/>
  <c r="M5" i="30"/>
  <c r="E18" i="30"/>
  <c r="E30" i="30" s="1"/>
  <c r="E42" i="30" s="1"/>
  <c r="E54" i="30" s="1"/>
  <c r="E66" i="30" s="1"/>
  <c r="E78" i="30" s="1"/>
  <c r="E90" i="30" s="1"/>
  <c r="E102" i="30" s="1"/>
  <c r="E114" i="30" s="1"/>
  <c r="E126" i="30" s="1"/>
  <c r="E138" i="30" s="1"/>
  <c r="E150" i="30" s="1"/>
  <c r="E162" i="30" s="1"/>
  <c r="E174" i="30" s="1"/>
  <c r="E186" i="30" s="1"/>
  <c r="E198" i="30" s="1"/>
  <c r="F17" i="29"/>
  <c r="F29" i="29" s="1"/>
  <c r="F41" i="29" s="1"/>
  <c r="F53" i="29" s="1"/>
  <c r="F65" i="29" s="1"/>
  <c r="F77" i="29" s="1"/>
  <c r="F89" i="29" s="1"/>
  <c r="F101" i="29" s="1"/>
  <c r="F113" i="29" s="1"/>
  <c r="F125" i="29" s="1"/>
  <c r="F137" i="29" s="1"/>
  <c r="F149" i="29" s="1"/>
  <c r="F161" i="29" s="1"/>
  <c r="F173" i="29" s="1"/>
  <c r="F185" i="29" s="1"/>
  <c r="F197" i="29" s="1"/>
  <c r="N5" i="29"/>
  <c r="E18" i="29"/>
  <c r="E30" i="29" s="1"/>
  <c r="E42" i="29" s="1"/>
  <c r="E54" i="29" s="1"/>
  <c r="E66" i="29" s="1"/>
  <c r="E78" i="29" s="1"/>
  <c r="E90" i="29" s="1"/>
  <c r="E102" i="29" s="1"/>
  <c r="E114" i="29" s="1"/>
  <c r="E126" i="29" s="1"/>
  <c r="E138" i="29" s="1"/>
  <c r="E150" i="29" s="1"/>
  <c r="E162" i="29" s="1"/>
  <c r="E174" i="29" s="1"/>
  <c r="E186" i="29" s="1"/>
  <c r="E198" i="29" s="1"/>
  <c r="M6" i="29"/>
  <c r="E17" i="29"/>
  <c r="E29" i="29" s="1"/>
  <c r="E41" i="29" s="1"/>
  <c r="E53" i="29" s="1"/>
  <c r="E65" i="29" s="1"/>
  <c r="E77" i="29" s="1"/>
  <c r="E89" i="29" s="1"/>
  <c r="E101" i="29" s="1"/>
  <c r="E113" i="29" s="1"/>
  <c r="E125" i="29" s="1"/>
  <c r="E137" i="29" s="1"/>
  <c r="E149" i="29" s="1"/>
  <c r="E161" i="29" s="1"/>
  <c r="E173" i="29" s="1"/>
  <c r="E185" i="29" s="1"/>
  <c r="E197" i="29" s="1"/>
  <c r="E18" i="28"/>
  <c r="E30" i="28" s="1"/>
  <c r="E42" i="28" s="1"/>
  <c r="E54" i="28" s="1"/>
  <c r="E66" i="28" s="1"/>
  <c r="E78" i="28" s="1"/>
  <c r="E90" i="28" s="1"/>
  <c r="E102" i="28" s="1"/>
  <c r="E114" i="28" s="1"/>
  <c r="E126" i="28" s="1"/>
  <c r="E138" i="28" s="1"/>
  <c r="E150" i="28" s="1"/>
  <c r="E162" i="28" s="1"/>
  <c r="E174" i="28" s="1"/>
  <c r="E186" i="28" s="1"/>
  <c r="E198" i="28" s="1"/>
  <c r="N6" i="28"/>
  <c r="F18" i="28"/>
  <c r="F30" i="28" s="1"/>
  <c r="F42" i="28" s="1"/>
  <c r="F54" i="28" s="1"/>
  <c r="F66" i="28" s="1"/>
  <c r="F78" i="28" s="1"/>
  <c r="F90" i="28" s="1"/>
  <c r="F102" i="28" s="1"/>
  <c r="F114" i="28" s="1"/>
  <c r="F126" i="28" s="1"/>
  <c r="F138" i="28" s="1"/>
  <c r="F150" i="28" s="1"/>
  <c r="F162" i="28" s="1"/>
  <c r="F174" i="28" s="1"/>
  <c r="F186" i="28" s="1"/>
  <c r="F198" i="28" s="1"/>
  <c r="L15" i="36"/>
  <c r="L39" i="36"/>
  <c r="F6" i="34"/>
  <c r="BN65" i="3"/>
  <c r="F6" i="36"/>
  <c r="M6" i="36" s="1"/>
  <c r="BL65" i="3"/>
  <c r="F7" i="28"/>
  <c r="O7" i="28" s="1"/>
  <c r="BP66" i="3"/>
  <c r="F7" i="36"/>
  <c r="BL66" i="3"/>
  <c r="E7" i="34"/>
  <c r="BQ66" i="3"/>
  <c r="E6" i="36"/>
  <c r="L6" i="36" s="1"/>
  <c r="BM65" i="3"/>
  <c r="M39" i="29"/>
  <c r="R8" i="11"/>
  <c r="E7" i="29"/>
  <c r="BD49" i="14"/>
  <c r="AC47" i="14"/>
  <c r="W50" i="14"/>
  <c r="A65" i="14"/>
  <c r="A54" i="14"/>
  <c r="A76" i="14"/>
  <c r="A122" i="14"/>
  <c r="A120" i="14"/>
  <c r="A67" i="14"/>
  <c r="A87" i="14"/>
  <c r="DK37" i="3"/>
  <c r="DK38" i="3" s="1"/>
  <c r="DK39" i="3" s="1"/>
  <c r="DK40" i="3" s="1"/>
  <c r="DZ51" i="3"/>
  <c r="BJ66" i="3" s="1"/>
  <c r="CI52" i="3"/>
  <c r="BO67" i="3" s="1"/>
  <c r="N16" i="34"/>
  <c r="L16" i="36"/>
  <c r="N16" i="28"/>
  <c r="M16" i="31"/>
  <c r="M16" i="29"/>
  <c r="L16" i="30"/>
  <c r="M16" i="35"/>
  <c r="BI14" i="3"/>
  <c r="BI15" i="3" s="1"/>
  <c r="BI16" i="3" s="1"/>
  <c r="BI17" i="3" s="1"/>
  <c r="BI18" i="3" s="1"/>
  <c r="BI19" i="3" s="1"/>
  <c r="BI20" i="3" s="1"/>
  <c r="M17" i="31"/>
  <c r="BI34" i="3"/>
  <c r="BI35" i="3" s="1"/>
  <c r="BI36" i="3" s="1"/>
  <c r="BH17" i="3"/>
  <c r="BH18" i="3" s="1"/>
  <c r="BH19" i="3" s="1"/>
  <c r="BH20" i="3" s="1"/>
  <c r="BG52" i="3"/>
  <c r="BS67" i="3" s="1"/>
  <c r="DL14" i="3"/>
  <c r="DL15" i="3" s="1"/>
  <c r="DL16" i="3" s="1"/>
  <c r="DL34" i="3"/>
  <c r="DL35" i="3" s="1"/>
  <c r="DL36" i="3" s="1"/>
  <c r="BH37" i="3"/>
  <c r="BH38" i="3" s="1"/>
  <c r="BH39" i="3" s="1"/>
  <c r="BH40" i="3" s="1"/>
  <c r="BH52" i="3"/>
  <c r="BT67" i="3" s="1"/>
  <c r="M17" i="35"/>
  <c r="BK1" i="3"/>
  <c r="BJ31" i="3"/>
  <c r="BJ10" i="3"/>
  <c r="BJ8" i="3"/>
  <c r="BJ9" i="3"/>
  <c r="BJ12" i="3"/>
  <c r="BJ28" i="3"/>
  <c r="BJ5" i="3"/>
  <c r="BJ29" i="3"/>
  <c r="BJ11" i="3"/>
  <c r="BJ4" i="3"/>
  <c r="BJ26" i="3"/>
  <c r="BJ30" i="3"/>
  <c r="BJ27" i="3"/>
  <c r="BJ25" i="3"/>
  <c r="BJ24" i="3"/>
  <c r="BJ23" i="3"/>
  <c r="BJ7" i="3"/>
  <c r="BJ3" i="3"/>
  <c r="BJ6" i="3"/>
  <c r="BJ13" i="3"/>
  <c r="BJ32" i="3"/>
  <c r="BJ33" i="3"/>
  <c r="E7" i="35"/>
  <c r="E7" i="28"/>
  <c r="E7" i="31"/>
  <c r="E7" i="30"/>
  <c r="L17" i="30"/>
  <c r="EN37" i="3"/>
  <c r="EN38" i="3" s="1"/>
  <c r="EN39" i="3" s="1"/>
  <c r="EN40" i="3" s="1"/>
  <c r="EN52" i="3"/>
  <c r="BH67" i="3" s="1"/>
  <c r="O15" i="28"/>
  <c r="EA3" i="3"/>
  <c r="EA23" i="3"/>
  <c r="EA8" i="3"/>
  <c r="EA10" i="3"/>
  <c r="EA6" i="3"/>
  <c r="EA31" i="3"/>
  <c r="EA4" i="3"/>
  <c r="EA29" i="3"/>
  <c r="EA27" i="3"/>
  <c r="EA28" i="3"/>
  <c r="EA9" i="3"/>
  <c r="EA24" i="3"/>
  <c r="EA30" i="3"/>
  <c r="EA11" i="3"/>
  <c r="EA5" i="3"/>
  <c r="EA25" i="3"/>
  <c r="EA26" i="3"/>
  <c r="EA7" i="3"/>
  <c r="EA12" i="3"/>
  <c r="EA32" i="3"/>
  <c r="EA13" i="3"/>
  <c r="EA33" i="3"/>
  <c r="CX34" i="3"/>
  <c r="CX35" i="3" s="1"/>
  <c r="CX36" i="3" s="1"/>
  <c r="CK14" i="3"/>
  <c r="CK15" i="3" s="1"/>
  <c r="CK16" i="3" s="1"/>
  <c r="CX14" i="3"/>
  <c r="CX15" i="3" s="1"/>
  <c r="CX16" i="3" s="1"/>
  <c r="DZ34" i="3"/>
  <c r="DZ35" i="3" s="1"/>
  <c r="DZ36" i="3" s="1"/>
  <c r="M14" i="35"/>
  <c r="EO34" i="3"/>
  <c r="EO35" i="3" s="1"/>
  <c r="EO36" i="3" s="1"/>
  <c r="BX6" i="3"/>
  <c r="BX10" i="3"/>
  <c r="BX3" i="3"/>
  <c r="BX7" i="3"/>
  <c r="BX11" i="3"/>
  <c r="BX23" i="3"/>
  <c r="BX25" i="3"/>
  <c r="BX28" i="3"/>
  <c r="BX30" i="3"/>
  <c r="BX9" i="3"/>
  <c r="BX12" i="3"/>
  <c r="BX24" i="3"/>
  <c r="BX26" i="3"/>
  <c r="BX5" i="3"/>
  <c r="BX8" i="3"/>
  <c r="BX31" i="3"/>
  <c r="BX4" i="3"/>
  <c r="BX27" i="3"/>
  <c r="BX29" i="3"/>
  <c r="BX13" i="3"/>
  <c r="BX32" i="3"/>
  <c r="BX33" i="3"/>
  <c r="M14" i="31"/>
  <c r="DM3" i="3"/>
  <c r="DM30" i="3"/>
  <c r="DM23" i="3"/>
  <c r="DM26" i="3"/>
  <c r="DM25" i="3"/>
  <c r="DM7" i="3"/>
  <c r="DM12" i="3"/>
  <c r="DM28" i="3"/>
  <c r="DM8" i="3"/>
  <c r="DM24" i="3"/>
  <c r="DM4" i="3"/>
  <c r="DM10" i="3"/>
  <c r="DM9" i="3"/>
  <c r="DM31" i="3"/>
  <c r="DM11" i="3"/>
  <c r="DM6" i="3"/>
  <c r="DM5" i="3"/>
  <c r="DM27" i="3"/>
  <c r="DM29" i="3"/>
  <c r="DM13" i="3"/>
  <c r="DM32" i="3"/>
  <c r="DM33" i="3"/>
  <c r="EN17" i="3"/>
  <c r="EN18" i="3" s="1"/>
  <c r="EN19" i="3" s="1"/>
  <c r="EN20" i="3" s="1"/>
  <c r="EM52" i="3"/>
  <c r="BG67" i="3" s="1"/>
  <c r="CL4" i="3"/>
  <c r="CL8" i="3"/>
  <c r="CL12" i="3"/>
  <c r="CL23" i="3"/>
  <c r="CL3" i="3"/>
  <c r="CL30" i="3"/>
  <c r="CL11" i="3"/>
  <c r="CL5" i="3"/>
  <c r="CL25" i="3"/>
  <c r="CL28" i="3"/>
  <c r="CL7" i="3"/>
  <c r="CL26" i="3"/>
  <c r="CL10" i="3"/>
  <c r="CL24" i="3"/>
  <c r="CL31" i="3"/>
  <c r="CL6" i="3"/>
  <c r="CL27" i="3"/>
  <c r="CL9" i="3"/>
  <c r="CL29" i="3"/>
  <c r="CL32" i="3"/>
  <c r="CL13" i="3"/>
  <c r="CL33" i="3"/>
  <c r="CK34" i="3"/>
  <c r="CK35" i="3" s="1"/>
  <c r="CK36" i="3" s="1"/>
  <c r="M14" i="29"/>
  <c r="EP3" i="3"/>
  <c r="EP6" i="3"/>
  <c r="EP10" i="3"/>
  <c r="EP23" i="3"/>
  <c r="EP5" i="3"/>
  <c r="EP12" i="3"/>
  <c r="EP27" i="3"/>
  <c r="EP29" i="3"/>
  <c r="EP8" i="3"/>
  <c r="EP25" i="3"/>
  <c r="EP4" i="3"/>
  <c r="EP11" i="3"/>
  <c r="EP26" i="3"/>
  <c r="EP30" i="3"/>
  <c r="EP7" i="3"/>
  <c r="EP9" i="3"/>
  <c r="EP28" i="3"/>
  <c r="EP24" i="3"/>
  <c r="EP31" i="3"/>
  <c r="EP13" i="3"/>
  <c r="EP32" i="3"/>
  <c r="EP33" i="3"/>
  <c r="EQ1" i="3"/>
  <c r="N14" i="34"/>
  <c r="L14" i="36"/>
  <c r="L14" i="30"/>
  <c r="BW34" i="3"/>
  <c r="BW35" i="3" s="1"/>
  <c r="BW36" i="3" s="1"/>
  <c r="BV53" i="3" s="1"/>
  <c r="BR68" i="3" s="1"/>
  <c r="EO14" i="3"/>
  <c r="EO15" i="3" s="1"/>
  <c r="EO16" i="3" s="1"/>
  <c r="O16" i="28"/>
  <c r="BW14" i="3"/>
  <c r="BW15" i="3" s="1"/>
  <c r="BW16" i="3" s="1"/>
  <c r="CY3" i="3"/>
  <c r="CY23" i="3"/>
  <c r="CY12" i="3"/>
  <c r="CY26" i="3"/>
  <c r="CY31" i="3"/>
  <c r="CY29" i="3"/>
  <c r="CY8" i="3"/>
  <c r="CY27" i="3"/>
  <c r="CY10" i="3"/>
  <c r="CY25" i="3"/>
  <c r="CY4" i="3"/>
  <c r="CY6" i="3"/>
  <c r="CY11" i="3"/>
  <c r="CY7" i="3"/>
  <c r="CY9" i="3"/>
  <c r="CY24" i="3"/>
  <c r="CY28" i="3"/>
  <c r="CY30" i="3"/>
  <c r="CY5" i="3"/>
  <c r="CY13" i="3"/>
  <c r="CY32" i="3"/>
  <c r="CY33" i="3"/>
  <c r="DZ14" i="3"/>
  <c r="DZ15" i="3" s="1"/>
  <c r="DZ16" i="3" s="1"/>
  <c r="O14" i="28"/>
  <c r="BV17" i="3"/>
  <c r="BV18" i="3" s="1"/>
  <c r="BV19" i="3" s="1"/>
  <c r="BV20" i="3" s="1"/>
  <c r="BU52" i="3"/>
  <c r="M16" i="36"/>
  <c r="M39" i="35"/>
  <c r="O16" i="34"/>
  <c r="M39" i="31"/>
  <c r="L39" i="30"/>
  <c r="O17" i="28"/>
  <c r="F7" i="31"/>
  <c r="F7" i="35"/>
  <c r="F6" i="31"/>
  <c r="F6" i="35"/>
  <c r="F6" i="29"/>
  <c r="F6" i="30"/>
  <c r="BG9" i="14"/>
  <c r="BU8" i="14"/>
  <c r="DY17" i="3"/>
  <c r="DY18" i="3" s="1"/>
  <c r="DY19" i="3" s="1"/>
  <c r="DY20" i="3" s="1"/>
  <c r="DY51" i="3"/>
  <c r="BI66" i="3" s="1"/>
  <c r="EB1" i="3"/>
  <c r="DK51" i="3"/>
  <c r="BK66" i="3" s="1"/>
  <c r="DK17" i="3"/>
  <c r="DK18" i="3" s="1"/>
  <c r="DK19" i="3" s="1"/>
  <c r="DK20" i="3" s="1"/>
  <c r="DN1" i="3"/>
  <c r="CW37" i="3"/>
  <c r="CW38" i="3" s="1"/>
  <c r="CW39" i="3" s="1"/>
  <c r="CW40" i="3" s="1"/>
  <c r="CX51" i="3"/>
  <c r="CZ1" i="3"/>
  <c r="CW17" i="3"/>
  <c r="CW18" i="3" s="1"/>
  <c r="CW19" i="3" s="1"/>
  <c r="CW20" i="3" s="1"/>
  <c r="CW51" i="3"/>
  <c r="CM1" i="3"/>
  <c r="CJ52" i="3"/>
  <c r="CJ37" i="3"/>
  <c r="CJ38" i="3" s="1"/>
  <c r="CJ39" i="3" s="1"/>
  <c r="CJ40" i="3" s="1"/>
  <c r="BV37" i="3"/>
  <c r="BV38" i="3" s="1"/>
  <c r="BV39" i="3" s="1"/>
  <c r="BV40" i="3" s="1"/>
  <c r="BY1" i="3"/>
  <c r="N11" i="14"/>
  <c r="AF10" i="14"/>
  <c r="B9" i="14"/>
  <c r="L17" i="36" l="1"/>
  <c r="F19" i="36"/>
  <c r="F31" i="36" s="1"/>
  <c r="F43" i="36" s="1"/>
  <c r="F55" i="36" s="1"/>
  <c r="F67" i="36" s="1"/>
  <c r="F79" i="36" s="1"/>
  <c r="F91" i="36" s="1"/>
  <c r="F103" i="36" s="1"/>
  <c r="F115" i="36" s="1"/>
  <c r="F127" i="36" s="1"/>
  <c r="F139" i="36" s="1"/>
  <c r="F151" i="36" s="1"/>
  <c r="F163" i="36" s="1"/>
  <c r="F175" i="36" s="1"/>
  <c r="F187" i="36" s="1"/>
  <c r="F199" i="36" s="1"/>
  <c r="M7" i="36"/>
  <c r="E18" i="36"/>
  <c r="E30" i="36" s="1"/>
  <c r="E42" i="36" s="1"/>
  <c r="E54" i="36" s="1"/>
  <c r="E66" i="36" s="1"/>
  <c r="E78" i="36" s="1"/>
  <c r="E90" i="36" s="1"/>
  <c r="E102" i="36" s="1"/>
  <c r="E114" i="36" s="1"/>
  <c r="E126" i="36" s="1"/>
  <c r="E138" i="36" s="1"/>
  <c r="E150" i="36" s="1"/>
  <c r="E162" i="36" s="1"/>
  <c r="E174" i="36" s="1"/>
  <c r="E186" i="36" s="1"/>
  <c r="E198" i="36" s="1"/>
  <c r="F18" i="36"/>
  <c r="F30" i="36" s="1"/>
  <c r="F42" i="36" s="1"/>
  <c r="F54" i="36" s="1"/>
  <c r="F66" i="36" s="1"/>
  <c r="F78" i="36" s="1"/>
  <c r="F90" i="36" s="1"/>
  <c r="F102" i="36" s="1"/>
  <c r="F114" i="36" s="1"/>
  <c r="F126" i="36" s="1"/>
  <c r="F138" i="36" s="1"/>
  <c r="F150" i="36" s="1"/>
  <c r="F162" i="36" s="1"/>
  <c r="F174" i="36" s="1"/>
  <c r="F186" i="36" s="1"/>
  <c r="F198" i="36" s="1"/>
  <c r="F18" i="35"/>
  <c r="F30" i="35" s="1"/>
  <c r="F42" i="35" s="1"/>
  <c r="F54" i="35" s="1"/>
  <c r="F66" i="35" s="1"/>
  <c r="F78" i="35" s="1"/>
  <c r="F90" i="35" s="1"/>
  <c r="F102" i="35" s="1"/>
  <c r="F114" i="35" s="1"/>
  <c r="F126" i="35" s="1"/>
  <c r="F138" i="35" s="1"/>
  <c r="F150" i="35" s="1"/>
  <c r="F162" i="35" s="1"/>
  <c r="F174" i="35" s="1"/>
  <c r="F186" i="35" s="1"/>
  <c r="F198" i="35" s="1"/>
  <c r="N6" i="35"/>
  <c r="F19" i="35"/>
  <c r="F31" i="35" s="1"/>
  <c r="F43" i="35" s="1"/>
  <c r="F55" i="35" s="1"/>
  <c r="F67" i="35" s="1"/>
  <c r="F79" i="35" s="1"/>
  <c r="F91" i="35" s="1"/>
  <c r="F103" i="35" s="1"/>
  <c r="F115" i="35" s="1"/>
  <c r="F127" i="35" s="1"/>
  <c r="F139" i="35" s="1"/>
  <c r="F151" i="35" s="1"/>
  <c r="F163" i="35" s="1"/>
  <c r="F175" i="35" s="1"/>
  <c r="F187" i="35" s="1"/>
  <c r="F199" i="35" s="1"/>
  <c r="N7" i="35"/>
  <c r="E19" i="35"/>
  <c r="E31" i="35" s="1"/>
  <c r="E43" i="35" s="1"/>
  <c r="E55" i="35" s="1"/>
  <c r="E67" i="35" s="1"/>
  <c r="E79" i="35" s="1"/>
  <c r="E91" i="35" s="1"/>
  <c r="E103" i="35" s="1"/>
  <c r="E115" i="35" s="1"/>
  <c r="E127" i="35" s="1"/>
  <c r="E139" i="35" s="1"/>
  <c r="E151" i="35" s="1"/>
  <c r="E163" i="35" s="1"/>
  <c r="E175" i="35" s="1"/>
  <c r="E187" i="35" s="1"/>
  <c r="E199" i="35" s="1"/>
  <c r="M7" i="35"/>
  <c r="F18" i="34"/>
  <c r="F30" i="34" s="1"/>
  <c r="F42" i="34" s="1"/>
  <c r="F54" i="34" s="1"/>
  <c r="F66" i="34" s="1"/>
  <c r="F78" i="34" s="1"/>
  <c r="F90" i="34" s="1"/>
  <c r="F102" i="34" s="1"/>
  <c r="F114" i="34" s="1"/>
  <c r="F126" i="34" s="1"/>
  <c r="F138" i="34" s="1"/>
  <c r="F150" i="34" s="1"/>
  <c r="F162" i="34" s="1"/>
  <c r="F174" i="34" s="1"/>
  <c r="F186" i="34" s="1"/>
  <c r="F198" i="34" s="1"/>
  <c r="O6" i="34"/>
  <c r="E19" i="34"/>
  <c r="E31" i="34" s="1"/>
  <c r="E43" i="34" s="1"/>
  <c r="E55" i="34" s="1"/>
  <c r="E67" i="34" s="1"/>
  <c r="E79" i="34" s="1"/>
  <c r="E91" i="34" s="1"/>
  <c r="E103" i="34" s="1"/>
  <c r="E115" i="34" s="1"/>
  <c r="E127" i="34" s="1"/>
  <c r="E139" i="34" s="1"/>
  <c r="E151" i="34" s="1"/>
  <c r="E163" i="34" s="1"/>
  <c r="E175" i="34" s="1"/>
  <c r="E187" i="34" s="1"/>
  <c r="E199" i="34" s="1"/>
  <c r="N7" i="34"/>
  <c r="F18" i="31"/>
  <c r="F30" i="31" s="1"/>
  <c r="F42" i="31" s="1"/>
  <c r="F54" i="31" s="1"/>
  <c r="F66" i="31" s="1"/>
  <c r="F78" i="31" s="1"/>
  <c r="F90" i="31" s="1"/>
  <c r="F102" i="31" s="1"/>
  <c r="F114" i="31" s="1"/>
  <c r="F126" i="31" s="1"/>
  <c r="F138" i="31" s="1"/>
  <c r="F150" i="31" s="1"/>
  <c r="F162" i="31" s="1"/>
  <c r="F174" i="31" s="1"/>
  <c r="F186" i="31" s="1"/>
  <c r="F198" i="31" s="1"/>
  <c r="N6" i="31"/>
  <c r="E19" i="31"/>
  <c r="E31" i="31" s="1"/>
  <c r="E43" i="31" s="1"/>
  <c r="E55" i="31" s="1"/>
  <c r="E67" i="31" s="1"/>
  <c r="E79" i="31" s="1"/>
  <c r="E91" i="31" s="1"/>
  <c r="E103" i="31" s="1"/>
  <c r="E115" i="31" s="1"/>
  <c r="E127" i="31" s="1"/>
  <c r="E139" i="31" s="1"/>
  <c r="E151" i="31" s="1"/>
  <c r="E163" i="31" s="1"/>
  <c r="E175" i="31" s="1"/>
  <c r="E187" i="31" s="1"/>
  <c r="E199" i="31" s="1"/>
  <c r="M7" i="31"/>
  <c r="F19" i="31"/>
  <c r="F31" i="31" s="1"/>
  <c r="F43" i="31" s="1"/>
  <c r="F55" i="31" s="1"/>
  <c r="F67" i="31" s="1"/>
  <c r="F79" i="31" s="1"/>
  <c r="F91" i="31" s="1"/>
  <c r="F103" i="31" s="1"/>
  <c r="F115" i="31" s="1"/>
  <c r="F127" i="31" s="1"/>
  <c r="F139" i="31" s="1"/>
  <c r="F151" i="31" s="1"/>
  <c r="F163" i="31" s="1"/>
  <c r="F175" i="31" s="1"/>
  <c r="F187" i="31" s="1"/>
  <c r="F199" i="31" s="1"/>
  <c r="N7" i="31"/>
  <c r="E19" i="30"/>
  <c r="E31" i="30" s="1"/>
  <c r="E43" i="30" s="1"/>
  <c r="E55" i="30" s="1"/>
  <c r="E67" i="30" s="1"/>
  <c r="E79" i="30" s="1"/>
  <c r="E91" i="30" s="1"/>
  <c r="E103" i="30" s="1"/>
  <c r="E115" i="30" s="1"/>
  <c r="E127" i="30" s="1"/>
  <c r="E139" i="30" s="1"/>
  <c r="E151" i="30" s="1"/>
  <c r="E163" i="30" s="1"/>
  <c r="E175" i="30" s="1"/>
  <c r="E187" i="30" s="1"/>
  <c r="E199" i="30" s="1"/>
  <c r="L7" i="30"/>
  <c r="F18" i="30"/>
  <c r="F30" i="30" s="1"/>
  <c r="F42" i="30" s="1"/>
  <c r="F54" i="30" s="1"/>
  <c r="F66" i="30" s="1"/>
  <c r="F78" i="30" s="1"/>
  <c r="F90" i="30" s="1"/>
  <c r="F102" i="30" s="1"/>
  <c r="F114" i="30" s="1"/>
  <c r="F126" i="30" s="1"/>
  <c r="F138" i="30" s="1"/>
  <c r="F150" i="30" s="1"/>
  <c r="F162" i="30" s="1"/>
  <c r="F174" i="30" s="1"/>
  <c r="F186" i="30" s="1"/>
  <c r="F198" i="30" s="1"/>
  <c r="M6" i="30"/>
  <c r="O18" i="28"/>
  <c r="F18" i="29"/>
  <c r="F30" i="29" s="1"/>
  <c r="F42" i="29" s="1"/>
  <c r="F54" i="29" s="1"/>
  <c r="F66" i="29" s="1"/>
  <c r="F78" i="29" s="1"/>
  <c r="F90" i="29" s="1"/>
  <c r="F102" i="29" s="1"/>
  <c r="F114" i="29" s="1"/>
  <c r="F126" i="29" s="1"/>
  <c r="F138" i="29" s="1"/>
  <c r="F150" i="29" s="1"/>
  <c r="F162" i="29" s="1"/>
  <c r="F174" i="29" s="1"/>
  <c r="F186" i="29" s="1"/>
  <c r="F198" i="29" s="1"/>
  <c r="N6" i="29"/>
  <c r="E19" i="29"/>
  <c r="E31" i="29" s="1"/>
  <c r="E43" i="29" s="1"/>
  <c r="E55" i="29" s="1"/>
  <c r="E67" i="29" s="1"/>
  <c r="E79" i="29" s="1"/>
  <c r="E91" i="29" s="1"/>
  <c r="E103" i="29" s="1"/>
  <c r="E115" i="29" s="1"/>
  <c r="E127" i="29" s="1"/>
  <c r="E139" i="29" s="1"/>
  <c r="E151" i="29" s="1"/>
  <c r="E163" i="29" s="1"/>
  <c r="E175" i="29" s="1"/>
  <c r="E187" i="29" s="1"/>
  <c r="E199" i="29" s="1"/>
  <c r="M7" i="29"/>
  <c r="M17" i="29"/>
  <c r="E19" i="28"/>
  <c r="E31" i="28" s="1"/>
  <c r="E43" i="28" s="1"/>
  <c r="E55" i="28" s="1"/>
  <c r="E67" i="28" s="1"/>
  <c r="E79" i="28" s="1"/>
  <c r="E91" i="28" s="1"/>
  <c r="E103" i="28" s="1"/>
  <c r="E115" i="28" s="1"/>
  <c r="E127" i="28" s="1"/>
  <c r="E139" i="28" s="1"/>
  <c r="E151" i="28" s="1"/>
  <c r="E163" i="28" s="1"/>
  <c r="E175" i="28" s="1"/>
  <c r="E187" i="28" s="1"/>
  <c r="E199" i="28" s="1"/>
  <c r="N7" i="28"/>
  <c r="F19" i="28"/>
  <c r="F31" i="28" s="1"/>
  <c r="F43" i="28" s="1"/>
  <c r="F55" i="28" s="1"/>
  <c r="F67" i="28" s="1"/>
  <c r="F79" i="28" s="1"/>
  <c r="F91" i="28" s="1"/>
  <c r="F103" i="28" s="1"/>
  <c r="F115" i="28" s="1"/>
  <c r="F127" i="28" s="1"/>
  <c r="F139" i="28" s="1"/>
  <c r="F151" i="28" s="1"/>
  <c r="F163" i="28" s="1"/>
  <c r="F175" i="28" s="1"/>
  <c r="F187" i="28" s="1"/>
  <c r="F199" i="28" s="1"/>
  <c r="L51" i="36"/>
  <c r="O30" i="28"/>
  <c r="E7" i="36"/>
  <c r="L7" i="36" s="1"/>
  <c r="BM66" i="3"/>
  <c r="F7" i="34"/>
  <c r="BN66" i="3"/>
  <c r="E8" i="34"/>
  <c r="BQ67" i="3"/>
  <c r="F8" i="28"/>
  <c r="O8" i="28" s="1"/>
  <c r="BP67" i="3"/>
  <c r="N39" i="34"/>
  <c r="M27" i="29"/>
  <c r="M29" i="29"/>
  <c r="N17" i="34"/>
  <c r="R9" i="11"/>
  <c r="E8" i="29"/>
  <c r="BD50" i="14"/>
  <c r="AC48" i="14"/>
  <c r="A88" i="14"/>
  <c r="A66" i="14"/>
  <c r="A77" i="14"/>
  <c r="A99" i="14"/>
  <c r="W51" i="14"/>
  <c r="A79" i="14"/>
  <c r="A56" i="14"/>
  <c r="N17" i="28"/>
  <c r="N39" i="28"/>
  <c r="M28" i="35"/>
  <c r="M28" i="29"/>
  <c r="BG53" i="3"/>
  <c r="BS68" i="3" s="1"/>
  <c r="M28" i="31"/>
  <c r="N28" i="28"/>
  <c r="L28" i="30"/>
  <c r="L28" i="36"/>
  <c r="N28" i="34"/>
  <c r="EA14" i="3"/>
  <c r="L29" i="30"/>
  <c r="BI37" i="3"/>
  <c r="BI38" i="3" s="1"/>
  <c r="BI39" i="3" s="1"/>
  <c r="BI40" i="3" s="1"/>
  <c r="BH53" i="3"/>
  <c r="BT68" i="3" s="1"/>
  <c r="EP14" i="3"/>
  <c r="EP15" i="3" s="1"/>
  <c r="EP16" i="3" s="1"/>
  <c r="M29" i="35"/>
  <c r="CL34" i="3"/>
  <c r="M18" i="29"/>
  <c r="M18" i="31"/>
  <c r="M18" i="35"/>
  <c r="BJ14" i="3"/>
  <c r="BJ15" i="3" s="1"/>
  <c r="BJ16" i="3" s="1"/>
  <c r="N29" i="28"/>
  <c r="M29" i="31"/>
  <c r="N18" i="28"/>
  <c r="N29" i="34"/>
  <c r="BL1" i="3"/>
  <c r="BK28" i="3"/>
  <c r="BK31" i="3"/>
  <c r="BK9" i="3"/>
  <c r="BK29" i="3"/>
  <c r="BK10" i="3"/>
  <c r="BK5" i="3"/>
  <c r="BK26" i="3"/>
  <c r="BK25" i="3"/>
  <c r="BK30" i="3"/>
  <c r="BK8" i="3"/>
  <c r="BK27" i="3"/>
  <c r="BK24" i="3"/>
  <c r="BK6" i="3"/>
  <c r="BK7" i="3"/>
  <c r="BK4" i="3"/>
  <c r="BK11" i="3"/>
  <c r="BK12" i="3"/>
  <c r="BK3" i="3"/>
  <c r="BK23" i="3"/>
  <c r="BK13" i="3"/>
  <c r="BK32" i="3"/>
  <c r="BK33" i="3"/>
  <c r="BJ34" i="3"/>
  <c r="BJ35" i="3" s="1"/>
  <c r="BJ36" i="3" s="1"/>
  <c r="L18" i="30"/>
  <c r="E8" i="28"/>
  <c r="E8" i="35"/>
  <c r="E8" i="30"/>
  <c r="E8" i="31"/>
  <c r="EO37" i="3"/>
  <c r="EO38" i="3" s="1"/>
  <c r="EO39" i="3" s="1"/>
  <c r="EO40" i="3" s="1"/>
  <c r="EN53" i="3"/>
  <c r="BH68" i="3" s="1"/>
  <c r="N15" i="29"/>
  <c r="O28" i="28"/>
  <c r="N15" i="35"/>
  <c r="BY6" i="3"/>
  <c r="BY10" i="3"/>
  <c r="BY3" i="3"/>
  <c r="BY23" i="3"/>
  <c r="BY7" i="3"/>
  <c r="BY11" i="3"/>
  <c r="BY27" i="3"/>
  <c r="BY31" i="3"/>
  <c r="BY5" i="3"/>
  <c r="BY30" i="3"/>
  <c r="BY12" i="3"/>
  <c r="BY26" i="3"/>
  <c r="BY29" i="3"/>
  <c r="BY8" i="3"/>
  <c r="BY4" i="3"/>
  <c r="BY25" i="3"/>
  <c r="BY28" i="3"/>
  <c r="BY9" i="3"/>
  <c r="BY24" i="3"/>
  <c r="BY13" i="3"/>
  <c r="BY32" i="3"/>
  <c r="BY33" i="3"/>
  <c r="N14" i="35"/>
  <c r="EM53" i="3"/>
  <c r="BG68" i="3" s="1"/>
  <c r="EO17" i="3"/>
  <c r="EO18" i="3" s="1"/>
  <c r="EO19" i="3" s="1"/>
  <c r="EO20" i="3" s="1"/>
  <c r="M26" i="35"/>
  <c r="CL14" i="3"/>
  <c r="CL15" i="3" s="1"/>
  <c r="CL16" i="3" s="1"/>
  <c r="CI54" i="3" s="1"/>
  <c r="BO69" i="3" s="1"/>
  <c r="DN3" i="3"/>
  <c r="DN9" i="3"/>
  <c r="DN23" i="3"/>
  <c r="DN5" i="3"/>
  <c r="DN27" i="3"/>
  <c r="DN24" i="3"/>
  <c r="DN10" i="3"/>
  <c r="DN31" i="3"/>
  <c r="DN12" i="3"/>
  <c r="DN6" i="3"/>
  <c r="DN29" i="3"/>
  <c r="DN8" i="3"/>
  <c r="DN25" i="3"/>
  <c r="DN30" i="3"/>
  <c r="DN11" i="3"/>
  <c r="DN4" i="3"/>
  <c r="DN26" i="3"/>
  <c r="DN28" i="3"/>
  <c r="DN7" i="3"/>
  <c r="DN13" i="3"/>
  <c r="DN32" i="3"/>
  <c r="DN33" i="3"/>
  <c r="EQ6" i="3"/>
  <c r="EQ10" i="3"/>
  <c r="EQ11" i="3"/>
  <c r="EQ3" i="3"/>
  <c r="EQ23" i="3"/>
  <c r="EQ7" i="3"/>
  <c r="EQ29" i="3"/>
  <c r="EQ4" i="3"/>
  <c r="EQ24" i="3"/>
  <c r="EQ31" i="3"/>
  <c r="EQ25" i="3"/>
  <c r="EQ8" i="3"/>
  <c r="EQ9" i="3"/>
  <c r="EQ27" i="3"/>
  <c r="EQ5" i="3"/>
  <c r="EQ30" i="3"/>
  <c r="EQ12" i="3"/>
  <c r="EQ26" i="3"/>
  <c r="EQ28" i="3"/>
  <c r="EQ32" i="3"/>
  <c r="EQ13" i="3"/>
  <c r="EQ33" i="3"/>
  <c r="ER1" i="3"/>
  <c r="BX34" i="3"/>
  <c r="BX35" i="3" s="1"/>
  <c r="BX36" i="3" s="1"/>
  <c r="BV54" i="3" s="1"/>
  <c r="BR69" i="3" s="1"/>
  <c r="M15" i="30"/>
  <c r="CY34" i="3"/>
  <c r="CY35" i="3" s="1"/>
  <c r="CY36" i="3" s="1"/>
  <c r="EP34" i="3"/>
  <c r="EP35" i="3" s="1"/>
  <c r="EP36" i="3" s="1"/>
  <c r="L26" i="30"/>
  <c r="CY14" i="3"/>
  <c r="CY15" i="3" s="1"/>
  <c r="CY16" i="3" s="1"/>
  <c r="M26" i="31"/>
  <c r="CM9" i="3"/>
  <c r="CM23" i="3"/>
  <c r="CM3" i="3"/>
  <c r="CM5" i="3"/>
  <c r="CM10" i="3"/>
  <c r="CM30" i="3"/>
  <c r="CM24" i="3"/>
  <c r="CM6" i="3"/>
  <c r="CM26" i="3"/>
  <c r="CM31" i="3"/>
  <c r="CM12" i="3"/>
  <c r="CM27" i="3"/>
  <c r="CM29" i="3"/>
  <c r="CM8" i="3"/>
  <c r="CM11" i="3"/>
  <c r="CM25" i="3"/>
  <c r="CM4" i="3"/>
  <c r="CM7" i="3"/>
  <c r="CM28" i="3"/>
  <c r="CM32" i="3"/>
  <c r="CM13" i="3"/>
  <c r="CM33" i="3"/>
  <c r="M14" i="36"/>
  <c r="N26" i="28"/>
  <c r="O26" i="28"/>
  <c r="DM14" i="3"/>
  <c r="DM15" i="3" s="1"/>
  <c r="DM16" i="3" s="1"/>
  <c r="DM17" i="3" s="1"/>
  <c r="DM18" i="3" s="1"/>
  <c r="DM19" i="3" s="1"/>
  <c r="DM20" i="3" s="1"/>
  <c r="N14" i="31"/>
  <c r="O27" i="28"/>
  <c r="L26" i="36"/>
  <c r="N14" i="29"/>
  <c r="M15" i="36"/>
  <c r="Q15" i="36" s="1"/>
  <c r="T15" i="36" s="1"/>
  <c r="M14" i="30"/>
  <c r="BX14" i="3"/>
  <c r="BX15" i="3" s="1"/>
  <c r="BX16" i="3" s="1"/>
  <c r="O14" i="34"/>
  <c r="EB23" i="3"/>
  <c r="EB3" i="3"/>
  <c r="EB31" i="3"/>
  <c r="EB6" i="3"/>
  <c r="EB12" i="3"/>
  <c r="EB11" i="3"/>
  <c r="EB24" i="3"/>
  <c r="EB27" i="3"/>
  <c r="EB7" i="3"/>
  <c r="EB29" i="3"/>
  <c r="EB8" i="3"/>
  <c r="EB4" i="3"/>
  <c r="EB25" i="3"/>
  <c r="EB30" i="3"/>
  <c r="EB9" i="3"/>
  <c r="EB26" i="3"/>
  <c r="EB5" i="3"/>
  <c r="EB10" i="3"/>
  <c r="EB28" i="3"/>
  <c r="EB32" i="3"/>
  <c r="EB13" i="3"/>
  <c r="EB33" i="3"/>
  <c r="N26" i="34"/>
  <c r="EA34" i="3"/>
  <c r="EA35" i="3" s="1"/>
  <c r="EA36" i="3" s="1"/>
  <c r="N15" i="31"/>
  <c r="DM34" i="3"/>
  <c r="DM35" i="3" s="1"/>
  <c r="DM36" i="3" s="1"/>
  <c r="O15" i="34"/>
  <c r="CZ3" i="3"/>
  <c r="CZ23" i="3"/>
  <c r="CZ28" i="3"/>
  <c r="CZ12" i="3"/>
  <c r="CZ29" i="3"/>
  <c r="CZ24" i="3"/>
  <c r="CZ31" i="3"/>
  <c r="CZ8" i="3"/>
  <c r="CZ25" i="3"/>
  <c r="CZ27" i="3"/>
  <c r="CZ4" i="3"/>
  <c r="CZ9" i="3"/>
  <c r="CZ30" i="3"/>
  <c r="CZ5" i="3"/>
  <c r="CZ11" i="3"/>
  <c r="CZ10" i="3"/>
  <c r="CZ26" i="3"/>
  <c r="CZ7" i="3"/>
  <c r="CZ6" i="3"/>
  <c r="CZ32" i="3"/>
  <c r="CZ13" i="3"/>
  <c r="CZ33" i="3"/>
  <c r="M26" i="29"/>
  <c r="BW17" i="3"/>
  <c r="BW18" i="3" s="1"/>
  <c r="BW19" i="3" s="1"/>
  <c r="BW20" i="3" s="1"/>
  <c r="BU53" i="3"/>
  <c r="M17" i="36"/>
  <c r="M28" i="36"/>
  <c r="N16" i="35"/>
  <c r="M51" i="35"/>
  <c r="O17" i="34"/>
  <c r="O28" i="34"/>
  <c r="N51" i="34"/>
  <c r="M51" i="31"/>
  <c r="N16" i="31"/>
  <c r="L51" i="30"/>
  <c r="M16" i="30"/>
  <c r="N16" i="29"/>
  <c r="N51" i="28"/>
  <c r="O29" i="28"/>
  <c r="F7" i="29"/>
  <c r="F7" i="30"/>
  <c r="A57" i="14"/>
  <c r="BG10" i="14"/>
  <c r="BU9" i="14"/>
  <c r="EA15" i="3"/>
  <c r="EA16" i="3" s="1"/>
  <c r="DZ37" i="3"/>
  <c r="DZ38" i="3" s="1"/>
  <c r="DZ39" i="3" s="1"/>
  <c r="DZ40" i="3" s="1"/>
  <c r="DZ52" i="3"/>
  <c r="BJ67" i="3" s="1"/>
  <c r="DZ17" i="3"/>
  <c r="DZ18" i="3" s="1"/>
  <c r="DZ19" i="3" s="1"/>
  <c r="DZ20" i="3" s="1"/>
  <c r="DY52" i="3"/>
  <c r="BI67" i="3" s="1"/>
  <c r="EC1" i="3"/>
  <c r="DO1" i="3"/>
  <c r="DL17" i="3"/>
  <c r="DL18" i="3" s="1"/>
  <c r="DL19" i="3" s="1"/>
  <c r="DL20" i="3" s="1"/>
  <c r="DK52" i="3"/>
  <c r="BK67" i="3" s="1"/>
  <c r="DL37" i="3"/>
  <c r="DL38" i="3" s="1"/>
  <c r="DL39" i="3" s="1"/>
  <c r="DL40" i="3" s="1"/>
  <c r="DL52" i="3"/>
  <c r="CX17" i="3"/>
  <c r="CX18" i="3" s="1"/>
  <c r="CX19" i="3" s="1"/>
  <c r="CX20" i="3" s="1"/>
  <c r="CW52" i="3"/>
  <c r="DA1" i="3"/>
  <c r="CX37" i="3"/>
  <c r="CX38" i="3" s="1"/>
  <c r="CX39" i="3" s="1"/>
  <c r="CX40" i="3" s="1"/>
  <c r="CX52" i="3"/>
  <c r="CN1" i="3"/>
  <c r="CK17" i="3"/>
  <c r="CK18" i="3" s="1"/>
  <c r="CK19" i="3" s="1"/>
  <c r="CK20" i="3" s="1"/>
  <c r="CI53" i="3"/>
  <c r="BO68" i="3" s="1"/>
  <c r="CL35" i="3"/>
  <c r="CL36" i="3" s="1"/>
  <c r="CK37" i="3"/>
  <c r="CK38" i="3" s="1"/>
  <c r="CK39" i="3" s="1"/>
  <c r="CK40" i="3" s="1"/>
  <c r="CJ53" i="3"/>
  <c r="BW37" i="3"/>
  <c r="BW38" i="3" s="1"/>
  <c r="BW39" i="3" s="1"/>
  <c r="BW40" i="3" s="1"/>
  <c r="BZ1" i="3"/>
  <c r="BX37" i="3"/>
  <c r="BX38" i="3" s="1"/>
  <c r="BX39" i="3" s="1"/>
  <c r="BX40" i="3" s="1"/>
  <c r="N12" i="14"/>
  <c r="AF11" i="14"/>
  <c r="B10" i="14"/>
  <c r="L18" i="36" l="1"/>
  <c r="E19" i="36"/>
  <c r="E31" i="36" s="1"/>
  <c r="E43" i="36" s="1"/>
  <c r="E55" i="36" s="1"/>
  <c r="E67" i="36" s="1"/>
  <c r="E79" i="36" s="1"/>
  <c r="E91" i="36" s="1"/>
  <c r="E103" i="36" s="1"/>
  <c r="E115" i="36" s="1"/>
  <c r="E127" i="36" s="1"/>
  <c r="E139" i="36" s="1"/>
  <c r="E151" i="36" s="1"/>
  <c r="E163" i="36" s="1"/>
  <c r="E175" i="36" s="1"/>
  <c r="E187" i="36" s="1"/>
  <c r="E199" i="36" s="1"/>
  <c r="E20" i="35"/>
  <c r="E32" i="35" s="1"/>
  <c r="E44" i="35" s="1"/>
  <c r="E56" i="35" s="1"/>
  <c r="E68" i="35" s="1"/>
  <c r="E80" i="35" s="1"/>
  <c r="E92" i="35" s="1"/>
  <c r="E104" i="35" s="1"/>
  <c r="E116" i="35" s="1"/>
  <c r="E128" i="35" s="1"/>
  <c r="E140" i="35" s="1"/>
  <c r="E152" i="35" s="1"/>
  <c r="E164" i="35" s="1"/>
  <c r="E176" i="35" s="1"/>
  <c r="E188" i="35" s="1"/>
  <c r="E200" i="35" s="1"/>
  <c r="M8" i="35"/>
  <c r="E20" i="34"/>
  <c r="E32" i="34" s="1"/>
  <c r="E44" i="34" s="1"/>
  <c r="E56" i="34" s="1"/>
  <c r="E68" i="34" s="1"/>
  <c r="E80" i="34" s="1"/>
  <c r="E92" i="34" s="1"/>
  <c r="E104" i="34" s="1"/>
  <c r="E116" i="34" s="1"/>
  <c r="E128" i="34" s="1"/>
  <c r="E140" i="34" s="1"/>
  <c r="E152" i="34" s="1"/>
  <c r="E164" i="34" s="1"/>
  <c r="E176" i="34" s="1"/>
  <c r="E188" i="34" s="1"/>
  <c r="E200" i="34" s="1"/>
  <c r="N8" i="34"/>
  <c r="F19" i="34"/>
  <c r="F31" i="34" s="1"/>
  <c r="F43" i="34" s="1"/>
  <c r="F55" i="34" s="1"/>
  <c r="F67" i="34" s="1"/>
  <c r="F79" i="34" s="1"/>
  <c r="F91" i="34" s="1"/>
  <c r="F103" i="34" s="1"/>
  <c r="F115" i="34" s="1"/>
  <c r="F127" i="34" s="1"/>
  <c r="F139" i="34" s="1"/>
  <c r="F151" i="34" s="1"/>
  <c r="F163" i="34" s="1"/>
  <c r="F175" i="34" s="1"/>
  <c r="F187" i="34" s="1"/>
  <c r="F199" i="34" s="1"/>
  <c r="O7" i="34"/>
  <c r="E20" i="31"/>
  <c r="E32" i="31" s="1"/>
  <c r="E44" i="31" s="1"/>
  <c r="E56" i="31" s="1"/>
  <c r="E68" i="31" s="1"/>
  <c r="E80" i="31" s="1"/>
  <c r="E92" i="31" s="1"/>
  <c r="E104" i="31" s="1"/>
  <c r="E116" i="31" s="1"/>
  <c r="E128" i="31" s="1"/>
  <c r="E140" i="31" s="1"/>
  <c r="E152" i="31" s="1"/>
  <c r="E164" i="31" s="1"/>
  <c r="E176" i="31" s="1"/>
  <c r="E188" i="31" s="1"/>
  <c r="E200" i="31" s="1"/>
  <c r="M8" i="31"/>
  <c r="F19" i="30"/>
  <c r="F31" i="30" s="1"/>
  <c r="F43" i="30" s="1"/>
  <c r="F55" i="30" s="1"/>
  <c r="F67" i="30" s="1"/>
  <c r="F79" i="30" s="1"/>
  <c r="F91" i="30" s="1"/>
  <c r="F103" i="30" s="1"/>
  <c r="F115" i="30" s="1"/>
  <c r="F127" i="30" s="1"/>
  <c r="F139" i="30" s="1"/>
  <c r="F151" i="30" s="1"/>
  <c r="F163" i="30" s="1"/>
  <c r="F175" i="30" s="1"/>
  <c r="F187" i="30" s="1"/>
  <c r="F199" i="30" s="1"/>
  <c r="M7" i="30"/>
  <c r="E20" i="30"/>
  <c r="E32" i="30" s="1"/>
  <c r="E44" i="30" s="1"/>
  <c r="E56" i="30" s="1"/>
  <c r="E68" i="30" s="1"/>
  <c r="E80" i="30" s="1"/>
  <c r="E92" i="30" s="1"/>
  <c r="E104" i="30" s="1"/>
  <c r="E116" i="30" s="1"/>
  <c r="E128" i="30" s="1"/>
  <c r="E140" i="30" s="1"/>
  <c r="E152" i="30" s="1"/>
  <c r="E164" i="30" s="1"/>
  <c r="E176" i="30" s="1"/>
  <c r="E188" i="30" s="1"/>
  <c r="E200" i="30" s="1"/>
  <c r="L8" i="30"/>
  <c r="E20" i="29"/>
  <c r="E32" i="29" s="1"/>
  <c r="E44" i="29" s="1"/>
  <c r="E56" i="29" s="1"/>
  <c r="E68" i="29" s="1"/>
  <c r="E80" i="29" s="1"/>
  <c r="E92" i="29" s="1"/>
  <c r="E104" i="29" s="1"/>
  <c r="E116" i="29" s="1"/>
  <c r="E128" i="29" s="1"/>
  <c r="E140" i="29" s="1"/>
  <c r="E152" i="29" s="1"/>
  <c r="E164" i="29" s="1"/>
  <c r="E176" i="29" s="1"/>
  <c r="E188" i="29" s="1"/>
  <c r="E200" i="29" s="1"/>
  <c r="M8" i="29"/>
  <c r="F19" i="29"/>
  <c r="F31" i="29" s="1"/>
  <c r="F43" i="29" s="1"/>
  <c r="F55" i="29" s="1"/>
  <c r="F67" i="29" s="1"/>
  <c r="F79" i="29" s="1"/>
  <c r="F91" i="29" s="1"/>
  <c r="F103" i="29" s="1"/>
  <c r="F115" i="29" s="1"/>
  <c r="F127" i="29" s="1"/>
  <c r="F139" i="29" s="1"/>
  <c r="F151" i="29" s="1"/>
  <c r="F163" i="29" s="1"/>
  <c r="F175" i="29" s="1"/>
  <c r="F187" i="29" s="1"/>
  <c r="F199" i="29" s="1"/>
  <c r="N7" i="29"/>
  <c r="E20" i="28"/>
  <c r="E32" i="28" s="1"/>
  <c r="E44" i="28" s="1"/>
  <c r="E56" i="28" s="1"/>
  <c r="E68" i="28" s="1"/>
  <c r="E80" i="28" s="1"/>
  <c r="E92" i="28" s="1"/>
  <c r="E104" i="28" s="1"/>
  <c r="E116" i="28" s="1"/>
  <c r="E128" i="28" s="1"/>
  <c r="E140" i="28" s="1"/>
  <c r="E152" i="28" s="1"/>
  <c r="E164" i="28" s="1"/>
  <c r="E176" i="28" s="1"/>
  <c r="E188" i="28" s="1"/>
  <c r="E200" i="28" s="1"/>
  <c r="N8" i="28"/>
  <c r="F20" i="28"/>
  <c r="F32" i="28" s="1"/>
  <c r="F44" i="28" s="1"/>
  <c r="F56" i="28" s="1"/>
  <c r="F68" i="28" s="1"/>
  <c r="F80" i="28" s="1"/>
  <c r="F92" i="28" s="1"/>
  <c r="F104" i="28" s="1"/>
  <c r="F116" i="28" s="1"/>
  <c r="F128" i="28" s="1"/>
  <c r="F140" i="28" s="1"/>
  <c r="F152" i="28" s="1"/>
  <c r="F164" i="28" s="1"/>
  <c r="F176" i="28" s="1"/>
  <c r="F188" i="28" s="1"/>
  <c r="F200" i="28" s="1"/>
  <c r="L75" i="36"/>
  <c r="L29" i="36"/>
  <c r="L30" i="36"/>
  <c r="F8" i="34"/>
  <c r="BN67" i="3"/>
  <c r="E9" i="34"/>
  <c r="BQ68" i="3"/>
  <c r="E8" i="36"/>
  <c r="L8" i="36" s="1"/>
  <c r="BM67" i="3"/>
  <c r="F8" i="36"/>
  <c r="M8" i="36" s="1"/>
  <c r="BL67" i="3"/>
  <c r="F9" i="28"/>
  <c r="O9" i="28" s="1"/>
  <c r="BP68" i="3"/>
  <c r="M51" i="29"/>
  <c r="E9" i="28"/>
  <c r="R10" i="11"/>
  <c r="E9" i="29"/>
  <c r="M9" i="29" s="1"/>
  <c r="BD51" i="14"/>
  <c r="AC49" i="14"/>
  <c r="A91" i="14"/>
  <c r="W52" i="14"/>
  <c r="A111" i="14"/>
  <c r="A89" i="14"/>
  <c r="A69" i="14"/>
  <c r="A78" i="14"/>
  <c r="A68" i="14"/>
  <c r="A100" i="14"/>
  <c r="N18" i="34"/>
  <c r="E9" i="35"/>
  <c r="M9" i="35" s="1"/>
  <c r="DK53" i="3"/>
  <c r="BK68" i="3" s="1"/>
  <c r="E9" i="30"/>
  <c r="L9" i="30" s="1"/>
  <c r="E9" i="31"/>
  <c r="N40" i="34"/>
  <c r="N40" i="28"/>
  <c r="M40" i="31"/>
  <c r="L40" i="36"/>
  <c r="L40" i="30"/>
  <c r="M40" i="29"/>
  <c r="CL17" i="3"/>
  <c r="CL18" i="3" s="1"/>
  <c r="CL19" i="3" s="1"/>
  <c r="CL20" i="3" s="1"/>
  <c r="M40" i="35"/>
  <c r="L30" i="30"/>
  <c r="M30" i="31"/>
  <c r="N30" i="28"/>
  <c r="BH54" i="3"/>
  <c r="BT69" i="3" s="1"/>
  <c r="BJ37" i="3"/>
  <c r="BJ38" i="3" s="1"/>
  <c r="BJ39" i="3" s="1"/>
  <c r="BJ40" i="3" s="1"/>
  <c r="M41" i="31"/>
  <c r="N30" i="34"/>
  <c r="N41" i="28"/>
  <c r="M41" i="35"/>
  <c r="L41" i="36"/>
  <c r="BG54" i="3"/>
  <c r="BS69" i="3" s="1"/>
  <c r="BJ17" i="3"/>
  <c r="BJ18" i="3" s="1"/>
  <c r="BJ19" i="3" s="1"/>
  <c r="BJ20" i="3" s="1"/>
  <c r="BK34" i="3"/>
  <c r="BK35" i="3" s="1"/>
  <c r="BK36" i="3" s="1"/>
  <c r="M30" i="35"/>
  <c r="EP17" i="3"/>
  <c r="EP18" i="3" s="1"/>
  <c r="EP19" i="3" s="1"/>
  <c r="EP20" i="3" s="1"/>
  <c r="EM54" i="3"/>
  <c r="BG69" i="3" s="1"/>
  <c r="BK14" i="3"/>
  <c r="BK15" i="3" s="1"/>
  <c r="BK16" i="3" s="1"/>
  <c r="M30" i="29"/>
  <c r="BM1" i="3"/>
  <c r="BL25" i="3"/>
  <c r="BL4" i="3"/>
  <c r="BL30" i="3"/>
  <c r="BL29" i="3"/>
  <c r="BL9" i="3"/>
  <c r="BL26" i="3"/>
  <c r="BL5" i="3"/>
  <c r="BL10" i="3"/>
  <c r="BL23" i="3"/>
  <c r="BL6" i="3"/>
  <c r="BL27" i="3"/>
  <c r="BL12" i="3"/>
  <c r="BL28" i="3"/>
  <c r="BL24" i="3"/>
  <c r="BL31" i="3"/>
  <c r="BL11" i="3"/>
  <c r="BL7" i="3"/>
  <c r="BL8" i="3"/>
  <c r="BL3" i="3"/>
  <c r="BL32" i="3"/>
  <c r="BL13" i="3"/>
  <c r="BL33" i="3"/>
  <c r="L41" i="30"/>
  <c r="N41" i="34"/>
  <c r="O27" i="34"/>
  <c r="N38" i="28"/>
  <c r="EP37" i="3"/>
  <c r="EP38" i="3" s="1"/>
  <c r="EP39" i="3" s="1"/>
  <c r="EP40" i="3" s="1"/>
  <c r="EN54" i="3"/>
  <c r="BH69" i="3" s="1"/>
  <c r="M26" i="36"/>
  <c r="BZ6" i="3"/>
  <c r="BZ27" i="3"/>
  <c r="BZ31" i="3"/>
  <c r="BZ3" i="3"/>
  <c r="BZ23" i="3"/>
  <c r="BZ7" i="3"/>
  <c r="BZ11" i="3"/>
  <c r="BZ10" i="3"/>
  <c r="BZ9" i="3"/>
  <c r="BZ26" i="3"/>
  <c r="BZ5" i="3"/>
  <c r="BZ8" i="3"/>
  <c r="BZ4" i="3"/>
  <c r="BZ28" i="3"/>
  <c r="BZ24" i="3"/>
  <c r="BZ29" i="3"/>
  <c r="BZ25" i="3"/>
  <c r="BZ12" i="3"/>
  <c r="BZ30" i="3"/>
  <c r="BZ13" i="3"/>
  <c r="BZ32" i="3"/>
  <c r="BZ33" i="3"/>
  <c r="CM34" i="3"/>
  <c r="CM35" i="3" s="1"/>
  <c r="CM36" i="3" s="1"/>
  <c r="M27" i="30"/>
  <c r="CZ14" i="3"/>
  <c r="CZ15" i="3" s="1"/>
  <c r="CZ16" i="3" s="1"/>
  <c r="O26" i="34"/>
  <c r="O39" i="28"/>
  <c r="BY14" i="3"/>
  <c r="BY15" i="3" s="1"/>
  <c r="BY16" i="3" s="1"/>
  <c r="N27" i="35"/>
  <c r="M38" i="29"/>
  <c r="N26" i="31"/>
  <c r="DN14" i="3"/>
  <c r="DN15" i="3" s="1"/>
  <c r="DN16" i="3" s="1"/>
  <c r="O40" i="28"/>
  <c r="EQ14" i="3"/>
  <c r="EQ15" i="3" s="1"/>
  <c r="EQ16" i="3" s="1"/>
  <c r="M38" i="35"/>
  <c r="N27" i="31"/>
  <c r="EB14" i="3"/>
  <c r="EB15" i="3" s="1"/>
  <c r="EB16" i="3" s="1"/>
  <c r="M26" i="30"/>
  <c r="CM14" i="3"/>
  <c r="CM15" i="3" s="1"/>
  <c r="CM16" i="3" s="1"/>
  <c r="ER23" i="3"/>
  <c r="ER3" i="3"/>
  <c r="ER4" i="3"/>
  <c r="ER31" i="3"/>
  <c r="ER6" i="3"/>
  <c r="ER27" i="3"/>
  <c r="ER9" i="3"/>
  <c r="ER29" i="3"/>
  <c r="ER28" i="3"/>
  <c r="ER11" i="3"/>
  <c r="ER5" i="3"/>
  <c r="ER25" i="3"/>
  <c r="ER12" i="3"/>
  <c r="ER24" i="3"/>
  <c r="ER7" i="3"/>
  <c r="ER30" i="3"/>
  <c r="ER8" i="3"/>
  <c r="ER26" i="3"/>
  <c r="ER10" i="3"/>
  <c r="ER13" i="3"/>
  <c r="ER32" i="3"/>
  <c r="ER33" i="3"/>
  <c r="ES1" i="3"/>
  <c r="DO5" i="3"/>
  <c r="DO9" i="3"/>
  <c r="DO10" i="3"/>
  <c r="DO6" i="3"/>
  <c r="DO3" i="3"/>
  <c r="DO23" i="3"/>
  <c r="DO24" i="3"/>
  <c r="DO26" i="3"/>
  <c r="DO12" i="3"/>
  <c r="DO8" i="3"/>
  <c r="DO29" i="3"/>
  <c r="DO4" i="3"/>
  <c r="DO11" i="3"/>
  <c r="DO31" i="3"/>
  <c r="DO25" i="3"/>
  <c r="DO7" i="3"/>
  <c r="DO27" i="3"/>
  <c r="DO28" i="3"/>
  <c r="DO30" i="3"/>
  <c r="DO32" i="3"/>
  <c r="DO13" i="3"/>
  <c r="DO33" i="3"/>
  <c r="CZ34" i="3"/>
  <c r="CZ35" i="3" s="1"/>
  <c r="CZ36" i="3" s="1"/>
  <c r="EQ34" i="3"/>
  <c r="EQ35" i="3" s="1"/>
  <c r="EQ36" i="3" s="1"/>
  <c r="N27" i="29"/>
  <c r="CN3" i="3"/>
  <c r="CN23" i="3"/>
  <c r="CN28" i="3"/>
  <c r="CN12" i="3"/>
  <c r="CN6" i="3"/>
  <c r="CN24" i="3"/>
  <c r="CN29" i="3"/>
  <c r="CN8" i="3"/>
  <c r="CN25" i="3"/>
  <c r="CN4" i="3"/>
  <c r="CN11" i="3"/>
  <c r="CN31" i="3"/>
  <c r="CN30" i="3"/>
  <c r="CN7" i="3"/>
  <c r="CN26" i="3"/>
  <c r="CN9" i="3"/>
  <c r="CN5" i="3"/>
  <c r="CN10" i="3"/>
  <c r="CN27" i="3"/>
  <c r="CN13" i="3"/>
  <c r="CN32" i="3"/>
  <c r="CN33" i="3"/>
  <c r="EC23" i="3"/>
  <c r="EC7" i="3"/>
  <c r="EC11" i="3"/>
  <c r="EC3" i="3"/>
  <c r="EC31" i="3"/>
  <c r="EC4" i="3"/>
  <c r="EC6" i="3"/>
  <c r="EC27" i="3"/>
  <c r="EC9" i="3"/>
  <c r="EC28" i="3"/>
  <c r="EC5" i="3"/>
  <c r="EC24" i="3"/>
  <c r="EC8" i="3"/>
  <c r="EC30" i="3"/>
  <c r="EC25" i="3"/>
  <c r="EC12" i="3"/>
  <c r="EC29" i="3"/>
  <c r="EC10" i="3"/>
  <c r="EC26" i="3"/>
  <c r="EC32" i="3"/>
  <c r="EC13" i="3"/>
  <c r="EC33" i="3"/>
  <c r="N38" i="34"/>
  <c r="M27" i="36"/>
  <c r="M38" i="31"/>
  <c r="N26" i="35"/>
  <c r="N26" i="29"/>
  <c r="O38" i="28"/>
  <c r="BY34" i="3"/>
  <c r="BY35" i="3" s="1"/>
  <c r="BY36" i="3" s="1"/>
  <c r="BV55" i="3" s="1"/>
  <c r="BR70" i="3" s="1"/>
  <c r="EB34" i="3"/>
  <c r="EB35" i="3" s="1"/>
  <c r="EB36" i="3" s="1"/>
  <c r="L38" i="36"/>
  <c r="L38" i="30"/>
  <c r="DA23" i="3"/>
  <c r="DA6" i="3"/>
  <c r="DA10" i="3"/>
  <c r="DA3" i="3"/>
  <c r="DA8" i="3"/>
  <c r="DA31" i="3"/>
  <c r="DA27" i="3"/>
  <c r="DA4" i="3"/>
  <c r="DA29" i="3"/>
  <c r="DA11" i="3"/>
  <c r="DA28" i="3"/>
  <c r="DA25" i="3"/>
  <c r="DA7" i="3"/>
  <c r="DA24" i="3"/>
  <c r="DA9" i="3"/>
  <c r="DA30" i="3"/>
  <c r="DA12" i="3"/>
  <c r="DA5" i="3"/>
  <c r="DA26" i="3"/>
  <c r="DA13" i="3"/>
  <c r="DA32" i="3"/>
  <c r="DA33" i="3"/>
  <c r="DN34" i="3"/>
  <c r="DN35" i="3" s="1"/>
  <c r="DN36" i="3" s="1"/>
  <c r="BX17" i="3"/>
  <c r="BX18" i="3" s="1"/>
  <c r="BX19" i="3" s="1"/>
  <c r="BX20" i="3" s="1"/>
  <c r="BU54" i="3"/>
  <c r="M40" i="36"/>
  <c r="M29" i="36"/>
  <c r="M19" i="36"/>
  <c r="M18" i="36"/>
  <c r="N28" i="35"/>
  <c r="N17" i="35"/>
  <c r="M63" i="35"/>
  <c r="O18" i="34"/>
  <c r="N63" i="34"/>
  <c r="O29" i="34"/>
  <c r="O40" i="34"/>
  <c r="M63" i="31"/>
  <c r="N17" i="31"/>
  <c r="N28" i="31"/>
  <c r="M28" i="30"/>
  <c r="L63" i="30"/>
  <c r="M17" i="30"/>
  <c r="N28" i="29"/>
  <c r="M63" i="29"/>
  <c r="N17" i="29"/>
  <c r="O19" i="28"/>
  <c r="O41" i="28"/>
  <c r="N63" i="28"/>
  <c r="F8" i="31"/>
  <c r="F8" i="35"/>
  <c r="F8" i="29"/>
  <c r="F8" i="30"/>
  <c r="A58" i="14"/>
  <c r="BU10" i="14"/>
  <c r="BG11" i="14"/>
  <c r="ED1" i="3"/>
  <c r="EA17" i="3"/>
  <c r="EA18" i="3" s="1"/>
  <c r="EA19" i="3" s="1"/>
  <c r="EA20" i="3" s="1"/>
  <c r="DY53" i="3"/>
  <c r="BI68" i="3" s="1"/>
  <c r="EA37" i="3"/>
  <c r="EA38" i="3" s="1"/>
  <c r="EA39" i="3" s="1"/>
  <c r="EA40" i="3" s="1"/>
  <c r="DZ53" i="3"/>
  <c r="BJ68" i="3" s="1"/>
  <c r="DM37" i="3"/>
  <c r="DM38" i="3" s="1"/>
  <c r="DM39" i="3" s="1"/>
  <c r="DM40" i="3" s="1"/>
  <c r="DL53" i="3"/>
  <c r="DP1" i="3"/>
  <c r="DB1" i="3"/>
  <c r="CY17" i="3"/>
  <c r="CY18" i="3" s="1"/>
  <c r="CY19" i="3" s="1"/>
  <c r="CY20" i="3" s="1"/>
  <c r="CW53" i="3"/>
  <c r="CY37" i="3"/>
  <c r="CY38" i="3" s="1"/>
  <c r="CY39" i="3" s="1"/>
  <c r="CY40" i="3" s="1"/>
  <c r="CX53" i="3"/>
  <c r="CL37" i="3"/>
  <c r="CL38" i="3" s="1"/>
  <c r="CL39" i="3" s="1"/>
  <c r="CL40" i="3" s="1"/>
  <c r="CJ54" i="3"/>
  <c r="CO1" i="3"/>
  <c r="CA1" i="3"/>
  <c r="N13" i="14"/>
  <c r="N14" i="14" s="1"/>
  <c r="AF14" i="14" s="1"/>
  <c r="AF12" i="14"/>
  <c r="B11" i="14"/>
  <c r="E20" i="36" l="1"/>
  <c r="E32" i="36" s="1"/>
  <c r="E44" i="36" s="1"/>
  <c r="E56" i="36" s="1"/>
  <c r="E68" i="36" s="1"/>
  <c r="E80" i="36" s="1"/>
  <c r="E92" i="36" s="1"/>
  <c r="E104" i="36" s="1"/>
  <c r="E116" i="36" s="1"/>
  <c r="E128" i="36" s="1"/>
  <c r="E140" i="36" s="1"/>
  <c r="E152" i="36" s="1"/>
  <c r="E164" i="36" s="1"/>
  <c r="E176" i="36" s="1"/>
  <c r="E188" i="36" s="1"/>
  <c r="E200" i="36" s="1"/>
  <c r="F20" i="36"/>
  <c r="F32" i="36" s="1"/>
  <c r="F44" i="36" s="1"/>
  <c r="F56" i="36" s="1"/>
  <c r="F68" i="36" s="1"/>
  <c r="F80" i="36" s="1"/>
  <c r="F92" i="36" s="1"/>
  <c r="F104" i="36" s="1"/>
  <c r="F116" i="36" s="1"/>
  <c r="F128" i="36" s="1"/>
  <c r="F140" i="36" s="1"/>
  <c r="F152" i="36" s="1"/>
  <c r="F164" i="36" s="1"/>
  <c r="F176" i="36" s="1"/>
  <c r="F188" i="36" s="1"/>
  <c r="F200" i="36" s="1"/>
  <c r="F20" i="35"/>
  <c r="F32" i="35" s="1"/>
  <c r="F44" i="35" s="1"/>
  <c r="F56" i="35" s="1"/>
  <c r="F68" i="35" s="1"/>
  <c r="F80" i="35" s="1"/>
  <c r="F92" i="35" s="1"/>
  <c r="F104" i="35" s="1"/>
  <c r="F116" i="35" s="1"/>
  <c r="F128" i="35" s="1"/>
  <c r="F140" i="35" s="1"/>
  <c r="F152" i="35" s="1"/>
  <c r="F164" i="35" s="1"/>
  <c r="F176" i="35" s="1"/>
  <c r="F188" i="35" s="1"/>
  <c r="F200" i="35" s="1"/>
  <c r="N8" i="35"/>
  <c r="E21" i="35"/>
  <c r="E33" i="35" s="1"/>
  <c r="E45" i="35" s="1"/>
  <c r="E57" i="35" s="1"/>
  <c r="E69" i="35" s="1"/>
  <c r="E81" i="35" s="1"/>
  <c r="E93" i="35" s="1"/>
  <c r="E105" i="35" s="1"/>
  <c r="E117" i="35" s="1"/>
  <c r="E129" i="35" s="1"/>
  <c r="E141" i="35" s="1"/>
  <c r="E153" i="35" s="1"/>
  <c r="E165" i="35" s="1"/>
  <c r="E177" i="35" s="1"/>
  <c r="E189" i="35" s="1"/>
  <c r="E201" i="35" s="1"/>
  <c r="E21" i="34"/>
  <c r="E33" i="34" s="1"/>
  <c r="E45" i="34" s="1"/>
  <c r="E57" i="34" s="1"/>
  <c r="E69" i="34" s="1"/>
  <c r="E81" i="34" s="1"/>
  <c r="E93" i="34" s="1"/>
  <c r="E105" i="34" s="1"/>
  <c r="E117" i="34" s="1"/>
  <c r="E129" i="34" s="1"/>
  <c r="E141" i="34" s="1"/>
  <c r="E153" i="34" s="1"/>
  <c r="E165" i="34" s="1"/>
  <c r="E177" i="34" s="1"/>
  <c r="E189" i="34" s="1"/>
  <c r="E201" i="34" s="1"/>
  <c r="N9" i="34"/>
  <c r="F20" i="34"/>
  <c r="F32" i="34" s="1"/>
  <c r="F44" i="34" s="1"/>
  <c r="F56" i="34" s="1"/>
  <c r="F68" i="34" s="1"/>
  <c r="F80" i="34" s="1"/>
  <c r="F92" i="34" s="1"/>
  <c r="F104" i="34" s="1"/>
  <c r="F116" i="34" s="1"/>
  <c r="F128" i="34" s="1"/>
  <c r="F140" i="34" s="1"/>
  <c r="F152" i="34" s="1"/>
  <c r="F164" i="34" s="1"/>
  <c r="F176" i="34" s="1"/>
  <c r="F188" i="34" s="1"/>
  <c r="F200" i="34" s="1"/>
  <c r="O8" i="34"/>
  <c r="F20" i="31"/>
  <c r="F32" i="31" s="1"/>
  <c r="F44" i="31" s="1"/>
  <c r="F56" i="31" s="1"/>
  <c r="F68" i="31" s="1"/>
  <c r="F80" i="31" s="1"/>
  <c r="F92" i="31" s="1"/>
  <c r="F104" i="31" s="1"/>
  <c r="F116" i="31" s="1"/>
  <c r="F128" i="31" s="1"/>
  <c r="F140" i="31" s="1"/>
  <c r="F152" i="31" s="1"/>
  <c r="F164" i="31" s="1"/>
  <c r="F176" i="31" s="1"/>
  <c r="F188" i="31" s="1"/>
  <c r="F200" i="31" s="1"/>
  <c r="N8" i="31"/>
  <c r="E21" i="31"/>
  <c r="E33" i="31" s="1"/>
  <c r="E45" i="31" s="1"/>
  <c r="E57" i="31" s="1"/>
  <c r="E69" i="31" s="1"/>
  <c r="E81" i="31" s="1"/>
  <c r="E93" i="31" s="1"/>
  <c r="E105" i="31" s="1"/>
  <c r="E117" i="31" s="1"/>
  <c r="E129" i="31" s="1"/>
  <c r="E141" i="31" s="1"/>
  <c r="E153" i="31" s="1"/>
  <c r="E165" i="31" s="1"/>
  <c r="E177" i="31" s="1"/>
  <c r="E189" i="31" s="1"/>
  <c r="E201" i="31" s="1"/>
  <c r="M9" i="31"/>
  <c r="F20" i="30"/>
  <c r="F32" i="30" s="1"/>
  <c r="F44" i="30" s="1"/>
  <c r="F56" i="30" s="1"/>
  <c r="F68" i="30" s="1"/>
  <c r="F80" i="30" s="1"/>
  <c r="F92" i="30" s="1"/>
  <c r="F104" i="30" s="1"/>
  <c r="F116" i="30" s="1"/>
  <c r="F128" i="30" s="1"/>
  <c r="F140" i="30" s="1"/>
  <c r="F152" i="30" s="1"/>
  <c r="F164" i="30" s="1"/>
  <c r="F176" i="30" s="1"/>
  <c r="F188" i="30" s="1"/>
  <c r="F200" i="30" s="1"/>
  <c r="M8" i="30"/>
  <c r="E21" i="30"/>
  <c r="E33" i="30" s="1"/>
  <c r="E45" i="30" s="1"/>
  <c r="E57" i="30" s="1"/>
  <c r="E69" i="30" s="1"/>
  <c r="E81" i="30" s="1"/>
  <c r="E93" i="30" s="1"/>
  <c r="E105" i="30" s="1"/>
  <c r="E117" i="30" s="1"/>
  <c r="E129" i="30" s="1"/>
  <c r="E141" i="30" s="1"/>
  <c r="E153" i="30" s="1"/>
  <c r="E165" i="30" s="1"/>
  <c r="E177" i="30" s="1"/>
  <c r="E189" i="30" s="1"/>
  <c r="E201" i="30" s="1"/>
  <c r="F20" i="29"/>
  <c r="F32" i="29" s="1"/>
  <c r="F44" i="29" s="1"/>
  <c r="F56" i="29" s="1"/>
  <c r="F68" i="29" s="1"/>
  <c r="F80" i="29" s="1"/>
  <c r="F92" i="29" s="1"/>
  <c r="F104" i="29" s="1"/>
  <c r="F116" i="29" s="1"/>
  <c r="F128" i="29" s="1"/>
  <c r="F140" i="29" s="1"/>
  <c r="F152" i="29" s="1"/>
  <c r="F164" i="29" s="1"/>
  <c r="F176" i="29" s="1"/>
  <c r="F188" i="29" s="1"/>
  <c r="F200" i="29" s="1"/>
  <c r="N8" i="29"/>
  <c r="E21" i="29"/>
  <c r="E33" i="29" s="1"/>
  <c r="E45" i="29" s="1"/>
  <c r="E57" i="29" s="1"/>
  <c r="E69" i="29" s="1"/>
  <c r="E81" i="29" s="1"/>
  <c r="E93" i="29" s="1"/>
  <c r="E105" i="29" s="1"/>
  <c r="E117" i="29" s="1"/>
  <c r="E129" i="29" s="1"/>
  <c r="E141" i="29" s="1"/>
  <c r="E153" i="29" s="1"/>
  <c r="E165" i="29" s="1"/>
  <c r="E177" i="29" s="1"/>
  <c r="E189" i="29" s="1"/>
  <c r="E201" i="29" s="1"/>
  <c r="E21" i="28"/>
  <c r="E33" i="28" s="1"/>
  <c r="E45" i="28" s="1"/>
  <c r="E57" i="28" s="1"/>
  <c r="E69" i="28" s="1"/>
  <c r="E81" i="28" s="1"/>
  <c r="E93" i="28" s="1"/>
  <c r="E105" i="28" s="1"/>
  <c r="E117" i="28" s="1"/>
  <c r="E129" i="28" s="1"/>
  <c r="E141" i="28" s="1"/>
  <c r="E153" i="28" s="1"/>
  <c r="E165" i="28" s="1"/>
  <c r="E177" i="28" s="1"/>
  <c r="E189" i="28" s="1"/>
  <c r="E201" i="28" s="1"/>
  <c r="N9" i="28"/>
  <c r="F21" i="28"/>
  <c r="F33" i="28" s="1"/>
  <c r="F45" i="28" s="1"/>
  <c r="F57" i="28" s="1"/>
  <c r="F69" i="28" s="1"/>
  <c r="F81" i="28" s="1"/>
  <c r="F93" i="28" s="1"/>
  <c r="F105" i="28" s="1"/>
  <c r="F117" i="28" s="1"/>
  <c r="F129" i="28" s="1"/>
  <c r="F141" i="28" s="1"/>
  <c r="F153" i="28" s="1"/>
  <c r="F165" i="28" s="1"/>
  <c r="F177" i="28" s="1"/>
  <c r="F189" i="28" s="1"/>
  <c r="F201" i="28" s="1"/>
  <c r="L111" i="36"/>
  <c r="O42" i="28"/>
  <c r="L63" i="36"/>
  <c r="F9" i="36"/>
  <c r="BL68" i="3"/>
  <c r="E10" i="34"/>
  <c r="BQ69" i="3"/>
  <c r="F10" i="28"/>
  <c r="O10" i="28" s="1"/>
  <c r="BP69" i="3"/>
  <c r="F9" i="34"/>
  <c r="O9" i="34" s="1"/>
  <c r="BN68" i="3"/>
  <c r="E9" i="36"/>
  <c r="L9" i="36" s="1"/>
  <c r="BM68" i="3"/>
  <c r="M41" i="29"/>
  <c r="R11" i="11"/>
  <c r="E10" i="29"/>
  <c r="BD52" i="14"/>
  <c r="AC50" i="14"/>
  <c r="A90" i="14"/>
  <c r="A81" i="14"/>
  <c r="A70" i="14"/>
  <c r="A101" i="14"/>
  <c r="A112" i="14"/>
  <c r="A123" i="14"/>
  <c r="W53" i="14"/>
  <c r="A80" i="14"/>
  <c r="A103" i="14"/>
  <c r="Q40" i="36"/>
  <c r="L52" i="30"/>
  <c r="M52" i="35"/>
  <c r="M52" i="29"/>
  <c r="M52" i="31"/>
  <c r="L52" i="36"/>
  <c r="N52" i="28"/>
  <c r="N52" i="34"/>
  <c r="EC14" i="3"/>
  <c r="EC15" i="3" s="1"/>
  <c r="EC16" i="3" s="1"/>
  <c r="N19" i="28"/>
  <c r="BH55" i="3"/>
  <c r="BT70" i="3" s="1"/>
  <c r="BK37" i="3"/>
  <c r="BK38" i="3" s="1"/>
  <c r="BK39" i="3" s="1"/>
  <c r="BK40" i="3" s="1"/>
  <c r="N42" i="34"/>
  <c r="N53" i="34"/>
  <c r="M19" i="29"/>
  <c r="CN14" i="3"/>
  <c r="L19" i="30"/>
  <c r="M53" i="31"/>
  <c r="M19" i="31"/>
  <c r="L53" i="30"/>
  <c r="E10" i="31"/>
  <c r="E10" i="35"/>
  <c r="E10" i="30"/>
  <c r="E10" i="28"/>
  <c r="L19" i="36"/>
  <c r="ER14" i="3"/>
  <c r="ER15" i="3" s="1"/>
  <c r="ER16" i="3" s="1"/>
  <c r="BK17" i="3"/>
  <c r="BK18" i="3" s="1"/>
  <c r="BK19" i="3" s="1"/>
  <c r="BK20" i="3" s="1"/>
  <c r="BG55" i="3"/>
  <c r="BS70" i="3" s="1"/>
  <c r="L53" i="36"/>
  <c r="N42" i="28"/>
  <c r="BL34" i="3"/>
  <c r="BL35" i="3" s="1"/>
  <c r="BL36" i="3" s="1"/>
  <c r="M53" i="35"/>
  <c r="BL14" i="3"/>
  <c r="BL15" i="3" s="1"/>
  <c r="BL16" i="3" s="1"/>
  <c r="M19" i="35"/>
  <c r="N19" i="34"/>
  <c r="M53" i="29"/>
  <c r="N53" i="28"/>
  <c r="BZ34" i="3"/>
  <c r="BZ35" i="3" s="1"/>
  <c r="BZ36" i="3" s="1"/>
  <c r="BV56" i="3" s="1"/>
  <c r="BR71" i="3" s="1"/>
  <c r="M42" i="35"/>
  <c r="M42" i="31"/>
  <c r="M42" i="29"/>
  <c r="BM7" i="3"/>
  <c r="BM25" i="3"/>
  <c r="BM3" i="3"/>
  <c r="BM10" i="3"/>
  <c r="BM6" i="3"/>
  <c r="BM9" i="3"/>
  <c r="BM26" i="3"/>
  <c r="BM5" i="3"/>
  <c r="BM23" i="3"/>
  <c r="BM31" i="3"/>
  <c r="BM30" i="3"/>
  <c r="BM12" i="3"/>
  <c r="BM29" i="3"/>
  <c r="BM27" i="3"/>
  <c r="BM11" i="3"/>
  <c r="BM8" i="3"/>
  <c r="BM28" i="3"/>
  <c r="BM24" i="3"/>
  <c r="BM4" i="3"/>
  <c r="BM13" i="3"/>
  <c r="BM32" i="3"/>
  <c r="BM33" i="3"/>
  <c r="L42" i="30"/>
  <c r="N39" i="29"/>
  <c r="M50" i="35"/>
  <c r="N39" i="35"/>
  <c r="O50" i="28"/>
  <c r="EM55" i="3"/>
  <c r="BG70" i="3" s="1"/>
  <c r="EQ17" i="3"/>
  <c r="EQ18" i="3" s="1"/>
  <c r="EQ19" i="3" s="1"/>
  <c r="EQ20" i="3" s="1"/>
  <c r="ED7" i="3"/>
  <c r="ED11" i="3"/>
  <c r="ED23" i="3"/>
  <c r="ED4" i="3"/>
  <c r="ED8" i="3"/>
  <c r="ED25" i="3"/>
  <c r="ED3" i="3"/>
  <c r="ED12" i="3"/>
  <c r="ED29" i="3"/>
  <c r="ED9" i="3"/>
  <c r="ED27" i="3"/>
  <c r="ED5" i="3"/>
  <c r="ED30" i="3"/>
  <c r="ED26" i="3"/>
  <c r="ED10" i="3"/>
  <c r="ED28" i="3"/>
  <c r="ED6" i="3"/>
  <c r="ED24" i="3"/>
  <c r="ED31" i="3"/>
  <c r="ED13" i="3"/>
  <c r="ED32" i="3"/>
  <c r="ED33" i="3"/>
  <c r="O52" i="28"/>
  <c r="DB23" i="3"/>
  <c r="DB6" i="3"/>
  <c r="DB10" i="3"/>
  <c r="DB24" i="3"/>
  <c r="DB3" i="3"/>
  <c r="DB28" i="3"/>
  <c r="DB11" i="3"/>
  <c r="DB7" i="3"/>
  <c r="DB29" i="3"/>
  <c r="DB31" i="3"/>
  <c r="DB25" i="3"/>
  <c r="DB9" i="3"/>
  <c r="DB27" i="3"/>
  <c r="DB30" i="3"/>
  <c r="DB5" i="3"/>
  <c r="DB12" i="3"/>
  <c r="DB26" i="3"/>
  <c r="DB8" i="3"/>
  <c r="DB4" i="3"/>
  <c r="DB32" i="3"/>
  <c r="DB13" i="3"/>
  <c r="DB33" i="3"/>
  <c r="DA34" i="3"/>
  <c r="DA35" i="3" s="1"/>
  <c r="DA36" i="3" s="1"/>
  <c r="O51" i="28"/>
  <c r="N38" i="29"/>
  <c r="O38" i="34"/>
  <c r="DA14" i="3"/>
  <c r="DA15" i="3" s="1"/>
  <c r="DA16" i="3" s="1"/>
  <c r="EQ37" i="3"/>
  <c r="EQ38" i="3" s="1"/>
  <c r="EQ39" i="3" s="1"/>
  <c r="EQ40" i="3" s="1"/>
  <c r="EN55" i="3"/>
  <c r="BH70" i="3" s="1"/>
  <c r="M38" i="30"/>
  <c r="CA6" i="3"/>
  <c r="CA10" i="3"/>
  <c r="CA23" i="3"/>
  <c r="CA3" i="3"/>
  <c r="CA11" i="3"/>
  <c r="CA7" i="3"/>
  <c r="CA28" i="3"/>
  <c r="CA24" i="3"/>
  <c r="CA4" i="3"/>
  <c r="CA31" i="3"/>
  <c r="CA12" i="3"/>
  <c r="CA9" i="3"/>
  <c r="CA27" i="3"/>
  <c r="CA30" i="3"/>
  <c r="CA5" i="3"/>
  <c r="CA29" i="3"/>
  <c r="CA8" i="3"/>
  <c r="CA26" i="3"/>
  <c r="CA25" i="3"/>
  <c r="CA32" i="3"/>
  <c r="CA13" i="3"/>
  <c r="CA33" i="3"/>
  <c r="DP3" i="3"/>
  <c r="DP23" i="3"/>
  <c r="DP28" i="3"/>
  <c r="DP8" i="3"/>
  <c r="DP10" i="3"/>
  <c r="DP27" i="3"/>
  <c r="DP24" i="3"/>
  <c r="DP4" i="3"/>
  <c r="DP6" i="3"/>
  <c r="DP11" i="3"/>
  <c r="DP29" i="3"/>
  <c r="DP7" i="3"/>
  <c r="DP9" i="3"/>
  <c r="DP25" i="3"/>
  <c r="DP30" i="3"/>
  <c r="DP5" i="3"/>
  <c r="DP26" i="3"/>
  <c r="DP12" i="3"/>
  <c r="DP31" i="3"/>
  <c r="DP32" i="3"/>
  <c r="DP13" i="3"/>
  <c r="DP33" i="3"/>
  <c r="N38" i="35"/>
  <c r="ER34" i="3"/>
  <c r="ER35" i="3" s="1"/>
  <c r="ER36" i="3" s="1"/>
  <c r="M38" i="36"/>
  <c r="Q38" i="36" s="1"/>
  <c r="DO34" i="3"/>
  <c r="DO35" i="3" s="1"/>
  <c r="DO36" i="3" s="1"/>
  <c r="M50" i="31"/>
  <c r="CN34" i="3"/>
  <c r="CN35" i="3" s="1"/>
  <c r="CN36" i="3" s="1"/>
  <c r="DO14" i="3"/>
  <c r="DO15" i="3" s="1"/>
  <c r="DO16" i="3" s="1"/>
  <c r="N39" i="31"/>
  <c r="M39" i="30"/>
  <c r="BZ14" i="3"/>
  <c r="BZ15" i="3" s="1"/>
  <c r="BZ16" i="3" s="1"/>
  <c r="CO3" i="3"/>
  <c r="CO23" i="3"/>
  <c r="CO24" i="3"/>
  <c r="CO4" i="3"/>
  <c r="CO10" i="3"/>
  <c r="CO31" i="3"/>
  <c r="CO9" i="3"/>
  <c r="CO30" i="3"/>
  <c r="CO12" i="3"/>
  <c r="CO6" i="3"/>
  <c r="CO27" i="3"/>
  <c r="CO29" i="3"/>
  <c r="CO5" i="3"/>
  <c r="CO26" i="3"/>
  <c r="CO11" i="3"/>
  <c r="CO25" i="3"/>
  <c r="CO7" i="3"/>
  <c r="CO28" i="3"/>
  <c r="CO8" i="3"/>
  <c r="CO32" i="3"/>
  <c r="CO13" i="3"/>
  <c r="CO33" i="3"/>
  <c r="N38" i="31"/>
  <c r="N50" i="28"/>
  <c r="L50" i="30"/>
  <c r="O39" i="34"/>
  <c r="L50" i="36"/>
  <c r="M39" i="36"/>
  <c r="Q39" i="36" s="1"/>
  <c r="EC34" i="3"/>
  <c r="EC35" i="3" s="1"/>
  <c r="EC36" i="3" s="1"/>
  <c r="ES23" i="3"/>
  <c r="ES3" i="3"/>
  <c r="ES28" i="3"/>
  <c r="ES24" i="3"/>
  <c r="ES29" i="3"/>
  <c r="ES8" i="3"/>
  <c r="ES31" i="3"/>
  <c r="ES7" i="3"/>
  <c r="ES25" i="3"/>
  <c r="ES4" i="3"/>
  <c r="ES27" i="3"/>
  <c r="ES9" i="3"/>
  <c r="ES30" i="3"/>
  <c r="ES5" i="3"/>
  <c r="ES10" i="3"/>
  <c r="ES26" i="3"/>
  <c r="ES6" i="3"/>
  <c r="ES12" i="3"/>
  <c r="ES11" i="3"/>
  <c r="ES13" i="3"/>
  <c r="ES32" i="3"/>
  <c r="ES33" i="3"/>
  <c r="N50" i="34"/>
  <c r="M50" i="29"/>
  <c r="BY17" i="3"/>
  <c r="BY18" i="3" s="1"/>
  <c r="BY19" i="3" s="1"/>
  <c r="BY20" i="3" s="1"/>
  <c r="BU55" i="3"/>
  <c r="M52" i="36"/>
  <c r="M41" i="36"/>
  <c r="Q41" i="36" s="1"/>
  <c r="M30" i="36"/>
  <c r="M31" i="36"/>
  <c r="N18" i="35"/>
  <c r="M75" i="35"/>
  <c r="N40" i="35"/>
  <c r="N19" i="35"/>
  <c r="N29" i="35"/>
  <c r="O30" i="34"/>
  <c r="O52" i="34"/>
  <c r="O41" i="34"/>
  <c r="O19" i="34"/>
  <c r="N75" i="34"/>
  <c r="N19" i="31"/>
  <c r="N40" i="31"/>
  <c r="M75" i="31"/>
  <c r="N18" i="31"/>
  <c r="N29" i="31"/>
  <c r="M29" i="30"/>
  <c r="M18" i="30"/>
  <c r="L75" i="30"/>
  <c r="M40" i="30"/>
  <c r="M75" i="29"/>
  <c r="N40" i="29"/>
  <c r="N29" i="29"/>
  <c r="N18" i="29"/>
  <c r="O31" i="28"/>
  <c r="O20" i="28"/>
  <c r="N75" i="28"/>
  <c r="O53" i="28"/>
  <c r="O54" i="28"/>
  <c r="F9" i="31"/>
  <c r="F9" i="35"/>
  <c r="F9" i="29"/>
  <c r="F9" i="30"/>
  <c r="BG12" i="14"/>
  <c r="BG13" i="14" s="1"/>
  <c r="BU11" i="14"/>
  <c r="DY55" i="3"/>
  <c r="BI70" i="3" s="1"/>
  <c r="EC17" i="3"/>
  <c r="EC18" i="3" s="1"/>
  <c r="EC19" i="3" s="1"/>
  <c r="EC20" i="3" s="1"/>
  <c r="EB37" i="3"/>
  <c r="EB38" i="3" s="1"/>
  <c r="EB39" i="3" s="1"/>
  <c r="EB40" i="3" s="1"/>
  <c r="DZ54" i="3"/>
  <c r="BJ69" i="3" s="1"/>
  <c r="EE1" i="3"/>
  <c r="DY54" i="3"/>
  <c r="BI69" i="3" s="1"/>
  <c r="EB17" i="3"/>
  <c r="EB18" i="3" s="1"/>
  <c r="EB19" i="3" s="1"/>
  <c r="EB20" i="3" s="1"/>
  <c r="DQ1" i="3"/>
  <c r="DK54" i="3"/>
  <c r="BK69" i="3" s="1"/>
  <c r="DN17" i="3"/>
  <c r="DN18" i="3" s="1"/>
  <c r="DN19" i="3" s="1"/>
  <c r="DN20" i="3" s="1"/>
  <c r="DN37" i="3"/>
  <c r="DN38" i="3" s="1"/>
  <c r="DN39" i="3" s="1"/>
  <c r="DN40" i="3" s="1"/>
  <c r="DL54" i="3"/>
  <c r="DC1" i="3"/>
  <c r="CW54" i="3"/>
  <c r="CZ17" i="3"/>
  <c r="CZ18" i="3" s="1"/>
  <c r="CZ19" i="3" s="1"/>
  <c r="CZ20" i="3" s="1"/>
  <c r="CZ37" i="3"/>
  <c r="CZ38" i="3" s="1"/>
  <c r="CZ39" i="3" s="1"/>
  <c r="CZ40" i="3" s="1"/>
  <c r="CX54" i="3"/>
  <c r="CN15" i="3"/>
  <c r="CN16" i="3" s="1"/>
  <c r="CJ55" i="3"/>
  <c r="CM37" i="3"/>
  <c r="CM38" i="3" s="1"/>
  <c r="CM39" i="3" s="1"/>
  <c r="CM40" i="3" s="1"/>
  <c r="CI55" i="3"/>
  <c r="BO70" i="3" s="1"/>
  <c r="CM17" i="3"/>
  <c r="CM18" i="3" s="1"/>
  <c r="CM19" i="3" s="1"/>
  <c r="CM20" i="3" s="1"/>
  <c r="BY37" i="3"/>
  <c r="BY38" i="3" s="1"/>
  <c r="BY39" i="3" s="1"/>
  <c r="BY40" i="3" s="1"/>
  <c r="AF13" i="14"/>
  <c r="B12" i="14"/>
  <c r="F21" i="36" l="1"/>
  <c r="F33" i="36" s="1"/>
  <c r="F45" i="36" s="1"/>
  <c r="F57" i="36" s="1"/>
  <c r="F69" i="36" s="1"/>
  <c r="F81" i="36" s="1"/>
  <c r="F93" i="36" s="1"/>
  <c r="F105" i="36" s="1"/>
  <c r="F117" i="36" s="1"/>
  <c r="F129" i="36" s="1"/>
  <c r="F141" i="36" s="1"/>
  <c r="F153" i="36" s="1"/>
  <c r="F165" i="36" s="1"/>
  <c r="F177" i="36" s="1"/>
  <c r="F189" i="36" s="1"/>
  <c r="F201" i="36" s="1"/>
  <c r="M9" i="36"/>
  <c r="E21" i="36"/>
  <c r="E33" i="36" s="1"/>
  <c r="E45" i="36" s="1"/>
  <c r="E57" i="36" s="1"/>
  <c r="E69" i="36" s="1"/>
  <c r="E81" i="36" s="1"/>
  <c r="E93" i="36" s="1"/>
  <c r="E105" i="36" s="1"/>
  <c r="E117" i="36" s="1"/>
  <c r="E129" i="36" s="1"/>
  <c r="E141" i="36" s="1"/>
  <c r="E153" i="36" s="1"/>
  <c r="E165" i="36" s="1"/>
  <c r="E177" i="36" s="1"/>
  <c r="E189" i="36" s="1"/>
  <c r="E201" i="36" s="1"/>
  <c r="E22" i="35"/>
  <c r="E34" i="35" s="1"/>
  <c r="E46" i="35" s="1"/>
  <c r="E58" i="35" s="1"/>
  <c r="E70" i="35" s="1"/>
  <c r="E82" i="35" s="1"/>
  <c r="E94" i="35" s="1"/>
  <c r="E106" i="35" s="1"/>
  <c r="E118" i="35" s="1"/>
  <c r="E130" i="35" s="1"/>
  <c r="E142" i="35" s="1"/>
  <c r="E154" i="35" s="1"/>
  <c r="E166" i="35" s="1"/>
  <c r="E178" i="35" s="1"/>
  <c r="E190" i="35" s="1"/>
  <c r="E202" i="35" s="1"/>
  <c r="M10" i="35"/>
  <c r="F21" i="35"/>
  <c r="F33" i="35" s="1"/>
  <c r="F45" i="35" s="1"/>
  <c r="F57" i="35" s="1"/>
  <c r="F69" i="35" s="1"/>
  <c r="F81" i="35" s="1"/>
  <c r="F93" i="35" s="1"/>
  <c r="F105" i="35" s="1"/>
  <c r="F117" i="35" s="1"/>
  <c r="F129" i="35" s="1"/>
  <c r="F141" i="35" s="1"/>
  <c r="F153" i="35" s="1"/>
  <c r="F165" i="35" s="1"/>
  <c r="F177" i="35" s="1"/>
  <c r="F189" i="35" s="1"/>
  <c r="F201" i="35" s="1"/>
  <c r="N9" i="35"/>
  <c r="E22" i="34"/>
  <c r="E34" i="34" s="1"/>
  <c r="E46" i="34" s="1"/>
  <c r="E58" i="34" s="1"/>
  <c r="E70" i="34" s="1"/>
  <c r="E82" i="34" s="1"/>
  <c r="E94" i="34" s="1"/>
  <c r="E106" i="34" s="1"/>
  <c r="E118" i="34" s="1"/>
  <c r="E130" i="34" s="1"/>
  <c r="E142" i="34" s="1"/>
  <c r="E154" i="34" s="1"/>
  <c r="E166" i="34" s="1"/>
  <c r="E178" i="34" s="1"/>
  <c r="E190" i="34" s="1"/>
  <c r="E202" i="34" s="1"/>
  <c r="N10" i="34"/>
  <c r="F21" i="34"/>
  <c r="F33" i="34" s="1"/>
  <c r="F45" i="34" s="1"/>
  <c r="F57" i="34" s="1"/>
  <c r="F69" i="34" s="1"/>
  <c r="F81" i="34" s="1"/>
  <c r="F93" i="34" s="1"/>
  <c r="F105" i="34" s="1"/>
  <c r="F117" i="34" s="1"/>
  <c r="F129" i="34" s="1"/>
  <c r="F141" i="34" s="1"/>
  <c r="F153" i="34" s="1"/>
  <c r="F165" i="34" s="1"/>
  <c r="F177" i="34" s="1"/>
  <c r="F189" i="34" s="1"/>
  <c r="F201" i="34" s="1"/>
  <c r="E22" i="31"/>
  <c r="E34" i="31" s="1"/>
  <c r="E46" i="31" s="1"/>
  <c r="E58" i="31" s="1"/>
  <c r="E70" i="31" s="1"/>
  <c r="E82" i="31" s="1"/>
  <c r="E94" i="31" s="1"/>
  <c r="E106" i="31" s="1"/>
  <c r="E118" i="31" s="1"/>
  <c r="E130" i="31" s="1"/>
  <c r="E142" i="31" s="1"/>
  <c r="E154" i="31" s="1"/>
  <c r="E166" i="31" s="1"/>
  <c r="E178" i="31" s="1"/>
  <c r="E190" i="31" s="1"/>
  <c r="E202" i="31" s="1"/>
  <c r="M10" i="31"/>
  <c r="F21" i="31"/>
  <c r="F33" i="31" s="1"/>
  <c r="F45" i="31" s="1"/>
  <c r="F57" i="31" s="1"/>
  <c r="F69" i="31" s="1"/>
  <c r="F81" i="31" s="1"/>
  <c r="F93" i="31" s="1"/>
  <c r="F105" i="31" s="1"/>
  <c r="F117" i="31" s="1"/>
  <c r="F129" i="31" s="1"/>
  <c r="F141" i="31" s="1"/>
  <c r="F153" i="31" s="1"/>
  <c r="F165" i="31" s="1"/>
  <c r="F177" i="31" s="1"/>
  <c r="F189" i="31" s="1"/>
  <c r="F201" i="31" s="1"/>
  <c r="N9" i="31"/>
  <c r="F21" i="30"/>
  <c r="F33" i="30" s="1"/>
  <c r="F45" i="30" s="1"/>
  <c r="F57" i="30" s="1"/>
  <c r="F69" i="30" s="1"/>
  <c r="F81" i="30" s="1"/>
  <c r="F93" i="30" s="1"/>
  <c r="F105" i="30" s="1"/>
  <c r="F117" i="30" s="1"/>
  <c r="F129" i="30" s="1"/>
  <c r="F141" i="30" s="1"/>
  <c r="F153" i="30" s="1"/>
  <c r="F165" i="30" s="1"/>
  <c r="F177" i="30" s="1"/>
  <c r="F189" i="30" s="1"/>
  <c r="F201" i="30" s="1"/>
  <c r="M9" i="30"/>
  <c r="E22" i="30"/>
  <c r="E34" i="30" s="1"/>
  <c r="E46" i="30" s="1"/>
  <c r="E58" i="30" s="1"/>
  <c r="E70" i="30" s="1"/>
  <c r="E82" i="30" s="1"/>
  <c r="E94" i="30" s="1"/>
  <c r="E106" i="30" s="1"/>
  <c r="E118" i="30" s="1"/>
  <c r="E130" i="30" s="1"/>
  <c r="E142" i="30" s="1"/>
  <c r="E154" i="30" s="1"/>
  <c r="E166" i="30" s="1"/>
  <c r="E178" i="30" s="1"/>
  <c r="E190" i="30" s="1"/>
  <c r="E202" i="30" s="1"/>
  <c r="L10" i="30"/>
  <c r="F21" i="29"/>
  <c r="F33" i="29" s="1"/>
  <c r="F45" i="29" s="1"/>
  <c r="F57" i="29" s="1"/>
  <c r="F69" i="29" s="1"/>
  <c r="F81" i="29" s="1"/>
  <c r="F93" i="29" s="1"/>
  <c r="F105" i="29" s="1"/>
  <c r="F117" i="29" s="1"/>
  <c r="F129" i="29" s="1"/>
  <c r="F141" i="29" s="1"/>
  <c r="F153" i="29" s="1"/>
  <c r="F165" i="29" s="1"/>
  <c r="F177" i="29" s="1"/>
  <c r="F189" i="29" s="1"/>
  <c r="F201" i="29" s="1"/>
  <c r="N9" i="29"/>
  <c r="E22" i="29"/>
  <c r="E34" i="29" s="1"/>
  <c r="E46" i="29" s="1"/>
  <c r="E58" i="29" s="1"/>
  <c r="E70" i="29" s="1"/>
  <c r="E82" i="29" s="1"/>
  <c r="E94" i="29" s="1"/>
  <c r="E106" i="29" s="1"/>
  <c r="E118" i="29" s="1"/>
  <c r="E130" i="29" s="1"/>
  <c r="E142" i="29" s="1"/>
  <c r="E154" i="29" s="1"/>
  <c r="E166" i="29" s="1"/>
  <c r="E178" i="29" s="1"/>
  <c r="E190" i="29" s="1"/>
  <c r="E202" i="29" s="1"/>
  <c r="M10" i="29"/>
  <c r="L87" i="36"/>
  <c r="E22" i="28"/>
  <c r="E34" i="28" s="1"/>
  <c r="E46" i="28" s="1"/>
  <c r="E58" i="28" s="1"/>
  <c r="E70" i="28" s="1"/>
  <c r="E82" i="28" s="1"/>
  <c r="E94" i="28" s="1"/>
  <c r="E106" i="28" s="1"/>
  <c r="E118" i="28" s="1"/>
  <c r="E130" i="28" s="1"/>
  <c r="E142" i="28" s="1"/>
  <c r="E154" i="28" s="1"/>
  <c r="E166" i="28" s="1"/>
  <c r="E178" i="28" s="1"/>
  <c r="E190" i="28" s="1"/>
  <c r="E202" i="28" s="1"/>
  <c r="N10" i="28"/>
  <c r="F22" i="28"/>
  <c r="F34" i="28" s="1"/>
  <c r="F46" i="28" s="1"/>
  <c r="F58" i="28" s="1"/>
  <c r="F70" i="28" s="1"/>
  <c r="F82" i="28" s="1"/>
  <c r="F94" i="28" s="1"/>
  <c r="F106" i="28" s="1"/>
  <c r="F118" i="28" s="1"/>
  <c r="F130" i="28" s="1"/>
  <c r="F142" i="28" s="1"/>
  <c r="F154" i="28" s="1"/>
  <c r="F166" i="28" s="1"/>
  <c r="F178" i="28" s="1"/>
  <c r="F190" i="28" s="1"/>
  <c r="F202" i="28" s="1"/>
  <c r="L42" i="36"/>
  <c r="E10" i="36"/>
  <c r="BM69" i="3"/>
  <c r="F10" i="34"/>
  <c r="O10" i="34" s="1"/>
  <c r="BN69" i="3"/>
  <c r="F10" i="36"/>
  <c r="M10" i="36" s="1"/>
  <c r="BL69" i="3"/>
  <c r="F11" i="28"/>
  <c r="O11" i="28" s="1"/>
  <c r="BP70" i="3"/>
  <c r="E11" i="34"/>
  <c r="BQ70" i="3"/>
  <c r="R12" i="11"/>
  <c r="E11" i="29"/>
  <c r="BD53" i="14"/>
  <c r="AC51" i="14"/>
  <c r="W54" i="14"/>
  <c r="A124" i="14"/>
  <c r="A113" i="14"/>
  <c r="A82" i="14"/>
  <c r="A93" i="14"/>
  <c r="A115" i="14"/>
  <c r="A102" i="14"/>
  <c r="A92" i="14"/>
  <c r="M21" i="29"/>
  <c r="BZ37" i="3"/>
  <c r="BZ38" i="3" s="1"/>
  <c r="BZ39" i="3" s="1"/>
  <c r="BZ40" i="3" s="1"/>
  <c r="N64" i="34"/>
  <c r="N64" i="28"/>
  <c r="L64" i="36"/>
  <c r="M64" i="31"/>
  <c r="M64" i="29"/>
  <c r="M64" i="35"/>
  <c r="L64" i="30"/>
  <c r="BM34" i="3"/>
  <c r="BM35" i="3" s="1"/>
  <c r="BM36" i="3" s="1"/>
  <c r="BM37" i="3" s="1"/>
  <c r="BM38" i="3" s="1"/>
  <c r="BM39" i="3" s="1"/>
  <c r="BM40" i="3" s="1"/>
  <c r="M21" i="31"/>
  <c r="M31" i="29"/>
  <c r="M54" i="31"/>
  <c r="M31" i="35"/>
  <c r="L65" i="30"/>
  <c r="M54" i="35"/>
  <c r="L65" i="36"/>
  <c r="N21" i="34"/>
  <c r="N65" i="34"/>
  <c r="L54" i="30"/>
  <c r="L20" i="36"/>
  <c r="BG56" i="3"/>
  <c r="BS71" i="3" s="1"/>
  <c r="BL17" i="3"/>
  <c r="BL18" i="3" s="1"/>
  <c r="BL19" i="3" s="1"/>
  <c r="BL20" i="3" s="1"/>
  <c r="E11" i="31"/>
  <c r="E11" i="30"/>
  <c r="E11" i="35"/>
  <c r="E11" i="28"/>
  <c r="N54" i="34"/>
  <c r="M65" i="35"/>
  <c r="M31" i="31"/>
  <c r="N65" i="28"/>
  <c r="EM56" i="3"/>
  <c r="BG71" i="3" s="1"/>
  <c r="ER17" i="3"/>
  <c r="ER18" i="3" s="1"/>
  <c r="ER19" i="3" s="1"/>
  <c r="ER20" i="3" s="1"/>
  <c r="M65" i="31"/>
  <c r="BM14" i="3"/>
  <c r="BM15" i="3" s="1"/>
  <c r="BM16" i="3" s="1"/>
  <c r="BL37" i="3"/>
  <c r="BL38" i="3" s="1"/>
  <c r="BL39" i="3" s="1"/>
  <c r="BL40" i="3" s="1"/>
  <c r="BH56" i="3"/>
  <c r="BT71" i="3" s="1"/>
  <c r="DB14" i="3"/>
  <c r="DB15" i="3" s="1"/>
  <c r="DB16" i="3" s="1"/>
  <c r="CW56" i="3" s="1"/>
  <c r="L31" i="36"/>
  <c r="L31" i="30"/>
  <c r="N31" i="28"/>
  <c r="M65" i="29"/>
  <c r="N54" i="28"/>
  <c r="M20" i="29"/>
  <c r="L20" i="30"/>
  <c r="N21" i="28"/>
  <c r="L54" i="36"/>
  <c r="M20" i="31"/>
  <c r="N31" i="34"/>
  <c r="N20" i="34"/>
  <c r="N20" i="28"/>
  <c r="M20" i="35"/>
  <c r="M54" i="29"/>
  <c r="M21" i="35"/>
  <c r="M50" i="30"/>
  <c r="N50" i="35"/>
  <c r="M62" i="29"/>
  <c r="M51" i="30"/>
  <c r="DP34" i="3"/>
  <c r="DP35" i="3" s="1"/>
  <c r="DP36" i="3" s="1"/>
  <c r="EE23" i="3"/>
  <c r="EE3" i="3"/>
  <c r="EE9" i="3"/>
  <c r="EE11" i="3"/>
  <c r="EE5" i="3"/>
  <c r="EE7" i="3"/>
  <c r="EE28" i="3"/>
  <c r="EE29" i="3"/>
  <c r="EE10" i="3"/>
  <c r="EE24" i="3"/>
  <c r="EE25" i="3"/>
  <c r="EE31" i="3"/>
  <c r="EE12" i="3"/>
  <c r="EE6" i="3"/>
  <c r="EE27" i="3"/>
  <c r="EE8" i="3"/>
  <c r="EE30" i="3"/>
  <c r="EE4" i="3"/>
  <c r="EE26" i="3"/>
  <c r="EE13" i="3"/>
  <c r="EE32" i="3"/>
  <c r="EE33" i="3"/>
  <c r="DP14" i="3"/>
  <c r="DP15" i="3" s="1"/>
  <c r="DP16" i="3" s="1"/>
  <c r="DK56" i="3" s="1"/>
  <c r="BK71" i="3" s="1"/>
  <c r="N62" i="34"/>
  <c r="L62" i="30"/>
  <c r="ES14" i="3"/>
  <c r="ES15" i="3" s="1"/>
  <c r="ES16" i="3" s="1"/>
  <c r="M51" i="36"/>
  <c r="N51" i="31"/>
  <c r="CA14" i="3"/>
  <c r="CA15" i="3" s="1"/>
  <c r="CA16" i="3" s="1"/>
  <c r="O62" i="28"/>
  <c r="L62" i="36"/>
  <c r="CA34" i="3"/>
  <c r="O50" i="34"/>
  <c r="O64" i="28"/>
  <c r="DC3" i="3"/>
  <c r="DC23" i="3"/>
  <c r="DC29" i="3"/>
  <c r="DC30" i="3"/>
  <c r="DC9" i="3"/>
  <c r="DC28" i="3"/>
  <c r="DC11" i="3"/>
  <c r="DC7" i="3"/>
  <c r="DC26" i="3"/>
  <c r="DC5" i="3"/>
  <c r="DC24" i="3"/>
  <c r="DC12" i="3"/>
  <c r="DC8" i="3"/>
  <c r="DC10" i="3"/>
  <c r="DC31" i="3"/>
  <c r="DC4" i="3"/>
  <c r="DC6" i="3"/>
  <c r="DC25" i="3"/>
  <c r="DC27" i="3"/>
  <c r="DC13" i="3"/>
  <c r="DC32" i="3"/>
  <c r="DC33" i="3"/>
  <c r="N62" i="28"/>
  <c r="M62" i="31"/>
  <c r="N50" i="29"/>
  <c r="ES34" i="3"/>
  <c r="ES35" i="3" s="1"/>
  <c r="ES36" i="3" s="1"/>
  <c r="O51" i="34"/>
  <c r="N51" i="35"/>
  <c r="N50" i="31"/>
  <c r="O63" i="28"/>
  <c r="M62" i="35"/>
  <c r="CO14" i="3"/>
  <c r="CO15" i="3" s="1"/>
  <c r="CO16" i="3" s="1"/>
  <c r="N51" i="29"/>
  <c r="ED34" i="3"/>
  <c r="ED35" i="3" s="1"/>
  <c r="ED36" i="3" s="1"/>
  <c r="ED37" i="3" s="1"/>
  <c r="ED38" i="3" s="1"/>
  <c r="ED39" i="3" s="1"/>
  <c r="ED40" i="3" s="1"/>
  <c r="DQ27" i="3"/>
  <c r="DQ3" i="3"/>
  <c r="DQ23" i="3"/>
  <c r="DQ31" i="3"/>
  <c r="DQ8" i="3"/>
  <c r="DQ29" i="3"/>
  <c r="DQ4" i="3"/>
  <c r="DQ9" i="3"/>
  <c r="DQ25" i="3"/>
  <c r="DQ5" i="3"/>
  <c r="DQ11" i="3"/>
  <c r="DQ10" i="3"/>
  <c r="DQ6" i="3"/>
  <c r="DQ7" i="3"/>
  <c r="DQ26" i="3"/>
  <c r="DQ28" i="3"/>
  <c r="DQ30" i="3"/>
  <c r="DQ24" i="3"/>
  <c r="DQ12" i="3"/>
  <c r="DQ13" i="3"/>
  <c r="DQ32" i="3"/>
  <c r="DQ33" i="3"/>
  <c r="CO34" i="3"/>
  <c r="CO35" i="3" s="1"/>
  <c r="CO36" i="3" s="1"/>
  <c r="CJ57" i="3" s="1"/>
  <c r="M50" i="36"/>
  <c r="ER37" i="3"/>
  <c r="ER38" i="3" s="1"/>
  <c r="ER39" i="3" s="1"/>
  <c r="ER40" i="3" s="1"/>
  <c r="EN56" i="3"/>
  <c r="BH71" i="3" s="1"/>
  <c r="DB34" i="3"/>
  <c r="DB35" i="3" s="1"/>
  <c r="DB36" i="3" s="1"/>
  <c r="CX56" i="3" s="1"/>
  <c r="ED14" i="3"/>
  <c r="ED15" i="3" s="1"/>
  <c r="ED16" i="3" s="1"/>
  <c r="BU13" i="14"/>
  <c r="BG14" i="14"/>
  <c r="BU14" i="14" s="1"/>
  <c r="BZ17" i="3"/>
  <c r="BZ18" i="3" s="1"/>
  <c r="BZ19" i="3" s="1"/>
  <c r="BZ20" i="3" s="1"/>
  <c r="BU56" i="3"/>
  <c r="M53" i="36"/>
  <c r="M42" i="36"/>
  <c r="M43" i="36"/>
  <c r="L99" i="36"/>
  <c r="M64" i="36"/>
  <c r="M20" i="36"/>
  <c r="N30" i="35"/>
  <c r="N52" i="35"/>
  <c r="N31" i="35"/>
  <c r="N41" i="35"/>
  <c r="M87" i="35"/>
  <c r="M111" i="35"/>
  <c r="N111" i="34"/>
  <c r="N87" i="34"/>
  <c r="O53" i="34"/>
  <c r="O64" i="34"/>
  <c r="O42" i="34"/>
  <c r="O31" i="34"/>
  <c r="O20" i="34"/>
  <c r="N41" i="31"/>
  <c r="M111" i="31"/>
  <c r="M87" i="31"/>
  <c r="N52" i="31"/>
  <c r="N31" i="31"/>
  <c r="N30" i="31"/>
  <c r="M52" i="30"/>
  <c r="M19" i="30"/>
  <c r="M30" i="30"/>
  <c r="M41" i="30"/>
  <c r="L87" i="30"/>
  <c r="L111" i="30"/>
  <c r="N30" i="29"/>
  <c r="M111" i="29"/>
  <c r="M87" i="29"/>
  <c r="N41" i="29"/>
  <c r="N52" i="29"/>
  <c r="N19" i="29"/>
  <c r="O66" i="28"/>
  <c r="O65" i="28"/>
  <c r="O32" i="28"/>
  <c r="N111" i="28"/>
  <c r="N87" i="28"/>
  <c r="O21" i="28"/>
  <c r="O43" i="28"/>
  <c r="F10" i="31"/>
  <c r="F10" i="35"/>
  <c r="F10" i="29"/>
  <c r="F10" i="30"/>
  <c r="BU12" i="14"/>
  <c r="EC37" i="3"/>
  <c r="EC38" i="3" s="1"/>
  <c r="EC39" i="3" s="1"/>
  <c r="EC40" i="3" s="1"/>
  <c r="DZ55" i="3"/>
  <c r="BJ70" i="3" s="1"/>
  <c r="DK55" i="3"/>
  <c r="BK70" i="3" s="1"/>
  <c r="DO17" i="3"/>
  <c r="DO18" i="3" s="1"/>
  <c r="DO19" i="3" s="1"/>
  <c r="DO20" i="3" s="1"/>
  <c r="DO37" i="3"/>
  <c r="DO38" i="3" s="1"/>
  <c r="DO39" i="3" s="1"/>
  <c r="DO40" i="3" s="1"/>
  <c r="DL55" i="3"/>
  <c r="CX55" i="3"/>
  <c r="DA37" i="3"/>
  <c r="DA38" i="3" s="1"/>
  <c r="DA39" i="3" s="1"/>
  <c r="DA40" i="3" s="1"/>
  <c r="CW55" i="3"/>
  <c r="DA17" i="3"/>
  <c r="DA18" i="3" s="1"/>
  <c r="DA19" i="3" s="1"/>
  <c r="DA20" i="3" s="1"/>
  <c r="CI56" i="3"/>
  <c r="BO71" i="3" s="1"/>
  <c r="CN17" i="3"/>
  <c r="CN18" i="3" s="1"/>
  <c r="CN19" i="3" s="1"/>
  <c r="CN20" i="3" s="1"/>
  <c r="CJ56" i="3"/>
  <c r="CN37" i="3"/>
  <c r="CN38" i="3" s="1"/>
  <c r="CN39" i="3" s="1"/>
  <c r="CN40" i="3" s="1"/>
  <c r="CA35" i="3"/>
  <c r="CA36" i="3" s="1"/>
  <c r="BV57" i="3" s="1"/>
  <c r="BR72" i="3" s="1"/>
  <c r="N15" i="14"/>
  <c r="B13" i="14"/>
  <c r="B14" i="14" s="1"/>
  <c r="E22" i="36" l="1"/>
  <c r="E34" i="36" s="1"/>
  <c r="E46" i="36" s="1"/>
  <c r="E58" i="36" s="1"/>
  <c r="E70" i="36" s="1"/>
  <c r="E82" i="36" s="1"/>
  <c r="E94" i="36" s="1"/>
  <c r="E106" i="36" s="1"/>
  <c r="E118" i="36" s="1"/>
  <c r="E130" i="36" s="1"/>
  <c r="E142" i="36" s="1"/>
  <c r="E154" i="36" s="1"/>
  <c r="E166" i="36" s="1"/>
  <c r="E178" i="36" s="1"/>
  <c r="E190" i="36" s="1"/>
  <c r="E202" i="36" s="1"/>
  <c r="L10" i="36"/>
  <c r="F22" i="36"/>
  <c r="F34" i="36" s="1"/>
  <c r="F46" i="36" s="1"/>
  <c r="F58" i="36" s="1"/>
  <c r="F70" i="36" s="1"/>
  <c r="F82" i="36" s="1"/>
  <c r="F94" i="36" s="1"/>
  <c r="F106" i="36" s="1"/>
  <c r="F118" i="36" s="1"/>
  <c r="F130" i="36" s="1"/>
  <c r="F142" i="36" s="1"/>
  <c r="F154" i="36" s="1"/>
  <c r="F166" i="36" s="1"/>
  <c r="F178" i="36" s="1"/>
  <c r="F190" i="36" s="1"/>
  <c r="F202" i="36" s="1"/>
  <c r="E23" i="35"/>
  <c r="E35" i="35" s="1"/>
  <c r="E47" i="35" s="1"/>
  <c r="E59" i="35" s="1"/>
  <c r="E71" i="35" s="1"/>
  <c r="E83" i="35" s="1"/>
  <c r="E95" i="35" s="1"/>
  <c r="E107" i="35" s="1"/>
  <c r="E119" i="35" s="1"/>
  <c r="E131" i="35" s="1"/>
  <c r="E143" i="35" s="1"/>
  <c r="E155" i="35" s="1"/>
  <c r="E167" i="35" s="1"/>
  <c r="E179" i="35" s="1"/>
  <c r="E191" i="35" s="1"/>
  <c r="E203" i="35" s="1"/>
  <c r="M11" i="35"/>
  <c r="F22" i="35"/>
  <c r="F34" i="35" s="1"/>
  <c r="F46" i="35" s="1"/>
  <c r="F58" i="35" s="1"/>
  <c r="F70" i="35" s="1"/>
  <c r="F82" i="35" s="1"/>
  <c r="F94" i="35" s="1"/>
  <c r="F106" i="35" s="1"/>
  <c r="F118" i="35" s="1"/>
  <c r="F130" i="35" s="1"/>
  <c r="F142" i="35" s="1"/>
  <c r="F154" i="35" s="1"/>
  <c r="F166" i="35" s="1"/>
  <c r="F178" i="35" s="1"/>
  <c r="F190" i="35" s="1"/>
  <c r="F202" i="35" s="1"/>
  <c r="N10" i="35"/>
  <c r="E23" i="34"/>
  <c r="E35" i="34" s="1"/>
  <c r="E47" i="34" s="1"/>
  <c r="E59" i="34" s="1"/>
  <c r="E71" i="34" s="1"/>
  <c r="E83" i="34" s="1"/>
  <c r="E95" i="34" s="1"/>
  <c r="E107" i="34" s="1"/>
  <c r="E119" i="34" s="1"/>
  <c r="E131" i="34" s="1"/>
  <c r="E143" i="34" s="1"/>
  <c r="E155" i="34" s="1"/>
  <c r="E167" i="34" s="1"/>
  <c r="E179" i="34" s="1"/>
  <c r="E191" i="34" s="1"/>
  <c r="E203" i="34" s="1"/>
  <c r="N11" i="34"/>
  <c r="F22" i="34"/>
  <c r="F34" i="34" s="1"/>
  <c r="F46" i="34" s="1"/>
  <c r="F58" i="34" s="1"/>
  <c r="F70" i="34" s="1"/>
  <c r="F82" i="34" s="1"/>
  <c r="F94" i="34" s="1"/>
  <c r="F106" i="34" s="1"/>
  <c r="F118" i="34" s="1"/>
  <c r="F130" i="34" s="1"/>
  <c r="F142" i="34" s="1"/>
  <c r="F154" i="34" s="1"/>
  <c r="F166" i="34" s="1"/>
  <c r="F178" i="34" s="1"/>
  <c r="F190" i="34" s="1"/>
  <c r="F202" i="34" s="1"/>
  <c r="E23" i="31"/>
  <c r="E35" i="31" s="1"/>
  <c r="E47" i="31" s="1"/>
  <c r="E59" i="31" s="1"/>
  <c r="E71" i="31" s="1"/>
  <c r="E83" i="31" s="1"/>
  <c r="E95" i="31" s="1"/>
  <c r="E107" i="31" s="1"/>
  <c r="E119" i="31" s="1"/>
  <c r="E131" i="31" s="1"/>
  <c r="E143" i="31" s="1"/>
  <c r="E155" i="31" s="1"/>
  <c r="E167" i="31" s="1"/>
  <c r="E179" i="31" s="1"/>
  <c r="E191" i="31" s="1"/>
  <c r="E203" i="31" s="1"/>
  <c r="M11" i="31"/>
  <c r="F22" i="31"/>
  <c r="F34" i="31" s="1"/>
  <c r="F46" i="31" s="1"/>
  <c r="F58" i="31" s="1"/>
  <c r="F70" i="31" s="1"/>
  <c r="F82" i="31" s="1"/>
  <c r="F94" i="31" s="1"/>
  <c r="F106" i="31" s="1"/>
  <c r="F118" i="31" s="1"/>
  <c r="F130" i="31" s="1"/>
  <c r="F142" i="31" s="1"/>
  <c r="F154" i="31" s="1"/>
  <c r="F166" i="31" s="1"/>
  <c r="F178" i="31" s="1"/>
  <c r="F190" i="31" s="1"/>
  <c r="F202" i="31" s="1"/>
  <c r="N10" i="31"/>
  <c r="E23" i="30"/>
  <c r="E35" i="30" s="1"/>
  <c r="E47" i="30" s="1"/>
  <c r="E59" i="30" s="1"/>
  <c r="E71" i="30" s="1"/>
  <c r="E83" i="30" s="1"/>
  <c r="E95" i="30" s="1"/>
  <c r="E107" i="30" s="1"/>
  <c r="E119" i="30" s="1"/>
  <c r="E131" i="30" s="1"/>
  <c r="E143" i="30" s="1"/>
  <c r="E155" i="30" s="1"/>
  <c r="E167" i="30" s="1"/>
  <c r="E179" i="30" s="1"/>
  <c r="E191" i="30" s="1"/>
  <c r="E203" i="30" s="1"/>
  <c r="L11" i="30"/>
  <c r="F22" i="30"/>
  <c r="F34" i="30" s="1"/>
  <c r="F46" i="30" s="1"/>
  <c r="F58" i="30" s="1"/>
  <c r="F70" i="30" s="1"/>
  <c r="F82" i="30" s="1"/>
  <c r="F94" i="30" s="1"/>
  <c r="F106" i="30" s="1"/>
  <c r="F118" i="30" s="1"/>
  <c r="F130" i="30" s="1"/>
  <c r="F142" i="30" s="1"/>
  <c r="F154" i="30" s="1"/>
  <c r="F166" i="30" s="1"/>
  <c r="F178" i="30" s="1"/>
  <c r="F190" i="30" s="1"/>
  <c r="F202" i="30" s="1"/>
  <c r="M10" i="30"/>
  <c r="E23" i="29"/>
  <c r="E35" i="29" s="1"/>
  <c r="E47" i="29" s="1"/>
  <c r="E59" i="29" s="1"/>
  <c r="E71" i="29" s="1"/>
  <c r="E83" i="29" s="1"/>
  <c r="E95" i="29" s="1"/>
  <c r="E107" i="29" s="1"/>
  <c r="E119" i="29" s="1"/>
  <c r="E131" i="29" s="1"/>
  <c r="E143" i="29" s="1"/>
  <c r="E155" i="29" s="1"/>
  <c r="E167" i="29" s="1"/>
  <c r="E179" i="29" s="1"/>
  <c r="E191" i="29" s="1"/>
  <c r="E203" i="29" s="1"/>
  <c r="M11" i="29"/>
  <c r="F22" i="29"/>
  <c r="F34" i="29" s="1"/>
  <c r="F46" i="29" s="1"/>
  <c r="F58" i="29" s="1"/>
  <c r="F70" i="29" s="1"/>
  <c r="F82" i="29" s="1"/>
  <c r="F94" i="29" s="1"/>
  <c r="F106" i="29" s="1"/>
  <c r="F118" i="29" s="1"/>
  <c r="F130" i="29" s="1"/>
  <c r="F142" i="29" s="1"/>
  <c r="F154" i="29" s="1"/>
  <c r="F166" i="29" s="1"/>
  <c r="F178" i="29" s="1"/>
  <c r="F190" i="29" s="1"/>
  <c r="F202" i="29" s="1"/>
  <c r="N10" i="29"/>
  <c r="E23" i="28"/>
  <c r="E35" i="28" s="1"/>
  <c r="E47" i="28" s="1"/>
  <c r="E59" i="28" s="1"/>
  <c r="E71" i="28" s="1"/>
  <c r="E83" i="28" s="1"/>
  <c r="E95" i="28" s="1"/>
  <c r="E107" i="28" s="1"/>
  <c r="E119" i="28" s="1"/>
  <c r="E131" i="28" s="1"/>
  <c r="E143" i="28" s="1"/>
  <c r="E155" i="28" s="1"/>
  <c r="E167" i="28" s="1"/>
  <c r="E179" i="28" s="1"/>
  <c r="E191" i="28" s="1"/>
  <c r="E203" i="28" s="1"/>
  <c r="N11" i="28"/>
  <c r="F23" i="28"/>
  <c r="F35" i="28" s="1"/>
  <c r="F47" i="28" s="1"/>
  <c r="F59" i="28" s="1"/>
  <c r="F71" i="28" s="1"/>
  <c r="F83" i="28" s="1"/>
  <c r="F95" i="28" s="1"/>
  <c r="F107" i="28" s="1"/>
  <c r="F119" i="28" s="1"/>
  <c r="F131" i="28" s="1"/>
  <c r="F143" i="28" s="1"/>
  <c r="F155" i="28" s="1"/>
  <c r="F167" i="28" s="1"/>
  <c r="F179" i="28" s="1"/>
  <c r="F191" i="28" s="1"/>
  <c r="F203" i="28" s="1"/>
  <c r="Q42" i="36"/>
  <c r="L21" i="36"/>
  <c r="F13" i="28"/>
  <c r="O13" i="28" s="1"/>
  <c r="BP72" i="3"/>
  <c r="E12" i="36"/>
  <c r="BM71" i="3"/>
  <c r="E12" i="34"/>
  <c r="BQ71" i="3"/>
  <c r="F12" i="28"/>
  <c r="BP71" i="3"/>
  <c r="F11" i="36"/>
  <c r="M11" i="36" s="1"/>
  <c r="BL70" i="3"/>
  <c r="E11" i="36"/>
  <c r="L11" i="36" s="1"/>
  <c r="BM70" i="3"/>
  <c r="F11" i="34"/>
  <c r="O11" i="34" s="1"/>
  <c r="BN70" i="3"/>
  <c r="F12" i="34"/>
  <c r="BN71" i="3"/>
  <c r="R13" i="11"/>
  <c r="E12" i="29"/>
  <c r="BD54" i="14"/>
  <c r="AC52" i="14"/>
  <c r="A104" i="14"/>
  <c r="A114" i="14"/>
  <c r="A127" i="14"/>
  <c r="A105" i="14"/>
  <c r="A94" i="14"/>
  <c r="A125" i="14"/>
  <c r="W55" i="14"/>
  <c r="N25" i="14"/>
  <c r="M33" i="29"/>
  <c r="L21" i="30"/>
  <c r="DB17" i="3"/>
  <c r="DB18" i="3" s="1"/>
  <c r="DB19" i="3" s="1"/>
  <c r="DB20" i="3" s="1"/>
  <c r="DP17" i="3"/>
  <c r="DP18" i="3" s="1"/>
  <c r="DP19" i="3" s="1"/>
  <c r="DP20" i="3" s="1"/>
  <c r="CO37" i="3"/>
  <c r="CO38" i="3" s="1"/>
  <c r="CO39" i="3" s="1"/>
  <c r="CO40" i="3" s="1"/>
  <c r="AF15" i="14"/>
  <c r="AF25" i="14" s="1"/>
  <c r="DB37" i="3"/>
  <c r="DB38" i="3" s="1"/>
  <c r="DB39" i="3" s="1"/>
  <c r="DB40" i="3" s="1"/>
  <c r="L76" i="30"/>
  <c r="M76" i="35"/>
  <c r="BH57" i="3"/>
  <c r="BT72" i="3" s="1"/>
  <c r="M76" i="29"/>
  <c r="M76" i="31"/>
  <c r="L76" i="36"/>
  <c r="N76" i="28"/>
  <c r="N76" i="34"/>
  <c r="DZ56" i="3"/>
  <c r="BJ71" i="3" s="1"/>
  <c r="M66" i="35"/>
  <c r="M66" i="29"/>
  <c r="E12" i="35"/>
  <c r="E12" i="30"/>
  <c r="E12" i="31"/>
  <c r="E12" i="28"/>
  <c r="L66" i="36"/>
  <c r="N43" i="28"/>
  <c r="M43" i="31"/>
  <c r="N33" i="28"/>
  <c r="L43" i="30"/>
  <c r="L33" i="30"/>
  <c r="L77" i="30"/>
  <c r="M32" i="35"/>
  <c r="M77" i="35"/>
  <c r="N32" i="28"/>
  <c r="L32" i="30"/>
  <c r="L32" i="36"/>
  <c r="M43" i="35"/>
  <c r="L43" i="36"/>
  <c r="Q43" i="36" s="1"/>
  <c r="L66" i="30"/>
  <c r="M66" i="31"/>
  <c r="N66" i="34"/>
  <c r="M43" i="29"/>
  <c r="N77" i="34"/>
  <c r="N32" i="34"/>
  <c r="M32" i="29"/>
  <c r="BG57" i="3"/>
  <c r="BS72" i="3" s="1"/>
  <c r="BM17" i="3"/>
  <c r="BM18" i="3" s="1"/>
  <c r="BM19" i="3" s="1"/>
  <c r="BM20" i="3" s="1"/>
  <c r="DQ34" i="3"/>
  <c r="DQ35" i="3" s="1"/>
  <c r="DQ36" i="3" s="1"/>
  <c r="M77" i="31"/>
  <c r="N33" i="34"/>
  <c r="M33" i="35"/>
  <c r="N43" i="34"/>
  <c r="M33" i="31"/>
  <c r="L77" i="36"/>
  <c r="N66" i="28"/>
  <c r="L33" i="36"/>
  <c r="M32" i="31"/>
  <c r="M77" i="29"/>
  <c r="N77" i="28"/>
  <c r="O75" i="28"/>
  <c r="O76" i="28"/>
  <c r="M74" i="31"/>
  <c r="O62" i="34"/>
  <c r="L74" i="30"/>
  <c r="L74" i="36"/>
  <c r="M63" i="30"/>
  <c r="N62" i="31"/>
  <c r="N74" i="28"/>
  <c r="N74" i="34"/>
  <c r="EE34" i="3"/>
  <c r="EE35" i="3" s="1"/>
  <c r="EE36" i="3" s="1"/>
  <c r="N63" i="29"/>
  <c r="N63" i="35"/>
  <c r="M74" i="29"/>
  <c r="DC34" i="3"/>
  <c r="DC35" i="3" s="1"/>
  <c r="DC36" i="3" s="1"/>
  <c r="O63" i="34"/>
  <c r="O74" i="28"/>
  <c r="N62" i="35"/>
  <c r="M62" i="36"/>
  <c r="DC14" i="3"/>
  <c r="DC15" i="3" s="1"/>
  <c r="DC16" i="3" s="1"/>
  <c r="EN57" i="3"/>
  <c r="BH72" i="3" s="1"/>
  <c r="ES37" i="3"/>
  <c r="ES38" i="3" s="1"/>
  <c r="ES39" i="3" s="1"/>
  <c r="ES40" i="3" s="1"/>
  <c r="N63" i="31"/>
  <c r="DQ14" i="3"/>
  <c r="DQ15" i="3" s="1"/>
  <c r="DQ16" i="3" s="1"/>
  <c r="M74" i="35"/>
  <c r="M62" i="30"/>
  <c r="M63" i="36"/>
  <c r="Q63" i="36" s="1"/>
  <c r="EE14" i="3"/>
  <c r="EE15" i="3" s="1"/>
  <c r="EE16" i="3" s="1"/>
  <c r="N62" i="29"/>
  <c r="EM57" i="3"/>
  <c r="BG72" i="3" s="1"/>
  <c r="ES17" i="3"/>
  <c r="ES18" i="3" s="1"/>
  <c r="ES19" i="3" s="1"/>
  <c r="ES20" i="3" s="1"/>
  <c r="CA17" i="3"/>
  <c r="CA18" i="3" s="1"/>
  <c r="CA19" i="3" s="1"/>
  <c r="CA20" i="3" s="1"/>
  <c r="BU57" i="3"/>
  <c r="M32" i="36"/>
  <c r="M21" i="36"/>
  <c r="M54" i="36"/>
  <c r="M55" i="36"/>
  <c r="M65" i="36"/>
  <c r="M76" i="36"/>
  <c r="N53" i="35"/>
  <c r="N42" i="35"/>
  <c r="N64" i="35"/>
  <c r="M99" i="35"/>
  <c r="N43" i="35"/>
  <c r="N20" i="35"/>
  <c r="O65" i="34"/>
  <c r="N99" i="34"/>
  <c r="O76" i="34"/>
  <c r="O21" i="34"/>
  <c r="O43" i="34"/>
  <c r="O32" i="34"/>
  <c r="O54" i="34"/>
  <c r="N43" i="31"/>
  <c r="N64" i="31"/>
  <c r="N20" i="31"/>
  <c r="M99" i="31"/>
  <c r="N42" i="31"/>
  <c r="N53" i="31"/>
  <c r="M53" i="30"/>
  <c r="L99" i="30"/>
  <c r="M42" i="30"/>
  <c r="M31" i="30"/>
  <c r="M20" i="30"/>
  <c r="M64" i="30"/>
  <c r="N20" i="29"/>
  <c r="N42" i="29"/>
  <c r="N64" i="29"/>
  <c r="M99" i="29"/>
  <c r="N53" i="29"/>
  <c r="N31" i="29"/>
  <c r="N99" i="28"/>
  <c r="O22" i="28"/>
  <c r="O77" i="28"/>
  <c r="O55" i="28"/>
  <c r="O44" i="28"/>
  <c r="O33" i="28"/>
  <c r="O78" i="28"/>
  <c r="F11" i="31"/>
  <c r="F11" i="35"/>
  <c r="F12" i="29"/>
  <c r="F12" i="30"/>
  <c r="F11" i="29"/>
  <c r="F11" i="30"/>
  <c r="DY56" i="3"/>
  <c r="BI71" i="3" s="1"/>
  <c r="ED17" i="3"/>
  <c r="ED18" i="3" s="1"/>
  <c r="ED19" i="3" s="1"/>
  <c r="ED20" i="3" s="1"/>
  <c r="DP37" i="3"/>
  <c r="DP38" i="3" s="1"/>
  <c r="DP39" i="3" s="1"/>
  <c r="DP40" i="3" s="1"/>
  <c r="DL56" i="3"/>
  <c r="CI57" i="3"/>
  <c r="BO72" i="3" s="1"/>
  <c r="CO17" i="3"/>
  <c r="CO18" i="3" s="1"/>
  <c r="CO19" i="3" s="1"/>
  <c r="CO20" i="3" s="1"/>
  <c r="CA37" i="3"/>
  <c r="CA38" i="3" s="1"/>
  <c r="CA39" i="3" s="1"/>
  <c r="CA40" i="3" s="1"/>
  <c r="N16" i="14"/>
  <c r="N17" i="14" s="1"/>
  <c r="AF16" i="14"/>
  <c r="AF17" i="14" s="1"/>
  <c r="E24" i="36" l="1"/>
  <c r="E36" i="36" s="1"/>
  <c r="E48" i="36" s="1"/>
  <c r="E60" i="36" s="1"/>
  <c r="E72" i="36" s="1"/>
  <c r="E84" i="36" s="1"/>
  <c r="E96" i="36" s="1"/>
  <c r="E108" i="36" s="1"/>
  <c r="E120" i="36" s="1"/>
  <c r="E132" i="36" s="1"/>
  <c r="E144" i="36" s="1"/>
  <c r="E156" i="36" s="1"/>
  <c r="E168" i="36" s="1"/>
  <c r="E180" i="36" s="1"/>
  <c r="E192" i="36" s="1"/>
  <c r="E204" i="36" s="1"/>
  <c r="L12" i="36"/>
  <c r="E23" i="36"/>
  <c r="E35" i="36" s="1"/>
  <c r="E47" i="36" s="1"/>
  <c r="E59" i="36" s="1"/>
  <c r="E71" i="36" s="1"/>
  <c r="E83" i="36" s="1"/>
  <c r="E95" i="36" s="1"/>
  <c r="E107" i="36" s="1"/>
  <c r="E119" i="36" s="1"/>
  <c r="E131" i="36" s="1"/>
  <c r="E143" i="36" s="1"/>
  <c r="E155" i="36" s="1"/>
  <c r="E167" i="36" s="1"/>
  <c r="E179" i="36" s="1"/>
  <c r="E191" i="36" s="1"/>
  <c r="E203" i="36" s="1"/>
  <c r="F23" i="36"/>
  <c r="F35" i="36" s="1"/>
  <c r="F47" i="36" s="1"/>
  <c r="F59" i="36" s="1"/>
  <c r="F71" i="36" s="1"/>
  <c r="F83" i="36" s="1"/>
  <c r="F95" i="36" s="1"/>
  <c r="F107" i="36" s="1"/>
  <c r="F119" i="36" s="1"/>
  <c r="F131" i="36" s="1"/>
  <c r="F143" i="36" s="1"/>
  <c r="F155" i="36" s="1"/>
  <c r="F167" i="36" s="1"/>
  <c r="F179" i="36" s="1"/>
  <c r="F191" i="36" s="1"/>
  <c r="F203" i="36" s="1"/>
  <c r="E24" i="35"/>
  <c r="E36" i="35" s="1"/>
  <c r="E48" i="35" s="1"/>
  <c r="E60" i="35" s="1"/>
  <c r="E72" i="35" s="1"/>
  <c r="E84" i="35" s="1"/>
  <c r="E96" i="35" s="1"/>
  <c r="E108" i="35" s="1"/>
  <c r="E120" i="35" s="1"/>
  <c r="E132" i="35" s="1"/>
  <c r="E144" i="35" s="1"/>
  <c r="E156" i="35" s="1"/>
  <c r="E168" i="35" s="1"/>
  <c r="E180" i="35" s="1"/>
  <c r="E192" i="35" s="1"/>
  <c r="E204" i="35" s="1"/>
  <c r="M12" i="35"/>
  <c r="F23" i="35"/>
  <c r="F35" i="35" s="1"/>
  <c r="F47" i="35" s="1"/>
  <c r="F59" i="35" s="1"/>
  <c r="F71" i="35" s="1"/>
  <c r="F83" i="35" s="1"/>
  <c r="F95" i="35" s="1"/>
  <c r="F107" i="35" s="1"/>
  <c r="F119" i="35" s="1"/>
  <c r="F131" i="35" s="1"/>
  <c r="F143" i="35" s="1"/>
  <c r="F155" i="35" s="1"/>
  <c r="F167" i="35" s="1"/>
  <c r="F179" i="35" s="1"/>
  <c r="F191" i="35" s="1"/>
  <c r="F203" i="35" s="1"/>
  <c r="N11" i="35"/>
  <c r="E24" i="34"/>
  <c r="E36" i="34" s="1"/>
  <c r="E48" i="34" s="1"/>
  <c r="E60" i="34" s="1"/>
  <c r="E72" i="34" s="1"/>
  <c r="E84" i="34" s="1"/>
  <c r="E96" i="34" s="1"/>
  <c r="E108" i="34" s="1"/>
  <c r="E120" i="34" s="1"/>
  <c r="E132" i="34" s="1"/>
  <c r="E144" i="34" s="1"/>
  <c r="E156" i="34" s="1"/>
  <c r="E168" i="34" s="1"/>
  <c r="E180" i="34" s="1"/>
  <c r="E192" i="34" s="1"/>
  <c r="E204" i="34" s="1"/>
  <c r="N12" i="34"/>
  <c r="F24" i="34"/>
  <c r="F36" i="34" s="1"/>
  <c r="F48" i="34" s="1"/>
  <c r="F60" i="34" s="1"/>
  <c r="F72" i="34" s="1"/>
  <c r="F84" i="34" s="1"/>
  <c r="F96" i="34" s="1"/>
  <c r="F108" i="34" s="1"/>
  <c r="F120" i="34" s="1"/>
  <c r="F132" i="34" s="1"/>
  <c r="F144" i="34" s="1"/>
  <c r="F156" i="34" s="1"/>
  <c r="F168" i="34" s="1"/>
  <c r="F180" i="34" s="1"/>
  <c r="F192" i="34" s="1"/>
  <c r="F204" i="34" s="1"/>
  <c r="O12" i="34"/>
  <c r="F23" i="34"/>
  <c r="F35" i="34" s="1"/>
  <c r="F47" i="34" s="1"/>
  <c r="F59" i="34" s="1"/>
  <c r="F71" i="34" s="1"/>
  <c r="F83" i="34" s="1"/>
  <c r="F95" i="34" s="1"/>
  <c r="F107" i="34" s="1"/>
  <c r="F119" i="34" s="1"/>
  <c r="F131" i="34" s="1"/>
  <c r="F143" i="34" s="1"/>
  <c r="F155" i="34" s="1"/>
  <c r="F167" i="34" s="1"/>
  <c r="F179" i="34" s="1"/>
  <c r="F191" i="34" s="1"/>
  <c r="F203" i="34" s="1"/>
  <c r="E24" i="31"/>
  <c r="E36" i="31" s="1"/>
  <c r="E48" i="31" s="1"/>
  <c r="E60" i="31" s="1"/>
  <c r="E72" i="31" s="1"/>
  <c r="E84" i="31" s="1"/>
  <c r="E96" i="31" s="1"/>
  <c r="E108" i="31" s="1"/>
  <c r="E120" i="31" s="1"/>
  <c r="E132" i="31" s="1"/>
  <c r="E144" i="31" s="1"/>
  <c r="E156" i="31" s="1"/>
  <c r="E168" i="31" s="1"/>
  <c r="E180" i="31" s="1"/>
  <c r="E192" i="31" s="1"/>
  <c r="E204" i="31" s="1"/>
  <c r="M12" i="31"/>
  <c r="F23" i="31"/>
  <c r="F35" i="31" s="1"/>
  <c r="F47" i="31" s="1"/>
  <c r="F59" i="31" s="1"/>
  <c r="F71" i="31" s="1"/>
  <c r="F83" i="31" s="1"/>
  <c r="F95" i="31" s="1"/>
  <c r="F107" i="31" s="1"/>
  <c r="F119" i="31" s="1"/>
  <c r="F131" i="31" s="1"/>
  <c r="F143" i="31" s="1"/>
  <c r="F155" i="31" s="1"/>
  <c r="F167" i="31" s="1"/>
  <c r="F179" i="31" s="1"/>
  <c r="F191" i="31" s="1"/>
  <c r="F203" i="31" s="1"/>
  <c r="N11" i="31"/>
  <c r="F23" i="30"/>
  <c r="F35" i="30" s="1"/>
  <c r="F47" i="30" s="1"/>
  <c r="F59" i="30" s="1"/>
  <c r="F71" i="30" s="1"/>
  <c r="F83" i="30" s="1"/>
  <c r="F95" i="30" s="1"/>
  <c r="F107" i="30" s="1"/>
  <c r="F119" i="30" s="1"/>
  <c r="F131" i="30" s="1"/>
  <c r="F143" i="30" s="1"/>
  <c r="F155" i="30" s="1"/>
  <c r="F167" i="30" s="1"/>
  <c r="F179" i="30" s="1"/>
  <c r="F191" i="30" s="1"/>
  <c r="F203" i="30" s="1"/>
  <c r="M11" i="30"/>
  <c r="F24" i="30"/>
  <c r="F36" i="30" s="1"/>
  <c r="F48" i="30" s="1"/>
  <c r="F60" i="30" s="1"/>
  <c r="F72" i="30" s="1"/>
  <c r="F84" i="30" s="1"/>
  <c r="F96" i="30" s="1"/>
  <c r="F108" i="30" s="1"/>
  <c r="F120" i="30" s="1"/>
  <c r="F132" i="30" s="1"/>
  <c r="F144" i="30" s="1"/>
  <c r="F156" i="30" s="1"/>
  <c r="F168" i="30" s="1"/>
  <c r="F180" i="30" s="1"/>
  <c r="F192" i="30" s="1"/>
  <c r="F204" i="30" s="1"/>
  <c r="M12" i="30"/>
  <c r="E24" i="30"/>
  <c r="E36" i="30" s="1"/>
  <c r="E48" i="30" s="1"/>
  <c r="E60" i="30" s="1"/>
  <c r="E72" i="30" s="1"/>
  <c r="E84" i="30" s="1"/>
  <c r="E96" i="30" s="1"/>
  <c r="E108" i="30" s="1"/>
  <c r="E120" i="30" s="1"/>
  <c r="E132" i="30" s="1"/>
  <c r="E144" i="30" s="1"/>
  <c r="E156" i="30" s="1"/>
  <c r="E168" i="30" s="1"/>
  <c r="E180" i="30" s="1"/>
  <c r="E192" i="30" s="1"/>
  <c r="E204" i="30" s="1"/>
  <c r="L12" i="30"/>
  <c r="E24" i="29"/>
  <c r="E36" i="29" s="1"/>
  <c r="E48" i="29" s="1"/>
  <c r="E60" i="29" s="1"/>
  <c r="E72" i="29" s="1"/>
  <c r="E84" i="29" s="1"/>
  <c r="E96" i="29" s="1"/>
  <c r="E108" i="29" s="1"/>
  <c r="E120" i="29" s="1"/>
  <c r="E132" i="29" s="1"/>
  <c r="E144" i="29" s="1"/>
  <c r="E156" i="29" s="1"/>
  <c r="E168" i="29" s="1"/>
  <c r="E180" i="29" s="1"/>
  <c r="E192" i="29" s="1"/>
  <c r="E204" i="29" s="1"/>
  <c r="M12" i="29"/>
  <c r="F23" i="29"/>
  <c r="F35" i="29" s="1"/>
  <c r="F47" i="29" s="1"/>
  <c r="F59" i="29" s="1"/>
  <c r="F71" i="29" s="1"/>
  <c r="F83" i="29" s="1"/>
  <c r="F95" i="29" s="1"/>
  <c r="F107" i="29" s="1"/>
  <c r="F119" i="29" s="1"/>
  <c r="F131" i="29" s="1"/>
  <c r="F143" i="29" s="1"/>
  <c r="F155" i="29" s="1"/>
  <c r="F167" i="29" s="1"/>
  <c r="F179" i="29" s="1"/>
  <c r="F191" i="29" s="1"/>
  <c r="F203" i="29" s="1"/>
  <c r="N11" i="29"/>
  <c r="F24" i="29"/>
  <c r="F36" i="29" s="1"/>
  <c r="F48" i="29" s="1"/>
  <c r="F60" i="29" s="1"/>
  <c r="F72" i="29" s="1"/>
  <c r="F84" i="29" s="1"/>
  <c r="F96" i="29" s="1"/>
  <c r="F108" i="29" s="1"/>
  <c r="F120" i="29" s="1"/>
  <c r="F132" i="29" s="1"/>
  <c r="F144" i="29" s="1"/>
  <c r="F156" i="29" s="1"/>
  <c r="F168" i="29" s="1"/>
  <c r="F180" i="29" s="1"/>
  <c r="F192" i="29" s="1"/>
  <c r="F204" i="29" s="1"/>
  <c r="N12" i="29"/>
  <c r="E24" i="28"/>
  <c r="E36" i="28" s="1"/>
  <c r="E48" i="28" s="1"/>
  <c r="E60" i="28" s="1"/>
  <c r="E72" i="28" s="1"/>
  <c r="E84" i="28" s="1"/>
  <c r="E96" i="28" s="1"/>
  <c r="E108" i="28" s="1"/>
  <c r="E120" i="28" s="1"/>
  <c r="E132" i="28" s="1"/>
  <c r="E144" i="28" s="1"/>
  <c r="E156" i="28" s="1"/>
  <c r="E168" i="28" s="1"/>
  <c r="E180" i="28" s="1"/>
  <c r="E192" i="28" s="1"/>
  <c r="E204" i="28" s="1"/>
  <c r="N12" i="28"/>
  <c r="F24" i="28"/>
  <c r="F36" i="28" s="1"/>
  <c r="F48" i="28" s="1"/>
  <c r="F60" i="28" s="1"/>
  <c r="F72" i="28" s="1"/>
  <c r="F84" i="28" s="1"/>
  <c r="F96" i="28" s="1"/>
  <c r="F108" i="28" s="1"/>
  <c r="F120" i="28" s="1"/>
  <c r="F132" i="28" s="1"/>
  <c r="F144" i="28" s="1"/>
  <c r="F156" i="28" s="1"/>
  <c r="F168" i="28" s="1"/>
  <c r="F180" i="28" s="1"/>
  <c r="F192" i="28" s="1"/>
  <c r="F204" i="28" s="1"/>
  <c r="O12" i="28"/>
  <c r="F25" i="28"/>
  <c r="F37" i="28" s="1"/>
  <c r="F49" i="28" s="1"/>
  <c r="F61" i="28" s="1"/>
  <c r="F73" i="28" s="1"/>
  <c r="F85" i="28" s="1"/>
  <c r="F97" i="28" s="1"/>
  <c r="F109" i="28" s="1"/>
  <c r="F121" i="28" s="1"/>
  <c r="F133" i="28" s="1"/>
  <c r="F145" i="28" s="1"/>
  <c r="F157" i="28" s="1"/>
  <c r="F169" i="28" s="1"/>
  <c r="F181" i="28" s="1"/>
  <c r="F193" i="28" s="1"/>
  <c r="F205" i="28" s="1"/>
  <c r="F12" i="36"/>
  <c r="M12" i="36" s="1"/>
  <c r="BL71" i="3"/>
  <c r="E13" i="34"/>
  <c r="BQ72" i="3"/>
  <c r="R14" i="11"/>
  <c r="E13" i="29"/>
  <c r="BD55" i="14"/>
  <c r="AC53" i="14"/>
  <c r="A106" i="14"/>
  <c r="A117" i="14"/>
  <c r="A126" i="14"/>
  <c r="W56" i="14"/>
  <c r="A116" i="14"/>
  <c r="M45" i="29"/>
  <c r="N88" i="34"/>
  <c r="N88" i="28"/>
  <c r="L88" i="36"/>
  <c r="M88" i="31"/>
  <c r="M88" i="29"/>
  <c r="M88" i="35"/>
  <c r="L88" i="30"/>
  <c r="N55" i="34"/>
  <c r="L78" i="36"/>
  <c r="E13" i="30"/>
  <c r="E13" i="31"/>
  <c r="E13" i="35"/>
  <c r="E13" i="28"/>
  <c r="M78" i="31"/>
  <c r="M89" i="35"/>
  <c r="N78" i="28"/>
  <c r="M45" i="35"/>
  <c r="M44" i="29"/>
  <c r="N22" i="28"/>
  <c r="M44" i="35"/>
  <c r="L89" i="36"/>
  <c r="N45" i="34"/>
  <c r="N44" i="34"/>
  <c r="L78" i="30"/>
  <c r="L89" i="30"/>
  <c r="N89" i="28"/>
  <c r="L55" i="36"/>
  <c r="M89" i="29"/>
  <c r="N89" i="34"/>
  <c r="L45" i="30"/>
  <c r="L22" i="30"/>
  <c r="M89" i="31"/>
  <c r="M55" i="35"/>
  <c r="N22" i="34"/>
  <c r="L55" i="30"/>
  <c r="M78" i="29"/>
  <c r="M44" i="31"/>
  <c r="L22" i="36"/>
  <c r="M55" i="29"/>
  <c r="N45" i="28"/>
  <c r="L44" i="36"/>
  <c r="M78" i="35"/>
  <c r="L45" i="36"/>
  <c r="M45" i="31"/>
  <c r="M22" i="31"/>
  <c r="L44" i="30"/>
  <c r="M55" i="31"/>
  <c r="N78" i="34"/>
  <c r="M22" i="29"/>
  <c r="M22" i="35"/>
  <c r="N44" i="28"/>
  <c r="N55" i="28"/>
  <c r="M75" i="36"/>
  <c r="N86" i="34"/>
  <c r="O74" i="34"/>
  <c r="M74" i="36"/>
  <c r="N74" i="35"/>
  <c r="M86" i="31"/>
  <c r="M74" i="30"/>
  <c r="M86" i="29"/>
  <c r="O86" i="28"/>
  <c r="N86" i="28"/>
  <c r="N75" i="35"/>
  <c r="N74" i="31"/>
  <c r="O88" i="28"/>
  <c r="M86" i="35"/>
  <c r="O75" i="34"/>
  <c r="O87" i="28"/>
  <c r="M75" i="30"/>
  <c r="N74" i="29"/>
  <c r="N75" i="31"/>
  <c r="N75" i="29"/>
  <c r="L86" i="36"/>
  <c r="L86" i="30"/>
  <c r="L123" i="36"/>
  <c r="M67" i="36"/>
  <c r="M66" i="36"/>
  <c r="M88" i="36"/>
  <c r="M112" i="36"/>
  <c r="M77" i="36"/>
  <c r="M33" i="36"/>
  <c r="M44" i="36"/>
  <c r="N55" i="35"/>
  <c r="N21" i="35"/>
  <c r="N54" i="35"/>
  <c r="N65" i="35"/>
  <c r="N76" i="35"/>
  <c r="N32" i="35"/>
  <c r="O33" i="34"/>
  <c r="O77" i="34"/>
  <c r="O66" i="34"/>
  <c r="O44" i="34"/>
  <c r="O112" i="34"/>
  <c r="O88" i="34"/>
  <c r="O55" i="34"/>
  <c r="N32" i="31"/>
  <c r="N21" i="31"/>
  <c r="N76" i="31"/>
  <c r="N55" i="31"/>
  <c r="N54" i="31"/>
  <c r="N65" i="31"/>
  <c r="M43" i="30"/>
  <c r="M76" i="30"/>
  <c r="M21" i="30"/>
  <c r="M54" i="30"/>
  <c r="M65" i="30"/>
  <c r="M32" i="30"/>
  <c r="N21" i="29"/>
  <c r="N54" i="29"/>
  <c r="N43" i="29"/>
  <c r="N32" i="29"/>
  <c r="N65" i="29"/>
  <c r="N76" i="29"/>
  <c r="O23" i="28"/>
  <c r="O56" i="28"/>
  <c r="O45" i="28"/>
  <c r="O67" i="28"/>
  <c r="O34" i="28"/>
  <c r="O114" i="28"/>
  <c r="O90" i="28"/>
  <c r="O113" i="28"/>
  <c r="O89" i="28"/>
  <c r="F12" i="31"/>
  <c r="F12" i="35"/>
  <c r="BU15" i="14"/>
  <c r="BG15" i="14"/>
  <c r="DY57" i="3"/>
  <c r="BI72" i="3" s="1"/>
  <c r="EE17" i="3"/>
  <c r="EE18" i="3" s="1"/>
  <c r="EE19" i="3" s="1"/>
  <c r="EE20" i="3" s="1"/>
  <c r="DZ57" i="3"/>
  <c r="BJ72" i="3" s="1"/>
  <c r="EE37" i="3"/>
  <c r="EE38" i="3" s="1"/>
  <c r="EE39" i="3" s="1"/>
  <c r="EE40" i="3" s="1"/>
  <c r="DK57" i="3"/>
  <c r="BK72" i="3" s="1"/>
  <c r="DQ17" i="3"/>
  <c r="DQ18" i="3" s="1"/>
  <c r="DQ19" i="3" s="1"/>
  <c r="DQ20" i="3" s="1"/>
  <c r="DL57" i="3"/>
  <c r="DQ37" i="3"/>
  <c r="DQ38" i="3" s="1"/>
  <c r="DQ39" i="3" s="1"/>
  <c r="DQ40" i="3" s="1"/>
  <c r="CW57" i="3"/>
  <c r="DC17" i="3"/>
  <c r="DC18" i="3" s="1"/>
  <c r="DC19" i="3" s="1"/>
  <c r="DC20" i="3" s="1"/>
  <c r="CX57" i="3"/>
  <c r="DC37" i="3"/>
  <c r="DC38" i="3" s="1"/>
  <c r="DC39" i="3" s="1"/>
  <c r="DC40" i="3" s="1"/>
  <c r="AF18" i="14"/>
  <c r="AF19" i="14" s="1"/>
  <c r="N18" i="14"/>
  <c r="N19" i="14" s="1"/>
  <c r="B15" i="14"/>
  <c r="B25" i="14" s="1"/>
  <c r="F24" i="36" l="1"/>
  <c r="F36" i="36" s="1"/>
  <c r="F48" i="36" s="1"/>
  <c r="F60" i="36" s="1"/>
  <c r="F72" i="36" s="1"/>
  <c r="F84" i="36" s="1"/>
  <c r="F96" i="36" s="1"/>
  <c r="F108" i="36" s="1"/>
  <c r="F120" i="36" s="1"/>
  <c r="F132" i="36" s="1"/>
  <c r="F144" i="36" s="1"/>
  <c r="F156" i="36" s="1"/>
  <c r="F168" i="36" s="1"/>
  <c r="F180" i="36" s="1"/>
  <c r="F192" i="36" s="1"/>
  <c r="F204" i="36" s="1"/>
  <c r="F24" i="35"/>
  <c r="F36" i="35" s="1"/>
  <c r="F48" i="35" s="1"/>
  <c r="F60" i="35" s="1"/>
  <c r="F72" i="35" s="1"/>
  <c r="F84" i="35" s="1"/>
  <c r="F96" i="35" s="1"/>
  <c r="F108" i="35" s="1"/>
  <c r="F120" i="35" s="1"/>
  <c r="F132" i="35" s="1"/>
  <c r="F144" i="35" s="1"/>
  <c r="F156" i="35" s="1"/>
  <c r="F168" i="35" s="1"/>
  <c r="F180" i="35" s="1"/>
  <c r="F192" i="35" s="1"/>
  <c r="F204" i="35" s="1"/>
  <c r="N12" i="35"/>
  <c r="E25" i="35"/>
  <c r="E37" i="35" s="1"/>
  <c r="E49" i="35" s="1"/>
  <c r="E61" i="35" s="1"/>
  <c r="E73" i="35" s="1"/>
  <c r="E85" i="35" s="1"/>
  <c r="E97" i="35" s="1"/>
  <c r="E109" i="35" s="1"/>
  <c r="E121" i="35" s="1"/>
  <c r="E133" i="35" s="1"/>
  <c r="E145" i="35" s="1"/>
  <c r="E157" i="35" s="1"/>
  <c r="E169" i="35" s="1"/>
  <c r="E181" i="35" s="1"/>
  <c r="E193" i="35" s="1"/>
  <c r="E205" i="35" s="1"/>
  <c r="M13" i="35"/>
  <c r="E25" i="34"/>
  <c r="E37" i="34" s="1"/>
  <c r="E49" i="34" s="1"/>
  <c r="E61" i="34" s="1"/>
  <c r="E73" i="34" s="1"/>
  <c r="E85" i="34" s="1"/>
  <c r="E97" i="34" s="1"/>
  <c r="E109" i="34" s="1"/>
  <c r="E121" i="34" s="1"/>
  <c r="E133" i="34" s="1"/>
  <c r="E145" i="34" s="1"/>
  <c r="E157" i="34" s="1"/>
  <c r="E169" i="34" s="1"/>
  <c r="E181" i="34" s="1"/>
  <c r="E193" i="34" s="1"/>
  <c r="E205" i="34" s="1"/>
  <c r="N13" i="34"/>
  <c r="E25" i="31"/>
  <c r="E37" i="31" s="1"/>
  <c r="E49" i="31" s="1"/>
  <c r="E61" i="31" s="1"/>
  <c r="E73" i="31" s="1"/>
  <c r="E85" i="31" s="1"/>
  <c r="E97" i="31" s="1"/>
  <c r="E109" i="31" s="1"/>
  <c r="E121" i="31" s="1"/>
  <c r="E133" i="31" s="1"/>
  <c r="E145" i="31" s="1"/>
  <c r="E157" i="31" s="1"/>
  <c r="E169" i="31" s="1"/>
  <c r="E181" i="31" s="1"/>
  <c r="E193" i="31" s="1"/>
  <c r="E205" i="31" s="1"/>
  <c r="M13" i="31"/>
  <c r="F24" i="31"/>
  <c r="F36" i="31" s="1"/>
  <c r="F48" i="31" s="1"/>
  <c r="F60" i="31" s="1"/>
  <c r="F72" i="31" s="1"/>
  <c r="F84" i="31" s="1"/>
  <c r="F96" i="31" s="1"/>
  <c r="F108" i="31" s="1"/>
  <c r="F120" i="31" s="1"/>
  <c r="F132" i="31" s="1"/>
  <c r="F144" i="31" s="1"/>
  <c r="F156" i="31" s="1"/>
  <c r="F168" i="31" s="1"/>
  <c r="F180" i="31" s="1"/>
  <c r="F192" i="31" s="1"/>
  <c r="F204" i="31" s="1"/>
  <c r="N12" i="31"/>
  <c r="E25" i="30"/>
  <c r="E37" i="30" s="1"/>
  <c r="E49" i="30" s="1"/>
  <c r="E61" i="30" s="1"/>
  <c r="E73" i="30" s="1"/>
  <c r="E85" i="30" s="1"/>
  <c r="E97" i="30" s="1"/>
  <c r="E109" i="30" s="1"/>
  <c r="E121" i="30" s="1"/>
  <c r="E133" i="30" s="1"/>
  <c r="E145" i="30" s="1"/>
  <c r="E157" i="30" s="1"/>
  <c r="E169" i="30" s="1"/>
  <c r="E181" i="30" s="1"/>
  <c r="E193" i="30" s="1"/>
  <c r="E205" i="30" s="1"/>
  <c r="L13" i="30"/>
  <c r="E25" i="29"/>
  <c r="E37" i="29" s="1"/>
  <c r="E49" i="29" s="1"/>
  <c r="E61" i="29" s="1"/>
  <c r="E73" i="29" s="1"/>
  <c r="E85" i="29" s="1"/>
  <c r="E97" i="29" s="1"/>
  <c r="E109" i="29" s="1"/>
  <c r="E121" i="29" s="1"/>
  <c r="E133" i="29" s="1"/>
  <c r="E145" i="29" s="1"/>
  <c r="E157" i="29" s="1"/>
  <c r="E169" i="29" s="1"/>
  <c r="E181" i="29" s="1"/>
  <c r="E193" i="29" s="1"/>
  <c r="E205" i="29" s="1"/>
  <c r="M13" i="29"/>
  <c r="E25" i="28"/>
  <c r="E37" i="28" s="1"/>
  <c r="E49" i="28" s="1"/>
  <c r="E61" i="28" s="1"/>
  <c r="E73" i="28" s="1"/>
  <c r="E85" i="28" s="1"/>
  <c r="E97" i="28" s="1"/>
  <c r="E109" i="28" s="1"/>
  <c r="E121" i="28" s="1"/>
  <c r="E133" i="28" s="1"/>
  <c r="E145" i="28" s="1"/>
  <c r="E157" i="28" s="1"/>
  <c r="E169" i="28" s="1"/>
  <c r="E181" i="28" s="1"/>
  <c r="E193" i="28" s="1"/>
  <c r="E205" i="28" s="1"/>
  <c r="N13" i="28"/>
  <c r="O22" i="34"/>
  <c r="M22" i="36"/>
  <c r="F13" i="34"/>
  <c r="O13" i="34" s="1"/>
  <c r="BN72" i="3"/>
  <c r="F13" i="36"/>
  <c r="M13" i="36" s="1"/>
  <c r="BL72" i="3"/>
  <c r="E13" i="36"/>
  <c r="BM72" i="3"/>
  <c r="BD56" i="14"/>
  <c r="AC54" i="14"/>
  <c r="A128" i="14"/>
  <c r="W57" i="14"/>
  <c r="A129" i="14"/>
  <c r="A118" i="14"/>
  <c r="Q88" i="36"/>
  <c r="L100" i="30"/>
  <c r="M100" i="35"/>
  <c r="M100" i="29"/>
  <c r="M100" i="31"/>
  <c r="L100" i="36"/>
  <c r="N100" i="28"/>
  <c r="N100" i="34"/>
  <c r="Q44" i="36"/>
  <c r="M56" i="31"/>
  <c r="L101" i="36"/>
  <c r="N90" i="28"/>
  <c r="N23" i="34"/>
  <c r="M90" i="29"/>
  <c r="N23" i="28"/>
  <c r="M101" i="35"/>
  <c r="M57" i="31"/>
  <c r="L23" i="36"/>
  <c r="L57" i="36"/>
  <c r="L57" i="30"/>
  <c r="M34" i="29"/>
  <c r="L67" i="30"/>
  <c r="N101" i="28"/>
  <c r="M90" i="31"/>
  <c r="M90" i="35"/>
  <c r="N90" i="34"/>
  <c r="N34" i="34"/>
  <c r="N101" i="34"/>
  <c r="M56" i="35"/>
  <c r="M23" i="35"/>
  <c r="N67" i="28"/>
  <c r="L56" i="36"/>
  <c r="M101" i="29"/>
  <c r="L101" i="30"/>
  <c r="N57" i="28"/>
  <c r="N34" i="28"/>
  <c r="N56" i="28"/>
  <c r="M67" i="35"/>
  <c r="L90" i="30"/>
  <c r="N56" i="34"/>
  <c r="M56" i="29"/>
  <c r="L90" i="36"/>
  <c r="M23" i="31"/>
  <c r="M67" i="31"/>
  <c r="M67" i="29"/>
  <c r="M23" i="29"/>
  <c r="L67" i="36"/>
  <c r="L34" i="36"/>
  <c r="L23" i="30"/>
  <c r="M57" i="35"/>
  <c r="L56" i="30"/>
  <c r="M101" i="31"/>
  <c r="N57" i="34"/>
  <c r="M34" i="35"/>
  <c r="M34" i="31"/>
  <c r="L34" i="30"/>
  <c r="N67" i="34"/>
  <c r="L98" i="36"/>
  <c r="O100" i="28"/>
  <c r="N87" i="29"/>
  <c r="M86" i="36"/>
  <c r="N86" i="31"/>
  <c r="N87" i="35"/>
  <c r="N87" i="31"/>
  <c r="M98" i="29"/>
  <c r="N86" i="29"/>
  <c r="M86" i="30"/>
  <c r="O86" i="34"/>
  <c r="L98" i="30"/>
  <c r="O99" i="28"/>
  <c r="O87" i="34"/>
  <c r="N98" i="34"/>
  <c r="N98" i="28"/>
  <c r="M98" i="31"/>
  <c r="M98" i="35"/>
  <c r="M87" i="36"/>
  <c r="Q87" i="36" s="1"/>
  <c r="N86" i="35"/>
  <c r="M87" i="30"/>
  <c r="O98" i="28"/>
  <c r="L135" i="36"/>
  <c r="M123" i="35"/>
  <c r="N123" i="34"/>
  <c r="M123" i="31"/>
  <c r="L123" i="30"/>
  <c r="M123" i="29"/>
  <c r="N123" i="28"/>
  <c r="M45" i="36"/>
  <c r="Q45" i="36" s="1"/>
  <c r="M113" i="36"/>
  <c r="M89" i="36"/>
  <c r="Q89" i="36" s="1"/>
  <c r="M34" i="36"/>
  <c r="M100" i="36"/>
  <c r="M78" i="36"/>
  <c r="M56" i="36"/>
  <c r="M79" i="36"/>
  <c r="N22" i="35"/>
  <c r="N66" i="35"/>
  <c r="N44" i="35"/>
  <c r="N112" i="35"/>
  <c r="N88" i="35"/>
  <c r="N33" i="35"/>
  <c r="N77" i="35"/>
  <c r="N67" i="35"/>
  <c r="O24" i="34"/>
  <c r="O78" i="34"/>
  <c r="O67" i="34"/>
  <c r="O113" i="34"/>
  <c r="O89" i="34"/>
  <c r="O100" i="34"/>
  <c r="O45" i="34"/>
  <c r="O56" i="34"/>
  <c r="O23" i="34"/>
  <c r="O34" i="34"/>
  <c r="N67" i="31"/>
  <c r="N77" i="31"/>
  <c r="N112" i="31"/>
  <c r="N88" i="31"/>
  <c r="N66" i="31"/>
  <c r="N33" i="31"/>
  <c r="N44" i="31"/>
  <c r="N22" i="31"/>
  <c r="M66" i="30"/>
  <c r="M44" i="30"/>
  <c r="M33" i="30"/>
  <c r="M112" i="30"/>
  <c r="M88" i="30"/>
  <c r="M22" i="30"/>
  <c r="M77" i="30"/>
  <c r="M55" i="30"/>
  <c r="N66" i="29"/>
  <c r="N112" i="29"/>
  <c r="N88" i="29"/>
  <c r="N77" i="29"/>
  <c r="N22" i="29"/>
  <c r="N33" i="29"/>
  <c r="N44" i="29"/>
  <c r="N55" i="29"/>
  <c r="O102" i="28"/>
  <c r="O101" i="28"/>
  <c r="O57" i="28"/>
  <c r="O68" i="28"/>
  <c r="O79" i="28"/>
  <c r="O25" i="28"/>
  <c r="O46" i="28"/>
  <c r="O24" i="28"/>
  <c r="O35" i="28"/>
  <c r="F13" i="31"/>
  <c r="F13" i="35"/>
  <c r="F13" i="29"/>
  <c r="F13" i="30"/>
  <c r="BU25" i="14"/>
  <c r="BU16" i="14"/>
  <c r="BU17" i="14" s="1"/>
  <c r="BU18" i="14" s="1"/>
  <c r="BU19" i="14" s="1"/>
  <c r="BU20" i="14" s="1"/>
  <c r="BU21" i="14" s="1"/>
  <c r="BG16" i="14"/>
  <c r="BG17" i="14" s="1"/>
  <c r="BG18" i="14" s="1"/>
  <c r="BG19" i="14" s="1"/>
  <c r="BG20" i="14" s="1"/>
  <c r="BG21" i="14" s="1"/>
  <c r="BG25" i="14"/>
  <c r="N20" i="14"/>
  <c r="N21" i="14" s="1"/>
  <c r="AF20" i="14"/>
  <c r="AF21" i="14" s="1"/>
  <c r="B16" i="14"/>
  <c r="B17" i="14" s="1"/>
  <c r="Q47" i="14" l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Q129" i="14" s="1"/>
  <c r="Q130" i="14" s="1"/>
  <c r="E25" i="36"/>
  <c r="E37" i="36" s="1"/>
  <c r="E49" i="36" s="1"/>
  <c r="E61" i="36" s="1"/>
  <c r="E73" i="36" s="1"/>
  <c r="E85" i="36" s="1"/>
  <c r="E97" i="36" s="1"/>
  <c r="E109" i="36" s="1"/>
  <c r="E121" i="36" s="1"/>
  <c r="E133" i="36" s="1"/>
  <c r="E145" i="36" s="1"/>
  <c r="E157" i="36" s="1"/>
  <c r="E169" i="36" s="1"/>
  <c r="E181" i="36" s="1"/>
  <c r="E193" i="36" s="1"/>
  <c r="E205" i="36" s="1"/>
  <c r="L13" i="36"/>
  <c r="F25" i="36"/>
  <c r="F37" i="36" s="1"/>
  <c r="F49" i="36" s="1"/>
  <c r="F61" i="36" s="1"/>
  <c r="F73" i="36" s="1"/>
  <c r="F85" i="36" s="1"/>
  <c r="F97" i="36" s="1"/>
  <c r="F109" i="36" s="1"/>
  <c r="F121" i="36" s="1"/>
  <c r="F133" i="36" s="1"/>
  <c r="F145" i="36" s="1"/>
  <c r="F157" i="36" s="1"/>
  <c r="F169" i="36" s="1"/>
  <c r="F181" i="36" s="1"/>
  <c r="F193" i="36" s="1"/>
  <c r="F205" i="36" s="1"/>
  <c r="F25" i="35"/>
  <c r="F37" i="35" s="1"/>
  <c r="F49" i="35" s="1"/>
  <c r="F61" i="35" s="1"/>
  <c r="F73" i="35" s="1"/>
  <c r="F85" i="35" s="1"/>
  <c r="F97" i="35" s="1"/>
  <c r="F109" i="35" s="1"/>
  <c r="F121" i="35" s="1"/>
  <c r="F133" i="35" s="1"/>
  <c r="F145" i="35" s="1"/>
  <c r="F157" i="35" s="1"/>
  <c r="F169" i="35" s="1"/>
  <c r="F181" i="35" s="1"/>
  <c r="F193" i="35" s="1"/>
  <c r="F205" i="35" s="1"/>
  <c r="N13" i="35"/>
  <c r="F25" i="34"/>
  <c r="F37" i="34" s="1"/>
  <c r="F49" i="34" s="1"/>
  <c r="F61" i="34" s="1"/>
  <c r="F73" i="34" s="1"/>
  <c r="F85" i="34" s="1"/>
  <c r="F97" i="34" s="1"/>
  <c r="F109" i="34" s="1"/>
  <c r="F121" i="34" s="1"/>
  <c r="F133" i="34" s="1"/>
  <c r="F145" i="34" s="1"/>
  <c r="F157" i="34" s="1"/>
  <c r="F169" i="34" s="1"/>
  <c r="F181" i="34" s="1"/>
  <c r="F193" i="34" s="1"/>
  <c r="F205" i="34" s="1"/>
  <c r="F25" i="31"/>
  <c r="F37" i="31" s="1"/>
  <c r="F49" i="31" s="1"/>
  <c r="F61" i="31" s="1"/>
  <c r="F73" i="31" s="1"/>
  <c r="F85" i="31" s="1"/>
  <c r="F97" i="31" s="1"/>
  <c r="F109" i="31" s="1"/>
  <c r="F121" i="31" s="1"/>
  <c r="F133" i="31" s="1"/>
  <c r="F145" i="31" s="1"/>
  <c r="F157" i="31" s="1"/>
  <c r="F169" i="31" s="1"/>
  <c r="F181" i="31" s="1"/>
  <c r="F193" i="31" s="1"/>
  <c r="F205" i="31" s="1"/>
  <c r="N13" i="31"/>
  <c r="F25" i="30"/>
  <c r="F37" i="30" s="1"/>
  <c r="F49" i="30" s="1"/>
  <c r="F61" i="30" s="1"/>
  <c r="F73" i="30" s="1"/>
  <c r="F85" i="30" s="1"/>
  <c r="F97" i="30" s="1"/>
  <c r="F109" i="30" s="1"/>
  <c r="F121" i="30" s="1"/>
  <c r="F133" i="30" s="1"/>
  <c r="F145" i="30" s="1"/>
  <c r="F157" i="30" s="1"/>
  <c r="F169" i="30" s="1"/>
  <c r="F181" i="30" s="1"/>
  <c r="F193" i="30" s="1"/>
  <c r="F205" i="30" s="1"/>
  <c r="M13" i="30"/>
  <c r="F25" i="29"/>
  <c r="F37" i="29" s="1"/>
  <c r="F49" i="29" s="1"/>
  <c r="F61" i="29" s="1"/>
  <c r="F73" i="29" s="1"/>
  <c r="F85" i="29" s="1"/>
  <c r="F97" i="29" s="1"/>
  <c r="F109" i="29" s="1"/>
  <c r="F121" i="29" s="1"/>
  <c r="F133" i="29" s="1"/>
  <c r="F145" i="29" s="1"/>
  <c r="F157" i="29" s="1"/>
  <c r="F169" i="29" s="1"/>
  <c r="F181" i="29" s="1"/>
  <c r="F193" i="29" s="1"/>
  <c r="F205" i="29" s="1"/>
  <c r="N13" i="29"/>
  <c r="M23" i="36"/>
  <c r="BJ47" i="14"/>
  <c r="BD57" i="14"/>
  <c r="AC55" i="14"/>
  <c r="A130" i="14"/>
  <c r="W58" i="14"/>
  <c r="M57" i="29"/>
  <c r="N112" i="34"/>
  <c r="N112" i="28"/>
  <c r="L112" i="36"/>
  <c r="M112" i="31"/>
  <c r="M112" i="29"/>
  <c r="M112" i="35"/>
  <c r="L112" i="30"/>
  <c r="L24" i="30"/>
  <c r="M69" i="35"/>
  <c r="L102" i="36"/>
  <c r="N68" i="28"/>
  <c r="L68" i="36"/>
  <c r="L79" i="30"/>
  <c r="M113" i="35"/>
  <c r="N79" i="34"/>
  <c r="N35" i="28"/>
  <c r="L35" i="30"/>
  <c r="N79" i="28"/>
  <c r="N113" i="34"/>
  <c r="M46" i="29"/>
  <c r="L46" i="30"/>
  <c r="L46" i="36"/>
  <c r="N46" i="34"/>
  <c r="M24" i="31"/>
  <c r="M102" i="29"/>
  <c r="M68" i="29"/>
  <c r="N46" i="28"/>
  <c r="M46" i="31"/>
  <c r="L79" i="36"/>
  <c r="N102" i="34"/>
  <c r="N35" i="34"/>
  <c r="N68" i="34"/>
  <c r="N69" i="28"/>
  <c r="N24" i="28"/>
  <c r="L69" i="30"/>
  <c r="M46" i="35"/>
  <c r="M35" i="29"/>
  <c r="M69" i="29"/>
  <c r="L24" i="36"/>
  <c r="L69" i="36"/>
  <c r="N102" i="28"/>
  <c r="L102" i="30"/>
  <c r="N69" i="34"/>
  <c r="M79" i="29"/>
  <c r="M35" i="35"/>
  <c r="M102" i="35"/>
  <c r="L35" i="36"/>
  <c r="L113" i="36"/>
  <c r="M79" i="31"/>
  <c r="M24" i="29"/>
  <c r="M24" i="35"/>
  <c r="M113" i="31"/>
  <c r="N24" i="34"/>
  <c r="L113" i="30"/>
  <c r="M102" i="31"/>
  <c r="L68" i="30"/>
  <c r="M35" i="31"/>
  <c r="M79" i="35"/>
  <c r="M113" i="29"/>
  <c r="M68" i="35"/>
  <c r="N113" i="28"/>
  <c r="M69" i="31"/>
  <c r="M68" i="31"/>
  <c r="M98" i="30"/>
  <c r="N110" i="34"/>
  <c r="M99" i="36"/>
  <c r="O99" i="34"/>
  <c r="M98" i="36"/>
  <c r="M110" i="35"/>
  <c r="N98" i="29"/>
  <c r="N99" i="29"/>
  <c r="O110" i="28"/>
  <c r="O111" i="28"/>
  <c r="N99" i="35"/>
  <c r="M110" i="29"/>
  <c r="M99" i="30"/>
  <c r="M110" i="31"/>
  <c r="L110" i="30"/>
  <c r="N99" i="31"/>
  <c r="N110" i="28"/>
  <c r="N98" i="31"/>
  <c r="O112" i="28"/>
  <c r="N98" i="35"/>
  <c r="L110" i="36"/>
  <c r="O98" i="34"/>
  <c r="L147" i="36"/>
  <c r="M135" i="35"/>
  <c r="N135" i="34"/>
  <c r="M135" i="31"/>
  <c r="L135" i="30"/>
  <c r="M135" i="29"/>
  <c r="N135" i="28"/>
  <c r="M90" i="36"/>
  <c r="Q90" i="36" s="1"/>
  <c r="M114" i="36"/>
  <c r="M35" i="36"/>
  <c r="M24" i="36"/>
  <c r="M46" i="36"/>
  <c r="M101" i="36"/>
  <c r="M57" i="36"/>
  <c r="M91" i="36"/>
  <c r="M115" i="36"/>
  <c r="M68" i="36"/>
  <c r="N113" i="35"/>
  <c r="N89" i="35"/>
  <c r="N45" i="35"/>
  <c r="N100" i="35"/>
  <c r="N56" i="35"/>
  <c r="N23" i="35"/>
  <c r="N78" i="35"/>
  <c r="N34" i="35"/>
  <c r="N79" i="35"/>
  <c r="O68" i="34"/>
  <c r="O57" i="34"/>
  <c r="O101" i="34"/>
  <c r="O79" i="34"/>
  <c r="O90" i="34"/>
  <c r="O114" i="34"/>
  <c r="O46" i="34"/>
  <c r="O36" i="34"/>
  <c r="O35" i="34"/>
  <c r="N56" i="31"/>
  <c r="N45" i="31"/>
  <c r="N78" i="31"/>
  <c r="N100" i="31"/>
  <c r="N23" i="31"/>
  <c r="N113" i="31"/>
  <c r="N89" i="31"/>
  <c r="N34" i="31"/>
  <c r="N79" i="31"/>
  <c r="M67" i="30"/>
  <c r="M113" i="30"/>
  <c r="M89" i="30"/>
  <c r="M34" i="30"/>
  <c r="M100" i="30"/>
  <c r="M45" i="30"/>
  <c r="M23" i="30"/>
  <c r="M56" i="30"/>
  <c r="M24" i="30"/>
  <c r="M78" i="30"/>
  <c r="N56" i="29"/>
  <c r="N45" i="29"/>
  <c r="N23" i="29"/>
  <c r="N34" i="29"/>
  <c r="N113" i="29"/>
  <c r="N89" i="29"/>
  <c r="N24" i="29"/>
  <c r="N100" i="29"/>
  <c r="N78" i="29"/>
  <c r="N67" i="29"/>
  <c r="O58" i="28"/>
  <c r="O47" i="28"/>
  <c r="O36" i="28"/>
  <c r="O37" i="28"/>
  <c r="O115" i="28"/>
  <c r="O91" i="28"/>
  <c r="O80" i="28"/>
  <c r="O69" i="28"/>
  <c r="B18" i="14"/>
  <c r="B19" i="14" s="1"/>
  <c r="BJ48" i="14" l="1"/>
  <c r="BD58" i="14"/>
  <c r="AC56" i="14"/>
  <c r="W59" i="14"/>
  <c r="W25" i="14"/>
  <c r="Q46" i="36"/>
  <c r="L124" i="30"/>
  <c r="M124" i="35"/>
  <c r="M124" i="29"/>
  <c r="M124" i="31"/>
  <c r="L124" i="36"/>
  <c r="N124" i="28"/>
  <c r="N124" i="34"/>
  <c r="L80" i="30"/>
  <c r="M91" i="31"/>
  <c r="N91" i="34"/>
  <c r="L114" i="30"/>
  <c r="L25" i="30"/>
  <c r="M58" i="31"/>
  <c r="L58" i="30"/>
  <c r="M80" i="31"/>
  <c r="L125" i="36"/>
  <c r="L81" i="30"/>
  <c r="N58" i="28"/>
  <c r="M125" i="35"/>
  <c r="M114" i="31"/>
  <c r="N114" i="28"/>
  <c r="M58" i="29"/>
  <c r="L125" i="30"/>
  <c r="L47" i="36"/>
  <c r="N36" i="28"/>
  <c r="N125" i="34"/>
  <c r="M81" i="31"/>
  <c r="L81" i="36"/>
  <c r="M80" i="29"/>
  <c r="L91" i="30"/>
  <c r="N125" i="28"/>
  <c r="L36" i="36"/>
  <c r="N81" i="28"/>
  <c r="L80" i="36"/>
  <c r="N36" i="34"/>
  <c r="M114" i="35"/>
  <c r="M114" i="29"/>
  <c r="N91" i="28"/>
  <c r="M80" i="35"/>
  <c r="M125" i="31"/>
  <c r="L47" i="30"/>
  <c r="N80" i="28"/>
  <c r="M47" i="35"/>
  <c r="M81" i="29"/>
  <c r="N80" i="34"/>
  <c r="M36" i="31"/>
  <c r="M125" i="29"/>
  <c r="M36" i="35"/>
  <c r="N47" i="34"/>
  <c r="N58" i="34"/>
  <c r="M91" i="29"/>
  <c r="M47" i="29"/>
  <c r="N47" i="28"/>
  <c r="L114" i="36"/>
  <c r="M91" i="35"/>
  <c r="M36" i="29"/>
  <c r="M25" i="31"/>
  <c r="M81" i="35"/>
  <c r="N81" i="34"/>
  <c r="M58" i="35"/>
  <c r="N114" i="34"/>
  <c r="M25" i="35"/>
  <c r="M47" i="31"/>
  <c r="L25" i="36"/>
  <c r="N25" i="28"/>
  <c r="N25" i="34"/>
  <c r="M25" i="29"/>
  <c r="L91" i="36"/>
  <c r="Q91" i="36" s="1"/>
  <c r="L58" i="36"/>
  <c r="L36" i="30"/>
  <c r="L122" i="36"/>
  <c r="N110" i="31"/>
  <c r="M122" i="31"/>
  <c r="O123" i="28"/>
  <c r="M122" i="35"/>
  <c r="N122" i="28"/>
  <c r="U111" i="28"/>
  <c r="O122" i="28"/>
  <c r="N122" i="34"/>
  <c r="M111" i="30"/>
  <c r="Q111" i="30" s="1"/>
  <c r="N110" i="35"/>
  <c r="M110" i="36"/>
  <c r="N111" i="29"/>
  <c r="M110" i="30"/>
  <c r="N111" i="31"/>
  <c r="M122" i="29"/>
  <c r="O111" i="34"/>
  <c r="O110" i="34"/>
  <c r="O124" i="28"/>
  <c r="N111" i="35"/>
  <c r="S111" i="35" s="1"/>
  <c r="L122" i="30"/>
  <c r="N110" i="29"/>
  <c r="M111" i="36"/>
  <c r="M124" i="36"/>
  <c r="L159" i="36"/>
  <c r="M147" i="35"/>
  <c r="N147" i="34"/>
  <c r="O124" i="34"/>
  <c r="M147" i="31"/>
  <c r="L147" i="30"/>
  <c r="M147" i="29"/>
  <c r="N147" i="28"/>
  <c r="O125" i="28"/>
  <c r="O126" i="28"/>
  <c r="M103" i="36"/>
  <c r="M69" i="36"/>
  <c r="M58" i="36"/>
  <c r="M36" i="36"/>
  <c r="M47" i="36"/>
  <c r="M102" i="36"/>
  <c r="M25" i="36"/>
  <c r="M80" i="36"/>
  <c r="N46" i="35"/>
  <c r="N90" i="35"/>
  <c r="N114" i="35"/>
  <c r="N35" i="35"/>
  <c r="N68" i="35"/>
  <c r="N24" i="35"/>
  <c r="N57" i="35"/>
  <c r="N91" i="35"/>
  <c r="N115" i="35"/>
  <c r="N101" i="35"/>
  <c r="O25" i="34"/>
  <c r="O48" i="34"/>
  <c r="O58" i="34"/>
  <c r="O102" i="34"/>
  <c r="O91" i="34"/>
  <c r="O115" i="34"/>
  <c r="O69" i="34"/>
  <c r="O47" i="34"/>
  <c r="O80" i="34"/>
  <c r="N101" i="31"/>
  <c r="N35" i="31"/>
  <c r="N24" i="31"/>
  <c r="N90" i="31"/>
  <c r="N114" i="31"/>
  <c r="N91" i="31"/>
  <c r="N115" i="31"/>
  <c r="N57" i="31"/>
  <c r="N46" i="31"/>
  <c r="N68" i="31"/>
  <c r="M68" i="30"/>
  <c r="M35" i="30"/>
  <c r="M57" i="30"/>
  <c r="M46" i="30"/>
  <c r="M101" i="30"/>
  <c r="M90" i="30"/>
  <c r="M114" i="30"/>
  <c r="M79" i="30"/>
  <c r="M36" i="30"/>
  <c r="N35" i="29"/>
  <c r="N79" i="29"/>
  <c r="N57" i="29"/>
  <c r="N101" i="29"/>
  <c r="N46" i="29"/>
  <c r="N90" i="29"/>
  <c r="N114" i="29"/>
  <c r="N68" i="29"/>
  <c r="N36" i="29"/>
  <c r="O103" i="28"/>
  <c r="O81" i="28"/>
  <c r="O59" i="28"/>
  <c r="O48" i="28"/>
  <c r="O92" i="28"/>
  <c r="O116" i="28"/>
  <c r="O49" i="28"/>
  <c r="O70" i="28"/>
  <c r="B20" i="14"/>
  <c r="B21" i="14" s="1"/>
  <c r="S111" i="31" l="1"/>
  <c r="BD59" i="14"/>
  <c r="BD25" i="14"/>
  <c r="BJ49" i="14"/>
  <c r="AC57" i="14"/>
  <c r="W60" i="14"/>
  <c r="Q47" i="36"/>
  <c r="N136" i="34"/>
  <c r="N136" i="28"/>
  <c r="L136" i="36"/>
  <c r="M136" i="31"/>
  <c r="M136" i="29"/>
  <c r="M136" i="35"/>
  <c r="L136" i="30"/>
  <c r="M59" i="31"/>
  <c r="M103" i="35"/>
  <c r="M137" i="29"/>
  <c r="L137" i="30"/>
  <c r="M37" i="35"/>
  <c r="L126" i="36"/>
  <c r="M92" i="35"/>
  <c r="N137" i="28"/>
  <c r="M92" i="31"/>
  <c r="L48" i="30"/>
  <c r="L70" i="30"/>
  <c r="L70" i="36"/>
  <c r="N126" i="34"/>
  <c r="M48" i="31"/>
  <c r="N103" i="28"/>
  <c r="L103" i="30"/>
  <c r="M70" i="29"/>
  <c r="N59" i="28"/>
  <c r="N92" i="34"/>
  <c r="M126" i="29"/>
  <c r="N126" i="28"/>
  <c r="M70" i="31"/>
  <c r="L103" i="36"/>
  <c r="M70" i="35"/>
  <c r="M59" i="29"/>
  <c r="M92" i="29"/>
  <c r="M126" i="35"/>
  <c r="M126" i="31"/>
  <c r="M93" i="29"/>
  <c r="L93" i="36"/>
  <c r="L37" i="30"/>
  <c r="M37" i="29"/>
  <c r="N93" i="34"/>
  <c r="M103" i="29"/>
  <c r="N48" i="34"/>
  <c r="L126" i="30"/>
  <c r="N70" i="34"/>
  <c r="M59" i="35"/>
  <c r="M93" i="31"/>
  <c r="M137" i="35"/>
  <c r="N37" i="34"/>
  <c r="M93" i="35"/>
  <c r="N103" i="34"/>
  <c r="N59" i="34"/>
  <c r="N92" i="28"/>
  <c r="L92" i="36"/>
  <c r="N137" i="34"/>
  <c r="N70" i="28"/>
  <c r="N37" i="28"/>
  <c r="M37" i="31"/>
  <c r="L59" i="30"/>
  <c r="N93" i="28"/>
  <c r="M103" i="31"/>
  <c r="M48" i="29"/>
  <c r="M48" i="35"/>
  <c r="N48" i="28"/>
  <c r="L93" i="30"/>
  <c r="L37" i="36"/>
  <c r="L48" i="36"/>
  <c r="M137" i="31"/>
  <c r="L59" i="36"/>
  <c r="L137" i="36"/>
  <c r="L92" i="30"/>
  <c r="M123" i="36"/>
  <c r="N123" i="31"/>
  <c r="M134" i="35"/>
  <c r="Q111" i="36"/>
  <c r="N122" i="29"/>
  <c r="N123" i="35"/>
  <c r="O135" i="28"/>
  <c r="M122" i="30"/>
  <c r="M134" i="31"/>
  <c r="O136" i="28"/>
  <c r="N122" i="31"/>
  <c r="M123" i="30"/>
  <c r="O123" i="34"/>
  <c r="N123" i="29"/>
  <c r="L134" i="30"/>
  <c r="U111" i="34"/>
  <c r="S111" i="29"/>
  <c r="N134" i="28"/>
  <c r="L134" i="36"/>
  <c r="M122" i="36"/>
  <c r="M134" i="29"/>
  <c r="N134" i="34"/>
  <c r="O122" i="34"/>
  <c r="O134" i="28"/>
  <c r="N122" i="35"/>
  <c r="Q124" i="36"/>
  <c r="U124" i="34"/>
  <c r="M125" i="36"/>
  <c r="L171" i="36"/>
  <c r="M136" i="36"/>
  <c r="M159" i="35"/>
  <c r="N124" i="35"/>
  <c r="N159" i="34"/>
  <c r="O125" i="34"/>
  <c r="O136" i="34"/>
  <c r="M159" i="31"/>
  <c r="N124" i="31"/>
  <c r="M124" i="30"/>
  <c r="L159" i="30"/>
  <c r="M159" i="29"/>
  <c r="N124" i="29"/>
  <c r="O138" i="28"/>
  <c r="O137" i="28"/>
  <c r="N159" i="28"/>
  <c r="M116" i="36"/>
  <c r="M92" i="36"/>
  <c r="M37" i="36"/>
  <c r="M59" i="36"/>
  <c r="M48" i="36"/>
  <c r="M70" i="36"/>
  <c r="M81" i="36"/>
  <c r="N103" i="35"/>
  <c r="N69" i="35"/>
  <c r="N36" i="35"/>
  <c r="N25" i="35"/>
  <c r="N80" i="35"/>
  <c r="N47" i="35"/>
  <c r="N102" i="35"/>
  <c r="N58" i="35"/>
  <c r="O59" i="34"/>
  <c r="O81" i="34"/>
  <c r="O103" i="34"/>
  <c r="O70" i="34"/>
  <c r="O92" i="34"/>
  <c r="O116" i="34"/>
  <c r="O60" i="34"/>
  <c r="O37" i="34"/>
  <c r="N58" i="31"/>
  <c r="N69" i="31"/>
  <c r="N103" i="31"/>
  <c r="N102" i="31"/>
  <c r="N36" i="31"/>
  <c r="N25" i="31"/>
  <c r="N47" i="31"/>
  <c r="N80" i="31"/>
  <c r="M91" i="30"/>
  <c r="M115" i="30"/>
  <c r="M102" i="30"/>
  <c r="M69" i="30"/>
  <c r="M58" i="30"/>
  <c r="M25" i="30"/>
  <c r="M47" i="30"/>
  <c r="M80" i="30"/>
  <c r="M48" i="30"/>
  <c r="N102" i="29"/>
  <c r="N58" i="29"/>
  <c r="N80" i="29"/>
  <c r="N69" i="29"/>
  <c r="N91" i="29"/>
  <c r="N115" i="29"/>
  <c r="N47" i="29"/>
  <c r="N48" i="29"/>
  <c r="N25" i="29"/>
  <c r="O104" i="28"/>
  <c r="O82" i="28"/>
  <c r="O61" i="28"/>
  <c r="O60" i="28"/>
  <c r="O93" i="28"/>
  <c r="O117" i="28"/>
  <c r="O71" i="28"/>
  <c r="BJ50" i="14" l="1"/>
  <c r="BD60" i="14"/>
  <c r="AC58" i="14"/>
  <c r="W61" i="14"/>
  <c r="Q92" i="36"/>
  <c r="L148" i="30"/>
  <c r="M148" i="35"/>
  <c r="M148" i="29"/>
  <c r="M148" i="31"/>
  <c r="L148" i="36"/>
  <c r="N148" i="28"/>
  <c r="N148" i="34"/>
  <c r="Q48" i="36"/>
  <c r="N82" i="28"/>
  <c r="M49" i="29"/>
  <c r="M82" i="35"/>
  <c r="N149" i="28"/>
  <c r="N60" i="28"/>
  <c r="M149" i="35"/>
  <c r="L115" i="30"/>
  <c r="L104" i="30"/>
  <c r="M105" i="31"/>
  <c r="L49" i="30"/>
  <c r="M104" i="35"/>
  <c r="M60" i="35"/>
  <c r="N149" i="34"/>
  <c r="L115" i="36"/>
  <c r="N115" i="28"/>
  <c r="M60" i="29"/>
  <c r="M71" i="35"/>
  <c r="L149" i="36"/>
  <c r="M60" i="31"/>
  <c r="L138" i="36"/>
  <c r="N104" i="28"/>
  <c r="M82" i="31"/>
  <c r="L71" i="36"/>
  <c r="M115" i="31"/>
  <c r="N82" i="34"/>
  <c r="M105" i="29"/>
  <c r="N138" i="28"/>
  <c r="N138" i="34"/>
  <c r="M49" i="35"/>
  <c r="M149" i="31"/>
  <c r="N71" i="34"/>
  <c r="M138" i="29"/>
  <c r="L149" i="30"/>
  <c r="L104" i="36"/>
  <c r="N105" i="28"/>
  <c r="L138" i="30"/>
  <c r="M138" i="31"/>
  <c r="L82" i="36"/>
  <c r="L105" i="36"/>
  <c r="L71" i="30"/>
  <c r="N60" i="34"/>
  <c r="N104" i="34"/>
  <c r="L60" i="36"/>
  <c r="N115" i="34"/>
  <c r="M138" i="35"/>
  <c r="L82" i="30"/>
  <c r="M149" i="29"/>
  <c r="M49" i="31"/>
  <c r="N71" i="28"/>
  <c r="L60" i="30"/>
  <c r="L49" i="36"/>
  <c r="M105" i="35"/>
  <c r="M115" i="29"/>
  <c r="M104" i="29"/>
  <c r="M115" i="35"/>
  <c r="L105" i="30"/>
  <c r="N49" i="34"/>
  <c r="N105" i="34"/>
  <c r="M71" i="29"/>
  <c r="M82" i="29"/>
  <c r="M71" i="31"/>
  <c r="N49" i="28"/>
  <c r="M104" i="31"/>
  <c r="O146" i="28"/>
  <c r="N134" i="29"/>
  <c r="M134" i="36"/>
  <c r="O134" i="34"/>
  <c r="L146" i="30"/>
  <c r="M134" i="30"/>
  <c r="N134" i="31"/>
  <c r="U136" i="28"/>
  <c r="O148" i="28"/>
  <c r="U135" i="28"/>
  <c r="M146" i="35"/>
  <c r="O147" i="28"/>
  <c r="L146" i="36"/>
  <c r="M146" i="31"/>
  <c r="N135" i="31"/>
  <c r="S123" i="29"/>
  <c r="N135" i="35"/>
  <c r="N146" i="34"/>
  <c r="N146" i="28"/>
  <c r="N135" i="29"/>
  <c r="N134" i="35"/>
  <c r="U123" i="34"/>
  <c r="Q123" i="36"/>
  <c r="M146" i="29"/>
  <c r="O135" i="34"/>
  <c r="M135" i="36"/>
  <c r="M135" i="30"/>
  <c r="Q125" i="36"/>
  <c r="U125" i="34"/>
  <c r="S124" i="29"/>
  <c r="U137" i="28"/>
  <c r="M148" i="36"/>
  <c r="M127" i="36"/>
  <c r="L195" i="36"/>
  <c r="L183" i="36"/>
  <c r="M126" i="36"/>
  <c r="M137" i="36"/>
  <c r="N125" i="35"/>
  <c r="N136" i="35"/>
  <c r="M171" i="35"/>
  <c r="O148" i="34"/>
  <c r="O126" i="34"/>
  <c r="O137" i="34"/>
  <c r="N171" i="34"/>
  <c r="N136" i="31"/>
  <c r="N125" i="31"/>
  <c r="M171" i="31"/>
  <c r="M136" i="30"/>
  <c r="L171" i="30"/>
  <c r="M125" i="30"/>
  <c r="N136" i="29"/>
  <c r="M171" i="29"/>
  <c r="N125" i="29"/>
  <c r="O127" i="28"/>
  <c r="N171" i="28"/>
  <c r="O149" i="28"/>
  <c r="O150" i="28"/>
  <c r="M93" i="36"/>
  <c r="Q93" i="36" s="1"/>
  <c r="M117" i="36"/>
  <c r="M82" i="36"/>
  <c r="M60" i="36"/>
  <c r="M71" i="36"/>
  <c r="M49" i="36"/>
  <c r="M104" i="36"/>
  <c r="N70" i="35"/>
  <c r="N59" i="35"/>
  <c r="N92" i="35"/>
  <c r="N116" i="35"/>
  <c r="N37" i="35"/>
  <c r="N48" i="35"/>
  <c r="N81" i="35"/>
  <c r="O49" i="34"/>
  <c r="O72" i="34"/>
  <c r="O104" i="34"/>
  <c r="O82" i="34"/>
  <c r="O93" i="34"/>
  <c r="O117" i="34"/>
  <c r="O71" i="34"/>
  <c r="N59" i="31"/>
  <c r="N37" i="31"/>
  <c r="N48" i="31"/>
  <c r="N81" i="31"/>
  <c r="N116" i="31"/>
  <c r="N92" i="31"/>
  <c r="N70" i="31"/>
  <c r="M60" i="30"/>
  <c r="M59" i="30"/>
  <c r="M37" i="30"/>
  <c r="M70" i="30"/>
  <c r="M81" i="30"/>
  <c r="M103" i="30"/>
  <c r="M116" i="30"/>
  <c r="M92" i="30"/>
  <c r="N59" i="29"/>
  <c r="N81" i="29"/>
  <c r="N103" i="29"/>
  <c r="N60" i="29"/>
  <c r="N92" i="29"/>
  <c r="N116" i="29"/>
  <c r="N70" i="29"/>
  <c r="N37" i="29"/>
  <c r="O105" i="28"/>
  <c r="O83" i="28"/>
  <c r="O72" i="28"/>
  <c r="O73" i="28"/>
  <c r="O94" i="28"/>
  <c r="O118" i="28"/>
  <c r="BD61" i="14" l="1"/>
  <c r="BJ51" i="14"/>
  <c r="AC59" i="14"/>
  <c r="W62" i="14"/>
  <c r="U138" i="28"/>
  <c r="Q49" i="36"/>
  <c r="N160" i="34"/>
  <c r="N160" i="28"/>
  <c r="L160" i="36"/>
  <c r="M160" i="31"/>
  <c r="M160" i="29"/>
  <c r="M160" i="35"/>
  <c r="L160" i="30"/>
  <c r="L117" i="30"/>
  <c r="M61" i="31"/>
  <c r="L83" i="30"/>
  <c r="M127" i="31"/>
  <c r="M127" i="35"/>
  <c r="M150" i="29"/>
  <c r="M72" i="29"/>
  <c r="L116" i="30"/>
  <c r="M116" i="31"/>
  <c r="N127" i="28"/>
  <c r="L127" i="30"/>
  <c r="M161" i="29"/>
  <c r="L117" i="36"/>
  <c r="N83" i="34"/>
  <c r="L83" i="36"/>
  <c r="N61" i="28"/>
  <c r="M116" i="29"/>
  <c r="L94" i="36"/>
  <c r="L127" i="36"/>
  <c r="M83" i="31"/>
  <c r="M127" i="29"/>
  <c r="L94" i="30"/>
  <c r="M161" i="31"/>
  <c r="M94" i="31"/>
  <c r="M161" i="35"/>
  <c r="M61" i="35"/>
  <c r="N161" i="34"/>
  <c r="M94" i="29"/>
  <c r="M150" i="35"/>
  <c r="M150" i="31"/>
  <c r="N116" i="28"/>
  <c r="N72" i="28"/>
  <c r="M117" i="35"/>
  <c r="N127" i="34"/>
  <c r="M72" i="35"/>
  <c r="N161" i="28"/>
  <c r="L150" i="30"/>
  <c r="N150" i="34"/>
  <c r="L150" i="36"/>
  <c r="M83" i="29"/>
  <c r="L61" i="36"/>
  <c r="L72" i="36"/>
  <c r="N150" i="28"/>
  <c r="N117" i="28"/>
  <c r="M72" i="31"/>
  <c r="M116" i="35"/>
  <c r="M94" i="35"/>
  <c r="N117" i="34"/>
  <c r="M61" i="29"/>
  <c r="L72" i="30"/>
  <c r="N116" i="34"/>
  <c r="L116" i="36"/>
  <c r="M117" i="29"/>
  <c r="L161" i="36"/>
  <c r="L61" i="30"/>
  <c r="N61" i="34"/>
  <c r="N72" i="34"/>
  <c r="M83" i="35"/>
  <c r="N83" i="28"/>
  <c r="L161" i="30"/>
  <c r="N94" i="34"/>
  <c r="M117" i="31"/>
  <c r="N94" i="28"/>
  <c r="M147" i="30"/>
  <c r="N147" i="35"/>
  <c r="M146" i="36"/>
  <c r="O159" i="28"/>
  <c r="N146" i="31"/>
  <c r="N146" i="29"/>
  <c r="N146" i="35"/>
  <c r="M158" i="35"/>
  <c r="M147" i="36"/>
  <c r="N147" i="31"/>
  <c r="M146" i="30"/>
  <c r="L158" i="30"/>
  <c r="O147" i="34"/>
  <c r="N147" i="29"/>
  <c r="M158" i="31"/>
  <c r="O160" i="28"/>
  <c r="O158" i="28"/>
  <c r="M158" i="29"/>
  <c r="N158" i="28"/>
  <c r="L158" i="36"/>
  <c r="O146" i="34"/>
  <c r="N158" i="34"/>
  <c r="Q126" i="36"/>
  <c r="U126" i="34"/>
  <c r="S125" i="29"/>
  <c r="M149" i="36"/>
  <c r="M138" i="36"/>
  <c r="M139" i="36"/>
  <c r="M160" i="36"/>
  <c r="N126" i="35"/>
  <c r="N148" i="35"/>
  <c r="M195" i="35"/>
  <c r="M183" i="35"/>
  <c r="N137" i="35"/>
  <c r="N127" i="35"/>
  <c r="N195" i="34"/>
  <c r="N183" i="34"/>
  <c r="O138" i="34"/>
  <c r="O149" i="34"/>
  <c r="O160" i="34"/>
  <c r="O127" i="34"/>
  <c r="N137" i="31"/>
  <c r="M195" i="31"/>
  <c r="M183" i="31"/>
  <c r="N148" i="31"/>
  <c r="N126" i="31"/>
  <c r="N127" i="31"/>
  <c r="L195" i="30"/>
  <c r="L183" i="30"/>
  <c r="M137" i="30"/>
  <c r="M126" i="30"/>
  <c r="M148" i="30"/>
  <c r="N126" i="29"/>
  <c r="N148" i="29"/>
  <c r="N137" i="29"/>
  <c r="M195" i="29"/>
  <c r="M183" i="29"/>
  <c r="N195" i="28"/>
  <c r="N183" i="28"/>
  <c r="O162" i="28"/>
  <c r="O161" i="28"/>
  <c r="O128" i="28"/>
  <c r="O139" i="28"/>
  <c r="M61" i="36"/>
  <c r="M83" i="36"/>
  <c r="M72" i="36"/>
  <c r="M118" i="36"/>
  <c r="M94" i="36"/>
  <c r="M105" i="36"/>
  <c r="N117" i="35"/>
  <c r="N93" i="35"/>
  <c r="N60" i="35"/>
  <c r="N49" i="35"/>
  <c r="N104" i="35"/>
  <c r="N71" i="35"/>
  <c r="N82" i="35"/>
  <c r="O83" i="34"/>
  <c r="O105" i="34"/>
  <c r="O118" i="34"/>
  <c r="O94" i="34"/>
  <c r="O84" i="34"/>
  <c r="O61" i="34"/>
  <c r="N104" i="31"/>
  <c r="N117" i="31"/>
  <c r="N93" i="31"/>
  <c r="N60" i="31"/>
  <c r="N49" i="31"/>
  <c r="N82" i="31"/>
  <c r="N71" i="31"/>
  <c r="M104" i="30"/>
  <c r="M49" i="30"/>
  <c r="M82" i="30"/>
  <c r="M71" i="30"/>
  <c r="M93" i="30"/>
  <c r="M117" i="30"/>
  <c r="M72" i="30"/>
  <c r="N82" i="29"/>
  <c r="N49" i="29"/>
  <c r="N104" i="29"/>
  <c r="N93" i="29"/>
  <c r="N117" i="29"/>
  <c r="N72" i="29"/>
  <c r="N71" i="29"/>
  <c r="O106" i="28"/>
  <c r="O85" i="28"/>
  <c r="O119" i="28"/>
  <c r="O95" i="28"/>
  <c r="O84" i="28"/>
  <c r="BJ52" i="14" l="1"/>
  <c r="BD62" i="14"/>
  <c r="AC60" i="14"/>
  <c r="W63" i="14"/>
  <c r="Q94" i="36"/>
  <c r="Q127" i="36"/>
  <c r="L172" i="30"/>
  <c r="M172" i="35"/>
  <c r="M172" i="29"/>
  <c r="M172" i="31"/>
  <c r="L172" i="36"/>
  <c r="N172" i="28"/>
  <c r="N172" i="34"/>
  <c r="N73" i="34"/>
  <c r="N129" i="34"/>
  <c r="M106" i="31"/>
  <c r="N73" i="28"/>
  <c r="L128" i="30"/>
  <c r="M95" i="29"/>
  <c r="N84" i="28"/>
  <c r="M106" i="35"/>
  <c r="N128" i="28"/>
  <c r="L95" i="36"/>
  <c r="N106" i="28"/>
  <c r="L73" i="30"/>
  <c r="L162" i="36"/>
  <c r="M173" i="31"/>
  <c r="M84" i="29"/>
  <c r="M129" i="31"/>
  <c r="M128" i="35"/>
  <c r="M162" i="29"/>
  <c r="L173" i="36"/>
  <c r="N162" i="34"/>
  <c r="M162" i="31"/>
  <c r="L106" i="30"/>
  <c r="N95" i="34"/>
  <c r="M129" i="29"/>
  <c r="L129" i="36"/>
  <c r="N106" i="34"/>
  <c r="M84" i="31"/>
  <c r="L162" i="30"/>
  <c r="M162" i="35"/>
  <c r="M139" i="29"/>
  <c r="M139" i="35"/>
  <c r="L128" i="36"/>
  <c r="N129" i="28"/>
  <c r="M139" i="31"/>
  <c r="L173" i="30"/>
  <c r="N173" i="28"/>
  <c r="M106" i="29"/>
  <c r="M95" i="31"/>
  <c r="M173" i="29"/>
  <c r="N95" i="28"/>
  <c r="N128" i="34"/>
  <c r="N162" i="28"/>
  <c r="M84" i="35"/>
  <c r="N173" i="34"/>
  <c r="L139" i="36"/>
  <c r="L139" i="30"/>
  <c r="L95" i="30"/>
  <c r="M95" i="35"/>
  <c r="L84" i="30"/>
  <c r="L84" i="36"/>
  <c r="N139" i="34"/>
  <c r="M73" i="35"/>
  <c r="L106" i="36"/>
  <c r="N139" i="28"/>
  <c r="U139" i="28" s="1"/>
  <c r="M73" i="31"/>
  <c r="M73" i="29"/>
  <c r="L73" i="36"/>
  <c r="M129" i="35"/>
  <c r="M173" i="35"/>
  <c r="M128" i="29"/>
  <c r="M128" i="31"/>
  <c r="L129" i="30"/>
  <c r="N84" i="34"/>
  <c r="S147" i="29"/>
  <c r="M170" i="35"/>
  <c r="N159" i="29"/>
  <c r="U147" i="34"/>
  <c r="N158" i="35"/>
  <c r="N159" i="35"/>
  <c r="O159" i="34"/>
  <c r="M158" i="30"/>
  <c r="O158" i="34"/>
  <c r="N159" i="31"/>
  <c r="M170" i="29"/>
  <c r="N158" i="29"/>
  <c r="M159" i="30"/>
  <c r="L170" i="30"/>
  <c r="M159" i="36"/>
  <c r="L170" i="36"/>
  <c r="N158" i="31"/>
  <c r="N170" i="28"/>
  <c r="O170" i="28"/>
  <c r="U159" i="28"/>
  <c r="O171" i="28"/>
  <c r="O172" i="28"/>
  <c r="M158" i="36"/>
  <c r="N170" i="34"/>
  <c r="M170" i="31"/>
  <c r="Q160" i="36"/>
  <c r="U160" i="34"/>
  <c r="U127" i="34"/>
  <c r="S126" i="29"/>
  <c r="M172" i="36"/>
  <c r="M150" i="36"/>
  <c r="M151" i="36"/>
  <c r="M161" i="36"/>
  <c r="M128" i="36"/>
  <c r="N139" i="35"/>
  <c r="N160" i="35"/>
  <c r="N149" i="35"/>
  <c r="N138" i="35"/>
  <c r="O139" i="34"/>
  <c r="O150" i="34"/>
  <c r="O172" i="34"/>
  <c r="O161" i="34"/>
  <c r="O128" i="34"/>
  <c r="N139" i="31"/>
  <c r="N149" i="31"/>
  <c r="N138" i="31"/>
  <c r="N160" i="31"/>
  <c r="M160" i="30"/>
  <c r="M149" i="30"/>
  <c r="M127" i="30"/>
  <c r="M138" i="30"/>
  <c r="N127" i="29"/>
  <c r="N160" i="29"/>
  <c r="N149" i="29"/>
  <c r="N138" i="29"/>
  <c r="O174" i="28"/>
  <c r="O151" i="28"/>
  <c r="O173" i="28"/>
  <c r="O129" i="28"/>
  <c r="O140" i="28"/>
  <c r="M106" i="36"/>
  <c r="M84" i="36"/>
  <c r="M119" i="36"/>
  <c r="M95" i="36"/>
  <c r="M73" i="36"/>
  <c r="N94" i="35"/>
  <c r="N118" i="35"/>
  <c r="N83" i="35"/>
  <c r="N61" i="35"/>
  <c r="N72" i="35"/>
  <c r="N105" i="35"/>
  <c r="O73" i="34"/>
  <c r="O120" i="34"/>
  <c r="O96" i="34"/>
  <c r="O106" i="34"/>
  <c r="O119" i="34"/>
  <c r="O95" i="34"/>
  <c r="N83" i="31"/>
  <c r="N118" i="31"/>
  <c r="N94" i="31"/>
  <c r="N72" i="31"/>
  <c r="N105" i="31"/>
  <c r="N61" i="31"/>
  <c r="M84" i="30"/>
  <c r="M61" i="30"/>
  <c r="M105" i="30"/>
  <c r="M83" i="30"/>
  <c r="M94" i="30"/>
  <c r="M118" i="30"/>
  <c r="N83" i="29"/>
  <c r="N61" i="29"/>
  <c r="N84" i="29"/>
  <c r="N118" i="29"/>
  <c r="N94" i="29"/>
  <c r="N105" i="29"/>
  <c r="O107" i="28"/>
  <c r="O97" i="28"/>
  <c r="O121" i="28"/>
  <c r="O120" i="28"/>
  <c r="O96" i="28"/>
  <c r="BD63" i="14" l="1"/>
  <c r="BJ53" i="14"/>
  <c r="AC61" i="14"/>
  <c r="W64" i="14"/>
  <c r="Q95" i="36"/>
  <c r="N196" i="34"/>
  <c r="N184" i="34"/>
  <c r="N196" i="28"/>
  <c r="N184" i="28"/>
  <c r="L196" i="36"/>
  <c r="L184" i="36"/>
  <c r="M196" i="31"/>
  <c r="M184" i="31"/>
  <c r="M184" i="29"/>
  <c r="M196" i="29"/>
  <c r="M196" i="35"/>
  <c r="M184" i="35"/>
  <c r="L196" i="30"/>
  <c r="L184" i="30"/>
  <c r="M85" i="29"/>
  <c r="M107" i="35"/>
  <c r="N96" i="34"/>
  <c r="N107" i="28"/>
  <c r="L140" i="36"/>
  <c r="M141" i="29"/>
  <c r="M141" i="31"/>
  <c r="M118" i="35"/>
  <c r="L107" i="30"/>
  <c r="M185" i="29"/>
  <c r="M197" i="29"/>
  <c r="M85" i="31"/>
  <c r="M151" i="35"/>
  <c r="N107" i="34"/>
  <c r="M96" i="29"/>
  <c r="N96" i="28"/>
  <c r="L141" i="30"/>
  <c r="M151" i="29"/>
  <c r="M107" i="29"/>
  <c r="N151" i="28"/>
  <c r="L151" i="30"/>
  <c r="M107" i="31"/>
  <c r="L118" i="30"/>
  <c r="M197" i="31"/>
  <c r="M185" i="31"/>
  <c r="M140" i="31"/>
  <c r="L151" i="36"/>
  <c r="L118" i="36"/>
  <c r="M118" i="29"/>
  <c r="M174" i="35"/>
  <c r="M174" i="31"/>
  <c r="L174" i="36"/>
  <c r="L140" i="30"/>
  <c r="M140" i="29"/>
  <c r="L174" i="30"/>
  <c r="M85" i="35"/>
  <c r="N197" i="34"/>
  <c r="N185" i="34"/>
  <c r="N185" i="28"/>
  <c r="N197" i="28"/>
  <c r="N174" i="34"/>
  <c r="L85" i="30"/>
  <c r="N85" i="28"/>
  <c r="M197" i="35"/>
  <c r="M185" i="35"/>
  <c r="N151" i="34"/>
  <c r="M96" i="35"/>
  <c r="M141" i="35"/>
  <c r="L197" i="30"/>
  <c r="L185" i="30"/>
  <c r="M96" i="31"/>
  <c r="L197" i="36"/>
  <c r="L185" i="36"/>
  <c r="N118" i="28"/>
  <c r="M118" i="31"/>
  <c r="L96" i="36"/>
  <c r="L85" i="36"/>
  <c r="N174" i="28"/>
  <c r="M151" i="31"/>
  <c r="N118" i="34"/>
  <c r="M174" i="29"/>
  <c r="L107" i="36"/>
  <c r="N141" i="34"/>
  <c r="L96" i="30"/>
  <c r="N140" i="34"/>
  <c r="N85" i="34"/>
  <c r="N141" i="28"/>
  <c r="L141" i="36"/>
  <c r="M140" i="35"/>
  <c r="N140" i="28"/>
  <c r="N182" i="34"/>
  <c r="N194" i="34"/>
  <c r="N194" i="28"/>
  <c r="N182" i="28"/>
  <c r="O170" i="34"/>
  <c r="N170" i="29"/>
  <c r="O195" i="28"/>
  <c r="O183" i="28"/>
  <c r="N170" i="31"/>
  <c r="S159" i="29"/>
  <c r="M170" i="36"/>
  <c r="M194" i="29"/>
  <c r="M182" i="29"/>
  <c r="N171" i="29"/>
  <c r="L194" i="36"/>
  <c r="L182" i="36"/>
  <c r="M170" i="30"/>
  <c r="Q159" i="36"/>
  <c r="M171" i="36"/>
  <c r="U159" i="34"/>
  <c r="N171" i="31"/>
  <c r="O171" i="34"/>
  <c r="M194" i="35"/>
  <c r="M182" i="35"/>
  <c r="L194" i="30"/>
  <c r="L182" i="30"/>
  <c r="O196" i="28"/>
  <c r="O184" i="28"/>
  <c r="O194" i="28"/>
  <c r="O182" i="28"/>
  <c r="N171" i="35"/>
  <c r="M194" i="31"/>
  <c r="M182" i="31"/>
  <c r="M171" i="30"/>
  <c r="N170" i="35"/>
  <c r="Q128" i="36"/>
  <c r="Q161" i="36"/>
  <c r="U128" i="34"/>
  <c r="U161" i="34"/>
  <c r="S160" i="29"/>
  <c r="S127" i="29"/>
  <c r="M140" i="36"/>
  <c r="M173" i="36"/>
  <c r="M163" i="36"/>
  <c r="M162" i="36"/>
  <c r="M196" i="36"/>
  <c r="M184" i="36"/>
  <c r="M129" i="36"/>
  <c r="N161" i="35"/>
  <c r="N172" i="35"/>
  <c r="N150" i="35"/>
  <c r="N151" i="35"/>
  <c r="N128" i="35"/>
  <c r="O173" i="34"/>
  <c r="O140" i="34"/>
  <c r="O196" i="34"/>
  <c r="O184" i="34"/>
  <c r="O129" i="34"/>
  <c r="O162" i="34"/>
  <c r="O151" i="34"/>
  <c r="N128" i="31"/>
  <c r="N172" i="31"/>
  <c r="N151" i="31"/>
  <c r="N150" i="31"/>
  <c r="N161" i="31"/>
  <c r="M150" i="30"/>
  <c r="M172" i="30"/>
  <c r="M139" i="30"/>
  <c r="M161" i="30"/>
  <c r="M128" i="30"/>
  <c r="N161" i="29"/>
  <c r="N172" i="29"/>
  <c r="N128" i="29"/>
  <c r="N150" i="29"/>
  <c r="N139" i="29"/>
  <c r="O130" i="28"/>
  <c r="O197" i="28"/>
  <c r="O185" i="28"/>
  <c r="O152" i="28"/>
  <c r="O163" i="28"/>
  <c r="O198" i="28"/>
  <c r="O186" i="28"/>
  <c r="O141" i="28"/>
  <c r="M85" i="36"/>
  <c r="M107" i="36"/>
  <c r="M120" i="36"/>
  <c r="M96" i="36"/>
  <c r="N84" i="35"/>
  <c r="N73" i="35"/>
  <c r="N106" i="35"/>
  <c r="N119" i="35"/>
  <c r="N95" i="35"/>
  <c r="O107" i="34"/>
  <c r="O108" i="34"/>
  <c r="O85" i="34"/>
  <c r="N73" i="31"/>
  <c r="N119" i="31"/>
  <c r="N95" i="31"/>
  <c r="N84" i="31"/>
  <c r="N106" i="31"/>
  <c r="M119" i="30"/>
  <c r="M95" i="30"/>
  <c r="M106" i="30"/>
  <c r="M96" i="30"/>
  <c r="M120" i="30"/>
  <c r="M73" i="30"/>
  <c r="N73" i="29"/>
  <c r="N119" i="29"/>
  <c r="N95" i="29"/>
  <c r="N106" i="29"/>
  <c r="N120" i="29"/>
  <c r="N96" i="29"/>
  <c r="O108" i="28"/>
  <c r="O109" i="28"/>
  <c r="BJ54" i="14" l="1"/>
  <c r="BD64" i="14"/>
  <c r="AC62" i="14"/>
  <c r="W65" i="14"/>
  <c r="Q96" i="36"/>
  <c r="N153" i="34"/>
  <c r="M152" i="29"/>
  <c r="M130" i="35"/>
  <c r="N130" i="28"/>
  <c r="N97" i="28"/>
  <c r="M152" i="31"/>
  <c r="L153" i="30"/>
  <c r="N152" i="28"/>
  <c r="L119" i="36"/>
  <c r="M152" i="35"/>
  <c r="M186" i="29"/>
  <c r="M198" i="29"/>
  <c r="L152" i="30"/>
  <c r="N108" i="28"/>
  <c r="M153" i="31"/>
  <c r="L97" i="30"/>
  <c r="L198" i="36"/>
  <c r="L186" i="36"/>
  <c r="L130" i="30"/>
  <c r="N130" i="34"/>
  <c r="N198" i="34"/>
  <c r="N186" i="34"/>
  <c r="M108" i="29"/>
  <c r="M153" i="29"/>
  <c r="U140" i="28"/>
  <c r="L153" i="36"/>
  <c r="M108" i="31"/>
  <c r="M198" i="31"/>
  <c r="M186" i="31"/>
  <c r="N153" i="28"/>
  <c r="M119" i="31"/>
  <c r="N119" i="34"/>
  <c r="L152" i="36"/>
  <c r="M163" i="31"/>
  <c r="M198" i="35"/>
  <c r="M186" i="35"/>
  <c r="L163" i="30"/>
  <c r="M163" i="35"/>
  <c r="N119" i="28"/>
  <c r="N97" i="34"/>
  <c r="N198" i="28"/>
  <c r="N186" i="28"/>
  <c r="M153" i="35"/>
  <c r="M130" i="29"/>
  <c r="N163" i="28"/>
  <c r="M97" i="31"/>
  <c r="L97" i="36"/>
  <c r="N108" i="34"/>
  <c r="N152" i="34"/>
  <c r="L130" i="36"/>
  <c r="M108" i="35"/>
  <c r="M97" i="35"/>
  <c r="L108" i="36"/>
  <c r="M119" i="29"/>
  <c r="M119" i="35"/>
  <c r="L108" i="30"/>
  <c r="N163" i="34"/>
  <c r="M130" i="31"/>
  <c r="L198" i="30"/>
  <c r="L186" i="30"/>
  <c r="L163" i="36"/>
  <c r="M163" i="29"/>
  <c r="L119" i="30"/>
  <c r="M97" i="29"/>
  <c r="M194" i="30"/>
  <c r="M182" i="30"/>
  <c r="U184" i="28"/>
  <c r="M195" i="30"/>
  <c r="M183" i="30"/>
  <c r="N182" i="29"/>
  <c r="N194" i="29"/>
  <c r="N195" i="29"/>
  <c r="N183" i="29"/>
  <c r="M195" i="36"/>
  <c r="M183" i="36"/>
  <c r="N182" i="31"/>
  <c r="N194" i="31"/>
  <c r="O194" i="34"/>
  <c r="O182" i="34"/>
  <c r="U183" i="28"/>
  <c r="N194" i="35"/>
  <c r="N182" i="35"/>
  <c r="N195" i="35"/>
  <c r="N183" i="35"/>
  <c r="O195" i="34"/>
  <c r="O183" i="34"/>
  <c r="M194" i="36"/>
  <c r="M182" i="36"/>
  <c r="N183" i="31"/>
  <c r="N195" i="31"/>
  <c r="M121" i="36"/>
  <c r="M109" i="36"/>
  <c r="N108" i="35"/>
  <c r="N120" i="35"/>
  <c r="Q162" i="36"/>
  <c r="Q196" i="36"/>
  <c r="Q129" i="36"/>
  <c r="U196" i="34"/>
  <c r="U162" i="34"/>
  <c r="U129" i="34"/>
  <c r="S128" i="29"/>
  <c r="S161" i="29"/>
  <c r="U185" i="28"/>
  <c r="U141" i="28"/>
  <c r="M141" i="36"/>
  <c r="M130" i="36"/>
  <c r="M174" i="36"/>
  <c r="M175" i="36"/>
  <c r="M197" i="36"/>
  <c r="M185" i="36"/>
  <c r="M152" i="36"/>
  <c r="N140" i="35"/>
  <c r="N163" i="35"/>
  <c r="N162" i="35"/>
  <c r="N129" i="35"/>
  <c r="N196" i="35"/>
  <c r="N184" i="35"/>
  <c r="N173" i="35"/>
  <c r="O163" i="34"/>
  <c r="O174" i="34"/>
  <c r="O141" i="34"/>
  <c r="O152" i="34"/>
  <c r="O130" i="34"/>
  <c r="O197" i="34"/>
  <c r="O185" i="34"/>
  <c r="N173" i="31"/>
  <c r="N162" i="31"/>
  <c r="N163" i="31"/>
  <c r="N196" i="31"/>
  <c r="N184" i="31"/>
  <c r="N140" i="31"/>
  <c r="N129" i="31"/>
  <c r="M129" i="30"/>
  <c r="M140" i="30"/>
  <c r="M173" i="30"/>
  <c r="M151" i="30"/>
  <c r="M196" i="30"/>
  <c r="M184" i="30"/>
  <c r="M162" i="30"/>
  <c r="N151" i="29"/>
  <c r="N162" i="29"/>
  <c r="N140" i="29"/>
  <c r="N129" i="29"/>
  <c r="N196" i="29"/>
  <c r="N184" i="29"/>
  <c r="N173" i="29"/>
  <c r="O153" i="28"/>
  <c r="O131" i="28"/>
  <c r="O175" i="28"/>
  <c r="O164" i="28"/>
  <c r="O142" i="28"/>
  <c r="M108" i="36"/>
  <c r="M97" i="36"/>
  <c r="N107" i="35"/>
  <c r="N96" i="35"/>
  <c r="N85" i="35"/>
  <c r="O121" i="34"/>
  <c r="O97" i="34"/>
  <c r="N120" i="31"/>
  <c r="N96" i="31"/>
  <c r="N107" i="31"/>
  <c r="N85" i="31"/>
  <c r="M108" i="30"/>
  <c r="M85" i="30"/>
  <c r="M107" i="30"/>
  <c r="N108" i="29"/>
  <c r="N107" i="29"/>
  <c r="N85" i="29"/>
  <c r="BD65" i="14" l="1"/>
  <c r="BJ55" i="14"/>
  <c r="AC63" i="14"/>
  <c r="W66" i="14"/>
  <c r="Q97" i="36"/>
  <c r="Q163" i="36"/>
  <c r="U186" i="28"/>
  <c r="L131" i="30"/>
  <c r="M131" i="29"/>
  <c r="M175" i="35"/>
  <c r="N164" i="28"/>
  <c r="L175" i="30"/>
  <c r="M109" i="31"/>
  <c r="M120" i="31"/>
  <c r="M175" i="29"/>
  <c r="L120" i="36"/>
  <c r="L109" i="30"/>
  <c r="L165" i="30"/>
  <c r="N175" i="28"/>
  <c r="L165" i="36"/>
  <c r="L175" i="36"/>
  <c r="M109" i="35"/>
  <c r="M175" i="31"/>
  <c r="M165" i="31"/>
  <c r="M164" i="31"/>
  <c r="M120" i="35"/>
  <c r="M142" i="29"/>
  <c r="N109" i="28"/>
  <c r="M165" i="29"/>
  <c r="N120" i="28"/>
  <c r="L164" i="36"/>
  <c r="M142" i="31"/>
  <c r="N131" i="34"/>
  <c r="M120" i="29"/>
  <c r="L164" i="30"/>
  <c r="N142" i="28"/>
  <c r="N175" i="34"/>
  <c r="N164" i="34"/>
  <c r="N109" i="34"/>
  <c r="M131" i="31"/>
  <c r="M142" i="35"/>
  <c r="N142" i="34"/>
  <c r="L120" i="30"/>
  <c r="N120" i="34"/>
  <c r="N131" i="28"/>
  <c r="N165" i="28"/>
  <c r="M164" i="35"/>
  <c r="M164" i="29"/>
  <c r="M165" i="35"/>
  <c r="M109" i="29"/>
  <c r="M131" i="35"/>
  <c r="L131" i="36"/>
  <c r="L142" i="36"/>
  <c r="L109" i="36"/>
  <c r="L142" i="30"/>
  <c r="N165" i="34"/>
  <c r="Q195" i="36"/>
  <c r="S183" i="29"/>
  <c r="S195" i="29"/>
  <c r="U183" i="34"/>
  <c r="U195" i="34"/>
  <c r="N121" i="35"/>
  <c r="N109" i="35"/>
  <c r="M121" i="30"/>
  <c r="M109" i="30"/>
  <c r="Q197" i="36"/>
  <c r="Q130" i="36"/>
  <c r="U197" i="34"/>
  <c r="U130" i="34"/>
  <c r="U163" i="34"/>
  <c r="S196" i="29"/>
  <c r="S162" i="29"/>
  <c r="S129" i="29"/>
  <c r="M164" i="36"/>
  <c r="M199" i="36"/>
  <c r="M187" i="36"/>
  <c r="M198" i="36"/>
  <c r="M186" i="36"/>
  <c r="M142" i="36"/>
  <c r="M153" i="36"/>
  <c r="M131" i="36"/>
  <c r="N197" i="35"/>
  <c r="N185" i="35"/>
  <c r="N141" i="35"/>
  <c r="N174" i="35"/>
  <c r="N130" i="35"/>
  <c r="N175" i="35"/>
  <c r="N152" i="35"/>
  <c r="O132" i="34"/>
  <c r="O142" i="34"/>
  <c r="O164" i="34"/>
  <c r="O153" i="34"/>
  <c r="O198" i="34"/>
  <c r="O186" i="34"/>
  <c r="O175" i="34"/>
  <c r="O131" i="34"/>
  <c r="N141" i="31"/>
  <c r="N152" i="31"/>
  <c r="N175" i="31"/>
  <c r="N174" i="31"/>
  <c r="N197" i="31"/>
  <c r="N185" i="31"/>
  <c r="N130" i="31"/>
  <c r="M174" i="30"/>
  <c r="M163" i="30"/>
  <c r="M130" i="30"/>
  <c r="M197" i="30"/>
  <c r="M185" i="30"/>
  <c r="M152" i="30"/>
  <c r="M141" i="30"/>
  <c r="N197" i="29"/>
  <c r="N185" i="29"/>
  <c r="N130" i="29"/>
  <c r="N141" i="29"/>
  <c r="N152" i="29"/>
  <c r="N174" i="29"/>
  <c r="N163" i="29"/>
  <c r="O154" i="28"/>
  <c r="O176" i="28"/>
  <c r="O132" i="28"/>
  <c r="O133" i="28"/>
  <c r="O199" i="28"/>
  <c r="O187" i="28"/>
  <c r="O143" i="28"/>
  <c r="O165" i="28"/>
  <c r="N97" i="35"/>
  <c r="O109" i="34"/>
  <c r="N121" i="31"/>
  <c r="N97" i="31"/>
  <c r="N108" i="31"/>
  <c r="M97" i="30"/>
  <c r="N121" i="29"/>
  <c r="N97" i="29"/>
  <c r="BJ56" i="14" l="1"/>
  <c r="BD66" i="14"/>
  <c r="AC64" i="14"/>
  <c r="W67" i="14"/>
  <c r="U142" i="28"/>
  <c r="L154" i="30"/>
  <c r="M176" i="35"/>
  <c r="N121" i="34"/>
  <c r="L176" i="36"/>
  <c r="M187" i="31"/>
  <c r="M199" i="31"/>
  <c r="M199" i="29"/>
  <c r="M187" i="29"/>
  <c r="N132" i="28"/>
  <c r="M121" i="35"/>
  <c r="M132" i="31"/>
  <c r="L121" i="36"/>
  <c r="N177" i="28"/>
  <c r="N176" i="34"/>
  <c r="L154" i="36"/>
  <c r="N143" i="28"/>
  <c r="N199" i="34"/>
  <c r="N187" i="34"/>
  <c r="M177" i="29"/>
  <c r="L199" i="36"/>
  <c r="L187" i="36"/>
  <c r="M121" i="31"/>
  <c r="N132" i="34"/>
  <c r="U132" i="34" s="1"/>
  <c r="L143" i="36"/>
  <c r="N154" i="28"/>
  <c r="N121" i="28"/>
  <c r="L177" i="36"/>
  <c r="L199" i="30"/>
  <c r="L187" i="30"/>
  <c r="L132" i="30"/>
  <c r="M154" i="29"/>
  <c r="M143" i="35"/>
  <c r="L176" i="30"/>
  <c r="N199" i="28"/>
  <c r="N187" i="28"/>
  <c r="N176" i="28"/>
  <c r="N154" i="34"/>
  <c r="M132" i="29"/>
  <c r="M132" i="35"/>
  <c r="L177" i="30"/>
  <c r="M121" i="29"/>
  <c r="M199" i="35"/>
  <c r="M187" i="35"/>
  <c r="M177" i="35"/>
  <c r="M154" i="35"/>
  <c r="N143" i="34"/>
  <c r="M176" i="31"/>
  <c r="L121" i="30"/>
  <c r="M143" i="29"/>
  <c r="N177" i="34"/>
  <c r="L132" i="36"/>
  <c r="M176" i="29"/>
  <c r="M143" i="31"/>
  <c r="M154" i="31"/>
  <c r="M177" i="31"/>
  <c r="L143" i="30"/>
  <c r="Q198" i="36"/>
  <c r="Q164" i="36"/>
  <c r="Q131" i="36"/>
  <c r="U198" i="34"/>
  <c r="U131" i="34"/>
  <c r="U164" i="34"/>
  <c r="S130" i="29"/>
  <c r="S197" i="29"/>
  <c r="S163" i="29"/>
  <c r="M143" i="36"/>
  <c r="M165" i="36"/>
  <c r="M154" i="36"/>
  <c r="M132" i="36"/>
  <c r="M176" i="36"/>
  <c r="N164" i="35"/>
  <c r="N199" i="35"/>
  <c r="N187" i="35"/>
  <c r="N142" i="35"/>
  <c r="N198" i="35"/>
  <c r="N186" i="35"/>
  <c r="N153" i="35"/>
  <c r="N131" i="35"/>
  <c r="O143" i="34"/>
  <c r="O199" i="34"/>
  <c r="O187" i="34"/>
  <c r="O165" i="34"/>
  <c r="O176" i="34"/>
  <c r="O154" i="34"/>
  <c r="O144" i="34"/>
  <c r="N142" i="31"/>
  <c r="N131" i="31"/>
  <c r="N198" i="31"/>
  <c r="N186" i="31"/>
  <c r="N199" i="31"/>
  <c r="N187" i="31"/>
  <c r="N164" i="31"/>
  <c r="N153" i="31"/>
  <c r="M131" i="30"/>
  <c r="M164" i="30"/>
  <c r="M153" i="30"/>
  <c r="M142" i="30"/>
  <c r="M175" i="30"/>
  <c r="M132" i="30"/>
  <c r="M198" i="30"/>
  <c r="M186" i="30"/>
  <c r="N132" i="29"/>
  <c r="N198" i="29"/>
  <c r="N186" i="29"/>
  <c r="N131" i="29"/>
  <c r="N175" i="29"/>
  <c r="N164" i="29"/>
  <c r="N153" i="29"/>
  <c r="N142" i="29"/>
  <c r="O177" i="28"/>
  <c r="O155" i="28"/>
  <c r="O145" i="28"/>
  <c r="O144" i="28"/>
  <c r="O200" i="28"/>
  <c r="O188" i="28"/>
  <c r="O166" i="28"/>
  <c r="N109" i="31"/>
  <c r="N109" i="29"/>
  <c r="BD67" i="14" l="1"/>
  <c r="BJ57" i="14"/>
  <c r="AC65" i="14"/>
  <c r="W68" i="14"/>
  <c r="Q199" i="36"/>
  <c r="U143" i="28"/>
  <c r="U187" i="28"/>
  <c r="M166" i="31"/>
  <c r="M201" i="29"/>
  <c r="M189" i="29"/>
  <c r="M133" i="35"/>
  <c r="N155" i="34"/>
  <c r="N166" i="34"/>
  <c r="L201" i="36"/>
  <c r="L189" i="36"/>
  <c r="N133" i="28"/>
  <c r="M155" i="31"/>
  <c r="M166" i="35"/>
  <c r="N200" i="28"/>
  <c r="N188" i="28"/>
  <c r="U188" i="28" s="1"/>
  <c r="N144" i="28"/>
  <c r="N155" i="28"/>
  <c r="M200" i="29"/>
  <c r="M188" i="29"/>
  <c r="M201" i="35"/>
  <c r="M189" i="35"/>
  <c r="N166" i="28"/>
  <c r="L166" i="36"/>
  <c r="L144" i="36"/>
  <c r="L200" i="30"/>
  <c r="L188" i="30"/>
  <c r="L155" i="36"/>
  <c r="M133" i="29"/>
  <c r="N201" i="34"/>
  <c r="N189" i="34"/>
  <c r="M155" i="35"/>
  <c r="N200" i="34"/>
  <c r="N188" i="34"/>
  <c r="L200" i="36"/>
  <c r="L188" i="36"/>
  <c r="N133" i="34"/>
  <c r="M155" i="29"/>
  <c r="M133" i="31"/>
  <c r="N201" i="28"/>
  <c r="N189" i="28"/>
  <c r="L133" i="30"/>
  <c r="L144" i="30"/>
  <c r="L133" i="36"/>
  <c r="L201" i="30"/>
  <c r="L189" i="30"/>
  <c r="L155" i="30"/>
  <c r="M144" i="35"/>
  <c r="M188" i="35"/>
  <c r="M200" i="35"/>
  <c r="N144" i="34"/>
  <c r="M166" i="29"/>
  <c r="M201" i="31"/>
  <c r="M189" i="31"/>
  <c r="M188" i="31"/>
  <c r="M200" i="31"/>
  <c r="M144" i="29"/>
  <c r="M144" i="31"/>
  <c r="L166" i="30"/>
  <c r="Q132" i="36"/>
  <c r="Q165" i="36"/>
  <c r="U165" i="34"/>
  <c r="U199" i="34"/>
  <c r="S132" i="29"/>
  <c r="S164" i="29"/>
  <c r="S131" i="29"/>
  <c r="S198" i="29"/>
  <c r="M200" i="36"/>
  <c r="M188" i="36"/>
  <c r="M133" i="36"/>
  <c r="M144" i="36"/>
  <c r="M166" i="36"/>
  <c r="M177" i="36"/>
  <c r="M155" i="36"/>
  <c r="N132" i="35"/>
  <c r="N143" i="35"/>
  <c r="N165" i="35"/>
  <c r="N154" i="35"/>
  <c r="N176" i="35"/>
  <c r="O156" i="34"/>
  <c r="O133" i="34"/>
  <c r="O166" i="34"/>
  <c r="O200" i="34"/>
  <c r="O188" i="34"/>
  <c r="O177" i="34"/>
  <c r="O155" i="34"/>
  <c r="N165" i="31"/>
  <c r="N176" i="31"/>
  <c r="N132" i="31"/>
  <c r="N143" i="31"/>
  <c r="N154" i="31"/>
  <c r="M144" i="30"/>
  <c r="M199" i="30"/>
  <c r="M187" i="30"/>
  <c r="M154" i="30"/>
  <c r="M165" i="30"/>
  <c r="M176" i="30"/>
  <c r="M143" i="30"/>
  <c r="N154" i="29"/>
  <c r="N165" i="29"/>
  <c r="N176" i="29"/>
  <c r="N199" i="29"/>
  <c r="N187" i="29"/>
  <c r="N143" i="29"/>
  <c r="N144" i="29"/>
  <c r="O178" i="28"/>
  <c r="O156" i="28"/>
  <c r="O157" i="28"/>
  <c r="O167" i="28"/>
  <c r="O201" i="28"/>
  <c r="O189" i="28"/>
  <c r="BJ58" i="14" l="1"/>
  <c r="BD68" i="14"/>
  <c r="AC66" i="14"/>
  <c r="W69" i="14"/>
  <c r="U144" i="28"/>
  <c r="L178" i="36"/>
  <c r="M167" i="31"/>
  <c r="L145" i="36"/>
  <c r="L156" i="30"/>
  <c r="N178" i="28"/>
  <c r="M167" i="35"/>
  <c r="N145" i="28"/>
  <c r="M178" i="29"/>
  <c r="L145" i="30"/>
  <c r="N156" i="34"/>
  <c r="N178" i="34"/>
  <c r="M145" i="29"/>
  <c r="N167" i="28"/>
  <c r="M145" i="31"/>
  <c r="N167" i="34"/>
  <c r="N156" i="28"/>
  <c r="M156" i="35"/>
  <c r="M167" i="29"/>
  <c r="M145" i="35"/>
  <c r="L178" i="30"/>
  <c r="L167" i="36"/>
  <c r="M156" i="31"/>
  <c r="L167" i="30"/>
  <c r="N145" i="34"/>
  <c r="M156" i="29"/>
  <c r="L156" i="36"/>
  <c r="M178" i="35"/>
  <c r="M178" i="31"/>
  <c r="Q166" i="36"/>
  <c r="Q133" i="36"/>
  <c r="Q200" i="36"/>
  <c r="U166" i="34"/>
  <c r="U133" i="34"/>
  <c r="U200" i="34"/>
  <c r="S199" i="29"/>
  <c r="S165" i="29"/>
  <c r="U189" i="28"/>
  <c r="M167" i="36"/>
  <c r="M201" i="36"/>
  <c r="M189" i="36"/>
  <c r="M178" i="36"/>
  <c r="M156" i="36"/>
  <c r="M145" i="36"/>
  <c r="N200" i="35"/>
  <c r="N188" i="35"/>
  <c r="N133" i="35"/>
  <c r="N166" i="35"/>
  <c r="N177" i="35"/>
  <c r="N155" i="35"/>
  <c r="N144" i="35"/>
  <c r="O167" i="34"/>
  <c r="O201" i="34"/>
  <c r="O189" i="34"/>
  <c r="O178" i="34"/>
  <c r="O145" i="34"/>
  <c r="O168" i="34"/>
  <c r="N155" i="31"/>
  <c r="N144" i="31"/>
  <c r="N133" i="31"/>
  <c r="N200" i="31"/>
  <c r="N188" i="31"/>
  <c r="N166" i="31"/>
  <c r="N177" i="31"/>
  <c r="M155" i="30"/>
  <c r="M177" i="30"/>
  <c r="M200" i="30"/>
  <c r="M188" i="30"/>
  <c r="M166" i="30"/>
  <c r="M156" i="30"/>
  <c r="M133" i="30"/>
  <c r="N200" i="29"/>
  <c r="N188" i="29"/>
  <c r="N156" i="29"/>
  <c r="N177" i="29"/>
  <c r="N133" i="29"/>
  <c r="N155" i="29"/>
  <c r="N166" i="29"/>
  <c r="O179" i="28"/>
  <c r="O169" i="28"/>
  <c r="O168" i="28"/>
  <c r="O202" i="28"/>
  <c r="O190" i="28"/>
  <c r="BD69" i="14" l="1"/>
  <c r="BJ59" i="14"/>
  <c r="AC67" i="14"/>
  <c r="W70" i="14"/>
  <c r="N157" i="34"/>
  <c r="N168" i="28"/>
  <c r="M202" i="29"/>
  <c r="M190" i="29"/>
  <c r="N157" i="28"/>
  <c r="L179" i="30"/>
  <c r="N179" i="34"/>
  <c r="U145" i="28"/>
  <c r="M157" i="31"/>
  <c r="M168" i="31"/>
  <c r="M179" i="35"/>
  <c r="N179" i="28"/>
  <c r="N202" i="28"/>
  <c r="N190" i="28"/>
  <c r="L179" i="36"/>
  <c r="L168" i="30"/>
  <c r="M157" i="29"/>
  <c r="L157" i="36"/>
  <c r="M157" i="35"/>
  <c r="N202" i="34"/>
  <c r="N190" i="34"/>
  <c r="M179" i="31"/>
  <c r="L202" i="30"/>
  <c r="L190" i="30"/>
  <c r="M202" i="31"/>
  <c r="M190" i="31"/>
  <c r="L168" i="36"/>
  <c r="M179" i="29"/>
  <c r="N168" i="34"/>
  <c r="U168" i="34" s="1"/>
  <c r="M168" i="35"/>
  <c r="M202" i="35"/>
  <c r="M190" i="35"/>
  <c r="M168" i="29"/>
  <c r="L157" i="30"/>
  <c r="L190" i="36"/>
  <c r="L202" i="36"/>
  <c r="Q201" i="36"/>
  <c r="Q167" i="36"/>
  <c r="U201" i="34"/>
  <c r="U167" i="34"/>
  <c r="S133" i="29"/>
  <c r="S200" i="29"/>
  <c r="S166" i="29"/>
  <c r="M157" i="36"/>
  <c r="M168" i="36"/>
  <c r="M202" i="36"/>
  <c r="M190" i="36"/>
  <c r="M179" i="36"/>
  <c r="N156" i="35"/>
  <c r="N167" i="35"/>
  <c r="N201" i="35"/>
  <c r="N189" i="35"/>
  <c r="N178" i="35"/>
  <c r="N145" i="35"/>
  <c r="O180" i="34"/>
  <c r="O157" i="34"/>
  <c r="O202" i="34"/>
  <c r="O190" i="34"/>
  <c r="O179" i="34"/>
  <c r="N201" i="31"/>
  <c r="N189" i="31"/>
  <c r="N178" i="31"/>
  <c r="N145" i="31"/>
  <c r="N156" i="31"/>
  <c r="N167" i="31"/>
  <c r="M201" i="30"/>
  <c r="M189" i="30"/>
  <c r="M145" i="30"/>
  <c r="M168" i="30"/>
  <c r="M178" i="30"/>
  <c r="M167" i="30"/>
  <c r="N145" i="29"/>
  <c r="N201" i="29"/>
  <c r="N189" i="29"/>
  <c r="N167" i="29"/>
  <c r="N168" i="29"/>
  <c r="N178" i="29"/>
  <c r="O180" i="28"/>
  <c r="O181" i="28"/>
  <c r="O203" i="28"/>
  <c r="O191" i="28"/>
  <c r="BJ60" i="14" l="1"/>
  <c r="BJ61" i="14" s="1"/>
  <c r="BJ62" i="14" s="1"/>
  <c r="BJ63" i="14" s="1"/>
  <c r="BJ64" i="14" s="1"/>
  <c r="BJ65" i="14" s="1"/>
  <c r="BJ66" i="14" s="1"/>
  <c r="BJ67" i="14" s="1"/>
  <c r="BJ68" i="14" s="1"/>
  <c r="BJ69" i="14" s="1"/>
  <c r="BJ70" i="14" s="1"/>
  <c r="BJ71" i="14" s="1"/>
  <c r="BD70" i="14"/>
  <c r="AC68" i="14"/>
  <c r="W71" i="14"/>
  <c r="U190" i="28"/>
  <c r="N180" i="34"/>
  <c r="L169" i="36"/>
  <c r="M169" i="31"/>
  <c r="M203" i="29"/>
  <c r="M191" i="29"/>
  <c r="M169" i="29"/>
  <c r="L180" i="36"/>
  <c r="L180" i="30"/>
  <c r="N203" i="34"/>
  <c r="N191" i="34"/>
  <c r="L169" i="30"/>
  <c r="L203" i="36"/>
  <c r="L191" i="36"/>
  <c r="L203" i="30"/>
  <c r="L191" i="30"/>
  <c r="M180" i="29"/>
  <c r="N169" i="28"/>
  <c r="M203" i="31"/>
  <c r="M191" i="31"/>
  <c r="N203" i="28"/>
  <c r="N191" i="28"/>
  <c r="U191" i="28" s="1"/>
  <c r="M203" i="35"/>
  <c r="M191" i="35"/>
  <c r="N180" i="28"/>
  <c r="M180" i="35"/>
  <c r="M169" i="35"/>
  <c r="M180" i="31"/>
  <c r="N169" i="34"/>
  <c r="Q202" i="36"/>
  <c r="Q168" i="36"/>
  <c r="U202" i="34"/>
  <c r="S168" i="29"/>
  <c r="S167" i="29"/>
  <c r="S201" i="29"/>
  <c r="M203" i="36"/>
  <c r="M191" i="36"/>
  <c r="M180" i="36"/>
  <c r="M169" i="36"/>
  <c r="N157" i="35"/>
  <c r="N202" i="35"/>
  <c r="N190" i="35"/>
  <c r="N179" i="35"/>
  <c r="N168" i="35"/>
  <c r="O203" i="34"/>
  <c r="O191" i="34"/>
  <c r="O169" i="34"/>
  <c r="O204" i="34"/>
  <c r="O192" i="34"/>
  <c r="N179" i="31"/>
  <c r="N168" i="31"/>
  <c r="N157" i="31"/>
  <c r="N202" i="31"/>
  <c r="N190" i="31"/>
  <c r="M179" i="30"/>
  <c r="M202" i="30"/>
  <c r="M190" i="30"/>
  <c r="M180" i="30"/>
  <c r="M157" i="30"/>
  <c r="N202" i="29"/>
  <c r="N190" i="29"/>
  <c r="N180" i="29"/>
  <c r="N179" i="29"/>
  <c r="N157" i="29"/>
  <c r="O205" i="28"/>
  <c r="O193" i="28"/>
  <c r="O204" i="28"/>
  <c r="O192" i="28"/>
  <c r="BD71" i="14" l="1"/>
  <c r="BJ26" i="14"/>
  <c r="BJ72" i="14"/>
  <c r="BJ73" i="14" s="1"/>
  <c r="BJ74" i="14" s="1"/>
  <c r="BJ75" i="14" s="1"/>
  <c r="BJ76" i="14" s="1"/>
  <c r="BJ77" i="14" s="1"/>
  <c r="BJ78" i="14" s="1"/>
  <c r="BJ79" i="14" s="1"/>
  <c r="BJ80" i="14" s="1"/>
  <c r="BJ81" i="14" s="1"/>
  <c r="BJ82" i="14" s="1"/>
  <c r="BJ83" i="14" s="1"/>
  <c r="AC69" i="14"/>
  <c r="W72" i="14"/>
  <c r="L192" i="30"/>
  <c r="L204" i="30"/>
  <c r="L204" i="36"/>
  <c r="L192" i="36"/>
  <c r="M181" i="29"/>
  <c r="M204" i="31"/>
  <c r="M192" i="31"/>
  <c r="N181" i="34"/>
  <c r="N181" i="28"/>
  <c r="M181" i="31"/>
  <c r="M204" i="35"/>
  <c r="M192" i="35"/>
  <c r="L181" i="36"/>
  <c r="M181" i="35"/>
  <c r="N192" i="28"/>
  <c r="U192" i="28" s="1"/>
  <c r="N204" i="28"/>
  <c r="L181" i="30"/>
  <c r="M204" i="29"/>
  <c r="M192" i="29"/>
  <c r="N204" i="34"/>
  <c r="U204" i="34" s="1"/>
  <c r="N192" i="34"/>
  <c r="Q169" i="36"/>
  <c r="Q203" i="36"/>
  <c r="U169" i="34"/>
  <c r="U203" i="34"/>
  <c r="S202" i="29"/>
  <c r="M204" i="36"/>
  <c r="M192" i="36"/>
  <c r="M181" i="36"/>
  <c r="N180" i="35"/>
  <c r="N203" i="35"/>
  <c r="N191" i="35"/>
  <c r="N169" i="35"/>
  <c r="O181" i="34"/>
  <c r="N169" i="31"/>
  <c r="N180" i="31"/>
  <c r="N203" i="31"/>
  <c r="N191" i="31"/>
  <c r="M204" i="30"/>
  <c r="M192" i="30"/>
  <c r="M169" i="30"/>
  <c r="M203" i="30"/>
  <c r="M191" i="30"/>
  <c r="N204" i="29"/>
  <c r="N192" i="29"/>
  <c r="N169" i="29"/>
  <c r="N203" i="29"/>
  <c r="N191" i="29"/>
  <c r="BJ27" i="14" l="1"/>
  <c r="BJ84" i="14"/>
  <c r="BJ85" i="14" s="1"/>
  <c r="BJ86" i="14" s="1"/>
  <c r="BJ87" i="14" s="1"/>
  <c r="BJ88" i="14" s="1"/>
  <c r="BJ89" i="14" s="1"/>
  <c r="BJ90" i="14" s="1"/>
  <c r="BJ91" i="14" s="1"/>
  <c r="BJ92" i="14" s="1"/>
  <c r="BJ93" i="14" s="1"/>
  <c r="BJ94" i="14" s="1"/>
  <c r="BJ95" i="14" s="1"/>
  <c r="BD72" i="14"/>
  <c r="AC70" i="14"/>
  <c r="W73" i="14"/>
  <c r="M205" i="31"/>
  <c r="M193" i="31"/>
  <c r="N205" i="28"/>
  <c r="N193" i="28"/>
  <c r="N193" i="34"/>
  <c r="N205" i="34"/>
  <c r="L205" i="30"/>
  <c r="L193" i="30"/>
  <c r="L205" i="36"/>
  <c r="L193" i="36"/>
  <c r="M205" i="29"/>
  <c r="M193" i="29"/>
  <c r="M205" i="35"/>
  <c r="M193" i="35"/>
  <c r="Q204" i="36"/>
  <c r="S204" i="29"/>
  <c r="S203" i="29"/>
  <c r="S169" i="29"/>
  <c r="M205" i="36"/>
  <c r="M193" i="36"/>
  <c r="N181" i="35"/>
  <c r="N204" i="35"/>
  <c r="N192" i="35"/>
  <c r="O205" i="34"/>
  <c r="O193" i="34"/>
  <c r="N204" i="31"/>
  <c r="N192" i="31"/>
  <c r="N181" i="31"/>
  <c r="M181" i="30"/>
  <c r="N181" i="29"/>
  <c r="BD73" i="14" l="1"/>
  <c r="BJ28" i="14"/>
  <c r="BJ96" i="14"/>
  <c r="BJ97" i="14" s="1"/>
  <c r="BJ98" i="14" s="1"/>
  <c r="BJ99" i="14" s="1"/>
  <c r="BJ100" i="14" s="1"/>
  <c r="BJ101" i="14" s="1"/>
  <c r="BJ102" i="14" s="1"/>
  <c r="BJ103" i="14" s="1"/>
  <c r="BJ104" i="14" s="1"/>
  <c r="BJ105" i="14" s="1"/>
  <c r="BJ106" i="14" s="1"/>
  <c r="BJ107" i="14" s="1"/>
  <c r="AC71" i="14"/>
  <c r="W74" i="14"/>
  <c r="U193" i="28"/>
  <c r="Q205" i="36"/>
  <c r="U205" i="34"/>
  <c r="N205" i="35"/>
  <c r="N193" i="35"/>
  <c r="N205" i="31"/>
  <c r="N193" i="31"/>
  <c r="M205" i="30"/>
  <c r="M193" i="30"/>
  <c r="N205" i="29"/>
  <c r="N193" i="29"/>
  <c r="BJ29" i="14" l="1"/>
  <c r="BJ108" i="14"/>
  <c r="BJ109" i="14" s="1"/>
  <c r="BJ110" i="14" s="1"/>
  <c r="BJ111" i="14" s="1"/>
  <c r="BJ112" i="14" s="1"/>
  <c r="BJ113" i="14" s="1"/>
  <c r="BJ114" i="14" s="1"/>
  <c r="BJ115" i="14" s="1"/>
  <c r="BJ116" i="14" s="1"/>
  <c r="BJ117" i="14" s="1"/>
  <c r="BJ118" i="14" s="1"/>
  <c r="BJ119" i="14" s="1"/>
  <c r="BD74" i="14"/>
  <c r="AC72" i="14"/>
  <c r="W75" i="14"/>
  <c r="S205" i="29"/>
  <c r="BJ120" i="14" l="1"/>
  <c r="BJ121" i="14" s="1"/>
  <c r="BJ122" i="14" s="1"/>
  <c r="BJ123" i="14" s="1"/>
  <c r="BJ124" i="14" s="1"/>
  <c r="BJ125" i="14" s="1"/>
  <c r="BJ126" i="14" s="1"/>
  <c r="BJ127" i="14" s="1"/>
  <c r="BJ128" i="14" s="1"/>
  <c r="BJ129" i="14" s="1"/>
  <c r="BJ130" i="14" s="1"/>
  <c r="BJ25" i="14" s="1"/>
  <c r="BD75" i="14"/>
  <c r="BJ30" i="14"/>
  <c r="AC73" i="14"/>
  <c r="W76" i="14"/>
  <c r="E3" i="10"/>
  <c r="F48" i="10" s="1"/>
  <c r="G48" i="10" s="1"/>
  <c r="B93" i="10"/>
  <c r="B79" i="10"/>
  <c r="E96" i="11"/>
  <c r="E94" i="11"/>
  <c r="F55" i="11"/>
  <c r="X15" i="11"/>
  <c r="V15" i="11"/>
  <c r="Y14" i="11"/>
  <c r="W14" i="11"/>
  <c r="Y13" i="11"/>
  <c r="W13" i="11"/>
  <c r="Y12" i="11"/>
  <c r="W12" i="11"/>
  <c r="Y11" i="11"/>
  <c r="W11" i="11"/>
  <c r="Y10" i="11"/>
  <c r="W10" i="11"/>
  <c r="Y9" i="11"/>
  <c r="W9" i="11"/>
  <c r="Y8" i="11"/>
  <c r="W8" i="11"/>
  <c r="Y7" i="11"/>
  <c r="Y6" i="11"/>
  <c r="W6" i="11"/>
  <c r="Y5" i="11"/>
  <c r="W5" i="11"/>
  <c r="D5" i="11"/>
  <c r="Y4" i="11"/>
  <c r="W4" i="11"/>
  <c r="E4" i="11"/>
  <c r="Y3" i="11"/>
  <c r="W3" i="11"/>
  <c r="E3" i="11"/>
  <c r="E194" i="10"/>
  <c r="H174" i="10"/>
  <c r="G174" i="10"/>
  <c r="F174" i="10"/>
  <c r="E174" i="10"/>
  <c r="E183" i="10" s="1"/>
  <c r="E191" i="10" s="1"/>
  <c r="C37" i="12" s="1"/>
  <c r="B18" i="73" s="1"/>
  <c r="B108" i="73" s="1"/>
  <c r="B132" i="73" s="1"/>
  <c r="H173" i="10"/>
  <c r="G173" i="10"/>
  <c r="F173" i="10"/>
  <c r="E173" i="10"/>
  <c r="E182" i="10" s="1"/>
  <c r="E190" i="10" s="1"/>
  <c r="C36" i="12" s="1"/>
  <c r="H172" i="10"/>
  <c r="G172" i="10"/>
  <c r="F172" i="10"/>
  <c r="E172" i="10"/>
  <c r="E181" i="10" s="1"/>
  <c r="E189" i="10" s="1"/>
  <c r="C35" i="12" s="1"/>
  <c r="H171" i="10"/>
  <c r="K171" i="10" s="1"/>
  <c r="N171" i="10" s="1"/>
  <c r="Q171" i="10" s="1"/>
  <c r="T171" i="10" s="1"/>
  <c r="W171" i="10" s="1"/>
  <c r="Z171" i="10" s="1"/>
  <c r="AC171" i="10" s="1"/>
  <c r="AF171" i="10" s="1"/>
  <c r="G171" i="10"/>
  <c r="J171" i="10" s="1"/>
  <c r="M171" i="10" s="1"/>
  <c r="P171" i="10" s="1"/>
  <c r="S171" i="10" s="1"/>
  <c r="V171" i="10" s="1"/>
  <c r="Y171" i="10" s="1"/>
  <c r="AB171" i="10" s="1"/>
  <c r="AE171" i="10" s="1"/>
  <c r="F171" i="10"/>
  <c r="I171" i="10" s="1"/>
  <c r="L171" i="10" s="1"/>
  <c r="O171" i="10" s="1"/>
  <c r="R171" i="10" s="1"/>
  <c r="U171" i="10" s="1"/>
  <c r="X171" i="10" s="1"/>
  <c r="AA171" i="10" s="1"/>
  <c r="AD171" i="10" s="1"/>
  <c r="G88" i="10"/>
  <c r="H88" i="10" s="1"/>
  <c r="I88" i="10" s="1"/>
  <c r="J88" i="10" s="1"/>
  <c r="K88" i="10" s="1"/>
  <c r="L88" i="10" s="1"/>
  <c r="M88" i="10" s="1"/>
  <c r="N88" i="10" s="1"/>
  <c r="O88" i="10" s="1"/>
  <c r="P88" i="10" s="1"/>
  <c r="Q88" i="10" s="1"/>
  <c r="R88" i="10" s="1"/>
  <c r="S88" i="10" s="1"/>
  <c r="T88" i="10" s="1"/>
  <c r="E6" i="10"/>
  <c r="K58" i="10" s="1"/>
  <c r="E5" i="10"/>
  <c r="B17" i="41" l="1"/>
  <c r="B107" i="41" s="1"/>
  <c r="B17" i="73"/>
  <c r="B107" i="73" s="1"/>
  <c r="B131" i="73" s="1"/>
  <c r="B16" i="41"/>
  <c r="B106" i="41" s="1"/>
  <c r="B16" i="73"/>
  <c r="B106" i="73" s="1"/>
  <c r="B130" i="73" s="1"/>
  <c r="L58" i="10"/>
  <c r="K59" i="10"/>
  <c r="K60" i="10"/>
  <c r="B57" i="44"/>
  <c r="B70" i="44" s="1"/>
  <c r="B78" i="44" s="1"/>
  <c r="B130" i="41"/>
  <c r="B58" i="44"/>
  <c r="B71" i="44" s="1"/>
  <c r="B79" i="44" s="1"/>
  <c r="B131" i="41"/>
  <c r="H48" i="10"/>
  <c r="G49" i="10"/>
  <c r="G50" i="10"/>
  <c r="F49" i="10"/>
  <c r="F50" i="10"/>
  <c r="F21" i="10"/>
  <c r="F23" i="10" s="1"/>
  <c r="F53" i="10"/>
  <c r="G53" i="10" s="1"/>
  <c r="F16" i="10"/>
  <c r="G16" i="10" s="1"/>
  <c r="H16" i="10" s="1"/>
  <c r="I16" i="10" s="1"/>
  <c r="J16" i="10" s="1"/>
  <c r="K16" i="10" s="1"/>
  <c r="L16" i="10" s="1"/>
  <c r="M16" i="10" s="1"/>
  <c r="N16" i="10" s="1"/>
  <c r="O16" i="10" s="1"/>
  <c r="P16" i="10" s="1"/>
  <c r="Q16" i="10" s="1"/>
  <c r="R16" i="10" s="1"/>
  <c r="S16" i="10" s="1"/>
  <c r="T16" i="10" s="1"/>
  <c r="U16" i="10" s="1"/>
  <c r="V16" i="10" s="1"/>
  <c r="W16" i="10" s="1"/>
  <c r="X16" i="10" s="1"/>
  <c r="F22" i="10"/>
  <c r="BD76" i="14"/>
  <c r="BJ31" i="14"/>
  <c r="AC74" i="14"/>
  <c r="W77" i="14"/>
  <c r="W22" i="11"/>
  <c r="H34" i="11"/>
  <c r="G55" i="11"/>
  <c r="H22" i="11"/>
  <c r="H64" i="10"/>
  <c r="C42" i="12"/>
  <c r="C47" i="12" s="1"/>
  <c r="C52" i="12" s="1"/>
  <c r="B18" i="41"/>
  <c r="B108" i="41" s="1"/>
  <c r="M64" i="10"/>
  <c r="Y15" i="11"/>
  <c r="K26" i="10"/>
  <c r="L26" i="10" s="1"/>
  <c r="M26" i="10" s="1"/>
  <c r="N26" i="10" s="1"/>
  <c r="O26" i="10" s="1"/>
  <c r="P26" i="10" s="1"/>
  <c r="Q26" i="10" s="1"/>
  <c r="R26" i="10" s="1"/>
  <c r="S26" i="10" s="1"/>
  <c r="T26" i="10" s="1"/>
  <c r="U26" i="10" s="1"/>
  <c r="V26" i="10" s="1"/>
  <c r="W26" i="10" s="1"/>
  <c r="X26" i="10" s="1"/>
  <c r="C4" i="10"/>
  <c r="E4" i="10" s="1"/>
  <c r="E5" i="11"/>
  <c r="W15" i="11"/>
  <c r="D6" i="11" s="1"/>
  <c r="D9" i="11" s="1"/>
  <c r="J27" i="11" s="1"/>
  <c r="H53" i="10" l="1"/>
  <c r="G54" i="10"/>
  <c r="G55" i="10"/>
  <c r="G21" i="10"/>
  <c r="H21" i="10" s="1"/>
  <c r="I21" i="10" s="1"/>
  <c r="J21" i="10" s="1"/>
  <c r="K21" i="10" s="1"/>
  <c r="L21" i="10" s="1"/>
  <c r="M21" i="10" s="1"/>
  <c r="N21" i="10" s="1"/>
  <c r="O21" i="10" s="1"/>
  <c r="P21" i="10" s="1"/>
  <c r="Q21" i="10" s="1"/>
  <c r="R21" i="10" s="1"/>
  <c r="S21" i="10" s="1"/>
  <c r="T21" i="10" s="1"/>
  <c r="U21" i="10" s="1"/>
  <c r="V21" i="10" s="1"/>
  <c r="W21" i="10" s="1"/>
  <c r="X21" i="10" s="1"/>
  <c r="B59" i="44"/>
  <c r="B65" i="44" s="1"/>
  <c r="B132" i="41"/>
  <c r="H49" i="10"/>
  <c r="I48" i="10"/>
  <c r="H50" i="10"/>
  <c r="L59" i="10"/>
  <c r="M58" i="10"/>
  <c r="L60" i="10"/>
  <c r="F54" i="10"/>
  <c r="F55" i="10"/>
  <c r="F17" i="10"/>
  <c r="F18" i="10"/>
  <c r="BD77" i="14"/>
  <c r="AC75" i="14"/>
  <c r="W78" i="14"/>
  <c r="R27" i="11"/>
  <c r="S27" i="11"/>
  <c r="T27" i="11"/>
  <c r="H33" i="11"/>
  <c r="H45" i="11"/>
  <c r="I34" i="11"/>
  <c r="X22" i="11"/>
  <c r="C38" i="11"/>
  <c r="E38" i="11"/>
  <c r="D38" i="11"/>
  <c r="C27" i="11"/>
  <c r="E27" i="11"/>
  <c r="D27" i="11"/>
  <c r="J38" i="11"/>
  <c r="F27" i="11"/>
  <c r="I22" i="11"/>
  <c r="J34" i="11"/>
  <c r="N75" i="10"/>
  <c r="M32" i="51"/>
  <c r="F35" i="10"/>
  <c r="L32" i="51"/>
  <c r="H32" i="51"/>
  <c r="K67" i="10"/>
  <c r="F67" i="10"/>
  <c r="I67" i="10"/>
  <c r="K64" i="10"/>
  <c r="J67" i="51"/>
  <c r="I64" i="10"/>
  <c r="I62" i="10" s="1"/>
  <c r="H67" i="10"/>
  <c r="J67" i="10"/>
  <c r="G67" i="10"/>
  <c r="G64" i="10"/>
  <c r="G62" i="10" s="1"/>
  <c r="M67" i="10"/>
  <c r="I74" i="51"/>
  <c r="F64" i="10"/>
  <c r="F62" i="10" s="1"/>
  <c r="H74" i="10"/>
  <c r="G74" i="51"/>
  <c r="G67" i="51"/>
  <c r="L67" i="51"/>
  <c r="L74" i="51"/>
  <c r="K35" i="51"/>
  <c r="I35" i="51"/>
  <c r="M35" i="10"/>
  <c r="J74" i="10"/>
  <c r="J74" i="51"/>
  <c r="L74" i="10"/>
  <c r="G35" i="51"/>
  <c r="L35" i="51"/>
  <c r="G74" i="10"/>
  <c r="L64" i="10"/>
  <c r="L62" i="10" s="1"/>
  <c r="H67" i="51"/>
  <c r="F74" i="51"/>
  <c r="F67" i="51"/>
  <c r="M67" i="51"/>
  <c r="L67" i="10"/>
  <c r="I74" i="10"/>
  <c r="H74" i="51"/>
  <c r="J35" i="51"/>
  <c r="K74" i="51"/>
  <c r="M62" i="10"/>
  <c r="E6" i="11"/>
  <c r="E9" i="11" s="1"/>
  <c r="F74" i="10"/>
  <c r="H35" i="51"/>
  <c r="I67" i="51"/>
  <c r="M74" i="10"/>
  <c r="K74" i="10"/>
  <c r="J64" i="10"/>
  <c r="K67" i="51"/>
  <c r="F35" i="51"/>
  <c r="W27" i="11"/>
  <c r="V27" i="11"/>
  <c r="X27" i="11"/>
  <c r="Y27" i="11"/>
  <c r="Z27" i="11"/>
  <c r="AA27" i="11"/>
  <c r="AB27" i="11"/>
  <c r="AC27" i="11"/>
  <c r="AD27" i="11"/>
  <c r="U27" i="11"/>
  <c r="I38" i="11"/>
  <c r="H38" i="11"/>
  <c r="G38" i="11"/>
  <c r="F38" i="11"/>
  <c r="O38" i="11"/>
  <c r="K38" i="11"/>
  <c r="N38" i="11"/>
  <c r="M38" i="11"/>
  <c r="L38" i="11"/>
  <c r="L27" i="11"/>
  <c r="M27" i="11"/>
  <c r="N27" i="11"/>
  <c r="O27" i="11"/>
  <c r="K27" i="11"/>
  <c r="H62" i="10"/>
  <c r="I27" i="11"/>
  <c r="H27" i="11"/>
  <c r="G27" i="11"/>
  <c r="T67" i="51" l="1"/>
  <c r="U67" i="51"/>
  <c r="V67" i="51"/>
  <c r="M60" i="10"/>
  <c r="M59" i="10"/>
  <c r="N58" i="10"/>
  <c r="O58" i="10" s="1"/>
  <c r="P58" i="10" s="1"/>
  <c r="Q58" i="10" s="1"/>
  <c r="R58" i="10" s="1"/>
  <c r="S58" i="10" s="1"/>
  <c r="T58" i="10" s="1"/>
  <c r="U58" i="10" s="1"/>
  <c r="V58" i="10" s="1"/>
  <c r="W58" i="10" s="1"/>
  <c r="X58" i="10" s="1"/>
  <c r="J48" i="10"/>
  <c r="I49" i="10"/>
  <c r="I50" i="10"/>
  <c r="B72" i="44"/>
  <c r="B80" i="44" s="1"/>
  <c r="H54" i="10"/>
  <c r="I53" i="10"/>
  <c r="H55" i="10"/>
  <c r="H44" i="11"/>
  <c r="H55" i="11" s="1"/>
  <c r="W45" i="11"/>
  <c r="W44" i="11" s="1"/>
  <c r="W55" i="11" s="1"/>
  <c r="J33" i="11"/>
  <c r="J45" i="11"/>
  <c r="Y45" i="11" s="1"/>
  <c r="Y44" i="11" s="1"/>
  <c r="Y55" i="11" s="1"/>
  <c r="N74" i="10"/>
  <c r="O74" i="10" s="1"/>
  <c r="N74" i="51"/>
  <c r="BD78" i="14"/>
  <c r="AC76" i="14"/>
  <c r="W79" i="14"/>
  <c r="I33" i="11"/>
  <c r="I45" i="11"/>
  <c r="Y22" i="11"/>
  <c r="O75" i="10"/>
  <c r="F44" i="51"/>
  <c r="G44" i="51" s="1"/>
  <c r="H44" i="51" s="1"/>
  <c r="I44" i="51" s="1"/>
  <c r="J44" i="51" s="1"/>
  <c r="K44" i="51" s="1"/>
  <c r="L44" i="51" s="1"/>
  <c r="M44" i="51" s="1"/>
  <c r="K34" i="11"/>
  <c r="J22" i="11"/>
  <c r="K62" i="10"/>
  <c r="N62" i="10" s="1"/>
  <c r="O62" i="10" s="1"/>
  <c r="P62" i="10" s="1"/>
  <c r="Q62" i="10" s="1"/>
  <c r="R62" i="10" s="1"/>
  <c r="S62" i="10" s="1"/>
  <c r="T62" i="10" s="1"/>
  <c r="U62" i="10" s="1"/>
  <c r="V62" i="10" s="1"/>
  <c r="W62" i="10" s="1"/>
  <c r="X62" i="10" s="1"/>
  <c r="J62" i="10"/>
  <c r="J32" i="51"/>
  <c r="J30" i="51" s="1"/>
  <c r="M71" i="10"/>
  <c r="N71" i="10" s="1"/>
  <c r="O71" i="10" s="1"/>
  <c r="P71" i="10" s="1"/>
  <c r="K32" i="51"/>
  <c r="I32" i="51"/>
  <c r="I30" i="51" s="1"/>
  <c r="F12" i="51"/>
  <c r="G12" i="51" s="1"/>
  <c r="H12" i="51" s="1"/>
  <c r="I12" i="51" s="1"/>
  <c r="J12" i="51" s="1"/>
  <c r="K12" i="51" s="1"/>
  <c r="L12" i="51" s="1"/>
  <c r="M12" i="51" s="1"/>
  <c r="F32" i="51"/>
  <c r="G32" i="51"/>
  <c r="G71" i="10"/>
  <c r="T67" i="10"/>
  <c r="G54" i="51"/>
  <c r="G17" i="51"/>
  <c r="G22" i="51"/>
  <c r="H22" i="51"/>
  <c r="J22" i="51"/>
  <c r="H30" i="51"/>
  <c r="M30" i="51"/>
  <c r="O75" i="51"/>
  <c r="L62" i="51"/>
  <c r="F49" i="11"/>
  <c r="U49" i="11"/>
  <c r="L30" i="51"/>
  <c r="F62" i="51"/>
  <c r="H62" i="51"/>
  <c r="I62" i="51"/>
  <c r="G62" i="51"/>
  <c r="U67" i="10"/>
  <c r="J62" i="51"/>
  <c r="W67" i="51"/>
  <c r="X67" i="51"/>
  <c r="T35" i="10"/>
  <c r="U35" i="10"/>
  <c r="V35" i="10"/>
  <c r="W35" i="10"/>
  <c r="X35" i="10"/>
  <c r="X67" i="10"/>
  <c r="V67" i="10"/>
  <c r="W67" i="10"/>
  <c r="W35" i="51"/>
  <c r="T35" i="51"/>
  <c r="U35" i="51"/>
  <c r="V35" i="51"/>
  <c r="X35" i="51"/>
  <c r="K71" i="10"/>
  <c r="H71" i="10"/>
  <c r="J71" i="10"/>
  <c r="L71" i="10"/>
  <c r="G35" i="10"/>
  <c r="F30" i="51" l="1"/>
  <c r="J53" i="10"/>
  <c r="I54" i="10"/>
  <c r="I55" i="10"/>
  <c r="J49" i="10"/>
  <c r="K48" i="10"/>
  <c r="J50" i="10"/>
  <c r="O74" i="51"/>
  <c r="O35" i="51" s="1"/>
  <c r="N35" i="51"/>
  <c r="N67" i="51"/>
  <c r="J44" i="11"/>
  <c r="I44" i="11"/>
  <c r="I55" i="11" s="1"/>
  <c r="X45" i="11"/>
  <c r="X44" i="11" s="1"/>
  <c r="X55" i="11" s="1"/>
  <c r="K33" i="11"/>
  <c r="K45" i="11"/>
  <c r="Z45" i="11" s="1"/>
  <c r="Z44" i="11" s="1"/>
  <c r="Z55" i="11" s="1"/>
  <c r="P74" i="10"/>
  <c r="O35" i="10"/>
  <c r="P75" i="10"/>
  <c r="N62" i="51"/>
  <c r="BD79" i="14"/>
  <c r="AC77" i="14"/>
  <c r="W80" i="14"/>
  <c r="V49" i="11"/>
  <c r="W49" i="11" s="1"/>
  <c r="X49" i="11" s="1"/>
  <c r="Y49" i="11" s="1"/>
  <c r="Z49" i="11" s="1"/>
  <c r="AA49" i="11" s="1"/>
  <c r="AB49" i="11" s="1"/>
  <c r="AC49" i="11" s="1"/>
  <c r="AD49" i="11" s="1"/>
  <c r="T49" i="11"/>
  <c r="S49" i="11" s="1"/>
  <c r="R49" i="11" s="1"/>
  <c r="Z22" i="11"/>
  <c r="G49" i="11"/>
  <c r="H49" i="11" s="1"/>
  <c r="I49" i="11" s="1"/>
  <c r="J49" i="11" s="1"/>
  <c r="K49" i="11" s="1"/>
  <c r="L49" i="11" s="1"/>
  <c r="M49" i="11" s="1"/>
  <c r="N49" i="11" s="1"/>
  <c r="O49" i="11" s="1"/>
  <c r="E49" i="11"/>
  <c r="L34" i="11"/>
  <c r="K22" i="11"/>
  <c r="K44" i="11"/>
  <c r="J55" i="11"/>
  <c r="M54" i="51"/>
  <c r="G30" i="51"/>
  <c r="M57" i="51"/>
  <c r="M59" i="51"/>
  <c r="K30" i="51"/>
  <c r="N30" i="51" s="1"/>
  <c r="K22" i="51"/>
  <c r="L27" i="51"/>
  <c r="M49" i="51"/>
  <c r="K17" i="51"/>
  <c r="L59" i="51"/>
  <c r="L57" i="51"/>
  <c r="J49" i="51"/>
  <c r="L17" i="51"/>
  <c r="I71" i="10"/>
  <c r="F49" i="51"/>
  <c r="F47" i="51"/>
  <c r="F69" i="51" s="1"/>
  <c r="K57" i="51"/>
  <c r="K59" i="51"/>
  <c r="J57" i="51"/>
  <c r="J59" i="51"/>
  <c r="I49" i="51"/>
  <c r="G27" i="51"/>
  <c r="H49" i="51"/>
  <c r="H27" i="51"/>
  <c r="J27" i="51"/>
  <c r="I22" i="51"/>
  <c r="F52" i="51"/>
  <c r="F70" i="51" s="1"/>
  <c r="F54" i="51"/>
  <c r="K27" i="51"/>
  <c r="I27" i="51"/>
  <c r="H54" i="51"/>
  <c r="L54" i="51"/>
  <c r="H17" i="51"/>
  <c r="H57" i="51"/>
  <c r="H59" i="51"/>
  <c r="F59" i="51"/>
  <c r="F57" i="51"/>
  <c r="F27" i="51"/>
  <c r="F25" i="51"/>
  <c r="I57" i="51"/>
  <c r="I59" i="51"/>
  <c r="L22" i="51"/>
  <c r="K49" i="51"/>
  <c r="I54" i="51"/>
  <c r="F15" i="51"/>
  <c r="F17" i="51"/>
  <c r="J17" i="51"/>
  <c r="G49" i="51"/>
  <c r="L49" i="51"/>
  <c r="K54" i="51"/>
  <c r="F22" i="51"/>
  <c r="F20" i="51"/>
  <c r="J54" i="51"/>
  <c r="I17" i="51"/>
  <c r="G57" i="51"/>
  <c r="G59" i="51"/>
  <c r="P75" i="51"/>
  <c r="Q71" i="10"/>
  <c r="F59" i="10"/>
  <c r="H35" i="10"/>
  <c r="Q74" i="10" l="1"/>
  <c r="R74" i="10" s="1"/>
  <c r="S74" i="10" s="1"/>
  <c r="P67" i="10"/>
  <c r="F38" i="51"/>
  <c r="F39" i="51"/>
  <c r="K49" i="10"/>
  <c r="L48" i="10"/>
  <c r="K50" i="10"/>
  <c r="K53" i="10"/>
  <c r="J54" i="10"/>
  <c r="J55" i="10"/>
  <c r="F37" i="51"/>
  <c r="P74" i="51"/>
  <c r="P67" i="51" s="1"/>
  <c r="O67" i="51"/>
  <c r="L33" i="11"/>
  <c r="L45" i="11"/>
  <c r="AA45" i="11" s="1"/>
  <c r="AA44" i="11" s="1"/>
  <c r="AA55" i="11" s="1"/>
  <c r="Q75" i="10"/>
  <c r="O30" i="51"/>
  <c r="M60" i="51"/>
  <c r="M71" i="51"/>
  <c r="L60" i="51"/>
  <c r="L71" i="51"/>
  <c r="F60" i="51"/>
  <c r="F71" i="51"/>
  <c r="I60" i="51"/>
  <c r="I71" i="51"/>
  <c r="J60" i="51"/>
  <c r="J71" i="51"/>
  <c r="G60" i="51"/>
  <c r="G71" i="51"/>
  <c r="H60" i="51"/>
  <c r="H71" i="51"/>
  <c r="K60" i="51"/>
  <c r="K71" i="51"/>
  <c r="BD80" i="14"/>
  <c r="AC78" i="14"/>
  <c r="W81" i="14"/>
  <c r="AA22" i="11"/>
  <c r="D49" i="11"/>
  <c r="F127" i="51"/>
  <c r="F128" i="51"/>
  <c r="F129" i="51"/>
  <c r="F130" i="51"/>
  <c r="L44" i="11"/>
  <c r="K55" i="11"/>
  <c r="M34" i="11"/>
  <c r="L22" i="11"/>
  <c r="F23" i="51"/>
  <c r="G20" i="51"/>
  <c r="G38" i="51" s="1"/>
  <c r="F18" i="51"/>
  <c r="G15" i="51"/>
  <c r="G37" i="51" s="1"/>
  <c r="M22" i="51"/>
  <c r="M17" i="51"/>
  <c r="F55" i="51"/>
  <c r="G52" i="51"/>
  <c r="G70" i="51" s="1"/>
  <c r="O62" i="51"/>
  <c r="M27" i="51"/>
  <c r="F50" i="51"/>
  <c r="G47" i="51"/>
  <c r="G69" i="51" s="1"/>
  <c r="Q75" i="51"/>
  <c r="F28" i="51"/>
  <c r="G25" i="51"/>
  <c r="G39" i="51" s="1"/>
  <c r="O56" i="10"/>
  <c r="R71" i="10"/>
  <c r="F60" i="10"/>
  <c r="G69" i="10"/>
  <c r="I35" i="10"/>
  <c r="R75" i="10" l="1"/>
  <c r="L53" i="10"/>
  <c r="K54" i="10"/>
  <c r="K55" i="10"/>
  <c r="M48" i="10"/>
  <c r="L49" i="10"/>
  <c r="L50" i="10"/>
  <c r="Q74" i="51"/>
  <c r="Q67" i="51" s="1"/>
  <c r="P35" i="51"/>
  <c r="M33" i="11"/>
  <c r="M45" i="11"/>
  <c r="AB45" i="11" s="1"/>
  <c r="AB44" i="11" s="1"/>
  <c r="AB55" i="11" s="1"/>
  <c r="P30" i="51"/>
  <c r="N71" i="51"/>
  <c r="O71" i="51" s="1"/>
  <c r="P71" i="51" s="1"/>
  <c r="Q71" i="51" s="1"/>
  <c r="R71" i="51" s="1"/>
  <c r="S71" i="51" s="1"/>
  <c r="T71" i="51" s="1"/>
  <c r="U71" i="51" s="1"/>
  <c r="V71" i="51" s="1"/>
  <c r="W71" i="51" s="1"/>
  <c r="X71" i="51" s="1"/>
  <c r="BD81" i="14"/>
  <c r="AC79" i="14"/>
  <c r="W82" i="14"/>
  <c r="AB22" i="11"/>
  <c r="C49" i="11"/>
  <c r="G130" i="51"/>
  <c r="G127" i="51"/>
  <c r="G129" i="51"/>
  <c r="G128" i="51"/>
  <c r="G18" i="51"/>
  <c r="L55" i="11"/>
  <c r="N34" i="11"/>
  <c r="M22" i="11"/>
  <c r="S75" i="10"/>
  <c r="F85" i="51"/>
  <c r="R75" i="51"/>
  <c r="P62" i="51"/>
  <c r="G55" i="51"/>
  <c r="H52" i="51"/>
  <c r="H70" i="51" s="1"/>
  <c r="H25" i="51"/>
  <c r="H39" i="51" s="1"/>
  <c r="G28" i="51"/>
  <c r="F84" i="51"/>
  <c r="F90" i="51" s="1"/>
  <c r="F83" i="51"/>
  <c r="F89" i="51" s="1"/>
  <c r="F82" i="51"/>
  <c r="G23" i="51"/>
  <c r="H20" i="51"/>
  <c r="H38" i="51" s="1"/>
  <c r="F97" i="51"/>
  <c r="F103" i="51" s="1"/>
  <c r="F98" i="51"/>
  <c r="F104" i="51" s="1"/>
  <c r="F99" i="51"/>
  <c r="F105" i="51" s="1"/>
  <c r="F96" i="51"/>
  <c r="H15" i="51"/>
  <c r="H37" i="51" s="1"/>
  <c r="H47" i="51"/>
  <c r="H69" i="51" s="1"/>
  <c r="G50" i="51"/>
  <c r="O59" i="10"/>
  <c r="S71" i="10"/>
  <c r="H69" i="10"/>
  <c r="G70" i="10"/>
  <c r="J35" i="10"/>
  <c r="Q30" i="51" l="1"/>
  <c r="M49" i="10"/>
  <c r="M50" i="10"/>
  <c r="N48" i="10"/>
  <c r="O48" i="10" s="1"/>
  <c r="P48" i="10" s="1"/>
  <c r="Q48" i="10" s="1"/>
  <c r="R48" i="10" s="1"/>
  <c r="S48" i="10" s="1"/>
  <c r="T48" i="10" s="1"/>
  <c r="U48" i="10" s="1"/>
  <c r="V48" i="10" s="1"/>
  <c r="W48" i="10" s="1"/>
  <c r="X48" i="10" s="1"/>
  <c r="T75" i="10"/>
  <c r="U75" i="10" s="1"/>
  <c r="M53" i="10"/>
  <c r="L54" i="10"/>
  <c r="L55" i="10"/>
  <c r="R74" i="51"/>
  <c r="R67" i="51" s="1"/>
  <c r="Q35" i="51"/>
  <c r="N33" i="11"/>
  <c r="N45" i="11"/>
  <c r="AC45" i="11" s="1"/>
  <c r="AC44" i="11" s="1"/>
  <c r="AC55" i="11" s="1"/>
  <c r="M44" i="11"/>
  <c r="N56" i="51"/>
  <c r="O56" i="51"/>
  <c r="BD82" i="14"/>
  <c r="AC80" i="14"/>
  <c r="W83" i="14"/>
  <c r="AD22" i="11"/>
  <c r="AC22" i="11"/>
  <c r="H130" i="51"/>
  <c r="H128" i="51"/>
  <c r="H129" i="51"/>
  <c r="H127" i="51"/>
  <c r="F111" i="51"/>
  <c r="F112" i="51"/>
  <c r="F113" i="51"/>
  <c r="F114" i="51"/>
  <c r="F134" i="51"/>
  <c r="F133" i="51"/>
  <c r="F91" i="51"/>
  <c r="F135" i="51" s="1"/>
  <c r="N22" i="11"/>
  <c r="N44" i="11"/>
  <c r="M55" i="11"/>
  <c r="N7" i="12"/>
  <c r="H23" i="51"/>
  <c r="I20" i="51"/>
  <c r="I38" i="51" s="1"/>
  <c r="G96" i="51"/>
  <c r="G98" i="51"/>
  <c r="G104" i="51" s="1"/>
  <c r="O8" i="12" s="1"/>
  <c r="O29" i="12" s="1"/>
  <c r="G97" i="51"/>
  <c r="G103" i="51" s="1"/>
  <c r="O7" i="12" s="1"/>
  <c r="G99" i="51"/>
  <c r="G105" i="51" s="1"/>
  <c r="O9" i="12" s="1"/>
  <c r="Q62" i="51"/>
  <c r="P56" i="51"/>
  <c r="G84" i="51"/>
  <c r="S75" i="51"/>
  <c r="I15" i="51"/>
  <c r="I37" i="51" s="1"/>
  <c r="H18" i="51"/>
  <c r="I25" i="51"/>
  <c r="I39" i="51" s="1"/>
  <c r="H28" i="51"/>
  <c r="I47" i="51"/>
  <c r="I69" i="51" s="1"/>
  <c r="H50" i="51"/>
  <c r="H55" i="51"/>
  <c r="I52" i="51"/>
  <c r="I70" i="51" s="1"/>
  <c r="G82" i="51"/>
  <c r="G85" i="51"/>
  <c r="G83" i="51"/>
  <c r="N9" i="12"/>
  <c r="N8" i="12"/>
  <c r="N29" i="12" s="1"/>
  <c r="F98" i="10"/>
  <c r="F105" i="10" s="1"/>
  <c r="F97" i="10"/>
  <c r="F104" i="10" s="1"/>
  <c r="F95" i="10"/>
  <c r="F94" i="10"/>
  <c r="F96" i="10"/>
  <c r="F103" i="10" s="1"/>
  <c r="T71" i="10"/>
  <c r="G97" i="10"/>
  <c r="G104" i="10" s="1"/>
  <c r="H70" i="10"/>
  <c r="I69" i="10"/>
  <c r="K35" i="10"/>
  <c r="R30" i="51" l="1"/>
  <c r="N59" i="51"/>
  <c r="N57" i="51"/>
  <c r="N60" i="51" s="1"/>
  <c r="M54" i="10"/>
  <c r="M55" i="10"/>
  <c r="N53" i="10"/>
  <c r="O53" i="10" s="1"/>
  <c r="P53" i="10" s="1"/>
  <c r="Q53" i="10" s="1"/>
  <c r="R53" i="10" s="1"/>
  <c r="S53" i="10" s="1"/>
  <c r="T53" i="10" s="1"/>
  <c r="U53" i="10" s="1"/>
  <c r="V53" i="10" s="1"/>
  <c r="W53" i="10" s="1"/>
  <c r="X53" i="10" s="1"/>
  <c r="S74" i="51"/>
  <c r="S67" i="51" s="1"/>
  <c r="R35" i="51"/>
  <c r="O59" i="51"/>
  <c r="BD83" i="14"/>
  <c r="F122" i="51"/>
  <c r="F121" i="51"/>
  <c r="F119" i="51"/>
  <c r="F120" i="51"/>
  <c r="AC81" i="14"/>
  <c r="W84" i="14"/>
  <c r="O22" i="11"/>
  <c r="O34" i="11"/>
  <c r="I128" i="51"/>
  <c r="I127" i="51"/>
  <c r="I129" i="51"/>
  <c r="I130" i="51"/>
  <c r="F140" i="51"/>
  <c r="F139" i="51"/>
  <c r="F138" i="51"/>
  <c r="G111" i="51"/>
  <c r="G89" i="51"/>
  <c r="G133" i="51" s="1"/>
  <c r="G138" i="51" s="1"/>
  <c r="G112" i="51"/>
  <c r="G120" i="51" s="1"/>
  <c r="G90" i="51"/>
  <c r="G134" i="51" s="1"/>
  <c r="G113" i="51"/>
  <c r="G91" i="51"/>
  <c r="G135" i="51" s="1"/>
  <c r="G140" i="51" s="1"/>
  <c r="G114" i="51"/>
  <c r="G122" i="51" s="1"/>
  <c r="N55" i="11"/>
  <c r="I28" i="51"/>
  <c r="J25" i="51"/>
  <c r="J39" i="51" s="1"/>
  <c r="H83" i="51"/>
  <c r="H85" i="51"/>
  <c r="H82" i="51"/>
  <c r="H84" i="51"/>
  <c r="J20" i="51"/>
  <c r="J38" i="51" s="1"/>
  <c r="I23" i="51"/>
  <c r="N37" i="12"/>
  <c r="N52" i="12" s="1"/>
  <c r="O38" i="12"/>
  <c r="O53" i="12" s="1"/>
  <c r="N38" i="12"/>
  <c r="N53" i="12" s="1"/>
  <c r="J15" i="51"/>
  <c r="J37" i="51" s="1"/>
  <c r="I18" i="51"/>
  <c r="P59" i="51"/>
  <c r="J52" i="51"/>
  <c r="J70" i="51" s="1"/>
  <c r="I55" i="51"/>
  <c r="T75" i="51"/>
  <c r="H99" i="51"/>
  <c r="H105" i="51" s="1"/>
  <c r="H96" i="51"/>
  <c r="H98" i="51"/>
  <c r="H104" i="51" s="1"/>
  <c r="H97" i="51"/>
  <c r="H103" i="51" s="1"/>
  <c r="J47" i="51"/>
  <c r="J69" i="51" s="1"/>
  <c r="I50" i="51"/>
  <c r="R62" i="51"/>
  <c r="Q56" i="51"/>
  <c r="F99" i="10"/>
  <c r="G95" i="10"/>
  <c r="G96" i="10"/>
  <c r="G103" i="10" s="1"/>
  <c r="G98" i="10"/>
  <c r="G105" i="10" s="1"/>
  <c r="G94" i="10"/>
  <c r="U71" i="10"/>
  <c r="J69" i="10"/>
  <c r="I70" i="10"/>
  <c r="H98" i="10"/>
  <c r="H105" i="10" s="1"/>
  <c r="L35" i="10"/>
  <c r="V75" i="10"/>
  <c r="S30" i="51" l="1"/>
  <c r="N35" i="10"/>
  <c r="O57" i="51"/>
  <c r="P57" i="51" s="1"/>
  <c r="S35" i="51"/>
  <c r="O33" i="11"/>
  <c r="O45" i="11"/>
  <c r="AD45" i="11" s="1"/>
  <c r="AD44" i="11" s="1"/>
  <c r="AD55" i="11" s="1"/>
  <c r="Q57" i="51"/>
  <c r="BD84" i="14"/>
  <c r="G121" i="51"/>
  <c r="G119" i="51"/>
  <c r="AC82" i="14"/>
  <c r="W85" i="14"/>
  <c r="O44" i="11"/>
  <c r="O55" i="11" s="1"/>
  <c r="J129" i="51"/>
  <c r="J130" i="51"/>
  <c r="J128" i="51"/>
  <c r="J127" i="51"/>
  <c r="G139" i="51"/>
  <c r="H111" i="51"/>
  <c r="H119" i="51" s="1"/>
  <c r="H113" i="51"/>
  <c r="H114" i="51"/>
  <c r="H112" i="51"/>
  <c r="H120" i="51" s="1"/>
  <c r="H89" i="51"/>
  <c r="H133" i="51" s="1"/>
  <c r="H91" i="51"/>
  <c r="H135" i="51" s="1"/>
  <c r="H90" i="51"/>
  <c r="H134" i="51" s="1"/>
  <c r="K15" i="51"/>
  <c r="K37" i="51" s="1"/>
  <c r="J18" i="51"/>
  <c r="G99" i="10"/>
  <c r="J23" i="51"/>
  <c r="K20" i="51"/>
  <c r="K38" i="51" s="1"/>
  <c r="K52" i="51"/>
  <c r="K70" i="51" s="1"/>
  <c r="J55" i="51"/>
  <c r="K25" i="51"/>
  <c r="K39" i="51" s="1"/>
  <c r="J28" i="51"/>
  <c r="Q59" i="51"/>
  <c r="I83" i="51"/>
  <c r="P7" i="12"/>
  <c r="S62" i="51"/>
  <c r="R56" i="51"/>
  <c r="I99" i="51"/>
  <c r="I105" i="51" s="1"/>
  <c r="Q9" i="12" s="1"/>
  <c r="I96" i="51"/>
  <c r="I97" i="51"/>
  <c r="I103" i="51" s="1"/>
  <c r="Q7" i="12" s="1"/>
  <c r="I98" i="51"/>
  <c r="I104" i="51" s="1"/>
  <c r="Q8" i="12" s="1"/>
  <c r="Q29" i="12" s="1"/>
  <c r="N39" i="12"/>
  <c r="P8" i="12"/>
  <c r="P29" i="12" s="1"/>
  <c r="U75" i="51"/>
  <c r="O37" i="12"/>
  <c r="K47" i="51"/>
  <c r="K69" i="51" s="1"/>
  <c r="J50" i="51"/>
  <c r="P9" i="12"/>
  <c r="I85" i="51"/>
  <c r="I84" i="51"/>
  <c r="I82" i="51"/>
  <c r="H97" i="10"/>
  <c r="H104" i="10" s="1"/>
  <c r="H94" i="10"/>
  <c r="H95" i="10"/>
  <c r="H96" i="10"/>
  <c r="H103" i="10" s="1"/>
  <c r="P37" i="12" s="1"/>
  <c r="V71" i="10"/>
  <c r="J70" i="10"/>
  <c r="I98" i="10"/>
  <c r="I105" i="10" s="1"/>
  <c r="K69" i="10"/>
  <c r="W75" i="10"/>
  <c r="O60" i="51" l="1"/>
  <c r="T30" i="51"/>
  <c r="R57" i="51"/>
  <c r="BD85" i="14"/>
  <c r="H122" i="51"/>
  <c r="H121" i="51"/>
  <c r="AC83" i="14"/>
  <c r="W86" i="14"/>
  <c r="I111" i="51"/>
  <c r="K129" i="51"/>
  <c r="K128" i="51"/>
  <c r="K130" i="51"/>
  <c r="K127" i="51"/>
  <c r="H138" i="51"/>
  <c r="H140" i="51"/>
  <c r="H139" i="51"/>
  <c r="I113" i="51"/>
  <c r="I91" i="51"/>
  <c r="I135" i="51" s="1"/>
  <c r="I140" i="51" s="1"/>
  <c r="I114" i="51"/>
  <c r="I89" i="51"/>
  <c r="I133" i="51" s="1"/>
  <c r="I112" i="51"/>
  <c r="I90" i="51"/>
  <c r="I134" i="51" s="1"/>
  <c r="P38" i="12"/>
  <c r="P53" i="12" s="1"/>
  <c r="R59" i="51"/>
  <c r="V75" i="51"/>
  <c r="P60" i="51"/>
  <c r="T62" i="51"/>
  <c r="S56" i="51"/>
  <c r="J82" i="51"/>
  <c r="J83" i="51"/>
  <c r="J84" i="51"/>
  <c r="J85" i="51"/>
  <c r="N54" i="12"/>
  <c r="L15" i="51"/>
  <c r="K18" i="51"/>
  <c r="L47" i="51"/>
  <c r="L69" i="51" s="1"/>
  <c r="K50" i="51"/>
  <c r="J96" i="51"/>
  <c r="J97" i="51"/>
  <c r="J103" i="51" s="1"/>
  <c r="J98" i="51"/>
  <c r="J104" i="51" s="1"/>
  <c r="J99" i="51"/>
  <c r="J105" i="51" s="1"/>
  <c r="R9" i="12" s="1"/>
  <c r="L20" i="51"/>
  <c r="K23" i="51"/>
  <c r="L52" i="51"/>
  <c r="L70" i="51" s="1"/>
  <c r="K55" i="51"/>
  <c r="O39" i="12"/>
  <c r="L25" i="51"/>
  <c r="F169" i="51" s="1"/>
  <c r="K28" i="51"/>
  <c r="H99" i="10"/>
  <c r="I94" i="10"/>
  <c r="I96" i="10"/>
  <c r="I103" i="10" s="1"/>
  <c r="I95" i="10"/>
  <c r="I97" i="10"/>
  <c r="I104" i="10" s="1"/>
  <c r="Q38" i="12" s="1"/>
  <c r="Q53" i="12" s="1"/>
  <c r="T56" i="10"/>
  <c r="N56" i="10"/>
  <c r="W71" i="10"/>
  <c r="L69" i="10"/>
  <c r="K70" i="10"/>
  <c r="J98" i="10"/>
  <c r="J105" i="10" s="1"/>
  <c r="X75" i="10"/>
  <c r="L37" i="51" l="1"/>
  <c r="F161" i="51"/>
  <c r="L38" i="51"/>
  <c r="F165" i="51"/>
  <c r="L39" i="51"/>
  <c r="U30" i="51"/>
  <c r="V30" i="51" s="1"/>
  <c r="W30" i="51" s="1"/>
  <c r="X30" i="51" s="1"/>
  <c r="S57" i="51"/>
  <c r="BD86" i="14"/>
  <c r="I122" i="51"/>
  <c r="I121" i="51"/>
  <c r="I119" i="51"/>
  <c r="I120" i="51"/>
  <c r="AC84" i="14"/>
  <c r="W87" i="14"/>
  <c r="L130" i="51"/>
  <c r="L128" i="51"/>
  <c r="L129" i="51"/>
  <c r="L127" i="51"/>
  <c r="J114" i="51"/>
  <c r="J113" i="51"/>
  <c r="I139" i="51"/>
  <c r="I138" i="51"/>
  <c r="J112" i="51"/>
  <c r="J111" i="51"/>
  <c r="J89" i="51"/>
  <c r="J133" i="51" s="1"/>
  <c r="J91" i="51"/>
  <c r="J135" i="51" s="1"/>
  <c r="J90" i="51"/>
  <c r="J134" i="51" s="1"/>
  <c r="K85" i="51"/>
  <c r="P39" i="12"/>
  <c r="Q37" i="12"/>
  <c r="M20" i="51"/>
  <c r="L23" i="51"/>
  <c r="S59" i="51"/>
  <c r="R7" i="12"/>
  <c r="W75" i="51"/>
  <c r="U62" i="51"/>
  <c r="T56" i="51"/>
  <c r="Q60" i="51"/>
  <c r="L50" i="51"/>
  <c r="M47" i="51"/>
  <c r="M69" i="51" s="1"/>
  <c r="M52" i="51"/>
  <c r="M70" i="51" s="1"/>
  <c r="L55" i="51"/>
  <c r="M15" i="51"/>
  <c r="G161" i="51" s="1"/>
  <c r="L18" i="51"/>
  <c r="R8" i="12"/>
  <c r="R29" i="12" s="1"/>
  <c r="M25" i="51"/>
  <c r="L28" i="51"/>
  <c r="F170" i="51" s="1"/>
  <c r="K99" i="51"/>
  <c r="K105" i="51" s="1"/>
  <c r="S9" i="12" s="1"/>
  <c r="K98" i="51"/>
  <c r="K104" i="51" s="1"/>
  <c r="K96" i="51"/>
  <c r="K97" i="51"/>
  <c r="K103" i="51" s="1"/>
  <c r="S7" i="12" s="1"/>
  <c r="K82" i="51"/>
  <c r="K83" i="51"/>
  <c r="K84" i="51"/>
  <c r="J95" i="10"/>
  <c r="J94" i="10"/>
  <c r="I99" i="10"/>
  <c r="J97" i="10"/>
  <c r="J104" i="10" s="1"/>
  <c r="J96" i="10"/>
  <c r="J103" i="10" s="1"/>
  <c r="T59" i="10"/>
  <c r="U56" i="10"/>
  <c r="U59" i="10" s="1"/>
  <c r="N57" i="10"/>
  <c r="N59" i="10"/>
  <c r="X71" i="10"/>
  <c r="K94" i="10"/>
  <c r="L70" i="10"/>
  <c r="M69" i="10"/>
  <c r="F162" i="51" l="1"/>
  <c r="M39" i="51"/>
  <c r="G169" i="51"/>
  <c r="F166" i="51"/>
  <c r="G165" i="51"/>
  <c r="M37" i="51"/>
  <c r="M128" i="51"/>
  <c r="N69" i="10"/>
  <c r="N70" i="51"/>
  <c r="N69" i="51"/>
  <c r="N46" i="51" s="1"/>
  <c r="M38" i="51"/>
  <c r="N37" i="51"/>
  <c r="N14" i="51" s="1"/>
  <c r="N39" i="51"/>
  <c r="T57" i="51"/>
  <c r="BD87" i="14"/>
  <c r="J122" i="51"/>
  <c r="J121" i="51"/>
  <c r="J119" i="51"/>
  <c r="J120" i="51"/>
  <c r="AC85" i="14"/>
  <c r="W88" i="14"/>
  <c r="M130" i="51"/>
  <c r="M127" i="51"/>
  <c r="M129" i="51"/>
  <c r="J139" i="51"/>
  <c r="J140" i="51"/>
  <c r="J138" i="51"/>
  <c r="K111" i="51"/>
  <c r="K119" i="51" s="1"/>
  <c r="K112" i="51"/>
  <c r="K120" i="51" s="1"/>
  <c r="K91" i="51"/>
  <c r="K135" i="51" s="1"/>
  <c r="K114" i="51"/>
  <c r="K122" i="51" s="1"/>
  <c r="K90" i="51"/>
  <c r="K134" i="51" s="1"/>
  <c r="K113" i="51"/>
  <c r="K121" i="51" s="1"/>
  <c r="K89" i="51"/>
  <c r="K133" i="51" s="1"/>
  <c r="K138" i="51" s="1"/>
  <c r="L85" i="51"/>
  <c r="L84" i="51"/>
  <c r="L83" i="51"/>
  <c r="L82" i="51"/>
  <c r="M18" i="51"/>
  <c r="M55" i="51"/>
  <c r="X75" i="51"/>
  <c r="M50" i="51"/>
  <c r="S8" i="12"/>
  <c r="S29" i="12" s="1"/>
  <c r="R60" i="51"/>
  <c r="M23" i="51"/>
  <c r="Q39" i="12"/>
  <c r="L99" i="51"/>
  <c r="L105" i="51" s="1"/>
  <c r="T9" i="12" s="1"/>
  <c r="L98" i="51"/>
  <c r="L104" i="51" s="1"/>
  <c r="T8" i="12" s="1"/>
  <c r="T29" i="12" s="1"/>
  <c r="L96" i="51"/>
  <c r="L97" i="51"/>
  <c r="L103" i="51" s="1"/>
  <c r="T7" i="12" s="1"/>
  <c r="R37" i="12"/>
  <c r="T59" i="51"/>
  <c r="M28" i="51"/>
  <c r="G170" i="51" s="1"/>
  <c r="R38" i="12"/>
  <c r="R53" i="12" s="1"/>
  <c r="V62" i="51"/>
  <c r="U56" i="51"/>
  <c r="U59" i="51" s="1"/>
  <c r="K95" i="10"/>
  <c r="K98" i="10"/>
  <c r="K105" i="10" s="1"/>
  <c r="K97" i="10"/>
  <c r="K104" i="10" s="1"/>
  <c r="S38" i="12" s="1"/>
  <c r="S53" i="12" s="1"/>
  <c r="J99" i="10"/>
  <c r="K96" i="10"/>
  <c r="K103" i="10" s="1"/>
  <c r="S37" i="12" s="1"/>
  <c r="V56" i="10"/>
  <c r="V59" i="10" s="1"/>
  <c r="O57" i="10"/>
  <c r="N60" i="10"/>
  <c r="L94" i="10"/>
  <c r="G166" i="51" l="1"/>
  <c r="G167" i="51"/>
  <c r="H160" i="51"/>
  <c r="G162" i="51"/>
  <c r="G171" i="51"/>
  <c r="M70" i="10"/>
  <c r="O69" i="10"/>
  <c r="N46" i="10"/>
  <c r="O69" i="51"/>
  <c r="O70" i="51"/>
  <c r="N51" i="51"/>
  <c r="O39" i="51"/>
  <c r="N24" i="51"/>
  <c r="O37" i="51"/>
  <c r="O14" i="51" s="1"/>
  <c r="N38" i="51"/>
  <c r="U57" i="51"/>
  <c r="BD88" i="14"/>
  <c r="AC86" i="14"/>
  <c r="W89" i="14"/>
  <c r="K140" i="51"/>
  <c r="K139" i="51"/>
  <c r="L111" i="51"/>
  <c r="L119" i="51" s="1"/>
  <c r="L114" i="51"/>
  <c r="L122" i="51" s="1"/>
  <c r="L89" i="51"/>
  <c r="L133" i="51" s="1"/>
  <c r="L112" i="51"/>
  <c r="L120" i="51" s="1"/>
  <c r="L113" i="51"/>
  <c r="L121" i="51" s="1"/>
  <c r="L90" i="51"/>
  <c r="L134" i="51" s="1"/>
  <c r="L91" i="51"/>
  <c r="L135" i="51" s="1"/>
  <c r="L95" i="10"/>
  <c r="S39" i="12"/>
  <c r="W62" i="51"/>
  <c r="V56" i="51"/>
  <c r="V59" i="51" s="1"/>
  <c r="S60" i="51"/>
  <c r="R39" i="12"/>
  <c r="M82" i="51"/>
  <c r="M85" i="51"/>
  <c r="M84" i="51"/>
  <c r="M99" i="51"/>
  <c r="M105" i="51" s="1"/>
  <c r="U9" i="12" s="1"/>
  <c r="M98" i="51"/>
  <c r="M104" i="51" s="1"/>
  <c r="U8" i="12" s="1"/>
  <c r="U29" i="12" s="1"/>
  <c r="M96" i="51"/>
  <c r="M97" i="51"/>
  <c r="M103" i="51" s="1"/>
  <c r="M83" i="51"/>
  <c r="K99" i="10"/>
  <c r="L96" i="10"/>
  <c r="L103" i="10" s="1"/>
  <c r="T37" i="12" s="1"/>
  <c r="L98" i="10"/>
  <c r="L105" i="10" s="1"/>
  <c r="L97" i="10"/>
  <c r="L104" i="10" s="1"/>
  <c r="W56" i="10"/>
  <c r="W59" i="10" s="1"/>
  <c r="O60" i="10"/>
  <c r="M94" i="10"/>
  <c r="H168" i="51" l="1"/>
  <c r="G163" i="51"/>
  <c r="K181" i="51"/>
  <c r="K179" i="51" s="1"/>
  <c r="U7" i="12"/>
  <c r="N49" i="10"/>
  <c r="N47" i="10"/>
  <c r="N70" i="10"/>
  <c r="N51" i="10" s="1"/>
  <c r="N52" i="10" s="1"/>
  <c r="P69" i="10"/>
  <c r="Q69" i="10" s="1"/>
  <c r="R69" i="10" s="1"/>
  <c r="S69" i="10" s="1"/>
  <c r="T69" i="10" s="1"/>
  <c r="O46" i="10"/>
  <c r="N52" i="51"/>
  <c r="N43" i="51"/>
  <c r="N44" i="51" s="1"/>
  <c r="P70" i="51"/>
  <c r="O51" i="51"/>
  <c r="N49" i="51"/>
  <c r="N47" i="51"/>
  <c r="P69" i="51"/>
  <c r="O46" i="51"/>
  <c r="N54" i="51"/>
  <c r="O38" i="51"/>
  <c r="N19" i="51"/>
  <c r="N17" i="51"/>
  <c r="N15" i="51"/>
  <c r="P37" i="51"/>
  <c r="P14" i="51" s="1"/>
  <c r="N27" i="51"/>
  <c r="N25" i="51"/>
  <c r="H169" i="51" s="1"/>
  <c r="P39" i="51"/>
  <c r="O24" i="51"/>
  <c r="V57" i="51"/>
  <c r="BD89" i="14"/>
  <c r="AC87" i="14"/>
  <c r="W90" i="14"/>
  <c r="L139" i="51"/>
  <c r="L138" i="51"/>
  <c r="L140" i="51"/>
  <c r="M111" i="51"/>
  <c r="M119" i="51" s="1"/>
  <c r="M89" i="51"/>
  <c r="M133" i="51" s="1"/>
  <c r="M112" i="51"/>
  <c r="M120" i="51" s="1"/>
  <c r="M90" i="51"/>
  <c r="M134" i="51" s="1"/>
  <c r="M113" i="51"/>
  <c r="M121" i="51" s="1"/>
  <c r="M114" i="51"/>
  <c r="M122" i="51" s="1"/>
  <c r="M91" i="51"/>
  <c r="M135" i="51" s="1"/>
  <c r="X62" i="51"/>
  <c r="W56" i="51"/>
  <c r="W59" i="51" s="1"/>
  <c r="T38" i="12"/>
  <c r="T53" i="12" s="1"/>
  <c r="T60" i="51"/>
  <c r="M96" i="10"/>
  <c r="M103" i="10" s="1"/>
  <c r="U37" i="12" s="1"/>
  <c r="M98" i="10"/>
  <c r="M105" i="10" s="1"/>
  <c r="M97" i="10"/>
  <c r="M104" i="10" s="1"/>
  <c r="U38" i="12" s="1"/>
  <c r="U53" i="12" s="1"/>
  <c r="M95" i="10"/>
  <c r="L99" i="10"/>
  <c r="X56" i="10"/>
  <c r="X59" i="10" s="1"/>
  <c r="H161" i="51" l="1"/>
  <c r="N55" i="10"/>
  <c r="H164" i="51"/>
  <c r="I168" i="51"/>
  <c r="I160" i="51"/>
  <c r="I181" i="51"/>
  <c r="K178" i="51"/>
  <c r="K177" i="51"/>
  <c r="K180" i="51"/>
  <c r="N11" i="51"/>
  <c r="N12" i="51" s="1"/>
  <c r="J181" i="51"/>
  <c r="O70" i="10"/>
  <c r="O51" i="10" s="1"/>
  <c r="O52" i="10" s="1"/>
  <c r="O55" i="10" s="1"/>
  <c r="N50" i="10"/>
  <c r="O47" i="10"/>
  <c r="O50" i="10" s="1"/>
  <c r="T46" i="10"/>
  <c r="U69" i="10"/>
  <c r="O49" i="10"/>
  <c r="O49" i="51"/>
  <c r="O43" i="51"/>
  <c r="O44" i="51" s="1"/>
  <c r="Q69" i="51"/>
  <c r="P46" i="51"/>
  <c r="N50" i="51"/>
  <c r="O47" i="51"/>
  <c r="O52" i="51"/>
  <c r="O55" i="51" s="1"/>
  <c r="N55" i="51"/>
  <c r="O54" i="51"/>
  <c r="Q70" i="51"/>
  <c r="Q51" i="51" s="1"/>
  <c r="P51" i="51"/>
  <c r="O17" i="51"/>
  <c r="O27" i="51"/>
  <c r="N28" i="51"/>
  <c r="H170" i="51" s="1"/>
  <c r="O25" i="51"/>
  <c r="I169" i="51" s="1"/>
  <c r="Q37" i="51"/>
  <c r="Q14" i="51" s="1"/>
  <c r="O15" i="51"/>
  <c r="N18" i="51"/>
  <c r="Q39" i="51"/>
  <c r="P24" i="51"/>
  <c r="N22" i="51"/>
  <c r="N20" i="51"/>
  <c r="P38" i="51"/>
  <c r="O19" i="51"/>
  <c r="W57" i="51"/>
  <c r="BD90" i="14"/>
  <c r="AJ113" i="2"/>
  <c r="AJ110" i="2"/>
  <c r="AJ121" i="2"/>
  <c r="AJ115" i="2"/>
  <c r="AJ112" i="2"/>
  <c r="AJ119" i="2"/>
  <c r="AJ117" i="2"/>
  <c r="AJ118" i="2"/>
  <c r="AJ111" i="2"/>
  <c r="AJ116" i="2"/>
  <c r="AJ114" i="2"/>
  <c r="AJ120" i="2"/>
  <c r="AE120" i="2"/>
  <c r="AE115" i="2"/>
  <c r="AE110" i="2"/>
  <c r="AE112" i="2"/>
  <c r="AE118" i="2"/>
  <c r="AE119" i="2"/>
  <c r="AE121" i="2"/>
  <c r="AE114" i="2"/>
  <c r="AE111" i="2"/>
  <c r="AE116" i="2"/>
  <c r="AE117" i="2"/>
  <c r="AE113" i="2"/>
  <c r="S116" i="2"/>
  <c r="S112" i="2"/>
  <c r="S117" i="2"/>
  <c r="S118" i="2"/>
  <c r="S110" i="2"/>
  <c r="S121" i="2"/>
  <c r="S120" i="2"/>
  <c r="S114" i="2"/>
  <c r="S115" i="2"/>
  <c r="S113" i="2"/>
  <c r="S119" i="2"/>
  <c r="S111" i="2"/>
  <c r="Y111" i="2"/>
  <c r="Y120" i="2"/>
  <c r="Y113" i="2"/>
  <c r="Y118" i="2"/>
  <c r="Y112" i="2"/>
  <c r="Y115" i="2"/>
  <c r="Y110" i="2"/>
  <c r="Y117" i="2"/>
  <c r="Y121" i="2"/>
  <c r="Y119" i="2"/>
  <c r="Y116" i="2"/>
  <c r="Y114" i="2"/>
  <c r="AC88" i="14"/>
  <c r="W91" i="14"/>
  <c r="M138" i="51"/>
  <c r="M139" i="51"/>
  <c r="M140" i="51"/>
  <c r="T39" i="12"/>
  <c r="M99" i="10"/>
  <c r="U60" i="51"/>
  <c r="U39" i="12"/>
  <c r="X56" i="51"/>
  <c r="X59" i="51" s="1"/>
  <c r="I164" i="51" l="1"/>
  <c r="J168" i="51"/>
  <c r="N129" i="51"/>
  <c r="H165" i="51"/>
  <c r="H162" i="51"/>
  <c r="I161" i="51"/>
  <c r="H171" i="51"/>
  <c r="J160" i="51"/>
  <c r="M154" i="51"/>
  <c r="O2" i="51"/>
  <c r="P54" i="51"/>
  <c r="Q54" i="51"/>
  <c r="J178" i="51"/>
  <c r="J180" i="51"/>
  <c r="J179" i="51"/>
  <c r="J177" i="51"/>
  <c r="I177" i="51"/>
  <c r="I180" i="51"/>
  <c r="I179" i="51"/>
  <c r="I178" i="51"/>
  <c r="N128" i="51"/>
  <c r="U46" i="10"/>
  <c r="V69" i="10"/>
  <c r="N43" i="10"/>
  <c r="N44" i="10" s="1"/>
  <c r="N54" i="10"/>
  <c r="T49" i="10"/>
  <c r="P70" i="10"/>
  <c r="Q70" i="10" s="1"/>
  <c r="R70" i="10" s="1"/>
  <c r="S70" i="10" s="1"/>
  <c r="T70" i="10" s="1"/>
  <c r="R70" i="51"/>
  <c r="P52" i="51"/>
  <c r="P47" i="51"/>
  <c r="O50" i="51"/>
  <c r="N97" i="51"/>
  <c r="N103" i="51" s="1"/>
  <c r="N99" i="51"/>
  <c r="N105" i="51" s="1"/>
  <c r="N96" i="51"/>
  <c r="N98" i="51"/>
  <c r="N104" i="51" s="1"/>
  <c r="P49" i="51"/>
  <c r="P43" i="51"/>
  <c r="P44" i="51" s="1"/>
  <c r="R69" i="51"/>
  <c r="Q46" i="51"/>
  <c r="P15" i="51"/>
  <c r="O18" i="51"/>
  <c r="P17" i="51"/>
  <c r="O22" i="51"/>
  <c r="R37" i="51"/>
  <c r="R14" i="51" s="1"/>
  <c r="Q38" i="51"/>
  <c r="P19" i="51"/>
  <c r="O20" i="51"/>
  <c r="I165" i="51" s="1"/>
  <c r="N23" i="51"/>
  <c r="H166" i="51" s="1"/>
  <c r="P25" i="51"/>
  <c r="J169" i="51" s="1"/>
  <c r="O28" i="51"/>
  <c r="I170" i="51" s="1"/>
  <c r="P27" i="51"/>
  <c r="R39" i="51"/>
  <c r="Q24" i="51"/>
  <c r="N127" i="51"/>
  <c r="N130" i="51"/>
  <c r="O11" i="51"/>
  <c r="O12" i="51" s="1"/>
  <c r="X57" i="51"/>
  <c r="BD91" i="14"/>
  <c r="P120" i="22"/>
  <c r="P120" i="33"/>
  <c r="P114" i="22"/>
  <c r="Q114" i="22" s="1"/>
  <c r="P114" i="33"/>
  <c r="P116" i="33"/>
  <c r="P116" i="22"/>
  <c r="P111" i="22"/>
  <c r="Q111" i="22" s="1"/>
  <c r="P111" i="33"/>
  <c r="P118" i="22"/>
  <c r="P118" i="33"/>
  <c r="P117" i="33"/>
  <c r="P117" i="22"/>
  <c r="P119" i="33"/>
  <c r="P119" i="22"/>
  <c r="P112" i="33"/>
  <c r="P112" i="22"/>
  <c r="Q112" i="22" s="1"/>
  <c r="P115" i="22"/>
  <c r="Q115" i="22" s="1"/>
  <c r="P115" i="33"/>
  <c r="P121" i="22"/>
  <c r="P121" i="33"/>
  <c r="P110" i="22"/>
  <c r="Q110" i="22" s="1"/>
  <c r="P110" i="33"/>
  <c r="P113" i="22"/>
  <c r="Q113" i="22" s="1"/>
  <c r="P113" i="33"/>
  <c r="L117" i="32"/>
  <c r="L117" i="21"/>
  <c r="L116" i="32"/>
  <c r="L116" i="21"/>
  <c r="L113" i="21"/>
  <c r="M113" i="21" s="1"/>
  <c r="L113" i="32"/>
  <c r="L111" i="32"/>
  <c r="L111" i="21"/>
  <c r="M111" i="21" s="1"/>
  <c r="L114" i="21"/>
  <c r="M114" i="21" s="1"/>
  <c r="L114" i="32"/>
  <c r="L121" i="32"/>
  <c r="L121" i="21"/>
  <c r="L119" i="32"/>
  <c r="L119" i="21"/>
  <c r="L118" i="21"/>
  <c r="L118" i="32"/>
  <c r="L112" i="21"/>
  <c r="M112" i="21" s="1"/>
  <c r="L112" i="32"/>
  <c r="L110" i="21"/>
  <c r="M110" i="21" s="1"/>
  <c r="L110" i="32"/>
  <c r="L115" i="32"/>
  <c r="L115" i="21"/>
  <c r="M115" i="21" s="1"/>
  <c r="L120" i="21"/>
  <c r="L120" i="32"/>
  <c r="R115" i="30"/>
  <c r="R118" i="30"/>
  <c r="R111" i="30"/>
  <c r="R121" i="30"/>
  <c r="R117" i="30"/>
  <c r="R119" i="30"/>
  <c r="R114" i="30"/>
  <c r="R112" i="30"/>
  <c r="R113" i="30"/>
  <c r="R120" i="30"/>
  <c r="R110" i="30"/>
  <c r="R116" i="30"/>
  <c r="T117" i="31"/>
  <c r="T119" i="31"/>
  <c r="T116" i="31"/>
  <c r="T115" i="31"/>
  <c r="T121" i="31"/>
  <c r="T112" i="31"/>
  <c r="T120" i="31"/>
  <c r="T114" i="31"/>
  <c r="T110" i="31"/>
  <c r="T118" i="31"/>
  <c r="T113" i="31"/>
  <c r="T111" i="31"/>
  <c r="AC89" i="14"/>
  <c r="W92" i="14"/>
  <c r="V60" i="51"/>
  <c r="I162" i="51" l="1"/>
  <c r="J161" i="51"/>
  <c r="F190" i="51"/>
  <c r="F199" i="51" s="1"/>
  <c r="D9" i="12" s="1"/>
  <c r="K168" i="51"/>
  <c r="F188" i="51"/>
  <c r="F197" i="51" s="1"/>
  <c r="D7" i="12" s="1"/>
  <c r="J164" i="51"/>
  <c r="I163" i="51"/>
  <c r="K160" i="51"/>
  <c r="H167" i="51"/>
  <c r="H163" i="51"/>
  <c r="I171" i="51"/>
  <c r="F187" i="51"/>
  <c r="F196" i="51" s="1"/>
  <c r="D6" i="12" s="1"/>
  <c r="F189" i="51"/>
  <c r="F198" i="51" s="1"/>
  <c r="D8" i="12" s="1"/>
  <c r="D29" i="12" s="1"/>
  <c r="O129" i="51"/>
  <c r="O23" i="51"/>
  <c r="I166" i="51" s="1"/>
  <c r="P11" i="51"/>
  <c r="P12" i="51" s="1"/>
  <c r="Q52" i="51"/>
  <c r="P55" i="51"/>
  <c r="P2" i="51" s="1"/>
  <c r="N5" i="51"/>
  <c r="N181" i="51"/>
  <c r="N180" i="51" s="1"/>
  <c r="O130" i="51"/>
  <c r="O127" i="51"/>
  <c r="O54" i="10"/>
  <c r="O43" i="10"/>
  <c r="O44" i="10" s="1"/>
  <c r="U70" i="10"/>
  <c r="T51" i="10"/>
  <c r="V46" i="10"/>
  <c r="W69" i="10"/>
  <c r="U49" i="10"/>
  <c r="O97" i="51"/>
  <c r="O103" i="51" s="1"/>
  <c r="O98" i="51"/>
  <c r="O104" i="51" s="1"/>
  <c r="O99" i="51"/>
  <c r="O105" i="51" s="1"/>
  <c r="O96" i="51"/>
  <c r="Q47" i="51"/>
  <c r="P50" i="51"/>
  <c r="Q43" i="51"/>
  <c r="Q44" i="51" s="1"/>
  <c r="Q49" i="51"/>
  <c r="S70" i="51"/>
  <c r="R51" i="51"/>
  <c r="N83" i="51"/>
  <c r="N89" i="51" s="1"/>
  <c r="N133" i="51" s="1"/>
  <c r="N138" i="51" s="1"/>
  <c r="S69" i="51"/>
  <c r="R46" i="51"/>
  <c r="N82" i="51"/>
  <c r="N111" i="51" s="1"/>
  <c r="N119" i="51" s="1"/>
  <c r="R125" i="30" s="1"/>
  <c r="R38" i="51"/>
  <c r="Q19" i="51"/>
  <c r="Q17" i="51"/>
  <c r="S37" i="51"/>
  <c r="S14" i="51" s="1"/>
  <c r="Q27" i="51"/>
  <c r="S39" i="51"/>
  <c r="R24" i="51"/>
  <c r="Q25" i="51"/>
  <c r="K169" i="51" s="1"/>
  <c r="P28" i="51"/>
  <c r="J170" i="51" s="1"/>
  <c r="P20" i="51"/>
  <c r="J165" i="51" s="1"/>
  <c r="N84" i="51"/>
  <c r="O128" i="51"/>
  <c r="N85" i="51"/>
  <c r="P22" i="51"/>
  <c r="Q15" i="51"/>
  <c r="K161" i="51" s="1"/>
  <c r="P18" i="51"/>
  <c r="J162" i="51" s="1"/>
  <c r="BD92" i="14"/>
  <c r="Q113" i="33"/>
  <c r="Q111" i="33"/>
  <c r="Q112" i="33"/>
  <c r="Q110" i="33"/>
  <c r="Q114" i="33"/>
  <c r="Q115" i="33"/>
  <c r="M111" i="32"/>
  <c r="M113" i="32"/>
  <c r="M115" i="32"/>
  <c r="M110" i="32"/>
  <c r="M112" i="32"/>
  <c r="M114" i="32"/>
  <c r="AC90" i="14"/>
  <c r="W93" i="14"/>
  <c r="D30" i="12"/>
  <c r="W60" i="51"/>
  <c r="X60" i="51"/>
  <c r="L168" i="51" l="1"/>
  <c r="K164" i="51"/>
  <c r="J163" i="51"/>
  <c r="L160" i="51"/>
  <c r="J171" i="51"/>
  <c r="I167" i="51"/>
  <c r="N154" i="51"/>
  <c r="N155" i="51" s="1"/>
  <c r="N177" i="51"/>
  <c r="N179" i="51"/>
  <c r="Q11" i="51"/>
  <c r="Q12" i="51" s="1"/>
  <c r="R54" i="51"/>
  <c r="N178" i="51"/>
  <c r="L181" i="51"/>
  <c r="R52" i="51"/>
  <c r="Q55" i="51"/>
  <c r="Q2" i="51" s="1"/>
  <c r="P129" i="51"/>
  <c r="P23" i="51"/>
  <c r="J166" i="51" s="1"/>
  <c r="O3" i="51"/>
  <c r="O5" i="51"/>
  <c r="O4" i="51" s="1"/>
  <c r="Q181" i="51"/>
  <c r="Q177" i="51" s="1"/>
  <c r="R122" i="30"/>
  <c r="R133" i="30"/>
  <c r="R131" i="30"/>
  <c r="R132" i="30"/>
  <c r="W46" i="10"/>
  <c r="X69" i="10"/>
  <c r="X46" i="10" s="1"/>
  <c r="T54" i="10"/>
  <c r="T43" i="10"/>
  <c r="V70" i="10"/>
  <c r="U51" i="10"/>
  <c r="O96" i="10"/>
  <c r="O103" i="10" s="1"/>
  <c r="O95" i="10"/>
  <c r="O94" i="10"/>
  <c r="O97" i="10"/>
  <c r="O104" i="10" s="1"/>
  <c r="O98" i="10"/>
  <c r="O105" i="10" s="1"/>
  <c r="V49" i="10"/>
  <c r="N97" i="10"/>
  <c r="N104" i="10" s="1"/>
  <c r="N98" i="10"/>
  <c r="N105" i="10" s="1"/>
  <c r="N95" i="10"/>
  <c r="N96" i="10"/>
  <c r="N103" i="10" s="1"/>
  <c r="N94" i="10"/>
  <c r="R130" i="30"/>
  <c r="R128" i="30"/>
  <c r="R129" i="30"/>
  <c r="N112" i="51"/>
  <c r="N120" i="51" s="1"/>
  <c r="T130" i="31" s="1"/>
  <c r="R126" i="30"/>
  <c r="R124" i="30"/>
  <c r="R123" i="30"/>
  <c r="P96" i="51"/>
  <c r="P97" i="51"/>
  <c r="P103" i="51" s="1"/>
  <c r="P98" i="51"/>
  <c r="P104" i="51" s="1"/>
  <c r="P99" i="51"/>
  <c r="P105" i="51" s="1"/>
  <c r="R47" i="51"/>
  <c r="Q50" i="51"/>
  <c r="P128" i="51"/>
  <c r="R49" i="51"/>
  <c r="R43" i="51"/>
  <c r="R44" i="51" s="1"/>
  <c r="P127" i="51"/>
  <c r="O83" i="51"/>
  <c r="O89" i="51" s="1"/>
  <c r="O133" i="51" s="1"/>
  <c r="O138" i="51" s="1"/>
  <c r="T69" i="51"/>
  <c r="S46" i="51"/>
  <c r="M160" i="51" s="1"/>
  <c r="O82" i="51"/>
  <c r="O111" i="51" s="1"/>
  <c r="O119" i="51" s="1"/>
  <c r="R143" i="30" s="1"/>
  <c r="O84" i="51"/>
  <c r="O90" i="51" s="1"/>
  <c r="O134" i="51" s="1"/>
  <c r="P130" i="51"/>
  <c r="O85" i="51"/>
  <c r="O91" i="51" s="1"/>
  <c r="O135" i="51" s="1"/>
  <c r="T70" i="51"/>
  <c r="S51" i="51"/>
  <c r="R127" i="30"/>
  <c r="R17" i="51"/>
  <c r="T37" i="51"/>
  <c r="T14" i="51" s="1"/>
  <c r="R15" i="51"/>
  <c r="Q18" i="51"/>
  <c r="K162" i="51" s="1"/>
  <c r="N91" i="51"/>
  <c r="N135" i="51" s="1"/>
  <c r="N114" i="51"/>
  <c r="N122" i="51" s="1"/>
  <c r="N113" i="51"/>
  <c r="N121" i="51" s="1"/>
  <c r="N90" i="51"/>
  <c r="N134" i="51" s="1"/>
  <c r="R25" i="51"/>
  <c r="L169" i="51" s="1"/>
  <c r="Q28" i="51"/>
  <c r="K170" i="51" s="1"/>
  <c r="Q22" i="51"/>
  <c r="S38" i="51"/>
  <c r="R19" i="51"/>
  <c r="Q20" i="51"/>
  <c r="R27" i="51"/>
  <c r="T39" i="51"/>
  <c r="S24" i="51"/>
  <c r="BD93" i="14"/>
  <c r="AC91" i="14"/>
  <c r="W94" i="14"/>
  <c r="L161" i="51" l="1"/>
  <c r="M168" i="51"/>
  <c r="L164" i="51"/>
  <c r="J167" i="51"/>
  <c r="K163" i="51"/>
  <c r="K171" i="51"/>
  <c r="Q23" i="51"/>
  <c r="K166" i="51" s="1"/>
  <c r="K165" i="51"/>
  <c r="Q180" i="51"/>
  <c r="Q178" i="51"/>
  <c r="Q179" i="51"/>
  <c r="O154" i="51"/>
  <c r="O155" i="51" s="1"/>
  <c r="S52" i="51"/>
  <c r="S55" i="51" s="1"/>
  <c r="R55" i="51"/>
  <c r="M181" i="51"/>
  <c r="S54" i="51"/>
  <c r="P181" i="51"/>
  <c r="L178" i="51"/>
  <c r="L180" i="51"/>
  <c r="L177" i="51"/>
  <c r="L179" i="51"/>
  <c r="R11" i="51"/>
  <c r="O181" i="51"/>
  <c r="P3" i="51"/>
  <c r="P5" i="51"/>
  <c r="P4" i="51" s="1"/>
  <c r="T181" i="51"/>
  <c r="T177" i="51" s="1"/>
  <c r="T128" i="31"/>
  <c r="T124" i="31"/>
  <c r="T123" i="31"/>
  <c r="T122" i="31"/>
  <c r="T133" i="31"/>
  <c r="T126" i="31"/>
  <c r="T132" i="31"/>
  <c r="T125" i="31"/>
  <c r="U54" i="10"/>
  <c r="U43" i="10"/>
  <c r="N99" i="10"/>
  <c r="O99" i="10"/>
  <c r="X49" i="10"/>
  <c r="V51" i="10"/>
  <c r="W70" i="10"/>
  <c r="W49" i="10"/>
  <c r="T131" i="31"/>
  <c r="T129" i="31"/>
  <c r="T127" i="31"/>
  <c r="O112" i="51"/>
  <c r="O120" i="51" s="1"/>
  <c r="T138" i="31" s="1"/>
  <c r="R136" i="30"/>
  <c r="P82" i="51"/>
  <c r="P111" i="51" s="1"/>
  <c r="P119" i="51" s="1"/>
  <c r="R152" i="30" s="1"/>
  <c r="R138" i="30"/>
  <c r="R139" i="30"/>
  <c r="R140" i="30"/>
  <c r="O113" i="51"/>
  <c r="O121" i="51" s="1"/>
  <c r="R144" i="30"/>
  <c r="P84" i="51"/>
  <c r="P90" i="51" s="1"/>
  <c r="P134" i="51" s="1"/>
  <c r="P139" i="51" s="1"/>
  <c r="P83" i="51"/>
  <c r="P112" i="51" s="1"/>
  <c r="Q98" i="51"/>
  <c r="Q104" i="51" s="1"/>
  <c r="Q99" i="51"/>
  <c r="Q105" i="51" s="1"/>
  <c r="Q96" i="51"/>
  <c r="Q97" i="51"/>
  <c r="Q103" i="51" s="1"/>
  <c r="S47" i="51"/>
  <c r="R50" i="51"/>
  <c r="O114" i="51"/>
  <c r="O122" i="51" s="1"/>
  <c r="P143" i="33" s="1"/>
  <c r="U70" i="51"/>
  <c r="T51" i="51"/>
  <c r="S43" i="51"/>
  <c r="S44" i="51" s="1"/>
  <c r="S49" i="51"/>
  <c r="U69" i="51"/>
  <c r="T46" i="51"/>
  <c r="T178" i="51"/>
  <c r="T180" i="51"/>
  <c r="R135" i="30"/>
  <c r="R141" i="30"/>
  <c r="R134" i="30"/>
  <c r="R145" i="30"/>
  <c r="R137" i="30"/>
  <c r="P85" i="51"/>
  <c r="P114" i="51" s="1"/>
  <c r="R142" i="30"/>
  <c r="R20" i="51"/>
  <c r="L165" i="51" s="1"/>
  <c r="N140" i="51"/>
  <c r="O140" i="51"/>
  <c r="T38" i="51"/>
  <c r="S19" i="51"/>
  <c r="Q130" i="51"/>
  <c r="R22" i="51"/>
  <c r="Q127" i="51"/>
  <c r="Q129" i="51"/>
  <c r="Q128" i="51"/>
  <c r="S15" i="51"/>
  <c r="R18" i="51"/>
  <c r="L162" i="51" s="1"/>
  <c r="S25" i="51"/>
  <c r="M169" i="51" s="1"/>
  <c r="R28" i="51"/>
  <c r="L170" i="51" s="1"/>
  <c r="S27" i="51"/>
  <c r="N139" i="51"/>
  <c r="O139" i="51"/>
  <c r="S17" i="51"/>
  <c r="U39" i="51"/>
  <c r="T24" i="51"/>
  <c r="L132" i="32"/>
  <c r="L133" i="32"/>
  <c r="L123" i="32"/>
  <c r="L124" i="32"/>
  <c r="L128" i="32"/>
  <c r="L125" i="32"/>
  <c r="L126" i="32"/>
  <c r="L127" i="32"/>
  <c r="L122" i="32"/>
  <c r="L129" i="32"/>
  <c r="L131" i="32"/>
  <c r="L130" i="32"/>
  <c r="U37" i="51"/>
  <c r="U14" i="51" s="1"/>
  <c r="R12" i="51"/>
  <c r="P123" i="33"/>
  <c r="P125" i="33"/>
  <c r="P122" i="33"/>
  <c r="P124" i="33"/>
  <c r="P126" i="33"/>
  <c r="P127" i="33"/>
  <c r="P128" i="33"/>
  <c r="P131" i="33"/>
  <c r="P129" i="33"/>
  <c r="P130" i="33"/>
  <c r="P132" i="33"/>
  <c r="P133" i="33"/>
  <c r="BD94" i="14"/>
  <c r="AC92" i="14"/>
  <c r="W95" i="14"/>
  <c r="R148" i="30"/>
  <c r="R146" i="30" l="1"/>
  <c r="M161" i="51"/>
  <c r="M164" i="51"/>
  <c r="N168" i="51"/>
  <c r="R157" i="30"/>
  <c r="L163" i="51"/>
  <c r="K167" i="51"/>
  <c r="N160" i="51"/>
  <c r="Q5" i="51"/>
  <c r="Q4" i="51" s="1"/>
  <c r="Q3" i="51"/>
  <c r="L171" i="51"/>
  <c r="T179" i="51"/>
  <c r="T142" i="31"/>
  <c r="T143" i="31"/>
  <c r="T144" i="31"/>
  <c r="T140" i="31"/>
  <c r="P179" i="51"/>
  <c r="P177" i="51"/>
  <c r="P180" i="51"/>
  <c r="P178" i="51"/>
  <c r="S11" i="51"/>
  <c r="R181" i="51"/>
  <c r="R129" i="51"/>
  <c r="R23" i="51"/>
  <c r="S181" i="51"/>
  <c r="O179" i="51"/>
  <c r="O180" i="51"/>
  <c r="O178" i="51"/>
  <c r="O177" i="51"/>
  <c r="M178" i="51"/>
  <c r="G188" i="51" s="1"/>
  <c r="G197" i="51" s="1"/>
  <c r="E7" i="12" s="1"/>
  <c r="M180" i="51"/>
  <c r="G190" i="51" s="1"/>
  <c r="G199" i="51" s="1"/>
  <c r="E9" i="12" s="1"/>
  <c r="M179" i="51"/>
  <c r="G189" i="51" s="1"/>
  <c r="G198" i="51" s="1"/>
  <c r="E8" i="12" s="1"/>
  <c r="M177" i="51"/>
  <c r="G187" i="51" s="1"/>
  <c r="G196" i="51" s="1"/>
  <c r="E6" i="12" s="1"/>
  <c r="R2" i="51"/>
  <c r="S2" i="51"/>
  <c r="W181" i="51"/>
  <c r="W178" i="51" s="1"/>
  <c r="R154" i="30"/>
  <c r="R150" i="30"/>
  <c r="R151" i="30"/>
  <c r="R149" i="30"/>
  <c r="R147" i="30"/>
  <c r="R156" i="30"/>
  <c r="R155" i="30"/>
  <c r="T141" i="31"/>
  <c r="Q83" i="51"/>
  <c r="Q112" i="51" s="1"/>
  <c r="Q120" i="51" s="1"/>
  <c r="T137" i="31"/>
  <c r="T136" i="31"/>
  <c r="T139" i="31"/>
  <c r="T135" i="31"/>
  <c r="T145" i="31"/>
  <c r="P120" i="51"/>
  <c r="T149" i="31" s="1"/>
  <c r="T134" i="31"/>
  <c r="R153" i="30"/>
  <c r="W51" i="10"/>
  <c r="X70" i="10"/>
  <c r="X51" i="10" s="1"/>
  <c r="V54" i="10"/>
  <c r="V43" i="10"/>
  <c r="P91" i="51"/>
  <c r="P135" i="51" s="1"/>
  <c r="P140" i="51" s="1"/>
  <c r="P138" i="33"/>
  <c r="P137" i="33"/>
  <c r="P136" i="33"/>
  <c r="P134" i="33"/>
  <c r="P135" i="33"/>
  <c r="P145" i="33"/>
  <c r="P144" i="33"/>
  <c r="P142" i="33"/>
  <c r="P89" i="51"/>
  <c r="P140" i="33"/>
  <c r="P141" i="33"/>
  <c r="P113" i="51"/>
  <c r="P121" i="51" s="1"/>
  <c r="L149" i="32" s="1"/>
  <c r="Q85" i="51"/>
  <c r="Q91" i="51" s="1"/>
  <c r="Q135" i="51" s="1"/>
  <c r="R128" i="51"/>
  <c r="P139" i="33"/>
  <c r="Q84" i="51"/>
  <c r="Q113" i="51" s="1"/>
  <c r="Q82" i="51"/>
  <c r="Q111" i="51" s="1"/>
  <c r="Q119" i="51" s="1"/>
  <c r="R167" i="30" s="1"/>
  <c r="S12" i="51"/>
  <c r="R127" i="51"/>
  <c r="P122" i="51"/>
  <c r="P154" i="33" s="1"/>
  <c r="V70" i="51"/>
  <c r="U51" i="51"/>
  <c r="U54" i="51" s="1"/>
  <c r="R130" i="51"/>
  <c r="T52" i="51"/>
  <c r="R98" i="51"/>
  <c r="R104" i="51" s="1"/>
  <c r="R96" i="51"/>
  <c r="R97" i="51"/>
  <c r="R103" i="51" s="1"/>
  <c r="R99" i="51"/>
  <c r="R105" i="51" s="1"/>
  <c r="T49" i="51"/>
  <c r="T43" i="51"/>
  <c r="T44" i="51" s="1"/>
  <c r="T47" i="51"/>
  <c r="S50" i="51"/>
  <c r="V69" i="51"/>
  <c r="U46" i="51"/>
  <c r="T54" i="51"/>
  <c r="T15" i="51"/>
  <c r="S18" i="51"/>
  <c r="T25" i="51"/>
  <c r="N169" i="51" s="1"/>
  <c r="S28" i="51"/>
  <c r="M170" i="51" s="1"/>
  <c r="L143" i="32"/>
  <c r="L144" i="32"/>
  <c r="L145" i="32"/>
  <c r="L134" i="32"/>
  <c r="L135" i="32"/>
  <c r="L136" i="32"/>
  <c r="L137" i="32"/>
  <c r="L138" i="32"/>
  <c r="L139" i="32"/>
  <c r="L140" i="32"/>
  <c r="L141" i="32"/>
  <c r="L142" i="32"/>
  <c r="T27" i="51"/>
  <c r="V39" i="51"/>
  <c r="U24" i="51"/>
  <c r="U27" i="51" s="1"/>
  <c r="S22" i="51"/>
  <c r="T17" i="51"/>
  <c r="U38" i="51"/>
  <c r="T19" i="51"/>
  <c r="V37" i="51"/>
  <c r="V14" i="51" s="1"/>
  <c r="S20" i="51"/>
  <c r="M165" i="51" s="1"/>
  <c r="BD95" i="14"/>
  <c r="AC93" i="14"/>
  <c r="W96" i="14"/>
  <c r="N164" i="51" l="1"/>
  <c r="M162" i="51"/>
  <c r="N161" i="51"/>
  <c r="M163" i="51"/>
  <c r="R3" i="51"/>
  <c r="L166" i="51"/>
  <c r="M171" i="51"/>
  <c r="W179" i="51"/>
  <c r="W177" i="51"/>
  <c r="W180" i="51"/>
  <c r="R5" i="51"/>
  <c r="R4" i="51" s="1"/>
  <c r="H188" i="51"/>
  <c r="H197" i="51" s="1"/>
  <c r="F7" i="12" s="1"/>
  <c r="H189" i="51"/>
  <c r="H198" i="51" s="1"/>
  <c r="F8" i="12" s="1"/>
  <c r="H190" i="51"/>
  <c r="H199" i="51" s="1"/>
  <c r="F9" i="12" s="1"/>
  <c r="R177" i="51"/>
  <c r="R180" i="51"/>
  <c r="R179" i="51"/>
  <c r="R178" i="51"/>
  <c r="V181" i="51"/>
  <c r="H187" i="51"/>
  <c r="H196" i="51" s="1"/>
  <c r="F6" i="12" s="1"/>
  <c r="S128" i="51"/>
  <c r="S23" i="51"/>
  <c r="M166" i="51" s="1"/>
  <c r="Q89" i="51"/>
  <c r="Q133" i="51" s="1"/>
  <c r="S179" i="51"/>
  <c r="S180" i="51"/>
  <c r="S177" i="51"/>
  <c r="S178" i="51"/>
  <c r="T11" i="51"/>
  <c r="T12" i="51" s="1"/>
  <c r="U181" i="51"/>
  <c r="Z181" i="51"/>
  <c r="Z178" i="51" s="1"/>
  <c r="T154" i="31"/>
  <c r="T146" i="31"/>
  <c r="T156" i="31"/>
  <c r="T147" i="31"/>
  <c r="T157" i="31"/>
  <c r="P133" i="51"/>
  <c r="P138" i="51" s="1"/>
  <c r="T155" i="31"/>
  <c r="T148" i="31"/>
  <c r="T153" i="31"/>
  <c r="T152" i="31"/>
  <c r="Q140" i="51"/>
  <c r="T151" i="31"/>
  <c r="T150" i="31"/>
  <c r="X54" i="10"/>
  <c r="X43" i="10"/>
  <c r="W54" i="10"/>
  <c r="W43" i="10"/>
  <c r="L155" i="32"/>
  <c r="L156" i="32"/>
  <c r="L152" i="32"/>
  <c r="L154" i="32"/>
  <c r="L146" i="32"/>
  <c r="L147" i="32"/>
  <c r="Q121" i="51"/>
  <c r="L161" i="32" s="1"/>
  <c r="Q90" i="51"/>
  <c r="Q134" i="51" s="1"/>
  <c r="Q139" i="51" s="1"/>
  <c r="L151" i="32"/>
  <c r="Q114" i="51"/>
  <c r="Q122" i="51" s="1"/>
  <c r="P164" i="33" s="1"/>
  <c r="L153" i="32"/>
  <c r="P148" i="33"/>
  <c r="L150" i="32"/>
  <c r="L148" i="32"/>
  <c r="L157" i="32"/>
  <c r="P156" i="33"/>
  <c r="P150" i="33"/>
  <c r="P151" i="33"/>
  <c r="P146" i="33"/>
  <c r="P157" i="33"/>
  <c r="P155" i="33"/>
  <c r="P153" i="33"/>
  <c r="P152" i="33"/>
  <c r="P149" i="33"/>
  <c r="P147" i="33"/>
  <c r="R166" i="30"/>
  <c r="R165" i="30"/>
  <c r="R168" i="30"/>
  <c r="R169" i="30"/>
  <c r="R159" i="30"/>
  <c r="R158" i="30"/>
  <c r="R161" i="30"/>
  <c r="R162" i="30"/>
  <c r="R164" i="30"/>
  <c r="R160" i="30"/>
  <c r="R163" i="30"/>
  <c r="U52" i="51"/>
  <c r="T55" i="51"/>
  <c r="U43" i="51"/>
  <c r="U44" i="51" s="1"/>
  <c r="U49" i="51"/>
  <c r="W69" i="51"/>
  <c r="V46" i="51"/>
  <c r="S96" i="51"/>
  <c r="S98" i="51"/>
  <c r="S104" i="51" s="1"/>
  <c r="S97" i="51"/>
  <c r="S103" i="51" s="1"/>
  <c r="S99" i="51"/>
  <c r="S105" i="51" s="1"/>
  <c r="W70" i="51"/>
  <c r="V51" i="51"/>
  <c r="V54" i="51" s="1"/>
  <c r="U47" i="51"/>
  <c r="T50" i="51"/>
  <c r="W39" i="51"/>
  <c r="V24" i="51"/>
  <c r="V27" i="51" s="1"/>
  <c r="U25" i="51"/>
  <c r="T28" i="51"/>
  <c r="N170" i="51" s="1"/>
  <c r="U17" i="51"/>
  <c r="S127" i="51"/>
  <c r="W37" i="51"/>
  <c r="W14" i="51" s="1"/>
  <c r="S130" i="51"/>
  <c r="T20" i="51"/>
  <c r="N165" i="51" s="1"/>
  <c r="V38" i="51"/>
  <c r="U19" i="51"/>
  <c r="U22" i="51" s="1"/>
  <c r="S129" i="51"/>
  <c r="U15" i="51"/>
  <c r="T18" i="51"/>
  <c r="R82" i="51"/>
  <c r="R111" i="51" s="1"/>
  <c r="R119" i="51" s="1"/>
  <c r="R85" i="51"/>
  <c r="R84" i="51"/>
  <c r="R83" i="51"/>
  <c r="T164" i="31"/>
  <c r="T167" i="31"/>
  <c r="T159" i="31"/>
  <c r="T169" i="31"/>
  <c r="T165" i="31"/>
  <c r="T158" i="31"/>
  <c r="T160" i="31"/>
  <c r="T161" i="31"/>
  <c r="T166" i="31"/>
  <c r="T162" i="31"/>
  <c r="T168" i="31"/>
  <c r="T163" i="31"/>
  <c r="T22" i="51"/>
  <c r="BD96" i="14"/>
  <c r="AC94" i="14"/>
  <c r="W97" i="14"/>
  <c r="Z179" i="51" l="1"/>
  <c r="N162" i="51"/>
  <c r="N163" i="51"/>
  <c r="M167" i="51"/>
  <c r="L167" i="51"/>
  <c r="N171" i="51"/>
  <c r="L159" i="32"/>
  <c r="L160" i="32"/>
  <c r="L158" i="32"/>
  <c r="Z180" i="51"/>
  <c r="L162" i="32"/>
  <c r="P154" i="51"/>
  <c r="P155" i="51" s="1"/>
  <c r="S3" i="51"/>
  <c r="S5" i="51"/>
  <c r="S4" i="51" s="1"/>
  <c r="T127" i="51"/>
  <c r="T23" i="51"/>
  <c r="X181" i="51"/>
  <c r="V177" i="51"/>
  <c r="V179" i="51"/>
  <c r="V178" i="51"/>
  <c r="V180" i="51"/>
  <c r="I188" i="51"/>
  <c r="I197" i="51" s="1"/>
  <c r="G7" i="12" s="1"/>
  <c r="Z177" i="51"/>
  <c r="U180" i="51"/>
  <c r="U178" i="51"/>
  <c r="U177" i="51"/>
  <c r="U179" i="51"/>
  <c r="I189" i="51"/>
  <c r="I198" i="51" s="1"/>
  <c r="G8" i="12" s="1"/>
  <c r="Q138" i="51"/>
  <c r="I190" i="51"/>
  <c r="I199" i="51" s="1"/>
  <c r="G9" i="12" s="1"/>
  <c r="I187" i="51"/>
  <c r="I196" i="51" s="1"/>
  <c r="G6" i="12" s="1"/>
  <c r="T2" i="51"/>
  <c r="AC181" i="51"/>
  <c r="AC179" i="51" s="1"/>
  <c r="L169" i="32"/>
  <c r="L168" i="32"/>
  <c r="L167" i="32"/>
  <c r="L166" i="32"/>
  <c r="L165" i="32"/>
  <c r="L164" i="32"/>
  <c r="L163" i="32"/>
  <c r="P169" i="33"/>
  <c r="P167" i="33"/>
  <c r="P165" i="33"/>
  <c r="P166" i="33"/>
  <c r="P163" i="33"/>
  <c r="P162" i="33"/>
  <c r="P161" i="33"/>
  <c r="P160" i="33"/>
  <c r="P158" i="33"/>
  <c r="P168" i="33"/>
  <c r="P159" i="33"/>
  <c r="U11" i="51"/>
  <c r="U12" i="51" s="1"/>
  <c r="T129" i="51"/>
  <c r="V43" i="51"/>
  <c r="V44" i="51" s="1"/>
  <c r="V49" i="51"/>
  <c r="X69" i="51"/>
  <c r="X46" i="51" s="1"/>
  <c r="W46" i="51"/>
  <c r="T96" i="51"/>
  <c r="T97" i="51"/>
  <c r="T103" i="51" s="1"/>
  <c r="T99" i="51"/>
  <c r="T105" i="51" s="1"/>
  <c r="T98" i="51"/>
  <c r="T104" i="51" s="1"/>
  <c r="V52" i="51"/>
  <c r="U55" i="51"/>
  <c r="V47" i="51"/>
  <c r="U50" i="51"/>
  <c r="X70" i="51"/>
  <c r="X51" i="51" s="1"/>
  <c r="X54" i="51" s="1"/>
  <c r="W51" i="51"/>
  <c r="W54" i="51" s="1"/>
  <c r="R91" i="51"/>
  <c r="R135" i="51" s="1"/>
  <c r="R140" i="51" s="1"/>
  <c r="R114" i="51"/>
  <c r="R122" i="51" s="1"/>
  <c r="W38" i="51"/>
  <c r="V19" i="51"/>
  <c r="V22" i="51" s="1"/>
  <c r="V25" i="51"/>
  <c r="U28" i="51"/>
  <c r="R176" i="30"/>
  <c r="R172" i="30"/>
  <c r="R177" i="30"/>
  <c r="R179" i="30"/>
  <c r="R170" i="30"/>
  <c r="R180" i="30"/>
  <c r="R181" i="30"/>
  <c r="R173" i="30"/>
  <c r="R174" i="30"/>
  <c r="R175" i="30"/>
  <c r="R171" i="30"/>
  <c r="R178" i="30"/>
  <c r="U20" i="51"/>
  <c r="U23" i="51" s="1"/>
  <c r="T130" i="51"/>
  <c r="T128" i="51"/>
  <c r="V15" i="51"/>
  <c r="U18" i="51"/>
  <c r="S83" i="51"/>
  <c r="V17" i="51"/>
  <c r="S84" i="51"/>
  <c r="X37" i="51"/>
  <c r="X14" i="51" s="1"/>
  <c r="S85" i="51"/>
  <c r="R112" i="51"/>
  <c r="R120" i="51" s="1"/>
  <c r="R89" i="51"/>
  <c r="S82" i="51"/>
  <c r="S111" i="51" s="1"/>
  <c r="S119" i="51" s="1"/>
  <c r="R192" i="30" s="1"/>
  <c r="X39" i="51"/>
  <c r="X24" i="51" s="1"/>
  <c r="X27" i="51" s="1"/>
  <c r="W24" i="51"/>
  <c r="W27" i="51" s="1"/>
  <c r="R113" i="51"/>
  <c r="R121" i="51" s="1"/>
  <c r="R90" i="51"/>
  <c r="R134" i="51" s="1"/>
  <c r="R139" i="51" s="1"/>
  <c r="BD97" i="14"/>
  <c r="AC95" i="14"/>
  <c r="W98" i="14"/>
  <c r="Y181" i="51" l="1"/>
  <c r="T3" i="51"/>
  <c r="N166" i="51"/>
  <c r="T5" i="51"/>
  <c r="T4" i="51" s="1"/>
  <c r="Q154" i="51"/>
  <c r="Q155" i="51" s="1"/>
  <c r="J190" i="51"/>
  <c r="J199" i="51" s="1"/>
  <c r="H9" i="12" s="1"/>
  <c r="U3" i="51"/>
  <c r="AC178" i="51"/>
  <c r="J188" i="51"/>
  <c r="J197" i="51" s="1"/>
  <c r="H7" i="12" s="1"/>
  <c r="AA181" i="51"/>
  <c r="X177" i="51"/>
  <c r="X179" i="51"/>
  <c r="X180" i="51"/>
  <c r="X178" i="51"/>
  <c r="AC177" i="51"/>
  <c r="J189" i="51"/>
  <c r="J198" i="51" s="1"/>
  <c r="H8" i="12" s="1"/>
  <c r="AC180" i="51"/>
  <c r="J187" i="51"/>
  <c r="J196" i="51" s="1"/>
  <c r="H6" i="12" s="1"/>
  <c r="U5" i="51"/>
  <c r="U2" i="51"/>
  <c r="Y178" i="51"/>
  <c r="Y177" i="51"/>
  <c r="Y179" i="51"/>
  <c r="Y180" i="51"/>
  <c r="AB181" i="51"/>
  <c r="AF181" i="51"/>
  <c r="AF179" i="51" s="1"/>
  <c r="R133" i="51"/>
  <c r="R138" i="51" s="1"/>
  <c r="R190" i="30"/>
  <c r="T83" i="51"/>
  <c r="T112" i="51" s="1"/>
  <c r="T82" i="51"/>
  <c r="T111" i="51" s="1"/>
  <c r="T119" i="51" s="1"/>
  <c r="R201" i="30" s="1"/>
  <c r="R183" i="30"/>
  <c r="R182" i="30"/>
  <c r="R193" i="30"/>
  <c r="V11" i="51"/>
  <c r="V12" i="51" s="1"/>
  <c r="W52" i="51"/>
  <c r="V55" i="51"/>
  <c r="W47" i="51"/>
  <c r="V50" i="51"/>
  <c r="W49" i="51"/>
  <c r="W43" i="51"/>
  <c r="W44" i="51" s="1"/>
  <c r="X49" i="51"/>
  <c r="X43" i="51"/>
  <c r="T85" i="51"/>
  <c r="T114" i="51" s="1"/>
  <c r="R186" i="30"/>
  <c r="T177" i="31"/>
  <c r="T181" i="31"/>
  <c r="T171" i="31"/>
  <c r="T174" i="31"/>
  <c r="T175" i="31"/>
  <c r="T180" i="31"/>
  <c r="T172" i="31"/>
  <c r="T173" i="31"/>
  <c r="T176" i="31"/>
  <c r="T179" i="31"/>
  <c r="T178" i="31"/>
  <c r="T170" i="31"/>
  <c r="R191" i="30"/>
  <c r="L180" i="32"/>
  <c r="L170" i="32"/>
  <c r="L171" i="32"/>
  <c r="L174" i="32"/>
  <c r="L181" i="32"/>
  <c r="L173" i="32"/>
  <c r="L175" i="32"/>
  <c r="L176" i="32"/>
  <c r="L177" i="32"/>
  <c r="L178" i="32"/>
  <c r="L179" i="32"/>
  <c r="L172" i="32"/>
  <c r="P170" i="33"/>
  <c r="P171" i="33"/>
  <c r="P175" i="33"/>
  <c r="P172" i="33"/>
  <c r="P173" i="33"/>
  <c r="P174" i="33"/>
  <c r="P179" i="33"/>
  <c r="P180" i="33"/>
  <c r="P181" i="33"/>
  <c r="P176" i="33"/>
  <c r="P177" i="33"/>
  <c r="P178" i="33"/>
  <c r="R184" i="30"/>
  <c r="R187" i="30"/>
  <c r="R185" i="30"/>
  <c r="R189" i="30"/>
  <c r="R188" i="30"/>
  <c r="S114" i="51"/>
  <c r="S122" i="51" s="1"/>
  <c r="S91" i="51"/>
  <c r="S135" i="51" s="1"/>
  <c r="S140" i="51" s="1"/>
  <c r="W17" i="51"/>
  <c r="X17" i="51"/>
  <c r="V20" i="51"/>
  <c r="V23" i="51" s="1"/>
  <c r="V3" i="51" s="1"/>
  <c r="S90" i="51"/>
  <c r="S134" i="51" s="1"/>
  <c r="S139" i="51" s="1"/>
  <c r="S113" i="51"/>
  <c r="S121" i="51" s="1"/>
  <c r="W25" i="51"/>
  <c r="V28" i="51"/>
  <c r="S112" i="51"/>
  <c r="S120" i="51" s="1"/>
  <c r="S89" i="51"/>
  <c r="X38" i="51"/>
  <c r="X19" i="51" s="1"/>
  <c r="X22" i="51" s="1"/>
  <c r="W19" i="51"/>
  <c r="W22" i="51" s="1"/>
  <c r="W15" i="51"/>
  <c r="V18" i="51"/>
  <c r="T84" i="51"/>
  <c r="BD98" i="14"/>
  <c r="AC96" i="14"/>
  <c r="W99" i="14"/>
  <c r="U4" i="51" l="1"/>
  <c r="N167" i="51"/>
  <c r="AF178" i="51"/>
  <c r="AF180" i="51"/>
  <c r="R154" i="51"/>
  <c r="R155" i="51" s="1"/>
  <c r="T89" i="51"/>
  <c r="T133" i="51" s="1"/>
  <c r="AF177" i="51"/>
  <c r="K189" i="51"/>
  <c r="K198" i="51" s="1"/>
  <c r="I8" i="12" s="1"/>
  <c r="K187" i="51"/>
  <c r="K196" i="51" s="1"/>
  <c r="I6" i="12" s="1"/>
  <c r="K190" i="51"/>
  <c r="K199" i="51" s="1"/>
  <c r="I9" i="12" s="1"/>
  <c r="K188" i="51"/>
  <c r="K197" i="51" s="1"/>
  <c r="I7" i="12" s="1"/>
  <c r="AA180" i="51"/>
  <c r="AA178" i="51"/>
  <c r="AA177" i="51"/>
  <c r="AA179" i="51"/>
  <c r="AD181" i="51"/>
  <c r="V5" i="51"/>
  <c r="V4" i="51" s="1"/>
  <c r="V2" i="51"/>
  <c r="AB177" i="51"/>
  <c r="AB178" i="51"/>
  <c r="AB180" i="51"/>
  <c r="AB179" i="51"/>
  <c r="S133" i="51"/>
  <c r="S138" i="51" s="1"/>
  <c r="R195" i="30"/>
  <c r="R204" i="30"/>
  <c r="R194" i="30"/>
  <c r="R203" i="30"/>
  <c r="R202" i="30"/>
  <c r="R205" i="30"/>
  <c r="R199" i="30"/>
  <c r="T91" i="51"/>
  <c r="T135" i="51" s="1"/>
  <c r="T140" i="51" s="1"/>
  <c r="R196" i="30"/>
  <c r="R198" i="30"/>
  <c r="R197" i="30"/>
  <c r="R200" i="30"/>
  <c r="X44" i="51"/>
  <c r="W11" i="51"/>
  <c r="W12" i="51" s="1"/>
  <c r="X47" i="51"/>
  <c r="X50" i="51" s="1"/>
  <c r="W50" i="51"/>
  <c r="X11" i="51"/>
  <c r="X52" i="51"/>
  <c r="X55" i="51" s="1"/>
  <c r="W55" i="51"/>
  <c r="T122" i="51"/>
  <c r="P203" i="33" s="1"/>
  <c r="T120" i="51"/>
  <c r="T199" i="31" s="1"/>
  <c r="T184" i="31"/>
  <c r="T185" i="31"/>
  <c r="T188" i="31"/>
  <c r="T191" i="31"/>
  <c r="T186" i="31"/>
  <c r="T190" i="31"/>
  <c r="T187" i="31"/>
  <c r="T189" i="31"/>
  <c r="T192" i="31"/>
  <c r="T193" i="31"/>
  <c r="T182" i="31"/>
  <c r="T183" i="31"/>
  <c r="P184" i="33"/>
  <c r="P192" i="33"/>
  <c r="P185" i="33"/>
  <c r="P191" i="33"/>
  <c r="P186" i="33"/>
  <c r="P187" i="33"/>
  <c r="P188" i="33"/>
  <c r="P183" i="33"/>
  <c r="P189" i="33"/>
  <c r="P193" i="33"/>
  <c r="P190" i="33"/>
  <c r="P182" i="33"/>
  <c r="X25" i="51"/>
  <c r="X28" i="51" s="1"/>
  <c r="W28" i="51"/>
  <c r="W20" i="51"/>
  <c r="W23" i="51" s="1"/>
  <c r="W3" i="51" s="1"/>
  <c r="X15" i="51"/>
  <c r="X18" i="51" s="1"/>
  <c r="W18" i="51"/>
  <c r="L184" i="32"/>
  <c r="L189" i="32"/>
  <c r="L186" i="32"/>
  <c r="L188" i="32"/>
  <c r="L191" i="32"/>
  <c r="L192" i="32"/>
  <c r="L193" i="32"/>
  <c r="L185" i="32"/>
  <c r="L182" i="32"/>
  <c r="L183" i="32"/>
  <c r="L187" i="32"/>
  <c r="L190" i="32"/>
  <c r="T90" i="51"/>
  <c r="T134" i="51" s="1"/>
  <c r="T139" i="51" s="1"/>
  <c r="T113" i="51"/>
  <c r="T121" i="51" s="1"/>
  <c r="BD99" i="14"/>
  <c r="AC97" i="14"/>
  <c r="W100" i="14"/>
  <c r="AE181" i="51" l="1"/>
  <c r="S154" i="51"/>
  <c r="S155" i="51" s="1"/>
  <c r="T138" i="51"/>
  <c r="AD179" i="51"/>
  <c r="AD177" i="51"/>
  <c r="AD180" i="51"/>
  <c r="AD178" i="51"/>
  <c r="L189" i="51"/>
  <c r="L198" i="51" s="1"/>
  <c r="J8" i="12" s="1"/>
  <c r="L190" i="51"/>
  <c r="L199" i="51" s="1"/>
  <c r="J9" i="12" s="1"/>
  <c r="L188" i="51"/>
  <c r="L197" i="51" s="1"/>
  <c r="J7" i="12" s="1"/>
  <c r="L187" i="51"/>
  <c r="L196" i="51" s="1"/>
  <c r="J6" i="12" s="1"/>
  <c r="W2" i="51"/>
  <c r="W5" i="51"/>
  <c r="W4" i="51" s="1"/>
  <c r="X12" i="51"/>
  <c r="T203" i="31"/>
  <c r="T196" i="31"/>
  <c r="T197" i="31"/>
  <c r="T200" i="31"/>
  <c r="T198" i="31"/>
  <c r="T201" i="31"/>
  <c r="T204" i="31"/>
  <c r="T202" i="31"/>
  <c r="P200" i="33"/>
  <c r="P196" i="33"/>
  <c r="P195" i="33"/>
  <c r="P204" i="33"/>
  <c r="T195" i="31"/>
  <c r="P202" i="33"/>
  <c r="P194" i="33"/>
  <c r="P201" i="33"/>
  <c r="P199" i="33"/>
  <c r="P198" i="33"/>
  <c r="P205" i="33"/>
  <c r="P197" i="33"/>
  <c r="T194" i="31"/>
  <c r="T205" i="31"/>
  <c r="L195" i="32"/>
  <c r="L205" i="32"/>
  <c r="L196" i="32"/>
  <c r="L199" i="32"/>
  <c r="L197" i="32"/>
  <c r="L198" i="32"/>
  <c r="L200" i="32"/>
  <c r="L201" i="32"/>
  <c r="L202" i="32"/>
  <c r="L203" i="32"/>
  <c r="L204" i="32"/>
  <c r="L194" i="32"/>
  <c r="X20" i="51"/>
  <c r="X23" i="51" s="1"/>
  <c r="BD100" i="14"/>
  <c r="AC98" i="14"/>
  <c r="W101" i="14"/>
  <c r="AE179" i="51" l="1"/>
  <c r="M189" i="51" s="1"/>
  <c r="M198" i="51" s="1"/>
  <c r="K8" i="12" s="1"/>
  <c r="AE177" i="51"/>
  <c r="M187" i="51" s="1"/>
  <c r="M196" i="51" s="1"/>
  <c r="K6" i="12" s="1"/>
  <c r="AE178" i="51"/>
  <c r="M188" i="51" s="1"/>
  <c r="M197" i="51" s="1"/>
  <c r="K7" i="12" s="1"/>
  <c r="AE180" i="51"/>
  <c r="M190" i="51" s="1"/>
  <c r="M199" i="51" s="1"/>
  <c r="K9" i="12" s="1"/>
  <c r="T154" i="51"/>
  <c r="T155" i="51" s="1"/>
  <c r="BD101" i="14"/>
  <c r="AC99" i="14"/>
  <c r="W102" i="14"/>
  <c r="BD102" i="14" l="1"/>
  <c r="AC100" i="14"/>
  <c r="W103" i="14"/>
  <c r="BD103" i="14" l="1"/>
  <c r="AC101" i="14"/>
  <c r="W104" i="14"/>
  <c r="BD104" i="14" l="1"/>
  <c r="AC102" i="14"/>
  <c r="W105" i="14"/>
  <c r="BD105" i="14" l="1"/>
  <c r="AC103" i="14"/>
  <c r="W106" i="14"/>
  <c r="BD106" i="14" l="1"/>
  <c r="AC104" i="14"/>
  <c r="W107" i="14"/>
  <c r="BD107" i="14" l="1"/>
  <c r="AC105" i="14"/>
  <c r="W108" i="14"/>
  <c r="BD108" i="14" l="1"/>
  <c r="AC106" i="14"/>
  <c r="W109" i="14"/>
  <c r="BD109" i="14" l="1"/>
  <c r="AC107" i="14"/>
  <c r="W110" i="14"/>
  <c r="BD110" i="14" l="1"/>
  <c r="AC108" i="14"/>
  <c r="W111" i="14"/>
  <c r="BD111" i="14" l="1"/>
  <c r="AC109" i="14"/>
  <c r="W112" i="14"/>
  <c r="BD112" i="14" l="1"/>
  <c r="AC110" i="14"/>
  <c r="W113" i="14"/>
  <c r="BD113" i="14" l="1"/>
  <c r="AC111" i="14"/>
  <c r="W114" i="14"/>
  <c r="BD114" i="14" l="1"/>
  <c r="AC112" i="14"/>
  <c r="W115" i="14"/>
  <c r="BD115" i="14" l="1"/>
  <c r="AC113" i="14"/>
  <c r="W116" i="14"/>
  <c r="BD116" i="14" l="1"/>
  <c r="AC114" i="14"/>
  <c r="W117" i="14"/>
  <c r="BD117" i="14" l="1"/>
  <c r="AC115" i="14"/>
  <c r="W118" i="14"/>
  <c r="BD118" i="14" l="1"/>
  <c r="AC116" i="14"/>
  <c r="W119" i="14"/>
  <c r="BD119" i="14" l="1"/>
  <c r="AC117" i="14"/>
  <c r="W120" i="14"/>
  <c r="BD120" i="14" l="1"/>
  <c r="AC118" i="14"/>
  <c r="W121" i="14"/>
  <c r="BD121" i="14" l="1"/>
  <c r="AC119" i="14"/>
  <c r="W122" i="14"/>
  <c r="BD122" i="14" l="1"/>
  <c r="AC120" i="14"/>
  <c r="W123" i="14"/>
  <c r="BD123" i="14" l="1"/>
  <c r="AC121" i="14"/>
  <c r="W124" i="14"/>
  <c r="BD124" i="14" l="1"/>
  <c r="AC122" i="14"/>
  <c r="W125" i="14"/>
  <c r="BD125" i="14" l="1"/>
  <c r="AC123" i="14"/>
  <c r="W126" i="14"/>
  <c r="BD126" i="14" l="1"/>
  <c r="AC124" i="14"/>
  <c r="W127" i="14"/>
  <c r="BD127" i="14" l="1"/>
  <c r="AC125" i="14"/>
  <c r="W128" i="14"/>
  <c r="BD128" i="14" l="1"/>
  <c r="AC126" i="14"/>
  <c r="W129" i="14"/>
  <c r="BD129" i="14" l="1"/>
  <c r="AC127" i="14"/>
  <c r="W130" i="14"/>
  <c r="BD130" i="14" l="1"/>
  <c r="AC128" i="14"/>
  <c r="W26" i="14"/>
  <c r="W27" i="14"/>
  <c r="W28" i="14"/>
  <c r="W29" i="14"/>
  <c r="W30" i="14"/>
  <c r="W31" i="14"/>
  <c r="BD26" i="14" l="1"/>
  <c r="BD27" i="14"/>
  <c r="BD28" i="14"/>
  <c r="BD29" i="14"/>
  <c r="BD30" i="14"/>
  <c r="BD31" i="14"/>
  <c r="AC129" i="14"/>
  <c r="AC130" i="14" l="1"/>
  <c r="AC25" i="14" l="1"/>
  <c r="AC26" i="14"/>
  <c r="AC27" i="14"/>
  <c r="AC28" i="14"/>
  <c r="AC29" i="14"/>
  <c r="AC30" i="14"/>
  <c r="AC31" i="14"/>
  <c r="Q25" i="14" l="1"/>
  <c r="Q26" i="14"/>
  <c r="Q27" i="14"/>
  <c r="Q28" i="14"/>
  <c r="Q29" i="14"/>
  <c r="Q30" i="14"/>
  <c r="Q31" i="14"/>
  <c r="K32" i="10" l="1"/>
  <c r="K30" i="10" s="1"/>
  <c r="I32" i="10"/>
  <c r="I30" i="10" s="1"/>
  <c r="H32" i="10"/>
  <c r="H30" i="10" s="1"/>
  <c r="G32" i="10"/>
  <c r="G30" i="10" s="1"/>
  <c r="F157" i="10"/>
  <c r="L32" i="10"/>
  <c r="L30" i="10" s="1"/>
  <c r="J32" i="10"/>
  <c r="J30" i="10" s="1"/>
  <c r="F32" i="10"/>
  <c r="G12" i="10"/>
  <c r="H12" i="10" s="1"/>
  <c r="I12" i="10" s="1"/>
  <c r="J12" i="10" s="1"/>
  <c r="K12" i="10" s="1"/>
  <c r="L12" i="10" s="1"/>
  <c r="F30" i="10" l="1"/>
  <c r="M32" i="10"/>
  <c r="M12" i="10"/>
  <c r="L17" i="10"/>
  <c r="I27" i="10"/>
  <c r="L27" i="10"/>
  <c r="L22" i="10"/>
  <c r="I22" i="10"/>
  <c r="K27" i="10"/>
  <c r="G22" i="10"/>
  <c r="K17" i="10"/>
  <c r="F27" i="10"/>
  <c r="F77" i="10" s="1"/>
  <c r="G27" i="10"/>
  <c r="I17" i="10"/>
  <c r="I77" i="10" s="1"/>
  <c r="K22" i="10"/>
  <c r="J22" i="10"/>
  <c r="G17" i="10"/>
  <c r="J27" i="10"/>
  <c r="H17" i="10"/>
  <c r="H22" i="10"/>
  <c r="H27" i="10"/>
  <c r="J17" i="10"/>
  <c r="K77" i="10" l="1"/>
  <c r="L77" i="10"/>
  <c r="J77" i="10"/>
  <c r="H77" i="10"/>
  <c r="G77" i="10"/>
  <c r="F127" i="10"/>
  <c r="F125" i="10"/>
  <c r="F126" i="10"/>
  <c r="F128" i="10"/>
  <c r="M30" i="10"/>
  <c r="G157" i="10"/>
  <c r="M27" i="10"/>
  <c r="M17" i="10"/>
  <c r="M22" i="10"/>
  <c r="G20" i="10"/>
  <c r="G38" i="10" s="1"/>
  <c r="F28" i="10"/>
  <c r="G25" i="10"/>
  <c r="G39" i="10" s="1"/>
  <c r="G15" i="10"/>
  <c r="G37" i="10" s="1"/>
  <c r="F80" i="10" l="1"/>
  <c r="F109" i="10" s="1"/>
  <c r="F78" i="10"/>
  <c r="M77" i="10"/>
  <c r="N30" i="10"/>
  <c r="O30" i="10" s="1"/>
  <c r="P30" i="10" s="1"/>
  <c r="Q30" i="10" s="1"/>
  <c r="R30" i="10" s="1"/>
  <c r="S30" i="10" s="1"/>
  <c r="T30" i="10" s="1"/>
  <c r="U30" i="10" s="1"/>
  <c r="V30" i="10" s="1"/>
  <c r="W30" i="10" s="1"/>
  <c r="X30" i="10" s="1"/>
  <c r="G126" i="10"/>
  <c r="G125" i="10"/>
  <c r="G127" i="10"/>
  <c r="G128" i="10"/>
  <c r="F83" i="10"/>
  <c r="F81" i="10"/>
  <c r="F110" i="10" s="1"/>
  <c r="F84" i="10"/>
  <c r="F91" i="10" s="1"/>
  <c r="F135" i="10" s="1"/>
  <c r="F82" i="10"/>
  <c r="G18" i="10"/>
  <c r="H15" i="10"/>
  <c r="H37" i="10" s="1"/>
  <c r="H25" i="10"/>
  <c r="H39" i="10" s="1"/>
  <c r="G28" i="10"/>
  <c r="H20" i="10"/>
  <c r="H38" i="10" s="1"/>
  <c r="G23" i="10"/>
  <c r="G78" i="10" l="1"/>
  <c r="G81" i="10"/>
  <c r="G110" i="10" s="1"/>
  <c r="G118" i="10" s="1"/>
  <c r="G82" i="10"/>
  <c r="G111" i="10" s="1"/>
  <c r="G83" i="10"/>
  <c r="G112" i="10" s="1"/>
  <c r="G80" i="10"/>
  <c r="G109" i="10" s="1"/>
  <c r="F90" i="10"/>
  <c r="F134" i="10" s="1"/>
  <c r="F112" i="10"/>
  <c r="F118" i="10"/>
  <c r="F117" i="10"/>
  <c r="F140" i="10"/>
  <c r="H125" i="10"/>
  <c r="H126" i="10"/>
  <c r="H127" i="10"/>
  <c r="H128" i="10"/>
  <c r="F89" i="10"/>
  <c r="F133" i="10" s="1"/>
  <c r="F111" i="10"/>
  <c r="F85" i="10"/>
  <c r="G91" i="10"/>
  <c r="G135" i="10" s="1"/>
  <c r="H23" i="10"/>
  <c r="I20" i="10"/>
  <c r="I38" i="10" s="1"/>
  <c r="H28" i="10"/>
  <c r="I25" i="10"/>
  <c r="I39" i="10" s="1"/>
  <c r="I15" i="10"/>
  <c r="I37" i="10" s="1"/>
  <c r="H18" i="10"/>
  <c r="H78" i="10" s="1"/>
  <c r="G89" i="10"/>
  <c r="G133" i="10" s="1"/>
  <c r="G90" i="10" l="1"/>
  <c r="G134" i="10" s="1"/>
  <c r="H83" i="10"/>
  <c r="H80" i="10"/>
  <c r="H109" i="10" s="1"/>
  <c r="H81" i="10"/>
  <c r="H82" i="10"/>
  <c r="H111" i="10" s="1"/>
  <c r="G117" i="10"/>
  <c r="I126" i="10"/>
  <c r="I127" i="10"/>
  <c r="I128" i="10"/>
  <c r="I125" i="10"/>
  <c r="G140" i="10"/>
  <c r="G120" i="10"/>
  <c r="F120" i="10"/>
  <c r="F138" i="10"/>
  <c r="G138" i="10"/>
  <c r="F119" i="10"/>
  <c r="G119" i="10"/>
  <c r="F139" i="10"/>
  <c r="G139" i="10"/>
  <c r="H84" i="10"/>
  <c r="H91" i="10" s="1"/>
  <c r="H135" i="10" s="1"/>
  <c r="H112" i="10"/>
  <c r="H110" i="10"/>
  <c r="G85" i="10"/>
  <c r="I18" i="10"/>
  <c r="J15" i="10"/>
  <c r="J37" i="10" s="1"/>
  <c r="I28" i="10"/>
  <c r="J25" i="10"/>
  <c r="J39" i="10" s="1"/>
  <c r="J20" i="10"/>
  <c r="J38" i="10" s="1"/>
  <c r="I23" i="10"/>
  <c r="I78" i="10" l="1"/>
  <c r="I82" i="10"/>
  <c r="I111" i="10" s="1"/>
  <c r="I119" i="10" s="1"/>
  <c r="I80" i="10"/>
  <c r="I109" i="10" s="1"/>
  <c r="I117" i="10" s="1"/>
  <c r="I83" i="10"/>
  <c r="I112" i="10" s="1"/>
  <c r="I120" i="10" s="1"/>
  <c r="I81" i="10"/>
  <c r="I110" i="10" s="1"/>
  <c r="I118" i="10" s="1"/>
  <c r="H140" i="10"/>
  <c r="H119" i="10"/>
  <c r="H120" i="10"/>
  <c r="H118" i="10"/>
  <c r="J127" i="10"/>
  <c r="J128" i="10"/>
  <c r="J125" i="10"/>
  <c r="J126" i="10"/>
  <c r="H89" i="10"/>
  <c r="H133" i="10" s="1"/>
  <c r="H90" i="10"/>
  <c r="H134" i="10" s="1"/>
  <c r="H117" i="10"/>
  <c r="I84" i="10"/>
  <c r="I91" i="10" s="1"/>
  <c r="I135" i="10" s="1"/>
  <c r="H85" i="10"/>
  <c r="K20" i="10"/>
  <c r="K38" i="10" s="1"/>
  <c r="J23" i="10"/>
  <c r="K25" i="10"/>
  <c r="K39" i="10" s="1"/>
  <c r="J28" i="10"/>
  <c r="K15" i="10"/>
  <c r="K37" i="10" s="1"/>
  <c r="J18" i="10"/>
  <c r="J78" i="10" s="1"/>
  <c r="I90" i="10" l="1"/>
  <c r="I134" i="10" s="1"/>
  <c r="I89" i="10"/>
  <c r="I133" i="10" s="1"/>
  <c r="J82" i="10"/>
  <c r="J111" i="10" s="1"/>
  <c r="J80" i="10"/>
  <c r="J109" i="10" s="1"/>
  <c r="J83" i="10"/>
  <c r="J112" i="10" s="1"/>
  <c r="J81" i="10"/>
  <c r="I139" i="10"/>
  <c r="H139" i="10"/>
  <c r="I140" i="10"/>
  <c r="H138" i="10"/>
  <c r="I138" i="10"/>
  <c r="K128" i="10"/>
  <c r="K125" i="10"/>
  <c r="K126" i="10"/>
  <c r="K127" i="10"/>
  <c r="J110" i="10"/>
  <c r="J84" i="10"/>
  <c r="J91" i="10" s="1"/>
  <c r="J135" i="10" s="1"/>
  <c r="I85" i="10"/>
  <c r="L15" i="10"/>
  <c r="L37" i="10" s="1"/>
  <c r="K18" i="10"/>
  <c r="L25" i="10"/>
  <c r="K28" i="10"/>
  <c r="L20" i="10"/>
  <c r="F162" i="10" s="1"/>
  <c r="K23" i="10"/>
  <c r="K78" i="10" l="1"/>
  <c r="L38" i="10"/>
  <c r="F166" i="10"/>
  <c r="L39" i="10"/>
  <c r="K82" i="10"/>
  <c r="K111" i="10" s="1"/>
  <c r="K80" i="10"/>
  <c r="K109" i="10" s="1"/>
  <c r="K83" i="10"/>
  <c r="K90" i="10" s="1"/>
  <c r="K134" i="10" s="1"/>
  <c r="K81" i="10"/>
  <c r="K110" i="10" s="1"/>
  <c r="K118" i="10" s="1"/>
  <c r="J120" i="10"/>
  <c r="F158" i="10"/>
  <c r="L125" i="10"/>
  <c r="L128" i="10"/>
  <c r="L126" i="10"/>
  <c r="L127" i="10"/>
  <c r="J119" i="10"/>
  <c r="J140" i="10"/>
  <c r="J117" i="10"/>
  <c r="J118" i="10"/>
  <c r="J89" i="10"/>
  <c r="J133" i="10" s="1"/>
  <c r="J90" i="10"/>
  <c r="J134" i="10" s="1"/>
  <c r="K84" i="10"/>
  <c r="K91" i="10" s="1"/>
  <c r="K135" i="10" s="1"/>
  <c r="K140" i="10" s="1"/>
  <c r="J85" i="10"/>
  <c r="M20" i="10"/>
  <c r="L23" i="10"/>
  <c r="F163" i="10" s="1"/>
  <c r="M25" i="10"/>
  <c r="L28" i="10"/>
  <c r="F167" i="10" s="1"/>
  <c r="K89" i="10"/>
  <c r="K133" i="10" s="1"/>
  <c r="M15" i="10"/>
  <c r="L18" i="10"/>
  <c r="L78" i="10" l="1"/>
  <c r="F159" i="10"/>
  <c r="M37" i="10"/>
  <c r="G166" i="10"/>
  <c r="M39" i="10"/>
  <c r="G162" i="10"/>
  <c r="M38" i="10"/>
  <c r="K112" i="10"/>
  <c r="K120" i="10" s="1"/>
  <c r="L82" i="10"/>
  <c r="L80" i="10"/>
  <c r="L109" i="10" s="1"/>
  <c r="L83" i="10"/>
  <c r="L81" i="10"/>
  <c r="L110" i="10" s="1"/>
  <c r="K117" i="10"/>
  <c r="J138" i="10"/>
  <c r="K138" i="10"/>
  <c r="K119" i="10"/>
  <c r="K139" i="10"/>
  <c r="J139" i="10"/>
  <c r="M125" i="10"/>
  <c r="M126" i="10"/>
  <c r="M127" i="10"/>
  <c r="M128" i="10"/>
  <c r="L84" i="10"/>
  <c r="L91" i="10" s="1"/>
  <c r="L135" i="10" s="1"/>
  <c r="G158" i="10"/>
  <c r="M18" i="10"/>
  <c r="K85" i="10"/>
  <c r="M28" i="10"/>
  <c r="G167" i="10" s="1"/>
  <c r="M23" i="10"/>
  <c r="G163" i="10" s="1"/>
  <c r="G164" i="10" l="1"/>
  <c r="M78" i="10"/>
  <c r="G159" i="10"/>
  <c r="N38" i="10"/>
  <c r="N37" i="10"/>
  <c r="M82" i="10"/>
  <c r="M111" i="10" s="1"/>
  <c r="M80" i="10"/>
  <c r="M109" i="10" s="1"/>
  <c r="M83" i="10"/>
  <c r="M81" i="10"/>
  <c r="M110" i="10" s="1"/>
  <c r="M118" i="10" s="1"/>
  <c r="L118" i="10"/>
  <c r="L89" i="10"/>
  <c r="L133" i="10" s="1"/>
  <c r="L111" i="10"/>
  <c r="L140" i="10"/>
  <c r="L117" i="10"/>
  <c r="L90" i="10"/>
  <c r="L134" i="10" s="1"/>
  <c r="L112" i="10"/>
  <c r="M84" i="10"/>
  <c r="M91" i="10" s="1"/>
  <c r="M135" i="10" s="1"/>
  <c r="L85" i="10"/>
  <c r="G168" i="10"/>
  <c r="G160" i="10" l="1"/>
  <c r="J177" i="10"/>
  <c r="K177" i="10"/>
  <c r="I177" i="10"/>
  <c r="I172" i="10" s="1"/>
  <c r="O39" i="10"/>
  <c r="H165" i="10"/>
  <c r="O38" i="10"/>
  <c r="N19" i="10"/>
  <c r="H161" i="10" s="1"/>
  <c r="O37" i="10"/>
  <c r="M117" i="10"/>
  <c r="BF121" i="2" s="1"/>
  <c r="BL118" i="2"/>
  <c r="BL113" i="2"/>
  <c r="BL119" i="2"/>
  <c r="BL110" i="2"/>
  <c r="BL116" i="2"/>
  <c r="BL111" i="2"/>
  <c r="BL117" i="2"/>
  <c r="BL121" i="2"/>
  <c r="BL115" i="2"/>
  <c r="BL120" i="2"/>
  <c r="BL112" i="2"/>
  <c r="BL114" i="2"/>
  <c r="M90" i="10"/>
  <c r="M134" i="10" s="1"/>
  <c r="M139" i="10" s="1"/>
  <c r="M112" i="10"/>
  <c r="M120" i="10" s="1"/>
  <c r="L119" i="10"/>
  <c r="M140" i="10"/>
  <c r="M119" i="10"/>
  <c r="L120" i="10"/>
  <c r="L138" i="10"/>
  <c r="L139" i="10"/>
  <c r="N30" i="12"/>
  <c r="M85" i="10"/>
  <c r="K175" i="10"/>
  <c r="J175" i="10"/>
  <c r="K173" i="10"/>
  <c r="K172" i="10"/>
  <c r="K174" i="10"/>
  <c r="J172" i="10"/>
  <c r="J174" i="10"/>
  <c r="J173" i="10"/>
  <c r="M89" i="10"/>
  <c r="I173" i="10"/>
  <c r="I174" i="10"/>
  <c r="I175" i="10" l="1"/>
  <c r="N12" i="10"/>
  <c r="N17" i="10"/>
  <c r="H157" i="10"/>
  <c r="N15" i="10"/>
  <c r="P37" i="10"/>
  <c r="Q37" i="10" s="1"/>
  <c r="R37" i="10" s="1"/>
  <c r="S37" i="10" s="1"/>
  <c r="T37" i="10" s="1"/>
  <c r="O14" i="10"/>
  <c r="P38" i="10"/>
  <c r="Q38" i="10" s="1"/>
  <c r="R38" i="10" s="1"/>
  <c r="S38" i="10" s="1"/>
  <c r="T38" i="10" s="1"/>
  <c r="O19" i="10"/>
  <c r="I161" i="10" s="1"/>
  <c r="N22" i="10"/>
  <c r="N20" i="10"/>
  <c r="N27" i="10"/>
  <c r="N25" i="10"/>
  <c r="P39" i="10"/>
  <c r="Q39" i="10" s="1"/>
  <c r="R39" i="10" s="1"/>
  <c r="S39" i="10" s="1"/>
  <c r="T39" i="10" s="1"/>
  <c r="I165" i="10"/>
  <c r="BF110" i="2"/>
  <c r="V110" i="34" s="1"/>
  <c r="BF119" i="2"/>
  <c r="BF112" i="2"/>
  <c r="BF111" i="2"/>
  <c r="BF120" i="2"/>
  <c r="BF114" i="2"/>
  <c r="BF117" i="2"/>
  <c r="BF113" i="2"/>
  <c r="BF115" i="2"/>
  <c r="BF118" i="2"/>
  <c r="BF116" i="2"/>
  <c r="T116" i="35"/>
  <c r="T121" i="35"/>
  <c r="T110" i="35"/>
  <c r="T113" i="35"/>
  <c r="T118" i="35"/>
  <c r="T115" i="35"/>
  <c r="V121" i="34"/>
  <c r="T119" i="35"/>
  <c r="T117" i="35"/>
  <c r="T114" i="35"/>
  <c r="T120" i="35"/>
  <c r="T111" i="35"/>
  <c r="T112" i="35"/>
  <c r="BX118" i="2"/>
  <c r="BX111" i="2"/>
  <c r="BX121" i="2"/>
  <c r="BX117" i="2"/>
  <c r="BX110" i="2"/>
  <c r="BX114" i="2"/>
  <c r="BX120" i="2"/>
  <c r="BX113" i="2"/>
  <c r="BX116" i="2"/>
  <c r="BX115" i="2"/>
  <c r="BX112" i="2"/>
  <c r="BX119" i="2"/>
  <c r="BR114" i="2"/>
  <c r="BR110" i="2"/>
  <c r="BR113" i="2"/>
  <c r="BR112" i="2"/>
  <c r="BR117" i="2"/>
  <c r="BR118" i="2"/>
  <c r="BR116" i="2"/>
  <c r="BR119" i="2"/>
  <c r="BR111" i="2"/>
  <c r="BR121" i="2"/>
  <c r="BR120" i="2"/>
  <c r="BR115" i="2"/>
  <c r="N10" i="12"/>
  <c r="M133" i="10"/>
  <c r="F181" i="10"/>
  <c r="F184" i="10"/>
  <c r="F183" i="10"/>
  <c r="O30" i="12"/>
  <c r="F182" i="10"/>
  <c r="N77" i="10" l="1"/>
  <c r="V113" i="34"/>
  <c r="V119" i="34"/>
  <c r="V118" i="34"/>
  <c r="V115" i="34"/>
  <c r="V111" i="34"/>
  <c r="V112" i="34"/>
  <c r="V114" i="34"/>
  <c r="U39" i="10"/>
  <c r="T24" i="10"/>
  <c r="N165" i="10" s="1"/>
  <c r="H166" i="10"/>
  <c r="N28" i="10"/>
  <c r="O25" i="10"/>
  <c r="N23" i="10"/>
  <c r="H163" i="10" s="1"/>
  <c r="H162" i="10"/>
  <c r="O20" i="10"/>
  <c r="U38" i="10"/>
  <c r="T19" i="10"/>
  <c r="N161" i="10" s="1"/>
  <c r="O15" i="10"/>
  <c r="N125" i="10"/>
  <c r="N127" i="10"/>
  <c r="H158" i="10"/>
  <c r="N18" i="10"/>
  <c r="N128" i="10"/>
  <c r="N126" i="10"/>
  <c r="O22" i="10"/>
  <c r="T14" i="10"/>
  <c r="U37" i="10"/>
  <c r="I157" i="10"/>
  <c r="O17" i="10"/>
  <c r="O11" i="10"/>
  <c r="O12" i="10" s="1"/>
  <c r="O27" i="10"/>
  <c r="V120" i="34"/>
  <c r="V116" i="34"/>
  <c r="V117" i="34"/>
  <c r="R120" i="36"/>
  <c r="R119" i="36"/>
  <c r="R114" i="36"/>
  <c r="R121" i="36"/>
  <c r="R111" i="36"/>
  <c r="R116" i="36"/>
  <c r="R118" i="36"/>
  <c r="R117" i="36"/>
  <c r="R113" i="36"/>
  <c r="R115" i="36"/>
  <c r="R112" i="36"/>
  <c r="R110" i="36"/>
  <c r="N113" i="37"/>
  <c r="N113" i="26"/>
  <c r="N120" i="26"/>
  <c r="N120" i="37"/>
  <c r="N114" i="37"/>
  <c r="N114" i="26"/>
  <c r="N110" i="37"/>
  <c r="N110" i="26"/>
  <c r="N117" i="26"/>
  <c r="N117" i="37"/>
  <c r="N121" i="26"/>
  <c r="N121" i="37"/>
  <c r="N111" i="26"/>
  <c r="N111" i="37"/>
  <c r="N118" i="26"/>
  <c r="N118" i="37"/>
  <c r="N119" i="37"/>
  <c r="N119" i="26"/>
  <c r="N115" i="37"/>
  <c r="N115" i="26"/>
  <c r="N112" i="37"/>
  <c r="N112" i="26"/>
  <c r="N116" i="26"/>
  <c r="N116" i="37"/>
  <c r="M138" i="10"/>
  <c r="O10" i="12"/>
  <c r="F190" i="10"/>
  <c r="D36" i="12" s="1"/>
  <c r="F192" i="10"/>
  <c r="D38" i="12" s="1"/>
  <c r="F191" i="10"/>
  <c r="D37" i="12" s="1"/>
  <c r="F189" i="10"/>
  <c r="D35" i="12" s="1"/>
  <c r="P30" i="12"/>
  <c r="F186" i="10"/>
  <c r="N78" i="10" l="1"/>
  <c r="H159" i="10"/>
  <c r="O77" i="10"/>
  <c r="H164" i="10"/>
  <c r="H167" i="10"/>
  <c r="M177" i="10"/>
  <c r="M175" i="10" s="1"/>
  <c r="N81" i="10"/>
  <c r="N110" i="10" s="1"/>
  <c r="N82" i="10"/>
  <c r="H160" i="10"/>
  <c r="N80" i="10"/>
  <c r="N84" i="10"/>
  <c r="N91" i="10" s="1"/>
  <c r="N135" i="10" s="1"/>
  <c r="N83" i="10"/>
  <c r="O127" i="10"/>
  <c r="I158" i="10"/>
  <c r="O128" i="10"/>
  <c r="O18" i="10"/>
  <c r="O125" i="10"/>
  <c r="O126" i="10"/>
  <c r="T22" i="10"/>
  <c r="M172" i="10"/>
  <c r="M174" i="10"/>
  <c r="U14" i="10"/>
  <c r="V37" i="10"/>
  <c r="O28" i="10"/>
  <c r="I166" i="10"/>
  <c r="T17" i="10"/>
  <c r="T11" i="10"/>
  <c r="N157" i="10"/>
  <c r="V38" i="10"/>
  <c r="U19" i="10"/>
  <c r="U22" i="10" s="1"/>
  <c r="O23" i="10"/>
  <c r="I163" i="10" s="1"/>
  <c r="I162" i="10"/>
  <c r="T27" i="10"/>
  <c r="V39" i="10"/>
  <c r="U24" i="10"/>
  <c r="U27" i="10" s="1"/>
  <c r="P10" i="12"/>
  <c r="D53" i="12"/>
  <c r="D39" i="12"/>
  <c r="Q10" i="12"/>
  <c r="Q30" i="12"/>
  <c r="F194" i="10"/>
  <c r="M173" i="10" l="1"/>
  <c r="I164" i="10"/>
  <c r="O78" i="10"/>
  <c r="I159" i="10"/>
  <c r="T77" i="10"/>
  <c r="H168" i="10"/>
  <c r="I167" i="10"/>
  <c r="P177" i="10"/>
  <c r="P174" i="10" s="1"/>
  <c r="L177" i="10"/>
  <c r="L172" i="10" s="1"/>
  <c r="U11" i="10"/>
  <c r="U17" i="10"/>
  <c r="U77" i="10" s="1"/>
  <c r="W38" i="10"/>
  <c r="V19" i="10"/>
  <c r="V22" i="10" s="1"/>
  <c r="N112" i="10"/>
  <c r="N120" i="10" s="1"/>
  <c r="N90" i="10"/>
  <c r="N134" i="10" s="1"/>
  <c r="N109" i="10"/>
  <c r="N117" i="10" s="1"/>
  <c r="N85" i="10"/>
  <c r="W39" i="10"/>
  <c r="V24" i="10"/>
  <c r="V27" i="10" s="1"/>
  <c r="N111" i="10"/>
  <c r="N119" i="10" s="1"/>
  <c r="N89" i="10"/>
  <c r="N133" i="10" s="1"/>
  <c r="N138" i="10" s="1"/>
  <c r="N140" i="10"/>
  <c r="N118" i="10"/>
  <c r="P172" i="10"/>
  <c r="V14" i="10"/>
  <c r="W37" i="10"/>
  <c r="I160" i="10"/>
  <c r="O82" i="10"/>
  <c r="O81" i="10"/>
  <c r="O110" i="10" s="1"/>
  <c r="O118" i="10" s="1"/>
  <c r="O83" i="10"/>
  <c r="O80" i="10"/>
  <c r="O84" i="10"/>
  <c r="O91" i="10" s="1"/>
  <c r="O135" i="10" s="1"/>
  <c r="O140" i="10" s="1"/>
  <c r="R30" i="12"/>
  <c r="R10" i="12"/>
  <c r="P173" i="10" l="1"/>
  <c r="P175" i="10"/>
  <c r="L175" i="10"/>
  <c r="L173" i="10"/>
  <c r="I168" i="10"/>
  <c r="L174" i="10"/>
  <c r="N177" i="10"/>
  <c r="O177" i="10"/>
  <c r="O174" i="10" s="1"/>
  <c r="V17" i="10"/>
  <c r="V77" i="10" s="1"/>
  <c r="V11" i="10"/>
  <c r="T127" i="35"/>
  <c r="T131" i="35"/>
  <c r="T128" i="35"/>
  <c r="T132" i="35"/>
  <c r="T133" i="35"/>
  <c r="T129" i="35"/>
  <c r="T130" i="35"/>
  <c r="T122" i="35"/>
  <c r="T123" i="35"/>
  <c r="T124" i="35"/>
  <c r="T125" i="35"/>
  <c r="T126" i="35"/>
  <c r="V132" i="34"/>
  <c r="V125" i="34"/>
  <c r="V126" i="34"/>
  <c r="V123" i="34"/>
  <c r="V127" i="34"/>
  <c r="V128" i="34"/>
  <c r="V129" i="34"/>
  <c r="V130" i="34"/>
  <c r="V131" i="34"/>
  <c r="V122" i="34"/>
  <c r="V133" i="34"/>
  <c r="V124" i="34"/>
  <c r="O112" i="10"/>
  <c r="O120" i="10" s="1"/>
  <c r="O90" i="10"/>
  <c r="O134" i="10" s="1"/>
  <c r="O139" i="10" s="1"/>
  <c r="N128" i="37"/>
  <c r="N124" i="37"/>
  <c r="N129" i="37"/>
  <c r="N122" i="37"/>
  <c r="N132" i="37"/>
  <c r="N131" i="37"/>
  <c r="N123" i="37"/>
  <c r="N126" i="37"/>
  <c r="N125" i="37"/>
  <c r="N133" i="37"/>
  <c r="N130" i="37"/>
  <c r="N127" i="37"/>
  <c r="X39" i="10"/>
  <c r="X24" i="10" s="1"/>
  <c r="X27" i="10" s="1"/>
  <c r="W24" i="10"/>
  <c r="W27" i="10" s="1"/>
  <c r="T136" i="35"/>
  <c r="T137" i="35"/>
  <c r="T140" i="35"/>
  <c r="T134" i="35"/>
  <c r="T138" i="35"/>
  <c r="T139" i="35"/>
  <c r="T141" i="35"/>
  <c r="T142" i="35"/>
  <c r="T143" i="35"/>
  <c r="T144" i="35"/>
  <c r="T145" i="35"/>
  <c r="T135" i="35"/>
  <c r="O109" i="10"/>
  <c r="O85" i="10"/>
  <c r="N139" i="10"/>
  <c r="O111" i="10"/>
  <c r="O119" i="10" s="1"/>
  <c r="O89" i="10"/>
  <c r="O133" i="10" s="1"/>
  <c r="O138" i="10" s="1"/>
  <c r="X38" i="10"/>
  <c r="X19" i="10" s="1"/>
  <c r="X22" i="10" s="1"/>
  <c r="W19" i="10"/>
  <c r="W22" i="10" s="1"/>
  <c r="R127" i="36"/>
  <c r="R132" i="36"/>
  <c r="R128" i="36"/>
  <c r="R133" i="36"/>
  <c r="R129" i="36"/>
  <c r="R131" i="36"/>
  <c r="R122" i="36"/>
  <c r="R130" i="36"/>
  <c r="R125" i="36"/>
  <c r="R124" i="36"/>
  <c r="R126" i="36"/>
  <c r="R123" i="36"/>
  <c r="W14" i="10"/>
  <c r="X37" i="10"/>
  <c r="X14" i="10" s="1"/>
  <c r="S30" i="12"/>
  <c r="S10" i="12"/>
  <c r="O175" i="10" l="1"/>
  <c r="O173" i="10"/>
  <c r="O172" i="10"/>
  <c r="N175" i="10"/>
  <c r="N173" i="10"/>
  <c r="N172" i="10"/>
  <c r="G181" i="10" s="1"/>
  <c r="N174" i="10"/>
  <c r="G183" i="10"/>
  <c r="G191" i="10" s="1"/>
  <c r="E37" i="12" s="1"/>
  <c r="Q177" i="10"/>
  <c r="G182" i="10"/>
  <c r="G190" i="10" s="1"/>
  <c r="E36" i="12" s="1"/>
  <c r="G184" i="10"/>
  <c r="G192" i="10" s="1"/>
  <c r="E38" i="12" s="1"/>
  <c r="O117" i="10"/>
  <c r="V136" i="34" s="1"/>
  <c r="N142" i="37"/>
  <c r="N144" i="37"/>
  <c r="N143" i="37"/>
  <c r="N135" i="37"/>
  <c r="N138" i="37"/>
  <c r="N136" i="37"/>
  <c r="N134" i="37"/>
  <c r="N137" i="37"/>
  <c r="N139" i="37"/>
  <c r="N140" i="37"/>
  <c r="N145" i="37"/>
  <c r="N141" i="37"/>
  <c r="R144" i="36"/>
  <c r="R142" i="36"/>
  <c r="R134" i="36"/>
  <c r="R143" i="36"/>
  <c r="R145" i="36"/>
  <c r="R136" i="36"/>
  <c r="R135" i="36"/>
  <c r="R137" i="36"/>
  <c r="R138" i="36"/>
  <c r="R139" i="36"/>
  <c r="R140" i="36"/>
  <c r="R141" i="36"/>
  <c r="W11" i="10"/>
  <c r="W17" i="10"/>
  <c r="W77" i="10" s="1"/>
  <c r="X17" i="10"/>
  <c r="X77" i="10" s="1"/>
  <c r="X11" i="10"/>
  <c r="T10" i="12"/>
  <c r="T30" i="12"/>
  <c r="V135" i="34" l="1"/>
  <c r="V138" i="34"/>
  <c r="V145" i="34"/>
  <c r="V141" i="34"/>
  <c r="V139" i="34"/>
  <c r="V143" i="34"/>
  <c r="V144" i="34"/>
  <c r="Q174" i="10"/>
  <c r="H183" i="10" s="1"/>
  <c r="H191" i="10" s="1"/>
  <c r="F37" i="12" s="1"/>
  <c r="Q173" i="10"/>
  <c r="H182" i="10" s="1"/>
  <c r="H190" i="10" s="1"/>
  <c r="F36" i="12" s="1"/>
  <c r="Q172" i="10"/>
  <c r="H181" i="10" s="1"/>
  <c r="Q175" i="10"/>
  <c r="H184" i="10" s="1"/>
  <c r="H192" i="10" s="1"/>
  <c r="F38" i="12" s="1"/>
  <c r="V142" i="34"/>
  <c r="G189" i="10"/>
  <c r="G186" i="10"/>
  <c r="V134" i="34"/>
  <c r="V140" i="34"/>
  <c r="V137" i="34"/>
  <c r="U10" i="12"/>
  <c r="U30" i="12"/>
  <c r="H189" i="10" l="1"/>
  <c r="H186" i="10"/>
  <c r="E35" i="12"/>
  <c r="E39" i="12" s="1"/>
  <c r="G194" i="10"/>
  <c r="W3" i="5"/>
  <c r="X3" i="5"/>
  <c r="T56" i="7"/>
  <c r="T76" i="7" s="1"/>
  <c r="AI3" i="5"/>
  <c r="B173" i="5"/>
  <c r="AH31" i="7"/>
  <c r="AH33" i="7"/>
  <c r="AH35" i="7"/>
  <c r="AH76" i="7"/>
  <c r="AG76" i="7"/>
  <c r="AM60" i="7"/>
  <c r="AK56" i="7"/>
  <c r="AK76" i="7" s="1"/>
  <c r="AJ56" i="7"/>
  <c r="AJ76" i="7" s="1"/>
  <c r="AI56" i="7"/>
  <c r="AI76" i="7" s="1"/>
  <c r="AG50" i="7"/>
  <c r="AG49" i="7"/>
  <c r="AG48" i="7"/>
  <c r="AG47" i="7"/>
  <c r="AG46" i="7"/>
  <c r="AG35" i="7"/>
  <c r="AG34" i="7"/>
  <c r="AG33" i="7"/>
  <c r="AG32" i="7"/>
  <c r="AG31" i="7"/>
  <c r="AG26" i="7"/>
  <c r="AG25" i="7"/>
  <c r="AG24" i="7"/>
  <c r="AG23" i="7"/>
  <c r="AG22" i="7"/>
  <c r="W62" i="7"/>
  <c r="X62" i="7"/>
  <c r="U62" i="7"/>
  <c r="S50" i="7"/>
  <c r="S51" i="7"/>
  <c r="X56" i="7"/>
  <c r="X76" i="7" s="1"/>
  <c r="W56" i="7"/>
  <c r="W76" i="7" s="1"/>
  <c r="V56" i="7"/>
  <c r="V76" i="7" s="1"/>
  <c r="P77" i="7"/>
  <c r="U76" i="7"/>
  <c r="S76" i="7"/>
  <c r="Z60" i="7"/>
  <c r="S49" i="7"/>
  <c r="S48" i="7"/>
  <c r="S46" i="7"/>
  <c r="I44" i="7"/>
  <c r="N16" i="7" s="1"/>
  <c r="S35" i="7"/>
  <c r="S34" i="7"/>
  <c r="S33" i="7"/>
  <c r="S32" i="7"/>
  <c r="S31" i="7"/>
  <c r="G27" i="7"/>
  <c r="F27" i="7"/>
  <c r="E27" i="7"/>
  <c r="D27" i="7"/>
  <c r="C27" i="7"/>
  <c r="S26" i="7"/>
  <c r="I26" i="7"/>
  <c r="S25" i="7"/>
  <c r="I25" i="7"/>
  <c r="S24" i="7"/>
  <c r="S23" i="7"/>
  <c r="S22" i="7"/>
  <c r="F18" i="7"/>
  <c r="E18" i="7"/>
  <c r="D18" i="7"/>
  <c r="C18" i="7"/>
  <c r="W17" i="7"/>
  <c r="V17" i="7"/>
  <c r="U17" i="7"/>
  <c r="T17" i="7"/>
  <c r="T35" i="7" s="1"/>
  <c r="W15" i="7"/>
  <c r="E69" i="7" s="1"/>
  <c r="V15" i="7"/>
  <c r="D69" i="7" s="1"/>
  <c r="U15" i="7"/>
  <c r="T15" i="7"/>
  <c r="T33" i="7" s="1"/>
  <c r="W13" i="7"/>
  <c r="E67" i="7" s="1"/>
  <c r="V13" i="7"/>
  <c r="D67" i="7" s="1"/>
  <c r="U13" i="7"/>
  <c r="T13" i="7"/>
  <c r="T31" i="7" s="1"/>
  <c r="X13" i="7"/>
  <c r="P5" i="7"/>
  <c r="P6" i="7" s="1"/>
  <c r="P7" i="7" s="1"/>
  <c r="P8" i="7" s="1"/>
  <c r="P9" i="7" s="1"/>
  <c r="P10" i="7" s="1"/>
  <c r="P14" i="7" s="1"/>
  <c r="AJ3" i="5"/>
  <c r="Y3" i="5"/>
  <c r="Z3" i="5"/>
  <c r="AA3" i="5"/>
  <c r="AB3" i="5"/>
  <c r="AC3" i="5"/>
  <c r="AD3" i="5"/>
  <c r="AE3" i="5"/>
  <c r="AF3" i="5"/>
  <c r="AG3" i="5"/>
  <c r="AH3" i="5"/>
  <c r="B123" i="5"/>
  <c r="B135" i="5" s="1"/>
  <c r="B122" i="5"/>
  <c r="B134" i="5" s="1"/>
  <c r="F35" i="12" l="1"/>
  <c r="F39" i="12" s="1"/>
  <c r="H194" i="10"/>
  <c r="Z61" i="7"/>
  <c r="AH61" i="7"/>
  <c r="AH62" i="7" s="1"/>
  <c r="V62" i="7"/>
  <c r="Z62" i="7" s="1"/>
  <c r="B146" i="5"/>
  <c r="B156" i="5" s="1"/>
  <c r="B145" i="5"/>
  <c r="AI31" i="7"/>
  <c r="AI33" i="7"/>
  <c r="AI34" i="7"/>
  <c r="AI35" i="7"/>
  <c r="AH34" i="7"/>
  <c r="U31" i="7"/>
  <c r="X17" i="7"/>
  <c r="X35" i="7" s="1"/>
  <c r="V35" i="7"/>
  <c r="I27" i="7"/>
  <c r="U35" i="7"/>
  <c r="V31" i="7"/>
  <c r="W31" i="7"/>
  <c r="W35" i="7"/>
  <c r="D71" i="7"/>
  <c r="V33" i="7"/>
  <c r="U33" i="7"/>
  <c r="W33" i="7"/>
  <c r="U16" i="7"/>
  <c r="W16" i="7"/>
  <c r="V16" i="7"/>
  <c r="Y16" i="7"/>
  <c r="X16" i="7"/>
  <c r="T16" i="7"/>
  <c r="T34" i="7" s="1"/>
  <c r="F67" i="7"/>
  <c r="X31" i="7"/>
  <c r="Y17" i="7"/>
  <c r="Y15" i="7"/>
  <c r="G18" i="7"/>
  <c r="C69" i="7"/>
  <c r="C67" i="7"/>
  <c r="E71" i="7"/>
  <c r="X15" i="7"/>
  <c r="H70" i="7" l="1"/>
  <c r="Z34" i="7"/>
  <c r="Y13" i="7"/>
  <c r="Y31" i="7" s="1"/>
  <c r="V63" i="7"/>
  <c r="V64" i="7" s="1"/>
  <c r="W63" i="7"/>
  <c r="W64" i="7" s="1"/>
  <c r="X63" i="7"/>
  <c r="X64" i="7" s="1"/>
  <c r="F71" i="7"/>
  <c r="J6" i="7"/>
  <c r="K6" i="7" s="1"/>
  <c r="J15" i="7"/>
  <c r="Z33" i="7"/>
  <c r="J17" i="7"/>
  <c r="Z35" i="7"/>
  <c r="U34" i="7"/>
  <c r="H18" i="7"/>
  <c r="X33" i="7"/>
  <c r="F69" i="7"/>
  <c r="D70" i="7"/>
  <c r="V34" i="7"/>
  <c r="G69" i="7"/>
  <c r="Y33" i="7"/>
  <c r="Y35" i="7"/>
  <c r="G71" i="7"/>
  <c r="F70" i="7"/>
  <c r="X34" i="7"/>
  <c r="G70" i="7"/>
  <c r="Y34" i="7"/>
  <c r="E70" i="7"/>
  <c r="W34" i="7"/>
  <c r="Z64" i="7" l="1"/>
  <c r="K17" i="7"/>
  <c r="L17" i="7" s="1"/>
  <c r="M17" i="7" s="1"/>
  <c r="K15" i="7"/>
  <c r="L15" i="7" s="1"/>
  <c r="M15" i="7" s="1"/>
  <c r="L6" i="7"/>
  <c r="K18" i="7"/>
  <c r="AA34" i="7"/>
  <c r="AB34" i="7"/>
  <c r="AA33" i="7"/>
  <c r="AA35" i="7"/>
  <c r="AC34" i="7"/>
  <c r="G67" i="7"/>
  <c r="Z63" i="7"/>
  <c r="H71" i="7"/>
  <c r="J71" i="7" s="1"/>
  <c r="H69" i="7"/>
  <c r="J69" i="7" s="1"/>
  <c r="Z31" i="7"/>
  <c r="J70" i="7"/>
  <c r="I18" i="7"/>
  <c r="U89" i="7" l="1"/>
  <c r="V89" i="7"/>
  <c r="W89" i="7"/>
  <c r="X89" i="7"/>
  <c r="S88" i="7"/>
  <c r="T88" i="7"/>
  <c r="U88" i="7"/>
  <c r="V88" i="7"/>
  <c r="W88" i="7"/>
  <c r="X88" i="7"/>
  <c r="S90" i="7"/>
  <c r="T90" i="7"/>
  <c r="U90" i="7"/>
  <c r="V90" i="7"/>
  <c r="W90" i="7"/>
  <c r="X90" i="7"/>
  <c r="M6" i="7"/>
  <c r="M18" i="7" s="1"/>
  <c r="L18" i="7"/>
  <c r="AB35" i="7"/>
  <c r="AA31" i="7"/>
  <c r="AD34" i="7"/>
  <c r="H67" i="7"/>
  <c r="J67" i="7" s="1"/>
  <c r="J18" i="7"/>
  <c r="W86" i="7" l="1"/>
  <c r="X86" i="7"/>
  <c r="U86" i="7"/>
  <c r="V86" i="7"/>
  <c r="S86" i="7"/>
  <c r="T86" i="7"/>
  <c r="AB33" i="7"/>
  <c r="AC33" i="7"/>
  <c r="AC35" i="7"/>
  <c r="Z90" i="7"/>
  <c r="Z88" i="7"/>
  <c r="AD33" i="7" l="1"/>
  <c r="AB31" i="7"/>
  <c r="AC31" i="7"/>
  <c r="AD35" i="7"/>
  <c r="Z86" i="7"/>
  <c r="AD31" i="7" l="1"/>
  <c r="B118" i="5"/>
  <c r="B130" i="5" s="1"/>
  <c r="B119" i="5"/>
  <c r="B131" i="5" s="1"/>
  <c r="B120" i="5"/>
  <c r="B121" i="5"/>
  <c r="B155" i="5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AC24" i="6"/>
  <c r="DB121" i="2" s="1"/>
  <c r="AC23" i="6"/>
  <c r="I99" i="20" l="1"/>
  <c r="I99" i="31"/>
  <c r="I83" i="20"/>
  <c r="I83" i="31"/>
  <c r="I67" i="20"/>
  <c r="I67" i="31"/>
  <c r="I51" i="20"/>
  <c r="I51" i="31"/>
  <c r="I35" i="20"/>
  <c r="I35" i="31"/>
  <c r="I19" i="20"/>
  <c r="I19" i="31"/>
  <c r="I3" i="20"/>
  <c r="I3" i="31"/>
  <c r="I100" i="20"/>
  <c r="I100" i="31"/>
  <c r="I84" i="20"/>
  <c r="I84" i="31"/>
  <c r="I68" i="20"/>
  <c r="I68" i="31"/>
  <c r="I52" i="20"/>
  <c r="I52" i="31"/>
  <c r="I36" i="20"/>
  <c r="I36" i="31"/>
  <c r="I20" i="20"/>
  <c r="I20" i="31"/>
  <c r="I4" i="20"/>
  <c r="I4" i="31"/>
  <c r="I101" i="20"/>
  <c r="I101" i="31"/>
  <c r="I85" i="20"/>
  <c r="I85" i="31"/>
  <c r="I69" i="20"/>
  <c r="I69" i="31"/>
  <c r="I53" i="20"/>
  <c r="I53" i="31"/>
  <c r="I37" i="20"/>
  <c r="I37" i="31"/>
  <c r="I21" i="20"/>
  <c r="I21" i="31"/>
  <c r="I5" i="20"/>
  <c r="I5" i="31"/>
  <c r="I102" i="20"/>
  <c r="I102" i="31"/>
  <c r="I86" i="20"/>
  <c r="I86" i="31"/>
  <c r="I70" i="20"/>
  <c r="I70" i="31"/>
  <c r="I54" i="20"/>
  <c r="I54" i="31"/>
  <c r="I38" i="20"/>
  <c r="I38" i="31"/>
  <c r="I22" i="20"/>
  <c r="I22" i="31"/>
  <c r="I6" i="20"/>
  <c r="I6" i="31"/>
  <c r="I103" i="31"/>
  <c r="I103" i="20"/>
  <c r="I87" i="31"/>
  <c r="I87" i="20"/>
  <c r="I71" i="31"/>
  <c r="I71" i="20"/>
  <c r="I55" i="31"/>
  <c r="I55" i="20"/>
  <c r="I39" i="31"/>
  <c r="I39" i="20"/>
  <c r="I23" i="31"/>
  <c r="I23" i="20"/>
  <c r="I7" i="31"/>
  <c r="I7" i="20"/>
  <c r="I104" i="31"/>
  <c r="I104" i="20"/>
  <c r="I88" i="31"/>
  <c r="I88" i="20"/>
  <c r="I72" i="31"/>
  <c r="I72" i="20"/>
  <c r="I56" i="31"/>
  <c r="I56" i="20"/>
  <c r="I40" i="31"/>
  <c r="I40" i="20"/>
  <c r="I24" i="31"/>
  <c r="I24" i="20"/>
  <c r="I8" i="31"/>
  <c r="I8" i="20"/>
  <c r="I105" i="31"/>
  <c r="I105" i="20"/>
  <c r="I89" i="31"/>
  <c r="I89" i="20"/>
  <c r="I73" i="31"/>
  <c r="I73" i="20"/>
  <c r="I57" i="31"/>
  <c r="I57" i="20"/>
  <c r="I41" i="31"/>
  <c r="I41" i="20"/>
  <c r="I25" i="31"/>
  <c r="I25" i="20"/>
  <c r="I9" i="31"/>
  <c r="I9" i="20"/>
  <c r="I106" i="31"/>
  <c r="I106" i="20"/>
  <c r="I90" i="31"/>
  <c r="I90" i="20"/>
  <c r="I74" i="31"/>
  <c r="I74" i="20"/>
  <c r="I58" i="31"/>
  <c r="I58" i="20"/>
  <c r="I42" i="31"/>
  <c r="I42" i="20"/>
  <c r="I26" i="31"/>
  <c r="I26" i="20"/>
  <c r="I10" i="31"/>
  <c r="I10" i="20"/>
  <c r="I107" i="31"/>
  <c r="I107" i="20"/>
  <c r="I91" i="31"/>
  <c r="I91" i="20"/>
  <c r="I75" i="31"/>
  <c r="I75" i="20"/>
  <c r="I59" i="31"/>
  <c r="I59" i="20"/>
  <c r="I43" i="31"/>
  <c r="I43" i="20"/>
  <c r="I27" i="31"/>
  <c r="I27" i="20"/>
  <c r="I11" i="31"/>
  <c r="I11" i="20"/>
  <c r="I108" i="31"/>
  <c r="I108" i="20"/>
  <c r="I92" i="31"/>
  <c r="I92" i="20"/>
  <c r="I76" i="31"/>
  <c r="I76" i="20"/>
  <c r="I60" i="31"/>
  <c r="I60" i="20"/>
  <c r="I44" i="31"/>
  <c r="I44" i="20"/>
  <c r="I28" i="31"/>
  <c r="I28" i="20"/>
  <c r="I12" i="31"/>
  <c r="I12" i="20"/>
  <c r="I109" i="31"/>
  <c r="I109" i="20"/>
  <c r="I93" i="31"/>
  <c r="I93" i="20"/>
  <c r="I77" i="31"/>
  <c r="I77" i="20"/>
  <c r="I61" i="31"/>
  <c r="I61" i="20"/>
  <c r="I45" i="31"/>
  <c r="I45" i="20"/>
  <c r="I29" i="31"/>
  <c r="I29" i="20"/>
  <c r="I13" i="31"/>
  <c r="I13" i="20"/>
  <c r="I94" i="31"/>
  <c r="I94" i="20"/>
  <c r="I78" i="31"/>
  <c r="I78" i="20"/>
  <c r="I62" i="31"/>
  <c r="I62" i="20"/>
  <c r="I46" i="31"/>
  <c r="I46" i="20"/>
  <c r="I30" i="31"/>
  <c r="I30" i="20"/>
  <c r="I14" i="31"/>
  <c r="I14" i="20"/>
  <c r="I95" i="31"/>
  <c r="I95" i="20"/>
  <c r="I79" i="31"/>
  <c r="I79" i="20"/>
  <c r="I63" i="31"/>
  <c r="I63" i="20"/>
  <c r="I47" i="31"/>
  <c r="I47" i="20"/>
  <c r="I31" i="31"/>
  <c r="I31" i="20"/>
  <c r="I15" i="31"/>
  <c r="I15" i="20"/>
  <c r="I96" i="31"/>
  <c r="I96" i="20"/>
  <c r="I80" i="31"/>
  <c r="I80" i="20"/>
  <c r="I64" i="31"/>
  <c r="I64" i="20"/>
  <c r="I48" i="31"/>
  <c r="I48" i="20"/>
  <c r="I32" i="31"/>
  <c r="I32" i="20"/>
  <c r="I16" i="31"/>
  <c r="I16" i="20"/>
  <c r="I97" i="31"/>
  <c r="I97" i="20"/>
  <c r="I81" i="31"/>
  <c r="I81" i="20"/>
  <c r="I65" i="31"/>
  <c r="I65" i="20"/>
  <c r="I49" i="31"/>
  <c r="I49" i="20"/>
  <c r="I33" i="31"/>
  <c r="I33" i="20"/>
  <c r="I17" i="31"/>
  <c r="I17" i="20"/>
  <c r="I98" i="20"/>
  <c r="I98" i="31"/>
  <c r="I82" i="20"/>
  <c r="I82" i="31"/>
  <c r="I66" i="20"/>
  <c r="I66" i="31"/>
  <c r="I50" i="20"/>
  <c r="I50" i="31"/>
  <c r="I34" i="20"/>
  <c r="I34" i="31"/>
  <c r="I18" i="20"/>
  <c r="I18" i="31"/>
  <c r="I2" i="20"/>
  <c r="I2" i="31"/>
  <c r="E109" i="23"/>
  <c r="E109" i="19"/>
  <c r="E103" i="25"/>
  <c r="E101" i="23"/>
  <c r="E101" i="19"/>
  <c r="E95" i="25"/>
  <c r="E93" i="23"/>
  <c r="E93" i="19"/>
  <c r="E87" i="25"/>
  <c r="E85" i="23"/>
  <c r="E85" i="19"/>
  <c r="E79" i="25"/>
  <c r="E77" i="23"/>
  <c r="E77" i="19"/>
  <c r="E71" i="25"/>
  <c r="E69" i="23"/>
  <c r="E69" i="19"/>
  <c r="E63" i="25"/>
  <c r="E61" i="23"/>
  <c r="E61" i="19"/>
  <c r="E55" i="25"/>
  <c r="E53" i="23"/>
  <c r="E53" i="19"/>
  <c r="E47" i="25"/>
  <c r="E45" i="23"/>
  <c r="E45" i="19"/>
  <c r="E39" i="25"/>
  <c r="E37" i="23"/>
  <c r="E37" i="19"/>
  <c r="E31" i="25"/>
  <c r="E29" i="23"/>
  <c r="N29" i="23" s="1"/>
  <c r="E29" i="19"/>
  <c r="E23" i="25"/>
  <c r="E21" i="23"/>
  <c r="E21" i="19"/>
  <c r="E15" i="25"/>
  <c r="E13" i="23"/>
  <c r="E13" i="19"/>
  <c r="E7" i="25"/>
  <c r="E5" i="23"/>
  <c r="E5" i="19"/>
  <c r="E104" i="25"/>
  <c r="E102" i="23"/>
  <c r="E102" i="19"/>
  <c r="E96" i="25"/>
  <c r="E94" i="23"/>
  <c r="E94" i="19"/>
  <c r="E88" i="25"/>
  <c r="E86" i="23"/>
  <c r="E86" i="19"/>
  <c r="E80" i="25"/>
  <c r="E78" i="23"/>
  <c r="E78" i="19"/>
  <c r="E72" i="25"/>
  <c r="E70" i="23"/>
  <c r="E70" i="19"/>
  <c r="E64" i="25"/>
  <c r="E62" i="23"/>
  <c r="E62" i="19"/>
  <c r="E56" i="25"/>
  <c r="E54" i="23"/>
  <c r="E54" i="19"/>
  <c r="E48" i="25"/>
  <c r="E46" i="23"/>
  <c r="E46" i="19"/>
  <c r="E40" i="25"/>
  <c r="E38" i="23"/>
  <c r="E38" i="19"/>
  <c r="E32" i="25"/>
  <c r="E30" i="23"/>
  <c r="E30" i="19"/>
  <c r="E24" i="25"/>
  <c r="E22" i="23"/>
  <c r="E22" i="19"/>
  <c r="E16" i="25"/>
  <c r="E14" i="23"/>
  <c r="E14" i="19"/>
  <c r="E8" i="25"/>
  <c r="E6" i="23"/>
  <c r="N6" i="23" s="1"/>
  <c r="E6" i="19"/>
  <c r="E105" i="25"/>
  <c r="E103" i="23"/>
  <c r="E103" i="19"/>
  <c r="E97" i="25"/>
  <c r="E95" i="23"/>
  <c r="E95" i="19"/>
  <c r="E89" i="25"/>
  <c r="E87" i="23"/>
  <c r="E87" i="19"/>
  <c r="E81" i="25"/>
  <c r="E79" i="23"/>
  <c r="E79" i="19"/>
  <c r="E73" i="25"/>
  <c r="E71" i="23"/>
  <c r="E71" i="19"/>
  <c r="E65" i="25"/>
  <c r="E63" i="23"/>
  <c r="E63" i="19"/>
  <c r="E57" i="25"/>
  <c r="E55" i="23"/>
  <c r="E55" i="19"/>
  <c r="E49" i="25"/>
  <c r="E47" i="23"/>
  <c r="E47" i="19"/>
  <c r="E41" i="25"/>
  <c r="E39" i="23"/>
  <c r="E39" i="19"/>
  <c r="E33" i="25"/>
  <c r="E31" i="23"/>
  <c r="N31" i="23" s="1"/>
  <c r="E31" i="19"/>
  <c r="E25" i="25"/>
  <c r="E23" i="23"/>
  <c r="E23" i="19"/>
  <c r="E17" i="25"/>
  <c r="E15" i="23"/>
  <c r="E15" i="19"/>
  <c r="E9" i="25"/>
  <c r="E7" i="23"/>
  <c r="E7" i="19"/>
  <c r="E106" i="25"/>
  <c r="E104" i="23"/>
  <c r="E104" i="19"/>
  <c r="E98" i="25"/>
  <c r="E96" i="23"/>
  <c r="E96" i="19"/>
  <c r="E90" i="25"/>
  <c r="E88" i="23"/>
  <c r="N88" i="23" s="1"/>
  <c r="E88" i="19"/>
  <c r="E82" i="25"/>
  <c r="E80" i="23"/>
  <c r="E80" i="19"/>
  <c r="E74" i="25"/>
  <c r="E72" i="23"/>
  <c r="E72" i="19"/>
  <c r="E66" i="25"/>
  <c r="E64" i="23"/>
  <c r="E64" i="19"/>
  <c r="E58" i="25"/>
  <c r="E56" i="23"/>
  <c r="E56" i="19"/>
  <c r="E50" i="25"/>
  <c r="E48" i="23"/>
  <c r="E48" i="19"/>
  <c r="E42" i="25"/>
  <c r="E40" i="23"/>
  <c r="E40" i="19"/>
  <c r="E34" i="25"/>
  <c r="E32" i="23"/>
  <c r="E32" i="19"/>
  <c r="E26" i="25"/>
  <c r="E24" i="23"/>
  <c r="E24" i="19"/>
  <c r="E18" i="25"/>
  <c r="E16" i="23"/>
  <c r="E16" i="19"/>
  <c r="E10" i="25"/>
  <c r="E8" i="23"/>
  <c r="E8" i="19"/>
  <c r="E2" i="25"/>
  <c r="E107" i="25"/>
  <c r="E105" i="23"/>
  <c r="E105" i="19"/>
  <c r="E99" i="25"/>
  <c r="E97" i="23"/>
  <c r="E97" i="19"/>
  <c r="E91" i="25"/>
  <c r="E89" i="23"/>
  <c r="E89" i="19"/>
  <c r="E83" i="25"/>
  <c r="E81" i="23"/>
  <c r="E81" i="19"/>
  <c r="E75" i="25"/>
  <c r="E73" i="23"/>
  <c r="E73" i="19"/>
  <c r="E67" i="25"/>
  <c r="E65" i="23"/>
  <c r="E65" i="19"/>
  <c r="E59" i="25"/>
  <c r="E57" i="23"/>
  <c r="E57" i="19"/>
  <c r="E51" i="25"/>
  <c r="E49" i="23"/>
  <c r="E49" i="19"/>
  <c r="E43" i="25"/>
  <c r="E41" i="23"/>
  <c r="E41" i="19"/>
  <c r="E35" i="25"/>
  <c r="E33" i="23"/>
  <c r="E33" i="19"/>
  <c r="E27" i="25"/>
  <c r="E25" i="23"/>
  <c r="N25" i="23" s="1"/>
  <c r="E25" i="19"/>
  <c r="E19" i="25"/>
  <c r="E17" i="23"/>
  <c r="E17" i="19"/>
  <c r="E11" i="25"/>
  <c r="E9" i="23"/>
  <c r="E9" i="19"/>
  <c r="E3" i="25"/>
  <c r="E108" i="25"/>
  <c r="E106" i="23"/>
  <c r="E106" i="19"/>
  <c r="E100" i="25"/>
  <c r="E98" i="23"/>
  <c r="E98" i="19"/>
  <c r="E92" i="25"/>
  <c r="E90" i="23"/>
  <c r="N90" i="23" s="1"/>
  <c r="E90" i="19"/>
  <c r="E84" i="25"/>
  <c r="E82" i="23"/>
  <c r="E82" i="19"/>
  <c r="E76" i="25"/>
  <c r="E74" i="23"/>
  <c r="E74" i="19"/>
  <c r="E68" i="25"/>
  <c r="E66" i="23"/>
  <c r="E66" i="19"/>
  <c r="E60" i="25"/>
  <c r="E58" i="23"/>
  <c r="E58" i="19"/>
  <c r="E52" i="25"/>
  <c r="E50" i="23"/>
  <c r="E50" i="19"/>
  <c r="E44" i="25"/>
  <c r="E42" i="23"/>
  <c r="E42" i="19"/>
  <c r="E36" i="25"/>
  <c r="E34" i="23"/>
  <c r="E34" i="19"/>
  <c r="E28" i="25"/>
  <c r="E26" i="23"/>
  <c r="E26" i="19"/>
  <c r="E20" i="25"/>
  <c r="E18" i="23"/>
  <c r="E18" i="19"/>
  <c r="E12" i="25"/>
  <c r="E10" i="23"/>
  <c r="E10" i="19"/>
  <c r="E4" i="25"/>
  <c r="E2" i="23"/>
  <c r="E2" i="19"/>
  <c r="E109" i="25"/>
  <c r="L109" i="25" s="1"/>
  <c r="E107" i="23"/>
  <c r="E107" i="19"/>
  <c r="E101" i="25"/>
  <c r="E99" i="23"/>
  <c r="E99" i="19"/>
  <c r="E93" i="25"/>
  <c r="L93" i="25" s="1"/>
  <c r="E91" i="23"/>
  <c r="E91" i="19"/>
  <c r="E85" i="25"/>
  <c r="L85" i="25" s="1"/>
  <c r="E83" i="23"/>
  <c r="E83" i="19"/>
  <c r="E77" i="25"/>
  <c r="E75" i="23"/>
  <c r="N75" i="23" s="1"/>
  <c r="E75" i="19"/>
  <c r="E69" i="25"/>
  <c r="E67" i="23"/>
  <c r="E67" i="19"/>
  <c r="E61" i="25"/>
  <c r="E59" i="23"/>
  <c r="E59" i="19"/>
  <c r="E53" i="25"/>
  <c r="E51" i="23"/>
  <c r="E51" i="19"/>
  <c r="E45" i="25"/>
  <c r="E43" i="23"/>
  <c r="E43" i="19"/>
  <c r="E37" i="25"/>
  <c r="L37" i="25" s="1"/>
  <c r="E35" i="23"/>
  <c r="E35" i="19"/>
  <c r="E29" i="25"/>
  <c r="E27" i="23"/>
  <c r="E27" i="19"/>
  <c r="E21" i="25"/>
  <c r="E19" i="23"/>
  <c r="E19" i="19"/>
  <c r="E13" i="25"/>
  <c r="E11" i="23"/>
  <c r="E11" i="19"/>
  <c r="E5" i="25"/>
  <c r="E3" i="23"/>
  <c r="E3" i="19"/>
  <c r="E108" i="23"/>
  <c r="E108" i="19"/>
  <c r="E102" i="25"/>
  <c r="L102" i="25" s="1"/>
  <c r="E100" i="23"/>
  <c r="N100" i="23" s="1"/>
  <c r="E100" i="19"/>
  <c r="E94" i="25"/>
  <c r="L94" i="25" s="1"/>
  <c r="E92" i="23"/>
  <c r="E92" i="19"/>
  <c r="E86" i="25"/>
  <c r="E84" i="23"/>
  <c r="E84" i="19"/>
  <c r="E78" i="25"/>
  <c r="E76" i="23"/>
  <c r="E76" i="19"/>
  <c r="E70" i="25"/>
  <c r="E68" i="23"/>
  <c r="E68" i="19"/>
  <c r="E62" i="25"/>
  <c r="E60" i="23"/>
  <c r="E60" i="19"/>
  <c r="E54" i="25"/>
  <c r="E52" i="23"/>
  <c r="E52" i="19"/>
  <c r="E46" i="25"/>
  <c r="L46" i="25" s="1"/>
  <c r="E44" i="23"/>
  <c r="E44" i="19"/>
  <c r="E38" i="25"/>
  <c r="L38" i="25" s="1"/>
  <c r="E36" i="23"/>
  <c r="E36" i="19"/>
  <c r="E30" i="25"/>
  <c r="E28" i="23"/>
  <c r="E28" i="19"/>
  <c r="E22" i="25"/>
  <c r="L22" i="25" s="1"/>
  <c r="E20" i="23"/>
  <c r="E20" i="19"/>
  <c r="E14" i="25"/>
  <c r="E12" i="23"/>
  <c r="E12" i="19"/>
  <c r="E6" i="25"/>
  <c r="L6" i="25" s="1"/>
  <c r="E4" i="23"/>
  <c r="E4" i="19"/>
  <c r="AC18" i="6"/>
  <c r="AC19" i="6" s="1"/>
  <c r="AC20" i="6" s="1"/>
  <c r="E109" i="17"/>
  <c r="N109" i="17" s="1"/>
  <c r="M109" i="19"/>
  <c r="E109" i="18"/>
  <c r="L109" i="18" s="1"/>
  <c r="N109" i="23"/>
  <c r="E109" i="24"/>
  <c r="M109" i="24" s="1"/>
  <c r="E109" i="20"/>
  <c r="M109" i="20" s="1"/>
  <c r="E1" i="24"/>
  <c r="M1" i="24" s="1"/>
  <c r="M1" i="19"/>
  <c r="L1" i="36"/>
  <c r="E1" i="31"/>
  <c r="M1" i="31" s="1"/>
  <c r="L1" i="25"/>
  <c r="N1" i="23"/>
  <c r="E1" i="18"/>
  <c r="L1" i="18" s="1"/>
  <c r="E1" i="28"/>
  <c r="N1" i="28" s="1"/>
  <c r="N1" i="34"/>
  <c r="M1" i="29"/>
  <c r="E1" i="35"/>
  <c r="M1" i="35" s="1"/>
  <c r="E1" i="30"/>
  <c r="L1" i="30" s="1"/>
  <c r="E1" i="20"/>
  <c r="M1" i="20" s="1"/>
  <c r="E1" i="17"/>
  <c r="N1" i="17" s="1"/>
  <c r="F106" i="20"/>
  <c r="N106" i="20" s="1"/>
  <c r="F106" i="24"/>
  <c r="N106" i="24" s="1"/>
  <c r="F106" i="25"/>
  <c r="M106" i="25" s="1"/>
  <c r="F105" i="18"/>
  <c r="M105" i="18" s="1"/>
  <c r="F105" i="23"/>
  <c r="O105" i="23" s="1"/>
  <c r="F105" i="19"/>
  <c r="N105" i="19" s="1"/>
  <c r="F104" i="17"/>
  <c r="O104" i="17" s="1"/>
  <c r="F98" i="24"/>
  <c r="N98" i="24" s="1"/>
  <c r="F98" i="25"/>
  <c r="M98" i="25" s="1"/>
  <c r="F98" i="20"/>
  <c r="N98" i="20" s="1"/>
  <c r="F97" i="19"/>
  <c r="N97" i="19" s="1"/>
  <c r="F97" i="18"/>
  <c r="M97" i="18" s="1"/>
  <c r="F97" i="23"/>
  <c r="O97" i="23" s="1"/>
  <c r="F96" i="17"/>
  <c r="O96" i="17" s="1"/>
  <c r="F90" i="20"/>
  <c r="N90" i="20" s="1"/>
  <c r="F90" i="24"/>
  <c r="N90" i="24" s="1"/>
  <c r="F90" i="25"/>
  <c r="M90" i="25" s="1"/>
  <c r="F89" i="18"/>
  <c r="M89" i="18" s="1"/>
  <c r="F89" i="23"/>
  <c r="O89" i="23" s="1"/>
  <c r="F89" i="19"/>
  <c r="N89" i="19" s="1"/>
  <c r="F88" i="17"/>
  <c r="O88" i="17" s="1"/>
  <c r="F82" i="24"/>
  <c r="N82" i="24" s="1"/>
  <c r="F82" i="25"/>
  <c r="M82" i="25" s="1"/>
  <c r="F82" i="20"/>
  <c r="N82" i="20" s="1"/>
  <c r="F81" i="19"/>
  <c r="N81" i="19" s="1"/>
  <c r="F81" i="18"/>
  <c r="M81" i="18" s="1"/>
  <c r="F81" i="23"/>
  <c r="O81" i="23" s="1"/>
  <c r="F80" i="17"/>
  <c r="O80" i="17" s="1"/>
  <c r="F74" i="20"/>
  <c r="N74" i="20" s="1"/>
  <c r="F74" i="24"/>
  <c r="N74" i="24" s="1"/>
  <c r="F74" i="25"/>
  <c r="M74" i="25" s="1"/>
  <c r="F73" i="18"/>
  <c r="M73" i="18" s="1"/>
  <c r="F73" i="23"/>
  <c r="O73" i="23" s="1"/>
  <c r="F73" i="19"/>
  <c r="N73" i="19" s="1"/>
  <c r="F72" i="17"/>
  <c r="O72" i="17" s="1"/>
  <c r="F66" i="24"/>
  <c r="N66" i="24" s="1"/>
  <c r="F66" i="25"/>
  <c r="M66" i="25" s="1"/>
  <c r="F66" i="20"/>
  <c r="N66" i="20" s="1"/>
  <c r="F65" i="19"/>
  <c r="N65" i="19" s="1"/>
  <c r="F65" i="18"/>
  <c r="M65" i="18" s="1"/>
  <c r="F65" i="23"/>
  <c r="O65" i="23" s="1"/>
  <c r="F64" i="17"/>
  <c r="O64" i="17" s="1"/>
  <c r="F58" i="20"/>
  <c r="N58" i="20" s="1"/>
  <c r="F58" i="24"/>
  <c r="N58" i="24" s="1"/>
  <c r="F58" i="25"/>
  <c r="M58" i="25" s="1"/>
  <c r="F57" i="18"/>
  <c r="M57" i="18" s="1"/>
  <c r="F57" i="23"/>
  <c r="O57" i="23" s="1"/>
  <c r="F57" i="19"/>
  <c r="N57" i="19" s="1"/>
  <c r="F56" i="17"/>
  <c r="O56" i="17" s="1"/>
  <c r="F50" i="24"/>
  <c r="N50" i="24" s="1"/>
  <c r="F50" i="25"/>
  <c r="M50" i="25" s="1"/>
  <c r="F50" i="20"/>
  <c r="N50" i="20" s="1"/>
  <c r="F49" i="19"/>
  <c r="N49" i="19" s="1"/>
  <c r="F49" i="18"/>
  <c r="M49" i="18" s="1"/>
  <c r="F49" i="23"/>
  <c r="O49" i="23" s="1"/>
  <c r="F48" i="17"/>
  <c r="O48" i="17" s="1"/>
  <c r="F42" i="20"/>
  <c r="N42" i="20" s="1"/>
  <c r="F42" i="24"/>
  <c r="N42" i="24" s="1"/>
  <c r="F42" i="25"/>
  <c r="M42" i="25" s="1"/>
  <c r="F41" i="18"/>
  <c r="M41" i="18" s="1"/>
  <c r="F41" i="23"/>
  <c r="O41" i="23" s="1"/>
  <c r="F41" i="19"/>
  <c r="N41" i="19" s="1"/>
  <c r="F40" i="17"/>
  <c r="O40" i="17" s="1"/>
  <c r="F34" i="24"/>
  <c r="N34" i="24" s="1"/>
  <c r="F34" i="25"/>
  <c r="M34" i="25" s="1"/>
  <c r="F34" i="20"/>
  <c r="N34" i="20" s="1"/>
  <c r="F33" i="19"/>
  <c r="N33" i="19" s="1"/>
  <c r="F33" i="18"/>
  <c r="M33" i="18" s="1"/>
  <c r="F33" i="23"/>
  <c r="O33" i="23" s="1"/>
  <c r="F32" i="17"/>
  <c r="O32" i="17" s="1"/>
  <c r="F26" i="20"/>
  <c r="N26" i="20" s="1"/>
  <c r="F26" i="24"/>
  <c r="N26" i="24" s="1"/>
  <c r="F26" i="25"/>
  <c r="M26" i="25" s="1"/>
  <c r="F25" i="18"/>
  <c r="M25" i="18" s="1"/>
  <c r="F25" i="23"/>
  <c r="O25" i="23" s="1"/>
  <c r="F25" i="19"/>
  <c r="N25" i="19" s="1"/>
  <c r="F24" i="17"/>
  <c r="O24" i="17" s="1"/>
  <c r="F18" i="24"/>
  <c r="N18" i="24" s="1"/>
  <c r="F18" i="25"/>
  <c r="M18" i="25" s="1"/>
  <c r="F18" i="20"/>
  <c r="N18" i="20" s="1"/>
  <c r="F17" i="19"/>
  <c r="N17" i="19" s="1"/>
  <c r="F17" i="18"/>
  <c r="M17" i="18" s="1"/>
  <c r="F17" i="23"/>
  <c r="O17" i="23" s="1"/>
  <c r="F16" i="17"/>
  <c r="O16" i="17" s="1"/>
  <c r="F10" i="20"/>
  <c r="N10" i="20" s="1"/>
  <c r="F10" i="24"/>
  <c r="N10" i="24" s="1"/>
  <c r="F10" i="25"/>
  <c r="M10" i="25" s="1"/>
  <c r="F9" i="18"/>
  <c r="M9" i="18" s="1"/>
  <c r="F9" i="23"/>
  <c r="O9" i="23" s="1"/>
  <c r="F9" i="19"/>
  <c r="N9" i="19" s="1"/>
  <c r="F8" i="17"/>
  <c r="O8" i="17" s="1"/>
  <c r="F2" i="24"/>
  <c r="N2" i="24" s="1"/>
  <c r="F2" i="25"/>
  <c r="M2" i="25" s="1"/>
  <c r="F2" i="20"/>
  <c r="N2" i="20" s="1"/>
  <c r="F93" i="18"/>
  <c r="M93" i="18" s="1"/>
  <c r="F93" i="23"/>
  <c r="O93" i="23" s="1"/>
  <c r="F93" i="19"/>
  <c r="N93" i="19" s="1"/>
  <c r="E93" i="17"/>
  <c r="N93" i="17" s="1"/>
  <c r="E93" i="20"/>
  <c r="M93" i="20" s="1"/>
  <c r="M93" i="19"/>
  <c r="E93" i="18"/>
  <c r="L93" i="18" s="1"/>
  <c r="N93" i="23"/>
  <c r="E93" i="24"/>
  <c r="M93" i="24" s="1"/>
  <c r="E85" i="24"/>
  <c r="M85" i="24" s="1"/>
  <c r="E85" i="17"/>
  <c r="N85" i="17" s="1"/>
  <c r="M85" i="19"/>
  <c r="E85" i="18"/>
  <c r="L85" i="18" s="1"/>
  <c r="N85" i="23"/>
  <c r="E85" i="20"/>
  <c r="M85" i="20" s="1"/>
  <c r="F1" i="36"/>
  <c r="M1" i="36" s="1"/>
  <c r="F1" i="31"/>
  <c r="N1" i="31" s="1"/>
  <c r="F1" i="25"/>
  <c r="M1" i="25" s="1"/>
  <c r="F1" i="35"/>
  <c r="N1" i="35" s="1"/>
  <c r="F1" i="20"/>
  <c r="N1" i="20" s="1"/>
  <c r="F1" i="24"/>
  <c r="N1" i="24" s="1"/>
  <c r="E102" i="18"/>
  <c r="L102" i="18" s="1"/>
  <c r="E102" i="20"/>
  <c r="M102" i="20" s="1"/>
  <c r="E102" i="17"/>
  <c r="N102" i="17" s="1"/>
  <c r="N102" i="23"/>
  <c r="E102" i="24"/>
  <c r="M102" i="24" s="1"/>
  <c r="M102" i="19"/>
  <c r="N94" i="23"/>
  <c r="E94" i="18"/>
  <c r="L94" i="18" s="1"/>
  <c r="E94" i="24"/>
  <c r="M94" i="24" s="1"/>
  <c r="E94" i="17"/>
  <c r="N94" i="17" s="1"/>
  <c r="E94" i="20"/>
  <c r="M94" i="20" s="1"/>
  <c r="M94" i="19"/>
  <c r="L86" i="25"/>
  <c r="E86" i="18"/>
  <c r="L86" i="18" s="1"/>
  <c r="E86" i="17"/>
  <c r="N86" i="17" s="1"/>
  <c r="N86" i="23"/>
  <c r="E86" i="20"/>
  <c r="M86" i="20" s="1"/>
  <c r="E86" i="24"/>
  <c r="M86" i="24" s="1"/>
  <c r="M86" i="19"/>
  <c r="N78" i="23"/>
  <c r="E78" i="18"/>
  <c r="L78" i="18" s="1"/>
  <c r="E78" i="20"/>
  <c r="M78" i="20" s="1"/>
  <c r="E78" i="24"/>
  <c r="M78" i="24" s="1"/>
  <c r="E78" i="17"/>
  <c r="N78" i="17" s="1"/>
  <c r="L78" i="25"/>
  <c r="M78" i="19"/>
  <c r="L70" i="25"/>
  <c r="E70" i="18"/>
  <c r="L70" i="18" s="1"/>
  <c r="E70" i="17"/>
  <c r="N70" i="17" s="1"/>
  <c r="N70" i="23"/>
  <c r="E70" i="24"/>
  <c r="M70" i="24" s="1"/>
  <c r="M70" i="19"/>
  <c r="E70" i="20"/>
  <c r="M70" i="20" s="1"/>
  <c r="N62" i="23"/>
  <c r="E62" i="18"/>
  <c r="L62" i="18" s="1"/>
  <c r="E62" i="24"/>
  <c r="M62" i="24" s="1"/>
  <c r="E62" i="20"/>
  <c r="M62" i="20" s="1"/>
  <c r="E62" i="17"/>
  <c r="N62" i="17" s="1"/>
  <c r="L62" i="25"/>
  <c r="M62" i="19"/>
  <c r="L54" i="25"/>
  <c r="E54" i="18"/>
  <c r="L54" i="18" s="1"/>
  <c r="E54" i="20"/>
  <c r="M54" i="20" s="1"/>
  <c r="E54" i="17"/>
  <c r="N54" i="17" s="1"/>
  <c r="N54" i="23"/>
  <c r="E54" i="24"/>
  <c r="M54" i="24" s="1"/>
  <c r="M54" i="19"/>
  <c r="N46" i="23"/>
  <c r="E46" i="18"/>
  <c r="L46" i="18" s="1"/>
  <c r="E46" i="24"/>
  <c r="M46" i="24" s="1"/>
  <c r="E46" i="17"/>
  <c r="N46" i="17" s="1"/>
  <c r="E46" i="20"/>
  <c r="M46" i="20" s="1"/>
  <c r="M46" i="19"/>
  <c r="E38" i="20"/>
  <c r="M38" i="20" s="1"/>
  <c r="E38" i="18"/>
  <c r="L38" i="18" s="1"/>
  <c r="E38" i="17"/>
  <c r="N38" i="17" s="1"/>
  <c r="N38" i="23"/>
  <c r="E38" i="24"/>
  <c r="M38" i="24" s="1"/>
  <c r="M38" i="19"/>
  <c r="N30" i="23"/>
  <c r="E30" i="18"/>
  <c r="L30" i="18" s="1"/>
  <c r="E30" i="24"/>
  <c r="M30" i="24" s="1"/>
  <c r="E30" i="17"/>
  <c r="N30" i="17" s="1"/>
  <c r="L30" i="25"/>
  <c r="E30" i="20"/>
  <c r="M30" i="20" s="1"/>
  <c r="M30" i="19"/>
  <c r="E22" i="18"/>
  <c r="L22" i="18" s="1"/>
  <c r="E22" i="17"/>
  <c r="N22" i="17" s="1"/>
  <c r="N22" i="23"/>
  <c r="E22" i="24"/>
  <c r="M22" i="24" s="1"/>
  <c r="E22" i="20"/>
  <c r="M22" i="20" s="1"/>
  <c r="M22" i="19"/>
  <c r="N14" i="23"/>
  <c r="E14" i="18"/>
  <c r="L14" i="18" s="1"/>
  <c r="E14" i="24"/>
  <c r="M14" i="24" s="1"/>
  <c r="E14" i="20"/>
  <c r="M14" i="20" s="1"/>
  <c r="E14" i="17"/>
  <c r="N14" i="17" s="1"/>
  <c r="L14" i="25"/>
  <c r="M14" i="19"/>
  <c r="E6" i="18"/>
  <c r="L6" i="18" s="1"/>
  <c r="E6" i="17"/>
  <c r="N6" i="17" s="1"/>
  <c r="E6" i="24"/>
  <c r="M6" i="24" s="1"/>
  <c r="E6" i="20"/>
  <c r="M6" i="20" s="1"/>
  <c r="M6" i="19"/>
  <c r="F109" i="18"/>
  <c r="M109" i="18" s="1"/>
  <c r="F109" i="23"/>
  <c r="O109" i="23" s="1"/>
  <c r="F109" i="19"/>
  <c r="N109" i="19" s="1"/>
  <c r="E69" i="24"/>
  <c r="M69" i="24" s="1"/>
  <c r="E69" i="20"/>
  <c r="M69" i="20" s="1"/>
  <c r="E69" i="17"/>
  <c r="N69" i="17" s="1"/>
  <c r="M69" i="19"/>
  <c r="L69" i="25"/>
  <c r="E69" i="18"/>
  <c r="L69" i="18" s="1"/>
  <c r="N69" i="23"/>
  <c r="E61" i="17"/>
  <c r="N61" i="17" s="1"/>
  <c r="M61" i="19"/>
  <c r="E61" i="18"/>
  <c r="L61" i="18" s="1"/>
  <c r="N61" i="23"/>
  <c r="E61" i="24"/>
  <c r="M61" i="24" s="1"/>
  <c r="E61" i="20"/>
  <c r="M61" i="20" s="1"/>
  <c r="L61" i="25"/>
  <c r="E37" i="24"/>
  <c r="M37" i="24" s="1"/>
  <c r="E37" i="17"/>
  <c r="N37" i="17" s="1"/>
  <c r="M37" i="19"/>
  <c r="E37" i="20"/>
  <c r="M37" i="20" s="1"/>
  <c r="E37" i="18"/>
  <c r="L37" i="18" s="1"/>
  <c r="N37" i="23"/>
  <c r="F107" i="20"/>
  <c r="N107" i="20" s="1"/>
  <c r="F107" i="25"/>
  <c r="M107" i="25" s="1"/>
  <c r="F107" i="24"/>
  <c r="N107" i="24" s="1"/>
  <c r="F106" i="18"/>
  <c r="M106" i="18" s="1"/>
  <c r="F106" i="23"/>
  <c r="O106" i="23" s="1"/>
  <c r="F106" i="19"/>
  <c r="N106" i="19" s="1"/>
  <c r="F105" i="17"/>
  <c r="O105" i="17" s="1"/>
  <c r="F99" i="25"/>
  <c r="M99" i="25" s="1"/>
  <c r="F99" i="24"/>
  <c r="N99" i="24" s="1"/>
  <c r="F99" i="20"/>
  <c r="N99" i="20" s="1"/>
  <c r="F98" i="19"/>
  <c r="N98" i="19" s="1"/>
  <c r="F98" i="18"/>
  <c r="M98" i="18" s="1"/>
  <c r="F98" i="23"/>
  <c r="O98" i="23" s="1"/>
  <c r="F97" i="17"/>
  <c r="O97" i="17" s="1"/>
  <c r="F91" i="20"/>
  <c r="N91" i="20" s="1"/>
  <c r="F91" i="25"/>
  <c r="M91" i="25" s="1"/>
  <c r="F91" i="24"/>
  <c r="N91" i="24" s="1"/>
  <c r="F90" i="18"/>
  <c r="M90" i="18" s="1"/>
  <c r="F90" i="23"/>
  <c r="O90" i="23" s="1"/>
  <c r="F90" i="19"/>
  <c r="N90" i="19" s="1"/>
  <c r="F89" i="17"/>
  <c r="O89" i="17" s="1"/>
  <c r="F83" i="24"/>
  <c r="N83" i="24" s="1"/>
  <c r="F83" i="20"/>
  <c r="N83" i="20" s="1"/>
  <c r="F83" i="25"/>
  <c r="M83" i="25" s="1"/>
  <c r="F82" i="19"/>
  <c r="N82" i="19" s="1"/>
  <c r="F82" i="18"/>
  <c r="M82" i="18" s="1"/>
  <c r="F82" i="23"/>
  <c r="O82" i="23" s="1"/>
  <c r="F81" i="17"/>
  <c r="O81" i="17" s="1"/>
  <c r="F75" i="20"/>
  <c r="N75" i="20" s="1"/>
  <c r="F75" i="25"/>
  <c r="M75" i="25" s="1"/>
  <c r="F75" i="24"/>
  <c r="N75" i="24" s="1"/>
  <c r="F74" i="18"/>
  <c r="M74" i="18" s="1"/>
  <c r="F74" i="23"/>
  <c r="O74" i="23" s="1"/>
  <c r="F74" i="19"/>
  <c r="N74" i="19" s="1"/>
  <c r="F73" i="17"/>
  <c r="O73" i="17" s="1"/>
  <c r="F67" i="24"/>
  <c r="N67" i="24" s="1"/>
  <c r="F67" i="20"/>
  <c r="N67" i="20" s="1"/>
  <c r="F67" i="25"/>
  <c r="M67" i="25" s="1"/>
  <c r="F66" i="19"/>
  <c r="N66" i="19" s="1"/>
  <c r="F66" i="18"/>
  <c r="M66" i="18" s="1"/>
  <c r="F66" i="23"/>
  <c r="O66" i="23" s="1"/>
  <c r="F65" i="17"/>
  <c r="O65" i="17" s="1"/>
  <c r="F59" i="20"/>
  <c r="N59" i="20" s="1"/>
  <c r="F59" i="25"/>
  <c r="M59" i="25" s="1"/>
  <c r="F59" i="24"/>
  <c r="N59" i="24" s="1"/>
  <c r="F58" i="18"/>
  <c r="M58" i="18" s="1"/>
  <c r="F58" i="23"/>
  <c r="O58" i="23" s="1"/>
  <c r="F58" i="19"/>
  <c r="N58" i="19" s="1"/>
  <c r="F57" i="17"/>
  <c r="O57" i="17" s="1"/>
  <c r="F51" i="24"/>
  <c r="N51" i="24" s="1"/>
  <c r="F51" i="20"/>
  <c r="N51" i="20" s="1"/>
  <c r="F51" i="25"/>
  <c r="M51" i="25" s="1"/>
  <c r="F50" i="19"/>
  <c r="N50" i="19" s="1"/>
  <c r="F50" i="18"/>
  <c r="M50" i="18" s="1"/>
  <c r="F50" i="23"/>
  <c r="O50" i="23" s="1"/>
  <c r="F49" i="17"/>
  <c r="O49" i="17" s="1"/>
  <c r="F43" i="20"/>
  <c r="N43" i="20" s="1"/>
  <c r="F43" i="25"/>
  <c r="M43" i="25" s="1"/>
  <c r="F43" i="24"/>
  <c r="N43" i="24" s="1"/>
  <c r="F42" i="18"/>
  <c r="M42" i="18" s="1"/>
  <c r="F42" i="23"/>
  <c r="O42" i="23" s="1"/>
  <c r="F42" i="19"/>
  <c r="N42" i="19" s="1"/>
  <c r="F41" i="17"/>
  <c r="O41" i="17" s="1"/>
  <c r="F35" i="24"/>
  <c r="N35" i="24" s="1"/>
  <c r="F35" i="20"/>
  <c r="N35" i="20" s="1"/>
  <c r="F35" i="25"/>
  <c r="M35" i="25" s="1"/>
  <c r="F34" i="19"/>
  <c r="N34" i="19" s="1"/>
  <c r="F34" i="18"/>
  <c r="M34" i="18" s="1"/>
  <c r="F34" i="23"/>
  <c r="O34" i="23" s="1"/>
  <c r="F33" i="17"/>
  <c r="O33" i="17" s="1"/>
  <c r="F27" i="20"/>
  <c r="N27" i="20" s="1"/>
  <c r="F27" i="25"/>
  <c r="M27" i="25" s="1"/>
  <c r="F27" i="24"/>
  <c r="N27" i="24" s="1"/>
  <c r="F26" i="18"/>
  <c r="M26" i="18" s="1"/>
  <c r="F26" i="23"/>
  <c r="O26" i="23" s="1"/>
  <c r="F26" i="19"/>
  <c r="N26" i="19" s="1"/>
  <c r="F25" i="17"/>
  <c r="O25" i="17" s="1"/>
  <c r="F19" i="24"/>
  <c r="N19" i="24" s="1"/>
  <c r="F19" i="20"/>
  <c r="N19" i="20" s="1"/>
  <c r="F19" i="25"/>
  <c r="M19" i="25" s="1"/>
  <c r="F18" i="19"/>
  <c r="N18" i="19" s="1"/>
  <c r="F18" i="18"/>
  <c r="M18" i="18" s="1"/>
  <c r="F18" i="23"/>
  <c r="O18" i="23" s="1"/>
  <c r="F17" i="17"/>
  <c r="O17" i="17" s="1"/>
  <c r="F11" i="20"/>
  <c r="N11" i="20" s="1"/>
  <c r="F11" i="25"/>
  <c r="M11" i="25" s="1"/>
  <c r="F11" i="24"/>
  <c r="N11" i="24" s="1"/>
  <c r="F10" i="18"/>
  <c r="M10" i="18" s="1"/>
  <c r="F10" i="23"/>
  <c r="O10" i="23" s="1"/>
  <c r="F10" i="19"/>
  <c r="N10" i="19" s="1"/>
  <c r="F9" i="17"/>
  <c r="O9" i="17" s="1"/>
  <c r="F3" i="24"/>
  <c r="N3" i="24" s="1"/>
  <c r="F3" i="20"/>
  <c r="N3" i="20" s="1"/>
  <c r="F3" i="25"/>
  <c r="M3" i="25" s="1"/>
  <c r="F2" i="19"/>
  <c r="N2" i="19" s="1"/>
  <c r="F2" i="18"/>
  <c r="M2" i="18" s="1"/>
  <c r="F2" i="23"/>
  <c r="O2" i="23" s="1"/>
  <c r="F101" i="18"/>
  <c r="M101" i="18" s="1"/>
  <c r="F101" i="23"/>
  <c r="O101" i="23" s="1"/>
  <c r="F101" i="19"/>
  <c r="N101" i="19" s="1"/>
  <c r="F1" i="19"/>
  <c r="N1" i="19" s="1"/>
  <c r="F1" i="34"/>
  <c r="O1" i="34" s="1"/>
  <c r="F1" i="29"/>
  <c r="N1" i="29" s="1"/>
  <c r="F1" i="30"/>
  <c r="M1" i="30" s="1"/>
  <c r="F1" i="18"/>
  <c r="M1" i="18" s="1"/>
  <c r="F1" i="23"/>
  <c r="O1" i="23" s="1"/>
  <c r="E103" i="20"/>
  <c r="M103" i="20" s="1"/>
  <c r="N103" i="23"/>
  <c r="E103" i="24"/>
  <c r="M103" i="24" s="1"/>
  <c r="E103" i="17"/>
  <c r="N103" i="17" s="1"/>
  <c r="M103" i="19"/>
  <c r="L103" i="25"/>
  <c r="E103" i="18"/>
  <c r="L103" i="18" s="1"/>
  <c r="E95" i="24"/>
  <c r="M95" i="24" s="1"/>
  <c r="L95" i="25"/>
  <c r="E95" i="20"/>
  <c r="M95" i="20" s="1"/>
  <c r="E95" i="17"/>
  <c r="N95" i="17" s="1"/>
  <c r="M95" i="19"/>
  <c r="N95" i="23"/>
  <c r="E95" i="18"/>
  <c r="L95" i="18" s="1"/>
  <c r="N87" i="23"/>
  <c r="E87" i="20"/>
  <c r="M87" i="20" s="1"/>
  <c r="E87" i="24"/>
  <c r="M87" i="24" s="1"/>
  <c r="E87" i="17"/>
  <c r="N87" i="17" s="1"/>
  <c r="M87" i="19"/>
  <c r="L87" i="25"/>
  <c r="E87" i="18"/>
  <c r="L87" i="18" s="1"/>
  <c r="L79" i="25"/>
  <c r="M79" i="19"/>
  <c r="E79" i="17"/>
  <c r="N79" i="17" s="1"/>
  <c r="N79" i="23"/>
  <c r="E79" i="20"/>
  <c r="M79" i="20" s="1"/>
  <c r="E79" i="18"/>
  <c r="L79" i="18" s="1"/>
  <c r="E79" i="24"/>
  <c r="M79" i="24" s="1"/>
  <c r="N71" i="23"/>
  <c r="E71" i="24"/>
  <c r="M71" i="24" s="1"/>
  <c r="M71" i="19"/>
  <c r="E71" i="17"/>
  <c r="N71" i="17" s="1"/>
  <c r="E71" i="20"/>
  <c r="M71" i="20" s="1"/>
  <c r="L71" i="25"/>
  <c r="E71" i="18"/>
  <c r="L71" i="18" s="1"/>
  <c r="E63" i="20"/>
  <c r="M63" i="20" s="1"/>
  <c r="L63" i="25"/>
  <c r="M63" i="19"/>
  <c r="E63" i="17"/>
  <c r="N63" i="17" s="1"/>
  <c r="N63" i="23"/>
  <c r="E63" i="18"/>
  <c r="L63" i="18" s="1"/>
  <c r="E63" i="24"/>
  <c r="M63" i="24" s="1"/>
  <c r="E55" i="20"/>
  <c r="M55" i="20" s="1"/>
  <c r="N55" i="23"/>
  <c r="E55" i="24"/>
  <c r="M55" i="24" s="1"/>
  <c r="M55" i="19"/>
  <c r="E55" i="17"/>
  <c r="N55" i="17" s="1"/>
  <c r="L55" i="25"/>
  <c r="E55" i="18"/>
  <c r="L55" i="18" s="1"/>
  <c r="L47" i="25"/>
  <c r="E47" i="20"/>
  <c r="M47" i="20" s="1"/>
  <c r="M47" i="19"/>
  <c r="E47" i="17"/>
  <c r="N47" i="17" s="1"/>
  <c r="N47" i="23"/>
  <c r="E47" i="18"/>
  <c r="L47" i="18" s="1"/>
  <c r="E47" i="24"/>
  <c r="M47" i="24" s="1"/>
  <c r="N39" i="23"/>
  <c r="E39" i="24"/>
  <c r="M39" i="24" s="1"/>
  <c r="M39" i="19"/>
  <c r="E39" i="17"/>
  <c r="N39" i="17" s="1"/>
  <c r="E39" i="20"/>
  <c r="M39" i="20" s="1"/>
  <c r="L39" i="25"/>
  <c r="E39" i="18"/>
  <c r="L39" i="18" s="1"/>
  <c r="L31" i="25"/>
  <c r="E31" i="20"/>
  <c r="M31" i="20" s="1"/>
  <c r="M31" i="19"/>
  <c r="E31" i="17"/>
  <c r="N31" i="17" s="1"/>
  <c r="E31" i="18"/>
  <c r="L31" i="18" s="1"/>
  <c r="E31" i="24"/>
  <c r="M31" i="24" s="1"/>
  <c r="N23" i="23"/>
  <c r="E23" i="20"/>
  <c r="M23" i="20" s="1"/>
  <c r="E23" i="24"/>
  <c r="M23" i="24" s="1"/>
  <c r="M23" i="19"/>
  <c r="E23" i="17"/>
  <c r="N23" i="17" s="1"/>
  <c r="L23" i="25"/>
  <c r="E23" i="18"/>
  <c r="L23" i="18" s="1"/>
  <c r="E15" i="20"/>
  <c r="M15" i="20" s="1"/>
  <c r="L15" i="25"/>
  <c r="M15" i="19"/>
  <c r="E15" i="17"/>
  <c r="N15" i="17" s="1"/>
  <c r="N15" i="23"/>
  <c r="E15" i="18"/>
  <c r="L15" i="18" s="1"/>
  <c r="E15" i="24"/>
  <c r="M15" i="24" s="1"/>
  <c r="N7" i="23"/>
  <c r="E7" i="24"/>
  <c r="M7" i="24" s="1"/>
  <c r="E7" i="20"/>
  <c r="M7" i="20" s="1"/>
  <c r="M7" i="19"/>
  <c r="E7" i="17"/>
  <c r="N7" i="17" s="1"/>
  <c r="L7" i="25"/>
  <c r="E7" i="18"/>
  <c r="L7" i="18" s="1"/>
  <c r="F92" i="17"/>
  <c r="O92" i="17" s="1"/>
  <c r="N101" i="23"/>
  <c r="E101" i="24"/>
  <c r="M101" i="24" s="1"/>
  <c r="E101" i="17"/>
  <c r="N101" i="17" s="1"/>
  <c r="M101" i="19"/>
  <c r="L101" i="25"/>
  <c r="E101" i="18"/>
  <c r="L101" i="18" s="1"/>
  <c r="E101" i="20"/>
  <c r="M101" i="20" s="1"/>
  <c r="F108" i="25"/>
  <c r="M108" i="25" s="1"/>
  <c r="F108" i="20"/>
  <c r="N108" i="20" s="1"/>
  <c r="F108" i="24"/>
  <c r="N108" i="24" s="1"/>
  <c r="F107" i="18"/>
  <c r="M107" i="18" s="1"/>
  <c r="F107" i="23"/>
  <c r="O107" i="23" s="1"/>
  <c r="F107" i="19"/>
  <c r="N107" i="19" s="1"/>
  <c r="F106" i="17"/>
  <c r="O106" i="17" s="1"/>
  <c r="F100" i="24"/>
  <c r="N100" i="24" s="1"/>
  <c r="F100" i="25"/>
  <c r="M100" i="25" s="1"/>
  <c r="F100" i="20"/>
  <c r="N100" i="20" s="1"/>
  <c r="F99" i="19"/>
  <c r="N99" i="19" s="1"/>
  <c r="F99" i="18"/>
  <c r="M99" i="18" s="1"/>
  <c r="F99" i="23"/>
  <c r="O99" i="23" s="1"/>
  <c r="F98" i="17"/>
  <c r="O98" i="17" s="1"/>
  <c r="F92" i="25"/>
  <c r="M92" i="25" s="1"/>
  <c r="F92" i="20"/>
  <c r="N92" i="20" s="1"/>
  <c r="F92" i="24"/>
  <c r="N92" i="24" s="1"/>
  <c r="F91" i="18"/>
  <c r="M91" i="18" s="1"/>
  <c r="F91" i="23"/>
  <c r="O91" i="23" s="1"/>
  <c r="F91" i="19"/>
  <c r="N91" i="19" s="1"/>
  <c r="F90" i="17"/>
  <c r="O90" i="17" s="1"/>
  <c r="F84" i="24"/>
  <c r="N84" i="24" s="1"/>
  <c r="F84" i="25"/>
  <c r="M84" i="25" s="1"/>
  <c r="F84" i="20"/>
  <c r="N84" i="20" s="1"/>
  <c r="F83" i="19"/>
  <c r="N83" i="19" s="1"/>
  <c r="F83" i="18"/>
  <c r="M83" i="18" s="1"/>
  <c r="F83" i="23"/>
  <c r="O83" i="23" s="1"/>
  <c r="F82" i="17"/>
  <c r="O82" i="17" s="1"/>
  <c r="F76" i="25"/>
  <c r="M76" i="25" s="1"/>
  <c r="F76" i="20"/>
  <c r="N76" i="20" s="1"/>
  <c r="F76" i="24"/>
  <c r="N76" i="24" s="1"/>
  <c r="F75" i="18"/>
  <c r="M75" i="18" s="1"/>
  <c r="F75" i="23"/>
  <c r="O75" i="23" s="1"/>
  <c r="F75" i="19"/>
  <c r="N75" i="19" s="1"/>
  <c r="F74" i="17"/>
  <c r="O74" i="17" s="1"/>
  <c r="F68" i="24"/>
  <c r="N68" i="24" s="1"/>
  <c r="F68" i="25"/>
  <c r="M68" i="25" s="1"/>
  <c r="F68" i="20"/>
  <c r="N68" i="20" s="1"/>
  <c r="F67" i="19"/>
  <c r="N67" i="19" s="1"/>
  <c r="F67" i="18"/>
  <c r="M67" i="18" s="1"/>
  <c r="F67" i="23"/>
  <c r="O67" i="23" s="1"/>
  <c r="F66" i="17"/>
  <c r="O66" i="17" s="1"/>
  <c r="F60" i="25"/>
  <c r="M60" i="25" s="1"/>
  <c r="F60" i="20"/>
  <c r="N60" i="20" s="1"/>
  <c r="F60" i="24"/>
  <c r="N60" i="24" s="1"/>
  <c r="F59" i="18"/>
  <c r="M59" i="18" s="1"/>
  <c r="F59" i="23"/>
  <c r="O59" i="23" s="1"/>
  <c r="F59" i="19"/>
  <c r="N59" i="19" s="1"/>
  <c r="F58" i="17"/>
  <c r="O58" i="17" s="1"/>
  <c r="F52" i="24"/>
  <c r="N52" i="24" s="1"/>
  <c r="F52" i="25"/>
  <c r="M52" i="25" s="1"/>
  <c r="F52" i="20"/>
  <c r="N52" i="20" s="1"/>
  <c r="F51" i="19"/>
  <c r="N51" i="19" s="1"/>
  <c r="F51" i="18"/>
  <c r="M51" i="18" s="1"/>
  <c r="F51" i="23"/>
  <c r="O51" i="23" s="1"/>
  <c r="F50" i="17"/>
  <c r="O50" i="17" s="1"/>
  <c r="F44" i="25"/>
  <c r="M44" i="25" s="1"/>
  <c r="F44" i="20"/>
  <c r="N44" i="20" s="1"/>
  <c r="F44" i="24"/>
  <c r="N44" i="24" s="1"/>
  <c r="F43" i="18"/>
  <c r="M43" i="18" s="1"/>
  <c r="F43" i="23"/>
  <c r="O43" i="23" s="1"/>
  <c r="F43" i="19"/>
  <c r="N43" i="19" s="1"/>
  <c r="F42" i="17"/>
  <c r="O42" i="17" s="1"/>
  <c r="F36" i="24"/>
  <c r="N36" i="24" s="1"/>
  <c r="F36" i="25"/>
  <c r="M36" i="25" s="1"/>
  <c r="F36" i="20"/>
  <c r="N36" i="20" s="1"/>
  <c r="F35" i="19"/>
  <c r="N35" i="19" s="1"/>
  <c r="F35" i="18"/>
  <c r="M35" i="18" s="1"/>
  <c r="F35" i="23"/>
  <c r="O35" i="23" s="1"/>
  <c r="F34" i="17"/>
  <c r="O34" i="17" s="1"/>
  <c r="F28" i="25"/>
  <c r="M28" i="25" s="1"/>
  <c r="F28" i="20"/>
  <c r="N28" i="20" s="1"/>
  <c r="F28" i="24"/>
  <c r="N28" i="24" s="1"/>
  <c r="F27" i="18"/>
  <c r="M27" i="18" s="1"/>
  <c r="F27" i="23"/>
  <c r="O27" i="23" s="1"/>
  <c r="F27" i="19"/>
  <c r="N27" i="19" s="1"/>
  <c r="F26" i="17"/>
  <c r="O26" i="17" s="1"/>
  <c r="F20" i="24"/>
  <c r="N20" i="24" s="1"/>
  <c r="F20" i="25"/>
  <c r="M20" i="25" s="1"/>
  <c r="F20" i="20"/>
  <c r="N20" i="20" s="1"/>
  <c r="F19" i="19"/>
  <c r="N19" i="19" s="1"/>
  <c r="F19" i="18"/>
  <c r="M19" i="18" s="1"/>
  <c r="F19" i="23"/>
  <c r="O19" i="23" s="1"/>
  <c r="F18" i="17"/>
  <c r="O18" i="17" s="1"/>
  <c r="F12" i="25"/>
  <c r="M12" i="25" s="1"/>
  <c r="F12" i="20"/>
  <c r="N12" i="20" s="1"/>
  <c r="F12" i="24"/>
  <c r="N12" i="24" s="1"/>
  <c r="F11" i="18"/>
  <c r="M11" i="18" s="1"/>
  <c r="F11" i="23"/>
  <c r="O11" i="23" s="1"/>
  <c r="F11" i="19"/>
  <c r="N11" i="19" s="1"/>
  <c r="F10" i="17"/>
  <c r="O10" i="17" s="1"/>
  <c r="F4" i="24"/>
  <c r="N4" i="24" s="1"/>
  <c r="F4" i="25"/>
  <c r="M4" i="25" s="1"/>
  <c r="F4" i="20"/>
  <c r="N4" i="20" s="1"/>
  <c r="F3" i="19"/>
  <c r="N3" i="19" s="1"/>
  <c r="F3" i="18"/>
  <c r="M3" i="18" s="1"/>
  <c r="F3" i="23"/>
  <c r="O3" i="23" s="1"/>
  <c r="F2" i="17"/>
  <c r="O2" i="17" s="1"/>
  <c r="E45" i="20"/>
  <c r="M45" i="20" s="1"/>
  <c r="M45" i="19"/>
  <c r="E45" i="17"/>
  <c r="N45" i="17" s="1"/>
  <c r="E45" i="18"/>
  <c r="L45" i="18" s="1"/>
  <c r="N45" i="23"/>
  <c r="E45" i="24"/>
  <c r="M45" i="24" s="1"/>
  <c r="L45" i="25"/>
  <c r="E21" i="24"/>
  <c r="M21" i="24" s="1"/>
  <c r="E21" i="20"/>
  <c r="M21" i="20" s="1"/>
  <c r="M21" i="19"/>
  <c r="E21" i="17"/>
  <c r="N21" i="17" s="1"/>
  <c r="L21" i="25"/>
  <c r="E21" i="18"/>
  <c r="L21" i="18" s="1"/>
  <c r="N21" i="23"/>
  <c r="F1" i="28"/>
  <c r="O1" i="28" s="1"/>
  <c r="F1" i="17"/>
  <c r="O1" i="17" s="1"/>
  <c r="E104" i="24"/>
  <c r="M104" i="24" s="1"/>
  <c r="M104" i="19"/>
  <c r="L104" i="25"/>
  <c r="E104" i="17"/>
  <c r="N104" i="17" s="1"/>
  <c r="N104" i="23"/>
  <c r="E104" i="20"/>
  <c r="M104" i="20" s="1"/>
  <c r="E104" i="18"/>
  <c r="L104" i="18" s="1"/>
  <c r="L96" i="25"/>
  <c r="E96" i="20"/>
  <c r="M96" i="20" s="1"/>
  <c r="N96" i="23"/>
  <c r="M96" i="19"/>
  <c r="E96" i="17"/>
  <c r="N96" i="17" s="1"/>
  <c r="E96" i="24"/>
  <c r="M96" i="24" s="1"/>
  <c r="E96" i="18"/>
  <c r="L96" i="18" s="1"/>
  <c r="E88" i="24"/>
  <c r="M88" i="24" s="1"/>
  <c r="M88" i="19"/>
  <c r="L88" i="25"/>
  <c r="E88" i="17"/>
  <c r="N88" i="17" s="1"/>
  <c r="E88" i="18"/>
  <c r="L88" i="18" s="1"/>
  <c r="E88" i="20"/>
  <c r="M88" i="20" s="1"/>
  <c r="N80" i="23"/>
  <c r="M80" i="19"/>
  <c r="E80" i="20"/>
  <c r="M80" i="20" s="1"/>
  <c r="E80" i="24"/>
  <c r="M80" i="24" s="1"/>
  <c r="E80" i="18"/>
  <c r="L80" i="18" s="1"/>
  <c r="E80" i="17"/>
  <c r="N80" i="17" s="1"/>
  <c r="L80" i="25"/>
  <c r="E72" i="24"/>
  <c r="M72" i="24" s="1"/>
  <c r="M72" i="19"/>
  <c r="E72" i="20"/>
  <c r="M72" i="20" s="1"/>
  <c r="L72" i="25"/>
  <c r="N72" i="23"/>
  <c r="E72" i="18"/>
  <c r="L72" i="18" s="1"/>
  <c r="E72" i="17"/>
  <c r="N72" i="17" s="1"/>
  <c r="N64" i="23"/>
  <c r="M64" i="19"/>
  <c r="E64" i="24"/>
  <c r="M64" i="24" s="1"/>
  <c r="E64" i="18"/>
  <c r="L64" i="18" s="1"/>
  <c r="E64" i="17"/>
  <c r="N64" i="17" s="1"/>
  <c r="E64" i="20"/>
  <c r="M64" i="20" s="1"/>
  <c r="L64" i="25"/>
  <c r="E56" i="24"/>
  <c r="M56" i="24" s="1"/>
  <c r="M56" i="19"/>
  <c r="L56" i="25"/>
  <c r="N56" i="23"/>
  <c r="E56" i="20"/>
  <c r="M56" i="20" s="1"/>
  <c r="E56" i="18"/>
  <c r="L56" i="18" s="1"/>
  <c r="E56" i="17"/>
  <c r="N56" i="17" s="1"/>
  <c r="E48" i="20"/>
  <c r="M48" i="20" s="1"/>
  <c r="N48" i="23"/>
  <c r="M48" i="19"/>
  <c r="E48" i="24"/>
  <c r="M48" i="24" s="1"/>
  <c r="E48" i="18"/>
  <c r="L48" i="18" s="1"/>
  <c r="E48" i="17"/>
  <c r="N48" i="17" s="1"/>
  <c r="L48" i="25"/>
  <c r="E40" i="24"/>
  <c r="M40" i="24" s="1"/>
  <c r="E40" i="20"/>
  <c r="M40" i="20" s="1"/>
  <c r="M40" i="19"/>
  <c r="L40" i="25"/>
  <c r="N40" i="23"/>
  <c r="E40" i="18"/>
  <c r="L40" i="18" s="1"/>
  <c r="E40" i="17"/>
  <c r="N40" i="17" s="1"/>
  <c r="E32" i="20"/>
  <c r="M32" i="20" s="1"/>
  <c r="N32" i="23"/>
  <c r="M32" i="19"/>
  <c r="E32" i="24"/>
  <c r="M32" i="24" s="1"/>
  <c r="E32" i="18"/>
  <c r="L32" i="18" s="1"/>
  <c r="E32" i="17"/>
  <c r="N32" i="17" s="1"/>
  <c r="L32" i="25"/>
  <c r="E24" i="24"/>
  <c r="M24" i="24" s="1"/>
  <c r="M24" i="19"/>
  <c r="L24" i="25"/>
  <c r="N24" i="23"/>
  <c r="E24" i="18"/>
  <c r="L24" i="18" s="1"/>
  <c r="E24" i="17"/>
  <c r="N24" i="17" s="1"/>
  <c r="E24" i="20"/>
  <c r="M24" i="20" s="1"/>
  <c r="N16" i="23"/>
  <c r="M16" i="19"/>
  <c r="E16" i="24"/>
  <c r="M16" i="24" s="1"/>
  <c r="E16" i="18"/>
  <c r="L16" i="18" s="1"/>
  <c r="E16" i="17"/>
  <c r="N16" i="17" s="1"/>
  <c r="E16" i="20"/>
  <c r="M16" i="20" s="1"/>
  <c r="L16" i="25"/>
  <c r="E8" i="20"/>
  <c r="M8" i="20" s="1"/>
  <c r="E8" i="24"/>
  <c r="M8" i="24" s="1"/>
  <c r="M8" i="19"/>
  <c r="L8" i="25"/>
  <c r="N8" i="23"/>
  <c r="E8" i="18"/>
  <c r="L8" i="18" s="1"/>
  <c r="E8" i="17"/>
  <c r="N8" i="17" s="1"/>
  <c r="F108" i="17"/>
  <c r="O108" i="17" s="1"/>
  <c r="M77" i="19"/>
  <c r="E77" i="17"/>
  <c r="N77" i="17" s="1"/>
  <c r="E77" i="18"/>
  <c r="L77" i="18" s="1"/>
  <c r="N77" i="23"/>
  <c r="E77" i="20"/>
  <c r="M77" i="20" s="1"/>
  <c r="E77" i="24"/>
  <c r="M77" i="24" s="1"/>
  <c r="L77" i="25"/>
  <c r="E53" i="24"/>
  <c r="M53" i="24" s="1"/>
  <c r="E53" i="17"/>
  <c r="N53" i="17" s="1"/>
  <c r="M53" i="19"/>
  <c r="L53" i="25"/>
  <c r="E53" i="18"/>
  <c r="L53" i="18" s="1"/>
  <c r="E53" i="20"/>
  <c r="M53" i="20" s="1"/>
  <c r="N53" i="23"/>
  <c r="E29" i="20"/>
  <c r="M29" i="20" s="1"/>
  <c r="M29" i="19"/>
  <c r="E29" i="17"/>
  <c r="N29" i="17" s="1"/>
  <c r="E29" i="18"/>
  <c r="L29" i="18" s="1"/>
  <c r="E29" i="24"/>
  <c r="M29" i="24" s="1"/>
  <c r="L29" i="25"/>
  <c r="M13" i="19"/>
  <c r="E13" i="17"/>
  <c r="N13" i="17" s="1"/>
  <c r="E13" i="18"/>
  <c r="L13" i="18" s="1"/>
  <c r="N13" i="23"/>
  <c r="E13" i="24"/>
  <c r="M13" i="24" s="1"/>
  <c r="E13" i="20"/>
  <c r="M13" i="20" s="1"/>
  <c r="L13" i="25"/>
  <c r="E5" i="24"/>
  <c r="M5" i="24" s="1"/>
  <c r="E5" i="20"/>
  <c r="M5" i="20" s="1"/>
  <c r="M5" i="19"/>
  <c r="E5" i="17"/>
  <c r="N5" i="17" s="1"/>
  <c r="L5" i="25"/>
  <c r="E5" i="18"/>
  <c r="L5" i="18" s="1"/>
  <c r="N5" i="23"/>
  <c r="F109" i="20"/>
  <c r="N109" i="20" s="1"/>
  <c r="F109" i="24"/>
  <c r="N109" i="24" s="1"/>
  <c r="F109" i="25"/>
  <c r="M109" i="25" s="1"/>
  <c r="F108" i="18"/>
  <c r="M108" i="18" s="1"/>
  <c r="F108" i="23"/>
  <c r="O108" i="23" s="1"/>
  <c r="F108" i="19"/>
  <c r="N108" i="19" s="1"/>
  <c r="F107" i="17"/>
  <c r="O107" i="17" s="1"/>
  <c r="F101" i="20"/>
  <c r="N101" i="20" s="1"/>
  <c r="F101" i="24"/>
  <c r="N101" i="24" s="1"/>
  <c r="F101" i="25"/>
  <c r="M101" i="25" s="1"/>
  <c r="F100" i="23"/>
  <c r="O100" i="23" s="1"/>
  <c r="F100" i="19"/>
  <c r="N100" i="19" s="1"/>
  <c r="F100" i="18"/>
  <c r="M100" i="18" s="1"/>
  <c r="F99" i="17"/>
  <c r="O99" i="17" s="1"/>
  <c r="F93" i="20"/>
  <c r="N93" i="20" s="1"/>
  <c r="F93" i="24"/>
  <c r="N93" i="24" s="1"/>
  <c r="F93" i="25"/>
  <c r="M93" i="25" s="1"/>
  <c r="F92" i="18"/>
  <c r="M92" i="18" s="1"/>
  <c r="F92" i="23"/>
  <c r="O92" i="23" s="1"/>
  <c r="F92" i="19"/>
  <c r="N92" i="19" s="1"/>
  <c r="F91" i="17"/>
  <c r="O91" i="17" s="1"/>
  <c r="F85" i="20"/>
  <c r="N85" i="20" s="1"/>
  <c r="F85" i="24"/>
  <c r="N85" i="24" s="1"/>
  <c r="F85" i="25"/>
  <c r="M85" i="25" s="1"/>
  <c r="F84" i="23"/>
  <c r="O84" i="23" s="1"/>
  <c r="F84" i="19"/>
  <c r="N84" i="19" s="1"/>
  <c r="F84" i="18"/>
  <c r="M84" i="18" s="1"/>
  <c r="F83" i="17"/>
  <c r="O83" i="17" s="1"/>
  <c r="F77" i="20"/>
  <c r="N77" i="20" s="1"/>
  <c r="F77" i="24"/>
  <c r="N77" i="24" s="1"/>
  <c r="F77" i="25"/>
  <c r="M77" i="25" s="1"/>
  <c r="F76" i="18"/>
  <c r="M76" i="18" s="1"/>
  <c r="F76" i="23"/>
  <c r="O76" i="23" s="1"/>
  <c r="F76" i="19"/>
  <c r="N76" i="19" s="1"/>
  <c r="F75" i="17"/>
  <c r="O75" i="17" s="1"/>
  <c r="F69" i="20"/>
  <c r="N69" i="20" s="1"/>
  <c r="F69" i="24"/>
  <c r="N69" i="24" s="1"/>
  <c r="F69" i="25"/>
  <c r="M69" i="25" s="1"/>
  <c r="F68" i="23"/>
  <c r="O68" i="23" s="1"/>
  <c r="F68" i="19"/>
  <c r="N68" i="19" s="1"/>
  <c r="F68" i="18"/>
  <c r="M68" i="18" s="1"/>
  <c r="F67" i="17"/>
  <c r="O67" i="17" s="1"/>
  <c r="F61" i="20"/>
  <c r="N61" i="20" s="1"/>
  <c r="F61" i="24"/>
  <c r="N61" i="24" s="1"/>
  <c r="F61" i="25"/>
  <c r="M61" i="25" s="1"/>
  <c r="F60" i="18"/>
  <c r="M60" i="18" s="1"/>
  <c r="F60" i="23"/>
  <c r="O60" i="23" s="1"/>
  <c r="F60" i="19"/>
  <c r="N60" i="19" s="1"/>
  <c r="F59" i="17"/>
  <c r="O59" i="17" s="1"/>
  <c r="F53" i="20"/>
  <c r="N53" i="20" s="1"/>
  <c r="F53" i="24"/>
  <c r="N53" i="24" s="1"/>
  <c r="F53" i="25"/>
  <c r="M53" i="25" s="1"/>
  <c r="F52" i="23"/>
  <c r="O52" i="23" s="1"/>
  <c r="F52" i="19"/>
  <c r="N52" i="19" s="1"/>
  <c r="F52" i="18"/>
  <c r="M52" i="18" s="1"/>
  <c r="F51" i="17"/>
  <c r="O51" i="17" s="1"/>
  <c r="F45" i="20"/>
  <c r="N45" i="20" s="1"/>
  <c r="F45" i="24"/>
  <c r="N45" i="24" s="1"/>
  <c r="F45" i="25"/>
  <c r="M45" i="25" s="1"/>
  <c r="F44" i="18"/>
  <c r="M44" i="18" s="1"/>
  <c r="F44" i="23"/>
  <c r="O44" i="23" s="1"/>
  <c r="F44" i="19"/>
  <c r="N44" i="19" s="1"/>
  <c r="F43" i="17"/>
  <c r="O43" i="17" s="1"/>
  <c r="F37" i="20"/>
  <c r="N37" i="20" s="1"/>
  <c r="F37" i="24"/>
  <c r="N37" i="24" s="1"/>
  <c r="F37" i="25"/>
  <c r="M37" i="25" s="1"/>
  <c r="F36" i="23"/>
  <c r="O36" i="23" s="1"/>
  <c r="F36" i="19"/>
  <c r="N36" i="19" s="1"/>
  <c r="F36" i="18"/>
  <c r="M36" i="18" s="1"/>
  <c r="F35" i="17"/>
  <c r="O35" i="17" s="1"/>
  <c r="F29" i="20"/>
  <c r="N29" i="20" s="1"/>
  <c r="F29" i="24"/>
  <c r="N29" i="24" s="1"/>
  <c r="F29" i="25"/>
  <c r="M29" i="25" s="1"/>
  <c r="F28" i="18"/>
  <c r="M28" i="18" s="1"/>
  <c r="F28" i="23"/>
  <c r="O28" i="23" s="1"/>
  <c r="F28" i="19"/>
  <c r="N28" i="19" s="1"/>
  <c r="F27" i="17"/>
  <c r="O27" i="17" s="1"/>
  <c r="F21" i="20"/>
  <c r="N21" i="20" s="1"/>
  <c r="F21" i="24"/>
  <c r="N21" i="24" s="1"/>
  <c r="F21" i="25"/>
  <c r="M21" i="25" s="1"/>
  <c r="F20" i="23"/>
  <c r="O20" i="23" s="1"/>
  <c r="F20" i="19"/>
  <c r="N20" i="19" s="1"/>
  <c r="F20" i="18"/>
  <c r="M20" i="18" s="1"/>
  <c r="F19" i="17"/>
  <c r="O19" i="17" s="1"/>
  <c r="F13" i="20"/>
  <c r="N13" i="20" s="1"/>
  <c r="F13" i="24"/>
  <c r="N13" i="24" s="1"/>
  <c r="F13" i="25"/>
  <c r="M13" i="25" s="1"/>
  <c r="F12" i="18"/>
  <c r="M12" i="18" s="1"/>
  <c r="F12" i="23"/>
  <c r="O12" i="23" s="1"/>
  <c r="F12" i="19"/>
  <c r="N12" i="19" s="1"/>
  <c r="F11" i="17"/>
  <c r="O11" i="17" s="1"/>
  <c r="F5" i="20"/>
  <c r="N5" i="20" s="1"/>
  <c r="F5" i="24"/>
  <c r="N5" i="24" s="1"/>
  <c r="F5" i="25"/>
  <c r="M5" i="25" s="1"/>
  <c r="F4" i="23"/>
  <c r="O4" i="23" s="1"/>
  <c r="F4" i="19"/>
  <c r="N4" i="19" s="1"/>
  <c r="F4" i="18"/>
  <c r="M4" i="18" s="1"/>
  <c r="F3" i="17"/>
  <c r="O3" i="17" s="1"/>
  <c r="L105" i="25"/>
  <c r="N105" i="23"/>
  <c r="E105" i="20"/>
  <c r="M105" i="20" s="1"/>
  <c r="E105" i="18"/>
  <c r="L105" i="18" s="1"/>
  <c r="E105" i="17"/>
  <c r="N105" i="17" s="1"/>
  <c r="M105" i="19"/>
  <c r="E105" i="24"/>
  <c r="M105" i="24" s="1"/>
  <c r="E97" i="24"/>
  <c r="M97" i="24" s="1"/>
  <c r="E97" i="18"/>
  <c r="L97" i="18" s="1"/>
  <c r="L97" i="25"/>
  <c r="N97" i="23"/>
  <c r="E97" i="17"/>
  <c r="N97" i="17" s="1"/>
  <c r="E97" i="20"/>
  <c r="M97" i="20" s="1"/>
  <c r="M97" i="19"/>
  <c r="L89" i="25"/>
  <c r="N89" i="23"/>
  <c r="E89" i="18"/>
  <c r="L89" i="18" s="1"/>
  <c r="E89" i="20"/>
  <c r="M89" i="20" s="1"/>
  <c r="E89" i="17"/>
  <c r="N89" i="17" s="1"/>
  <c r="M89" i="19"/>
  <c r="E89" i="24"/>
  <c r="M89" i="24" s="1"/>
  <c r="E81" i="20"/>
  <c r="M81" i="20" s="1"/>
  <c r="E81" i="24"/>
  <c r="M81" i="24" s="1"/>
  <c r="E81" i="18"/>
  <c r="L81" i="18" s="1"/>
  <c r="L81" i="25"/>
  <c r="N81" i="23"/>
  <c r="M81" i="19"/>
  <c r="E81" i="17"/>
  <c r="N81" i="17" s="1"/>
  <c r="L73" i="25"/>
  <c r="N73" i="23"/>
  <c r="E73" i="18"/>
  <c r="L73" i="18" s="1"/>
  <c r="M73" i="19"/>
  <c r="E73" i="17"/>
  <c r="N73" i="17" s="1"/>
  <c r="E73" i="24"/>
  <c r="M73" i="24" s="1"/>
  <c r="E73" i="20"/>
  <c r="M73" i="20" s="1"/>
  <c r="E65" i="24"/>
  <c r="M65" i="24" s="1"/>
  <c r="E65" i="20"/>
  <c r="M65" i="20" s="1"/>
  <c r="E65" i="18"/>
  <c r="L65" i="18" s="1"/>
  <c r="L65" i="25"/>
  <c r="N65" i="23"/>
  <c r="M65" i="19"/>
  <c r="E65" i="17"/>
  <c r="N65" i="17" s="1"/>
  <c r="L57" i="25"/>
  <c r="E57" i="20"/>
  <c r="M57" i="20" s="1"/>
  <c r="N57" i="23"/>
  <c r="E57" i="18"/>
  <c r="L57" i="18" s="1"/>
  <c r="M57" i="19"/>
  <c r="E57" i="17"/>
  <c r="N57" i="17" s="1"/>
  <c r="E57" i="24"/>
  <c r="M57" i="24" s="1"/>
  <c r="E49" i="24"/>
  <c r="M49" i="24" s="1"/>
  <c r="E49" i="18"/>
  <c r="L49" i="18" s="1"/>
  <c r="L49" i="25"/>
  <c r="N49" i="23"/>
  <c r="E49" i="20"/>
  <c r="M49" i="20" s="1"/>
  <c r="M49" i="19"/>
  <c r="E49" i="17"/>
  <c r="N49" i="17" s="1"/>
  <c r="L41" i="25"/>
  <c r="N41" i="23"/>
  <c r="E41" i="18"/>
  <c r="L41" i="18" s="1"/>
  <c r="E41" i="20"/>
  <c r="M41" i="20" s="1"/>
  <c r="M41" i="19"/>
  <c r="E41" i="17"/>
  <c r="N41" i="17" s="1"/>
  <c r="E41" i="24"/>
  <c r="M41" i="24" s="1"/>
  <c r="E33" i="24"/>
  <c r="M33" i="24" s="1"/>
  <c r="E33" i="18"/>
  <c r="L33" i="18" s="1"/>
  <c r="L33" i="25"/>
  <c r="E33" i="20"/>
  <c r="M33" i="20" s="1"/>
  <c r="N33" i="23"/>
  <c r="M33" i="19"/>
  <c r="E33" i="17"/>
  <c r="N33" i="17" s="1"/>
  <c r="L25" i="25"/>
  <c r="E25" i="18"/>
  <c r="L25" i="18" s="1"/>
  <c r="E25" i="20"/>
  <c r="M25" i="20" s="1"/>
  <c r="M25" i="19"/>
  <c r="E25" i="17"/>
  <c r="N25" i="17" s="1"/>
  <c r="E25" i="24"/>
  <c r="M25" i="24" s="1"/>
  <c r="E17" i="24"/>
  <c r="M17" i="24" s="1"/>
  <c r="E17" i="20"/>
  <c r="M17" i="20" s="1"/>
  <c r="E17" i="18"/>
  <c r="L17" i="18" s="1"/>
  <c r="L17" i="25"/>
  <c r="N17" i="23"/>
  <c r="M17" i="19"/>
  <c r="E17" i="17"/>
  <c r="N17" i="17" s="1"/>
  <c r="L9" i="25"/>
  <c r="N9" i="23"/>
  <c r="E9" i="18"/>
  <c r="L9" i="18" s="1"/>
  <c r="E9" i="20"/>
  <c r="M9" i="20" s="1"/>
  <c r="M9" i="19"/>
  <c r="E9" i="17"/>
  <c r="N9" i="17" s="1"/>
  <c r="E9" i="24"/>
  <c r="M9" i="24" s="1"/>
  <c r="F77" i="18"/>
  <c r="M77" i="18" s="1"/>
  <c r="F77" i="23"/>
  <c r="O77" i="23" s="1"/>
  <c r="F77" i="19"/>
  <c r="N77" i="19" s="1"/>
  <c r="F62" i="25"/>
  <c r="M62" i="25" s="1"/>
  <c r="F62" i="20"/>
  <c r="N62" i="20" s="1"/>
  <c r="F62" i="24"/>
  <c r="N62" i="24" s="1"/>
  <c r="F38" i="25"/>
  <c r="M38" i="25" s="1"/>
  <c r="F38" i="20"/>
  <c r="N38" i="20" s="1"/>
  <c r="F38" i="24"/>
  <c r="N38" i="24" s="1"/>
  <c r="E106" i="20"/>
  <c r="M106" i="20" s="1"/>
  <c r="E106" i="18"/>
  <c r="L106" i="18" s="1"/>
  <c r="M106" i="19"/>
  <c r="E106" i="24"/>
  <c r="M106" i="24" s="1"/>
  <c r="N106" i="23"/>
  <c r="L106" i="25"/>
  <c r="E106" i="17"/>
  <c r="N106" i="17" s="1"/>
  <c r="E98" i="24"/>
  <c r="M98" i="24" s="1"/>
  <c r="E98" i="18"/>
  <c r="L98" i="18" s="1"/>
  <c r="N98" i="23"/>
  <c r="L98" i="25"/>
  <c r="M98" i="19"/>
  <c r="E98" i="20"/>
  <c r="M98" i="20" s="1"/>
  <c r="E98" i="17"/>
  <c r="N98" i="17" s="1"/>
  <c r="E90" i="20"/>
  <c r="M90" i="20" s="1"/>
  <c r="E90" i="18"/>
  <c r="L90" i="18" s="1"/>
  <c r="M90" i="19"/>
  <c r="E90" i="24"/>
  <c r="M90" i="24" s="1"/>
  <c r="L90" i="25"/>
  <c r="E90" i="17"/>
  <c r="N90" i="17" s="1"/>
  <c r="E82" i="24"/>
  <c r="M82" i="24" s="1"/>
  <c r="E82" i="18"/>
  <c r="L82" i="18" s="1"/>
  <c r="N82" i="23"/>
  <c r="L82" i="25"/>
  <c r="M82" i="19"/>
  <c r="E82" i="20"/>
  <c r="M82" i="20" s="1"/>
  <c r="E82" i="17"/>
  <c r="N82" i="17" s="1"/>
  <c r="E74" i="18"/>
  <c r="L74" i="18" s="1"/>
  <c r="M74" i="19"/>
  <c r="E74" i="24"/>
  <c r="M74" i="24" s="1"/>
  <c r="E74" i="20"/>
  <c r="M74" i="20" s="1"/>
  <c r="N74" i="23"/>
  <c r="L74" i="25"/>
  <c r="E74" i="17"/>
  <c r="N74" i="17" s="1"/>
  <c r="E66" i="24"/>
  <c r="M66" i="24" s="1"/>
  <c r="E66" i="20"/>
  <c r="M66" i="20" s="1"/>
  <c r="E66" i="18"/>
  <c r="L66" i="18" s="1"/>
  <c r="N66" i="23"/>
  <c r="L66" i="25"/>
  <c r="M66" i="19"/>
  <c r="E66" i="17"/>
  <c r="N66" i="17" s="1"/>
  <c r="E58" i="18"/>
  <c r="L58" i="18" s="1"/>
  <c r="M58" i="19"/>
  <c r="E58" i="24"/>
  <c r="M58" i="24" s="1"/>
  <c r="E58" i="20"/>
  <c r="M58" i="20" s="1"/>
  <c r="N58" i="23"/>
  <c r="L58" i="25"/>
  <c r="E58" i="17"/>
  <c r="N58" i="17" s="1"/>
  <c r="E50" i="24"/>
  <c r="M50" i="24" s="1"/>
  <c r="E50" i="18"/>
  <c r="L50" i="18" s="1"/>
  <c r="N50" i="23"/>
  <c r="L50" i="25"/>
  <c r="M50" i="19"/>
  <c r="E50" i="20"/>
  <c r="M50" i="20" s="1"/>
  <c r="E50" i="17"/>
  <c r="N50" i="17" s="1"/>
  <c r="E42" i="18"/>
  <c r="L42" i="18" s="1"/>
  <c r="E42" i="20"/>
  <c r="M42" i="20" s="1"/>
  <c r="M42" i="19"/>
  <c r="E42" i="24"/>
  <c r="M42" i="24" s="1"/>
  <c r="N42" i="23"/>
  <c r="L42" i="25"/>
  <c r="E42" i="17"/>
  <c r="N42" i="17" s="1"/>
  <c r="E34" i="24"/>
  <c r="M34" i="24" s="1"/>
  <c r="E34" i="18"/>
  <c r="L34" i="18" s="1"/>
  <c r="N34" i="23"/>
  <c r="L34" i="25"/>
  <c r="E34" i="20"/>
  <c r="M34" i="20" s="1"/>
  <c r="M34" i="19"/>
  <c r="E34" i="17"/>
  <c r="N34" i="17" s="1"/>
  <c r="E26" i="20"/>
  <c r="M26" i="20" s="1"/>
  <c r="E26" i="18"/>
  <c r="L26" i="18" s="1"/>
  <c r="M26" i="19"/>
  <c r="E26" i="24"/>
  <c r="M26" i="24" s="1"/>
  <c r="N26" i="23"/>
  <c r="L26" i="25"/>
  <c r="E26" i="17"/>
  <c r="N26" i="17" s="1"/>
  <c r="E18" i="24"/>
  <c r="M18" i="24" s="1"/>
  <c r="E18" i="20"/>
  <c r="M18" i="20" s="1"/>
  <c r="E18" i="18"/>
  <c r="L18" i="18" s="1"/>
  <c r="N18" i="23"/>
  <c r="L18" i="25"/>
  <c r="M18" i="19"/>
  <c r="E18" i="17"/>
  <c r="N18" i="17" s="1"/>
  <c r="E10" i="20"/>
  <c r="M10" i="20" s="1"/>
  <c r="E10" i="18"/>
  <c r="L10" i="18" s="1"/>
  <c r="M10" i="19"/>
  <c r="E10" i="24"/>
  <c r="M10" i="24" s="1"/>
  <c r="N10" i="23"/>
  <c r="L10" i="25"/>
  <c r="E10" i="17"/>
  <c r="N10" i="17" s="1"/>
  <c r="E2" i="24"/>
  <c r="M2" i="24" s="1"/>
  <c r="E2" i="20"/>
  <c r="M2" i="20" s="1"/>
  <c r="E2" i="18"/>
  <c r="L2" i="18" s="1"/>
  <c r="N2" i="23"/>
  <c r="L2" i="25"/>
  <c r="M2" i="19"/>
  <c r="E2" i="17"/>
  <c r="N2" i="17" s="1"/>
  <c r="F94" i="25"/>
  <c r="M94" i="25" s="1"/>
  <c r="F94" i="20"/>
  <c r="N94" i="20" s="1"/>
  <c r="F94" i="24"/>
  <c r="N94" i="24" s="1"/>
  <c r="F84" i="17"/>
  <c r="O84" i="17" s="1"/>
  <c r="F78" i="25"/>
  <c r="M78" i="25" s="1"/>
  <c r="F78" i="20"/>
  <c r="N78" i="20" s="1"/>
  <c r="F78" i="24"/>
  <c r="N78" i="24" s="1"/>
  <c r="F70" i="25"/>
  <c r="M70" i="25" s="1"/>
  <c r="F70" i="20"/>
  <c r="N70" i="20" s="1"/>
  <c r="F70" i="24"/>
  <c r="N70" i="24" s="1"/>
  <c r="F60" i="17"/>
  <c r="O60" i="17" s="1"/>
  <c r="F52" i="17"/>
  <c r="O52" i="17" s="1"/>
  <c r="F45" i="18"/>
  <c r="M45" i="18" s="1"/>
  <c r="F45" i="23"/>
  <c r="O45" i="23" s="1"/>
  <c r="F45" i="19"/>
  <c r="N45" i="19" s="1"/>
  <c r="F37" i="18"/>
  <c r="M37" i="18" s="1"/>
  <c r="F37" i="23"/>
  <c r="O37" i="23" s="1"/>
  <c r="F37" i="19"/>
  <c r="N37" i="19" s="1"/>
  <c r="F29" i="18"/>
  <c r="M29" i="18" s="1"/>
  <c r="F29" i="23"/>
  <c r="O29" i="23" s="1"/>
  <c r="F29" i="19"/>
  <c r="N29" i="19" s="1"/>
  <c r="F21" i="18"/>
  <c r="M21" i="18" s="1"/>
  <c r="F21" i="23"/>
  <c r="O21" i="23" s="1"/>
  <c r="F21" i="19"/>
  <c r="N21" i="19" s="1"/>
  <c r="F12" i="17"/>
  <c r="O12" i="17" s="1"/>
  <c r="F109" i="17"/>
  <c r="O109" i="17" s="1"/>
  <c r="F103" i="20"/>
  <c r="N103" i="20" s="1"/>
  <c r="F103" i="24"/>
  <c r="N103" i="24" s="1"/>
  <c r="F103" i="25"/>
  <c r="M103" i="25" s="1"/>
  <c r="F102" i="18"/>
  <c r="M102" i="18" s="1"/>
  <c r="F102" i="23"/>
  <c r="O102" i="23" s="1"/>
  <c r="F102" i="19"/>
  <c r="N102" i="19" s="1"/>
  <c r="F101" i="17"/>
  <c r="O101" i="17" s="1"/>
  <c r="F95" i="25"/>
  <c r="M95" i="25" s="1"/>
  <c r="F95" i="20"/>
  <c r="N95" i="20" s="1"/>
  <c r="F95" i="24"/>
  <c r="N95" i="24" s="1"/>
  <c r="F94" i="19"/>
  <c r="N94" i="19" s="1"/>
  <c r="F94" i="18"/>
  <c r="M94" i="18" s="1"/>
  <c r="F94" i="23"/>
  <c r="O94" i="23" s="1"/>
  <c r="F93" i="17"/>
  <c r="O93" i="17" s="1"/>
  <c r="F87" i="20"/>
  <c r="N87" i="20" s="1"/>
  <c r="F87" i="24"/>
  <c r="N87" i="24" s="1"/>
  <c r="F87" i="25"/>
  <c r="M87" i="25" s="1"/>
  <c r="F86" i="18"/>
  <c r="M86" i="18" s="1"/>
  <c r="F86" i="23"/>
  <c r="O86" i="23" s="1"/>
  <c r="F86" i="19"/>
  <c r="N86" i="19" s="1"/>
  <c r="F85" i="17"/>
  <c r="O85" i="17" s="1"/>
  <c r="F79" i="25"/>
  <c r="M79" i="25" s="1"/>
  <c r="F79" i="20"/>
  <c r="N79" i="20" s="1"/>
  <c r="F79" i="24"/>
  <c r="N79" i="24" s="1"/>
  <c r="F78" i="19"/>
  <c r="N78" i="19" s="1"/>
  <c r="F78" i="18"/>
  <c r="M78" i="18" s="1"/>
  <c r="F78" i="23"/>
  <c r="O78" i="23" s="1"/>
  <c r="F77" i="17"/>
  <c r="O77" i="17" s="1"/>
  <c r="F71" i="20"/>
  <c r="N71" i="20" s="1"/>
  <c r="F71" i="24"/>
  <c r="N71" i="24" s="1"/>
  <c r="F71" i="25"/>
  <c r="M71" i="25" s="1"/>
  <c r="F70" i="18"/>
  <c r="M70" i="18" s="1"/>
  <c r="F70" i="23"/>
  <c r="O70" i="23" s="1"/>
  <c r="F70" i="19"/>
  <c r="N70" i="19" s="1"/>
  <c r="F69" i="17"/>
  <c r="O69" i="17" s="1"/>
  <c r="F63" i="25"/>
  <c r="M63" i="25" s="1"/>
  <c r="F63" i="20"/>
  <c r="N63" i="20" s="1"/>
  <c r="F63" i="24"/>
  <c r="N63" i="24" s="1"/>
  <c r="F62" i="19"/>
  <c r="N62" i="19" s="1"/>
  <c r="F62" i="18"/>
  <c r="M62" i="18" s="1"/>
  <c r="F62" i="23"/>
  <c r="O62" i="23" s="1"/>
  <c r="F61" i="17"/>
  <c r="O61" i="17" s="1"/>
  <c r="F55" i="20"/>
  <c r="N55" i="20" s="1"/>
  <c r="F55" i="24"/>
  <c r="N55" i="24" s="1"/>
  <c r="F55" i="25"/>
  <c r="M55" i="25" s="1"/>
  <c r="F54" i="18"/>
  <c r="M54" i="18" s="1"/>
  <c r="F54" i="23"/>
  <c r="O54" i="23" s="1"/>
  <c r="F54" i="19"/>
  <c r="N54" i="19" s="1"/>
  <c r="F53" i="17"/>
  <c r="O53" i="17" s="1"/>
  <c r="F47" i="25"/>
  <c r="M47" i="25" s="1"/>
  <c r="F47" i="20"/>
  <c r="N47" i="20" s="1"/>
  <c r="F47" i="24"/>
  <c r="N47" i="24" s="1"/>
  <c r="F46" i="19"/>
  <c r="N46" i="19" s="1"/>
  <c r="F46" i="18"/>
  <c r="M46" i="18" s="1"/>
  <c r="F46" i="23"/>
  <c r="O46" i="23" s="1"/>
  <c r="F45" i="17"/>
  <c r="O45" i="17" s="1"/>
  <c r="F39" i="20"/>
  <c r="N39" i="20" s="1"/>
  <c r="F39" i="24"/>
  <c r="N39" i="24" s="1"/>
  <c r="F39" i="25"/>
  <c r="M39" i="25" s="1"/>
  <c r="F38" i="18"/>
  <c r="M38" i="18" s="1"/>
  <c r="F38" i="23"/>
  <c r="O38" i="23" s="1"/>
  <c r="F38" i="19"/>
  <c r="N38" i="19" s="1"/>
  <c r="F37" i="17"/>
  <c r="O37" i="17" s="1"/>
  <c r="F31" i="25"/>
  <c r="M31" i="25" s="1"/>
  <c r="F31" i="20"/>
  <c r="N31" i="20" s="1"/>
  <c r="F31" i="24"/>
  <c r="N31" i="24" s="1"/>
  <c r="F30" i="19"/>
  <c r="N30" i="19" s="1"/>
  <c r="F30" i="18"/>
  <c r="M30" i="18" s="1"/>
  <c r="F30" i="23"/>
  <c r="O30" i="23" s="1"/>
  <c r="F29" i="17"/>
  <c r="O29" i="17" s="1"/>
  <c r="F23" i="20"/>
  <c r="N23" i="20" s="1"/>
  <c r="F23" i="24"/>
  <c r="N23" i="24" s="1"/>
  <c r="F23" i="25"/>
  <c r="M23" i="25" s="1"/>
  <c r="F22" i="18"/>
  <c r="M22" i="18" s="1"/>
  <c r="F22" i="23"/>
  <c r="O22" i="23" s="1"/>
  <c r="F22" i="19"/>
  <c r="N22" i="19" s="1"/>
  <c r="F21" i="17"/>
  <c r="O21" i="17" s="1"/>
  <c r="F15" i="25"/>
  <c r="M15" i="25" s="1"/>
  <c r="F15" i="20"/>
  <c r="N15" i="20" s="1"/>
  <c r="F15" i="24"/>
  <c r="N15" i="24" s="1"/>
  <c r="F14" i="19"/>
  <c r="N14" i="19" s="1"/>
  <c r="F14" i="18"/>
  <c r="M14" i="18" s="1"/>
  <c r="F14" i="23"/>
  <c r="O14" i="23" s="1"/>
  <c r="F13" i="17"/>
  <c r="O13" i="17" s="1"/>
  <c r="F7" i="20"/>
  <c r="N7" i="20" s="1"/>
  <c r="F7" i="24"/>
  <c r="N7" i="24" s="1"/>
  <c r="F7" i="25"/>
  <c r="M7" i="25" s="1"/>
  <c r="F6" i="18"/>
  <c r="M6" i="18" s="1"/>
  <c r="F6" i="23"/>
  <c r="O6" i="23" s="1"/>
  <c r="F6" i="19"/>
  <c r="N6" i="19" s="1"/>
  <c r="F5" i="17"/>
  <c r="O5" i="17" s="1"/>
  <c r="F100" i="17"/>
  <c r="O100" i="17" s="1"/>
  <c r="F76" i="17"/>
  <c r="O76" i="17" s="1"/>
  <c r="F69" i="18"/>
  <c r="M69" i="18" s="1"/>
  <c r="F69" i="23"/>
  <c r="O69" i="23" s="1"/>
  <c r="F69" i="19"/>
  <c r="N69" i="19" s="1"/>
  <c r="F53" i="18"/>
  <c r="M53" i="18" s="1"/>
  <c r="F53" i="23"/>
  <c r="O53" i="23" s="1"/>
  <c r="F53" i="19"/>
  <c r="N53" i="19" s="1"/>
  <c r="F46" i="25"/>
  <c r="M46" i="25" s="1"/>
  <c r="F46" i="20"/>
  <c r="N46" i="20" s="1"/>
  <c r="F46" i="24"/>
  <c r="N46" i="24" s="1"/>
  <c r="F36" i="17"/>
  <c r="O36" i="17" s="1"/>
  <c r="F30" i="25"/>
  <c r="M30" i="25" s="1"/>
  <c r="F30" i="20"/>
  <c r="N30" i="20" s="1"/>
  <c r="F30" i="24"/>
  <c r="N30" i="24" s="1"/>
  <c r="E107" i="17"/>
  <c r="N107" i="17" s="1"/>
  <c r="M107" i="19"/>
  <c r="E107" i="24"/>
  <c r="M107" i="24" s="1"/>
  <c r="N107" i="23"/>
  <c r="L107" i="25"/>
  <c r="E107" i="20"/>
  <c r="M107" i="20" s="1"/>
  <c r="E107" i="18"/>
  <c r="L107" i="18" s="1"/>
  <c r="E99" i="17"/>
  <c r="N99" i="17" s="1"/>
  <c r="L99" i="25"/>
  <c r="M99" i="19"/>
  <c r="E99" i="20"/>
  <c r="M99" i="20" s="1"/>
  <c r="E99" i="24"/>
  <c r="M99" i="24" s="1"/>
  <c r="N99" i="23"/>
  <c r="E99" i="18"/>
  <c r="L99" i="18" s="1"/>
  <c r="E91" i="17"/>
  <c r="N91" i="17" s="1"/>
  <c r="M91" i="19"/>
  <c r="E91" i="24"/>
  <c r="M91" i="24" s="1"/>
  <c r="N91" i="23"/>
  <c r="L91" i="25"/>
  <c r="Q91" i="25" s="1"/>
  <c r="E91" i="20"/>
  <c r="M91" i="20" s="1"/>
  <c r="E91" i="18"/>
  <c r="L91" i="18" s="1"/>
  <c r="L83" i="25"/>
  <c r="M83" i="19"/>
  <c r="E83" i="17"/>
  <c r="N83" i="17" s="1"/>
  <c r="E83" i="20"/>
  <c r="M83" i="20" s="1"/>
  <c r="E83" i="24"/>
  <c r="M83" i="24" s="1"/>
  <c r="N83" i="23"/>
  <c r="E83" i="18"/>
  <c r="L83" i="18" s="1"/>
  <c r="M75" i="19"/>
  <c r="E75" i="17"/>
  <c r="N75" i="17" s="1"/>
  <c r="E75" i="24"/>
  <c r="M75" i="24" s="1"/>
  <c r="E75" i="20"/>
  <c r="M75" i="20" s="1"/>
  <c r="L75" i="25"/>
  <c r="E75" i="18"/>
  <c r="L75" i="18" s="1"/>
  <c r="L67" i="25"/>
  <c r="M67" i="19"/>
  <c r="E67" i="17"/>
  <c r="N67" i="17" s="1"/>
  <c r="E67" i="24"/>
  <c r="M67" i="24" s="1"/>
  <c r="N67" i="23"/>
  <c r="E67" i="20"/>
  <c r="M67" i="20" s="1"/>
  <c r="E67" i="18"/>
  <c r="L67" i="18" s="1"/>
  <c r="M59" i="19"/>
  <c r="E59" i="17"/>
  <c r="N59" i="17" s="1"/>
  <c r="E59" i="24"/>
  <c r="M59" i="24" s="1"/>
  <c r="N59" i="23"/>
  <c r="E59" i="20"/>
  <c r="M59" i="20" s="1"/>
  <c r="L59" i="25"/>
  <c r="E59" i="18"/>
  <c r="L59" i="18" s="1"/>
  <c r="L51" i="25"/>
  <c r="M51" i="19"/>
  <c r="E51" i="17"/>
  <c r="N51" i="17" s="1"/>
  <c r="E51" i="20"/>
  <c r="M51" i="20" s="1"/>
  <c r="E51" i="24"/>
  <c r="M51" i="24" s="1"/>
  <c r="N51" i="23"/>
  <c r="E51" i="18"/>
  <c r="L51" i="18" s="1"/>
  <c r="M43" i="19"/>
  <c r="E43" i="17"/>
  <c r="N43" i="17" s="1"/>
  <c r="E43" i="24"/>
  <c r="M43" i="24" s="1"/>
  <c r="N43" i="23"/>
  <c r="L43" i="25"/>
  <c r="Q43" i="25" s="1"/>
  <c r="E43" i="20"/>
  <c r="M43" i="20" s="1"/>
  <c r="E43" i="18"/>
  <c r="L43" i="18" s="1"/>
  <c r="L35" i="25"/>
  <c r="E35" i="20"/>
  <c r="M35" i="20" s="1"/>
  <c r="M35" i="19"/>
  <c r="E35" i="17"/>
  <c r="N35" i="17" s="1"/>
  <c r="E35" i="24"/>
  <c r="M35" i="24" s="1"/>
  <c r="N35" i="23"/>
  <c r="E35" i="18"/>
  <c r="L35" i="18" s="1"/>
  <c r="M27" i="19"/>
  <c r="E27" i="17"/>
  <c r="N27" i="17" s="1"/>
  <c r="E27" i="24"/>
  <c r="M27" i="24" s="1"/>
  <c r="N27" i="23"/>
  <c r="L27" i="25"/>
  <c r="E27" i="20"/>
  <c r="M27" i="20" s="1"/>
  <c r="E27" i="18"/>
  <c r="L27" i="18" s="1"/>
  <c r="L19" i="25"/>
  <c r="M19" i="19"/>
  <c r="E19" i="17"/>
  <c r="N19" i="17" s="1"/>
  <c r="E19" i="24"/>
  <c r="M19" i="24" s="1"/>
  <c r="E19" i="20"/>
  <c r="M19" i="20" s="1"/>
  <c r="N19" i="23"/>
  <c r="E19" i="18"/>
  <c r="L19" i="18" s="1"/>
  <c r="M11" i="19"/>
  <c r="E11" i="17"/>
  <c r="N11" i="17" s="1"/>
  <c r="E11" i="24"/>
  <c r="M11" i="24" s="1"/>
  <c r="N11" i="23"/>
  <c r="L11" i="25"/>
  <c r="E11" i="20"/>
  <c r="M11" i="20" s="1"/>
  <c r="E11" i="18"/>
  <c r="L11" i="18" s="1"/>
  <c r="L3" i="25"/>
  <c r="M3" i="19"/>
  <c r="E3" i="17"/>
  <c r="N3" i="17" s="1"/>
  <c r="E3" i="24"/>
  <c r="M3" i="24" s="1"/>
  <c r="N3" i="23"/>
  <c r="E3" i="20"/>
  <c r="M3" i="20" s="1"/>
  <c r="E3" i="18"/>
  <c r="L3" i="18" s="1"/>
  <c r="F68" i="17"/>
  <c r="O68" i="17" s="1"/>
  <c r="F54" i="25"/>
  <c r="M54" i="25" s="1"/>
  <c r="F54" i="20"/>
  <c r="N54" i="20" s="1"/>
  <c r="F54" i="24"/>
  <c r="N54" i="24" s="1"/>
  <c r="F44" i="17"/>
  <c r="O44" i="17" s="1"/>
  <c r="F20" i="17"/>
  <c r="O20" i="17" s="1"/>
  <c r="F104" i="20"/>
  <c r="N104" i="20" s="1"/>
  <c r="F104" i="24"/>
  <c r="N104" i="24" s="1"/>
  <c r="F104" i="25"/>
  <c r="M104" i="25" s="1"/>
  <c r="F103" i="18"/>
  <c r="M103" i="18" s="1"/>
  <c r="F103" i="23"/>
  <c r="O103" i="23" s="1"/>
  <c r="F103" i="19"/>
  <c r="N103" i="19" s="1"/>
  <c r="F102" i="17"/>
  <c r="O102" i="17" s="1"/>
  <c r="F96" i="20"/>
  <c r="N96" i="20" s="1"/>
  <c r="F96" i="24"/>
  <c r="N96" i="24" s="1"/>
  <c r="F96" i="25"/>
  <c r="M96" i="25" s="1"/>
  <c r="F95" i="19"/>
  <c r="N95" i="19" s="1"/>
  <c r="F95" i="18"/>
  <c r="M95" i="18" s="1"/>
  <c r="F95" i="23"/>
  <c r="O95" i="23" s="1"/>
  <c r="F94" i="17"/>
  <c r="O94" i="17" s="1"/>
  <c r="F88" i="20"/>
  <c r="N88" i="20" s="1"/>
  <c r="F88" i="24"/>
  <c r="N88" i="24" s="1"/>
  <c r="F88" i="25"/>
  <c r="M88" i="25" s="1"/>
  <c r="F87" i="18"/>
  <c r="M87" i="18" s="1"/>
  <c r="F87" i="23"/>
  <c r="O87" i="23" s="1"/>
  <c r="F87" i="19"/>
  <c r="N87" i="19" s="1"/>
  <c r="F86" i="17"/>
  <c r="O86" i="17" s="1"/>
  <c r="F80" i="20"/>
  <c r="N80" i="20" s="1"/>
  <c r="F80" i="25"/>
  <c r="M80" i="25" s="1"/>
  <c r="F80" i="24"/>
  <c r="N80" i="24" s="1"/>
  <c r="F79" i="19"/>
  <c r="N79" i="19" s="1"/>
  <c r="F79" i="18"/>
  <c r="M79" i="18" s="1"/>
  <c r="F79" i="23"/>
  <c r="O79" i="23" s="1"/>
  <c r="F78" i="17"/>
  <c r="O78" i="17" s="1"/>
  <c r="F72" i="20"/>
  <c r="N72" i="20" s="1"/>
  <c r="F72" i="25"/>
  <c r="M72" i="25" s="1"/>
  <c r="F72" i="24"/>
  <c r="N72" i="24" s="1"/>
  <c r="F71" i="18"/>
  <c r="M71" i="18" s="1"/>
  <c r="F71" i="23"/>
  <c r="O71" i="23" s="1"/>
  <c r="F71" i="19"/>
  <c r="N71" i="19" s="1"/>
  <c r="F70" i="17"/>
  <c r="O70" i="17" s="1"/>
  <c r="F64" i="20"/>
  <c r="N64" i="20" s="1"/>
  <c r="F64" i="25"/>
  <c r="M64" i="25" s="1"/>
  <c r="F64" i="24"/>
  <c r="N64" i="24" s="1"/>
  <c r="F63" i="19"/>
  <c r="N63" i="19" s="1"/>
  <c r="F63" i="18"/>
  <c r="M63" i="18" s="1"/>
  <c r="F63" i="23"/>
  <c r="O63" i="23" s="1"/>
  <c r="F62" i="17"/>
  <c r="O62" i="17" s="1"/>
  <c r="F56" i="20"/>
  <c r="N56" i="20" s="1"/>
  <c r="F56" i="25"/>
  <c r="M56" i="25" s="1"/>
  <c r="F56" i="24"/>
  <c r="N56" i="24" s="1"/>
  <c r="F55" i="18"/>
  <c r="M55" i="18" s="1"/>
  <c r="F55" i="23"/>
  <c r="O55" i="23" s="1"/>
  <c r="F55" i="19"/>
  <c r="N55" i="19" s="1"/>
  <c r="F54" i="17"/>
  <c r="O54" i="17" s="1"/>
  <c r="F48" i="20"/>
  <c r="N48" i="20" s="1"/>
  <c r="F48" i="25"/>
  <c r="M48" i="25" s="1"/>
  <c r="F48" i="24"/>
  <c r="N48" i="24" s="1"/>
  <c r="F47" i="19"/>
  <c r="N47" i="19" s="1"/>
  <c r="F47" i="18"/>
  <c r="M47" i="18" s="1"/>
  <c r="F47" i="23"/>
  <c r="O47" i="23" s="1"/>
  <c r="F46" i="17"/>
  <c r="O46" i="17" s="1"/>
  <c r="F40" i="20"/>
  <c r="N40" i="20" s="1"/>
  <c r="F40" i="25"/>
  <c r="M40" i="25" s="1"/>
  <c r="F40" i="24"/>
  <c r="N40" i="24" s="1"/>
  <c r="F39" i="18"/>
  <c r="M39" i="18" s="1"/>
  <c r="F39" i="23"/>
  <c r="O39" i="23" s="1"/>
  <c r="F39" i="19"/>
  <c r="N39" i="19" s="1"/>
  <c r="F38" i="17"/>
  <c r="O38" i="17" s="1"/>
  <c r="F32" i="20"/>
  <c r="N32" i="20" s="1"/>
  <c r="F32" i="25"/>
  <c r="M32" i="25" s="1"/>
  <c r="F32" i="24"/>
  <c r="N32" i="24" s="1"/>
  <c r="F31" i="19"/>
  <c r="N31" i="19" s="1"/>
  <c r="F31" i="18"/>
  <c r="M31" i="18" s="1"/>
  <c r="F31" i="23"/>
  <c r="O31" i="23" s="1"/>
  <c r="F30" i="17"/>
  <c r="O30" i="17" s="1"/>
  <c r="F24" i="20"/>
  <c r="N24" i="20" s="1"/>
  <c r="F24" i="25"/>
  <c r="M24" i="25" s="1"/>
  <c r="F24" i="24"/>
  <c r="N24" i="24" s="1"/>
  <c r="F23" i="18"/>
  <c r="M23" i="18" s="1"/>
  <c r="F23" i="23"/>
  <c r="O23" i="23" s="1"/>
  <c r="F23" i="19"/>
  <c r="N23" i="19" s="1"/>
  <c r="F22" i="17"/>
  <c r="O22" i="17" s="1"/>
  <c r="F16" i="20"/>
  <c r="N16" i="20" s="1"/>
  <c r="F16" i="25"/>
  <c r="M16" i="25" s="1"/>
  <c r="F16" i="24"/>
  <c r="N16" i="24" s="1"/>
  <c r="F15" i="19"/>
  <c r="N15" i="19" s="1"/>
  <c r="F15" i="18"/>
  <c r="M15" i="18" s="1"/>
  <c r="F15" i="23"/>
  <c r="O15" i="23" s="1"/>
  <c r="F14" i="17"/>
  <c r="O14" i="17" s="1"/>
  <c r="F8" i="20"/>
  <c r="N8" i="20" s="1"/>
  <c r="F8" i="25"/>
  <c r="M8" i="25" s="1"/>
  <c r="F8" i="24"/>
  <c r="N8" i="24" s="1"/>
  <c r="F7" i="18"/>
  <c r="M7" i="18" s="1"/>
  <c r="F7" i="23"/>
  <c r="O7" i="23" s="1"/>
  <c r="F7" i="19"/>
  <c r="N7" i="19" s="1"/>
  <c r="F6" i="17"/>
  <c r="O6" i="17" s="1"/>
  <c r="F102" i="25"/>
  <c r="M102" i="25" s="1"/>
  <c r="F102" i="20"/>
  <c r="N102" i="20" s="1"/>
  <c r="F102" i="24"/>
  <c r="N102" i="24" s="1"/>
  <c r="F86" i="25"/>
  <c r="M86" i="25" s="1"/>
  <c r="F86" i="20"/>
  <c r="N86" i="20" s="1"/>
  <c r="F86" i="24"/>
  <c r="N86" i="24" s="1"/>
  <c r="E108" i="17"/>
  <c r="N108" i="17" s="1"/>
  <c r="L108" i="25"/>
  <c r="E108" i="20"/>
  <c r="M108" i="20" s="1"/>
  <c r="M108" i="19"/>
  <c r="E108" i="18"/>
  <c r="L108" i="18" s="1"/>
  <c r="E108" i="24"/>
  <c r="M108" i="24" s="1"/>
  <c r="N108" i="23"/>
  <c r="E100" i="17"/>
  <c r="N100" i="17" s="1"/>
  <c r="E100" i="24"/>
  <c r="M100" i="24" s="1"/>
  <c r="M100" i="19"/>
  <c r="E100" i="18"/>
  <c r="L100" i="18" s="1"/>
  <c r="L100" i="25"/>
  <c r="E100" i="20"/>
  <c r="M100" i="20" s="1"/>
  <c r="E92" i="17"/>
  <c r="N92" i="17" s="1"/>
  <c r="L92" i="25"/>
  <c r="Q92" i="25" s="1"/>
  <c r="E92" i="20"/>
  <c r="M92" i="20" s="1"/>
  <c r="M92" i="19"/>
  <c r="E92" i="18"/>
  <c r="L92" i="18" s="1"/>
  <c r="E92" i="24"/>
  <c r="M92" i="24" s="1"/>
  <c r="N92" i="23"/>
  <c r="E84" i="17"/>
  <c r="N84" i="17" s="1"/>
  <c r="E84" i="20"/>
  <c r="M84" i="20" s="1"/>
  <c r="E84" i="24"/>
  <c r="M84" i="24" s="1"/>
  <c r="N84" i="23"/>
  <c r="M84" i="19"/>
  <c r="E84" i="18"/>
  <c r="L84" i="18" s="1"/>
  <c r="L84" i="25"/>
  <c r="E76" i="17"/>
  <c r="N76" i="17" s="1"/>
  <c r="L76" i="25"/>
  <c r="M76" i="19"/>
  <c r="E76" i="18"/>
  <c r="L76" i="18" s="1"/>
  <c r="E76" i="20"/>
  <c r="M76" i="20" s="1"/>
  <c r="E76" i="24"/>
  <c r="M76" i="24" s="1"/>
  <c r="N76" i="23"/>
  <c r="E68" i="17"/>
  <c r="N68" i="17" s="1"/>
  <c r="E68" i="24"/>
  <c r="M68" i="24" s="1"/>
  <c r="N68" i="23"/>
  <c r="E68" i="20"/>
  <c r="M68" i="20" s="1"/>
  <c r="M68" i="19"/>
  <c r="E68" i="18"/>
  <c r="L68" i="18" s="1"/>
  <c r="L68" i="25"/>
  <c r="E60" i="20"/>
  <c r="M60" i="20" s="1"/>
  <c r="E60" i="17"/>
  <c r="N60" i="17" s="1"/>
  <c r="L60" i="25"/>
  <c r="M60" i="19"/>
  <c r="E60" i="18"/>
  <c r="L60" i="18" s="1"/>
  <c r="E60" i="24"/>
  <c r="M60" i="24" s="1"/>
  <c r="N60" i="23"/>
  <c r="E52" i="17"/>
  <c r="N52" i="17" s="1"/>
  <c r="E52" i="24"/>
  <c r="M52" i="24" s="1"/>
  <c r="N52" i="23"/>
  <c r="M52" i="19"/>
  <c r="E52" i="18"/>
  <c r="L52" i="18" s="1"/>
  <c r="L52" i="25"/>
  <c r="E52" i="20"/>
  <c r="M52" i="20" s="1"/>
  <c r="E44" i="17"/>
  <c r="N44" i="17" s="1"/>
  <c r="L44" i="25"/>
  <c r="E44" i="20"/>
  <c r="M44" i="20" s="1"/>
  <c r="M44" i="19"/>
  <c r="E44" i="18"/>
  <c r="L44" i="18" s="1"/>
  <c r="E44" i="24"/>
  <c r="M44" i="24" s="1"/>
  <c r="N44" i="23"/>
  <c r="E36" i="17"/>
  <c r="N36" i="17" s="1"/>
  <c r="E36" i="24"/>
  <c r="M36" i="24" s="1"/>
  <c r="N36" i="23"/>
  <c r="E36" i="20"/>
  <c r="M36" i="20" s="1"/>
  <c r="M36" i="19"/>
  <c r="E36" i="18"/>
  <c r="L36" i="18" s="1"/>
  <c r="L36" i="25"/>
  <c r="E28" i="17"/>
  <c r="N28" i="17" s="1"/>
  <c r="L28" i="25"/>
  <c r="E28" i="20"/>
  <c r="M28" i="20" s="1"/>
  <c r="M28" i="19"/>
  <c r="E28" i="18"/>
  <c r="L28" i="18" s="1"/>
  <c r="E28" i="24"/>
  <c r="M28" i="24" s="1"/>
  <c r="N28" i="23"/>
  <c r="E20" i="17"/>
  <c r="N20" i="17" s="1"/>
  <c r="E20" i="24"/>
  <c r="M20" i="24" s="1"/>
  <c r="N20" i="23"/>
  <c r="E20" i="20"/>
  <c r="M20" i="20" s="1"/>
  <c r="M20" i="19"/>
  <c r="E20" i="18"/>
  <c r="L20" i="18" s="1"/>
  <c r="L20" i="25"/>
  <c r="E12" i="17"/>
  <c r="N12" i="17" s="1"/>
  <c r="L12" i="25"/>
  <c r="E12" i="20"/>
  <c r="M12" i="20" s="1"/>
  <c r="M12" i="19"/>
  <c r="E12" i="18"/>
  <c r="L12" i="18" s="1"/>
  <c r="E12" i="24"/>
  <c r="M12" i="24" s="1"/>
  <c r="N12" i="23"/>
  <c r="E4" i="17"/>
  <c r="N4" i="17" s="1"/>
  <c r="E4" i="24"/>
  <c r="M4" i="24" s="1"/>
  <c r="N4" i="23"/>
  <c r="E4" i="20"/>
  <c r="M4" i="20" s="1"/>
  <c r="M4" i="19"/>
  <c r="E4" i="18"/>
  <c r="L4" i="18" s="1"/>
  <c r="L4" i="25"/>
  <c r="F85" i="18"/>
  <c r="M85" i="18" s="1"/>
  <c r="F85" i="23"/>
  <c r="O85" i="23" s="1"/>
  <c r="F85" i="19"/>
  <c r="N85" i="19" s="1"/>
  <c r="F61" i="18"/>
  <c r="M61" i="18" s="1"/>
  <c r="F61" i="23"/>
  <c r="O61" i="23" s="1"/>
  <c r="F61" i="19"/>
  <c r="N61" i="19" s="1"/>
  <c r="F28" i="17"/>
  <c r="O28" i="17" s="1"/>
  <c r="F22" i="25"/>
  <c r="M22" i="25" s="1"/>
  <c r="F22" i="20"/>
  <c r="N22" i="20" s="1"/>
  <c r="F22" i="24"/>
  <c r="N22" i="24" s="1"/>
  <c r="F14" i="25"/>
  <c r="M14" i="25" s="1"/>
  <c r="F14" i="20"/>
  <c r="N14" i="20" s="1"/>
  <c r="F14" i="24"/>
  <c r="N14" i="24" s="1"/>
  <c r="F13" i="18"/>
  <c r="M13" i="18" s="1"/>
  <c r="F13" i="23"/>
  <c r="O13" i="23" s="1"/>
  <c r="F13" i="19"/>
  <c r="N13" i="19" s="1"/>
  <c r="F6" i="25"/>
  <c r="M6" i="25" s="1"/>
  <c r="F6" i="20"/>
  <c r="N6" i="20" s="1"/>
  <c r="F6" i="24"/>
  <c r="N6" i="24" s="1"/>
  <c r="F5" i="18"/>
  <c r="M5" i="18" s="1"/>
  <c r="F5" i="23"/>
  <c r="O5" i="23" s="1"/>
  <c r="F5" i="19"/>
  <c r="N5" i="19" s="1"/>
  <c r="F4" i="17"/>
  <c r="O4" i="17" s="1"/>
  <c r="F105" i="25"/>
  <c r="M105" i="25" s="1"/>
  <c r="F105" i="20"/>
  <c r="N105" i="20" s="1"/>
  <c r="F105" i="24"/>
  <c r="N105" i="24" s="1"/>
  <c r="F104" i="18"/>
  <c r="M104" i="18" s="1"/>
  <c r="F104" i="23"/>
  <c r="O104" i="23" s="1"/>
  <c r="F104" i="19"/>
  <c r="N104" i="19" s="1"/>
  <c r="F103" i="17"/>
  <c r="O103" i="17" s="1"/>
  <c r="F97" i="24"/>
  <c r="N97" i="24" s="1"/>
  <c r="F97" i="25"/>
  <c r="M97" i="25" s="1"/>
  <c r="F97" i="20"/>
  <c r="N97" i="20" s="1"/>
  <c r="F96" i="19"/>
  <c r="N96" i="19" s="1"/>
  <c r="F96" i="18"/>
  <c r="M96" i="18" s="1"/>
  <c r="F96" i="23"/>
  <c r="O96" i="23" s="1"/>
  <c r="F95" i="17"/>
  <c r="O95" i="17" s="1"/>
  <c r="F89" i="25"/>
  <c r="M89" i="25" s="1"/>
  <c r="F89" i="20"/>
  <c r="N89" i="20" s="1"/>
  <c r="F89" i="24"/>
  <c r="N89" i="24" s="1"/>
  <c r="F88" i="18"/>
  <c r="M88" i="18" s="1"/>
  <c r="F88" i="23"/>
  <c r="O88" i="23" s="1"/>
  <c r="F88" i="19"/>
  <c r="N88" i="19" s="1"/>
  <c r="F87" i="17"/>
  <c r="O87" i="17" s="1"/>
  <c r="F81" i="24"/>
  <c r="N81" i="24" s="1"/>
  <c r="F81" i="25"/>
  <c r="M81" i="25" s="1"/>
  <c r="F81" i="20"/>
  <c r="N81" i="20" s="1"/>
  <c r="F80" i="19"/>
  <c r="N80" i="19" s="1"/>
  <c r="F80" i="18"/>
  <c r="M80" i="18" s="1"/>
  <c r="F80" i="23"/>
  <c r="O80" i="23" s="1"/>
  <c r="F79" i="17"/>
  <c r="O79" i="17" s="1"/>
  <c r="F73" i="25"/>
  <c r="M73" i="25" s="1"/>
  <c r="F73" i="20"/>
  <c r="N73" i="20" s="1"/>
  <c r="F73" i="24"/>
  <c r="N73" i="24" s="1"/>
  <c r="F72" i="18"/>
  <c r="M72" i="18" s="1"/>
  <c r="F72" i="23"/>
  <c r="O72" i="23" s="1"/>
  <c r="F72" i="19"/>
  <c r="N72" i="19" s="1"/>
  <c r="F71" i="17"/>
  <c r="O71" i="17" s="1"/>
  <c r="F65" i="24"/>
  <c r="N65" i="24" s="1"/>
  <c r="F65" i="25"/>
  <c r="M65" i="25" s="1"/>
  <c r="F65" i="20"/>
  <c r="N65" i="20" s="1"/>
  <c r="F64" i="19"/>
  <c r="N64" i="19" s="1"/>
  <c r="F64" i="18"/>
  <c r="M64" i="18" s="1"/>
  <c r="F64" i="23"/>
  <c r="O64" i="23" s="1"/>
  <c r="F63" i="17"/>
  <c r="O63" i="17" s="1"/>
  <c r="F57" i="25"/>
  <c r="M57" i="25" s="1"/>
  <c r="F57" i="20"/>
  <c r="N57" i="20" s="1"/>
  <c r="F57" i="24"/>
  <c r="N57" i="24" s="1"/>
  <c r="F56" i="18"/>
  <c r="M56" i="18" s="1"/>
  <c r="F56" i="23"/>
  <c r="O56" i="23" s="1"/>
  <c r="F56" i="19"/>
  <c r="N56" i="19" s="1"/>
  <c r="F55" i="17"/>
  <c r="O55" i="17" s="1"/>
  <c r="F49" i="24"/>
  <c r="N49" i="24" s="1"/>
  <c r="F49" i="25"/>
  <c r="M49" i="25" s="1"/>
  <c r="F49" i="20"/>
  <c r="N49" i="20" s="1"/>
  <c r="F48" i="19"/>
  <c r="N48" i="19" s="1"/>
  <c r="F48" i="18"/>
  <c r="M48" i="18" s="1"/>
  <c r="F48" i="23"/>
  <c r="O48" i="23" s="1"/>
  <c r="F47" i="17"/>
  <c r="O47" i="17" s="1"/>
  <c r="F41" i="25"/>
  <c r="M41" i="25" s="1"/>
  <c r="F41" i="20"/>
  <c r="N41" i="20" s="1"/>
  <c r="F41" i="24"/>
  <c r="N41" i="24" s="1"/>
  <c r="F40" i="18"/>
  <c r="M40" i="18" s="1"/>
  <c r="F40" i="23"/>
  <c r="O40" i="23" s="1"/>
  <c r="F40" i="19"/>
  <c r="N40" i="19" s="1"/>
  <c r="F39" i="17"/>
  <c r="O39" i="17" s="1"/>
  <c r="F33" i="24"/>
  <c r="N33" i="24" s="1"/>
  <c r="F33" i="25"/>
  <c r="M33" i="25" s="1"/>
  <c r="F33" i="20"/>
  <c r="N33" i="20" s="1"/>
  <c r="F32" i="19"/>
  <c r="N32" i="19" s="1"/>
  <c r="F32" i="18"/>
  <c r="M32" i="18" s="1"/>
  <c r="F32" i="23"/>
  <c r="O32" i="23" s="1"/>
  <c r="F31" i="17"/>
  <c r="O31" i="17" s="1"/>
  <c r="F25" i="25"/>
  <c r="M25" i="25" s="1"/>
  <c r="F25" i="20"/>
  <c r="N25" i="20" s="1"/>
  <c r="F25" i="24"/>
  <c r="N25" i="24" s="1"/>
  <c r="F24" i="18"/>
  <c r="M24" i="18" s="1"/>
  <c r="F24" i="23"/>
  <c r="O24" i="23" s="1"/>
  <c r="F24" i="19"/>
  <c r="N24" i="19" s="1"/>
  <c r="F23" i="17"/>
  <c r="O23" i="17" s="1"/>
  <c r="F17" i="24"/>
  <c r="N17" i="24" s="1"/>
  <c r="F17" i="25"/>
  <c r="M17" i="25" s="1"/>
  <c r="F17" i="20"/>
  <c r="N17" i="20" s="1"/>
  <c r="F16" i="19"/>
  <c r="N16" i="19" s="1"/>
  <c r="F16" i="18"/>
  <c r="M16" i="18" s="1"/>
  <c r="F16" i="23"/>
  <c r="O16" i="23" s="1"/>
  <c r="F15" i="17"/>
  <c r="O15" i="17" s="1"/>
  <c r="F9" i="25"/>
  <c r="M9" i="25" s="1"/>
  <c r="F9" i="20"/>
  <c r="N9" i="20" s="1"/>
  <c r="F9" i="24"/>
  <c r="N9" i="24" s="1"/>
  <c r="F8" i="18"/>
  <c r="M8" i="18" s="1"/>
  <c r="F8" i="23"/>
  <c r="O8" i="23" s="1"/>
  <c r="F8" i="19"/>
  <c r="N8" i="19" s="1"/>
  <c r="F7" i="17"/>
  <c r="O7" i="17" s="1"/>
  <c r="E108" i="32"/>
  <c r="I108" i="32" s="1"/>
  <c r="K108" i="32" s="1"/>
  <c r="E109" i="32"/>
  <c r="I109" i="32" s="1"/>
  <c r="K109" i="32" s="1"/>
  <c r="H108" i="35"/>
  <c r="P108" i="35" s="1"/>
  <c r="H109" i="35"/>
  <c r="P109" i="35" s="1"/>
  <c r="H109" i="30"/>
  <c r="O109" i="30" s="1"/>
  <c r="H121" i="30"/>
  <c r="O121" i="30" s="1"/>
  <c r="H121" i="18"/>
  <c r="O121" i="18" s="1"/>
  <c r="DL116" i="2"/>
  <c r="DL118" i="2"/>
  <c r="DL117" i="2"/>
  <c r="DL119" i="2"/>
  <c r="DP117" i="2"/>
  <c r="DN116" i="2"/>
  <c r="DK112" i="2"/>
  <c r="DP119" i="2"/>
  <c r="DP118" i="2"/>
  <c r="N149" i="6"/>
  <c r="Q141" i="6"/>
  <c r="Q153" i="6" s="1"/>
  <c r="Q165" i="6" s="1"/>
  <c r="Q177" i="6" s="1"/>
  <c r="Q189" i="6" s="1"/>
  <c r="Q201" i="6" s="1"/>
  <c r="Q213" i="6" s="1"/>
  <c r="R140" i="6"/>
  <c r="R152" i="6" s="1"/>
  <c r="R164" i="6" s="1"/>
  <c r="R176" i="6" s="1"/>
  <c r="R188" i="6" s="1"/>
  <c r="R200" i="6" s="1"/>
  <c r="R212" i="6" s="1"/>
  <c r="P140" i="6"/>
  <c r="P152" i="6" s="1"/>
  <c r="P164" i="6" s="1"/>
  <c r="P176" i="6" s="1"/>
  <c r="P188" i="6" s="1"/>
  <c r="P200" i="6" s="1"/>
  <c r="P212" i="6" s="1"/>
  <c r="DM121" i="2"/>
  <c r="DO120" i="2"/>
  <c r="O139" i="6"/>
  <c r="S139" i="6" s="1"/>
  <c r="I144" i="6"/>
  <c r="I156" i="6" s="1"/>
  <c r="I168" i="6" s="1"/>
  <c r="I180" i="6" s="1"/>
  <c r="I192" i="6" s="1"/>
  <c r="I204" i="6" s="1"/>
  <c r="I216" i="6" s="1"/>
  <c r="DE121" i="2"/>
  <c r="G146" i="6"/>
  <c r="G158" i="6" s="1"/>
  <c r="G170" i="6" s="1"/>
  <c r="G182" i="6" s="1"/>
  <c r="G194" i="6" s="1"/>
  <c r="G206" i="6" s="1"/>
  <c r="G218" i="6" s="1"/>
  <c r="E146" i="6"/>
  <c r="E158" i="6" s="1"/>
  <c r="E170" i="6" s="1"/>
  <c r="E182" i="6" s="1"/>
  <c r="E194" i="6" s="1"/>
  <c r="E206" i="6" s="1"/>
  <c r="E218" i="6" s="1"/>
  <c r="R149" i="6"/>
  <c r="R161" i="6" s="1"/>
  <c r="R173" i="6" s="1"/>
  <c r="R185" i="6" s="1"/>
  <c r="R197" i="6" s="1"/>
  <c r="R209" i="6" s="1"/>
  <c r="Q149" i="6"/>
  <c r="Q161" i="6" s="1"/>
  <c r="Q173" i="6" s="1"/>
  <c r="Q185" i="6" s="1"/>
  <c r="Q197" i="6" s="1"/>
  <c r="Q209" i="6" s="1"/>
  <c r="Q148" i="6"/>
  <c r="Q160" i="6" s="1"/>
  <c r="Q172" i="6" s="1"/>
  <c r="Q184" i="6" s="1"/>
  <c r="Q196" i="6" s="1"/>
  <c r="Q208" i="6" s="1"/>
  <c r="P148" i="6"/>
  <c r="P160" i="6" s="1"/>
  <c r="P172" i="6" s="1"/>
  <c r="P184" i="6" s="1"/>
  <c r="P196" i="6" s="1"/>
  <c r="P208" i="6" s="1"/>
  <c r="Q140" i="6"/>
  <c r="Q152" i="6" s="1"/>
  <c r="Q164" i="6" s="1"/>
  <c r="Q176" i="6" s="1"/>
  <c r="Q188" i="6" s="1"/>
  <c r="Q200" i="6" s="1"/>
  <c r="Q212" i="6" s="1"/>
  <c r="R139" i="6"/>
  <c r="R151" i="6" s="1"/>
  <c r="R163" i="6" s="1"/>
  <c r="R175" i="6" s="1"/>
  <c r="R187" i="6" s="1"/>
  <c r="R199" i="6" s="1"/>
  <c r="R211" i="6" s="1"/>
  <c r="P150" i="6"/>
  <c r="P162" i="6" s="1"/>
  <c r="P174" i="6" s="1"/>
  <c r="P186" i="6" s="1"/>
  <c r="P198" i="6" s="1"/>
  <c r="P210" i="6" s="1"/>
  <c r="DN121" i="2"/>
  <c r="R141" i="6"/>
  <c r="R153" i="6" s="1"/>
  <c r="R165" i="6" s="1"/>
  <c r="R177" i="6" s="1"/>
  <c r="R189" i="6" s="1"/>
  <c r="R201" i="6" s="1"/>
  <c r="R213" i="6" s="1"/>
  <c r="P141" i="6"/>
  <c r="P153" i="6" s="1"/>
  <c r="P165" i="6" s="1"/>
  <c r="P177" i="6" s="1"/>
  <c r="P189" i="6" s="1"/>
  <c r="P201" i="6" s="1"/>
  <c r="P213" i="6" s="1"/>
  <c r="Q139" i="6"/>
  <c r="Q151" i="6" s="1"/>
  <c r="Q163" i="6" s="1"/>
  <c r="Q175" i="6" s="1"/>
  <c r="Q187" i="6" s="1"/>
  <c r="Q199" i="6" s="1"/>
  <c r="Q211" i="6" s="1"/>
  <c r="N140" i="6"/>
  <c r="N152" i="6" s="1"/>
  <c r="I146" i="6"/>
  <c r="I158" i="6" s="1"/>
  <c r="I170" i="6" s="1"/>
  <c r="I182" i="6" s="1"/>
  <c r="I194" i="6" s="1"/>
  <c r="I206" i="6" s="1"/>
  <c r="I218" i="6" s="1"/>
  <c r="E149" i="6"/>
  <c r="E161" i="6" s="1"/>
  <c r="E173" i="6" s="1"/>
  <c r="E185" i="6" s="1"/>
  <c r="E197" i="6" s="1"/>
  <c r="E209" i="6" s="1"/>
  <c r="H146" i="6"/>
  <c r="H158" i="6" s="1"/>
  <c r="H170" i="6" s="1"/>
  <c r="H182" i="6" s="1"/>
  <c r="H194" i="6" s="1"/>
  <c r="H206" i="6" s="1"/>
  <c r="H218" i="6" s="1"/>
  <c r="DL121" i="2"/>
  <c r="E145" i="6"/>
  <c r="E157" i="6" s="1"/>
  <c r="E169" i="6" s="1"/>
  <c r="E181" i="6" s="1"/>
  <c r="E193" i="6" s="1"/>
  <c r="E205" i="6" s="1"/>
  <c r="E217" i="6" s="1"/>
  <c r="DM120" i="2"/>
  <c r="P139" i="6"/>
  <c r="P151" i="6" s="1"/>
  <c r="P163" i="6" s="1"/>
  <c r="P175" i="6" s="1"/>
  <c r="P187" i="6" s="1"/>
  <c r="P199" i="6" s="1"/>
  <c r="P211" i="6" s="1"/>
  <c r="R148" i="6"/>
  <c r="R160" i="6" s="1"/>
  <c r="R172" i="6" s="1"/>
  <c r="R184" i="6" s="1"/>
  <c r="R196" i="6" s="1"/>
  <c r="R208" i="6" s="1"/>
  <c r="DM116" i="2"/>
  <c r="Q150" i="6"/>
  <c r="Q162" i="6" s="1"/>
  <c r="Q174" i="6" s="1"/>
  <c r="Q186" i="6" s="1"/>
  <c r="Q198" i="6" s="1"/>
  <c r="Q210" i="6" s="1"/>
  <c r="H144" i="6"/>
  <c r="H156" i="6" s="1"/>
  <c r="H168" i="6" s="1"/>
  <c r="H180" i="6" s="1"/>
  <c r="H192" i="6" s="1"/>
  <c r="H204" i="6" s="1"/>
  <c r="H216" i="6" s="1"/>
  <c r="D147" i="6"/>
  <c r="D145" i="6"/>
  <c r="F142" i="6"/>
  <c r="H151" i="6"/>
  <c r="H163" i="6" s="1"/>
  <c r="H175" i="6" s="1"/>
  <c r="H187" i="6" s="1"/>
  <c r="H199" i="6" s="1"/>
  <c r="H211" i="6" s="1"/>
  <c r="Q107" i="20"/>
  <c r="Q107" i="31"/>
  <c r="E106" i="32"/>
  <c r="I106" i="32" s="1"/>
  <c r="F106" i="33"/>
  <c r="L106" i="33" s="1"/>
  <c r="E106" i="21"/>
  <c r="I106" i="21" s="1"/>
  <c r="K106" i="21" s="1"/>
  <c r="F106" i="22"/>
  <c r="L106" i="22" s="1"/>
  <c r="O106" i="22" s="1"/>
  <c r="H98" i="35"/>
  <c r="P98" i="35" s="1"/>
  <c r="H98" i="24"/>
  <c r="P98" i="24" s="1"/>
  <c r="H96" i="30"/>
  <c r="O96" i="30" s="1"/>
  <c r="Q96" i="30" s="1"/>
  <c r="H96" i="18"/>
  <c r="O96" i="18" s="1"/>
  <c r="Q91" i="31"/>
  <c r="S91" i="31" s="1"/>
  <c r="Q91" i="20"/>
  <c r="F90" i="33"/>
  <c r="L90" i="33" s="1"/>
  <c r="O90" i="33" s="1"/>
  <c r="E90" i="32"/>
  <c r="I90" i="32" s="1"/>
  <c r="K90" i="32" s="1"/>
  <c r="E90" i="21"/>
  <c r="I90" i="21" s="1"/>
  <c r="K90" i="21" s="1"/>
  <c r="F90" i="22"/>
  <c r="L90" i="22" s="1"/>
  <c r="O90" i="22" s="1"/>
  <c r="H82" i="35"/>
  <c r="P82" i="35" s="1"/>
  <c r="H82" i="24"/>
  <c r="P82" i="24" s="1"/>
  <c r="H80" i="30"/>
  <c r="O80" i="30" s="1"/>
  <c r="H80" i="18"/>
  <c r="O80" i="18" s="1"/>
  <c r="Q75" i="31"/>
  <c r="Q75" i="20"/>
  <c r="E74" i="32"/>
  <c r="I74" i="32" s="1"/>
  <c r="K74" i="32" s="1"/>
  <c r="F74" i="33"/>
  <c r="L74" i="33" s="1"/>
  <c r="O74" i="33" s="1"/>
  <c r="E74" i="21"/>
  <c r="I74" i="21" s="1"/>
  <c r="K74" i="21" s="1"/>
  <c r="F74" i="22"/>
  <c r="L74" i="22" s="1"/>
  <c r="O74" i="22" s="1"/>
  <c r="H66" i="35"/>
  <c r="P66" i="35" s="1"/>
  <c r="H66" i="24"/>
  <c r="P66" i="24" s="1"/>
  <c r="H64" i="30"/>
  <c r="O64" i="30" s="1"/>
  <c r="H64" i="18"/>
  <c r="O64" i="18" s="1"/>
  <c r="Q59" i="31"/>
  <c r="Q59" i="20"/>
  <c r="F58" i="33"/>
  <c r="L58" i="33" s="1"/>
  <c r="O58" i="33" s="1"/>
  <c r="E58" i="32"/>
  <c r="I58" i="32" s="1"/>
  <c r="K58" i="32" s="1"/>
  <c r="E58" i="21"/>
  <c r="I58" i="21" s="1"/>
  <c r="K58" i="21" s="1"/>
  <c r="F58" i="22"/>
  <c r="L58" i="22" s="1"/>
  <c r="O58" i="22" s="1"/>
  <c r="H50" i="35"/>
  <c r="P50" i="35" s="1"/>
  <c r="H50" i="24"/>
  <c r="P50" i="24" s="1"/>
  <c r="H48" i="30"/>
  <c r="O48" i="30" s="1"/>
  <c r="Q48" i="30" s="1"/>
  <c r="H48" i="18"/>
  <c r="O48" i="18" s="1"/>
  <c r="Q43" i="31"/>
  <c r="S43" i="31" s="1"/>
  <c r="Q43" i="20"/>
  <c r="E42" i="32"/>
  <c r="I42" i="32" s="1"/>
  <c r="K42" i="32" s="1"/>
  <c r="F42" i="33"/>
  <c r="L42" i="33" s="1"/>
  <c r="O42" i="33" s="1"/>
  <c r="E42" i="21"/>
  <c r="I42" i="21" s="1"/>
  <c r="K42" i="21" s="1"/>
  <c r="F42" i="22"/>
  <c r="L42" i="22" s="1"/>
  <c r="O42" i="22" s="1"/>
  <c r="H34" i="35"/>
  <c r="P34" i="35" s="1"/>
  <c r="H34" i="24"/>
  <c r="P34" i="24" s="1"/>
  <c r="H32" i="30"/>
  <c r="O32" i="30" s="1"/>
  <c r="H32" i="18"/>
  <c r="O32" i="18" s="1"/>
  <c r="Q27" i="31"/>
  <c r="Q27" i="20"/>
  <c r="F26" i="33"/>
  <c r="L26" i="33" s="1"/>
  <c r="O26" i="33" s="1"/>
  <c r="E26" i="32"/>
  <c r="I26" i="32" s="1"/>
  <c r="K26" i="32" s="1"/>
  <c r="E26" i="21"/>
  <c r="I26" i="21" s="1"/>
  <c r="K26" i="21" s="1"/>
  <c r="F26" i="22"/>
  <c r="L26" i="22" s="1"/>
  <c r="O26" i="22" s="1"/>
  <c r="H18" i="35"/>
  <c r="P18" i="35" s="1"/>
  <c r="H18" i="24"/>
  <c r="P18" i="24" s="1"/>
  <c r="H16" i="30"/>
  <c r="O16" i="30" s="1"/>
  <c r="H16" i="18"/>
  <c r="O16" i="18" s="1"/>
  <c r="Q11" i="31"/>
  <c r="Q11" i="20"/>
  <c r="F10" i="33"/>
  <c r="L10" i="33" s="1"/>
  <c r="O10" i="33" s="1"/>
  <c r="Q10" i="33" s="1"/>
  <c r="E10" i="32"/>
  <c r="I10" i="32" s="1"/>
  <c r="K10" i="32" s="1"/>
  <c r="M10" i="32" s="1"/>
  <c r="E10" i="21"/>
  <c r="I10" i="21" s="1"/>
  <c r="K10" i="21" s="1"/>
  <c r="M10" i="21" s="1"/>
  <c r="F10" i="22"/>
  <c r="L10" i="22" s="1"/>
  <c r="O10" i="22" s="1"/>
  <c r="Q10" i="22" s="1"/>
  <c r="H2" i="35"/>
  <c r="P2" i="35" s="1"/>
  <c r="H2" i="24"/>
  <c r="P2" i="24" s="1"/>
  <c r="E142" i="6"/>
  <c r="E154" i="6" s="1"/>
  <c r="E166" i="6" s="1"/>
  <c r="E178" i="6" s="1"/>
  <c r="E190" i="6" s="1"/>
  <c r="E202" i="6" s="1"/>
  <c r="E214" i="6" s="1"/>
  <c r="G151" i="6"/>
  <c r="G163" i="6" s="1"/>
  <c r="G175" i="6" s="1"/>
  <c r="G187" i="6" s="1"/>
  <c r="G199" i="6" s="1"/>
  <c r="G211" i="6" s="1"/>
  <c r="Q108" i="31"/>
  <c r="Q108" i="20"/>
  <c r="F107" i="33"/>
  <c r="L107" i="33" s="1"/>
  <c r="E107" i="32"/>
  <c r="I107" i="32" s="1"/>
  <c r="F107" i="22"/>
  <c r="L107" i="22" s="1"/>
  <c r="O107" i="22" s="1"/>
  <c r="E107" i="21"/>
  <c r="I107" i="21" s="1"/>
  <c r="K107" i="21" s="1"/>
  <c r="H99" i="35"/>
  <c r="P99" i="35" s="1"/>
  <c r="H99" i="24"/>
  <c r="P99" i="24" s="1"/>
  <c r="H97" i="30"/>
  <c r="O97" i="30" s="1"/>
  <c r="H97" i="18"/>
  <c r="O97" i="18" s="1"/>
  <c r="Q97" i="18" s="1"/>
  <c r="Q92" i="20"/>
  <c r="Q92" i="31"/>
  <c r="S92" i="31" s="1"/>
  <c r="E91" i="32"/>
  <c r="I91" i="32" s="1"/>
  <c r="K91" i="32" s="1"/>
  <c r="F91" i="33"/>
  <c r="L91" i="33" s="1"/>
  <c r="O91" i="33" s="1"/>
  <c r="F91" i="22"/>
  <c r="L91" i="22" s="1"/>
  <c r="O91" i="22" s="1"/>
  <c r="E91" i="21"/>
  <c r="I91" i="21" s="1"/>
  <c r="K91" i="21" s="1"/>
  <c r="H83" i="35"/>
  <c r="P83" i="35" s="1"/>
  <c r="H83" i="24"/>
  <c r="P83" i="24" s="1"/>
  <c r="H81" i="30"/>
  <c r="O81" i="30" s="1"/>
  <c r="H81" i="18"/>
  <c r="O81" i="18" s="1"/>
  <c r="Q76" i="31"/>
  <c r="Q76" i="20"/>
  <c r="F75" i="33"/>
  <c r="L75" i="33" s="1"/>
  <c r="O75" i="33" s="1"/>
  <c r="F75" i="22"/>
  <c r="L75" i="22" s="1"/>
  <c r="O75" i="22" s="1"/>
  <c r="E75" i="21"/>
  <c r="I75" i="21" s="1"/>
  <c r="K75" i="21" s="1"/>
  <c r="E75" i="32"/>
  <c r="I75" i="32" s="1"/>
  <c r="K75" i="32" s="1"/>
  <c r="H67" i="35"/>
  <c r="P67" i="35" s="1"/>
  <c r="H67" i="24"/>
  <c r="P67" i="24" s="1"/>
  <c r="H65" i="30"/>
  <c r="O65" i="30" s="1"/>
  <c r="H65" i="18"/>
  <c r="O65" i="18" s="1"/>
  <c r="Q60" i="31"/>
  <c r="Q60" i="20"/>
  <c r="E59" i="32"/>
  <c r="I59" i="32" s="1"/>
  <c r="K59" i="32" s="1"/>
  <c r="F59" i="33"/>
  <c r="L59" i="33" s="1"/>
  <c r="O59" i="33" s="1"/>
  <c r="F59" i="22"/>
  <c r="L59" i="22" s="1"/>
  <c r="O59" i="22" s="1"/>
  <c r="E59" i="21"/>
  <c r="I59" i="21" s="1"/>
  <c r="K59" i="21" s="1"/>
  <c r="H51" i="35"/>
  <c r="P51" i="35" s="1"/>
  <c r="H51" i="24"/>
  <c r="P51" i="24" s="1"/>
  <c r="H49" i="30"/>
  <c r="O49" i="30" s="1"/>
  <c r="Q49" i="30" s="1"/>
  <c r="H49" i="18"/>
  <c r="O49" i="18" s="1"/>
  <c r="Q44" i="31"/>
  <c r="S44" i="31" s="1"/>
  <c r="Q44" i="20"/>
  <c r="F43" i="33"/>
  <c r="L43" i="33" s="1"/>
  <c r="O43" i="33" s="1"/>
  <c r="F43" i="22"/>
  <c r="L43" i="22" s="1"/>
  <c r="O43" i="22" s="1"/>
  <c r="E43" i="32"/>
  <c r="I43" i="32" s="1"/>
  <c r="K43" i="32" s="1"/>
  <c r="E43" i="21"/>
  <c r="I43" i="21" s="1"/>
  <c r="K43" i="21" s="1"/>
  <c r="H35" i="35"/>
  <c r="P35" i="35" s="1"/>
  <c r="H35" i="24"/>
  <c r="P35" i="24" s="1"/>
  <c r="H33" i="30"/>
  <c r="O33" i="30" s="1"/>
  <c r="H33" i="18"/>
  <c r="O33" i="18" s="1"/>
  <c r="Q28" i="31"/>
  <c r="Q28" i="20"/>
  <c r="E27" i="32"/>
  <c r="I27" i="32" s="1"/>
  <c r="K27" i="32" s="1"/>
  <c r="F27" i="22"/>
  <c r="L27" i="22" s="1"/>
  <c r="O27" i="22" s="1"/>
  <c r="F27" i="33"/>
  <c r="L27" i="33" s="1"/>
  <c r="O27" i="33" s="1"/>
  <c r="E27" i="21"/>
  <c r="I27" i="21" s="1"/>
  <c r="K27" i="21" s="1"/>
  <c r="H19" i="35"/>
  <c r="P19" i="35" s="1"/>
  <c r="H19" i="24"/>
  <c r="P19" i="24" s="1"/>
  <c r="H17" i="30"/>
  <c r="O17" i="30" s="1"/>
  <c r="H17" i="18"/>
  <c r="O17" i="18" s="1"/>
  <c r="Q12" i="31"/>
  <c r="Q12" i="20"/>
  <c r="E11" i="32"/>
  <c r="I11" i="32" s="1"/>
  <c r="K11" i="32" s="1"/>
  <c r="M11" i="32" s="1"/>
  <c r="F11" i="33"/>
  <c r="L11" i="33" s="1"/>
  <c r="O11" i="33" s="1"/>
  <c r="Q11" i="33" s="1"/>
  <c r="F11" i="22"/>
  <c r="L11" i="22" s="1"/>
  <c r="O11" i="22" s="1"/>
  <c r="Q11" i="22" s="1"/>
  <c r="E11" i="21"/>
  <c r="I11" i="21" s="1"/>
  <c r="K11" i="21" s="1"/>
  <c r="M11" i="21" s="1"/>
  <c r="H3" i="35"/>
  <c r="P3" i="35" s="1"/>
  <c r="H3" i="24"/>
  <c r="P3" i="24" s="1"/>
  <c r="D142" i="6"/>
  <c r="Q109" i="31"/>
  <c r="Q109" i="20"/>
  <c r="F108" i="33"/>
  <c r="L108" i="33" s="1"/>
  <c r="F108" i="22"/>
  <c r="L108" i="22" s="1"/>
  <c r="O108" i="22" s="1"/>
  <c r="E108" i="21"/>
  <c r="I108" i="21" s="1"/>
  <c r="K108" i="21" s="1"/>
  <c r="H100" i="35"/>
  <c r="P100" i="35" s="1"/>
  <c r="H100" i="24"/>
  <c r="P100" i="24" s="1"/>
  <c r="H98" i="30"/>
  <c r="O98" i="30" s="1"/>
  <c r="H98" i="18"/>
  <c r="O98" i="18" s="1"/>
  <c r="Q93" i="31"/>
  <c r="S93" i="31" s="1"/>
  <c r="Q93" i="20"/>
  <c r="S93" i="20" s="1"/>
  <c r="E92" i="32"/>
  <c r="I92" i="32" s="1"/>
  <c r="K92" i="32" s="1"/>
  <c r="F92" i="22"/>
  <c r="L92" i="22" s="1"/>
  <c r="O92" i="22" s="1"/>
  <c r="F92" i="33"/>
  <c r="L92" i="33" s="1"/>
  <c r="O92" i="33" s="1"/>
  <c r="E92" i="21"/>
  <c r="I92" i="21" s="1"/>
  <c r="K92" i="21" s="1"/>
  <c r="H84" i="24"/>
  <c r="P84" i="24" s="1"/>
  <c r="H84" i="35"/>
  <c r="P84" i="35" s="1"/>
  <c r="H82" i="30"/>
  <c r="O82" i="30" s="1"/>
  <c r="H82" i="18"/>
  <c r="O82" i="18" s="1"/>
  <c r="Q77" i="31"/>
  <c r="Q77" i="20"/>
  <c r="E76" i="32"/>
  <c r="I76" i="32" s="1"/>
  <c r="K76" i="32" s="1"/>
  <c r="F76" i="33"/>
  <c r="L76" i="33" s="1"/>
  <c r="O76" i="33" s="1"/>
  <c r="F76" i="22"/>
  <c r="L76" i="22" s="1"/>
  <c r="O76" i="22" s="1"/>
  <c r="E76" i="21"/>
  <c r="I76" i="21" s="1"/>
  <c r="K76" i="21" s="1"/>
  <c r="H68" i="35"/>
  <c r="P68" i="35" s="1"/>
  <c r="H68" i="24"/>
  <c r="P68" i="24" s="1"/>
  <c r="H66" i="30"/>
  <c r="O66" i="30" s="1"/>
  <c r="H66" i="18"/>
  <c r="O66" i="18" s="1"/>
  <c r="Q61" i="31"/>
  <c r="Q61" i="20"/>
  <c r="F60" i="33"/>
  <c r="L60" i="33" s="1"/>
  <c r="O60" i="33" s="1"/>
  <c r="E60" i="32"/>
  <c r="I60" i="32" s="1"/>
  <c r="K60" i="32" s="1"/>
  <c r="F60" i="22"/>
  <c r="L60" i="22" s="1"/>
  <c r="O60" i="22" s="1"/>
  <c r="E60" i="21"/>
  <c r="I60" i="21" s="1"/>
  <c r="K60" i="21" s="1"/>
  <c r="H52" i="24"/>
  <c r="P52" i="24" s="1"/>
  <c r="H52" i="35"/>
  <c r="P52" i="35" s="1"/>
  <c r="H50" i="30"/>
  <c r="O50" i="30" s="1"/>
  <c r="H50" i="18"/>
  <c r="O50" i="18" s="1"/>
  <c r="Q45" i="20"/>
  <c r="Q45" i="31"/>
  <c r="S45" i="31" s="1"/>
  <c r="E44" i="32"/>
  <c r="I44" i="32" s="1"/>
  <c r="K44" i="32" s="1"/>
  <c r="F44" i="33"/>
  <c r="L44" i="33" s="1"/>
  <c r="O44" i="33" s="1"/>
  <c r="F44" i="22"/>
  <c r="L44" i="22" s="1"/>
  <c r="O44" i="22" s="1"/>
  <c r="E44" i="21"/>
  <c r="I44" i="21" s="1"/>
  <c r="K44" i="21" s="1"/>
  <c r="H36" i="35"/>
  <c r="P36" i="35" s="1"/>
  <c r="H36" i="24"/>
  <c r="P36" i="24" s="1"/>
  <c r="H34" i="30"/>
  <c r="O34" i="30" s="1"/>
  <c r="H34" i="18"/>
  <c r="O34" i="18" s="1"/>
  <c r="Q29" i="31"/>
  <c r="Q29" i="20"/>
  <c r="F28" i="33"/>
  <c r="L28" i="33" s="1"/>
  <c r="O28" i="33" s="1"/>
  <c r="E28" i="32"/>
  <c r="I28" i="32" s="1"/>
  <c r="K28" i="32" s="1"/>
  <c r="F28" i="22"/>
  <c r="L28" i="22" s="1"/>
  <c r="O28" i="22" s="1"/>
  <c r="E28" i="21"/>
  <c r="I28" i="21" s="1"/>
  <c r="K28" i="21" s="1"/>
  <c r="H20" i="35"/>
  <c r="P20" i="35" s="1"/>
  <c r="H20" i="24"/>
  <c r="P20" i="24" s="1"/>
  <c r="H18" i="30"/>
  <c r="O18" i="30" s="1"/>
  <c r="H18" i="18"/>
  <c r="O18" i="18" s="1"/>
  <c r="Q13" i="31"/>
  <c r="Q13" i="20"/>
  <c r="F12" i="33"/>
  <c r="L12" i="33" s="1"/>
  <c r="O12" i="33" s="1"/>
  <c r="Q12" i="33" s="1"/>
  <c r="E12" i="32"/>
  <c r="I12" i="32" s="1"/>
  <c r="K12" i="32" s="1"/>
  <c r="M12" i="32" s="1"/>
  <c r="F12" i="22"/>
  <c r="L12" i="22" s="1"/>
  <c r="O12" i="22" s="1"/>
  <c r="Q12" i="22" s="1"/>
  <c r="E12" i="21"/>
  <c r="I12" i="21" s="1"/>
  <c r="K12" i="21" s="1"/>
  <c r="M12" i="21" s="1"/>
  <c r="H4" i="24"/>
  <c r="P4" i="24" s="1"/>
  <c r="H4" i="35"/>
  <c r="P4" i="35" s="1"/>
  <c r="H2" i="30"/>
  <c r="O2" i="30" s="1"/>
  <c r="H2" i="18"/>
  <c r="O2" i="18" s="1"/>
  <c r="G144" i="6"/>
  <c r="G156" i="6" s="1"/>
  <c r="G168" i="6" s="1"/>
  <c r="G180" i="6" s="1"/>
  <c r="G192" i="6" s="1"/>
  <c r="G204" i="6" s="1"/>
  <c r="G216" i="6" s="1"/>
  <c r="I145" i="6"/>
  <c r="I157" i="6" s="1"/>
  <c r="I169" i="6" s="1"/>
  <c r="I181" i="6" s="1"/>
  <c r="I193" i="6" s="1"/>
  <c r="I205" i="6" s="1"/>
  <c r="I217" i="6" s="1"/>
  <c r="I153" i="6"/>
  <c r="I165" i="6" s="1"/>
  <c r="I177" i="6" s="1"/>
  <c r="I189" i="6" s="1"/>
  <c r="I201" i="6" s="1"/>
  <c r="I213" i="6" s="1"/>
  <c r="E151" i="6"/>
  <c r="E163" i="6" s="1"/>
  <c r="E175" i="6" s="1"/>
  <c r="E187" i="6" s="1"/>
  <c r="E199" i="6" s="1"/>
  <c r="E211" i="6" s="1"/>
  <c r="F109" i="33"/>
  <c r="L109" i="33" s="1"/>
  <c r="F109" i="22"/>
  <c r="L109" i="22" s="1"/>
  <c r="O109" i="22" s="1"/>
  <c r="E109" i="21"/>
  <c r="I109" i="21" s="1"/>
  <c r="K109" i="21" s="1"/>
  <c r="H101" i="35"/>
  <c r="P101" i="35" s="1"/>
  <c r="H101" i="24"/>
  <c r="P101" i="24" s="1"/>
  <c r="H99" i="30"/>
  <c r="O99" i="30" s="1"/>
  <c r="H99" i="18"/>
  <c r="O99" i="18" s="1"/>
  <c r="Q94" i="20"/>
  <c r="Q94" i="31"/>
  <c r="S94" i="31" s="1"/>
  <c r="F93" i="33"/>
  <c r="L93" i="33" s="1"/>
  <c r="O93" i="33" s="1"/>
  <c r="E93" i="32"/>
  <c r="I93" i="32" s="1"/>
  <c r="K93" i="32" s="1"/>
  <c r="F93" i="22"/>
  <c r="L93" i="22" s="1"/>
  <c r="O93" i="22" s="1"/>
  <c r="E93" i="21"/>
  <c r="I93" i="21" s="1"/>
  <c r="K93" i="21" s="1"/>
  <c r="H85" i="35"/>
  <c r="P85" i="35" s="1"/>
  <c r="H85" i="24"/>
  <c r="P85" i="24" s="1"/>
  <c r="H83" i="30"/>
  <c r="O83" i="30" s="1"/>
  <c r="H83" i="18"/>
  <c r="O83" i="18" s="1"/>
  <c r="Q78" i="31"/>
  <c r="Q78" i="20"/>
  <c r="F77" i="33"/>
  <c r="L77" i="33" s="1"/>
  <c r="O77" i="33" s="1"/>
  <c r="F77" i="22"/>
  <c r="L77" i="22" s="1"/>
  <c r="O77" i="22" s="1"/>
  <c r="E77" i="32"/>
  <c r="I77" i="32" s="1"/>
  <c r="K77" i="32" s="1"/>
  <c r="E77" i="21"/>
  <c r="I77" i="21" s="1"/>
  <c r="K77" i="21" s="1"/>
  <c r="H69" i="35"/>
  <c r="P69" i="35" s="1"/>
  <c r="H69" i="24"/>
  <c r="P69" i="24" s="1"/>
  <c r="H67" i="30"/>
  <c r="O67" i="30" s="1"/>
  <c r="H67" i="18"/>
  <c r="O67" i="18" s="1"/>
  <c r="Q62" i="31"/>
  <c r="Q62" i="20"/>
  <c r="F61" i="33"/>
  <c r="L61" i="33" s="1"/>
  <c r="O61" i="33" s="1"/>
  <c r="E61" i="32"/>
  <c r="I61" i="32" s="1"/>
  <c r="K61" i="32" s="1"/>
  <c r="F61" i="22"/>
  <c r="L61" i="22" s="1"/>
  <c r="O61" i="22" s="1"/>
  <c r="E61" i="21"/>
  <c r="I61" i="21" s="1"/>
  <c r="K61" i="21" s="1"/>
  <c r="H53" i="35"/>
  <c r="P53" i="35" s="1"/>
  <c r="H53" i="24"/>
  <c r="P53" i="24" s="1"/>
  <c r="H51" i="30"/>
  <c r="O51" i="30" s="1"/>
  <c r="H51" i="18"/>
  <c r="O51" i="18" s="1"/>
  <c r="Q46" i="31"/>
  <c r="S46" i="31" s="1"/>
  <c r="Q46" i="20"/>
  <c r="F45" i="33"/>
  <c r="L45" i="33" s="1"/>
  <c r="O45" i="33" s="1"/>
  <c r="E45" i="32"/>
  <c r="I45" i="32" s="1"/>
  <c r="K45" i="32" s="1"/>
  <c r="F45" i="22"/>
  <c r="L45" i="22" s="1"/>
  <c r="O45" i="22" s="1"/>
  <c r="E45" i="21"/>
  <c r="I45" i="21" s="1"/>
  <c r="K45" i="21" s="1"/>
  <c r="H37" i="35"/>
  <c r="P37" i="35" s="1"/>
  <c r="H37" i="24"/>
  <c r="P37" i="24" s="1"/>
  <c r="H35" i="30"/>
  <c r="O35" i="30" s="1"/>
  <c r="H35" i="18"/>
  <c r="O35" i="18" s="1"/>
  <c r="Q30" i="31"/>
  <c r="Q30" i="20"/>
  <c r="E29" i="32"/>
  <c r="I29" i="32" s="1"/>
  <c r="K29" i="32" s="1"/>
  <c r="F29" i="33"/>
  <c r="L29" i="33" s="1"/>
  <c r="O29" i="33" s="1"/>
  <c r="F29" i="22"/>
  <c r="L29" i="22" s="1"/>
  <c r="O29" i="22" s="1"/>
  <c r="E29" i="21"/>
  <c r="I29" i="21" s="1"/>
  <c r="K29" i="21" s="1"/>
  <c r="H21" i="35"/>
  <c r="P21" i="35" s="1"/>
  <c r="H21" i="24"/>
  <c r="P21" i="24" s="1"/>
  <c r="H19" i="30"/>
  <c r="O19" i="30" s="1"/>
  <c r="H19" i="18"/>
  <c r="O19" i="18" s="1"/>
  <c r="Q14" i="20"/>
  <c r="Q14" i="31"/>
  <c r="F13" i="33"/>
  <c r="L13" i="33" s="1"/>
  <c r="O13" i="33" s="1"/>
  <c r="Q13" i="33" s="1"/>
  <c r="E13" i="32"/>
  <c r="I13" i="32" s="1"/>
  <c r="K13" i="32" s="1"/>
  <c r="M13" i="32" s="1"/>
  <c r="F13" i="22"/>
  <c r="L13" i="22" s="1"/>
  <c r="O13" i="22" s="1"/>
  <c r="Q13" i="22" s="1"/>
  <c r="E13" i="21"/>
  <c r="I13" i="21" s="1"/>
  <c r="K13" i="21" s="1"/>
  <c r="M13" i="21" s="1"/>
  <c r="H5" i="35"/>
  <c r="P5" i="35" s="1"/>
  <c r="H5" i="24"/>
  <c r="P5" i="24" s="1"/>
  <c r="H3" i="30"/>
  <c r="O3" i="30" s="1"/>
  <c r="H3" i="18"/>
  <c r="O3" i="18" s="1"/>
  <c r="H145" i="6"/>
  <c r="H157" i="6" s="1"/>
  <c r="H169" i="6" s="1"/>
  <c r="H181" i="6" s="1"/>
  <c r="H193" i="6" s="1"/>
  <c r="H205" i="6" s="1"/>
  <c r="H217" i="6" s="1"/>
  <c r="H153" i="6"/>
  <c r="H165" i="6" s="1"/>
  <c r="H177" i="6" s="1"/>
  <c r="H189" i="6" s="1"/>
  <c r="H201" i="6" s="1"/>
  <c r="H213" i="6" s="1"/>
  <c r="H102" i="35"/>
  <c r="P102" i="35" s="1"/>
  <c r="H102" i="24"/>
  <c r="P102" i="24" s="1"/>
  <c r="H100" i="30"/>
  <c r="O100" i="30" s="1"/>
  <c r="H100" i="18"/>
  <c r="O100" i="18" s="1"/>
  <c r="Q95" i="31"/>
  <c r="S95" i="31" s="1"/>
  <c r="Q95" i="20"/>
  <c r="F94" i="33"/>
  <c r="L94" i="33" s="1"/>
  <c r="O94" i="33" s="1"/>
  <c r="E94" i="21"/>
  <c r="I94" i="21" s="1"/>
  <c r="K94" i="21" s="1"/>
  <c r="E94" i="32"/>
  <c r="I94" i="32" s="1"/>
  <c r="K94" i="32" s="1"/>
  <c r="F94" i="22"/>
  <c r="L94" i="22" s="1"/>
  <c r="O94" i="22" s="1"/>
  <c r="H86" i="35"/>
  <c r="P86" i="35" s="1"/>
  <c r="H86" i="24"/>
  <c r="P86" i="24" s="1"/>
  <c r="H84" i="30"/>
  <c r="O84" i="30" s="1"/>
  <c r="H84" i="18"/>
  <c r="O84" i="18" s="1"/>
  <c r="Q79" i="31"/>
  <c r="Q79" i="20"/>
  <c r="E78" i="32"/>
  <c r="I78" i="32" s="1"/>
  <c r="K78" i="32" s="1"/>
  <c r="F78" i="33"/>
  <c r="L78" i="33" s="1"/>
  <c r="O78" i="33" s="1"/>
  <c r="E78" i="21"/>
  <c r="I78" i="21" s="1"/>
  <c r="K78" i="21" s="1"/>
  <c r="F78" i="22"/>
  <c r="L78" i="22" s="1"/>
  <c r="O78" i="22" s="1"/>
  <c r="H70" i="35"/>
  <c r="P70" i="35" s="1"/>
  <c r="H70" i="24"/>
  <c r="P70" i="24" s="1"/>
  <c r="H68" i="30"/>
  <c r="O68" i="30" s="1"/>
  <c r="H68" i="18"/>
  <c r="O68" i="18" s="1"/>
  <c r="Q63" i="31"/>
  <c r="S63" i="31" s="1"/>
  <c r="Q63" i="20"/>
  <c r="F62" i="33"/>
  <c r="L62" i="33" s="1"/>
  <c r="O62" i="33" s="1"/>
  <c r="E62" i="32"/>
  <c r="I62" i="32" s="1"/>
  <c r="K62" i="32" s="1"/>
  <c r="E62" i="21"/>
  <c r="I62" i="21" s="1"/>
  <c r="K62" i="21" s="1"/>
  <c r="F62" i="22"/>
  <c r="L62" i="22" s="1"/>
  <c r="O62" i="22" s="1"/>
  <c r="H54" i="35"/>
  <c r="P54" i="35" s="1"/>
  <c r="H54" i="24"/>
  <c r="P54" i="24" s="1"/>
  <c r="H52" i="30"/>
  <c r="O52" i="30" s="1"/>
  <c r="H52" i="18"/>
  <c r="O52" i="18" s="1"/>
  <c r="Q47" i="20"/>
  <c r="S47" i="20" s="1"/>
  <c r="Q47" i="31"/>
  <c r="S47" i="31" s="1"/>
  <c r="F46" i="33"/>
  <c r="L46" i="33" s="1"/>
  <c r="O46" i="33" s="1"/>
  <c r="E46" i="32"/>
  <c r="I46" i="32" s="1"/>
  <c r="K46" i="32" s="1"/>
  <c r="E46" i="21"/>
  <c r="I46" i="21" s="1"/>
  <c r="K46" i="21" s="1"/>
  <c r="F46" i="22"/>
  <c r="L46" i="22" s="1"/>
  <c r="O46" i="22" s="1"/>
  <c r="H38" i="35"/>
  <c r="P38" i="35" s="1"/>
  <c r="S38" i="35" s="1"/>
  <c r="H38" i="24"/>
  <c r="P38" i="24" s="1"/>
  <c r="S38" i="24" s="1"/>
  <c r="H36" i="30"/>
  <c r="O36" i="30" s="1"/>
  <c r="H36" i="18"/>
  <c r="O36" i="18" s="1"/>
  <c r="Q31" i="31"/>
  <c r="Q31" i="20"/>
  <c r="E30" i="32"/>
  <c r="I30" i="32" s="1"/>
  <c r="K30" i="32" s="1"/>
  <c r="E30" i="21"/>
  <c r="I30" i="21" s="1"/>
  <c r="K30" i="21" s="1"/>
  <c r="F30" i="22"/>
  <c r="L30" i="22" s="1"/>
  <c r="O30" i="22" s="1"/>
  <c r="F30" i="33"/>
  <c r="L30" i="33" s="1"/>
  <c r="O30" i="33" s="1"/>
  <c r="H22" i="35"/>
  <c r="P22" i="35" s="1"/>
  <c r="H22" i="24"/>
  <c r="P22" i="24" s="1"/>
  <c r="H20" i="30"/>
  <c r="O20" i="30" s="1"/>
  <c r="H20" i="18"/>
  <c r="O20" i="18" s="1"/>
  <c r="Q15" i="31"/>
  <c r="Q15" i="20"/>
  <c r="F14" i="33"/>
  <c r="L14" i="33" s="1"/>
  <c r="O14" i="33" s="1"/>
  <c r="Q14" i="33" s="1"/>
  <c r="E14" i="32"/>
  <c r="I14" i="32" s="1"/>
  <c r="K14" i="32" s="1"/>
  <c r="M14" i="32" s="1"/>
  <c r="E14" i="21"/>
  <c r="I14" i="21" s="1"/>
  <c r="K14" i="21" s="1"/>
  <c r="M14" i="21" s="1"/>
  <c r="F14" i="22"/>
  <c r="L14" i="22" s="1"/>
  <c r="O14" i="22" s="1"/>
  <c r="Q14" i="22" s="1"/>
  <c r="H6" i="35"/>
  <c r="P6" i="35" s="1"/>
  <c r="H6" i="24"/>
  <c r="P6" i="24" s="1"/>
  <c r="H4" i="30"/>
  <c r="O4" i="30" s="1"/>
  <c r="H4" i="18"/>
  <c r="O4" i="18" s="1"/>
  <c r="E144" i="6"/>
  <c r="E156" i="6" s="1"/>
  <c r="E168" i="6" s="1"/>
  <c r="E180" i="6" s="1"/>
  <c r="E192" i="6" s="1"/>
  <c r="E204" i="6" s="1"/>
  <c r="E216" i="6" s="1"/>
  <c r="G145" i="6"/>
  <c r="G157" i="6" s="1"/>
  <c r="G169" i="6" s="1"/>
  <c r="G181" i="6" s="1"/>
  <c r="G193" i="6" s="1"/>
  <c r="G205" i="6" s="1"/>
  <c r="G217" i="6" s="1"/>
  <c r="G153" i="6"/>
  <c r="G165" i="6" s="1"/>
  <c r="G177" i="6" s="1"/>
  <c r="G189" i="6" s="1"/>
  <c r="G201" i="6" s="1"/>
  <c r="G213" i="6" s="1"/>
  <c r="I150" i="6"/>
  <c r="I162" i="6" s="1"/>
  <c r="I174" i="6" s="1"/>
  <c r="I186" i="6" s="1"/>
  <c r="I198" i="6" s="1"/>
  <c r="I210" i="6" s="1"/>
  <c r="H103" i="35"/>
  <c r="P103" i="35" s="1"/>
  <c r="H103" i="24"/>
  <c r="P103" i="24" s="1"/>
  <c r="H101" i="30"/>
  <c r="O101" i="30" s="1"/>
  <c r="H101" i="18"/>
  <c r="O101" i="18" s="1"/>
  <c r="Q96" i="31"/>
  <c r="S96" i="31" s="1"/>
  <c r="Q96" i="20"/>
  <c r="S96" i="20" s="1"/>
  <c r="E95" i="32"/>
  <c r="I95" i="32" s="1"/>
  <c r="K95" i="32" s="1"/>
  <c r="E95" i="21"/>
  <c r="I95" i="21" s="1"/>
  <c r="K95" i="21" s="1"/>
  <c r="F95" i="22"/>
  <c r="L95" i="22" s="1"/>
  <c r="O95" i="22" s="1"/>
  <c r="F95" i="33"/>
  <c r="L95" i="33" s="1"/>
  <c r="O95" i="33" s="1"/>
  <c r="H87" i="35"/>
  <c r="P87" i="35" s="1"/>
  <c r="S87" i="35" s="1"/>
  <c r="H87" i="24"/>
  <c r="P87" i="24" s="1"/>
  <c r="H85" i="30"/>
  <c r="O85" i="30" s="1"/>
  <c r="H85" i="18"/>
  <c r="O85" i="18" s="1"/>
  <c r="Q80" i="31"/>
  <c r="Q80" i="20"/>
  <c r="F79" i="33"/>
  <c r="L79" i="33" s="1"/>
  <c r="O79" i="33" s="1"/>
  <c r="E79" i="32"/>
  <c r="I79" i="32" s="1"/>
  <c r="K79" i="32" s="1"/>
  <c r="E79" i="21"/>
  <c r="I79" i="21" s="1"/>
  <c r="K79" i="21" s="1"/>
  <c r="F79" i="22"/>
  <c r="L79" i="22" s="1"/>
  <c r="O79" i="22" s="1"/>
  <c r="H71" i="35"/>
  <c r="P71" i="35" s="1"/>
  <c r="H71" i="24"/>
  <c r="P71" i="24" s="1"/>
  <c r="H69" i="30"/>
  <c r="O69" i="30" s="1"/>
  <c r="H69" i="18"/>
  <c r="O69" i="18" s="1"/>
  <c r="Q64" i="31"/>
  <c r="Q64" i="20"/>
  <c r="E63" i="32"/>
  <c r="I63" i="32" s="1"/>
  <c r="K63" i="32" s="1"/>
  <c r="F63" i="33"/>
  <c r="L63" i="33" s="1"/>
  <c r="O63" i="33" s="1"/>
  <c r="E63" i="21"/>
  <c r="I63" i="21" s="1"/>
  <c r="K63" i="21" s="1"/>
  <c r="F63" i="22"/>
  <c r="L63" i="22" s="1"/>
  <c r="O63" i="22" s="1"/>
  <c r="H55" i="35"/>
  <c r="P55" i="35" s="1"/>
  <c r="H55" i="24"/>
  <c r="P55" i="24" s="1"/>
  <c r="H53" i="30"/>
  <c r="O53" i="30" s="1"/>
  <c r="H53" i="18"/>
  <c r="O53" i="18" s="1"/>
  <c r="Q48" i="31"/>
  <c r="S48" i="31" s="1"/>
  <c r="Q48" i="20"/>
  <c r="F47" i="33"/>
  <c r="L47" i="33" s="1"/>
  <c r="O47" i="33" s="1"/>
  <c r="E47" i="32"/>
  <c r="I47" i="32" s="1"/>
  <c r="K47" i="32" s="1"/>
  <c r="E47" i="21"/>
  <c r="I47" i="21" s="1"/>
  <c r="K47" i="21" s="1"/>
  <c r="F47" i="22"/>
  <c r="L47" i="22" s="1"/>
  <c r="O47" i="22" s="1"/>
  <c r="H39" i="35"/>
  <c r="P39" i="35" s="1"/>
  <c r="S39" i="35" s="1"/>
  <c r="H39" i="24"/>
  <c r="P39" i="24" s="1"/>
  <c r="S39" i="24" s="1"/>
  <c r="H37" i="30"/>
  <c r="O37" i="30" s="1"/>
  <c r="H37" i="18"/>
  <c r="O37" i="18" s="1"/>
  <c r="Q32" i="31"/>
  <c r="Q32" i="20"/>
  <c r="F31" i="33"/>
  <c r="L31" i="33" s="1"/>
  <c r="O31" i="33" s="1"/>
  <c r="E31" i="32"/>
  <c r="I31" i="32" s="1"/>
  <c r="K31" i="32" s="1"/>
  <c r="E31" i="21"/>
  <c r="I31" i="21" s="1"/>
  <c r="K31" i="21" s="1"/>
  <c r="F31" i="22"/>
  <c r="L31" i="22" s="1"/>
  <c r="O31" i="22" s="1"/>
  <c r="H23" i="35"/>
  <c r="P23" i="35" s="1"/>
  <c r="H23" i="24"/>
  <c r="P23" i="24" s="1"/>
  <c r="H21" i="30"/>
  <c r="O21" i="30" s="1"/>
  <c r="H21" i="18"/>
  <c r="O21" i="18" s="1"/>
  <c r="Q16" i="31"/>
  <c r="Q16" i="20"/>
  <c r="E15" i="32"/>
  <c r="I15" i="32" s="1"/>
  <c r="K15" i="32" s="1"/>
  <c r="M15" i="32" s="1"/>
  <c r="F15" i="33"/>
  <c r="L15" i="33" s="1"/>
  <c r="O15" i="33" s="1"/>
  <c r="Q15" i="33" s="1"/>
  <c r="E15" i="21"/>
  <c r="I15" i="21" s="1"/>
  <c r="K15" i="21" s="1"/>
  <c r="M15" i="21" s="1"/>
  <c r="F15" i="22"/>
  <c r="L15" i="22" s="1"/>
  <c r="O15" i="22" s="1"/>
  <c r="Q15" i="22" s="1"/>
  <c r="H7" i="35"/>
  <c r="P7" i="35" s="1"/>
  <c r="H7" i="24"/>
  <c r="P7" i="24" s="1"/>
  <c r="H5" i="30"/>
  <c r="O5" i="30" s="1"/>
  <c r="H5" i="18"/>
  <c r="O5" i="18" s="1"/>
  <c r="H150" i="6"/>
  <c r="H162" i="6" s="1"/>
  <c r="H174" i="6" s="1"/>
  <c r="H186" i="6" s="1"/>
  <c r="H198" i="6" s="1"/>
  <c r="H210" i="6" s="1"/>
  <c r="P149" i="6"/>
  <c r="P161" i="6" s="1"/>
  <c r="P173" i="6" s="1"/>
  <c r="P185" i="6" s="1"/>
  <c r="P197" i="6" s="1"/>
  <c r="P209" i="6" s="1"/>
  <c r="H104" i="35"/>
  <c r="P104" i="35" s="1"/>
  <c r="H104" i="24"/>
  <c r="P104" i="24" s="1"/>
  <c r="H102" i="30"/>
  <c r="O102" i="30" s="1"/>
  <c r="H102" i="18"/>
  <c r="O102" i="18" s="1"/>
  <c r="Q97" i="31"/>
  <c r="Q97" i="20"/>
  <c r="F96" i="33"/>
  <c r="L96" i="33" s="1"/>
  <c r="O96" i="33" s="1"/>
  <c r="E96" i="32"/>
  <c r="I96" i="32" s="1"/>
  <c r="K96" i="32" s="1"/>
  <c r="E96" i="21"/>
  <c r="I96" i="21" s="1"/>
  <c r="K96" i="21" s="1"/>
  <c r="F96" i="22"/>
  <c r="L96" i="22" s="1"/>
  <c r="O96" i="22" s="1"/>
  <c r="H88" i="35"/>
  <c r="P88" i="35" s="1"/>
  <c r="S88" i="35" s="1"/>
  <c r="H88" i="24"/>
  <c r="P88" i="24" s="1"/>
  <c r="H86" i="30"/>
  <c r="O86" i="30" s="1"/>
  <c r="H86" i="18"/>
  <c r="O86" i="18" s="1"/>
  <c r="Q81" i="31"/>
  <c r="Q81" i="20"/>
  <c r="E80" i="32"/>
  <c r="I80" i="32" s="1"/>
  <c r="K80" i="32" s="1"/>
  <c r="F80" i="33"/>
  <c r="L80" i="33" s="1"/>
  <c r="O80" i="33" s="1"/>
  <c r="E80" i="21"/>
  <c r="I80" i="21" s="1"/>
  <c r="K80" i="21" s="1"/>
  <c r="F80" i="22"/>
  <c r="L80" i="22" s="1"/>
  <c r="O80" i="22" s="1"/>
  <c r="H72" i="35"/>
  <c r="P72" i="35" s="1"/>
  <c r="H72" i="24"/>
  <c r="P72" i="24" s="1"/>
  <c r="H70" i="30"/>
  <c r="O70" i="30" s="1"/>
  <c r="H70" i="18"/>
  <c r="O70" i="18" s="1"/>
  <c r="Q65" i="31"/>
  <c r="Q65" i="20"/>
  <c r="F64" i="33"/>
  <c r="L64" i="33" s="1"/>
  <c r="O64" i="33" s="1"/>
  <c r="E64" i="32"/>
  <c r="I64" i="32" s="1"/>
  <c r="K64" i="32" s="1"/>
  <c r="E64" i="21"/>
  <c r="I64" i="21" s="1"/>
  <c r="K64" i="21" s="1"/>
  <c r="F64" i="22"/>
  <c r="L64" i="22" s="1"/>
  <c r="O64" i="22" s="1"/>
  <c r="H56" i="35"/>
  <c r="P56" i="35" s="1"/>
  <c r="H56" i="24"/>
  <c r="P56" i="24" s="1"/>
  <c r="H54" i="30"/>
  <c r="O54" i="30" s="1"/>
  <c r="H54" i="18"/>
  <c r="O54" i="18" s="1"/>
  <c r="Q49" i="20"/>
  <c r="Q49" i="31"/>
  <c r="S49" i="31" s="1"/>
  <c r="E48" i="32"/>
  <c r="I48" i="32" s="1"/>
  <c r="K48" i="32" s="1"/>
  <c r="F48" i="33"/>
  <c r="L48" i="33" s="1"/>
  <c r="O48" i="33" s="1"/>
  <c r="E48" i="21"/>
  <c r="I48" i="21" s="1"/>
  <c r="K48" i="21" s="1"/>
  <c r="F48" i="22"/>
  <c r="L48" i="22" s="1"/>
  <c r="O48" i="22" s="1"/>
  <c r="H40" i="35"/>
  <c r="P40" i="35" s="1"/>
  <c r="S40" i="35" s="1"/>
  <c r="H40" i="24"/>
  <c r="P40" i="24" s="1"/>
  <c r="H38" i="30"/>
  <c r="O38" i="30" s="1"/>
  <c r="Q38" i="30" s="1"/>
  <c r="H38" i="18"/>
  <c r="O38" i="18" s="1"/>
  <c r="Q38" i="18" s="1"/>
  <c r="Q33" i="31"/>
  <c r="Q33" i="20"/>
  <c r="E32" i="32"/>
  <c r="I32" i="32" s="1"/>
  <c r="K32" i="32" s="1"/>
  <c r="F32" i="33"/>
  <c r="L32" i="33" s="1"/>
  <c r="O32" i="33" s="1"/>
  <c r="E32" i="21"/>
  <c r="I32" i="21" s="1"/>
  <c r="K32" i="21" s="1"/>
  <c r="F32" i="22"/>
  <c r="L32" i="22" s="1"/>
  <c r="O32" i="22" s="1"/>
  <c r="H24" i="35"/>
  <c r="P24" i="35" s="1"/>
  <c r="H24" i="24"/>
  <c r="P24" i="24" s="1"/>
  <c r="H22" i="30"/>
  <c r="O22" i="30" s="1"/>
  <c r="H22" i="18"/>
  <c r="O22" i="18" s="1"/>
  <c r="Q17" i="31"/>
  <c r="Q17" i="20"/>
  <c r="E16" i="32"/>
  <c r="I16" i="32" s="1"/>
  <c r="K16" i="32" s="1"/>
  <c r="M16" i="32" s="1"/>
  <c r="E16" i="21"/>
  <c r="I16" i="21" s="1"/>
  <c r="K16" i="21" s="1"/>
  <c r="M16" i="21" s="1"/>
  <c r="F16" i="22"/>
  <c r="L16" i="22" s="1"/>
  <c r="O16" i="22" s="1"/>
  <c r="Q16" i="22" s="1"/>
  <c r="F16" i="33"/>
  <c r="L16" i="33" s="1"/>
  <c r="O16" i="33" s="1"/>
  <c r="Q16" i="33" s="1"/>
  <c r="H8" i="35"/>
  <c r="P8" i="35" s="1"/>
  <c r="H8" i="24"/>
  <c r="P8" i="24" s="1"/>
  <c r="H6" i="30"/>
  <c r="O6" i="30" s="1"/>
  <c r="H6" i="18"/>
  <c r="O6" i="18" s="1"/>
  <c r="I143" i="6"/>
  <c r="I155" i="6" s="1"/>
  <c r="I167" i="6" s="1"/>
  <c r="I179" i="6" s="1"/>
  <c r="I191" i="6" s="1"/>
  <c r="I203" i="6" s="1"/>
  <c r="I215" i="6" s="1"/>
  <c r="E153" i="6"/>
  <c r="E165" i="6" s="1"/>
  <c r="E177" i="6" s="1"/>
  <c r="E189" i="6" s="1"/>
  <c r="E201" i="6" s="1"/>
  <c r="E213" i="6" s="1"/>
  <c r="G150" i="6"/>
  <c r="G162" i="6" s="1"/>
  <c r="G174" i="6" s="1"/>
  <c r="G186" i="6" s="1"/>
  <c r="G198" i="6" s="1"/>
  <c r="G210" i="6" s="1"/>
  <c r="H105" i="35"/>
  <c r="P105" i="35" s="1"/>
  <c r="H105" i="24"/>
  <c r="P105" i="24" s="1"/>
  <c r="H103" i="30"/>
  <c r="O103" i="30" s="1"/>
  <c r="H103" i="18"/>
  <c r="O103" i="18" s="1"/>
  <c r="Q98" i="31"/>
  <c r="Q98" i="20"/>
  <c r="E97" i="32"/>
  <c r="I97" i="32" s="1"/>
  <c r="F97" i="33"/>
  <c r="L97" i="33" s="1"/>
  <c r="E97" i="21"/>
  <c r="I97" i="21" s="1"/>
  <c r="K97" i="21" s="1"/>
  <c r="F97" i="22"/>
  <c r="L97" i="22" s="1"/>
  <c r="O97" i="22" s="1"/>
  <c r="H89" i="35"/>
  <c r="P89" i="35" s="1"/>
  <c r="S89" i="35" s="1"/>
  <c r="H89" i="24"/>
  <c r="P89" i="24" s="1"/>
  <c r="H87" i="30"/>
  <c r="O87" i="30" s="1"/>
  <c r="Q87" i="30" s="1"/>
  <c r="H87" i="18"/>
  <c r="O87" i="18" s="1"/>
  <c r="Q82" i="31"/>
  <c r="Q82" i="20"/>
  <c r="F81" i="33"/>
  <c r="L81" i="33" s="1"/>
  <c r="O81" i="33" s="1"/>
  <c r="E81" i="32"/>
  <c r="I81" i="32" s="1"/>
  <c r="K81" i="32" s="1"/>
  <c r="E81" i="21"/>
  <c r="I81" i="21" s="1"/>
  <c r="K81" i="21" s="1"/>
  <c r="F81" i="22"/>
  <c r="L81" i="22" s="1"/>
  <c r="O81" i="22" s="1"/>
  <c r="H73" i="35"/>
  <c r="P73" i="35" s="1"/>
  <c r="H73" i="24"/>
  <c r="P73" i="24" s="1"/>
  <c r="H71" i="30"/>
  <c r="O71" i="30" s="1"/>
  <c r="H71" i="18"/>
  <c r="O71" i="18" s="1"/>
  <c r="Q66" i="31"/>
  <c r="Q66" i="20"/>
  <c r="E65" i="32"/>
  <c r="I65" i="32" s="1"/>
  <c r="K65" i="32" s="1"/>
  <c r="F65" i="33"/>
  <c r="L65" i="33" s="1"/>
  <c r="O65" i="33" s="1"/>
  <c r="E65" i="21"/>
  <c r="I65" i="21" s="1"/>
  <c r="K65" i="21" s="1"/>
  <c r="F65" i="22"/>
  <c r="L65" i="22" s="1"/>
  <c r="O65" i="22" s="1"/>
  <c r="H57" i="35"/>
  <c r="P57" i="35" s="1"/>
  <c r="H57" i="24"/>
  <c r="P57" i="24" s="1"/>
  <c r="H55" i="30"/>
  <c r="O55" i="30" s="1"/>
  <c r="H55" i="18"/>
  <c r="O55" i="18" s="1"/>
  <c r="Q50" i="31"/>
  <c r="Q50" i="20"/>
  <c r="E49" i="32"/>
  <c r="I49" i="32" s="1"/>
  <c r="K49" i="32" s="1"/>
  <c r="F49" i="33"/>
  <c r="L49" i="33" s="1"/>
  <c r="O49" i="33" s="1"/>
  <c r="E49" i="21"/>
  <c r="I49" i="21" s="1"/>
  <c r="K49" i="21" s="1"/>
  <c r="F49" i="22"/>
  <c r="L49" i="22" s="1"/>
  <c r="O49" i="22" s="1"/>
  <c r="H41" i="35"/>
  <c r="P41" i="35" s="1"/>
  <c r="S41" i="35" s="1"/>
  <c r="H41" i="24"/>
  <c r="P41" i="24" s="1"/>
  <c r="H39" i="30"/>
  <c r="O39" i="30" s="1"/>
  <c r="Q39" i="30" s="1"/>
  <c r="H39" i="18"/>
  <c r="O39" i="18" s="1"/>
  <c r="Q34" i="31"/>
  <c r="Q34" i="20"/>
  <c r="E33" i="32"/>
  <c r="I33" i="32" s="1"/>
  <c r="K33" i="32" s="1"/>
  <c r="F33" i="33"/>
  <c r="L33" i="33" s="1"/>
  <c r="O33" i="33" s="1"/>
  <c r="E33" i="21"/>
  <c r="I33" i="21" s="1"/>
  <c r="K33" i="21" s="1"/>
  <c r="F33" i="22"/>
  <c r="L33" i="22" s="1"/>
  <c r="O33" i="22" s="1"/>
  <c r="H25" i="35"/>
  <c r="P25" i="35" s="1"/>
  <c r="H25" i="24"/>
  <c r="P25" i="24" s="1"/>
  <c r="H23" i="30"/>
  <c r="O23" i="30" s="1"/>
  <c r="H23" i="18"/>
  <c r="O23" i="18" s="1"/>
  <c r="Q18" i="31"/>
  <c r="Q18" i="20"/>
  <c r="F17" i="33"/>
  <c r="L17" i="33" s="1"/>
  <c r="O17" i="33" s="1"/>
  <c r="Q17" i="33" s="1"/>
  <c r="E17" i="32"/>
  <c r="I17" i="32" s="1"/>
  <c r="K17" i="32" s="1"/>
  <c r="M17" i="32" s="1"/>
  <c r="E17" i="21"/>
  <c r="I17" i="21" s="1"/>
  <c r="K17" i="21" s="1"/>
  <c r="M17" i="21" s="1"/>
  <c r="F17" i="22"/>
  <c r="L17" i="22" s="1"/>
  <c r="O17" i="22" s="1"/>
  <c r="Q17" i="22" s="1"/>
  <c r="H9" i="35"/>
  <c r="P9" i="35" s="1"/>
  <c r="H9" i="24"/>
  <c r="P9" i="24" s="1"/>
  <c r="H7" i="30"/>
  <c r="O7" i="30" s="1"/>
  <c r="H7" i="18"/>
  <c r="O7" i="18" s="1"/>
  <c r="Q2" i="31"/>
  <c r="Q2" i="20"/>
  <c r="H143" i="6"/>
  <c r="H155" i="6" s="1"/>
  <c r="H167" i="6" s="1"/>
  <c r="H179" i="6" s="1"/>
  <c r="H191" i="6" s="1"/>
  <c r="H203" i="6" s="1"/>
  <c r="H215" i="6" s="1"/>
  <c r="H106" i="35"/>
  <c r="P106" i="35" s="1"/>
  <c r="H106" i="24"/>
  <c r="P106" i="24" s="1"/>
  <c r="H104" i="30"/>
  <c r="O104" i="30" s="1"/>
  <c r="H104" i="18"/>
  <c r="O104" i="18" s="1"/>
  <c r="Q99" i="31"/>
  <c r="Q99" i="20"/>
  <c r="E98" i="32"/>
  <c r="I98" i="32" s="1"/>
  <c r="F98" i="33"/>
  <c r="L98" i="33" s="1"/>
  <c r="F98" i="22"/>
  <c r="L98" i="22" s="1"/>
  <c r="O98" i="22" s="1"/>
  <c r="E98" i="21"/>
  <c r="I98" i="21" s="1"/>
  <c r="K98" i="21" s="1"/>
  <c r="H90" i="35"/>
  <c r="P90" i="35" s="1"/>
  <c r="S90" i="35" s="1"/>
  <c r="H90" i="24"/>
  <c r="P90" i="24" s="1"/>
  <c r="S90" i="24" s="1"/>
  <c r="H88" i="30"/>
  <c r="O88" i="30" s="1"/>
  <c r="Q88" i="30" s="1"/>
  <c r="H88" i="18"/>
  <c r="O88" i="18" s="1"/>
  <c r="Q83" i="31"/>
  <c r="Q83" i="20"/>
  <c r="F82" i="33"/>
  <c r="L82" i="33" s="1"/>
  <c r="O82" i="33" s="1"/>
  <c r="E82" i="32"/>
  <c r="I82" i="32" s="1"/>
  <c r="K82" i="32" s="1"/>
  <c r="F82" i="22"/>
  <c r="L82" i="22" s="1"/>
  <c r="O82" i="22" s="1"/>
  <c r="E82" i="21"/>
  <c r="I82" i="21" s="1"/>
  <c r="K82" i="21" s="1"/>
  <c r="H74" i="35"/>
  <c r="P74" i="35" s="1"/>
  <c r="H74" i="24"/>
  <c r="P74" i="24" s="1"/>
  <c r="H72" i="30"/>
  <c r="O72" i="30" s="1"/>
  <c r="H72" i="18"/>
  <c r="O72" i="18" s="1"/>
  <c r="Q67" i="31"/>
  <c r="Q67" i="20"/>
  <c r="E66" i="32"/>
  <c r="I66" i="32" s="1"/>
  <c r="K66" i="32" s="1"/>
  <c r="F66" i="33"/>
  <c r="L66" i="33" s="1"/>
  <c r="O66" i="33" s="1"/>
  <c r="F66" i="22"/>
  <c r="L66" i="22" s="1"/>
  <c r="O66" i="22" s="1"/>
  <c r="E66" i="21"/>
  <c r="I66" i="21" s="1"/>
  <c r="K66" i="21" s="1"/>
  <c r="H58" i="35"/>
  <c r="P58" i="35" s="1"/>
  <c r="H58" i="24"/>
  <c r="P58" i="24" s="1"/>
  <c r="H56" i="30"/>
  <c r="O56" i="30" s="1"/>
  <c r="H56" i="18"/>
  <c r="O56" i="18" s="1"/>
  <c r="Q51" i="31"/>
  <c r="Q51" i="20"/>
  <c r="E50" i="32"/>
  <c r="I50" i="32" s="1"/>
  <c r="K50" i="32" s="1"/>
  <c r="F50" i="33"/>
  <c r="L50" i="33" s="1"/>
  <c r="O50" i="33" s="1"/>
  <c r="F50" i="22"/>
  <c r="L50" i="22" s="1"/>
  <c r="O50" i="22" s="1"/>
  <c r="E50" i="21"/>
  <c r="I50" i="21" s="1"/>
  <c r="K50" i="21" s="1"/>
  <c r="H42" i="35"/>
  <c r="P42" i="35" s="1"/>
  <c r="S42" i="35" s="1"/>
  <c r="H42" i="24"/>
  <c r="P42" i="24" s="1"/>
  <c r="S42" i="24" s="1"/>
  <c r="H40" i="30"/>
  <c r="O40" i="30" s="1"/>
  <c r="Q40" i="30" s="1"/>
  <c r="H40" i="18"/>
  <c r="O40" i="18" s="1"/>
  <c r="Q35" i="31"/>
  <c r="Q35" i="20"/>
  <c r="E34" i="32"/>
  <c r="I34" i="32" s="1"/>
  <c r="K34" i="32" s="1"/>
  <c r="F34" i="33"/>
  <c r="L34" i="33" s="1"/>
  <c r="O34" i="33" s="1"/>
  <c r="F34" i="22"/>
  <c r="L34" i="22" s="1"/>
  <c r="O34" i="22" s="1"/>
  <c r="E34" i="21"/>
  <c r="I34" i="21" s="1"/>
  <c r="K34" i="21" s="1"/>
  <c r="H26" i="35"/>
  <c r="P26" i="35" s="1"/>
  <c r="H26" i="24"/>
  <c r="P26" i="24" s="1"/>
  <c r="H24" i="30"/>
  <c r="O24" i="30" s="1"/>
  <c r="H24" i="18"/>
  <c r="O24" i="18" s="1"/>
  <c r="Q19" i="31"/>
  <c r="Q19" i="20"/>
  <c r="F18" i="33"/>
  <c r="L18" i="33" s="1"/>
  <c r="O18" i="33" s="1"/>
  <c r="Q18" i="33" s="1"/>
  <c r="E18" i="32"/>
  <c r="I18" i="32" s="1"/>
  <c r="K18" i="32" s="1"/>
  <c r="M18" i="32" s="1"/>
  <c r="F18" i="22"/>
  <c r="L18" i="22" s="1"/>
  <c r="O18" i="22" s="1"/>
  <c r="Q18" i="22" s="1"/>
  <c r="E18" i="21"/>
  <c r="I18" i="21" s="1"/>
  <c r="K18" i="21" s="1"/>
  <c r="M18" i="21" s="1"/>
  <c r="H10" i="35"/>
  <c r="P10" i="35" s="1"/>
  <c r="H10" i="24"/>
  <c r="P10" i="24" s="1"/>
  <c r="H8" i="30"/>
  <c r="O8" i="30" s="1"/>
  <c r="H8" i="18"/>
  <c r="O8" i="18" s="1"/>
  <c r="Q3" i="31"/>
  <c r="Q3" i="20"/>
  <c r="E2" i="32"/>
  <c r="I2" i="32" s="1"/>
  <c r="K2" i="32" s="1"/>
  <c r="M2" i="32" s="1"/>
  <c r="F2" i="33"/>
  <c r="L2" i="33" s="1"/>
  <c r="O2" i="33" s="1"/>
  <c r="Q2" i="33" s="1"/>
  <c r="F2" i="22"/>
  <c r="L2" i="22" s="1"/>
  <c r="O2" i="22" s="1"/>
  <c r="Q2" i="22" s="1"/>
  <c r="E2" i="21"/>
  <c r="I2" i="21" s="1"/>
  <c r="K2" i="21" s="1"/>
  <c r="M2" i="21" s="1"/>
  <c r="H122" i="30"/>
  <c r="O122" i="30" s="1"/>
  <c r="G143" i="6"/>
  <c r="G155" i="6" s="1"/>
  <c r="G167" i="6" s="1"/>
  <c r="G179" i="6" s="1"/>
  <c r="G191" i="6" s="1"/>
  <c r="G203" i="6" s="1"/>
  <c r="G215" i="6" s="1"/>
  <c r="I152" i="6"/>
  <c r="I164" i="6" s="1"/>
  <c r="I176" i="6" s="1"/>
  <c r="I188" i="6" s="1"/>
  <c r="I200" i="6" s="1"/>
  <c r="I212" i="6" s="1"/>
  <c r="E150" i="6"/>
  <c r="E162" i="6" s="1"/>
  <c r="E174" i="6" s="1"/>
  <c r="E186" i="6" s="1"/>
  <c r="E198" i="6" s="1"/>
  <c r="E210" i="6" s="1"/>
  <c r="H107" i="35"/>
  <c r="P107" i="35" s="1"/>
  <c r="H107" i="24"/>
  <c r="P107" i="24" s="1"/>
  <c r="H105" i="30"/>
  <c r="O105" i="30" s="1"/>
  <c r="H105" i="18"/>
  <c r="O105" i="18" s="1"/>
  <c r="Q100" i="31"/>
  <c r="Q100" i="20"/>
  <c r="F99" i="33"/>
  <c r="L99" i="33" s="1"/>
  <c r="E99" i="32"/>
  <c r="I99" i="32" s="1"/>
  <c r="F99" i="22"/>
  <c r="L99" i="22" s="1"/>
  <c r="O99" i="22" s="1"/>
  <c r="E99" i="21"/>
  <c r="I99" i="21" s="1"/>
  <c r="K99" i="21" s="1"/>
  <c r="H91" i="35"/>
  <c r="P91" i="35" s="1"/>
  <c r="S91" i="35" s="1"/>
  <c r="H91" i="24"/>
  <c r="P91" i="24" s="1"/>
  <c r="S91" i="24" s="1"/>
  <c r="H89" i="30"/>
  <c r="O89" i="30" s="1"/>
  <c r="Q89" i="30" s="1"/>
  <c r="H89" i="18"/>
  <c r="O89" i="18" s="1"/>
  <c r="Q89" i="18" s="1"/>
  <c r="Q84" i="31"/>
  <c r="Q84" i="20"/>
  <c r="F83" i="33"/>
  <c r="L83" i="33" s="1"/>
  <c r="O83" i="33" s="1"/>
  <c r="E83" i="32"/>
  <c r="I83" i="32" s="1"/>
  <c r="K83" i="32" s="1"/>
  <c r="F83" i="22"/>
  <c r="L83" i="22" s="1"/>
  <c r="O83" i="22" s="1"/>
  <c r="E83" i="21"/>
  <c r="I83" i="21" s="1"/>
  <c r="K83" i="21" s="1"/>
  <c r="H75" i="35"/>
  <c r="P75" i="35" s="1"/>
  <c r="H75" i="24"/>
  <c r="P75" i="24" s="1"/>
  <c r="H73" i="30"/>
  <c r="O73" i="30" s="1"/>
  <c r="H73" i="18"/>
  <c r="O73" i="18" s="1"/>
  <c r="Q68" i="20"/>
  <c r="Q68" i="31"/>
  <c r="F67" i="33"/>
  <c r="L67" i="33" s="1"/>
  <c r="O67" i="33" s="1"/>
  <c r="E67" i="32"/>
  <c r="I67" i="32" s="1"/>
  <c r="K67" i="32" s="1"/>
  <c r="F67" i="22"/>
  <c r="L67" i="22" s="1"/>
  <c r="O67" i="22" s="1"/>
  <c r="E67" i="21"/>
  <c r="I67" i="21" s="1"/>
  <c r="K67" i="21" s="1"/>
  <c r="H59" i="35"/>
  <c r="P59" i="35" s="1"/>
  <c r="H59" i="24"/>
  <c r="P59" i="24" s="1"/>
  <c r="H57" i="30"/>
  <c r="O57" i="30" s="1"/>
  <c r="H57" i="18"/>
  <c r="O57" i="18" s="1"/>
  <c r="Q52" i="31"/>
  <c r="Q52" i="20"/>
  <c r="F51" i="33"/>
  <c r="L51" i="33" s="1"/>
  <c r="O51" i="33" s="1"/>
  <c r="E51" i="32"/>
  <c r="I51" i="32" s="1"/>
  <c r="K51" i="32" s="1"/>
  <c r="F51" i="22"/>
  <c r="L51" i="22" s="1"/>
  <c r="O51" i="22" s="1"/>
  <c r="E51" i="21"/>
  <c r="I51" i="21" s="1"/>
  <c r="K51" i="21" s="1"/>
  <c r="H43" i="35"/>
  <c r="P43" i="35" s="1"/>
  <c r="S43" i="35" s="1"/>
  <c r="H43" i="24"/>
  <c r="P43" i="24" s="1"/>
  <c r="H41" i="30"/>
  <c r="O41" i="30" s="1"/>
  <c r="Q41" i="30" s="1"/>
  <c r="H41" i="18"/>
  <c r="O41" i="18" s="1"/>
  <c r="Q36" i="20"/>
  <c r="Q36" i="31"/>
  <c r="F35" i="33"/>
  <c r="L35" i="33" s="1"/>
  <c r="O35" i="33" s="1"/>
  <c r="E35" i="32"/>
  <c r="I35" i="32" s="1"/>
  <c r="K35" i="32" s="1"/>
  <c r="F35" i="22"/>
  <c r="L35" i="22" s="1"/>
  <c r="O35" i="22" s="1"/>
  <c r="E35" i="21"/>
  <c r="I35" i="21" s="1"/>
  <c r="K35" i="21" s="1"/>
  <c r="H27" i="35"/>
  <c r="P27" i="35" s="1"/>
  <c r="H27" i="24"/>
  <c r="P27" i="24" s="1"/>
  <c r="H25" i="30"/>
  <c r="O25" i="30" s="1"/>
  <c r="H25" i="18"/>
  <c r="O25" i="18" s="1"/>
  <c r="Q20" i="31"/>
  <c r="Q20" i="20"/>
  <c r="F19" i="33"/>
  <c r="L19" i="33" s="1"/>
  <c r="O19" i="33" s="1"/>
  <c r="Q19" i="33" s="1"/>
  <c r="E19" i="32"/>
  <c r="I19" i="32" s="1"/>
  <c r="K19" i="32" s="1"/>
  <c r="M19" i="32" s="1"/>
  <c r="F19" i="22"/>
  <c r="L19" i="22" s="1"/>
  <c r="O19" i="22" s="1"/>
  <c r="Q19" i="22" s="1"/>
  <c r="E19" i="21"/>
  <c r="I19" i="21" s="1"/>
  <c r="K19" i="21" s="1"/>
  <c r="M19" i="21" s="1"/>
  <c r="H11" i="35"/>
  <c r="P11" i="35" s="1"/>
  <c r="H11" i="24"/>
  <c r="P11" i="24" s="1"/>
  <c r="H9" i="30"/>
  <c r="O9" i="30" s="1"/>
  <c r="H9" i="18"/>
  <c r="O9" i="18" s="1"/>
  <c r="Q4" i="20"/>
  <c r="Q4" i="31"/>
  <c r="E3" i="32"/>
  <c r="I3" i="32" s="1"/>
  <c r="K3" i="32" s="1"/>
  <c r="M3" i="32" s="1"/>
  <c r="F3" i="33"/>
  <c r="L3" i="33" s="1"/>
  <c r="O3" i="33" s="1"/>
  <c r="Q3" i="33" s="1"/>
  <c r="F3" i="22"/>
  <c r="L3" i="22" s="1"/>
  <c r="O3" i="22" s="1"/>
  <c r="Q3" i="22" s="1"/>
  <c r="E3" i="21"/>
  <c r="I3" i="21" s="1"/>
  <c r="K3" i="21" s="1"/>
  <c r="M3" i="21" s="1"/>
  <c r="DD121" i="2"/>
  <c r="I148" i="6"/>
  <c r="I160" i="6" s="1"/>
  <c r="I172" i="6" s="1"/>
  <c r="I184" i="6" s="1"/>
  <c r="I196" i="6" s="1"/>
  <c r="I208" i="6" s="1"/>
  <c r="D146" i="6"/>
  <c r="F143" i="6"/>
  <c r="H152" i="6"/>
  <c r="H164" i="6" s="1"/>
  <c r="H176" i="6" s="1"/>
  <c r="H188" i="6" s="1"/>
  <c r="H200" i="6" s="1"/>
  <c r="H212" i="6" s="1"/>
  <c r="H108" i="24"/>
  <c r="P108" i="24" s="1"/>
  <c r="H106" i="30"/>
  <c r="O106" i="30" s="1"/>
  <c r="H106" i="18"/>
  <c r="O106" i="18" s="1"/>
  <c r="Q101" i="31"/>
  <c r="Q101" i="20"/>
  <c r="E100" i="32"/>
  <c r="I100" i="32" s="1"/>
  <c r="F100" i="33"/>
  <c r="L100" i="33" s="1"/>
  <c r="F100" i="22"/>
  <c r="L100" i="22" s="1"/>
  <c r="O100" i="22" s="1"/>
  <c r="E100" i="21"/>
  <c r="I100" i="21" s="1"/>
  <c r="K100" i="21" s="1"/>
  <c r="H92" i="35"/>
  <c r="P92" i="35" s="1"/>
  <c r="S92" i="35" s="1"/>
  <c r="H92" i="24"/>
  <c r="P92" i="24" s="1"/>
  <c r="S92" i="24" s="1"/>
  <c r="H90" i="30"/>
  <c r="O90" i="30" s="1"/>
  <c r="Q90" i="30" s="1"/>
  <c r="H90" i="18"/>
  <c r="O90" i="18" s="1"/>
  <c r="Q90" i="18" s="1"/>
  <c r="Q85" i="31"/>
  <c r="Q85" i="20"/>
  <c r="F84" i="33"/>
  <c r="L84" i="33" s="1"/>
  <c r="O84" i="33" s="1"/>
  <c r="E84" i="32"/>
  <c r="I84" i="32" s="1"/>
  <c r="K84" i="32" s="1"/>
  <c r="F84" i="22"/>
  <c r="L84" i="22" s="1"/>
  <c r="O84" i="22" s="1"/>
  <c r="E84" i="21"/>
  <c r="I84" i="21" s="1"/>
  <c r="K84" i="21" s="1"/>
  <c r="H76" i="35"/>
  <c r="P76" i="35" s="1"/>
  <c r="H76" i="24"/>
  <c r="P76" i="24" s="1"/>
  <c r="H74" i="30"/>
  <c r="O74" i="30" s="1"/>
  <c r="H74" i="18"/>
  <c r="O74" i="18" s="1"/>
  <c r="Q69" i="31"/>
  <c r="Q69" i="20"/>
  <c r="E68" i="32"/>
  <c r="I68" i="32" s="1"/>
  <c r="K68" i="32" s="1"/>
  <c r="F68" i="33"/>
  <c r="L68" i="33" s="1"/>
  <c r="O68" i="33" s="1"/>
  <c r="F68" i="22"/>
  <c r="L68" i="22" s="1"/>
  <c r="O68" i="22" s="1"/>
  <c r="E68" i="21"/>
  <c r="I68" i="21" s="1"/>
  <c r="K68" i="21" s="1"/>
  <c r="H60" i="35"/>
  <c r="P60" i="35" s="1"/>
  <c r="H60" i="24"/>
  <c r="P60" i="24" s="1"/>
  <c r="H58" i="30"/>
  <c r="O58" i="30" s="1"/>
  <c r="H58" i="18"/>
  <c r="O58" i="18" s="1"/>
  <c r="Q53" i="31"/>
  <c r="Q53" i="20"/>
  <c r="F52" i="33"/>
  <c r="L52" i="33" s="1"/>
  <c r="O52" i="33" s="1"/>
  <c r="E52" i="32"/>
  <c r="I52" i="32" s="1"/>
  <c r="K52" i="32" s="1"/>
  <c r="F52" i="22"/>
  <c r="L52" i="22" s="1"/>
  <c r="O52" i="22" s="1"/>
  <c r="E52" i="21"/>
  <c r="I52" i="21" s="1"/>
  <c r="K52" i="21" s="1"/>
  <c r="H44" i="35"/>
  <c r="P44" i="35" s="1"/>
  <c r="S44" i="35" s="1"/>
  <c r="H44" i="24"/>
  <c r="P44" i="24" s="1"/>
  <c r="H42" i="30"/>
  <c r="O42" i="30" s="1"/>
  <c r="Q42" i="30" s="1"/>
  <c r="H42" i="18"/>
  <c r="O42" i="18" s="1"/>
  <c r="Q37" i="31"/>
  <c r="Q37" i="20"/>
  <c r="E36" i="32"/>
  <c r="I36" i="32" s="1"/>
  <c r="K36" i="32" s="1"/>
  <c r="F36" i="33"/>
  <c r="L36" i="33" s="1"/>
  <c r="O36" i="33" s="1"/>
  <c r="F36" i="22"/>
  <c r="L36" i="22" s="1"/>
  <c r="O36" i="22" s="1"/>
  <c r="E36" i="21"/>
  <c r="I36" i="21" s="1"/>
  <c r="K36" i="21" s="1"/>
  <c r="H28" i="35"/>
  <c r="P28" i="35" s="1"/>
  <c r="H28" i="24"/>
  <c r="P28" i="24" s="1"/>
  <c r="H26" i="30"/>
  <c r="O26" i="30" s="1"/>
  <c r="H26" i="18"/>
  <c r="O26" i="18" s="1"/>
  <c r="Q21" i="31"/>
  <c r="Q21" i="20"/>
  <c r="F20" i="33"/>
  <c r="L20" i="33" s="1"/>
  <c r="O20" i="33" s="1"/>
  <c r="Q20" i="33" s="1"/>
  <c r="E20" i="32"/>
  <c r="I20" i="32" s="1"/>
  <c r="K20" i="32" s="1"/>
  <c r="M20" i="32" s="1"/>
  <c r="F20" i="22"/>
  <c r="L20" i="22" s="1"/>
  <c r="O20" i="22" s="1"/>
  <c r="Q20" i="22" s="1"/>
  <c r="E20" i="21"/>
  <c r="I20" i="21" s="1"/>
  <c r="K20" i="21" s="1"/>
  <c r="M20" i="21" s="1"/>
  <c r="H12" i="35"/>
  <c r="P12" i="35" s="1"/>
  <c r="H12" i="24"/>
  <c r="P12" i="24" s="1"/>
  <c r="H10" i="30"/>
  <c r="O10" i="30" s="1"/>
  <c r="H10" i="18"/>
  <c r="O10" i="18" s="1"/>
  <c r="Q5" i="31"/>
  <c r="Q5" i="20"/>
  <c r="E4" i="32"/>
  <c r="I4" i="32" s="1"/>
  <c r="K4" i="32" s="1"/>
  <c r="M4" i="32" s="1"/>
  <c r="F4" i="33"/>
  <c r="L4" i="33" s="1"/>
  <c r="O4" i="33" s="1"/>
  <c r="Q4" i="33" s="1"/>
  <c r="F4" i="22"/>
  <c r="L4" i="22" s="1"/>
  <c r="O4" i="22" s="1"/>
  <c r="Q4" i="22" s="1"/>
  <c r="E4" i="21"/>
  <c r="I4" i="21" s="1"/>
  <c r="K4" i="21" s="1"/>
  <c r="M4" i="21" s="1"/>
  <c r="DM117" i="2"/>
  <c r="H148" i="6"/>
  <c r="H160" i="6" s="1"/>
  <c r="H172" i="6" s="1"/>
  <c r="H184" i="6" s="1"/>
  <c r="H196" i="6" s="1"/>
  <c r="H208" i="6" s="1"/>
  <c r="E143" i="6"/>
  <c r="E155" i="6" s="1"/>
  <c r="E167" i="6" s="1"/>
  <c r="E179" i="6" s="1"/>
  <c r="E191" i="6" s="1"/>
  <c r="E203" i="6" s="1"/>
  <c r="E215" i="6" s="1"/>
  <c r="G152" i="6"/>
  <c r="G164" i="6" s="1"/>
  <c r="G176" i="6" s="1"/>
  <c r="G188" i="6" s="1"/>
  <c r="G200" i="6" s="1"/>
  <c r="G212" i="6" s="1"/>
  <c r="I149" i="6"/>
  <c r="I161" i="6" s="1"/>
  <c r="I173" i="6" s="1"/>
  <c r="I185" i="6" s="1"/>
  <c r="I197" i="6" s="1"/>
  <c r="I209" i="6" s="1"/>
  <c r="R150" i="6"/>
  <c r="R162" i="6" s="1"/>
  <c r="R174" i="6" s="1"/>
  <c r="R186" i="6" s="1"/>
  <c r="R198" i="6" s="1"/>
  <c r="R210" i="6" s="1"/>
  <c r="H109" i="24"/>
  <c r="P109" i="24" s="1"/>
  <c r="H107" i="30"/>
  <c r="O107" i="30" s="1"/>
  <c r="H107" i="18"/>
  <c r="O107" i="18" s="1"/>
  <c r="Q102" i="31"/>
  <c r="Q102" i="20"/>
  <c r="F101" i="33"/>
  <c r="L101" i="33" s="1"/>
  <c r="E101" i="32"/>
  <c r="I101" i="32" s="1"/>
  <c r="F101" i="22"/>
  <c r="L101" i="22" s="1"/>
  <c r="O101" i="22" s="1"/>
  <c r="E101" i="21"/>
  <c r="I101" i="21" s="1"/>
  <c r="K101" i="21" s="1"/>
  <c r="H93" i="35"/>
  <c r="P93" i="35" s="1"/>
  <c r="S93" i="35" s="1"/>
  <c r="H93" i="24"/>
  <c r="P93" i="24" s="1"/>
  <c r="S93" i="24" s="1"/>
  <c r="H91" i="30"/>
  <c r="O91" i="30" s="1"/>
  <c r="Q91" i="30" s="1"/>
  <c r="H91" i="18"/>
  <c r="O91" i="18" s="1"/>
  <c r="Q91" i="18" s="1"/>
  <c r="Q86" i="31"/>
  <c r="Q86" i="20"/>
  <c r="E85" i="32"/>
  <c r="I85" i="32" s="1"/>
  <c r="K85" i="32" s="1"/>
  <c r="F85" i="33"/>
  <c r="L85" i="33" s="1"/>
  <c r="O85" i="33" s="1"/>
  <c r="F85" i="22"/>
  <c r="L85" i="22" s="1"/>
  <c r="O85" i="22" s="1"/>
  <c r="E85" i="21"/>
  <c r="I85" i="21" s="1"/>
  <c r="K85" i="21" s="1"/>
  <c r="H77" i="35"/>
  <c r="P77" i="35" s="1"/>
  <c r="H77" i="24"/>
  <c r="P77" i="24" s="1"/>
  <c r="H75" i="30"/>
  <c r="O75" i="30" s="1"/>
  <c r="H75" i="18"/>
  <c r="O75" i="18" s="1"/>
  <c r="Q70" i="31"/>
  <c r="Q70" i="20"/>
  <c r="E69" i="32"/>
  <c r="I69" i="32" s="1"/>
  <c r="K69" i="32" s="1"/>
  <c r="F69" i="33"/>
  <c r="L69" i="33" s="1"/>
  <c r="O69" i="33" s="1"/>
  <c r="F69" i="22"/>
  <c r="L69" i="22" s="1"/>
  <c r="O69" i="22" s="1"/>
  <c r="E69" i="21"/>
  <c r="I69" i="21" s="1"/>
  <c r="K69" i="21" s="1"/>
  <c r="H61" i="35"/>
  <c r="P61" i="35" s="1"/>
  <c r="H61" i="24"/>
  <c r="P61" i="24" s="1"/>
  <c r="H59" i="30"/>
  <c r="O59" i="30" s="1"/>
  <c r="H59" i="18"/>
  <c r="O59" i="18" s="1"/>
  <c r="Q54" i="31"/>
  <c r="Q54" i="20"/>
  <c r="E53" i="32"/>
  <c r="I53" i="32" s="1"/>
  <c r="K53" i="32" s="1"/>
  <c r="F53" i="33"/>
  <c r="L53" i="33" s="1"/>
  <c r="O53" i="33" s="1"/>
  <c r="F53" i="22"/>
  <c r="L53" i="22" s="1"/>
  <c r="O53" i="22" s="1"/>
  <c r="E53" i="21"/>
  <c r="I53" i="21" s="1"/>
  <c r="K53" i="21" s="1"/>
  <c r="H45" i="35"/>
  <c r="P45" i="35" s="1"/>
  <c r="S45" i="35" s="1"/>
  <c r="H45" i="24"/>
  <c r="P45" i="24" s="1"/>
  <c r="S45" i="24" s="1"/>
  <c r="H43" i="30"/>
  <c r="O43" i="30" s="1"/>
  <c r="Q43" i="30" s="1"/>
  <c r="H43" i="18"/>
  <c r="O43" i="18" s="1"/>
  <c r="Q38" i="31"/>
  <c r="S38" i="31" s="1"/>
  <c r="Q38" i="20"/>
  <c r="S38" i="20" s="1"/>
  <c r="F37" i="33"/>
  <c r="L37" i="33" s="1"/>
  <c r="O37" i="33" s="1"/>
  <c r="E37" i="32"/>
  <c r="I37" i="32" s="1"/>
  <c r="K37" i="32" s="1"/>
  <c r="F37" i="22"/>
  <c r="L37" i="22" s="1"/>
  <c r="O37" i="22" s="1"/>
  <c r="E37" i="21"/>
  <c r="I37" i="21" s="1"/>
  <c r="K37" i="21" s="1"/>
  <c r="H29" i="35"/>
  <c r="P29" i="35" s="1"/>
  <c r="H29" i="24"/>
  <c r="P29" i="24" s="1"/>
  <c r="H27" i="30"/>
  <c r="O27" i="30" s="1"/>
  <c r="H27" i="18"/>
  <c r="O27" i="18" s="1"/>
  <c r="Q22" i="31"/>
  <c r="Q22" i="20"/>
  <c r="E21" i="32"/>
  <c r="I21" i="32" s="1"/>
  <c r="K21" i="32" s="1"/>
  <c r="M21" i="32" s="1"/>
  <c r="F21" i="33"/>
  <c r="L21" i="33" s="1"/>
  <c r="O21" i="33" s="1"/>
  <c r="Q21" i="33" s="1"/>
  <c r="F21" i="22"/>
  <c r="L21" i="22" s="1"/>
  <c r="O21" i="22" s="1"/>
  <c r="Q21" i="22" s="1"/>
  <c r="E21" i="21"/>
  <c r="I21" i="21" s="1"/>
  <c r="K21" i="21" s="1"/>
  <c r="M21" i="21" s="1"/>
  <c r="H13" i="35"/>
  <c r="P13" i="35" s="1"/>
  <c r="H13" i="24"/>
  <c r="P13" i="24" s="1"/>
  <c r="H11" i="30"/>
  <c r="O11" i="30" s="1"/>
  <c r="H11" i="18"/>
  <c r="O11" i="18" s="1"/>
  <c r="Q6" i="20"/>
  <c r="Q6" i="31"/>
  <c r="E5" i="32"/>
  <c r="I5" i="32" s="1"/>
  <c r="K5" i="32" s="1"/>
  <c r="M5" i="32" s="1"/>
  <c r="F5" i="33"/>
  <c r="L5" i="33" s="1"/>
  <c r="O5" i="33" s="1"/>
  <c r="Q5" i="33" s="1"/>
  <c r="F5" i="22"/>
  <c r="L5" i="22" s="1"/>
  <c r="O5" i="22" s="1"/>
  <c r="Q5" i="22" s="1"/>
  <c r="E5" i="21"/>
  <c r="I5" i="21" s="1"/>
  <c r="K5" i="21" s="1"/>
  <c r="M5" i="21" s="1"/>
  <c r="G148" i="6"/>
  <c r="G160" i="6" s="1"/>
  <c r="G172" i="6" s="1"/>
  <c r="G184" i="6" s="1"/>
  <c r="G196" i="6" s="1"/>
  <c r="G208" i="6" s="1"/>
  <c r="D143" i="6"/>
  <c r="H149" i="6"/>
  <c r="H161" i="6" s="1"/>
  <c r="H173" i="6" s="1"/>
  <c r="H185" i="6" s="1"/>
  <c r="H197" i="6" s="1"/>
  <c r="H209" i="6" s="1"/>
  <c r="H108" i="30"/>
  <c r="O108" i="30" s="1"/>
  <c r="H108" i="18"/>
  <c r="O108" i="18" s="1"/>
  <c r="Q103" i="31"/>
  <c r="Q103" i="20"/>
  <c r="E102" i="32"/>
  <c r="I102" i="32" s="1"/>
  <c r="F102" i="33"/>
  <c r="L102" i="33" s="1"/>
  <c r="F102" i="22"/>
  <c r="L102" i="22" s="1"/>
  <c r="O102" i="22" s="1"/>
  <c r="E102" i="21"/>
  <c r="I102" i="21" s="1"/>
  <c r="K102" i="21" s="1"/>
  <c r="H94" i="35"/>
  <c r="P94" i="35" s="1"/>
  <c r="S94" i="35" s="1"/>
  <c r="H94" i="24"/>
  <c r="P94" i="24" s="1"/>
  <c r="S94" i="24" s="1"/>
  <c r="H92" i="30"/>
  <c r="O92" i="30" s="1"/>
  <c r="Q92" i="30" s="1"/>
  <c r="H92" i="18"/>
  <c r="O92" i="18" s="1"/>
  <c r="Q87" i="31"/>
  <c r="S87" i="31" s="1"/>
  <c r="Q87" i="20"/>
  <c r="S87" i="20" s="1"/>
  <c r="E86" i="32"/>
  <c r="I86" i="32" s="1"/>
  <c r="K86" i="32" s="1"/>
  <c r="F86" i="33"/>
  <c r="L86" i="33" s="1"/>
  <c r="O86" i="33" s="1"/>
  <c r="F86" i="22"/>
  <c r="L86" i="22" s="1"/>
  <c r="O86" i="22" s="1"/>
  <c r="E86" i="21"/>
  <c r="I86" i="21" s="1"/>
  <c r="K86" i="21" s="1"/>
  <c r="H78" i="35"/>
  <c r="P78" i="35" s="1"/>
  <c r="H78" i="24"/>
  <c r="P78" i="24" s="1"/>
  <c r="H76" i="30"/>
  <c r="O76" i="30" s="1"/>
  <c r="H76" i="18"/>
  <c r="O76" i="18" s="1"/>
  <c r="Q71" i="31"/>
  <c r="Q71" i="20"/>
  <c r="E70" i="32"/>
  <c r="I70" i="32" s="1"/>
  <c r="K70" i="32" s="1"/>
  <c r="F70" i="33"/>
  <c r="L70" i="33" s="1"/>
  <c r="O70" i="33" s="1"/>
  <c r="F70" i="22"/>
  <c r="L70" i="22" s="1"/>
  <c r="O70" i="22" s="1"/>
  <c r="E70" i="21"/>
  <c r="I70" i="21" s="1"/>
  <c r="K70" i="21" s="1"/>
  <c r="H62" i="35"/>
  <c r="P62" i="35" s="1"/>
  <c r="H62" i="24"/>
  <c r="P62" i="24" s="1"/>
  <c r="H60" i="30"/>
  <c r="O60" i="30" s="1"/>
  <c r="H60" i="18"/>
  <c r="O60" i="18" s="1"/>
  <c r="Q55" i="31"/>
  <c r="Q55" i="20"/>
  <c r="E54" i="32"/>
  <c r="I54" i="32" s="1"/>
  <c r="K54" i="32" s="1"/>
  <c r="F54" i="33"/>
  <c r="L54" i="33" s="1"/>
  <c r="O54" i="33" s="1"/>
  <c r="F54" i="22"/>
  <c r="L54" i="22" s="1"/>
  <c r="O54" i="22" s="1"/>
  <c r="E54" i="21"/>
  <c r="I54" i="21" s="1"/>
  <c r="K54" i="21" s="1"/>
  <c r="H46" i="35"/>
  <c r="P46" i="35" s="1"/>
  <c r="S46" i="35" s="1"/>
  <c r="H46" i="24"/>
  <c r="P46" i="24" s="1"/>
  <c r="S46" i="24" s="1"/>
  <c r="H44" i="30"/>
  <c r="O44" i="30" s="1"/>
  <c r="Q44" i="30" s="1"/>
  <c r="H44" i="18"/>
  <c r="O44" i="18" s="1"/>
  <c r="Q39" i="31"/>
  <c r="S39" i="31" s="1"/>
  <c r="Q39" i="20"/>
  <c r="E38" i="32"/>
  <c r="I38" i="32" s="1"/>
  <c r="K38" i="32" s="1"/>
  <c r="F38" i="33"/>
  <c r="L38" i="33" s="1"/>
  <c r="O38" i="33" s="1"/>
  <c r="F38" i="22"/>
  <c r="L38" i="22" s="1"/>
  <c r="O38" i="22" s="1"/>
  <c r="E38" i="21"/>
  <c r="I38" i="21" s="1"/>
  <c r="K38" i="21" s="1"/>
  <c r="H30" i="35"/>
  <c r="P30" i="35" s="1"/>
  <c r="H30" i="24"/>
  <c r="P30" i="24" s="1"/>
  <c r="H28" i="30"/>
  <c r="O28" i="30" s="1"/>
  <c r="H28" i="18"/>
  <c r="O28" i="18" s="1"/>
  <c r="Q23" i="31"/>
  <c r="Q23" i="20"/>
  <c r="F22" i="33"/>
  <c r="L22" i="33" s="1"/>
  <c r="O22" i="33" s="1"/>
  <c r="Q22" i="33" s="1"/>
  <c r="E22" i="32"/>
  <c r="I22" i="32" s="1"/>
  <c r="K22" i="32" s="1"/>
  <c r="M22" i="32" s="1"/>
  <c r="F22" i="22"/>
  <c r="L22" i="22" s="1"/>
  <c r="O22" i="22" s="1"/>
  <c r="Q22" i="22" s="1"/>
  <c r="E22" i="21"/>
  <c r="I22" i="21" s="1"/>
  <c r="K22" i="21" s="1"/>
  <c r="M22" i="21" s="1"/>
  <c r="H14" i="35"/>
  <c r="P14" i="35" s="1"/>
  <c r="H14" i="24"/>
  <c r="P14" i="24" s="1"/>
  <c r="H12" i="30"/>
  <c r="O12" i="30" s="1"/>
  <c r="H12" i="18"/>
  <c r="O12" i="18" s="1"/>
  <c r="Q7" i="31"/>
  <c r="Q7" i="20"/>
  <c r="F6" i="33"/>
  <c r="L6" i="33" s="1"/>
  <c r="O6" i="33" s="1"/>
  <c r="Q6" i="33" s="1"/>
  <c r="E6" i="32"/>
  <c r="I6" i="32" s="1"/>
  <c r="K6" i="32" s="1"/>
  <c r="M6" i="32" s="1"/>
  <c r="F6" i="22"/>
  <c r="L6" i="22" s="1"/>
  <c r="O6" i="22" s="1"/>
  <c r="Q6" i="22" s="1"/>
  <c r="E6" i="21"/>
  <c r="I6" i="21" s="1"/>
  <c r="K6" i="21" s="1"/>
  <c r="M6" i="21" s="1"/>
  <c r="I142" i="6"/>
  <c r="I154" i="6" s="1"/>
  <c r="I166" i="6" s="1"/>
  <c r="I178" i="6" s="1"/>
  <c r="I190" i="6" s="1"/>
  <c r="I202" i="6" s="1"/>
  <c r="I214" i="6" s="1"/>
  <c r="E152" i="6"/>
  <c r="E164" i="6" s="1"/>
  <c r="E176" i="6" s="1"/>
  <c r="E188" i="6" s="1"/>
  <c r="E200" i="6" s="1"/>
  <c r="E212" i="6" s="1"/>
  <c r="G149" i="6"/>
  <c r="G161" i="6" s="1"/>
  <c r="G173" i="6" s="1"/>
  <c r="G185" i="6" s="1"/>
  <c r="G197" i="6" s="1"/>
  <c r="G209" i="6" s="1"/>
  <c r="H109" i="18"/>
  <c r="O109" i="18" s="1"/>
  <c r="Q104" i="31"/>
  <c r="Q104" i="20"/>
  <c r="F103" i="33"/>
  <c r="L103" i="33" s="1"/>
  <c r="E103" i="32"/>
  <c r="I103" i="32" s="1"/>
  <c r="F103" i="22"/>
  <c r="L103" i="22" s="1"/>
  <c r="O103" i="22" s="1"/>
  <c r="E103" i="21"/>
  <c r="I103" i="21" s="1"/>
  <c r="K103" i="21" s="1"/>
  <c r="H95" i="35"/>
  <c r="P95" i="35" s="1"/>
  <c r="S95" i="35" s="1"/>
  <c r="H95" i="24"/>
  <c r="P95" i="24" s="1"/>
  <c r="H93" i="30"/>
  <c r="O93" i="30" s="1"/>
  <c r="Q93" i="30" s="1"/>
  <c r="H93" i="18"/>
  <c r="O93" i="18" s="1"/>
  <c r="Q93" i="18" s="1"/>
  <c r="Q88" i="31"/>
  <c r="S88" i="31" s="1"/>
  <c r="Q88" i="20"/>
  <c r="E87" i="32"/>
  <c r="I87" i="32" s="1"/>
  <c r="K87" i="32" s="1"/>
  <c r="F87" i="33"/>
  <c r="L87" i="33" s="1"/>
  <c r="O87" i="33" s="1"/>
  <c r="F87" i="22"/>
  <c r="L87" i="22" s="1"/>
  <c r="O87" i="22" s="1"/>
  <c r="E87" i="21"/>
  <c r="I87" i="21" s="1"/>
  <c r="K87" i="21" s="1"/>
  <c r="H79" i="35"/>
  <c r="P79" i="35" s="1"/>
  <c r="H79" i="24"/>
  <c r="P79" i="24" s="1"/>
  <c r="H77" i="30"/>
  <c r="O77" i="30" s="1"/>
  <c r="H77" i="18"/>
  <c r="O77" i="18" s="1"/>
  <c r="Q72" i="31"/>
  <c r="Q72" i="20"/>
  <c r="F71" i="33"/>
  <c r="L71" i="33" s="1"/>
  <c r="O71" i="33" s="1"/>
  <c r="E71" i="32"/>
  <c r="I71" i="32" s="1"/>
  <c r="K71" i="32" s="1"/>
  <c r="F71" i="22"/>
  <c r="L71" i="22" s="1"/>
  <c r="O71" i="22" s="1"/>
  <c r="E71" i="21"/>
  <c r="I71" i="21" s="1"/>
  <c r="K71" i="21" s="1"/>
  <c r="H63" i="35"/>
  <c r="P63" i="35" s="1"/>
  <c r="S63" i="35" s="1"/>
  <c r="H63" i="24"/>
  <c r="P63" i="24" s="1"/>
  <c r="S63" i="24" s="1"/>
  <c r="H61" i="30"/>
  <c r="O61" i="30" s="1"/>
  <c r="H61" i="18"/>
  <c r="O61" i="18" s="1"/>
  <c r="Q56" i="31"/>
  <c r="Q56" i="20"/>
  <c r="F55" i="33"/>
  <c r="L55" i="33" s="1"/>
  <c r="O55" i="33" s="1"/>
  <c r="E55" i="32"/>
  <c r="I55" i="32" s="1"/>
  <c r="K55" i="32" s="1"/>
  <c r="F55" i="22"/>
  <c r="L55" i="22" s="1"/>
  <c r="O55" i="22" s="1"/>
  <c r="E55" i="21"/>
  <c r="I55" i="21" s="1"/>
  <c r="K55" i="21" s="1"/>
  <c r="H47" i="35"/>
  <c r="P47" i="35" s="1"/>
  <c r="S47" i="35" s="1"/>
  <c r="H47" i="24"/>
  <c r="P47" i="24" s="1"/>
  <c r="H45" i="30"/>
  <c r="O45" i="30" s="1"/>
  <c r="Q45" i="30" s="1"/>
  <c r="H45" i="18"/>
  <c r="O45" i="18" s="1"/>
  <c r="Q40" i="31"/>
  <c r="S40" i="31" s="1"/>
  <c r="Q40" i="20"/>
  <c r="E39" i="32"/>
  <c r="I39" i="32" s="1"/>
  <c r="K39" i="32" s="1"/>
  <c r="F39" i="33"/>
  <c r="L39" i="33" s="1"/>
  <c r="O39" i="33" s="1"/>
  <c r="F39" i="22"/>
  <c r="L39" i="22" s="1"/>
  <c r="O39" i="22" s="1"/>
  <c r="E39" i="21"/>
  <c r="I39" i="21" s="1"/>
  <c r="K39" i="21" s="1"/>
  <c r="H31" i="35"/>
  <c r="P31" i="35" s="1"/>
  <c r="H31" i="24"/>
  <c r="P31" i="24" s="1"/>
  <c r="H29" i="30"/>
  <c r="O29" i="30" s="1"/>
  <c r="H29" i="18"/>
  <c r="O29" i="18" s="1"/>
  <c r="Q24" i="31"/>
  <c r="Q24" i="20"/>
  <c r="E23" i="32"/>
  <c r="I23" i="32" s="1"/>
  <c r="K23" i="32" s="1"/>
  <c r="M23" i="32" s="1"/>
  <c r="F23" i="33"/>
  <c r="L23" i="33" s="1"/>
  <c r="O23" i="33" s="1"/>
  <c r="Q23" i="33" s="1"/>
  <c r="F23" i="22"/>
  <c r="L23" i="22" s="1"/>
  <c r="O23" i="22" s="1"/>
  <c r="Q23" i="22" s="1"/>
  <c r="E23" i="21"/>
  <c r="I23" i="21" s="1"/>
  <c r="K23" i="21" s="1"/>
  <c r="M23" i="21" s="1"/>
  <c r="H15" i="35"/>
  <c r="P15" i="35" s="1"/>
  <c r="S15" i="35" s="1"/>
  <c r="V15" i="35" s="1"/>
  <c r="H15" i="24"/>
  <c r="P15" i="24" s="1"/>
  <c r="S15" i="24" s="1"/>
  <c r="U15" i="24" s="1"/>
  <c r="H13" i="30"/>
  <c r="O13" i="30" s="1"/>
  <c r="H13" i="18"/>
  <c r="O13" i="18" s="1"/>
  <c r="Q8" i="31"/>
  <c r="Q8" i="20"/>
  <c r="F7" i="33"/>
  <c r="L7" i="33" s="1"/>
  <c r="O7" i="33" s="1"/>
  <c r="Q7" i="33" s="1"/>
  <c r="E7" i="32"/>
  <c r="I7" i="32" s="1"/>
  <c r="K7" i="32" s="1"/>
  <c r="M7" i="32" s="1"/>
  <c r="F7" i="22"/>
  <c r="L7" i="22" s="1"/>
  <c r="O7" i="22" s="1"/>
  <c r="Q7" i="22" s="1"/>
  <c r="E7" i="21"/>
  <c r="I7" i="21" s="1"/>
  <c r="K7" i="21" s="1"/>
  <c r="M7" i="21" s="1"/>
  <c r="E148" i="6"/>
  <c r="E160" i="6" s="1"/>
  <c r="E172" i="6" s="1"/>
  <c r="E184" i="6" s="1"/>
  <c r="E196" i="6" s="1"/>
  <c r="E208" i="6" s="1"/>
  <c r="H142" i="6"/>
  <c r="H154" i="6" s="1"/>
  <c r="H166" i="6" s="1"/>
  <c r="H178" i="6" s="1"/>
  <c r="H190" i="6" s="1"/>
  <c r="H202" i="6" s="1"/>
  <c r="H214" i="6" s="1"/>
  <c r="Q105" i="31"/>
  <c r="Q105" i="20"/>
  <c r="F104" i="33"/>
  <c r="L104" i="33" s="1"/>
  <c r="E104" i="32"/>
  <c r="I104" i="32" s="1"/>
  <c r="E104" i="21"/>
  <c r="I104" i="21" s="1"/>
  <c r="K104" i="21" s="1"/>
  <c r="F104" i="22"/>
  <c r="L104" i="22" s="1"/>
  <c r="O104" i="22" s="1"/>
  <c r="H96" i="35"/>
  <c r="P96" i="35" s="1"/>
  <c r="S96" i="35" s="1"/>
  <c r="H96" i="24"/>
  <c r="P96" i="24" s="1"/>
  <c r="H94" i="30"/>
  <c r="O94" i="30" s="1"/>
  <c r="Q94" i="30" s="1"/>
  <c r="H94" i="18"/>
  <c r="O94" i="18" s="1"/>
  <c r="Q94" i="18" s="1"/>
  <c r="Q89" i="31"/>
  <c r="S89" i="31" s="1"/>
  <c r="Q89" i="20"/>
  <c r="F88" i="33"/>
  <c r="L88" i="33" s="1"/>
  <c r="O88" i="33" s="1"/>
  <c r="E88" i="32"/>
  <c r="I88" i="32" s="1"/>
  <c r="K88" i="32" s="1"/>
  <c r="E88" i="21"/>
  <c r="I88" i="21" s="1"/>
  <c r="K88" i="21" s="1"/>
  <c r="F88" i="22"/>
  <c r="L88" i="22" s="1"/>
  <c r="O88" i="22" s="1"/>
  <c r="H80" i="35"/>
  <c r="P80" i="35" s="1"/>
  <c r="H80" i="24"/>
  <c r="P80" i="24" s="1"/>
  <c r="H78" i="30"/>
  <c r="O78" i="30" s="1"/>
  <c r="H78" i="18"/>
  <c r="O78" i="18" s="1"/>
  <c r="Q73" i="31"/>
  <c r="Q73" i="20"/>
  <c r="E72" i="32"/>
  <c r="I72" i="32" s="1"/>
  <c r="K72" i="32" s="1"/>
  <c r="F72" i="33"/>
  <c r="L72" i="33" s="1"/>
  <c r="O72" i="33" s="1"/>
  <c r="E72" i="21"/>
  <c r="I72" i="21" s="1"/>
  <c r="K72" i="21" s="1"/>
  <c r="F72" i="22"/>
  <c r="L72" i="22" s="1"/>
  <c r="O72" i="22" s="1"/>
  <c r="H64" i="35"/>
  <c r="P64" i="35" s="1"/>
  <c r="H64" i="24"/>
  <c r="P64" i="24" s="1"/>
  <c r="H62" i="30"/>
  <c r="O62" i="30" s="1"/>
  <c r="H62" i="18"/>
  <c r="O62" i="18" s="1"/>
  <c r="Q57" i="31"/>
  <c r="Q57" i="20"/>
  <c r="F56" i="33"/>
  <c r="L56" i="33" s="1"/>
  <c r="O56" i="33" s="1"/>
  <c r="E56" i="32"/>
  <c r="I56" i="32" s="1"/>
  <c r="K56" i="32" s="1"/>
  <c r="E56" i="21"/>
  <c r="I56" i="21" s="1"/>
  <c r="K56" i="21" s="1"/>
  <c r="F56" i="22"/>
  <c r="L56" i="22" s="1"/>
  <c r="O56" i="22" s="1"/>
  <c r="H48" i="35"/>
  <c r="P48" i="35" s="1"/>
  <c r="S48" i="35" s="1"/>
  <c r="H48" i="24"/>
  <c r="P48" i="24" s="1"/>
  <c r="S48" i="24" s="1"/>
  <c r="H46" i="30"/>
  <c r="O46" i="30" s="1"/>
  <c r="Q46" i="30" s="1"/>
  <c r="H46" i="18"/>
  <c r="O46" i="18" s="1"/>
  <c r="Q41" i="20"/>
  <c r="Q41" i="31"/>
  <c r="S41" i="31" s="1"/>
  <c r="F40" i="33"/>
  <c r="L40" i="33" s="1"/>
  <c r="O40" i="33" s="1"/>
  <c r="E40" i="32"/>
  <c r="I40" i="32" s="1"/>
  <c r="K40" i="32" s="1"/>
  <c r="E40" i="21"/>
  <c r="I40" i="21" s="1"/>
  <c r="K40" i="21" s="1"/>
  <c r="F40" i="22"/>
  <c r="L40" i="22" s="1"/>
  <c r="O40" i="22" s="1"/>
  <c r="H32" i="35"/>
  <c r="P32" i="35" s="1"/>
  <c r="H32" i="24"/>
  <c r="P32" i="24" s="1"/>
  <c r="H30" i="30"/>
  <c r="O30" i="30" s="1"/>
  <c r="H30" i="18"/>
  <c r="O30" i="18" s="1"/>
  <c r="Q25" i="31"/>
  <c r="Q25" i="20"/>
  <c r="E24" i="32"/>
  <c r="I24" i="32" s="1"/>
  <c r="K24" i="32" s="1"/>
  <c r="M24" i="32" s="1"/>
  <c r="F24" i="33"/>
  <c r="L24" i="33" s="1"/>
  <c r="O24" i="33" s="1"/>
  <c r="Q24" i="33" s="1"/>
  <c r="E24" i="21"/>
  <c r="I24" i="21" s="1"/>
  <c r="K24" i="21" s="1"/>
  <c r="M24" i="21" s="1"/>
  <c r="F24" i="22"/>
  <c r="L24" i="22" s="1"/>
  <c r="O24" i="22" s="1"/>
  <c r="Q24" i="22" s="1"/>
  <c r="H16" i="35"/>
  <c r="P16" i="35" s="1"/>
  <c r="H16" i="24"/>
  <c r="P16" i="24" s="1"/>
  <c r="H14" i="30"/>
  <c r="O14" i="30" s="1"/>
  <c r="H14" i="18"/>
  <c r="O14" i="18" s="1"/>
  <c r="Q9" i="31"/>
  <c r="Q9" i="20"/>
  <c r="F8" i="33"/>
  <c r="L8" i="33" s="1"/>
  <c r="O8" i="33" s="1"/>
  <c r="Q8" i="33" s="1"/>
  <c r="E8" i="32"/>
  <c r="I8" i="32" s="1"/>
  <c r="K8" i="32" s="1"/>
  <c r="M8" i="32" s="1"/>
  <c r="E8" i="21"/>
  <c r="I8" i="21" s="1"/>
  <c r="K8" i="21" s="1"/>
  <c r="M8" i="21" s="1"/>
  <c r="F8" i="22"/>
  <c r="L8" i="22" s="1"/>
  <c r="O8" i="22" s="1"/>
  <c r="Q8" i="22" s="1"/>
  <c r="G142" i="6"/>
  <c r="G154" i="6" s="1"/>
  <c r="G166" i="6" s="1"/>
  <c r="G178" i="6" s="1"/>
  <c r="G190" i="6" s="1"/>
  <c r="G202" i="6" s="1"/>
  <c r="G214" i="6" s="1"/>
  <c r="I151" i="6"/>
  <c r="I163" i="6" s="1"/>
  <c r="I175" i="6" s="1"/>
  <c r="I187" i="6" s="1"/>
  <c r="I199" i="6" s="1"/>
  <c r="I211" i="6" s="1"/>
  <c r="Q106" i="31"/>
  <c r="Q106" i="20"/>
  <c r="F105" i="33"/>
  <c r="L105" i="33" s="1"/>
  <c r="E105" i="32"/>
  <c r="I105" i="32" s="1"/>
  <c r="E105" i="21"/>
  <c r="I105" i="21" s="1"/>
  <c r="K105" i="21" s="1"/>
  <c r="F105" i="22"/>
  <c r="L105" i="22" s="1"/>
  <c r="O105" i="22" s="1"/>
  <c r="H97" i="35"/>
  <c r="P97" i="35" s="1"/>
  <c r="H97" i="24"/>
  <c r="P97" i="24" s="1"/>
  <c r="H95" i="30"/>
  <c r="O95" i="30" s="1"/>
  <c r="Q95" i="30" s="1"/>
  <c r="H95" i="18"/>
  <c r="O95" i="18" s="1"/>
  <c r="Q90" i="31"/>
  <c r="S90" i="31" s="1"/>
  <c r="Q90" i="20"/>
  <c r="S90" i="20" s="1"/>
  <c r="E89" i="32"/>
  <c r="I89" i="32" s="1"/>
  <c r="K89" i="32" s="1"/>
  <c r="F89" i="33"/>
  <c r="L89" i="33" s="1"/>
  <c r="O89" i="33" s="1"/>
  <c r="E89" i="21"/>
  <c r="I89" i="21" s="1"/>
  <c r="K89" i="21" s="1"/>
  <c r="F89" i="22"/>
  <c r="L89" i="22" s="1"/>
  <c r="O89" i="22" s="1"/>
  <c r="H81" i="35"/>
  <c r="P81" i="35" s="1"/>
  <c r="H81" i="24"/>
  <c r="P81" i="24" s="1"/>
  <c r="H79" i="30"/>
  <c r="O79" i="30" s="1"/>
  <c r="H79" i="18"/>
  <c r="O79" i="18" s="1"/>
  <c r="Q74" i="31"/>
  <c r="Q74" i="20"/>
  <c r="F73" i="33"/>
  <c r="L73" i="33" s="1"/>
  <c r="O73" i="33" s="1"/>
  <c r="E73" i="32"/>
  <c r="I73" i="32" s="1"/>
  <c r="K73" i="32" s="1"/>
  <c r="E73" i="21"/>
  <c r="I73" i="21" s="1"/>
  <c r="K73" i="21" s="1"/>
  <c r="F73" i="22"/>
  <c r="L73" i="22" s="1"/>
  <c r="O73" i="22" s="1"/>
  <c r="H65" i="35"/>
  <c r="P65" i="35" s="1"/>
  <c r="H65" i="24"/>
  <c r="P65" i="24" s="1"/>
  <c r="H63" i="30"/>
  <c r="O63" i="30" s="1"/>
  <c r="Q63" i="30" s="1"/>
  <c r="H63" i="18"/>
  <c r="O63" i="18" s="1"/>
  <c r="Q58" i="20"/>
  <c r="Q58" i="31"/>
  <c r="E57" i="32"/>
  <c r="I57" i="32" s="1"/>
  <c r="K57" i="32" s="1"/>
  <c r="F57" i="33"/>
  <c r="L57" i="33" s="1"/>
  <c r="O57" i="33" s="1"/>
  <c r="E57" i="21"/>
  <c r="I57" i="21" s="1"/>
  <c r="K57" i="21" s="1"/>
  <c r="F57" i="22"/>
  <c r="L57" i="22" s="1"/>
  <c r="O57" i="22" s="1"/>
  <c r="H49" i="35"/>
  <c r="P49" i="35" s="1"/>
  <c r="S49" i="35" s="1"/>
  <c r="H49" i="24"/>
  <c r="P49" i="24" s="1"/>
  <c r="H47" i="30"/>
  <c r="O47" i="30" s="1"/>
  <c r="Q47" i="30" s="1"/>
  <c r="H47" i="18"/>
  <c r="O47" i="18" s="1"/>
  <c r="Q42" i="31"/>
  <c r="S42" i="31" s="1"/>
  <c r="Q42" i="20"/>
  <c r="S42" i="20" s="1"/>
  <c r="F41" i="33"/>
  <c r="L41" i="33" s="1"/>
  <c r="O41" i="33" s="1"/>
  <c r="E41" i="32"/>
  <c r="I41" i="32" s="1"/>
  <c r="K41" i="32" s="1"/>
  <c r="E41" i="21"/>
  <c r="I41" i="21" s="1"/>
  <c r="K41" i="21" s="1"/>
  <c r="F41" i="22"/>
  <c r="L41" i="22" s="1"/>
  <c r="O41" i="22" s="1"/>
  <c r="H33" i="35"/>
  <c r="P33" i="35" s="1"/>
  <c r="H33" i="24"/>
  <c r="P33" i="24" s="1"/>
  <c r="H31" i="30"/>
  <c r="O31" i="30" s="1"/>
  <c r="H31" i="18"/>
  <c r="O31" i="18" s="1"/>
  <c r="Q26" i="31"/>
  <c r="Q26" i="20"/>
  <c r="F25" i="33"/>
  <c r="L25" i="33" s="1"/>
  <c r="O25" i="33" s="1"/>
  <c r="Q25" i="33" s="1"/>
  <c r="E25" i="32"/>
  <c r="I25" i="32" s="1"/>
  <c r="K25" i="32" s="1"/>
  <c r="M25" i="32" s="1"/>
  <c r="E25" i="21"/>
  <c r="I25" i="21" s="1"/>
  <c r="K25" i="21" s="1"/>
  <c r="M25" i="21" s="1"/>
  <c r="F25" i="22"/>
  <c r="L25" i="22" s="1"/>
  <c r="O25" i="22" s="1"/>
  <c r="Q25" i="22" s="1"/>
  <c r="H17" i="35"/>
  <c r="P17" i="35" s="1"/>
  <c r="H17" i="24"/>
  <c r="P17" i="24" s="1"/>
  <c r="H15" i="30"/>
  <c r="O15" i="30" s="1"/>
  <c r="Q15" i="30" s="1"/>
  <c r="T15" i="30" s="1"/>
  <c r="H15" i="18"/>
  <c r="O15" i="18" s="1"/>
  <c r="Q15" i="18" s="1"/>
  <c r="S15" i="18" s="1"/>
  <c r="Q10" i="31"/>
  <c r="Q10" i="20"/>
  <c r="E9" i="32"/>
  <c r="I9" i="32" s="1"/>
  <c r="K9" i="32" s="1"/>
  <c r="M9" i="32" s="1"/>
  <c r="F9" i="33"/>
  <c r="L9" i="33" s="1"/>
  <c r="O9" i="33" s="1"/>
  <c r="Q9" i="33" s="1"/>
  <c r="E9" i="21"/>
  <c r="I9" i="21" s="1"/>
  <c r="K9" i="21" s="1"/>
  <c r="M9" i="21" s="1"/>
  <c r="F9" i="22"/>
  <c r="L9" i="22" s="1"/>
  <c r="O9" i="22" s="1"/>
  <c r="Q9" i="22" s="1"/>
  <c r="FK104" i="2"/>
  <c r="EW104" i="2"/>
  <c r="FG94" i="2"/>
  <c r="ES94" i="2"/>
  <c r="FA83" i="2"/>
  <c r="EM83" i="2"/>
  <c r="FC68" i="2"/>
  <c r="EO68" i="2"/>
  <c r="EY57" i="2"/>
  <c r="FM57" i="2"/>
  <c r="FI47" i="2"/>
  <c r="EU47" i="2"/>
  <c r="FI39" i="2"/>
  <c r="EU39" i="2"/>
  <c r="FG30" i="2"/>
  <c r="ES30" i="2"/>
  <c r="FI23" i="2"/>
  <c r="EU23" i="2"/>
  <c r="FM17" i="2"/>
  <c r="EY17" i="2"/>
  <c r="FM9" i="2"/>
  <c r="EY9" i="2"/>
  <c r="FD109" i="2"/>
  <c r="EP109" i="2"/>
  <c r="FB108" i="2"/>
  <c r="EN108" i="2"/>
  <c r="FN106" i="2"/>
  <c r="EZ106" i="2"/>
  <c r="FL105" i="2"/>
  <c r="EX105" i="2"/>
  <c r="FJ104" i="2"/>
  <c r="EV104" i="2"/>
  <c r="FH103" i="2"/>
  <c r="ET103" i="2"/>
  <c r="FF102" i="2"/>
  <c r="ER102" i="2"/>
  <c r="FD101" i="2"/>
  <c r="EP101" i="2"/>
  <c r="FB100" i="2"/>
  <c r="EN100" i="2"/>
  <c r="FN98" i="2"/>
  <c r="EZ98" i="2"/>
  <c r="FL97" i="2"/>
  <c r="EX97" i="2"/>
  <c r="FJ96" i="2"/>
  <c r="EV96" i="2"/>
  <c r="FH95" i="2"/>
  <c r="ET95" i="2"/>
  <c r="FF94" i="2"/>
  <c r="ER94" i="2"/>
  <c r="FD93" i="2"/>
  <c r="EP93" i="2"/>
  <c r="FB92" i="2"/>
  <c r="EN92" i="2"/>
  <c r="FN90" i="2"/>
  <c r="EZ90" i="2"/>
  <c r="FL89" i="2"/>
  <c r="EX89" i="2"/>
  <c r="FJ88" i="2"/>
  <c r="EV88" i="2"/>
  <c r="FH87" i="2"/>
  <c r="ET87" i="2"/>
  <c r="FF86" i="2"/>
  <c r="ER86" i="2"/>
  <c r="FD85" i="2"/>
  <c r="EP85" i="2"/>
  <c r="EN84" i="2"/>
  <c r="FB84" i="2"/>
  <c r="FN82" i="2"/>
  <c r="EZ82" i="2"/>
  <c r="FL81" i="2"/>
  <c r="EX81" i="2"/>
  <c r="FJ80" i="2"/>
  <c r="EV80" i="2"/>
  <c r="FH79" i="2"/>
  <c r="ET79" i="2"/>
  <c r="FF78" i="2"/>
  <c r="ER78" i="2"/>
  <c r="FD77" i="2"/>
  <c r="EP77" i="2"/>
  <c r="FB76" i="2"/>
  <c r="EN76" i="2"/>
  <c r="FN74" i="2"/>
  <c r="EZ74" i="2"/>
  <c r="FL73" i="2"/>
  <c r="EX73" i="2"/>
  <c r="FJ72" i="2"/>
  <c r="EV72" i="2"/>
  <c r="FH71" i="2"/>
  <c r="ET71" i="2"/>
  <c r="FF70" i="2"/>
  <c r="ER70" i="2"/>
  <c r="FD69" i="2"/>
  <c r="EP69" i="2"/>
  <c r="FB68" i="2"/>
  <c r="EN68" i="2"/>
  <c r="FN66" i="2"/>
  <c r="EZ66" i="2"/>
  <c r="FL65" i="2"/>
  <c r="EX65" i="2"/>
  <c r="FJ64" i="2"/>
  <c r="EV64" i="2"/>
  <c r="FH63" i="2"/>
  <c r="ET63" i="2"/>
  <c r="FF62" i="2"/>
  <c r="ER62" i="2"/>
  <c r="EP61" i="2"/>
  <c r="FD61" i="2"/>
  <c r="EN60" i="2"/>
  <c r="FB60" i="2"/>
  <c r="FN58" i="2"/>
  <c r="EZ58" i="2"/>
  <c r="EX57" i="2"/>
  <c r="FL57" i="2"/>
  <c r="EV56" i="2"/>
  <c r="FJ56" i="2"/>
  <c r="FH55" i="2"/>
  <c r="ET55" i="2"/>
  <c r="FF54" i="2"/>
  <c r="ER54" i="2"/>
  <c r="FD53" i="2"/>
  <c r="EP53" i="2"/>
  <c r="FB52" i="2"/>
  <c r="EN52" i="2"/>
  <c r="FN50" i="2"/>
  <c r="EZ50" i="2"/>
  <c r="FL49" i="2"/>
  <c r="EX49" i="2"/>
  <c r="FJ48" i="2"/>
  <c r="EV48" i="2"/>
  <c r="FH47" i="2"/>
  <c r="ET47" i="2"/>
  <c r="FF46" i="2"/>
  <c r="ER46" i="2"/>
  <c r="EP45" i="2"/>
  <c r="FD45" i="2"/>
  <c r="FB44" i="2"/>
  <c r="EN44" i="2"/>
  <c r="FN42" i="2"/>
  <c r="EZ42" i="2"/>
  <c r="FL41" i="2"/>
  <c r="EX41" i="2"/>
  <c r="EV40" i="2"/>
  <c r="FJ40" i="2"/>
  <c r="FH39" i="2"/>
  <c r="ET39" i="2"/>
  <c r="FF38" i="2"/>
  <c r="ER38" i="2"/>
  <c r="FD37" i="2"/>
  <c r="EP37" i="2"/>
  <c r="FB36" i="2"/>
  <c r="EN36" i="2"/>
  <c r="FN34" i="2"/>
  <c r="EZ34" i="2"/>
  <c r="FL33" i="2"/>
  <c r="EX33" i="2"/>
  <c r="FJ32" i="2"/>
  <c r="EV32" i="2"/>
  <c r="FH31" i="2"/>
  <c r="ET31" i="2"/>
  <c r="FF30" i="2"/>
  <c r="ER30" i="2"/>
  <c r="FD29" i="2"/>
  <c r="EP29" i="2"/>
  <c r="EN28" i="2"/>
  <c r="FB28" i="2"/>
  <c r="EZ26" i="2"/>
  <c r="FN26" i="2"/>
  <c r="FL25" i="2"/>
  <c r="EX25" i="2"/>
  <c r="FJ24" i="2"/>
  <c r="EV24" i="2"/>
  <c r="FH23" i="2"/>
  <c r="ET23" i="2"/>
  <c r="FF22" i="2"/>
  <c r="ER22" i="2"/>
  <c r="FD21" i="2"/>
  <c r="EP21" i="2"/>
  <c r="FB20" i="2"/>
  <c r="EN20" i="2"/>
  <c r="EZ18" i="2"/>
  <c r="FN18" i="2"/>
  <c r="FL17" i="2"/>
  <c r="EX17" i="2"/>
  <c r="FJ16" i="2"/>
  <c r="EV16" i="2"/>
  <c r="FH15" i="2"/>
  <c r="ET15" i="2"/>
  <c r="FF14" i="2"/>
  <c r="ER14" i="2"/>
  <c r="FD13" i="2"/>
  <c r="EP13" i="2"/>
  <c r="FB12" i="2"/>
  <c r="EN12" i="2"/>
  <c r="FN10" i="2"/>
  <c r="EZ10" i="2"/>
  <c r="FL9" i="2"/>
  <c r="EX9" i="2"/>
  <c r="FJ8" i="2"/>
  <c r="EV8" i="2"/>
  <c r="FH7" i="2"/>
  <c r="ET7" i="2"/>
  <c r="FF6" i="2"/>
  <c r="ER6" i="2"/>
  <c r="FD5" i="2"/>
  <c r="EP5" i="2"/>
  <c r="FB4" i="2"/>
  <c r="EN4" i="2"/>
  <c r="FN2" i="2"/>
  <c r="EZ2" i="2"/>
  <c r="FA99" i="2"/>
  <c r="EM99" i="2"/>
  <c r="EU87" i="2"/>
  <c r="FI87" i="2"/>
  <c r="FK72" i="2"/>
  <c r="EW72" i="2"/>
  <c r="FK64" i="2"/>
  <c r="EW64" i="2"/>
  <c r="FG54" i="2"/>
  <c r="ES54" i="2"/>
  <c r="FM41" i="2"/>
  <c r="EY41" i="2"/>
  <c r="EM35" i="2"/>
  <c r="FA35" i="2"/>
  <c r="FA27" i="2"/>
  <c r="EM27" i="2"/>
  <c r="FC20" i="2"/>
  <c r="EO20" i="2"/>
  <c r="FC12" i="2"/>
  <c r="EO12" i="2"/>
  <c r="FC109" i="2"/>
  <c r="EO109" i="2"/>
  <c r="FA108" i="2"/>
  <c r="EM108" i="2"/>
  <c r="EY106" i="2"/>
  <c r="FM106" i="2"/>
  <c r="FK105" i="2"/>
  <c r="EW105" i="2"/>
  <c r="EU104" i="2"/>
  <c r="FI104" i="2"/>
  <c r="ES103" i="2"/>
  <c r="FG103" i="2"/>
  <c r="EQ102" i="2"/>
  <c r="FE102" i="2"/>
  <c r="EO101" i="2"/>
  <c r="FC101" i="2"/>
  <c r="FA100" i="2"/>
  <c r="EM100" i="2"/>
  <c r="FM98" i="2"/>
  <c r="EY98" i="2"/>
  <c r="FK97" i="2"/>
  <c r="EW97" i="2"/>
  <c r="FI96" i="2"/>
  <c r="EU96" i="2"/>
  <c r="FG95" i="2"/>
  <c r="ES95" i="2"/>
  <c r="FE94" i="2"/>
  <c r="EQ94" i="2"/>
  <c r="FC93" i="2"/>
  <c r="EO93" i="2"/>
  <c r="FA92" i="2"/>
  <c r="EM92" i="2"/>
  <c r="EY90" i="2"/>
  <c r="FM90" i="2"/>
  <c r="FK89" i="2"/>
  <c r="EW89" i="2"/>
  <c r="EU88" i="2"/>
  <c r="FI88" i="2"/>
  <c r="ES87" i="2"/>
  <c r="FG87" i="2"/>
  <c r="FE86" i="2"/>
  <c r="EQ86" i="2"/>
  <c r="FC85" i="2"/>
  <c r="EO85" i="2"/>
  <c r="EM84" i="2"/>
  <c r="FA84" i="2"/>
  <c r="EY82" i="2"/>
  <c r="FM82" i="2"/>
  <c r="FK81" i="2"/>
  <c r="EW81" i="2"/>
  <c r="FI80" i="2"/>
  <c r="EU80" i="2"/>
  <c r="FG79" i="2"/>
  <c r="ES79" i="2"/>
  <c r="FE78" i="2"/>
  <c r="EQ78" i="2"/>
  <c r="FC77" i="2"/>
  <c r="EO77" i="2"/>
  <c r="FA76" i="2"/>
  <c r="EM76" i="2"/>
  <c r="EY74" i="2"/>
  <c r="FM74" i="2"/>
  <c r="FK73" i="2"/>
  <c r="EW73" i="2"/>
  <c r="EU72" i="2"/>
  <c r="FI72" i="2"/>
  <c r="ES71" i="2"/>
  <c r="FG71" i="2"/>
  <c r="FE70" i="2"/>
  <c r="EQ70" i="2"/>
  <c r="FC69" i="2"/>
  <c r="EO69" i="2"/>
  <c r="FA68" i="2"/>
  <c r="EM68" i="2"/>
  <c r="FM66" i="2"/>
  <c r="EY66" i="2"/>
  <c r="FK65" i="2"/>
  <c r="EW65" i="2"/>
  <c r="FI64" i="2"/>
  <c r="EU64" i="2"/>
  <c r="FG63" i="2"/>
  <c r="ES63" i="2"/>
  <c r="FE62" i="2"/>
  <c r="EQ62" i="2"/>
  <c r="FC61" i="2"/>
  <c r="EO61" i="2"/>
  <c r="FA60" i="2"/>
  <c r="EM60" i="2"/>
  <c r="FM58" i="2"/>
  <c r="EY58" i="2"/>
  <c r="FK57" i="2"/>
  <c r="EW57" i="2"/>
  <c r="EU56" i="2"/>
  <c r="FI56" i="2"/>
  <c r="FG55" i="2"/>
  <c r="ES55" i="2"/>
  <c r="FE54" i="2"/>
  <c r="EQ54" i="2"/>
  <c r="FC53" i="2"/>
  <c r="EO53" i="2"/>
  <c r="EM52" i="2"/>
  <c r="FA52" i="2"/>
  <c r="FM50" i="2"/>
  <c r="EY50" i="2"/>
  <c r="FK49" i="2"/>
  <c r="EW49" i="2"/>
  <c r="FI48" i="2"/>
  <c r="EU48" i="2"/>
  <c r="FG47" i="2"/>
  <c r="ES47" i="2"/>
  <c r="FE46" i="2"/>
  <c r="EQ46" i="2"/>
  <c r="EO45" i="2"/>
  <c r="FC45" i="2"/>
  <c r="FA44" i="2"/>
  <c r="EM44" i="2"/>
  <c r="FM42" i="2"/>
  <c r="EY42" i="2"/>
  <c r="FK41" i="2"/>
  <c r="EW41" i="2"/>
  <c r="FI40" i="2"/>
  <c r="EU40" i="2"/>
  <c r="FG39" i="2"/>
  <c r="ES39" i="2"/>
  <c r="FE38" i="2"/>
  <c r="EQ38" i="2"/>
  <c r="FC37" i="2"/>
  <c r="EO37" i="2"/>
  <c r="FA36" i="2"/>
  <c r="EM36" i="2"/>
  <c r="FM34" i="2"/>
  <c r="EY34" i="2"/>
  <c r="FK33" i="2"/>
  <c r="EW33" i="2"/>
  <c r="FI32" i="2"/>
  <c r="EU32" i="2"/>
  <c r="FG31" i="2"/>
  <c r="ES31" i="2"/>
  <c r="FE30" i="2"/>
  <c r="EQ30" i="2"/>
  <c r="FC29" i="2"/>
  <c r="EO29" i="2"/>
  <c r="FA28" i="2"/>
  <c r="EM28" i="2"/>
  <c r="EY26" i="2"/>
  <c r="FM26" i="2"/>
  <c r="FK25" i="2"/>
  <c r="EW25" i="2"/>
  <c r="FI24" i="2"/>
  <c r="EU24" i="2"/>
  <c r="FG23" i="2"/>
  <c r="ES23" i="2"/>
  <c r="FE22" i="2"/>
  <c r="EQ22" i="2"/>
  <c r="FC21" i="2"/>
  <c r="EO21" i="2"/>
  <c r="EM20" i="2"/>
  <c r="FA20" i="2"/>
  <c r="FM18" i="2"/>
  <c r="EY18" i="2"/>
  <c r="FK17" i="2"/>
  <c r="EW17" i="2"/>
  <c r="FI16" i="2"/>
  <c r="EU16" i="2"/>
  <c r="FG15" i="2"/>
  <c r="ES15" i="2"/>
  <c r="FE14" i="2"/>
  <c r="EQ14" i="2"/>
  <c r="FC13" i="2"/>
  <c r="EO13" i="2"/>
  <c r="FA12" i="2"/>
  <c r="EM12" i="2"/>
  <c r="FM10" i="2"/>
  <c r="EY10" i="2"/>
  <c r="FK9" i="2"/>
  <c r="EW9" i="2"/>
  <c r="FI8" i="2"/>
  <c r="EU8" i="2"/>
  <c r="FG7" i="2"/>
  <c r="ES7" i="2"/>
  <c r="FE6" i="2"/>
  <c r="EQ6" i="2"/>
  <c r="FC5" i="2"/>
  <c r="EO5" i="2"/>
  <c r="FA4" i="2"/>
  <c r="EM4" i="2"/>
  <c r="FM2" i="2"/>
  <c r="EY2" i="2"/>
  <c r="FE101" i="2"/>
  <c r="EQ101" i="2"/>
  <c r="FE93" i="2"/>
  <c r="EQ93" i="2"/>
  <c r="FE85" i="2"/>
  <c r="EQ85" i="2"/>
  <c r="FG78" i="2"/>
  <c r="ES78" i="2"/>
  <c r="FC76" i="2"/>
  <c r="EO76" i="2"/>
  <c r="FG70" i="2"/>
  <c r="ES70" i="2"/>
  <c r="FA67" i="2"/>
  <c r="EM67" i="2"/>
  <c r="EQ61" i="2"/>
  <c r="FE61" i="2"/>
  <c r="FI55" i="2"/>
  <c r="EU55" i="2"/>
  <c r="FM49" i="2"/>
  <c r="EY49" i="2"/>
  <c r="FC44" i="2"/>
  <c r="EO44" i="2"/>
  <c r="FG38" i="2"/>
  <c r="ES38" i="2"/>
  <c r="FE29" i="2"/>
  <c r="EQ29" i="2"/>
  <c r="FE21" i="2"/>
  <c r="EQ21" i="2"/>
  <c r="FA11" i="2"/>
  <c r="EM11" i="2"/>
  <c r="FB109" i="2"/>
  <c r="EN109" i="2"/>
  <c r="FN107" i="2"/>
  <c r="EZ107" i="2"/>
  <c r="EX106" i="2"/>
  <c r="FL106" i="2"/>
  <c r="FJ105" i="2"/>
  <c r="EV105" i="2"/>
  <c r="ET104" i="2"/>
  <c r="FH104" i="2"/>
  <c r="ER103" i="2"/>
  <c r="FF103" i="2"/>
  <c r="EP102" i="2"/>
  <c r="FD102" i="2"/>
  <c r="EN101" i="2"/>
  <c r="FB101" i="2"/>
  <c r="FN99" i="2"/>
  <c r="EZ99" i="2"/>
  <c r="FL98" i="2"/>
  <c r="EX98" i="2"/>
  <c r="FJ97" i="2"/>
  <c r="EV97" i="2"/>
  <c r="FH96" i="2"/>
  <c r="ET96" i="2"/>
  <c r="FF95" i="2"/>
  <c r="ER95" i="2"/>
  <c r="FD94" i="2"/>
  <c r="EP94" i="2"/>
  <c r="FB93" i="2"/>
  <c r="EN93" i="2"/>
  <c r="EZ91" i="2"/>
  <c r="FN91" i="2"/>
  <c r="EX90" i="2"/>
  <c r="FL90" i="2"/>
  <c r="EV89" i="2"/>
  <c r="FJ89" i="2"/>
  <c r="FH88" i="2"/>
  <c r="ET88" i="2"/>
  <c r="ER87" i="2"/>
  <c r="FF87" i="2"/>
  <c r="EP86" i="2"/>
  <c r="FD86" i="2"/>
  <c r="FB85" i="2"/>
  <c r="EN85" i="2"/>
  <c r="FN83" i="2"/>
  <c r="EZ83" i="2"/>
  <c r="EX82" i="2"/>
  <c r="FL82" i="2"/>
  <c r="FJ81" i="2"/>
  <c r="EV81" i="2"/>
  <c r="FH80" i="2"/>
  <c r="ET80" i="2"/>
  <c r="FF79" i="2"/>
  <c r="ER79" i="2"/>
  <c r="FD78" i="2"/>
  <c r="EP78" i="2"/>
  <c r="FB77" i="2"/>
  <c r="EN77" i="2"/>
  <c r="EZ75" i="2"/>
  <c r="FN75" i="2"/>
  <c r="EX74" i="2"/>
  <c r="FL74" i="2"/>
  <c r="FJ73" i="2"/>
  <c r="EV73" i="2"/>
  <c r="FH72" i="2"/>
  <c r="ET72" i="2"/>
  <c r="ER71" i="2"/>
  <c r="FF71" i="2"/>
  <c r="FD70" i="2"/>
  <c r="EP70" i="2"/>
  <c r="FB69" i="2"/>
  <c r="EN69" i="2"/>
  <c r="EZ67" i="2"/>
  <c r="FN67" i="2"/>
  <c r="FL66" i="2"/>
  <c r="EX66" i="2"/>
  <c r="FJ65" i="2"/>
  <c r="EV65" i="2"/>
  <c r="ET64" i="2"/>
  <c r="FH64" i="2"/>
  <c r="FF63" i="2"/>
  <c r="ER63" i="2"/>
  <c r="FD62" i="2"/>
  <c r="EP62" i="2"/>
  <c r="FB61" i="2"/>
  <c r="EN61" i="2"/>
  <c r="FN59" i="2"/>
  <c r="EZ59" i="2"/>
  <c r="FL58" i="2"/>
  <c r="EX58" i="2"/>
  <c r="FJ57" i="2"/>
  <c r="EV57" i="2"/>
  <c r="ET56" i="2"/>
  <c r="FH56" i="2"/>
  <c r="FF55" i="2"/>
  <c r="ER55" i="2"/>
  <c r="FD54" i="2"/>
  <c r="EP54" i="2"/>
  <c r="FB53" i="2"/>
  <c r="EN53" i="2"/>
  <c r="FN51" i="2"/>
  <c r="EZ51" i="2"/>
  <c r="EX50" i="2"/>
  <c r="FL50" i="2"/>
  <c r="FJ49" i="2"/>
  <c r="EV49" i="2"/>
  <c r="FH48" i="2"/>
  <c r="ET48" i="2"/>
  <c r="FF47" i="2"/>
  <c r="ER47" i="2"/>
  <c r="FD46" i="2"/>
  <c r="EP46" i="2"/>
  <c r="FB45" i="2"/>
  <c r="EN45" i="2"/>
  <c r="FN43" i="2"/>
  <c r="EZ43" i="2"/>
  <c r="FL42" i="2"/>
  <c r="EX42" i="2"/>
  <c r="FJ41" i="2"/>
  <c r="EV41" i="2"/>
  <c r="FH40" i="2"/>
  <c r="ET40" i="2"/>
  <c r="ER39" i="2"/>
  <c r="FF39" i="2"/>
  <c r="EP38" i="2"/>
  <c r="FD38" i="2"/>
  <c r="FB37" i="2"/>
  <c r="EN37" i="2"/>
  <c r="FN35" i="2"/>
  <c r="EZ35" i="2"/>
  <c r="EX34" i="2"/>
  <c r="FL34" i="2"/>
  <c r="FJ33" i="2"/>
  <c r="EV33" i="2"/>
  <c r="FH32" i="2"/>
  <c r="ET32" i="2"/>
  <c r="FF31" i="2"/>
  <c r="ER31" i="2"/>
  <c r="FD30" i="2"/>
  <c r="EP30" i="2"/>
  <c r="FB29" i="2"/>
  <c r="EN29" i="2"/>
  <c r="FN27" i="2"/>
  <c r="EZ27" i="2"/>
  <c r="FL26" i="2"/>
  <c r="EX26" i="2"/>
  <c r="FJ25" i="2"/>
  <c r="EV25" i="2"/>
  <c r="FH24" i="2"/>
  <c r="ET24" i="2"/>
  <c r="FF23" i="2"/>
  <c r="ER23" i="2"/>
  <c r="FD22" i="2"/>
  <c r="EP22" i="2"/>
  <c r="FB21" i="2"/>
  <c r="EN21" i="2"/>
  <c r="EZ19" i="2"/>
  <c r="FN19" i="2"/>
  <c r="FL18" i="2"/>
  <c r="EX18" i="2"/>
  <c r="FJ17" i="2"/>
  <c r="EV17" i="2"/>
  <c r="FH16" i="2"/>
  <c r="ET16" i="2"/>
  <c r="ER15" i="2"/>
  <c r="FF15" i="2"/>
  <c r="EP14" i="2"/>
  <c r="FD14" i="2"/>
  <c r="FB13" i="2"/>
  <c r="EN13" i="2"/>
  <c r="FN11" i="2"/>
  <c r="EZ11" i="2"/>
  <c r="FL10" i="2"/>
  <c r="EX10" i="2"/>
  <c r="FJ9" i="2"/>
  <c r="EV9" i="2"/>
  <c r="FH8" i="2"/>
  <c r="ET8" i="2"/>
  <c r="FF7" i="2"/>
  <c r="ER7" i="2"/>
  <c r="FD6" i="2"/>
  <c r="EP6" i="2"/>
  <c r="FB5" i="2"/>
  <c r="EN5" i="2"/>
  <c r="FN3" i="2"/>
  <c r="EZ3" i="2"/>
  <c r="FL2" i="2"/>
  <c r="EX2" i="2"/>
  <c r="FA107" i="2"/>
  <c r="EM107" i="2"/>
  <c r="FM97" i="2"/>
  <c r="EY97" i="2"/>
  <c r="FG86" i="2"/>
  <c r="ES86" i="2"/>
  <c r="FI71" i="2"/>
  <c r="EU71" i="2"/>
  <c r="EO60" i="2"/>
  <c r="FC60" i="2"/>
  <c r="EM51" i="2"/>
  <c r="FA51" i="2"/>
  <c r="FK40" i="2"/>
  <c r="EW40" i="2"/>
  <c r="FI31" i="2"/>
  <c r="EU31" i="2"/>
  <c r="FM25" i="2"/>
  <c r="EY25" i="2"/>
  <c r="FA19" i="2"/>
  <c r="EM19" i="2"/>
  <c r="FK8" i="2"/>
  <c r="EW8" i="2"/>
  <c r="FA109" i="2"/>
  <c r="EM109" i="2"/>
  <c r="FM107" i="2"/>
  <c r="EY107" i="2"/>
  <c r="FK106" i="2"/>
  <c r="EW106" i="2"/>
  <c r="EU105" i="2"/>
  <c r="FI105" i="2"/>
  <c r="ES104" i="2"/>
  <c r="FG104" i="2"/>
  <c r="EQ103" i="2"/>
  <c r="FE103" i="2"/>
  <c r="EO102" i="2"/>
  <c r="FC102" i="2"/>
  <c r="EM101" i="2"/>
  <c r="FA101" i="2"/>
  <c r="EY99" i="2"/>
  <c r="FM99" i="2"/>
  <c r="FK98" i="2"/>
  <c r="EW98" i="2"/>
  <c r="FI97" i="2"/>
  <c r="EU97" i="2"/>
  <c r="ES96" i="2"/>
  <c r="FG96" i="2"/>
  <c r="EQ95" i="2"/>
  <c r="FE95" i="2"/>
  <c r="FC94" i="2"/>
  <c r="EO94" i="2"/>
  <c r="FA93" i="2"/>
  <c r="EM93" i="2"/>
  <c r="FM91" i="2"/>
  <c r="EY91" i="2"/>
  <c r="EW90" i="2"/>
  <c r="FK90" i="2"/>
  <c r="EU89" i="2"/>
  <c r="FI89" i="2"/>
  <c r="FG88" i="2"/>
  <c r="ES88" i="2"/>
  <c r="FE87" i="2"/>
  <c r="EQ87" i="2"/>
  <c r="EO86" i="2"/>
  <c r="FC86" i="2"/>
  <c r="EM85" i="2"/>
  <c r="FA85" i="2"/>
  <c r="FM83" i="2"/>
  <c r="EY83" i="2"/>
  <c r="EW82" i="2"/>
  <c r="FK82" i="2"/>
  <c r="FI81" i="2"/>
  <c r="EU81" i="2"/>
  <c r="FG80" i="2"/>
  <c r="ES80" i="2"/>
  <c r="EQ79" i="2"/>
  <c r="FE79" i="2"/>
  <c r="FC78" i="2"/>
  <c r="EO78" i="2"/>
  <c r="FA77" i="2"/>
  <c r="EM77" i="2"/>
  <c r="FM75" i="2"/>
  <c r="EY75" i="2"/>
  <c r="EW74" i="2"/>
  <c r="FK74" i="2"/>
  <c r="FI73" i="2"/>
  <c r="EU73" i="2"/>
  <c r="FG72" i="2"/>
  <c r="ES72" i="2"/>
  <c r="EQ71" i="2"/>
  <c r="FE71" i="2"/>
  <c r="FC70" i="2"/>
  <c r="EO70" i="2"/>
  <c r="EM69" i="2"/>
  <c r="FA69" i="2"/>
  <c r="EY67" i="2"/>
  <c r="FM67" i="2"/>
  <c r="FK66" i="2"/>
  <c r="EW66" i="2"/>
  <c r="EU65" i="2"/>
  <c r="FI65" i="2"/>
  <c r="ES64" i="2"/>
  <c r="FG64" i="2"/>
  <c r="EQ63" i="2"/>
  <c r="FE63" i="2"/>
  <c r="FC62" i="2"/>
  <c r="EO62" i="2"/>
  <c r="EM61" i="2"/>
  <c r="FA61" i="2"/>
  <c r="EY59" i="2"/>
  <c r="FM59" i="2"/>
  <c r="EW58" i="2"/>
  <c r="FK58" i="2"/>
  <c r="FI57" i="2"/>
  <c r="EU57" i="2"/>
  <c r="ES56" i="2"/>
  <c r="FG56" i="2"/>
  <c r="EQ55" i="2"/>
  <c r="FE55" i="2"/>
  <c r="EO54" i="2"/>
  <c r="FC54" i="2"/>
  <c r="EM53" i="2"/>
  <c r="FA53" i="2"/>
  <c r="EY51" i="2"/>
  <c r="FM51" i="2"/>
  <c r="EW50" i="2"/>
  <c r="FK50" i="2"/>
  <c r="EU49" i="2"/>
  <c r="FI49" i="2"/>
  <c r="ES48" i="2"/>
  <c r="FG48" i="2"/>
  <c r="EQ47" i="2"/>
  <c r="FE47" i="2"/>
  <c r="FC46" i="2"/>
  <c r="EO46" i="2"/>
  <c r="EM45" i="2"/>
  <c r="FA45" i="2"/>
  <c r="EY43" i="2"/>
  <c r="FM43" i="2"/>
  <c r="FK42" i="2"/>
  <c r="EW42" i="2"/>
  <c r="EU41" i="2"/>
  <c r="FI41" i="2"/>
  <c r="FG40" i="2"/>
  <c r="ES40" i="2"/>
  <c r="EQ39" i="2"/>
  <c r="FE39" i="2"/>
  <c r="EO38" i="2"/>
  <c r="FC38" i="2"/>
  <c r="EM37" i="2"/>
  <c r="FA37" i="2"/>
  <c r="FM35" i="2"/>
  <c r="EY35" i="2"/>
  <c r="FK34" i="2"/>
  <c r="EW34" i="2"/>
  <c r="EU33" i="2"/>
  <c r="FI33" i="2"/>
  <c r="FG32" i="2"/>
  <c r="ES32" i="2"/>
  <c r="FE31" i="2"/>
  <c r="EQ31" i="2"/>
  <c r="FC30" i="2"/>
  <c r="EO30" i="2"/>
  <c r="EM29" i="2"/>
  <c r="FA29" i="2"/>
  <c r="EY27" i="2"/>
  <c r="FM27" i="2"/>
  <c r="EW26" i="2"/>
  <c r="FK26" i="2"/>
  <c r="EU25" i="2"/>
  <c r="FI25" i="2"/>
  <c r="ES24" i="2"/>
  <c r="FG24" i="2"/>
  <c r="EQ23" i="2"/>
  <c r="FE23" i="2"/>
  <c r="EO22" i="2"/>
  <c r="FC22" i="2"/>
  <c r="EM21" i="2"/>
  <c r="FA21" i="2"/>
  <c r="FM19" i="2"/>
  <c r="EY19" i="2"/>
  <c r="FK18" i="2"/>
  <c r="EW18" i="2"/>
  <c r="EU17" i="2"/>
  <c r="FI17" i="2"/>
  <c r="FG16" i="2"/>
  <c r="ES16" i="2"/>
  <c r="FE15" i="2"/>
  <c r="EQ15" i="2"/>
  <c r="EO14" i="2"/>
  <c r="FC14" i="2"/>
  <c r="EM13" i="2"/>
  <c r="FA13" i="2"/>
  <c r="FM11" i="2"/>
  <c r="EY11" i="2"/>
  <c r="FK10" i="2"/>
  <c r="EW10" i="2"/>
  <c r="FI9" i="2"/>
  <c r="EU9" i="2"/>
  <c r="FG8" i="2"/>
  <c r="ES8" i="2"/>
  <c r="FE7" i="2"/>
  <c r="EQ7" i="2"/>
  <c r="FC6" i="2"/>
  <c r="EO6" i="2"/>
  <c r="EM5" i="2"/>
  <c r="FA5" i="2"/>
  <c r="FM3" i="2"/>
  <c r="EY3" i="2"/>
  <c r="EW2" i="2"/>
  <c r="FK2" i="2"/>
  <c r="EY105" i="2"/>
  <c r="FM105" i="2"/>
  <c r="FK96" i="2"/>
  <c r="EW96" i="2"/>
  <c r="FM81" i="2"/>
  <c r="EY81" i="2"/>
  <c r="FE69" i="2"/>
  <c r="EQ69" i="2"/>
  <c r="FA59" i="2"/>
  <c r="EM59" i="2"/>
  <c r="ES46" i="2"/>
  <c r="FG46" i="2"/>
  <c r="FC36" i="2"/>
  <c r="EO36" i="2"/>
  <c r="FK24" i="2"/>
  <c r="EW24" i="2"/>
  <c r="FI15" i="2"/>
  <c r="EU15" i="2"/>
  <c r="FC4" i="2"/>
  <c r="EO4" i="2"/>
  <c r="FN108" i="2"/>
  <c r="EZ108" i="2"/>
  <c r="FL107" i="2"/>
  <c r="EX107" i="2"/>
  <c r="FJ106" i="2"/>
  <c r="EV106" i="2"/>
  <c r="FH105" i="2"/>
  <c r="ET105" i="2"/>
  <c r="ER104" i="2"/>
  <c r="FF104" i="2"/>
  <c r="FD103" i="2"/>
  <c r="EP103" i="2"/>
  <c r="EN102" i="2"/>
  <c r="FB102" i="2"/>
  <c r="FN100" i="2"/>
  <c r="EZ100" i="2"/>
  <c r="FL99" i="2"/>
  <c r="EX99" i="2"/>
  <c r="FJ98" i="2"/>
  <c r="EV98" i="2"/>
  <c r="FH97" i="2"/>
  <c r="ET97" i="2"/>
  <c r="FF96" i="2"/>
  <c r="ER96" i="2"/>
  <c r="FD95" i="2"/>
  <c r="EP95" i="2"/>
  <c r="FB94" i="2"/>
  <c r="EN94" i="2"/>
  <c r="FN92" i="2"/>
  <c r="EZ92" i="2"/>
  <c r="FL91" i="2"/>
  <c r="EX91" i="2"/>
  <c r="FJ90" i="2"/>
  <c r="EV90" i="2"/>
  <c r="FH89" i="2"/>
  <c r="ET89" i="2"/>
  <c r="FF88" i="2"/>
  <c r="ER88" i="2"/>
  <c r="FD87" i="2"/>
  <c r="EP87" i="2"/>
  <c r="FB86" i="2"/>
  <c r="EN86" i="2"/>
  <c r="FN84" i="2"/>
  <c r="EZ84" i="2"/>
  <c r="FL83" i="2"/>
  <c r="EX83" i="2"/>
  <c r="FJ82" i="2"/>
  <c r="EV82" i="2"/>
  <c r="FH81" i="2"/>
  <c r="ET81" i="2"/>
  <c r="ER80" i="2"/>
  <c r="FF80" i="2"/>
  <c r="FD79" i="2"/>
  <c r="EP79" i="2"/>
  <c r="FB78" i="2"/>
  <c r="EN78" i="2"/>
  <c r="FN76" i="2"/>
  <c r="EZ76" i="2"/>
  <c r="FL75" i="2"/>
  <c r="EX75" i="2"/>
  <c r="FJ74" i="2"/>
  <c r="EV74" i="2"/>
  <c r="FH73" i="2"/>
  <c r="ET73" i="2"/>
  <c r="FF72" i="2"/>
  <c r="ER72" i="2"/>
  <c r="EP71" i="2"/>
  <c r="FD71" i="2"/>
  <c r="FB70" i="2"/>
  <c r="EN70" i="2"/>
  <c r="FN68" i="2"/>
  <c r="EZ68" i="2"/>
  <c r="FL67" i="2"/>
  <c r="EX67" i="2"/>
  <c r="FJ66" i="2"/>
  <c r="EV66" i="2"/>
  <c r="FH65" i="2"/>
  <c r="ET65" i="2"/>
  <c r="ER64" i="2"/>
  <c r="FF64" i="2"/>
  <c r="FD63" i="2"/>
  <c r="EP63" i="2"/>
  <c r="EN62" i="2"/>
  <c r="FB62" i="2"/>
  <c r="FN60" i="2"/>
  <c r="EZ60" i="2"/>
  <c r="FL59" i="2"/>
  <c r="EX59" i="2"/>
  <c r="EV58" i="2"/>
  <c r="FJ58" i="2"/>
  <c r="ET57" i="2"/>
  <c r="FH57" i="2"/>
  <c r="ER56" i="2"/>
  <c r="FF56" i="2"/>
  <c r="EP55" i="2"/>
  <c r="FD55" i="2"/>
  <c r="EN54" i="2"/>
  <c r="FB54" i="2"/>
  <c r="EZ52" i="2"/>
  <c r="FN52" i="2"/>
  <c r="FL51" i="2"/>
  <c r="EX51" i="2"/>
  <c r="EV50" i="2"/>
  <c r="FJ50" i="2"/>
  <c r="ET49" i="2"/>
  <c r="FH49" i="2"/>
  <c r="ER48" i="2"/>
  <c r="FF48" i="2"/>
  <c r="EP47" i="2"/>
  <c r="FD47" i="2"/>
  <c r="FB46" i="2"/>
  <c r="EN46" i="2"/>
  <c r="FN44" i="2"/>
  <c r="EZ44" i="2"/>
  <c r="FL43" i="2"/>
  <c r="EX43" i="2"/>
  <c r="FJ42" i="2"/>
  <c r="EV42" i="2"/>
  <c r="ET41" i="2"/>
  <c r="FH41" i="2"/>
  <c r="ER40" i="2"/>
  <c r="FF40" i="2"/>
  <c r="EP39" i="2"/>
  <c r="FD39" i="2"/>
  <c r="EN38" i="2"/>
  <c r="FB38" i="2"/>
  <c r="EZ36" i="2"/>
  <c r="FN36" i="2"/>
  <c r="FL35" i="2"/>
  <c r="EX35" i="2"/>
  <c r="FJ34" i="2"/>
  <c r="EV34" i="2"/>
  <c r="ET33" i="2"/>
  <c r="FH33" i="2"/>
  <c r="FF32" i="2"/>
  <c r="ER32" i="2"/>
  <c r="EP31" i="2"/>
  <c r="FD31" i="2"/>
  <c r="FB30" i="2"/>
  <c r="EN30" i="2"/>
  <c r="FN28" i="2"/>
  <c r="EZ28" i="2"/>
  <c r="FL27" i="2"/>
  <c r="EX27" i="2"/>
  <c r="EV26" i="2"/>
  <c r="FJ26" i="2"/>
  <c r="ET25" i="2"/>
  <c r="FH25" i="2"/>
  <c r="ER24" i="2"/>
  <c r="FF24" i="2"/>
  <c r="EP23" i="2"/>
  <c r="FD23" i="2"/>
  <c r="EN22" i="2"/>
  <c r="FB22" i="2"/>
  <c r="EZ20" i="2"/>
  <c r="FN20" i="2"/>
  <c r="FL19" i="2"/>
  <c r="EX19" i="2"/>
  <c r="FJ18" i="2"/>
  <c r="EV18" i="2"/>
  <c r="ET17" i="2"/>
  <c r="FH17" i="2"/>
  <c r="FF16" i="2"/>
  <c r="ER16" i="2"/>
  <c r="FD15" i="2"/>
  <c r="EP15" i="2"/>
  <c r="FB14" i="2"/>
  <c r="EN14" i="2"/>
  <c r="FN12" i="2"/>
  <c r="EZ12" i="2"/>
  <c r="FL11" i="2"/>
  <c r="EX11" i="2"/>
  <c r="FJ10" i="2"/>
  <c r="EV10" i="2"/>
  <c r="FH9" i="2"/>
  <c r="ET9" i="2"/>
  <c r="FF8" i="2"/>
  <c r="ER8" i="2"/>
  <c r="FD7" i="2"/>
  <c r="EP7" i="2"/>
  <c r="FB6" i="2"/>
  <c r="EN6" i="2"/>
  <c r="FN4" i="2"/>
  <c r="EZ4" i="2"/>
  <c r="FL3" i="2"/>
  <c r="EX3" i="2"/>
  <c r="FJ2" i="2"/>
  <c r="EV2" i="2"/>
  <c r="EQ109" i="2"/>
  <c r="FE109" i="2"/>
  <c r="FK80" i="2"/>
  <c r="EW80" i="2"/>
  <c r="FE37" i="2"/>
  <c r="EQ37" i="2"/>
  <c r="FM108" i="2"/>
  <c r="EY108" i="2"/>
  <c r="FK107" i="2"/>
  <c r="EW107" i="2"/>
  <c r="FI106" i="2"/>
  <c r="EU106" i="2"/>
  <c r="FG105" i="2"/>
  <c r="ES105" i="2"/>
  <c r="FE104" i="2"/>
  <c r="EQ104" i="2"/>
  <c r="FC103" i="2"/>
  <c r="EO103" i="2"/>
  <c r="FA102" i="2"/>
  <c r="EM102" i="2"/>
  <c r="FM100" i="2"/>
  <c r="EY100" i="2"/>
  <c r="FK99" i="2"/>
  <c r="EW99" i="2"/>
  <c r="FI98" i="2"/>
  <c r="EU98" i="2"/>
  <c r="FG97" i="2"/>
  <c r="ES97" i="2"/>
  <c r="FE96" i="2"/>
  <c r="EQ96" i="2"/>
  <c r="FC95" i="2"/>
  <c r="EO95" i="2"/>
  <c r="FA94" i="2"/>
  <c r="EM94" i="2"/>
  <c r="FM92" i="2"/>
  <c r="EY92" i="2"/>
  <c r="FK91" i="2"/>
  <c r="EW91" i="2"/>
  <c r="FI90" i="2"/>
  <c r="EU90" i="2"/>
  <c r="FG89" i="2"/>
  <c r="ES89" i="2"/>
  <c r="FE88" i="2"/>
  <c r="EQ88" i="2"/>
  <c r="FC87" i="2"/>
  <c r="EO87" i="2"/>
  <c r="FA86" i="2"/>
  <c r="EM86" i="2"/>
  <c r="FM84" i="2"/>
  <c r="EY84" i="2"/>
  <c r="FK83" i="2"/>
  <c r="EW83" i="2"/>
  <c r="FI82" i="2"/>
  <c r="EU82" i="2"/>
  <c r="FG81" i="2"/>
  <c r="ES81" i="2"/>
  <c r="FE80" i="2"/>
  <c r="EQ80" i="2"/>
  <c r="FC79" i="2"/>
  <c r="EO79" i="2"/>
  <c r="FA78" i="2"/>
  <c r="EM78" i="2"/>
  <c r="FM76" i="2"/>
  <c r="EY76" i="2"/>
  <c r="FK75" i="2"/>
  <c r="EW75" i="2"/>
  <c r="FI74" i="2"/>
  <c r="EU74" i="2"/>
  <c r="FG73" i="2"/>
  <c r="ES73" i="2"/>
  <c r="FE72" i="2"/>
  <c r="EQ72" i="2"/>
  <c r="EO71" i="2"/>
  <c r="FC71" i="2"/>
  <c r="FA70" i="2"/>
  <c r="EM70" i="2"/>
  <c r="FM68" i="2"/>
  <c r="EY68" i="2"/>
  <c r="EW67" i="2"/>
  <c r="FK67" i="2"/>
  <c r="FI66" i="2"/>
  <c r="EU66" i="2"/>
  <c r="FG65" i="2"/>
  <c r="ES65" i="2"/>
  <c r="FE64" i="2"/>
  <c r="EQ64" i="2"/>
  <c r="EO63" i="2"/>
  <c r="FC63" i="2"/>
  <c r="EM62" i="2"/>
  <c r="FA62" i="2"/>
  <c r="FM60" i="2"/>
  <c r="EY60" i="2"/>
  <c r="FK59" i="2"/>
  <c r="EW59" i="2"/>
  <c r="FI58" i="2"/>
  <c r="EU58" i="2"/>
  <c r="ES57" i="2"/>
  <c r="FG57" i="2"/>
  <c r="EQ56" i="2"/>
  <c r="FE56" i="2"/>
  <c r="EO55" i="2"/>
  <c r="FC55" i="2"/>
  <c r="EM54" i="2"/>
  <c r="FA54" i="2"/>
  <c r="EY52" i="2"/>
  <c r="FM52" i="2"/>
  <c r="EW51" i="2"/>
  <c r="FK51" i="2"/>
  <c r="FI50" i="2"/>
  <c r="EU50" i="2"/>
  <c r="ES49" i="2"/>
  <c r="FG49" i="2"/>
  <c r="EQ48" i="2"/>
  <c r="FE48" i="2"/>
  <c r="EO47" i="2"/>
  <c r="FC47" i="2"/>
  <c r="EM46" i="2"/>
  <c r="FA46" i="2"/>
  <c r="FM44" i="2"/>
  <c r="EY44" i="2"/>
  <c r="FK43" i="2"/>
  <c r="EW43" i="2"/>
  <c r="FI42" i="2"/>
  <c r="EU42" i="2"/>
  <c r="ES41" i="2"/>
  <c r="FG41" i="2"/>
  <c r="EQ40" i="2"/>
  <c r="FE40" i="2"/>
  <c r="EO39" i="2"/>
  <c r="FC39" i="2"/>
  <c r="EM38" i="2"/>
  <c r="FA38" i="2"/>
  <c r="EY36" i="2"/>
  <c r="FM36" i="2"/>
  <c r="EW35" i="2"/>
  <c r="FK35" i="2"/>
  <c r="FI34" i="2"/>
  <c r="EU34" i="2"/>
  <c r="FG33" i="2"/>
  <c r="ES33" i="2"/>
  <c r="EQ32" i="2"/>
  <c r="FE32" i="2"/>
  <c r="FC31" i="2"/>
  <c r="EO31" i="2"/>
  <c r="EM30" i="2"/>
  <c r="FA30" i="2"/>
  <c r="FM28" i="2"/>
  <c r="EY28" i="2"/>
  <c r="FK27" i="2"/>
  <c r="EW27" i="2"/>
  <c r="FI26" i="2"/>
  <c r="EU26" i="2"/>
  <c r="ES25" i="2"/>
  <c r="FG25" i="2"/>
  <c r="EQ24" i="2"/>
  <c r="FE24" i="2"/>
  <c r="EO23" i="2"/>
  <c r="FC23" i="2"/>
  <c r="EM22" i="2"/>
  <c r="FA22" i="2"/>
  <c r="EY20" i="2"/>
  <c r="FM20" i="2"/>
  <c r="FK19" i="2"/>
  <c r="EW19" i="2"/>
  <c r="FI18" i="2"/>
  <c r="EU18" i="2"/>
  <c r="ES17" i="2"/>
  <c r="FG17" i="2"/>
  <c r="FE16" i="2"/>
  <c r="EQ16" i="2"/>
  <c r="FC15" i="2"/>
  <c r="EO15" i="2"/>
  <c r="EM14" i="2"/>
  <c r="FA14" i="2"/>
  <c r="EY12" i="2"/>
  <c r="FM12" i="2"/>
  <c r="EW11" i="2"/>
  <c r="FK11" i="2"/>
  <c r="EU10" i="2"/>
  <c r="FI10" i="2"/>
  <c r="FG9" i="2"/>
  <c r="ES9" i="2"/>
  <c r="FE8" i="2"/>
  <c r="EQ8" i="2"/>
  <c r="FC7" i="2"/>
  <c r="EO7" i="2"/>
  <c r="EM6" i="2"/>
  <c r="FA6" i="2"/>
  <c r="FM4" i="2"/>
  <c r="EY4" i="2"/>
  <c r="FK3" i="2"/>
  <c r="EW3" i="2"/>
  <c r="FI2" i="2"/>
  <c r="EU2" i="2"/>
  <c r="FK88" i="2"/>
  <c r="EW88" i="2"/>
  <c r="FC52" i="2"/>
  <c r="EO52" i="2"/>
  <c r="ES6" i="2"/>
  <c r="FG6" i="2"/>
  <c r="FN109" i="2"/>
  <c r="EZ109" i="2"/>
  <c r="FL108" i="2"/>
  <c r="EX108" i="2"/>
  <c r="FJ107" i="2"/>
  <c r="EV107" i="2"/>
  <c r="FH106" i="2"/>
  <c r="ET106" i="2"/>
  <c r="FF105" i="2"/>
  <c r="ER105" i="2"/>
  <c r="FD104" i="2"/>
  <c r="EP104" i="2"/>
  <c r="FB103" i="2"/>
  <c r="EN103" i="2"/>
  <c r="EZ101" i="2"/>
  <c r="FN101" i="2"/>
  <c r="FL100" i="2"/>
  <c r="EX100" i="2"/>
  <c r="FJ99" i="2"/>
  <c r="EV99" i="2"/>
  <c r="FH98" i="2"/>
  <c r="ET98" i="2"/>
  <c r="FF97" i="2"/>
  <c r="ER97" i="2"/>
  <c r="FD96" i="2"/>
  <c r="EP96" i="2"/>
  <c r="FB95" i="2"/>
  <c r="EN95" i="2"/>
  <c r="FN93" i="2"/>
  <c r="EZ93" i="2"/>
  <c r="FL92" i="2"/>
  <c r="EX92" i="2"/>
  <c r="FJ91" i="2"/>
  <c r="EV91" i="2"/>
  <c r="FH90" i="2"/>
  <c r="ET90" i="2"/>
  <c r="FF89" i="2"/>
  <c r="ER89" i="2"/>
  <c r="FD88" i="2"/>
  <c r="EP88" i="2"/>
  <c r="FB87" i="2"/>
  <c r="EN87" i="2"/>
  <c r="FN85" i="2"/>
  <c r="EZ85" i="2"/>
  <c r="FL84" i="2"/>
  <c r="EX84" i="2"/>
  <c r="EV83" i="2"/>
  <c r="FJ83" i="2"/>
  <c r="FH82" i="2"/>
  <c r="ET82" i="2"/>
  <c r="FF81" i="2"/>
  <c r="ER81" i="2"/>
  <c r="FD80" i="2"/>
  <c r="EP80" i="2"/>
  <c r="FB79" i="2"/>
  <c r="EN79" i="2"/>
  <c r="FN77" i="2"/>
  <c r="EZ77" i="2"/>
  <c r="FL76" i="2"/>
  <c r="EX76" i="2"/>
  <c r="FJ75" i="2"/>
  <c r="EV75" i="2"/>
  <c r="FH74" i="2"/>
  <c r="ET74" i="2"/>
  <c r="FF73" i="2"/>
  <c r="ER73" i="2"/>
  <c r="FD72" i="2"/>
  <c r="EP72" i="2"/>
  <c r="EN71" i="2"/>
  <c r="FB71" i="2"/>
  <c r="FN69" i="2"/>
  <c r="EZ69" i="2"/>
  <c r="FL68" i="2"/>
  <c r="EX68" i="2"/>
  <c r="FJ67" i="2"/>
  <c r="EV67" i="2"/>
  <c r="FH66" i="2"/>
  <c r="ET66" i="2"/>
  <c r="FF65" i="2"/>
  <c r="ER65" i="2"/>
  <c r="FD64" i="2"/>
  <c r="EP64" i="2"/>
  <c r="FB63" i="2"/>
  <c r="EN63" i="2"/>
  <c r="FN61" i="2"/>
  <c r="EZ61" i="2"/>
  <c r="FL60" i="2"/>
  <c r="EX60" i="2"/>
  <c r="FJ59" i="2"/>
  <c r="EV59" i="2"/>
  <c r="FH58" i="2"/>
  <c r="ET58" i="2"/>
  <c r="FF57" i="2"/>
  <c r="ER57" i="2"/>
  <c r="FD56" i="2"/>
  <c r="EP56" i="2"/>
  <c r="FB55" i="2"/>
  <c r="EN55" i="2"/>
  <c r="FN53" i="2"/>
  <c r="EZ53" i="2"/>
  <c r="FL52" i="2"/>
  <c r="EX52" i="2"/>
  <c r="FJ51" i="2"/>
  <c r="EV51" i="2"/>
  <c r="FH50" i="2"/>
  <c r="ET50" i="2"/>
  <c r="FF49" i="2"/>
  <c r="ER49" i="2"/>
  <c r="FD48" i="2"/>
  <c r="EP48" i="2"/>
  <c r="FB47" i="2"/>
  <c r="EN47" i="2"/>
  <c r="FN45" i="2"/>
  <c r="EZ45" i="2"/>
  <c r="FL44" i="2"/>
  <c r="EX44" i="2"/>
  <c r="FJ43" i="2"/>
  <c r="EV43" i="2"/>
  <c r="FH42" i="2"/>
  <c r="ET42" i="2"/>
  <c r="FF41" i="2"/>
  <c r="ER41" i="2"/>
  <c r="FD40" i="2"/>
  <c r="EP40" i="2"/>
  <c r="FB39" i="2"/>
  <c r="EN39" i="2"/>
  <c r="FN37" i="2"/>
  <c r="EZ37" i="2"/>
  <c r="EX36" i="2"/>
  <c r="FL36" i="2"/>
  <c r="FJ35" i="2"/>
  <c r="EV35" i="2"/>
  <c r="FH34" i="2"/>
  <c r="ET34" i="2"/>
  <c r="FF33" i="2"/>
  <c r="ER33" i="2"/>
  <c r="FD32" i="2"/>
  <c r="EP32" i="2"/>
  <c r="FB31" i="2"/>
  <c r="EN31" i="2"/>
  <c r="FN29" i="2"/>
  <c r="EZ29" i="2"/>
  <c r="FL28" i="2"/>
  <c r="EX28" i="2"/>
  <c r="FJ27" i="2"/>
  <c r="EV27" i="2"/>
  <c r="FH26" i="2"/>
  <c r="ET26" i="2"/>
  <c r="FF25" i="2"/>
  <c r="ER25" i="2"/>
  <c r="FD24" i="2"/>
  <c r="EP24" i="2"/>
  <c r="FB23" i="2"/>
  <c r="EN23" i="2"/>
  <c r="EZ21" i="2"/>
  <c r="FN21" i="2"/>
  <c r="FL20" i="2"/>
  <c r="EX20" i="2"/>
  <c r="FJ19" i="2"/>
  <c r="EV19" i="2"/>
  <c r="FH18" i="2"/>
  <c r="ET18" i="2"/>
  <c r="FF17" i="2"/>
  <c r="ER17" i="2"/>
  <c r="FD16" i="2"/>
  <c r="EP16" i="2"/>
  <c r="FB15" i="2"/>
  <c r="EN15" i="2"/>
  <c r="FN13" i="2"/>
  <c r="EZ13" i="2"/>
  <c r="FL12" i="2"/>
  <c r="EX12" i="2"/>
  <c r="FJ11" i="2"/>
  <c r="EV11" i="2"/>
  <c r="ET10" i="2"/>
  <c r="FH10" i="2"/>
  <c r="FF9" i="2"/>
  <c r="ER9" i="2"/>
  <c r="FD8" i="2"/>
  <c r="EP8" i="2"/>
  <c r="FB7" i="2"/>
  <c r="EN7" i="2"/>
  <c r="FN5" i="2"/>
  <c r="EZ5" i="2"/>
  <c r="FL4" i="2"/>
  <c r="EX4" i="2"/>
  <c r="FJ3" i="2"/>
  <c r="EV3" i="2"/>
  <c r="FH2" i="2"/>
  <c r="ET2" i="2"/>
  <c r="FI95" i="2"/>
  <c r="EU95" i="2"/>
  <c r="FK56" i="2"/>
  <c r="EW56" i="2"/>
  <c r="FI7" i="2"/>
  <c r="EU7" i="2"/>
  <c r="FM109" i="2"/>
  <c r="EY109" i="2"/>
  <c r="FK108" i="2"/>
  <c r="EW108" i="2"/>
  <c r="FI107" i="2"/>
  <c r="EU107" i="2"/>
  <c r="FG106" i="2"/>
  <c r="ES106" i="2"/>
  <c r="FE105" i="2"/>
  <c r="EQ105" i="2"/>
  <c r="FC104" i="2"/>
  <c r="EO104" i="2"/>
  <c r="EM103" i="2"/>
  <c r="FA103" i="2"/>
  <c r="EY101" i="2"/>
  <c r="FM101" i="2"/>
  <c r="FK100" i="2"/>
  <c r="EW100" i="2"/>
  <c r="FI99" i="2"/>
  <c r="EU99" i="2"/>
  <c r="FG98" i="2"/>
  <c r="ES98" i="2"/>
  <c r="FE97" i="2"/>
  <c r="EQ97" i="2"/>
  <c r="FC96" i="2"/>
  <c r="EO96" i="2"/>
  <c r="FA95" i="2"/>
  <c r="EM95" i="2"/>
  <c r="EY93" i="2"/>
  <c r="FM93" i="2"/>
  <c r="FK92" i="2"/>
  <c r="EW92" i="2"/>
  <c r="FI91" i="2"/>
  <c r="EU91" i="2"/>
  <c r="FG90" i="2"/>
  <c r="ES90" i="2"/>
  <c r="FE89" i="2"/>
  <c r="EQ89" i="2"/>
  <c r="FC88" i="2"/>
  <c r="EO88" i="2"/>
  <c r="FA87" i="2"/>
  <c r="EM87" i="2"/>
  <c r="FM85" i="2"/>
  <c r="EY85" i="2"/>
  <c r="FK84" i="2"/>
  <c r="EW84" i="2"/>
  <c r="FI83" i="2"/>
  <c r="EU83" i="2"/>
  <c r="FG82" i="2"/>
  <c r="ES82" i="2"/>
  <c r="FE81" i="2"/>
  <c r="EQ81" i="2"/>
  <c r="FC80" i="2"/>
  <c r="EO80" i="2"/>
  <c r="EM79" i="2"/>
  <c r="FA79" i="2"/>
  <c r="FM77" i="2"/>
  <c r="EY77" i="2"/>
  <c r="FK76" i="2"/>
  <c r="EW76" i="2"/>
  <c r="FI75" i="2"/>
  <c r="EU75" i="2"/>
  <c r="FG74" i="2"/>
  <c r="ES74" i="2"/>
  <c r="FE73" i="2"/>
  <c r="EQ73" i="2"/>
  <c r="FC72" i="2"/>
  <c r="EO72" i="2"/>
  <c r="FA71" i="2"/>
  <c r="EM71" i="2"/>
  <c r="FM69" i="2"/>
  <c r="EY69" i="2"/>
  <c r="FK68" i="2"/>
  <c r="EW68" i="2"/>
  <c r="FI67" i="2"/>
  <c r="EU67" i="2"/>
  <c r="FG66" i="2"/>
  <c r="ES66" i="2"/>
  <c r="FE65" i="2"/>
  <c r="EQ65" i="2"/>
  <c r="FC64" i="2"/>
  <c r="EO64" i="2"/>
  <c r="FA63" i="2"/>
  <c r="EM63" i="2"/>
  <c r="FM61" i="2"/>
  <c r="EY61" i="2"/>
  <c r="FK60" i="2"/>
  <c r="EW60" i="2"/>
  <c r="FI59" i="2"/>
  <c r="EU59" i="2"/>
  <c r="FG58" i="2"/>
  <c r="ES58" i="2"/>
  <c r="FE57" i="2"/>
  <c r="EQ57" i="2"/>
  <c r="FC56" i="2"/>
  <c r="EO56" i="2"/>
  <c r="EM55" i="2"/>
  <c r="FA55" i="2"/>
  <c r="FM53" i="2"/>
  <c r="EY53" i="2"/>
  <c r="FK52" i="2"/>
  <c r="EW52" i="2"/>
  <c r="FI51" i="2"/>
  <c r="EU51" i="2"/>
  <c r="FG50" i="2"/>
  <c r="ES50" i="2"/>
  <c r="FE49" i="2"/>
  <c r="EQ49" i="2"/>
  <c r="FC48" i="2"/>
  <c r="EO48" i="2"/>
  <c r="EM47" i="2"/>
  <c r="FA47" i="2"/>
  <c r="EY45" i="2"/>
  <c r="FM45" i="2"/>
  <c r="EW44" i="2"/>
  <c r="FK44" i="2"/>
  <c r="FI43" i="2"/>
  <c r="EU43" i="2"/>
  <c r="FG42" i="2"/>
  <c r="ES42" i="2"/>
  <c r="FE41" i="2"/>
  <c r="EQ41" i="2"/>
  <c r="FC40" i="2"/>
  <c r="EO40" i="2"/>
  <c r="EM39" i="2"/>
  <c r="FA39" i="2"/>
  <c r="FM37" i="2"/>
  <c r="EY37" i="2"/>
  <c r="FK36" i="2"/>
  <c r="EW36" i="2"/>
  <c r="EU35" i="2"/>
  <c r="FI35" i="2"/>
  <c r="FG34" i="2"/>
  <c r="ES34" i="2"/>
  <c r="FE33" i="2"/>
  <c r="EQ33" i="2"/>
  <c r="FC32" i="2"/>
  <c r="EO32" i="2"/>
  <c r="EM31" i="2"/>
  <c r="FA31" i="2"/>
  <c r="FM29" i="2"/>
  <c r="EY29" i="2"/>
  <c r="FK28" i="2"/>
  <c r="EW28" i="2"/>
  <c r="FI27" i="2"/>
  <c r="EU27" i="2"/>
  <c r="FG26" i="2"/>
  <c r="ES26" i="2"/>
  <c r="FE25" i="2"/>
  <c r="EQ25" i="2"/>
  <c r="FC24" i="2"/>
  <c r="EO24" i="2"/>
  <c r="FA23" i="2"/>
  <c r="EM23" i="2"/>
  <c r="FM21" i="2"/>
  <c r="EY21" i="2"/>
  <c r="FK20" i="2"/>
  <c r="EW20" i="2"/>
  <c r="FI19" i="2"/>
  <c r="EU19" i="2"/>
  <c r="FG18" i="2"/>
  <c r="ES18" i="2"/>
  <c r="FE17" i="2"/>
  <c r="EQ17" i="2"/>
  <c r="FC16" i="2"/>
  <c r="EO16" i="2"/>
  <c r="EM15" i="2"/>
  <c r="FA15" i="2"/>
  <c r="FM13" i="2"/>
  <c r="EY13" i="2"/>
  <c r="FK12" i="2"/>
  <c r="EW12" i="2"/>
  <c r="FI11" i="2"/>
  <c r="EU11" i="2"/>
  <c r="FG10" i="2"/>
  <c r="ES10" i="2"/>
  <c r="FE9" i="2"/>
  <c r="EQ9" i="2"/>
  <c r="EO8" i="2"/>
  <c r="FC8" i="2"/>
  <c r="EM7" i="2"/>
  <c r="FA7" i="2"/>
  <c r="FM5" i="2"/>
  <c r="EY5" i="2"/>
  <c r="FK4" i="2"/>
  <c r="EW4" i="2"/>
  <c r="FI3" i="2"/>
  <c r="EU3" i="2"/>
  <c r="FG2" i="2"/>
  <c r="ES2" i="2"/>
  <c r="FI103" i="2"/>
  <c r="EU103" i="2"/>
  <c r="FA91" i="2"/>
  <c r="EM91" i="2"/>
  <c r="FE77" i="2"/>
  <c r="EQ77" i="2"/>
  <c r="FG62" i="2"/>
  <c r="ES62" i="2"/>
  <c r="EQ45" i="2"/>
  <c r="FE45" i="2"/>
  <c r="FC28" i="2"/>
  <c r="EO28" i="2"/>
  <c r="FG14" i="2"/>
  <c r="ES14" i="2"/>
  <c r="FL109" i="2"/>
  <c r="EX109" i="2"/>
  <c r="FJ108" i="2"/>
  <c r="EV108" i="2"/>
  <c r="FH107" i="2"/>
  <c r="ET107" i="2"/>
  <c r="FF106" i="2"/>
  <c r="ER106" i="2"/>
  <c r="FD105" i="2"/>
  <c r="EP105" i="2"/>
  <c r="FB104" i="2"/>
  <c r="EN104" i="2"/>
  <c r="FN102" i="2"/>
  <c r="EZ102" i="2"/>
  <c r="FL101" i="2"/>
  <c r="EX101" i="2"/>
  <c r="FJ100" i="2"/>
  <c r="EV100" i="2"/>
  <c r="ET99" i="2"/>
  <c r="FH99" i="2"/>
  <c r="FF98" i="2"/>
  <c r="ER98" i="2"/>
  <c r="FD97" i="2"/>
  <c r="EP97" i="2"/>
  <c r="FB96" i="2"/>
  <c r="EN96" i="2"/>
  <c r="FN94" i="2"/>
  <c r="EZ94" i="2"/>
  <c r="EX93" i="2"/>
  <c r="FL93" i="2"/>
  <c r="FJ92" i="2"/>
  <c r="EV92" i="2"/>
  <c r="FH91" i="2"/>
  <c r="ET91" i="2"/>
  <c r="FF90" i="2"/>
  <c r="ER90" i="2"/>
  <c r="FD89" i="2"/>
  <c r="EP89" i="2"/>
  <c r="FB88" i="2"/>
  <c r="EN88" i="2"/>
  <c r="FN86" i="2"/>
  <c r="EZ86" i="2"/>
  <c r="FL85" i="2"/>
  <c r="EX85" i="2"/>
  <c r="FJ84" i="2"/>
  <c r="EV84" i="2"/>
  <c r="FH83" i="2"/>
  <c r="ET83" i="2"/>
  <c r="FF82" i="2"/>
  <c r="ER82" i="2"/>
  <c r="FD81" i="2"/>
  <c r="EP81" i="2"/>
  <c r="FB80" i="2"/>
  <c r="EN80" i="2"/>
  <c r="FN78" i="2"/>
  <c r="EZ78" i="2"/>
  <c r="FL77" i="2"/>
  <c r="EX77" i="2"/>
  <c r="FJ76" i="2"/>
  <c r="EV76" i="2"/>
  <c r="FH75" i="2"/>
  <c r="ET75" i="2"/>
  <c r="FF74" i="2"/>
  <c r="ER74" i="2"/>
  <c r="FD73" i="2"/>
  <c r="EP73" i="2"/>
  <c r="FB72" i="2"/>
  <c r="EN72" i="2"/>
  <c r="FN70" i="2"/>
  <c r="EZ70" i="2"/>
  <c r="FL69" i="2"/>
  <c r="EX69" i="2"/>
  <c r="FJ68" i="2"/>
  <c r="EV68" i="2"/>
  <c r="FH67" i="2"/>
  <c r="ET67" i="2"/>
  <c r="FF66" i="2"/>
  <c r="ER66" i="2"/>
  <c r="FD65" i="2"/>
  <c r="EP65" i="2"/>
  <c r="FB64" i="2"/>
  <c r="EN64" i="2"/>
  <c r="FN62" i="2"/>
  <c r="EZ62" i="2"/>
  <c r="FL61" i="2"/>
  <c r="EX61" i="2"/>
  <c r="EV60" i="2"/>
  <c r="FJ60" i="2"/>
  <c r="FH59" i="2"/>
  <c r="ET59" i="2"/>
  <c r="FF58" i="2"/>
  <c r="ER58" i="2"/>
  <c r="FD57" i="2"/>
  <c r="EP57" i="2"/>
  <c r="FB56" i="2"/>
  <c r="EN56" i="2"/>
  <c r="EZ54" i="2"/>
  <c r="FN54" i="2"/>
  <c r="FL53" i="2"/>
  <c r="EX53" i="2"/>
  <c r="FJ52" i="2"/>
  <c r="EV52" i="2"/>
  <c r="ET51" i="2"/>
  <c r="FH51" i="2"/>
  <c r="FF50" i="2"/>
  <c r="ER50" i="2"/>
  <c r="EP49" i="2"/>
  <c r="FD49" i="2"/>
  <c r="FB48" i="2"/>
  <c r="EN48" i="2"/>
  <c r="FN46" i="2"/>
  <c r="EZ46" i="2"/>
  <c r="FL45" i="2"/>
  <c r="EX45" i="2"/>
  <c r="EV44" i="2"/>
  <c r="FJ44" i="2"/>
  <c r="FH43" i="2"/>
  <c r="ET43" i="2"/>
  <c r="FF42" i="2"/>
  <c r="ER42" i="2"/>
  <c r="FD41" i="2"/>
  <c r="EP41" i="2"/>
  <c r="FB40" i="2"/>
  <c r="EN40" i="2"/>
  <c r="EZ38" i="2"/>
  <c r="FN38" i="2"/>
  <c r="FL37" i="2"/>
  <c r="EX37" i="2"/>
  <c r="FJ36" i="2"/>
  <c r="EV36" i="2"/>
  <c r="ET35" i="2"/>
  <c r="FH35" i="2"/>
  <c r="FF34" i="2"/>
  <c r="ER34" i="2"/>
  <c r="FD33" i="2"/>
  <c r="EP33" i="2"/>
  <c r="FB32" i="2"/>
  <c r="EN32" i="2"/>
  <c r="FN30" i="2"/>
  <c r="EZ30" i="2"/>
  <c r="FL29" i="2"/>
  <c r="EX29" i="2"/>
  <c r="FJ28" i="2"/>
  <c r="EV28" i="2"/>
  <c r="FH27" i="2"/>
  <c r="ET27" i="2"/>
  <c r="FF26" i="2"/>
  <c r="ER26" i="2"/>
  <c r="FD25" i="2"/>
  <c r="EP25" i="2"/>
  <c r="FB24" i="2"/>
  <c r="EN24" i="2"/>
  <c r="FN22" i="2"/>
  <c r="EZ22" i="2"/>
  <c r="FL21" i="2"/>
  <c r="EX21" i="2"/>
  <c r="EV20" i="2"/>
  <c r="FJ20" i="2"/>
  <c r="FH19" i="2"/>
  <c r="ET19" i="2"/>
  <c r="FF18" i="2"/>
  <c r="ER18" i="2"/>
  <c r="FD17" i="2"/>
  <c r="EP17" i="2"/>
  <c r="FB16" i="2"/>
  <c r="EN16" i="2"/>
  <c r="FN14" i="2"/>
  <c r="EZ14" i="2"/>
  <c r="FL13" i="2"/>
  <c r="EX13" i="2"/>
  <c r="FJ12" i="2"/>
  <c r="EV12" i="2"/>
  <c r="FH11" i="2"/>
  <c r="ET11" i="2"/>
  <c r="FF10" i="2"/>
  <c r="ER10" i="2"/>
  <c r="FD9" i="2"/>
  <c r="EP9" i="2"/>
  <c r="FB8" i="2"/>
  <c r="EN8" i="2"/>
  <c r="FN6" i="2"/>
  <c r="EZ6" i="2"/>
  <c r="FL5" i="2"/>
  <c r="EX5" i="2"/>
  <c r="FJ4" i="2"/>
  <c r="EV4" i="2"/>
  <c r="FH3" i="2"/>
  <c r="ET3" i="2"/>
  <c r="FF2" i="2"/>
  <c r="ER2" i="2"/>
  <c r="EQ5" i="2"/>
  <c r="FE5" i="2"/>
  <c r="FK109" i="2"/>
  <c r="EW109" i="2"/>
  <c r="FI108" i="2"/>
  <c r="EU108" i="2"/>
  <c r="FG107" i="2"/>
  <c r="ES107" i="2"/>
  <c r="FE106" i="2"/>
  <c r="EQ106" i="2"/>
  <c r="FC105" i="2"/>
  <c r="EO105" i="2"/>
  <c r="FA104" i="2"/>
  <c r="EM104" i="2"/>
  <c r="FM102" i="2"/>
  <c r="EY102" i="2"/>
  <c r="FK101" i="2"/>
  <c r="EW101" i="2"/>
  <c r="FI100" i="2"/>
  <c r="EU100" i="2"/>
  <c r="FG99" i="2"/>
  <c r="ES99" i="2"/>
  <c r="FE98" i="2"/>
  <c r="EQ98" i="2"/>
  <c r="EO97" i="2"/>
  <c r="FC97" i="2"/>
  <c r="FA96" i="2"/>
  <c r="EM96" i="2"/>
  <c r="FM94" i="2"/>
  <c r="EY94" i="2"/>
  <c r="FK93" i="2"/>
  <c r="EW93" i="2"/>
  <c r="FI92" i="2"/>
  <c r="EU92" i="2"/>
  <c r="FG91" i="2"/>
  <c r="ES91" i="2"/>
  <c r="FE90" i="2"/>
  <c r="EQ90" i="2"/>
  <c r="FC89" i="2"/>
  <c r="EO89" i="2"/>
  <c r="FA88" i="2"/>
  <c r="EM88" i="2"/>
  <c r="FM86" i="2"/>
  <c r="EY86" i="2"/>
  <c r="FK85" i="2"/>
  <c r="EW85" i="2"/>
  <c r="FI84" i="2"/>
  <c r="EU84" i="2"/>
  <c r="FG83" i="2"/>
  <c r="ES83" i="2"/>
  <c r="FE82" i="2"/>
  <c r="EQ82" i="2"/>
  <c r="FC81" i="2"/>
  <c r="EO81" i="2"/>
  <c r="FA80" i="2"/>
  <c r="EM80" i="2"/>
  <c r="FM78" i="2"/>
  <c r="EY78" i="2"/>
  <c r="EW77" i="2"/>
  <c r="FK77" i="2"/>
  <c r="FI76" i="2"/>
  <c r="EU76" i="2"/>
  <c r="FG75" i="2"/>
  <c r="ES75" i="2"/>
  <c r="FE74" i="2"/>
  <c r="EQ74" i="2"/>
  <c r="FC73" i="2"/>
  <c r="EO73" i="2"/>
  <c r="EM72" i="2"/>
  <c r="FA72" i="2"/>
  <c r="FM70" i="2"/>
  <c r="EY70" i="2"/>
  <c r="FK69" i="2"/>
  <c r="EW69" i="2"/>
  <c r="FI68" i="2"/>
  <c r="EU68" i="2"/>
  <c r="FG67" i="2"/>
  <c r="ES67" i="2"/>
  <c r="FE66" i="2"/>
  <c r="EQ66" i="2"/>
  <c r="FC65" i="2"/>
  <c r="EO65" i="2"/>
  <c r="FA64" i="2"/>
  <c r="EM64" i="2"/>
  <c r="FM62" i="2"/>
  <c r="EY62" i="2"/>
  <c r="FK61" i="2"/>
  <c r="EW61" i="2"/>
  <c r="FI60" i="2"/>
  <c r="EU60" i="2"/>
  <c r="FG59" i="2"/>
  <c r="ES59" i="2"/>
  <c r="FE58" i="2"/>
  <c r="EQ58" i="2"/>
  <c r="FC57" i="2"/>
  <c r="EO57" i="2"/>
  <c r="FA56" i="2"/>
  <c r="EM56" i="2"/>
  <c r="FM54" i="2"/>
  <c r="EY54" i="2"/>
  <c r="FK53" i="2"/>
  <c r="EW53" i="2"/>
  <c r="FI52" i="2"/>
  <c r="EU52" i="2"/>
  <c r="ES51" i="2"/>
  <c r="FG51" i="2"/>
  <c r="FE50" i="2"/>
  <c r="EQ50" i="2"/>
  <c r="FC49" i="2"/>
  <c r="EO49" i="2"/>
  <c r="FA48" i="2"/>
  <c r="EM48" i="2"/>
  <c r="FM46" i="2"/>
  <c r="EY46" i="2"/>
  <c r="FK45" i="2"/>
  <c r="EW45" i="2"/>
  <c r="EU44" i="2"/>
  <c r="FI44" i="2"/>
  <c r="ES43" i="2"/>
  <c r="FG43" i="2"/>
  <c r="FE42" i="2"/>
  <c r="EQ42" i="2"/>
  <c r="FC41" i="2"/>
  <c r="EO41" i="2"/>
  <c r="FA40" i="2"/>
  <c r="EM40" i="2"/>
  <c r="FM38" i="2"/>
  <c r="EY38" i="2"/>
  <c r="FK37" i="2"/>
  <c r="EW37" i="2"/>
  <c r="FI36" i="2"/>
  <c r="EU36" i="2"/>
  <c r="ES35" i="2"/>
  <c r="FG35" i="2"/>
  <c r="FE34" i="2"/>
  <c r="EQ34" i="2"/>
  <c r="FC33" i="2"/>
  <c r="EO33" i="2"/>
  <c r="FA32" i="2"/>
  <c r="EM32" i="2"/>
  <c r="FM30" i="2"/>
  <c r="EY30" i="2"/>
  <c r="FK29" i="2"/>
  <c r="EW29" i="2"/>
  <c r="EU28" i="2"/>
  <c r="FI28" i="2"/>
  <c r="FG27" i="2"/>
  <c r="ES27" i="2"/>
  <c r="EQ26" i="2"/>
  <c r="FE26" i="2"/>
  <c r="FC25" i="2"/>
  <c r="EO25" i="2"/>
  <c r="EM24" i="2"/>
  <c r="FA24" i="2"/>
  <c r="FM22" i="2"/>
  <c r="EY22" i="2"/>
  <c r="FK21" i="2"/>
  <c r="EW21" i="2"/>
  <c r="EU20" i="2"/>
  <c r="FI20" i="2"/>
  <c r="FG19" i="2"/>
  <c r="ES19" i="2"/>
  <c r="FE18" i="2"/>
  <c r="EQ18" i="2"/>
  <c r="FC17" i="2"/>
  <c r="EO17" i="2"/>
  <c r="FA16" i="2"/>
  <c r="EM16" i="2"/>
  <c r="FM14" i="2"/>
  <c r="EY14" i="2"/>
  <c r="FK13" i="2"/>
  <c r="EW13" i="2"/>
  <c r="FI12" i="2"/>
  <c r="EU12" i="2"/>
  <c r="ES11" i="2"/>
  <c r="FG11" i="2"/>
  <c r="FE10" i="2"/>
  <c r="EQ10" i="2"/>
  <c r="FC9" i="2"/>
  <c r="EO9" i="2"/>
  <c r="EM8" i="2"/>
  <c r="FA8" i="2"/>
  <c r="FM6" i="2"/>
  <c r="EY6" i="2"/>
  <c r="FK5" i="2"/>
  <c r="EW5" i="2"/>
  <c r="FI4" i="2"/>
  <c r="EU4" i="2"/>
  <c r="FG3" i="2"/>
  <c r="ES3" i="2"/>
  <c r="FE2" i="2"/>
  <c r="EQ2" i="2"/>
  <c r="FG102" i="2"/>
  <c r="ES102" i="2"/>
  <c r="FM89" i="2"/>
  <c r="EY89" i="2"/>
  <c r="FA75" i="2"/>
  <c r="EM75" i="2"/>
  <c r="FI63" i="2"/>
  <c r="EU63" i="2"/>
  <c r="FK48" i="2"/>
  <c r="EW48" i="2"/>
  <c r="FK32" i="2"/>
  <c r="EW32" i="2"/>
  <c r="EW16" i="2"/>
  <c r="FK16" i="2"/>
  <c r="EM3" i="2"/>
  <c r="FA3" i="2"/>
  <c r="FJ109" i="2"/>
  <c r="EV109" i="2"/>
  <c r="ET108" i="2"/>
  <c r="FH108" i="2"/>
  <c r="FF107" i="2"/>
  <c r="ER107" i="2"/>
  <c r="FD106" i="2"/>
  <c r="EP106" i="2"/>
  <c r="FB105" i="2"/>
  <c r="EN105" i="2"/>
  <c r="FN103" i="2"/>
  <c r="EZ103" i="2"/>
  <c r="FL102" i="2"/>
  <c r="EX102" i="2"/>
  <c r="FJ101" i="2"/>
  <c r="EV101" i="2"/>
  <c r="FH100" i="2"/>
  <c r="ET100" i="2"/>
  <c r="FF99" i="2"/>
  <c r="ER99" i="2"/>
  <c r="FD98" i="2"/>
  <c r="EP98" i="2"/>
  <c r="FB97" i="2"/>
  <c r="EN97" i="2"/>
  <c r="EZ95" i="2"/>
  <c r="FN95" i="2"/>
  <c r="FL94" i="2"/>
  <c r="EX94" i="2"/>
  <c r="FJ93" i="2"/>
  <c r="EV93" i="2"/>
  <c r="FH92" i="2"/>
  <c r="ET92" i="2"/>
  <c r="FF91" i="2"/>
  <c r="ER91" i="2"/>
  <c r="EP90" i="2"/>
  <c r="FD90" i="2"/>
  <c r="FB89" i="2"/>
  <c r="EN89" i="2"/>
  <c r="FN87" i="2"/>
  <c r="EZ87" i="2"/>
  <c r="FL86" i="2"/>
  <c r="EX86" i="2"/>
  <c r="FJ85" i="2"/>
  <c r="EV85" i="2"/>
  <c r="FH84" i="2"/>
  <c r="ET84" i="2"/>
  <c r="FF83" i="2"/>
  <c r="ER83" i="2"/>
  <c r="FD82" i="2"/>
  <c r="EP82" i="2"/>
  <c r="FB81" i="2"/>
  <c r="EN81" i="2"/>
  <c r="FN79" i="2"/>
  <c r="EZ79" i="2"/>
  <c r="FL78" i="2"/>
  <c r="EX78" i="2"/>
  <c r="FJ77" i="2"/>
  <c r="EV77" i="2"/>
  <c r="FH76" i="2"/>
  <c r="ET76" i="2"/>
  <c r="FF75" i="2"/>
  <c r="ER75" i="2"/>
  <c r="EP74" i="2"/>
  <c r="FD74" i="2"/>
  <c r="FB73" i="2"/>
  <c r="EN73" i="2"/>
  <c r="FN71" i="2"/>
  <c r="EZ71" i="2"/>
  <c r="FL70" i="2"/>
  <c r="EX70" i="2"/>
  <c r="FJ69" i="2"/>
  <c r="EV69" i="2"/>
  <c r="FH68" i="2"/>
  <c r="ET68" i="2"/>
  <c r="ER67" i="2"/>
  <c r="FF67" i="2"/>
  <c r="FD66" i="2"/>
  <c r="EP66" i="2"/>
  <c r="FB65" i="2"/>
  <c r="EN65" i="2"/>
  <c r="EZ63" i="2"/>
  <c r="FN63" i="2"/>
  <c r="FL62" i="2"/>
  <c r="EX62" i="2"/>
  <c r="FJ61" i="2"/>
  <c r="EV61" i="2"/>
  <c r="FH60" i="2"/>
  <c r="ET60" i="2"/>
  <c r="FF59" i="2"/>
  <c r="ER59" i="2"/>
  <c r="FD58" i="2"/>
  <c r="EP58" i="2"/>
  <c r="FB57" i="2"/>
  <c r="EN57" i="2"/>
  <c r="FN55" i="2"/>
  <c r="EZ55" i="2"/>
  <c r="FL54" i="2"/>
  <c r="EX54" i="2"/>
  <c r="FJ53" i="2"/>
  <c r="EV53" i="2"/>
  <c r="FH52" i="2"/>
  <c r="ET52" i="2"/>
  <c r="FF51" i="2"/>
  <c r="ER51" i="2"/>
  <c r="EP50" i="2"/>
  <c r="FD50" i="2"/>
  <c r="FB49" i="2"/>
  <c r="EN49" i="2"/>
  <c r="EZ47" i="2"/>
  <c r="FN47" i="2"/>
  <c r="FL46" i="2"/>
  <c r="EX46" i="2"/>
  <c r="FJ45" i="2"/>
  <c r="EV45" i="2"/>
  <c r="FH44" i="2"/>
  <c r="ET44" i="2"/>
  <c r="ER43" i="2"/>
  <c r="FF43" i="2"/>
  <c r="EP42" i="2"/>
  <c r="FD42" i="2"/>
  <c r="FB41" i="2"/>
  <c r="EN41" i="2"/>
  <c r="FN39" i="2"/>
  <c r="EZ39" i="2"/>
  <c r="FL38" i="2"/>
  <c r="EX38" i="2"/>
  <c r="FJ37" i="2"/>
  <c r="EV37" i="2"/>
  <c r="ET36" i="2"/>
  <c r="FH36" i="2"/>
  <c r="FF35" i="2"/>
  <c r="ER35" i="2"/>
  <c r="FD34" i="2"/>
  <c r="EP34" i="2"/>
  <c r="FB33" i="2"/>
  <c r="EN33" i="2"/>
  <c r="FN31" i="2"/>
  <c r="EZ31" i="2"/>
  <c r="FL30" i="2"/>
  <c r="EX30" i="2"/>
  <c r="FJ29" i="2"/>
  <c r="EV29" i="2"/>
  <c r="FH28" i="2"/>
  <c r="ET28" i="2"/>
  <c r="FF27" i="2"/>
  <c r="ER27" i="2"/>
  <c r="FD26" i="2"/>
  <c r="EP26" i="2"/>
  <c r="FB25" i="2"/>
  <c r="EN25" i="2"/>
  <c r="FN23" i="2"/>
  <c r="EZ23" i="2"/>
  <c r="FL22" i="2"/>
  <c r="EX22" i="2"/>
  <c r="FJ21" i="2"/>
  <c r="EV21" i="2"/>
  <c r="FH20" i="2"/>
  <c r="ET20" i="2"/>
  <c r="ER19" i="2"/>
  <c r="FF19" i="2"/>
  <c r="FD18" i="2"/>
  <c r="EP18" i="2"/>
  <c r="FB17" i="2"/>
  <c r="EN17" i="2"/>
  <c r="FN15" i="2"/>
  <c r="EZ15" i="2"/>
  <c r="FL14" i="2"/>
  <c r="EX14" i="2"/>
  <c r="FJ13" i="2"/>
  <c r="EV13" i="2"/>
  <c r="FH12" i="2"/>
  <c r="ET12" i="2"/>
  <c r="ER11" i="2"/>
  <c r="FF11" i="2"/>
  <c r="FD10" i="2"/>
  <c r="EP10" i="2"/>
  <c r="FB9" i="2"/>
  <c r="EN9" i="2"/>
  <c r="FN7" i="2"/>
  <c r="EZ7" i="2"/>
  <c r="FL6" i="2"/>
  <c r="EX6" i="2"/>
  <c r="FJ5" i="2"/>
  <c r="EV5" i="2"/>
  <c r="FH4" i="2"/>
  <c r="ET4" i="2"/>
  <c r="FF3" i="2"/>
  <c r="ER3" i="2"/>
  <c r="FD2" i="2"/>
  <c r="EP2" i="2"/>
  <c r="FI109" i="2"/>
  <c r="EU109" i="2"/>
  <c r="ES108" i="2"/>
  <c r="FG108" i="2"/>
  <c r="FE107" i="2"/>
  <c r="EQ107" i="2"/>
  <c r="FC106" i="2"/>
  <c r="EO106" i="2"/>
  <c r="EM105" i="2"/>
  <c r="FA105" i="2"/>
  <c r="FM103" i="2"/>
  <c r="EY103" i="2"/>
  <c r="FK102" i="2"/>
  <c r="EW102" i="2"/>
  <c r="EU101" i="2"/>
  <c r="FI101" i="2"/>
  <c r="FG100" i="2"/>
  <c r="ES100" i="2"/>
  <c r="FE99" i="2"/>
  <c r="EQ99" i="2"/>
  <c r="FC98" i="2"/>
  <c r="EO98" i="2"/>
  <c r="FA97" i="2"/>
  <c r="EM97" i="2"/>
  <c r="EY95" i="2"/>
  <c r="FM95" i="2"/>
  <c r="FK94" i="2"/>
  <c r="EW94" i="2"/>
  <c r="FI93" i="2"/>
  <c r="EU93" i="2"/>
  <c r="FG92" i="2"/>
  <c r="ES92" i="2"/>
  <c r="FE91" i="2"/>
  <c r="EQ91" i="2"/>
  <c r="FC90" i="2"/>
  <c r="EO90" i="2"/>
  <c r="FA89" i="2"/>
  <c r="EM89" i="2"/>
  <c r="FM87" i="2"/>
  <c r="EY87" i="2"/>
  <c r="FK86" i="2"/>
  <c r="EW86" i="2"/>
  <c r="FI85" i="2"/>
  <c r="EU85" i="2"/>
  <c r="FG84" i="2"/>
  <c r="ES84" i="2"/>
  <c r="FE83" i="2"/>
  <c r="EQ83" i="2"/>
  <c r="FC82" i="2"/>
  <c r="EO82" i="2"/>
  <c r="FA81" i="2"/>
  <c r="EM81" i="2"/>
  <c r="FM79" i="2"/>
  <c r="EY79" i="2"/>
  <c r="FK78" i="2"/>
  <c r="EW78" i="2"/>
  <c r="EU77" i="2"/>
  <c r="FI77" i="2"/>
  <c r="FG76" i="2"/>
  <c r="ES76" i="2"/>
  <c r="FE75" i="2"/>
  <c r="EQ75" i="2"/>
  <c r="FC74" i="2"/>
  <c r="EO74" i="2"/>
  <c r="FA73" i="2"/>
  <c r="EM73" i="2"/>
  <c r="FM71" i="2"/>
  <c r="EY71" i="2"/>
  <c r="FK70" i="2"/>
  <c r="EW70" i="2"/>
  <c r="FI69" i="2"/>
  <c r="EU69" i="2"/>
  <c r="FG68" i="2"/>
  <c r="ES68" i="2"/>
  <c r="FE67" i="2"/>
  <c r="EQ67" i="2"/>
  <c r="FC66" i="2"/>
  <c r="EO66" i="2"/>
  <c r="FA65" i="2"/>
  <c r="EM65" i="2"/>
  <c r="FM63" i="2"/>
  <c r="EY63" i="2"/>
  <c r="EW62" i="2"/>
  <c r="FK62" i="2"/>
  <c r="FI61" i="2"/>
  <c r="EU61" i="2"/>
  <c r="FG60" i="2"/>
  <c r="ES60" i="2"/>
  <c r="FE59" i="2"/>
  <c r="EQ59" i="2"/>
  <c r="FC58" i="2"/>
  <c r="EO58" i="2"/>
  <c r="FA57" i="2"/>
  <c r="EM57" i="2"/>
  <c r="FM55" i="2"/>
  <c r="EY55" i="2"/>
  <c r="FK54" i="2"/>
  <c r="EW54" i="2"/>
  <c r="FI53" i="2"/>
  <c r="EU53" i="2"/>
  <c r="FG52" i="2"/>
  <c r="ES52" i="2"/>
  <c r="FE51" i="2"/>
  <c r="EQ51" i="2"/>
  <c r="EO50" i="2"/>
  <c r="FC50" i="2"/>
  <c r="FA49" i="2"/>
  <c r="EM49" i="2"/>
  <c r="FM47" i="2"/>
  <c r="EY47" i="2"/>
  <c r="FK46" i="2"/>
  <c r="EW46" i="2"/>
  <c r="FI45" i="2"/>
  <c r="EU45" i="2"/>
  <c r="FG44" i="2"/>
  <c r="ES44" i="2"/>
  <c r="FE43" i="2"/>
  <c r="EQ43" i="2"/>
  <c r="FC42" i="2"/>
  <c r="EO42" i="2"/>
  <c r="EM41" i="2"/>
  <c r="FA41" i="2"/>
  <c r="FM39" i="2"/>
  <c r="EY39" i="2"/>
  <c r="FK38" i="2"/>
  <c r="EW38" i="2"/>
  <c r="FI37" i="2"/>
  <c r="EU37" i="2"/>
  <c r="FG36" i="2"/>
  <c r="ES36" i="2"/>
  <c r="FE35" i="2"/>
  <c r="EQ35" i="2"/>
  <c r="FC34" i="2"/>
  <c r="EO34" i="2"/>
  <c r="FA33" i="2"/>
  <c r="EM33" i="2"/>
  <c r="FM31" i="2"/>
  <c r="EY31" i="2"/>
  <c r="FK30" i="2"/>
  <c r="EW30" i="2"/>
  <c r="FI29" i="2"/>
  <c r="EU29" i="2"/>
  <c r="FG28" i="2"/>
  <c r="ES28" i="2"/>
  <c r="FE27" i="2"/>
  <c r="EQ27" i="2"/>
  <c r="FC26" i="2"/>
  <c r="EO26" i="2"/>
  <c r="EM25" i="2"/>
  <c r="FA25" i="2"/>
  <c r="FM23" i="2"/>
  <c r="EY23" i="2"/>
  <c r="FK22" i="2"/>
  <c r="EW22" i="2"/>
  <c r="FI21" i="2"/>
  <c r="EU21" i="2"/>
  <c r="FG20" i="2"/>
  <c r="ES20" i="2"/>
  <c r="EQ19" i="2"/>
  <c r="FE19" i="2"/>
  <c r="FC18" i="2"/>
  <c r="EO18" i="2"/>
  <c r="FA17" i="2"/>
  <c r="EM17" i="2"/>
  <c r="FM15" i="2"/>
  <c r="EY15" i="2"/>
  <c r="FK14" i="2"/>
  <c r="EW14" i="2"/>
  <c r="FI13" i="2"/>
  <c r="EU13" i="2"/>
  <c r="FG12" i="2"/>
  <c r="ES12" i="2"/>
  <c r="EQ11" i="2"/>
  <c r="FE11" i="2"/>
  <c r="FC10" i="2"/>
  <c r="EO10" i="2"/>
  <c r="FA9" i="2"/>
  <c r="EM9" i="2"/>
  <c r="FM7" i="2"/>
  <c r="EY7" i="2"/>
  <c r="FK6" i="2"/>
  <c r="EW6" i="2"/>
  <c r="FI5" i="2"/>
  <c r="EU5" i="2"/>
  <c r="FG4" i="2"/>
  <c r="ES4" i="2"/>
  <c r="FE3" i="2"/>
  <c r="EQ3" i="2"/>
  <c r="FC2" i="2"/>
  <c r="EO2" i="2"/>
  <c r="FH109" i="2"/>
  <c r="ET109" i="2"/>
  <c r="FF108" i="2"/>
  <c r="ER108" i="2"/>
  <c r="FD107" i="2"/>
  <c r="EP107" i="2"/>
  <c r="FB106" i="2"/>
  <c r="EN106" i="2"/>
  <c r="FN104" i="2"/>
  <c r="EZ104" i="2"/>
  <c r="FL103" i="2"/>
  <c r="EX103" i="2"/>
  <c r="FJ102" i="2"/>
  <c r="EV102" i="2"/>
  <c r="FH101" i="2"/>
  <c r="ET101" i="2"/>
  <c r="FF100" i="2"/>
  <c r="ER100" i="2"/>
  <c r="FD99" i="2"/>
  <c r="EP99" i="2"/>
  <c r="FB98" i="2"/>
  <c r="EN98" i="2"/>
  <c r="FN96" i="2"/>
  <c r="EZ96" i="2"/>
  <c r="EX95" i="2"/>
  <c r="FL95" i="2"/>
  <c r="FJ94" i="2"/>
  <c r="EV94" i="2"/>
  <c r="FH93" i="2"/>
  <c r="ET93" i="2"/>
  <c r="FF92" i="2"/>
  <c r="ER92" i="2"/>
  <c r="FD91" i="2"/>
  <c r="EP91" i="2"/>
  <c r="FB90" i="2"/>
  <c r="EN90" i="2"/>
  <c r="EZ88" i="2"/>
  <c r="FN88" i="2"/>
  <c r="FL87" i="2"/>
  <c r="EX87" i="2"/>
  <c r="FJ86" i="2"/>
  <c r="EV86" i="2"/>
  <c r="FH85" i="2"/>
  <c r="ET85" i="2"/>
  <c r="FF84" i="2"/>
  <c r="ER84" i="2"/>
  <c r="FD83" i="2"/>
  <c r="EP83" i="2"/>
  <c r="FB82" i="2"/>
  <c r="EN82" i="2"/>
  <c r="EZ80" i="2"/>
  <c r="FN80" i="2"/>
  <c r="FL79" i="2"/>
  <c r="EX79" i="2"/>
  <c r="FJ78" i="2"/>
  <c r="EV78" i="2"/>
  <c r="ET77" i="2"/>
  <c r="FH77" i="2"/>
  <c r="ER76" i="2"/>
  <c r="FF76" i="2"/>
  <c r="FD75" i="2"/>
  <c r="EP75" i="2"/>
  <c r="FB74" i="2"/>
  <c r="EN74" i="2"/>
  <c r="FN72" i="2"/>
  <c r="EZ72" i="2"/>
  <c r="FL71" i="2"/>
  <c r="EX71" i="2"/>
  <c r="FJ70" i="2"/>
  <c r="EV70" i="2"/>
  <c r="FH69" i="2"/>
  <c r="ET69" i="2"/>
  <c r="FF68" i="2"/>
  <c r="ER68" i="2"/>
  <c r="FD67" i="2"/>
  <c r="EP67" i="2"/>
  <c r="FB66" i="2"/>
  <c r="EN66" i="2"/>
  <c r="FN64" i="2"/>
  <c r="EZ64" i="2"/>
  <c r="FL63" i="2"/>
  <c r="EX63" i="2"/>
  <c r="FJ62" i="2"/>
  <c r="EV62" i="2"/>
  <c r="FH61" i="2"/>
  <c r="ET61" i="2"/>
  <c r="FF60" i="2"/>
  <c r="ER60" i="2"/>
  <c r="FD59" i="2"/>
  <c r="EP59" i="2"/>
  <c r="EN58" i="2"/>
  <c r="FB58" i="2"/>
  <c r="FN56" i="2"/>
  <c r="EZ56" i="2"/>
  <c r="FL55" i="2"/>
  <c r="EX55" i="2"/>
  <c r="FJ54" i="2"/>
  <c r="EV54" i="2"/>
  <c r="FH53" i="2"/>
  <c r="ET53" i="2"/>
  <c r="FF52" i="2"/>
  <c r="ER52" i="2"/>
  <c r="FD51" i="2"/>
  <c r="EP51" i="2"/>
  <c r="FB50" i="2"/>
  <c r="EN50" i="2"/>
  <c r="FN48" i="2"/>
  <c r="EZ48" i="2"/>
  <c r="FL47" i="2"/>
  <c r="EX47" i="2"/>
  <c r="FJ46" i="2"/>
  <c r="EV46" i="2"/>
  <c r="FH45" i="2"/>
  <c r="ET45" i="2"/>
  <c r="FF44" i="2"/>
  <c r="ER44" i="2"/>
  <c r="FD43" i="2"/>
  <c r="EP43" i="2"/>
  <c r="FB42" i="2"/>
  <c r="EN42" i="2"/>
  <c r="EZ40" i="2"/>
  <c r="FN40" i="2"/>
  <c r="FL39" i="2"/>
  <c r="EX39" i="2"/>
  <c r="FJ38" i="2"/>
  <c r="EV38" i="2"/>
  <c r="FH37" i="2"/>
  <c r="ET37" i="2"/>
  <c r="FF36" i="2"/>
  <c r="ER36" i="2"/>
  <c r="FD35" i="2"/>
  <c r="EP35" i="2"/>
  <c r="FB34" i="2"/>
  <c r="EN34" i="2"/>
  <c r="EZ32" i="2"/>
  <c r="FN32" i="2"/>
  <c r="FL31" i="2"/>
  <c r="EX31" i="2"/>
  <c r="EV30" i="2"/>
  <c r="FJ30" i="2"/>
  <c r="FH29" i="2"/>
  <c r="ET29" i="2"/>
  <c r="ER28" i="2"/>
  <c r="FF28" i="2"/>
  <c r="FD27" i="2"/>
  <c r="EP27" i="2"/>
  <c r="FB26" i="2"/>
  <c r="EN26" i="2"/>
  <c r="FN24" i="2"/>
  <c r="EZ24" i="2"/>
  <c r="FL23" i="2"/>
  <c r="EX23" i="2"/>
  <c r="FJ22" i="2"/>
  <c r="EV22" i="2"/>
  <c r="FH21" i="2"/>
  <c r="ET21" i="2"/>
  <c r="FF20" i="2"/>
  <c r="ER20" i="2"/>
  <c r="FD19" i="2"/>
  <c r="EP19" i="2"/>
  <c r="FB18" i="2"/>
  <c r="EN18" i="2"/>
  <c r="FN16" i="2"/>
  <c r="EZ16" i="2"/>
  <c r="FL15" i="2"/>
  <c r="EX15" i="2"/>
  <c r="FJ14" i="2"/>
  <c r="EV14" i="2"/>
  <c r="FH13" i="2"/>
  <c r="ET13" i="2"/>
  <c r="FF12" i="2"/>
  <c r="ER12" i="2"/>
  <c r="FD11" i="2"/>
  <c r="EP11" i="2"/>
  <c r="FB10" i="2"/>
  <c r="EN10" i="2"/>
  <c r="FN8" i="2"/>
  <c r="EZ8" i="2"/>
  <c r="FL7" i="2"/>
  <c r="EX7" i="2"/>
  <c r="FJ6" i="2"/>
  <c r="EV6" i="2"/>
  <c r="FH5" i="2"/>
  <c r="ET5" i="2"/>
  <c r="ER4" i="2"/>
  <c r="FF4" i="2"/>
  <c r="FD3" i="2"/>
  <c r="EP3" i="2"/>
  <c r="FB2" i="2"/>
  <c r="EN2" i="2"/>
  <c r="FG109" i="2"/>
  <c r="ES109" i="2"/>
  <c r="FE108" i="2"/>
  <c r="EQ108" i="2"/>
  <c r="FC107" i="2"/>
  <c r="EO107" i="2"/>
  <c r="FA106" i="2"/>
  <c r="EM106" i="2"/>
  <c r="FM104" i="2"/>
  <c r="EY104" i="2"/>
  <c r="FK103" i="2"/>
  <c r="EW103" i="2"/>
  <c r="FI102" i="2"/>
  <c r="EU102" i="2"/>
  <c r="FG101" i="2"/>
  <c r="ES101" i="2"/>
  <c r="FE100" i="2"/>
  <c r="EQ100" i="2"/>
  <c r="FC99" i="2"/>
  <c r="EO99" i="2"/>
  <c r="FA98" i="2"/>
  <c r="EM98" i="2"/>
  <c r="FM96" i="2"/>
  <c r="EY96" i="2"/>
  <c r="FK95" i="2"/>
  <c r="EW95" i="2"/>
  <c r="FI94" i="2"/>
  <c r="EU94" i="2"/>
  <c r="FG93" i="2"/>
  <c r="ES93" i="2"/>
  <c r="EQ92" i="2"/>
  <c r="FE92" i="2"/>
  <c r="FC91" i="2"/>
  <c r="EO91" i="2"/>
  <c r="FA90" i="2"/>
  <c r="EM90" i="2"/>
  <c r="FM88" i="2"/>
  <c r="EY88" i="2"/>
  <c r="FK87" i="2"/>
  <c r="EW87" i="2"/>
  <c r="FI86" i="2"/>
  <c r="EU86" i="2"/>
  <c r="FG85" i="2"/>
  <c r="ES85" i="2"/>
  <c r="FE84" i="2"/>
  <c r="EQ84" i="2"/>
  <c r="FC83" i="2"/>
  <c r="EO83" i="2"/>
  <c r="FA82" i="2"/>
  <c r="EM82" i="2"/>
  <c r="EY80" i="2"/>
  <c r="FM80" i="2"/>
  <c r="FK79" i="2"/>
  <c r="EW79" i="2"/>
  <c r="FI78" i="2"/>
  <c r="EU78" i="2"/>
  <c r="FG77" i="2"/>
  <c r="ES77" i="2"/>
  <c r="EQ76" i="2"/>
  <c r="FE76" i="2"/>
  <c r="FC75" i="2"/>
  <c r="EO75" i="2"/>
  <c r="FA74" i="2"/>
  <c r="EM74" i="2"/>
  <c r="FM72" i="2"/>
  <c r="EY72" i="2"/>
  <c r="FK71" i="2"/>
  <c r="EW71" i="2"/>
  <c r="FI70" i="2"/>
  <c r="EU70" i="2"/>
  <c r="FG69" i="2"/>
  <c r="ES69" i="2"/>
  <c r="FE68" i="2"/>
  <c r="EQ68" i="2"/>
  <c r="FC67" i="2"/>
  <c r="EO67" i="2"/>
  <c r="FA66" i="2"/>
  <c r="EM66" i="2"/>
  <c r="FM64" i="2"/>
  <c r="EY64" i="2"/>
  <c r="FK63" i="2"/>
  <c r="EW63" i="2"/>
  <c r="FI62" i="2"/>
  <c r="EU62" i="2"/>
  <c r="FG61" i="2"/>
  <c r="ES61" i="2"/>
  <c r="FE60" i="2"/>
  <c r="EQ60" i="2"/>
  <c r="FC59" i="2"/>
  <c r="EO59" i="2"/>
  <c r="FA58" i="2"/>
  <c r="EM58" i="2"/>
  <c r="FM56" i="2"/>
  <c r="EY56" i="2"/>
  <c r="FK55" i="2"/>
  <c r="EW55" i="2"/>
  <c r="EU54" i="2"/>
  <c r="FI54" i="2"/>
  <c r="FG53" i="2"/>
  <c r="ES53" i="2"/>
  <c r="FE52" i="2"/>
  <c r="EQ52" i="2"/>
  <c r="FC51" i="2"/>
  <c r="EO51" i="2"/>
  <c r="FA50" i="2"/>
  <c r="EM50" i="2"/>
  <c r="FM48" i="2"/>
  <c r="EY48" i="2"/>
  <c r="FK47" i="2"/>
  <c r="EW47" i="2"/>
  <c r="FI46" i="2"/>
  <c r="EU46" i="2"/>
  <c r="FG45" i="2"/>
  <c r="ES45" i="2"/>
  <c r="FE44" i="2"/>
  <c r="EQ44" i="2"/>
  <c r="EO43" i="2"/>
  <c r="FC43" i="2"/>
  <c r="FA42" i="2"/>
  <c r="EM42" i="2"/>
  <c r="EY40" i="2"/>
  <c r="FM40" i="2"/>
  <c r="FK39" i="2"/>
  <c r="EW39" i="2"/>
  <c r="FI38" i="2"/>
  <c r="EU38" i="2"/>
  <c r="FG37" i="2"/>
  <c r="ES37" i="2"/>
  <c r="FE36" i="2"/>
  <c r="EQ36" i="2"/>
  <c r="FC35" i="2"/>
  <c r="EO35" i="2"/>
  <c r="FA34" i="2"/>
  <c r="EM34" i="2"/>
  <c r="FM32" i="2"/>
  <c r="EY32" i="2"/>
  <c r="FK31" i="2"/>
  <c r="EW31" i="2"/>
  <c r="FI30" i="2"/>
  <c r="EU30" i="2"/>
  <c r="FG29" i="2"/>
  <c r="ES29" i="2"/>
  <c r="FE28" i="2"/>
  <c r="EQ28" i="2"/>
  <c r="FC27" i="2"/>
  <c r="EO27" i="2"/>
  <c r="FA26" i="2"/>
  <c r="EM26" i="2"/>
  <c r="EY24" i="2"/>
  <c r="FM24" i="2"/>
  <c r="FK23" i="2"/>
  <c r="EW23" i="2"/>
  <c r="EU22" i="2"/>
  <c r="FI22" i="2"/>
  <c r="FG21" i="2"/>
  <c r="ES21" i="2"/>
  <c r="FE20" i="2"/>
  <c r="EQ20" i="2"/>
  <c r="FC19" i="2"/>
  <c r="EO19" i="2"/>
  <c r="FA18" i="2"/>
  <c r="EM18" i="2"/>
  <c r="FM16" i="2"/>
  <c r="EY16" i="2"/>
  <c r="FK15" i="2"/>
  <c r="EW15" i="2"/>
  <c r="FI14" i="2"/>
  <c r="EU14" i="2"/>
  <c r="FG13" i="2"/>
  <c r="ES13" i="2"/>
  <c r="FE12" i="2"/>
  <c r="EQ12" i="2"/>
  <c r="FC11" i="2"/>
  <c r="EO11" i="2"/>
  <c r="FA10" i="2"/>
  <c r="EM10" i="2"/>
  <c r="FM8" i="2"/>
  <c r="EY8" i="2"/>
  <c r="FK7" i="2"/>
  <c r="EW7" i="2"/>
  <c r="FI6" i="2"/>
  <c r="EU6" i="2"/>
  <c r="FG5" i="2"/>
  <c r="ES5" i="2"/>
  <c r="FE4" i="2"/>
  <c r="EQ4" i="2"/>
  <c r="FC3" i="2"/>
  <c r="EO3" i="2"/>
  <c r="FA2" i="2"/>
  <c r="EM2" i="2"/>
  <c r="FC108" i="2"/>
  <c r="EO108" i="2"/>
  <c r="FC100" i="2"/>
  <c r="EO100" i="2"/>
  <c r="FC92" i="2"/>
  <c r="EO92" i="2"/>
  <c r="EO84" i="2"/>
  <c r="FC84" i="2"/>
  <c r="FI79" i="2"/>
  <c r="EU79" i="2"/>
  <c r="FM73" i="2"/>
  <c r="EY73" i="2"/>
  <c r="FM65" i="2"/>
  <c r="EY65" i="2"/>
  <c r="FE53" i="2"/>
  <c r="EQ53" i="2"/>
  <c r="FA43" i="2"/>
  <c r="EM43" i="2"/>
  <c r="FM33" i="2"/>
  <c r="EY33" i="2"/>
  <c r="ES22" i="2"/>
  <c r="FG22" i="2"/>
  <c r="FE13" i="2"/>
  <c r="EQ13" i="2"/>
  <c r="ER109" i="2"/>
  <c r="FF109" i="2"/>
  <c r="FD108" i="2"/>
  <c r="EP108" i="2"/>
  <c r="FB107" i="2"/>
  <c r="EN107" i="2"/>
  <c r="EZ105" i="2"/>
  <c r="FN105" i="2"/>
  <c r="FL104" i="2"/>
  <c r="EX104" i="2"/>
  <c r="FJ103" i="2"/>
  <c r="EV103" i="2"/>
  <c r="FH102" i="2"/>
  <c r="ET102" i="2"/>
  <c r="FF101" i="2"/>
  <c r="ER101" i="2"/>
  <c r="FD100" i="2"/>
  <c r="EP100" i="2"/>
  <c r="FB99" i="2"/>
  <c r="EN99" i="2"/>
  <c r="FN97" i="2"/>
  <c r="EZ97" i="2"/>
  <c r="FL96" i="2"/>
  <c r="EX96" i="2"/>
  <c r="FJ95" i="2"/>
  <c r="EV95" i="2"/>
  <c r="FH94" i="2"/>
  <c r="ET94" i="2"/>
  <c r="FF93" i="2"/>
  <c r="ER93" i="2"/>
  <c r="FD92" i="2"/>
  <c r="EP92" i="2"/>
  <c r="FB91" i="2"/>
  <c r="EN91" i="2"/>
  <c r="FN89" i="2"/>
  <c r="EZ89" i="2"/>
  <c r="FL88" i="2"/>
  <c r="EX88" i="2"/>
  <c r="FJ87" i="2"/>
  <c r="EV87" i="2"/>
  <c r="FH86" i="2"/>
  <c r="ET86" i="2"/>
  <c r="FF85" i="2"/>
  <c r="ER85" i="2"/>
  <c r="EP84" i="2"/>
  <c r="FD84" i="2"/>
  <c r="FB83" i="2"/>
  <c r="EN83" i="2"/>
  <c r="FN81" i="2"/>
  <c r="EZ81" i="2"/>
  <c r="FL80" i="2"/>
  <c r="EX80" i="2"/>
  <c r="FJ79" i="2"/>
  <c r="EV79" i="2"/>
  <c r="FH78" i="2"/>
  <c r="ET78" i="2"/>
  <c r="FF77" i="2"/>
  <c r="ER77" i="2"/>
  <c r="FD76" i="2"/>
  <c r="EP76" i="2"/>
  <c r="FB75" i="2"/>
  <c r="EN75" i="2"/>
  <c r="FN73" i="2"/>
  <c r="EZ73" i="2"/>
  <c r="FL72" i="2"/>
  <c r="EX72" i="2"/>
  <c r="FJ71" i="2"/>
  <c r="EV71" i="2"/>
  <c r="ET70" i="2"/>
  <c r="FH70" i="2"/>
  <c r="FF69" i="2"/>
  <c r="ER69" i="2"/>
  <c r="FD68" i="2"/>
  <c r="EP68" i="2"/>
  <c r="FB67" i="2"/>
  <c r="EN67" i="2"/>
  <c r="FN65" i="2"/>
  <c r="EZ65" i="2"/>
  <c r="FL64" i="2"/>
  <c r="EX64" i="2"/>
  <c r="FJ63" i="2"/>
  <c r="EV63" i="2"/>
  <c r="FH62" i="2"/>
  <c r="ET62" i="2"/>
  <c r="FF61" i="2"/>
  <c r="ER61" i="2"/>
  <c r="FD60" i="2"/>
  <c r="EP60" i="2"/>
  <c r="FB59" i="2"/>
  <c r="EN59" i="2"/>
  <c r="FN57" i="2"/>
  <c r="EZ57" i="2"/>
  <c r="FL56" i="2"/>
  <c r="EX56" i="2"/>
  <c r="FJ55" i="2"/>
  <c r="EV55" i="2"/>
  <c r="ET54" i="2"/>
  <c r="FH54" i="2"/>
  <c r="ER53" i="2"/>
  <c r="FF53" i="2"/>
  <c r="FD52" i="2"/>
  <c r="EP52" i="2"/>
  <c r="FB51" i="2"/>
  <c r="EN51" i="2"/>
  <c r="FN49" i="2"/>
  <c r="EZ49" i="2"/>
  <c r="FL48" i="2"/>
  <c r="EX48" i="2"/>
  <c r="FJ47" i="2"/>
  <c r="EV47" i="2"/>
  <c r="FH46" i="2"/>
  <c r="ET46" i="2"/>
  <c r="FF45" i="2"/>
  <c r="ER45" i="2"/>
  <c r="FD44" i="2"/>
  <c r="EP44" i="2"/>
  <c r="FB43" i="2"/>
  <c r="EN43" i="2"/>
  <c r="FN41" i="2"/>
  <c r="EZ41" i="2"/>
  <c r="FL40" i="2"/>
  <c r="EX40" i="2"/>
  <c r="FJ39" i="2"/>
  <c r="EV39" i="2"/>
  <c r="FH38" i="2"/>
  <c r="ET38" i="2"/>
  <c r="FF37" i="2"/>
  <c r="ER37" i="2"/>
  <c r="FD36" i="2"/>
  <c r="EP36" i="2"/>
  <c r="FB35" i="2"/>
  <c r="EN35" i="2"/>
  <c r="FN33" i="2"/>
  <c r="EZ33" i="2"/>
  <c r="FL32" i="2"/>
  <c r="EX32" i="2"/>
  <c r="FJ31" i="2"/>
  <c r="EV31" i="2"/>
  <c r="FH30" i="2"/>
  <c r="ET30" i="2"/>
  <c r="FF29" i="2"/>
  <c r="ER29" i="2"/>
  <c r="FD28" i="2"/>
  <c r="EP28" i="2"/>
  <c r="EN27" i="2"/>
  <c r="FB27" i="2"/>
  <c r="FN25" i="2"/>
  <c r="EZ25" i="2"/>
  <c r="FL24" i="2"/>
  <c r="EX24" i="2"/>
  <c r="FJ23" i="2"/>
  <c r="EV23" i="2"/>
  <c r="FH22" i="2"/>
  <c r="ET22" i="2"/>
  <c r="ER21" i="2"/>
  <c r="FF21" i="2"/>
  <c r="FD20" i="2"/>
  <c r="EP20" i="2"/>
  <c r="FB19" i="2"/>
  <c r="EN19" i="2"/>
  <c r="FN17" i="2"/>
  <c r="EZ17" i="2"/>
  <c r="EX16" i="2"/>
  <c r="FL16" i="2"/>
  <c r="FJ15" i="2"/>
  <c r="EV15" i="2"/>
  <c r="FH14" i="2"/>
  <c r="ET14" i="2"/>
  <c r="FF13" i="2"/>
  <c r="ER13" i="2"/>
  <c r="FD12" i="2"/>
  <c r="EP12" i="2"/>
  <c r="FB11" i="2"/>
  <c r="EN11" i="2"/>
  <c r="FN9" i="2"/>
  <c r="EZ9" i="2"/>
  <c r="FL8" i="2"/>
  <c r="EX8" i="2"/>
  <c r="FJ7" i="2"/>
  <c r="EV7" i="2"/>
  <c r="FH6" i="2"/>
  <c r="ET6" i="2"/>
  <c r="FF5" i="2"/>
  <c r="ER5" i="2"/>
  <c r="FD4" i="2"/>
  <c r="EP4" i="2"/>
  <c r="FB3" i="2"/>
  <c r="EN3" i="2"/>
  <c r="B144" i="5"/>
  <c r="B154" i="5" s="1"/>
  <c r="B133" i="5"/>
  <c r="B143" i="5"/>
  <c r="B132" i="5"/>
  <c r="S95" i="24" l="1"/>
  <c r="S91" i="20"/>
  <c r="I121" i="31"/>
  <c r="I122" i="31" s="1"/>
  <c r="I121" i="20"/>
  <c r="I119" i="31"/>
  <c r="I119" i="20"/>
  <c r="I117" i="20"/>
  <c r="I117" i="31"/>
  <c r="I118" i="20"/>
  <c r="I118" i="31"/>
  <c r="I116" i="20"/>
  <c r="I116" i="31"/>
  <c r="S44" i="20"/>
  <c r="S43" i="20"/>
  <c r="S87" i="24"/>
  <c r="S89" i="20"/>
  <c r="S88" i="20"/>
  <c r="Q90" i="25"/>
  <c r="Q44" i="25"/>
  <c r="S63" i="20"/>
  <c r="S40" i="20"/>
  <c r="S39" i="20"/>
  <c r="S88" i="24"/>
  <c r="S45" i="20"/>
  <c r="S49" i="20"/>
  <c r="S97" i="20"/>
  <c r="S40" i="24"/>
  <c r="S46" i="20"/>
  <c r="S41" i="20"/>
  <c r="J91" i="19"/>
  <c r="R91" i="19" s="1"/>
  <c r="J91" i="29"/>
  <c r="R91" i="29" s="1"/>
  <c r="S91" i="29" s="1"/>
  <c r="J34" i="29"/>
  <c r="R34" i="29" s="1"/>
  <c r="J34" i="19"/>
  <c r="R34" i="19" s="1"/>
  <c r="J98" i="29"/>
  <c r="R98" i="29" s="1"/>
  <c r="J98" i="19"/>
  <c r="R98" i="19" s="1"/>
  <c r="J41" i="29"/>
  <c r="R41" i="29" s="1"/>
  <c r="S41" i="29" s="1"/>
  <c r="J41" i="19"/>
  <c r="R41" i="19" s="1"/>
  <c r="J105" i="29"/>
  <c r="R105" i="29" s="1"/>
  <c r="J105" i="19"/>
  <c r="R105" i="19" s="1"/>
  <c r="J64" i="29"/>
  <c r="R64" i="29" s="1"/>
  <c r="J64" i="19"/>
  <c r="R64" i="19" s="1"/>
  <c r="J46" i="19"/>
  <c r="R46" i="19" s="1"/>
  <c r="J46" i="29"/>
  <c r="R46" i="29" s="1"/>
  <c r="S46" i="29" s="1"/>
  <c r="J44" i="19"/>
  <c r="R44" i="19" s="1"/>
  <c r="S44" i="19" s="1"/>
  <c r="J44" i="29"/>
  <c r="R44" i="29" s="1"/>
  <c r="S44" i="29" s="1"/>
  <c r="J37" i="29"/>
  <c r="R37" i="29" s="1"/>
  <c r="J37" i="19"/>
  <c r="R37" i="19" s="1"/>
  <c r="J27" i="19"/>
  <c r="R27" i="19" s="1"/>
  <c r="J27" i="29"/>
  <c r="R27" i="29" s="1"/>
  <c r="J63" i="19"/>
  <c r="R63" i="19" s="1"/>
  <c r="J63" i="29"/>
  <c r="R63" i="29" s="1"/>
  <c r="S63" i="29" s="1"/>
  <c r="J101" i="29"/>
  <c r="R101" i="29" s="1"/>
  <c r="J101" i="19"/>
  <c r="R101" i="19" s="1"/>
  <c r="S44" i="24"/>
  <c r="S41" i="19"/>
  <c r="J19" i="29"/>
  <c r="R19" i="29" s="1"/>
  <c r="J19" i="19"/>
  <c r="R19" i="19" s="1"/>
  <c r="J83" i="29"/>
  <c r="R83" i="29" s="1"/>
  <c r="J83" i="19"/>
  <c r="R83" i="19" s="1"/>
  <c r="J26" i="19"/>
  <c r="R26" i="19" s="1"/>
  <c r="J26" i="29"/>
  <c r="R26" i="29" s="1"/>
  <c r="J90" i="19"/>
  <c r="R90" i="19" s="1"/>
  <c r="J90" i="29"/>
  <c r="R90" i="29" s="1"/>
  <c r="S90" i="29" s="1"/>
  <c r="J33" i="29"/>
  <c r="R33" i="29" s="1"/>
  <c r="J33" i="19"/>
  <c r="R33" i="19" s="1"/>
  <c r="J56" i="29"/>
  <c r="R56" i="29" s="1"/>
  <c r="J56" i="19"/>
  <c r="R56" i="19" s="1"/>
  <c r="J29" i="19"/>
  <c r="R29" i="19" s="1"/>
  <c r="J29" i="29"/>
  <c r="R29" i="29" s="1"/>
  <c r="J93" i="19"/>
  <c r="R93" i="19" s="1"/>
  <c r="J93" i="29"/>
  <c r="R93" i="29" s="1"/>
  <c r="S93" i="29" s="1"/>
  <c r="J97" i="29"/>
  <c r="R97" i="29" s="1"/>
  <c r="S97" i="29" s="1"/>
  <c r="J97" i="19"/>
  <c r="R97" i="19" s="1"/>
  <c r="S97" i="19" s="1"/>
  <c r="J55" i="29"/>
  <c r="R55" i="29" s="1"/>
  <c r="J55" i="19"/>
  <c r="R55" i="19" s="1"/>
  <c r="J38" i="29"/>
  <c r="R38" i="29" s="1"/>
  <c r="S38" i="29" s="1"/>
  <c r="J38" i="19"/>
  <c r="R38" i="19" s="1"/>
  <c r="J102" i="29"/>
  <c r="R102" i="29" s="1"/>
  <c r="J102" i="19"/>
  <c r="R102" i="19" s="1"/>
  <c r="J25" i="29"/>
  <c r="R25" i="29" s="1"/>
  <c r="J25" i="19"/>
  <c r="R25" i="19" s="1"/>
  <c r="J89" i="29"/>
  <c r="R89" i="29" s="1"/>
  <c r="S89" i="29" s="1"/>
  <c r="J89" i="19"/>
  <c r="R89" i="19" s="1"/>
  <c r="S89" i="19" s="1"/>
  <c r="J48" i="29"/>
  <c r="R48" i="29" s="1"/>
  <c r="S48" i="29" s="1"/>
  <c r="J48" i="19"/>
  <c r="R48" i="19" s="1"/>
  <c r="J30" i="19"/>
  <c r="R30" i="19" s="1"/>
  <c r="J30" i="29"/>
  <c r="R30" i="29" s="1"/>
  <c r="J94" i="19"/>
  <c r="R94" i="19" s="1"/>
  <c r="S94" i="19" s="1"/>
  <c r="J94" i="29"/>
  <c r="R94" i="29" s="1"/>
  <c r="S94" i="29" s="1"/>
  <c r="J21" i="29"/>
  <c r="R21" i="29" s="1"/>
  <c r="J21" i="19"/>
  <c r="R21" i="19" s="1"/>
  <c r="J85" i="29"/>
  <c r="R85" i="29" s="1"/>
  <c r="J85" i="19"/>
  <c r="R85" i="19" s="1"/>
  <c r="J68" i="29"/>
  <c r="R68" i="29" s="1"/>
  <c r="J68" i="19"/>
  <c r="R68" i="19" s="1"/>
  <c r="J47" i="19"/>
  <c r="R47" i="19" s="1"/>
  <c r="J47" i="29"/>
  <c r="R47" i="29" s="1"/>
  <c r="S47" i="29" s="1"/>
  <c r="J84" i="29"/>
  <c r="R84" i="29" s="1"/>
  <c r="J84" i="19"/>
  <c r="R84" i="19" s="1"/>
  <c r="J100" i="29"/>
  <c r="R100" i="29" s="1"/>
  <c r="J100" i="19"/>
  <c r="R100" i="19" s="1"/>
  <c r="J3" i="29"/>
  <c r="R3" i="29" s="1"/>
  <c r="J3" i="19"/>
  <c r="R3" i="19" s="1"/>
  <c r="J67" i="29"/>
  <c r="R67" i="29" s="1"/>
  <c r="J67" i="19"/>
  <c r="R67" i="19" s="1"/>
  <c r="J10" i="19"/>
  <c r="R10" i="19" s="1"/>
  <c r="J10" i="29"/>
  <c r="R10" i="29" s="1"/>
  <c r="J74" i="19"/>
  <c r="R74" i="19" s="1"/>
  <c r="J74" i="29"/>
  <c r="R74" i="29" s="1"/>
  <c r="J17" i="29"/>
  <c r="R17" i="29" s="1"/>
  <c r="J17" i="19"/>
  <c r="R17" i="19" s="1"/>
  <c r="J81" i="29"/>
  <c r="R81" i="29" s="1"/>
  <c r="J81" i="19"/>
  <c r="R81" i="19" s="1"/>
  <c r="J40" i="29"/>
  <c r="R40" i="29" s="1"/>
  <c r="S40" i="29" s="1"/>
  <c r="J40" i="19"/>
  <c r="R40" i="19" s="1"/>
  <c r="J104" i="29"/>
  <c r="R104" i="29" s="1"/>
  <c r="J104" i="19"/>
  <c r="R104" i="19" s="1"/>
  <c r="J52" i="29"/>
  <c r="R52" i="29" s="1"/>
  <c r="J52" i="19"/>
  <c r="R52" i="19" s="1"/>
  <c r="J103" i="29"/>
  <c r="R103" i="29" s="1"/>
  <c r="J103" i="19"/>
  <c r="R103" i="19" s="1"/>
  <c r="J4" i="29"/>
  <c r="R4" i="29" s="1"/>
  <c r="J4" i="19"/>
  <c r="R4" i="19" s="1"/>
  <c r="J13" i="19"/>
  <c r="R13" i="19" s="1"/>
  <c r="J13" i="29"/>
  <c r="R13" i="29" s="1"/>
  <c r="J77" i="19"/>
  <c r="R77" i="19" s="1"/>
  <c r="J77" i="29"/>
  <c r="R77" i="29" s="1"/>
  <c r="J11" i="19"/>
  <c r="R11" i="19" s="1"/>
  <c r="J11" i="29"/>
  <c r="R11" i="29" s="1"/>
  <c r="J75" i="19"/>
  <c r="R75" i="19" s="1"/>
  <c r="J75" i="29"/>
  <c r="R75" i="29" s="1"/>
  <c r="J39" i="29"/>
  <c r="R39" i="29" s="1"/>
  <c r="S39" i="29" s="1"/>
  <c r="J39" i="19"/>
  <c r="R39" i="19" s="1"/>
  <c r="J22" i="29"/>
  <c r="R22" i="29" s="1"/>
  <c r="J22" i="19"/>
  <c r="R22" i="19" s="1"/>
  <c r="J86" i="29"/>
  <c r="R86" i="29" s="1"/>
  <c r="J86" i="19"/>
  <c r="R86" i="19" s="1"/>
  <c r="Q87" i="18"/>
  <c r="J18" i="29"/>
  <c r="R18" i="29" s="1"/>
  <c r="J18" i="19"/>
  <c r="R18" i="19" s="1"/>
  <c r="J82" i="29"/>
  <c r="R82" i="29" s="1"/>
  <c r="J82" i="19"/>
  <c r="R82" i="19" s="1"/>
  <c r="J108" i="19"/>
  <c r="R108" i="19" s="1"/>
  <c r="J108" i="29"/>
  <c r="R108" i="29" s="1"/>
  <c r="J59" i="19"/>
  <c r="R59" i="19" s="1"/>
  <c r="J59" i="29"/>
  <c r="R59" i="29" s="1"/>
  <c r="J2" i="29"/>
  <c r="R2" i="29" s="1"/>
  <c r="J2" i="19"/>
  <c r="R2" i="19" s="1"/>
  <c r="J66" i="29"/>
  <c r="R66" i="29" s="1"/>
  <c r="J66" i="19"/>
  <c r="R66" i="19" s="1"/>
  <c r="J9" i="29"/>
  <c r="R9" i="29" s="1"/>
  <c r="J9" i="19"/>
  <c r="R9" i="19" s="1"/>
  <c r="J73" i="29"/>
  <c r="R73" i="29" s="1"/>
  <c r="J73" i="19"/>
  <c r="R73" i="19" s="1"/>
  <c r="J32" i="29"/>
  <c r="R32" i="29" s="1"/>
  <c r="J32" i="19"/>
  <c r="R32" i="19" s="1"/>
  <c r="J96" i="29"/>
  <c r="R96" i="29" s="1"/>
  <c r="S96" i="29" s="1"/>
  <c r="J96" i="19"/>
  <c r="R96" i="19" s="1"/>
  <c r="J31" i="19"/>
  <c r="R31" i="19" s="1"/>
  <c r="J31" i="29"/>
  <c r="R31" i="29" s="1"/>
  <c r="J95" i="19"/>
  <c r="R95" i="19" s="1"/>
  <c r="J95" i="29"/>
  <c r="R95" i="29" s="1"/>
  <c r="S95" i="29" s="1"/>
  <c r="J78" i="19"/>
  <c r="R78" i="19" s="1"/>
  <c r="J78" i="29"/>
  <c r="R78" i="29" s="1"/>
  <c r="J5" i="29"/>
  <c r="R5" i="29" s="1"/>
  <c r="J5" i="19"/>
  <c r="R5" i="19" s="1"/>
  <c r="J69" i="29"/>
  <c r="R69" i="29" s="1"/>
  <c r="J69" i="19"/>
  <c r="R69" i="19" s="1"/>
  <c r="J14" i="19"/>
  <c r="R14" i="19" s="1"/>
  <c r="J14" i="29"/>
  <c r="R14" i="29" s="1"/>
  <c r="Q44" i="18"/>
  <c r="J51" i="29"/>
  <c r="R51" i="29" s="1"/>
  <c r="J51" i="19"/>
  <c r="R51" i="19" s="1"/>
  <c r="J58" i="19"/>
  <c r="R58" i="19" s="1"/>
  <c r="J58" i="29"/>
  <c r="R58" i="29" s="1"/>
  <c r="J65" i="29"/>
  <c r="R65" i="29" s="1"/>
  <c r="J65" i="19"/>
  <c r="R65" i="19" s="1"/>
  <c r="J24" i="29"/>
  <c r="R24" i="29" s="1"/>
  <c r="J24" i="19"/>
  <c r="R24" i="19" s="1"/>
  <c r="J88" i="29"/>
  <c r="R88" i="29" s="1"/>
  <c r="S88" i="29" s="1"/>
  <c r="J88" i="19"/>
  <c r="R88" i="19" s="1"/>
  <c r="S88" i="19" s="1"/>
  <c r="J87" i="29"/>
  <c r="R87" i="29" s="1"/>
  <c r="S87" i="29" s="1"/>
  <c r="J87" i="19"/>
  <c r="R87" i="19" s="1"/>
  <c r="S87" i="19" s="1"/>
  <c r="J6" i="29"/>
  <c r="R6" i="29" s="1"/>
  <c r="J6" i="19"/>
  <c r="R6" i="19" s="1"/>
  <c r="J70" i="29"/>
  <c r="R70" i="29" s="1"/>
  <c r="J70" i="19"/>
  <c r="R70" i="19" s="1"/>
  <c r="J61" i="19"/>
  <c r="R61" i="19" s="1"/>
  <c r="J61" i="29"/>
  <c r="R61" i="29" s="1"/>
  <c r="J92" i="19"/>
  <c r="R92" i="19" s="1"/>
  <c r="S92" i="19" s="1"/>
  <c r="J92" i="29"/>
  <c r="R92" i="29" s="1"/>
  <c r="S92" i="29" s="1"/>
  <c r="J23" i="29"/>
  <c r="R23" i="29" s="1"/>
  <c r="J23" i="19"/>
  <c r="R23" i="19" s="1"/>
  <c r="J60" i="19"/>
  <c r="R60" i="19" s="1"/>
  <c r="J60" i="29"/>
  <c r="R60" i="29" s="1"/>
  <c r="J107" i="19"/>
  <c r="R107" i="19" s="1"/>
  <c r="J107" i="29"/>
  <c r="R107" i="29" s="1"/>
  <c r="J57" i="29"/>
  <c r="R57" i="29" s="1"/>
  <c r="J57" i="19"/>
  <c r="R57" i="19" s="1"/>
  <c r="J16" i="29"/>
  <c r="R16" i="29" s="1"/>
  <c r="J16" i="19"/>
  <c r="R16" i="19" s="1"/>
  <c r="J80" i="29"/>
  <c r="R80" i="29" s="1"/>
  <c r="J80" i="19"/>
  <c r="R80" i="19" s="1"/>
  <c r="J15" i="19"/>
  <c r="R15" i="19" s="1"/>
  <c r="S15" i="19" s="1"/>
  <c r="U15" i="19" s="1"/>
  <c r="J15" i="29"/>
  <c r="R15" i="29" s="1"/>
  <c r="S15" i="29" s="1"/>
  <c r="V15" i="29" s="1"/>
  <c r="J79" i="19"/>
  <c r="R79" i="19" s="1"/>
  <c r="J79" i="29"/>
  <c r="R79" i="29" s="1"/>
  <c r="J36" i="29"/>
  <c r="R36" i="29" s="1"/>
  <c r="J36" i="19"/>
  <c r="R36" i="19" s="1"/>
  <c r="J62" i="19"/>
  <c r="R62" i="19" s="1"/>
  <c r="J62" i="29"/>
  <c r="R62" i="29" s="1"/>
  <c r="J76" i="19"/>
  <c r="R76" i="19" s="1"/>
  <c r="J76" i="29"/>
  <c r="R76" i="29" s="1"/>
  <c r="J53" i="29"/>
  <c r="R53" i="29" s="1"/>
  <c r="J53" i="19"/>
  <c r="R53" i="19" s="1"/>
  <c r="J12" i="19"/>
  <c r="R12" i="19" s="1"/>
  <c r="J12" i="29"/>
  <c r="R12" i="29" s="1"/>
  <c r="S47" i="24"/>
  <c r="S48" i="20"/>
  <c r="J43" i="19"/>
  <c r="R43" i="19" s="1"/>
  <c r="S43" i="19" s="1"/>
  <c r="J43" i="29"/>
  <c r="R43" i="29" s="1"/>
  <c r="S43" i="29" s="1"/>
  <c r="J50" i="29"/>
  <c r="R50" i="29" s="1"/>
  <c r="J50" i="19"/>
  <c r="R50" i="19" s="1"/>
  <c r="J35" i="29"/>
  <c r="R35" i="29" s="1"/>
  <c r="J35" i="19"/>
  <c r="R35" i="19" s="1"/>
  <c r="J99" i="29"/>
  <c r="R99" i="29" s="1"/>
  <c r="J99" i="19"/>
  <c r="R99" i="19" s="1"/>
  <c r="J42" i="19"/>
  <c r="R42" i="19" s="1"/>
  <c r="S42" i="19" s="1"/>
  <c r="J42" i="29"/>
  <c r="R42" i="29" s="1"/>
  <c r="S42" i="29" s="1"/>
  <c r="J106" i="19"/>
  <c r="R106" i="19" s="1"/>
  <c r="J106" i="29"/>
  <c r="R106" i="29" s="1"/>
  <c r="J49" i="29"/>
  <c r="R49" i="29" s="1"/>
  <c r="S49" i="29" s="1"/>
  <c r="J49" i="19"/>
  <c r="R49" i="19" s="1"/>
  <c r="S49" i="19" s="1"/>
  <c r="J28" i="19"/>
  <c r="R28" i="19" s="1"/>
  <c r="J28" i="29"/>
  <c r="R28" i="29" s="1"/>
  <c r="J72" i="29"/>
  <c r="R72" i="29" s="1"/>
  <c r="J72" i="19"/>
  <c r="R72" i="19" s="1"/>
  <c r="J7" i="29"/>
  <c r="R7" i="29" s="1"/>
  <c r="J7" i="19"/>
  <c r="R7" i="19" s="1"/>
  <c r="J109" i="19"/>
  <c r="R109" i="19" s="1"/>
  <c r="J109" i="29"/>
  <c r="R109" i="29" s="1"/>
  <c r="J20" i="29"/>
  <c r="R20" i="29" s="1"/>
  <c r="J20" i="19"/>
  <c r="R20" i="19" s="1"/>
  <c r="J8" i="29"/>
  <c r="R8" i="29" s="1"/>
  <c r="J8" i="19"/>
  <c r="R8" i="19" s="1"/>
  <c r="J71" i="29"/>
  <c r="R71" i="29" s="1"/>
  <c r="J71" i="19"/>
  <c r="R71" i="19" s="1"/>
  <c r="J54" i="29"/>
  <c r="R54" i="29" s="1"/>
  <c r="J54" i="19"/>
  <c r="R54" i="19" s="1"/>
  <c r="J45" i="19"/>
  <c r="R45" i="19" s="1"/>
  <c r="J45" i="29"/>
  <c r="R45" i="29" s="1"/>
  <c r="S45" i="29" s="1"/>
  <c r="S90" i="19"/>
  <c r="S97" i="31"/>
  <c r="S92" i="20"/>
  <c r="S15" i="31"/>
  <c r="V15" i="31" s="1"/>
  <c r="S95" i="20"/>
  <c r="S94" i="20"/>
  <c r="S15" i="20"/>
  <c r="U15" i="20" s="1"/>
  <c r="Q92" i="18"/>
  <c r="Q41" i="18"/>
  <c r="Q63" i="18"/>
  <c r="Q43" i="18"/>
  <c r="Q49" i="18"/>
  <c r="Q42" i="18"/>
  <c r="Q42" i="25"/>
  <c r="Q95" i="18"/>
  <c r="Q46" i="18"/>
  <c r="Q45" i="18"/>
  <c r="Q39" i="18"/>
  <c r="S43" i="24"/>
  <c r="Q47" i="18"/>
  <c r="S97" i="24"/>
  <c r="S96" i="24"/>
  <c r="Q88" i="18"/>
  <c r="S89" i="24"/>
  <c r="S49" i="24"/>
  <c r="S91" i="19"/>
  <c r="Q40" i="18"/>
  <c r="P147" i="6"/>
  <c r="P159" i="6" s="1"/>
  <c r="P171" i="6" s="1"/>
  <c r="P183" i="6" s="1"/>
  <c r="P195" i="6" s="1"/>
  <c r="P207" i="6" s="1"/>
  <c r="P219" i="6" s="1"/>
  <c r="R144" i="6"/>
  <c r="R156" i="6" s="1"/>
  <c r="R168" i="6" s="1"/>
  <c r="R180" i="6" s="1"/>
  <c r="R192" i="6" s="1"/>
  <c r="R204" i="6" s="1"/>
  <c r="R216" i="6" s="1"/>
  <c r="S41" i="24"/>
  <c r="M138" i="6"/>
  <c r="M150" i="6" s="1"/>
  <c r="M162" i="6" s="1"/>
  <c r="M174" i="6" s="1"/>
  <c r="M186" i="6" s="1"/>
  <c r="M198" i="6" s="1"/>
  <c r="M210" i="6" s="1"/>
  <c r="N143" i="6"/>
  <c r="O148" i="6"/>
  <c r="S148" i="6" s="1"/>
  <c r="O147" i="6"/>
  <c r="R143" i="6"/>
  <c r="R155" i="6" s="1"/>
  <c r="R167" i="6" s="1"/>
  <c r="R179" i="6" s="1"/>
  <c r="R191" i="6" s="1"/>
  <c r="R203" i="6" s="1"/>
  <c r="R215" i="6" s="1"/>
  <c r="S93" i="19"/>
  <c r="Q96" i="18"/>
  <c r="G8" i="28"/>
  <c r="P8" i="28" s="1"/>
  <c r="G8" i="17"/>
  <c r="P8" i="17" s="1"/>
  <c r="G8" i="23"/>
  <c r="P8" i="23" s="1"/>
  <c r="G8" i="34"/>
  <c r="P8" i="34" s="1"/>
  <c r="G72" i="34"/>
  <c r="P72" i="34" s="1"/>
  <c r="G72" i="17"/>
  <c r="P72" i="17" s="1"/>
  <c r="G72" i="23"/>
  <c r="P72" i="23" s="1"/>
  <c r="G72" i="28"/>
  <c r="P72" i="28" s="1"/>
  <c r="G47" i="28"/>
  <c r="P47" i="28" s="1"/>
  <c r="G47" i="17"/>
  <c r="P47" i="17" s="1"/>
  <c r="G47" i="23"/>
  <c r="P47" i="23" s="1"/>
  <c r="G47" i="34"/>
  <c r="P47" i="34" s="1"/>
  <c r="G62" i="28"/>
  <c r="P62" i="28" s="1"/>
  <c r="G62" i="17"/>
  <c r="P62" i="17" s="1"/>
  <c r="G62" i="34"/>
  <c r="P62" i="34" s="1"/>
  <c r="G62" i="23"/>
  <c r="P62" i="23" s="1"/>
  <c r="H56" i="28"/>
  <c r="Q56" i="28" s="1"/>
  <c r="H56" i="17"/>
  <c r="Q56" i="17" s="1"/>
  <c r="G5" i="28"/>
  <c r="P5" i="28" s="1"/>
  <c r="G5" i="17"/>
  <c r="P5" i="17" s="1"/>
  <c r="G5" i="34"/>
  <c r="P5" i="34" s="1"/>
  <c r="G5" i="23"/>
  <c r="P5" i="23" s="1"/>
  <c r="G69" i="17"/>
  <c r="P69" i="17" s="1"/>
  <c r="G69" i="28"/>
  <c r="P69" i="28" s="1"/>
  <c r="G69" i="34"/>
  <c r="P69" i="34" s="1"/>
  <c r="G69" i="23"/>
  <c r="P69" i="23" s="1"/>
  <c r="G51" i="28"/>
  <c r="P51" i="28" s="1"/>
  <c r="G51" i="34"/>
  <c r="P51" i="34" s="1"/>
  <c r="G51" i="23"/>
  <c r="P51" i="23" s="1"/>
  <c r="G51" i="17"/>
  <c r="P51" i="17" s="1"/>
  <c r="G147" i="6"/>
  <c r="G159" i="6" s="1"/>
  <c r="G171" i="6" s="1"/>
  <c r="G183" i="6" s="1"/>
  <c r="G195" i="6" s="1"/>
  <c r="G207" i="6" s="1"/>
  <c r="G219" i="6" s="1"/>
  <c r="Q46" i="25"/>
  <c r="H62" i="23"/>
  <c r="Q62" i="23" s="1"/>
  <c r="H62" i="34"/>
  <c r="Q62" i="34" s="1"/>
  <c r="G18" i="34"/>
  <c r="P18" i="34" s="1"/>
  <c r="G18" i="23"/>
  <c r="P18" i="23" s="1"/>
  <c r="G18" i="17"/>
  <c r="P18" i="17" s="1"/>
  <c r="G18" i="28"/>
  <c r="P18" i="28" s="1"/>
  <c r="G82" i="23"/>
  <c r="P82" i="23" s="1"/>
  <c r="G82" i="28"/>
  <c r="P82" i="28" s="1"/>
  <c r="G82" i="34"/>
  <c r="P82" i="34" s="1"/>
  <c r="G82" i="17"/>
  <c r="P82" i="17" s="1"/>
  <c r="H52" i="17"/>
  <c r="Q52" i="17" s="1"/>
  <c r="H52" i="28"/>
  <c r="Q52" i="28" s="1"/>
  <c r="H61" i="23"/>
  <c r="Q61" i="23" s="1"/>
  <c r="H61" i="34"/>
  <c r="Q61" i="34" s="1"/>
  <c r="H20" i="23"/>
  <c r="Q20" i="23" s="1"/>
  <c r="H20" i="34"/>
  <c r="Q20" i="34" s="1"/>
  <c r="H75" i="28"/>
  <c r="Q75" i="28" s="1"/>
  <c r="H75" i="17"/>
  <c r="Q75" i="17" s="1"/>
  <c r="H84" i="34"/>
  <c r="Q84" i="34" s="1"/>
  <c r="H84" i="23"/>
  <c r="Q84" i="23" s="1"/>
  <c r="G64" i="28"/>
  <c r="P64" i="28" s="1"/>
  <c r="G64" i="23"/>
  <c r="P64" i="23" s="1"/>
  <c r="G64" i="17"/>
  <c r="P64" i="17" s="1"/>
  <c r="G64" i="34"/>
  <c r="P64" i="34" s="1"/>
  <c r="H50" i="28"/>
  <c r="Q50" i="28" s="1"/>
  <c r="H50" i="17"/>
  <c r="Q50" i="17" s="1"/>
  <c r="H59" i="34"/>
  <c r="Q59" i="34" s="1"/>
  <c r="H59" i="23"/>
  <c r="Q59" i="23" s="1"/>
  <c r="H33" i="17"/>
  <c r="Q33" i="17" s="1"/>
  <c r="H33" i="28"/>
  <c r="Q33" i="28" s="1"/>
  <c r="H42" i="34"/>
  <c r="Q42" i="34" s="1"/>
  <c r="H42" i="23"/>
  <c r="Q42" i="23" s="1"/>
  <c r="H97" i="28"/>
  <c r="Q97" i="28" s="1"/>
  <c r="H97" i="17"/>
  <c r="Q97" i="17" s="1"/>
  <c r="H106" i="23"/>
  <c r="Q106" i="23" s="1"/>
  <c r="H106" i="34"/>
  <c r="Q106" i="34" s="1"/>
  <c r="H55" i="17"/>
  <c r="Q55" i="17" s="1"/>
  <c r="H55" i="28"/>
  <c r="Q55" i="28" s="1"/>
  <c r="H54" i="17"/>
  <c r="Q54" i="17" s="1"/>
  <c r="H54" i="28"/>
  <c r="Q54" i="28" s="1"/>
  <c r="H63" i="23"/>
  <c r="Q63" i="23" s="1"/>
  <c r="H63" i="34"/>
  <c r="Q63" i="34" s="1"/>
  <c r="G83" i="28"/>
  <c r="P83" i="28" s="1"/>
  <c r="G83" i="23"/>
  <c r="P83" i="23" s="1"/>
  <c r="G83" i="34"/>
  <c r="P83" i="34" s="1"/>
  <c r="G83" i="17"/>
  <c r="P83" i="17" s="1"/>
  <c r="Q48" i="18"/>
  <c r="Q87" i="25"/>
  <c r="G52" i="17"/>
  <c r="P52" i="17" s="1"/>
  <c r="G52" i="23"/>
  <c r="P52" i="23" s="1"/>
  <c r="G52" i="28"/>
  <c r="P52" i="28" s="1"/>
  <c r="G52" i="34"/>
  <c r="P52" i="34" s="1"/>
  <c r="Q41" i="25"/>
  <c r="Q97" i="25"/>
  <c r="Q96" i="25"/>
  <c r="H76" i="17"/>
  <c r="Q76" i="17" s="1"/>
  <c r="H76" i="28"/>
  <c r="Q76" i="28" s="1"/>
  <c r="H6" i="23"/>
  <c r="Q6" i="23" s="1"/>
  <c r="H6" i="34"/>
  <c r="Q6" i="34" s="1"/>
  <c r="H70" i="34"/>
  <c r="Q70" i="34" s="1"/>
  <c r="H70" i="23"/>
  <c r="Q70" i="23" s="1"/>
  <c r="G41" i="34"/>
  <c r="P41" i="34" s="1"/>
  <c r="G41" i="23"/>
  <c r="P41" i="23" s="1"/>
  <c r="G41" i="28"/>
  <c r="P41" i="28" s="1"/>
  <c r="G41" i="17"/>
  <c r="P41" i="17" s="1"/>
  <c r="G39" i="23"/>
  <c r="P39" i="23" s="1"/>
  <c r="G39" i="34"/>
  <c r="P39" i="34" s="1"/>
  <c r="G39" i="17"/>
  <c r="P39" i="17" s="1"/>
  <c r="G39" i="28"/>
  <c r="P39" i="28" s="1"/>
  <c r="H45" i="17"/>
  <c r="Q45" i="17" s="1"/>
  <c r="H45" i="28"/>
  <c r="Q45" i="28" s="1"/>
  <c r="G10" i="28"/>
  <c r="P10" i="28" s="1"/>
  <c r="G10" i="34"/>
  <c r="P10" i="34" s="1"/>
  <c r="G10" i="23"/>
  <c r="P10" i="23" s="1"/>
  <c r="G10" i="17"/>
  <c r="P10" i="17" s="1"/>
  <c r="G74" i="28"/>
  <c r="P74" i="28" s="1"/>
  <c r="G74" i="23"/>
  <c r="P74" i="23" s="1"/>
  <c r="G74" i="17"/>
  <c r="P74" i="17" s="1"/>
  <c r="G74" i="34"/>
  <c r="P74" i="34" s="1"/>
  <c r="H44" i="17"/>
  <c r="Q44" i="17" s="1"/>
  <c r="H44" i="28"/>
  <c r="Q44" i="28" s="1"/>
  <c r="H53" i="34"/>
  <c r="Q53" i="34" s="1"/>
  <c r="H53" i="23"/>
  <c r="Q53" i="23" s="1"/>
  <c r="H108" i="17"/>
  <c r="Q108" i="17" s="1"/>
  <c r="H108" i="28"/>
  <c r="Q108" i="28" s="1"/>
  <c r="G33" i="34"/>
  <c r="P33" i="34" s="1"/>
  <c r="G33" i="23"/>
  <c r="P33" i="23" s="1"/>
  <c r="G33" i="17"/>
  <c r="P33" i="17" s="1"/>
  <c r="G33" i="28"/>
  <c r="P33" i="28" s="1"/>
  <c r="G97" i="28"/>
  <c r="P97" i="28" s="1"/>
  <c r="G97" i="34"/>
  <c r="P97" i="34" s="1"/>
  <c r="G97" i="17"/>
  <c r="P97" i="17" s="1"/>
  <c r="G97" i="23"/>
  <c r="P97" i="23" s="1"/>
  <c r="H3" i="28"/>
  <c r="Q3" i="28" s="1"/>
  <c r="H3" i="17"/>
  <c r="Q3" i="17" s="1"/>
  <c r="H12" i="34"/>
  <c r="Q12" i="34" s="1"/>
  <c r="H12" i="23"/>
  <c r="Q12" i="23" s="1"/>
  <c r="H76" i="34"/>
  <c r="Q76" i="34" s="1"/>
  <c r="H76" i="23"/>
  <c r="Q76" i="23" s="1"/>
  <c r="G56" i="34"/>
  <c r="P56" i="34" s="1"/>
  <c r="G56" i="28"/>
  <c r="P56" i="28" s="1"/>
  <c r="G56" i="17"/>
  <c r="P56" i="17" s="1"/>
  <c r="G56" i="23"/>
  <c r="P56" i="23" s="1"/>
  <c r="H42" i="28"/>
  <c r="Q42" i="28" s="1"/>
  <c r="H42" i="17"/>
  <c r="Q42" i="17" s="1"/>
  <c r="H106" i="28"/>
  <c r="Q106" i="28" s="1"/>
  <c r="H106" i="17"/>
  <c r="Q106" i="17" s="1"/>
  <c r="G91" i="23"/>
  <c r="P91" i="23" s="1"/>
  <c r="G91" i="34"/>
  <c r="P91" i="34" s="1"/>
  <c r="G91" i="28"/>
  <c r="P91" i="28" s="1"/>
  <c r="G91" i="17"/>
  <c r="P91" i="17" s="1"/>
  <c r="G95" i="28"/>
  <c r="P95" i="28" s="1"/>
  <c r="G95" i="34"/>
  <c r="P95" i="34" s="1"/>
  <c r="G95" i="17"/>
  <c r="P95" i="17" s="1"/>
  <c r="G95" i="23"/>
  <c r="P95" i="23" s="1"/>
  <c r="H25" i="28"/>
  <c r="Q25" i="28" s="1"/>
  <c r="H25" i="17"/>
  <c r="Q25" i="17" s="1"/>
  <c r="H34" i="23"/>
  <c r="Q34" i="23" s="1"/>
  <c r="H34" i="34"/>
  <c r="Q34" i="34" s="1"/>
  <c r="H89" i="28"/>
  <c r="Q89" i="28" s="1"/>
  <c r="H89" i="17"/>
  <c r="Q89" i="17" s="1"/>
  <c r="H98" i="23"/>
  <c r="Q98" i="23" s="1"/>
  <c r="H98" i="34"/>
  <c r="Q98" i="34" s="1"/>
  <c r="H47" i="28"/>
  <c r="Q47" i="28" s="1"/>
  <c r="H47" i="17"/>
  <c r="Q47" i="17" s="1"/>
  <c r="G44" i="17"/>
  <c r="P44" i="17" s="1"/>
  <c r="G44" i="34"/>
  <c r="P44" i="34" s="1"/>
  <c r="G44" i="23"/>
  <c r="P44" i="23" s="1"/>
  <c r="G44" i="28"/>
  <c r="P44" i="28" s="1"/>
  <c r="G108" i="17"/>
  <c r="P108" i="17" s="1"/>
  <c r="G108" i="28"/>
  <c r="P108" i="28" s="1"/>
  <c r="G108" i="23"/>
  <c r="P108" i="23" s="1"/>
  <c r="G108" i="34"/>
  <c r="P108" i="34" s="1"/>
  <c r="H46" i="17"/>
  <c r="Q46" i="17" s="1"/>
  <c r="H46" i="28"/>
  <c r="Q46" i="28" s="1"/>
  <c r="H55" i="23"/>
  <c r="Q55" i="23" s="1"/>
  <c r="H55" i="34"/>
  <c r="Q55" i="34" s="1"/>
  <c r="N145" i="6"/>
  <c r="N157" i="6" s="1"/>
  <c r="N169" i="6" s="1"/>
  <c r="N181" i="6" s="1"/>
  <c r="N193" i="6" s="1"/>
  <c r="N205" i="6" s="1"/>
  <c r="N217" i="6" s="1"/>
  <c r="S48" i="19"/>
  <c r="H64" i="23"/>
  <c r="Q64" i="23" s="1"/>
  <c r="H64" i="34"/>
  <c r="Q64" i="34" s="1"/>
  <c r="H54" i="23"/>
  <c r="Q54" i="23" s="1"/>
  <c r="H54" i="34"/>
  <c r="Q54" i="34" s="1"/>
  <c r="H109" i="28"/>
  <c r="Q109" i="28" s="1"/>
  <c r="H109" i="17"/>
  <c r="Q109" i="17" s="1"/>
  <c r="H67" i="28"/>
  <c r="Q67" i="28" s="1"/>
  <c r="H67" i="17"/>
  <c r="Q67" i="17" s="1"/>
  <c r="H51" i="34"/>
  <c r="Q51" i="34" s="1"/>
  <c r="H51" i="23"/>
  <c r="Q51" i="23" s="1"/>
  <c r="G31" i="28"/>
  <c r="P31" i="28" s="1"/>
  <c r="G31" i="17"/>
  <c r="P31" i="17" s="1"/>
  <c r="G31" i="23"/>
  <c r="P31" i="23" s="1"/>
  <c r="G31" i="34"/>
  <c r="P31" i="34" s="1"/>
  <c r="G46" i="34"/>
  <c r="P46" i="34" s="1"/>
  <c r="G46" i="17"/>
  <c r="P46" i="17" s="1"/>
  <c r="G46" i="28"/>
  <c r="P46" i="28" s="1"/>
  <c r="G46" i="23"/>
  <c r="P46" i="23" s="1"/>
  <c r="H40" i="28"/>
  <c r="Q40" i="28" s="1"/>
  <c r="H40" i="17"/>
  <c r="Q40" i="17" s="1"/>
  <c r="H49" i="23"/>
  <c r="Q49" i="23" s="1"/>
  <c r="H49" i="34"/>
  <c r="Q49" i="34" s="1"/>
  <c r="H104" i="28"/>
  <c r="Q104" i="28" s="1"/>
  <c r="H104" i="17"/>
  <c r="Q104" i="17" s="1"/>
  <c r="G53" i="28"/>
  <c r="P53" i="28" s="1"/>
  <c r="G53" i="17"/>
  <c r="P53" i="17" s="1"/>
  <c r="G53" i="34"/>
  <c r="P53" i="34" s="1"/>
  <c r="G53" i="23"/>
  <c r="P53" i="23" s="1"/>
  <c r="H56" i="34"/>
  <c r="Q56" i="34" s="1"/>
  <c r="H56" i="23"/>
  <c r="Q56" i="23" s="1"/>
  <c r="Q39" i="25"/>
  <c r="G3" i="28"/>
  <c r="P3" i="28" s="1"/>
  <c r="G3" i="34"/>
  <c r="P3" i="34" s="1"/>
  <c r="G3" i="23"/>
  <c r="P3" i="23" s="1"/>
  <c r="G3" i="17"/>
  <c r="P3" i="17" s="1"/>
  <c r="H37" i="17"/>
  <c r="Q37" i="17" s="1"/>
  <c r="H37" i="28"/>
  <c r="Q37" i="28" s="1"/>
  <c r="H46" i="23"/>
  <c r="Q46" i="23" s="1"/>
  <c r="H46" i="34"/>
  <c r="Q46" i="34" s="1"/>
  <c r="H101" i="17"/>
  <c r="Q101" i="17" s="1"/>
  <c r="H101" i="28"/>
  <c r="Q101" i="28" s="1"/>
  <c r="G2" i="23"/>
  <c r="P2" i="23" s="1"/>
  <c r="G2" i="34"/>
  <c r="P2" i="34" s="1"/>
  <c r="G2" i="28"/>
  <c r="P2" i="28" s="1"/>
  <c r="G2" i="17"/>
  <c r="P2" i="17" s="1"/>
  <c r="G66" i="23"/>
  <c r="P66" i="23" s="1"/>
  <c r="G66" i="34"/>
  <c r="P66" i="34" s="1"/>
  <c r="G66" i="17"/>
  <c r="P66" i="17" s="1"/>
  <c r="G66" i="28"/>
  <c r="P66" i="28" s="1"/>
  <c r="H36" i="17"/>
  <c r="Q36" i="17" s="1"/>
  <c r="H36" i="28"/>
  <c r="Q36" i="28" s="1"/>
  <c r="H45" i="23"/>
  <c r="Q45" i="23" s="1"/>
  <c r="H45" i="34"/>
  <c r="Q45" i="34" s="1"/>
  <c r="H100" i="17"/>
  <c r="Q100" i="17" s="1"/>
  <c r="H100" i="28"/>
  <c r="Q100" i="28" s="1"/>
  <c r="H109" i="23"/>
  <c r="Q109" i="23" s="1"/>
  <c r="H109" i="34"/>
  <c r="Q109" i="34" s="1"/>
  <c r="G89" i="23"/>
  <c r="P89" i="23" s="1"/>
  <c r="G89" i="28"/>
  <c r="P89" i="28" s="1"/>
  <c r="G89" i="17"/>
  <c r="P89" i="17" s="1"/>
  <c r="G89" i="34"/>
  <c r="P89" i="34" s="1"/>
  <c r="H4" i="34"/>
  <c r="Q4" i="34" s="1"/>
  <c r="H4" i="23"/>
  <c r="Q4" i="23" s="1"/>
  <c r="H59" i="28"/>
  <c r="Q59" i="28" s="1"/>
  <c r="H59" i="17"/>
  <c r="Q59" i="17" s="1"/>
  <c r="H68" i="34"/>
  <c r="Q68" i="34" s="1"/>
  <c r="H68" i="23"/>
  <c r="Q68" i="23" s="1"/>
  <c r="G75" i="28"/>
  <c r="P75" i="28" s="1"/>
  <c r="G75" i="23"/>
  <c r="P75" i="23" s="1"/>
  <c r="G75" i="34"/>
  <c r="P75" i="34" s="1"/>
  <c r="G75" i="17"/>
  <c r="P75" i="17" s="1"/>
  <c r="G48" i="34"/>
  <c r="P48" i="34" s="1"/>
  <c r="G48" i="23"/>
  <c r="P48" i="23" s="1"/>
  <c r="G48" i="17"/>
  <c r="P48" i="17" s="1"/>
  <c r="G48" i="28"/>
  <c r="P48" i="28" s="1"/>
  <c r="H34" i="28"/>
  <c r="Q34" i="28" s="1"/>
  <c r="H34" i="17"/>
  <c r="Q34" i="17" s="1"/>
  <c r="H43" i="34"/>
  <c r="Q43" i="34" s="1"/>
  <c r="H43" i="23"/>
  <c r="Q43" i="23" s="1"/>
  <c r="H98" i="28"/>
  <c r="Q98" i="28" s="1"/>
  <c r="H98" i="17"/>
  <c r="Q98" i="17" s="1"/>
  <c r="H107" i="34"/>
  <c r="Q107" i="34" s="1"/>
  <c r="H107" i="23"/>
  <c r="Q107" i="23" s="1"/>
  <c r="G23" i="23"/>
  <c r="P23" i="23" s="1"/>
  <c r="G23" i="28"/>
  <c r="P23" i="28" s="1"/>
  <c r="G23" i="34"/>
  <c r="P23" i="34" s="1"/>
  <c r="G23" i="17"/>
  <c r="P23" i="17" s="1"/>
  <c r="G87" i="23"/>
  <c r="P87" i="23" s="1"/>
  <c r="G87" i="17"/>
  <c r="P87" i="17" s="1"/>
  <c r="G87" i="28"/>
  <c r="P87" i="28" s="1"/>
  <c r="G87" i="34"/>
  <c r="P87" i="34" s="1"/>
  <c r="H17" i="28"/>
  <c r="Q17" i="28" s="1"/>
  <c r="H17" i="17"/>
  <c r="Q17" i="17" s="1"/>
  <c r="H26" i="34"/>
  <c r="Q26" i="34" s="1"/>
  <c r="H26" i="23"/>
  <c r="Q26" i="23" s="1"/>
  <c r="H81" i="28"/>
  <c r="Q81" i="28" s="1"/>
  <c r="H81" i="17"/>
  <c r="Q81" i="17" s="1"/>
  <c r="H90" i="34"/>
  <c r="Q90" i="34" s="1"/>
  <c r="H90" i="23"/>
  <c r="Q90" i="23" s="1"/>
  <c r="G102" i="34"/>
  <c r="P102" i="34" s="1"/>
  <c r="G102" i="17"/>
  <c r="P102" i="17" s="1"/>
  <c r="G102" i="28"/>
  <c r="P102" i="28" s="1"/>
  <c r="G102" i="23"/>
  <c r="P102" i="23" s="1"/>
  <c r="H32" i="28"/>
  <c r="Q32" i="28" s="1"/>
  <c r="H32" i="17"/>
  <c r="Q32" i="17" s="1"/>
  <c r="H96" i="28"/>
  <c r="Q96" i="28" s="1"/>
  <c r="H96" i="17"/>
  <c r="Q96" i="17" s="1"/>
  <c r="H105" i="34"/>
  <c r="Q105" i="34" s="1"/>
  <c r="H105" i="23"/>
  <c r="Q105" i="23" s="1"/>
  <c r="G59" i="23"/>
  <c r="P59" i="23" s="1"/>
  <c r="G59" i="34"/>
  <c r="P59" i="34" s="1"/>
  <c r="G59" i="28"/>
  <c r="P59" i="28" s="1"/>
  <c r="G59" i="17"/>
  <c r="P59" i="17" s="1"/>
  <c r="G109" i="17"/>
  <c r="P109" i="17" s="1"/>
  <c r="G109" i="34"/>
  <c r="P109" i="34" s="1"/>
  <c r="G109" i="28"/>
  <c r="P109" i="28" s="1"/>
  <c r="G109" i="23"/>
  <c r="P109" i="23" s="1"/>
  <c r="H48" i="34"/>
  <c r="Q48" i="34" s="1"/>
  <c r="H48" i="23"/>
  <c r="Q48" i="23" s="1"/>
  <c r="G36" i="17"/>
  <c r="P36" i="17" s="1"/>
  <c r="G36" i="28"/>
  <c r="P36" i="28" s="1"/>
  <c r="G36" i="23"/>
  <c r="P36" i="23" s="1"/>
  <c r="G36" i="34"/>
  <c r="P36" i="34" s="1"/>
  <c r="G100" i="17"/>
  <c r="P100" i="17" s="1"/>
  <c r="G100" i="28"/>
  <c r="P100" i="28" s="1"/>
  <c r="G100" i="23"/>
  <c r="P100" i="23" s="1"/>
  <c r="G100" i="34"/>
  <c r="P100" i="34" s="1"/>
  <c r="H38" i="28"/>
  <c r="Q38" i="28" s="1"/>
  <c r="H38" i="17"/>
  <c r="Q38" i="17" s="1"/>
  <c r="H47" i="23"/>
  <c r="Q47" i="23" s="1"/>
  <c r="U47" i="23" s="1"/>
  <c r="H47" i="34"/>
  <c r="Q47" i="34" s="1"/>
  <c r="H102" i="28"/>
  <c r="Q102" i="28" s="1"/>
  <c r="H102" i="17"/>
  <c r="Q102" i="17" s="1"/>
  <c r="Q49" i="25"/>
  <c r="Q45" i="25"/>
  <c r="H57" i="23"/>
  <c r="Q57" i="23" s="1"/>
  <c r="H57" i="34"/>
  <c r="Q57" i="34" s="1"/>
  <c r="G25" i="34"/>
  <c r="P25" i="34" s="1"/>
  <c r="G25" i="23"/>
  <c r="P25" i="23" s="1"/>
  <c r="G25" i="28"/>
  <c r="P25" i="28" s="1"/>
  <c r="G25" i="17"/>
  <c r="P25" i="17" s="1"/>
  <c r="G38" i="28"/>
  <c r="P38" i="28" s="1"/>
  <c r="G38" i="17"/>
  <c r="P38" i="17" s="1"/>
  <c r="G38" i="23"/>
  <c r="P38" i="23" s="1"/>
  <c r="G38" i="34"/>
  <c r="P38" i="34" s="1"/>
  <c r="H41" i="34"/>
  <c r="Q41" i="34" s="1"/>
  <c r="H41" i="23"/>
  <c r="Q41" i="23" s="1"/>
  <c r="G45" i="17"/>
  <c r="P45" i="17" s="1"/>
  <c r="G45" i="28"/>
  <c r="P45" i="28" s="1"/>
  <c r="G45" i="23"/>
  <c r="P45" i="23" s="1"/>
  <c r="G45" i="34"/>
  <c r="P45" i="34" s="1"/>
  <c r="H39" i="17"/>
  <c r="Q39" i="17" s="1"/>
  <c r="H39" i="28"/>
  <c r="Q39" i="28" s="1"/>
  <c r="H103" i="17"/>
  <c r="Q103" i="17" s="1"/>
  <c r="H103" i="28"/>
  <c r="Q103" i="28" s="1"/>
  <c r="S63" i="19"/>
  <c r="H15" i="28"/>
  <c r="Q15" i="28" s="1"/>
  <c r="H15" i="17"/>
  <c r="Q15" i="17" s="1"/>
  <c r="H29" i="17"/>
  <c r="Q29" i="17" s="1"/>
  <c r="H29" i="28"/>
  <c r="Q29" i="28" s="1"/>
  <c r="H102" i="34"/>
  <c r="Q102" i="34" s="1"/>
  <c r="H102" i="23"/>
  <c r="Q102" i="23" s="1"/>
  <c r="G58" i="28"/>
  <c r="P58" i="28" s="1"/>
  <c r="G58" i="34"/>
  <c r="P58" i="34" s="1"/>
  <c r="G58" i="23"/>
  <c r="P58" i="23" s="1"/>
  <c r="G58" i="17"/>
  <c r="P58" i="17" s="1"/>
  <c r="H37" i="34"/>
  <c r="Q37" i="34" s="1"/>
  <c r="H37" i="23"/>
  <c r="Q37" i="23" s="1"/>
  <c r="H92" i="17"/>
  <c r="Q92" i="17" s="1"/>
  <c r="H92" i="28"/>
  <c r="Q92" i="28" s="1"/>
  <c r="H101" i="23"/>
  <c r="Q101" i="23" s="1"/>
  <c r="H101" i="34"/>
  <c r="Q101" i="34" s="1"/>
  <c r="G17" i="28"/>
  <c r="P17" i="28" s="1"/>
  <c r="G17" i="34"/>
  <c r="P17" i="34" s="1"/>
  <c r="G17" i="23"/>
  <c r="P17" i="23" s="1"/>
  <c r="G17" i="17"/>
  <c r="P17" i="17" s="1"/>
  <c r="G81" i="23"/>
  <c r="P81" i="23" s="1"/>
  <c r="G81" i="17"/>
  <c r="P81" i="17" s="1"/>
  <c r="G81" i="28"/>
  <c r="P81" i="28" s="1"/>
  <c r="G81" i="34"/>
  <c r="P81" i="34" s="1"/>
  <c r="H51" i="28"/>
  <c r="Q51" i="28" s="1"/>
  <c r="H51" i="17"/>
  <c r="Q51" i="17" s="1"/>
  <c r="H60" i="34"/>
  <c r="Q60" i="34" s="1"/>
  <c r="H60" i="23"/>
  <c r="Q60" i="23" s="1"/>
  <c r="G40" i="28"/>
  <c r="P40" i="28" s="1"/>
  <c r="G40" i="17"/>
  <c r="P40" i="17" s="1"/>
  <c r="G40" i="23"/>
  <c r="P40" i="23" s="1"/>
  <c r="G40" i="34"/>
  <c r="P40" i="34" s="1"/>
  <c r="G104" i="34"/>
  <c r="P104" i="34" s="1"/>
  <c r="G104" i="28"/>
  <c r="P104" i="28" s="1"/>
  <c r="G104" i="17"/>
  <c r="P104" i="17" s="1"/>
  <c r="G104" i="23"/>
  <c r="P104" i="23" s="1"/>
  <c r="H26" i="28"/>
  <c r="Q26" i="28" s="1"/>
  <c r="H26" i="17"/>
  <c r="Q26" i="17" s="1"/>
  <c r="H90" i="28"/>
  <c r="Q90" i="28" s="1"/>
  <c r="H90" i="17"/>
  <c r="Q90" i="17" s="1"/>
  <c r="H9" i="28"/>
  <c r="Q9" i="28" s="1"/>
  <c r="H9" i="17"/>
  <c r="Q9" i="17" s="1"/>
  <c r="H18" i="34"/>
  <c r="Q18" i="34" s="1"/>
  <c r="H18" i="23"/>
  <c r="Q18" i="23" s="1"/>
  <c r="H73" i="28"/>
  <c r="Q73" i="28" s="1"/>
  <c r="H73" i="17"/>
  <c r="Q73" i="17" s="1"/>
  <c r="H82" i="23"/>
  <c r="Q82" i="23" s="1"/>
  <c r="H82" i="34"/>
  <c r="Q82" i="34" s="1"/>
  <c r="G94" i="23"/>
  <c r="P94" i="23" s="1"/>
  <c r="G94" i="17"/>
  <c r="P94" i="17" s="1"/>
  <c r="G94" i="28"/>
  <c r="P94" i="28" s="1"/>
  <c r="G94" i="34"/>
  <c r="P94" i="34" s="1"/>
  <c r="H88" i="17"/>
  <c r="Q88" i="17" s="1"/>
  <c r="H88" i="28"/>
  <c r="Q88" i="28" s="1"/>
  <c r="H97" i="34"/>
  <c r="Q97" i="34" s="1"/>
  <c r="H97" i="23"/>
  <c r="Q97" i="23" s="1"/>
  <c r="G19" i="28"/>
  <c r="P19" i="28" s="1"/>
  <c r="G19" i="34"/>
  <c r="P19" i="34" s="1"/>
  <c r="G19" i="23"/>
  <c r="P19" i="23" s="1"/>
  <c r="G19" i="17"/>
  <c r="P19" i="17" s="1"/>
  <c r="H31" i="17"/>
  <c r="Q31" i="17" s="1"/>
  <c r="H31" i="28"/>
  <c r="Q31" i="28" s="1"/>
  <c r="H40" i="34"/>
  <c r="Q40" i="34" s="1"/>
  <c r="H40" i="23"/>
  <c r="Q40" i="23" s="1"/>
  <c r="H95" i="28"/>
  <c r="Q95" i="28" s="1"/>
  <c r="H95" i="17"/>
  <c r="Q95" i="17" s="1"/>
  <c r="G28" i="17"/>
  <c r="P28" i="17" s="1"/>
  <c r="G28" i="34"/>
  <c r="P28" i="34" s="1"/>
  <c r="G28" i="28"/>
  <c r="P28" i="28" s="1"/>
  <c r="G28" i="23"/>
  <c r="P28" i="23" s="1"/>
  <c r="G92" i="17"/>
  <c r="P92" i="17" s="1"/>
  <c r="G92" i="28"/>
  <c r="P92" i="28" s="1"/>
  <c r="G92" i="34"/>
  <c r="P92" i="34" s="1"/>
  <c r="G92" i="23"/>
  <c r="P92" i="23" s="1"/>
  <c r="G99" i="34"/>
  <c r="P99" i="34" s="1"/>
  <c r="G99" i="23"/>
  <c r="P99" i="23" s="1"/>
  <c r="G99" i="28"/>
  <c r="P99" i="28" s="1"/>
  <c r="G99" i="17"/>
  <c r="P99" i="17" s="1"/>
  <c r="H30" i="17"/>
  <c r="Q30" i="17" s="1"/>
  <c r="H30" i="28"/>
  <c r="Q30" i="28" s="1"/>
  <c r="H39" i="34"/>
  <c r="Q39" i="34" s="1"/>
  <c r="H39" i="23"/>
  <c r="Q39" i="23" s="1"/>
  <c r="H94" i="17"/>
  <c r="Q94" i="17" s="1"/>
  <c r="H94" i="28"/>
  <c r="Q94" i="28" s="1"/>
  <c r="H103" i="34"/>
  <c r="Q103" i="34" s="1"/>
  <c r="H103" i="23"/>
  <c r="Q103" i="23" s="1"/>
  <c r="S39" i="19"/>
  <c r="Q63" i="25"/>
  <c r="S95" i="19"/>
  <c r="Q93" i="25"/>
  <c r="H108" i="34"/>
  <c r="Q108" i="34" s="1"/>
  <c r="H108" i="23"/>
  <c r="Q108" i="23" s="1"/>
  <c r="G103" i="23"/>
  <c r="P103" i="23" s="1"/>
  <c r="G103" i="17"/>
  <c r="P103" i="17" s="1"/>
  <c r="G103" i="28"/>
  <c r="P103" i="28" s="1"/>
  <c r="G103" i="34"/>
  <c r="P103" i="34" s="1"/>
  <c r="G61" i="17"/>
  <c r="P61" i="17" s="1"/>
  <c r="G61" i="34"/>
  <c r="P61" i="34" s="1"/>
  <c r="G61" i="23"/>
  <c r="P61" i="23" s="1"/>
  <c r="G61" i="28"/>
  <c r="P61" i="28" s="1"/>
  <c r="H38" i="23"/>
  <c r="Q38" i="23" s="1"/>
  <c r="H38" i="34"/>
  <c r="Q38" i="34" s="1"/>
  <c r="H93" i="28"/>
  <c r="Q93" i="28" s="1"/>
  <c r="H93" i="17"/>
  <c r="Q93" i="17" s="1"/>
  <c r="H28" i="17"/>
  <c r="Q28" i="17" s="1"/>
  <c r="H28" i="28"/>
  <c r="Q28" i="28" s="1"/>
  <c r="H35" i="34"/>
  <c r="Q35" i="34" s="1"/>
  <c r="H35" i="23"/>
  <c r="Q35" i="23" s="1"/>
  <c r="H99" i="34"/>
  <c r="Q99" i="34" s="1"/>
  <c r="H99" i="23"/>
  <c r="Q99" i="23" s="1"/>
  <c r="G15" i="17"/>
  <c r="P15" i="17" s="1"/>
  <c r="G15" i="28"/>
  <c r="P15" i="28" s="1"/>
  <c r="G15" i="23"/>
  <c r="P15" i="23" s="1"/>
  <c r="G15" i="34"/>
  <c r="P15" i="34" s="1"/>
  <c r="G79" i="34"/>
  <c r="P79" i="34" s="1"/>
  <c r="G79" i="17"/>
  <c r="P79" i="17" s="1"/>
  <c r="G79" i="23"/>
  <c r="P79" i="23" s="1"/>
  <c r="G79" i="28"/>
  <c r="P79" i="28" s="1"/>
  <c r="G30" i="34"/>
  <c r="P30" i="34" s="1"/>
  <c r="G30" i="17"/>
  <c r="P30" i="17" s="1"/>
  <c r="G30" i="28"/>
  <c r="P30" i="28" s="1"/>
  <c r="G30" i="23"/>
  <c r="P30" i="23" s="1"/>
  <c r="H24" i="17"/>
  <c r="Q24" i="17" s="1"/>
  <c r="H24" i="28"/>
  <c r="Q24" i="28" s="1"/>
  <c r="H33" i="23"/>
  <c r="Q33" i="23" s="1"/>
  <c r="H33" i="34"/>
  <c r="Q33" i="34" s="1"/>
  <c r="G37" i="17"/>
  <c r="P37" i="17" s="1"/>
  <c r="G37" i="34"/>
  <c r="P37" i="34" s="1"/>
  <c r="G37" i="28"/>
  <c r="P37" i="28" s="1"/>
  <c r="G37" i="23"/>
  <c r="P37" i="23" s="1"/>
  <c r="G101" i="17"/>
  <c r="P101" i="17" s="1"/>
  <c r="G101" i="34"/>
  <c r="P101" i="34" s="1"/>
  <c r="G101" i="28"/>
  <c r="P101" i="28" s="1"/>
  <c r="G101" i="23"/>
  <c r="P101" i="23" s="1"/>
  <c r="H104" i="34"/>
  <c r="Q104" i="34" s="1"/>
  <c r="H104" i="23"/>
  <c r="Q104" i="23" s="1"/>
  <c r="H19" i="28"/>
  <c r="Q19" i="28" s="1"/>
  <c r="H19" i="17"/>
  <c r="Q19" i="17" s="1"/>
  <c r="H53" i="17"/>
  <c r="Q53" i="17" s="1"/>
  <c r="H53" i="28"/>
  <c r="Q53" i="28" s="1"/>
  <c r="G54" i="17"/>
  <c r="P54" i="17" s="1"/>
  <c r="G54" i="23"/>
  <c r="P54" i="23" s="1"/>
  <c r="G54" i="28"/>
  <c r="P54" i="28" s="1"/>
  <c r="G54" i="34"/>
  <c r="P54" i="34" s="1"/>
  <c r="H48" i="28"/>
  <c r="Q48" i="28" s="1"/>
  <c r="H48" i="17"/>
  <c r="Q48" i="17" s="1"/>
  <c r="H30" i="23"/>
  <c r="Q30" i="23" s="1"/>
  <c r="H30" i="34"/>
  <c r="Q30" i="34" s="1"/>
  <c r="G50" i="23"/>
  <c r="P50" i="23" s="1"/>
  <c r="G50" i="28"/>
  <c r="P50" i="28" s="1"/>
  <c r="G50" i="17"/>
  <c r="P50" i="17" s="1"/>
  <c r="G50" i="34"/>
  <c r="P50" i="34" s="1"/>
  <c r="H20" i="17"/>
  <c r="Q20" i="17" s="1"/>
  <c r="H20" i="28"/>
  <c r="Q20" i="28" s="1"/>
  <c r="H93" i="23"/>
  <c r="Q93" i="23" s="1"/>
  <c r="H93" i="34"/>
  <c r="Q93" i="34" s="1"/>
  <c r="G9" i="23"/>
  <c r="P9" i="23" s="1"/>
  <c r="G9" i="34"/>
  <c r="P9" i="34" s="1"/>
  <c r="G9" i="17"/>
  <c r="P9" i="17" s="1"/>
  <c r="G9" i="28"/>
  <c r="P9" i="28" s="1"/>
  <c r="G73" i="23"/>
  <c r="P73" i="23" s="1"/>
  <c r="G73" i="28"/>
  <c r="P73" i="28" s="1"/>
  <c r="G73" i="34"/>
  <c r="P73" i="34" s="1"/>
  <c r="G73" i="17"/>
  <c r="P73" i="17" s="1"/>
  <c r="H52" i="23"/>
  <c r="Q52" i="23" s="1"/>
  <c r="H52" i="34"/>
  <c r="Q52" i="34" s="1"/>
  <c r="H107" i="28"/>
  <c r="Q107" i="28" s="1"/>
  <c r="H107" i="17"/>
  <c r="Q107" i="17" s="1"/>
  <c r="G32" i="34"/>
  <c r="P32" i="34" s="1"/>
  <c r="G32" i="23"/>
  <c r="P32" i="23" s="1"/>
  <c r="G32" i="28"/>
  <c r="P32" i="28" s="1"/>
  <c r="G32" i="17"/>
  <c r="P32" i="17" s="1"/>
  <c r="G96" i="23"/>
  <c r="P96" i="23" s="1"/>
  <c r="G96" i="17"/>
  <c r="P96" i="17" s="1"/>
  <c r="U96" i="17" s="1"/>
  <c r="G96" i="28"/>
  <c r="P96" i="28" s="1"/>
  <c r="G96" i="34"/>
  <c r="P96" i="34" s="1"/>
  <c r="H18" i="17"/>
  <c r="Q18" i="17" s="1"/>
  <c r="H18" i="28"/>
  <c r="Q18" i="28" s="1"/>
  <c r="H27" i="34"/>
  <c r="Q27" i="34" s="1"/>
  <c r="H27" i="23"/>
  <c r="Q27" i="23" s="1"/>
  <c r="H82" i="28"/>
  <c r="Q82" i="28" s="1"/>
  <c r="H82" i="17"/>
  <c r="Q82" i="17" s="1"/>
  <c r="H91" i="34"/>
  <c r="Q91" i="34" s="1"/>
  <c r="H91" i="23"/>
  <c r="Q91" i="23" s="1"/>
  <c r="G71" i="23"/>
  <c r="P71" i="23" s="1"/>
  <c r="G71" i="28"/>
  <c r="P71" i="28" s="1"/>
  <c r="G71" i="17"/>
  <c r="P71" i="17" s="1"/>
  <c r="G71" i="34"/>
  <c r="P71" i="34" s="1"/>
  <c r="H65" i="28"/>
  <c r="Q65" i="28" s="1"/>
  <c r="H65" i="17"/>
  <c r="Q65" i="17" s="1"/>
  <c r="H74" i="23"/>
  <c r="Q74" i="23" s="1"/>
  <c r="H74" i="34"/>
  <c r="Q74" i="34" s="1"/>
  <c r="G86" i="28"/>
  <c r="P86" i="28" s="1"/>
  <c r="G86" i="17"/>
  <c r="P86" i="17" s="1"/>
  <c r="G86" i="34"/>
  <c r="P86" i="34" s="1"/>
  <c r="G86" i="23"/>
  <c r="P86" i="23" s="1"/>
  <c r="H16" i="17"/>
  <c r="Q16" i="17" s="1"/>
  <c r="H16" i="28"/>
  <c r="Q16" i="28" s="1"/>
  <c r="H89" i="34"/>
  <c r="Q89" i="34" s="1"/>
  <c r="H89" i="23"/>
  <c r="Q89" i="23" s="1"/>
  <c r="G1" i="23"/>
  <c r="P1" i="23" s="1"/>
  <c r="G1" i="28"/>
  <c r="P1" i="28" s="1"/>
  <c r="G1" i="17"/>
  <c r="P1" i="17" s="1"/>
  <c r="G1" i="34"/>
  <c r="P1" i="34" s="1"/>
  <c r="G93" i="17"/>
  <c r="P93" i="17" s="1"/>
  <c r="G93" i="28"/>
  <c r="P93" i="28" s="1"/>
  <c r="G93" i="34"/>
  <c r="P93" i="34" s="1"/>
  <c r="G93" i="23"/>
  <c r="P93" i="23" s="1"/>
  <c r="G107" i="28"/>
  <c r="P107" i="28" s="1"/>
  <c r="G107" i="23"/>
  <c r="P107" i="23" s="1"/>
  <c r="G107" i="34"/>
  <c r="P107" i="34" s="1"/>
  <c r="G107" i="17"/>
  <c r="P107" i="17" s="1"/>
  <c r="H23" i="28"/>
  <c r="Q23" i="28" s="1"/>
  <c r="H23" i="17"/>
  <c r="Q23" i="17" s="1"/>
  <c r="H32" i="23"/>
  <c r="Q32" i="23" s="1"/>
  <c r="H32" i="34"/>
  <c r="Q32" i="34" s="1"/>
  <c r="H96" i="23"/>
  <c r="Q96" i="23" s="1"/>
  <c r="H96" i="34"/>
  <c r="Q96" i="34" s="1"/>
  <c r="G27" i="28"/>
  <c r="P27" i="28" s="1"/>
  <c r="G27" i="23"/>
  <c r="P27" i="23" s="1"/>
  <c r="G27" i="17"/>
  <c r="P27" i="17" s="1"/>
  <c r="G27" i="34"/>
  <c r="P27" i="34" s="1"/>
  <c r="H22" i="17"/>
  <c r="Q22" i="17" s="1"/>
  <c r="H22" i="28"/>
  <c r="Q22" i="28" s="1"/>
  <c r="H31" i="23"/>
  <c r="Q31" i="23" s="1"/>
  <c r="H31" i="34"/>
  <c r="Q31" i="34" s="1"/>
  <c r="H86" i="28"/>
  <c r="Q86" i="28" s="1"/>
  <c r="H86" i="17"/>
  <c r="Q86" i="17" s="1"/>
  <c r="H95" i="23"/>
  <c r="Q95" i="23" s="1"/>
  <c r="H95" i="34"/>
  <c r="Q95" i="34" s="1"/>
  <c r="Q15" i="25"/>
  <c r="S15" i="25" s="1"/>
  <c r="S38" i="19"/>
  <c r="G105" i="23"/>
  <c r="P105" i="23" s="1"/>
  <c r="G105" i="28"/>
  <c r="P105" i="28" s="1"/>
  <c r="G105" i="34"/>
  <c r="P105" i="34" s="1"/>
  <c r="G105" i="17"/>
  <c r="P105" i="17" s="1"/>
  <c r="H11" i="28"/>
  <c r="Q11" i="28" s="1"/>
  <c r="H11" i="17"/>
  <c r="Q11" i="17" s="1"/>
  <c r="H85" i="17"/>
  <c r="Q85" i="17" s="1"/>
  <c r="H85" i="28"/>
  <c r="Q85" i="28" s="1"/>
  <c r="H94" i="23"/>
  <c r="Q94" i="23" s="1"/>
  <c r="H94" i="34"/>
  <c r="Q94" i="34" s="1"/>
  <c r="G43" i="23"/>
  <c r="P43" i="23" s="1"/>
  <c r="G43" i="28"/>
  <c r="P43" i="28" s="1"/>
  <c r="G43" i="17"/>
  <c r="P43" i="17" s="1"/>
  <c r="G43" i="34"/>
  <c r="P43" i="34" s="1"/>
  <c r="H29" i="23"/>
  <c r="Q29" i="23" s="1"/>
  <c r="H29" i="34"/>
  <c r="Q29" i="34" s="1"/>
  <c r="H84" i="28"/>
  <c r="Q84" i="28" s="1"/>
  <c r="H84" i="17"/>
  <c r="Q84" i="17" s="1"/>
  <c r="H21" i="17"/>
  <c r="Q21" i="17" s="1"/>
  <c r="H21" i="28"/>
  <c r="Q21" i="28" s="1"/>
  <c r="H43" i="28"/>
  <c r="Q43" i="28" s="1"/>
  <c r="H43" i="17"/>
  <c r="Q43" i="17" s="1"/>
  <c r="G7" i="23"/>
  <c r="P7" i="23" s="1"/>
  <c r="G7" i="17"/>
  <c r="P7" i="17" s="1"/>
  <c r="G7" i="34"/>
  <c r="P7" i="34" s="1"/>
  <c r="G7" i="28"/>
  <c r="P7" i="28" s="1"/>
  <c r="H1" i="23"/>
  <c r="Q1" i="23" s="1"/>
  <c r="H1" i="34"/>
  <c r="Q1" i="34" s="1"/>
  <c r="H10" i="34"/>
  <c r="Q10" i="34" s="1"/>
  <c r="H10" i="23"/>
  <c r="Q10" i="23" s="1"/>
  <c r="G22" i="17"/>
  <c r="P22" i="17" s="1"/>
  <c r="G22" i="23"/>
  <c r="P22" i="23" s="1"/>
  <c r="G22" i="34"/>
  <c r="P22" i="34" s="1"/>
  <c r="G22" i="28"/>
  <c r="P22" i="28" s="1"/>
  <c r="H25" i="34"/>
  <c r="Q25" i="34" s="1"/>
  <c r="H25" i="23"/>
  <c r="Q25" i="23" s="1"/>
  <c r="H80" i="28"/>
  <c r="Q80" i="28" s="1"/>
  <c r="H80" i="17"/>
  <c r="Q80" i="17" s="1"/>
  <c r="G29" i="28"/>
  <c r="P29" i="28" s="1"/>
  <c r="G29" i="17"/>
  <c r="P29" i="17" s="1"/>
  <c r="G29" i="23"/>
  <c r="P29" i="23" s="1"/>
  <c r="G29" i="34"/>
  <c r="P29" i="34" s="1"/>
  <c r="H87" i="17"/>
  <c r="Q87" i="17" s="1"/>
  <c r="H87" i="28"/>
  <c r="Q87" i="28" s="1"/>
  <c r="G20" i="34"/>
  <c r="P20" i="34" s="1"/>
  <c r="G20" i="17"/>
  <c r="P20" i="17" s="1"/>
  <c r="G20" i="23"/>
  <c r="P20" i="23" s="1"/>
  <c r="G20" i="28"/>
  <c r="P20" i="28" s="1"/>
  <c r="G84" i="17"/>
  <c r="P84" i="17" s="1"/>
  <c r="G84" i="28"/>
  <c r="P84" i="28" s="1"/>
  <c r="G84" i="34"/>
  <c r="P84" i="34" s="1"/>
  <c r="G84" i="23"/>
  <c r="P84" i="23" s="1"/>
  <c r="S45" i="19"/>
  <c r="Q95" i="25"/>
  <c r="H13" i="17"/>
  <c r="Q13" i="17" s="1"/>
  <c r="H13" i="28"/>
  <c r="Q13" i="28" s="1"/>
  <c r="H22" i="23"/>
  <c r="Q22" i="23" s="1"/>
  <c r="H22" i="34"/>
  <c r="Q22" i="34" s="1"/>
  <c r="H77" i="17"/>
  <c r="Q77" i="17" s="1"/>
  <c r="H77" i="28"/>
  <c r="Q77" i="28" s="1"/>
  <c r="H86" i="34"/>
  <c r="Q86" i="34" s="1"/>
  <c r="H86" i="23"/>
  <c r="Q86" i="23" s="1"/>
  <c r="G42" i="34"/>
  <c r="P42" i="34" s="1"/>
  <c r="U42" i="34" s="1"/>
  <c r="G42" i="23"/>
  <c r="P42" i="23" s="1"/>
  <c r="G42" i="17"/>
  <c r="P42" i="17" s="1"/>
  <c r="U42" i="17" s="1"/>
  <c r="G42" i="28"/>
  <c r="P42" i="28" s="1"/>
  <c r="G106" i="34"/>
  <c r="P106" i="34" s="1"/>
  <c r="G106" i="23"/>
  <c r="P106" i="23" s="1"/>
  <c r="G106" i="17"/>
  <c r="P106" i="17" s="1"/>
  <c r="G106" i="28"/>
  <c r="P106" i="28" s="1"/>
  <c r="H12" i="28"/>
  <c r="Q12" i="28" s="1"/>
  <c r="H12" i="17"/>
  <c r="Q12" i="17" s="1"/>
  <c r="H21" i="34"/>
  <c r="Q21" i="34" s="1"/>
  <c r="H21" i="23"/>
  <c r="Q21" i="23" s="1"/>
  <c r="H85" i="23"/>
  <c r="Q85" i="23" s="1"/>
  <c r="H85" i="34"/>
  <c r="Q85" i="34" s="1"/>
  <c r="G65" i="28"/>
  <c r="P65" i="28" s="1"/>
  <c r="G65" i="23"/>
  <c r="P65" i="23" s="1"/>
  <c r="G65" i="17"/>
  <c r="P65" i="17" s="1"/>
  <c r="G65" i="34"/>
  <c r="P65" i="34" s="1"/>
  <c r="H35" i="28"/>
  <c r="Q35" i="28" s="1"/>
  <c r="H35" i="17"/>
  <c r="Q35" i="17" s="1"/>
  <c r="H44" i="34"/>
  <c r="Q44" i="34" s="1"/>
  <c r="H44" i="23"/>
  <c r="Q44" i="23" s="1"/>
  <c r="U44" i="23" s="1"/>
  <c r="H99" i="28"/>
  <c r="Q99" i="28" s="1"/>
  <c r="H99" i="17"/>
  <c r="Q99" i="17" s="1"/>
  <c r="G88" i="28"/>
  <c r="P88" i="28" s="1"/>
  <c r="G88" i="34"/>
  <c r="P88" i="34" s="1"/>
  <c r="G88" i="17"/>
  <c r="P88" i="17" s="1"/>
  <c r="U88" i="17" s="1"/>
  <c r="G88" i="23"/>
  <c r="P88" i="23" s="1"/>
  <c r="H10" i="28"/>
  <c r="Q10" i="28" s="1"/>
  <c r="H10" i="17"/>
  <c r="Q10" i="17" s="1"/>
  <c r="H19" i="23"/>
  <c r="Q19" i="23" s="1"/>
  <c r="H19" i="34"/>
  <c r="Q19" i="34" s="1"/>
  <c r="H74" i="28"/>
  <c r="Q74" i="28" s="1"/>
  <c r="H74" i="17"/>
  <c r="Q74" i="17" s="1"/>
  <c r="H83" i="23"/>
  <c r="Q83" i="23" s="1"/>
  <c r="H83" i="34"/>
  <c r="Q83" i="34" s="1"/>
  <c r="G63" i="34"/>
  <c r="P63" i="34" s="1"/>
  <c r="G63" i="17"/>
  <c r="P63" i="17" s="1"/>
  <c r="G63" i="28"/>
  <c r="P63" i="28" s="1"/>
  <c r="G63" i="23"/>
  <c r="P63" i="23" s="1"/>
  <c r="U63" i="23" s="1"/>
  <c r="H2" i="34"/>
  <c r="Q2" i="34" s="1"/>
  <c r="H2" i="23"/>
  <c r="Q2" i="23" s="1"/>
  <c r="H57" i="17"/>
  <c r="Q57" i="17" s="1"/>
  <c r="H57" i="28"/>
  <c r="Q57" i="28" s="1"/>
  <c r="H66" i="23"/>
  <c r="Q66" i="23" s="1"/>
  <c r="H66" i="34"/>
  <c r="Q66" i="34" s="1"/>
  <c r="G78" i="17"/>
  <c r="P78" i="17" s="1"/>
  <c r="G78" i="28"/>
  <c r="P78" i="28" s="1"/>
  <c r="G78" i="34"/>
  <c r="P78" i="34" s="1"/>
  <c r="G78" i="23"/>
  <c r="P78" i="23" s="1"/>
  <c r="H8" i="28"/>
  <c r="Q8" i="28" s="1"/>
  <c r="H8" i="17"/>
  <c r="Q8" i="17" s="1"/>
  <c r="H72" i="17"/>
  <c r="Q72" i="17" s="1"/>
  <c r="H72" i="28"/>
  <c r="Q72" i="28" s="1"/>
  <c r="H81" i="23"/>
  <c r="Q81" i="23" s="1"/>
  <c r="H81" i="34"/>
  <c r="Q81" i="34" s="1"/>
  <c r="H24" i="34"/>
  <c r="Q24" i="34" s="1"/>
  <c r="H24" i="23"/>
  <c r="Q24" i="23" s="1"/>
  <c r="H79" i="17"/>
  <c r="Q79" i="17" s="1"/>
  <c r="H79" i="28"/>
  <c r="Q79" i="28" s="1"/>
  <c r="H88" i="34"/>
  <c r="Q88" i="34" s="1"/>
  <c r="H88" i="23"/>
  <c r="Q88" i="23" s="1"/>
  <c r="G12" i="17"/>
  <c r="P12" i="17" s="1"/>
  <c r="G12" i="28"/>
  <c r="P12" i="28" s="1"/>
  <c r="G12" i="34"/>
  <c r="P12" i="34" s="1"/>
  <c r="G12" i="23"/>
  <c r="P12" i="23" s="1"/>
  <c r="G76" i="17"/>
  <c r="P76" i="17" s="1"/>
  <c r="G76" i="28"/>
  <c r="P76" i="28" s="1"/>
  <c r="G76" i="23"/>
  <c r="P76" i="23" s="1"/>
  <c r="G76" i="34"/>
  <c r="P76" i="34" s="1"/>
  <c r="H14" i="17"/>
  <c r="Q14" i="17" s="1"/>
  <c r="H14" i="28"/>
  <c r="Q14" i="28" s="1"/>
  <c r="H23" i="34"/>
  <c r="Q23" i="34" s="1"/>
  <c r="H23" i="23"/>
  <c r="Q23" i="23" s="1"/>
  <c r="H78" i="17"/>
  <c r="Q78" i="17" s="1"/>
  <c r="H78" i="28"/>
  <c r="Q78" i="28" s="1"/>
  <c r="H87" i="23"/>
  <c r="Q87" i="23" s="1"/>
  <c r="H87" i="34"/>
  <c r="Q87" i="34" s="1"/>
  <c r="U89" i="17"/>
  <c r="Q88" i="25"/>
  <c r="S47" i="19"/>
  <c r="G14" i="28"/>
  <c r="P14" i="28" s="1"/>
  <c r="G14" i="17"/>
  <c r="P14" i="17" s="1"/>
  <c r="G14" i="34"/>
  <c r="P14" i="34" s="1"/>
  <c r="G14" i="23"/>
  <c r="P14" i="23" s="1"/>
  <c r="G85" i="17"/>
  <c r="P85" i="17" s="1"/>
  <c r="G85" i="28"/>
  <c r="P85" i="28" s="1"/>
  <c r="G85" i="34"/>
  <c r="P85" i="34" s="1"/>
  <c r="G85" i="23"/>
  <c r="P85" i="23" s="1"/>
  <c r="G35" i="34"/>
  <c r="P35" i="34" s="1"/>
  <c r="G35" i="23"/>
  <c r="P35" i="23" s="1"/>
  <c r="G35" i="28"/>
  <c r="P35" i="28" s="1"/>
  <c r="G35" i="17"/>
  <c r="P35" i="17" s="1"/>
  <c r="H5" i="17"/>
  <c r="Q5" i="17" s="1"/>
  <c r="H5" i="28"/>
  <c r="Q5" i="28" s="1"/>
  <c r="H14" i="23"/>
  <c r="Q14" i="23" s="1"/>
  <c r="H14" i="34"/>
  <c r="Q14" i="34" s="1"/>
  <c r="H69" i="17"/>
  <c r="Q69" i="17" s="1"/>
  <c r="H69" i="28"/>
  <c r="Q69" i="28" s="1"/>
  <c r="H78" i="23"/>
  <c r="Q78" i="23" s="1"/>
  <c r="H78" i="34"/>
  <c r="Q78" i="34" s="1"/>
  <c r="G34" i="34"/>
  <c r="P34" i="34" s="1"/>
  <c r="G34" i="23"/>
  <c r="P34" i="23" s="1"/>
  <c r="G34" i="28"/>
  <c r="P34" i="28" s="1"/>
  <c r="G34" i="17"/>
  <c r="P34" i="17" s="1"/>
  <c r="G98" i="23"/>
  <c r="P98" i="23" s="1"/>
  <c r="G98" i="28"/>
  <c r="P98" i="28" s="1"/>
  <c r="G98" i="34"/>
  <c r="P98" i="34" s="1"/>
  <c r="G98" i="17"/>
  <c r="P98" i="17" s="1"/>
  <c r="H13" i="34"/>
  <c r="Q13" i="34" s="1"/>
  <c r="H13" i="23"/>
  <c r="Q13" i="23" s="1"/>
  <c r="H68" i="17"/>
  <c r="Q68" i="17" s="1"/>
  <c r="H68" i="28"/>
  <c r="Q68" i="28" s="1"/>
  <c r="G57" i="23"/>
  <c r="P57" i="23" s="1"/>
  <c r="G57" i="17"/>
  <c r="P57" i="17" s="1"/>
  <c r="G57" i="28"/>
  <c r="P57" i="28" s="1"/>
  <c r="G57" i="34"/>
  <c r="P57" i="34" s="1"/>
  <c r="H27" i="28"/>
  <c r="Q27" i="28" s="1"/>
  <c r="H27" i="17"/>
  <c r="Q27" i="17" s="1"/>
  <c r="H91" i="28"/>
  <c r="Q91" i="28" s="1"/>
  <c r="H91" i="17"/>
  <c r="Q91" i="17" s="1"/>
  <c r="H100" i="23"/>
  <c r="Q100" i="23" s="1"/>
  <c r="H100" i="34"/>
  <c r="Q100" i="34" s="1"/>
  <c r="G16" i="23"/>
  <c r="P16" i="23" s="1"/>
  <c r="G16" i="34"/>
  <c r="P16" i="34" s="1"/>
  <c r="G16" i="17"/>
  <c r="P16" i="17" s="1"/>
  <c r="G16" i="28"/>
  <c r="P16" i="28" s="1"/>
  <c r="G80" i="23"/>
  <c r="P80" i="23" s="1"/>
  <c r="G80" i="28"/>
  <c r="P80" i="28" s="1"/>
  <c r="G80" i="17"/>
  <c r="P80" i="17" s="1"/>
  <c r="G80" i="34"/>
  <c r="P80" i="34" s="1"/>
  <c r="H2" i="28"/>
  <c r="Q2" i="28" s="1"/>
  <c r="H2" i="17"/>
  <c r="Q2" i="17" s="1"/>
  <c r="H11" i="34"/>
  <c r="Q11" i="34" s="1"/>
  <c r="H11" i="23"/>
  <c r="Q11" i="23" s="1"/>
  <c r="H66" i="17"/>
  <c r="Q66" i="17" s="1"/>
  <c r="H66" i="28"/>
  <c r="Q66" i="28" s="1"/>
  <c r="H75" i="34"/>
  <c r="Q75" i="34" s="1"/>
  <c r="H75" i="23"/>
  <c r="Q75" i="23" s="1"/>
  <c r="H49" i="28"/>
  <c r="Q49" i="28" s="1"/>
  <c r="H49" i="17"/>
  <c r="Q49" i="17" s="1"/>
  <c r="H58" i="34"/>
  <c r="Q58" i="34" s="1"/>
  <c r="H58" i="23"/>
  <c r="Q58" i="23" s="1"/>
  <c r="G70" i="34"/>
  <c r="P70" i="34" s="1"/>
  <c r="G70" i="17"/>
  <c r="P70" i="17" s="1"/>
  <c r="G70" i="23"/>
  <c r="P70" i="23" s="1"/>
  <c r="G70" i="28"/>
  <c r="P70" i="28" s="1"/>
  <c r="H9" i="34"/>
  <c r="Q9" i="34" s="1"/>
  <c r="H9" i="23"/>
  <c r="Q9" i="23" s="1"/>
  <c r="H73" i="34"/>
  <c r="Q73" i="34" s="1"/>
  <c r="H73" i="23"/>
  <c r="Q73" i="23" s="1"/>
  <c r="G77" i="28"/>
  <c r="P77" i="28" s="1"/>
  <c r="G77" i="17"/>
  <c r="P77" i="17" s="1"/>
  <c r="G77" i="34"/>
  <c r="P77" i="34" s="1"/>
  <c r="G77" i="23"/>
  <c r="P77" i="23" s="1"/>
  <c r="H7" i="17"/>
  <c r="Q7" i="17" s="1"/>
  <c r="H7" i="28"/>
  <c r="Q7" i="28" s="1"/>
  <c r="H16" i="34"/>
  <c r="Q16" i="34" s="1"/>
  <c r="H16" i="23"/>
  <c r="Q16" i="23" s="1"/>
  <c r="H80" i="23"/>
  <c r="Q80" i="23" s="1"/>
  <c r="H80" i="34"/>
  <c r="Q80" i="34" s="1"/>
  <c r="G4" i="17"/>
  <c r="P4" i="17" s="1"/>
  <c r="G4" i="34"/>
  <c r="P4" i="34" s="1"/>
  <c r="G4" i="23"/>
  <c r="P4" i="23" s="1"/>
  <c r="G4" i="28"/>
  <c r="P4" i="28" s="1"/>
  <c r="G68" i="17"/>
  <c r="P68" i="17" s="1"/>
  <c r="G68" i="23"/>
  <c r="P68" i="23" s="1"/>
  <c r="G68" i="34"/>
  <c r="P68" i="34" s="1"/>
  <c r="G68" i="28"/>
  <c r="P68" i="28" s="1"/>
  <c r="H6" i="28"/>
  <c r="Q6" i="28" s="1"/>
  <c r="H6" i="17"/>
  <c r="Q6" i="17" s="1"/>
  <c r="H15" i="23"/>
  <c r="Q15" i="23" s="1"/>
  <c r="H15" i="34"/>
  <c r="Q15" i="34" s="1"/>
  <c r="H70" i="17"/>
  <c r="Q70" i="17" s="1"/>
  <c r="H70" i="28"/>
  <c r="Q70" i="28" s="1"/>
  <c r="H79" i="23"/>
  <c r="Q79" i="23" s="1"/>
  <c r="H79" i="34"/>
  <c r="Q79" i="34" s="1"/>
  <c r="Q40" i="25"/>
  <c r="Q94" i="25"/>
  <c r="H17" i="23"/>
  <c r="Q17" i="23" s="1"/>
  <c r="H17" i="34"/>
  <c r="Q17" i="34" s="1"/>
  <c r="G21" i="17"/>
  <c r="P21" i="17" s="1"/>
  <c r="G21" i="34"/>
  <c r="P21" i="34" s="1"/>
  <c r="G21" i="28"/>
  <c r="P21" i="28" s="1"/>
  <c r="G21" i="23"/>
  <c r="P21" i="23" s="1"/>
  <c r="H4" i="17"/>
  <c r="Q4" i="17" s="1"/>
  <c r="H4" i="28"/>
  <c r="Q4" i="28" s="1"/>
  <c r="H77" i="23"/>
  <c r="Q77" i="23" s="1"/>
  <c r="H77" i="34"/>
  <c r="Q77" i="34" s="1"/>
  <c r="H36" i="23"/>
  <c r="Q36" i="23" s="1"/>
  <c r="H36" i="34"/>
  <c r="Q36" i="34" s="1"/>
  <c r="H1" i="28"/>
  <c r="Q1" i="28" s="1"/>
  <c r="H1" i="17"/>
  <c r="Q1" i="17" s="1"/>
  <c r="G55" i="34"/>
  <c r="P55" i="34" s="1"/>
  <c r="G55" i="23"/>
  <c r="P55" i="23" s="1"/>
  <c r="G55" i="17"/>
  <c r="P55" i="17" s="1"/>
  <c r="G55" i="28"/>
  <c r="P55" i="28" s="1"/>
  <c r="G6" i="34"/>
  <c r="P6" i="34" s="1"/>
  <c r="G6" i="17"/>
  <c r="P6" i="17" s="1"/>
  <c r="G6" i="28"/>
  <c r="P6" i="28" s="1"/>
  <c r="G6" i="23"/>
  <c r="P6" i="23" s="1"/>
  <c r="H64" i="17"/>
  <c r="Q64" i="17" s="1"/>
  <c r="H64" i="28"/>
  <c r="Q64" i="28" s="1"/>
  <c r="G13" i="34"/>
  <c r="P13" i="34" s="1"/>
  <c r="G13" i="17"/>
  <c r="P13" i="17" s="1"/>
  <c r="G13" i="23"/>
  <c r="P13" i="23" s="1"/>
  <c r="G13" i="28"/>
  <c r="P13" i="28" s="1"/>
  <c r="H71" i="28"/>
  <c r="Q71" i="28" s="1"/>
  <c r="H71" i="17"/>
  <c r="Q71" i="17" s="1"/>
  <c r="S40" i="19"/>
  <c r="Q47" i="25"/>
  <c r="Q38" i="25"/>
  <c r="S46" i="19"/>
  <c r="G24" i="17"/>
  <c r="P24" i="17" s="1"/>
  <c r="G24" i="23"/>
  <c r="P24" i="23" s="1"/>
  <c r="G24" i="34"/>
  <c r="P24" i="34" s="1"/>
  <c r="G24" i="28"/>
  <c r="P24" i="28" s="1"/>
  <c r="H61" i="17"/>
  <c r="Q61" i="17" s="1"/>
  <c r="H61" i="28"/>
  <c r="Q61" i="28" s="1"/>
  <c r="G26" i="34"/>
  <c r="P26" i="34" s="1"/>
  <c r="G26" i="28"/>
  <c r="P26" i="28" s="1"/>
  <c r="G26" i="23"/>
  <c r="P26" i="23" s="1"/>
  <c r="G26" i="17"/>
  <c r="P26" i="17" s="1"/>
  <c r="G90" i="34"/>
  <c r="P90" i="34" s="1"/>
  <c r="G90" i="23"/>
  <c r="P90" i="23" s="1"/>
  <c r="G90" i="17"/>
  <c r="P90" i="17" s="1"/>
  <c r="G90" i="28"/>
  <c r="P90" i="28" s="1"/>
  <c r="H5" i="34"/>
  <c r="Q5" i="34" s="1"/>
  <c r="H5" i="23"/>
  <c r="Q5" i="23" s="1"/>
  <c r="H60" i="28"/>
  <c r="Q60" i="28" s="1"/>
  <c r="H60" i="17"/>
  <c r="Q60" i="17" s="1"/>
  <c r="H69" i="23"/>
  <c r="Q69" i="23" s="1"/>
  <c r="H69" i="34"/>
  <c r="Q69" i="34" s="1"/>
  <c r="G49" i="28"/>
  <c r="P49" i="28" s="1"/>
  <c r="G49" i="34"/>
  <c r="P49" i="34" s="1"/>
  <c r="G49" i="23"/>
  <c r="P49" i="23" s="1"/>
  <c r="U49" i="23" s="1"/>
  <c r="G49" i="17"/>
  <c r="P49" i="17" s="1"/>
  <c r="H28" i="34"/>
  <c r="Q28" i="34" s="1"/>
  <c r="H28" i="23"/>
  <c r="Q28" i="23" s="1"/>
  <c r="H83" i="28"/>
  <c r="Q83" i="28" s="1"/>
  <c r="H83" i="17"/>
  <c r="Q83" i="17" s="1"/>
  <c r="H92" i="34"/>
  <c r="Q92" i="34" s="1"/>
  <c r="H92" i="23"/>
  <c r="Q92" i="23" s="1"/>
  <c r="H3" i="23"/>
  <c r="Q3" i="23" s="1"/>
  <c r="H3" i="34"/>
  <c r="Q3" i="34" s="1"/>
  <c r="H58" i="28"/>
  <c r="Q58" i="28" s="1"/>
  <c r="H58" i="17"/>
  <c r="Q58" i="17" s="1"/>
  <c r="H67" i="23"/>
  <c r="Q67" i="23" s="1"/>
  <c r="H67" i="34"/>
  <c r="Q67" i="34" s="1"/>
  <c r="H41" i="28"/>
  <c r="Q41" i="28" s="1"/>
  <c r="H41" i="17"/>
  <c r="Q41" i="17" s="1"/>
  <c r="U41" i="17" s="1"/>
  <c r="H50" i="23"/>
  <c r="Q50" i="23" s="1"/>
  <c r="H50" i="34"/>
  <c r="Q50" i="34" s="1"/>
  <c r="H105" i="28"/>
  <c r="Q105" i="28" s="1"/>
  <c r="H105" i="17"/>
  <c r="Q105" i="17" s="1"/>
  <c r="H65" i="23"/>
  <c r="Q65" i="23" s="1"/>
  <c r="H65" i="34"/>
  <c r="Q65" i="34" s="1"/>
  <c r="H8" i="34"/>
  <c r="Q8" i="34" s="1"/>
  <c r="H8" i="23"/>
  <c r="Q8" i="23" s="1"/>
  <c r="H63" i="28"/>
  <c r="Q63" i="28" s="1"/>
  <c r="H63" i="17"/>
  <c r="Q63" i="17" s="1"/>
  <c r="H72" i="34"/>
  <c r="Q72" i="34" s="1"/>
  <c r="H72" i="23"/>
  <c r="Q72" i="23" s="1"/>
  <c r="G11" i="34"/>
  <c r="P11" i="34" s="1"/>
  <c r="G11" i="23"/>
  <c r="P11" i="23" s="1"/>
  <c r="G11" i="28"/>
  <c r="P11" i="28" s="1"/>
  <c r="G11" i="17"/>
  <c r="P11" i="17" s="1"/>
  <c r="G67" i="28"/>
  <c r="P67" i="28" s="1"/>
  <c r="G67" i="23"/>
  <c r="P67" i="23" s="1"/>
  <c r="G67" i="34"/>
  <c r="P67" i="34" s="1"/>
  <c r="G67" i="17"/>
  <c r="P67" i="17" s="1"/>
  <c r="G60" i="17"/>
  <c r="P60" i="17" s="1"/>
  <c r="G60" i="28"/>
  <c r="P60" i="28" s="1"/>
  <c r="G60" i="23"/>
  <c r="P60" i="23" s="1"/>
  <c r="G60" i="34"/>
  <c r="P60" i="34" s="1"/>
  <c r="H7" i="34"/>
  <c r="Q7" i="34" s="1"/>
  <c r="H7" i="23"/>
  <c r="Q7" i="23" s="1"/>
  <c r="H62" i="28"/>
  <c r="Q62" i="28" s="1"/>
  <c r="H62" i="17"/>
  <c r="Q62" i="17" s="1"/>
  <c r="H71" i="34"/>
  <c r="Q71" i="34" s="1"/>
  <c r="H71" i="23"/>
  <c r="Q71" i="23" s="1"/>
  <c r="P142" i="6"/>
  <c r="P154" i="6" s="1"/>
  <c r="P166" i="6" s="1"/>
  <c r="P178" i="6" s="1"/>
  <c r="P190" i="6" s="1"/>
  <c r="P202" i="6" s="1"/>
  <c r="P214" i="6" s="1"/>
  <c r="Q89" i="25"/>
  <c r="Q48" i="25"/>
  <c r="S96" i="19"/>
  <c r="E147" i="6"/>
  <c r="E159" i="6" s="1"/>
  <c r="E171" i="6" s="1"/>
  <c r="E183" i="6" s="1"/>
  <c r="E195" i="6" s="1"/>
  <c r="E207" i="6" s="1"/>
  <c r="E219" i="6" s="1"/>
  <c r="DC121" i="2"/>
  <c r="H147" i="6"/>
  <c r="H159" i="6" s="1"/>
  <c r="H171" i="6" s="1"/>
  <c r="H183" i="6" s="1"/>
  <c r="H195" i="6" s="1"/>
  <c r="H207" i="6" s="1"/>
  <c r="H219" i="6" s="1"/>
  <c r="DF121" i="2"/>
  <c r="H121" i="35"/>
  <c r="P121" i="35" s="1"/>
  <c r="H121" i="24"/>
  <c r="P121" i="24" s="1"/>
  <c r="I147" i="6"/>
  <c r="I159" i="6" s="1"/>
  <c r="I171" i="6" s="1"/>
  <c r="I183" i="6" s="1"/>
  <c r="I195" i="6" s="1"/>
  <c r="I207" i="6" s="1"/>
  <c r="I219" i="6" s="1"/>
  <c r="DG121" i="2"/>
  <c r="L142" i="6"/>
  <c r="L154" i="6" s="1"/>
  <c r="L166" i="6" s="1"/>
  <c r="L178" i="6" s="1"/>
  <c r="L190" i="6" s="1"/>
  <c r="L202" i="6" s="1"/>
  <c r="L214" i="6" s="1"/>
  <c r="DJ116" i="2"/>
  <c r="F121" i="33"/>
  <c r="E121" i="32"/>
  <c r="F121" i="22"/>
  <c r="L121" i="22" s="1"/>
  <c r="O121" i="22" s="1"/>
  <c r="Q121" i="22" s="1"/>
  <c r="E121" i="21"/>
  <c r="I121" i="21" s="1"/>
  <c r="K121" i="21" s="1"/>
  <c r="M121" i="21" s="1"/>
  <c r="M145" i="6"/>
  <c r="M157" i="6" s="1"/>
  <c r="M169" i="6" s="1"/>
  <c r="M181" i="6" s="1"/>
  <c r="M193" i="6" s="1"/>
  <c r="M205" i="6" s="1"/>
  <c r="M217" i="6" s="1"/>
  <c r="DK119" i="2"/>
  <c r="J140" i="6"/>
  <c r="J152" i="6" s="1"/>
  <c r="J164" i="6" s="1"/>
  <c r="J176" i="6" s="1"/>
  <c r="J188" i="6" s="1"/>
  <c r="J200" i="6" s="1"/>
  <c r="J212" i="6" s="1"/>
  <c r="DH114" i="2"/>
  <c r="J147" i="6"/>
  <c r="J159" i="6" s="1"/>
  <c r="J171" i="6" s="1"/>
  <c r="J183" i="6" s="1"/>
  <c r="J195" i="6" s="1"/>
  <c r="J207" i="6" s="1"/>
  <c r="J219" i="6" s="1"/>
  <c r="DH121" i="2"/>
  <c r="M141" i="6"/>
  <c r="M153" i="6" s="1"/>
  <c r="M165" i="6" s="1"/>
  <c r="M177" i="6" s="1"/>
  <c r="M189" i="6" s="1"/>
  <c r="M201" i="6" s="1"/>
  <c r="M213" i="6" s="1"/>
  <c r="DK115" i="2"/>
  <c r="L145" i="6"/>
  <c r="L157" i="6" s="1"/>
  <c r="L169" i="6" s="1"/>
  <c r="L181" i="6" s="1"/>
  <c r="L193" i="6" s="1"/>
  <c r="L205" i="6" s="1"/>
  <c r="L217" i="6" s="1"/>
  <c r="DJ119" i="2"/>
  <c r="L140" i="6"/>
  <c r="L152" i="6" s="1"/>
  <c r="L164" i="6" s="1"/>
  <c r="L176" i="6" s="1"/>
  <c r="L188" i="6" s="1"/>
  <c r="L200" i="6" s="1"/>
  <c r="L212" i="6" s="1"/>
  <c r="DJ114" i="2"/>
  <c r="Q116" i="20"/>
  <c r="Q116" i="31"/>
  <c r="K140" i="6"/>
  <c r="K152" i="6" s="1"/>
  <c r="K164" i="6" s="1"/>
  <c r="K176" i="6" s="1"/>
  <c r="K188" i="6" s="1"/>
  <c r="K200" i="6" s="1"/>
  <c r="K212" i="6" s="1"/>
  <c r="DI114" i="2"/>
  <c r="Q146" i="6"/>
  <c r="Q158" i="6" s="1"/>
  <c r="Q170" i="6" s="1"/>
  <c r="Q182" i="6" s="1"/>
  <c r="Q194" i="6" s="1"/>
  <c r="Q206" i="6" s="1"/>
  <c r="Q218" i="6" s="1"/>
  <c r="L143" i="6"/>
  <c r="L155" i="6" s="1"/>
  <c r="L167" i="6" s="1"/>
  <c r="L179" i="6" s="1"/>
  <c r="L191" i="6" s="1"/>
  <c r="L203" i="6" s="1"/>
  <c r="L215" i="6" s="1"/>
  <c r="DJ117" i="2"/>
  <c r="Q145" i="6"/>
  <c r="Q157" i="6" s="1"/>
  <c r="Q169" i="6" s="1"/>
  <c r="Q181" i="6" s="1"/>
  <c r="Q193" i="6" s="1"/>
  <c r="Q205" i="6" s="1"/>
  <c r="Q217" i="6" s="1"/>
  <c r="DO119" i="2"/>
  <c r="M136" i="6"/>
  <c r="M148" i="6" s="1"/>
  <c r="M160" i="6" s="1"/>
  <c r="M172" i="6" s="1"/>
  <c r="M184" i="6" s="1"/>
  <c r="M196" i="6" s="1"/>
  <c r="M208" i="6" s="1"/>
  <c r="DK110" i="2"/>
  <c r="N146" i="6"/>
  <c r="N158" i="6" s="1"/>
  <c r="N170" i="6" s="1"/>
  <c r="N182" i="6" s="1"/>
  <c r="N194" i="6" s="1"/>
  <c r="N206" i="6" s="1"/>
  <c r="N218" i="6" s="1"/>
  <c r="DL120" i="2"/>
  <c r="L146" i="6"/>
  <c r="L158" i="6" s="1"/>
  <c r="L170" i="6" s="1"/>
  <c r="L182" i="6" s="1"/>
  <c r="L194" i="6" s="1"/>
  <c r="L206" i="6" s="1"/>
  <c r="L218" i="6" s="1"/>
  <c r="DJ120" i="2"/>
  <c r="K145" i="6"/>
  <c r="K157" i="6" s="1"/>
  <c r="K169" i="6" s="1"/>
  <c r="K181" i="6" s="1"/>
  <c r="K193" i="6" s="1"/>
  <c r="K205" i="6" s="1"/>
  <c r="K217" i="6" s="1"/>
  <c r="DI119" i="2"/>
  <c r="M140" i="6"/>
  <c r="M152" i="6" s="1"/>
  <c r="M164" i="6" s="1"/>
  <c r="M176" i="6" s="1"/>
  <c r="M188" i="6" s="1"/>
  <c r="M200" i="6" s="1"/>
  <c r="M212" i="6" s="1"/>
  <c r="DK114" i="2"/>
  <c r="M146" i="6"/>
  <c r="M158" i="6" s="1"/>
  <c r="M170" i="6" s="1"/>
  <c r="M182" i="6" s="1"/>
  <c r="M194" i="6" s="1"/>
  <c r="M206" i="6" s="1"/>
  <c r="M218" i="6" s="1"/>
  <c r="DK120" i="2"/>
  <c r="L138" i="6"/>
  <c r="L150" i="6" s="1"/>
  <c r="L162" i="6" s="1"/>
  <c r="L174" i="6" s="1"/>
  <c r="L186" i="6" s="1"/>
  <c r="L198" i="6" s="1"/>
  <c r="L210" i="6" s="1"/>
  <c r="DJ112" i="2"/>
  <c r="P144" i="6"/>
  <c r="P156" i="6" s="1"/>
  <c r="P168" i="6" s="1"/>
  <c r="P180" i="6" s="1"/>
  <c r="P192" i="6" s="1"/>
  <c r="P204" i="6" s="1"/>
  <c r="P216" i="6" s="1"/>
  <c r="DN118" i="2"/>
  <c r="K142" i="6"/>
  <c r="K154" i="6" s="1"/>
  <c r="K166" i="6" s="1"/>
  <c r="K178" i="6" s="1"/>
  <c r="K190" i="6" s="1"/>
  <c r="K202" i="6" s="1"/>
  <c r="K214" i="6" s="1"/>
  <c r="DI116" i="2"/>
  <c r="Q117" i="31"/>
  <c r="Q117" i="20"/>
  <c r="M142" i="6"/>
  <c r="M154" i="6" s="1"/>
  <c r="M166" i="6" s="1"/>
  <c r="M178" i="6" s="1"/>
  <c r="M190" i="6" s="1"/>
  <c r="M202" i="6" s="1"/>
  <c r="M214" i="6" s="1"/>
  <c r="DK116" i="2"/>
  <c r="R147" i="6"/>
  <c r="R159" i="6" s="1"/>
  <c r="R171" i="6" s="1"/>
  <c r="R183" i="6" s="1"/>
  <c r="R195" i="6" s="1"/>
  <c r="R207" i="6" s="1"/>
  <c r="R219" i="6" s="1"/>
  <c r="DP121" i="2"/>
  <c r="R146" i="6"/>
  <c r="R158" i="6" s="1"/>
  <c r="R170" i="6" s="1"/>
  <c r="R182" i="6" s="1"/>
  <c r="R194" i="6" s="1"/>
  <c r="R206" i="6" s="1"/>
  <c r="R218" i="6" s="1"/>
  <c r="DP120" i="2"/>
  <c r="M144" i="6"/>
  <c r="M156" i="6" s="1"/>
  <c r="M168" i="6" s="1"/>
  <c r="M180" i="6" s="1"/>
  <c r="M192" i="6" s="1"/>
  <c r="M204" i="6" s="1"/>
  <c r="M216" i="6" s="1"/>
  <c r="DK118" i="2"/>
  <c r="K136" i="6"/>
  <c r="K148" i="6" s="1"/>
  <c r="K160" i="6" s="1"/>
  <c r="K172" i="6" s="1"/>
  <c r="K184" i="6" s="1"/>
  <c r="K196" i="6" s="1"/>
  <c r="K208" i="6" s="1"/>
  <c r="DI110" i="2"/>
  <c r="P146" i="6"/>
  <c r="P158" i="6" s="1"/>
  <c r="P170" i="6" s="1"/>
  <c r="P182" i="6" s="1"/>
  <c r="P194" i="6" s="1"/>
  <c r="P206" i="6" s="1"/>
  <c r="P218" i="6" s="1"/>
  <c r="DN120" i="2"/>
  <c r="J137" i="6"/>
  <c r="J149" i="6" s="1"/>
  <c r="J161" i="6" s="1"/>
  <c r="J173" i="6" s="1"/>
  <c r="J185" i="6" s="1"/>
  <c r="J197" i="6" s="1"/>
  <c r="J209" i="6" s="1"/>
  <c r="DH111" i="2"/>
  <c r="J138" i="6"/>
  <c r="J150" i="6" s="1"/>
  <c r="J162" i="6" s="1"/>
  <c r="J174" i="6" s="1"/>
  <c r="J186" i="6" s="1"/>
  <c r="J198" i="6" s="1"/>
  <c r="J210" i="6" s="1"/>
  <c r="DH112" i="2"/>
  <c r="L136" i="6"/>
  <c r="L148" i="6" s="1"/>
  <c r="L160" i="6" s="1"/>
  <c r="L172" i="6" s="1"/>
  <c r="L184" i="6" s="1"/>
  <c r="L196" i="6" s="1"/>
  <c r="L208" i="6" s="1"/>
  <c r="DJ110" i="2"/>
  <c r="K147" i="6"/>
  <c r="K159" i="6" s="1"/>
  <c r="K171" i="6" s="1"/>
  <c r="K183" i="6" s="1"/>
  <c r="K195" i="6" s="1"/>
  <c r="K207" i="6" s="1"/>
  <c r="K219" i="6" s="1"/>
  <c r="DI121" i="2"/>
  <c r="J146" i="6"/>
  <c r="J158" i="6" s="1"/>
  <c r="J170" i="6" s="1"/>
  <c r="J182" i="6" s="1"/>
  <c r="J194" i="6" s="1"/>
  <c r="J206" i="6" s="1"/>
  <c r="J218" i="6" s="1"/>
  <c r="DH120" i="2"/>
  <c r="K141" i="6"/>
  <c r="K153" i="6" s="1"/>
  <c r="K165" i="6" s="1"/>
  <c r="K177" i="6" s="1"/>
  <c r="K189" i="6" s="1"/>
  <c r="K201" i="6" s="1"/>
  <c r="K213" i="6" s="1"/>
  <c r="DI115" i="2"/>
  <c r="J136" i="6"/>
  <c r="J148" i="6" s="1"/>
  <c r="J160" i="6" s="1"/>
  <c r="J172" i="6" s="1"/>
  <c r="J184" i="6" s="1"/>
  <c r="J196" i="6" s="1"/>
  <c r="J208" i="6" s="1"/>
  <c r="DH110" i="2"/>
  <c r="J139" i="6"/>
  <c r="J151" i="6" s="1"/>
  <c r="J163" i="6" s="1"/>
  <c r="J175" i="6" s="1"/>
  <c r="J187" i="6" s="1"/>
  <c r="J199" i="6" s="1"/>
  <c r="J211" i="6" s="1"/>
  <c r="DH113" i="2"/>
  <c r="R142" i="6"/>
  <c r="R154" i="6" s="1"/>
  <c r="R166" i="6" s="1"/>
  <c r="R178" i="6" s="1"/>
  <c r="R190" i="6" s="1"/>
  <c r="R202" i="6" s="1"/>
  <c r="R214" i="6" s="1"/>
  <c r="DP116" i="2"/>
  <c r="P143" i="6"/>
  <c r="P155" i="6" s="1"/>
  <c r="P167" i="6" s="1"/>
  <c r="P179" i="6" s="1"/>
  <c r="P191" i="6" s="1"/>
  <c r="P203" i="6" s="1"/>
  <c r="P215" i="6" s="1"/>
  <c r="DN117" i="2"/>
  <c r="J143" i="6"/>
  <c r="J155" i="6" s="1"/>
  <c r="J167" i="6" s="1"/>
  <c r="J179" i="6" s="1"/>
  <c r="J191" i="6" s="1"/>
  <c r="J203" i="6" s="1"/>
  <c r="J215" i="6" s="1"/>
  <c r="DH117" i="2"/>
  <c r="J141" i="6"/>
  <c r="J153" i="6" s="1"/>
  <c r="J165" i="6" s="1"/>
  <c r="J177" i="6" s="1"/>
  <c r="J189" i="6" s="1"/>
  <c r="J201" i="6" s="1"/>
  <c r="J213" i="6" s="1"/>
  <c r="DH115" i="2"/>
  <c r="L147" i="6"/>
  <c r="L159" i="6" s="1"/>
  <c r="L171" i="6" s="1"/>
  <c r="L183" i="6" s="1"/>
  <c r="L195" i="6" s="1"/>
  <c r="L207" i="6" s="1"/>
  <c r="L219" i="6" s="1"/>
  <c r="DJ121" i="2"/>
  <c r="K146" i="6"/>
  <c r="K158" i="6" s="1"/>
  <c r="K170" i="6" s="1"/>
  <c r="K182" i="6" s="1"/>
  <c r="K194" i="6" s="1"/>
  <c r="K206" i="6" s="1"/>
  <c r="K218" i="6" s="1"/>
  <c r="DI120" i="2"/>
  <c r="Q144" i="6"/>
  <c r="Q156" i="6" s="1"/>
  <c r="Q168" i="6" s="1"/>
  <c r="Q180" i="6" s="1"/>
  <c r="Q192" i="6" s="1"/>
  <c r="Q204" i="6" s="1"/>
  <c r="Q216" i="6" s="1"/>
  <c r="DO118" i="2"/>
  <c r="K139" i="6"/>
  <c r="K151" i="6" s="1"/>
  <c r="K163" i="6" s="1"/>
  <c r="K175" i="6" s="1"/>
  <c r="K187" i="6" s="1"/>
  <c r="K199" i="6" s="1"/>
  <c r="K211" i="6" s="1"/>
  <c r="DI113" i="2"/>
  <c r="Q121" i="20"/>
  <c r="Q121" i="31"/>
  <c r="M147" i="6"/>
  <c r="M159" i="6" s="1"/>
  <c r="M171" i="6" s="1"/>
  <c r="M183" i="6" s="1"/>
  <c r="M195" i="6" s="1"/>
  <c r="M207" i="6" s="1"/>
  <c r="M219" i="6" s="1"/>
  <c r="DK121" i="2"/>
  <c r="L139" i="6"/>
  <c r="L151" i="6" s="1"/>
  <c r="L163" i="6" s="1"/>
  <c r="L175" i="6" s="1"/>
  <c r="L187" i="6" s="1"/>
  <c r="L199" i="6" s="1"/>
  <c r="L211" i="6" s="1"/>
  <c r="DJ113" i="2"/>
  <c r="J144" i="6"/>
  <c r="J156" i="6" s="1"/>
  <c r="J168" i="6" s="1"/>
  <c r="J180" i="6" s="1"/>
  <c r="J192" i="6" s="1"/>
  <c r="J204" i="6" s="1"/>
  <c r="J216" i="6" s="1"/>
  <c r="DH118" i="2"/>
  <c r="Q147" i="6"/>
  <c r="Q159" i="6" s="1"/>
  <c r="Q171" i="6" s="1"/>
  <c r="Q183" i="6" s="1"/>
  <c r="Q195" i="6" s="1"/>
  <c r="Q207" i="6" s="1"/>
  <c r="Q219" i="6" s="1"/>
  <c r="DO121" i="2"/>
  <c r="R145" i="6"/>
  <c r="R157" i="6" s="1"/>
  <c r="R169" i="6" s="1"/>
  <c r="R181" i="6" s="1"/>
  <c r="R193" i="6" s="1"/>
  <c r="R205" i="6" s="1"/>
  <c r="R217" i="6" s="1"/>
  <c r="J142" i="6"/>
  <c r="J154" i="6" s="1"/>
  <c r="J166" i="6" s="1"/>
  <c r="J178" i="6" s="1"/>
  <c r="J190" i="6" s="1"/>
  <c r="J202" i="6" s="1"/>
  <c r="J214" i="6" s="1"/>
  <c r="DH116" i="2"/>
  <c r="M137" i="6"/>
  <c r="M149" i="6" s="1"/>
  <c r="M161" i="6" s="1"/>
  <c r="M173" i="6" s="1"/>
  <c r="M185" i="6" s="1"/>
  <c r="M197" i="6" s="1"/>
  <c r="M209" i="6" s="1"/>
  <c r="DK111" i="2"/>
  <c r="F119" i="33"/>
  <c r="L119" i="33" s="1"/>
  <c r="O119" i="33" s="1"/>
  <c r="Q119" i="33" s="1"/>
  <c r="F119" i="22"/>
  <c r="L119" i="22" s="1"/>
  <c r="O119" i="22" s="1"/>
  <c r="Q119" i="22" s="1"/>
  <c r="E119" i="21"/>
  <c r="I119" i="21" s="1"/>
  <c r="K119" i="21" s="1"/>
  <c r="M119" i="21" s="1"/>
  <c r="E119" i="32"/>
  <c r="I119" i="32" s="1"/>
  <c r="K119" i="32" s="1"/>
  <c r="M119" i="32" s="1"/>
  <c r="P145" i="6"/>
  <c r="P157" i="6" s="1"/>
  <c r="P169" i="6" s="1"/>
  <c r="P181" i="6" s="1"/>
  <c r="P193" i="6" s="1"/>
  <c r="P205" i="6" s="1"/>
  <c r="P217" i="6" s="1"/>
  <c r="DN119" i="2"/>
  <c r="M143" i="6"/>
  <c r="M155" i="6" s="1"/>
  <c r="M167" i="6" s="1"/>
  <c r="M179" i="6" s="1"/>
  <c r="M191" i="6" s="1"/>
  <c r="M203" i="6" s="1"/>
  <c r="M215" i="6" s="1"/>
  <c r="DK117" i="2"/>
  <c r="K137" i="6"/>
  <c r="K149" i="6" s="1"/>
  <c r="K161" i="6" s="1"/>
  <c r="K173" i="6" s="1"/>
  <c r="K185" i="6" s="1"/>
  <c r="K197" i="6" s="1"/>
  <c r="K209" i="6" s="1"/>
  <c r="DI111" i="2"/>
  <c r="M139" i="6"/>
  <c r="M151" i="6" s="1"/>
  <c r="M163" i="6" s="1"/>
  <c r="M175" i="6" s="1"/>
  <c r="M187" i="6" s="1"/>
  <c r="M199" i="6" s="1"/>
  <c r="M211" i="6" s="1"/>
  <c r="DK113" i="2"/>
  <c r="L144" i="6"/>
  <c r="L156" i="6" s="1"/>
  <c r="L168" i="6" s="1"/>
  <c r="L180" i="6" s="1"/>
  <c r="L192" i="6" s="1"/>
  <c r="L204" i="6" s="1"/>
  <c r="L216" i="6" s="1"/>
  <c r="DJ118" i="2"/>
  <c r="DM118" i="2"/>
  <c r="F117" i="33"/>
  <c r="L117" i="33" s="1"/>
  <c r="O117" i="33" s="1"/>
  <c r="Q117" i="33" s="1"/>
  <c r="E117" i="32"/>
  <c r="I117" i="32" s="1"/>
  <c r="K117" i="32" s="1"/>
  <c r="M117" i="32" s="1"/>
  <c r="F117" i="22"/>
  <c r="L117" i="22" s="1"/>
  <c r="O117" i="22" s="1"/>
  <c r="Q117" i="22" s="1"/>
  <c r="E117" i="21"/>
  <c r="I117" i="21" s="1"/>
  <c r="K117" i="21" s="1"/>
  <c r="M117" i="21" s="1"/>
  <c r="J145" i="6"/>
  <c r="J157" i="6" s="1"/>
  <c r="J169" i="6" s="1"/>
  <c r="J181" i="6" s="1"/>
  <c r="J193" i="6" s="1"/>
  <c r="J205" i="6" s="1"/>
  <c r="J217" i="6" s="1"/>
  <c r="DH119" i="2"/>
  <c r="L141" i="6"/>
  <c r="L153" i="6" s="1"/>
  <c r="L165" i="6" s="1"/>
  <c r="L177" i="6" s="1"/>
  <c r="L189" i="6" s="1"/>
  <c r="L201" i="6" s="1"/>
  <c r="L213" i="6" s="1"/>
  <c r="DJ115" i="2"/>
  <c r="Q142" i="6"/>
  <c r="Q154" i="6" s="1"/>
  <c r="Q166" i="6" s="1"/>
  <c r="Q178" i="6" s="1"/>
  <c r="Q190" i="6" s="1"/>
  <c r="Q202" i="6" s="1"/>
  <c r="Q214" i="6" s="1"/>
  <c r="DO116" i="2"/>
  <c r="K143" i="6"/>
  <c r="K155" i="6" s="1"/>
  <c r="K167" i="6" s="1"/>
  <c r="K179" i="6" s="1"/>
  <c r="K191" i="6" s="1"/>
  <c r="K203" i="6" s="1"/>
  <c r="K215" i="6" s="1"/>
  <c r="DI117" i="2"/>
  <c r="L137" i="6"/>
  <c r="L149" i="6" s="1"/>
  <c r="L161" i="6" s="1"/>
  <c r="L173" i="6" s="1"/>
  <c r="L185" i="6" s="1"/>
  <c r="L197" i="6" s="1"/>
  <c r="L209" i="6" s="1"/>
  <c r="DJ111" i="2"/>
  <c r="E118" i="21"/>
  <c r="I118" i="21" s="1"/>
  <c r="K118" i="21" s="1"/>
  <c r="M118" i="21" s="1"/>
  <c r="F118" i="22"/>
  <c r="L118" i="22" s="1"/>
  <c r="O118" i="22" s="1"/>
  <c r="Q118" i="22" s="1"/>
  <c r="E118" i="32"/>
  <c r="I118" i="32" s="1"/>
  <c r="K118" i="32" s="1"/>
  <c r="M118" i="32" s="1"/>
  <c r="F118" i="33"/>
  <c r="L118" i="33" s="1"/>
  <c r="O118" i="33" s="1"/>
  <c r="Q118" i="33" s="1"/>
  <c r="K138" i="6"/>
  <c r="K150" i="6" s="1"/>
  <c r="K162" i="6" s="1"/>
  <c r="K174" i="6" s="1"/>
  <c r="K186" i="6" s="1"/>
  <c r="K198" i="6" s="1"/>
  <c r="K210" i="6" s="1"/>
  <c r="DI112" i="2"/>
  <c r="Q143" i="6"/>
  <c r="Q155" i="6" s="1"/>
  <c r="Q167" i="6" s="1"/>
  <c r="Q179" i="6" s="1"/>
  <c r="Q191" i="6" s="1"/>
  <c r="Q203" i="6" s="1"/>
  <c r="Q215" i="6" s="1"/>
  <c r="DO117" i="2"/>
  <c r="K144" i="6"/>
  <c r="K156" i="6" s="1"/>
  <c r="K168" i="6" s="1"/>
  <c r="K180" i="6" s="1"/>
  <c r="K192" i="6" s="1"/>
  <c r="K204" i="6" s="1"/>
  <c r="K216" i="6" s="1"/>
  <c r="DI118" i="2"/>
  <c r="O145" i="6"/>
  <c r="DM119" i="2"/>
  <c r="F116" i="22"/>
  <c r="L116" i="22" s="1"/>
  <c r="O116" i="22" s="1"/>
  <c r="Q116" i="22" s="1"/>
  <c r="F116" i="33"/>
  <c r="L116" i="33" s="1"/>
  <c r="O116" i="33" s="1"/>
  <c r="Q116" i="33" s="1"/>
  <c r="E116" i="32"/>
  <c r="I116" i="32" s="1"/>
  <c r="K116" i="32" s="1"/>
  <c r="M116" i="32" s="1"/>
  <c r="E116" i="21"/>
  <c r="I116" i="21" s="1"/>
  <c r="K116" i="21" s="1"/>
  <c r="M116" i="21" s="1"/>
  <c r="K100" i="32"/>
  <c r="K102" i="32"/>
  <c r="K99" i="32"/>
  <c r="K101" i="32"/>
  <c r="K97" i="32"/>
  <c r="K98" i="32"/>
  <c r="K107" i="32"/>
  <c r="N139" i="6"/>
  <c r="N151" i="6" s="1"/>
  <c r="N163" i="6" s="1"/>
  <c r="N175" i="6" s="1"/>
  <c r="N187" i="6" s="1"/>
  <c r="N199" i="6" s="1"/>
  <c r="N211" i="6" s="1"/>
  <c r="K105" i="32"/>
  <c r="K104" i="32"/>
  <c r="K103" i="32"/>
  <c r="K106" i="32"/>
  <c r="S97" i="35"/>
  <c r="Q97" i="30"/>
  <c r="O149" i="6"/>
  <c r="S149" i="6" s="1"/>
  <c r="O144" i="6"/>
  <c r="O150" i="6"/>
  <c r="O151" i="6"/>
  <c r="F149" i="6"/>
  <c r="F161" i="6" s="1"/>
  <c r="F173" i="6" s="1"/>
  <c r="F185" i="6" s="1"/>
  <c r="F197" i="6" s="1"/>
  <c r="F209" i="6" s="1"/>
  <c r="H123" i="35"/>
  <c r="P123" i="35" s="1"/>
  <c r="F153" i="6"/>
  <c r="F165" i="6" s="1"/>
  <c r="F177" i="6" s="1"/>
  <c r="F189" i="6" s="1"/>
  <c r="F201" i="6" s="1"/>
  <c r="F213" i="6" s="1"/>
  <c r="H127" i="35"/>
  <c r="P127" i="35" s="1"/>
  <c r="F148" i="6"/>
  <c r="F160" i="6" s="1"/>
  <c r="F172" i="6" s="1"/>
  <c r="F184" i="6" s="1"/>
  <c r="F196" i="6" s="1"/>
  <c r="F208" i="6" s="1"/>
  <c r="H122" i="35"/>
  <c r="P122" i="35" s="1"/>
  <c r="F155" i="6"/>
  <c r="F167" i="6" s="1"/>
  <c r="F179" i="6" s="1"/>
  <c r="F191" i="6" s="1"/>
  <c r="F203" i="6" s="1"/>
  <c r="F215" i="6" s="1"/>
  <c r="H129" i="35"/>
  <c r="P129" i="35" s="1"/>
  <c r="F152" i="6"/>
  <c r="F164" i="6" s="1"/>
  <c r="F176" i="6" s="1"/>
  <c r="F188" i="6" s="1"/>
  <c r="F200" i="6" s="1"/>
  <c r="F212" i="6" s="1"/>
  <c r="H126" i="35"/>
  <c r="P126" i="35" s="1"/>
  <c r="F151" i="6"/>
  <c r="F163" i="6" s="1"/>
  <c r="F175" i="6" s="1"/>
  <c r="F187" i="6" s="1"/>
  <c r="F199" i="6" s="1"/>
  <c r="F211" i="6" s="1"/>
  <c r="H125" i="35"/>
  <c r="P125" i="35" s="1"/>
  <c r="F150" i="6"/>
  <c r="F162" i="6" s="1"/>
  <c r="F174" i="6" s="1"/>
  <c r="F186" i="6" s="1"/>
  <c r="F198" i="6" s="1"/>
  <c r="F210" i="6" s="1"/>
  <c r="H124" i="35"/>
  <c r="P124" i="35" s="1"/>
  <c r="F154" i="6"/>
  <c r="F166" i="6" s="1"/>
  <c r="F178" i="6" s="1"/>
  <c r="F190" i="6" s="1"/>
  <c r="F202" i="6" s="1"/>
  <c r="F214" i="6" s="1"/>
  <c r="H128" i="35"/>
  <c r="P128" i="35" s="1"/>
  <c r="F145" i="6"/>
  <c r="F147" i="6"/>
  <c r="F146" i="6"/>
  <c r="F144" i="6"/>
  <c r="N150" i="6"/>
  <c r="O160" i="6"/>
  <c r="N148" i="6"/>
  <c r="N161" i="6"/>
  <c r="N173" i="6" s="1"/>
  <c r="N185" i="6" s="1"/>
  <c r="N197" i="6" s="1"/>
  <c r="N209" i="6" s="1"/>
  <c r="O146" i="6"/>
  <c r="S146" i="6" s="1"/>
  <c r="O141" i="6"/>
  <c r="S141" i="6" s="1"/>
  <c r="N164" i="6"/>
  <c r="N176" i="6" s="1"/>
  <c r="N188" i="6" s="1"/>
  <c r="N200" i="6" s="1"/>
  <c r="N212" i="6" s="1"/>
  <c r="O143" i="6"/>
  <c r="S143" i="6" s="1"/>
  <c r="N142" i="6"/>
  <c r="O140" i="6"/>
  <c r="S140" i="6" s="1"/>
  <c r="N141" i="6"/>
  <c r="N147" i="6"/>
  <c r="N155" i="6"/>
  <c r="O142" i="6"/>
  <c r="S142" i="6" s="1"/>
  <c r="N144" i="6"/>
  <c r="O159" i="6"/>
  <c r="S159" i="6" s="1"/>
  <c r="O108" i="33"/>
  <c r="O103" i="33"/>
  <c r="O100" i="33"/>
  <c r="O102" i="33"/>
  <c r="O109" i="33"/>
  <c r="O105" i="33"/>
  <c r="O104" i="33"/>
  <c r="O97" i="33"/>
  <c r="O106" i="33"/>
  <c r="O107" i="33"/>
  <c r="O99" i="33"/>
  <c r="O101" i="33"/>
  <c r="O98" i="33"/>
  <c r="H129" i="30"/>
  <c r="O129" i="30" s="1"/>
  <c r="D155" i="6"/>
  <c r="D144" i="6"/>
  <c r="H125" i="30"/>
  <c r="O125" i="30" s="1"/>
  <c r="D151" i="6"/>
  <c r="D148" i="6"/>
  <c r="H123" i="30"/>
  <c r="O123" i="30" s="1"/>
  <c r="D149" i="6"/>
  <c r="H124" i="30"/>
  <c r="O124" i="30" s="1"/>
  <c r="D150" i="6"/>
  <c r="H128" i="30"/>
  <c r="O128" i="30" s="1"/>
  <c r="D154" i="6"/>
  <c r="H131" i="30"/>
  <c r="O131" i="30" s="1"/>
  <c r="D157" i="6"/>
  <c r="H143" i="30" s="1"/>
  <c r="O143" i="30" s="1"/>
  <c r="H126" i="30"/>
  <c r="O126" i="30" s="1"/>
  <c r="D152" i="6"/>
  <c r="H132" i="30"/>
  <c r="O132" i="30" s="1"/>
  <c r="D158" i="6"/>
  <c r="H144" i="30" s="1"/>
  <c r="O144" i="30" s="1"/>
  <c r="H127" i="30"/>
  <c r="O127" i="30" s="1"/>
  <c r="D153" i="6"/>
  <c r="H133" i="30"/>
  <c r="O133" i="30" s="1"/>
  <c r="D159" i="6"/>
  <c r="H145" i="30" s="1"/>
  <c r="O145" i="30" s="1"/>
  <c r="U42" i="28" l="1"/>
  <c r="I120" i="31"/>
  <c r="Q120" i="31" s="1"/>
  <c r="I120" i="20"/>
  <c r="Q120" i="20" s="1"/>
  <c r="I121" i="32"/>
  <c r="K121" i="32" s="1"/>
  <c r="M121" i="32" s="1"/>
  <c r="E122" i="32"/>
  <c r="L121" i="33"/>
  <c r="O121" i="33" s="1"/>
  <c r="Q121" i="33" s="1"/>
  <c r="F122" i="33"/>
  <c r="I123" i="31"/>
  <c r="Q122" i="31"/>
  <c r="U15" i="17"/>
  <c r="W15" i="17" s="1"/>
  <c r="U42" i="23"/>
  <c r="S144" i="6"/>
  <c r="S147" i="6"/>
  <c r="S145" i="6"/>
  <c r="O163" i="6"/>
  <c r="S151" i="6"/>
  <c r="O162" i="6"/>
  <c r="S150" i="6"/>
  <c r="O172" i="6"/>
  <c r="S160" i="6"/>
  <c r="U91" i="23"/>
  <c r="U92" i="17"/>
  <c r="U95" i="17"/>
  <c r="U90" i="17"/>
  <c r="U49" i="34"/>
  <c r="U39" i="23"/>
  <c r="U47" i="17"/>
  <c r="U92" i="23"/>
  <c r="U95" i="23"/>
  <c r="U38" i="17"/>
  <c r="U90" i="28"/>
  <c r="U39" i="17"/>
  <c r="U45" i="17"/>
  <c r="U40" i="17"/>
  <c r="U93" i="17"/>
  <c r="U89" i="23"/>
  <c r="U38" i="23"/>
  <c r="U40" i="28"/>
  <c r="U88" i="28"/>
  <c r="U94" i="17"/>
  <c r="U40" i="23"/>
  <c r="U43" i="34"/>
  <c r="U43" i="23"/>
  <c r="U87" i="23"/>
  <c r="U63" i="34"/>
  <c r="U90" i="23"/>
  <c r="U90" i="34"/>
  <c r="U45" i="28"/>
  <c r="U92" i="28"/>
  <c r="U97" i="17"/>
  <c r="U96" i="28"/>
  <c r="U89" i="28"/>
  <c r="U94" i="28"/>
  <c r="U96" i="23"/>
  <c r="U45" i="23"/>
  <c r="U15" i="28"/>
  <c r="X15" i="28" s="1"/>
  <c r="U88" i="23"/>
  <c r="U44" i="17"/>
  <c r="U45" i="34"/>
  <c r="U43" i="17"/>
  <c r="U15" i="23"/>
  <c r="W15" i="23" s="1"/>
  <c r="U49" i="17"/>
  <c r="U48" i="23"/>
  <c r="U46" i="23"/>
  <c r="U41" i="23"/>
  <c r="U48" i="17"/>
  <c r="U91" i="17"/>
  <c r="U97" i="23"/>
  <c r="U49" i="28"/>
  <c r="U63" i="17"/>
  <c r="U87" i="17"/>
  <c r="U94" i="23"/>
  <c r="U97" i="28"/>
  <c r="U93" i="23"/>
  <c r="U46" i="28"/>
  <c r="U46" i="17"/>
  <c r="U44" i="34"/>
  <c r="U95" i="28"/>
  <c r="U89" i="34"/>
  <c r="U39" i="28"/>
  <c r="U94" i="34"/>
  <c r="U40" i="34"/>
  <c r="U39" i="34"/>
  <c r="U93" i="34"/>
  <c r="U41" i="28"/>
  <c r="U93" i="28"/>
  <c r="U15" i="34"/>
  <c r="X15" i="34" s="1"/>
  <c r="U38" i="34"/>
  <c r="U63" i="28"/>
  <c r="U43" i="28"/>
  <c r="U91" i="28"/>
  <c r="U41" i="34"/>
  <c r="U96" i="34"/>
  <c r="U92" i="34"/>
  <c r="U91" i="34"/>
  <c r="U97" i="34"/>
  <c r="U38" i="28"/>
  <c r="U46" i="34"/>
  <c r="U47" i="34"/>
  <c r="U48" i="28"/>
  <c r="U87" i="34"/>
  <c r="U88" i="34"/>
  <c r="U87" i="28"/>
  <c r="U44" i="28"/>
  <c r="U47" i="28"/>
  <c r="O157" i="6"/>
  <c r="S157" i="6" s="1"/>
  <c r="U48" i="34"/>
  <c r="U95" i="34"/>
  <c r="O161" i="6"/>
  <c r="S161" i="6" s="1"/>
  <c r="Q118" i="20"/>
  <c r="Q118" i="31"/>
  <c r="Q119" i="31"/>
  <c r="Q119" i="20"/>
  <c r="F120" i="22"/>
  <c r="L120" i="22" s="1"/>
  <c r="O120" i="22" s="1"/>
  <c r="Q120" i="22" s="1"/>
  <c r="E120" i="21"/>
  <c r="I120" i="21" s="1"/>
  <c r="K120" i="21" s="1"/>
  <c r="M120" i="21" s="1"/>
  <c r="E120" i="32"/>
  <c r="I120" i="32" s="1"/>
  <c r="F120" i="33"/>
  <c r="L120" i="33" s="1"/>
  <c r="O156" i="6"/>
  <c r="S156" i="6" s="1"/>
  <c r="S128" i="35"/>
  <c r="H140" i="35"/>
  <c r="P140" i="35" s="1"/>
  <c r="S124" i="35"/>
  <c r="Q129" i="30"/>
  <c r="Q127" i="30"/>
  <c r="H136" i="35"/>
  <c r="P136" i="35" s="1"/>
  <c r="Q128" i="30"/>
  <c r="S125" i="35"/>
  <c r="Q124" i="30"/>
  <c r="H137" i="35"/>
  <c r="P137" i="35" s="1"/>
  <c r="Q126" i="30"/>
  <c r="Q125" i="30"/>
  <c r="S126" i="35"/>
  <c r="H138" i="35"/>
  <c r="P138" i="35" s="1"/>
  <c r="S129" i="35"/>
  <c r="H141" i="35"/>
  <c r="P141" i="35" s="1"/>
  <c r="H134" i="35"/>
  <c r="P134" i="35" s="1"/>
  <c r="S127" i="35"/>
  <c r="Q123" i="30"/>
  <c r="H139" i="35"/>
  <c r="P139" i="35" s="1"/>
  <c r="S123" i="35"/>
  <c r="H135" i="35"/>
  <c r="P135" i="35" s="1"/>
  <c r="Q133" i="30"/>
  <c r="Q132" i="30"/>
  <c r="Q131" i="30"/>
  <c r="F156" i="6"/>
  <c r="F168" i="6" s="1"/>
  <c r="F180" i="6" s="1"/>
  <c r="F192" i="6" s="1"/>
  <c r="F204" i="6" s="1"/>
  <c r="F216" i="6" s="1"/>
  <c r="H130" i="35"/>
  <c r="P130" i="35" s="1"/>
  <c r="F158" i="6"/>
  <c r="F170" i="6" s="1"/>
  <c r="F182" i="6" s="1"/>
  <c r="F194" i="6" s="1"/>
  <c r="F206" i="6" s="1"/>
  <c r="F218" i="6" s="1"/>
  <c r="H132" i="35"/>
  <c r="P132" i="35" s="1"/>
  <c r="F159" i="6"/>
  <c r="F171" i="6" s="1"/>
  <c r="F183" i="6" s="1"/>
  <c r="F195" i="6" s="1"/>
  <c r="F207" i="6" s="1"/>
  <c r="F219" i="6" s="1"/>
  <c r="H133" i="35"/>
  <c r="P133" i="35" s="1"/>
  <c r="F157" i="6"/>
  <c r="F169" i="6" s="1"/>
  <c r="F181" i="6" s="1"/>
  <c r="F193" i="6" s="1"/>
  <c r="F205" i="6" s="1"/>
  <c r="F217" i="6" s="1"/>
  <c r="H131" i="35"/>
  <c r="P131" i="35" s="1"/>
  <c r="N160" i="6"/>
  <c r="N172" i="6" s="1"/>
  <c r="N184" i="6" s="1"/>
  <c r="N196" i="6" s="1"/>
  <c r="N208" i="6" s="1"/>
  <c r="N162" i="6"/>
  <c r="N174" i="6" s="1"/>
  <c r="N186" i="6" s="1"/>
  <c r="N198" i="6" s="1"/>
  <c r="N210" i="6" s="1"/>
  <c r="O171" i="6"/>
  <c r="N153" i="6"/>
  <c r="N154" i="6"/>
  <c r="N167" i="6"/>
  <c r="N179" i="6" s="1"/>
  <c r="N191" i="6" s="1"/>
  <c r="N203" i="6" s="1"/>
  <c r="N215" i="6" s="1"/>
  <c r="O155" i="6"/>
  <c r="S155" i="6" s="1"/>
  <c r="N156" i="6"/>
  <c r="O152" i="6"/>
  <c r="S152" i="6" s="1"/>
  <c r="O153" i="6"/>
  <c r="S153" i="6" s="1"/>
  <c r="O154" i="6"/>
  <c r="S154" i="6" s="1"/>
  <c r="N159" i="6"/>
  <c r="O158" i="6"/>
  <c r="S158" i="6" s="1"/>
  <c r="D169" i="6"/>
  <c r="D181" i="6" s="1"/>
  <c r="D193" i="6" s="1"/>
  <c r="D205" i="6" s="1"/>
  <c r="D217" i="6" s="1"/>
  <c r="H140" i="30"/>
  <c r="O140" i="30" s="1"/>
  <c r="D166" i="6"/>
  <c r="D178" i="6" s="1"/>
  <c r="D190" i="6" s="1"/>
  <c r="D202" i="6" s="1"/>
  <c r="D214" i="6" s="1"/>
  <c r="D171" i="6"/>
  <c r="D183" i="6" s="1"/>
  <c r="D195" i="6" s="1"/>
  <c r="D207" i="6" s="1"/>
  <c r="D219" i="6" s="1"/>
  <c r="H130" i="30"/>
  <c r="O130" i="30" s="1"/>
  <c r="D156" i="6"/>
  <c r="H142" i="30" s="1"/>
  <c r="O142" i="30" s="1"/>
  <c r="H136" i="30"/>
  <c r="O136" i="30" s="1"/>
  <c r="D162" i="6"/>
  <c r="D174" i="6" s="1"/>
  <c r="D186" i="6" s="1"/>
  <c r="D198" i="6" s="1"/>
  <c r="D210" i="6" s="1"/>
  <c r="H134" i="30"/>
  <c r="O134" i="30" s="1"/>
  <c r="D160" i="6"/>
  <c r="D172" i="6" s="1"/>
  <c r="D184" i="6" s="1"/>
  <c r="D196" i="6" s="1"/>
  <c r="D208" i="6" s="1"/>
  <c r="H139" i="30"/>
  <c r="O139" i="30" s="1"/>
  <c r="D165" i="6"/>
  <c r="D177" i="6" s="1"/>
  <c r="D189" i="6" s="1"/>
  <c r="D201" i="6" s="1"/>
  <c r="D213" i="6" s="1"/>
  <c r="H135" i="30"/>
  <c r="O135" i="30" s="1"/>
  <c r="D161" i="6"/>
  <c r="D173" i="6" s="1"/>
  <c r="D185" i="6" s="1"/>
  <c r="D197" i="6" s="1"/>
  <c r="D209" i="6" s="1"/>
  <c r="H141" i="30"/>
  <c r="O141" i="30" s="1"/>
  <c r="D167" i="6"/>
  <c r="D179" i="6" s="1"/>
  <c r="D191" i="6" s="1"/>
  <c r="D203" i="6" s="1"/>
  <c r="D215" i="6" s="1"/>
  <c r="D170" i="6"/>
  <c r="D182" i="6" s="1"/>
  <c r="D194" i="6" s="1"/>
  <c r="D206" i="6" s="1"/>
  <c r="D218" i="6" s="1"/>
  <c r="H137" i="30"/>
  <c r="O137" i="30" s="1"/>
  <c r="D163" i="6"/>
  <c r="D175" i="6" s="1"/>
  <c r="D187" i="6" s="1"/>
  <c r="D199" i="6" s="1"/>
  <c r="D211" i="6" s="1"/>
  <c r="H138" i="30"/>
  <c r="O138" i="30" s="1"/>
  <c r="D164" i="6"/>
  <c r="D176" i="6" s="1"/>
  <c r="D188" i="6" s="1"/>
  <c r="D200" i="6" s="1"/>
  <c r="D212" i="6" s="1"/>
  <c r="F123" i="33" l="1"/>
  <c r="L122" i="33"/>
  <c r="E123" i="32"/>
  <c r="I122" i="32"/>
  <c r="I124" i="31"/>
  <c r="Q123" i="31"/>
  <c r="O184" i="6"/>
  <c r="S172" i="6"/>
  <c r="O183" i="6"/>
  <c r="S171" i="6"/>
  <c r="O174" i="6"/>
  <c r="S162" i="6"/>
  <c r="O175" i="6"/>
  <c r="S163" i="6"/>
  <c r="O169" i="6"/>
  <c r="O173" i="6"/>
  <c r="O120" i="33"/>
  <c r="Q120" i="33" s="1"/>
  <c r="K120" i="32"/>
  <c r="M120" i="32" s="1"/>
  <c r="O168" i="6"/>
  <c r="H153" i="35"/>
  <c r="P153" i="35" s="1"/>
  <c r="H149" i="30"/>
  <c r="O149" i="30" s="1"/>
  <c r="H147" i="35"/>
  <c r="P147" i="35" s="1"/>
  <c r="H150" i="35"/>
  <c r="P150" i="35" s="1"/>
  <c r="H148" i="35"/>
  <c r="P148" i="35" s="1"/>
  <c r="H152" i="30"/>
  <c r="O152" i="30" s="1"/>
  <c r="H147" i="30"/>
  <c r="O147" i="30" s="1"/>
  <c r="H151" i="35"/>
  <c r="P151" i="35" s="1"/>
  <c r="H151" i="30"/>
  <c r="O151" i="30" s="1"/>
  <c r="H153" i="30"/>
  <c r="O153" i="30" s="1"/>
  <c r="H149" i="35"/>
  <c r="P149" i="35" s="1"/>
  <c r="H152" i="35"/>
  <c r="P152" i="35" s="1"/>
  <c r="H148" i="30"/>
  <c r="O148" i="30" s="1"/>
  <c r="H146" i="35"/>
  <c r="P146" i="35" s="1"/>
  <c r="H146" i="30"/>
  <c r="O146" i="30" s="1"/>
  <c r="H150" i="30"/>
  <c r="O150" i="30" s="1"/>
  <c r="H156" i="30"/>
  <c r="O156" i="30" s="1"/>
  <c r="H155" i="30"/>
  <c r="O155" i="30" s="1"/>
  <c r="S133" i="35"/>
  <c r="S131" i="35"/>
  <c r="H145" i="35"/>
  <c r="P145" i="35" s="1"/>
  <c r="H143" i="35"/>
  <c r="P143" i="35" s="1"/>
  <c r="S132" i="35"/>
  <c r="H144" i="35"/>
  <c r="P144" i="35" s="1"/>
  <c r="Q130" i="30"/>
  <c r="H157" i="30"/>
  <c r="O157" i="30" s="1"/>
  <c r="S130" i="35"/>
  <c r="H142" i="35"/>
  <c r="P142" i="35" s="1"/>
  <c r="O170" i="6"/>
  <c r="N166" i="6"/>
  <c r="N178" i="6" s="1"/>
  <c r="N190" i="6" s="1"/>
  <c r="N202" i="6" s="1"/>
  <c r="N214" i="6" s="1"/>
  <c r="O165" i="6"/>
  <c r="N165" i="6"/>
  <c r="N177" i="6" s="1"/>
  <c r="N189" i="6" s="1"/>
  <c r="N201" i="6" s="1"/>
  <c r="N213" i="6" s="1"/>
  <c r="O166" i="6"/>
  <c r="O164" i="6"/>
  <c r="N168" i="6"/>
  <c r="N180" i="6" s="1"/>
  <c r="N192" i="6" s="1"/>
  <c r="N204" i="6" s="1"/>
  <c r="N216" i="6" s="1"/>
  <c r="N171" i="6"/>
  <c r="N183" i="6" s="1"/>
  <c r="N195" i="6" s="1"/>
  <c r="N207" i="6" s="1"/>
  <c r="N219" i="6" s="1"/>
  <c r="O167" i="6"/>
  <c r="D168" i="6"/>
  <c r="D180" i="6" s="1"/>
  <c r="D192" i="6" s="1"/>
  <c r="D204" i="6" s="1"/>
  <c r="D216" i="6" s="1"/>
  <c r="S123" i="31" l="1"/>
  <c r="I125" i="31"/>
  <c r="Q124" i="31"/>
  <c r="K122" i="32"/>
  <c r="M122" i="32" s="1"/>
  <c r="E124" i="32"/>
  <c r="I123" i="32"/>
  <c r="O122" i="33"/>
  <c r="Q122" i="33" s="1"/>
  <c r="F124" i="33"/>
  <c r="L123" i="33"/>
  <c r="O177" i="6"/>
  <c r="S165" i="6"/>
  <c r="O178" i="6"/>
  <c r="S166" i="6"/>
  <c r="O187" i="6"/>
  <c r="S175" i="6"/>
  <c r="O185" i="6"/>
  <c r="S173" i="6"/>
  <c r="O181" i="6"/>
  <c r="S169" i="6"/>
  <c r="O180" i="6"/>
  <c r="S168" i="6"/>
  <c r="O186" i="6"/>
  <c r="S174" i="6"/>
  <c r="O195" i="6"/>
  <c r="S183" i="6"/>
  <c r="O179" i="6"/>
  <c r="S167" i="6"/>
  <c r="O176" i="6"/>
  <c r="S164" i="6"/>
  <c r="O182" i="6"/>
  <c r="S170" i="6"/>
  <c r="O196" i="6"/>
  <c r="S184" i="6"/>
  <c r="H163" i="30"/>
  <c r="O163" i="30" s="1"/>
  <c r="H162" i="35"/>
  <c r="P162" i="35" s="1"/>
  <c r="H164" i="35"/>
  <c r="P164" i="35" s="1"/>
  <c r="H162" i="30"/>
  <c r="O162" i="30" s="1"/>
  <c r="H161" i="35"/>
  <c r="P161" i="35" s="1"/>
  <c r="H163" i="35"/>
  <c r="P163" i="35" s="1"/>
  <c r="H158" i="30"/>
  <c r="O158" i="30" s="1"/>
  <c r="H159" i="30"/>
  <c r="O159" i="30" s="1"/>
  <c r="H159" i="35"/>
  <c r="P159" i="35" s="1"/>
  <c r="Q147" i="30"/>
  <c r="S147" i="35"/>
  <c r="H165" i="30"/>
  <c r="O165" i="30" s="1"/>
  <c r="H158" i="35"/>
  <c r="P158" i="35" s="1"/>
  <c r="H161" i="30"/>
  <c r="O161" i="30" s="1"/>
  <c r="H160" i="30"/>
  <c r="O160" i="30" s="1"/>
  <c r="H164" i="30"/>
  <c r="O164" i="30" s="1"/>
  <c r="H160" i="35"/>
  <c r="P160" i="35" s="1"/>
  <c r="H165" i="35"/>
  <c r="P165" i="35" s="1"/>
  <c r="H155" i="35"/>
  <c r="P155" i="35" s="1"/>
  <c r="H154" i="35"/>
  <c r="P154" i="35" s="1"/>
  <c r="H157" i="35"/>
  <c r="P157" i="35" s="1"/>
  <c r="H154" i="30"/>
  <c r="O154" i="30" s="1"/>
  <c r="H169" i="30"/>
  <c r="O169" i="30" s="1"/>
  <c r="H168" i="30"/>
  <c r="O168" i="30" s="1"/>
  <c r="H167" i="30"/>
  <c r="O167" i="30" s="1"/>
  <c r="H156" i="35"/>
  <c r="P156" i="35" s="1"/>
  <c r="R15" i="11"/>
  <c r="S3" i="11" s="1"/>
  <c r="O123" i="33" l="1"/>
  <c r="Q123" i="33" s="1"/>
  <c r="F125" i="33"/>
  <c r="L124" i="33"/>
  <c r="K123" i="32"/>
  <c r="M123" i="32" s="1"/>
  <c r="E125" i="32"/>
  <c r="I124" i="32"/>
  <c r="S124" i="31"/>
  <c r="I126" i="31"/>
  <c r="Q125" i="31"/>
  <c r="O207" i="6"/>
  <c r="S195" i="6"/>
  <c r="O197" i="6"/>
  <c r="S185" i="6"/>
  <c r="O193" i="6"/>
  <c r="S181" i="6"/>
  <c r="O199" i="6"/>
  <c r="S187" i="6"/>
  <c r="O198" i="6"/>
  <c r="S186" i="6"/>
  <c r="O192" i="6"/>
  <c r="S180" i="6"/>
  <c r="O208" i="6"/>
  <c r="S208" i="6" s="1"/>
  <c r="S196" i="6"/>
  <c r="O194" i="6"/>
  <c r="S182" i="6"/>
  <c r="O188" i="6"/>
  <c r="S176" i="6"/>
  <c r="O190" i="6"/>
  <c r="S178" i="6"/>
  <c r="O191" i="6"/>
  <c r="S179" i="6"/>
  <c r="O189" i="6"/>
  <c r="S177" i="6"/>
  <c r="S165" i="35"/>
  <c r="H172" i="30"/>
  <c r="O172" i="30" s="1"/>
  <c r="H173" i="35"/>
  <c r="P173" i="35" s="1"/>
  <c r="S160" i="35"/>
  <c r="Q161" i="30"/>
  <c r="S161" i="35"/>
  <c r="H173" i="30"/>
  <c r="O173" i="30" s="1"/>
  <c r="S159" i="35"/>
  <c r="Q162" i="30"/>
  <c r="H172" i="35"/>
  <c r="P172" i="35" s="1"/>
  <c r="H171" i="35"/>
  <c r="P171" i="35" s="1"/>
  <c r="H174" i="30"/>
  <c r="O174" i="30" s="1"/>
  <c r="Q159" i="30"/>
  <c r="H171" i="30"/>
  <c r="O171" i="30" s="1"/>
  <c r="S164" i="35"/>
  <c r="H170" i="35"/>
  <c r="P170" i="35" s="1"/>
  <c r="H170" i="30"/>
  <c r="O170" i="30" s="1"/>
  <c r="H176" i="35"/>
  <c r="P176" i="35" s="1"/>
  <c r="H174" i="35"/>
  <c r="P174" i="35" s="1"/>
  <c r="H177" i="30"/>
  <c r="O177" i="30" s="1"/>
  <c r="S162" i="35"/>
  <c r="Q165" i="30"/>
  <c r="H175" i="35"/>
  <c r="P175" i="35" s="1"/>
  <c r="H176" i="30"/>
  <c r="O176" i="30" s="1"/>
  <c r="S163" i="35"/>
  <c r="Q164" i="30"/>
  <c r="Q163" i="30"/>
  <c r="H177" i="35"/>
  <c r="P177" i="35" s="1"/>
  <c r="Q160" i="30"/>
  <c r="H175" i="30"/>
  <c r="O175" i="30" s="1"/>
  <c r="H166" i="30"/>
  <c r="O166" i="30" s="1"/>
  <c r="H179" i="30"/>
  <c r="O179" i="30" s="1"/>
  <c r="H169" i="35"/>
  <c r="P169" i="35" s="1"/>
  <c r="Q167" i="30"/>
  <c r="H168" i="35"/>
  <c r="P168" i="35" s="1"/>
  <c r="H166" i="35"/>
  <c r="P166" i="35" s="1"/>
  <c r="Q168" i="30"/>
  <c r="H167" i="35"/>
  <c r="P167" i="35" s="1"/>
  <c r="Q169" i="30"/>
  <c r="H181" i="30"/>
  <c r="O181" i="30" s="1"/>
  <c r="H180" i="30"/>
  <c r="O180" i="30" s="1"/>
  <c r="S11" i="11"/>
  <c r="S5" i="11"/>
  <c r="S7" i="11"/>
  <c r="S6" i="11"/>
  <c r="S9" i="11"/>
  <c r="S4" i="11"/>
  <c r="S10" i="11"/>
  <c r="S14" i="11"/>
  <c r="S8" i="11"/>
  <c r="S12" i="11"/>
  <c r="S13" i="11"/>
  <c r="S125" i="31" l="1"/>
  <c r="I127" i="31"/>
  <c r="Q126" i="31"/>
  <c r="K124" i="32"/>
  <c r="M124" i="32" s="1"/>
  <c r="E126" i="32"/>
  <c r="I125" i="32"/>
  <c r="O124" i="33"/>
  <c r="Q124" i="33" s="1"/>
  <c r="F126" i="33"/>
  <c r="L125" i="33"/>
  <c r="O206" i="6"/>
  <c r="S194" i="6"/>
  <c r="O204" i="6"/>
  <c r="S192" i="6"/>
  <c r="O210" i="6"/>
  <c r="S210" i="6" s="1"/>
  <c r="S198" i="6"/>
  <c r="O211" i="6"/>
  <c r="S211" i="6" s="1"/>
  <c r="S199" i="6"/>
  <c r="O203" i="6"/>
  <c r="S191" i="6"/>
  <c r="O205" i="6"/>
  <c r="S193" i="6"/>
  <c r="O202" i="6"/>
  <c r="S190" i="6"/>
  <c r="O209" i="6"/>
  <c r="S209" i="6" s="1"/>
  <c r="S197" i="6"/>
  <c r="O201" i="6"/>
  <c r="S189" i="6"/>
  <c r="O200" i="6"/>
  <c r="S188" i="6"/>
  <c r="O219" i="6"/>
  <c r="S219" i="6" s="1"/>
  <c r="S207" i="6"/>
  <c r="H199" i="35"/>
  <c r="P199" i="35" s="1"/>
  <c r="H187" i="35"/>
  <c r="P187" i="35" s="1"/>
  <c r="H194" i="35"/>
  <c r="P194" i="35" s="1"/>
  <c r="H182" i="35"/>
  <c r="P182" i="35" s="1"/>
  <c r="H199" i="30"/>
  <c r="O199" i="30" s="1"/>
  <c r="H187" i="30"/>
  <c r="O187" i="30" s="1"/>
  <c r="H197" i="30"/>
  <c r="O197" i="30" s="1"/>
  <c r="H185" i="30"/>
  <c r="O185" i="30" s="1"/>
  <c r="H201" i="35"/>
  <c r="P201" i="35" s="1"/>
  <c r="H189" i="35"/>
  <c r="P189" i="35" s="1"/>
  <c r="H195" i="30"/>
  <c r="O195" i="30" s="1"/>
  <c r="H183" i="30"/>
  <c r="O183" i="30" s="1"/>
  <c r="H201" i="30"/>
  <c r="O201" i="30" s="1"/>
  <c r="H189" i="30"/>
  <c r="O189" i="30" s="1"/>
  <c r="H198" i="30"/>
  <c r="O198" i="30" s="1"/>
  <c r="H186" i="30"/>
  <c r="O186" i="30" s="1"/>
  <c r="H195" i="35"/>
  <c r="P195" i="35" s="1"/>
  <c r="H183" i="35"/>
  <c r="P183" i="35" s="1"/>
  <c r="H197" i="35"/>
  <c r="P197" i="35" s="1"/>
  <c r="H185" i="35"/>
  <c r="P185" i="35" s="1"/>
  <c r="H196" i="30"/>
  <c r="O196" i="30" s="1"/>
  <c r="H184" i="30"/>
  <c r="O184" i="30" s="1"/>
  <c r="H188" i="30"/>
  <c r="O188" i="30" s="1"/>
  <c r="H200" i="30"/>
  <c r="O200" i="30" s="1"/>
  <c r="H200" i="35"/>
  <c r="P200" i="35" s="1"/>
  <c r="H188" i="35"/>
  <c r="P188" i="35" s="1"/>
  <c r="H196" i="35"/>
  <c r="P196" i="35" s="1"/>
  <c r="H184" i="35"/>
  <c r="P184" i="35" s="1"/>
  <c r="H186" i="35"/>
  <c r="P186" i="35" s="1"/>
  <c r="H198" i="35"/>
  <c r="P198" i="35" s="1"/>
  <c r="H194" i="30"/>
  <c r="O194" i="30" s="1"/>
  <c r="H182" i="30"/>
  <c r="O182" i="30" s="1"/>
  <c r="S166" i="35"/>
  <c r="S168" i="35"/>
  <c r="H205" i="30"/>
  <c r="O205" i="30" s="1"/>
  <c r="H193" i="30"/>
  <c r="O193" i="30" s="1"/>
  <c r="H180" i="35"/>
  <c r="P180" i="35" s="1"/>
  <c r="H179" i="35"/>
  <c r="P179" i="35" s="1"/>
  <c r="S169" i="35"/>
  <c r="H181" i="35"/>
  <c r="P181" i="35" s="1"/>
  <c r="H203" i="30"/>
  <c r="O203" i="30" s="1"/>
  <c r="H191" i="30"/>
  <c r="O191" i="30" s="1"/>
  <c r="H192" i="30"/>
  <c r="O192" i="30" s="1"/>
  <c r="H204" i="30"/>
  <c r="O204" i="30" s="1"/>
  <c r="S167" i="35"/>
  <c r="Q166" i="30"/>
  <c r="H178" i="35"/>
  <c r="P178" i="35" s="1"/>
  <c r="H178" i="30"/>
  <c r="O178" i="30" s="1"/>
  <c r="T10" i="11"/>
  <c r="S15" i="11"/>
  <c r="T3" i="11"/>
  <c r="O125" i="33" l="1"/>
  <c r="Q125" i="33" s="1"/>
  <c r="F127" i="33"/>
  <c r="L126" i="33"/>
  <c r="K125" i="32"/>
  <c r="M125" i="32" s="1"/>
  <c r="E127" i="32"/>
  <c r="I126" i="32"/>
  <c r="S126" i="31"/>
  <c r="I128" i="31"/>
  <c r="Q127" i="31"/>
  <c r="O214" i="6"/>
  <c r="S214" i="6" s="1"/>
  <c r="S202" i="6"/>
  <c r="O217" i="6"/>
  <c r="S217" i="6" s="1"/>
  <c r="S205" i="6"/>
  <c r="O215" i="6"/>
  <c r="S215" i="6" s="1"/>
  <c r="S203" i="6"/>
  <c r="O212" i="6"/>
  <c r="S212" i="6" s="1"/>
  <c r="S200" i="6"/>
  <c r="O216" i="6"/>
  <c r="S216" i="6" s="1"/>
  <c r="S204" i="6"/>
  <c r="O213" i="6"/>
  <c r="S213" i="6" s="1"/>
  <c r="S201" i="6"/>
  <c r="O218" i="6"/>
  <c r="S218" i="6" s="1"/>
  <c r="S206" i="6"/>
  <c r="S198" i="35"/>
  <c r="S183" i="35"/>
  <c r="S200" i="35"/>
  <c r="S195" i="35"/>
  <c r="Q200" i="30"/>
  <c r="Q197" i="30"/>
  <c r="Q201" i="30"/>
  <c r="Q199" i="30"/>
  <c r="Q183" i="30"/>
  <c r="Q198" i="30"/>
  <c r="Q195" i="30"/>
  <c r="S201" i="35"/>
  <c r="S199" i="35"/>
  <c r="Q196" i="30"/>
  <c r="S197" i="35"/>
  <c r="S196" i="35"/>
  <c r="Q203" i="30"/>
  <c r="H193" i="35"/>
  <c r="P193" i="35" s="1"/>
  <c r="H205" i="35"/>
  <c r="P205" i="35" s="1"/>
  <c r="H203" i="35"/>
  <c r="P203" i="35" s="1"/>
  <c r="H191" i="35"/>
  <c r="P191" i="35" s="1"/>
  <c r="Q204" i="30"/>
  <c r="H204" i="35"/>
  <c r="P204" i="35" s="1"/>
  <c r="H192" i="35"/>
  <c r="P192" i="35" s="1"/>
  <c r="Q205" i="30"/>
  <c r="H202" i="30"/>
  <c r="O202" i="30" s="1"/>
  <c r="H190" i="30"/>
  <c r="O190" i="30" s="1"/>
  <c r="H202" i="35"/>
  <c r="P202" i="35" s="1"/>
  <c r="H190" i="35"/>
  <c r="P190" i="35" s="1"/>
  <c r="S127" i="31" l="1"/>
  <c r="I129" i="31"/>
  <c r="Q128" i="31"/>
  <c r="K126" i="32"/>
  <c r="M126" i="32" s="1"/>
  <c r="E128" i="32"/>
  <c r="I127" i="32"/>
  <c r="O126" i="33"/>
  <c r="Q126" i="33" s="1"/>
  <c r="F128" i="33"/>
  <c r="L127" i="33"/>
  <c r="S203" i="35"/>
  <c r="Q202" i="30"/>
  <c r="S205" i="35"/>
  <c r="S204" i="35"/>
  <c r="S202" i="35"/>
  <c r="O127" i="33" l="1"/>
  <c r="Q127" i="33" s="1"/>
  <c r="F129" i="33"/>
  <c r="L128" i="33"/>
  <c r="K127" i="32"/>
  <c r="M127" i="32" s="1"/>
  <c r="E129" i="32"/>
  <c r="I128" i="32"/>
  <c r="S128" i="31"/>
  <c r="I130" i="31"/>
  <c r="Q129" i="31"/>
  <c r="S129" i="31" l="1"/>
  <c r="K128" i="32"/>
  <c r="M128" i="32" s="1"/>
  <c r="F130" i="33"/>
  <c r="L129" i="33"/>
  <c r="I131" i="31"/>
  <c r="Q130" i="31"/>
  <c r="E130" i="32"/>
  <c r="I129" i="32"/>
  <c r="O128" i="33"/>
  <c r="Q128" i="33" s="1"/>
  <c r="F131" i="33" l="1"/>
  <c r="L130" i="33"/>
  <c r="E131" i="32"/>
  <c r="I130" i="32"/>
  <c r="I132" i="31"/>
  <c r="Q131" i="31"/>
  <c r="K129" i="32"/>
  <c r="M129" i="32" s="1"/>
  <c r="S130" i="31"/>
  <c r="O129" i="33"/>
  <c r="Q129" i="33" s="1"/>
  <c r="BT6" i="39"/>
  <c r="S131" i="31" l="1"/>
  <c r="O130" i="33"/>
  <c r="Q130" i="33" s="1"/>
  <c r="I133" i="31"/>
  <c r="Q132" i="31"/>
  <c r="K130" i="32"/>
  <c r="M130" i="32" s="1"/>
  <c r="E132" i="32"/>
  <c r="I131" i="32"/>
  <c r="F132" i="33"/>
  <c r="L131" i="33"/>
  <c r="BT7" i="39"/>
  <c r="O131" i="33" l="1"/>
  <c r="Q131" i="33" s="1"/>
  <c r="S132" i="31"/>
  <c r="K131" i="32"/>
  <c r="M131" i="32" s="1"/>
  <c r="F133" i="33"/>
  <c r="L132" i="33"/>
  <c r="E133" i="32"/>
  <c r="I132" i="32"/>
  <c r="I134" i="31"/>
  <c r="Q133" i="31"/>
  <c r="BT8" i="39"/>
  <c r="I135" i="31" l="1"/>
  <c r="Q134" i="31"/>
  <c r="K132" i="32"/>
  <c r="M132" i="32" s="1"/>
  <c r="E134" i="32"/>
  <c r="I133" i="32"/>
  <c r="F134" i="33"/>
  <c r="L133" i="33"/>
  <c r="S133" i="31"/>
  <c r="O132" i="33"/>
  <c r="Q132" i="33" s="1"/>
  <c r="BT9" i="39"/>
  <c r="F135" i="33" l="1"/>
  <c r="L134" i="33"/>
  <c r="O133" i="33"/>
  <c r="Q133" i="33" s="1"/>
  <c r="K133" i="32"/>
  <c r="M133" i="32" s="1"/>
  <c r="E135" i="32"/>
  <c r="I134" i="32"/>
  <c r="I136" i="31"/>
  <c r="Q135" i="31"/>
  <c r="BT10" i="39"/>
  <c r="E136" i="32" l="1"/>
  <c r="I135" i="32"/>
  <c r="I137" i="31"/>
  <c r="Q136" i="31"/>
  <c r="K134" i="32"/>
  <c r="M134" i="32" s="1"/>
  <c r="O134" i="33"/>
  <c r="Q134" i="33" s="1"/>
  <c r="F136" i="33"/>
  <c r="L135" i="33"/>
  <c r="BT11" i="39"/>
  <c r="B168" i="6"/>
  <c r="B169" i="6"/>
  <c r="B170" i="6"/>
  <c r="B171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C125" i="6"/>
  <c r="C126" i="6"/>
  <c r="C138" i="6" s="1"/>
  <c r="C150" i="6" s="1"/>
  <c r="C162" i="6" s="1"/>
  <c r="C174" i="6" s="1"/>
  <c r="C186" i="6" s="1"/>
  <c r="C198" i="6" s="1"/>
  <c r="C210" i="6" s="1"/>
  <c r="C127" i="6"/>
  <c r="C139" i="6" s="1"/>
  <c r="C151" i="6" s="1"/>
  <c r="C163" i="6" s="1"/>
  <c r="C175" i="6" s="1"/>
  <c r="C187" i="6" s="1"/>
  <c r="C199" i="6" s="1"/>
  <c r="C211" i="6" s="1"/>
  <c r="C128" i="6"/>
  <c r="C140" i="6" s="1"/>
  <c r="C152" i="6" s="1"/>
  <c r="C164" i="6" s="1"/>
  <c r="C176" i="6" s="1"/>
  <c r="C188" i="6" s="1"/>
  <c r="C200" i="6" s="1"/>
  <c r="C212" i="6" s="1"/>
  <c r="C129" i="6"/>
  <c r="C141" i="6" s="1"/>
  <c r="C153" i="6" s="1"/>
  <c r="C165" i="6" s="1"/>
  <c r="C177" i="6" s="1"/>
  <c r="C189" i="6" s="1"/>
  <c r="C201" i="6" s="1"/>
  <c r="C213" i="6" s="1"/>
  <c r="C130" i="6"/>
  <c r="C142" i="6" s="1"/>
  <c r="C154" i="6" s="1"/>
  <c r="C166" i="6" s="1"/>
  <c r="C178" i="6" s="1"/>
  <c r="C190" i="6" s="1"/>
  <c r="C202" i="6" s="1"/>
  <c r="C214" i="6" s="1"/>
  <c r="C131" i="6"/>
  <c r="C143" i="6" s="1"/>
  <c r="C155" i="6" s="1"/>
  <c r="C167" i="6" s="1"/>
  <c r="C179" i="6" s="1"/>
  <c r="C191" i="6" s="1"/>
  <c r="C203" i="6" s="1"/>
  <c r="C215" i="6" s="1"/>
  <c r="C132" i="6"/>
  <c r="C144" i="6" s="1"/>
  <c r="C156" i="6" s="1"/>
  <c r="C168" i="6" s="1"/>
  <c r="C180" i="6" s="1"/>
  <c r="C192" i="6" s="1"/>
  <c r="C204" i="6" s="1"/>
  <c r="C216" i="6" s="1"/>
  <c r="C133" i="6"/>
  <c r="C145" i="6" s="1"/>
  <c r="C157" i="6" s="1"/>
  <c r="C169" i="6" s="1"/>
  <c r="C181" i="6" s="1"/>
  <c r="C193" i="6" s="1"/>
  <c r="C205" i="6" s="1"/>
  <c r="C217" i="6" s="1"/>
  <c r="C134" i="6"/>
  <c r="C146" i="6" s="1"/>
  <c r="C158" i="6" s="1"/>
  <c r="C170" i="6" s="1"/>
  <c r="C182" i="6" s="1"/>
  <c r="C194" i="6" s="1"/>
  <c r="C206" i="6" s="1"/>
  <c r="C218" i="6" s="1"/>
  <c r="C135" i="6"/>
  <c r="C147" i="6" s="1"/>
  <c r="C159" i="6" s="1"/>
  <c r="C171" i="6" s="1"/>
  <c r="C183" i="6" s="1"/>
  <c r="C195" i="6" s="1"/>
  <c r="C207" i="6" s="1"/>
  <c r="C219" i="6" s="1"/>
  <c r="C124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F137" i="33" l="1"/>
  <c r="L136" i="33"/>
  <c r="I138" i="31"/>
  <c r="Q137" i="31"/>
  <c r="K135" i="32"/>
  <c r="M135" i="32" s="1"/>
  <c r="O135" i="33"/>
  <c r="Q135" i="33" s="1"/>
  <c r="E137" i="32"/>
  <c r="I136" i="32"/>
  <c r="BT12" i="39"/>
  <c r="D227" i="6"/>
  <c r="E227" i="6"/>
  <c r="E228" i="6"/>
  <c r="E229" i="6"/>
  <c r="E230" i="6"/>
  <c r="E231" i="6"/>
  <c r="E232" i="6"/>
  <c r="E233" i="6"/>
  <c r="E234" i="6"/>
  <c r="E235" i="6"/>
  <c r="E236" i="6"/>
  <c r="E237" i="6"/>
  <c r="F227" i="6"/>
  <c r="F228" i="6"/>
  <c r="F229" i="6"/>
  <c r="F230" i="6"/>
  <c r="F231" i="6"/>
  <c r="F232" i="6"/>
  <c r="F233" i="6"/>
  <c r="F234" i="6"/>
  <c r="F235" i="6"/>
  <c r="F236" i="6"/>
  <c r="F237" i="6"/>
  <c r="G227" i="6"/>
  <c r="G228" i="6"/>
  <c r="G229" i="6"/>
  <c r="G230" i="6"/>
  <c r="G231" i="6"/>
  <c r="G232" i="6"/>
  <c r="G233" i="6"/>
  <c r="G234" i="6"/>
  <c r="G235" i="6"/>
  <c r="G236" i="6"/>
  <c r="G237" i="6"/>
  <c r="H227" i="6"/>
  <c r="H228" i="6"/>
  <c r="H229" i="6"/>
  <c r="H230" i="6"/>
  <c r="H231" i="6"/>
  <c r="H232" i="6"/>
  <c r="H233" i="6"/>
  <c r="H234" i="6"/>
  <c r="H235" i="6"/>
  <c r="H236" i="6"/>
  <c r="H237" i="6"/>
  <c r="I227" i="6"/>
  <c r="I228" i="6"/>
  <c r="I229" i="6"/>
  <c r="I230" i="6"/>
  <c r="I231" i="6"/>
  <c r="I232" i="6"/>
  <c r="I233" i="6"/>
  <c r="I234" i="6"/>
  <c r="I235" i="6"/>
  <c r="I236" i="6"/>
  <c r="I237" i="6"/>
  <c r="J227" i="6"/>
  <c r="J228" i="6"/>
  <c r="J229" i="6"/>
  <c r="J230" i="6"/>
  <c r="J231" i="6"/>
  <c r="J232" i="6"/>
  <c r="J233" i="6"/>
  <c r="J234" i="6"/>
  <c r="J235" i="6"/>
  <c r="J236" i="6"/>
  <c r="J237" i="6"/>
  <c r="K227" i="6"/>
  <c r="K228" i="6"/>
  <c r="K229" i="6"/>
  <c r="K230" i="6"/>
  <c r="K231" i="6"/>
  <c r="K232" i="6"/>
  <c r="K233" i="6"/>
  <c r="K234" i="6"/>
  <c r="K235" i="6"/>
  <c r="K236" i="6"/>
  <c r="K237" i="6"/>
  <c r="L227" i="6"/>
  <c r="M227" i="6"/>
  <c r="N227" i="6"/>
  <c r="N228" i="6"/>
  <c r="N229" i="6"/>
  <c r="N230" i="6"/>
  <c r="N231" i="6"/>
  <c r="N232" i="6"/>
  <c r="N233" i="6"/>
  <c r="N234" i="6"/>
  <c r="N235" i="6"/>
  <c r="N236" i="6"/>
  <c r="N237" i="6"/>
  <c r="O227" i="6"/>
  <c r="P227" i="6"/>
  <c r="Q227" i="6"/>
  <c r="R227" i="6"/>
  <c r="R228" i="6"/>
  <c r="R229" i="6"/>
  <c r="R230" i="6"/>
  <c r="R231" i="6"/>
  <c r="R232" i="6"/>
  <c r="R233" i="6"/>
  <c r="R234" i="6"/>
  <c r="R235" i="6"/>
  <c r="R236" i="6"/>
  <c r="R237" i="6"/>
  <c r="Q228" i="6"/>
  <c r="Q236" i="6"/>
  <c r="Q229" i="6"/>
  <c r="Q237" i="6"/>
  <c r="Q230" i="6"/>
  <c r="Q231" i="6"/>
  <c r="Q232" i="6"/>
  <c r="Q233" i="6"/>
  <c r="Q234" i="6"/>
  <c r="Q235" i="6"/>
  <c r="O235" i="6"/>
  <c r="M231" i="6"/>
  <c r="O234" i="6"/>
  <c r="M230" i="6"/>
  <c r="P237" i="6"/>
  <c r="O233" i="6"/>
  <c r="M229" i="6"/>
  <c r="P236" i="6"/>
  <c r="O232" i="6"/>
  <c r="M228" i="6"/>
  <c r="D233" i="6"/>
  <c r="P235" i="6"/>
  <c r="O231" i="6"/>
  <c r="P234" i="6"/>
  <c r="O230" i="6"/>
  <c r="P233" i="6"/>
  <c r="O229" i="6"/>
  <c r="L237" i="6"/>
  <c r="D234" i="6"/>
  <c r="D232" i="6"/>
  <c r="P232" i="6"/>
  <c r="O228" i="6"/>
  <c r="L236" i="6"/>
  <c r="D231" i="6"/>
  <c r="P231" i="6"/>
  <c r="L235" i="6"/>
  <c r="D230" i="6"/>
  <c r="D237" i="6"/>
  <c r="P230" i="6"/>
  <c r="L234" i="6"/>
  <c r="D229" i="6"/>
  <c r="D236" i="6"/>
  <c r="P229" i="6"/>
  <c r="M237" i="6"/>
  <c r="L233" i="6"/>
  <c r="D228" i="6"/>
  <c r="P228" i="6"/>
  <c r="M236" i="6"/>
  <c r="L232" i="6"/>
  <c r="M235" i="6"/>
  <c r="L231" i="6"/>
  <c r="M234" i="6"/>
  <c r="L230" i="6"/>
  <c r="O237" i="6"/>
  <c r="M233" i="6"/>
  <c r="L229" i="6"/>
  <c r="D235" i="6"/>
  <c r="O236" i="6"/>
  <c r="M232" i="6"/>
  <c r="L228" i="6"/>
  <c r="C137" i="6"/>
  <c r="C149" i="6" s="1"/>
  <c r="C161" i="6" s="1"/>
  <c r="C173" i="6" s="1"/>
  <c r="C185" i="6" s="1"/>
  <c r="C197" i="6" s="1"/>
  <c r="C209" i="6" s="1"/>
  <c r="C136" i="6"/>
  <c r="C148" i="6" s="1"/>
  <c r="C160" i="6" s="1"/>
  <c r="C172" i="6" s="1"/>
  <c r="C184" i="6" s="1"/>
  <c r="C196" i="6" s="1"/>
  <c r="C208" i="6" s="1"/>
  <c r="K136" i="32" l="1"/>
  <c r="M136" i="32" s="1"/>
  <c r="O136" i="33"/>
  <c r="Q136" i="33" s="1"/>
  <c r="I139" i="31"/>
  <c r="Q138" i="31"/>
  <c r="F138" i="33"/>
  <c r="L137" i="33"/>
  <c r="E138" i="32"/>
  <c r="I137" i="32"/>
  <c r="O248" i="6"/>
  <c r="P246" i="6"/>
  <c r="M239" i="6"/>
  <c r="R242" i="6"/>
  <c r="I248" i="6"/>
  <c r="E244" i="6"/>
  <c r="I246" i="6"/>
  <c r="F247" i="6"/>
  <c r="E242" i="6"/>
  <c r="J248" i="6"/>
  <c r="H241" i="6"/>
  <c r="I244" i="6"/>
  <c r="L246" i="6"/>
  <c r="G244" i="6"/>
  <c r="H242" i="6"/>
  <c r="F248" i="6"/>
  <c r="E243" i="6"/>
  <c r="I245" i="6"/>
  <c r="H240" i="6"/>
  <c r="F246" i="6"/>
  <c r="F244" i="6"/>
  <c r="E239" i="6"/>
  <c r="L241" i="6"/>
  <c r="R243" i="6"/>
  <c r="K240" i="6"/>
  <c r="M243" i="6"/>
  <c r="Q246" i="6"/>
  <c r="N240" i="6"/>
  <c r="E241" i="6"/>
  <c r="J244" i="6"/>
  <c r="N247" i="6"/>
  <c r="K244" i="6"/>
  <c r="J239" i="6"/>
  <c r="R246" i="6"/>
  <c r="N244" i="6"/>
  <c r="K241" i="6"/>
  <c r="K247" i="6"/>
  <c r="J242" i="6"/>
  <c r="N241" i="6"/>
  <c r="F239" i="6"/>
  <c r="H245" i="6"/>
  <c r="G240" i="6"/>
  <c r="H239" i="6"/>
  <c r="F245" i="6"/>
  <c r="E240" i="6"/>
  <c r="Q247" i="6"/>
  <c r="R247" i="6"/>
  <c r="N245" i="6"/>
  <c r="K242" i="6"/>
  <c r="R245" i="6"/>
  <c r="N243" i="6"/>
  <c r="L239" i="6"/>
  <c r="R244" i="6"/>
  <c r="N242" i="6"/>
  <c r="K239" i="6"/>
  <c r="O247" i="6"/>
  <c r="O242" i="6"/>
  <c r="I239" i="6"/>
  <c r="G245" i="6"/>
  <c r="F240" i="6"/>
  <c r="H248" i="6"/>
  <c r="G243" i="6"/>
  <c r="H246" i="6"/>
  <c r="G241" i="6"/>
  <c r="E247" i="6"/>
  <c r="H243" i="6"/>
  <c r="H244" i="6"/>
  <c r="G239" i="6"/>
  <c r="E245" i="6"/>
  <c r="I247" i="6"/>
  <c r="O239" i="6"/>
  <c r="Q241" i="6"/>
  <c r="K248" i="6"/>
  <c r="P239" i="6"/>
  <c r="M246" i="6"/>
  <c r="P247" i="6"/>
  <c r="N248" i="6"/>
  <c r="K245" i="6"/>
  <c r="J240" i="6"/>
  <c r="L247" i="6"/>
  <c r="M240" i="6"/>
  <c r="O244" i="6"/>
  <c r="R248" i="6"/>
  <c r="N246" i="6"/>
  <c r="P243" i="6"/>
  <c r="L243" i="6"/>
  <c r="M244" i="6"/>
  <c r="BT13" i="39"/>
  <c r="BT14" i="39" s="1"/>
  <c r="BT15" i="39" s="1"/>
  <c r="P241" i="6"/>
  <c r="J243" i="6"/>
  <c r="E246" i="6"/>
  <c r="I243" i="6"/>
  <c r="P245" i="6"/>
  <c r="Q243" i="6"/>
  <c r="R239" i="6"/>
  <c r="J245" i="6"/>
  <c r="I240" i="6"/>
  <c r="G246" i="6"/>
  <c r="F241" i="6"/>
  <c r="D248" i="6"/>
  <c r="Q242" i="6"/>
  <c r="D241" i="6"/>
  <c r="D244" i="6"/>
  <c r="M245" i="6"/>
  <c r="Q248" i="6"/>
  <c r="L242" i="6"/>
  <c r="P242" i="6"/>
  <c r="O243" i="6"/>
  <c r="Q240" i="6"/>
  <c r="K246" i="6"/>
  <c r="J241" i="6"/>
  <c r="H247" i="6"/>
  <c r="G242" i="6"/>
  <c r="E248" i="6"/>
  <c r="D242" i="6"/>
  <c r="Q239" i="6"/>
  <c r="M247" i="6"/>
  <c r="K243" i="6"/>
  <c r="P248" i="6"/>
  <c r="D239" i="6"/>
  <c r="D243" i="6"/>
  <c r="M241" i="6"/>
  <c r="L244" i="6"/>
  <c r="D245" i="6"/>
  <c r="O245" i="6"/>
  <c r="L248" i="6"/>
  <c r="M242" i="6"/>
  <c r="O240" i="6"/>
  <c r="O246" i="6"/>
  <c r="D247" i="6"/>
  <c r="P244" i="6"/>
  <c r="M248" i="6"/>
  <c r="P240" i="6"/>
  <c r="D246" i="6"/>
  <c r="D240" i="6"/>
  <c r="O241" i="6"/>
  <c r="Q245" i="6"/>
  <c r="R241" i="6"/>
  <c r="N239" i="6"/>
  <c r="J247" i="6"/>
  <c r="I242" i="6"/>
  <c r="G248" i="6"/>
  <c r="F243" i="6"/>
  <c r="L240" i="6"/>
  <c r="L245" i="6"/>
  <c r="Q244" i="6"/>
  <c r="R240" i="6"/>
  <c r="J246" i="6"/>
  <c r="I241" i="6"/>
  <c r="G247" i="6"/>
  <c r="F242" i="6"/>
  <c r="E139" i="32" l="1"/>
  <c r="I138" i="32"/>
  <c r="F139" i="33"/>
  <c r="L138" i="33"/>
  <c r="I140" i="31"/>
  <c r="Q139" i="31"/>
  <c r="K137" i="32"/>
  <c r="M137" i="32" s="1"/>
  <c r="O137" i="33"/>
  <c r="Q137" i="33" s="1"/>
  <c r="BT16" i="39"/>
  <c r="BT17" i="39" s="1"/>
  <c r="BT18" i="39" s="1"/>
  <c r="BT19" i="39" s="1"/>
  <c r="BT20" i="39" s="1"/>
  <c r="BT21" i="39" s="1"/>
  <c r="BT22" i="39" s="1"/>
  <c r="O138" i="33" l="1"/>
  <c r="Q138" i="33" s="1"/>
  <c r="I141" i="31"/>
  <c r="Q140" i="31"/>
  <c r="F140" i="33"/>
  <c r="L139" i="33"/>
  <c r="K138" i="32"/>
  <c r="M138" i="32" s="1"/>
  <c r="E140" i="32"/>
  <c r="I139" i="32"/>
  <c r="B153" i="5"/>
  <c r="B162" i="5" s="1"/>
  <c r="B170" i="5" s="1"/>
  <c r="B142" i="5"/>
  <c r="B152" i="5" s="1"/>
  <c r="B161" i="5" s="1"/>
  <c r="B117" i="5"/>
  <c r="B116" i="5"/>
  <c r="A116" i="5"/>
  <c r="V41" i="5"/>
  <c r="V5" i="5"/>
  <c r="E141" i="32" l="1"/>
  <c r="I140" i="32"/>
  <c r="O139" i="33"/>
  <c r="Q139" i="33" s="1"/>
  <c r="F141" i="33"/>
  <c r="L140" i="33"/>
  <c r="K139" i="32"/>
  <c r="M139" i="32" s="1"/>
  <c r="I142" i="31"/>
  <c r="Q141" i="31"/>
  <c r="A140" i="5"/>
  <c r="A151" i="5" s="1"/>
  <c r="A161" i="5" s="1"/>
  <c r="A128" i="5"/>
  <c r="B128" i="5"/>
  <c r="B140" i="5"/>
  <c r="B129" i="5"/>
  <c r="V6" i="5"/>
  <c r="V42" i="5"/>
  <c r="B141" i="5"/>
  <c r="B151" i="5" s="1"/>
  <c r="I143" i="31" l="1"/>
  <c r="Q142" i="31"/>
  <c r="K140" i="32"/>
  <c r="M140" i="32" s="1"/>
  <c r="E142" i="32"/>
  <c r="I141" i="32"/>
  <c r="O140" i="33"/>
  <c r="Q140" i="33" s="1"/>
  <c r="F142" i="33"/>
  <c r="L141" i="33"/>
  <c r="AD27" i="5"/>
  <c r="AC29" i="5"/>
  <c r="AJ28" i="5"/>
  <c r="AJ24" i="5"/>
  <c r="AE28" i="5"/>
  <c r="AD24" i="5"/>
  <c r="AC25" i="5"/>
  <c r="AC28" i="5"/>
  <c r="AJ31" i="5"/>
  <c r="AE24" i="5"/>
  <c r="AJ27" i="5"/>
  <c r="AD28" i="5"/>
  <c r="AD31" i="5"/>
  <c r="AJ25" i="5"/>
  <c r="AC24" i="5"/>
  <c r="AC31" i="5"/>
  <c r="AC27" i="5"/>
  <c r="AJ30" i="5"/>
  <c r="AJ26" i="5"/>
  <c r="AE30" i="5"/>
  <c r="AE26" i="5"/>
  <c r="AD30" i="5"/>
  <c r="AD26" i="5"/>
  <c r="AC30" i="5"/>
  <c r="AC26" i="5"/>
  <c r="AE25" i="5"/>
  <c r="AD29" i="5"/>
  <c r="AE27" i="5"/>
  <c r="AJ29" i="5"/>
  <c r="AE29" i="5"/>
  <c r="AD25" i="5"/>
  <c r="V43" i="5"/>
  <c r="AG41" i="5"/>
  <c r="V7" i="5"/>
  <c r="Z41" i="5"/>
  <c r="AJ41" i="5"/>
  <c r="AD41" i="5"/>
  <c r="AC41" i="5"/>
  <c r="AF41" i="5"/>
  <c r="F143" i="33" l="1"/>
  <c r="L142" i="33"/>
  <c r="O141" i="33"/>
  <c r="Q141" i="33" s="1"/>
  <c r="K141" i="32"/>
  <c r="M141" i="32" s="1"/>
  <c r="E143" i="32"/>
  <c r="I142" i="32"/>
  <c r="I144" i="31"/>
  <c r="Q143" i="31"/>
  <c r="AE43" i="5"/>
  <c r="AJ44" i="5"/>
  <c r="AE44" i="5"/>
  <c r="AB43" i="5"/>
  <c r="AA43" i="5"/>
  <c r="V44" i="5"/>
  <c r="Y43" i="5"/>
  <c r="V8" i="5"/>
  <c r="AG42" i="5"/>
  <c r="AE42" i="5"/>
  <c r="AE41" i="5"/>
  <c r="AA42" i="5"/>
  <c r="AA41" i="5"/>
  <c r="AB42" i="5"/>
  <c r="AB41" i="5"/>
  <c r="Y42" i="5"/>
  <c r="Y41" i="5"/>
  <c r="AJ42" i="5"/>
  <c r="AB44" i="5"/>
  <c r="AF43" i="5"/>
  <c r="AG44" i="5"/>
  <c r="AD43" i="5"/>
  <c r="AC42" i="5"/>
  <c r="Z43" i="5"/>
  <c r="AG43" i="5"/>
  <c r="AF42" i="5"/>
  <c r="AD44" i="5"/>
  <c r="AC43" i="5"/>
  <c r="AC44" i="5"/>
  <c r="AJ43" i="5"/>
  <c r="AF44" i="5"/>
  <c r="Y44" i="5"/>
  <c r="Z42" i="5"/>
  <c r="AA44" i="5"/>
  <c r="AD42" i="5"/>
  <c r="Z44" i="5"/>
  <c r="I145" i="31" l="1"/>
  <c r="Q144" i="31"/>
  <c r="K142" i="32"/>
  <c r="M142" i="32" s="1"/>
  <c r="O142" i="33"/>
  <c r="Q142" i="33" s="1"/>
  <c r="E144" i="32"/>
  <c r="I143" i="32"/>
  <c r="F144" i="33"/>
  <c r="L143" i="33"/>
  <c r="V9" i="5"/>
  <c r="V45" i="5"/>
  <c r="AF45" i="5"/>
  <c r="AD45" i="5"/>
  <c r="AC45" i="5"/>
  <c r="AB45" i="5"/>
  <c r="AA45" i="5"/>
  <c r="AE45" i="5"/>
  <c r="Z45" i="5"/>
  <c r="Y45" i="5"/>
  <c r="AJ45" i="5"/>
  <c r="AG45" i="5"/>
  <c r="AG46" i="5"/>
  <c r="V10" i="5"/>
  <c r="V46" i="5"/>
  <c r="F145" i="33" l="1"/>
  <c r="L144" i="33"/>
  <c r="O143" i="33"/>
  <c r="Q143" i="33" s="1"/>
  <c r="K143" i="32"/>
  <c r="M143" i="32" s="1"/>
  <c r="E145" i="32"/>
  <c r="I144" i="32"/>
  <c r="I146" i="31"/>
  <c r="Q145" i="31"/>
  <c r="AE46" i="5"/>
  <c r="AF46" i="5"/>
  <c r="AA46" i="5"/>
  <c r="AD46" i="5"/>
  <c r="AC46" i="5"/>
  <c r="Z46" i="5"/>
  <c r="AB46" i="5"/>
  <c r="Y46" i="5"/>
  <c r="AJ46" i="5"/>
  <c r="Y47" i="5"/>
  <c r="Z47" i="5"/>
  <c r="AA47" i="5"/>
  <c r="AC47" i="5"/>
  <c r="AD47" i="5"/>
  <c r="V47" i="5"/>
  <c r="AE47" i="5"/>
  <c r="AF47" i="5"/>
  <c r="AG47" i="5"/>
  <c r="AJ47" i="5"/>
  <c r="AB47" i="5"/>
  <c r="V11" i="5"/>
  <c r="I158" i="31" l="1"/>
  <c r="I147" i="31"/>
  <c r="Q146" i="31"/>
  <c r="K144" i="32"/>
  <c r="M144" i="32" s="1"/>
  <c r="F146" i="33"/>
  <c r="L145" i="33"/>
  <c r="E146" i="32"/>
  <c r="I145" i="32"/>
  <c r="O144" i="33"/>
  <c r="Q144" i="33" s="1"/>
  <c r="AC48" i="5"/>
  <c r="V48" i="5"/>
  <c r="AD48" i="5"/>
  <c r="AE48" i="5"/>
  <c r="AJ48" i="5"/>
  <c r="V12" i="5"/>
  <c r="O145" i="33" l="1"/>
  <c r="Q145" i="33" s="1"/>
  <c r="E158" i="32"/>
  <c r="E147" i="32"/>
  <c r="I146" i="32"/>
  <c r="I170" i="31"/>
  <c r="Q158" i="31"/>
  <c r="K145" i="32"/>
  <c r="M145" i="32" s="1"/>
  <c r="F158" i="33"/>
  <c r="F147" i="33"/>
  <c r="L146" i="33"/>
  <c r="I159" i="31"/>
  <c r="I148" i="31"/>
  <c r="Q147" i="31"/>
  <c r="AJ49" i="5"/>
  <c r="V49" i="5"/>
  <c r="AD49" i="5"/>
  <c r="AE49" i="5"/>
  <c r="AC49" i="5"/>
  <c r="V13" i="5"/>
  <c r="I160" i="31" l="1"/>
  <c r="I149" i="31"/>
  <c r="Q148" i="31"/>
  <c r="F170" i="33"/>
  <c r="L158" i="33"/>
  <c r="K146" i="32"/>
  <c r="M146" i="32" s="1"/>
  <c r="I171" i="31"/>
  <c r="Q159" i="31"/>
  <c r="E159" i="32"/>
  <c r="E148" i="32"/>
  <c r="I147" i="32"/>
  <c r="O146" i="33"/>
  <c r="Q146" i="33" s="1"/>
  <c r="F159" i="33"/>
  <c r="F148" i="33"/>
  <c r="L147" i="33"/>
  <c r="I182" i="31"/>
  <c r="Q170" i="31"/>
  <c r="E170" i="32"/>
  <c r="I158" i="32"/>
  <c r="S147" i="31"/>
  <c r="AC50" i="5"/>
  <c r="AD50" i="5"/>
  <c r="AE50" i="5"/>
  <c r="V50" i="5"/>
  <c r="AJ50" i="5"/>
  <c r="V14" i="5"/>
  <c r="F171" i="33" l="1"/>
  <c r="L159" i="33"/>
  <c r="E171" i="32"/>
  <c r="I159" i="32"/>
  <c r="I183" i="31"/>
  <c r="Q171" i="31"/>
  <c r="E160" i="32"/>
  <c r="E149" i="32"/>
  <c r="I148" i="32"/>
  <c r="S159" i="31"/>
  <c r="K158" i="32"/>
  <c r="M158" i="32" s="1"/>
  <c r="O147" i="33"/>
  <c r="Q147" i="33" s="1"/>
  <c r="I161" i="31"/>
  <c r="I150" i="31"/>
  <c r="Q149" i="31"/>
  <c r="K147" i="32"/>
  <c r="M147" i="32" s="1"/>
  <c r="E182" i="32"/>
  <c r="I170" i="32"/>
  <c r="O158" i="33"/>
  <c r="Q158" i="33" s="1"/>
  <c r="F182" i="33"/>
  <c r="L170" i="33"/>
  <c r="I194" i="31"/>
  <c r="Q194" i="31" s="1"/>
  <c r="Q182" i="31"/>
  <c r="F160" i="33"/>
  <c r="F149" i="33"/>
  <c r="L148" i="33"/>
  <c r="I172" i="31"/>
  <c r="Q160" i="31"/>
  <c r="AC51" i="5"/>
  <c r="AD51" i="5"/>
  <c r="V51" i="5"/>
  <c r="AJ51" i="5"/>
  <c r="V15" i="5"/>
  <c r="AE51" i="5"/>
  <c r="O170" i="33" l="1"/>
  <c r="Q170" i="33" s="1"/>
  <c r="F194" i="33"/>
  <c r="L194" i="33" s="1"/>
  <c r="L182" i="33"/>
  <c r="K148" i="32"/>
  <c r="M148" i="32" s="1"/>
  <c r="S160" i="31"/>
  <c r="O148" i="33"/>
  <c r="Q148" i="33" s="1"/>
  <c r="E183" i="32"/>
  <c r="I171" i="32"/>
  <c r="K170" i="32"/>
  <c r="M170" i="32" s="1"/>
  <c r="E172" i="32"/>
  <c r="I160" i="32"/>
  <c r="I184" i="31"/>
  <c r="Q172" i="31"/>
  <c r="O159" i="33"/>
  <c r="Q159" i="33" s="1"/>
  <c r="E194" i="32"/>
  <c r="I194" i="32" s="1"/>
  <c r="I182" i="32"/>
  <c r="E150" i="32"/>
  <c r="E161" i="32"/>
  <c r="I149" i="32"/>
  <c r="I195" i="31"/>
  <c r="Q195" i="31" s="1"/>
  <c r="Q183" i="31"/>
  <c r="I162" i="31"/>
  <c r="I151" i="31"/>
  <c r="Q150" i="31"/>
  <c r="K159" i="32"/>
  <c r="M159" i="32" s="1"/>
  <c r="I173" i="31"/>
  <c r="Q161" i="31"/>
  <c r="F150" i="33"/>
  <c r="F161" i="33"/>
  <c r="L149" i="33"/>
  <c r="F172" i="33"/>
  <c r="L160" i="33"/>
  <c r="F183" i="33"/>
  <c r="L171" i="33"/>
  <c r="AC52" i="5"/>
  <c r="AE52" i="5"/>
  <c r="AD52" i="5"/>
  <c r="AJ52" i="5"/>
  <c r="V16" i="5"/>
  <c r="V52" i="5"/>
  <c r="S195" i="31" l="1"/>
  <c r="O171" i="33"/>
  <c r="Q171" i="33" s="1"/>
  <c r="E162" i="32"/>
  <c r="E151" i="32"/>
  <c r="I150" i="32"/>
  <c r="O149" i="33"/>
  <c r="Q149" i="33" s="1"/>
  <c r="S183" i="31"/>
  <c r="F195" i="33"/>
  <c r="L195" i="33" s="1"/>
  <c r="L183" i="33"/>
  <c r="F151" i="33"/>
  <c r="F162" i="33"/>
  <c r="L150" i="33"/>
  <c r="K149" i="32"/>
  <c r="M149" i="32" s="1"/>
  <c r="K194" i="32"/>
  <c r="M194" i="32" s="1"/>
  <c r="O182" i="33"/>
  <c r="Q182" i="33" s="1"/>
  <c r="K171" i="32"/>
  <c r="M171" i="32" s="1"/>
  <c r="F184" i="33"/>
  <c r="L172" i="33"/>
  <c r="O194" i="33"/>
  <c r="Q194" i="33" s="1"/>
  <c r="E173" i="32"/>
  <c r="I161" i="32"/>
  <c r="I185" i="31"/>
  <c r="Q173" i="31"/>
  <c r="K160" i="32"/>
  <c r="M160" i="32" s="1"/>
  <c r="E195" i="32"/>
  <c r="I195" i="32" s="1"/>
  <c r="I183" i="32"/>
  <c r="S161" i="31"/>
  <c r="I196" i="31"/>
  <c r="Q196" i="31" s="1"/>
  <c r="Q184" i="31"/>
  <c r="I163" i="31"/>
  <c r="I152" i="31"/>
  <c r="Q151" i="31"/>
  <c r="E184" i="32"/>
  <c r="I172" i="32"/>
  <c r="O160" i="33"/>
  <c r="Q160" i="33" s="1"/>
  <c r="K182" i="32"/>
  <c r="M182" i="32" s="1"/>
  <c r="F173" i="33"/>
  <c r="L161" i="33"/>
  <c r="I174" i="31"/>
  <c r="Q162" i="31"/>
  <c r="V17" i="5"/>
  <c r="V18" i="5" s="1"/>
  <c r="AJ53" i="5"/>
  <c r="V53" i="5"/>
  <c r="AC53" i="5"/>
  <c r="AD53" i="5"/>
  <c r="AE53" i="5"/>
  <c r="K161" i="32" l="1"/>
  <c r="M161" i="32" s="1"/>
  <c r="O183" i="33"/>
  <c r="Q183" i="33" s="1"/>
  <c r="O172" i="33"/>
  <c r="Q172" i="33" s="1"/>
  <c r="K172" i="32"/>
  <c r="M172" i="32" s="1"/>
  <c r="I197" i="31"/>
  <c r="Q197" i="31" s="1"/>
  <c r="Q185" i="31"/>
  <c r="I164" i="31"/>
  <c r="I153" i="31"/>
  <c r="Q152" i="31"/>
  <c r="I186" i="31"/>
  <c r="Q174" i="31"/>
  <c r="O150" i="33"/>
  <c r="Q150" i="33" s="1"/>
  <c r="F152" i="33"/>
  <c r="F163" i="33"/>
  <c r="L151" i="33"/>
  <c r="I175" i="31"/>
  <c r="Q163" i="31"/>
  <c r="F185" i="33"/>
  <c r="L173" i="33"/>
  <c r="F174" i="33"/>
  <c r="L162" i="33"/>
  <c r="E185" i="32"/>
  <c r="I173" i="32"/>
  <c r="O195" i="33"/>
  <c r="Q195" i="33" s="1"/>
  <c r="S196" i="31"/>
  <c r="S162" i="31"/>
  <c r="O161" i="33"/>
  <c r="Q161" i="33" s="1"/>
  <c r="K183" i="32"/>
  <c r="M183" i="32" s="1"/>
  <c r="E152" i="32"/>
  <c r="E163" i="32"/>
  <c r="I151" i="32"/>
  <c r="E196" i="32"/>
  <c r="I196" i="32" s="1"/>
  <c r="I184" i="32"/>
  <c r="F196" i="33"/>
  <c r="L196" i="33" s="1"/>
  <c r="L184" i="33"/>
  <c r="K150" i="32"/>
  <c r="M150" i="32" s="1"/>
  <c r="K195" i="32"/>
  <c r="M195" i="32" s="1"/>
  <c r="E174" i="32"/>
  <c r="I162" i="32"/>
  <c r="V19" i="5"/>
  <c r="V55" i="5"/>
  <c r="V54" i="5"/>
  <c r="AC54" i="5"/>
  <c r="AD54" i="5"/>
  <c r="AE54" i="5"/>
  <c r="AJ54" i="5"/>
  <c r="F186" i="33" l="1"/>
  <c r="L174" i="33"/>
  <c r="K173" i="32"/>
  <c r="M173" i="32" s="1"/>
  <c r="E197" i="32"/>
  <c r="I197" i="32" s="1"/>
  <c r="I185" i="32"/>
  <c r="S197" i="31"/>
  <c r="K196" i="32"/>
  <c r="M196" i="32" s="1"/>
  <c r="O162" i="33"/>
  <c r="Q162" i="33" s="1"/>
  <c r="K151" i="32"/>
  <c r="M151" i="32" s="1"/>
  <c r="O173" i="33"/>
  <c r="Q173" i="33" s="1"/>
  <c r="K184" i="32"/>
  <c r="M184" i="32" s="1"/>
  <c r="E153" i="32"/>
  <c r="E164" i="32"/>
  <c r="I152" i="32"/>
  <c r="F175" i="33"/>
  <c r="L163" i="33"/>
  <c r="F153" i="33"/>
  <c r="F164" i="33"/>
  <c r="L152" i="33"/>
  <c r="I165" i="31"/>
  <c r="I154" i="31"/>
  <c r="Q153" i="31"/>
  <c r="E175" i="32"/>
  <c r="I163" i="32"/>
  <c r="E186" i="32"/>
  <c r="I174" i="32"/>
  <c r="I187" i="31"/>
  <c r="Q175" i="31"/>
  <c r="O151" i="33"/>
  <c r="Q151" i="33" s="1"/>
  <c r="O196" i="33"/>
  <c r="Q196" i="33" s="1"/>
  <c r="I198" i="31"/>
  <c r="Q198" i="31" s="1"/>
  <c r="Q186" i="31"/>
  <c r="I176" i="31"/>
  <c r="Q164" i="31"/>
  <c r="F197" i="33"/>
  <c r="L197" i="33" s="1"/>
  <c r="L185" i="33"/>
  <c r="K162" i="32"/>
  <c r="M162" i="32" s="1"/>
  <c r="S163" i="31"/>
  <c r="O184" i="33"/>
  <c r="Q184" i="33" s="1"/>
  <c r="AC55" i="5"/>
  <c r="AJ55" i="5"/>
  <c r="AD55" i="5"/>
  <c r="AE55" i="5"/>
  <c r="AE56" i="5"/>
  <c r="V56" i="5"/>
  <c r="AD56" i="5"/>
  <c r="V20" i="5"/>
  <c r="AJ56" i="5"/>
  <c r="AC56" i="5"/>
  <c r="O185" i="33" l="1"/>
  <c r="Q185" i="33" s="1"/>
  <c r="E187" i="32"/>
  <c r="I175" i="32"/>
  <c r="I166" i="31"/>
  <c r="I155" i="31"/>
  <c r="Q154" i="31"/>
  <c r="I177" i="31"/>
  <c r="Q165" i="31"/>
  <c r="I188" i="31"/>
  <c r="Q176" i="31"/>
  <c r="S198" i="31"/>
  <c r="O152" i="33"/>
  <c r="Q152" i="33" s="1"/>
  <c r="S164" i="31"/>
  <c r="F176" i="33"/>
  <c r="L164" i="33"/>
  <c r="F154" i="33"/>
  <c r="F165" i="33"/>
  <c r="L153" i="33"/>
  <c r="K185" i="32"/>
  <c r="M185" i="32" s="1"/>
  <c r="K174" i="32"/>
  <c r="M174" i="32" s="1"/>
  <c r="O197" i="33"/>
  <c r="Q197" i="33" s="1"/>
  <c r="K152" i="32"/>
  <c r="M152" i="32" s="1"/>
  <c r="K197" i="32"/>
  <c r="M197" i="32" s="1"/>
  <c r="I199" i="31"/>
  <c r="Q199" i="31" s="1"/>
  <c r="Q187" i="31"/>
  <c r="E198" i="32"/>
  <c r="I198" i="32" s="1"/>
  <c r="I186" i="32"/>
  <c r="O174" i="33"/>
  <c r="Q174" i="33" s="1"/>
  <c r="O163" i="33"/>
  <c r="Q163" i="33" s="1"/>
  <c r="F187" i="33"/>
  <c r="L175" i="33"/>
  <c r="E176" i="32"/>
  <c r="I164" i="32"/>
  <c r="E154" i="32"/>
  <c r="E165" i="32"/>
  <c r="I153" i="32"/>
  <c r="K163" i="32"/>
  <c r="M163" i="32" s="1"/>
  <c r="F198" i="33"/>
  <c r="L198" i="33" s="1"/>
  <c r="L186" i="33"/>
  <c r="V21" i="5"/>
  <c r="AD57" i="5"/>
  <c r="AJ57" i="5"/>
  <c r="AE57" i="5"/>
  <c r="V57" i="5"/>
  <c r="AC57" i="5"/>
  <c r="I200" i="31" l="1"/>
  <c r="Q200" i="31" s="1"/>
  <c r="Q188" i="31"/>
  <c r="K186" i="32"/>
  <c r="M186" i="32" s="1"/>
  <c r="K198" i="32"/>
  <c r="M198" i="32" s="1"/>
  <c r="F199" i="33"/>
  <c r="L199" i="33" s="1"/>
  <c r="L187" i="33"/>
  <c r="O186" i="33"/>
  <c r="Q186" i="33" s="1"/>
  <c r="I189" i="31"/>
  <c r="Q177" i="31"/>
  <c r="S199" i="31"/>
  <c r="F177" i="33"/>
  <c r="L165" i="33"/>
  <c r="I178" i="31"/>
  <c r="Q166" i="31"/>
  <c r="E166" i="32"/>
  <c r="E155" i="32"/>
  <c r="I154" i="32"/>
  <c r="K164" i="32"/>
  <c r="M164" i="32" s="1"/>
  <c r="E199" i="32"/>
  <c r="I199" i="32" s="1"/>
  <c r="I187" i="32"/>
  <c r="K153" i="32"/>
  <c r="M153" i="32" s="1"/>
  <c r="E177" i="32"/>
  <c r="I165" i="32"/>
  <c r="F155" i="33"/>
  <c r="F166" i="33"/>
  <c r="L154" i="33"/>
  <c r="O164" i="33"/>
  <c r="Q164" i="33" s="1"/>
  <c r="E188" i="32"/>
  <c r="I176" i="32"/>
  <c r="O198" i="33"/>
  <c r="Q198" i="33" s="1"/>
  <c r="S165" i="31"/>
  <c r="O153" i="33"/>
  <c r="Q153" i="33" s="1"/>
  <c r="I167" i="31"/>
  <c r="I156" i="31"/>
  <c r="Q155" i="31"/>
  <c r="K175" i="32"/>
  <c r="M175" i="32" s="1"/>
  <c r="F188" i="33"/>
  <c r="L176" i="33"/>
  <c r="O175" i="33"/>
  <c r="Q175" i="33" s="1"/>
  <c r="AC58" i="5"/>
  <c r="AD58" i="5"/>
  <c r="V58" i="5"/>
  <c r="AE58" i="5"/>
  <c r="AJ58" i="5"/>
  <c r="I179" i="31" l="1"/>
  <c r="Q167" i="31"/>
  <c r="E189" i="32"/>
  <c r="I177" i="32"/>
  <c r="I201" i="31"/>
  <c r="Q201" i="31" s="1"/>
  <c r="Q189" i="31"/>
  <c r="O199" i="33"/>
  <c r="Q199" i="33" s="1"/>
  <c r="E178" i="32"/>
  <c r="I166" i="32"/>
  <c r="K187" i="32"/>
  <c r="M187" i="32" s="1"/>
  <c r="F178" i="33"/>
  <c r="L166" i="33"/>
  <c r="K199" i="32"/>
  <c r="M199" i="32" s="1"/>
  <c r="K176" i="32"/>
  <c r="M176" i="32" s="1"/>
  <c r="O187" i="33"/>
  <c r="Q187" i="33" s="1"/>
  <c r="O176" i="33"/>
  <c r="Q176" i="33" s="1"/>
  <c r="E200" i="32"/>
  <c r="I200" i="32" s="1"/>
  <c r="I188" i="32"/>
  <c r="K154" i="32"/>
  <c r="M154" i="32" s="1"/>
  <c r="F200" i="33"/>
  <c r="L200" i="33" s="1"/>
  <c r="L188" i="33"/>
  <c r="E156" i="32"/>
  <c r="E167" i="32"/>
  <c r="I155" i="32"/>
  <c r="O154" i="33"/>
  <c r="Q154" i="33" s="1"/>
  <c r="F156" i="33"/>
  <c r="F167" i="33"/>
  <c r="L155" i="33"/>
  <c r="O165" i="33"/>
  <c r="Q165" i="33" s="1"/>
  <c r="S166" i="31"/>
  <c r="I190" i="31"/>
  <c r="Q178" i="31"/>
  <c r="I168" i="31"/>
  <c r="I157" i="31"/>
  <c r="Q156" i="31"/>
  <c r="K165" i="32"/>
  <c r="M165" i="32" s="1"/>
  <c r="F189" i="33"/>
  <c r="L177" i="33"/>
  <c r="S200" i="31"/>
  <c r="CF99" i="2"/>
  <c r="CF100" i="2"/>
  <c r="CF101" i="2"/>
  <c r="CF102" i="2"/>
  <c r="CF103" i="2"/>
  <c r="CF104" i="2"/>
  <c r="CF105" i="2"/>
  <c r="CF106" i="2"/>
  <c r="CF107" i="2"/>
  <c r="CF108" i="2"/>
  <c r="CF109" i="2"/>
  <c r="CF98" i="2"/>
  <c r="CF87" i="2"/>
  <c r="CF88" i="2"/>
  <c r="CF89" i="2"/>
  <c r="CF90" i="2"/>
  <c r="CF91" i="2"/>
  <c r="CF92" i="2"/>
  <c r="CF93" i="2"/>
  <c r="CF94" i="2"/>
  <c r="CF95" i="2"/>
  <c r="CF96" i="2"/>
  <c r="CF97" i="2"/>
  <c r="CF86" i="2"/>
  <c r="CF75" i="2"/>
  <c r="CF76" i="2"/>
  <c r="CF77" i="2"/>
  <c r="CF78" i="2"/>
  <c r="CF79" i="2"/>
  <c r="CF80" i="2"/>
  <c r="CF81" i="2"/>
  <c r="CF82" i="2"/>
  <c r="CF83" i="2"/>
  <c r="CF84" i="2"/>
  <c r="CF85" i="2"/>
  <c r="CF74" i="2"/>
  <c r="CF63" i="2"/>
  <c r="CF64" i="2"/>
  <c r="CF65" i="2"/>
  <c r="CF66" i="2"/>
  <c r="CF67" i="2"/>
  <c r="CF68" i="2"/>
  <c r="CF69" i="2"/>
  <c r="CF70" i="2"/>
  <c r="CF71" i="2"/>
  <c r="CF72" i="2"/>
  <c r="CF73" i="2"/>
  <c r="CF62" i="2"/>
  <c r="CF51" i="2"/>
  <c r="CF52" i="2"/>
  <c r="CF53" i="2"/>
  <c r="CF54" i="2"/>
  <c r="CF55" i="2"/>
  <c r="CF56" i="2"/>
  <c r="CF57" i="2"/>
  <c r="CF58" i="2"/>
  <c r="CF59" i="2"/>
  <c r="CF60" i="2"/>
  <c r="CF61" i="2"/>
  <c r="CF50" i="2"/>
  <c r="CF27" i="2"/>
  <c r="CF28" i="2"/>
  <c r="CF29" i="2"/>
  <c r="CF30" i="2"/>
  <c r="CF31" i="2"/>
  <c r="CF32" i="2"/>
  <c r="CF33" i="2"/>
  <c r="CF34" i="2"/>
  <c r="CF35" i="2"/>
  <c r="CF36" i="2"/>
  <c r="CF37" i="2"/>
  <c r="CF26" i="2"/>
  <c r="CF39" i="2"/>
  <c r="CF40" i="2"/>
  <c r="CF41" i="2"/>
  <c r="CF42" i="2"/>
  <c r="CF43" i="2"/>
  <c r="CF44" i="2"/>
  <c r="CF45" i="2"/>
  <c r="CF46" i="2"/>
  <c r="CF47" i="2"/>
  <c r="CF48" i="2"/>
  <c r="CF49" i="2"/>
  <c r="CF38" i="2"/>
  <c r="CF15" i="2"/>
  <c r="CF16" i="2"/>
  <c r="CF17" i="2"/>
  <c r="CF18" i="2"/>
  <c r="CF19" i="2"/>
  <c r="CF20" i="2"/>
  <c r="CF21" i="2"/>
  <c r="CF22" i="2"/>
  <c r="CF23" i="2"/>
  <c r="CF24" i="2"/>
  <c r="CF25" i="2"/>
  <c r="CF14" i="2"/>
  <c r="CF3" i="2"/>
  <c r="CF4" i="2"/>
  <c r="CF5" i="2"/>
  <c r="CF6" i="2"/>
  <c r="CF7" i="2"/>
  <c r="CF8" i="2"/>
  <c r="CF9" i="2"/>
  <c r="CF10" i="2"/>
  <c r="CF11" i="2"/>
  <c r="CF12" i="2"/>
  <c r="CF13" i="2"/>
  <c r="CF2" i="2"/>
  <c r="AS99" i="2"/>
  <c r="AS100" i="2"/>
  <c r="AS101" i="2"/>
  <c r="AS102" i="2"/>
  <c r="AS103" i="2"/>
  <c r="AS104" i="2"/>
  <c r="AS105" i="2"/>
  <c r="AS106" i="2"/>
  <c r="AS107" i="2"/>
  <c r="AS108" i="2"/>
  <c r="AS109" i="2"/>
  <c r="AS98" i="2"/>
  <c r="AS87" i="2"/>
  <c r="AS88" i="2"/>
  <c r="AS89" i="2"/>
  <c r="AS90" i="2"/>
  <c r="AS91" i="2"/>
  <c r="AS92" i="2"/>
  <c r="AS93" i="2"/>
  <c r="AS94" i="2"/>
  <c r="AS95" i="2"/>
  <c r="AS96" i="2"/>
  <c r="AS97" i="2"/>
  <c r="AS86" i="2"/>
  <c r="AS75" i="2"/>
  <c r="AS76" i="2"/>
  <c r="AS77" i="2"/>
  <c r="AS78" i="2"/>
  <c r="AS79" i="2"/>
  <c r="AS80" i="2"/>
  <c r="AS81" i="2"/>
  <c r="AS82" i="2"/>
  <c r="AS83" i="2"/>
  <c r="AS84" i="2"/>
  <c r="AS85" i="2"/>
  <c r="AS74" i="2"/>
  <c r="AS63" i="2"/>
  <c r="AS64" i="2"/>
  <c r="AS65" i="2"/>
  <c r="AS66" i="2"/>
  <c r="AS67" i="2"/>
  <c r="AS68" i="2"/>
  <c r="AS69" i="2"/>
  <c r="AS70" i="2"/>
  <c r="AS71" i="2"/>
  <c r="AS72" i="2"/>
  <c r="AS73" i="2"/>
  <c r="AS62" i="2"/>
  <c r="AS51" i="2"/>
  <c r="AS52" i="2"/>
  <c r="AS53" i="2"/>
  <c r="AS54" i="2"/>
  <c r="AS55" i="2"/>
  <c r="AS56" i="2"/>
  <c r="AS57" i="2"/>
  <c r="AS58" i="2"/>
  <c r="AS59" i="2"/>
  <c r="AS60" i="2"/>
  <c r="AS61" i="2"/>
  <c r="AS50" i="2"/>
  <c r="AS39" i="2"/>
  <c r="AS40" i="2"/>
  <c r="AS41" i="2"/>
  <c r="AS42" i="2"/>
  <c r="AS43" i="2"/>
  <c r="AS44" i="2"/>
  <c r="AS45" i="2"/>
  <c r="AS46" i="2"/>
  <c r="AS47" i="2"/>
  <c r="AS48" i="2"/>
  <c r="AS49" i="2"/>
  <c r="AS38" i="2"/>
  <c r="AS27" i="2"/>
  <c r="AS28" i="2"/>
  <c r="AS29" i="2"/>
  <c r="AS30" i="2"/>
  <c r="AS31" i="2"/>
  <c r="AS32" i="2"/>
  <c r="AS33" i="2"/>
  <c r="AS34" i="2"/>
  <c r="AS35" i="2"/>
  <c r="AS36" i="2"/>
  <c r="AS37" i="2"/>
  <c r="AS26" i="2"/>
  <c r="AS14" i="2"/>
  <c r="AS3" i="2"/>
  <c r="AS4" i="2"/>
  <c r="AS5" i="2"/>
  <c r="AS6" i="2"/>
  <c r="AS7" i="2"/>
  <c r="AS8" i="2"/>
  <c r="AS9" i="2"/>
  <c r="AS10" i="2"/>
  <c r="AS11" i="2"/>
  <c r="AS12" i="2"/>
  <c r="AS13" i="2"/>
  <c r="AS15" i="2"/>
  <c r="AS16" i="2"/>
  <c r="AS17" i="2"/>
  <c r="AS18" i="2"/>
  <c r="AS19" i="2"/>
  <c r="AS20" i="2"/>
  <c r="AS21" i="2"/>
  <c r="AS22" i="2"/>
  <c r="AS23" i="2"/>
  <c r="AS24" i="2"/>
  <c r="AS25" i="2"/>
  <c r="AS2" i="2"/>
  <c r="E168" i="32" l="1"/>
  <c r="E157" i="32"/>
  <c r="I156" i="32"/>
  <c r="O166" i="33"/>
  <c r="Q166" i="33" s="1"/>
  <c r="I202" i="31"/>
  <c r="Q202" i="31" s="1"/>
  <c r="Q190" i="31"/>
  <c r="O188" i="33"/>
  <c r="Q188" i="33" s="1"/>
  <c r="F190" i="33"/>
  <c r="L178" i="33"/>
  <c r="O200" i="33"/>
  <c r="Q200" i="33" s="1"/>
  <c r="K166" i="32"/>
  <c r="M166" i="32" s="1"/>
  <c r="K188" i="32"/>
  <c r="M188" i="32" s="1"/>
  <c r="E190" i="32"/>
  <c r="I178" i="32"/>
  <c r="K200" i="32"/>
  <c r="M200" i="32" s="1"/>
  <c r="O177" i="33"/>
  <c r="Q177" i="33" s="1"/>
  <c r="O155" i="33"/>
  <c r="Q155" i="33" s="1"/>
  <c r="F201" i="33"/>
  <c r="L201" i="33" s="1"/>
  <c r="L189" i="33"/>
  <c r="F179" i="33"/>
  <c r="L167" i="33"/>
  <c r="D117" i="41"/>
  <c r="E131" i="41"/>
  <c r="E79" i="44" s="1"/>
  <c r="F135" i="41"/>
  <c r="F83" i="44" s="1"/>
  <c r="G131" i="41"/>
  <c r="G79" i="44" s="1"/>
  <c r="H120" i="41"/>
  <c r="H32" i="44" s="1"/>
  <c r="I131" i="41"/>
  <c r="I79" i="44" s="1"/>
  <c r="J136" i="41"/>
  <c r="J84" i="44" s="1"/>
  <c r="K123" i="41"/>
  <c r="K35" i="44" s="1"/>
  <c r="L121" i="41"/>
  <c r="L33" i="44" s="1"/>
  <c r="D119" i="41"/>
  <c r="D31" i="44" s="1"/>
  <c r="E122" i="41"/>
  <c r="E34" i="44" s="1"/>
  <c r="E150" i="44" s="1"/>
  <c r="F117" i="41"/>
  <c r="G133" i="41"/>
  <c r="G81" i="44" s="1"/>
  <c r="H133" i="41"/>
  <c r="H81" i="44" s="1"/>
  <c r="I120" i="41"/>
  <c r="I32" i="44" s="1"/>
  <c r="J131" i="41"/>
  <c r="J79" i="44" s="1"/>
  <c r="K120" i="41"/>
  <c r="K32" i="44" s="1"/>
  <c r="L133" i="41"/>
  <c r="L81" i="44" s="1"/>
  <c r="W38" i="60" s="1"/>
  <c r="H119" i="41"/>
  <c r="H31" i="44" s="1"/>
  <c r="J119" i="41"/>
  <c r="J31" i="44" s="1"/>
  <c r="D132" i="41"/>
  <c r="D80" i="44" s="1"/>
  <c r="E119" i="41"/>
  <c r="E31" i="44" s="1"/>
  <c r="F130" i="41"/>
  <c r="G122" i="41"/>
  <c r="G34" i="44" s="1"/>
  <c r="G150" i="44" s="1"/>
  <c r="H122" i="41"/>
  <c r="H34" i="44" s="1"/>
  <c r="H150" i="44" s="1"/>
  <c r="I130" i="41"/>
  <c r="J120" i="41"/>
  <c r="J32" i="44" s="1"/>
  <c r="K117" i="41"/>
  <c r="L134" i="41"/>
  <c r="L82" i="44" s="1"/>
  <c r="W40" i="60" s="1"/>
  <c r="I133" i="41"/>
  <c r="I81" i="44" s="1"/>
  <c r="L135" i="41"/>
  <c r="L83" i="44" s="1"/>
  <c r="W41" i="60" s="1"/>
  <c r="L119" i="41"/>
  <c r="L31" i="44" s="1"/>
  <c r="C135" i="41"/>
  <c r="C83" i="44" s="1"/>
  <c r="D136" i="41"/>
  <c r="D84" i="44" s="1"/>
  <c r="E121" i="41"/>
  <c r="E33" i="44" s="1"/>
  <c r="F132" i="41"/>
  <c r="F80" i="44" s="1"/>
  <c r="G135" i="41"/>
  <c r="G83" i="44" s="1"/>
  <c r="J125" i="41"/>
  <c r="J37" i="44" s="1"/>
  <c r="K119" i="41"/>
  <c r="K31" i="44" s="1"/>
  <c r="K121" i="41"/>
  <c r="K33" i="44" s="1"/>
  <c r="C125" i="41"/>
  <c r="C37" i="44" s="1"/>
  <c r="D118" i="41"/>
  <c r="D30" i="44" s="1"/>
  <c r="D146" i="44" s="1"/>
  <c r="E136" i="41"/>
  <c r="E84" i="44" s="1"/>
  <c r="F125" i="41"/>
  <c r="F37" i="44" s="1"/>
  <c r="G124" i="41"/>
  <c r="G36" i="44" s="1"/>
  <c r="H135" i="41"/>
  <c r="H83" i="44" s="1"/>
  <c r="I122" i="41"/>
  <c r="I34" i="44" s="1"/>
  <c r="I150" i="44" s="1"/>
  <c r="J133" i="41"/>
  <c r="J81" i="44" s="1"/>
  <c r="K136" i="41"/>
  <c r="K84" i="44" s="1"/>
  <c r="L132" i="41"/>
  <c r="L80" i="44" s="1"/>
  <c r="W37" i="60" s="1"/>
  <c r="C134" i="41"/>
  <c r="C82" i="44" s="1"/>
  <c r="D122" i="41"/>
  <c r="D34" i="44" s="1"/>
  <c r="D150" i="44" s="1"/>
  <c r="E120" i="41"/>
  <c r="E32" i="44" s="1"/>
  <c r="F118" i="41"/>
  <c r="F30" i="44" s="1"/>
  <c r="F146" i="44" s="1"/>
  <c r="G117" i="41"/>
  <c r="H124" i="41"/>
  <c r="H36" i="44" s="1"/>
  <c r="I135" i="41"/>
  <c r="I83" i="44" s="1"/>
  <c r="J118" i="41"/>
  <c r="J30" i="44" s="1"/>
  <c r="J146" i="44" s="1"/>
  <c r="K118" i="41"/>
  <c r="K30" i="44" s="1"/>
  <c r="K146" i="44" s="1"/>
  <c r="L123" i="41"/>
  <c r="L35" i="44" s="1"/>
  <c r="C121" i="41"/>
  <c r="C33" i="44" s="1"/>
  <c r="D130" i="41"/>
  <c r="E130" i="41"/>
  <c r="F124" i="41"/>
  <c r="F36" i="44" s="1"/>
  <c r="G119" i="41"/>
  <c r="G31" i="44" s="1"/>
  <c r="H117" i="41"/>
  <c r="I124" i="41"/>
  <c r="I36" i="44" s="1"/>
  <c r="J117" i="41"/>
  <c r="K131" i="41"/>
  <c r="K79" i="44" s="1"/>
  <c r="L124" i="41"/>
  <c r="L36" i="44" s="1"/>
  <c r="I125" i="41"/>
  <c r="I37" i="44" s="1"/>
  <c r="C132" i="41"/>
  <c r="C80" i="44" s="1"/>
  <c r="D121" i="41"/>
  <c r="D33" i="44" s="1"/>
  <c r="E132" i="41"/>
  <c r="E80" i="44" s="1"/>
  <c r="F134" i="41"/>
  <c r="F82" i="44" s="1"/>
  <c r="G134" i="41"/>
  <c r="G82" i="44" s="1"/>
  <c r="H130" i="41"/>
  <c r="I117" i="41"/>
  <c r="J122" i="41"/>
  <c r="J34" i="44" s="1"/>
  <c r="J150" i="44" s="1"/>
  <c r="K133" i="41"/>
  <c r="K81" i="44" s="1"/>
  <c r="L125" i="41"/>
  <c r="L37" i="44" s="1"/>
  <c r="E124" i="41"/>
  <c r="E36" i="44" s="1"/>
  <c r="K122" i="41"/>
  <c r="K34" i="44" s="1"/>
  <c r="K150" i="44" s="1"/>
  <c r="H118" i="41"/>
  <c r="H30" i="44" s="1"/>
  <c r="H146" i="44" s="1"/>
  <c r="C136" i="41"/>
  <c r="C84" i="44" s="1"/>
  <c r="C130" i="41"/>
  <c r="D123" i="41"/>
  <c r="D35" i="44" s="1"/>
  <c r="E134" i="41"/>
  <c r="E82" i="44" s="1"/>
  <c r="F123" i="41"/>
  <c r="F35" i="44" s="1"/>
  <c r="G136" i="41"/>
  <c r="G84" i="44" s="1"/>
  <c r="H132" i="41"/>
  <c r="H80" i="44" s="1"/>
  <c r="I119" i="41"/>
  <c r="I31" i="44" s="1"/>
  <c r="J132" i="41"/>
  <c r="J80" i="44" s="1"/>
  <c r="K135" i="41"/>
  <c r="K83" i="44" s="1"/>
  <c r="L118" i="41"/>
  <c r="L30" i="44" s="1"/>
  <c r="L146" i="44" s="1"/>
  <c r="I134" i="41"/>
  <c r="I82" i="44" s="1"/>
  <c r="K130" i="41"/>
  <c r="C124" i="41"/>
  <c r="C36" i="44" s="1"/>
  <c r="D125" i="41"/>
  <c r="D37" i="44" s="1"/>
  <c r="E133" i="41"/>
  <c r="E81" i="44" s="1"/>
  <c r="F120" i="41"/>
  <c r="F32" i="44" s="1"/>
  <c r="G120" i="41"/>
  <c r="G32" i="44" s="1"/>
  <c r="H121" i="41"/>
  <c r="H33" i="44" s="1"/>
  <c r="I132" i="41"/>
  <c r="I80" i="44" s="1"/>
  <c r="J134" i="41"/>
  <c r="J82" i="44" s="1"/>
  <c r="K132" i="41"/>
  <c r="K80" i="44" s="1"/>
  <c r="L130" i="41"/>
  <c r="D135" i="41"/>
  <c r="D83" i="44" s="1"/>
  <c r="L122" i="41"/>
  <c r="L34" i="44" s="1"/>
  <c r="L150" i="44" s="1"/>
  <c r="J121" i="41"/>
  <c r="J33" i="44" s="1"/>
  <c r="C120" i="41"/>
  <c r="C32" i="44" s="1"/>
  <c r="C131" i="41"/>
  <c r="C79" i="44" s="1"/>
  <c r="D131" i="41"/>
  <c r="D79" i="44" s="1"/>
  <c r="E135" i="41"/>
  <c r="E83" i="44" s="1"/>
  <c r="F122" i="41"/>
  <c r="F34" i="44" s="1"/>
  <c r="F150" i="44" s="1"/>
  <c r="G132" i="41"/>
  <c r="G80" i="44" s="1"/>
  <c r="H123" i="41"/>
  <c r="H35" i="44" s="1"/>
  <c r="I121" i="41"/>
  <c r="I33" i="44" s="1"/>
  <c r="J135" i="41"/>
  <c r="J83" i="44" s="1"/>
  <c r="K125" i="41"/>
  <c r="K37" i="44" s="1"/>
  <c r="L131" i="41"/>
  <c r="L79" i="44" s="1"/>
  <c r="W36" i="60" s="1"/>
  <c r="C119" i="41"/>
  <c r="C31" i="44" s="1"/>
  <c r="H134" i="41"/>
  <c r="H82" i="44" s="1"/>
  <c r="K124" i="41"/>
  <c r="K36" i="44" s="1"/>
  <c r="I123" i="41"/>
  <c r="I35" i="44" s="1"/>
  <c r="F121" i="41"/>
  <c r="F33" i="44" s="1"/>
  <c r="G130" i="41"/>
  <c r="J124" i="41"/>
  <c r="J36" i="44" s="1"/>
  <c r="L136" i="41"/>
  <c r="L84" i="44" s="1"/>
  <c r="W42" i="60" s="1"/>
  <c r="C133" i="41"/>
  <c r="C81" i="44" s="1"/>
  <c r="D124" i="41"/>
  <c r="D36" i="44" s="1"/>
  <c r="E117" i="41"/>
  <c r="F119" i="41"/>
  <c r="F31" i="44" s="1"/>
  <c r="G121" i="41"/>
  <c r="G33" i="44" s="1"/>
  <c r="G149" i="44" s="1"/>
  <c r="H136" i="41"/>
  <c r="H84" i="44" s="1"/>
  <c r="J130" i="41"/>
  <c r="C123" i="41"/>
  <c r="C35" i="44" s="1"/>
  <c r="C151" i="44" s="1"/>
  <c r="D134" i="41"/>
  <c r="D82" i="44" s="1"/>
  <c r="E123" i="41"/>
  <c r="E35" i="44" s="1"/>
  <c r="F136" i="41"/>
  <c r="F84" i="44" s="1"/>
  <c r="G123" i="41"/>
  <c r="G35" i="44" s="1"/>
  <c r="H125" i="41"/>
  <c r="H37" i="44" s="1"/>
  <c r="I136" i="41"/>
  <c r="I84" i="44" s="1"/>
  <c r="C122" i="41"/>
  <c r="C34" i="44" s="1"/>
  <c r="C150" i="44" s="1"/>
  <c r="D120" i="41"/>
  <c r="D32" i="44" s="1"/>
  <c r="E118" i="41"/>
  <c r="E30" i="44" s="1"/>
  <c r="E146" i="44" s="1"/>
  <c r="F131" i="41"/>
  <c r="F79" i="44" s="1"/>
  <c r="G125" i="41"/>
  <c r="G37" i="44" s="1"/>
  <c r="L120" i="41"/>
  <c r="L32" i="44" s="1"/>
  <c r="C118" i="41"/>
  <c r="C30" i="44" s="1"/>
  <c r="C146" i="44" s="1"/>
  <c r="D133" i="41"/>
  <c r="D81" i="44" s="1"/>
  <c r="E125" i="41"/>
  <c r="E37" i="44" s="1"/>
  <c r="E153" i="44" s="1"/>
  <c r="F133" i="41"/>
  <c r="F81" i="44" s="1"/>
  <c r="G118" i="41"/>
  <c r="G30" i="44" s="1"/>
  <c r="G146" i="44" s="1"/>
  <c r="H131" i="41"/>
  <c r="H79" i="44" s="1"/>
  <c r="I118" i="41"/>
  <c r="I30" i="44" s="1"/>
  <c r="I146" i="44" s="1"/>
  <c r="J123" i="41"/>
  <c r="J35" i="44" s="1"/>
  <c r="K134" i="41"/>
  <c r="K82" i="44" s="1"/>
  <c r="L117" i="41"/>
  <c r="F157" i="33"/>
  <c r="F168" i="33"/>
  <c r="L156" i="33"/>
  <c r="S201" i="31"/>
  <c r="K177" i="32"/>
  <c r="M177" i="32" s="1"/>
  <c r="I169" i="31"/>
  <c r="Q157" i="31"/>
  <c r="E201" i="32"/>
  <c r="I201" i="32" s="1"/>
  <c r="I189" i="32"/>
  <c r="I180" i="31"/>
  <c r="Q168" i="31"/>
  <c r="K155" i="32"/>
  <c r="M155" i="32" s="1"/>
  <c r="S167" i="31"/>
  <c r="E179" i="32"/>
  <c r="I167" i="32"/>
  <c r="I191" i="31"/>
  <c r="Q179" i="31"/>
  <c r="BX84" i="2"/>
  <c r="BX94" i="2"/>
  <c r="BX93" i="2"/>
  <c r="BX72" i="2"/>
  <c r="BX109" i="2"/>
  <c r="BX82" i="2"/>
  <c r="BX90" i="2"/>
  <c r="BX104" i="2"/>
  <c r="BX107" i="2"/>
  <c r="BX106" i="2"/>
  <c r="BX105" i="2"/>
  <c r="BX101" i="2"/>
  <c r="BX79" i="2"/>
  <c r="BX61" i="2"/>
  <c r="BX32" i="2"/>
  <c r="BX58" i="2"/>
  <c r="BX55" i="2"/>
  <c r="BX52" i="2"/>
  <c r="BX97" i="2"/>
  <c r="BX86" i="2"/>
  <c r="BX81" i="2"/>
  <c r="BX76" i="2"/>
  <c r="BX49" i="2"/>
  <c r="BX27" i="2"/>
  <c r="BX73" i="2"/>
  <c r="BX69" i="2"/>
  <c r="BX63" i="2"/>
  <c r="BX46" i="2"/>
  <c r="BX43" i="2"/>
  <c r="BX37" i="2"/>
  <c r="BR78" i="2"/>
  <c r="BX78" i="2"/>
  <c r="BR60" i="2"/>
  <c r="BX60" i="2"/>
  <c r="BX40" i="2"/>
  <c r="BX29" i="2"/>
  <c r="BR100" i="2"/>
  <c r="BX100" i="2"/>
  <c r="BR89" i="2"/>
  <c r="BX89" i="2"/>
  <c r="BR66" i="2"/>
  <c r="BX66" i="2"/>
  <c r="BX54" i="2"/>
  <c r="BX51" i="2"/>
  <c r="BX34" i="2"/>
  <c r="BR103" i="2"/>
  <c r="BX103" i="2"/>
  <c r="BX31" i="2"/>
  <c r="BX96" i="2"/>
  <c r="BR108" i="2"/>
  <c r="BX108" i="2"/>
  <c r="BX92" i="2"/>
  <c r="BX99" i="2"/>
  <c r="BX88" i="2"/>
  <c r="BX80" i="2"/>
  <c r="BX75" i="2"/>
  <c r="BX57" i="2"/>
  <c r="BX48" i="2"/>
  <c r="BX26" i="2"/>
  <c r="BR26" i="2"/>
  <c r="BR83" i="2"/>
  <c r="BX83" i="2"/>
  <c r="BX85" i="2"/>
  <c r="BX68" i="2"/>
  <c r="BX65" i="2"/>
  <c r="BX62" i="2"/>
  <c r="BX45" i="2"/>
  <c r="BX42" i="2"/>
  <c r="BX39" i="2"/>
  <c r="BX36" i="2"/>
  <c r="BX71" i="2"/>
  <c r="BX53" i="2"/>
  <c r="BX33" i="2"/>
  <c r="BX28" i="2"/>
  <c r="BX95" i="2"/>
  <c r="BX91" i="2"/>
  <c r="BX77" i="2"/>
  <c r="BX74" i="2"/>
  <c r="BX59" i="2"/>
  <c r="BX56" i="2"/>
  <c r="BX50" i="2"/>
  <c r="BX47" i="2"/>
  <c r="BX102" i="2"/>
  <c r="BR87" i="2"/>
  <c r="BX87" i="2"/>
  <c r="BX98" i="2"/>
  <c r="BX67" i="2"/>
  <c r="BX64" i="2"/>
  <c r="BX30" i="2"/>
  <c r="BX70" i="2"/>
  <c r="BX44" i="2"/>
  <c r="BX41" i="2"/>
  <c r="BR38" i="2"/>
  <c r="BX38" i="2"/>
  <c r="BX35" i="2"/>
  <c r="BR86" i="2"/>
  <c r="BR101" i="2"/>
  <c r="BR79" i="2"/>
  <c r="BR70" i="2"/>
  <c r="BR90" i="2"/>
  <c r="BL84" i="2"/>
  <c r="BR84" i="2"/>
  <c r="BR61" i="2"/>
  <c r="BR32" i="2"/>
  <c r="BL94" i="2"/>
  <c r="BR94" i="2"/>
  <c r="BR104" i="2"/>
  <c r="BR58" i="2"/>
  <c r="BR55" i="2"/>
  <c r="BR52" i="2"/>
  <c r="BR97" i="2"/>
  <c r="BR81" i="2"/>
  <c r="BR76" i="2"/>
  <c r="BR49" i="2"/>
  <c r="BR27" i="2"/>
  <c r="BL96" i="2"/>
  <c r="BR96" i="2"/>
  <c r="BR73" i="2"/>
  <c r="BL93" i="2"/>
  <c r="BR93" i="2"/>
  <c r="BL69" i="2"/>
  <c r="BR69" i="2"/>
  <c r="BR63" i="2"/>
  <c r="BR46" i="2"/>
  <c r="BR43" i="2"/>
  <c r="BR37" i="2"/>
  <c r="BR40" i="2"/>
  <c r="BR29" i="2"/>
  <c r="BL72" i="2"/>
  <c r="BR72" i="2"/>
  <c r="BR54" i="2"/>
  <c r="BL51" i="2"/>
  <c r="BR51" i="2"/>
  <c r="BL34" i="2"/>
  <c r="BR34" i="2"/>
  <c r="BR31" i="2"/>
  <c r="BR99" i="2"/>
  <c r="BR88" i="2"/>
  <c r="BR80" i="2"/>
  <c r="BR75" i="2"/>
  <c r="BR57" i="2"/>
  <c r="BR48" i="2"/>
  <c r="BL26" i="2"/>
  <c r="BL109" i="2"/>
  <c r="BR109" i="2"/>
  <c r="BR85" i="2"/>
  <c r="BR68" i="2"/>
  <c r="BR65" i="2"/>
  <c r="BR62" i="2"/>
  <c r="BR45" i="2"/>
  <c r="BR42" i="2"/>
  <c r="BR107" i="2"/>
  <c r="BR106" i="2"/>
  <c r="BL102" i="2"/>
  <c r="BR102" i="2"/>
  <c r="BR39" i="2"/>
  <c r="BR36" i="2"/>
  <c r="BR92" i="2"/>
  <c r="BR71" i="2"/>
  <c r="BR53" i="2"/>
  <c r="BR33" i="2"/>
  <c r="BR28" i="2"/>
  <c r="BR95" i="2"/>
  <c r="BR91" i="2"/>
  <c r="BR77" i="2"/>
  <c r="BR74" i="2"/>
  <c r="BR59" i="2"/>
  <c r="BR56" i="2"/>
  <c r="BL82" i="2"/>
  <c r="BR82" i="2"/>
  <c r="BR50" i="2"/>
  <c r="BR47" i="2"/>
  <c r="BR105" i="2"/>
  <c r="BR98" i="2"/>
  <c r="BR67" i="2"/>
  <c r="BR64" i="2"/>
  <c r="BR30" i="2"/>
  <c r="BR44" i="2"/>
  <c r="BR41" i="2"/>
  <c r="BL38" i="2"/>
  <c r="BR35" i="2"/>
  <c r="BL61" i="2"/>
  <c r="BL32" i="2"/>
  <c r="BL58" i="2"/>
  <c r="BL55" i="2"/>
  <c r="BL52" i="2"/>
  <c r="BF90" i="2"/>
  <c r="BL90" i="2"/>
  <c r="BL104" i="2"/>
  <c r="BL97" i="2"/>
  <c r="BL86" i="2"/>
  <c r="BL81" i="2"/>
  <c r="BL76" i="2"/>
  <c r="BL49" i="2"/>
  <c r="BL27" i="2"/>
  <c r="BL73" i="2"/>
  <c r="BL63" i="2"/>
  <c r="BL46" i="2"/>
  <c r="BL43" i="2"/>
  <c r="BL37" i="2"/>
  <c r="BF100" i="2"/>
  <c r="BL100" i="2"/>
  <c r="BF89" i="2"/>
  <c r="BL89" i="2"/>
  <c r="BL83" i="2"/>
  <c r="BL78" i="2"/>
  <c r="BL66" i="2"/>
  <c r="BL60" i="2"/>
  <c r="BF40" i="2"/>
  <c r="BL40" i="2"/>
  <c r="BL29" i="2"/>
  <c r="BL54" i="2"/>
  <c r="BF108" i="2"/>
  <c r="BL108" i="2"/>
  <c r="BF92" i="2"/>
  <c r="BL92" i="2"/>
  <c r="BL31" i="2"/>
  <c r="BL57" i="2"/>
  <c r="BL48" i="2"/>
  <c r="BF26" i="2"/>
  <c r="BL99" i="2"/>
  <c r="BL88" i="2"/>
  <c r="BL80" i="2"/>
  <c r="BL75" i="2"/>
  <c r="BL85" i="2"/>
  <c r="BL68" i="2"/>
  <c r="BL65" i="2"/>
  <c r="BL62" i="2"/>
  <c r="BL45" i="2"/>
  <c r="BL42" i="2"/>
  <c r="BL39" i="2"/>
  <c r="BL36" i="2"/>
  <c r="BF106" i="2"/>
  <c r="BL106" i="2"/>
  <c r="BL71" i="2"/>
  <c r="BL53" i="2"/>
  <c r="BL33" i="2"/>
  <c r="BL28" i="2"/>
  <c r="BF107" i="2"/>
  <c r="BL107" i="2"/>
  <c r="BF95" i="2"/>
  <c r="BL95" i="2"/>
  <c r="BL91" i="2"/>
  <c r="BL77" i="2"/>
  <c r="BL74" i="2"/>
  <c r="BL59" i="2"/>
  <c r="BL56" i="2"/>
  <c r="BF87" i="2"/>
  <c r="BL87" i="2"/>
  <c r="BL50" i="2"/>
  <c r="BF47" i="2"/>
  <c r="BL47" i="2"/>
  <c r="BF105" i="2"/>
  <c r="BL105" i="2"/>
  <c r="BL98" i="2"/>
  <c r="BL67" i="2"/>
  <c r="BL64" i="2"/>
  <c r="BL30" i="2"/>
  <c r="BF103" i="2"/>
  <c r="BL103" i="2"/>
  <c r="BF101" i="2"/>
  <c r="BL101" i="2"/>
  <c r="BL79" i="2"/>
  <c r="BL70" i="2"/>
  <c r="BL44" i="2"/>
  <c r="BL41" i="2"/>
  <c r="BF38" i="2"/>
  <c r="BL35" i="2"/>
  <c r="BF61" i="2"/>
  <c r="BF32" i="2"/>
  <c r="BF79" i="2"/>
  <c r="BF94" i="2"/>
  <c r="BF84" i="2"/>
  <c r="BF104" i="2"/>
  <c r="BF58" i="2"/>
  <c r="BF55" i="2"/>
  <c r="BF52" i="2"/>
  <c r="BF97" i="2"/>
  <c r="BF86" i="2"/>
  <c r="BF81" i="2"/>
  <c r="BF76" i="2"/>
  <c r="BF49" i="2"/>
  <c r="BF27" i="2"/>
  <c r="BF73" i="2"/>
  <c r="BF93" i="2"/>
  <c r="BF69" i="2"/>
  <c r="BF63" i="2"/>
  <c r="BF46" i="2"/>
  <c r="BF43" i="2"/>
  <c r="BF37" i="2"/>
  <c r="BF83" i="2"/>
  <c r="BF29" i="2"/>
  <c r="BF72" i="2"/>
  <c r="BF54" i="2"/>
  <c r="BF51" i="2"/>
  <c r="BF34" i="2"/>
  <c r="BF78" i="2"/>
  <c r="BF66" i="2"/>
  <c r="BF31" i="2"/>
  <c r="BF75" i="2"/>
  <c r="BF57" i="2"/>
  <c r="BF48" i="2"/>
  <c r="BF60" i="2"/>
  <c r="BF109" i="2"/>
  <c r="BF96" i="2"/>
  <c r="BF99" i="2"/>
  <c r="BF88" i="2"/>
  <c r="BF80" i="2"/>
  <c r="BF85" i="2"/>
  <c r="BF68" i="2"/>
  <c r="BF65" i="2"/>
  <c r="BF62" i="2"/>
  <c r="BF45" i="2"/>
  <c r="BF42" i="2"/>
  <c r="BF39" i="2"/>
  <c r="BF36" i="2"/>
  <c r="BF102" i="2"/>
  <c r="BF71" i="2"/>
  <c r="BF53" i="2"/>
  <c r="BF33" i="2"/>
  <c r="BF28" i="2"/>
  <c r="BF91" i="2"/>
  <c r="BF77" i="2"/>
  <c r="BF74" i="2"/>
  <c r="BF59" i="2"/>
  <c r="BF56" i="2"/>
  <c r="BF50" i="2"/>
  <c r="BF82" i="2"/>
  <c r="BF98" i="2"/>
  <c r="BF67" i="2"/>
  <c r="BF64" i="2"/>
  <c r="BF30" i="2"/>
  <c r="BF70" i="2"/>
  <c r="BF44" i="2"/>
  <c r="BF41" i="2"/>
  <c r="BF35" i="2"/>
  <c r="AE94" i="2"/>
  <c r="AJ94" i="2"/>
  <c r="AJ90" i="2"/>
  <c r="AE90" i="2"/>
  <c r="AE84" i="2"/>
  <c r="AJ84" i="2"/>
  <c r="AE61" i="2"/>
  <c r="AJ61" i="2"/>
  <c r="AJ32" i="2"/>
  <c r="AE98" i="2"/>
  <c r="AJ98" i="2"/>
  <c r="AE67" i="2"/>
  <c r="AJ67" i="2"/>
  <c r="AJ58" i="2"/>
  <c r="AE58" i="2"/>
  <c r="AJ55" i="2"/>
  <c r="AE55" i="2"/>
  <c r="AE52" i="2"/>
  <c r="AJ52" i="2"/>
  <c r="AJ104" i="2"/>
  <c r="AE104" i="2"/>
  <c r="AE97" i="2"/>
  <c r="AJ97" i="2"/>
  <c r="AJ86" i="2"/>
  <c r="AE86" i="2"/>
  <c r="AE81" i="2"/>
  <c r="AJ81" i="2"/>
  <c r="AJ76" i="2"/>
  <c r="AE76" i="2"/>
  <c r="AE49" i="2"/>
  <c r="AJ49" i="2"/>
  <c r="AJ27" i="2"/>
  <c r="AJ105" i="2"/>
  <c r="AE105" i="2"/>
  <c r="AJ73" i="2"/>
  <c r="AE73" i="2"/>
  <c r="AE64" i="2"/>
  <c r="AJ64" i="2"/>
  <c r="AJ93" i="2"/>
  <c r="AE93" i="2"/>
  <c r="AE69" i="2"/>
  <c r="AJ69" i="2"/>
  <c r="AE63" i="2"/>
  <c r="AJ63" i="2"/>
  <c r="AE46" i="2"/>
  <c r="AJ46" i="2"/>
  <c r="AJ43" i="2"/>
  <c r="AE43" i="2"/>
  <c r="AJ37" i="2"/>
  <c r="AE78" i="2"/>
  <c r="AJ78" i="2"/>
  <c r="AJ60" i="2"/>
  <c r="AE60" i="2"/>
  <c r="AE40" i="2"/>
  <c r="AJ40" i="2"/>
  <c r="AJ29" i="2"/>
  <c r="AJ34" i="2"/>
  <c r="AE54" i="2"/>
  <c r="AJ54" i="2"/>
  <c r="AJ31" i="2"/>
  <c r="AE88" i="2"/>
  <c r="AJ88" i="2"/>
  <c r="AE80" i="2"/>
  <c r="AJ80" i="2"/>
  <c r="AJ75" i="2"/>
  <c r="AE75" i="2"/>
  <c r="AE57" i="2"/>
  <c r="AJ57" i="2"/>
  <c r="AE48" i="2"/>
  <c r="AJ48" i="2"/>
  <c r="AE26" i="2"/>
  <c r="AJ26" i="2"/>
  <c r="AJ85" i="2"/>
  <c r="AE85" i="2"/>
  <c r="AJ68" i="2"/>
  <c r="AE68" i="2"/>
  <c r="AE65" i="2"/>
  <c r="AJ65" i="2"/>
  <c r="AE62" i="2"/>
  <c r="AJ62" i="2"/>
  <c r="AJ45" i="2"/>
  <c r="AE45" i="2"/>
  <c r="AJ42" i="2"/>
  <c r="AE42" i="2"/>
  <c r="AE66" i="2"/>
  <c r="AJ66" i="2"/>
  <c r="AJ109" i="2"/>
  <c r="AE109" i="2"/>
  <c r="AJ103" i="2"/>
  <c r="AE103" i="2"/>
  <c r="AE96" i="2"/>
  <c r="AJ96" i="2"/>
  <c r="AE72" i="2"/>
  <c r="AJ72" i="2"/>
  <c r="AJ108" i="2"/>
  <c r="AE108" i="2"/>
  <c r="AJ39" i="2"/>
  <c r="AE39" i="2"/>
  <c r="AJ36" i="2"/>
  <c r="AE100" i="2"/>
  <c r="AJ100" i="2"/>
  <c r="AE89" i="2"/>
  <c r="AJ89" i="2"/>
  <c r="AE83" i="2"/>
  <c r="AJ83" i="2"/>
  <c r="AJ92" i="2"/>
  <c r="AE92" i="2"/>
  <c r="AJ71" i="2"/>
  <c r="AE71" i="2"/>
  <c r="AE53" i="2"/>
  <c r="AJ53" i="2"/>
  <c r="AJ33" i="2"/>
  <c r="AJ28" i="2"/>
  <c r="AJ107" i="2"/>
  <c r="AE107" i="2"/>
  <c r="AJ91" i="2"/>
  <c r="AE91" i="2"/>
  <c r="AJ59" i="2"/>
  <c r="AE59" i="2"/>
  <c r="AE51" i="2"/>
  <c r="AJ51" i="2"/>
  <c r="AE99" i="2"/>
  <c r="AJ99" i="2"/>
  <c r="AJ106" i="2"/>
  <c r="AE106" i="2"/>
  <c r="AJ102" i="2"/>
  <c r="AE102" i="2"/>
  <c r="AE95" i="2"/>
  <c r="AJ95" i="2"/>
  <c r="AJ77" i="2"/>
  <c r="AE77" i="2"/>
  <c r="AJ74" i="2"/>
  <c r="AE74" i="2"/>
  <c r="AE56" i="2"/>
  <c r="AJ56" i="2"/>
  <c r="AJ87" i="2"/>
  <c r="AE87" i="2"/>
  <c r="AE82" i="2"/>
  <c r="AJ82" i="2"/>
  <c r="AE50" i="2"/>
  <c r="AJ50" i="2"/>
  <c r="AE47" i="2"/>
  <c r="AJ47" i="2"/>
  <c r="AE30" i="2"/>
  <c r="AJ30" i="2"/>
  <c r="AE101" i="2"/>
  <c r="AJ101" i="2"/>
  <c r="AE79" i="2"/>
  <c r="AJ79" i="2"/>
  <c r="AJ70" i="2"/>
  <c r="AE70" i="2"/>
  <c r="AJ44" i="2"/>
  <c r="AE44" i="2"/>
  <c r="AE41" i="2"/>
  <c r="AJ41" i="2"/>
  <c r="AJ38" i="2"/>
  <c r="AE38" i="2"/>
  <c r="AJ35" i="2"/>
  <c r="AE32" i="2"/>
  <c r="Y97" i="2"/>
  <c r="Y81" i="2"/>
  <c r="AE27" i="2"/>
  <c r="Y63" i="2"/>
  <c r="AE37" i="2"/>
  <c r="Y78" i="2"/>
  <c r="Y66" i="2"/>
  <c r="Y29" i="2"/>
  <c r="AE29" i="2"/>
  <c r="AE34" i="2"/>
  <c r="AE31" i="2"/>
  <c r="Y26" i="2"/>
  <c r="Y80" i="2"/>
  <c r="AE36" i="2"/>
  <c r="AE33" i="2"/>
  <c r="AE28" i="2"/>
  <c r="Y95" i="2"/>
  <c r="Y82" i="2"/>
  <c r="Y47" i="2"/>
  <c r="Y38" i="2"/>
  <c r="AE35" i="2"/>
  <c r="S93" i="2"/>
  <c r="Y93" i="2"/>
  <c r="S96" i="2"/>
  <c r="Y96" i="2"/>
  <c r="S99" i="2"/>
  <c r="Y99" i="2"/>
  <c r="S50" i="2"/>
  <c r="Y50" i="2"/>
  <c r="S101" i="2"/>
  <c r="Y101" i="2"/>
  <c r="Y79" i="2"/>
  <c r="S94" i="2"/>
  <c r="Y94" i="2"/>
  <c r="Y90" i="2"/>
  <c r="S84" i="2"/>
  <c r="Y84" i="2"/>
  <c r="S61" i="2"/>
  <c r="Y61" i="2"/>
  <c r="Y32" i="2"/>
  <c r="Y104" i="2"/>
  <c r="Y58" i="2"/>
  <c r="Y55" i="2"/>
  <c r="Y52" i="2"/>
  <c r="Y76" i="2"/>
  <c r="Y49" i="2"/>
  <c r="Y27" i="2"/>
  <c r="S103" i="2"/>
  <c r="Y103" i="2"/>
  <c r="S86" i="2"/>
  <c r="Y86" i="2"/>
  <c r="Y73" i="2"/>
  <c r="S69" i="2"/>
  <c r="Y69" i="2"/>
  <c r="Y46" i="2"/>
  <c r="Y43" i="2"/>
  <c r="S37" i="2"/>
  <c r="Y37" i="2"/>
  <c r="S83" i="2"/>
  <c r="Y83" i="2"/>
  <c r="Y60" i="2"/>
  <c r="Y40" i="2"/>
  <c r="Y72" i="2"/>
  <c r="Y54" i="2"/>
  <c r="Y51" i="2"/>
  <c r="Y34" i="2"/>
  <c r="Y108" i="2"/>
  <c r="Y92" i="2"/>
  <c r="Y31" i="2"/>
  <c r="S109" i="2"/>
  <c r="Y109" i="2"/>
  <c r="Y75" i="2"/>
  <c r="Y57" i="2"/>
  <c r="Y48" i="2"/>
  <c r="S26" i="2"/>
  <c r="Y88" i="2"/>
  <c r="S68" i="2"/>
  <c r="Y68" i="2"/>
  <c r="Y65" i="2"/>
  <c r="Y62" i="2"/>
  <c r="Y45" i="2"/>
  <c r="Y42" i="2"/>
  <c r="S85" i="2"/>
  <c r="Y85" i="2"/>
  <c r="Y107" i="2"/>
  <c r="Y106" i="2"/>
  <c r="Y102" i="2"/>
  <c r="Y39" i="2"/>
  <c r="Y36" i="2"/>
  <c r="Y71" i="2"/>
  <c r="Y53" i="2"/>
  <c r="Y33" i="2"/>
  <c r="Y28" i="2"/>
  <c r="Y91" i="2"/>
  <c r="Y77" i="2"/>
  <c r="Y74" i="2"/>
  <c r="Y59" i="2"/>
  <c r="Y56" i="2"/>
  <c r="S100" i="2"/>
  <c r="Y100" i="2"/>
  <c r="S89" i="2"/>
  <c r="Y89" i="2"/>
  <c r="Y105" i="2"/>
  <c r="Y98" i="2"/>
  <c r="S67" i="2"/>
  <c r="Y67" i="2"/>
  <c r="Y64" i="2"/>
  <c r="Y30" i="2"/>
  <c r="Y87" i="2"/>
  <c r="Y70" i="2"/>
  <c r="Y44" i="2"/>
  <c r="Y41" i="2"/>
  <c r="Y35" i="2"/>
  <c r="S88" i="2"/>
  <c r="S90" i="2"/>
  <c r="S32" i="2"/>
  <c r="S58" i="2"/>
  <c r="S55" i="2"/>
  <c r="S52" i="2"/>
  <c r="S104" i="2"/>
  <c r="S97" i="2"/>
  <c r="S76" i="2"/>
  <c r="S49" i="2"/>
  <c r="S27" i="2"/>
  <c r="S81" i="2"/>
  <c r="S73" i="2"/>
  <c r="S63" i="2"/>
  <c r="S46" i="2"/>
  <c r="S43" i="2"/>
  <c r="S78" i="2"/>
  <c r="S66" i="2"/>
  <c r="S60" i="2"/>
  <c r="S40" i="2"/>
  <c r="S29" i="2"/>
  <c r="S72" i="2"/>
  <c r="S54" i="2"/>
  <c r="S51" i="2"/>
  <c r="S34" i="2"/>
  <c r="S31" i="2"/>
  <c r="S48" i="2"/>
  <c r="S62" i="2"/>
  <c r="S45" i="2"/>
  <c r="S42" i="2"/>
  <c r="S39" i="2"/>
  <c r="S36" i="2"/>
  <c r="S106" i="2"/>
  <c r="S71" i="2"/>
  <c r="S53" i="2"/>
  <c r="S33" i="2"/>
  <c r="S28" i="2"/>
  <c r="S75" i="2"/>
  <c r="S57" i="2"/>
  <c r="S107" i="2"/>
  <c r="S102" i="2"/>
  <c r="S95" i="2"/>
  <c r="S91" i="2"/>
  <c r="S77" i="2"/>
  <c r="S74" i="2"/>
  <c r="S59" i="2"/>
  <c r="S56" i="2"/>
  <c r="S108" i="2"/>
  <c r="S80" i="2"/>
  <c r="S65" i="2"/>
  <c r="S87" i="2"/>
  <c r="S82" i="2"/>
  <c r="S47" i="2"/>
  <c r="S92" i="2"/>
  <c r="S105" i="2"/>
  <c r="S64" i="2"/>
  <c r="S30" i="2"/>
  <c r="S98" i="2"/>
  <c r="S79" i="2"/>
  <c r="S70" i="2"/>
  <c r="S44" i="2"/>
  <c r="S41" i="2"/>
  <c r="S38" i="2"/>
  <c r="S35" i="2"/>
  <c r="BC14" i="39"/>
  <c r="K8" i="41" s="1"/>
  <c r="C18" i="36"/>
  <c r="C18" i="28"/>
  <c r="C18" i="30"/>
  <c r="C18" i="24"/>
  <c r="C18" i="20"/>
  <c r="C18" i="37"/>
  <c r="C18" i="29"/>
  <c r="C18" i="26"/>
  <c r="C18" i="34"/>
  <c r="C18" i="18"/>
  <c r="C18" i="23"/>
  <c r="C18" i="35"/>
  <c r="C18" i="32"/>
  <c r="C18" i="25"/>
  <c r="C18" i="19"/>
  <c r="C18" i="31"/>
  <c r="C18" i="22"/>
  <c r="C18" i="17"/>
  <c r="C18" i="33"/>
  <c r="C18" i="21"/>
  <c r="C81" i="34"/>
  <c r="C81" i="22"/>
  <c r="C81" i="32"/>
  <c r="C81" i="33"/>
  <c r="C81" i="20"/>
  <c r="C81" i="24"/>
  <c r="C81" i="36"/>
  <c r="C81" i="35"/>
  <c r="C81" i="18"/>
  <c r="C81" i="26"/>
  <c r="C81" i="25"/>
  <c r="C81" i="23"/>
  <c r="C81" i="28"/>
  <c r="C81" i="19"/>
  <c r="C81" i="17"/>
  <c r="C81" i="29"/>
  <c r="C81" i="37"/>
  <c r="C81" i="31"/>
  <c r="C81" i="30"/>
  <c r="C81" i="21"/>
  <c r="C65" i="35"/>
  <c r="C65" i="34"/>
  <c r="C65" i="37"/>
  <c r="C65" i="31"/>
  <c r="C65" i="22"/>
  <c r="C65" i="36"/>
  <c r="C65" i="21"/>
  <c r="C65" i="33"/>
  <c r="C65" i="30"/>
  <c r="C65" i="29"/>
  <c r="C65" i="24"/>
  <c r="C65" i="20"/>
  <c r="C65" i="18"/>
  <c r="C65" i="28"/>
  <c r="C65" i="32"/>
  <c r="C65" i="25"/>
  <c r="C65" i="23"/>
  <c r="C65" i="19"/>
  <c r="C65" i="17"/>
  <c r="C65" i="26"/>
  <c r="C49" i="32"/>
  <c r="C49" i="22"/>
  <c r="C49" i="28"/>
  <c r="C49" i="26"/>
  <c r="C49" i="37"/>
  <c r="C49" i="33"/>
  <c r="C49" i="31"/>
  <c r="C49" i="24"/>
  <c r="C49" i="21"/>
  <c r="C49" i="18"/>
  <c r="C49" i="34"/>
  <c r="C49" i="35"/>
  <c r="C49" i="30"/>
  <c r="C49" i="25"/>
  <c r="C49" i="36"/>
  <c r="C49" i="23"/>
  <c r="C49" i="17"/>
  <c r="C49" i="20"/>
  <c r="C49" i="19"/>
  <c r="C49" i="29"/>
  <c r="C33" i="30"/>
  <c r="C33" i="22"/>
  <c r="C33" i="35"/>
  <c r="C33" i="37"/>
  <c r="C33" i="36"/>
  <c r="C33" i="24"/>
  <c r="C33" i="33"/>
  <c r="C33" i="32"/>
  <c r="C33" i="18"/>
  <c r="C33" i="34"/>
  <c r="C33" i="31"/>
  <c r="C33" i="25"/>
  <c r="C33" i="20"/>
  <c r="C33" i="26"/>
  <c r="C33" i="23"/>
  <c r="C33" i="21"/>
  <c r="C33" i="19"/>
  <c r="C33" i="17"/>
  <c r="C33" i="29"/>
  <c r="C33" i="28"/>
  <c r="C17" i="31"/>
  <c r="C17" i="22"/>
  <c r="C17" i="21"/>
  <c r="C17" i="37"/>
  <c r="C17" i="33"/>
  <c r="C17" i="30"/>
  <c r="C17" i="26"/>
  <c r="C17" i="24"/>
  <c r="C17" i="20"/>
  <c r="C17" i="36"/>
  <c r="C17" i="18"/>
  <c r="C17" i="28"/>
  <c r="C17" i="34"/>
  <c r="C17" i="32"/>
  <c r="C17" i="25"/>
  <c r="C17" i="35"/>
  <c r="C17" i="23"/>
  <c r="C17" i="29"/>
  <c r="C17" i="19"/>
  <c r="C17" i="17"/>
  <c r="C97" i="36"/>
  <c r="C97" i="22"/>
  <c r="C97" i="28"/>
  <c r="C97" i="33"/>
  <c r="C97" i="34"/>
  <c r="C97" i="30"/>
  <c r="C97" i="26"/>
  <c r="C97" i="24"/>
  <c r="C97" i="18"/>
  <c r="C97" i="31"/>
  <c r="C97" i="21"/>
  <c r="C97" i="29"/>
  <c r="C97" i="25"/>
  <c r="C97" i="32"/>
  <c r="C97" i="23"/>
  <c r="C97" i="17"/>
  <c r="C97" i="20"/>
  <c r="C97" i="19"/>
  <c r="C97" i="37"/>
  <c r="C97" i="35"/>
  <c r="C80" i="25"/>
  <c r="C80" i="21"/>
  <c r="C80" i="37"/>
  <c r="C80" i="23"/>
  <c r="C80" i="19"/>
  <c r="C80" i="31"/>
  <c r="C80" i="30"/>
  <c r="C80" i="22"/>
  <c r="C80" i="29"/>
  <c r="C80" i="32"/>
  <c r="C80" i="28"/>
  <c r="C80" i="34"/>
  <c r="C80" i="33"/>
  <c r="C80" i="20"/>
  <c r="C80" i="24"/>
  <c r="C80" i="18"/>
  <c r="C80" i="26"/>
  <c r="C80" i="17"/>
  <c r="C80" i="35"/>
  <c r="C80" i="36"/>
  <c r="C64" i="25"/>
  <c r="C64" i="28"/>
  <c r="C64" i="26"/>
  <c r="C64" i="23"/>
  <c r="C64" i="19"/>
  <c r="C64" i="22"/>
  <c r="C64" i="37"/>
  <c r="C64" i="35"/>
  <c r="C64" i="31"/>
  <c r="C64" i="21"/>
  <c r="C64" i="36"/>
  <c r="C64" i="34"/>
  <c r="C64" i="30"/>
  <c r="C64" i="33"/>
  <c r="C64" i="24"/>
  <c r="C64" i="18"/>
  <c r="C64" i="29"/>
  <c r="C64" i="20"/>
  <c r="C64" i="17"/>
  <c r="C64" i="32"/>
  <c r="C48" i="30"/>
  <c r="C48" i="25"/>
  <c r="C48" i="36"/>
  <c r="C48" i="34"/>
  <c r="C48" i="20"/>
  <c r="C48" i="23"/>
  <c r="C48" i="19"/>
  <c r="C48" i="22"/>
  <c r="C48" i="32"/>
  <c r="C48" i="26"/>
  <c r="C48" i="29"/>
  <c r="C48" i="37"/>
  <c r="C48" i="31"/>
  <c r="C48" i="21"/>
  <c r="C48" i="28"/>
  <c r="C48" i="24"/>
  <c r="C48" i="18"/>
  <c r="C48" i="33"/>
  <c r="C48" i="17"/>
  <c r="C48" i="35"/>
  <c r="C32" i="26"/>
  <c r="C32" i="25"/>
  <c r="C32" i="34"/>
  <c r="C32" i="20"/>
  <c r="C32" i="23"/>
  <c r="C32" i="19"/>
  <c r="C32" i="22"/>
  <c r="C32" i="30"/>
  <c r="C32" i="29"/>
  <c r="C32" i="35"/>
  <c r="C32" i="37"/>
  <c r="C32" i="28"/>
  <c r="C32" i="24"/>
  <c r="C32" i="18"/>
  <c r="C32" i="36"/>
  <c r="C32" i="32"/>
  <c r="C32" i="17"/>
  <c r="C32" i="33"/>
  <c r="C32" i="31"/>
  <c r="C32" i="21"/>
  <c r="C16" i="32"/>
  <c r="C16" i="28"/>
  <c r="C16" i="25"/>
  <c r="C16" i="35"/>
  <c r="C16" i="34"/>
  <c r="C16" i="23"/>
  <c r="C16" i="19"/>
  <c r="C16" i="22"/>
  <c r="C16" i="21"/>
  <c r="C16" i="29"/>
  <c r="C16" i="31"/>
  <c r="C16" i="26"/>
  <c r="C16" i="37"/>
  <c r="C16" i="30"/>
  <c r="C16" i="24"/>
  <c r="C16" i="18"/>
  <c r="C16" i="33"/>
  <c r="C16" i="20"/>
  <c r="C16" i="17"/>
  <c r="C16" i="36"/>
  <c r="C31" i="32"/>
  <c r="C31" i="24"/>
  <c r="C31" i="28"/>
  <c r="C31" i="21"/>
  <c r="C31" i="36"/>
  <c r="C31" i="26"/>
  <c r="C31" i="33"/>
  <c r="C31" i="31"/>
  <c r="C31" i="25"/>
  <c r="C31" i="22"/>
  <c r="C31" i="20"/>
  <c r="C31" i="19"/>
  <c r="C31" i="23"/>
  <c r="C31" i="17"/>
  <c r="C31" i="30"/>
  <c r="C31" i="34"/>
  <c r="C31" i="37"/>
  <c r="C31" i="29"/>
  <c r="C31" i="35"/>
  <c r="C31" i="18"/>
  <c r="C79" i="28"/>
  <c r="C79" i="24"/>
  <c r="C79" i="33"/>
  <c r="C79" i="35"/>
  <c r="C79" i="36"/>
  <c r="C79" i="25"/>
  <c r="C79" i="21"/>
  <c r="C79" i="34"/>
  <c r="C79" i="37"/>
  <c r="C79" i="22"/>
  <c r="C79" i="31"/>
  <c r="C79" i="30"/>
  <c r="C79" i="19"/>
  <c r="C79" i="23"/>
  <c r="C79" i="17"/>
  <c r="C79" i="32"/>
  <c r="C79" i="29"/>
  <c r="C79" i="20"/>
  <c r="C79" i="26"/>
  <c r="C79" i="18"/>
  <c r="C94" i="26"/>
  <c r="C94" i="19"/>
  <c r="C94" i="29"/>
  <c r="C94" i="23"/>
  <c r="C94" i="35"/>
  <c r="C94" i="21"/>
  <c r="C94" i="18"/>
  <c r="C94" i="36"/>
  <c r="C94" i="24"/>
  <c r="C94" i="30"/>
  <c r="C94" i="33"/>
  <c r="C94" i="32"/>
  <c r="C94" i="31"/>
  <c r="C94" i="22"/>
  <c r="C94" i="17"/>
  <c r="C94" i="37"/>
  <c r="C94" i="28"/>
  <c r="C94" i="25"/>
  <c r="C94" i="34"/>
  <c r="C94" i="20"/>
  <c r="C78" i="32"/>
  <c r="C78" i="23"/>
  <c r="C78" i="26"/>
  <c r="C78" i="18"/>
  <c r="C78" i="20"/>
  <c r="C78" i="29"/>
  <c r="C78" i="24"/>
  <c r="C78" i="33"/>
  <c r="C78" i="21"/>
  <c r="C78" i="28"/>
  <c r="C78" i="25"/>
  <c r="C78" i="22"/>
  <c r="C78" i="17"/>
  <c r="C78" i="37"/>
  <c r="C78" i="36"/>
  <c r="C78" i="35"/>
  <c r="C78" i="34"/>
  <c r="C78" i="31"/>
  <c r="C78" i="30"/>
  <c r="C78" i="19"/>
  <c r="C62" i="31"/>
  <c r="C62" i="23"/>
  <c r="C62" i="28"/>
  <c r="C62" i="18"/>
  <c r="C62" i="35"/>
  <c r="C62" i="30"/>
  <c r="C62" i="24"/>
  <c r="C62" i="36"/>
  <c r="C62" i="32"/>
  <c r="C62" i="26"/>
  <c r="C62" i="20"/>
  <c r="C62" i="33"/>
  <c r="C62" i="25"/>
  <c r="C62" i="22"/>
  <c r="C62" i="17"/>
  <c r="C62" i="29"/>
  <c r="C62" i="21"/>
  <c r="C62" i="37"/>
  <c r="C62" i="34"/>
  <c r="C62" i="19"/>
  <c r="C46" i="37"/>
  <c r="C46" i="23"/>
  <c r="C46" i="21"/>
  <c r="C46" i="18"/>
  <c r="C46" i="34"/>
  <c r="C46" i="31"/>
  <c r="C46" i="24"/>
  <c r="C46" i="29"/>
  <c r="C46" i="33"/>
  <c r="C46" i="25"/>
  <c r="C46" i="22"/>
  <c r="C46" i="17"/>
  <c r="C46" i="30"/>
  <c r="C46" i="35"/>
  <c r="C46" i="32"/>
  <c r="C46" i="28"/>
  <c r="C46" i="26"/>
  <c r="C46" i="36"/>
  <c r="C46" i="20"/>
  <c r="C46" i="19"/>
  <c r="C30" i="30"/>
  <c r="C30" i="23"/>
  <c r="C30" i="37"/>
  <c r="C30" i="18"/>
  <c r="C30" i="34"/>
  <c r="C30" i="32"/>
  <c r="C30" i="24"/>
  <c r="C30" i="21"/>
  <c r="C30" i="35"/>
  <c r="C30" i="26"/>
  <c r="C30" i="29"/>
  <c r="C30" i="28"/>
  <c r="C30" i="31"/>
  <c r="C30" i="25"/>
  <c r="C30" i="22"/>
  <c r="C30" i="17"/>
  <c r="C30" i="36"/>
  <c r="C30" i="33"/>
  <c r="C30" i="20"/>
  <c r="C30" i="19"/>
  <c r="C14" i="28"/>
  <c r="C14" i="26"/>
  <c r="C14" i="23"/>
  <c r="C14" i="37"/>
  <c r="C14" i="31"/>
  <c r="C14" i="18"/>
  <c r="C14" i="30"/>
  <c r="C14" i="24"/>
  <c r="C14" i="20"/>
  <c r="C14" i="34"/>
  <c r="C14" i="32"/>
  <c r="C14" i="29"/>
  <c r="C14" i="25"/>
  <c r="C14" i="22"/>
  <c r="C14" i="17"/>
  <c r="C14" i="36"/>
  <c r="C14" i="21"/>
  <c r="C14" i="33"/>
  <c r="C14" i="35"/>
  <c r="C14" i="19"/>
  <c r="C63" i="24"/>
  <c r="C63" i="33"/>
  <c r="C63" i="20"/>
  <c r="C63" i="32"/>
  <c r="C63" i="29"/>
  <c r="C63" i="26"/>
  <c r="C63" i="25"/>
  <c r="C63" i="34"/>
  <c r="C63" i="22"/>
  <c r="C63" i="37"/>
  <c r="C63" i="28"/>
  <c r="C63" i="21"/>
  <c r="C63" i="19"/>
  <c r="C63" i="23"/>
  <c r="C63" i="17"/>
  <c r="C63" i="31"/>
  <c r="C63" i="35"/>
  <c r="C63" i="36"/>
  <c r="C63" i="30"/>
  <c r="C63" i="18"/>
  <c r="C93" i="31"/>
  <c r="C93" i="25"/>
  <c r="C93" i="33"/>
  <c r="C93" i="20"/>
  <c r="C93" i="26"/>
  <c r="C93" i="28"/>
  <c r="C93" i="34"/>
  <c r="C93" i="21"/>
  <c r="C93" i="19"/>
  <c r="C93" i="18"/>
  <c r="C93" i="23"/>
  <c r="C93" i="17"/>
  <c r="C93" i="35"/>
  <c r="C93" i="24"/>
  <c r="C93" i="36"/>
  <c r="C93" i="29"/>
  <c r="C93" i="30"/>
  <c r="C93" i="22"/>
  <c r="C93" i="37"/>
  <c r="C93" i="32"/>
  <c r="C50" i="37"/>
  <c r="C50" i="31"/>
  <c r="C50" i="26"/>
  <c r="C50" i="24"/>
  <c r="C50" i="35"/>
  <c r="C50" i="18"/>
  <c r="C50" i="29"/>
  <c r="C50" i="21"/>
  <c r="C50" i="23"/>
  <c r="C50" i="36"/>
  <c r="C50" i="30"/>
  <c r="C50" i="25"/>
  <c r="C50" i="19"/>
  <c r="C50" i="20"/>
  <c r="C50" i="28"/>
  <c r="C50" i="32"/>
  <c r="C50" i="22"/>
  <c r="C50" i="17"/>
  <c r="C50" i="34"/>
  <c r="C50" i="33"/>
  <c r="C15" i="34"/>
  <c r="C15" i="30"/>
  <c r="C15" i="24"/>
  <c r="C15" i="20"/>
  <c r="C15" i="36"/>
  <c r="C15" i="33"/>
  <c r="C15" i="32"/>
  <c r="C15" i="25"/>
  <c r="C15" i="22"/>
  <c r="C15" i="28"/>
  <c r="C15" i="21"/>
  <c r="C15" i="35"/>
  <c r="C15" i="19"/>
  <c r="C15" i="23"/>
  <c r="C15" i="17"/>
  <c r="C15" i="31"/>
  <c r="C15" i="26"/>
  <c r="C15" i="37"/>
  <c r="C15" i="29"/>
  <c r="C15" i="18"/>
  <c r="C77" i="28"/>
  <c r="C77" i="36"/>
  <c r="C77" i="35"/>
  <c r="C77" i="31"/>
  <c r="C77" i="30"/>
  <c r="C77" i="32"/>
  <c r="C77" i="19"/>
  <c r="C77" i="34"/>
  <c r="C77" i="26"/>
  <c r="C77" i="18"/>
  <c r="C77" i="23"/>
  <c r="C77" i="20"/>
  <c r="C77" i="17"/>
  <c r="C77" i="24"/>
  <c r="C77" i="21"/>
  <c r="C77" i="22"/>
  <c r="C77" i="29"/>
  <c r="C77" i="37"/>
  <c r="C77" i="33"/>
  <c r="C77" i="25"/>
  <c r="C29" i="36"/>
  <c r="C29" i="28"/>
  <c r="C29" i="20"/>
  <c r="C29" i="33"/>
  <c r="C29" i="29"/>
  <c r="C29" i="30"/>
  <c r="C29" i="19"/>
  <c r="C29" i="37"/>
  <c r="C29" i="18"/>
  <c r="C29" i="32"/>
  <c r="C29" i="23"/>
  <c r="C29" i="21"/>
  <c r="C29" i="17"/>
  <c r="C29" i="26"/>
  <c r="C29" i="24"/>
  <c r="C29" i="35"/>
  <c r="C29" i="34"/>
  <c r="C29" i="22"/>
  <c r="C29" i="31"/>
  <c r="C29" i="25"/>
  <c r="C92" i="35"/>
  <c r="C92" i="24"/>
  <c r="C92" i="23"/>
  <c r="C92" i="22"/>
  <c r="C92" i="36"/>
  <c r="C92" i="30"/>
  <c r="C92" i="37"/>
  <c r="C92" i="32"/>
  <c r="C92" i="29"/>
  <c r="C92" i="25"/>
  <c r="C92" i="31"/>
  <c r="C92" i="26"/>
  <c r="C92" i="33"/>
  <c r="C92" i="20"/>
  <c r="C92" i="17"/>
  <c r="C92" i="21"/>
  <c r="C92" i="28"/>
  <c r="C92" i="19"/>
  <c r="C92" i="18"/>
  <c r="C92" i="34"/>
  <c r="C44" i="22"/>
  <c r="C44" i="26"/>
  <c r="C44" i="25"/>
  <c r="C44" i="32"/>
  <c r="C44" i="30"/>
  <c r="C44" i="34"/>
  <c r="C44" i="21"/>
  <c r="C44" i="35"/>
  <c r="C44" i="33"/>
  <c r="C44" i="20"/>
  <c r="C44" i="17"/>
  <c r="C44" i="37"/>
  <c r="C44" i="29"/>
  <c r="C44" i="36"/>
  <c r="C44" i="19"/>
  <c r="C44" i="18"/>
  <c r="C44" i="31"/>
  <c r="C44" i="28"/>
  <c r="C44" i="24"/>
  <c r="C44" i="23"/>
  <c r="C12" i="30"/>
  <c r="C12" i="22"/>
  <c r="C12" i="32"/>
  <c r="C12" i="28"/>
  <c r="C12" i="21"/>
  <c r="C12" i="25"/>
  <c r="C12" i="20"/>
  <c r="C12" i="36"/>
  <c r="C12" i="17"/>
  <c r="C12" i="26"/>
  <c r="C12" i="37"/>
  <c r="C12" i="34"/>
  <c r="C12" i="29"/>
  <c r="C12" i="19"/>
  <c r="C12" i="18"/>
  <c r="C12" i="35"/>
  <c r="C12" i="31"/>
  <c r="C12" i="33"/>
  <c r="C12" i="24"/>
  <c r="C12" i="23"/>
  <c r="C47" i="24"/>
  <c r="C47" i="33"/>
  <c r="C47" i="28"/>
  <c r="C47" i="30"/>
  <c r="C47" i="25"/>
  <c r="C47" i="35"/>
  <c r="C47" i="22"/>
  <c r="C47" i="20"/>
  <c r="C47" i="36"/>
  <c r="C47" i="32"/>
  <c r="C47" i="26"/>
  <c r="C47" i="19"/>
  <c r="C47" i="23"/>
  <c r="C47" i="17"/>
  <c r="C47" i="34"/>
  <c r="C47" i="37"/>
  <c r="C47" i="21"/>
  <c r="C47" i="29"/>
  <c r="C47" i="31"/>
  <c r="C47" i="18"/>
  <c r="C109" i="30"/>
  <c r="C109" i="32"/>
  <c r="C109" i="36"/>
  <c r="C109" i="35"/>
  <c r="C109" i="25"/>
  <c r="C109" i="21"/>
  <c r="C109" i="33"/>
  <c r="C109" i="34"/>
  <c r="C109" i="28"/>
  <c r="C109" i="19"/>
  <c r="C109" i="29"/>
  <c r="C109" i="18"/>
  <c r="C109" i="31"/>
  <c r="C109" i="23"/>
  <c r="C109" i="17"/>
  <c r="C109" i="24"/>
  <c r="C109" i="37"/>
  <c r="C109" i="22"/>
  <c r="C109" i="26"/>
  <c r="C109" i="20"/>
  <c r="C61" i="33"/>
  <c r="C61" i="37"/>
  <c r="C61" i="19"/>
  <c r="C61" i="34"/>
  <c r="C61" i="31"/>
  <c r="C61" i="29"/>
  <c r="C61" i="18"/>
  <c r="C61" i="23"/>
  <c r="C61" i="17"/>
  <c r="C61" i="35"/>
  <c r="C61" i="30"/>
  <c r="C61" i="24"/>
  <c r="C61" i="32"/>
  <c r="C61" i="28"/>
  <c r="C61" i="26"/>
  <c r="C61" i="20"/>
  <c r="C61" i="22"/>
  <c r="C61" i="36"/>
  <c r="C61" i="25"/>
  <c r="C61" i="21"/>
  <c r="C45" i="26"/>
  <c r="C45" i="33"/>
  <c r="C45" i="32"/>
  <c r="C45" i="30"/>
  <c r="C45" i="35"/>
  <c r="C45" i="29"/>
  <c r="C45" i="20"/>
  <c r="C45" i="21"/>
  <c r="C45" i="37"/>
  <c r="C45" i="36"/>
  <c r="C45" i="19"/>
  <c r="C45" i="28"/>
  <c r="C45" i="18"/>
  <c r="C45" i="23"/>
  <c r="C45" i="31"/>
  <c r="C45" i="17"/>
  <c r="C45" i="24"/>
  <c r="C45" i="34"/>
  <c r="C45" i="22"/>
  <c r="C45" i="25"/>
  <c r="C13" i="36"/>
  <c r="C13" i="34"/>
  <c r="C13" i="29"/>
  <c r="C13" i="33"/>
  <c r="C13" i="26"/>
  <c r="C13" i="19"/>
  <c r="C13" i="37"/>
  <c r="C13" i="35"/>
  <c r="C13" i="31"/>
  <c r="C13" i="18"/>
  <c r="C13" i="23"/>
  <c r="C13" i="17"/>
  <c r="C13" i="30"/>
  <c r="C13" i="28"/>
  <c r="C13" i="24"/>
  <c r="C13" i="22"/>
  <c r="C13" i="32"/>
  <c r="C13" i="20"/>
  <c r="C13" i="25"/>
  <c r="C13" i="21"/>
  <c r="C76" i="34"/>
  <c r="C76" i="22"/>
  <c r="C76" i="37"/>
  <c r="C76" i="25"/>
  <c r="C76" i="29"/>
  <c r="C76" i="33"/>
  <c r="C76" i="36"/>
  <c r="C76" i="35"/>
  <c r="C76" i="17"/>
  <c r="C76" i="31"/>
  <c r="C76" i="30"/>
  <c r="C76" i="28"/>
  <c r="C76" i="32"/>
  <c r="C76" i="26"/>
  <c r="C76" i="19"/>
  <c r="C76" i="18"/>
  <c r="C76" i="21"/>
  <c r="C76" i="20"/>
  <c r="C76" i="24"/>
  <c r="C76" i="23"/>
  <c r="C60" i="35"/>
  <c r="C60" i="32"/>
  <c r="C60" i="30"/>
  <c r="C60" i="22"/>
  <c r="C60" i="20"/>
  <c r="C60" i="21"/>
  <c r="C60" i="28"/>
  <c r="C60" i="36"/>
  <c r="C60" i="25"/>
  <c r="C60" i="37"/>
  <c r="C60" i="17"/>
  <c r="C60" i="33"/>
  <c r="C60" i="31"/>
  <c r="C60" i="19"/>
  <c r="C60" i="18"/>
  <c r="C60" i="29"/>
  <c r="C60" i="26"/>
  <c r="C60" i="34"/>
  <c r="C60" i="24"/>
  <c r="C60" i="23"/>
  <c r="C28" i="22"/>
  <c r="C28" i="35"/>
  <c r="C28" i="25"/>
  <c r="C28" i="31"/>
  <c r="C28" i="34"/>
  <c r="C28" i="20"/>
  <c r="C28" i="17"/>
  <c r="C28" i="33"/>
  <c r="C28" i="28"/>
  <c r="C28" i="37"/>
  <c r="C28" i="36"/>
  <c r="C28" i="30"/>
  <c r="C28" i="29"/>
  <c r="C28" i="19"/>
  <c r="C28" i="18"/>
  <c r="C28" i="32"/>
  <c r="C28" i="21"/>
  <c r="C28" i="26"/>
  <c r="C28" i="24"/>
  <c r="C28" i="23"/>
  <c r="C107" i="18"/>
  <c r="C107" i="33"/>
  <c r="C107" i="32"/>
  <c r="C107" i="30"/>
  <c r="C107" i="36"/>
  <c r="C107" i="19"/>
  <c r="C107" i="22"/>
  <c r="C107" i="31"/>
  <c r="C107" i="26"/>
  <c r="C107" i="37"/>
  <c r="C107" i="29"/>
  <c r="C107" i="24"/>
  <c r="C107" i="28"/>
  <c r="C107" i="23"/>
  <c r="C107" i="34"/>
  <c r="C107" i="21"/>
  <c r="C107" i="17"/>
  <c r="C107" i="25"/>
  <c r="C107" i="20"/>
  <c r="C107" i="35"/>
  <c r="C91" i="18"/>
  <c r="C91" i="19"/>
  <c r="C91" i="17"/>
  <c r="C91" i="22"/>
  <c r="C91" i="24"/>
  <c r="C91" i="35"/>
  <c r="C91" i="37"/>
  <c r="C91" i="34"/>
  <c r="C91" i="32"/>
  <c r="C91" i="30"/>
  <c r="C91" i="28"/>
  <c r="C91" i="23"/>
  <c r="C91" i="36"/>
  <c r="C91" i="29"/>
  <c r="C91" i="26"/>
  <c r="C91" i="25"/>
  <c r="C91" i="31"/>
  <c r="C91" i="21"/>
  <c r="C91" i="20"/>
  <c r="C91" i="33"/>
  <c r="C75" i="21"/>
  <c r="C75" i="19"/>
  <c r="C75" i="28"/>
  <c r="C75" i="22"/>
  <c r="C75" i="24"/>
  <c r="C75" i="20"/>
  <c r="C75" i="23"/>
  <c r="C75" i="37"/>
  <c r="C75" i="34"/>
  <c r="C75" i="25"/>
  <c r="C75" i="17"/>
  <c r="C75" i="33"/>
  <c r="C75" i="29"/>
  <c r="C75" i="26"/>
  <c r="C75" i="35"/>
  <c r="C75" i="31"/>
  <c r="C75" i="36"/>
  <c r="C75" i="32"/>
  <c r="C75" i="30"/>
  <c r="C75" i="18"/>
  <c r="C59" i="33"/>
  <c r="C59" i="31"/>
  <c r="C59" i="26"/>
  <c r="C59" i="19"/>
  <c r="C59" i="22"/>
  <c r="C59" i="32"/>
  <c r="C59" i="24"/>
  <c r="C59" i="29"/>
  <c r="C59" i="21"/>
  <c r="C59" i="23"/>
  <c r="C59" i="35"/>
  <c r="C59" i="30"/>
  <c r="C59" i="20"/>
  <c r="C59" i="25"/>
  <c r="C59" i="36"/>
  <c r="C59" i="37"/>
  <c r="C59" i="34"/>
  <c r="C59" i="17"/>
  <c r="C59" i="28"/>
  <c r="C59" i="18"/>
  <c r="C43" i="34"/>
  <c r="C43" i="19"/>
  <c r="C43" i="36"/>
  <c r="C43" i="29"/>
  <c r="C43" i="31"/>
  <c r="C43" i="22"/>
  <c r="C43" i="24"/>
  <c r="C43" i="26"/>
  <c r="C43" i="23"/>
  <c r="C43" i="28"/>
  <c r="C43" i="17"/>
  <c r="C43" i="25"/>
  <c r="C43" i="32"/>
  <c r="C43" i="21"/>
  <c r="C43" i="30"/>
  <c r="C43" i="37"/>
  <c r="C43" i="20"/>
  <c r="C43" i="35"/>
  <c r="C43" i="33"/>
  <c r="C43" i="18"/>
  <c r="C27" i="34"/>
  <c r="C27" i="33"/>
  <c r="C27" i="32"/>
  <c r="C27" i="26"/>
  <c r="C27" i="21"/>
  <c r="C27" i="36"/>
  <c r="C27" i="19"/>
  <c r="C27" i="29"/>
  <c r="C27" i="22"/>
  <c r="C27" i="28"/>
  <c r="C27" i="24"/>
  <c r="C27" i="17"/>
  <c r="C27" i="23"/>
  <c r="C27" i="35"/>
  <c r="C27" i="25"/>
  <c r="C27" i="31"/>
  <c r="C27" i="20"/>
  <c r="C27" i="37"/>
  <c r="C27" i="30"/>
  <c r="C27" i="18"/>
  <c r="C11" i="29"/>
  <c r="C11" i="19"/>
  <c r="C11" i="34"/>
  <c r="C11" i="31"/>
  <c r="C11" i="35"/>
  <c r="C11" i="22"/>
  <c r="C11" i="24"/>
  <c r="C11" i="33"/>
  <c r="C11" i="30"/>
  <c r="C11" i="32"/>
  <c r="C11" i="23"/>
  <c r="C11" i="21"/>
  <c r="C11" i="25"/>
  <c r="C11" i="28"/>
  <c r="C11" i="26"/>
  <c r="C11" i="20"/>
  <c r="C11" i="17"/>
  <c r="C11" i="37"/>
  <c r="C11" i="36"/>
  <c r="C11" i="18"/>
  <c r="C66" i="28"/>
  <c r="C66" i="21"/>
  <c r="C66" i="24"/>
  <c r="C66" i="20"/>
  <c r="C66" i="18"/>
  <c r="C66" i="23"/>
  <c r="C66" i="32"/>
  <c r="C66" i="25"/>
  <c r="C66" i="19"/>
  <c r="C66" i="34"/>
  <c r="C66" i="35"/>
  <c r="C66" i="29"/>
  <c r="C66" i="26"/>
  <c r="C66" i="31"/>
  <c r="C66" i="37"/>
  <c r="C66" i="36"/>
  <c r="C66" i="33"/>
  <c r="C66" i="22"/>
  <c r="C66" i="17"/>
  <c r="C66" i="30"/>
  <c r="C106" i="34"/>
  <c r="C106" i="20"/>
  <c r="C106" i="35"/>
  <c r="C106" i="18"/>
  <c r="C106" i="32"/>
  <c r="C106" i="30"/>
  <c r="C106" i="22"/>
  <c r="C106" i="17"/>
  <c r="C106" i="36"/>
  <c r="C106" i="33"/>
  <c r="C106" i="26"/>
  <c r="C106" i="19"/>
  <c r="C106" i="37"/>
  <c r="C106" i="31"/>
  <c r="C106" i="24"/>
  <c r="C106" i="21"/>
  <c r="C106" i="29"/>
  <c r="C106" i="23"/>
  <c r="C106" i="28"/>
  <c r="C106" i="25"/>
  <c r="C90" i="36"/>
  <c r="C90" i="31"/>
  <c r="C90" i="21"/>
  <c r="C90" i="34"/>
  <c r="C90" i="33"/>
  <c r="C90" i="29"/>
  <c r="C90" i="20"/>
  <c r="C90" i="18"/>
  <c r="C90" i="22"/>
  <c r="C90" i="17"/>
  <c r="C90" i="19"/>
  <c r="C90" i="24"/>
  <c r="C90" i="37"/>
  <c r="C90" i="32"/>
  <c r="C90" i="30"/>
  <c r="C90" i="35"/>
  <c r="C90" i="26"/>
  <c r="C90" i="23"/>
  <c r="C90" i="28"/>
  <c r="C90" i="25"/>
  <c r="C74" i="34"/>
  <c r="C74" i="26"/>
  <c r="C74" i="33"/>
  <c r="C74" i="32"/>
  <c r="C74" i="31"/>
  <c r="C74" i="18"/>
  <c r="C74" i="35"/>
  <c r="C74" i="30"/>
  <c r="C74" i="21"/>
  <c r="C74" i="36"/>
  <c r="C74" i="22"/>
  <c r="C74" i="17"/>
  <c r="C74" i="29"/>
  <c r="C74" i="19"/>
  <c r="C74" i="24"/>
  <c r="C74" i="20"/>
  <c r="C74" i="28"/>
  <c r="C74" i="37"/>
  <c r="C74" i="23"/>
  <c r="C74" i="25"/>
  <c r="C58" i="36"/>
  <c r="C58" i="18"/>
  <c r="C58" i="26"/>
  <c r="C58" i="28"/>
  <c r="C58" i="33"/>
  <c r="C58" i="31"/>
  <c r="C58" i="22"/>
  <c r="C58" i="17"/>
  <c r="C58" i="34"/>
  <c r="C58" i="19"/>
  <c r="C58" i="32"/>
  <c r="C58" i="21"/>
  <c r="C58" i="24"/>
  <c r="C58" i="30"/>
  <c r="C58" i="20"/>
  <c r="C58" i="23"/>
  <c r="C58" i="25"/>
  <c r="C58" i="37"/>
  <c r="C58" i="35"/>
  <c r="C58" i="29"/>
  <c r="C42" i="30"/>
  <c r="C42" i="37"/>
  <c r="C42" i="18"/>
  <c r="C42" i="20"/>
  <c r="C42" i="35"/>
  <c r="C42" i="33"/>
  <c r="C42" i="22"/>
  <c r="C42" i="17"/>
  <c r="C42" i="19"/>
  <c r="C42" i="34"/>
  <c r="C42" i="36"/>
  <c r="C42" i="31"/>
  <c r="C42" i="24"/>
  <c r="C42" i="26"/>
  <c r="C42" i="29"/>
  <c r="C42" i="23"/>
  <c r="C42" i="32"/>
  <c r="C42" i="25"/>
  <c r="C42" i="21"/>
  <c r="C42" i="28"/>
  <c r="C26" i="37"/>
  <c r="C26" i="26"/>
  <c r="C26" i="20"/>
  <c r="C26" i="18"/>
  <c r="C26" i="32"/>
  <c r="C26" i="30"/>
  <c r="C26" i="21"/>
  <c r="C26" i="22"/>
  <c r="C26" i="17"/>
  <c r="C26" i="36"/>
  <c r="C26" i="19"/>
  <c r="C26" i="33"/>
  <c r="C26" i="24"/>
  <c r="C26" i="34"/>
  <c r="C26" i="29"/>
  <c r="C26" i="28"/>
  <c r="C26" i="23"/>
  <c r="C26" i="35"/>
  <c r="C26" i="25"/>
  <c r="C26" i="31"/>
  <c r="C10" i="26"/>
  <c r="C10" i="37"/>
  <c r="C10" i="28"/>
  <c r="C10" i="20"/>
  <c r="C10" i="18"/>
  <c r="C10" i="36"/>
  <c r="C10" i="22"/>
  <c r="C10" i="17"/>
  <c r="C10" i="31"/>
  <c r="C10" i="19"/>
  <c r="C10" i="24"/>
  <c r="C10" i="21"/>
  <c r="C10" i="35"/>
  <c r="C10" i="32"/>
  <c r="C10" i="30"/>
  <c r="C10" i="29"/>
  <c r="C10" i="34"/>
  <c r="C10" i="33"/>
  <c r="C10" i="23"/>
  <c r="C10" i="25"/>
  <c r="C89" i="32"/>
  <c r="C89" i="26"/>
  <c r="C89" i="30"/>
  <c r="C89" i="35"/>
  <c r="C89" i="25"/>
  <c r="C89" i="21"/>
  <c r="C89" i="17"/>
  <c r="C89" i="31"/>
  <c r="C89" i="23"/>
  <c r="C89" i="36"/>
  <c r="C89" i="28"/>
  <c r="C89" i="18"/>
  <c r="C89" i="22"/>
  <c r="C89" i="20"/>
  <c r="C89" i="33"/>
  <c r="C89" i="34"/>
  <c r="C89" i="29"/>
  <c r="C89" i="19"/>
  <c r="C89" i="37"/>
  <c r="C89" i="24"/>
  <c r="C73" i="37"/>
  <c r="C73" i="17"/>
  <c r="C73" i="29"/>
  <c r="C73" i="26"/>
  <c r="C73" i="25"/>
  <c r="C73" i="23"/>
  <c r="C73" i="28"/>
  <c r="C73" i="18"/>
  <c r="C73" i="32"/>
  <c r="C73" i="31"/>
  <c r="C73" i="21"/>
  <c r="C73" i="22"/>
  <c r="C73" i="34"/>
  <c r="C73" i="33"/>
  <c r="C73" i="30"/>
  <c r="C73" i="36"/>
  <c r="C73" i="35"/>
  <c r="C73" i="19"/>
  <c r="C73" i="24"/>
  <c r="C73" i="20"/>
  <c r="C57" i="30"/>
  <c r="C57" i="37"/>
  <c r="C57" i="25"/>
  <c r="C57" i="20"/>
  <c r="C57" i="23"/>
  <c r="C57" i="36"/>
  <c r="C57" i="35"/>
  <c r="C57" i="18"/>
  <c r="C57" i="26"/>
  <c r="C57" i="22"/>
  <c r="C57" i="29"/>
  <c r="C57" i="17"/>
  <c r="C57" i="31"/>
  <c r="C57" i="21"/>
  <c r="C57" i="33"/>
  <c r="C57" i="32"/>
  <c r="C57" i="19"/>
  <c r="C57" i="28"/>
  <c r="C57" i="24"/>
  <c r="C57" i="34"/>
  <c r="C41" i="21"/>
  <c r="C41" i="17"/>
  <c r="C41" i="32"/>
  <c r="C41" i="34"/>
  <c r="C41" i="25"/>
  <c r="C41" i="23"/>
  <c r="C41" i="37"/>
  <c r="C41" i="30"/>
  <c r="C41" i="29"/>
  <c r="C41" i="18"/>
  <c r="C41" i="22"/>
  <c r="C41" i="28"/>
  <c r="C41" i="35"/>
  <c r="C41" i="20"/>
  <c r="C41" i="33"/>
  <c r="C41" i="26"/>
  <c r="C41" i="19"/>
  <c r="C41" i="24"/>
  <c r="C41" i="36"/>
  <c r="C41" i="31"/>
  <c r="C25" i="33"/>
  <c r="C25" i="17"/>
  <c r="C25" i="34"/>
  <c r="C25" i="25"/>
  <c r="C25" i="29"/>
  <c r="C25" i="28"/>
  <c r="C25" i="23"/>
  <c r="C25" i="31"/>
  <c r="C25" i="37"/>
  <c r="C25" i="35"/>
  <c r="C25" i="26"/>
  <c r="C25" i="21"/>
  <c r="C25" i="18"/>
  <c r="C25" i="32"/>
  <c r="C25" i="22"/>
  <c r="C25" i="30"/>
  <c r="C25" i="20"/>
  <c r="C25" i="19"/>
  <c r="C25" i="36"/>
  <c r="C25" i="24"/>
  <c r="C9" i="35"/>
  <c r="C9" i="30"/>
  <c r="C9" i="29"/>
  <c r="C9" i="33"/>
  <c r="C9" i="26"/>
  <c r="C9" i="25"/>
  <c r="C9" i="23"/>
  <c r="C9" i="34"/>
  <c r="C9" i="17"/>
  <c r="C9" i="37"/>
  <c r="C9" i="18"/>
  <c r="C9" i="22"/>
  <c r="C9" i="20"/>
  <c r="C9" i="36"/>
  <c r="C9" i="31"/>
  <c r="C9" i="28"/>
  <c r="C9" i="21"/>
  <c r="C9" i="19"/>
  <c r="C9" i="24"/>
  <c r="C9" i="32"/>
  <c r="C34" i="37"/>
  <c r="C34" i="34"/>
  <c r="C34" i="33"/>
  <c r="C34" i="24"/>
  <c r="C34" i="32"/>
  <c r="C34" i="18"/>
  <c r="C34" i="31"/>
  <c r="C34" i="29"/>
  <c r="C34" i="23"/>
  <c r="C34" i="28"/>
  <c r="C34" i="25"/>
  <c r="C34" i="20"/>
  <c r="C34" i="19"/>
  <c r="C34" i="26"/>
  <c r="C34" i="21"/>
  <c r="C34" i="30"/>
  <c r="C34" i="35"/>
  <c r="C34" i="22"/>
  <c r="C34" i="17"/>
  <c r="C34" i="36"/>
  <c r="C2" i="31"/>
  <c r="C2" i="24"/>
  <c r="C2" i="37"/>
  <c r="C2" i="30"/>
  <c r="C2" i="29"/>
  <c r="C2" i="20"/>
  <c r="C2" i="18"/>
  <c r="C2" i="21"/>
  <c r="C2" i="23"/>
  <c r="C2" i="25"/>
  <c r="C2" i="34"/>
  <c r="C2" i="19"/>
  <c r="C2" i="28"/>
  <c r="C2" i="36"/>
  <c r="C2" i="35"/>
  <c r="C2" i="32"/>
  <c r="C2" i="33"/>
  <c r="C2" i="26"/>
  <c r="C2" i="22"/>
  <c r="C2" i="17"/>
  <c r="C56" i="21"/>
  <c r="C56" i="31"/>
  <c r="C56" i="32"/>
  <c r="C56" i="29"/>
  <c r="C56" i="24"/>
  <c r="C56" i="19"/>
  <c r="C56" i="17"/>
  <c r="C56" i="33"/>
  <c r="C56" i="37"/>
  <c r="C56" i="34"/>
  <c r="C56" i="30"/>
  <c r="C56" i="28"/>
  <c r="C56" i="25"/>
  <c r="C56" i="23"/>
  <c r="C56" i="20"/>
  <c r="C56" i="18"/>
  <c r="C56" i="36"/>
  <c r="C56" i="35"/>
  <c r="C56" i="26"/>
  <c r="C56" i="22"/>
  <c r="C103" i="18"/>
  <c r="C103" i="20"/>
  <c r="C103" i="17"/>
  <c r="C103" i="32"/>
  <c r="C103" i="26"/>
  <c r="C103" i="23"/>
  <c r="C103" i="37"/>
  <c r="C103" i="35"/>
  <c r="C103" i="30"/>
  <c r="C103" i="29"/>
  <c r="C103" i="21"/>
  <c r="C103" i="24"/>
  <c r="C103" i="36"/>
  <c r="C103" i="31"/>
  <c r="C103" i="19"/>
  <c r="C103" i="33"/>
  <c r="C103" i="28"/>
  <c r="C103" i="34"/>
  <c r="C103" i="25"/>
  <c r="C103" i="22"/>
  <c r="C102" i="36"/>
  <c r="C102" i="31"/>
  <c r="C102" i="29"/>
  <c r="C102" i="19"/>
  <c r="C102" i="22"/>
  <c r="C102" i="17"/>
  <c r="C102" i="33"/>
  <c r="C102" i="25"/>
  <c r="C102" i="34"/>
  <c r="C102" i="18"/>
  <c r="C102" i="28"/>
  <c r="C102" i="26"/>
  <c r="C102" i="20"/>
  <c r="C102" i="32"/>
  <c r="C102" i="37"/>
  <c r="C102" i="30"/>
  <c r="C102" i="23"/>
  <c r="C102" i="21"/>
  <c r="C102" i="35"/>
  <c r="C102" i="24"/>
  <c r="C54" i="30"/>
  <c r="C54" i="33"/>
  <c r="C54" i="29"/>
  <c r="C54" i="26"/>
  <c r="C54" i="25"/>
  <c r="C54" i="22"/>
  <c r="C54" i="17"/>
  <c r="C54" i="18"/>
  <c r="C54" i="20"/>
  <c r="C54" i="21"/>
  <c r="C54" i="35"/>
  <c r="C54" i="28"/>
  <c r="C54" i="23"/>
  <c r="C54" i="32"/>
  <c r="C54" i="36"/>
  <c r="C54" i="34"/>
  <c r="C54" i="31"/>
  <c r="C54" i="24"/>
  <c r="C54" i="37"/>
  <c r="C54" i="19"/>
  <c r="C38" i="32"/>
  <c r="C38" i="37"/>
  <c r="C38" i="20"/>
  <c r="C38" i="25"/>
  <c r="C38" i="22"/>
  <c r="C38" i="17"/>
  <c r="C38" i="36"/>
  <c r="C38" i="33"/>
  <c r="C38" i="18"/>
  <c r="C38" i="28"/>
  <c r="C38" i="30"/>
  <c r="C38" i="26"/>
  <c r="C38" i="23"/>
  <c r="C38" i="34"/>
  <c r="C38" i="24"/>
  <c r="C38" i="21"/>
  <c r="C38" i="35"/>
  <c r="C38" i="31"/>
  <c r="C38" i="29"/>
  <c r="C38" i="19"/>
  <c r="C22" i="37"/>
  <c r="C22" i="26"/>
  <c r="C22" i="25"/>
  <c r="C22" i="22"/>
  <c r="C22" i="17"/>
  <c r="C22" i="21"/>
  <c r="C22" i="18"/>
  <c r="C22" i="33"/>
  <c r="C22" i="36"/>
  <c r="C22" i="32"/>
  <c r="C22" i="31"/>
  <c r="C22" i="23"/>
  <c r="C22" i="30"/>
  <c r="C22" i="35"/>
  <c r="C22" i="24"/>
  <c r="C22" i="29"/>
  <c r="C22" i="20"/>
  <c r="C22" i="34"/>
  <c r="C22" i="28"/>
  <c r="C22" i="19"/>
  <c r="C6" i="34"/>
  <c r="C6" i="37"/>
  <c r="C6" i="36"/>
  <c r="C6" i="25"/>
  <c r="C6" i="22"/>
  <c r="C6" i="17"/>
  <c r="C6" i="35"/>
  <c r="C6" i="18"/>
  <c r="C6" i="33"/>
  <c r="C6" i="28"/>
  <c r="C6" i="21"/>
  <c r="C6" i="23"/>
  <c r="C6" i="32"/>
  <c r="C6" i="31"/>
  <c r="C6" i="24"/>
  <c r="C6" i="26"/>
  <c r="C6" i="20"/>
  <c r="C6" i="30"/>
  <c r="C6" i="29"/>
  <c r="C6" i="19"/>
  <c r="C72" i="33"/>
  <c r="C72" i="17"/>
  <c r="C72" i="35"/>
  <c r="C72" i="34"/>
  <c r="C72" i="36"/>
  <c r="C72" i="24"/>
  <c r="C72" i="19"/>
  <c r="C72" i="37"/>
  <c r="C72" i="20"/>
  <c r="C72" i="26"/>
  <c r="C72" i="29"/>
  <c r="C72" i="25"/>
  <c r="C72" i="23"/>
  <c r="C72" i="18"/>
  <c r="C72" i="32"/>
  <c r="C72" i="22"/>
  <c r="C72" i="21"/>
  <c r="C72" i="31"/>
  <c r="C72" i="28"/>
  <c r="C72" i="30"/>
  <c r="C40" i="17"/>
  <c r="C40" i="26"/>
  <c r="C40" i="35"/>
  <c r="C40" i="28"/>
  <c r="C40" i="24"/>
  <c r="C40" i="20"/>
  <c r="C40" i="19"/>
  <c r="C40" i="33"/>
  <c r="C40" i="31"/>
  <c r="C40" i="36"/>
  <c r="C40" i="21"/>
  <c r="C40" i="32"/>
  <c r="C40" i="25"/>
  <c r="C40" i="37"/>
  <c r="C40" i="30"/>
  <c r="C40" i="23"/>
  <c r="C40" i="18"/>
  <c r="C40" i="22"/>
  <c r="C40" i="34"/>
  <c r="C40" i="29"/>
  <c r="C8" i="21"/>
  <c r="C8" i="31"/>
  <c r="C8" i="20"/>
  <c r="C8" i="36"/>
  <c r="C8" i="24"/>
  <c r="C8" i="19"/>
  <c r="C8" i="32"/>
  <c r="C8" i="17"/>
  <c r="C8" i="30"/>
  <c r="C8" i="28"/>
  <c r="C8" i="35"/>
  <c r="C8" i="26"/>
  <c r="C8" i="25"/>
  <c r="C8" i="33"/>
  <c r="C8" i="37"/>
  <c r="C8" i="23"/>
  <c r="C8" i="18"/>
  <c r="C8" i="29"/>
  <c r="C8" i="22"/>
  <c r="C8" i="34"/>
  <c r="C71" i="21"/>
  <c r="C71" i="32"/>
  <c r="C71" i="23"/>
  <c r="C71" i="31"/>
  <c r="C71" i="17"/>
  <c r="C71" i="30"/>
  <c r="C71" i="28"/>
  <c r="C71" i="35"/>
  <c r="C71" i="33"/>
  <c r="C71" i="24"/>
  <c r="C71" i="37"/>
  <c r="C71" i="19"/>
  <c r="C71" i="26"/>
  <c r="C71" i="36"/>
  <c r="C71" i="20"/>
  <c r="C71" i="34"/>
  <c r="C71" i="25"/>
  <c r="C71" i="29"/>
  <c r="C71" i="22"/>
  <c r="C71" i="18"/>
  <c r="C39" i="30"/>
  <c r="C39" i="23"/>
  <c r="C39" i="17"/>
  <c r="C39" i="34"/>
  <c r="C39" i="26"/>
  <c r="C39" i="29"/>
  <c r="C39" i="24"/>
  <c r="C39" i="35"/>
  <c r="C39" i="31"/>
  <c r="C39" i="21"/>
  <c r="C39" i="19"/>
  <c r="C39" i="20"/>
  <c r="C39" i="36"/>
  <c r="C39" i="33"/>
  <c r="C39" i="28"/>
  <c r="C39" i="32"/>
  <c r="C39" i="37"/>
  <c r="C39" i="25"/>
  <c r="C39" i="22"/>
  <c r="C39" i="18"/>
  <c r="C7" i="33"/>
  <c r="C7" i="23"/>
  <c r="C7" i="17"/>
  <c r="C7" i="21"/>
  <c r="C7" i="29"/>
  <c r="C7" i="31"/>
  <c r="C7" i="34"/>
  <c r="C7" i="32"/>
  <c r="C7" i="24"/>
  <c r="C7" i="20"/>
  <c r="C7" i="19"/>
  <c r="C7" i="36"/>
  <c r="C7" i="30"/>
  <c r="C7" i="26"/>
  <c r="C7" i="35"/>
  <c r="C7" i="28"/>
  <c r="C7" i="25"/>
  <c r="C7" i="37"/>
  <c r="C7" i="22"/>
  <c r="C7" i="18"/>
  <c r="C85" i="23"/>
  <c r="C85" i="20"/>
  <c r="C85" i="17"/>
  <c r="C85" i="32"/>
  <c r="C85" i="24"/>
  <c r="C85" i="21"/>
  <c r="C85" i="22"/>
  <c r="C85" i="19"/>
  <c r="C85" i="30"/>
  <c r="C85" i="25"/>
  <c r="C85" i="18"/>
  <c r="C85" i="33"/>
  <c r="C85" i="31"/>
  <c r="C85" i="28"/>
  <c r="C85" i="35"/>
  <c r="C85" i="26"/>
  <c r="C85" i="37"/>
  <c r="C85" i="34"/>
  <c r="C85" i="29"/>
  <c r="C85" i="36"/>
  <c r="C21" i="23"/>
  <c r="C21" i="35"/>
  <c r="C21" i="17"/>
  <c r="C21" i="24"/>
  <c r="C21" i="20"/>
  <c r="C21" i="22"/>
  <c r="C21" i="19"/>
  <c r="C21" i="37"/>
  <c r="C21" i="29"/>
  <c r="C21" i="26"/>
  <c r="C21" i="21"/>
  <c r="C21" i="34"/>
  <c r="C21" i="28"/>
  <c r="C21" i="25"/>
  <c r="C21" i="18"/>
  <c r="C21" i="33"/>
  <c r="C21" i="32"/>
  <c r="C21" i="31"/>
  <c r="C21" i="36"/>
  <c r="C21" i="30"/>
  <c r="C20" i="31"/>
  <c r="C20" i="17"/>
  <c r="C20" i="34"/>
  <c r="C20" i="33"/>
  <c r="C20" i="36"/>
  <c r="C20" i="30"/>
  <c r="C20" i="35"/>
  <c r="C20" i="24"/>
  <c r="C20" i="23"/>
  <c r="C20" i="22"/>
  <c r="C20" i="20"/>
  <c r="C20" i="21"/>
  <c r="C20" i="37"/>
  <c r="C20" i="26"/>
  <c r="C20" i="19"/>
  <c r="C20" i="18"/>
  <c r="C20" i="25"/>
  <c r="C20" i="32"/>
  <c r="C20" i="29"/>
  <c r="C20" i="28"/>
  <c r="C88" i="20"/>
  <c r="C88" i="33"/>
  <c r="C88" i="28"/>
  <c r="C88" i="17"/>
  <c r="C88" i="37"/>
  <c r="C88" i="34"/>
  <c r="C88" i="29"/>
  <c r="C88" i="26"/>
  <c r="C88" i="24"/>
  <c r="C88" i="19"/>
  <c r="C88" i="32"/>
  <c r="C88" i="30"/>
  <c r="C88" i="21"/>
  <c r="C88" i="25"/>
  <c r="C88" i="35"/>
  <c r="C88" i="31"/>
  <c r="C88" i="36"/>
  <c r="C88" i="23"/>
  <c r="C88" i="22"/>
  <c r="C88" i="18"/>
  <c r="C24" i="30"/>
  <c r="C24" i="20"/>
  <c r="C24" i="17"/>
  <c r="C24" i="24"/>
  <c r="C24" i="19"/>
  <c r="C24" i="36"/>
  <c r="C24" i="33"/>
  <c r="C24" i="25"/>
  <c r="C24" i="37"/>
  <c r="C24" i="31"/>
  <c r="C24" i="34"/>
  <c r="C24" i="26"/>
  <c r="C24" i="23"/>
  <c r="C24" i="21"/>
  <c r="C24" i="18"/>
  <c r="C24" i="35"/>
  <c r="C24" i="32"/>
  <c r="C24" i="29"/>
  <c r="C24" i="22"/>
  <c r="C24" i="28"/>
  <c r="C55" i="34"/>
  <c r="C55" i="20"/>
  <c r="C55" i="17"/>
  <c r="C55" i="35"/>
  <c r="C55" i="23"/>
  <c r="C55" i="36"/>
  <c r="C55" i="21"/>
  <c r="C55" i="32"/>
  <c r="C55" i="31"/>
  <c r="C55" i="24"/>
  <c r="C55" i="29"/>
  <c r="C55" i="19"/>
  <c r="C55" i="37"/>
  <c r="C55" i="33"/>
  <c r="C55" i="30"/>
  <c r="C55" i="25"/>
  <c r="C55" i="28"/>
  <c r="C55" i="26"/>
  <c r="C55" i="22"/>
  <c r="C55" i="18"/>
  <c r="C23" i="32"/>
  <c r="C23" i="35"/>
  <c r="C23" i="23"/>
  <c r="C23" i="17"/>
  <c r="C23" i="29"/>
  <c r="C23" i="30"/>
  <c r="C23" i="28"/>
  <c r="C23" i="34"/>
  <c r="C23" i="20"/>
  <c r="C23" i="24"/>
  <c r="C23" i="19"/>
  <c r="C23" i="33"/>
  <c r="C23" i="25"/>
  <c r="C23" i="37"/>
  <c r="C23" i="36"/>
  <c r="C23" i="31"/>
  <c r="C23" i="26"/>
  <c r="C23" i="22"/>
  <c r="C23" i="21"/>
  <c r="C23" i="18"/>
  <c r="C69" i="30"/>
  <c r="C69" i="26"/>
  <c r="C69" i="23"/>
  <c r="C69" i="37"/>
  <c r="C69" i="17"/>
  <c r="C69" i="24"/>
  <c r="C69" i="29"/>
  <c r="C69" i="20"/>
  <c r="C69" i="22"/>
  <c r="C69" i="19"/>
  <c r="C69" i="35"/>
  <c r="C69" i="33"/>
  <c r="C69" i="28"/>
  <c r="C69" i="25"/>
  <c r="C69" i="21"/>
  <c r="C69" i="18"/>
  <c r="C69" i="36"/>
  <c r="C69" i="32"/>
  <c r="C69" i="34"/>
  <c r="C69" i="31"/>
  <c r="C37" i="23"/>
  <c r="C37" i="21"/>
  <c r="C37" i="17"/>
  <c r="C37" i="24"/>
  <c r="C37" i="31"/>
  <c r="C37" i="37"/>
  <c r="C37" i="32"/>
  <c r="C37" i="22"/>
  <c r="C37" i="19"/>
  <c r="C37" i="34"/>
  <c r="C37" i="20"/>
  <c r="C37" i="35"/>
  <c r="C37" i="25"/>
  <c r="C37" i="18"/>
  <c r="C37" i="36"/>
  <c r="C37" i="30"/>
  <c r="C37" i="29"/>
  <c r="C37" i="33"/>
  <c r="C37" i="26"/>
  <c r="C37" i="28"/>
  <c r="C5" i="32"/>
  <c r="C5" i="23"/>
  <c r="C5" i="31"/>
  <c r="C5" i="28"/>
  <c r="C5" i="17"/>
  <c r="C5" i="26"/>
  <c r="C5" i="24"/>
  <c r="C5" i="20"/>
  <c r="C5" i="30"/>
  <c r="C5" i="22"/>
  <c r="C5" i="19"/>
  <c r="C5" i="37"/>
  <c r="C5" i="25"/>
  <c r="C5" i="18"/>
  <c r="C5" i="36"/>
  <c r="C5" i="35"/>
  <c r="C5" i="34"/>
  <c r="C5" i="29"/>
  <c r="C5" i="21"/>
  <c r="C5" i="33"/>
  <c r="C100" i="32"/>
  <c r="C100" i="20"/>
  <c r="C100" i="17"/>
  <c r="C100" i="33"/>
  <c r="C100" i="29"/>
  <c r="C100" i="21"/>
  <c r="C100" i="37"/>
  <c r="C100" i="30"/>
  <c r="C100" i="28"/>
  <c r="C100" i="24"/>
  <c r="C100" i="23"/>
  <c r="C100" i="22"/>
  <c r="C100" i="35"/>
  <c r="C100" i="34"/>
  <c r="C100" i="31"/>
  <c r="C100" i="19"/>
  <c r="C100" i="18"/>
  <c r="C100" i="36"/>
  <c r="C100" i="26"/>
  <c r="C100" i="25"/>
  <c r="C68" i="33"/>
  <c r="C68" i="28"/>
  <c r="C68" i="17"/>
  <c r="C68" i="31"/>
  <c r="C68" i="26"/>
  <c r="C68" i="37"/>
  <c r="C68" i="30"/>
  <c r="C68" i="34"/>
  <c r="C68" i="24"/>
  <c r="C68" i="23"/>
  <c r="C68" i="22"/>
  <c r="C68" i="20"/>
  <c r="C68" i="29"/>
  <c r="C68" i="21"/>
  <c r="C68" i="19"/>
  <c r="C68" i="18"/>
  <c r="C68" i="35"/>
  <c r="C68" i="25"/>
  <c r="C68" i="36"/>
  <c r="C68" i="32"/>
  <c r="C52" i="17"/>
  <c r="C52" i="33"/>
  <c r="C52" i="29"/>
  <c r="C52" i="35"/>
  <c r="C52" i="32"/>
  <c r="C52" i="31"/>
  <c r="C52" i="37"/>
  <c r="C52" i="24"/>
  <c r="C52" i="23"/>
  <c r="C52" i="26"/>
  <c r="C52" i="22"/>
  <c r="C52" i="36"/>
  <c r="C52" i="28"/>
  <c r="C52" i="30"/>
  <c r="C52" i="19"/>
  <c r="C52" i="18"/>
  <c r="C52" i="25"/>
  <c r="C52" i="21"/>
  <c r="C52" i="34"/>
  <c r="C52" i="20"/>
  <c r="C36" i="26"/>
  <c r="C36" i="17"/>
  <c r="C36" i="36"/>
  <c r="C36" i="29"/>
  <c r="C36" i="33"/>
  <c r="C36" i="21"/>
  <c r="C36" i="28"/>
  <c r="C36" i="24"/>
  <c r="C36" i="23"/>
  <c r="C36" i="22"/>
  <c r="C36" i="37"/>
  <c r="C36" i="32"/>
  <c r="C36" i="31"/>
  <c r="C36" i="20"/>
  <c r="C36" i="19"/>
  <c r="C36" i="18"/>
  <c r="C36" i="25"/>
  <c r="C36" i="35"/>
  <c r="C36" i="34"/>
  <c r="C36" i="30"/>
  <c r="C4" i="17"/>
  <c r="C4" i="35"/>
  <c r="C4" i="33"/>
  <c r="C4" i="29"/>
  <c r="C4" i="34"/>
  <c r="C4" i="32"/>
  <c r="C4" i="31"/>
  <c r="C4" i="26"/>
  <c r="C4" i="24"/>
  <c r="C4" i="23"/>
  <c r="C4" i="22"/>
  <c r="C4" i="30"/>
  <c r="C4" i="28"/>
  <c r="C4" i="37"/>
  <c r="C4" i="20"/>
  <c r="C4" i="19"/>
  <c r="C4" i="18"/>
  <c r="C4" i="25"/>
  <c r="C4" i="21"/>
  <c r="C4" i="36"/>
  <c r="C83" i="30"/>
  <c r="C83" i="25"/>
  <c r="C83" i="19"/>
  <c r="C83" i="26"/>
  <c r="C83" i="31"/>
  <c r="C83" i="37"/>
  <c r="C83" i="33"/>
  <c r="C83" i="35"/>
  <c r="C83" i="21"/>
  <c r="C83" i="32"/>
  <c r="C83" i="20"/>
  <c r="C83" i="36"/>
  <c r="C83" i="22"/>
  <c r="C83" i="29"/>
  <c r="C83" i="24"/>
  <c r="C83" i="28"/>
  <c r="C83" i="34"/>
  <c r="C83" i="23"/>
  <c r="C83" i="18"/>
  <c r="C83" i="17"/>
  <c r="C67" i="29"/>
  <c r="C67" i="25"/>
  <c r="C67" i="19"/>
  <c r="C67" i="32"/>
  <c r="C67" i="35"/>
  <c r="C67" i="36"/>
  <c r="C67" i="33"/>
  <c r="C67" i="31"/>
  <c r="C67" i="26"/>
  <c r="C67" i="28"/>
  <c r="C67" i="37"/>
  <c r="C67" i="30"/>
  <c r="C67" i="22"/>
  <c r="C67" i="24"/>
  <c r="C67" i="21"/>
  <c r="C67" i="23"/>
  <c r="C67" i="20"/>
  <c r="C67" i="17"/>
  <c r="C67" i="34"/>
  <c r="C67" i="18"/>
  <c r="C51" i="30"/>
  <c r="C51" i="25"/>
  <c r="C51" i="21"/>
  <c r="C51" i="19"/>
  <c r="C51" i="28"/>
  <c r="C51" i="20"/>
  <c r="C51" i="34"/>
  <c r="C51" i="33"/>
  <c r="C51" i="32"/>
  <c r="C51" i="31"/>
  <c r="C51" i="29"/>
  <c r="C51" i="22"/>
  <c r="C51" i="37"/>
  <c r="C51" i="35"/>
  <c r="C51" i="26"/>
  <c r="C51" i="24"/>
  <c r="C51" i="23"/>
  <c r="C51" i="17"/>
  <c r="C51" i="36"/>
  <c r="C51" i="18"/>
  <c r="C35" i="25"/>
  <c r="C35" i="20"/>
  <c r="C35" i="19"/>
  <c r="C35" i="35"/>
  <c r="C35" i="30"/>
  <c r="C35" i="26"/>
  <c r="C35" i="21"/>
  <c r="C35" i="34"/>
  <c r="C35" i="36"/>
  <c r="C35" i="33"/>
  <c r="C35" i="29"/>
  <c r="C35" i="22"/>
  <c r="C35" i="24"/>
  <c r="C35" i="37"/>
  <c r="C35" i="32"/>
  <c r="C35" i="28"/>
  <c r="C35" i="23"/>
  <c r="C35" i="31"/>
  <c r="C35" i="18"/>
  <c r="C35" i="17"/>
  <c r="C19" i="25"/>
  <c r="C19" i="19"/>
  <c r="C19" i="32"/>
  <c r="C19" i="31"/>
  <c r="C19" i="33"/>
  <c r="C19" i="29"/>
  <c r="C19" i="28"/>
  <c r="C19" i="34"/>
  <c r="C19" i="36"/>
  <c r="C19" i="30"/>
  <c r="C19" i="22"/>
  <c r="C19" i="24"/>
  <c r="C19" i="21"/>
  <c r="C19" i="20"/>
  <c r="C19" i="37"/>
  <c r="C19" i="26"/>
  <c r="C19" i="23"/>
  <c r="C19" i="17"/>
  <c r="C19" i="35"/>
  <c r="C19" i="18"/>
  <c r="C3" i="28"/>
  <c r="C3" i="25"/>
  <c r="C3" i="21"/>
  <c r="C3" i="19"/>
  <c r="C3" i="36"/>
  <c r="C3" i="35"/>
  <c r="C3" i="33"/>
  <c r="C3" i="32"/>
  <c r="C3" i="29"/>
  <c r="C3" i="26"/>
  <c r="C3" i="31"/>
  <c r="C3" i="22"/>
  <c r="C3" i="34"/>
  <c r="C3" i="24"/>
  <c r="C3" i="37"/>
  <c r="C3" i="30"/>
  <c r="C3" i="23"/>
  <c r="C3" i="20"/>
  <c r="C3" i="17"/>
  <c r="C3" i="18"/>
  <c r="C108" i="35"/>
  <c r="C108" i="32"/>
  <c r="C108" i="34"/>
  <c r="C108" i="24"/>
  <c r="C108" i="23"/>
  <c r="C108" i="22"/>
  <c r="C108" i="37"/>
  <c r="C108" i="26"/>
  <c r="C108" i="25"/>
  <c r="C108" i="21"/>
  <c r="C108" i="20"/>
  <c r="C108" i="17"/>
  <c r="C108" i="33"/>
  <c r="C108" i="36"/>
  <c r="C108" i="30"/>
  <c r="C108" i="19"/>
  <c r="C108" i="18"/>
  <c r="C108" i="28"/>
  <c r="C108" i="31"/>
  <c r="C108" i="29"/>
  <c r="A104" i="35"/>
  <c r="A104" i="29"/>
  <c r="A104" i="30"/>
  <c r="A104" i="26"/>
  <c r="A104" i="17"/>
  <c r="A104" i="37"/>
  <c r="A104" i="34"/>
  <c r="A104" i="28"/>
  <c r="A104" i="21"/>
  <c r="A104" i="36"/>
  <c r="A104" i="31"/>
  <c r="A104" i="24"/>
  <c r="A104" i="19"/>
  <c r="A104" i="33"/>
  <c r="A104" i="25"/>
  <c r="A104" i="23"/>
  <c r="A104" i="22"/>
  <c r="A104" i="20"/>
  <c r="A104" i="18"/>
  <c r="A104" i="32"/>
  <c r="A75" i="36"/>
  <c r="A75" i="32"/>
  <c r="A75" i="30"/>
  <c r="A75" i="18"/>
  <c r="A75" i="21"/>
  <c r="A75" i="19"/>
  <c r="A75" i="28"/>
  <c r="A75" i="22"/>
  <c r="A75" i="24"/>
  <c r="A75" i="20"/>
  <c r="A75" i="23"/>
  <c r="A75" i="37"/>
  <c r="A75" i="34"/>
  <c r="A75" i="25"/>
  <c r="A75" i="17"/>
  <c r="A75" i="33"/>
  <c r="A75" i="29"/>
  <c r="A75" i="26"/>
  <c r="A75" i="35"/>
  <c r="A75" i="31"/>
  <c r="A52" i="34"/>
  <c r="A52" i="20"/>
  <c r="A52" i="33"/>
  <c r="A52" i="29"/>
  <c r="A52" i="35"/>
  <c r="A52" i="32"/>
  <c r="A52" i="31"/>
  <c r="A52" i="37"/>
  <c r="A52" i="24"/>
  <c r="A52" i="23"/>
  <c r="A52" i="26"/>
  <c r="A52" i="22"/>
  <c r="A52" i="36"/>
  <c r="A52" i="28"/>
  <c r="A52" i="30"/>
  <c r="A52" i="19"/>
  <c r="A52" i="18"/>
  <c r="A52" i="25"/>
  <c r="A52" i="17"/>
  <c r="A52" i="21"/>
  <c r="A40" i="17"/>
  <c r="A40" i="26"/>
  <c r="A40" i="35"/>
  <c r="A40" i="28"/>
  <c r="A40" i="24"/>
  <c r="A40" i="20"/>
  <c r="A40" i="19"/>
  <c r="A40" i="33"/>
  <c r="A40" i="31"/>
  <c r="A40" i="36"/>
  <c r="A40" i="21"/>
  <c r="A40" i="32"/>
  <c r="A40" i="25"/>
  <c r="A40" i="37"/>
  <c r="A40" i="30"/>
  <c r="A40" i="23"/>
  <c r="A40" i="18"/>
  <c r="A40" i="22"/>
  <c r="A40" i="34"/>
  <c r="A40" i="29"/>
  <c r="A13" i="25"/>
  <c r="A13" i="21"/>
  <c r="A13" i="36"/>
  <c r="A13" i="34"/>
  <c r="A13" i="29"/>
  <c r="A13" i="33"/>
  <c r="A13" i="26"/>
  <c r="A13" i="19"/>
  <c r="A13" i="17"/>
  <c r="A13" i="37"/>
  <c r="A13" i="35"/>
  <c r="A13" i="31"/>
  <c r="A13" i="18"/>
  <c r="A13" i="23"/>
  <c r="A13" i="30"/>
  <c r="A13" i="28"/>
  <c r="A13" i="24"/>
  <c r="A13" i="22"/>
  <c r="A13" i="32"/>
  <c r="A13" i="20"/>
  <c r="A4" i="36"/>
  <c r="A4" i="35"/>
  <c r="A4" i="33"/>
  <c r="A4" i="29"/>
  <c r="A4" i="34"/>
  <c r="A4" i="32"/>
  <c r="A4" i="31"/>
  <c r="A4" i="26"/>
  <c r="A4" i="24"/>
  <c r="A4" i="23"/>
  <c r="A4" i="22"/>
  <c r="A4" i="30"/>
  <c r="A4" i="28"/>
  <c r="A4" i="37"/>
  <c r="A4" i="20"/>
  <c r="A4" i="19"/>
  <c r="A4" i="18"/>
  <c r="A4" i="17"/>
  <c r="A4" i="25"/>
  <c r="A4" i="21"/>
  <c r="G13" i="36"/>
  <c r="N13" i="36" s="1"/>
  <c r="Q13" i="36" s="1"/>
  <c r="T13" i="36" s="1"/>
  <c r="I13" i="19"/>
  <c r="Q13" i="19" s="1"/>
  <c r="S13" i="19" s="1"/>
  <c r="U13" i="19" s="1"/>
  <c r="K13" i="23"/>
  <c r="T13" i="23" s="1"/>
  <c r="U13" i="23" s="1"/>
  <c r="W13" i="23" s="1"/>
  <c r="E13" i="37"/>
  <c r="J13" i="37" s="1"/>
  <c r="H13" i="31"/>
  <c r="P13" i="31" s="1"/>
  <c r="I13" i="18"/>
  <c r="P13" i="18" s="1"/>
  <c r="Q13" i="18" s="1"/>
  <c r="S13" i="18" s="1"/>
  <c r="G13" i="35"/>
  <c r="O13" i="35" s="1"/>
  <c r="S13" i="35" s="1"/>
  <c r="V13" i="35" s="1"/>
  <c r="J13" i="28"/>
  <c r="S13" i="28" s="1"/>
  <c r="U13" i="28" s="1"/>
  <c r="X13" i="28" s="1"/>
  <c r="G13" i="24"/>
  <c r="O13" i="24" s="1"/>
  <c r="S13" i="24" s="1"/>
  <c r="U13" i="24" s="1"/>
  <c r="I13" i="30"/>
  <c r="P13" i="30" s="1"/>
  <c r="Q13" i="30" s="1"/>
  <c r="T13" i="30" s="1"/>
  <c r="H13" i="20"/>
  <c r="P13" i="20" s="1"/>
  <c r="J13" i="17"/>
  <c r="S13" i="17" s="1"/>
  <c r="U13" i="17" s="1"/>
  <c r="W13" i="17" s="1"/>
  <c r="E13" i="26"/>
  <c r="J13" i="26" s="1"/>
  <c r="G13" i="25"/>
  <c r="N13" i="25" s="1"/>
  <c r="Q13" i="25" s="1"/>
  <c r="S13" i="25" s="1"/>
  <c r="K13" i="34"/>
  <c r="T13" i="34" s="1"/>
  <c r="U13" i="34" s="1"/>
  <c r="X13" i="34" s="1"/>
  <c r="I13" i="29"/>
  <c r="Q13" i="29" s="1"/>
  <c r="S13" i="29" s="1"/>
  <c r="V13" i="29" s="1"/>
  <c r="E33" i="26"/>
  <c r="J33" i="26" s="1"/>
  <c r="G33" i="35"/>
  <c r="O33" i="35" s="1"/>
  <c r="S33" i="35" s="1"/>
  <c r="G33" i="24"/>
  <c r="O33" i="24" s="1"/>
  <c r="S33" i="24" s="1"/>
  <c r="E33" i="37"/>
  <c r="J33" i="37" s="1"/>
  <c r="K33" i="34"/>
  <c r="T33" i="34" s="1"/>
  <c r="U33" i="34" s="1"/>
  <c r="G33" i="36"/>
  <c r="N33" i="36" s="1"/>
  <c r="Q33" i="36" s="1"/>
  <c r="I33" i="18"/>
  <c r="P33" i="18" s="1"/>
  <c r="Q33" i="18" s="1"/>
  <c r="H33" i="31"/>
  <c r="P33" i="31" s="1"/>
  <c r="S33" i="31" s="1"/>
  <c r="G33" i="25"/>
  <c r="N33" i="25" s="1"/>
  <c r="Q33" i="25" s="1"/>
  <c r="K33" i="23"/>
  <c r="T33" i="23" s="1"/>
  <c r="U33" i="23" s="1"/>
  <c r="I33" i="19"/>
  <c r="Q33" i="19" s="1"/>
  <c r="S33" i="19" s="1"/>
  <c r="I33" i="29"/>
  <c r="Q33" i="29" s="1"/>
  <c r="S33" i="29" s="1"/>
  <c r="J33" i="28"/>
  <c r="S33" i="28" s="1"/>
  <c r="U33" i="28" s="1"/>
  <c r="H33" i="20"/>
  <c r="P33" i="20" s="1"/>
  <c r="S33" i="20" s="1"/>
  <c r="J33" i="17"/>
  <c r="S33" i="17" s="1"/>
  <c r="U33" i="17" s="1"/>
  <c r="I33" i="30"/>
  <c r="P33" i="30" s="1"/>
  <c r="Q33" i="30" s="1"/>
  <c r="D1" i="36"/>
  <c r="D1" i="25"/>
  <c r="C105" i="21"/>
  <c r="C105" i="25"/>
  <c r="C105" i="23"/>
  <c r="C105" i="20"/>
  <c r="C105" i="28"/>
  <c r="C105" i="29"/>
  <c r="C105" i="18"/>
  <c r="C105" i="35"/>
  <c r="C105" i="22"/>
  <c r="C105" i="34"/>
  <c r="C105" i="32"/>
  <c r="C105" i="30"/>
  <c r="C105" i="26"/>
  <c r="C105" i="37"/>
  <c r="C105" i="36"/>
  <c r="C105" i="19"/>
  <c r="C105" i="17"/>
  <c r="C105" i="33"/>
  <c r="C105" i="31"/>
  <c r="C105" i="24"/>
  <c r="C104" i="30"/>
  <c r="C104" i="26"/>
  <c r="C104" i="37"/>
  <c r="C104" i="34"/>
  <c r="C104" i="28"/>
  <c r="C104" i="21"/>
  <c r="C104" i="17"/>
  <c r="C104" i="36"/>
  <c r="C104" i="31"/>
  <c r="C104" i="24"/>
  <c r="C104" i="19"/>
  <c r="C104" i="33"/>
  <c r="C104" i="25"/>
  <c r="C104" i="23"/>
  <c r="C104" i="22"/>
  <c r="C104" i="20"/>
  <c r="C104" i="18"/>
  <c r="C104" i="32"/>
  <c r="C104" i="35"/>
  <c r="C104" i="29"/>
  <c r="A93" i="37"/>
  <c r="A93" i="32"/>
  <c r="A93" i="31"/>
  <c r="A93" i="25"/>
  <c r="A93" i="33"/>
  <c r="A93" i="20"/>
  <c r="A93" i="26"/>
  <c r="A93" i="28"/>
  <c r="A93" i="17"/>
  <c r="A93" i="34"/>
  <c r="A93" i="21"/>
  <c r="A93" i="19"/>
  <c r="A93" i="18"/>
  <c r="A93" i="23"/>
  <c r="A93" i="35"/>
  <c r="A93" i="24"/>
  <c r="A93" i="36"/>
  <c r="A93" i="29"/>
  <c r="A93" i="30"/>
  <c r="A93" i="22"/>
  <c r="C82" i="35"/>
  <c r="C82" i="36"/>
  <c r="C82" i="24"/>
  <c r="C82" i="18"/>
  <c r="C82" i="29"/>
  <c r="C82" i="28"/>
  <c r="C82" i="23"/>
  <c r="C82" i="26"/>
  <c r="C82" i="25"/>
  <c r="C82" i="19"/>
  <c r="C82" i="34"/>
  <c r="C82" i="30"/>
  <c r="C82" i="31"/>
  <c r="C82" i="37"/>
  <c r="C82" i="21"/>
  <c r="C82" i="33"/>
  <c r="C82" i="32"/>
  <c r="C82" i="22"/>
  <c r="C82" i="17"/>
  <c r="C82" i="20"/>
  <c r="B108" i="35"/>
  <c r="B108" i="32"/>
  <c r="A101" i="34"/>
  <c r="A101" i="30"/>
  <c r="A101" i="28"/>
  <c r="A101" i="23"/>
  <c r="A101" i="24"/>
  <c r="A101" i="35"/>
  <c r="A101" i="31"/>
  <c r="A101" i="22"/>
  <c r="A101" i="19"/>
  <c r="A101" i="36"/>
  <c r="A101" i="25"/>
  <c r="A101" i="18"/>
  <c r="A101" i="26"/>
  <c r="A101" i="29"/>
  <c r="A101" i="33"/>
  <c r="A101" i="20"/>
  <c r="A101" i="32"/>
  <c r="A101" i="17"/>
  <c r="A101" i="37"/>
  <c r="A101" i="21"/>
  <c r="C98" i="30"/>
  <c r="C98" i="29"/>
  <c r="C98" i="24"/>
  <c r="C98" i="31"/>
  <c r="C98" i="26"/>
  <c r="C98" i="18"/>
  <c r="C98" i="23"/>
  <c r="C98" i="25"/>
  <c r="C98" i="21"/>
  <c r="C98" i="35"/>
  <c r="C98" i="32"/>
  <c r="C98" i="28"/>
  <c r="C98" i="19"/>
  <c r="C98" i="36"/>
  <c r="C98" i="20"/>
  <c r="C98" i="37"/>
  <c r="C98" i="34"/>
  <c r="C98" i="33"/>
  <c r="C98" i="22"/>
  <c r="C98" i="17"/>
  <c r="A62" i="19"/>
  <c r="A62" i="31"/>
  <c r="A62" i="23"/>
  <c r="A62" i="28"/>
  <c r="A62" i="17"/>
  <c r="A62" i="18"/>
  <c r="A62" i="35"/>
  <c r="A62" i="30"/>
  <c r="A62" i="24"/>
  <c r="A62" i="36"/>
  <c r="A62" i="32"/>
  <c r="A62" i="26"/>
  <c r="A62" i="20"/>
  <c r="A62" i="33"/>
  <c r="A62" i="25"/>
  <c r="A62" i="22"/>
  <c r="A62" i="29"/>
  <c r="A62" i="21"/>
  <c r="A62" i="37"/>
  <c r="A62" i="34"/>
  <c r="C1" i="20"/>
  <c r="C1" i="24"/>
  <c r="C1" i="32"/>
  <c r="C1" i="22"/>
  <c r="C1" i="19"/>
  <c r="C1" i="37"/>
  <c r="C1" i="36"/>
  <c r="C1" i="25"/>
  <c r="C1" i="23"/>
  <c r="C1" i="31"/>
  <c r="C1" i="18"/>
  <c r="C1" i="28"/>
  <c r="C1" i="34"/>
  <c r="C1" i="26"/>
  <c r="C1" i="33"/>
  <c r="C1" i="29"/>
  <c r="C1" i="35"/>
  <c r="C1" i="30"/>
  <c r="C1" i="17"/>
  <c r="C1" i="21"/>
  <c r="F1" i="37"/>
  <c r="K1" i="37" s="1"/>
  <c r="F1" i="26"/>
  <c r="K1" i="26" s="1"/>
  <c r="A72" i="30"/>
  <c r="A72" i="17"/>
  <c r="A72" i="33"/>
  <c r="A72" i="35"/>
  <c r="A72" i="34"/>
  <c r="A72" i="36"/>
  <c r="A72" i="24"/>
  <c r="A72" i="19"/>
  <c r="A72" i="37"/>
  <c r="A72" i="20"/>
  <c r="A72" i="26"/>
  <c r="A72" i="29"/>
  <c r="A72" i="25"/>
  <c r="A72" i="23"/>
  <c r="A72" i="18"/>
  <c r="A72" i="32"/>
  <c r="A72" i="22"/>
  <c r="A72" i="21"/>
  <c r="A72" i="31"/>
  <c r="A72" i="28"/>
  <c r="A64" i="32"/>
  <c r="A64" i="25"/>
  <c r="A64" i="28"/>
  <c r="A64" i="26"/>
  <c r="A64" i="23"/>
  <c r="A64" i="19"/>
  <c r="A64" i="22"/>
  <c r="A64" i="37"/>
  <c r="A64" i="35"/>
  <c r="A64" i="31"/>
  <c r="A64" i="21"/>
  <c r="A64" i="17"/>
  <c r="A64" i="36"/>
  <c r="A64" i="34"/>
  <c r="A64" i="30"/>
  <c r="A64" i="33"/>
  <c r="A64" i="24"/>
  <c r="A64" i="18"/>
  <c r="A64" i="29"/>
  <c r="A64" i="20"/>
  <c r="A47" i="31"/>
  <c r="A47" i="18"/>
  <c r="A47" i="24"/>
  <c r="A47" i="33"/>
  <c r="A47" i="28"/>
  <c r="A47" i="30"/>
  <c r="A47" i="25"/>
  <c r="A47" i="35"/>
  <c r="A47" i="22"/>
  <c r="A47" i="17"/>
  <c r="A47" i="20"/>
  <c r="A47" i="36"/>
  <c r="A47" i="32"/>
  <c r="A47" i="26"/>
  <c r="A47" i="19"/>
  <c r="A47" i="23"/>
  <c r="A47" i="34"/>
  <c r="A47" i="37"/>
  <c r="A47" i="21"/>
  <c r="A47" i="29"/>
  <c r="A26" i="31"/>
  <c r="A26" i="17"/>
  <c r="A26" i="37"/>
  <c r="A26" i="26"/>
  <c r="A26" i="20"/>
  <c r="A26" i="18"/>
  <c r="A26" i="32"/>
  <c r="A26" i="30"/>
  <c r="A26" i="21"/>
  <c r="A26" i="22"/>
  <c r="A26" i="36"/>
  <c r="A26" i="19"/>
  <c r="A26" i="33"/>
  <c r="A26" i="24"/>
  <c r="A26" i="34"/>
  <c r="A26" i="29"/>
  <c r="A26" i="28"/>
  <c r="A26" i="23"/>
  <c r="A26" i="35"/>
  <c r="A26" i="25"/>
  <c r="A8" i="21"/>
  <c r="A8" i="17"/>
  <c r="A8" i="31"/>
  <c r="A8" i="20"/>
  <c r="A8" i="36"/>
  <c r="A8" i="24"/>
  <c r="A8" i="19"/>
  <c r="A8" i="32"/>
  <c r="A8" i="30"/>
  <c r="A8" i="28"/>
  <c r="A8" i="35"/>
  <c r="A8" i="26"/>
  <c r="A8" i="25"/>
  <c r="A8" i="33"/>
  <c r="A8" i="37"/>
  <c r="A8" i="23"/>
  <c r="A8" i="18"/>
  <c r="A8" i="29"/>
  <c r="A8" i="22"/>
  <c r="A8" i="34"/>
  <c r="G12" i="25"/>
  <c r="N12" i="25" s="1"/>
  <c r="Q12" i="25" s="1"/>
  <c r="S12" i="25" s="1"/>
  <c r="K12" i="34"/>
  <c r="T12" i="34" s="1"/>
  <c r="U12" i="34" s="1"/>
  <c r="X12" i="34" s="1"/>
  <c r="G12" i="36"/>
  <c r="N12" i="36" s="1"/>
  <c r="Q12" i="36" s="1"/>
  <c r="T12" i="36" s="1"/>
  <c r="I12" i="29"/>
  <c r="Q12" i="29" s="1"/>
  <c r="S12" i="29" s="1"/>
  <c r="V12" i="29" s="1"/>
  <c r="H12" i="20"/>
  <c r="P12" i="20" s="1"/>
  <c r="J12" i="17"/>
  <c r="S12" i="17" s="1"/>
  <c r="U12" i="17" s="1"/>
  <c r="W12" i="17" s="1"/>
  <c r="I12" i="19"/>
  <c r="Q12" i="19" s="1"/>
  <c r="S12" i="19" s="1"/>
  <c r="U12" i="19" s="1"/>
  <c r="E12" i="37"/>
  <c r="J12" i="37" s="1"/>
  <c r="I12" i="18"/>
  <c r="P12" i="18" s="1"/>
  <c r="Q12" i="18" s="1"/>
  <c r="S12" i="18" s="1"/>
  <c r="H12" i="31"/>
  <c r="P12" i="31" s="1"/>
  <c r="E12" i="26"/>
  <c r="J12" i="26" s="1"/>
  <c r="K12" i="23"/>
  <c r="T12" i="23" s="1"/>
  <c r="U12" i="23" s="1"/>
  <c r="W12" i="23" s="1"/>
  <c r="G12" i="35"/>
  <c r="O12" i="35" s="1"/>
  <c r="S12" i="35" s="1"/>
  <c r="V12" i="35" s="1"/>
  <c r="G12" i="24"/>
  <c r="O12" i="24" s="1"/>
  <c r="S12" i="24" s="1"/>
  <c r="U12" i="24" s="1"/>
  <c r="I12" i="30"/>
  <c r="P12" i="30" s="1"/>
  <c r="Q12" i="30" s="1"/>
  <c r="T12" i="30" s="1"/>
  <c r="J12" i="28"/>
  <c r="S12" i="28" s="1"/>
  <c r="U12" i="28" s="1"/>
  <c r="X12" i="28" s="1"/>
  <c r="I32" i="19"/>
  <c r="Q32" i="19" s="1"/>
  <c r="S32" i="19" s="1"/>
  <c r="I32" i="30"/>
  <c r="P32" i="30" s="1"/>
  <c r="Q32" i="30" s="1"/>
  <c r="I32" i="29"/>
  <c r="Q32" i="29" s="1"/>
  <c r="S32" i="29" s="1"/>
  <c r="J32" i="28"/>
  <c r="S32" i="28" s="1"/>
  <c r="U32" i="28" s="1"/>
  <c r="G32" i="35"/>
  <c r="O32" i="35" s="1"/>
  <c r="S32" i="35" s="1"/>
  <c r="E32" i="37"/>
  <c r="J32" i="37" s="1"/>
  <c r="G32" i="24"/>
  <c r="O32" i="24" s="1"/>
  <c r="S32" i="24" s="1"/>
  <c r="I32" i="18"/>
  <c r="P32" i="18" s="1"/>
  <c r="Q32" i="18" s="1"/>
  <c r="G32" i="36"/>
  <c r="N32" i="36" s="1"/>
  <c r="Q32" i="36" s="1"/>
  <c r="H32" i="20"/>
  <c r="P32" i="20" s="1"/>
  <c r="S32" i="20" s="1"/>
  <c r="J32" i="17"/>
  <c r="S32" i="17" s="1"/>
  <c r="U32" i="17" s="1"/>
  <c r="K32" i="34"/>
  <c r="T32" i="34" s="1"/>
  <c r="U32" i="34" s="1"/>
  <c r="H32" i="31"/>
  <c r="P32" i="31" s="1"/>
  <c r="S32" i="31" s="1"/>
  <c r="G32" i="25"/>
  <c r="N32" i="25" s="1"/>
  <c r="Q32" i="25" s="1"/>
  <c r="E32" i="26"/>
  <c r="J32" i="26" s="1"/>
  <c r="K32" i="23"/>
  <c r="T32" i="23" s="1"/>
  <c r="U32" i="23" s="1"/>
  <c r="A78" i="30"/>
  <c r="A78" i="19"/>
  <c r="A78" i="32"/>
  <c r="A78" i="23"/>
  <c r="A78" i="26"/>
  <c r="A78" i="18"/>
  <c r="A78" i="20"/>
  <c r="A78" i="29"/>
  <c r="A78" i="24"/>
  <c r="A78" i="33"/>
  <c r="A78" i="21"/>
  <c r="A78" i="28"/>
  <c r="A78" i="25"/>
  <c r="A78" i="22"/>
  <c r="A78" i="37"/>
  <c r="A78" i="36"/>
  <c r="A78" i="35"/>
  <c r="A78" i="17"/>
  <c r="A78" i="34"/>
  <c r="A78" i="31"/>
  <c r="A82" i="20"/>
  <c r="A82" i="35"/>
  <c r="A82" i="36"/>
  <c r="A82" i="24"/>
  <c r="A82" i="18"/>
  <c r="A82" i="29"/>
  <c r="A82" i="28"/>
  <c r="A82" i="23"/>
  <c r="A82" i="26"/>
  <c r="A82" i="25"/>
  <c r="A82" i="19"/>
  <c r="A82" i="34"/>
  <c r="A82" i="30"/>
  <c r="A82" i="31"/>
  <c r="A82" i="17"/>
  <c r="A82" i="37"/>
  <c r="A82" i="21"/>
  <c r="A82" i="33"/>
  <c r="A82" i="32"/>
  <c r="A82" i="22"/>
  <c r="B1" i="20"/>
  <c r="B1" i="24"/>
  <c r="B1" i="32"/>
  <c r="B1" i="22"/>
  <c r="B1" i="19"/>
  <c r="B1" i="37"/>
  <c r="B1" i="36"/>
  <c r="B1" i="25"/>
  <c r="B1" i="23"/>
  <c r="B1" i="31"/>
  <c r="B1" i="18"/>
  <c r="B1" i="28"/>
  <c r="B1" i="17"/>
  <c r="B1" i="34"/>
  <c r="B1" i="26"/>
  <c r="B1" i="33"/>
  <c r="B1" i="29"/>
  <c r="B1" i="35"/>
  <c r="B1" i="30"/>
  <c r="B1" i="21"/>
  <c r="EO15" i="39"/>
  <c r="C15" i="39"/>
  <c r="M14" i="39"/>
  <c r="K4" i="41" s="1"/>
  <c r="CK15" i="39"/>
  <c r="L16" i="41" s="1"/>
  <c r="AQ15" i="40"/>
  <c r="AY15" i="40"/>
  <c r="K15" i="40"/>
  <c r="S15" i="40"/>
  <c r="AH15" i="40"/>
  <c r="M15" i="39"/>
  <c r="L4" i="41" s="1"/>
  <c r="CU15" i="39"/>
  <c r="D15" i="40"/>
  <c r="AA15" i="40"/>
  <c r="AG15" i="39"/>
  <c r="L6" i="41" s="1"/>
  <c r="DE15" i="39"/>
  <c r="L18" i="41" s="1"/>
  <c r="BG15" i="40"/>
  <c r="W15" i="39"/>
  <c r="EA15" i="39"/>
  <c r="L20" i="41" s="1"/>
  <c r="BN15" i="40"/>
  <c r="BN15" i="39"/>
  <c r="L9" i="41" s="1"/>
  <c r="AR15" i="39"/>
  <c r="L7" i="41" s="1"/>
  <c r="DP15" i="39"/>
  <c r="L19" i="41" s="1"/>
  <c r="EH15" i="39"/>
  <c r="L21" i="41" s="1"/>
  <c r="BC15" i="39"/>
  <c r="L8" i="41" s="1"/>
  <c r="BU15" i="39"/>
  <c r="L10" i="41" s="1"/>
  <c r="CB15" i="39"/>
  <c r="A107" i="18"/>
  <c r="A107" i="33"/>
  <c r="A107" i="32"/>
  <c r="A107" i="30"/>
  <c r="A107" i="36"/>
  <c r="A107" i="19"/>
  <c r="A107" i="22"/>
  <c r="A107" i="31"/>
  <c r="A107" i="26"/>
  <c r="A107" i="37"/>
  <c r="A107" i="29"/>
  <c r="A107" i="24"/>
  <c r="A107" i="28"/>
  <c r="A107" i="23"/>
  <c r="A107" i="34"/>
  <c r="A107" i="21"/>
  <c r="A107" i="25"/>
  <c r="A107" i="20"/>
  <c r="A107" i="35"/>
  <c r="A107" i="17"/>
  <c r="A103" i="22"/>
  <c r="A103" i="17"/>
  <c r="A103" i="18"/>
  <c r="A103" i="20"/>
  <c r="A103" i="32"/>
  <c r="A103" i="26"/>
  <c r="A103" i="23"/>
  <c r="A103" i="37"/>
  <c r="A103" i="35"/>
  <c r="A103" i="30"/>
  <c r="A103" i="29"/>
  <c r="A103" i="21"/>
  <c r="A103" i="24"/>
  <c r="A103" i="36"/>
  <c r="A103" i="31"/>
  <c r="A103" i="19"/>
  <c r="A103" i="33"/>
  <c r="A103" i="28"/>
  <c r="A103" i="34"/>
  <c r="A103" i="25"/>
  <c r="A77" i="37"/>
  <c r="A77" i="33"/>
  <c r="A77" i="25"/>
  <c r="A77" i="28"/>
  <c r="A77" i="36"/>
  <c r="A77" i="35"/>
  <c r="A77" i="31"/>
  <c r="A77" i="30"/>
  <c r="A77" i="32"/>
  <c r="A77" i="19"/>
  <c r="A77" i="17"/>
  <c r="A77" i="34"/>
  <c r="A77" i="26"/>
  <c r="A77" i="18"/>
  <c r="A77" i="23"/>
  <c r="A77" i="20"/>
  <c r="A77" i="24"/>
  <c r="A77" i="21"/>
  <c r="A77" i="22"/>
  <c r="A77" i="29"/>
  <c r="A69" i="30"/>
  <c r="A69" i="26"/>
  <c r="A69" i="23"/>
  <c r="A69" i="37"/>
  <c r="A69" i="24"/>
  <c r="A69" i="29"/>
  <c r="A69" i="20"/>
  <c r="A69" i="22"/>
  <c r="A69" i="19"/>
  <c r="A69" i="35"/>
  <c r="A69" i="33"/>
  <c r="A69" i="28"/>
  <c r="A69" i="25"/>
  <c r="A69" i="21"/>
  <c r="A69" i="18"/>
  <c r="A69" i="36"/>
  <c r="A69" i="32"/>
  <c r="A69" i="34"/>
  <c r="A69" i="31"/>
  <c r="A69" i="17"/>
  <c r="A57" i="34"/>
  <c r="A57" i="17"/>
  <c r="A57" i="30"/>
  <c r="A57" i="37"/>
  <c r="A57" i="25"/>
  <c r="A57" i="20"/>
  <c r="A57" i="23"/>
  <c r="A57" i="36"/>
  <c r="A57" i="35"/>
  <c r="A57" i="18"/>
  <c r="A57" i="26"/>
  <c r="A57" i="22"/>
  <c r="A57" i="29"/>
  <c r="A57" i="31"/>
  <c r="A57" i="21"/>
  <c r="A57" i="33"/>
  <c r="A57" i="32"/>
  <c r="A57" i="19"/>
  <c r="A57" i="28"/>
  <c r="A57" i="24"/>
  <c r="A42" i="28"/>
  <c r="A42" i="30"/>
  <c r="A42" i="37"/>
  <c r="A42" i="17"/>
  <c r="A42" i="18"/>
  <c r="A42" i="20"/>
  <c r="A42" i="35"/>
  <c r="A42" i="33"/>
  <c r="A42" i="22"/>
  <c r="A42" i="19"/>
  <c r="A42" i="34"/>
  <c r="A42" i="36"/>
  <c r="A42" i="31"/>
  <c r="A42" i="24"/>
  <c r="A42" i="26"/>
  <c r="A42" i="29"/>
  <c r="A42" i="23"/>
  <c r="A42" i="32"/>
  <c r="A42" i="25"/>
  <c r="A42" i="21"/>
  <c r="A37" i="23"/>
  <c r="A37" i="21"/>
  <c r="A37" i="24"/>
  <c r="A37" i="31"/>
  <c r="A37" i="37"/>
  <c r="A37" i="32"/>
  <c r="A37" i="22"/>
  <c r="A37" i="19"/>
  <c r="A37" i="34"/>
  <c r="A37" i="20"/>
  <c r="A37" i="35"/>
  <c r="A37" i="25"/>
  <c r="A37" i="18"/>
  <c r="A37" i="36"/>
  <c r="A37" i="30"/>
  <c r="A37" i="29"/>
  <c r="A37" i="33"/>
  <c r="A37" i="26"/>
  <c r="A37" i="28"/>
  <c r="A37" i="17"/>
  <c r="A28" i="24"/>
  <c r="A28" i="23"/>
  <c r="A28" i="22"/>
  <c r="A28" i="17"/>
  <c r="A28" i="35"/>
  <c r="A28" i="25"/>
  <c r="A28" i="31"/>
  <c r="A28" i="34"/>
  <c r="A28" i="20"/>
  <c r="A28" i="33"/>
  <c r="A28" i="28"/>
  <c r="A28" i="37"/>
  <c r="A28" i="36"/>
  <c r="A28" i="30"/>
  <c r="A28" i="29"/>
  <c r="A28" i="19"/>
  <c r="A28" i="18"/>
  <c r="A28" i="32"/>
  <c r="A28" i="21"/>
  <c r="A28" i="26"/>
  <c r="A22" i="34"/>
  <c r="A22" i="28"/>
  <c r="A22" i="19"/>
  <c r="A22" i="37"/>
  <c r="A22" i="26"/>
  <c r="A22" i="25"/>
  <c r="A22" i="22"/>
  <c r="A22" i="21"/>
  <c r="A22" i="18"/>
  <c r="A22" i="33"/>
  <c r="A22" i="36"/>
  <c r="A22" i="32"/>
  <c r="A22" i="31"/>
  <c r="A22" i="23"/>
  <c r="A22" i="30"/>
  <c r="A22" i="35"/>
  <c r="A22" i="24"/>
  <c r="A22" i="17"/>
  <c r="A22" i="29"/>
  <c r="A22" i="20"/>
  <c r="H11" i="31"/>
  <c r="P11" i="31" s="1"/>
  <c r="G11" i="24"/>
  <c r="O11" i="24" s="1"/>
  <c r="S11" i="24" s="1"/>
  <c r="U11" i="24" s="1"/>
  <c r="G11" i="35"/>
  <c r="O11" i="35" s="1"/>
  <c r="S11" i="35" s="1"/>
  <c r="V11" i="35" s="1"/>
  <c r="K11" i="23"/>
  <c r="T11" i="23" s="1"/>
  <c r="U11" i="23" s="1"/>
  <c r="W11" i="23" s="1"/>
  <c r="I11" i="30"/>
  <c r="P11" i="30" s="1"/>
  <c r="Q11" i="30" s="1"/>
  <c r="T11" i="30" s="1"/>
  <c r="J11" i="28"/>
  <c r="S11" i="28" s="1"/>
  <c r="U11" i="28" s="1"/>
  <c r="X11" i="28" s="1"/>
  <c r="G11" i="25"/>
  <c r="N11" i="25" s="1"/>
  <c r="Q11" i="25" s="1"/>
  <c r="S11" i="25" s="1"/>
  <c r="H11" i="20"/>
  <c r="P11" i="20" s="1"/>
  <c r="J11" i="17"/>
  <c r="S11" i="17" s="1"/>
  <c r="U11" i="17" s="1"/>
  <c r="W11" i="17" s="1"/>
  <c r="E11" i="26"/>
  <c r="J11" i="26" s="1"/>
  <c r="E11" i="37"/>
  <c r="J11" i="37" s="1"/>
  <c r="G11" i="36"/>
  <c r="N11" i="36" s="1"/>
  <c r="Q11" i="36" s="1"/>
  <c r="T11" i="36" s="1"/>
  <c r="K11" i="34"/>
  <c r="T11" i="34" s="1"/>
  <c r="U11" i="34" s="1"/>
  <c r="X11" i="34" s="1"/>
  <c r="I11" i="18"/>
  <c r="P11" i="18" s="1"/>
  <c r="Q11" i="18" s="1"/>
  <c r="S11" i="18" s="1"/>
  <c r="I11" i="29"/>
  <c r="Q11" i="29" s="1"/>
  <c r="S11" i="29" s="1"/>
  <c r="V11" i="29" s="1"/>
  <c r="I11" i="19"/>
  <c r="Q11" i="19" s="1"/>
  <c r="S11" i="19" s="1"/>
  <c r="U11" i="19" s="1"/>
  <c r="G31" i="36"/>
  <c r="N31" i="36" s="1"/>
  <c r="Q31" i="36" s="1"/>
  <c r="G31" i="25"/>
  <c r="N31" i="25" s="1"/>
  <c r="Q31" i="25" s="1"/>
  <c r="H31" i="31"/>
  <c r="P31" i="31" s="1"/>
  <c r="S31" i="31" s="1"/>
  <c r="K31" i="23"/>
  <c r="T31" i="23" s="1"/>
  <c r="U31" i="23" s="1"/>
  <c r="I31" i="19"/>
  <c r="Q31" i="19" s="1"/>
  <c r="S31" i="19" s="1"/>
  <c r="K31" i="34"/>
  <c r="T31" i="34" s="1"/>
  <c r="U31" i="34" s="1"/>
  <c r="I31" i="30"/>
  <c r="P31" i="30" s="1"/>
  <c r="Q31" i="30" s="1"/>
  <c r="H31" i="20"/>
  <c r="P31" i="20" s="1"/>
  <c r="S31" i="20" s="1"/>
  <c r="J31" i="17"/>
  <c r="S31" i="17" s="1"/>
  <c r="U31" i="17" s="1"/>
  <c r="I31" i="29"/>
  <c r="Q31" i="29" s="1"/>
  <c r="S31" i="29" s="1"/>
  <c r="E31" i="37"/>
  <c r="J31" i="37" s="1"/>
  <c r="J31" i="28"/>
  <c r="S31" i="28" s="1"/>
  <c r="U31" i="28" s="1"/>
  <c r="G31" i="24"/>
  <c r="O31" i="24" s="1"/>
  <c r="S31" i="24" s="1"/>
  <c r="I31" i="18"/>
  <c r="P31" i="18" s="1"/>
  <c r="Q31" i="18" s="1"/>
  <c r="G31" i="35"/>
  <c r="O31" i="35" s="1"/>
  <c r="S31" i="35" s="1"/>
  <c r="E31" i="26"/>
  <c r="J31" i="26" s="1"/>
  <c r="A1" i="20"/>
  <c r="A1" i="24"/>
  <c r="A1" i="32"/>
  <c r="A1" i="22"/>
  <c r="A1" i="19"/>
  <c r="A1" i="37"/>
  <c r="A1" i="36"/>
  <c r="A1" i="25"/>
  <c r="A1" i="23"/>
  <c r="A1" i="31"/>
  <c r="A1" i="18"/>
  <c r="A1" i="28"/>
  <c r="A1" i="34"/>
  <c r="A1" i="26"/>
  <c r="A1" i="33"/>
  <c r="A1" i="29"/>
  <c r="A1" i="35"/>
  <c r="A1" i="30"/>
  <c r="A1" i="21"/>
  <c r="A1" i="17"/>
  <c r="A106" i="28"/>
  <c r="A106" i="25"/>
  <c r="A106" i="17"/>
  <c r="A106" i="34"/>
  <c r="A106" i="20"/>
  <c r="A106" i="35"/>
  <c r="A106" i="18"/>
  <c r="A106" i="32"/>
  <c r="A106" i="30"/>
  <c r="A106" i="22"/>
  <c r="A106" i="36"/>
  <c r="A106" i="33"/>
  <c r="A106" i="26"/>
  <c r="A106" i="19"/>
  <c r="A106" i="37"/>
  <c r="A106" i="31"/>
  <c r="A106" i="24"/>
  <c r="A106" i="21"/>
  <c r="A106" i="29"/>
  <c r="A106" i="23"/>
  <c r="A88" i="20"/>
  <c r="A88" i="17"/>
  <c r="A88" i="33"/>
  <c r="A88" i="28"/>
  <c r="A88" i="37"/>
  <c r="A88" i="34"/>
  <c r="A88" i="29"/>
  <c r="A88" i="26"/>
  <c r="A88" i="24"/>
  <c r="A88" i="19"/>
  <c r="A88" i="32"/>
  <c r="A88" i="30"/>
  <c r="A88" i="21"/>
  <c r="A88" i="25"/>
  <c r="A88" i="35"/>
  <c r="A88" i="31"/>
  <c r="A88" i="36"/>
  <c r="A88" i="23"/>
  <c r="A88" i="22"/>
  <c r="A88" i="18"/>
  <c r="A79" i="26"/>
  <c r="A79" i="18"/>
  <c r="A79" i="28"/>
  <c r="A79" i="24"/>
  <c r="A79" i="33"/>
  <c r="A79" i="35"/>
  <c r="A79" i="36"/>
  <c r="A79" i="25"/>
  <c r="A79" i="21"/>
  <c r="A79" i="34"/>
  <c r="A79" i="37"/>
  <c r="A79" i="22"/>
  <c r="A79" i="17"/>
  <c r="A79" i="31"/>
  <c r="A79" i="30"/>
  <c r="A79" i="19"/>
  <c r="A79" i="23"/>
  <c r="A79" i="32"/>
  <c r="A79" i="29"/>
  <c r="A79" i="20"/>
  <c r="A54" i="37"/>
  <c r="A54" i="19"/>
  <c r="A54" i="30"/>
  <c r="A54" i="33"/>
  <c r="A54" i="29"/>
  <c r="A54" i="26"/>
  <c r="A54" i="25"/>
  <c r="A54" i="22"/>
  <c r="A54" i="18"/>
  <c r="A54" i="20"/>
  <c r="A54" i="21"/>
  <c r="A54" i="35"/>
  <c r="A54" i="28"/>
  <c r="A54" i="23"/>
  <c r="A54" i="32"/>
  <c r="A54" i="36"/>
  <c r="A54" i="34"/>
  <c r="A54" i="31"/>
  <c r="A54" i="24"/>
  <c r="A54" i="17"/>
  <c r="A32" i="31"/>
  <c r="A32" i="21"/>
  <c r="A32" i="26"/>
  <c r="A32" i="25"/>
  <c r="A32" i="34"/>
  <c r="A32" i="20"/>
  <c r="A32" i="23"/>
  <c r="A32" i="19"/>
  <c r="A32" i="22"/>
  <c r="A32" i="30"/>
  <c r="A32" i="29"/>
  <c r="A32" i="35"/>
  <c r="A32" i="17"/>
  <c r="A32" i="37"/>
  <c r="A32" i="28"/>
  <c r="A32" i="24"/>
  <c r="A32" i="18"/>
  <c r="A32" i="36"/>
  <c r="A32" i="32"/>
  <c r="A32" i="33"/>
  <c r="A30" i="19"/>
  <c r="A30" i="30"/>
  <c r="A30" i="23"/>
  <c r="A30" i="37"/>
  <c r="A30" i="18"/>
  <c r="A30" i="34"/>
  <c r="A30" i="32"/>
  <c r="A30" i="17"/>
  <c r="A30" i="24"/>
  <c r="A30" i="21"/>
  <c r="A30" i="35"/>
  <c r="A30" i="26"/>
  <c r="A30" i="29"/>
  <c r="A30" i="28"/>
  <c r="A30" i="31"/>
  <c r="A30" i="25"/>
  <c r="A30" i="22"/>
  <c r="A30" i="36"/>
  <c r="A30" i="33"/>
  <c r="A30" i="20"/>
  <c r="A18" i="33"/>
  <c r="A18" i="21"/>
  <c r="A18" i="36"/>
  <c r="A18" i="28"/>
  <c r="A18" i="30"/>
  <c r="A18" i="24"/>
  <c r="A18" i="20"/>
  <c r="A18" i="37"/>
  <c r="A18" i="29"/>
  <c r="A18" i="26"/>
  <c r="A18" i="34"/>
  <c r="A18" i="18"/>
  <c r="A18" i="23"/>
  <c r="A18" i="35"/>
  <c r="A18" i="32"/>
  <c r="A18" i="25"/>
  <c r="A18" i="19"/>
  <c r="A18" i="17"/>
  <c r="A18" i="31"/>
  <c r="A18" i="22"/>
  <c r="A7" i="22"/>
  <c r="A7" i="18"/>
  <c r="A7" i="17"/>
  <c r="A7" i="33"/>
  <c r="A7" i="23"/>
  <c r="A7" i="21"/>
  <c r="A7" i="29"/>
  <c r="A7" i="31"/>
  <c r="A7" i="34"/>
  <c r="A7" i="32"/>
  <c r="A7" i="24"/>
  <c r="A7" i="20"/>
  <c r="A7" i="19"/>
  <c r="A7" i="36"/>
  <c r="A7" i="30"/>
  <c r="A7" i="26"/>
  <c r="A7" i="35"/>
  <c r="A7" i="28"/>
  <c r="A7" i="25"/>
  <c r="A7" i="37"/>
  <c r="E10" i="37"/>
  <c r="J10" i="37" s="1"/>
  <c r="I10" i="18"/>
  <c r="P10" i="18" s="1"/>
  <c r="Q10" i="18" s="1"/>
  <c r="S10" i="18" s="1"/>
  <c r="G10" i="36"/>
  <c r="N10" i="36" s="1"/>
  <c r="Q10" i="36" s="1"/>
  <c r="T10" i="36" s="1"/>
  <c r="I10" i="19"/>
  <c r="Q10" i="19" s="1"/>
  <c r="S10" i="19" s="1"/>
  <c r="U10" i="19" s="1"/>
  <c r="H10" i="31"/>
  <c r="P10" i="31" s="1"/>
  <c r="H10" i="20"/>
  <c r="P10" i="20" s="1"/>
  <c r="J10" i="17"/>
  <c r="S10" i="17" s="1"/>
  <c r="U10" i="17" s="1"/>
  <c r="W10" i="17" s="1"/>
  <c r="K10" i="34"/>
  <c r="T10" i="34" s="1"/>
  <c r="U10" i="34" s="1"/>
  <c r="X10" i="34" s="1"/>
  <c r="G10" i="24"/>
  <c r="O10" i="24" s="1"/>
  <c r="S10" i="24" s="1"/>
  <c r="U10" i="24" s="1"/>
  <c r="I10" i="29"/>
  <c r="Q10" i="29" s="1"/>
  <c r="S10" i="29" s="1"/>
  <c r="V10" i="29" s="1"/>
  <c r="I10" i="30"/>
  <c r="P10" i="30" s="1"/>
  <c r="Q10" i="30" s="1"/>
  <c r="T10" i="30" s="1"/>
  <c r="G10" i="35"/>
  <c r="O10" i="35" s="1"/>
  <c r="S10" i="35" s="1"/>
  <c r="V10" i="35" s="1"/>
  <c r="E10" i="26"/>
  <c r="J10" i="26" s="1"/>
  <c r="K10" i="23"/>
  <c r="T10" i="23" s="1"/>
  <c r="U10" i="23" s="1"/>
  <c r="W10" i="23" s="1"/>
  <c r="G10" i="25"/>
  <c r="N10" i="25" s="1"/>
  <c r="Q10" i="25" s="1"/>
  <c r="S10" i="25" s="1"/>
  <c r="J10" i="28"/>
  <c r="S10" i="28" s="1"/>
  <c r="U10" i="28" s="1"/>
  <c r="X10" i="28" s="1"/>
  <c r="E30" i="37"/>
  <c r="J30" i="37" s="1"/>
  <c r="I30" i="18"/>
  <c r="P30" i="18" s="1"/>
  <c r="Q30" i="18" s="1"/>
  <c r="G30" i="24"/>
  <c r="O30" i="24" s="1"/>
  <c r="S30" i="24" s="1"/>
  <c r="G30" i="35"/>
  <c r="O30" i="35" s="1"/>
  <c r="S30" i="35" s="1"/>
  <c r="I30" i="29"/>
  <c r="Q30" i="29" s="1"/>
  <c r="S30" i="29" s="1"/>
  <c r="J30" i="28"/>
  <c r="S30" i="28" s="1"/>
  <c r="U30" i="28" s="1"/>
  <c r="G30" i="25"/>
  <c r="N30" i="25" s="1"/>
  <c r="Q30" i="25" s="1"/>
  <c r="H30" i="31"/>
  <c r="P30" i="31" s="1"/>
  <c r="S30" i="31" s="1"/>
  <c r="H30" i="20"/>
  <c r="P30" i="20" s="1"/>
  <c r="S30" i="20" s="1"/>
  <c r="J30" i="17"/>
  <c r="S30" i="17" s="1"/>
  <c r="U30" i="17" s="1"/>
  <c r="G30" i="36"/>
  <c r="N30" i="36" s="1"/>
  <c r="Q30" i="36" s="1"/>
  <c r="I30" i="19"/>
  <c r="Q30" i="19" s="1"/>
  <c r="S30" i="19" s="1"/>
  <c r="E30" i="26"/>
  <c r="J30" i="26" s="1"/>
  <c r="K30" i="23"/>
  <c r="T30" i="23" s="1"/>
  <c r="U30" i="23" s="1"/>
  <c r="I30" i="30"/>
  <c r="P30" i="30" s="1"/>
  <c r="Q30" i="30" s="1"/>
  <c r="K30" i="34"/>
  <c r="T30" i="34" s="1"/>
  <c r="U30" i="34" s="1"/>
  <c r="A109" i="30"/>
  <c r="A109" i="32"/>
  <c r="A109" i="36"/>
  <c r="A109" i="35"/>
  <c r="A109" i="25"/>
  <c r="A109" i="21"/>
  <c r="A109" i="33"/>
  <c r="A109" i="34"/>
  <c r="A109" i="28"/>
  <c r="A109" i="17"/>
  <c r="A109" i="19"/>
  <c r="A109" i="29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09" i="18"/>
  <c r="A109" i="31"/>
  <c r="A109" i="23"/>
  <c r="A109" i="24"/>
  <c r="A109" i="37"/>
  <c r="A109" i="22"/>
  <c r="A109" i="26"/>
  <c r="A109" i="20"/>
  <c r="DE14" i="39"/>
  <c r="K18" i="41" s="1"/>
  <c r="A108" i="35"/>
  <c r="A108" i="32"/>
  <c r="A108" i="34"/>
  <c r="A108" i="24"/>
  <c r="A108" i="23"/>
  <c r="A108" i="22"/>
  <c r="A108" i="37"/>
  <c r="A108" i="26"/>
  <c r="A108" i="17"/>
  <c r="A108" i="25"/>
  <c r="A108" i="21"/>
  <c r="A108" i="20"/>
  <c r="A108" i="33"/>
  <c r="A108" i="36"/>
  <c r="A108" i="30"/>
  <c r="A108" i="19"/>
  <c r="A108" i="18"/>
  <c r="A108" i="28"/>
  <c r="A108" i="31"/>
  <c r="A108" i="29"/>
  <c r="C95" i="21"/>
  <c r="C95" i="18"/>
  <c r="C95" i="24"/>
  <c r="C95" i="33"/>
  <c r="C95" i="30"/>
  <c r="C95" i="28"/>
  <c r="C95" i="31"/>
  <c r="C95" i="34"/>
  <c r="C95" i="32"/>
  <c r="C95" i="25"/>
  <c r="C95" i="37"/>
  <c r="C95" i="22"/>
  <c r="C95" i="20"/>
  <c r="C95" i="29"/>
  <c r="C95" i="19"/>
  <c r="C95" i="35"/>
  <c r="C95" i="23"/>
  <c r="C95" i="17"/>
  <c r="C95" i="36"/>
  <c r="C95" i="26"/>
  <c r="A92" i="17"/>
  <c r="A92" i="35"/>
  <c r="A92" i="24"/>
  <c r="A92" i="23"/>
  <c r="A92" i="22"/>
  <c r="A92" i="36"/>
  <c r="A92" i="30"/>
  <c r="A92" i="37"/>
  <c r="A92" i="32"/>
  <c r="A92" i="29"/>
  <c r="A92" i="25"/>
  <c r="A92" i="31"/>
  <c r="A92" i="26"/>
  <c r="A92" i="33"/>
  <c r="A92" i="20"/>
  <c r="A92" i="21"/>
  <c r="A92" i="28"/>
  <c r="A92" i="19"/>
  <c r="A92" i="18"/>
  <c r="A92" i="34"/>
  <c r="BU14" i="39"/>
  <c r="K10" i="41" s="1"/>
  <c r="A100" i="32"/>
  <c r="A100" i="20"/>
  <c r="A100" i="33"/>
  <c r="A100" i="29"/>
  <c r="A100" i="21"/>
  <c r="A100" i="37"/>
  <c r="A100" i="30"/>
  <c r="A100" i="28"/>
  <c r="A100" i="24"/>
  <c r="A100" i="23"/>
  <c r="A100" i="22"/>
  <c r="A100" i="35"/>
  <c r="A100" i="34"/>
  <c r="A100" i="31"/>
  <c r="A100" i="17"/>
  <c r="A100" i="19"/>
  <c r="A100" i="18"/>
  <c r="A100" i="36"/>
  <c r="A100" i="26"/>
  <c r="A100" i="25"/>
  <c r="A97" i="37"/>
  <c r="A97" i="35"/>
  <c r="A97" i="36"/>
  <c r="A97" i="22"/>
  <c r="A97" i="28"/>
  <c r="A97" i="33"/>
  <c r="A97" i="34"/>
  <c r="A97" i="30"/>
  <c r="A97" i="26"/>
  <c r="A97" i="24"/>
  <c r="A97" i="18"/>
  <c r="A97" i="31"/>
  <c r="A97" i="17"/>
  <c r="A97" i="21"/>
  <c r="A97" i="29"/>
  <c r="A97" i="25"/>
  <c r="A97" i="32"/>
  <c r="A97" i="23"/>
  <c r="A97" i="20"/>
  <c r="A97" i="19"/>
  <c r="A91" i="18"/>
  <c r="A91" i="19"/>
  <c r="A91" i="17"/>
  <c r="A91" i="22"/>
  <c r="A91" i="24"/>
  <c r="A91" i="35"/>
  <c r="A91" i="37"/>
  <c r="A91" i="34"/>
  <c r="A91" i="32"/>
  <c r="A91" i="30"/>
  <c r="A91" i="28"/>
  <c r="A91" i="23"/>
  <c r="A91" i="36"/>
  <c r="A91" i="29"/>
  <c r="A91" i="26"/>
  <c r="A91" i="25"/>
  <c r="A91" i="31"/>
  <c r="A91" i="21"/>
  <c r="A91" i="20"/>
  <c r="A91" i="33"/>
  <c r="A81" i="37"/>
  <c r="A81" i="31"/>
  <c r="A81" i="30"/>
  <c r="A81" i="21"/>
  <c r="A81" i="34"/>
  <c r="A81" i="22"/>
  <c r="A81" i="32"/>
  <c r="A81" i="33"/>
  <c r="A81" i="20"/>
  <c r="A81" i="24"/>
  <c r="A81" i="36"/>
  <c r="A81" i="35"/>
  <c r="A81" i="18"/>
  <c r="A81" i="26"/>
  <c r="A81" i="17"/>
  <c r="A81" i="25"/>
  <c r="A81" i="23"/>
  <c r="A81" i="28"/>
  <c r="A81" i="19"/>
  <c r="A81" i="29"/>
  <c r="A59" i="18"/>
  <c r="A59" i="33"/>
  <c r="A59" i="31"/>
  <c r="A59" i="26"/>
  <c r="A59" i="19"/>
  <c r="A59" i="17"/>
  <c r="A59" i="22"/>
  <c r="A59" i="32"/>
  <c r="A59" i="24"/>
  <c r="A59" i="29"/>
  <c r="A59" i="21"/>
  <c r="A59" i="23"/>
  <c r="A59" i="35"/>
  <c r="A59" i="30"/>
  <c r="A59" i="20"/>
  <c r="A59" i="25"/>
  <c r="A59" i="36"/>
  <c r="A59" i="37"/>
  <c r="A59" i="34"/>
  <c r="A59" i="28"/>
  <c r="A49" i="29"/>
  <c r="A49" i="32"/>
  <c r="A49" i="22"/>
  <c r="A49" i="28"/>
  <c r="A49" i="26"/>
  <c r="A49" i="37"/>
  <c r="A49" i="33"/>
  <c r="A49" i="31"/>
  <c r="A49" i="24"/>
  <c r="A49" i="21"/>
  <c r="A49" i="18"/>
  <c r="A49" i="34"/>
  <c r="A49" i="35"/>
  <c r="A49" i="17"/>
  <c r="A49" i="30"/>
  <c r="A49" i="25"/>
  <c r="A49" i="36"/>
  <c r="A49" i="23"/>
  <c r="A49" i="20"/>
  <c r="A49" i="19"/>
  <c r="A12" i="24"/>
  <c r="A12" i="23"/>
  <c r="A12" i="30"/>
  <c r="A12" i="22"/>
  <c r="A12" i="17"/>
  <c r="A12" i="32"/>
  <c r="A12" i="28"/>
  <c r="A12" i="21"/>
  <c r="A12" i="25"/>
  <c r="A12" i="20"/>
  <c r="A12" i="36"/>
  <c r="A12" i="26"/>
  <c r="A12" i="37"/>
  <c r="A12" i="34"/>
  <c r="A12" i="29"/>
  <c r="A12" i="19"/>
  <c r="A12" i="18"/>
  <c r="A12" i="35"/>
  <c r="A12" i="31"/>
  <c r="A12" i="33"/>
  <c r="A3" i="18"/>
  <c r="A3" i="28"/>
  <c r="A3" i="25"/>
  <c r="A3" i="21"/>
  <c r="A3" i="19"/>
  <c r="A3" i="36"/>
  <c r="A3" i="35"/>
  <c r="A3" i="33"/>
  <c r="A3" i="32"/>
  <c r="A3" i="29"/>
  <c r="A3" i="26"/>
  <c r="A3" i="31"/>
  <c r="A3" i="22"/>
  <c r="A3" i="17"/>
  <c r="A3" i="34"/>
  <c r="A3" i="24"/>
  <c r="A3" i="37"/>
  <c r="A3" i="30"/>
  <c r="A3" i="23"/>
  <c r="A3" i="20"/>
  <c r="K9" i="34"/>
  <c r="T9" i="34" s="1"/>
  <c r="U9" i="34" s="1"/>
  <c r="X9" i="34" s="1"/>
  <c r="G9" i="25"/>
  <c r="N9" i="25" s="1"/>
  <c r="Q9" i="25" s="1"/>
  <c r="S9" i="25" s="1"/>
  <c r="K9" i="23"/>
  <c r="T9" i="23" s="1"/>
  <c r="U9" i="23" s="1"/>
  <c r="W9" i="23" s="1"/>
  <c r="H9" i="20"/>
  <c r="P9" i="20" s="1"/>
  <c r="J9" i="17"/>
  <c r="S9" i="17" s="1"/>
  <c r="U9" i="17" s="1"/>
  <c r="W9" i="17" s="1"/>
  <c r="E9" i="37"/>
  <c r="J9" i="37" s="1"/>
  <c r="I9" i="18"/>
  <c r="P9" i="18" s="1"/>
  <c r="Q9" i="18" s="1"/>
  <c r="S9" i="18" s="1"/>
  <c r="J9" i="28"/>
  <c r="S9" i="28" s="1"/>
  <c r="U9" i="28" s="1"/>
  <c r="X9" i="28" s="1"/>
  <c r="E9" i="26"/>
  <c r="J9" i="26" s="1"/>
  <c r="G9" i="36"/>
  <c r="N9" i="36" s="1"/>
  <c r="Q9" i="36" s="1"/>
  <c r="T9" i="36" s="1"/>
  <c r="H9" i="31"/>
  <c r="P9" i="31" s="1"/>
  <c r="I9" i="19"/>
  <c r="Q9" i="19" s="1"/>
  <c r="S9" i="19" s="1"/>
  <c r="U9" i="19" s="1"/>
  <c r="G9" i="24"/>
  <c r="O9" i="24" s="1"/>
  <c r="S9" i="24" s="1"/>
  <c r="U9" i="24" s="1"/>
  <c r="I9" i="30"/>
  <c r="P9" i="30" s="1"/>
  <c r="Q9" i="30" s="1"/>
  <c r="T9" i="30" s="1"/>
  <c r="G9" i="35"/>
  <c r="O9" i="35" s="1"/>
  <c r="S9" i="35" s="1"/>
  <c r="V9" i="35" s="1"/>
  <c r="I9" i="29"/>
  <c r="Q9" i="29" s="1"/>
  <c r="S9" i="29" s="1"/>
  <c r="V9" i="29" s="1"/>
  <c r="G29" i="36"/>
  <c r="N29" i="36" s="1"/>
  <c r="Q29" i="36" s="1"/>
  <c r="I29" i="19"/>
  <c r="Q29" i="19" s="1"/>
  <c r="S29" i="19" s="1"/>
  <c r="I29" i="30"/>
  <c r="P29" i="30" s="1"/>
  <c r="Q29" i="30" s="1"/>
  <c r="K29" i="23"/>
  <c r="T29" i="23" s="1"/>
  <c r="U29" i="23" s="1"/>
  <c r="E29" i="37"/>
  <c r="J29" i="37" s="1"/>
  <c r="I29" i="18"/>
  <c r="P29" i="18" s="1"/>
  <c r="Q29" i="18" s="1"/>
  <c r="K29" i="34"/>
  <c r="T29" i="34" s="1"/>
  <c r="U29" i="34" s="1"/>
  <c r="G29" i="24"/>
  <c r="O29" i="24" s="1"/>
  <c r="S29" i="24" s="1"/>
  <c r="H29" i="20"/>
  <c r="P29" i="20" s="1"/>
  <c r="S29" i="20" s="1"/>
  <c r="J29" i="17"/>
  <c r="S29" i="17" s="1"/>
  <c r="U29" i="17" s="1"/>
  <c r="G29" i="35"/>
  <c r="O29" i="35" s="1"/>
  <c r="S29" i="35" s="1"/>
  <c r="E29" i="26"/>
  <c r="J29" i="26" s="1"/>
  <c r="G29" i="25"/>
  <c r="N29" i="25" s="1"/>
  <c r="Q29" i="25" s="1"/>
  <c r="H29" i="31"/>
  <c r="P29" i="31" s="1"/>
  <c r="S29" i="31" s="1"/>
  <c r="J29" i="28"/>
  <c r="S29" i="28" s="1"/>
  <c r="U29" i="28" s="1"/>
  <c r="I29" i="29"/>
  <c r="Q29" i="29" s="1"/>
  <c r="S29" i="29" s="1"/>
  <c r="A98" i="30"/>
  <c r="A98" i="29"/>
  <c r="A98" i="24"/>
  <c r="A98" i="31"/>
  <c r="A98" i="26"/>
  <c r="A98" i="18"/>
  <c r="A98" i="23"/>
  <c r="A98" i="25"/>
  <c r="A98" i="21"/>
  <c r="A98" i="35"/>
  <c r="A98" i="32"/>
  <c r="A98" i="28"/>
  <c r="A98" i="19"/>
  <c r="A98" i="17"/>
  <c r="A98" i="36"/>
  <c r="A98" i="20"/>
  <c r="A98" i="37"/>
  <c r="A98" i="34"/>
  <c r="A98" i="33"/>
  <c r="A98" i="22"/>
  <c r="A89" i="37"/>
  <c r="A89" i="24"/>
  <c r="A89" i="32"/>
  <c r="A89" i="26"/>
  <c r="A89" i="17"/>
  <c r="A89" i="30"/>
  <c r="A89" i="35"/>
  <c r="A89" i="25"/>
  <c r="A89" i="21"/>
  <c r="A89" i="31"/>
  <c r="A89" i="23"/>
  <c r="A89" i="36"/>
  <c r="A89" i="28"/>
  <c r="A89" i="18"/>
  <c r="A89" i="22"/>
  <c r="A89" i="20"/>
  <c r="A89" i="33"/>
  <c r="A89" i="34"/>
  <c r="A89" i="29"/>
  <c r="A89" i="19"/>
  <c r="A95" i="21"/>
  <c r="A95" i="18"/>
  <c r="A95" i="24"/>
  <c r="A95" i="33"/>
  <c r="A95" i="30"/>
  <c r="A95" i="28"/>
  <c r="A95" i="31"/>
  <c r="A95" i="34"/>
  <c r="A95" i="32"/>
  <c r="A95" i="25"/>
  <c r="A95" i="37"/>
  <c r="A95" i="22"/>
  <c r="A95" i="17"/>
  <c r="A95" i="20"/>
  <c r="A95" i="29"/>
  <c r="A95" i="19"/>
  <c r="A95" i="35"/>
  <c r="A95" i="23"/>
  <c r="A95" i="36"/>
  <c r="A95" i="26"/>
  <c r="D1" i="37"/>
  <c r="D1" i="26"/>
  <c r="BN14" i="39"/>
  <c r="K9" i="41" s="1"/>
  <c r="A94" i="26"/>
  <c r="A94" i="19"/>
  <c r="A94" i="29"/>
  <c r="A94" i="23"/>
  <c r="A94" i="35"/>
  <c r="A94" i="21"/>
  <c r="A94" i="17"/>
  <c r="A94" i="18"/>
  <c r="A94" i="36"/>
  <c r="A94" i="24"/>
  <c r="A94" i="30"/>
  <c r="A94" i="33"/>
  <c r="A94" i="32"/>
  <c r="A94" i="31"/>
  <c r="A94" i="22"/>
  <c r="A94" i="37"/>
  <c r="A94" i="28"/>
  <c r="A94" i="25"/>
  <c r="A94" i="34"/>
  <c r="A94" i="20"/>
  <c r="A83" i="18"/>
  <c r="A83" i="30"/>
  <c r="A83" i="25"/>
  <c r="A83" i="19"/>
  <c r="A83" i="26"/>
  <c r="A83" i="31"/>
  <c r="A83" i="37"/>
  <c r="A83" i="33"/>
  <c r="A83" i="35"/>
  <c r="A83" i="21"/>
  <c r="A83" i="32"/>
  <c r="A83" i="20"/>
  <c r="A83" i="36"/>
  <c r="A83" i="22"/>
  <c r="A83" i="17"/>
  <c r="A83" i="29"/>
  <c r="A83" i="24"/>
  <c r="A83" i="28"/>
  <c r="A83" i="34"/>
  <c r="A83" i="23"/>
  <c r="A74" i="17"/>
  <c r="A74" i="34"/>
  <c r="A74" i="26"/>
  <c r="A74" i="33"/>
  <c r="A74" i="32"/>
  <c r="A74" i="31"/>
  <c r="A74" i="18"/>
  <c r="A74" i="35"/>
  <c r="A74" i="30"/>
  <c r="A74" i="21"/>
  <c r="A74" i="36"/>
  <c r="A74" i="22"/>
  <c r="A74" i="29"/>
  <c r="A74" i="19"/>
  <c r="A74" i="24"/>
  <c r="A74" i="20"/>
  <c r="A74" i="28"/>
  <c r="A74" i="37"/>
  <c r="A74" i="23"/>
  <c r="A74" i="25"/>
  <c r="A25" i="33"/>
  <c r="A25" i="17"/>
  <c r="A25" i="34"/>
  <c r="A25" i="25"/>
  <c r="A25" i="29"/>
  <c r="A25" i="28"/>
  <c r="A25" i="23"/>
  <c r="A25" i="31"/>
  <c r="A25" i="37"/>
  <c r="A25" i="35"/>
  <c r="A25" i="26"/>
  <c r="A25" i="21"/>
  <c r="A25" i="18"/>
  <c r="A25" i="32"/>
  <c r="A25" i="22"/>
  <c r="A25" i="30"/>
  <c r="A25" i="20"/>
  <c r="A25" i="19"/>
  <c r="A25" i="36"/>
  <c r="A25" i="24"/>
  <c r="A21" i="30"/>
  <c r="A21" i="23"/>
  <c r="A21" i="35"/>
  <c r="A21" i="24"/>
  <c r="A21" i="20"/>
  <c r="A21" i="22"/>
  <c r="A21" i="19"/>
  <c r="A21" i="37"/>
  <c r="A21" i="29"/>
  <c r="A21" i="26"/>
  <c r="A21" i="21"/>
  <c r="A21" i="34"/>
  <c r="A21" i="28"/>
  <c r="A21" i="25"/>
  <c r="A21" i="18"/>
  <c r="A21" i="33"/>
  <c r="A21" i="32"/>
  <c r="A21" i="31"/>
  <c r="A21" i="36"/>
  <c r="A21" i="17"/>
  <c r="A11" i="18"/>
  <c r="A11" i="17"/>
  <c r="A11" i="29"/>
  <c r="A11" i="19"/>
  <c r="A11" i="34"/>
  <c r="A11" i="31"/>
  <c r="A11" i="35"/>
  <c r="A11" i="22"/>
  <c r="A11" i="24"/>
  <c r="A11" i="33"/>
  <c r="A11" i="30"/>
  <c r="A11" i="32"/>
  <c r="A11" i="23"/>
  <c r="A11" i="21"/>
  <c r="A11" i="25"/>
  <c r="A11" i="28"/>
  <c r="A11" i="26"/>
  <c r="A11" i="20"/>
  <c r="A11" i="37"/>
  <c r="A11" i="36"/>
  <c r="A2" i="31"/>
  <c r="A2" i="24"/>
  <c r="A2" i="37"/>
  <c r="A2" i="30"/>
  <c r="A2" i="29"/>
  <c r="A2" i="20"/>
  <c r="A2" i="18"/>
  <c r="A2" i="21"/>
  <c r="A2" i="23"/>
  <c r="A2" i="25"/>
  <c r="A2" i="34"/>
  <c r="A2" i="19"/>
  <c r="A2" i="28"/>
  <c r="A2" i="17"/>
  <c r="A2" i="36"/>
  <c r="A2" i="35"/>
  <c r="A2" i="32"/>
  <c r="A2" i="33"/>
  <c r="A2" i="26"/>
  <c r="A2" i="22"/>
  <c r="G8" i="24"/>
  <c r="O8" i="24" s="1"/>
  <c r="S8" i="24" s="1"/>
  <c r="U8" i="24" s="1"/>
  <c r="I8" i="19"/>
  <c r="Q8" i="19" s="1"/>
  <c r="S8" i="19" s="1"/>
  <c r="U8" i="19" s="1"/>
  <c r="J8" i="28"/>
  <c r="S8" i="28" s="1"/>
  <c r="U8" i="28" s="1"/>
  <c r="X8" i="28" s="1"/>
  <c r="G8" i="36"/>
  <c r="N8" i="36" s="1"/>
  <c r="Q8" i="36" s="1"/>
  <c r="T8" i="36" s="1"/>
  <c r="I8" i="30"/>
  <c r="P8" i="30" s="1"/>
  <c r="Q8" i="30" s="1"/>
  <c r="T8" i="30" s="1"/>
  <c r="H8" i="20"/>
  <c r="P8" i="20" s="1"/>
  <c r="J8" i="17"/>
  <c r="S8" i="17" s="1"/>
  <c r="U8" i="17" s="1"/>
  <c r="W8" i="17" s="1"/>
  <c r="G8" i="35"/>
  <c r="O8" i="35" s="1"/>
  <c r="S8" i="35" s="1"/>
  <c r="V8" i="35" s="1"/>
  <c r="G8" i="25"/>
  <c r="N8" i="25" s="1"/>
  <c r="Q8" i="25" s="1"/>
  <c r="S8" i="25" s="1"/>
  <c r="E8" i="26"/>
  <c r="J8" i="26" s="1"/>
  <c r="K8" i="23"/>
  <c r="T8" i="23" s="1"/>
  <c r="U8" i="23" s="1"/>
  <c r="W8" i="23" s="1"/>
  <c r="K8" i="34"/>
  <c r="T8" i="34" s="1"/>
  <c r="U8" i="34" s="1"/>
  <c r="X8" i="34" s="1"/>
  <c r="E8" i="37"/>
  <c r="J8" i="37" s="1"/>
  <c r="I8" i="29"/>
  <c r="Q8" i="29" s="1"/>
  <c r="S8" i="29" s="1"/>
  <c r="V8" i="29" s="1"/>
  <c r="I8" i="18"/>
  <c r="P8" i="18" s="1"/>
  <c r="Q8" i="18" s="1"/>
  <c r="S8" i="18" s="1"/>
  <c r="H8" i="31"/>
  <c r="P8" i="31" s="1"/>
  <c r="G28" i="35"/>
  <c r="O28" i="35" s="1"/>
  <c r="S28" i="35" s="1"/>
  <c r="G28" i="25"/>
  <c r="N28" i="25" s="1"/>
  <c r="Q28" i="25" s="1"/>
  <c r="K28" i="34"/>
  <c r="T28" i="34" s="1"/>
  <c r="U28" i="34" s="1"/>
  <c r="H28" i="31"/>
  <c r="P28" i="31" s="1"/>
  <c r="S28" i="31" s="1"/>
  <c r="J28" i="28"/>
  <c r="S28" i="28" s="1"/>
  <c r="U28" i="28" s="1"/>
  <c r="I28" i="29"/>
  <c r="Q28" i="29" s="1"/>
  <c r="S28" i="29" s="1"/>
  <c r="H28" i="20"/>
  <c r="P28" i="20" s="1"/>
  <c r="S28" i="20" s="1"/>
  <c r="J28" i="17"/>
  <c r="S28" i="17" s="1"/>
  <c r="U28" i="17" s="1"/>
  <c r="I28" i="30"/>
  <c r="P28" i="30" s="1"/>
  <c r="Q28" i="30" s="1"/>
  <c r="I28" i="19"/>
  <c r="Q28" i="19" s="1"/>
  <c r="S28" i="19" s="1"/>
  <c r="E28" i="37"/>
  <c r="J28" i="37" s="1"/>
  <c r="G28" i="36"/>
  <c r="N28" i="36" s="1"/>
  <c r="Q28" i="36" s="1"/>
  <c r="I28" i="18"/>
  <c r="P28" i="18" s="1"/>
  <c r="Q28" i="18" s="1"/>
  <c r="E28" i="26"/>
  <c r="J28" i="26" s="1"/>
  <c r="K28" i="23"/>
  <c r="T28" i="23" s="1"/>
  <c r="U28" i="23" s="1"/>
  <c r="G28" i="24"/>
  <c r="O28" i="24" s="1"/>
  <c r="S28" i="24" s="1"/>
  <c r="CB14" i="39"/>
  <c r="K11" i="41" s="1"/>
  <c r="A66" i="30"/>
  <c r="A66" i="28"/>
  <c r="A66" i="21"/>
  <c r="A66" i="24"/>
  <c r="A66" i="20"/>
  <c r="A66" i="18"/>
  <c r="A66" i="23"/>
  <c r="A66" i="32"/>
  <c r="A66" i="25"/>
  <c r="A66" i="19"/>
  <c r="A66" i="34"/>
  <c r="A66" i="17"/>
  <c r="A66" i="35"/>
  <c r="A66" i="29"/>
  <c r="A66" i="26"/>
  <c r="A66" i="31"/>
  <c r="A66" i="37"/>
  <c r="A66" i="36"/>
  <c r="A66" i="33"/>
  <c r="A66" i="22"/>
  <c r="A61" i="25"/>
  <c r="A61" i="21"/>
  <c r="A61" i="33"/>
  <c r="A61" i="37"/>
  <c r="A61" i="19"/>
  <c r="A61" i="17"/>
  <c r="A61" i="34"/>
  <c r="A61" i="31"/>
  <c r="A61" i="29"/>
  <c r="A61" i="18"/>
  <c r="A61" i="23"/>
  <c r="A61" i="35"/>
  <c r="A61" i="30"/>
  <c r="A61" i="24"/>
  <c r="A61" i="32"/>
  <c r="A61" i="28"/>
  <c r="A61" i="26"/>
  <c r="A61" i="20"/>
  <c r="A61" i="22"/>
  <c r="A61" i="36"/>
  <c r="A51" i="36"/>
  <c r="A51" i="18"/>
  <c r="A51" i="30"/>
  <c r="A51" i="25"/>
  <c r="A51" i="21"/>
  <c r="A51" i="19"/>
  <c r="A51" i="28"/>
  <c r="A51" i="20"/>
  <c r="A51" i="34"/>
  <c r="A51" i="33"/>
  <c r="A51" i="32"/>
  <c r="A51" i="31"/>
  <c r="A51" i="29"/>
  <c r="A51" i="22"/>
  <c r="A51" i="17"/>
  <c r="A51" i="37"/>
  <c r="A51" i="35"/>
  <c r="A51" i="26"/>
  <c r="A51" i="24"/>
  <c r="A51" i="23"/>
  <c r="A44" i="28"/>
  <c r="A44" i="24"/>
  <c r="A44" i="23"/>
  <c r="A44" i="22"/>
  <c r="A44" i="26"/>
  <c r="A44" i="25"/>
  <c r="A44" i="17"/>
  <c r="A44" i="32"/>
  <c r="A44" i="30"/>
  <c r="A44" i="34"/>
  <c r="A44" i="21"/>
  <c r="A44" i="35"/>
  <c r="A44" i="33"/>
  <c r="A44" i="20"/>
  <c r="A44" i="37"/>
  <c r="A44" i="29"/>
  <c r="A44" i="36"/>
  <c r="A44" i="19"/>
  <c r="A44" i="18"/>
  <c r="A44" i="31"/>
  <c r="A39" i="22"/>
  <c r="A39" i="18"/>
  <c r="A39" i="17"/>
  <c r="A39" i="30"/>
  <c r="A39" i="23"/>
  <c r="A39" i="34"/>
  <c r="A39" i="26"/>
  <c r="A39" i="29"/>
  <c r="A39" i="24"/>
  <c r="A39" i="35"/>
  <c r="A39" i="31"/>
  <c r="A39" i="21"/>
  <c r="A39" i="19"/>
  <c r="A39" i="20"/>
  <c r="A39" i="36"/>
  <c r="A39" i="33"/>
  <c r="A39" i="28"/>
  <c r="A39" i="32"/>
  <c r="A39" i="37"/>
  <c r="A39" i="25"/>
  <c r="I7" i="29"/>
  <c r="Q7" i="29" s="1"/>
  <c r="S7" i="29" s="1"/>
  <c r="V7" i="29" s="1"/>
  <c r="H7" i="20"/>
  <c r="P7" i="20" s="1"/>
  <c r="J7" i="17"/>
  <c r="S7" i="17" s="1"/>
  <c r="U7" i="17" s="1"/>
  <c r="W7" i="17" s="1"/>
  <c r="K7" i="34"/>
  <c r="T7" i="34" s="1"/>
  <c r="U7" i="34" s="1"/>
  <c r="X7" i="34" s="1"/>
  <c r="H7" i="31"/>
  <c r="P7" i="31" s="1"/>
  <c r="G7" i="24"/>
  <c r="O7" i="24" s="1"/>
  <c r="S7" i="24" s="1"/>
  <c r="U7" i="24" s="1"/>
  <c r="E7" i="26"/>
  <c r="J7" i="26" s="1"/>
  <c r="I7" i="19"/>
  <c r="Q7" i="19" s="1"/>
  <c r="S7" i="19" s="1"/>
  <c r="U7" i="19" s="1"/>
  <c r="I7" i="30"/>
  <c r="P7" i="30" s="1"/>
  <c r="Q7" i="30" s="1"/>
  <c r="T7" i="30" s="1"/>
  <c r="G7" i="36"/>
  <c r="N7" i="36" s="1"/>
  <c r="Q7" i="36" s="1"/>
  <c r="T7" i="36" s="1"/>
  <c r="J7" i="28"/>
  <c r="S7" i="28" s="1"/>
  <c r="U7" i="28" s="1"/>
  <c r="X7" i="28" s="1"/>
  <c r="G7" i="25"/>
  <c r="N7" i="25" s="1"/>
  <c r="Q7" i="25" s="1"/>
  <c r="S7" i="25" s="1"/>
  <c r="G7" i="35"/>
  <c r="O7" i="35" s="1"/>
  <c r="S7" i="35" s="1"/>
  <c r="V7" i="35" s="1"/>
  <c r="E7" i="37"/>
  <c r="J7" i="37" s="1"/>
  <c r="I7" i="18"/>
  <c r="P7" i="18" s="1"/>
  <c r="Q7" i="18" s="1"/>
  <c r="S7" i="18" s="1"/>
  <c r="K7" i="23"/>
  <c r="T7" i="23" s="1"/>
  <c r="U7" i="23" s="1"/>
  <c r="W7" i="23" s="1"/>
  <c r="G27" i="36"/>
  <c r="N27" i="36" s="1"/>
  <c r="Q27" i="36" s="1"/>
  <c r="J27" i="28"/>
  <c r="S27" i="28" s="1"/>
  <c r="U27" i="28" s="1"/>
  <c r="G27" i="24"/>
  <c r="O27" i="24" s="1"/>
  <c r="S27" i="24" s="1"/>
  <c r="K27" i="23"/>
  <c r="T27" i="23" s="1"/>
  <c r="U27" i="23" s="1"/>
  <c r="G27" i="25"/>
  <c r="N27" i="25" s="1"/>
  <c r="Q27" i="25" s="1"/>
  <c r="H27" i="20"/>
  <c r="P27" i="20" s="1"/>
  <c r="S27" i="20" s="1"/>
  <c r="J27" i="17"/>
  <c r="S27" i="17" s="1"/>
  <c r="U27" i="17" s="1"/>
  <c r="G27" i="35"/>
  <c r="O27" i="35" s="1"/>
  <c r="S27" i="35" s="1"/>
  <c r="H27" i="31"/>
  <c r="P27" i="31" s="1"/>
  <c r="S27" i="31" s="1"/>
  <c r="E27" i="26"/>
  <c r="J27" i="26" s="1"/>
  <c r="K27" i="34"/>
  <c r="T27" i="34" s="1"/>
  <c r="U27" i="34" s="1"/>
  <c r="E27" i="37"/>
  <c r="J27" i="37" s="1"/>
  <c r="I27" i="30"/>
  <c r="P27" i="30" s="1"/>
  <c r="Q27" i="30" s="1"/>
  <c r="I27" i="18"/>
  <c r="P27" i="18" s="1"/>
  <c r="Q27" i="18" s="1"/>
  <c r="I27" i="19"/>
  <c r="Q27" i="19" s="1"/>
  <c r="S27" i="19" s="1"/>
  <c r="I27" i="29"/>
  <c r="Q27" i="29" s="1"/>
  <c r="S27" i="29" s="1"/>
  <c r="AR14" i="39"/>
  <c r="K7" i="41" s="1"/>
  <c r="EH14" i="39"/>
  <c r="K21" i="41" s="1"/>
  <c r="A71" i="29"/>
  <c r="A71" i="22"/>
  <c r="A71" i="18"/>
  <c r="A71" i="17"/>
  <c r="A71" i="21"/>
  <c r="A71" i="32"/>
  <c r="A71" i="23"/>
  <c r="A71" i="31"/>
  <c r="A71" i="30"/>
  <c r="A71" i="28"/>
  <c r="A71" i="35"/>
  <c r="A71" i="33"/>
  <c r="A71" i="24"/>
  <c r="A71" i="37"/>
  <c r="A71" i="19"/>
  <c r="A71" i="26"/>
  <c r="A71" i="36"/>
  <c r="A71" i="20"/>
  <c r="A71" i="34"/>
  <c r="A71" i="25"/>
  <c r="A56" i="21"/>
  <c r="A56" i="17"/>
  <c r="A56" i="31"/>
  <c r="A56" i="32"/>
  <c r="A56" i="29"/>
  <c r="A56" i="24"/>
  <c r="A56" i="19"/>
  <c r="A56" i="33"/>
  <c r="A56" i="37"/>
  <c r="A56" i="34"/>
  <c r="A56" i="30"/>
  <c r="A56" i="28"/>
  <c r="A56" i="25"/>
  <c r="A56" i="23"/>
  <c r="A56" i="20"/>
  <c r="A56" i="18"/>
  <c r="A56" i="36"/>
  <c r="A56" i="35"/>
  <c r="A56" i="26"/>
  <c r="A56" i="22"/>
  <c r="C53" i="32"/>
  <c r="C53" i="23"/>
  <c r="C53" i="31"/>
  <c r="C53" i="28"/>
  <c r="C53" i="17"/>
  <c r="C53" i="36"/>
  <c r="C53" i="24"/>
  <c r="C53" i="37"/>
  <c r="C53" i="34"/>
  <c r="C53" i="26"/>
  <c r="C53" i="22"/>
  <c r="C53" i="19"/>
  <c r="C53" i="30"/>
  <c r="C53" i="25"/>
  <c r="C53" i="18"/>
  <c r="C53" i="33"/>
  <c r="C53" i="21"/>
  <c r="C53" i="20"/>
  <c r="C53" i="29"/>
  <c r="C53" i="35"/>
  <c r="A34" i="36"/>
  <c r="A34" i="37"/>
  <c r="A34" i="34"/>
  <c r="A34" i="33"/>
  <c r="A34" i="24"/>
  <c r="A34" i="32"/>
  <c r="A34" i="18"/>
  <c r="A34" i="31"/>
  <c r="A34" i="29"/>
  <c r="A34" i="23"/>
  <c r="A34" i="28"/>
  <c r="A34" i="25"/>
  <c r="A34" i="20"/>
  <c r="A34" i="19"/>
  <c r="A34" i="26"/>
  <c r="A34" i="21"/>
  <c r="A34" i="17"/>
  <c r="A34" i="30"/>
  <c r="A34" i="35"/>
  <c r="A34" i="22"/>
  <c r="BO6" i="2"/>
  <c r="A17" i="31"/>
  <c r="A17" i="22"/>
  <c r="A17" i="21"/>
  <c r="A17" i="37"/>
  <c r="A17" i="33"/>
  <c r="A17" i="30"/>
  <c r="A17" i="26"/>
  <c r="A17" i="24"/>
  <c r="A17" i="20"/>
  <c r="A17" i="36"/>
  <c r="A17" i="18"/>
  <c r="A17" i="28"/>
  <c r="A17" i="17"/>
  <c r="A17" i="34"/>
  <c r="A17" i="32"/>
  <c r="A17" i="25"/>
  <c r="A17" i="35"/>
  <c r="A17" i="23"/>
  <c r="A17" i="29"/>
  <c r="A17" i="19"/>
  <c r="E6" i="37"/>
  <c r="J6" i="37" s="1"/>
  <c r="G6" i="36"/>
  <c r="N6" i="36" s="1"/>
  <c r="Q6" i="36" s="1"/>
  <c r="T6" i="36" s="1"/>
  <c r="H6" i="20"/>
  <c r="P6" i="20" s="1"/>
  <c r="I6" i="18"/>
  <c r="P6" i="18" s="1"/>
  <c r="Q6" i="18" s="1"/>
  <c r="S6" i="18" s="1"/>
  <c r="J6" i="17"/>
  <c r="S6" i="17" s="1"/>
  <c r="U6" i="17" s="1"/>
  <c r="W6" i="17" s="1"/>
  <c r="G6" i="35"/>
  <c r="O6" i="35" s="1"/>
  <c r="S6" i="35" s="1"/>
  <c r="V6" i="35" s="1"/>
  <c r="J6" i="28"/>
  <c r="S6" i="28" s="1"/>
  <c r="U6" i="28" s="1"/>
  <c r="X6" i="28" s="1"/>
  <c r="E6" i="26"/>
  <c r="J6" i="26" s="1"/>
  <c r="K6" i="23"/>
  <c r="T6" i="23" s="1"/>
  <c r="U6" i="23" s="1"/>
  <c r="W6" i="23" s="1"/>
  <c r="H6" i="31"/>
  <c r="P6" i="31" s="1"/>
  <c r="G6" i="24"/>
  <c r="O6" i="24" s="1"/>
  <c r="S6" i="24" s="1"/>
  <c r="U6" i="24" s="1"/>
  <c r="K6" i="34"/>
  <c r="T6" i="34" s="1"/>
  <c r="U6" i="34" s="1"/>
  <c r="X6" i="34" s="1"/>
  <c r="I6" i="29"/>
  <c r="Q6" i="29" s="1"/>
  <c r="S6" i="29" s="1"/>
  <c r="V6" i="29" s="1"/>
  <c r="I6" i="19"/>
  <c r="Q6" i="19" s="1"/>
  <c r="S6" i="19" s="1"/>
  <c r="U6" i="19" s="1"/>
  <c r="I6" i="30"/>
  <c r="P6" i="30" s="1"/>
  <c r="Q6" i="30" s="1"/>
  <c r="T6" i="30" s="1"/>
  <c r="G6" i="25"/>
  <c r="N6" i="25" s="1"/>
  <c r="Q6" i="25" s="1"/>
  <c r="S6" i="25" s="1"/>
  <c r="C14" i="39"/>
  <c r="K3" i="41" s="1"/>
  <c r="DP14" i="39"/>
  <c r="K19" i="41" s="1"/>
  <c r="AG14" i="39"/>
  <c r="K6" i="41" s="1"/>
  <c r="A102" i="36"/>
  <c r="A102" i="31"/>
  <c r="A102" i="29"/>
  <c r="A102" i="19"/>
  <c r="A102" i="22"/>
  <c r="A102" i="33"/>
  <c r="A102" i="25"/>
  <c r="A102" i="34"/>
  <c r="A102" i="18"/>
  <c r="A102" i="28"/>
  <c r="A102" i="26"/>
  <c r="A102" i="20"/>
  <c r="A102" i="32"/>
  <c r="A102" i="37"/>
  <c r="A102" i="30"/>
  <c r="A102" i="23"/>
  <c r="A102" i="21"/>
  <c r="A102" i="17"/>
  <c r="A102" i="35"/>
  <c r="A102" i="24"/>
  <c r="C96" i="32"/>
  <c r="C96" i="25"/>
  <c r="C96" i="29"/>
  <c r="C96" i="37"/>
  <c r="C96" i="20"/>
  <c r="C96" i="23"/>
  <c r="C96" i="22"/>
  <c r="C96" i="19"/>
  <c r="C96" i="35"/>
  <c r="C96" i="36"/>
  <c r="C96" i="26"/>
  <c r="C96" i="33"/>
  <c r="C96" i="28"/>
  <c r="C96" i="30"/>
  <c r="C96" i="24"/>
  <c r="C96" i="18"/>
  <c r="C96" i="17"/>
  <c r="C96" i="21"/>
  <c r="C96" i="34"/>
  <c r="C96" i="31"/>
  <c r="C87" i="35"/>
  <c r="C87" i="31"/>
  <c r="C87" i="18"/>
  <c r="C87" i="36"/>
  <c r="C87" i="23"/>
  <c r="C87" i="17"/>
  <c r="C87" i="37"/>
  <c r="C87" i="26"/>
  <c r="C87" i="20"/>
  <c r="C87" i="33"/>
  <c r="C87" i="32"/>
  <c r="C87" i="24"/>
  <c r="C87" i="19"/>
  <c r="C87" i="28"/>
  <c r="C87" i="29"/>
  <c r="C87" i="21"/>
  <c r="C87" i="30"/>
  <c r="C87" i="34"/>
  <c r="C87" i="25"/>
  <c r="C87" i="22"/>
  <c r="D1" i="34"/>
  <c r="W14" i="39"/>
  <c r="K5" i="41" s="1"/>
  <c r="A105" i="33"/>
  <c r="A105" i="31"/>
  <c r="A105" i="24"/>
  <c r="A105" i="21"/>
  <c r="A105" i="17"/>
  <c r="A105" i="25"/>
  <c r="A105" i="23"/>
  <c r="A105" i="20"/>
  <c r="A105" i="28"/>
  <c r="A105" i="29"/>
  <c r="A105" i="18"/>
  <c r="A105" i="35"/>
  <c r="A105" i="22"/>
  <c r="A105" i="34"/>
  <c r="A105" i="32"/>
  <c r="A105" i="30"/>
  <c r="A105" i="26"/>
  <c r="A105" i="37"/>
  <c r="A105" i="36"/>
  <c r="A105" i="19"/>
  <c r="A99" i="31"/>
  <c r="A99" i="28"/>
  <c r="A99" i="23"/>
  <c r="A99" i="35"/>
  <c r="A99" i="26"/>
  <c r="A99" i="18"/>
  <c r="A99" i="34"/>
  <c r="A99" i="25"/>
  <c r="A99" i="19"/>
  <c r="A99" i="36"/>
  <c r="A99" i="32"/>
  <c r="A99" i="21"/>
  <c r="A99" i="20"/>
  <c r="A99" i="37"/>
  <c r="A99" i="33"/>
  <c r="A99" i="29"/>
  <c r="A99" i="30"/>
  <c r="A99" i="22"/>
  <c r="A99" i="17"/>
  <c r="A99" i="24"/>
  <c r="A68" i="33"/>
  <c r="A68" i="28"/>
  <c r="A68" i="31"/>
  <c r="A68" i="26"/>
  <c r="A68" i="37"/>
  <c r="A68" i="30"/>
  <c r="A68" i="34"/>
  <c r="A68" i="24"/>
  <c r="A68" i="23"/>
  <c r="A68" i="22"/>
  <c r="A68" i="20"/>
  <c r="A68" i="29"/>
  <c r="A68" i="21"/>
  <c r="A68" i="19"/>
  <c r="A68" i="18"/>
  <c r="A68" i="17"/>
  <c r="A68" i="35"/>
  <c r="A68" i="25"/>
  <c r="A68" i="36"/>
  <c r="A68" i="32"/>
  <c r="A63" i="36"/>
  <c r="A63" i="30"/>
  <c r="A63" i="18"/>
  <c r="A63" i="24"/>
  <c r="A63" i="33"/>
  <c r="A63" i="20"/>
  <c r="A63" i="32"/>
  <c r="A63" i="29"/>
  <c r="A63" i="26"/>
  <c r="A63" i="25"/>
  <c r="A63" i="34"/>
  <c r="A63" i="22"/>
  <c r="A63" i="17"/>
  <c r="A63" i="37"/>
  <c r="A63" i="28"/>
  <c r="A63" i="21"/>
  <c r="A63" i="19"/>
  <c r="A63" i="23"/>
  <c r="A63" i="31"/>
  <c r="A63" i="35"/>
  <c r="A6" i="30"/>
  <c r="A6" i="29"/>
  <c r="A6" i="19"/>
  <c r="A6" i="34"/>
  <c r="A6" i="37"/>
  <c r="A6" i="36"/>
  <c r="A6" i="25"/>
  <c r="A6" i="22"/>
  <c r="A6" i="35"/>
  <c r="A6" i="18"/>
  <c r="A6" i="33"/>
  <c r="A6" i="28"/>
  <c r="A6" i="21"/>
  <c r="A6" i="23"/>
  <c r="A6" i="17"/>
  <c r="A6" i="32"/>
  <c r="A6" i="31"/>
  <c r="A6" i="24"/>
  <c r="A6" i="26"/>
  <c r="A6" i="20"/>
  <c r="H5" i="20"/>
  <c r="P5" i="20" s="1"/>
  <c r="J5" i="17"/>
  <c r="S5" i="17" s="1"/>
  <c r="U5" i="17" s="1"/>
  <c r="W5" i="17" s="1"/>
  <c r="I5" i="30"/>
  <c r="P5" i="30" s="1"/>
  <c r="Q5" i="30" s="1"/>
  <c r="T5" i="30" s="1"/>
  <c r="I5" i="19"/>
  <c r="Q5" i="19" s="1"/>
  <c r="S5" i="19" s="1"/>
  <c r="U5" i="19" s="1"/>
  <c r="E5" i="26"/>
  <c r="J5" i="26" s="1"/>
  <c r="G5" i="25"/>
  <c r="N5" i="25" s="1"/>
  <c r="Q5" i="25" s="1"/>
  <c r="S5" i="25" s="1"/>
  <c r="E5" i="37"/>
  <c r="J5" i="37" s="1"/>
  <c r="K5" i="34"/>
  <c r="T5" i="34" s="1"/>
  <c r="U5" i="34" s="1"/>
  <c r="X5" i="34" s="1"/>
  <c r="I5" i="18"/>
  <c r="P5" i="18" s="1"/>
  <c r="Q5" i="18" s="1"/>
  <c r="S5" i="18" s="1"/>
  <c r="I5" i="29"/>
  <c r="Q5" i="29" s="1"/>
  <c r="S5" i="29" s="1"/>
  <c r="V5" i="29" s="1"/>
  <c r="G5" i="36"/>
  <c r="N5" i="36" s="1"/>
  <c r="Q5" i="36" s="1"/>
  <c r="T5" i="36" s="1"/>
  <c r="G5" i="35"/>
  <c r="O5" i="35" s="1"/>
  <c r="S5" i="35" s="1"/>
  <c r="V5" i="35" s="1"/>
  <c r="K5" i="23"/>
  <c r="T5" i="23" s="1"/>
  <c r="U5" i="23" s="1"/>
  <c r="W5" i="23" s="1"/>
  <c r="J5" i="28"/>
  <c r="S5" i="28" s="1"/>
  <c r="U5" i="28" s="1"/>
  <c r="X5" i="28" s="1"/>
  <c r="H5" i="31"/>
  <c r="P5" i="31" s="1"/>
  <c r="G5" i="24"/>
  <c r="O5" i="24" s="1"/>
  <c r="S5" i="24" s="1"/>
  <c r="U5" i="24" s="1"/>
  <c r="CU14" i="39"/>
  <c r="K17" i="41" s="1"/>
  <c r="D1" i="35"/>
  <c r="D1" i="24"/>
  <c r="A85" i="36"/>
  <c r="A85" i="23"/>
  <c r="A85" i="20"/>
  <c r="A85" i="32"/>
  <c r="A85" i="24"/>
  <c r="A85" i="21"/>
  <c r="A85" i="22"/>
  <c r="A85" i="19"/>
  <c r="A85" i="30"/>
  <c r="A85" i="25"/>
  <c r="A85" i="18"/>
  <c r="A85" i="33"/>
  <c r="A85" i="31"/>
  <c r="A85" i="28"/>
  <c r="A85" i="35"/>
  <c r="A85" i="26"/>
  <c r="A85" i="17"/>
  <c r="A85" i="37"/>
  <c r="A85" i="34"/>
  <c r="A85" i="29"/>
  <c r="A96" i="32"/>
  <c r="A96" i="25"/>
  <c r="A96" i="29"/>
  <c r="A96" i="37"/>
  <c r="A96" i="20"/>
  <c r="A96" i="23"/>
  <c r="A96" i="22"/>
  <c r="A96" i="19"/>
  <c r="A96" i="35"/>
  <c r="A96" i="36"/>
  <c r="A96" i="17"/>
  <c r="A96" i="26"/>
  <c r="A96" i="33"/>
  <c r="A96" i="28"/>
  <c r="A96" i="30"/>
  <c r="A96" i="24"/>
  <c r="A96" i="18"/>
  <c r="A96" i="21"/>
  <c r="A96" i="34"/>
  <c r="A96" i="31"/>
  <c r="A90" i="28"/>
  <c r="A90" i="25"/>
  <c r="A90" i="36"/>
  <c r="A90" i="31"/>
  <c r="A90" i="21"/>
  <c r="A90" i="17"/>
  <c r="A90" i="34"/>
  <c r="A90" i="33"/>
  <c r="A90" i="29"/>
  <c r="A90" i="20"/>
  <c r="A90" i="18"/>
  <c r="A90" i="22"/>
  <c r="A90" i="19"/>
  <c r="A90" i="24"/>
  <c r="A90" i="37"/>
  <c r="A90" i="32"/>
  <c r="A90" i="30"/>
  <c r="A90" i="35"/>
  <c r="A90" i="26"/>
  <c r="A90" i="23"/>
  <c r="A87" i="22"/>
  <c r="A87" i="17"/>
  <c r="A87" i="35"/>
  <c r="A87" i="31"/>
  <c r="A87" i="18"/>
  <c r="A87" i="36"/>
  <c r="A87" i="23"/>
  <c r="A87" i="37"/>
  <c r="A87" i="26"/>
  <c r="A87" i="20"/>
  <c r="A87" i="33"/>
  <c r="A87" i="32"/>
  <c r="A87" i="24"/>
  <c r="A87" i="19"/>
  <c r="A87" i="28"/>
  <c r="A87" i="29"/>
  <c r="A87" i="21"/>
  <c r="A87" i="30"/>
  <c r="A87" i="34"/>
  <c r="A87" i="25"/>
  <c r="A76" i="24"/>
  <c r="A76" i="23"/>
  <c r="A76" i="34"/>
  <c r="A76" i="22"/>
  <c r="A76" i="37"/>
  <c r="A76" i="25"/>
  <c r="A76" i="29"/>
  <c r="A76" i="33"/>
  <c r="A76" i="36"/>
  <c r="A76" i="35"/>
  <c r="A76" i="17"/>
  <c r="A76" i="31"/>
  <c r="A76" i="30"/>
  <c r="A76" i="28"/>
  <c r="A76" i="32"/>
  <c r="A76" i="26"/>
  <c r="A76" i="19"/>
  <c r="A76" i="18"/>
  <c r="A76" i="21"/>
  <c r="A76" i="20"/>
  <c r="A53" i="35"/>
  <c r="A53" i="32"/>
  <c r="A53" i="23"/>
  <c r="A53" i="31"/>
  <c r="A53" i="28"/>
  <c r="A53" i="36"/>
  <c r="A53" i="24"/>
  <c r="A53" i="37"/>
  <c r="A53" i="34"/>
  <c r="A53" i="26"/>
  <c r="A53" i="22"/>
  <c r="A53" i="19"/>
  <c r="A53" i="30"/>
  <c r="A53" i="25"/>
  <c r="A53" i="18"/>
  <c r="A53" i="33"/>
  <c r="A53" i="21"/>
  <c r="A53" i="20"/>
  <c r="A53" i="29"/>
  <c r="A53" i="17"/>
  <c r="A46" i="36"/>
  <c r="A46" i="20"/>
  <c r="A46" i="19"/>
  <c r="A46" i="37"/>
  <c r="A46" i="23"/>
  <c r="A46" i="21"/>
  <c r="A46" i="18"/>
  <c r="A46" i="34"/>
  <c r="A46" i="31"/>
  <c r="A46" i="24"/>
  <c r="A46" i="29"/>
  <c r="A46" i="33"/>
  <c r="A46" i="25"/>
  <c r="A46" i="22"/>
  <c r="A46" i="30"/>
  <c r="A46" i="17"/>
  <c r="A46" i="35"/>
  <c r="A46" i="32"/>
  <c r="A46" i="28"/>
  <c r="A46" i="26"/>
  <c r="A41" i="36"/>
  <c r="A41" i="31"/>
  <c r="A41" i="21"/>
  <c r="A41" i="17"/>
  <c r="A41" i="32"/>
  <c r="A41" i="34"/>
  <c r="A41" i="25"/>
  <c r="A41" i="23"/>
  <c r="A41" i="37"/>
  <c r="A41" i="30"/>
  <c r="A41" i="29"/>
  <c r="A41" i="18"/>
  <c r="A41" i="22"/>
  <c r="A41" i="28"/>
  <c r="A41" i="35"/>
  <c r="A41" i="20"/>
  <c r="A41" i="33"/>
  <c r="A41" i="26"/>
  <c r="A41" i="19"/>
  <c r="A41" i="24"/>
  <c r="A36" i="34"/>
  <c r="A36" i="30"/>
  <c r="A36" i="26"/>
  <c r="A36" i="36"/>
  <c r="A36" i="29"/>
  <c r="A36" i="33"/>
  <c r="A36" i="21"/>
  <c r="A36" i="28"/>
  <c r="A36" i="24"/>
  <c r="A36" i="23"/>
  <c r="A36" i="22"/>
  <c r="A36" i="37"/>
  <c r="A36" i="32"/>
  <c r="A36" i="31"/>
  <c r="A36" i="20"/>
  <c r="A36" i="19"/>
  <c r="A36" i="18"/>
  <c r="A36" i="17"/>
  <c r="A36" i="25"/>
  <c r="A36" i="35"/>
  <c r="A16" i="32"/>
  <c r="A16" i="28"/>
  <c r="A16" i="25"/>
  <c r="A16" i="35"/>
  <c r="A16" i="34"/>
  <c r="A16" i="23"/>
  <c r="A16" i="19"/>
  <c r="A16" i="22"/>
  <c r="A16" i="21"/>
  <c r="A16" i="29"/>
  <c r="A16" i="31"/>
  <c r="A16" i="17"/>
  <c r="A16" i="26"/>
  <c r="A16" i="37"/>
  <c r="A16" i="30"/>
  <c r="A16" i="24"/>
  <c r="A16" i="18"/>
  <c r="A16" i="33"/>
  <c r="A16" i="20"/>
  <c r="A16" i="36"/>
  <c r="G4" i="35"/>
  <c r="O4" i="35" s="1"/>
  <c r="S4" i="35" s="1"/>
  <c r="V4" i="35" s="1"/>
  <c r="E4" i="26"/>
  <c r="J4" i="26" s="1"/>
  <c r="K4" i="23"/>
  <c r="T4" i="23" s="1"/>
  <c r="U4" i="23" s="1"/>
  <c r="W4" i="23" s="1"/>
  <c r="H4" i="31"/>
  <c r="P4" i="31" s="1"/>
  <c r="G4" i="24"/>
  <c r="O4" i="24" s="1"/>
  <c r="S4" i="24" s="1"/>
  <c r="U4" i="24" s="1"/>
  <c r="J4" i="28"/>
  <c r="S4" i="28" s="1"/>
  <c r="U4" i="28" s="1"/>
  <c r="X4" i="28" s="1"/>
  <c r="I4" i="30"/>
  <c r="P4" i="30" s="1"/>
  <c r="Q4" i="30" s="1"/>
  <c r="T4" i="30" s="1"/>
  <c r="I4" i="19"/>
  <c r="Q4" i="19" s="1"/>
  <c r="S4" i="19" s="1"/>
  <c r="U4" i="19" s="1"/>
  <c r="E4" i="37"/>
  <c r="J4" i="37" s="1"/>
  <c r="G4" i="25"/>
  <c r="N4" i="25" s="1"/>
  <c r="Q4" i="25" s="1"/>
  <c r="S4" i="25" s="1"/>
  <c r="I4" i="18"/>
  <c r="P4" i="18" s="1"/>
  <c r="Q4" i="18" s="1"/>
  <c r="S4" i="18" s="1"/>
  <c r="G4" i="36"/>
  <c r="N4" i="36" s="1"/>
  <c r="Q4" i="36" s="1"/>
  <c r="T4" i="36" s="1"/>
  <c r="K4" i="34"/>
  <c r="T4" i="34" s="1"/>
  <c r="U4" i="34" s="1"/>
  <c r="X4" i="34" s="1"/>
  <c r="I4" i="29"/>
  <c r="Q4" i="29" s="1"/>
  <c r="S4" i="29" s="1"/>
  <c r="V4" i="29" s="1"/>
  <c r="H4" i="20"/>
  <c r="P4" i="20" s="1"/>
  <c r="J4" i="17"/>
  <c r="S4" i="17" s="1"/>
  <c r="U4" i="17" s="1"/>
  <c r="W4" i="17" s="1"/>
  <c r="CK14" i="39"/>
  <c r="K16" i="41" s="1"/>
  <c r="C99" i="35"/>
  <c r="C99" i="26"/>
  <c r="C99" i="18"/>
  <c r="C99" i="34"/>
  <c r="C99" i="25"/>
  <c r="C99" i="19"/>
  <c r="C99" i="36"/>
  <c r="C99" i="32"/>
  <c r="C99" i="21"/>
  <c r="C99" i="20"/>
  <c r="C99" i="37"/>
  <c r="C99" i="33"/>
  <c r="C99" i="29"/>
  <c r="C99" i="30"/>
  <c r="C99" i="22"/>
  <c r="C99" i="24"/>
  <c r="C99" i="17"/>
  <c r="C99" i="31"/>
  <c r="C99" i="28"/>
  <c r="C99" i="23"/>
  <c r="C70" i="35"/>
  <c r="C70" i="20"/>
  <c r="C70" i="36"/>
  <c r="C70" i="25"/>
  <c r="C70" i="22"/>
  <c r="C70" i="17"/>
  <c r="C70" i="18"/>
  <c r="C70" i="34"/>
  <c r="C70" i="21"/>
  <c r="C70" i="32"/>
  <c r="C70" i="31"/>
  <c r="C70" i="29"/>
  <c r="C70" i="23"/>
  <c r="C70" i="30"/>
  <c r="C70" i="37"/>
  <c r="C70" i="26"/>
  <c r="C70" i="24"/>
  <c r="C70" i="33"/>
  <c r="C70" i="28"/>
  <c r="C70" i="19"/>
  <c r="A58" i="37"/>
  <c r="A58" i="35"/>
  <c r="A58" i="29"/>
  <c r="A58" i="36"/>
  <c r="A58" i="17"/>
  <c r="A58" i="18"/>
  <c r="A58" i="26"/>
  <c r="A58" i="28"/>
  <c r="A58" i="33"/>
  <c r="A58" i="31"/>
  <c r="A58" i="22"/>
  <c r="A58" i="34"/>
  <c r="A58" i="19"/>
  <c r="A58" i="32"/>
  <c r="A58" i="21"/>
  <c r="A58" i="24"/>
  <c r="A58" i="30"/>
  <c r="A58" i="20"/>
  <c r="A58" i="23"/>
  <c r="A58" i="25"/>
  <c r="A27" i="30"/>
  <c r="A27" i="18"/>
  <c r="A27" i="34"/>
  <c r="A27" i="33"/>
  <c r="A27" i="32"/>
  <c r="A27" i="26"/>
  <c r="A27" i="21"/>
  <c r="A27" i="36"/>
  <c r="A27" i="19"/>
  <c r="A27" i="29"/>
  <c r="A27" i="22"/>
  <c r="A27" i="28"/>
  <c r="A27" i="24"/>
  <c r="A27" i="23"/>
  <c r="A27" i="35"/>
  <c r="A27" i="25"/>
  <c r="A27" i="17"/>
  <c r="A27" i="31"/>
  <c r="A27" i="20"/>
  <c r="A27" i="37"/>
  <c r="A20" i="29"/>
  <c r="A20" i="28"/>
  <c r="A20" i="31"/>
  <c r="A20" i="34"/>
  <c r="A20" i="33"/>
  <c r="A20" i="36"/>
  <c r="A20" i="30"/>
  <c r="A20" i="35"/>
  <c r="A20" i="24"/>
  <c r="A20" i="23"/>
  <c r="A20" i="22"/>
  <c r="A20" i="20"/>
  <c r="A20" i="21"/>
  <c r="A20" i="37"/>
  <c r="A20" i="26"/>
  <c r="A20" i="19"/>
  <c r="A20" i="18"/>
  <c r="A20" i="25"/>
  <c r="A20" i="17"/>
  <c r="A20" i="32"/>
  <c r="A10" i="26"/>
  <c r="A10" i="17"/>
  <c r="A10" i="37"/>
  <c r="A10" i="28"/>
  <c r="A10" i="20"/>
  <c r="A10" i="18"/>
  <c r="A10" i="36"/>
  <c r="A10" i="22"/>
  <c r="A10" i="31"/>
  <c r="A10" i="19"/>
  <c r="A10" i="24"/>
  <c r="A10" i="21"/>
  <c r="A10" i="35"/>
  <c r="A10" i="32"/>
  <c r="A10" i="30"/>
  <c r="A10" i="29"/>
  <c r="A10" i="34"/>
  <c r="A10" i="33"/>
  <c r="A10" i="23"/>
  <c r="A10" i="25"/>
  <c r="E3" i="26"/>
  <c r="J3" i="26" s="1"/>
  <c r="G3" i="36"/>
  <c r="N3" i="36" s="1"/>
  <c r="Q3" i="36" s="1"/>
  <c r="T3" i="36" s="1"/>
  <c r="G3" i="35"/>
  <c r="O3" i="35" s="1"/>
  <c r="S3" i="35" s="1"/>
  <c r="V3" i="35" s="1"/>
  <c r="K3" i="34"/>
  <c r="T3" i="34" s="1"/>
  <c r="U3" i="34" s="1"/>
  <c r="X3" i="34" s="1"/>
  <c r="I3" i="29"/>
  <c r="Q3" i="29" s="1"/>
  <c r="S3" i="29" s="1"/>
  <c r="V3" i="29" s="1"/>
  <c r="H3" i="31"/>
  <c r="P3" i="31" s="1"/>
  <c r="G3" i="24"/>
  <c r="O3" i="24" s="1"/>
  <c r="S3" i="24" s="1"/>
  <c r="U3" i="24" s="1"/>
  <c r="K3" i="23"/>
  <c r="T3" i="23" s="1"/>
  <c r="U3" i="23" s="1"/>
  <c r="W3" i="23" s="1"/>
  <c r="I3" i="30"/>
  <c r="P3" i="30" s="1"/>
  <c r="Q3" i="30" s="1"/>
  <c r="T3" i="30" s="1"/>
  <c r="E3" i="37"/>
  <c r="J3" i="37" s="1"/>
  <c r="J3" i="28"/>
  <c r="S3" i="28" s="1"/>
  <c r="U3" i="28" s="1"/>
  <c r="X3" i="28" s="1"/>
  <c r="I3" i="18"/>
  <c r="P3" i="18" s="1"/>
  <c r="Q3" i="18" s="1"/>
  <c r="S3" i="18" s="1"/>
  <c r="G3" i="25"/>
  <c r="N3" i="25" s="1"/>
  <c r="Q3" i="25" s="1"/>
  <c r="S3" i="25" s="1"/>
  <c r="H3" i="20"/>
  <c r="P3" i="20" s="1"/>
  <c r="I3" i="19"/>
  <c r="Q3" i="19" s="1"/>
  <c r="S3" i="19" s="1"/>
  <c r="U3" i="19" s="1"/>
  <c r="J3" i="17"/>
  <c r="S3" i="17" s="1"/>
  <c r="U3" i="17" s="1"/>
  <c r="W3" i="17" s="1"/>
  <c r="B109" i="30"/>
  <c r="B109" i="32"/>
  <c r="B109" i="36"/>
  <c r="B109" i="35"/>
  <c r="C101" i="23"/>
  <c r="C101" i="17"/>
  <c r="C101" i="24"/>
  <c r="C101" i="35"/>
  <c r="C101" i="31"/>
  <c r="C101" i="22"/>
  <c r="C101" i="19"/>
  <c r="C101" i="36"/>
  <c r="C101" i="25"/>
  <c r="C101" i="18"/>
  <c r="C101" i="26"/>
  <c r="C101" i="29"/>
  <c r="C101" i="33"/>
  <c r="C101" i="20"/>
  <c r="C101" i="32"/>
  <c r="C101" i="37"/>
  <c r="C101" i="21"/>
  <c r="C101" i="34"/>
  <c r="C101" i="30"/>
  <c r="C101" i="28"/>
  <c r="A80" i="25"/>
  <c r="A80" i="21"/>
  <c r="A80" i="37"/>
  <c r="A80" i="23"/>
  <c r="A80" i="19"/>
  <c r="A80" i="31"/>
  <c r="A80" i="30"/>
  <c r="A80" i="22"/>
  <c r="A80" i="29"/>
  <c r="A80" i="32"/>
  <c r="A80" i="28"/>
  <c r="A80" i="17"/>
  <c r="A80" i="34"/>
  <c r="A80" i="33"/>
  <c r="A80" i="20"/>
  <c r="A80" i="24"/>
  <c r="A80" i="18"/>
  <c r="A80" i="26"/>
  <c r="A80" i="35"/>
  <c r="A80" i="36"/>
  <c r="A65" i="35"/>
  <c r="A65" i="34"/>
  <c r="A65" i="37"/>
  <c r="A65" i="31"/>
  <c r="A65" i="22"/>
  <c r="A65" i="36"/>
  <c r="A65" i="21"/>
  <c r="A65" i="33"/>
  <c r="A65" i="30"/>
  <c r="A65" i="29"/>
  <c r="A65" i="24"/>
  <c r="A65" i="20"/>
  <c r="A65" i="18"/>
  <c r="A65" i="28"/>
  <c r="A65" i="17"/>
  <c r="A65" i="32"/>
  <c r="A65" i="25"/>
  <c r="A65" i="23"/>
  <c r="A65" i="19"/>
  <c r="A65" i="26"/>
  <c r="A48" i="35"/>
  <c r="A48" i="30"/>
  <c r="A48" i="25"/>
  <c r="A48" i="36"/>
  <c r="A48" i="34"/>
  <c r="A48" i="20"/>
  <c r="A48" i="23"/>
  <c r="A48" i="19"/>
  <c r="A48" i="22"/>
  <c r="A48" i="32"/>
  <c r="A48" i="26"/>
  <c r="A48" i="29"/>
  <c r="A48" i="37"/>
  <c r="A48" i="17"/>
  <c r="A48" i="31"/>
  <c r="A48" i="21"/>
  <c r="A48" i="28"/>
  <c r="A48" i="24"/>
  <c r="A48" i="18"/>
  <c r="A48" i="33"/>
  <c r="A31" i="35"/>
  <c r="A31" i="18"/>
  <c r="A31" i="32"/>
  <c r="A31" i="24"/>
  <c r="A31" i="28"/>
  <c r="A31" i="21"/>
  <c r="A31" i="36"/>
  <c r="A31" i="26"/>
  <c r="A31" i="33"/>
  <c r="A31" i="31"/>
  <c r="A31" i="25"/>
  <c r="A31" i="22"/>
  <c r="A31" i="20"/>
  <c r="A31" i="17"/>
  <c r="A31" i="19"/>
  <c r="A31" i="23"/>
  <c r="A31" i="30"/>
  <c r="A31" i="34"/>
  <c r="A31" i="37"/>
  <c r="A31" i="29"/>
  <c r="A29" i="31"/>
  <c r="A29" i="25"/>
  <c r="A29" i="36"/>
  <c r="A29" i="28"/>
  <c r="A29" i="20"/>
  <c r="A29" i="33"/>
  <c r="A29" i="29"/>
  <c r="A29" i="30"/>
  <c r="A29" i="19"/>
  <c r="A29" i="17"/>
  <c r="A29" i="37"/>
  <c r="A29" i="18"/>
  <c r="A29" i="32"/>
  <c r="A29" i="23"/>
  <c r="A29" i="21"/>
  <c r="A29" i="26"/>
  <c r="A29" i="24"/>
  <c r="A29" i="35"/>
  <c r="A29" i="34"/>
  <c r="A29" i="22"/>
  <c r="A9" i="32"/>
  <c r="A9" i="35"/>
  <c r="A9" i="30"/>
  <c r="A9" i="17"/>
  <c r="A9" i="29"/>
  <c r="A9" i="33"/>
  <c r="A9" i="26"/>
  <c r="A9" i="25"/>
  <c r="A9" i="23"/>
  <c r="A9" i="34"/>
  <c r="A9" i="37"/>
  <c r="A9" i="18"/>
  <c r="A9" i="22"/>
  <c r="A9" i="20"/>
  <c r="A9" i="36"/>
  <c r="A9" i="31"/>
  <c r="A9" i="28"/>
  <c r="A9" i="21"/>
  <c r="A9" i="19"/>
  <c r="A9" i="24"/>
  <c r="A5" i="32"/>
  <c r="A5" i="23"/>
  <c r="A5" i="31"/>
  <c r="A5" i="28"/>
  <c r="A5" i="26"/>
  <c r="A5" i="24"/>
  <c r="A5" i="20"/>
  <c r="A5" i="30"/>
  <c r="A5" i="22"/>
  <c r="A5" i="19"/>
  <c r="A5" i="37"/>
  <c r="A5" i="25"/>
  <c r="A5" i="18"/>
  <c r="A5" i="36"/>
  <c r="A5" i="35"/>
  <c r="A5" i="34"/>
  <c r="A5" i="29"/>
  <c r="A5" i="21"/>
  <c r="A5" i="33"/>
  <c r="A5" i="17"/>
  <c r="E26" i="37"/>
  <c r="J26" i="37" s="1"/>
  <c r="I26" i="18"/>
  <c r="P26" i="18" s="1"/>
  <c r="Q26" i="18" s="1"/>
  <c r="I26" i="30"/>
  <c r="P26" i="30" s="1"/>
  <c r="Q26" i="30" s="1"/>
  <c r="I26" i="19"/>
  <c r="Q26" i="19" s="1"/>
  <c r="S26" i="19" s="1"/>
  <c r="K26" i="34"/>
  <c r="T26" i="34" s="1"/>
  <c r="U26" i="34" s="1"/>
  <c r="H26" i="20"/>
  <c r="P26" i="20" s="1"/>
  <c r="S26" i="20" s="1"/>
  <c r="J26" i="17"/>
  <c r="S26" i="17" s="1"/>
  <c r="U26" i="17" s="1"/>
  <c r="G26" i="36"/>
  <c r="N26" i="36" s="1"/>
  <c r="Q26" i="36" s="1"/>
  <c r="G26" i="24"/>
  <c r="O26" i="24" s="1"/>
  <c r="S26" i="24" s="1"/>
  <c r="J26" i="28"/>
  <c r="S26" i="28" s="1"/>
  <c r="U26" i="28" s="1"/>
  <c r="I26" i="29"/>
  <c r="Q26" i="29" s="1"/>
  <c r="S26" i="29" s="1"/>
  <c r="E26" i="26"/>
  <c r="J26" i="26" s="1"/>
  <c r="K26" i="23"/>
  <c r="T26" i="23" s="1"/>
  <c r="U26" i="23" s="1"/>
  <c r="G26" i="25"/>
  <c r="N26" i="25" s="1"/>
  <c r="Q26" i="25" s="1"/>
  <c r="G26" i="35"/>
  <c r="O26" i="35" s="1"/>
  <c r="S26" i="35" s="1"/>
  <c r="H26" i="31"/>
  <c r="P26" i="31" s="1"/>
  <c r="S26" i="31" s="1"/>
  <c r="A70" i="33"/>
  <c r="A70" i="28"/>
  <c r="A70" i="19"/>
  <c r="A70" i="35"/>
  <c r="A70" i="20"/>
  <c r="A70" i="36"/>
  <c r="A70" i="25"/>
  <c r="A70" i="22"/>
  <c r="A70" i="18"/>
  <c r="A70" i="34"/>
  <c r="A70" i="21"/>
  <c r="A70" i="32"/>
  <c r="A70" i="31"/>
  <c r="A70" i="29"/>
  <c r="A70" i="23"/>
  <c r="A70" i="30"/>
  <c r="A70" i="17"/>
  <c r="A70" i="37"/>
  <c r="A70" i="26"/>
  <c r="A70" i="24"/>
  <c r="A60" i="34"/>
  <c r="A60" i="24"/>
  <c r="A60" i="23"/>
  <c r="A60" i="35"/>
  <c r="A60" i="32"/>
  <c r="A60" i="30"/>
  <c r="A60" i="22"/>
  <c r="A60" i="20"/>
  <c r="A60" i="21"/>
  <c r="A60" i="28"/>
  <c r="A60" i="36"/>
  <c r="A60" i="25"/>
  <c r="A60" i="37"/>
  <c r="A60" i="33"/>
  <c r="A60" i="17"/>
  <c r="A60" i="31"/>
  <c r="A60" i="19"/>
  <c r="A60" i="18"/>
  <c r="A60" i="29"/>
  <c r="A60" i="26"/>
  <c r="A43" i="33"/>
  <c r="A43" i="18"/>
  <c r="A43" i="34"/>
  <c r="A43" i="17"/>
  <c r="A43" i="19"/>
  <c r="A43" i="36"/>
  <c r="A43" i="29"/>
  <c r="A43" i="31"/>
  <c r="A43" i="22"/>
  <c r="A43" i="24"/>
  <c r="A43" i="26"/>
  <c r="A43" i="23"/>
  <c r="A43" i="28"/>
  <c r="A43" i="25"/>
  <c r="A43" i="32"/>
  <c r="A43" i="21"/>
  <c r="A43" i="30"/>
  <c r="A43" i="37"/>
  <c r="A43" i="20"/>
  <c r="A43" i="35"/>
  <c r="A38" i="35"/>
  <c r="A38" i="31"/>
  <c r="A38" i="29"/>
  <c r="A38" i="19"/>
  <c r="A38" i="32"/>
  <c r="A38" i="37"/>
  <c r="A38" i="20"/>
  <c r="A38" i="25"/>
  <c r="A38" i="22"/>
  <c r="A38" i="36"/>
  <c r="A38" i="33"/>
  <c r="A38" i="18"/>
  <c r="A38" i="28"/>
  <c r="A38" i="30"/>
  <c r="A38" i="26"/>
  <c r="A38" i="23"/>
  <c r="A38" i="34"/>
  <c r="A38" i="24"/>
  <c r="A38" i="21"/>
  <c r="A38" i="17"/>
  <c r="A24" i="30"/>
  <c r="A24" i="20"/>
  <c r="A24" i="17"/>
  <c r="A24" i="24"/>
  <c r="A24" i="19"/>
  <c r="A24" i="36"/>
  <c r="A24" i="33"/>
  <c r="A24" i="25"/>
  <c r="A24" i="37"/>
  <c r="A24" i="31"/>
  <c r="A24" i="34"/>
  <c r="A24" i="26"/>
  <c r="A24" i="23"/>
  <c r="A24" i="21"/>
  <c r="A24" i="18"/>
  <c r="A24" i="35"/>
  <c r="A24" i="32"/>
  <c r="A24" i="29"/>
  <c r="A24" i="22"/>
  <c r="A24" i="28"/>
  <c r="A15" i="29"/>
  <c r="A15" i="18"/>
  <c r="A15" i="34"/>
  <c r="A15" i="30"/>
  <c r="A15" i="24"/>
  <c r="A15" i="20"/>
  <c r="A15" i="36"/>
  <c r="A15" i="33"/>
  <c r="A15" i="32"/>
  <c r="A15" i="25"/>
  <c r="A15" i="22"/>
  <c r="A15" i="17"/>
  <c r="A15" i="28"/>
  <c r="A15" i="21"/>
  <c r="A15" i="35"/>
  <c r="A15" i="19"/>
  <c r="A15" i="23"/>
  <c r="A15" i="31"/>
  <c r="A15" i="26"/>
  <c r="A15" i="37"/>
  <c r="H37" i="20"/>
  <c r="P37" i="20" s="1"/>
  <c r="S37" i="20" s="1"/>
  <c r="J37" i="17"/>
  <c r="S37" i="17" s="1"/>
  <c r="U37" i="17" s="1"/>
  <c r="K37" i="34"/>
  <c r="T37" i="34" s="1"/>
  <c r="U37" i="34" s="1"/>
  <c r="H37" i="31"/>
  <c r="P37" i="31" s="1"/>
  <c r="S37" i="31" s="1"/>
  <c r="I37" i="19"/>
  <c r="Q37" i="19" s="1"/>
  <c r="S37" i="19" s="1"/>
  <c r="E37" i="37"/>
  <c r="J37" i="37" s="1"/>
  <c r="E37" i="26"/>
  <c r="J37" i="26" s="1"/>
  <c r="G37" i="25"/>
  <c r="N37" i="25" s="1"/>
  <c r="Q37" i="25" s="1"/>
  <c r="I37" i="18"/>
  <c r="P37" i="18" s="1"/>
  <c r="Q37" i="18" s="1"/>
  <c r="G37" i="35"/>
  <c r="O37" i="35" s="1"/>
  <c r="S37" i="35" s="1"/>
  <c r="I37" i="29"/>
  <c r="Q37" i="29" s="1"/>
  <c r="S37" i="29" s="1"/>
  <c r="I37" i="30"/>
  <c r="P37" i="30" s="1"/>
  <c r="Q37" i="30" s="1"/>
  <c r="G37" i="36"/>
  <c r="N37" i="36" s="1"/>
  <c r="Q37" i="36" s="1"/>
  <c r="J37" i="28"/>
  <c r="S37" i="28" s="1"/>
  <c r="U37" i="28" s="1"/>
  <c r="K37" i="23"/>
  <c r="T37" i="23" s="1"/>
  <c r="U37" i="23" s="1"/>
  <c r="G37" i="24"/>
  <c r="O37" i="24" s="1"/>
  <c r="S37" i="24" s="1"/>
  <c r="EO14" i="39"/>
  <c r="K22" i="41" s="1"/>
  <c r="C86" i="33"/>
  <c r="C86" i="21"/>
  <c r="C86" i="30"/>
  <c r="C86" i="28"/>
  <c r="C86" i="25"/>
  <c r="C86" i="22"/>
  <c r="C86" i="17"/>
  <c r="C86" i="18"/>
  <c r="C86" i="31"/>
  <c r="C86" i="29"/>
  <c r="C86" i="34"/>
  <c r="C86" i="35"/>
  <c r="C86" i="36"/>
  <c r="C86" i="23"/>
  <c r="C86" i="37"/>
  <c r="C86" i="26"/>
  <c r="C86" i="20"/>
  <c r="C86" i="32"/>
  <c r="C86" i="24"/>
  <c r="C86" i="19"/>
  <c r="C84" i="33"/>
  <c r="C84" i="26"/>
  <c r="C84" i="17"/>
  <c r="C84" i="37"/>
  <c r="C84" i="35"/>
  <c r="C84" i="28"/>
  <c r="C84" i="36"/>
  <c r="C84" i="29"/>
  <c r="C84" i="20"/>
  <c r="C84" i="34"/>
  <c r="C84" i="32"/>
  <c r="C84" i="21"/>
  <c r="C84" i="24"/>
  <c r="C84" i="23"/>
  <c r="C84" i="22"/>
  <c r="C84" i="30"/>
  <c r="C84" i="19"/>
  <c r="C84" i="18"/>
  <c r="C84" i="25"/>
  <c r="C84" i="31"/>
  <c r="A73" i="37"/>
  <c r="A73" i="29"/>
  <c r="A73" i="17"/>
  <c r="A73" i="26"/>
  <c r="A73" i="25"/>
  <c r="A73" i="23"/>
  <c r="A73" i="28"/>
  <c r="A73" i="18"/>
  <c r="A73" i="32"/>
  <c r="A73" i="31"/>
  <c r="A73" i="21"/>
  <c r="A73" i="22"/>
  <c r="A73" i="34"/>
  <c r="A73" i="33"/>
  <c r="A73" i="30"/>
  <c r="A73" i="36"/>
  <c r="A73" i="35"/>
  <c r="A73" i="19"/>
  <c r="A73" i="24"/>
  <c r="A73" i="20"/>
  <c r="A55" i="28"/>
  <c r="A55" i="26"/>
  <c r="A55" i="22"/>
  <c r="A55" i="18"/>
  <c r="A55" i="17"/>
  <c r="A55" i="34"/>
  <c r="A55" i="20"/>
  <c r="A55" i="35"/>
  <c r="A55" i="23"/>
  <c r="A55" i="36"/>
  <c r="A55" i="21"/>
  <c r="A55" i="32"/>
  <c r="A55" i="31"/>
  <c r="A55" i="24"/>
  <c r="A55" i="29"/>
  <c r="A55" i="19"/>
  <c r="A55" i="37"/>
  <c r="A55" i="33"/>
  <c r="A55" i="30"/>
  <c r="A55" i="25"/>
  <c r="A33" i="28"/>
  <c r="A33" i="30"/>
  <c r="A33" i="22"/>
  <c r="A33" i="35"/>
  <c r="A33" i="37"/>
  <c r="A33" i="36"/>
  <c r="A33" i="24"/>
  <c r="A33" i="33"/>
  <c r="A33" i="32"/>
  <c r="A33" i="18"/>
  <c r="A33" i="34"/>
  <c r="A33" i="31"/>
  <c r="A33" i="17"/>
  <c r="A33" i="25"/>
  <c r="A33" i="20"/>
  <c r="A33" i="26"/>
  <c r="A33" i="23"/>
  <c r="A33" i="21"/>
  <c r="A33" i="19"/>
  <c r="A33" i="29"/>
  <c r="G36" i="36"/>
  <c r="N36" i="36" s="1"/>
  <c r="Q36" i="36" s="1"/>
  <c r="J36" i="28"/>
  <c r="S36" i="28" s="1"/>
  <c r="U36" i="28" s="1"/>
  <c r="E36" i="26"/>
  <c r="J36" i="26" s="1"/>
  <c r="K36" i="23"/>
  <c r="T36" i="23" s="1"/>
  <c r="U36" i="23" s="1"/>
  <c r="G36" i="24"/>
  <c r="O36" i="24" s="1"/>
  <c r="S36" i="24" s="1"/>
  <c r="E36" i="37"/>
  <c r="J36" i="37" s="1"/>
  <c r="H36" i="31"/>
  <c r="P36" i="31" s="1"/>
  <c r="S36" i="31" s="1"/>
  <c r="I36" i="19"/>
  <c r="Q36" i="19" s="1"/>
  <c r="S36" i="19" s="1"/>
  <c r="G36" i="25"/>
  <c r="N36" i="25" s="1"/>
  <c r="Q36" i="25" s="1"/>
  <c r="I36" i="18"/>
  <c r="P36" i="18" s="1"/>
  <c r="Q36" i="18" s="1"/>
  <c r="K36" i="34"/>
  <c r="T36" i="34" s="1"/>
  <c r="U36" i="34" s="1"/>
  <c r="G36" i="35"/>
  <c r="O36" i="35" s="1"/>
  <c r="S36" i="35" s="1"/>
  <c r="I36" i="30"/>
  <c r="P36" i="30" s="1"/>
  <c r="Q36" i="30" s="1"/>
  <c r="I36" i="29"/>
  <c r="Q36" i="29" s="1"/>
  <c r="S36" i="29" s="1"/>
  <c r="H36" i="20"/>
  <c r="P36" i="20" s="1"/>
  <c r="S36" i="20" s="1"/>
  <c r="J36" i="17"/>
  <c r="S36" i="17" s="1"/>
  <c r="U36" i="17" s="1"/>
  <c r="A67" i="34"/>
  <c r="A67" i="18"/>
  <c r="A67" i="29"/>
  <c r="A67" i="25"/>
  <c r="A67" i="19"/>
  <c r="A67" i="32"/>
  <c r="A67" i="35"/>
  <c r="A67" i="36"/>
  <c r="A67" i="33"/>
  <c r="A67" i="31"/>
  <c r="A67" i="26"/>
  <c r="A67" i="28"/>
  <c r="A67" i="37"/>
  <c r="A67" i="30"/>
  <c r="A67" i="22"/>
  <c r="A67" i="17"/>
  <c r="A67" i="24"/>
  <c r="A67" i="21"/>
  <c r="A67" i="23"/>
  <c r="A67" i="20"/>
  <c r="A50" i="34"/>
  <c r="A50" i="33"/>
  <c r="A50" i="37"/>
  <c r="A50" i="31"/>
  <c r="A50" i="26"/>
  <c r="A50" i="24"/>
  <c r="A50" i="35"/>
  <c r="A50" i="18"/>
  <c r="A50" i="29"/>
  <c r="A50" i="21"/>
  <c r="A50" i="23"/>
  <c r="A50" i="36"/>
  <c r="A50" i="30"/>
  <c r="A50" i="25"/>
  <c r="A50" i="19"/>
  <c r="A50" i="20"/>
  <c r="A50" i="28"/>
  <c r="A50" i="17"/>
  <c r="A50" i="32"/>
  <c r="A50" i="22"/>
  <c r="A23" i="31"/>
  <c r="A23" i="26"/>
  <c r="A23" i="22"/>
  <c r="A23" i="21"/>
  <c r="A23" i="18"/>
  <c r="A23" i="17"/>
  <c r="A23" i="32"/>
  <c r="A23" i="35"/>
  <c r="A23" i="23"/>
  <c r="A23" i="29"/>
  <c r="A23" i="30"/>
  <c r="A23" i="28"/>
  <c r="A23" i="34"/>
  <c r="A23" i="20"/>
  <c r="A23" i="24"/>
  <c r="A23" i="19"/>
  <c r="A23" i="33"/>
  <c r="A23" i="25"/>
  <c r="A23" i="37"/>
  <c r="A23" i="36"/>
  <c r="G35" i="35"/>
  <c r="O35" i="35" s="1"/>
  <c r="S35" i="35" s="1"/>
  <c r="K35" i="34"/>
  <c r="T35" i="34" s="1"/>
  <c r="U35" i="34" s="1"/>
  <c r="I35" i="30"/>
  <c r="P35" i="30" s="1"/>
  <c r="Q35" i="30" s="1"/>
  <c r="E35" i="26"/>
  <c r="J35" i="26" s="1"/>
  <c r="I35" i="29"/>
  <c r="Q35" i="29" s="1"/>
  <c r="S35" i="29" s="1"/>
  <c r="G35" i="36"/>
  <c r="N35" i="36" s="1"/>
  <c r="Q35" i="36" s="1"/>
  <c r="G35" i="24"/>
  <c r="O35" i="24" s="1"/>
  <c r="S35" i="24" s="1"/>
  <c r="J35" i="28"/>
  <c r="S35" i="28" s="1"/>
  <c r="U35" i="28" s="1"/>
  <c r="K35" i="23"/>
  <c r="T35" i="23" s="1"/>
  <c r="U35" i="23" s="1"/>
  <c r="E35" i="37"/>
  <c r="J35" i="37" s="1"/>
  <c r="H35" i="31"/>
  <c r="P35" i="31" s="1"/>
  <c r="S35" i="31" s="1"/>
  <c r="I35" i="18"/>
  <c r="P35" i="18" s="1"/>
  <c r="Q35" i="18" s="1"/>
  <c r="G35" i="25"/>
  <c r="N35" i="25" s="1"/>
  <c r="Q35" i="25" s="1"/>
  <c r="H35" i="20"/>
  <c r="P35" i="20" s="1"/>
  <c r="S35" i="20" s="1"/>
  <c r="I35" i="19"/>
  <c r="Q35" i="19" s="1"/>
  <c r="S35" i="19" s="1"/>
  <c r="J35" i="17"/>
  <c r="S35" i="17" s="1"/>
  <c r="U35" i="17" s="1"/>
  <c r="EA14" i="39"/>
  <c r="K20" i="41" s="1"/>
  <c r="A86" i="19"/>
  <c r="A86" i="33"/>
  <c r="A86" i="21"/>
  <c r="A86" i="30"/>
  <c r="A86" i="28"/>
  <c r="A86" i="25"/>
  <c r="A86" i="22"/>
  <c r="A86" i="18"/>
  <c r="A86" i="31"/>
  <c r="A86" i="29"/>
  <c r="A86" i="34"/>
  <c r="A86" i="35"/>
  <c r="A86" i="36"/>
  <c r="A86" i="23"/>
  <c r="A86" i="17"/>
  <c r="A86" i="37"/>
  <c r="A86" i="26"/>
  <c r="A86" i="20"/>
  <c r="A86" i="32"/>
  <c r="A86" i="24"/>
  <c r="A84" i="31"/>
  <c r="A84" i="33"/>
  <c r="A84" i="26"/>
  <c r="A84" i="37"/>
  <c r="A84" i="35"/>
  <c r="A84" i="28"/>
  <c r="A84" i="36"/>
  <c r="A84" i="29"/>
  <c r="A84" i="20"/>
  <c r="A84" i="34"/>
  <c r="A84" i="32"/>
  <c r="A84" i="21"/>
  <c r="A84" i="24"/>
  <c r="A84" i="23"/>
  <c r="A84" i="22"/>
  <c r="A84" i="30"/>
  <c r="A84" i="19"/>
  <c r="A84" i="18"/>
  <c r="A84" i="25"/>
  <c r="A84" i="17"/>
  <c r="A45" i="25"/>
  <c r="A45" i="26"/>
  <c r="A45" i="33"/>
  <c r="A45" i="32"/>
  <c r="A45" i="30"/>
  <c r="A45" i="35"/>
  <c r="A45" i="29"/>
  <c r="A45" i="20"/>
  <c r="A45" i="21"/>
  <c r="A45" i="37"/>
  <c r="A45" i="36"/>
  <c r="A45" i="19"/>
  <c r="A45" i="17"/>
  <c r="A45" i="28"/>
  <c r="A45" i="18"/>
  <c r="A45" i="23"/>
  <c r="A45" i="31"/>
  <c r="A45" i="24"/>
  <c r="A45" i="34"/>
  <c r="A45" i="22"/>
  <c r="A35" i="31"/>
  <c r="A35" i="18"/>
  <c r="A35" i="25"/>
  <c r="A35" i="20"/>
  <c r="A35" i="19"/>
  <c r="A35" i="35"/>
  <c r="A35" i="30"/>
  <c r="A35" i="26"/>
  <c r="A35" i="21"/>
  <c r="A35" i="34"/>
  <c r="A35" i="36"/>
  <c r="A35" i="33"/>
  <c r="A35" i="29"/>
  <c r="A35" i="22"/>
  <c r="A35" i="17"/>
  <c r="A35" i="24"/>
  <c r="A35" i="37"/>
  <c r="A35" i="32"/>
  <c r="A35" i="28"/>
  <c r="A35" i="23"/>
  <c r="A19" i="35"/>
  <c r="A19" i="18"/>
  <c r="A19" i="25"/>
  <c r="A19" i="19"/>
  <c r="A19" i="32"/>
  <c r="A19" i="31"/>
  <c r="A19" i="33"/>
  <c r="A19" i="29"/>
  <c r="A19" i="28"/>
  <c r="A19" i="34"/>
  <c r="A19" i="36"/>
  <c r="A19" i="30"/>
  <c r="A19" i="22"/>
  <c r="A19" i="17"/>
  <c r="A19" i="24"/>
  <c r="A19" i="21"/>
  <c r="A19" i="20"/>
  <c r="A19" i="37"/>
  <c r="A19" i="26"/>
  <c r="A19" i="23"/>
  <c r="A14" i="35"/>
  <c r="A14" i="19"/>
  <c r="A14" i="17"/>
  <c r="A14" i="28"/>
  <c r="A14" i="26"/>
  <c r="A14" i="23"/>
  <c r="A14" i="37"/>
  <c r="A14" i="31"/>
  <c r="A14" i="18"/>
  <c r="A14" i="30"/>
  <c r="A14" i="24"/>
  <c r="A14" i="20"/>
  <c r="A14" i="34"/>
  <c r="A14" i="32"/>
  <c r="A14" i="29"/>
  <c r="A14" i="25"/>
  <c r="A14" i="22"/>
  <c r="A14" i="36"/>
  <c r="A14" i="21"/>
  <c r="A14" i="33"/>
  <c r="I2" i="29"/>
  <c r="Q2" i="29" s="1"/>
  <c r="S2" i="29" s="1"/>
  <c r="V2" i="29" s="1"/>
  <c r="E2" i="37"/>
  <c r="J2" i="37" s="1"/>
  <c r="I2" i="30"/>
  <c r="P2" i="30" s="1"/>
  <c r="Q2" i="30" s="1"/>
  <c r="E2" i="26"/>
  <c r="J2" i="26" s="1"/>
  <c r="K2" i="23"/>
  <c r="T2" i="23" s="1"/>
  <c r="U2" i="23" s="1"/>
  <c r="W2" i="23" s="1"/>
  <c r="I2" i="18"/>
  <c r="P2" i="18" s="1"/>
  <c r="Q2" i="18" s="1"/>
  <c r="S2" i="18" s="1"/>
  <c r="K2" i="34"/>
  <c r="T2" i="34" s="1"/>
  <c r="U2" i="34" s="1"/>
  <c r="G2" i="25"/>
  <c r="N2" i="25" s="1"/>
  <c r="Q2" i="25" s="1"/>
  <c r="S2" i="25" s="1"/>
  <c r="I2" i="19"/>
  <c r="Q2" i="19" s="1"/>
  <c r="S2" i="19" s="1"/>
  <c r="U2" i="19" s="1"/>
  <c r="J2" i="28"/>
  <c r="S2" i="28" s="1"/>
  <c r="U2" i="28" s="1"/>
  <c r="X2" i="28" s="1"/>
  <c r="G2" i="36"/>
  <c r="N2" i="36" s="1"/>
  <c r="Q2" i="36" s="1"/>
  <c r="T2" i="36" s="1"/>
  <c r="G2" i="35"/>
  <c r="O2" i="35" s="1"/>
  <c r="S2" i="35" s="1"/>
  <c r="V2" i="35" s="1"/>
  <c r="H2" i="20"/>
  <c r="P2" i="20" s="1"/>
  <c r="J2" i="17"/>
  <c r="S2" i="17" s="1"/>
  <c r="U2" i="17" s="1"/>
  <c r="W2" i="17" s="1"/>
  <c r="H2" i="31"/>
  <c r="P2" i="31" s="1"/>
  <c r="G2" i="24"/>
  <c r="O2" i="24" s="1"/>
  <c r="S2" i="24" s="1"/>
  <c r="U2" i="24" s="1"/>
  <c r="E34" i="37"/>
  <c r="J34" i="37" s="1"/>
  <c r="I34" i="29"/>
  <c r="Q34" i="29" s="1"/>
  <c r="S34" i="29" s="1"/>
  <c r="E34" i="26"/>
  <c r="J34" i="26" s="1"/>
  <c r="K34" i="23"/>
  <c r="T34" i="23" s="1"/>
  <c r="U34" i="23" s="1"/>
  <c r="I34" i="18"/>
  <c r="P34" i="18" s="1"/>
  <c r="Q34" i="18" s="1"/>
  <c r="H34" i="31"/>
  <c r="P34" i="31" s="1"/>
  <c r="S34" i="31" s="1"/>
  <c r="J34" i="28"/>
  <c r="S34" i="28" s="1"/>
  <c r="U34" i="28" s="1"/>
  <c r="G34" i="25"/>
  <c r="N34" i="25" s="1"/>
  <c r="Q34" i="25" s="1"/>
  <c r="I34" i="19"/>
  <c r="Q34" i="19" s="1"/>
  <c r="S34" i="19" s="1"/>
  <c r="I34" i="30"/>
  <c r="P34" i="30" s="1"/>
  <c r="Q34" i="30" s="1"/>
  <c r="G34" i="35"/>
  <c r="O34" i="35" s="1"/>
  <c r="S34" i="35" s="1"/>
  <c r="K34" i="34"/>
  <c r="T34" i="34" s="1"/>
  <c r="U34" i="34" s="1"/>
  <c r="H34" i="20"/>
  <c r="P34" i="20" s="1"/>
  <c r="S34" i="20" s="1"/>
  <c r="J34" i="17"/>
  <c r="S34" i="17" s="1"/>
  <c r="U34" i="17" s="1"/>
  <c r="G34" i="36"/>
  <c r="N34" i="36" s="1"/>
  <c r="Q34" i="36" s="1"/>
  <c r="G34" i="24"/>
  <c r="O34" i="24" s="1"/>
  <c r="S34" i="24" s="1"/>
  <c r="BR35" i="14"/>
  <c r="GC110" i="2"/>
  <c r="BN35" i="14"/>
  <c r="GB110" i="2"/>
  <c r="BB35" i="14"/>
  <c r="AO35" i="14"/>
  <c r="FW110" i="2"/>
  <c r="K35" i="14"/>
  <c r="AK35" i="14"/>
  <c r="FV110" i="2"/>
  <c r="B67" i="35"/>
  <c r="B67" i="30"/>
  <c r="B67" i="29"/>
  <c r="B67" i="28"/>
  <c r="B67" i="34"/>
  <c r="B67" i="36"/>
  <c r="B67" i="37"/>
  <c r="B67" i="33"/>
  <c r="B67" i="32"/>
  <c r="B67" i="31"/>
  <c r="B67" i="26"/>
  <c r="B67" i="21"/>
  <c r="B67" i="22"/>
  <c r="B67" i="25"/>
  <c r="B67" i="23"/>
  <c r="B67" i="24"/>
  <c r="B67" i="19"/>
  <c r="B67" i="20"/>
  <c r="B67" i="18"/>
  <c r="B67" i="17"/>
  <c r="B72" i="33"/>
  <c r="B72" i="32"/>
  <c r="B72" i="30"/>
  <c r="B72" i="37"/>
  <c r="B72" i="36"/>
  <c r="B72" i="34"/>
  <c r="B72" i="29"/>
  <c r="B72" i="28"/>
  <c r="B72" i="35"/>
  <c r="B72" i="26"/>
  <c r="B72" i="31"/>
  <c r="B72" i="22"/>
  <c r="B72" i="20"/>
  <c r="B72" i="23"/>
  <c r="B72" i="25"/>
  <c r="B72" i="19"/>
  <c r="B72" i="21"/>
  <c r="B72" i="24"/>
  <c r="B72" i="18"/>
  <c r="B72" i="17"/>
  <c r="B64" i="36"/>
  <c r="B64" i="29"/>
  <c r="B64" i="33"/>
  <c r="B64" i="28"/>
  <c r="B64" i="30"/>
  <c r="B64" i="35"/>
  <c r="B64" i="34"/>
  <c r="B64" i="37"/>
  <c r="B64" i="32"/>
  <c r="B64" i="31"/>
  <c r="B64" i="22"/>
  <c r="B64" i="20"/>
  <c r="B64" i="23"/>
  <c r="B64" i="25"/>
  <c r="B64" i="26"/>
  <c r="B64" i="21"/>
  <c r="B64" i="24"/>
  <c r="B64" i="18"/>
  <c r="B64" i="19"/>
  <c r="B64" i="17"/>
  <c r="B47" i="30"/>
  <c r="B47" i="36"/>
  <c r="B47" i="37"/>
  <c r="B47" i="29"/>
  <c r="B47" i="28"/>
  <c r="B47" i="35"/>
  <c r="B47" i="32"/>
  <c r="B47" i="26"/>
  <c r="B47" i="34"/>
  <c r="B47" i="31"/>
  <c r="B47" i="33"/>
  <c r="B47" i="17"/>
  <c r="B47" i="22"/>
  <c r="B47" i="24"/>
  <c r="B47" i="21"/>
  <c r="B47" i="23"/>
  <c r="B47" i="18"/>
  <c r="B47" i="20"/>
  <c r="B47" i="25"/>
  <c r="B47" i="19"/>
  <c r="B26" i="35"/>
  <c r="B26" i="30"/>
  <c r="B26" i="28"/>
  <c r="B26" i="36"/>
  <c r="B26" i="33"/>
  <c r="B26" i="32"/>
  <c r="B26" i="29"/>
  <c r="B26" i="34"/>
  <c r="B26" i="37"/>
  <c r="B26" i="31"/>
  <c r="B26" i="21"/>
  <c r="B26" i="24"/>
  <c r="B26" i="23"/>
  <c r="B26" i="22"/>
  <c r="B26" i="26"/>
  <c r="B26" i="25"/>
  <c r="B26" i="20"/>
  <c r="B26" i="19"/>
  <c r="B26" i="17"/>
  <c r="B26" i="18"/>
  <c r="B8" i="34"/>
  <c r="B8" i="31"/>
  <c r="B8" i="36"/>
  <c r="B8" i="30"/>
  <c r="B8" i="37"/>
  <c r="B8" i="33"/>
  <c r="B8" i="32"/>
  <c r="B8" i="29"/>
  <c r="B8" i="35"/>
  <c r="B8" i="28"/>
  <c r="B8" i="22"/>
  <c r="B8" i="21"/>
  <c r="B8" i="23"/>
  <c r="B8" i="25"/>
  <c r="B8" i="26"/>
  <c r="B8" i="19"/>
  <c r="B8" i="20"/>
  <c r="B8" i="24"/>
  <c r="B8" i="18"/>
  <c r="B8" i="17"/>
  <c r="B77" i="30"/>
  <c r="B77" i="35"/>
  <c r="B77" i="34"/>
  <c r="B77" i="32"/>
  <c r="B77" i="28"/>
  <c r="B77" i="29"/>
  <c r="B77" i="37"/>
  <c r="B77" i="26"/>
  <c r="B77" i="33"/>
  <c r="B77" i="36"/>
  <c r="B77" i="31"/>
  <c r="B77" i="20"/>
  <c r="B77" i="24"/>
  <c r="B77" i="21"/>
  <c r="B77" i="25"/>
  <c r="B77" i="23"/>
  <c r="B77" i="22"/>
  <c r="B77" i="17"/>
  <c r="B77" i="18"/>
  <c r="B77" i="19"/>
  <c r="B69" i="35"/>
  <c r="B69" i="31"/>
  <c r="B69" i="37"/>
  <c r="B69" i="32"/>
  <c r="B69" i="34"/>
  <c r="B69" i="29"/>
  <c r="B69" i="28"/>
  <c r="B69" i="30"/>
  <c r="B69" i="26"/>
  <c r="B69" i="33"/>
  <c r="B69" i="36"/>
  <c r="B69" i="19"/>
  <c r="B69" i="24"/>
  <c r="B69" i="25"/>
  <c r="B69" i="21"/>
  <c r="B69" i="23"/>
  <c r="B69" i="22"/>
  <c r="B69" i="17"/>
  <c r="B69" i="18"/>
  <c r="B69" i="20"/>
  <c r="B57" i="37"/>
  <c r="B57" i="32"/>
  <c r="B57" i="34"/>
  <c r="B57" i="30"/>
  <c r="B57" i="36"/>
  <c r="B57" i="29"/>
  <c r="B57" i="28"/>
  <c r="B57" i="33"/>
  <c r="B57" i="31"/>
  <c r="B57" i="35"/>
  <c r="B57" i="26"/>
  <c r="B57" i="25"/>
  <c r="B57" i="24"/>
  <c r="B57" i="23"/>
  <c r="B57" i="21"/>
  <c r="B57" i="22"/>
  <c r="B57" i="20"/>
  <c r="B57" i="19"/>
  <c r="B57" i="18"/>
  <c r="B57" i="17"/>
  <c r="B42" i="30"/>
  <c r="B42" i="32"/>
  <c r="B42" i="33"/>
  <c r="B42" i="36"/>
  <c r="B42" i="29"/>
  <c r="B42" i="28"/>
  <c r="B42" i="31"/>
  <c r="B42" i="34"/>
  <c r="B42" i="35"/>
  <c r="B42" i="37"/>
  <c r="B42" i="26"/>
  <c r="B42" i="24"/>
  <c r="B42" i="23"/>
  <c r="B42" i="22"/>
  <c r="B42" i="25"/>
  <c r="B42" i="21"/>
  <c r="B42" i="19"/>
  <c r="B42" i="20"/>
  <c r="B42" i="18"/>
  <c r="B42" i="17"/>
  <c r="B37" i="35"/>
  <c r="B37" i="26"/>
  <c r="B37" i="37"/>
  <c r="B37" i="31"/>
  <c r="B37" i="28"/>
  <c r="B37" i="29"/>
  <c r="B37" i="36"/>
  <c r="B37" i="34"/>
  <c r="B37" i="32"/>
  <c r="B37" i="33"/>
  <c r="B37" i="30"/>
  <c r="B37" i="19"/>
  <c r="B37" i="24"/>
  <c r="B37" i="21"/>
  <c r="B37" i="20"/>
  <c r="B37" i="25"/>
  <c r="B37" i="23"/>
  <c r="B37" i="22"/>
  <c r="B37" i="18"/>
  <c r="B37" i="17"/>
  <c r="B28" i="31"/>
  <c r="B28" i="37"/>
  <c r="B28" i="29"/>
  <c r="B28" i="33"/>
  <c r="B28" i="36"/>
  <c r="B28" i="35"/>
  <c r="B28" i="34"/>
  <c r="B28" i="30"/>
  <c r="B28" i="32"/>
  <c r="B28" i="28"/>
  <c r="B28" i="25"/>
  <c r="B28" i="22"/>
  <c r="B28" i="20"/>
  <c r="B28" i="26"/>
  <c r="B28" i="23"/>
  <c r="B28" i="24"/>
  <c r="B28" i="21"/>
  <c r="B28" i="18"/>
  <c r="B28" i="17"/>
  <c r="B28" i="19"/>
  <c r="B22" i="37"/>
  <c r="B22" i="35"/>
  <c r="B22" i="34"/>
  <c r="B22" i="33"/>
  <c r="B22" i="36"/>
  <c r="B22" i="31"/>
  <c r="B22" i="28"/>
  <c r="B22" i="32"/>
  <c r="B22" i="30"/>
  <c r="B22" i="29"/>
  <c r="B22" i="17"/>
  <c r="B22" i="23"/>
  <c r="B22" i="25"/>
  <c r="B22" i="21"/>
  <c r="B22" i="22"/>
  <c r="B22" i="26"/>
  <c r="B22" i="24"/>
  <c r="B22" i="20"/>
  <c r="B22" i="19"/>
  <c r="B22" i="18"/>
  <c r="B54" i="34"/>
  <c r="B54" i="32"/>
  <c r="B54" i="29"/>
  <c r="B54" i="35"/>
  <c r="B54" i="33"/>
  <c r="B54" i="30"/>
  <c r="B54" i="28"/>
  <c r="B54" i="26"/>
  <c r="B54" i="36"/>
  <c r="B54" i="37"/>
  <c r="B54" i="31"/>
  <c r="B54" i="17"/>
  <c r="B54" i="23"/>
  <c r="B54" i="25"/>
  <c r="B54" i="20"/>
  <c r="B54" i="22"/>
  <c r="B54" i="21"/>
  <c r="B54" i="24"/>
  <c r="B54" i="19"/>
  <c r="B54" i="18"/>
  <c r="B32" i="36"/>
  <c r="B32" i="33"/>
  <c r="B32" i="35"/>
  <c r="B32" i="31"/>
  <c r="B32" i="32"/>
  <c r="B32" i="28"/>
  <c r="B32" i="29"/>
  <c r="B32" i="34"/>
  <c r="B32" i="37"/>
  <c r="B32" i="30"/>
  <c r="B32" i="22"/>
  <c r="B32" i="26"/>
  <c r="B32" i="23"/>
  <c r="B32" i="20"/>
  <c r="B32" i="21"/>
  <c r="B32" i="25"/>
  <c r="B32" i="24"/>
  <c r="B32" i="18"/>
  <c r="B32" i="19"/>
  <c r="B32" i="17"/>
  <c r="B30" i="29"/>
  <c r="B30" i="34"/>
  <c r="B30" i="32"/>
  <c r="B30" i="36"/>
  <c r="B30" i="33"/>
  <c r="B30" i="31"/>
  <c r="B30" i="35"/>
  <c r="B30" i="37"/>
  <c r="B30" i="30"/>
  <c r="B30" i="28"/>
  <c r="B30" i="17"/>
  <c r="B30" i="19"/>
  <c r="B30" i="18"/>
  <c r="B30" i="23"/>
  <c r="B30" i="25"/>
  <c r="B30" i="22"/>
  <c r="B30" i="26"/>
  <c r="B30" i="24"/>
  <c r="B30" i="21"/>
  <c r="B30" i="20"/>
  <c r="B18" i="28"/>
  <c r="B18" i="32"/>
  <c r="B18" i="31"/>
  <c r="B18" i="35"/>
  <c r="B18" i="33"/>
  <c r="B18" i="37"/>
  <c r="B18" i="36"/>
  <c r="B18" i="29"/>
  <c r="B18" i="30"/>
  <c r="B18" i="34"/>
  <c r="B18" i="24"/>
  <c r="B18" i="23"/>
  <c r="B18" i="21"/>
  <c r="B18" i="22"/>
  <c r="B18" i="25"/>
  <c r="B18" i="18"/>
  <c r="B18" i="26"/>
  <c r="B18" i="20"/>
  <c r="B18" i="17"/>
  <c r="B18" i="19"/>
  <c r="B7" i="33"/>
  <c r="B7" i="29"/>
  <c r="B7" i="35"/>
  <c r="B7" i="31"/>
  <c r="B7" i="28"/>
  <c r="B7" i="36"/>
  <c r="B7" i="37"/>
  <c r="B7" i="34"/>
  <c r="B7" i="30"/>
  <c r="B7" i="32"/>
  <c r="B7" i="26"/>
  <c r="B7" i="19"/>
  <c r="B7" i="17"/>
  <c r="B7" i="22"/>
  <c r="B7" i="24"/>
  <c r="B7" i="21"/>
  <c r="B7" i="20"/>
  <c r="B7" i="23"/>
  <c r="B7" i="25"/>
  <c r="B7" i="18"/>
  <c r="AQ5" i="40"/>
  <c r="B109" i="29"/>
  <c r="B109" i="34"/>
  <c r="B109" i="31"/>
  <c r="B109" i="37"/>
  <c r="B109" i="28"/>
  <c r="B109" i="33"/>
  <c r="B109" i="26"/>
  <c r="B109" i="24"/>
  <c r="B109" i="20"/>
  <c r="B109" i="25"/>
  <c r="B109" i="23"/>
  <c r="B109" i="22"/>
  <c r="B109" i="21"/>
  <c r="B109" i="17"/>
  <c r="B109" i="18"/>
  <c r="B109" i="19"/>
  <c r="B88" i="37"/>
  <c r="B88" i="33"/>
  <c r="B88" i="35"/>
  <c r="B88" i="29"/>
  <c r="B88" i="34"/>
  <c r="B88" i="30"/>
  <c r="B88" i="32"/>
  <c r="B88" i="26"/>
  <c r="B88" i="31"/>
  <c r="B88" i="28"/>
  <c r="B88" i="36"/>
  <c r="B88" i="24"/>
  <c r="B88" i="22"/>
  <c r="B88" i="18"/>
  <c r="B88" i="23"/>
  <c r="B88" i="21"/>
  <c r="B88" i="25"/>
  <c r="B88" i="20"/>
  <c r="B88" i="19"/>
  <c r="B88" i="17"/>
  <c r="B100" i="36"/>
  <c r="B100" i="34"/>
  <c r="B100" i="29"/>
  <c r="B100" i="37"/>
  <c r="B100" i="33"/>
  <c r="B100" i="28"/>
  <c r="B100" i="35"/>
  <c r="B100" i="32"/>
  <c r="B100" i="30"/>
  <c r="B100" i="31"/>
  <c r="B100" i="22"/>
  <c r="B100" i="20"/>
  <c r="B100" i="25"/>
  <c r="B100" i="23"/>
  <c r="B100" i="21"/>
  <c r="B100" i="24"/>
  <c r="B100" i="26"/>
  <c r="B100" i="19"/>
  <c r="B100" i="17"/>
  <c r="B100" i="18"/>
  <c r="B97" i="30"/>
  <c r="B97" i="29"/>
  <c r="B97" i="34"/>
  <c r="B97" i="31"/>
  <c r="B97" i="28"/>
  <c r="B97" i="37"/>
  <c r="B97" i="26"/>
  <c r="B97" i="36"/>
  <c r="B97" i="32"/>
  <c r="B97" i="33"/>
  <c r="B97" i="35"/>
  <c r="B97" i="21"/>
  <c r="B97" i="20"/>
  <c r="B97" i="25"/>
  <c r="B97" i="24"/>
  <c r="B97" i="23"/>
  <c r="B97" i="22"/>
  <c r="B97" i="19"/>
  <c r="B97" i="17"/>
  <c r="B97" i="18"/>
  <c r="B91" i="37"/>
  <c r="B91" i="29"/>
  <c r="B91" i="36"/>
  <c r="B91" i="30"/>
  <c r="B91" i="34"/>
  <c r="B91" i="32"/>
  <c r="B91" i="31"/>
  <c r="B91" i="35"/>
  <c r="B91" i="33"/>
  <c r="B91" i="26"/>
  <c r="B91" i="28"/>
  <c r="B91" i="18"/>
  <c r="B91" i="22"/>
  <c r="B91" i="20"/>
  <c r="B91" i="25"/>
  <c r="B91" i="21"/>
  <c r="B91" i="23"/>
  <c r="B91" i="24"/>
  <c r="B91" i="19"/>
  <c r="B91" i="17"/>
  <c r="B81" i="29"/>
  <c r="B81" i="37"/>
  <c r="B81" i="35"/>
  <c r="B81" i="26"/>
  <c r="B81" i="31"/>
  <c r="B81" i="30"/>
  <c r="B81" i="34"/>
  <c r="B81" i="33"/>
  <c r="B81" i="36"/>
  <c r="B81" i="32"/>
  <c r="B81" i="28"/>
  <c r="B81" i="25"/>
  <c r="B81" i="18"/>
  <c r="B81" i="21"/>
  <c r="B81" i="20"/>
  <c r="B81" i="24"/>
  <c r="B81" i="23"/>
  <c r="B81" i="22"/>
  <c r="B81" i="19"/>
  <c r="B81" i="17"/>
  <c r="B59" i="29"/>
  <c r="B59" i="28"/>
  <c r="B59" i="37"/>
  <c r="B59" i="32"/>
  <c r="B59" i="30"/>
  <c r="B59" i="36"/>
  <c r="B59" i="35"/>
  <c r="B59" i="34"/>
  <c r="B59" i="33"/>
  <c r="B59" i="31"/>
  <c r="B59" i="20"/>
  <c r="B59" i="18"/>
  <c r="B59" i="26"/>
  <c r="B59" i="21"/>
  <c r="B59" i="22"/>
  <c r="B59" i="25"/>
  <c r="B59" i="23"/>
  <c r="B59" i="24"/>
  <c r="B59" i="19"/>
  <c r="B59" i="17"/>
  <c r="B49" i="36"/>
  <c r="B49" i="34"/>
  <c r="B49" i="28"/>
  <c r="B49" i="30"/>
  <c r="B49" i="29"/>
  <c r="B49" i="35"/>
  <c r="B49" i="37"/>
  <c r="B49" i="33"/>
  <c r="B49" i="32"/>
  <c r="B49" i="31"/>
  <c r="B49" i="20"/>
  <c r="B49" i="25"/>
  <c r="B49" i="18"/>
  <c r="B49" i="26"/>
  <c r="B49" i="24"/>
  <c r="B49" i="23"/>
  <c r="B49" i="22"/>
  <c r="B49" i="19"/>
  <c r="B49" i="21"/>
  <c r="B49" i="17"/>
  <c r="B12" i="35"/>
  <c r="B12" i="32"/>
  <c r="B12" i="37"/>
  <c r="B12" i="36"/>
  <c r="B12" i="29"/>
  <c r="B12" i="28"/>
  <c r="B12" i="34"/>
  <c r="B12" i="33"/>
  <c r="B12" i="31"/>
  <c r="B12" i="26"/>
  <c r="B12" i="30"/>
  <c r="B12" i="25"/>
  <c r="B12" i="22"/>
  <c r="B12" i="23"/>
  <c r="B12" i="24"/>
  <c r="B12" i="18"/>
  <c r="B12" i="17"/>
  <c r="B12" i="20"/>
  <c r="B12" i="21"/>
  <c r="B12" i="19"/>
  <c r="B3" i="28"/>
  <c r="B3" i="37"/>
  <c r="B3" i="31"/>
  <c r="B3" i="32"/>
  <c r="B3" i="35"/>
  <c r="B3" i="34"/>
  <c r="B3" i="30"/>
  <c r="B3" i="36"/>
  <c r="B3" i="33"/>
  <c r="B3" i="29"/>
  <c r="B3" i="26"/>
  <c r="B3" i="22"/>
  <c r="B3" i="25"/>
  <c r="B3" i="21"/>
  <c r="B3" i="23"/>
  <c r="B3" i="24"/>
  <c r="B3" i="19"/>
  <c r="B3" i="20"/>
  <c r="B3" i="18"/>
  <c r="B3" i="17"/>
  <c r="B107" i="37"/>
  <c r="B107" i="30"/>
  <c r="B107" i="29"/>
  <c r="B107" i="35"/>
  <c r="B107" i="31"/>
  <c r="B107" i="32"/>
  <c r="B107" i="26"/>
  <c r="B107" i="34"/>
  <c r="B107" i="28"/>
  <c r="B107" i="33"/>
  <c r="B107" i="36"/>
  <c r="B107" i="18"/>
  <c r="B107" i="20"/>
  <c r="B107" i="22"/>
  <c r="B107" i="21"/>
  <c r="B107" i="25"/>
  <c r="B107" i="23"/>
  <c r="B107" i="24"/>
  <c r="B107" i="17"/>
  <c r="B107" i="19"/>
  <c r="B103" i="34"/>
  <c r="B103" i="37"/>
  <c r="B103" i="29"/>
  <c r="B103" i="28"/>
  <c r="B103" i="30"/>
  <c r="B103" i="32"/>
  <c r="B103" i="26"/>
  <c r="B103" i="36"/>
  <c r="B103" i="33"/>
  <c r="B103" i="31"/>
  <c r="B103" i="35"/>
  <c r="B103" i="17"/>
  <c r="B103" i="22"/>
  <c r="B103" i="24"/>
  <c r="B103" i="21"/>
  <c r="B103" i="23"/>
  <c r="B103" i="20"/>
  <c r="B103" i="25"/>
  <c r="B103" i="18"/>
  <c r="B103" i="19"/>
  <c r="B106" i="34"/>
  <c r="B106" i="37"/>
  <c r="B106" i="36"/>
  <c r="B106" i="33"/>
  <c r="B106" i="30"/>
  <c r="B106" i="28"/>
  <c r="B106" i="32"/>
  <c r="B106" i="35"/>
  <c r="B106" i="31"/>
  <c r="B106" i="29"/>
  <c r="B106" i="26"/>
  <c r="B106" i="24"/>
  <c r="B106" i="23"/>
  <c r="B106" i="22"/>
  <c r="B106" i="21"/>
  <c r="B106" i="20"/>
  <c r="B106" i="25"/>
  <c r="B106" i="19"/>
  <c r="B106" i="17"/>
  <c r="B106" i="18"/>
  <c r="B79" i="34"/>
  <c r="B79" i="31"/>
  <c r="B79" i="29"/>
  <c r="B79" i="28"/>
  <c r="B79" i="35"/>
  <c r="B79" i="30"/>
  <c r="B79" i="33"/>
  <c r="B79" i="32"/>
  <c r="B79" i="36"/>
  <c r="B79" i="37"/>
  <c r="B79" i="17"/>
  <c r="B79" i="26"/>
  <c r="B79" i="20"/>
  <c r="B79" i="22"/>
  <c r="B79" i="24"/>
  <c r="B79" i="23"/>
  <c r="B79" i="18"/>
  <c r="B79" i="25"/>
  <c r="B79" i="21"/>
  <c r="B79" i="19"/>
  <c r="B94" i="37"/>
  <c r="B94" i="33"/>
  <c r="B94" i="30"/>
  <c r="B94" i="35"/>
  <c r="B94" i="31"/>
  <c r="B94" i="32"/>
  <c r="B94" i="29"/>
  <c r="B94" i="34"/>
  <c r="B94" i="36"/>
  <c r="B94" i="28"/>
  <c r="B94" i="26"/>
  <c r="B94" i="19"/>
  <c r="B94" i="18"/>
  <c r="B94" i="23"/>
  <c r="B94" i="20"/>
  <c r="B94" i="25"/>
  <c r="B94" i="22"/>
  <c r="B94" i="24"/>
  <c r="B94" i="21"/>
  <c r="B94" i="17"/>
  <c r="B83" i="36"/>
  <c r="B83" i="32"/>
  <c r="B83" i="35"/>
  <c r="B83" i="34"/>
  <c r="B83" i="30"/>
  <c r="B83" i="37"/>
  <c r="B83" i="31"/>
  <c r="B83" i="33"/>
  <c r="B83" i="28"/>
  <c r="B83" i="29"/>
  <c r="B83" i="22"/>
  <c r="B83" i="26"/>
  <c r="B83" i="25"/>
  <c r="B83" i="23"/>
  <c r="B83" i="20"/>
  <c r="B83" i="24"/>
  <c r="B83" i="21"/>
  <c r="B83" i="19"/>
  <c r="B83" i="18"/>
  <c r="B83" i="17"/>
  <c r="B74" i="33"/>
  <c r="B74" i="34"/>
  <c r="B74" i="31"/>
  <c r="B74" i="28"/>
  <c r="B74" i="29"/>
  <c r="B74" i="36"/>
  <c r="B74" i="30"/>
  <c r="B74" i="32"/>
  <c r="B74" i="37"/>
  <c r="B74" i="35"/>
  <c r="B74" i="24"/>
  <c r="B74" i="23"/>
  <c r="B74" i="21"/>
  <c r="B74" i="26"/>
  <c r="B74" i="22"/>
  <c r="B74" i="25"/>
  <c r="B74" i="19"/>
  <c r="B74" i="18"/>
  <c r="B74" i="20"/>
  <c r="B74" i="17"/>
  <c r="B25" i="29"/>
  <c r="B25" i="37"/>
  <c r="B25" i="31"/>
  <c r="B25" i="34"/>
  <c r="B25" i="30"/>
  <c r="B25" i="32"/>
  <c r="B25" i="36"/>
  <c r="B25" i="35"/>
  <c r="B25" i="28"/>
  <c r="B25" i="33"/>
  <c r="B25" i="25"/>
  <c r="B25" i="20"/>
  <c r="B25" i="21"/>
  <c r="B25" i="24"/>
  <c r="B25" i="23"/>
  <c r="B25" i="22"/>
  <c r="B25" i="26"/>
  <c r="B25" i="19"/>
  <c r="B25" i="17"/>
  <c r="B25" i="18"/>
  <c r="B21" i="36"/>
  <c r="B21" i="32"/>
  <c r="B21" i="30"/>
  <c r="B21" i="28"/>
  <c r="B21" i="37"/>
  <c r="B21" i="29"/>
  <c r="B21" i="35"/>
  <c r="B21" i="33"/>
  <c r="B21" i="34"/>
  <c r="B21" i="31"/>
  <c r="B21" i="26"/>
  <c r="B21" i="19"/>
  <c r="B21" i="24"/>
  <c r="B21" i="20"/>
  <c r="B21" i="21"/>
  <c r="B21" i="25"/>
  <c r="B21" i="23"/>
  <c r="B21" i="22"/>
  <c r="B21" i="18"/>
  <c r="B21" i="17"/>
  <c r="B11" i="31"/>
  <c r="B11" i="28"/>
  <c r="B11" i="33"/>
  <c r="B11" i="34"/>
  <c r="B11" i="30"/>
  <c r="B11" i="35"/>
  <c r="B11" i="32"/>
  <c r="B11" i="37"/>
  <c r="B11" i="36"/>
  <c r="B11" i="29"/>
  <c r="B11" i="18"/>
  <c r="B11" i="21"/>
  <c r="B11" i="22"/>
  <c r="B11" i="20"/>
  <c r="B11" i="25"/>
  <c r="B11" i="23"/>
  <c r="B11" i="26"/>
  <c r="B11" i="24"/>
  <c r="B11" i="17"/>
  <c r="B11" i="19"/>
  <c r="B2" i="36"/>
  <c r="B2" i="34"/>
  <c r="B2" i="33"/>
  <c r="BN6" i="40"/>
  <c r="B2" i="37"/>
  <c r="BN7" i="40"/>
  <c r="B2" i="31"/>
  <c r="B2" i="29"/>
  <c r="BN8" i="40"/>
  <c r="B2" i="32"/>
  <c r="BN9" i="40"/>
  <c r="B2" i="28"/>
  <c r="BN10" i="40"/>
  <c r="BN11" i="40"/>
  <c r="B2" i="35"/>
  <c r="B2" i="30"/>
  <c r="BN12" i="40"/>
  <c r="BN13" i="40"/>
  <c r="BN14" i="40"/>
  <c r="BN5" i="40"/>
  <c r="B2" i="24"/>
  <c r="B2" i="23"/>
  <c r="B2" i="20"/>
  <c r="B2" i="26"/>
  <c r="B2" i="22"/>
  <c r="B2" i="21"/>
  <c r="B2" i="25"/>
  <c r="B2" i="18"/>
  <c r="B2" i="17"/>
  <c r="B2" i="19"/>
  <c r="AH7" i="40"/>
  <c r="AH5" i="40"/>
  <c r="AH6" i="40"/>
  <c r="AH8" i="40"/>
  <c r="AH9" i="40"/>
  <c r="AH10" i="40"/>
  <c r="AH11" i="40"/>
  <c r="AH12" i="40"/>
  <c r="AH13" i="40"/>
  <c r="AH14" i="40"/>
  <c r="B61" i="29"/>
  <c r="B61" i="28"/>
  <c r="B61" i="31"/>
  <c r="B61" i="34"/>
  <c r="B61" i="30"/>
  <c r="B61" i="36"/>
  <c r="B61" i="37"/>
  <c r="B61" i="32"/>
  <c r="B61" i="33"/>
  <c r="B61" i="35"/>
  <c r="B61" i="24"/>
  <c r="B61" i="26"/>
  <c r="B61" i="25"/>
  <c r="B61" i="21"/>
  <c r="B61" i="23"/>
  <c r="B61" i="22"/>
  <c r="B61" i="17"/>
  <c r="B61" i="19"/>
  <c r="B61" i="20"/>
  <c r="B61" i="18"/>
  <c r="B51" i="34"/>
  <c r="B51" i="31"/>
  <c r="B51" i="28"/>
  <c r="B51" i="32"/>
  <c r="B51" i="36"/>
  <c r="B51" i="30"/>
  <c r="B51" i="35"/>
  <c r="B51" i="33"/>
  <c r="B51" i="29"/>
  <c r="B51" i="37"/>
  <c r="B51" i="26"/>
  <c r="B51" i="22"/>
  <c r="B51" i="20"/>
  <c r="B51" i="25"/>
  <c r="B51" i="21"/>
  <c r="B51" i="23"/>
  <c r="B51" i="24"/>
  <c r="B51" i="19"/>
  <c r="B51" i="18"/>
  <c r="B51" i="17"/>
  <c r="B44" i="37"/>
  <c r="B44" i="33"/>
  <c r="B44" i="30"/>
  <c r="B44" i="29"/>
  <c r="B44" i="28"/>
  <c r="B44" i="26"/>
  <c r="B44" i="32"/>
  <c r="B44" i="36"/>
  <c r="B44" i="34"/>
  <c r="B44" i="31"/>
  <c r="B44" i="35"/>
  <c r="B44" i="25"/>
  <c r="B44" i="22"/>
  <c r="B44" i="20"/>
  <c r="B44" i="23"/>
  <c r="B44" i="21"/>
  <c r="B44" i="24"/>
  <c r="B44" i="18"/>
  <c r="B44" i="17"/>
  <c r="B44" i="19"/>
  <c r="B39" i="35"/>
  <c r="B39" i="32"/>
  <c r="B39" i="30"/>
  <c r="B39" i="29"/>
  <c r="B39" i="28"/>
  <c r="B39" i="34"/>
  <c r="B39" i="31"/>
  <c r="B39" i="37"/>
  <c r="B39" i="36"/>
  <c r="B39" i="33"/>
  <c r="B39" i="26"/>
  <c r="B39" i="17"/>
  <c r="B39" i="19"/>
  <c r="B39" i="22"/>
  <c r="B39" i="24"/>
  <c r="B39" i="20"/>
  <c r="B39" i="21"/>
  <c r="B39" i="23"/>
  <c r="B39" i="25"/>
  <c r="B39" i="18"/>
  <c r="B71" i="35"/>
  <c r="B71" i="34"/>
  <c r="B71" i="28"/>
  <c r="B71" i="26"/>
  <c r="B71" i="31"/>
  <c r="B71" i="32"/>
  <c r="B71" i="30"/>
  <c r="B71" i="37"/>
  <c r="B71" i="33"/>
  <c r="B71" i="36"/>
  <c r="B71" i="29"/>
  <c r="B71" i="21"/>
  <c r="B71" i="19"/>
  <c r="B71" i="17"/>
  <c r="B71" i="22"/>
  <c r="B71" i="24"/>
  <c r="B71" i="20"/>
  <c r="B71" i="23"/>
  <c r="B71" i="25"/>
  <c r="B71" i="18"/>
  <c r="B56" i="29"/>
  <c r="B56" i="28"/>
  <c r="B56" i="31"/>
  <c r="B56" i="35"/>
  <c r="B56" i="37"/>
  <c r="B56" i="33"/>
  <c r="B56" i="32"/>
  <c r="B56" i="30"/>
  <c r="B56" i="34"/>
  <c r="B56" i="36"/>
  <c r="B56" i="22"/>
  <c r="B56" i="21"/>
  <c r="B56" i="23"/>
  <c r="B56" i="20"/>
  <c r="B56" i="25"/>
  <c r="B56" i="19"/>
  <c r="B56" i="26"/>
  <c r="B56" i="24"/>
  <c r="B56" i="18"/>
  <c r="B56" i="17"/>
  <c r="B34" i="30"/>
  <c r="B34" i="37"/>
  <c r="B34" i="36"/>
  <c r="B34" i="28"/>
  <c r="B34" i="33"/>
  <c r="B34" i="29"/>
  <c r="B34" i="35"/>
  <c r="B34" i="34"/>
  <c r="B34" i="31"/>
  <c r="B34" i="32"/>
  <c r="B34" i="24"/>
  <c r="B34" i="23"/>
  <c r="B34" i="26"/>
  <c r="B34" i="22"/>
  <c r="B34" i="25"/>
  <c r="B34" i="18"/>
  <c r="B34" i="21"/>
  <c r="B34" i="17"/>
  <c r="B34" i="19"/>
  <c r="B34" i="20"/>
  <c r="B17" i="29"/>
  <c r="B17" i="34"/>
  <c r="B17" i="32"/>
  <c r="B17" i="31"/>
  <c r="B17" i="28"/>
  <c r="B17" i="37"/>
  <c r="B17" i="35"/>
  <c r="B17" i="33"/>
  <c r="B17" i="36"/>
  <c r="B17" i="30"/>
  <c r="B17" i="25"/>
  <c r="B17" i="18"/>
  <c r="B17" i="26"/>
  <c r="B17" i="24"/>
  <c r="B17" i="21"/>
  <c r="B17" i="20"/>
  <c r="B17" i="23"/>
  <c r="B17" i="22"/>
  <c r="B17" i="19"/>
  <c r="B17" i="17"/>
  <c r="B66" i="28"/>
  <c r="B66" i="37"/>
  <c r="B66" i="32"/>
  <c r="B66" i="34"/>
  <c r="B66" i="36"/>
  <c r="B66" i="31"/>
  <c r="B66" i="33"/>
  <c r="B66" i="30"/>
  <c r="B66" i="35"/>
  <c r="B66" i="29"/>
  <c r="B66" i="24"/>
  <c r="B66" i="23"/>
  <c r="B66" i="20"/>
  <c r="B66" i="26"/>
  <c r="B66" i="21"/>
  <c r="B66" i="22"/>
  <c r="B66" i="25"/>
  <c r="B66" i="18"/>
  <c r="B66" i="17"/>
  <c r="B66" i="19"/>
  <c r="B102" i="29"/>
  <c r="B102" i="28"/>
  <c r="B102" i="36"/>
  <c r="B102" i="31"/>
  <c r="B102" i="33"/>
  <c r="B102" i="35"/>
  <c r="B102" i="37"/>
  <c r="B102" i="34"/>
  <c r="B102" i="32"/>
  <c r="B102" i="30"/>
  <c r="B102" i="26"/>
  <c r="B102" i="17"/>
  <c r="B102" i="23"/>
  <c r="B102" i="20"/>
  <c r="B102" i="25"/>
  <c r="B102" i="22"/>
  <c r="B102" i="24"/>
  <c r="B102" i="21"/>
  <c r="B102" i="18"/>
  <c r="B102" i="19"/>
  <c r="B85" i="36"/>
  <c r="B85" i="34"/>
  <c r="B85" i="26"/>
  <c r="B85" i="35"/>
  <c r="B85" i="28"/>
  <c r="B85" i="32"/>
  <c r="B85" i="30"/>
  <c r="B85" i="33"/>
  <c r="B85" i="31"/>
  <c r="B85" i="37"/>
  <c r="B85" i="29"/>
  <c r="B85" i="19"/>
  <c r="B85" i="24"/>
  <c r="B85" i="21"/>
  <c r="B85" i="25"/>
  <c r="B85" i="23"/>
  <c r="B85" i="22"/>
  <c r="B85" i="17"/>
  <c r="B85" i="18"/>
  <c r="B85" i="20"/>
  <c r="B105" i="35"/>
  <c r="B105" i="28"/>
  <c r="B105" i="26"/>
  <c r="B105" i="29"/>
  <c r="B105" i="37"/>
  <c r="B105" i="30"/>
  <c r="B105" i="36"/>
  <c r="B105" i="34"/>
  <c r="B105" i="33"/>
  <c r="B105" i="32"/>
  <c r="B105" i="31"/>
  <c r="B105" i="20"/>
  <c r="B105" i="25"/>
  <c r="B105" i="24"/>
  <c r="B105" i="18"/>
  <c r="B105" i="23"/>
  <c r="B105" i="22"/>
  <c r="B105" i="21"/>
  <c r="B105" i="17"/>
  <c r="B105" i="19"/>
  <c r="B99" i="30"/>
  <c r="B99" i="31"/>
  <c r="B99" i="36"/>
  <c r="B99" i="37"/>
  <c r="B99" i="34"/>
  <c r="B99" i="29"/>
  <c r="B99" i="26"/>
  <c r="B99" i="35"/>
  <c r="B99" i="33"/>
  <c r="B99" i="32"/>
  <c r="B99" i="28"/>
  <c r="B99" i="22"/>
  <c r="B99" i="25"/>
  <c r="B99" i="20"/>
  <c r="B99" i="21"/>
  <c r="B99" i="23"/>
  <c r="B99" i="24"/>
  <c r="B99" i="19"/>
  <c r="B99" i="18"/>
  <c r="B99" i="17"/>
  <c r="B68" i="36"/>
  <c r="B68" i="33"/>
  <c r="B68" i="37"/>
  <c r="B68" i="32"/>
  <c r="B68" i="31"/>
  <c r="B68" i="35"/>
  <c r="B68" i="30"/>
  <c r="B68" i="29"/>
  <c r="B68" i="26"/>
  <c r="B68" i="28"/>
  <c r="B68" i="34"/>
  <c r="B68" i="25"/>
  <c r="B68" i="22"/>
  <c r="B68" i="23"/>
  <c r="B68" i="24"/>
  <c r="B68" i="20"/>
  <c r="B68" i="17"/>
  <c r="B68" i="21"/>
  <c r="B68" i="19"/>
  <c r="B68" i="18"/>
  <c r="B63" i="37"/>
  <c r="B63" i="32"/>
  <c r="B63" i="34"/>
  <c r="B63" i="31"/>
  <c r="B63" i="36"/>
  <c r="B63" i="33"/>
  <c r="B63" i="30"/>
  <c r="B63" i="29"/>
  <c r="B63" i="28"/>
  <c r="B63" i="35"/>
  <c r="B63" i="26"/>
  <c r="B63" i="17"/>
  <c r="B63" i="21"/>
  <c r="B63" i="22"/>
  <c r="B63" i="24"/>
  <c r="B63" i="20"/>
  <c r="B63" i="23"/>
  <c r="B63" i="18"/>
  <c r="B63" i="25"/>
  <c r="B63" i="19"/>
  <c r="B6" i="37"/>
  <c r="B6" i="28"/>
  <c r="B6" i="32"/>
  <c r="B6" i="30"/>
  <c r="B6" i="36"/>
  <c r="B6" i="34"/>
  <c r="B6" i="33"/>
  <c r="B6" i="35"/>
  <c r="B6" i="31"/>
  <c r="B6" i="29"/>
  <c r="B6" i="17"/>
  <c r="B6" i="23"/>
  <c r="B6" i="26"/>
  <c r="B6" i="25"/>
  <c r="B6" i="22"/>
  <c r="B6" i="21"/>
  <c r="B6" i="24"/>
  <c r="B6" i="20"/>
  <c r="B6" i="18"/>
  <c r="B6" i="19"/>
  <c r="B96" i="33"/>
  <c r="B96" i="35"/>
  <c r="B96" i="30"/>
  <c r="B96" i="31"/>
  <c r="B96" i="29"/>
  <c r="B96" i="26"/>
  <c r="B96" i="37"/>
  <c r="B96" i="34"/>
  <c r="B96" i="28"/>
  <c r="B96" i="36"/>
  <c r="B96" i="32"/>
  <c r="B96" i="24"/>
  <c r="B96" i="22"/>
  <c r="B96" i="23"/>
  <c r="B96" i="21"/>
  <c r="B96" i="20"/>
  <c r="B96" i="25"/>
  <c r="B96" i="19"/>
  <c r="B96" i="17"/>
  <c r="B96" i="18"/>
  <c r="B90" i="29"/>
  <c r="B90" i="26"/>
  <c r="B90" i="33"/>
  <c r="B90" i="35"/>
  <c r="B90" i="34"/>
  <c r="B90" i="37"/>
  <c r="B90" i="28"/>
  <c r="B90" i="30"/>
  <c r="B90" i="36"/>
  <c r="B90" i="32"/>
  <c r="B90" i="31"/>
  <c r="B90" i="24"/>
  <c r="B90" i="23"/>
  <c r="B90" i="22"/>
  <c r="B90" i="25"/>
  <c r="B90" i="21"/>
  <c r="B90" i="20"/>
  <c r="B90" i="19"/>
  <c r="B90" i="17"/>
  <c r="B90" i="18"/>
  <c r="B87" i="30"/>
  <c r="B87" i="31"/>
  <c r="B87" i="34"/>
  <c r="B87" i="36"/>
  <c r="B87" i="37"/>
  <c r="B87" i="28"/>
  <c r="B87" i="35"/>
  <c r="B87" i="33"/>
  <c r="B87" i="29"/>
  <c r="B87" i="32"/>
  <c r="B87" i="17"/>
  <c r="B87" i="22"/>
  <c r="B87" i="20"/>
  <c r="B87" i="24"/>
  <c r="B87" i="26"/>
  <c r="B87" i="23"/>
  <c r="B87" i="21"/>
  <c r="B87" i="25"/>
  <c r="B87" i="18"/>
  <c r="B87" i="19"/>
  <c r="B76" i="34"/>
  <c r="B76" i="33"/>
  <c r="B76" i="36"/>
  <c r="B76" i="31"/>
  <c r="B76" i="30"/>
  <c r="B76" i="32"/>
  <c r="B76" i="35"/>
  <c r="B76" i="37"/>
  <c r="B76" i="29"/>
  <c r="B76" i="28"/>
  <c r="B76" i="26"/>
  <c r="B76" i="25"/>
  <c r="B76" i="22"/>
  <c r="B76" i="23"/>
  <c r="B76" i="20"/>
  <c r="B76" i="24"/>
  <c r="B76" i="21"/>
  <c r="B76" i="18"/>
  <c r="B76" i="19"/>
  <c r="B76" i="17"/>
  <c r="B53" i="37"/>
  <c r="B53" i="36"/>
  <c r="B53" i="31"/>
  <c r="B53" i="32"/>
  <c r="B53" i="35"/>
  <c r="B53" i="30"/>
  <c r="B53" i="34"/>
  <c r="B53" i="33"/>
  <c r="B53" i="29"/>
  <c r="B53" i="28"/>
  <c r="B53" i="19"/>
  <c r="B53" i="24"/>
  <c r="B53" i="26"/>
  <c r="B53" i="25"/>
  <c r="B53" i="20"/>
  <c r="B53" i="23"/>
  <c r="B53" i="22"/>
  <c r="B53" i="17"/>
  <c r="B53" i="21"/>
  <c r="B53" i="18"/>
  <c r="B46" i="29"/>
  <c r="B46" i="28"/>
  <c r="B46" i="34"/>
  <c r="B46" i="33"/>
  <c r="B46" i="30"/>
  <c r="B46" i="37"/>
  <c r="B46" i="36"/>
  <c r="B46" i="32"/>
  <c r="B46" i="26"/>
  <c r="B46" i="35"/>
  <c r="B46" i="31"/>
  <c r="B46" i="19"/>
  <c r="B46" i="18"/>
  <c r="B46" i="23"/>
  <c r="B46" i="25"/>
  <c r="B46" i="20"/>
  <c r="B46" i="22"/>
  <c r="B46" i="24"/>
  <c r="B46" i="21"/>
  <c r="B46" i="17"/>
  <c r="B41" i="37"/>
  <c r="B41" i="35"/>
  <c r="B41" i="29"/>
  <c r="B41" i="28"/>
  <c r="B41" i="34"/>
  <c r="B41" i="32"/>
  <c r="B41" i="30"/>
  <c r="B41" i="33"/>
  <c r="B41" i="36"/>
  <c r="B41" i="31"/>
  <c r="B41" i="21"/>
  <c r="B41" i="25"/>
  <c r="B41" i="26"/>
  <c r="B41" i="20"/>
  <c r="B41" i="24"/>
  <c r="B41" i="23"/>
  <c r="B41" i="22"/>
  <c r="B41" i="18"/>
  <c r="B41" i="19"/>
  <c r="B41" i="17"/>
  <c r="B36" i="32"/>
  <c r="B36" i="29"/>
  <c r="B36" i="28"/>
  <c r="B36" i="30"/>
  <c r="B36" i="36"/>
  <c r="B36" i="34"/>
  <c r="B36" i="33"/>
  <c r="B36" i="35"/>
  <c r="B36" i="37"/>
  <c r="B36" i="31"/>
  <c r="B36" i="25"/>
  <c r="B36" i="22"/>
  <c r="B36" i="23"/>
  <c r="B36" i="24"/>
  <c r="B36" i="21"/>
  <c r="B36" i="20"/>
  <c r="B36" i="17"/>
  <c r="B36" i="26"/>
  <c r="B36" i="19"/>
  <c r="B36" i="18"/>
  <c r="B16" i="37"/>
  <c r="B16" i="31"/>
  <c r="B16" i="35"/>
  <c r="B16" i="28"/>
  <c r="B16" i="33"/>
  <c r="B16" i="36"/>
  <c r="B16" i="30"/>
  <c r="B16" i="29"/>
  <c r="B16" i="32"/>
  <c r="B16" i="34"/>
  <c r="B16" i="22"/>
  <c r="B16" i="20"/>
  <c r="B16" i="23"/>
  <c r="B16" i="26"/>
  <c r="B16" i="25"/>
  <c r="B16" i="21"/>
  <c r="B16" i="24"/>
  <c r="B16" i="17"/>
  <c r="B16" i="18"/>
  <c r="B16" i="19"/>
  <c r="B78" i="33"/>
  <c r="B78" i="37"/>
  <c r="B78" i="36"/>
  <c r="B78" i="31"/>
  <c r="B78" i="30"/>
  <c r="B78" i="34"/>
  <c r="B78" i="29"/>
  <c r="B78" i="28"/>
  <c r="B78" i="35"/>
  <c r="B78" i="32"/>
  <c r="B78" i="17"/>
  <c r="B78" i="19"/>
  <c r="B78" i="18"/>
  <c r="B78" i="21"/>
  <c r="B78" i="23"/>
  <c r="B78" i="25"/>
  <c r="B78" i="26"/>
  <c r="B78" i="22"/>
  <c r="B78" i="20"/>
  <c r="B78" i="24"/>
  <c r="B58" i="33"/>
  <c r="B58" i="35"/>
  <c r="B58" i="31"/>
  <c r="B58" i="26"/>
  <c r="B58" i="34"/>
  <c r="B58" i="37"/>
  <c r="B58" i="32"/>
  <c r="B58" i="29"/>
  <c r="B58" i="30"/>
  <c r="B58" i="28"/>
  <c r="B58" i="36"/>
  <c r="B58" i="24"/>
  <c r="B58" i="23"/>
  <c r="B58" i="21"/>
  <c r="B58" i="20"/>
  <c r="B58" i="22"/>
  <c r="B58" i="25"/>
  <c r="B58" i="19"/>
  <c r="B58" i="17"/>
  <c r="B58" i="18"/>
  <c r="B27" i="34"/>
  <c r="B27" i="32"/>
  <c r="B27" i="31"/>
  <c r="B27" i="37"/>
  <c r="B27" i="28"/>
  <c r="B27" i="35"/>
  <c r="B27" i="33"/>
  <c r="B27" i="29"/>
  <c r="B27" i="36"/>
  <c r="B27" i="30"/>
  <c r="B27" i="18"/>
  <c r="B27" i="22"/>
  <c r="B27" i="26"/>
  <c r="B27" i="25"/>
  <c r="B27" i="20"/>
  <c r="B27" i="23"/>
  <c r="B27" i="24"/>
  <c r="B27" i="21"/>
  <c r="B27" i="19"/>
  <c r="B27" i="17"/>
  <c r="B20" i="29"/>
  <c r="B20" i="35"/>
  <c r="B20" i="33"/>
  <c r="B20" i="31"/>
  <c r="B20" i="32"/>
  <c r="B20" i="36"/>
  <c r="B20" i="34"/>
  <c r="B20" i="30"/>
  <c r="B20" i="37"/>
  <c r="B20" i="28"/>
  <c r="B20" i="25"/>
  <c r="B20" i="22"/>
  <c r="B20" i="23"/>
  <c r="B20" i="26"/>
  <c r="B20" i="24"/>
  <c r="B20" i="17"/>
  <c r="B20" i="21"/>
  <c r="B20" i="19"/>
  <c r="B20" i="18"/>
  <c r="B20" i="20"/>
  <c r="B10" i="35"/>
  <c r="B10" i="36"/>
  <c r="B10" i="31"/>
  <c r="B10" i="29"/>
  <c r="B10" i="33"/>
  <c r="B10" i="30"/>
  <c r="B10" i="28"/>
  <c r="B10" i="34"/>
  <c r="B10" i="32"/>
  <c r="B10" i="37"/>
  <c r="B10" i="26"/>
  <c r="B10" i="24"/>
  <c r="B10" i="23"/>
  <c r="B10" i="21"/>
  <c r="B10" i="22"/>
  <c r="B10" i="25"/>
  <c r="B10" i="20"/>
  <c r="B10" i="19"/>
  <c r="B10" i="18"/>
  <c r="B10" i="17"/>
  <c r="B93" i="34"/>
  <c r="B93" i="29"/>
  <c r="B93" i="36"/>
  <c r="B93" i="37"/>
  <c r="B93" i="28"/>
  <c r="B93" i="30"/>
  <c r="B93" i="33"/>
  <c r="B93" i="31"/>
  <c r="B93" i="35"/>
  <c r="B93" i="32"/>
  <c r="B93" i="21"/>
  <c r="B93" i="24"/>
  <c r="B93" i="26"/>
  <c r="B93" i="20"/>
  <c r="B93" i="25"/>
  <c r="B93" i="23"/>
  <c r="B93" i="22"/>
  <c r="B93" i="17"/>
  <c r="B93" i="19"/>
  <c r="B93" i="18"/>
  <c r="B80" i="33"/>
  <c r="B80" i="32"/>
  <c r="B80" i="36"/>
  <c r="B80" i="34"/>
  <c r="B80" i="37"/>
  <c r="B80" i="28"/>
  <c r="B80" i="26"/>
  <c r="B80" i="29"/>
  <c r="B80" i="35"/>
  <c r="B80" i="31"/>
  <c r="B80" i="30"/>
  <c r="B80" i="22"/>
  <c r="B80" i="23"/>
  <c r="B80" i="25"/>
  <c r="B80" i="21"/>
  <c r="B80" i="20"/>
  <c r="B80" i="24"/>
  <c r="B80" i="17"/>
  <c r="B80" i="18"/>
  <c r="B80" i="19"/>
  <c r="B65" i="37"/>
  <c r="B65" i="32"/>
  <c r="B65" i="31"/>
  <c r="B65" i="28"/>
  <c r="B65" i="36"/>
  <c r="B65" i="29"/>
  <c r="B65" i="34"/>
  <c r="B65" i="33"/>
  <c r="B65" i="26"/>
  <c r="B65" i="30"/>
  <c r="B65" i="35"/>
  <c r="B65" i="25"/>
  <c r="B65" i="18"/>
  <c r="B65" i="24"/>
  <c r="B65" i="21"/>
  <c r="B65" i="20"/>
  <c r="B65" i="23"/>
  <c r="B65" i="22"/>
  <c r="B65" i="19"/>
  <c r="B65" i="17"/>
  <c r="B48" i="32"/>
  <c r="B48" i="31"/>
  <c r="B48" i="33"/>
  <c r="B48" i="36"/>
  <c r="B48" i="30"/>
  <c r="B48" i="29"/>
  <c r="B48" i="28"/>
  <c r="B48" i="37"/>
  <c r="B48" i="34"/>
  <c r="B48" i="35"/>
  <c r="B48" i="22"/>
  <c r="B48" i="21"/>
  <c r="B48" i="23"/>
  <c r="B48" i="20"/>
  <c r="B48" i="25"/>
  <c r="B48" i="26"/>
  <c r="B48" i="24"/>
  <c r="B48" i="17"/>
  <c r="B48" i="18"/>
  <c r="B48" i="19"/>
  <c r="B31" i="35"/>
  <c r="B31" i="28"/>
  <c r="B31" i="37"/>
  <c r="B31" i="29"/>
  <c r="B31" i="30"/>
  <c r="B31" i="34"/>
  <c r="B31" i="36"/>
  <c r="B31" i="33"/>
  <c r="B31" i="32"/>
  <c r="B31" i="31"/>
  <c r="B31" i="17"/>
  <c r="B31" i="22"/>
  <c r="B31" i="24"/>
  <c r="B31" i="26"/>
  <c r="B31" i="23"/>
  <c r="B31" i="21"/>
  <c r="B31" i="20"/>
  <c r="B31" i="18"/>
  <c r="B31" i="25"/>
  <c r="B31" i="19"/>
  <c r="B29" i="30"/>
  <c r="B29" i="28"/>
  <c r="B29" i="32"/>
  <c r="B29" i="34"/>
  <c r="B29" i="31"/>
  <c r="B29" i="29"/>
  <c r="B29" i="26"/>
  <c r="B29" i="36"/>
  <c r="B29" i="33"/>
  <c r="B29" i="37"/>
  <c r="B29" i="35"/>
  <c r="B29" i="24"/>
  <c r="B29" i="21"/>
  <c r="B29" i="25"/>
  <c r="B29" i="23"/>
  <c r="B29" i="22"/>
  <c r="B29" i="17"/>
  <c r="B29" i="20"/>
  <c r="B29" i="19"/>
  <c r="B29" i="18"/>
  <c r="B9" i="30"/>
  <c r="B9" i="33"/>
  <c r="B9" i="37"/>
  <c r="B9" i="32"/>
  <c r="B9" i="28"/>
  <c r="B9" i="35"/>
  <c r="B9" i="34"/>
  <c r="B9" i="36"/>
  <c r="B9" i="31"/>
  <c r="B9" i="29"/>
  <c r="B9" i="25"/>
  <c r="B9" i="20"/>
  <c r="B9" i="26"/>
  <c r="B9" i="24"/>
  <c r="B9" i="23"/>
  <c r="B9" i="21"/>
  <c r="B9" i="22"/>
  <c r="B9" i="18"/>
  <c r="B9" i="19"/>
  <c r="B9" i="17"/>
  <c r="B5" i="34"/>
  <c r="B5" i="35"/>
  <c r="B5" i="31"/>
  <c r="B5" i="37"/>
  <c r="B5" i="32"/>
  <c r="B5" i="30"/>
  <c r="B5" i="29"/>
  <c r="B5" i="36"/>
  <c r="B5" i="28"/>
  <c r="B5" i="33"/>
  <c r="B5" i="19"/>
  <c r="B5" i="24"/>
  <c r="B5" i="20"/>
  <c r="B5" i="26"/>
  <c r="B5" i="25"/>
  <c r="B5" i="23"/>
  <c r="B5" i="22"/>
  <c r="B5" i="21"/>
  <c r="B5" i="18"/>
  <c r="B5" i="17"/>
  <c r="B43" i="34"/>
  <c r="B43" i="31"/>
  <c r="B43" i="35"/>
  <c r="B43" i="37"/>
  <c r="B43" i="30"/>
  <c r="B43" i="33"/>
  <c r="B43" i="32"/>
  <c r="B43" i="29"/>
  <c r="B43" i="28"/>
  <c r="B43" i="36"/>
  <c r="B43" i="18"/>
  <c r="B43" i="22"/>
  <c r="B43" i="25"/>
  <c r="B43" i="20"/>
  <c r="B43" i="21"/>
  <c r="B43" i="23"/>
  <c r="B43" i="24"/>
  <c r="B43" i="26"/>
  <c r="B43" i="17"/>
  <c r="B43" i="19"/>
  <c r="B38" i="28"/>
  <c r="B38" i="37"/>
  <c r="B38" i="31"/>
  <c r="B38" i="34"/>
  <c r="B38" i="36"/>
  <c r="B38" i="33"/>
  <c r="B38" i="32"/>
  <c r="B38" i="35"/>
  <c r="B38" i="30"/>
  <c r="B38" i="29"/>
  <c r="B38" i="23"/>
  <c r="B38" i="25"/>
  <c r="B38" i="26"/>
  <c r="B38" i="22"/>
  <c r="B38" i="24"/>
  <c r="B38" i="21"/>
  <c r="B38" i="20"/>
  <c r="B38" i="17"/>
  <c r="B38" i="18"/>
  <c r="B38" i="19"/>
  <c r="B24" i="32"/>
  <c r="B24" i="26"/>
  <c r="B24" i="30"/>
  <c r="B24" i="35"/>
  <c r="B24" i="36"/>
  <c r="B24" i="33"/>
  <c r="B24" i="28"/>
  <c r="B24" i="37"/>
  <c r="B24" i="29"/>
  <c r="B24" i="31"/>
  <c r="B24" i="34"/>
  <c r="B24" i="22"/>
  <c r="B24" i="23"/>
  <c r="B24" i="25"/>
  <c r="B24" i="21"/>
  <c r="B24" i="19"/>
  <c r="B24" i="20"/>
  <c r="B24" i="24"/>
  <c r="B24" i="18"/>
  <c r="B24" i="17"/>
  <c r="B15" i="32"/>
  <c r="B15" i="37"/>
  <c r="B15" i="29"/>
  <c r="B15" i="31"/>
  <c r="B15" i="35"/>
  <c r="B15" i="30"/>
  <c r="B15" i="28"/>
  <c r="B15" i="36"/>
  <c r="B15" i="34"/>
  <c r="B15" i="33"/>
  <c r="B15" i="21"/>
  <c r="B15" i="17"/>
  <c r="B15" i="22"/>
  <c r="B15" i="24"/>
  <c r="B15" i="20"/>
  <c r="B15" i="23"/>
  <c r="B15" i="18"/>
  <c r="B15" i="26"/>
  <c r="B15" i="25"/>
  <c r="B15" i="19"/>
  <c r="B60" i="37"/>
  <c r="B60" i="36"/>
  <c r="B60" i="32"/>
  <c r="B60" i="35"/>
  <c r="B60" i="33"/>
  <c r="B60" i="31"/>
  <c r="B60" i="29"/>
  <c r="B60" i="28"/>
  <c r="B60" i="30"/>
  <c r="B60" i="34"/>
  <c r="B60" i="25"/>
  <c r="B60" i="22"/>
  <c r="B60" i="23"/>
  <c r="B60" i="24"/>
  <c r="B60" i="20"/>
  <c r="B60" i="18"/>
  <c r="B60" i="17"/>
  <c r="B60" i="26"/>
  <c r="B60" i="21"/>
  <c r="B60" i="19"/>
  <c r="B101" i="26"/>
  <c r="B101" i="32"/>
  <c r="B101" i="30"/>
  <c r="B101" i="34"/>
  <c r="B101" i="31"/>
  <c r="B101" i="36"/>
  <c r="B101" i="29"/>
  <c r="B101" i="28"/>
  <c r="B101" i="33"/>
  <c r="B101" i="37"/>
  <c r="B101" i="35"/>
  <c r="B101" i="21"/>
  <c r="B101" i="19"/>
  <c r="B101" i="24"/>
  <c r="B101" i="20"/>
  <c r="B101" i="25"/>
  <c r="B101" i="23"/>
  <c r="B101" i="22"/>
  <c r="B101" i="17"/>
  <c r="B101" i="18"/>
  <c r="B73" i="35"/>
  <c r="B73" i="31"/>
  <c r="B73" i="26"/>
  <c r="B73" i="33"/>
  <c r="B73" i="36"/>
  <c r="B73" i="30"/>
  <c r="B73" i="32"/>
  <c r="B73" i="37"/>
  <c r="B73" i="34"/>
  <c r="B73" i="29"/>
  <c r="B73" i="28"/>
  <c r="B73" i="25"/>
  <c r="B73" i="21"/>
  <c r="B73" i="24"/>
  <c r="B73" i="20"/>
  <c r="B73" i="23"/>
  <c r="B73" i="22"/>
  <c r="B73" i="18"/>
  <c r="B73" i="19"/>
  <c r="B73" i="17"/>
  <c r="B55" i="36"/>
  <c r="B55" i="34"/>
  <c r="B55" i="26"/>
  <c r="B55" i="29"/>
  <c r="B55" i="31"/>
  <c r="B55" i="37"/>
  <c r="B55" i="28"/>
  <c r="B55" i="35"/>
  <c r="B55" i="33"/>
  <c r="B55" i="32"/>
  <c r="B55" i="30"/>
  <c r="B55" i="17"/>
  <c r="B55" i="19"/>
  <c r="B55" i="22"/>
  <c r="B55" i="24"/>
  <c r="B55" i="21"/>
  <c r="B55" i="23"/>
  <c r="B55" i="25"/>
  <c r="B55" i="20"/>
  <c r="B55" i="18"/>
  <c r="B33" i="28"/>
  <c r="B33" i="35"/>
  <c r="B33" i="31"/>
  <c r="B33" i="32"/>
  <c r="B33" i="29"/>
  <c r="B33" i="34"/>
  <c r="B33" i="30"/>
  <c r="B33" i="37"/>
  <c r="B33" i="36"/>
  <c r="B33" i="33"/>
  <c r="B33" i="25"/>
  <c r="B33" i="18"/>
  <c r="B33" i="21"/>
  <c r="B33" i="24"/>
  <c r="B33" i="23"/>
  <c r="B33" i="22"/>
  <c r="B33" i="19"/>
  <c r="B33" i="26"/>
  <c r="B33" i="20"/>
  <c r="B33" i="17"/>
  <c r="B62" i="36"/>
  <c r="B62" i="30"/>
  <c r="B62" i="33"/>
  <c r="B62" i="29"/>
  <c r="B62" i="37"/>
  <c r="B62" i="35"/>
  <c r="B62" i="32"/>
  <c r="B62" i="28"/>
  <c r="B62" i="34"/>
  <c r="B62" i="31"/>
  <c r="B62" i="19"/>
  <c r="B62" i="18"/>
  <c r="B62" i="23"/>
  <c r="B62" i="26"/>
  <c r="B62" i="25"/>
  <c r="B62" i="21"/>
  <c r="B62" i="22"/>
  <c r="B62" i="24"/>
  <c r="B62" i="20"/>
  <c r="B62" i="17"/>
  <c r="B50" i="35"/>
  <c r="B50" i="37"/>
  <c r="B50" i="33"/>
  <c r="B50" i="31"/>
  <c r="B50" i="32"/>
  <c r="B50" i="29"/>
  <c r="B50" i="34"/>
  <c r="B50" i="28"/>
  <c r="B50" i="36"/>
  <c r="B50" i="30"/>
  <c r="B50" i="24"/>
  <c r="B50" i="23"/>
  <c r="B50" i="26"/>
  <c r="B50" i="22"/>
  <c r="B50" i="21"/>
  <c r="B50" i="20"/>
  <c r="B50" i="25"/>
  <c r="B50" i="18"/>
  <c r="B50" i="17"/>
  <c r="B50" i="19"/>
  <c r="B23" i="28"/>
  <c r="B23" i="31"/>
  <c r="B23" i="29"/>
  <c r="B23" i="26"/>
  <c r="B23" i="32"/>
  <c r="B23" i="30"/>
  <c r="B23" i="35"/>
  <c r="B23" i="34"/>
  <c r="B23" i="37"/>
  <c r="B23" i="33"/>
  <c r="B23" i="36"/>
  <c r="B23" i="21"/>
  <c r="B23" i="19"/>
  <c r="B23" i="17"/>
  <c r="B23" i="22"/>
  <c r="B23" i="20"/>
  <c r="B23" i="24"/>
  <c r="B23" i="23"/>
  <c r="B23" i="25"/>
  <c r="B23" i="18"/>
  <c r="B70" i="33"/>
  <c r="B70" i="36"/>
  <c r="B70" i="26"/>
  <c r="B70" i="29"/>
  <c r="B70" i="35"/>
  <c r="B70" i="34"/>
  <c r="B70" i="31"/>
  <c r="B70" i="28"/>
  <c r="B70" i="32"/>
  <c r="B70" i="37"/>
  <c r="B70" i="30"/>
  <c r="B70" i="23"/>
  <c r="B70" i="25"/>
  <c r="B70" i="21"/>
  <c r="B70" i="22"/>
  <c r="B70" i="24"/>
  <c r="B70" i="20"/>
  <c r="B70" i="17"/>
  <c r="B70" i="18"/>
  <c r="B70" i="19"/>
  <c r="B108" i="34"/>
  <c r="B108" i="28"/>
  <c r="B108" i="26"/>
  <c r="B108" i="33"/>
  <c r="B108" i="36"/>
  <c r="B108" i="29"/>
  <c r="B108" i="30"/>
  <c r="B108" i="37"/>
  <c r="B108" i="31"/>
  <c r="B108" i="22"/>
  <c r="B108" i="19"/>
  <c r="B108" i="25"/>
  <c r="B108" i="21"/>
  <c r="B108" i="23"/>
  <c r="B108" i="24"/>
  <c r="B108" i="18"/>
  <c r="B108" i="20"/>
  <c r="B108" i="17"/>
  <c r="B92" i="30"/>
  <c r="B92" i="28"/>
  <c r="B92" i="33"/>
  <c r="B92" i="31"/>
  <c r="B92" i="35"/>
  <c r="B92" i="32"/>
  <c r="B92" i="26"/>
  <c r="B92" i="37"/>
  <c r="B92" i="29"/>
  <c r="B92" i="36"/>
  <c r="B92" i="34"/>
  <c r="B92" i="22"/>
  <c r="B92" i="20"/>
  <c r="B92" i="19"/>
  <c r="B92" i="25"/>
  <c r="B92" i="23"/>
  <c r="B92" i="21"/>
  <c r="B92" i="24"/>
  <c r="B92" i="18"/>
  <c r="B92" i="17"/>
  <c r="B98" i="36"/>
  <c r="B98" i="26"/>
  <c r="B98" i="32"/>
  <c r="B98" i="33"/>
  <c r="B98" i="34"/>
  <c r="B98" i="29"/>
  <c r="B98" i="35"/>
  <c r="B98" i="28"/>
  <c r="B98" i="30"/>
  <c r="B98" i="31"/>
  <c r="B98" i="37"/>
  <c r="B98" i="24"/>
  <c r="B98" i="23"/>
  <c r="B98" i="22"/>
  <c r="B98" i="20"/>
  <c r="B98" i="25"/>
  <c r="B98" i="21"/>
  <c r="B98" i="18"/>
  <c r="B98" i="17"/>
  <c r="B98" i="19"/>
  <c r="B89" i="28"/>
  <c r="B89" i="30"/>
  <c r="B89" i="32"/>
  <c r="B89" i="36"/>
  <c r="B89" i="31"/>
  <c r="B89" i="26"/>
  <c r="B89" i="33"/>
  <c r="B89" i="29"/>
  <c r="B89" i="35"/>
  <c r="B89" i="37"/>
  <c r="B89" i="34"/>
  <c r="B89" i="25"/>
  <c r="B89" i="21"/>
  <c r="B89" i="20"/>
  <c r="B89" i="24"/>
  <c r="B89" i="18"/>
  <c r="B89" i="23"/>
  <c r="B89" i="22"/>
  <c r="B89" i="19"/>
  <c r="B89" i="17"/>
  <c r="B86" i="35"/>
  <c r="B86" i="33"/>
  <c r="B86" i="26"/>
  <c r="B86" i="32"/>
  <c r="B86" i="29"/>
  <c r="B86" i="30"/>
  <c r="B86" i="31"/>
  <c r="B86" i="37"/>
  <c r="B86" i="36"/>
  <c r="B86" i="34"/>
  <c r="B86" i="28"/>
  <c r="B86" i="21"/>
  <c r="B86" i="23"/>
  <c r="B86" i="25"/>
  <c r="B86" i="22"/>
  <c r="B86" i="20"/>
  <c r="B86" i="24"/>
  <c r="B86" i="17"/>
  <c r="B86" i="19"/>
  <c r="B86" i="18"/>
  <c r="B84" i="30"/>
  <c r="B84" i="28"/>
  <c r="B84" i="37"/>
  <c r="B84" i="33"/>
  <c r="B84" i="31"/>
  <c r="B84" i="29"/>
  <c r="B84" i="36"/>
  <c r="B84" i="26"/>
  <c r="B84" i="35"/>
  <c r="B84" i="34"/>
  <c r="B84" i="32"/>
  <c r="B84" i="25"/>
  <c r="B84" i="22"/>
  <c r="B84" i="23"/>
  <c r="B84" i="20"/>
  <c r="B84" i="24"/>
  <c r="B84" i="21"/>
  <c r="B84" i="19"/>
  <c r="B84" i="18"/>
  <c r="B84" i="17"/>
  <c r="B45" i="36"/>
  <c r="B45" i="32"/>
  <c r="B45" i="26"/>
  <c r="B45" i="35"/>
  <c r="B45" i="31"/>
  <c r="B45" i="34"/>
  <c r="B45" i="33"/>
  <c r="B45" i="29"/>
  <c r="B45" i="28"/>
  <c r="B45" i="37"/>
  <c r="B45" i="30"/>
  <c r="B45" i="24"/>
  <c r="B45" i="25"/>
  <c r="B45" i="20"/>
  <c r="B45" i="23"/>
  <c r="B45" i="22"/>
  <c r="B45" i="17"/>
  <c r="B45" i="21"/>
  <c r="B45" i="18"/>
  <c r="B45" i="19"/>
  <c r="B35" i="37"/>
  <c r="B35" i="35"/>
  <c r="B35" i="34"/>
  <c r="B35" i="31"/>
  <c r="B35" i="32"/>
  <c r="B35" i="30"/>
  <c r="B35" i="29"/>
  <c r="B35" i="28"/>
  <c r="B35" i="36"/>
  <c r="B35" i="33"/>
  <c r="B35" i="20"/>
  <c r="B35" i="26"/>
  <c r="B35" i="22"/>
  <c r="B35" i="25"/>
  <c r="B35" i="23"/>
  <c r="B35" i="21"/>
  <c r="B35" i="24"/>
  <c r="B35" i="19"/>
  <c r="B35" i="18"/>
  <c r="B35" i="17"/>
  <c r="B19" i="37"/>
  <c r="B19" i="34"/>
  <c r="B19" i="30"/>
  <c r="B19" i="28"/>
  <c r="B19" i="31"/>
  <c r="B19" i="29"/>
  <c r="B19" i="35"/>
  <c r="B19" i="32"/>
  <c r="B19" i="33"/>
  <c r="B19" i="36"/>
  <c r="B19" i="21"/>
  <c r="B19" i="22"/>
  <c r="B19" i="25"/>
  <c r="B19" i="26"/>
  <c r="B19" i="23"/>
  <c r="B19" i="24"/>
  <c r="B19" i="20"/>
  <c r="B19" i="19"/>
  <c r="B19" i="18"/>
  <c r="B19" i="17"/>
  <c r="B14" i="35"/>
  <c r="B14" i="30"/>
  <c r="B14" i="29"/>
  <c r="B14" i="26"/>
  <c r="B14" i="36"/>
  <c r="B14" i="28"/>
  <c r="B14" i="34"/>
  <c r="B14" i="33"/>
  <c r="B14" i="32"/>
  <c r="B14" i="37"/>
  <c r="B14" i="31"/>
  <c r="B14" i="17"/>
  <c r="B14" i="19"/>
  <c r="B14" i="18"/>
  <c r="B14" i="23"/>
  <c r="B14" i="25"/>
  <c r="B14" i="21"/>
  <c r="B14" i="22"/>
  <c r="B14" i="24"/>
  <c r="B14" i="20"/>
  <c r="C5" i="39"/>
  <c r="B104" i="30"/>
  <c r="B104" i="32"/>
  <c r="B104" i="36"/>
  <c r="B104" i="33"/>
  <c r="B104" i="31"/>
  <c r="B104" i="34"/>
  <c r="B104" i="26"/>
  <c r="B104" i="35"/>
  <c r="B104" i="29"/>
  <c r="B104" i="28"/>
  <c r="B104" i="37"/>
  <c r="B104" i="24"/>
  <c r="B104" i="22"/>
  <c r="B104" i="18"/>
  <c r="B104" i="21"/>
  <c r="B104" i="23"/>
  <c r="B104" i="20"/>
  <c r="B104" i="25"/>
  <c r="B104" i="19"/>
  <c r="B104" i="17"/>
  <c r="B82" i="30"/>
  <c r="B82" i="31"/>
  <c r="B82" i="34"/>
  <c r="B82" i="26"/>
  <c r="B82" i="33"/>
  <c r="B82" i="28"/>
  <c r="B82" i="36"/>
  <c r="B82" i="32"/>
  <c r="B82" i="29"/>
  <c r="B82" i="35"/>
  <c r="B82" i="37"/>
  <c r="B82" i="20"/>
  <c r="B82" i="21"/>
  <c r="B82" i="24"/>
  <c r="B82" i="23"/>
  <c r="B82" i="22"/>
  <c r="B82" i="25"/>
  <c r="B82" i="18"/>
  <c r="B82" i="17"/>
  <c r="B82" i="19"/>
  <c r="B95" i="29"/>
  <c r="B95" i="34"/>
  <c r="B95" i="32"/>
  <c r="B95" i="36"/>
  <c r="B95" i="28"/>
  <c r="B95" i="33"/>
  <c r="B95" i="35"/>
  <c r="B95" i="26"/>
  <c r="B95" i="30"/>
  <c r="B95" i="37"/>
  <c r="B95" i="31"/>
  <c r="B95" i="17"/>
  <c r="B95" i="22"/>
  <c r="B95" i="24"/>
  <c r="B95" i="21"/>
  <c r="B95" i="19"/>
  <c r="B95" i="23"/>
  <c r="B95" i="20"/>
  <c r="B95" i="18"/>
  <c r="B95" i="25"/>
  <c r="B75" i="32"/>
  <c r="B75" i="37"/>
  <c r="B75" i="35"/>
  <c r="B75" i="29"/>
  <c r="B75" i="34"/>
  <c r="B75" i="28"/>
  <c r="B75" i="33"/>
  <c r="B75" i="36"/>
  <c r="B75" i="31"/>
  <c r="B75" i="30"/>
  <c r="B75" i="18"/>
  <c r="B75" i="26"/>
  <c r="B75" i="22"/>
  <c r="B75" i="25"/>
  <c r="B75" i="23"/>
  <c r="B75" i="24"/>
  <c r="B75" i="20"/>
  <c r="B75" i="21"/>
  <c r="B75" i="17"/>
  <c r="B75" i="19"/>
  <c r="B52" i="35"/>
  <c r="B52" i="30"/>
  <c r="B52" i="33"/>
  <c r="B52" i="29"/>
  <c r="B52" i="34"/>
  <c r="B52" i="28"/>
  <c r="B52" i="37"/>
  <c r="B52" i="31"/>
  <c r="B52" i="36"/>
  <c r="B52" i="32"/>
  <c r="B52" i="25"/>
  <c r="B52" i="22"/>
  <c r="B52" i="21"/>
  <c r="B52" i="23"/>
  <c r="B52" i="24"/>
  <c r="B52" i="26"/>
  <c r="B52" i="17"/>
  <c r="B52" i="20"/>
  <c r="B52" i="19"/>
  <c r="B52" i="18"/>
  <c r="B40" i="34"/>
  <c r="B40" i="33"/>
  <c r="B40" i="36"/>
  <c r="B40" i="31"/>
  <c r="B40" i="37"/>
  <c r="B40" i="35"/>
  <c r="B40" i="32"/>
  <c r="B40" i="30"/>
  <c r="B40" i="29"/>
  <c r="B40" i="28"/>
  <c r="B40" i="22"/>
  <c r="B40" i="23"/>
  <c r="B40" i="21"/>
  <c r="B40" i="25"/>
  <c r="B40" i="19"/>
  <c r="B40" i="26"/>
  <c r="B40" i="24"/>
  <c r="B40" i="20"/>
  <c r="B40" i="18"/>
  <c r="B40" i="17"/>
  <c r="B13" i="33"/>
  <c r="B13" i="34"/>
  <c r="B13" i="31"/>
  <c r="B13" i="26"/>
  <c r="B13" i="30"/>
  <c r="B13" i="35"/>
  <c r="B13" i="29"/>
  <c r="B13" i="36"/>
  <c r="B13" i="32"/>
  <c r="B13" i="37"/>
  <c r="B13" i="28"/>
  <c r="B13" i="24"/>
  <c r="B13" i="20"/>
  <c r="B13" i="25"/>
  <c r="B13" i="21"/>
  <c r="B13" i="23"/>
  <c r="B13" i="22"/>
  <c r="B13" i="17"/>
  <c r="B13" i="18"/>
  <c r="B13" i="19"/>
  <c r="B4" i="36"/>
  <c r="B4" i="29"/>
  <c r="B4" i="33"/>
  <c r="B4" i="28"/>
  <c r="B4" i="31"/>
  <c r="B4" i="37"/>
  <c r="B4" i="34"/>
  <c r="B4" i="35"/>
  <c r="B4" i="32"/>
  <c r="B4" i="30"/>
  <c r="B4" i="25"/>
  <c r="B4" i="22"/>
  <c r="B4" i="21"/>
  <c r="B4" i="23"/>
  <c r="B4" i="24"/>
  <c r="B4" i="17"/>
  <c r="B4" i="26"/>
  <c r="B4" i="20"/>
  <c r="B4" i="19"/>
  <c r="B4" i="18"/>
  <c r="V20" i="3"/>
  <c r="U115" i="3"/>
  <c r="W113" i="3"/>
  <c r="T108" i="3"/>
  <c r="BU12" i="39"/>
  <c r="I10" i="41" s="1"/>
  <c r="W97" i="3"/>
  <c r="V99" i="3"/>
  <c r="K13" i="40"/>
  <c r="T97" i="3"/>
  <c r="Z89" i="3"/>
  <c r="W70" i="3"/>
  <c r="D10" i="40"/>
  <c r="U96" i="3"/>
  <c r="T94" i="3"/>
  <c r="AB88" i="3"/>
  <c r="X87" i="3"/>
  <c r="Y86" i="3"/>
  <c r="CK12" i="39"/>
  <c r="I16" i="41" s="1"/>
  <c r="E103" i="7"/>
  <c r="CB11" i="39"/>
  <c r="H11" i="41" s="1"/>
  <c r="BN10" i="39"/>
  <c r="G9" i="41" s="1"/>
  <c r="Y54" i="3"/>
  <c r="V53" i="3"/>
  <c r="Y52" i="3"/>
  <c r="K9" i="40"/>
  <c r="DE8" i="39"/>
  <c r="E18" i="41" s="1"/>
  <c r="DP7" i="39"/>
  <c r="D19" i="41" s="1"/>
  <c r="AA6" i="40"/>
  <c r="M5" i="39"/>
  <c r="W6" i="39"/>
  <c r="C5" i="41" s="1"/>
  <c r="T26" i="3"/>
  <c r="M7" i="39"/>
  <c r="D4" i="41" s="1"/>
  <c r="W121" i="3"/>
  <c r="T116" i="3"/>
  <c r="V114" i="3"/>
  <c r="X112" i="3"/>
  <c r="S109" i="3"/>
  <c r="U107" i="3"/>
  <c r="W105" i="3"/>
  <c r="T100" i="3"/>
  <c r="AG13" i="39"/>
  <c r="J6" i="41" s="1"/>
  <c r="X96" i="3"/>
  <c r="S93" i="3"/>
  <c r="U91" i="3"/>
  <c r="W89" i="3"/>
  <c r="FW73" i="2"/>
  <c r="T84" i="3"/>
  <c r="V82" i="3"/>
  <c r="T68" i="3"/>
  <c r="V66" i="3"/>
  <c r="BU10" i="39"/>
  <c r="G10" i="41" s="1"/>
  <c r="W57" i="3"/>
  <c r="T52" i="3"/>
  <c r="V50" i="3"/>
  <c r="AG9" i="39"/>
  <c r="F6" i="41" s="1"/>
  <c r="T95" i="3"/>
  <c r="AB89" i="3"/>
  <c r="AA87" i="3"/>
  <c r="DE10" i="39"/>
  <c r="G18" i="41" s="1"/>
  <c r="V106" i="3"/>
  <c r="X118" i="3"/>
  <c r="AA11" i="40"/>
  <c r="T73" i="3"/>
  <c r="AB120" i="3"/>
  <c r="S104" i="3"/>
  <c r="AA102" i="3"/>
  <c r="V101" i="3"/>
  <c r="BN13" i="39"/>
  <c r="J9" i="41" s="1"/>
  <c r="AA97" i="3"/>
  <c r="AA95" i="3"/>
  <c r="W94" i="3"/>
  <c r="FV109" i="2"/>
  <c r="AA120" i="3"/>
  <c r="Y116" i="3"/>
  <c r="Z113" i="3"/>
  <c r="AB99" i="3"/>
  <c r="BC13" i="39"/>
  <c r="J8" i="41" s="1"/>
  <c r="W96" i="3"/>
  <c r="Z95" i="3"/>
  <c r="V94" i="3"/>
  <c r="Y93" i="3"/>
  <c r="V92" i="3"/>
  <c r="S90" i="3"/>
  <c r="DE12" i="39"/>
  <c r="I18" i="41" s="1"/>
  <c r="Y119" i="3"/>
  <c r="Z99" i="3"/>
  <c r="AY13" i="40"/>
  <c r="W13" i="39"/>
  <c r="J5" i="41" s="1"/>
  <c r="U117" i="3"/>
  <c r="Y115" i="3"/>
  <c r="T114" i="3"/>
  <c r="S14" i="40"/>
  <c r="AA107" i="3"/>
  <c r="W106" i="3"/>
  <c r="U103" i="3"/>
  <c r="Y99" i="3"/>
  <c r="AQ13" i="40"/>
  <c r="M13" i="39"/>
  <c r="J4" i="41" s="1"/>
  <c r="T96" i="3"/>
  <c r="S94" i="3"/>
  <c r="AB90" i="3"/>
  <c r="AA88" i="3"/>
  <c r="W87" i="3"/>
  <c r="AA12" i="40"/>
  <c r="U85" i="3"/>
  <c r="BN11" i="39"/>
  <c r="H9" i="41" s="1"/>
  <c r="U72" i="3"/>
  <c r="BG10" i="40"/>
  <c r="BC10" i="39"/>
  <c r="G8" i="41" s="1"/>
  <c r="U53" i="3"/>
  <c r="D9" i="40"/>
  <c r="CU8" i="39"/>
  <c r="E17" i="41" s="1"/>
  <c r="DE7" i="39"/>
  <c r="D18" i="41" s="1"/>
  <c r="S6" i="40"/>
  <c r="F73" i="26"/>
  <c r="K73" i="26" s="1"/>
  <c r="F73" i="37"/>
  <c r="K73" i="37" s="1"/>
  <c r="AA121" i="3"/>
  <c r="AA114" i="3"/>
  <c r="X97" i="3"/>
  <c r="V117" i="3"/>
  <c r="U114" i="3"/>
  <c r="S112" i="3"/>
  <c r="V85" i="3"/>
  <c r="U82" i="3"/>
  <c r="V121" i="3"/>
  <c r="U121" i="3"/>
  <c r="S114" i="3"/>
  <c r="GD97" i="2"/>
  <c r="T106" i="3"/>
  <c r="S96" i="3"/>
  <c r="AB92" i="3"/>
  <c r="AA90" i="3"/>
  <c r="X89" i="3"/>
  <c r="Z88" i="3"/>
  <c r="V87" i="3"/>
  <c r="BG11" i="40"/>
  <c r="BC11" i="39"/>
  <c r="H8" i="41" s="1"/>
  <c r="T55" i="3"/>
  <c r="CB9" i="39"/>
  <c r="F11" i="41" s="1"/>
  <c r="V48" i="3"/>
  <c r="X43" i="3"/>
  <c r="X41" i="3"/>
  <c r="CK8" i="39"/>
  <c r="E16" i="41" s="1"/>
  <c r="CU7" i="39"/>
  <c r="D17" i="41" s="1"/>
  <c r="Y17" i="3"/>
  <c r="K6" i="40"/>
  <c r="C6" i="39"/>
  <c r="C3" i="41" s="1"/>
  <c r="FW13" i="2"/>
  <c r="X20" i="3"/>
  <c r="W103" i="3"/>
  <c r="S91" i="3"/>
  <c r="T82" i="3"/>
  <c r="T66" i="3"/>
  <c r="V64" i="3"/>
  <c r="U57" i="3"/>
  <c r="W55" i="3"/>
  <c r="T50" i="3"/>
  <c r="M9" i="39"/>
  <c r="F4" i="41" s="1"/>
  <c r="V52" i="3"/>
  <c r="BU8" i="39"/>
  <c r="E10" i="41" s="1"/>
  <c r="U25" i="3"/>
  <c r="Y103" i="3"/>
  <c r="W115" i="3"/>
  <c r="AA111" i="3"/>
  <c r="AA91" i="3"/>
  <c r="S119" i="3"/>
  <c r="U118" i="3"/>
  <c r="AB116" i="3"/>
  <c r="CB13" i="39"/>
  <c r="J11" i="41" s="1"/>
  <c r="AB97" i="3"/>
  <c r="AB95" i="3"/>
  <c r="X94" i="3"/>
  <c r="AA93" i="3"/>
  <c r="W90" i="3"/>
  <c r="S115" i="3"/>
  <c r="W92" i="3"/>
  <c r="X109" i="3"/>
  <c r="Y102" i="3"/>
  <c r="U101" i="3"/>
  <c r="Z97" i="3"/>
  <c r="Y84" i="3"/>
  <c r="AB115" i="3"/>
  <c r="W114" i="3"/>
  <c r="Y113" i="3"/>
  <c r="T112" i="3"/>
  <c r="X121" i="3"/>
  <c r="AA115" i="3"/>
  <c r="Y110" i="3"/>
  <c r="G103" i="7"/>
  <c r="T109" i="3"/>
  <c r="AB107" i="3"/>
  <c r="X106" i="3"/>
  <c r="V103" i="3"/>
  <c r="T117" i="3"/>
  <c r="K14" i="40"/>
  <c r="Z107" i="3"/>
  <c r="AB104" i="3"/>
  <c r="T103" i="3"/>
  <c r="AB101" i="3"/>
  <c r="W100" i="3"/>
  <c r="EO13" i="39"/>
  <c r="J22" i="41" s="1"/>
  <c r="S98" i="3"/>
  <c r="C13" i="39"/>
  <c r="J3" i="41" s="1"/>
  <c r="AB94" i="3"/>
  <c r="S12" i="40"/>
  <c r="AY10" i="40"/>
  <c r="AR10" i="39"/>
  <c r="G7" i="41" s="1"/>
  <c r="T121" i="3"/>
  <c r="AB112" i="3"/>
  <c r="V111" i="3"/>
  <c r="D14" i="40"/>
  <c r="W108" i="3"/>
  <c r="Y107" i="3"/>
  <c r="S106" i="3"/>
  <c r="AA104" i="3"/>
  <c r="S103" i="3"/>
  <c r="AA101" i="3"/>
  <c r="U100" i="3"/>
  <c r="EH13" i="39"/>
  <c r="J21" i="41" s="1"/>
  <c r="AA94" i="3"/>
  <c r="AA92" i="3"/>
  <c r="Z90" i="3"/>
  <c r="V89" i="3"/>
  <c r="Y88" i="3"/>
  <c r="T87" i="3"/>
  <c r="K12" i="40"/>
  <c r="AY11" i="40"/>
  <c r="AR11" i="39"/>
  <c r="H7" i="41" s="1"/>
  <c r="AQ10" i="40"/>
  <c r="W10" i="39"/>
  <c r="G5" i="41" s="1"/>
  <c r="X57" i="3"/>
  <c r="Y56" i="3"/>
  <c r="BN9" i="39"/>
  <c r="F9" i="41" s="1"/>
  <c r="Y42" i="3"/>
  <c r="Y40" i="3"/>
  <c r="W39" i="3"/>
  <c r="AA8" i="40"/>
  <c r="GD25" i="2"/>
  <c r="CK7" i="39"/>
  <c r="D16" i="41" s="1"/>
  <c r="Y21" i="3"/>
  <c r="W18" i="3"/>
  <c r="D6" i="40"/>
  <c r="F37" i="37"/>
  <c r="K37" i="37" s="1"/>
  <c r="F37" i="26"/>
  <c r="K37" i="26" s="1"/>
  <c r="F109" i="26"/>
  <c r="K109" i="26" s="1"/>
  <c r="F109" i="37"/>
  <c r="K109" i="37" s="1"/>
  <c r="Y117" i="3"/>
  <c r="AA106" i="3"/>
  <c r="X99" i="3"/>
  <c r="W22" i="3"/>
  <c r="V18" i="3"/>
  <c r="M6" i="39"/>
  <c r="C4" i="41" s="1"/>
  <c r="V36" i="3"/>
  <c r="X34" i="3"/>
  <c r="FU13" i="2"/>
  <c r="X18" i="3"/>
  <c r="S121" i="3"/>
  <c r="U119" i="3"/>
  <c r="W117" i="3"/>
  <c r="X108" i="3"/>
  <c r="S105" i="3"/>
  <c r="W101" i="3"/>
  <c r="X92" i="3"/>
  <c r="U87" i="3"/>
  <c r="BU11" i="39"/>
  <c r="H10" i="41" s="1"/>
  <c r="U71" i="3"/>
  <c r="W69" i="3"/>
  <c r="AG10" i="39"/>
  <c r="G6" i="41" s="1"/>
  <c r="U55" i="3"/>
  <c r="FW37" i="2"/>
  <c r="U39" i="3"/>
  <c r="Z103" i="3"/>
  <c r="Y104" i="3"/>
  <c r="EA13" i="39"/>
  <c r="J20" i="41" s="1"/>
  <c r="AB96" i="3"/>
  <c r="X91" i="3"/>
  <c r="Y90" i="3"/>
  <c r="U89" i="3"/>
  <c r="S87" i="3"/>
  <c r="D12" i="40"/>
  <c r="AQ11" i="40"/>
  <c r="EO10" i="39"/>
  <c r="G22" i="41" s="1"/>
  <c r="M10" i="39"/>
  <c r="G4" i="41" s="1"/>
  <c r="BG9" i="40"/>
  <c r="W50" i="3"/>
  <c r="AR9" i="39"/>
  <c r="F7" i="41" s="1"/>
  <c r="S8" i="40"/>
  <c r="X36" i="3"/>
  <c r="AA7" i="40"/>
  <c r="Y112" i="3"/>
  <c r="AA109" i="3"/>
  <c r="U108" i="3"/>
  <c r="X105" i="3"/>
  <c r="FW85" i="2"/>
  <c r="AA96" i="3"/>
  <c r="X93" i="3"/>
  <c r="CB12" i="39"/>
  <c r="I11" i="41" s="1"/>
  <c r="V81" i="3"/>
  <c r="EO11" i="39"/>
  <c r="H22" i="41" s="1"/>
  <c r="V69" i="3"/>
  <c r="EH10" i="39"/>
  <c r="C10" i="39"/>
  <c r="G3" i="41" s="1"/>
  <c r="Y58" i="3"/>
  <c r="T57" i="3"/>
  <c r="AY9" i="40"/>
  <c r="U50" i="3"/>
  <c r="W9" i="39"/>
  <c r="F5" i="41" s="1"/>
  <c r="T43" i="3"/>
  <c r="U41" i="3"/>
  <c r="K8" i="40"/>
  <c r="W36" i="3"/>
  <c r="S7" i="40"/>
  <c r="U18" i="3"/>
  <c r="Y16" i="3"/>
  <c r="X25" i="3"/>
  <c r="T39" i="3"/>
  <c r="W119" i="3"/>
  <c r="V120" i="3"/>
  <c r="W116" i="3"/>
  <c r="AA112" i="3"/>
  <c r="T111" i="3"/>
  <c r="AB109" i="3"/>
  <c r="Z101" i="3"/>
  <c r="S100" i="3"/>
  <c r="Z94" i="3"/>
  <c r="Z92" i="3"/>
  <c r="W84" i="3"/>
  <c r="X81" i="3"/>
  <c r="C11" i="39"/>
  <c r="H3" i="41" s="1"/>
  <c r="AB118" i="3"/>
  <c r="U116" i="3"/>
  <c r="X102" i="3"/>
  <c r="Y101" i="3"/>
  <c r="AB98" i="3"/>
  <c r="DP13" i="39"/>
  <c r="J19" i="41" s="1"/>
  <c r="W91" i="3"/>
  <c r="X113" i="3"/>
  <c r="W93" i="3"/>
  <c r="Y85" i="3"/>
  <c r="U69" i="3"/>
  <c r="EA10" i="39"/>
  <c r="G20" i="41" s="1"/>
  <c r="X59" i="3"/>
  <c r="X52" i="3"/>
  <c r="AQ9" i="40"/>
  <c r="C9" i="39"/>
  <c r="F3" i="41" s="1"/>
  <c r="T41" i="3"/>
  <c r="BG6" i="40"/>
  <c r="BG5" i="40"/>
  <c r="U113" i="3"/>
  <c r="BG14" i="40"/>
  <c r="T105" i="3"/>
  <c r="V108" i="3"/>
  <c r="U120" i="3"/>
  <c r="Y94" i="3"/>
  <c r="Y92" i="3"/>
  <c r="T89" i="3"/>
  <c r="GD109" i="2"/>
  <c r="S120" i="3"/>
  <c r="AA118" i="3"/>
  <c r="AB117" i="3"/>
  <c r="S116" i="3"/>
  <c r="Z109" i="3"/>
  <c r="V105" i="3"/>
  <c r="AB103" i="3"/>
  <c r="W102" i="3"/>
  <c r="DE13" i="39"/>
  <c r="J18" i="41" s="1"/>
  <c r="FV85" i="2"/>
  <c r="Z96" i="3"/>
  <c r="W95" i="3"/>
  <c r="V91" i="3"/>
  <c r="S89" i="3"/>
  <c r="D8" i="40"/>
  <c r="Y34" i="3"/>
  <c r="K7" i="40"/>
  <c r="Y25" i="3"/>
  <c r="X119" i="3"/>
  <c r="AA117" i="3"/>
  <c r="AB114" i="3"/>
  <c r="W110" i="3"/>
  <c r="Y109" i="3"/>
  <c r="AB106" i="3"/>
  <c r="U105" i="3"/>
  <c r="AA103" i="3"/>
  <c r="U102" i="3"/>
  <c r="Y98" i="3"/>
  <c r="CK13" i="39"/>
  <c r="J16" i="41" s="1"/>
  <c r="F103" i="7"/>
  <c r="Y96" i="3"/>
  <c r="V95" i="3"/>
  <c r="V93" i="3"/>
  <c r="T91" i="3"/>
  <c r="AB87" i="3"/>
  <c r="BC12" i="39"/>
  <c r="I8" i="41" s="1"/>
  <c r="EA11" i="39"/>
  <c r="H20" i="41" s="1"/>
  <c r="FV61" i="2"/>
  <c r="W71" i="3"/>
  <c r="W66" i="3"/>
  <c r="DP10" i="39"/>
  <c r="G19" i="41" s="1"/>
  <c r="W52" i="3"/>
  <c r="EO9" i="39"/>
  <c r="F22" i="41" s="1"/>
  <c r="CB8" i="39"/>
  <c r="E11" i="41" s="1"/>
  <c r="T36" i="3"/>
  <c r="X27" i="3"/>
  <c r="D7" i="40"/>
  <c r="V17" i="3"/>
  <c r="AY6" i="40"/>
  <c r="AY5" i="40"/>
  <c r="F61" i="37"/>
  <c r="K61" i="37" s="1"/>
  <c r="F61" i="26"/>
  <c r="K61" i="26" s="1"/>
  <c r="U34" i="3"/>
  <c r="T27" i="3"/>
  <c r="T93" i="3"/>
  <c r="Y53" i="3"/>
  <c r="BN7" i="39"/>
  <c r="D9" i="41" s="1"/>
  <c r="FU25" i="2"/>
  <c r="T34" i="3"/>
  <c r="W23" i="3"/>
  <c r="T18" i="3"/>
  <c r="V16" i="3"/>
  <c r="X120" i="3"/>
  <c r="S117" i="3"/>
  <c r="X104" i="3"/>
  <c r="T92" i="3"/>
  <c r="V90" i="3"/>
  <c r="X88" i="3"/>
  <c r="AG11" i="39"/>
  <c r="H6" i="41" s="1"/>
  <c r="FW49" i="2"/>
  <c r="AB121" i="3"/>
  <c r="AA14" i="40"/>
  <c r="W54" i="3"/>
  <c r="EH9" i="39"/>
  <c r="AB100" i="3"/>
  <c r="W99" i="3"/>
  <c r="S13" i="40"/>
  <c r="GD85" i="2"/>
  <c r="U97" i="3"/>
  <c r="AB91" i="3"/>
  <c r="AA89" i="3"/>
  <c r="Z87" i="3"/>
  <c r="AY12" i="40"/>
  <c r="W12" i="39"/>
  <c r="I5" i="41" s="1"/>
  <c r="DE11" i="39"/>
  <c r="H18" i="41" s="1"/>
  <c r="W73" i="3"/>
  <c r="T71" i="3"/>
  <c r="CU10" i="39"/>
  <c r="G17" i="41" s="1"/>
  <c r="EA9" i="39"/>
  <c r="F20" i="41" s="1"/>
  <c r="BG8" i="40"/>
  <c r="BC8" i="39"/>
  <c r="E8" i="41" s="1"/>
  <c r="U26" i="3"/>
  <c r="W7" i="39"/>
  <c r="D5" i="41" s="1"/>
  <c r="EO6" i="39"/>
  <c r="C22" i="41" s="1"/>
  <c r="EO5" i="39"/>
  <c r="AA5" i="40"/>
  <c r="F25" i="26"/>
  <c r="K25" i="26" s="1"/>
  <c r="F25" i="37"/>
  <c r="K25" i="37" s="1"/>
  <c r="T25" i="3"/>
  <c r="W120" i="3"/>
  <c r="T115" i="3"/>
  <c r="V113" i="3"/>
  <c r="X111" i="3"/>
  <c r="FV97" i="2"/>
  <c r="S108" i="3"/>
  <c r="U106" i="3"/>
  <c r="W104" i="3"/>
  <c r="T99" i="3"/>
  <c r="V97" i="3"/>
  <c r="X95" i="3"/>
  <c r="S92" i="3"/>
  <c r="U90" i="3"/>
  <c r="W88" i="3"/>
  <c r="BN12" i="39"/>
  <c r="I9" i="41" s="1"/>
  <c r="W11" i="39"/>
  <c r="H5" i="41" s="1"/>
  <c r="V65" i="3"/>
  <c r="U58" i="3"/>
  <c r="V49" i="3"/>
  <c r="U42" i="3"/>
  <c r="BN8" i="39"/>
  <c r="E9" i="41" s="1"/>
  <c r="Z121" i="3"/>
  <c r="Z120" i="3"/>
  <c r="V32" i="3"/>
  <c r="S101" i="3"/>
  <c r="V119" i="3"/>
  <c r="Y114" i="3"/>
  <c r="X75" i="3"/>
  <c r="CU11" i="39"/>
  <c r="H17" i="41" s="1"/>
  <c r="CK10" i="39"/>
  <c r="G16" i="41" s="1"/>
  <c r="C103" i="7"/>
  <c r="Y55" i="3"/>
  <c r="DP9" i="39"/>
  <c r="F19" i="41" s="1"/>
  <c r="Y39" i="3"/>
  <c r="AY8" i="40"/>
  <c r="W38" i="3"/>
  <c r="AR8" i="39"/>
  <c r="E7" i="41" s="1"/>
  <c r="Y33" i="3"/>
  <c r="C7" i="39"/>
  <c r="D3" i="41" s="1"/>
  <c r="W20" i="3"/>
  <c r="EH6" i="39"/>
  <c r="EH5" i="39"/>
  <c r="S5" i="40"/>
  <c r="W37" i="3"/>
  <c r="U23" i="3"/>
  <c r="W21" i="3"/>
  <c r="W111" i="3"/>
  <c r="M11" i="39"/>
  <c r="H4" i="41" s="1"/>
  <c r="FU49" i="2"/>
  <c r="Y121" i="3"/>
  <c r="Y120" i="3"/>
  <c r="AB119" i="3"/>
  <c r="DP11" i="39"/>
  <c r="H19" i="41" s="1"/>
  <c r="U66" i="3"/>
  <c r="U99" i="3"/>
  <c r="AB111" i="3"/>
  <c r="AY14" i="40"/>
  <c r="X107" i="3"/>
  <c r="W118" i="3"/>
  <c r="V115" i="3"/>
  <c r="Z111" i="3"/>
  <c r="S110" i="3"/>
  <c r="AA108" i="3"/>
  <c r="V107" i="3"/>
  <c r="V104" i="3"/>
  <c r="Y100" i="3"/>
  <c r="S99" i="3"/>
  <c r="D13" i="40"/>
  <c r="AB93" i="3"/>
  <c r="Z91" i="3"/>
  <c r="X90" i="3"/>
  <c r="Y89" i="3"/>
  <c r="V88" i="3"/>
  <c r="EO12" i="39"/>
  <c r="I22" i="41" s="1"/>
  <c r="V83" i="3"/>
  <c r="V80" i="3"/>
  <c r="Y74" i="3"/>
  <c r="CK11" i="39"/>
  <c r="H16" i="41" s="1"/>
  <c r="D103" i="7"/>
  <c r="U73" i="3"/>
  <c r="W68" i="3"/>
  <c r="AA10" i="40"/>
  <c r="DE9" i="39"/>
  <c r="F18" i="41" s="1"/>
  <c r="X49" i="3"/>
  <c r="X42" i="3"/>
  <c r="Y41" i="3"/>
  <c r="AQ8" i="40"/>
  <c r="W8" i="39"/>
  <c r="E5" i="41" s="1"/>
  <c r="BG7" i="40"/>
  <c r="EA6" i="39"/>
  <c r="C20" i="41" s="1"/>
  <c r="EA5" i="39"/>
  <c r="K5" i="40"/>
  <c r="BN5" i="39"/>
  <c r="V37" i="3"/>
  <c r="T23" i="3"/>
  <c r="V21" i="3"/>
  <c r="Z119" i="3"/>
  <c r="Z118" i="3"/>
  <c r="W86" i="3"/>
  <c r="AR12" i="39"/>
  <c r="I7" i="41" s="1"/>
  <c r="X115" i="3"/>
  <c r="AQ14" i="40"/>
  <c r="AB108" i="3"/>
  <c r="AB113" i="3"/>
  <c r="W112" i="3"/>
  <c r="Y111" i="3"/>
  <c r="Y108" i="3"/>
  <c r="U104" i="3"/>
  <c r="AB102" i="3"/>
  <c r="Y91" i="3"/>
  <c r="EA12" i="39"/>
  <c r="I20" i="41" s="1"/>
  <c r="S10" i="40"/>
  <c r="U56" i="3"/>
  <c r="CU9" i="39"/>
  <c r="F17" i="41" s="1"/>
  <c r="U40" i="3"/>
  <c r="EO8" i="39"/>
  <c r="E22" i="41" s="1"/>
  <c r="C8" i="39"/>
  <c r="E3" i="41" s="1"/>
  <c r="W34" i="3"/>
  <c r="AY7" i="40"/>
  <c r="DP6" i="39"/>
  <c r="C19" i="41" s="1"/>
  <c r="DP5" i="39"/>
  <c r="D5" i="40"/>
  <c r="BC5" i="39"/>
  <c r="BN6" i="39"/>
  <c r="C9" i="41" s="1"/>
  <c r="U37" i="3"/>
  <c r="X26" i="3"/>
  <c r="BC7" i="39"/>
  <c r="D8" i="41" s="1"/>
  <c r="U21" i="3"/>
  <c r="FW109" i="2"/>
  <c r="T120" i="3"/>
  <c r="V118" i="3"/>
  <c r="X116" i="3"/>
  <c r="S113" i="3"/>
  <c r="U111" i="3"/>
  <c r="W109" i="3"/>
  <c r="T104" i="3"/>
  <c r="V102" i="3"/>
  <c r="X100" i="3"/>
  <c r="BU13" i="39"/>
  <c r="J10" i="41" s="1"/>
  <c r="S97" i="3"/>
  <c r="U95" i="3"/>
  <c r="T88" i="3"/>
  <c r="AG12" i="39"/>
  <c r="I6" i="41" s="1"/>
  <c r="X84" i="3"/>
  <c r="FW61" i="2"/>
  <c r="X68" i="3"/>
  <c r="BU9" i="39"/>
  <c r="F10" i="41" s="1"/>
  <c r="AG8" i="39"/>
  <c r="E6" i="41" s="1"/>
  <c r="Y118" i="3"/>
  <c r="Z117" i="3"/>
  <c r="Z116" i="3"/>
  <c r="Z112" i="3"/>
  <c r="CU13" i="39"/>
  <c r="J17" i="41" s="1"/>
  <c r="BG12" i="40"/>
  <c r="X73" i="3"/>
  <c r="Y24" i="3"/>
  <c r="AQ6" i="40"/>
  <c r="EH7" i="39"/>
  <c r="T119" i="3"/>
  <c r="AA100" i="3"/>
  <c r="T107" i="3"/>
  <c r="AB105" i="3"/>
  <c r="X101" i="3"/>
  <c r="T90" i="3"/>
  <c r="S88" i="3"/>
  <c r="AB86" i="3"/>
  <c r="DP12" i="39"/>
  <c r="I19" i="41" s="1"/>
  <c r="FU73" i="2"/>
  <c r="T75" i="3"/>
  <c r="S11" i="40"/>
  <c r="X65" i="3"/>
  <c r="K10" i="40"/>
  <c r="GC49" i="2"/>
  <c r="X58" i="3"/>
  <c r="Y57" i="3"/>
  <c r="Y50" i="3"/>
  <c r="CK9" i="39"/>
  <c r="F16" i="41" s="1"/>
  <c r="T42" i="3"/>
  <c r="EH8" i="39"/>
  <c r="V34" i="3"/>
  <c r="AQ7" i="40"/>
  <c r="Y23" i="3"/>
  <c r="T20" i="3"/>
  <c r="Y18" i="3"/>
  <c r="DE5" i="39"/>
  <c r="W5" i="39"/>
  <c r="F49" i="37"/>
  <c r="K49" i="37" s="1"/>
  <c r="M49" i="37" s="1"/>
  <c r="F49" i="26"/>
  <c r="K49" i="26" s="1"/>
  <c r="M49" i="26" s="1"/>
  <c r="AR5" i="39"/>
  <c r="BC6" i="39"/>
  <c r="C8" i="41" s="1"/>
  <c r="X33" i="3"/>
  <c r="AR7" i="39"/>
  <c r="D7" i="41" s="1"/>
  <c r="X17" i="3"/>
  <c r="Z115" i="3"/>
  <c r="Z114" i="3"/>
  <c r="F97" i="37"/>
  <c r="K97" i="37" s="1"/>
  <c r="M97" i="37" s="1"/>
  <c r="F97" i="26"/>
  <c r="K97" i="26" s="1"/>
  <c r="M97" i="26" s="1"/>
  <c r="Z106" i="3"/>
  <c r="Z104" i="3"/>
  <c r="Z100" i="3"/>
  <c r="T113" i="3"/>
  <c r="Y106" i="3"/>
  <c r="Y87" i="3"/>
  <c r="AQ12" i="40"/>
  <c r="S86" i="3"/>
  <c r="C12" i="39"/>
  <c r="I3" i="41" s="1"/>
  <c r="U88" i="3"/>
  <c r="GC61" i="2"/>
  <c r="S118" i="3"/>
  <c r="AA116" i="3"/>
  <c r="AA113" i="3"/>
  <c r="V112" i="3"/>
  <c r="FU97" i="2"/>
  <c r="S107" i="3"/>
  <c r="AA105" i="3"/>
  <c r="Z93" i="3"/>
  <c r="U112" i="3"/>
  <c r="AB110" i="3"/>
  <c r="Z105" i="3"/>
  <c r="K11" i="40"/>
  <c r="AA9" i="40"/>
  <c r="EA8" i="39"/>
  <c r="E20" i="41" s="1"/>
  <c r="EO7" i="39"/>
  <c r="D22" i="41" s="1"/>
  <c r="U24" i="3"/>
  <c r="Y22" i="3"/>
  <c r="CU6" i="39"/>
  <c r="C17" i="41" s="1"/>
  <c r="CU5" i="39"/>
  <c r="AG5" i="39"/>
  <c r="AR6" i="39"/>
  <c r="C7" i="41" s="1"/>
  <c r="AG7" i="39"/>
  <c r="D6" i="41" s="1"/>
  <c r="T118" i="3"/>
  <c r="V116" i="3"/>
  <c r="X114" i="3"/>
  <c r="S111" i="3"/>
  <c r="U109" i="3"/>
  <c r="W107" i="3"/>
  <c r="T102" i="3"/>
  <c r="V100" i="3"/>
  <c r="S95" i="3"/>
  <c r="U93" i="3"/>
  <c r="M12" i="39"/>
  <c r="I4" i="41" s="1"/>
  <c r="V84" i="3"/>
  <c r="X82" i="3"/>
  <c r="V68" i="3"/>
  <c r="X66" i="3"/>
  <c r="X50" i="3"/>
  <c r="BC9" i="39"/>
  <c r="F8" i="41" s="1"/>
  <c r="M8" i="39"/>
  <c r="E4" i="41" s="1"/>
  <c r="Z108" i="3"/>
  <c r="Z102" i="3"/>
  <c r="F85" i="37"/>
  <c r="K85" i="37" s="1"/>
  <c r="F85" i="26"/>
  <c r="K85" i="26" s="1"/>
  <c r="S102" i="3"/>
  <c r="AA13" i="40"/>
  <c r="T59" i="3"/>
  <c r="FU109" i="2"/>
  <c r="AA119" i="3"/>
  <c r="X117" i="3"/>
  <c r="V109" i="3"/>
  <c r="Y105" i="3"/>
  <c r="X103" i="3"/>
  <c r="T101" i="3"/>
  <c r="AA99" i="3"/>
  <c r="BG13" i="40"/>
  <c r="W98" i="3"/>
  <c r="AR13" i="39"/>
  <c r="J7" i="41" s="1"/>
  <c r="Y97" i="3"/>
  <c r="V96" i="3"/>
  <c r="Y95" i="3"/>
  <c r="U94" i="3"/>
  <c r="U92" i="3"/>
  <c r="CU12" i="39"/>
  <c r="I17" i="41" s="1"/>
  <c r="W85" i="3"/>
  <c r="W82" i="3"/>
  <c r="D11" i="40"/>
  <c r="CB10" i="39"/>
  <c r="G11" i="41" s="1"/>
  <c r="T58" i="3"/>
  <c r="W53" i="3"/>
  <c r="S9" i="40"/>
  <c r="DP8" i="39"/>
  <c r="E19" i="41" s="1"/>
  <c r="FW25" i="2"/>
  <c r="V33" i="3"/>
  <c r="EA7" i="39"/>
  <c r="D20" i="41" s="1"/>
  <c r="CK6" i="39"/>
  <c r="C16" i="41" s="1"/>
  <c r="CK5" i="39"/>
  <c r="F13" i="26"/>
  <c r="K13" i="26" s="1"/>
  <c r="F13" i="37"/>
  <c r="K13" i="37" s="1"/>
  <c r="AG6" i="39"/>
  <c r="C6" i="41" s="1"/>
  <c r="D109" i="7"/>
  <c r="D111" i="7" s="1"/>
  <c r="AA110" i="3"/>
  <c r="G115" i="7"/>
  <c r="G117" i="7" s="1"/>
  <c r="V98" i="3"/>
  <c r="F114" i="7"/>
  <c r="F116" i="7" s="1"/>
  <c r="T98" i="3"/>
  <c r="F102" i="7"/>
  <c r="C120" i="7"/>
  <c r="X98" i="3"/>
  <c r="F120" i="7"/>
  <c r="F122" i="7" s="1"/>
  <c r="AA86" i="3"/>
  <c r="E115" i="7"/>
  <c r="E117" i="7" s="1"/>
  <c r="X74" i="3"/>
  <c r="D120" i="7"/>
  <c r="D122" i="7" s="1"/>
  <c r="C108" i="7"/>
  <c r="C114" i="7"/>
  <c r="U98" i="3"/>
  <c r="F108" i="7"/>
  <c r="F110" i="7" s="1"/>
  <c r="Z86" i="3"/>
  <c r="E109" i="7"/>
  <c r="E111" i="7" s="1"/>
  <c r="AA98" i="3"/>
  <c r="F115" i="7"/>
  <c r="F117" i="7" s="1"/>
  <c r="C102" i="7"/>
  <c r="X110" i="3"/>
  <c r="G120" i="7"/>
  <c r="G122" i="7" s="1"/>
  <c r="X86" i="3"/>
  <c r="E120" i="7"/>
  <c r="E122" i="7" s="1"/>
  <c r="D114" i="7"/>
  <c r="D116" i="7" s="1"/>
  <c r="T110" i="3"/>
  <c r="G102" i="7"/>
  <c r="V110" i="3"/>
  <c r="G114" i="7"/>
  <c r="G116" i="7" s="1"/>
  <c r="C115" i="7"/>
  <c r="U110" i="3"/>
  <c r="G108" i="7"/>
  <c r="G110" i="7" s="1"/>
  <c r="U86" i="3"/>
  <c r="E108" i="7"/>
  <c r="E110" i="7" s="1"/>
  <c r="D115" i="7"/>
  <c r="D117" i="7" s="1"/>
  <c r="C109" i="7"/>
  <c r="U74" i="3"/>
  <c r="D108" i="7"/>
  <c r="D110" i="7" s="1"/>
  <c r="T74" i="3"/>
  <c r="D102" i="7"/>
  <c r="V86" i="3"/>
  <c r="E114" i="7"/>
  <c r="E116" i="7" s="1"/>
  <c r="Z110" i="3"/>
  <c r="G109" i="7"/>
  <c r="G111" i="7" s="1"/>
  <c r="Z98" i="3"/>
  <c r="F109" i="7"/>
  <c r="F111" i="7" s="1"/>
  <c r="T86" i="3"/>
  <c r="E102" i="7"/>
  <c r="GC73" i="2"/>
  <c r="GB25" i="2"/>
  <c r="GA25" i="2"/>
  <c r="GA109" i="2"/>
  <c r="GB109" i="2"/>
  <c r="GB61" i="2"/>
  <c r="GA61" i="2"/>
  <c r="GD73" i="2"/>
  <c r="FU37" i="2"/>
  <c r="FU85" i="2"/>
  <c r="GB49" i="2"/>
  <c r="GA49" i="2"/>
  <c r="GB37" i="2"/>
  <c r="GA37" i="2"/>
  <c r="GB85" i="2"/>
  <c r="GA85" i="2"/>
  <c r="GB73" i="2"/>
  <c r="GA73" i="2"/>
  <c r="GD13" i="2"/>
  <c r="GD37" i="2"/>
  <c r="GB13" i="2"/>
  <c r="GA13" i="2"/>
  <c r="GA97" i="2"/>
  <c r="GB97" i="2"/>
  <c r="GC85" i="2"/>
  <c r="GC37" i="2"/>
  <c r="GC25" i="2"/>
  <c r="GD49" i="2"/>
  <c r="GD61" i="2"/>
  <c r="GC13" i="2"/>
  <c r="GC109" i="2"/>
  <c r="FW97" i="2"/>
  <c r="FV49" i="2"/>
  <c r="FV73" i="2"/>
  <c r="FU61" i="2"/>
  <c r="GC97" i="2"/>
  <c r="FV37" i="2"/>
  <c r="FV25" i="2"/>
  <c r="AA83" i="3"/>
  <c r="BJ71" i="2"/>
  <c r="W71" i="2"/>
  <c r="Q71" i="2"/>
  <c r="AH71" i="2"/>
  <c r="AC71" i="2"/>
  <c r="BD71" i="2"/>
  <c r="Y81" i="3"/>
  <c r="AB62" i="3"/>
  <c r="AB60" i="3"/>
  <c r="BD48" i="2"/>
  <c r="Q48" i="2"/>
  <c r="AC48" i="2"/>
  <c r="W48" i="2"/>
  <c r="BJ48" i="2"/>
  <c r="AH48" i="2"/>
  <c r="AA58" i="3"/>
  <c r="Z56" i="3"/>
  <c r="Z52" i="3"/>
  <c r="Z50" i="3"/>
  <c r="Z48" i="3"/>
  <c r="Y46" i="3"/>
  <c r="Z38" i="3"/>
  <c r="Z32" i="3"/>
  <c r="AH17" i="2"/>
  <c r="AC17" i="2"/>
  <c r="W17" i="2"/>
  <c r="BD17" i="2"/>
  <c r="BJ17" i="2"/>
  <c r="Q17" i="2"/>
  <c r="Y27" i="3"/>
  <c r="AB26" i="3"/>
  <c r="Z18" i="3"/>
  <c r="AC5" i="2"/>
  <c r="BD5" i="2"/>
  <c r="W5" i="2"/>
  <c r="Q5" i="2"/>
  <c r="BJ5" i="2"/>
  <c r="AH5" i="2"/>
  <c r="Y15" i="3"/>
  <c r="Z83" i="3"/>
  <c r="AB76" i="3"/>
  <c r="BJ54" i="2"/>
  <c r="AH54" i="2"/>
  <c r="AC54" i="2"/>
  <c r="W54" i="2"/>
  <c r="Q54" i="2"/>
  <c r="BD54" i="2"/>
  <c r="W52" i="2"/>
  <c r="Q52" i="2"/>
  <c r="BJ52" i="2"/>
  <c r="AH52" i="2"/>
  <c r="AC52" i="2"/>
  <c r="BD52" i="2"/>
  <c r="AA62" i="3"/>
  <c r="BJ50" i="2"/>
  <c r="BD50" i="2"/>
  <c r="AH50" i="2"/>
  <c r="AC50" i="2"/>
  <c r="W50" i="2"/>
  <c r="Q50" i="2"/>
  <c r="AA60" i="3"/>
  <c r="Z58" i="3"/>
  <c r="Y48" i="3"/>
  <c r="Y38" i="3"/>
  <c r="Y32" i="3"/>
  <c r="AA26" i="3"/>
  <c r="AA1" i="3"/>
  <c r="AB29" i="3"/>
  <c r="Z26" i="3"/>
  <c r="Z1" i="3"/>
  <c r="AB85" i="3"/>
  <c r="Y83" i="3"/>
  <c r="AB78" i="3"/>
  <c r="AA76" i="3"/>
  <c r="BD64" i="2"/>
  <c r="AC64" i="2"/>
  <c r="W64" i="2"/>
  <c r="Q64" i="2"/>
  <c r="BJ64" i="2"/>
  <c r="AH64" i="2"/>
  <c r="AB74" i="3"/>
  <c r="BD62" i="2"/>
  <c r="AH62" i="2"/>
  <c r="BJ62" i="2"/>
  <c r="AC62" i="2"/>
  <c r="W62" i="2"/>
  <c r="Q62" i="2"/>
  <c r="AB64" i="3"/>
  <c r="Z62" i="3"/>
  <c r="AA85" i="3"/>
  <c r="AH73" i="2"/>
  <c r="AC73" i="2"/>
  <c r="W73" i="2"/>
  <c r="BJ73" i="2"/>
  <c r="BD73" i="2"/>
  <c r="Q73" i="2"/>
  <c r="AA78" i="3"/>
  <c r="Z76" i="3"/>
  <c r="AA74" i="3"/>
  <c r="W60" i="2"/>
  <c r="Q60" i="2"/>
  <c r="BD60" i="2"/>
  <c r="BJ60" i="2"/>
  <c r="AH60" i="2"/>
  <c r="AC60" i="2"/>
  <c r="Q58" i="2"/>
  <c r="AC58" i="2"/>
  <c r="W58" i="2"/>
  <c r="BD58" i="2"/>
  <c r="BJ58" i="2"/>
  <c r="AH58" i="2"/>
  <c r="BJ56" i="2"/>
  <c r="W56" i="2"/>
  <c r="Q56" i="2"/>
  <c r="BD56" i="2"/>
  <c r="AC56" i="2"/>
  <c r="AH56" i="2"/>
  <c r="AB66" i="3"/>
  <c r="AA64" i="3"/>
  <c r="Y62" i="3"/>
  <c r="Y60" i="3"/>
  <c r="AB43" i="3"/>
  <c r="AB35" i="3"/>
  <c r="BJ22" i="2"/>
  <c r="AH22" i="2"/>
  <c r="AC22" i="2"/>
  <c r="Q22" i="2"/>
  <c r="BD22" i="2"/>
  <c r="W22" i="2"/>
  <c r="AA29" i="3"/>
  <c r="Y26" i="3"/>
  <c r="AB25" i="3"/>
  <c r="W12" i="2"/>
  <c r="Q12" i="2"/>
  <c r="BD12" i="2"/>
  <c r="AH12" i="2"/>
  <c r="BJ12" i="2"/>
  <c r="AC12" i="2"/>
  <c r="AB21" i="3"/>
  <c r="BJ8" i="2"/>
  <c r="AH8" i="2"/>
  <c r="AC8" i="2"/>
  <c r="W8" i="2"/>
  <c r="BD8" i="2"/>
  <c r="Q8" i="2"/>
  <c r="AB14" i="3"/>
  <c r="Z60" i="3"/>
  <c r="AH25" i="2"/>
  <c r="AC25" i="2"/>
  <c r="W25" i="2"/>
  <c r="BD25" i="2"/>
  <c r="BJ25" i="2"/>
  <c r="Q25" i="2"/>
  <c r="Z85" i="3"/>
  <c r="AB80" i="3"/>
  <c r="W68" i="2"/>
  <c r="Q68" i="2"/>
  <c r="BJ68" i="2"/>
  <c r="AC68" i="2"/>
  <c r="AH68" i="2"/>
  <c r="BD68" i="2"/>
  <c r="Z78" i="3"/>
  <c r="BD66" i="2"/>
  <c r="W66" i="2"/>
  <c r="Q66" i="2"/>
  <c r="BJ66" i="2"/>
  <c r="AC66" i="2"/>
  <c r="AH66" i="2"/>
  <c r="Y76" i="3"/>
  <c r="Z74" i="3"/>
  <c r="AB72" i="3"/>
  <c r="AB70" i="3"/>
  <c r="AA66" i="3"/>
  <c r="Z64" i="3"/>
  <c r="BD43" i="2"/>
  <c r="BJ43" i="2"/>
  <c r="Q43" i="2"/>
  <c r="AC43" i="2"/>
  <c r="AH43" i="2"/>
  <c r="W43" i="2"/>
  <c r="AH33" i="2"/>
  <c r="AC33" i="2"/>
  <c r="W33" i="2"/>
  <c r="BJ33" i="2"/>
  <c r="Q33" i="2"/>
  <c r="BD33" i="2"/>
  <c r="AA43" i="3"/>
  <c r="BD31" i="2"/>
  <c r="AH31" i="2"/>
  <c r="W31" i="2"/>
  <c r="AC31" i="2"/>
  <c r="BJ31" i="2"/>
  <c r="Q31" i="2"/>
  <c r="AB41" i="3"/>
  <c r="AB39" i="3"/>
  <c r="AA35" i="3"/>
  <c r="AB31" i="3"/>
  <c r="AH19" i="2"/>
  <c r="AC19" i="2"/>
  <c r="BD19" i="2"/>
  <c r="W19" i="2"/>
  <c r="BJ19" i="2"/>
  <c r="Q19" i="2"/>
  <c r="Z29" i="3"/>
  <c r="AA25" i="3"/>
  <c r="AH11" i="2"/>
  <c r="AC11" i="2"/>
  <c r="BJ11" i="2"/>
  <c r="W11" i="2"/>
  <c r="Q11" i="2"/>
  <c r="BD11" i="2"/>
  <c r="AA21" i="3"/>
  <c r="AB20" i="3"/>
  <c r="AB17" i="3"/>
  <c r="AA80" i="3"/>
  <c r="Y78" i="3"/>
  <c r="AA72" i="3"/>
  <c r="AA70" i="3"/>
  <c r="AB68" i="3"/>
  <c r="Z66" i="3"/>
  <c r="Y64" i="3"/>
  <c r="AB55" i="3"/>
  <c r="AB49" i="3"/>
  <c r="BJ35" i="2"/>
  <c r="BD35" i="2"/>
  <c r="AH35" i="2"/>
  <c r="W35" i="2"/>
  <c r="Q35" i="2"/>
  <c r="AC35" i="2"/>
  <c r="Z43" i="3"/>
  <c r="AA41" i="3"/>
  <c r="AH29" i="2"/>
  <c r="AC29" i="2"/>
  <c r="W29" i="2"/>
  <c r="BD29" i="2"/>
  <c r="BJ29" i="2"/>
  <c r="Q29" i="2"/>
  <c r="AA39" i="3"/>
  <c r="AB37" i="3"/>
  <c r="Z35" i="3"/>
  <c r="AA31" i="3"/>
  <c r="Y29" i="3"/>
  <c r="BD16" i="2"/>
  <c r="BJ16" i="2"/>
  <c r="AH16" i="2"/>
  <c r="AC16" i="2"/>
  <c r="W16" i="2"/>
  <c r="Q16" i="2"/>
  <c r="Z25" i="3"/>
  <c r="Z21" i="3"/>
  <c r="AA20" i="3"/>
  <c r="W4" i="2"/>
  <c r="Q4" i="2"/>
  <c r="BD4" i="2"/>
  <c r="BJ4" i="2"/>
  <c r="AC4" i="2"/>
  <c r="AH4" i="2"/>
  <c r="Z14" i="3"/>
  <c r="AB1" i="3"/>
  <c r="BJ70" i="2"/>
  <c r="AH70" i="2"/>
  <c r="W70" i="2"/>
  <c r="AC70" i="2"/>
  <c r="BD70" i="2"/>
  <c r="Q70" i="2"/>
  <c r="Z80" i="3"/>
  <c r="Z72" i="3"/>
  <c r="Z70" i="3"/>
  <c r="AA68" i="3"/>
  <c r="Y66" i="3"/>
  <c r="BD45" i="2"/>
  <c r="BJ45" i="2"/>
  <c r="AH45" i="2"/>
  <c r="W45" i="2"/>
  <c r="Q45" i="2"/>
  <c r="AC45" i="2"/>
  <c r="AA55" i="3"/>
  <c r="AB53" i="3"/>
  <c r="AH41" i="2"/>
  <c r="AC41" i="2"/>
  <c r="W41" i="2"/>
  <c r="Q41" i="2"/>
  <c r="BD41" i="2"/>
  <c r="BJ41" i="2"/>
  <c r="AB51" i="3"/>
  <c r="BJ39" i="2"/>
  <c r="AH39" i="2"/>
  <c r="AC39" i="2"/>
  <c r="W39" i="2"/>
  <c r="BD39" i="2"/>
  <c r="Q39" i="2"/>
  <c r="AA49" i="3"/>
  <c r="AH37" i="2"/>
  <c r="BD37" i="2"/>
  <c r="Q37" i="2"/>
  <c r="BJ37" i="2"/>
  <c r="W37" i="2"/>
  <c r="AC37" i="2"/>
  <c r="AB47" i="3"/>
  <c r="AB45" i="3"/>
  <c r="Y43" i="3"/>
  <c r="Z41" i="3"/>
  <c r="Z39" i="3"/>
  <c r="AH27" i="2"/>
  <c r="BJ27" i="2"/>
  <c r="AC27" i="2"/>
  <c r="BD27" i="2"/>
  <c r="W27" i="2"/>
  <c r="Q27" i="2"/>
  <c r="AA37" i="3"/>
  <c r="Y35" i="3"/>
  <c r="AB34" i="3"/>
  <c r="W21" i="2"/>
  <c r="AH21" i="2"/>
  <c r="AC21" i="2"/>
  <c r="BJ21" i="2"/>
  <c r="BD21" i="2"/>
  <c r="Q21" i="2"/>
  <c r="Z31" i="3"/>
  <c r="AB24" i="3"/>
  <c r="Z20" i="3"/>
  <c r="BJ7" i="2"/>
  <c r="BD7" i="2"/>
  <c r="W7" i="2"/>
  <c r="Q7" i="2"/>
  <c r="AH7" i="2"/>
  <c r="AC7" i="2"/>
  <c r="Z17" i="3"/>
  <c r="Y14" i="3"/>
  <c r="AB82" i="3"/>
  <c r="Y80" i="3"/>
  <c r="Y72" i="3"/>
  <c r="Y70" i="3"/>
  <c r="Z68" i="3"/>
  <c r="BD47" i="2"/>
  <c r="AH47" i="2"/>
  <c r="BJ47" i="2"/>
  <c r="W47" i="2"/>
  <c r="Q47" i="2"/>
  <c r="AC47" i="2"/>
  <c r="AB57" i="3"/>
  <c r="Z55" i="3"/>
  <c r="AA53" i="3"/>
  <c r="AA51" i="3"/>
  <c r="Z49" i="3"/>
  <c r="AA47" i="3"/>
  <c r="AA45" i="3"/>
  <c r="Z37" i="3"/>
  <c r="AA34" i="3"/>
  <c r="Y31" i="3"/>
  <c r="AA24" i="3"/>
  <c r="Y20" i="3"/>
  <c r="BJ72" i="2"/>
  <c r="BD72" i="2"/>
  <c r="AH72" i="2"/>
  <c r="AC72" i="2"/>
  <c r="W72" i="2"/>
  <c r="Q72" i="2"/>
  <c r="AA82" i="3"/>
  <c r="Y68" i="3"/>
  <c r="BJ51" i="2"/>
  <c r="W51" i="2"/>
  <c r="Q51" i="2"/>
  <c r="AH51" i="2"/>
  <c r="AC51" i="2"/>
  <c r="BD51" i="2"/>
  <c r="AH49" i="2"/>
  <c r="AC49" i="2"/>
  <c r="W49" i="2"/>
  <c r="Q49" i="2"/>
  <c r="BJ49" i="2"/>
  <c r="BD49" i="2"/>
  <c r="AB59" i="3"/>
  <c r="AA57" i="3"/>
  <c r="Z53" i="3"/>
  <c r="Z51" i="3"/>
  <c r="Y49" i="3"/>
  <c r="Z47" i="3"/>
  <c r="Z45" i="3"/>
  <c r="Y37" i="3"/>
  <c r="Z34" i="3"/>
  <c r="AB28" i="3"/>
  <c r="Z24" i="3"/>
  <c r="AB16" i="3"/>
  <c r="Z82" i="3"/>
  <c r="AB65" i="3"/>
  <c r="AB63" i="3"/>
  <c r="AB61" i="3"/>
  <c r="AA59" i="3"/>
  <c r="Z57" i="3"/>
  <c r="Y51" i="3"/>
  <c r="Y47" i="3"/>
  <c r="Y45" i="3"/>
  <c r="AA28" i="3"/>
  <c r="BD15" i="2"/>
  <c r="AC15" i="2"/>
  <c r="W15" i="2"/>
  <c r="BJ15" i="2"/>
  <c r="Q15" i="2"/>
  <c r="AH15" i="2"/>
  <c r="AB84" i="3"/>
  <c r="Y82" i="3"/>
  <c r="AH67" i="2"/>
  <c r="AC67" i="2"/>
  <c r="BD67" i="2"/>
  <c r="W67" i="2"/>
  <c r="Q67" i="2"/>
  <c r="BJ67" i="2"/>
  <c r="AH65" i="2"/>
  <c r="AC65" i="2"/>
  <c r="W65" i="2"/>
  <c r="BD65" i="2"/>
  <c r="BJ65" i="2"/>
  <c r="Q65" i="2"/>
  <c r="AB75" i="3"/>
  <c r="BD63" i="2"/>
  <c r="Q63" i="2"/>
  <c r="BJ63" i="2"/>
  <c r="AC63" i="2"/>
  <c r="W63" i="2"/>
  <c r="AH63" i="2"/>
  <c r="AB73" i="3"/>
  <c r="AA65" i="3"/>
  <c r="BJ53" i="2"/>
  <c r="BD53" i="2"/>
  <c r="Q53" i="2"/>
  <c r="AH53" i="2"/>
  <c r="W53" i="2"/>
  <c r="AC53" i="2"/>
  <c r="AA63" i="3"/>
  <c r="AA61" i="3"/>
  <c r="Z59" i="3"/>
  <c r="AB36" i="3"/>
  <c r="AH18" i="2"/>
  <c r="AC18" i="2"/>
  <c r="Q18" i="2"/>
  <c r="W18" i="2"/>
  <c r="BD18" i="2"/>
  <c r="BJ18" i="2"/>
  <c r="Z28" i="3"/>
  <c r="Z16" i="3"/>
  <c r="Y1" i="3"/>
  <c r="AA84" i="3"/>
  <c r="AB79" i="3"/>
  <c r="AB77" i="3"/>
  <c r="AA75" i="3"/>
  <c r="AA73" i="3"/>
  <c r="AB71" i="3"/>
  <c r="AB69" i="3"/>
  <c r="AB67" i="3"/>
  <c r="BJ55" i="2"/>
  <c r="BD55" i="2"/>
  <c r="AH55" i="2"/>
  <c r="W55" i="2"/>
  <c r="Q55" i="2"/>
  <c r="AC55" i="2"/>
  <c r="Z65" i="3"/>
  <c r="Z63" i="3"/>
  <c r="Z61" i="3"/>
  <c r="Y59" i="3"/>
  <c r="BD32" i="2"/>
  <c r="BJ32" i="2"/>
  <c r="AH32" i="2"/>
  <c r="AC32" i="2"/>
  <c r="Q32" i="2"/>
  <c r="W32" i="2"/>
  <c r="AA36" i="3"/>
  <c r="BJ24" i="2"/>
  <c r="BD24" i="2"/>
  <c r="AC24" i="2"/>
  <c r="AH24" i="2"/>
  <c r="W24" i="2"/>
  <c r="Q24" i="2"/>
  <c r="AB33" i="3"/>
  <c r="Y28" i="3"/>
  <c r="AB23" i="3"/>
  <c r="AC10" i="2"/>
  <c r="W10" i="2"/>
  <c r="Q10" i="2"/>
  <c r="BJ10" i="2"/>
  <c r="BD10" i="2"/>
  <c r="AH10" i="2"/>
  <c r="AB19" i="3"/>
  <c r="AH3" i="2"/>
  <c r="BJ3" i="2"/>
  <c r="AC3" i="2"/>
  <c r="W3" i="2"/>
  <c r="Q3" i="2"/>
  <c r="BD3" i="2"/>
  <c r="Z84" i="3"/>
  <c r="AA79" i="3"/>
  <c r="AA77" i="3"/>
  <c r="Z75" i="3"/>
  <c r="Z73" i="3"/>
  <c r="BD61" i="2"/>
  <c r="W61" i="2"/>
  <c r="Q61" i="2"/>
  <c r="AH61" i="2"/>
  <c r="AC61" i="2"/>
  <c r="BJ61" i="2"/>
  <c r="AA71" i="3"/>
  <c r="AC59" i="2"/>
  <c r="W59" i="2"/>
  <c r="Q59" i="2"/>
  <c r="BD59" i="2"/>
  <c r="BJ59" i="2"/>
  <c r="AH59" i="2"/>
  <c r="AA69" i="3"/>
  <c r="AA67" i="3"/>
  <c r="Y65" i="3"/>
  <c r="Y63" i="3"/>
  <c r="Y61" i="3"/>
  <c r="AB54" i="3"/>
  <c r="AB44" i="3"/>
  <c r="AB42" i="3"/>
  <c r="BD30" i="2"/>
  <c r="AH30" i="2"/>
  <c r="BJ30" i="2"/>
  <c r="AC30" i="2"/>
  <c r="W30" i="2"/>
  <c r="Q30" i="2"/>
  <c r="W28" i="2"/>
  <c r="Q28" i="2"/>
  <c r="AH28" i="2"/>
  <c r="AC28" i="2"/>
  <c r="BJ28" i="2"/>
  <c r="BD28" i="2"/>
  <c r="Z36" i="3"/>
  <c r="AA33" i="3"/>
  <c r="W20" i="2"/>
  <c r="Q20" i="2"/>
  <c r="AC20" i="2"/>
  <c r="BJ20" i="2"/>
  <c r="AH20" i="2"/>
  <c r="BD20" i="2"/>
  <c r="AB30" i="3"/>
  <c r="BD14" i="2"/>
  <c r="AH14" i="2"/>
  <c r="BJ14" i="2"/>
  <c r="AC14" i="2"/>
  <c r="Q14" i="2"/>
  <c r="W14" i="2"/>
  <c r="AA23" i="3"/>
  <c r="AB22" i="3"/>
  <c r="AH9" i="2"/>
  <c r="AC9" i="2"/>
  <c r="W9" i="2"/>
  <c r="BJ9" i="2"/>
  <c r="BD9" i="2"/>
  <c r="Q9" i="2"/>
  <c r="AA19" i="3"/>
  <c r="BJ6" i="2"/>
  <c r="AH6" i="2"/>
  <c r="BD6" i="2"/>
  <c r="AC6" i="2"/>
  <c r="W6" i="2"/>
  <c r="Q6" i="2"/>
  <c r="AB81" i="3"/>
  <c r="AC69" i="2"/>
  <c r="W69" i="2"/>
  <c r="Q69" i="2"/>
  <c r="BJ69" i="2"/>
  <c r="BD69" i="2"/>
  <c r="AH69" i="2"/>
  <c r="Z79" i="3"/>
  <c r="Z77" i="3"/>
  <c r="Y75" i="3"/>
  <c r="Y73" i="3"/>
  <c r="Z71" i="3"/>
  <c r="Z69" i="3"/>
  <c r="AH57" i="2"/>
  <c r="AC57" i="2"/>
  <c r="W57" i="2"/>
  <c r="Q57" i="2"/>
  <c r="BJ57" i="2"/>
  <c r="BD57" i="2"/>
  <c r="Z67" i="3"/>
  <c r="W44" i="2"/>
  <c r="Q44" i="2"/>
  <c r="AC44" i="2"/>
  <c r="BD44" i="2"/>
  <c r="AH44" i="2"/>
  <c r="BJ44" i="2"/>
  <c r="AA54" i="3"/>
  <c r="BJ38" i="2"/>
  <c r="AH38" i="2"/>
  <c r="Q38" i="2"/>
  <c r="BD38" i="2"/>
  <c r="AC38" i="2"/>
  <c r="W38" i="2"/>
  <c r="AB46" i="3"/>
  <c r="AA44" i="3"/>
  <c r="AA42" i="3"/>
  <c r="AB40" i="3"/>
  <c r="BD26" i="2"/>
  <c r="AH26" i="2"/>
  <c r="BJ26" i="2"/>
  <c r="AC26" i="2"/>
  <c r="W26" i="2"/>
  <c r="Q26" i="2"/>
  <c r="Y36" i="3"/>
  <c r="Z33" i="3"/>
  <c r="AA30" i="3"/>
  <c r="AB27" i="3"/>
  <c r="Z23" i="3"/>
  <c r="AA22" i="3"/>
  <c r="Z19" i="3"/>
  <c r="AB15" i="3"/>
  <c r="W2" i="2"/>
  <c r="Q2" i="2"/>
  <c r="BJ2" i="2"/>
  <c r="AH2" i="2"/>
  <c r="AC2" i="2"/>
  <c r="Z44" i="3"/>
  <c r="AA27" i="3"/>
  <c r="BJ13" i="2"/>
  <c r="AH13" i="2"/>
  <c r="BD13" i="2"/>
  <c r="AC13" i="2"/>
  <c r="W13" i="2"/>
  <c r="Q13" i="2"/>
  <c r="AA81" i="3"/>
  <c r="Y79" i="3"/>
  <c r="Y77" i="3"/>
  <c r="Y71" i="3"/>
  <c r="Y69" i="3"/>
  <c r="Y67" i="3"/>
  <c r="AB56" i="3"/>
  <c r="Z54" i="3"/>
  <c r="BD42" i="2"/>
  <c r="AH42" i="2"/>
  <c r="AC42" i="2"/>
  <c r="Q42" i="2"/>
  <c r="W42" i="2"/>
  <c r="BJ42" i="2"/>
  <c r="AB52" i="3"/>
  <c r="BJ40" i="2"/>
  <c r="BD40" i="2"/>
  <c r="AH40" i="2"/>
  <c r="AC40" i="2"/>
  <c r="W40" i="2"/>
  <c r="Q40" i="2"/>
  <c r="AB50" i="3"/>
  <c r="AB48" i="3"/>
  <c r="W36" i="2"/>
  <c r="Q36" i="2"/>
  <c r="AH36" i="2"/>
  <c r="BD36" i="2"/>
  <c r="AC36" i="2"/>
  <c r="BJ36" i="2"/>
  <c r="AA46" i="3"/>
  <c r="AC34" i="2"/>
  <c r="BJ34" i="2"/>
  <c r="AH34" i="2"/>
  <c r="BD34" i="2"/>
  <c r="W34" i="2"/>
  <c r="Q34" i="2"/>
  <c r="Z42" i="3"/>
  <c r="AA40" i="3"/>
  <c r="AB38" i="3"/>
  <c r="BJ23" i="2"/>
  <c r="BD23" i="2"/>
  <c r="AH23" i="2"/>
  <c r="AC23" i="2"/>
  <c r="W23" i="2"/>
  <c r="Q23" i="2"/>
  <c r="AB32" i="3"/>
  <c r="Z30" i="3"/>
  <c r="Z22" i="3"/>
  <c r="Y19" i="3"/>
  <c r="AB18" i="3"/>
  <c r="AB83" i="3"/>
  <c r="Z81" i="3"/>
  <c r="AB58" i="3"/>
  <c r="BD46" i="2"/>
  <c r="AH46" i="2"/>
  <c r="W46" i="2"/>
  <c r="Q46" i="2"/>
  <c r="BJ46" i="2"/>
  <c r="AC46" i="2"/>
  <c r="AA56" i="3"/>
  <c r="AA52" i="3"/>
  <c r="AA50" i="3"/>
  <c r="AA48" i="3"/>
  <c r="Z46" i="3"/>
  <c r="Y44" i="3"/>
  <c r="Z40" i="3"/>
  <c r="AA38" i="3"/>
  <c r="AA32" i="3"/>
  <c r="Y30" i="3"/>
  <c r="Z27" i="3"/>
  <c r="AA18" i="3"/>
  <c r="Z15" i="3"/>
  <c r="U80" i="3"/>
  <c r="U78" i="3"/>
  <c r="T76" i="3"/>
  <c r="S74" i="3"/>
  <c r="U70" i="3"/>
  <c r="U68" i="3"/>
  <c r="X51" i="3"/>
  <c r="V45" i="3"/>
  <c r="U43" i="3"/>
  <c r="V41" i="3"/>
  <c r="S37" i="3"/>
  <c r="U31" i="3"/>
  <c r="X28" i="3"/>
  <c r="U14" i="3"/>
  <c r="U33" i="3"/>
  <c r="V24" i="3"/>
  <c r="X80" i="3"/>
  <c r="X64" i="3"/>
  <c r="U59" i="3"/>
  <c r="X48" i="3"/>
  <c r="S45" i="3"/>
  <c r="W65" i="3"/>
  <c r="S83" i="3"/>
  <c r="T1" i="3"/>
  <c r="T24" i="3"/>
  <c r="S1" i="3"/>
  <c r="T85" i="3"/>
  <c r="T80" i="3"/>
  <c r="T78" i="3"/>
  <c r="S72" i="3"/>
  <c r="S70" i="3"/>
  <c r="S68" i="3"/>
  <c r="W51" i="3"/>
  <c r="W47" i="3"/>
  <c r="U45" i="3"/>
  <c r="V39" i="3"/>
  <c r="T31" i="3"/>
  <c r="W28" i="3"/>
  <c r="S24" i="3"/>
  <c r="S20" i="3"/>
  <c r="X16" i="3"/>
  <c r="V63" i="3"/>
  <c r="W1" i="3"/>
  <c r="V1" i="3"/>
  <c r="S80" i="3"/>
  <c r="S78" i="3"/>
  <c r="V57" i="3"/>
  <c r="S55" i="3"/>
  <c r="V51" i="3"/>
  <c r="W49" i="3"/>
  <c r="V47" i="3"/>
  <c r="T45" i="3"/>
  <c r="S43" i="3"/>
  <c r="S31" i="3"/>
  <c r="V28" i="3"/>
  <c r="W16" i="3"/>
  <c r="S14" i="3"/>
  <c r="S33" i="3"/>
  <c r="W29" i="3"/>
  <c r="V22" i="3"/>
  <c r="S17" i="3"/>
  <c r="S59" i="3"/>
  <c r="X46" i="3"/>
  <c r="X61" i="3"/>
  <c r="W59" i="3"/>
  <c r="T53" i="3"/>
  <c r="T51" i="3"/>
  <c r="U49" i="3"/>
  <c r="T47" i="3"/>
  <c r="S41" i="3"/>
  <c r="S28" i="3"/>
  <c r="T19" i="3"/>
  <c r="S16" i="3"/>
  <c r="S82" i="3"/>
  <c r="W63" i="3"/>
  <c r="V61" i="3"/>
  <c r="V59" i="3"/>
  <c r="S57" i="3"/>
  <c r="S53" i="3"/>
  <c r="S51" i="3"/>
  <c r="T49" i="3"/>
  <c r="S39" i="3"/>
  <c r="T33" i="3"/>
  <c r="S19" i="3"/>
  <c r="X77" i="3"/>
  <c r="V75" i="3"/>
  <c r="X22" i="3"/>
  <c r="T29" i="3"/>
  <c r="V27" i="3"/>
  <c r="U84" i="3"/>
  <c r="X71" i="3"/>
  <c r="T61" i="3"/>
  <c r="W30" i="3"/>
  <c r="S84" i="3"/>
  <c r="W79" i="3"/>
  <c r="V77" i="3"/>
  <c r="U75" i="3"/>
  <c r="X69" i="3"/>
  <c r="X67" i="3"/>
  <c r="U65" i="3"/>
  <c r="T63" i="3"/>
  <c r="S61" i="3"/>
  <c r="X44" i="3"/>
  <c r="V30" i="3"/>
  <c r="X15" i="3"/>
  <c r="U27" i="3"/>
  <c r="W25" i="3"/>
  <c r="V79" i="3"/>
  <c r="T77" i="3"/>
  <c r="V73" i="3"/>
  <c r="V71" i="3"/>
  <c r="W67" i="3"/>
  <c r="T65" i="3"/>
  <c r="X54" i="3"/>
  <c r="W44" i="3"/>
  <c r="X32" i="3"/>
  <c r="U30" i="3"/>
  <c r="W27" i="3"/>
  <c r="U22" i="3"/>
  <c r="W15" i="3"/>
  <c r="S36" i="3"/>
  <c r="V25" i="3"/>
  <c r="X23" i="3"/>
  <c r="T79" i="3"/>
  <c r="S77" i="3"/>
  <c r="S75" i="3"/>
  <c r="V67" i="3"/>
  <c r="S65" i="3"/>
  <c r="W48" i="3"/>
  <c r="W46" i="3"/>
  <c r="V44" i="3"/>
  <c r="W42" i="3"/>
  <c r="V40" i="3"/>
  <c r="X38" i="3"/>
  <c r="U36" i="3"/>
  <c r="W32" i="3"/>
  <c r="S30" i="3"/>
  <c r="T22" i="3"/>
  <c r="V15" i="3"/>
  <c r="T15" i="3"/>
  <c r="X30" i="3"/>
  <c r="S27" i="3"/>
  <c r="S85" i="3"/>
  <c r="U83" i="3"/>
  <c r="W81" i="3"/>
  <c r="V74" i="3"/>
  <c r="X72" i="3"/>
  <c r="U67" i="3"/>
  <c r="T60" i="3"/>
  <c r="V58" i="3"/>
  <c r="X56" i="3"/>
  <c r="U51" i="3"/>
  <c r="T44" i="3"/>
  <c r="V42" i="3"/>
  <c r="X40" i="3"/>
  <c r="X79" i="3"/>
  <c r="S67" i="3"/>
  <c r="V56" i="3"/>
  <c r="V54" i="3"/>
  <c r="V46" i="3"/>
  <c r="U44" i="3"/>
  <c r="T32" i="3"/>
  <c r="S22" i="3"/>
  <c r="U15" i="3"/>
  <c r="S15" i="3"/>
  <c r="X37" i="3"/>
  <c r="S34" i="3"/>
  <c r="U32" i="3"/>
  <c r="V23" i="3"/>
  <c r="X21" i="3"/>
  <c r="S18" i="3"/>
  <c r="U16" i="3"/>
  <c r="S76" i="3"/>
  <c r="W72" i="3"/>
  <c r="T67" i="3"/>
  <c r="X63" i="3"/>
  <c r="S60" i="3"/>
  <c r="W56" i="3"/>
  <c r="X47" i="3"/>
  <c r="S44" i="3"/>
  <c r="W40" i="3"/>
  <c r="X83" i="3"/>
  <c r="U81" i="3"/>
  <c r="S73" i="3"/>
  <c r="S71" i="3"/>
  <c r="T69" i="3"/>
  <c r="X62" i="3"/>
  <c r="U54" i="3"/>
  <c r="U48" i="3"/>
  <c r="U46" i="3"/>
  <c r="S42" i="3"/>
  <c r="S40" i="3"/>
  <c r="U38" i="3"/>
  <c r="S32" i="3"/>
  <c r="S26" i="3"/>
  <c r="S25" i="3"/>
  <c r="T16" i="3"/>
  <c r="W83" i="3"/>
  <c r="T81" i="3"/>
  <c r="S69" i="3"/>
  <c r="W62" i="3"/>
  <c r="X60" i="3"/>
  <c r="W58" i="3"/>
  <c r="S56" i="3"/>
  <c r="T54" i="3"/>
  <c r="U52" i="3"/>
  <c r="S50" i="3"/>
  <c r="T48" i="3"/>
  <c r="T46" i="3"/>
  <c r="S38" i="3"/>
  <c r="T35" i="3"/>
  <c r="X29" i="3"/>
  <c r="T14" i="3"/>
  <c r="X35" i="3"/>
  <c r="X19" i="3"/>
  <c r="X1" i="3"/>
  <c r="X76" i="3"/>
  <c r="W64" i="3"/>
  <c r="V62" i="3"/>
  <c r="W60" i="3"/>
  <c r="S54" i="3"/>
  <c r="S52" i="3"/>
  <c r="S48" i="3"/>
  <c r="S46" i="3"/>
  <c r="S35" i="3"/>
  <c r="V29" i="3"/>
  <c r="W35" i="3"/>
  <c r="T30" i="3"/>
  <c r="S23" i="3"/>
  <c r="W19" i="3"/>
  <c r="S81" i="3"/>
  <c r="U79" i="3"/>
  <c r="W77" i="3"/>
  <c r="T72" i="3"/>
  <c r="V70" i="3"/>
  <c r="U63" i="3"/>
  <c r="W61" i="3"/>
  <c r="T56" i="3"/>
  <c r="S49" i="3"/>
  <c r="U47" i="3"/>
  <c r="W45" i="3"/>
  <c r="T40" i="3"/>
  <c r="V38" i="3"/>
  <c r="X85" i="3"/>
  <c r="T83" i="3"/>
  <c r="X78" i="3"/>
  <c r="W76" i="3"/>
  <c r="U64" i="3"/>
  <c r="U62" i="3"/>
  <c r="V60" i="3"/>
  <c r="S58" i="3"/>
  <c r="X31" i="3"/>
  <c r="U29" i="3"/>
  <c r="U17" i="3"/>
  <c r="X14" i="3"/>
  <c r="T37" i="3"/>
  <c r="V35" i="3"/>
  <c r="U28" i="3"/>
  <c r="W26" i="3"/>
  <c r="T21" i="3"/>
  <c r="V19" i="3"/>
  <c r="W80" i="3"/>
  <c r="W78" i="3"/>
  <c r="V76" i="3"/>
  <c r="W74" i="3"/>
  <c r="X70" i="3"/>
  <c r="T64" i="3"/>
  <c r="T62" i="3"/>
  <c r="U60" i="3"/>
  <c r="X55" i="3"/>
  <c r="W31" i="3"/>
  <c r="S29" i="3"/>
  <c r="W24" i="3"/>
  <c r="T17" i="3"/>
  <c r="W14" i="3"/>
  <c r="U35" i="3"/>
  <c r="W33" i="3"/>
  <c r="T28" i="3"/>
  <c r="V26" i="3"/>
  <c r="X24" i="3"/>
  <c r="S21" i="3"/>
  <c r="U19" i="3"/>
  <c r="W17" i="3"/>
  <c r="S79" i="3"/>
  <c r="U77" i="3"/>
  <c r="W75" i="3"/>
  <c r="T70" i="3"/>
  <c r="S63" i="3"/>
  <c r="U61" i="3"/>
  <c r="S47" i="3"/>
  <c r="W43" i="3"/>
  <c r="T38" i="3"/>
  <c r="U1" i="3"/>
  <c r="V78" i="3"/>
  <c r="U76" i="3"/>
  <c r="V72" i="3"/>
  <c r="S66" i="3"/>
  <c r="S64" i="3"/>
  <c r="S62" i="3"/>
  <c r="V55" i="3"/>
  <c r="X53" i="3"/>
  <c r="X45" i="3"/>
  <c r="V43" i="3"/>
  <c r="W41" i="3"/>
  <c r="X39" i="3"/>
  <c r="V31" i="3"/>
  <c r="U20" i="3"/>
  <c r="V14" i="3"/>
  <c r="L5" i="41" l="1"/>
  <c r="L5" i="44" s="1"/>
  <c r="M7" i="60" s="1"/>
  <c r="L17" i="41"/>
  <c r="L58" i="44" s="1"/>
  <c r="W7" i="60" s="1"/>
  <c r="L11" i="41"/>
  <c r="L11" i="44" s="1"/>
  <c r="M13" i="60" s="1"/>
  <c r="L3" i="41"/>
  <c r="L151" i="44"/>
  <c r="L22" i="41"/>
  <c r="L63" i="44" s="1"/>
  <c r="G67" i="41"/>
  <c r="G67" i="73"/>
  <c r="K58" i="41"/>
  <c r="K15" i="44" s="1"/>
  <c r="K130" i="44" s="1"/>
  <c r="K58" i="73"/>
  <c r="E68" i="73"/>
  <c r="E68" i="41"/>
  <c r="E68" i="44" s="1"/>
  <c r="L68" i="41"/>
  <c r="L68" i="73"/>
  <c r="K59" i="73"/>
  <c r="K59" i="41"/>
  <c r="K67" i="73"/>
  <c r="K67" i="41"/>
  <c r="K60" i="73"/>
  <c r="K60" i="41"/>
  <c r="J56" i="73"/>
  <c r="J56" i="41"/>
  <c r="F66" i="73"/>
  <c r="F66" i="41"/>
  <c r="D59" i="73"/>
  <c r="D59" i="41"/>
  <c r="H67" i="41"/>
  <c r="H67" i="73"/>
  <c r="C59" i="41"/>
  <c r="C59" i="73"/>
  <c r="G56" i="73"/>
  <c r="G56" i="41"/>
  <c r="J60" i="73"/>
  <c r="J60" i="41"/>
  <c r="J17" i="44" s="1"/>
  <c r="J59" i="41"/>
  <c r="J59" i="73"/>
  <c r="E66" i="73"/>
  <c r="E66" i="41"/>
  <c r="G65" i="41"/>
  <c r="G65" i="73"/>
  <c r="I60" i="41"/>
  <c r="I17" i="44" s="1"/>
  <c r="I60" i="73"/>
  <c r="D68" i="73"/>
  <c r="D68" i="41"/>
  <c r="D68" i="44" s="1"/>
  <c r="L67" i="73"/>
  <c r="L67" i="41"/>
  <c r="L67" i="44" s="1"/>
  <c r="G59" i="41"/>
  <c r="G59" i="73"/>
  <c r="E58" i="73"/>
  <c r="E58" i="41"/>
  <c r="I59" i="41"/>
  <c r="I59" i="73"/>
  <c r="H60" i="41"/>
  <c r="H60" i="73"/>
  <c r="G58" i="73"/>
  <c r="G58" i="41"/>
  <c r="C67" i="73"/>
  <c r="C67" i="41"/>
  <c r="H66" i="73"/>
  <c r="H66" i="41"/>
  <c r="K56" i="73"/>
  <c r="K56" i="41"/>
  <c r="K57" i="41"/>
  <c r="K57" i="73"/>
  <c r="J66" i="73"/>
  <c r="J66" i="41"/>
  <c r="F57" i="73"/>
  <c r="F57" i="41"/>
  <c r="F14" i="44" s="1"/>
  <c r="G60" i="73"/>
  <c r="G60" i="41"/>
  <c r="G17" i="44" s="1"/>
  <c r="C68" i="73"/>
  <c r="C68" i="41"/>
  <c r="F59" i="73"/>
  <c r="F59" i="41"/>
  <c r="I66" i="73"/>
  <c r="I66" i="41"/>
  <c r="C56" i="41"/>
  <c r="C56" i="73"/>
  <c r="I57" i="41"/>
  <c r="I14" i="44" s="1"/>
  <c r="I57" i="73"/>
  <c r="J57" i="41"/>
  <c r="J14" i="44" s="1"/>
  <c r="J57" i="73"/>
  <c r="F60" i="73"/>
  <c r="F60" i="41"/>
  <c r="F17" i="44" s="1"/>
  <c r="K68" i="41"/>
  <c r="K68" i="73"/>
  <c r="L59" i="73"/>
  <c r="L59" i="41"/>
  <c r="L16" i="44" s="1"/>
  <c r="H57" i="41"/>
  <c r="H57" i="73"/>
  <c r="I65" i="41"/>
  <c r="I65" i="73"/>
  <c r="C65" i="73"/>
  <c r="C65" i="41"/>
  <c r="F67" i="41"/>
  <c r="F67" i="73"/>
  <c r="E60" i="73"/>
  <c r="E60" i="41"/>
  <c r="E17" i="44" s="1"/>
  <c r="J68" i="41"/>
  <c r="J68" i="44" s="1"/>
  <c r="J68" i="73"/>
  <c r="L56" i="73"/>
  <c r="L56" i="41"/>
  <c r="L13" i="44" s="1"/>
  <c r="G57" i="41"/>
  <c r="G14" i="44" s="1"/>
  <c r="G57" i="73"/>
  <c r="F65" i="41"/>
  <c r="F65" i="73"/>
  <c r="C57" i="41"/>
  <c r="C57" i="73"/>
  <c r="C60" i="41"/>
  <c r="C60" i="73"/>
  <c r="I68" i="41"/>
  <c r="I68" i="44" s="1"/>
  <c r="I68" i="73"/>
  <c r="J67" i="73"/>
  <c r="J67" i="41"/>
  <c r="J67" i="44" s="1"/>
  <c r="C66" i="73"/>
  <c r="C66" i="41"/>
  <c r="D57" i="41"/>
  <c r="D14" i="44" s="1"/>
  <c r="D57" i="73"/>
  <c r="F58" i="73"/>
  <c r="F58" i="41"/>
  <c r="H58" i="73"/>
  <c r="H58" i="41"/>
  <c r="I67" i="41"/>
  <c r="I67" i="44" s="1"/>
  <c r="I67" i="73"/>
  <c r="H65" i="41"/>
  <c r="H65" i="73"/>
  <c r="G66" i="73"/>
  <c r="G66" i="41"/>
  <c r="C58" i="41"/>
  <c r="C58" i="73"/>
  <c r="D60" i="73"/>
  <c r="D60" i="41"/>
  <c r="D17" i="44" s="1"/>
  <c r="L60" i="41"/>
  <c r="L60" i="73"/>
  <c r="D56" i="41"/>
  <c r="D56" i="73"/>
  <c r="E56" i="41"/>
  <c r="E56" i="73"/>
  <c r="D58" i="73"/>
  <c r="D58" i="41"/>
  <c r="I56" i="73"/>
  <c r="I56" i="41"/>
  <c r="E59" i="73"/>
  <c r="E59" i="41"/>
  <c r="I58" i="41"/>
  <c r="I15" i="44" s="1"/>
  <c r="I130" i="44" s="1"/>
  <c r="I58" i="73"/>
  <c r="J65" i="41"/>
  <c r="J65" i="73"/>
  <c r="H68" i="73"/>
  <c r="H68" i="41"/>
  <c r="L58" i="73"/>
  <c r="L58" i="41"/>
  <c r="L15" i="44" s="1"/>
  <c r="J58" i="73"/>
  <c r="J58" i="41"/>
  <c r="J15" i="44" s="1"/>
  <c r="J130" i="44" s="1"/>
  <c r="G68" i="73"/>
  <c r="G68" i="41"/>
  <c r="G68" i="44" s="1"/>
  <c r="L57" i="41"/>
  <c r="L14" i="44" s="1"/>
  <c r="L57" i="73"/>
  <c r="D67" i="41"/>
  <c r="D67" i="73"/>
  <c r="K66" i="73"/>
  <c r="K66" i="41"/>
  <c r="E57" i="73"/>
  <c r="E57" i="41"/>
  <c r="E14" i="44" s="1"/>
  <c r="F56" i="73"/>
  <c r="F56" i="41"/>
  <c r="L66" i="41"/>
  <c r="L66" i="44" s="1"/>
  <c r="L66" i="73"/>
  <c r="H56" i="73"/>
  <c r="H56" i="41"/>
  <c r="D66" i="73"/>
  <c r="D66" i="41"/>
  <c r="H59" i="41"/>
  <c r="H59" i="73"/>
  <c r="F68" i="73"/>
  <c r="F68" i="41"/>
  <c r="F68" i="44" s="1"/>
  <c r="L65" i="73"/>
  <c r="L65" i="41"/>
  <c r="D65" i="73"/>
  <c r="D65" i="41"/>
  <c r="K65" i="41"/>
  <c r="K65" i="73"/>
  <c r="E65" i="41"/>
  <c r="E65" i="73"/>
  <c r="E67" i="41"/>
  <c r="E67" i="73"/>
  <c r="E147" i="44"/>
  <c r="G147" i="44"/>
  <c r="D148" i="44"/>
  <c r="L152" i="44"/>
  <c r="J153" i="44"/>
  <c r="C152" i="44"/>
  <c r="I149" i="44"/>
  <c r="I147" i="44"/>
  <c r="F152" i="44"/>
  <c r="E151" i="44"/>
  <c r="K153" i="44"/>
  <c r="L148" i="44"/>
  <c r="G151" i="44"/>
  <c r="H151" i="44"/>
  <c r="G153" i="44"/>
  <c r="J149" i="44"/>
  <c r="C147" i="44"/>
  <c r="D153" i="44"/>
  <c r="J152" i="44"/>
  <c r="J151" i="44"/>
  <c r="F151" i="44"/>
  <c r="H152" i="44"/>
  <c r="I151" i="44"/>
  <c r="K152" i="44"/>
  <c r="L153" i="44"/>
  <c r="D152" i="44"/>
  <c r="I148" i="44"/>
  <c r="G137" i="73"/>
  <c r="C153" i="44"/>
  <c r="H153" i="44"/>
  <c r="L147" i="44"/>
  <c r="F180" i="33"/>
  <c r="L168" i="33"/>
  <c r="C137" i="41"/>
  <c r="C78" i="44"/>
  <c r="C149" i="44"/>
  <c r="D147" i="44"/>
  <c r="E137" i="73"/>
  <c r="E180" i="32"/>
  <c r="I168" i="32"/>
  <c r="I181" i="31"/>
  <c r="Q169" i="31"/>
  <c r="F169" i="33"/>
  <c r="L157" i="33"/>
  <c r="C29" i="44"/>
  <c r="C126" i="41"/>
  <c r="K29" i="44"/>
  <c r="K126" i="41"/>
  <c r="K137" i="73"/>
  <c r="F147" i="44"/>
  <c r="G29" i="44"/>
  <c r="G126" i="41"/>
  <c r="J148" i="44"/>
  <c r="H148" i="44"/>
  <c r="K178" i="32"/>
  <c r="M178" i="32" s="1"/>
  <c r="E29" i="44"/>
  <c r="E126" i="41"/>
  <c r="H149" i="44"/>
  <c r="I29" i="44"/>
  <c r="I126" i="41"/>
  <c r="I78" i="44"/>
  <c r="I137" i="41"/>
  <c r="C137" i="73"/>
  <c r="E202" i="32"/>
  <c r="I202" i="32" s="1"/>
  <c r="I190" i="32"/>
  <c r="L29" i="44"/>
  <c r="L126" i="41"/>
  <c r="G78" i="44"/>
  <c r="G137" i="41"/>
  <c r="I137" i="73"/>
  <c r="G148" i="44"/>
  <c r="H78" i="44"/>
  <c r="H137" i="41"/>
  <c r="E148" i="44"/>
  <c r="F149" i="44"/>
  <c r="F148" i="44"/>
  <c r="K137" i="41"/>
  <c r="K78" i="44"/>
  <c r="O167" i="33"/>
  <c r="Q167" i="33" s="1"/>
  <c r="N72" i="26"/>
  <c r="S168" i="31"/>
  <c r="I153" i="44"/>
  <c r="H137" i="73"/>
  <c r="F78" i="44"/>
  <c r="F137" i="41"/>
  <c r="J147" i="44"/>
  <c r="D29" i="44"/>
  <c r="D126" i="41"/>
  <c r="F191" i="33"/>
  <c r="L179" i="33"/>
  <c r="I192" i="31"/>
  <c r="Q180" i="31"/>
  <c r="H147" i="44"/>
  <c r="O189" i="33"/>
  <c r="Q189" i="33" s="1"/>
  <c r="D149" i="44"/>
  <c r="L137" i="73"/>
  <c r="G152" i="44"/>
  <c r="F137" i="73"/>
  <c r="O201" i="33"/>
  <c r="Q201" i="33" s="1"/>
  <c r="O178" i="33"/>
  <c r="Q178" i="33" s="1"/>
  <c r="N84" i="37"/>
  <c r="J137" i="73"/>
  <c r="C148" i="44"/>
  <c r="J29" i="44"/>
  <c r="J126" i="41"/>
  <c r="F153" i="44"/>
  <c r="K149" i="44"/>
  <c r="K148" i="44"/>
  <c r="F202" i="33"/>
  <c r="L202" i="33" s="1"/>
  <c r="L190" i="33"/>
  <c r="I152" i="44"/>
  <c r="K147" i="44"/>
  <c r="I203" i="31"/>
  <c r="Q203" i="31" s="1"/>
  <c r="Q191" i="31"/>
  <c r="H126" i="41"/>
  <c r="H29" i="44"/>
  <c r="K167" i="32"/>
  <c r="M167" i="32" s="1"/>
  <c r="D137" i="73"/>
  <c r="E191" i="32"/>
  <c r="I179" i="32"/>
  <c r="S202" i="31"/>
  <c r="K189" i="32"/>
  <c r="M189" i="32" s="1"/>
  <c r="E78" i="44"/>
  <c r="E137" i="41"/>
  <c r="E149" i="44"/>
  <c r="F29" i="44"/>
  <c r="F145" i="44" s="1"/>
  <c r="F126" i="41"/>
  <c r="L149" i="44"/>
  <c r="K156" i="32"/>
  <c r="M156" i="32" s="1"/>
  <c r="K201" i="32"/>
  <c r="M201" i="32" s="1"/>
  <c r="O156" i="33"/>
  <c r="Q156" i="33" s="1"/>
  <c r="J78" i="44"/>
  <c r="J137" i="41"/>
  <c r="L78" i="44"/>
  <c r="W34" i="60" s="1"/>
  <c r="L137" i="41"/>
  <c r="L85" i="44" s="1"/>
  <c r="D151" i="44"/>
  <c r="E152" i="44"/>
  <c r="D78" i="44"/>
  <c r="D137" i="41"/>
  <c r="K151" i="44"/>
  <c r="E169" i="32"/>
  <c r="I157" i="32"/>
  <c r="FD109" i="3"/>
  <c r="FD97" i="3"/>
  <c r="FD25" i="3"/>
  <c r="FD73" i="3"/>
  <c r="FD49" i="3"/>
  <c r="FD121" i="3"/>
  <c r="FD61" i="3"/>
  <c r="FD37" i="3"/>
  <c r="FD85" i="3"/>
  <c r="AY32" i="40"/>
  <c r="AQ31" i="40"/>
  <c r="AY31" i="40"/>
  <c r="BG31" i="40"/>
  <c r="AQ32" i="40"/>
  <c r="BG32" i="40"/>
  <c r="AA31" i="40"/>
  <c r="S31" i="40"/>
  <c r="AA32" i="40"/>
  <c r="S32" i="40"/>
  <c r="D32" i="40"/>
  <c r="D31" i="40"/>
  <c r="M37" i="37"/>
  <c r="M13" i="37"/>
  <c r="O13" i="37" s="1"/>
  <c r="M13" i="26"/>
  <c r="O13" i="26" s="1"/>
  <c r="M37" i="26"/>
  <c r="S7" i="20"/>
  <c r="U7" i="20" s="1"/>
  <c r="S8" i="31"/>
  <c r="V8" i="31" s="1"/>
  <c r="S12" i="31"/>
  <c r="V12" i="31" s="1"/>
  <c r="S2" i="20"/>
  <c r="U2" i="20" s="1"/>
  <c r="S3" i="20"/>
  <c r="U3" i="20" s="1"/>
  <c r="S6" i="20"/>
  <c r="U6" i="20" s="1"/>
  <c r="S13" i="31"/>
  <c r="V13" i="31" s="1"/>
  <c r="S9" i="31"/>
  <c r="V9" i="31" s="1"/>
  <c r="S12" i="20"/>
  <c r="U12" i="20" s="1"/>
  <c r="S11" i="20"/>
  <c r="U11" i="20" s="1"/>
  <c r="S4" i="31"/>
  <c r="V4" i="31" s="1"/>
  <c r="S3" i="31"/>
  <c r="V3" i="31" s="1"/>
  <c r="S5" i="20"/>
  <c r="U5" i="20" s="1"/>
  <c r="S8" i="20"/>
  <c r="U8" i="20" s="1"/>
  <c r="S5" i="31"/>
  <c r="V5" i="31" s="1"/>
  <c r="S9" i="20"/>
  <c r="U9" i="20" s="1"/>
  <c r="S4" i="20"/>
  <c r="U4" i="20" s="1"/>
  <c r="S6" i="31"/>
  <c r="V6" i="31" s="1"/>
  <c r="S7" i="31"/>
  <c r="V7" i="31" s="1"/>
  <c r="S10" i="20"/>
  <c r="U10" i="20" s="1"/>
  <c r="S11" i="31"/>
  <c r="V11" i="31" s="1"/>
  <c r="S13" i="20"/>
  <c r="U13" i="20" s="1"/>
  <c r="S2" i="31"/>
  <c r="V2" i="31" s="1"/>
  <c r="S10" i="31"/>
  <c r="V10" i="31" s="1"/>
  <c r="N84" i="26"/>
  <c r="N82" i="26"/>
  <c r="N94" i="26"/>
  <c r="N82" i="37"/>
  <c r="N93" i="37"/>
  <c r="N94" i="37"/>
  <c r="N72" i="37"/>
  <c r="N109" i="26"/>
  <c r="GA86" i="2"/>
  <c r="CX5" i="39"/>
  <c r="CN5" i="39"/>
  <c r="N109" i="37"/>
  <c r="N93" i="26"/>
  <c r="AD19" i="2"/>
  <c r="R60" i="2"/>
  <c r="AI33" i="2"/>
  <c r="X71" i="2"/>
  <c r="AI48" i="2"/>
  <c r="AK48" i="2" s="1"/>
  <c r="AD52" i="2"/>
  <c r="V64" i="34"/>
  <c r="T71" i="35"/>
  <c r="V89" i="34"/>
  <c r="V90" i="34"/>
  <c r="R50" i="36"/>
  <c r="R102" i="36"/>
  <c r="R80" i="36"/>
  <c r="R63" i="36"/>
  <c r="R104" i="36"/>
  <c r="V67" i="34"/>
  <c r="V66" i="34"/>
  <c r="T50" i="35"/>
  <c r="T106" i="35"/>
  <c r="T57" i="35"/>
  <c r="T100" i="35"/>
  <c r="T52" i="35"/>
  <c r="R82" i="36"/>
  <c r="T102" i="35"/>
  <c r="R88" i="36"/>
  <c r="R69" i="36"/>
  <c r="R94" i="36"/>
  <c r="V98" i="34"/>
  <c r="V78" i="34"/>
  <c r="V76" i="34"/>
  <c r="T87" i="35"/>
  <c r="V106" i="34"/>
  <c r="V100" i="34"/>
  <c r="T55" i="35"/>
  <c r="T82" i="35"/>
  <c r="R106" i="36"/>
  <c r="R99" i="36"/>
  <c r="T69" i="35"/>
  <c r="T94" i="35"/>
  <c r="R66" i="36"/>
  <c r="R83" i="36"/>
  <c r="V59" i="34"/>
  <c r="V85" i="34"/>
  <c r="V72" i="34"/>
  <c r="V52" i="34"/>
  <c r="V101" i="34"/>
  <c r="T74" i="35"/>
  <c r="V108" i="34"/>
  <c r="T63" i="35"/>
  <c r="R77" i="36"/>
  <c r="R62" i="36"/>
  <c r="R51" i="36"/>
  <c r="R96" i="36"/>
  <c r="T84" i="35"/>
  <c r="R100" i="36"/>
  <c r="V70" i="34"/>
  <c r="V93" i="34"/>
  <c r="V105" i="34"/>
  <c r="T99" i="35"/>
  <c r="T104" i="35"/>
  <c r="R57" i="36"/>
  <c r="V75" i="34"/>
  <c r="T89" i="35"/>
  <c r="T90" i="35"/>
  <c r="R75" i="36"/>
  <c r="R58" i="36"/>
  <c r="V82" i="34"/>
  <c r="V81" i="34"/>
  <c r="T70" i="35"/>
  <c r="V87" i="34"/>
  <c r="T92" i="35"/>
  <c r="T58" i="35"/>
  <c r="R56" i="36"/>
  <c r="R107" i="36"/>
  <c r="R93" i="36"/>
  <c r="V50" i="34"/>
  <c r="V65" i="34"/>
  <c r="V51" i="34"/>
  <c r="V86" i="34"/>
  <c r="T79" i="35"/>
  <c r="T56" i="35"/>
  <c r="V92" i="34"/>
  <c r="R59" i="36"/>
  <c r="T93" i="35"/>
  <c r="R61" i="36"/>
  <c r="R89" i="36"/>
  <c r="V56" i="34"/>
  <c r="V68" i="34"/>
  <c r="V54" i="34"/>
  <c r="V97" i="34"/>
  <c r="T101" i="35"/>
  <c r="T59" i="35"/>
  <c r="T108" i="35"/>
  <c r="T61" i="35"/>
  <c r="R74" i="36"/>
  <c r="R73" i="36"/>
  <c r="R84" i="36"/>
  <c r="V74" i="34"/>
  <c r="V80" i="34"/>
  <c r="V55" i="34"/>
  <c r="T103" i="35"/>
  <c r="T77" i="35"/>
  <c r="T62" i="35"/>
  <c r="T54" i="35"/>
  <c r="T73" i="35"/>
  <c r="R91" i="36"/>
  <c r="R65" i="36"/>
  <c r="T51" i="35"/>
  <c r="T96" i="35"/>
  <c r="R90" i="36"/>
  <c r="R87" i="36"/>
  <c r="V77" i="34"/>
  <c r="V88" i="34"/>
  <c r="V83" i="34"/>
  <c r="V58" i="34"/>
  <c r="V103" i="34"/>
  <c r="T91" i="35"/>
  <c r="T65" i="35"/>
  <c r="R95" i="36"/>
  <c r="R68" i="36"/>
  <c r="R54" i="36"/>
  <c r="R70" i="36"/>
  <c r="R108" i="36"/>
  <c r="V69" i="34"/>
  <c r="R103" i="36"/>
  <c r="R79" i="36"/>
  <c r="V96" i="34"/>
  <c r="V84" i="34"/>
  <c r="T64" i="35"/>
  <c r="V95" i="34"/>
  <c r="T85" i="35"/>
  <c r="T76" i="35"/>
  <c r="R109" i="36"/>
  <c r="T72" i="35"/>
  <c r="R76" i="36"/>
  <c r="R101" i="36"/>
  <c r="R60" i="36"/>
  <c r="T105" i="35"/>
  <c r="T88" i="35"/>
  <c r="T78" i="35"/>
  <c r="T97" i="35"/>
  <c r="R98" i="36"/>
  <c r="R92" i="36"/>
  <c r="R52" i="36"/>
  <c r="V73" i="34"/>
  <c r="T53" i="35"/>
  <c r="V62" i="34"/>
  <c r="V109" i="34"/>
  <c r="V94" i="34"/>
  <c r="T67" i="35"/>
  <c r="T107" i="35"/>
  <c r="T75" i="35"/>
  <c r="T60" i="35"/>
  <c r="T81" i="35"/>
  <c r="R64" i="36"/>
  <c r="R53" i="36"/>
  <c r="T109" i="35"/>
  <c r="R81" i="36"/>
  <c r="R86" i="36"/>
  <c r="V71" i="34"/>
  <c r="V102" i="34"/>
  <c r="V57" i="34"/>
  <c r="V61" i="34"/>
  <c r="T83" i="35"/>
  <c r="R105" i="36"/>
  <c r="R55" i="36"/>
  <c r="V91" i="34"/>
  <c r="V99" i="34"/>
  <c r="V104" i="34"/>
  <c r="T95" i="35"/>
  <c r="T68" i="35"/>
  <c r="R85" i="36"/>
  <c r="R72" i="36"/>
  <c r="V53" i="34"/>
  <c r="V60" i="34"/>
  <c r="V63" i="34"/>
  <c r="V79" i="34"/>
  <c r="T98" i="35"/>
  <c r="V107" i="34"/>
  <c r="T80" i="35"/>
  <c r="T66" i="35"/>
  <c r="T86" i="35"/>
  <c r="R67" i="36"/>
  <c r="R71" i="36"/>
  <c r="R97" i="36"/>
  <c r="R78" i="36"/>
  <c r="R98" i="30"/>
  <c r="R95" i="30"/>
  <c r="R31" i="18"/>
  <c r="S31" i="18" s="1"/>
  <c r="R31" i="30"/>
  <c r="T31" i="30" s="1"/>
  <c r="R49" i="18"/>
  <c r="S49" i="18" s="1"/>
  <c r="R49" i="30"/>
  <c r="T49" i="30" s="1"/>
  <c r="T64" i="31"/>
  <c r="T53" i="31"/>
  <c r="R26" i="18"/>
  <c r="S26" i="18" s="1"/>
  <c r="R26" i="30"/>
  <c r="T26" i="30" s="1"/>
  <c r="R83" i="30"/>
  <c r="T55" i="31"/>
  <c r="T99" i="31"/>
  <c r="L31" i="21"/>
  <c r="M31" i="21" s="1"/>
  <c r="L31" i="32"/>
  <c r="M31" i="32" s="1"/>
  <c r="L41" i="21"/>
  <c r="M41" i="21" s="1"/>
  <c r="L41" i="32"/>
  <c r="M41" i="32" s="1"/>
  <c r="L82" i="21"/>
  <c r="M82" i="21" s="1"/>
  <c r="L82" i="32"/>
  <c r="M82" i="32" s="1"/>
  <c r="L99" i="21"/>
  <c r="M99" i="21" s="1"/>
  <c r="L99" i="32"/>
  <c r="P92" i="22"/>
  <c r="Q92" i="22" s="1"/>
  <c r="P92" i="33"/>
  <c r="Q92" i="33" s="1"/>
  <c r="L103" i="21"/>
  <c r="M103" i="21" s="1"/>
  <c r="L103" i="32"/>
  <c r="L85" i="21"/>
  <c r="M85" i="21" s="1"/>
  <c r="L85" i="32"/>
  <c r="M85" i="32" s="1"/>
  <c r="L54" i="21"/>
  <c r="M54" i="21" s="1"/>
  <c r="L54" i="32"/>
  <c r="M54" i="32" s="1"/>
  <c r="P69" i="22"/>
  <c r="Q69" i="22" s="1"/>
  <c r="P69" i="33"/>
  <c r="Q69" i="33" s="1"/>
  <c r="L81" i="21"/>
  <c r="M81" i="21" s="1"/>
  <c r="L81" i="32"/>
  <c r="M81" i="32" s="1"/>
  <c r="L98" i="21"/>
  <c r="M98" i="21" s="1"/>
  <c r="L98" i="32"/>
  <c r="R30" i="18"/>
  <c r="S30" i="18" s="1"/>
  <c r="R30" i="30"/>
  <c r="R102" i="30"/>
  <c r="R34" i="18"/>
  <c r="S34" i="18" s="1"/>
  <c r="R34" i="30"/>
  <c r="T34" i="30" s="1"/>
  <c r="R76" i="30"/>
  <c r="T67" i="31"/>
  <c r="T71" i="31"/>
  <c r="T48" i="20"/>
  <c r="U48" i="20" s="1"/>
  <c r="T48" i="31"/>
  <c r="V48" i="31" s="1"/>
  <c r="T37" i="20"/>
  <c r="U37" i="20" s="1"/>
  <c r="T37" i="31"/>
  <c r="V37" i="31" s="1"/>
  <c r="T58" i="31"/>
  <c r="R99" i="30"/>
  <c r="L34" i="21"/>
  <c r="M34" i="21" s="1"/>
  <c r="L34" i="32"/>
  <c r="M34" i="32" s="1"/>
  <c r="L44" i="21"/>
  <c r="M44" i="21" s="1"/>
  <c r="L44" i="32"/>
  <c r="M44" i="32" s="1"/>
  <c r="L87" i="21"/>
  <c r="M87" i="21" s="1"/>
  <c r="L87" i="32"/>
  <c r="M87" i="32" s="1"/>
  <c r="P51" i="22"/>
  <c r="Q51" i="22" s="1"/>
  <c r="P51" i="33"/>
  <c r="Q51" i="33" s="1"/>
  <c r="P83" i="22"/>
  <c r="Q83" i="22" s="1"/>
  <c r="P83" i="33"/>
  <c r="Q83" i="33" s="1"/>
  <c r="P103" i="22"/>
  <c r="Q103" i="22" s="1"/>
  <c r="P103" i="33"/>
  <c r="P85" i="22"/>
  <c r="Q85" i="22" s="1"/>
  <c r="P85" i="33"/>
  <c r="Q85" i="33" s="1"/>
  <c r="P34" i="22"/>
  <c r="Q34" i="22" s="1"/>
  <c r="P34" i="33"/>
  <c r="Q34" i="33" s="1"/>
  <c r="L69" i="21"/>
  <c r="M69" i="21" s="1"/>
  <c r="L69" i="32"/>
  <c r="M69" i="32" s="1"/>
  <c r="L86" i="21"/>
  <c r="M86" i="21" s="1"/>
  <c r="L86" i="32"/>
  <c r="M86" i="32" s="1"/>
  <c r="P32" i="22"/>
  <c r="Q32" i="22" s="1"/>
  <c r="P32" i="33"/>
  <c r="Q32" i="33" s="1"/>
  <c r="R64" i="30"/>
  <c r="R107" i="30"/>
  <c r="R51" i="30"/>
  <c r="R97" i="30"/>
  <c r="R67" i="30"/>
  <c r="T36" i="20"/>
  <c r="U36" i="20" s="1"/>
  <c r="T36" i="31"/>
  <c r="V36" i="31" s="1"/>
  <c r="T57" i="31"/>
  <c r="R37" i="18"/>
  <c r="S37" i="18" s="1"/>
  <c r="R37" i="30"/>
  <c r="T37" i="30" s="1"/>
  <c r="T104" i="31"/>
  <c r="T96" i="31"/>
  <c r="L29" i="21"/>
  <c r="M29" i="21" s="1"/>
  <c r="L29" i="32"/>
  <c r="M29" i="32" s="1"/>
  <c r="P44" i="22"/>
  <c r="Q44" i="22" s="1"/>
  <c r="P44" i="33"/>
  <c r="Q44" i="33" s="1"/>
  <c r="P87" i="22"/>
  <c r="Q87" i="22" s="1"/>
  <c r="P87" i="33"/>
  <c r="Q87" i="33" s="1"/>
  <c r="L51" i="21"/>
  <c r="M51" i="21" s="1"/>
  <c r="L51" i="32"/>
  <c r="M51" i="32" s="1"/>
  <c r="L83" i="21"/>
  <c r="M83" i="21" s="1"/>
  <c r="L83" i="32"/>
  <c r="M83" i="32" s="1"/>
  <c r="L109" i="21"/>
  <c r="M109" i="21" s="1"/>
  <c r="L109" i="32"/>
  <c r="P26" i="22"/>
  <c r="Q26" i="22" s="1"/>
  <c r="P26" i="33"/>
  <c r="Q26" i="33" s="1"/>
  <c r="P29" i="22"/>
  <c r="Q29" i="22" s="1"/>
  <c r="P29" i="33"/>
  <c r="Q29" i="33" s="1"/>
  <c r="L93" i="21"/>
  <c r="M93" i="21" s="1"/>
  <c r="L93" i="32"/>
  <c r="M93" i="32" s="1"/>
  <c r="P86" i="22"/>
  <c r="Q86" i="22" s="1"/>
  <c r="P86" i="33"/>
  <c r="Q86" i="33" s="1"/>
  <c r="P61" i="22"/>
  <c r="Q61" i="22" s="1"/>
  <c r="P61" i="33"/>
  <c r="Q61" i="33" s="1"/>
  <c r="R105" i="30"/>
  <c r="R57" i="30"/>
  <c r="R54" i="30"/>
  <c r="R104" i="30"/>
  <c r="T98" i="31"/>
  <c r="T39" i="20"/>
  <c r="U39" i="20" s="1"/>
  <c r="T39" i="31"/>
  <c r="V39" i="31" s="1"/>
  <c r="T75" i="31"/>
  <c r="T43" i="20"/>
  <c r="U43" i="20" s="1"/>
  <c r="T43" i="31"/>
  <c r="V43" i="31" s="1"/>
  <c r="T32" i="20"/>
  <c r="U32" i="20" s="1"/>
  <c r="T32" i="31"/>
  <c r="V32" i="31" s="1"/>
  <c r="R96" i="30"/>
  <c r="T29" i="20"/>
  <c r="U29" i="20" s="1"/>
  <c r="T29" i="31"/>
  <c r="V29" i="31" s="1"/>
  <c r="L70" i="21"/>
  <c r="M70" i="21" s="1"/>
  <c r="L70" i="32"/>
  <c r="M70" i="32" s="1"/>
  <c r="P56" i="22"/>
  <c r="Q56" i="22" s="1"/>
  <c r="P56" i="33"/>
  <c r="Q56" i="33" s="1"/>
  <c r="L59" i="21"/>
  <c r="M59" i="21" s="1"/>
  <c r="L59" i="32"/>
  <c r="M59" i="32" s="1"/>
  <c r="P89" i="22"/>
  <c r="Q89" i="22" s="1"/>
  <c r="P89" i="33"/>
  <c r="Q89" i="33" s="1"/>
  <c r="P109" i="22"/>
  <c r="Q109" i="22" s="1"/>
  <c r="P109" i="33"/>
  <c r="L26" i="21"/>
  <c r="M26" i="21" s="1"/>
  <c r="L26" i="32"/>
  <c r="M26" i="32" s="1"/>
  <c r="P40" i="22"/>
  <c r="Q40" i="22" s="1"/>
  <c r="P40" i="33"/>
  <c r="Q40" i="33" s="1"/>
  <c r="P93" i="22"/>
  <c r="Q93" i="22" s="1"/>
  <c r="P93" i="33"/>
  <c r="Q93" i="33" s="1"/>
  <c r="P97" i="22"/>
  <c r="Q97" i="22" s="1"/>
  <c r="P97" i="33"/>
  <c r="Q97" i="33" s="1"/>
  <c r="L61" i="21"/>
  <c r="M61" i="21" s="1"/>
  <c r="L61" i="32"/>
  <c r="M61" i="32" s="1"/>
  <c r="R92" i="30"/>
  <c r="R75" i="30"/>
  <c r="R72" i="30"/>
  <c r="R52" i="30"/>
  <c r="T105" i="31"/>
  <c r="T102" i="31"/>
  <c r="T109" i="31"/>
  <c r="T46" i="20"/>
  <c r="U46" i="20" s="1"/>
  <c r="T46" i="31"/>
  <c r="V46" i="31" s="1"/>
  <c r="T61" i="31"/>
  <c r="T93" i="31"/>
  <c r="T66" i="31"/>
  <c r="P70" i="22"/>
  <c r="Q70" i="22" s="1"/>
  <c r="P70" i="33"/>
  <c r="Q70" i="33" s="1"/>
  <c r="L56" i="21"/>
  <c r="M56" i="21" s="1"/>
  <c r="L56" i="32"/>
  <c r="M56" i="32" s="1"/>
  <c r="P59" i="22"/>
  <c r="Q59" i="22" s="1"/>
  <c r="P59" i="33"/>
  <c r="Q59" i="33" s="1"/>
  <c r="L89" i="21"/>
  <c r="M89" i="21" s="1"/>
  <c r="L89" i="32"/>
  <c r="M89" i="32" s="1"/>
  <c r="P66" i="22"/>
  <c r="Q66" i="22" s="1"/>
  <c r="P66" i="33"/>
  <c r="Q66" i="33" s="1"/>
  <c r="P48" i="22"/>
  <c r="Q48" i="22" s="1"/>
  <c r="P48" i="33"/>
  <c r="Q48" i="33" s="1"/>
  <c r="L40" i="21"/>
  <c r="M40" i="21" s="1"/>
  <c r="L40" i="32"/>
  <c r="M40" i="32" s="1"/>
  <c r="P64" i="22"/>
  <c r="Q64" i="22" s="1"/>
  <c r="P64" i="33"/>
  <c r="Q64" i="33" s="1"/>
  <c r="L97" i="21"/>
  <c r="M97" i="21" s="1"/>
  <c r="L97" i="32"/>
  <c r="M97" i="32" s="1"/>
  <c r="P84" i="22"/>
  <c r="Q84" i="22" s="1"/>
  <c r="P84" i="33"/>
  <c r="Q84" i="33" s="1"/>
  <c r="R47" i="18"/>
  <c r="S47" i="18" s="1"/>
  <c r="R47" i="30"/>
  <c r="T47" i="30" s="1"/>
  <c r="R28" i="18"/>
  <c r="S28" i="18" s="1"/>
  <c r="R28" i="30"/>
  <c r="T28" i="30" s="1"/>
  <c r="R29" i="18"/>
  <c r="S29" i="18" s="1"/>
  <c r="R29" i="30"/>
  <c r="T29" i="30" s="1"/>
  <c r="R55" i="30"/>
  <c r="T89" i="31"/>
  <c r="T106" i="31"/>
  <c r="R109" i="30"/>
  <c r="T69" i="31"/>
  <c r="R61" i="30"/>
  <c r="R93" i="30"/>
  <c r="T78" i="31"/>
  <c r="P79" i="22"/>
  <c r="Q79" i="22" s="1"/>
  <c r="P79" i="33"/>
  <c r="Q79" i="33" s="1"/>
  <c r="L74" i="21"/>
  <c r="M74" i="21" s="1"/>
  <c r="L74" i="32"/>
  <c r="M74" i="32" s="1"/>
  <c r="L91" i="21"/>
  <c r="M91" i="21" s="1"/>
  <c r="L91" i="32"/>
  <c r="M91" i="32" s="1"/>
  <c r="P100" i="22"/>
  <c r="Q100" i="22" s="1"/>
  <c r="P100" i="33"/>
  <c r="L66" i="21"/>
  <c r="M66" i="21" s="1"/>
  <c r="L66" i="32"/>
  <c r="M66" i="32" s="1"/>
  <c r="L48" i="21"/>
  <c r="M48" i="21" s="1"/>
  <c r="L48" i="32"/>
  <c r="M48" i="32" s="1"/>
  <c r="L60" i="21"/>
  <c r="M60" i="21" s="1"/>
  <c r="L60" i="32"/>
  <c r="M60" i="32" s="1"/>
  <c r="L64" i="21"/>
  <c r="M64" i="21" s="1"/>
  <c r="L64" i="32"/>
  <c r="M64" i="32" s="1"/>
  <c r="L104" i="21"/>
  <c r="M104" i="21" s="1"/>
  <c r="L104" i="32"/>
  <c r="L84" i="21"/>
  <c r="M84" i="21" s="1"/>
  <c r="L84" i="32"/>
  <c r="M84" i="32" s="1"/>
  <c r="R82" i="30"/>
  <c r="R33" i="18"/>
  <c r="S33" i="18" s="1"/>
  <c r="R33" i="30"/>
  <c r="T33" i="30" s="1"/>
  <c r="R40" i="18"/>
  <c r="S40" i="18" s="1"/>
  <c r="R40" i="30"/>
  <c r="T40" i="30" s="1"/>
  <c r="R58" i="30"/>
  <c r="R89" i="30"/>
  <c r="T107" i="31"/>
  <c r="T31" i="20"/>
  <c r="U31" i="20" s="1"/>
  <c r="T31" i="31"/>
  <c r="V31" i="31" s="1"/>
  <c r="R69" i="30"/>
  <c r="T84" i="31"/>
  <c r="L35" i="21"/>
  <c r="M35" i="21" s="1"/>
  <c r="L35" i="32"/>
  <c r="M35" i="32" s="1"/>
  <c r="L37" i="21"/>
  <c r="M37" i="21" s="1"/>
  <c r="L37" i="32"/>
  <c r="M37" i="32" s="1"/>
  <c r="L79" i="21"/>
  <c r="M79" i="21" s="1"/>
  <c r="L79" i="32"/>
  <c r="M79" i="32" s="1"/>
  <c r="P74" i="22"/>
  <c r="Q74" i="22" s="1"/>
  <c r="P74" i="33"/>
  <c r="Q74" i="33" s="1"/>
  <c r="P91" i="22"/>
  <c r="Q91" i="22" s="1"/>
  <c r="P91" i="33"/>
  <c r="Q91" i="33" s="1"/>
  <c r="L100" i="21"/>
  <c r="M100" i="21" s="1"/>
  <c r="L100" i="32"/>
  <c r="L42" i="21"/>
  <c r="M42" i="21" s="1"/>
  <c r="L42" i="32"/>
  <c r="M42" i="32" s="1"/>
  <c r="P57" i="22"/>
  <c r="Q57" i="22" s="1"/>
  <c r="P57" i="33"/>
  <c r="Q57" i="33" s="1"/>
  <c r="P60" i="22"/>
  <c r="Q60" i="22" s="1"/>
  <c r="P60" i="33"/>
  <c r="Q60" i="33" s="1"/>
  <c r="L73" i="21"/>
  <c r="M73" i="21" s="1"/>
  <c r="L73" i="32"/>
  <c r="M73" i="32" s="1"/>
  <c r="P104" i="22"/>
  <c r="Q104" i="22" s="1"/>
  <c r="P104" i="33"/>
  <c r="L90" i="21"/>
  <c r="M90" i="21" s="1"/>
  <c r="L90" i="32"/>
  <c r="M90" i="32" s="1"/>
  <c r="R87" i="30"/>
  <c r="R53" i="30"/>
  <c r="R60" i="30"/>
  <c r="R32" i="18"/>
  <c r="S32" i="18" s="1"/>
  <c r="R32" i="30"/>
  <c r="T32" i="30" s="1"/>
  <c r="T100" i="31"/>
  <c r="T85" i="31"/>
  <c r="T92" i="31"/>
  <c r="T73" i="31"/>
  <c r="R84" i="30"/>
  <c r="T38" i="20"/>
  <c r="U38" i="20" s="1"/>
  <c r="T38" i="31"/>
  <c r="V38" i="31" s="1"/>
  <c r="T63" i="31"/>
  <c r="P101" i="22"/>
  <c r="Q101" i="22" s="1"/>
  <c r="P101" i="33"/>
  <c r="L77" i="21"/>
  <c r="M77" i="21" s="1"/>
  <c r="L77" i="32"/>
  <c r="M77" i="32" s="1"/>
  <c r="L107" i="21"/>
  <c r="M107" i="21" s="1"/>
  <c r="L107" i="32"/>
  <c r="P36" i="22"/>
  <c r="Q36" i="22" s="1"/>
  <c r="P36" i="33"/>
  <c r="Q36" i="33" s="1"/>
  <c r="P42" i="22"/>
  <c r="Q42" i="22" s="1"/>
  <c r="P42" i="33"/>
  <c r="Q42" i="33" s="1"/>
  <c r="L57" i="21"/>
  <c r="M57" i="21" s="1"/>
  <c r="L57" i="32"/>
  <c r="M57" i="32" s="1"/>
  <c r="P78" i="22"/>
  <c r="Q78" i="22" s="1"/>
  <c r="P78" i="33"/>
  <c r="Q78" i="33" s="1"/>
  <c r="P73" i="22"/>
  <c r="Q73" i="22" s="1"/>
  <c r="P73" i="33"/>
  <c r="Q73" i="33" s="1"/>
  <c r="P52" i="22"/>
  <c r="Q52" i="22" s="1"/>
  <c r="P52" i="33"/>
  <c r="Q52" i="33" s="1"/>
  <c r="P90" i="22"/>
  <c r="Q90" i="22" s="1"/>
  <c r="P90" i="33"/>
  <c r="Q90" i="33" s="1"/>
  <c r="R65" i="30"/>
  <c r="R71" i="30"/>
  <c r="R66" i="30"/>
  <c r="R90" i="30"/>
  <c r="R100" i="30"/>
  <c r="R85" i="30"/>
  <c r="T108" i="31"/>
  <c r="T86" i="31"/>
  <c r="T90" i="31"/>
  <c r="T47" i="20"/>
  <c r="U47" i="20" s="1"/>
  <c r="T47" i="31"/>
  <c r="V47" i="31" s="1"/>
  <c r="L27" i="21"/>
  <c r="M27" i="21" s="1"/>
  <c r="L27" i="32"/>
  <c r="M27" i="32" s="1"/>
  <c r="L101" i="21"/>
  <c r="M101" i="21" s="1"/>
  <c r="L101" i="32"/>
  <c r="P77" i="22"/>
  <c r="Q77" i="22" s="1"/>
  <c r="P77" i="33"/>
  <c r="Q77" i="33" s="1"/>
  <c r="P107" i="22"/>
  <c r="Q107" i="22" s="1"/>
  <c r="P107" i="33"/>
  <c r="L39" i="21"/>
  <c r="M39" i="21" s="1"/>
  <c r="L39" i="32"/>
  <c r="M39" i="32" s="1"/>
  <c r="L45" i="21"/>
  <c r="M45" i="21" s="1"/>
  <c r="L45" i="32"/>
  <c r="M45" i="32" s="1"/>
  <c r="L75" i="21"/>
  <c r="M75" i="21" s="1"/>
  <c r="L75" i="32"/>
  <c r="M75" i="32" s="1"/>
  <c r="L78" i="21"/>
  <c r="M78" i="21" s="1"/>
  <c r="L78" i="32"/>
  <c r="M78" i="32" s="1"/>
  <c r="L105" i="21"/>
  <c r="M105" i="21" s="1"/>
  <c r="L105" i="32"/>
  <c r="L52" i="21"/>
  <c r="M52" i="21" s="1"/>
  <c r="L52" i="32"/>
  <c r="M52" i="32" s="1"/>
  <c r="P94" i="22"/>
  <c r="Q94" i="22" s="1"/>
  <c r="P94" i="33"/>
  <c r="Q94" i="33" s="1"/>
  <c r="T30" i="30"/>
  <c r="R80" i="30"/>
  <c r="R106" i="30"/>
  <c r="R78" i="30"/>
  <c r="R88" i="30"/>
  <c r="T56" i="31"/>
  <c r="T42" i="20"/>
  <c r="U42" i="20" s="1"/>
  <c r="T42" i="31"/>
  <c r="V42" i="31" s="1"/>
  <c r="T34" i="20"/>
  <c r="U34" i="20" s="1"/>
  <c r="T34" i="31"/>
  <c r="V34" i="31" s="1"/>
  <c r="R86" i="30"/>
  <c r="T94" i="31"/>
  <c r="T82" i="31"/>
  <c r="T81" i="31"/>
  <c r="P30" i="22"/>
  <c r="Q30" i="22" s="1"/>
  <c r="P30" i="33"/>
  <c r="Q30" i="33" s="1"/>
  <c r="P95" i="22"/>
  <c r="Q95" i="22" s="1"/>
  <c r="P95" i="33"/>
  <c r="Q95" i="33" s="1"/>
  <c r="P28" i="22"/>
  <c r="Q28" i="22" s="1"/>
  <c r="P28" i="33"/>
  <c r="Q28" i="33" s="1"/>
  <c r="P39" i="22"/>
  <c r="Q39" i="22" s="1"/>
  <c r="P39" i="33"/>
  <c r="Q39" i="33" s="1"/>
  <c r="P45" i="22"/>
  <c r="Q45" i="22" s="1"/>
  <c r="P45" i="33"/>
  <c r="Q45" i="33" s="1"/>
  <c r="P75" i="22"/>
  <c r="Q75" i="22" s="1"/>
  <c r="P75" i="33"/>
  <c r="Q75" i="33" s="1"/>
  <c r="P37" i="22"/>
  <c r="Q37" i="22" s="1"/>
  <c r="P37" i="33"/>
  <c r="Q37" i="33" s="1"/>
  <c r="P105" i="22"/>
  <c r="Q105" i="22" s="1"/>
  <c r="P105" i="33"/>
  <c r="L55" i="21"/>
  <c r="M55" i="21" s="1"/>
  <c r="L55" i="32"/>
  <c r="M55" i="32" s="1"/>
  <c r="L94" i="21"/>
  <c r="M94" i="21" s="1"/>
  <c r="L94" i="32"/>
  <c r="M94" i="32" s="1"/>
  <c r="R35" i="18"/>
  <c r="S35" i="18" s="1"/>
  <c r="R35" i="30"/>
  <c r="T35" i="30" s="1"/>
  <c r="R108" i="30"/>
  <c r="R36" i="18"/>
  <c r="S36" i="18" s="1"/>
  <c r="R36" i="30"/>
  <c r="T36" i="30" s="1"/>
  <c r="R43" i="18"/>
  <c r="S43" i="18" s="1"/>
  <c r="R43" i="30"/>
  <c r="T43" i="30" s="1"/>
  <c r="T35" i="20"/>
  <c r="U35" i="20" s="1"/>
  <c r="T35" i="31"/>
  <c r="V35" i="31" s="1"/>
  <c r="T59" i="31"/>
  <c r="T45" i="20"/>
  <c r="U45" i="20" s="1"/>
  <c r="T45" i="31"/>
  <c r="V45" i="31" s="1"/>
  <c r="T51" i="31"/>
  <c r="T103" i="31"/>
  <c r="R94" i="30"/>
  <c r="T95" i="31"/>
  <c r="T97" i="31"/>
  <c r="L30" i="21"/>
  <c r="M30" i="21" s="1"/>
  <c r="L30" i="32"/>
  <c r="M30" i="32" s="1"/>
  <c r="L95" i="21"/>
  <c r="M95" i="21" s="1"/>
  <c r="L95" i="32"/>
  <c r="M95" i="32" s="1"/>
  <c r="P33" i="22"/>
  <c r="Q33" i="22" s="1"/>
  <c r="P33" i="33"/>
  <c r="Q33" i="33" s="1"/>
  <c r="L108" i="21"/>
  <c r="M108" i="21" s="1"/>
  <c r="L108" i="32"/>
  <c r="P62" i="22"/>
  <c r="Q62" i="22" s="1"/>
  <c r="P62" i="33"/>
  <c r="Q62" i="33" s="1"/>
  <c r="P80" i="22"/>
  <c r="Q80" i="22" s="1"/>
  <c r="P80" i="33"/>
  <c r="Q80" i="33" s="1"/>
  <c r="L43" i="21"/>
  <c r="M43" i="21" s="1"/>
  <c r="L43" i="32"/>
  <c r="M43" i="32" s="1"/>
  <c r="P27" i="22"/>
  <c r="Q27" i="22" s="1"/>
  <c r="P27" i="33"/>
  <c r="Q27" i="33" s="1"/>
  <c r="P55" i="22"/>
  <c r="Q55" i="22" s="1"/>
  <c r="P55" i="33"/>
  <c r="Q55" i="33" s="1"/>
  <c r="R38" i="18"/>
  <c r="S38" i="18" s="1"/>
  <c r="R38" i="30"/>
  <c r="T38" i="30" s="1"/>
  <c r="R56" i="30"/>
  <c r="R39" i="18"/>
  <c r="S39" i="18" s="1"/>
  <c r="R39" i="30"/>
  <c r="T39" i="30" s="1"/>
  <c r="R46" i="18"/>
  <c r="S46" i="18" s="1"/>
  <c r="R46" i="30"/>
  <c r="T46" i="30" s="1"/>
  <c r="T41" i="20"/>
  <c r="U41" i="20" s="1"/>
  <c r="T41" i="31"/>
  <c r="V41" i="31" s="1"/>
  <c r="T74" i="31"/>
  <c r="T62" i="31"/>
  <c r="T54" i="31"/>
  <c r="R103" i="30"/>
  <c r="T79" i="31"/>
  <c r="L28" i="21"/>
  <c r="M28" i="21" s="1"/>
  <c r="L28" i="32"/>
  <c r="M28" i="32" s="1"/>
  <c r="L32" i="21"/>
  <c r="M32" i="21" s="1"/>
  <c r="L32" i="32"/>
  <c r="M32" i="32" s="1"/>
  <c r="P47" i="22"/>
  <c r="Q47" i="22" s="1"/>
  <c r="P47" i="33"/>
  <c r="Q47" i="33" s="1"/>
  <c r="L102" i="21"/>
  <c r="M102" i="21" s="1"/>
  <c r="L102" i="32"/>
  <c r="P53" i="22"/>
  <c r="Q53" i="22" s="1"/>
  <c r="P53" i="33"/>
  <c r="Q53" i="33" s="1"/>
  <c r="P108" i="22"/>
  <c r="Q108" i="22" s="1"/>
  <c r="P108" i="33"/>
  <c r="L62" i="21"/>
  <c r="M62" i="21" s="1"/>
  <c r="L62" i="32"/>
  <c r="M62" i="32" s="1"/>
  <c r="L80" i="21"/>
  <c r="M80" i="21" s="1"/>
  <c r="L80" i="32"/>
  <c r="M80" i="32" s="1"/>
  <c r="P43" i="22"/>
  <c r="Q43" i="22" s="1"/>
  <c r="P43" i="33"/>
  <c r="Q43" i="33" s="1"/>
  <c r="P49" i="22"/>
  <c r="Q49" i="22" s="1"/>
  <c r="P49" i="33"/>
  <c r="Q49" i="33" s="1"/>
  <c r="L58" i="21"/>
  <c r="M58" i="21" s="1"/>
  <c r="L58" i="32"/>
  <c r="M58" i="32" s="1"/>
  <c r="R41" i="18"/>
  <c r="S41" i="18" s="1"/>
  <c r="R41" i="30"/>
  <c r="T41" i="30" s="1"/>
  <c r="R59" i="30"/>
  <c r="R42" i="18"/>
  <c r="S42" i="18" s="1"/>
  <c r="R42" i="30"/>
  <c r="T42" i="30" s="1"/>
  <c r="R63" i="30"/>
  <c r="T44" i="20"/>
  <c r="U44" i="20" s="1"/>
  <c r="T44" i="31"/>
  <c r="V44" i="31" s="1"/>
  <c r="T77" i="31"/>
  <c r="T65" i="31"/>
  <c r="T72" i="31"/>
  <c r="T27" i="20"/>
  <c r="U27" i="20" s="1"/>
  <c r="T27" i="31"/>
  <c r="V27" i="31" s="1"/>
  <c r="T101" i="31"/>
  <c r="L33" i="21"/>
  <c r="M33" i="21" s="1"/>
  <c r="L33" i="32"/>
  <c r="M33" i="32" s="1"/>
  <c r="P35" i="22"/>
  <c r="Q35" i="22" s="1"/>
  <c r="P35" i="33"/>
  <c r="Q35" i="33" s="1"/>
  <c r="L47" i="21"/>
  <c r="M47" i="21" s="1"/>
  <c r="L47" i="32"/>
  <c r="M47" i="32" s="1"/>
  <c r="P102" i="22"/>
  <c r="Q102" i="22" s="1"/>
  <c r="P102" i="33"/>
  <c r="L53" i="21"/>
  <c r="M53" i="21" s="1"/>
  <c r="L53" i="32"/>
  <c r="M53" i="32" s="1"/>
  <c r="P72" i="22"/>
  <c r="Q72" i="22" s="1"/>
  <c r="P72" i="33"/>
  <c r="Q72" i="33" s="1"/>
  <c r="P65" i="22"/>
  <c r="Q65" i="22" s="1"/>
  <c r="P65" i="33"/>
  <c r="Q65" i="33" s="1"/>
  <c r="P88" i="22"/>
  <c r="Q88" i="22" s="1"/>
  <c r="P88" i="33"/>
  <c r="Q88" i="33" s="1"/>
  <c r="P46" i="22"/>
  <c r="Q46" i="22" s="1"/>
  <c r="P46" i="33"/>
  <c r="Q46" i="33" s="1"/>
  <c r="L49" i="21"/>
  <c r="M49" i="21" s="1"/>
  <c r="L49" i="32"/>
  <c r="M49" i="32" s="1"/>
  <c r="P58" i="22"/>
  <c r="Q58" i="22" s="1"/>
  <c r="P58" i="33"/>
  <c r="Q58" i="33" s="1"/>
  <c r="R44" i="18"/>
  <c r="S44" i="18" s="1"/>
  <c r="R44" i="30"/>
  <c r="T44" i="30" s="1"/>
  <c r="R74" i="30"/>
  <c r="R45" i="18"/>
  <c r="S45" i="18" s="1"/>
  <c r="R45" i="30"/>
  <c r="T45" i="30" s="1"/>
  <c r="R73" i="30"/>
  <c r="T70" i="31"/>
  <c r="T91" i="31"/>
  <c r="T68" i="31"/>
  <c r="T40" i="20"/>
  <c r="U40" i="20" s="1"/>
  <c r="T40" i="31"/>
  <c r="V40" i="31" s="1"/>
  <c r="T49" i="20"/>
  <c r="U49" i="20" s="1"/>
  <c r="T49" i="31"/>
  <c r="V49" i="31" s="1"/>
  <c r="R101" i="30"/>
  <c r="L36" i="21"/>
  <c r="M36" i="21" s="1"/>
  <c r="L36" i="32"/>
  <c r="M36" i="32" s="1"/>
  <c r="L38" i="21"/>
  <c r="M38" i="21" s="1"/>
  <c r="L38" i="32"/>
  <c r="M38" i="32" s="1"/>
  <c r="P50" i="22"/>
  <c r="Q50" i="22" s="1"/>
  <c r="P50" i="33"/>
  <c r="Q50" i="33" s="1"/>
  <c r="L106" i="21"/>
  <c r="M106" i="21" s="1"/>
  <c r="L106" i="32"/>
  <c r="L71" i="21"/>
  <c r="M71" i="21" s="1"/>
  <c r="L71" i="32"/>
  <c r="M71" i="32" s="1"/>
  <c r="L72" i="21"/>
  <c r="M72" i="21" s="1"/>
  <c r="L72" i="32"/>
  <c r="M72" i="32" s="1"/>
  <c r="L65" i="21"/>
  <c r="M65" i="21" s="1"/>
  <c r="L65" i="32"/>
  <c r="M65" i="32" s="1"/>
  <c r="L88" i="21"/>
  <c r="M88" i="21" s="1"/>
  <c r="L88" i="32"/>
  <c r="M88" i="32" s="1"/>
  <c r="L46" i="21"/>
  <c r="M46" i="21" s="1"/>
  <c r="L46" i="32"/>
  <c r="M46" i="32" s="1"/>
  <c r="L76" i="21"/>
  <c r="M76" i="21" s="1"/>
  <c r="L76" i="32"/>
  <c r="M76" i="32" s="1"/>
  <c r="P67" i="22"/>
  <c r="Q67" i="22" s="1"/>
  <c r="P67" i="33"/>
  <c r="Q67" i="33" s="1"/>
  <c r="R70" i="30"/>
  <c r="R77" i="30"/>
  <c r="R62" i="30"/>
  <c r="R81" i="30"/>
  <c r="T87" i="31"/>
  <c r="T28" i="20"/>
  <c r="U28" i="20" s="1"/>
  <c r="T28" i="31"/>
  <c r="V28" i="31" s="1"/>
  <c r="R68" i="30"/>
  <c r="T60" i="31"/>
  <c r="T76" i="31"/>
  <c r="T50" i="31"/>
  <c r="T80" i="31"/>
  <c r="P38" i="22"/>
  <c r="Q38" i="22" s="1"/>
  <c r="P38" i="33"/>
  <c r="Q38" i="33" s="1"/>
  <c r="L50" i="21"/>
  <c r="M50" i="21" s="1"/>
  <c r="L50" i="32"/>
  <c r="M50" i="32" s="1"/>
  <c r="P106" i="22"/>
  <c r="Q106" i="22" s="1"/>
  <c r="P106" i="33"/>
  <c r="P71" i="22"/>
  <c r="Q71" i="22" s="1"/>
  <c r="P71" i="33"/>
  <c r="Q71" i="33" s="1"/>
  <c r="P96" i="22"/>
  <c r="Q96" i="22" s="1"/>
  <c r="P96" i="33"/>
  <c r="Q96" i="33" s="1"/>
  <c r="L68" i="21"/>
  <c r="M68" i="21" s="1"/>
  <c r="L68" i="32"/>
  <c r="M68" i="32" s="1"/>
  <c r="P31" i="22"/>
  <c r="Q31" i="22" s="1"/>
  <c r="P31" i="33"/>
  <c r="Q31" i="33" s="1"/>
  <c r="P63" i="22"/>
  <c r="Q63" i="22" s="1"/>
  <c r="P63" i="33"/>
  <c r="Q63" i="33" s="1"/>
  <c r="P76" i="22"/>
  <c r="Q76" i="22" s="1"/>
  <c r="P76" i="33"/>
  <c r="Q76" i="33" s="1"/>
  <c r="L67" i="21"/>
  <c r="M67" i="21" s="1"/>
  <c r="L67" i="32"/>
  <c r="M67" i="32" s="1"/>
  <c r="R79" i="30"/>
  <c r="R91" i="30"/>
  <c r="R48" i="18"/>
  <c r="S48" i="18" s="1"/>
  <c r="R48" i="30"/>
  <c r="T48" i="30" s="1"/>
  <c r="R27" i="18"/>
  <c r="S27" i="18" s="1"/>
  <c r="R27" i="30"/>
  <c r="T27" i="30" s="1"/>
  <c r="T30" i="20"/>
  <c r="U30" i="20" s="1"/>
  <c r="T30" i="31"/>
  <c r="V30" i="31" s="1"/>
  <c r="T33" i="20"/>
  <c r="U33" i="20" s="1"/>
  <c r="T33" i="31"/>
  <c r="V33" i="31" s="1"/>
  <c r="T88" i="31"/>
  <c r="T83" i="31"/>
  <c r="T52" i="31"/>
  <c r="R50" i="30"/>
  <c r="T26" i="20"/>
  <c r="U26" i="20" s="1"/>
  <c r="T26" i="31"/>
  <c r="V26" i="31" s="1"/>
  <c r="P41" i="22"/>
  <c r="Q41" i="22" s="1"/>
  <c r="P41" i="33"/>
  <c r="Q41" i="33" s="1"/>
  <c r="P82" i="22"/>
  <c r="Q82" i="22" s="1"/>
  <c r="P82" i="33"/>
  <c r="Q82" i="33" s="1"/>
  <c r="P99" i="22"/>
  <c r="Q99" i="22" s="1"/>
  <c r="P99" i="33"/>
  <c r="L92" i="21"/>
  <c r="M92" i="21" s="1"/>
  <c r="L92" i="32"/>
  <c r="M92" i="32" s="1"/>
  <c r="L96" i="21"/>
  <c r="M96" i="21" s="1"/>
  <c r="L96" i="32"/>
  <c r="M96" i="32" s="1"/>
  <c r="P68" i="22"/>
  <c r="Q68" i="22" s="1"/>
  <c r="P68" i="33"/>
  <c r="Q68" i="33" s="1"/>
  <c r="P54" i="22"/>
  <c r="Q54" i="22" s="1"/>
  <c r="P54" i="33"/>
  <c r="Q54" i="33" s="1"/>
  <c r="L63" i="21"/>
  <c r="M63" i="21" s="1"/>
  <c r="L63" i="32"/>
  <c r="M63" i="32" s="1"/>
  <c r="P81" i="22"/>
  <c r="Q81" i="22" s="1"/>
  <c r="P81" i="33"/>
  <c r="Q81" i="33" s="1"/>
  <c r="P98" i="22"/>
  <c r="Q98" i="22" s="1"/>
  <c r="P98" i="33"/>
  <c r="AT5" i="27"/>
  <c r="AT4" i="27"/>
  <c r="BG5" i="27"/>
  <c r="J5" i="27"/>
  <c r="J4" i="27"/>
  <c r="AE14" i="27"/>
  <c r="AE5" i="27"/>
  <c r="AE6" i="27"/>
  <c r="AM6" i="27"/>
  <c r="AM14" i="27"/>
  <c r="AM5" i="27"/>
  <c r="Z5" i="39"/>
  <c r="AU7" i="39"/>
  <c r="AZ7" i="39" s="1"/>
  <c r="AU6" i="39"/>
  <c r="AZ6" i="39" s="1"/>
  <c r="AU5" i="39"/>
  <c r="AU17" i="39"/>
  <c r="AU15" i="39"/>
  <c r="AZ15" i="39" s="1"/>
  <c r="AU16" i="39"/>
  <c r="AZ4" i="27"/>
  <c r="AZ5" i="27"/>
  <c r="BF15" i="39"/>
  <c r="BK15" i="39" s="1"/>
  <c r="BF16" i="39"/>
  <c r="BF17" i="39"/>
  <c r="BF6" i="39"/>
  <c r="BK6" i="39" s="1"/>
  <c r="BF7" i="39"/>
  <c r="BK7" i="39" s="1"/>
  <c r="BF5" i="39"/>
  <c r="D5" i="27"/>
  <c r="D4" i="27"/>
  <c r="F5" i="39"/>
  <c r="P4" i="27"/>
  <c r="P5" i="27"/>
  <c r="AJ5" i="39"/>
  <c r="DH6" i="39"/>
  <c r="DM6" i="39" s="1"/>
  <c r="CX6" i="39"/>
  <c r="X2" i="34"/>
  <c r="CN6" i="39" s="1"/>
  <c r="T2" i="30"/>
  <c r="Z6" i="39" s="1"/>
  <c r="V37" i="23"/>
  <c r="W37" i="23" s="1"/>
  <c r="V37" i="34"/>
  <c r="X37" i="34" s="1"/>
  <c r="R45" i="25"/>
  <c r="S45" i="25" s="1"/>
  <c r="R45" i="36"/>
  <c r="T45" i="36" s="1"/>
  <c r="T34" i="24"/>
  <c r="T34" i="35"/>
  <c r="V34" i="35" s="1"/>
  <c r="R32" i="36"/>
  <c r="T32" i="36" s="1"/>
  <c r="R32" i="25"/>
  <c r="S32" i="25" s="1"/>
  <c r="N70" i="26"/>
  <c r="N70" i="37"/>
  <c r="N28" i="37"/>
  <c r="N28" i="26"/>
  <c r="N48" i="26"/>
  <c r="N48" i="37"/>
  <c r="N66" i="37"/>
  <c r="N66" i="26"/>
  <c r="N69" i="26"/>
  <c r="N69" i="37"/>
  <c r="N106" i="26"/>
  <c r="N106" i="37"/>
  <c r="V28" i="23"/>
  <c r="W28" i="23" s="1"/>
  <c r="V28" i="34"/>
  <c r="X28" i="34" s="1"/>
  <c r="V43" i="23"/>
  <c r="W43" i="23" s="1"/>
  <c r="V43" i="34"/>
  <c r="X43" i="34" s="1"/>
  <c r="T29" i="24"/>
  <c r="U29" i="24" s="1"/>
  <c r="T29" i="35"/>
  <c r="V29" i="35" s="1"/>
  <c r="R35" i="25"/>
  <c r="S35" i="25" s="1"/>
  <c r="R35" i="36"/>
  <c r="T35" i="36" s="1"/>
  <c r="N30" i="26"/>
  <c r="N30" i="37"/>
  <c r="N33" i="37"/>
  <c r="N33" i="26"/>
  <c r="N57" i="26"/>
  <c r="N57" i="37"/>
  <c r="N73" i="26"/>
  <c r="N73" i="37"/>
  <c r="N107" i="26"/>
  <c r="N107" i="37"/>
  <c r="V35" i="23"/>
  <c r="W35" i="23" s="1"/>
  <c r="V35" i="34"/>
  <c r="X35" i="34" s="1"/>
  <c r="V33" i="23"/>
  <c r="W33" i="23" s="1"/>
  <c r="V33" i="34"/>
  <c r="X33" i="34" s="1"/>
  <c r="V46" i="23"/>
  <c r="W46" i="23" s="1"/>
  <c r="V46" i="34"/>
  <c r="X46" i="34" s="1"/>
  <c r="T30" i="24"/>
  <c r="U30" i="24" s="1"/>
  <c r="T30" i="35"/>
  <c r="V30" i="35" s="1"/>
  <c r="T40" i="24"/>
  <c r="U40" i="24" s="1"/>
  <c r="T40" i="35"/>
  <c r="V40" i="35" s="1"/>
  <c r="T38" i="24"/>
  <c r="U38" i="24" s="1"/>
  <c r="T38" i="35"/>
  <c r="V38" i="35" s="1"/>
  <c r="N64" i="26"/>
  <c r="N64" i="37"/>
  <c r="N53" i="26"/>
  <c r="N53" i="37"/>
  <c r="N75" i="26"/>
  <c r="N75" i="37"/>
  <c r="N89" i="26"/>
  <c r="N89" i="37"/>
  <c r="N27" i="26"/>
  <c r="N27" i="37"/>
  <c r="N104" i="26"/>
  <c r="N104" i="37"/>
  <c r="V41" i="23"/>
  <c r="W41" i="23" s="1"/>
  <c r="V41" i="34"/>
  <c r="X41" i="34" s="1"/>
  <c r="V40" i="23"/>
  <c r="W40" i="23" s="1"/>
  <c r="V40" i="34"/>
  <c r="X40" i="34" s="1"/>
  <c r="T27" i="24"/>
  <c r="U27" i="24" s="1"/>
  <c r="T27" i="35"/>
  <c r="V27" i="35" s="1"/>
  <c r="R41" i="36"/>
  <c r="T41" i="36" s="1"/>
  <c r="R41" i="25"/>
  <c r="S41" i="25" s="1"/>
  <c r="N67" i="37"/>
  <c r="N67" i="26"/>
  <c r="N71" i="26"/>
  <c r="N71" i="37"/>
  <c r="N80" i="26"/>
  <c r="N80" i="37"/>
  <c r="N49" i="26"/>
  <c r="O49" i="26" s="1"/>
  <c r="N49" i="37"/>
  <c r="O49" i="37" s="1"/>
  <c r="N90" i="26"/>
  <c r="N90" i="37"/>
  <c r="V44" i="23"/>
  <c r="W44" i="23" s="1"/>
  <c r="V44" i="34"/>
  <c r="X44" i="34" s="1"/>
  <c r="V48" i="23"/>
  <c r="W48" i="23" s="1"/>
  <c r="V48" i="34"/>
  <c r="X48" i="34" s="1"/>
  <c r="T49" i="24"/>
  <c r="U49" i="24" s="1"/>
  <c r="T49" i="35"/>
  <c r="V49" i="35" s="1"/>
  <c r="R44" i="36"/>
  <c r="T44" i="36" s="1"/>
  <c r="R44" i="25"/>
  <c r="S44" i="25" s="1"/>
  <c r="R28" i="25"/>
  <c r="S28" i="25" s="1"/>
  <c r="R28" i="36"/>
  <c r="T28" i="36" s="1"/>
  <c r="N98" i="37"/>
  <c r="N98" i="26"/>
  <c r="N36" i="26"/>
  <c r="N36" i="37"/>
  <c r="N88" i="26"/>
  <c r="N88" i="37"/>
  <c r="N100" i="26"/>
  <c r="N100" i="37"/>
  <c r="N76" i="26"/>
  <c r="N76" i="37"/>
  <c r="U34" i="24"/>
  <c r="R30" i="36"/>
  <c r="T30" i="36" s="1"/>
  <c r="R30" i="25"/>
  <c r="S30" i="25" s="1"/>
  <c r="R33" i="36"/>
  <c r="T33" i="36" s="1"/>
  <c r="R33" i="25"/>
  <c r="S33" i="25" s="1"/>
  <c r="R27" i="36"/>
  <c r="T27" i="36" s="1"/>
  <c r="R27" i="25"/>
  <c r="S27" i="25" s="1"/>
  <c r="N87" i="26"/>
  <c r="N87" i="37"/>
  <c r="N39" i="26"/>
  <c r="N39" i="37"/>
  <c r="N99" i="37"/>
  <c r="N99" i="26"/>
  <c r="N81" i="26"/>
  <c r="N81" i="37"/>
  <c r="V30" i="23"/>
  <c r="W30" i="23" s="1"/>
  <c r="V30" i="34"/>
  <c r="X30" i="34" s="1"/>
  <c r="V36" i="23"/>
  <c r="W36" i="23" s="1"/>
  <c r="V36" i="34"/>
  <c r="X36" i="34" s="1"/>
  <c r="V32" i="23"/>
  <c r="W32" i="23" s="1"/>
  <c r="V32" i="34"/>
  <c r="X32" i="34" s="1"/>
  <c r="T28" i="24"/>
  <c r="U28" i="24" s="1"/>
  <c r="T28" i="35"/>
  <c r="V28" i="35" s="1"/>
  <c r="R29" i="25"/>
  <c r="S29" i="25" s="1"/>
  <c r="R29" i="36"/>
  <c r="T29" i="36" s="1"/>
  <c r="R49" i="36"/>
  <c r="T49" i="36" s="1"/>
  <c r="R49" i="25"/>
  <c r="S49" i="25" s="1"/>
  <c r="N42" i="26"/>
  <c r="N42" i="37"/>
  <c r="N92" i="37"/>
  <c r="N92" i="26"/>
  <c r="N29" i="37"/>
  <c r="N29" i="26"/>
  <c r="N86" i="26"/>
  <c r="N86" i="37"/>
  <c r="V39" i="23"/>
  <c r="W39" i="23" s="1"/>
  <c r="V39" i="34"/>
  <c r="X39" i="34" s="1"/>
  <c r="V31" i="23"/>
  <c r="W31" i="23" s="1"/>
  <c r="V31" i="34"/>
  <c r="X31" i="34" s="1"/>
  <c r="T33" i="24"/>
  <c r="U33" i="24" s="1"/>
  <c r="T33" i="35"/>
  <c r="V33" i="35" s="1"/>
  <c r="T26" i="24"/>
  <c r="U26" i="24" s="1"/>
  <c r="T26" i="35"/>
  <c r="V26" i="35" s="1"/>
  <c r="R40" i="36"/>
  <c r="T40" i="36" s="1"/>
  <c r="R40" i="25"/>
  <c r="S40" i="25" s="1"/>
  <c r="N102" i="26"/>
  <c r="N102" i="37"/>
  <c r="N45" i="37"/>
  <c r="N45" i="26"/>
  <c r="N108" i="26"/>
  <c r="N108" i="37"/>
  <c r="N40" i="26"/>
  <c r="N40" i="37"/>
  <c r="N97" i="37"/>
  <c r="N97" i="26"/>
  <c r="O97" i="26" s="1"/>
  <c r="V42" i="23"/>
  <c r="W42" i="23" s="1"/>
  <c r="V42" i="34"/>
  <c r="X42" i="34" s="1"/>
  <c r="T35" i="24"/>
  <c r="U35" i="24" s="1"/>
  <c r="T35" i="35"/>
  <c r="V35" i="35" s="1"/>
  <c r="T47" i="24"/>
  <c r="U47" i="24" s="1"/>
  <c r="T47" i="35"/>
  <c r="V47" i="35" s="1"/>
  <c r="V26" i="23"/>
  <c r="W26" i="23" s="1"/>
  <c r="V26" i="34"/>
  <c r="X26" i="34" s="1"/>
  <c r="R48" i="36"/>
  <c r="T48" i="36" s="1"/>
  <c r="R48" i="25"/>
  <c r="S48" i="25" s="1"/>
  <c r="R37" i="25"/>
  <c r="S37" i="25" s="1"/>
  <c r="R37" i="36"/>
  <c r="T37" i="36" s="1"/>
  <c r="N47" i="26"/>
  <c r="N47" i="37"/>
  <c r="N62" i="26"/>
  <c r="N62" i="37"/>
  <c r="N60" i="37"/>
  <c r="N60" i="26"/>
  <c r="N52" i="26"/>
  <c r="N52" i="37"/>
  <c r="V45" i="23"/>
  <c r="W45" i="23" s="1"/>
  <c r="V45" i="34"/>
  <c r="X45" i="34" s="1"/>
  <c r="V27" i="23"/>
  <c r="W27" i="23" s="1"/>
  <c r="V27" i="34"/>
  <c r="X27" i="34" s="1"/>
  <c r="V38" i="23"/>
  <c r="W38" i="23" s="1"/>
  <c r="V38" i="34"/>
  <c r="X38" i="34" s="1"/>
  <c r="V47" i="23"/>
  <c r="W47" i="23" s="1"/>
  <c r="V47" i="34"/>
  <c r="X47" i="34" s="1"/>
  <c r="T48" i="24"/>
  <c r="U48" i="24" s="1"/>
  <c r="T48" i="35"/>
  <c r="V48" i="35" s="1"/>
  <c r="R36" i="25"/>
  <c r="S36" i="25" s="1"/>
  <c r="R36" i="36"/>
  <c r="T36" i="36" s="1"/>
  <c r="R43" i="36"/>
  <c r="T43" i="36" s="1"/>
  <c r="R43" i="25"/>
  <c r="S43" i="25" s="1"/>
  <c r="N50" i="37"/>
  <c r="N50" i="26"/>
  <c r="N65" i="26"/>
  <c r="N65" i="37"/>
  <c r="N96" i="26"/>
  <c r="N96" i="37"/>
  <c r="N55" i="26"/>
  <c r="N55" i="37"/>
  <c r="V34" i="23"/>
  <c r="W34" i="23" s="1"/>
  <c r="V34" i="34"/>
  <c r="X34" i="34" s="1"/>
  <c r="V49" i="23"/>
  <c r="W49" i="23" s="1"/>
  <c r="V49" i="34"/>
  <c r="X49" i="34" s="1"/>
  <c r="T41" i="24"/>
  <c r="U41" i="24" s="1"/>
  <c r="T41" i="35"/>
  <c r="V41" i="35" s="1"/>
  <c r="R47" i="36"/>
  <c r="T47" i="36" s="1"/>
  <c r="R47" i="25"/>
  <c r="S47" i="25" s="1"/>
  <c r="R39" i="36"/>
  <c r="T39" i="36" s="1"/>
  <c r="R39" i="25"/>
  <c r="S39" i="25" s="1"/>
  <c r="R46" i="36"/>
  <c r="T46" i="36" s="1"/>
  <c r="R46" i="25"/>
  <c r="S46" i="25" s="1"/>
  <c r="N56" i="26"/>
  <c r="N56" i="37"/>
  <c r="N68" i="26"/>
  <c r="N68" i="37"/>
  <c r="N31" i="37"/>
  <c r="N31" i="26"/>
  <c r="N78" i="26"/>
  <c r="N78" i="37"/>
  <c r="N58" i="26"/>
  <c r="N58" i="37"/>
  <c r="T44" i="24"/>
  <c r="U44" i="24" s="1"/>
  <c r="T44" i="35"/>
  <c r="V44" i="35" s="1"/>
  <c r="T31" i="24"/>
  <c r="U31" i="24" s="1"/>
  <c r="T31" i="35"/>
  <c r="V31" i="35" s="1"/>
  <c r="N35" i="37"/>
  <c r="N35" i="26"/>
  <c r="N59" i="26"/>
  <c r="N59" i="37"/>
  <c r="N85" i="26"/>
  <c r="N85" i="37"/>
  <c r="N103" i="26"/>
  <c r="N103" i="37"/>
  <c r="N32" i="26"/>
  <c r="N32" i="37"/>
  <c r="T36" i="24"/>
  <c r="U36" i="24" s="1"/>
  <c r="T36" i="35"/>
  <c r="V36" i="35" s="1"/>
  <c r="T37" i="24"/>
  <c r="U37" i="24" s="1"/>
  <c r="T37" i="35"/>
  <c r="V37" i="35" s="1"/>
  <c r="N38" i="26"/>
  <c r="N38" i="37"/>
  <c r="N74" i="26"/>
  <c r="N74" i="37"/>
  <c r="N83" i="37"/>
  <c r="N83" i="26"/>
  <c r="N37" i="26"/>
  <c r="N37" i="37"/>
  <c r="O37" i="37" s="1"/>
  <c r="N61" i="37"/>
  <c r="N61" i="26"/>
  <c r="T39" i="24"/>
  <c r="U39" i="24" s="1"/>
  <c r="T39" i="35"/>
  <c r="V39" i="35" s="1"/>
  <c r="T43" i="24"/>
  <c r="U43" i="24" s="1"/>
  <c r="T43" i="35"/>
  <c r="V43" i="35" s="1"/>
  <c r="R38" i="36"/>
  <c r="T38" i="36" s="1"/>
  <c r="R38" i="25"/>
  <c r="S38" i="25" s="1"/>
  <c r="N77" i="37"/>
  <c r="N77" i="26"/>
  <c r="N34" i="37"/>
  <c r="N34" i="26"/>
  <c r="N43" i="26"/>
  <c r="N43" i="37"/>
  <c r="N79" i="37"/>
  <c r="N79" i="26"/>
  <c r="V29" i="23"/>
  <c r="W29" i="23" s="1"/>
  <c r="V29" i="34"/>
  <c r="X29" i="34" s="1"/>
  <c r="T42" i="24"/>
  <c r="U42" i="24" s="1"/>
  <c r="T42" i="35"/>
  <c r="V42" i="35" s="1"/>
  <c r="T46" i="24"/>
  <c r="U46" i="24" s="1"/>
  <c r="T46" i="35"/>
  <c r="V46" i="35" s="1"/>
  <c r="R31" i="36"/>
  <c r="T31" i="36" s="1"/>
  <c r="R31" i="25"/>
  <c r="S31" i="25" s="1"/>
  <c r="N41" i="26"/>
  <c r="N41" i="37"/>
  <c r="N91" i="26"/>
  <c r="N91" i="37"/>
  <c r="R26" i="36"/>
  <c r="T26" i="36" s="1"/>
  <c r="R26" i="25"/>
  <c r="S26" i="25" s="1"/>
  <c r="N51" i="37"/>
  <c r="N51" i="26"/>
  <c r="N46" i="26"/>
  <c r="N46" i="37"/>
  <c r="N101" i="26"/>
  <c r="N101" i="37"/>
  <c r="T45" i="24"/>
  <c r="U45" i="24" s="1"/>
  <c r="T45" i="35"/>
  <c r="V45" i="35" s="1"/>
  <c r="T32" i="24"/>
  <c r="U32" i="24" s="1"/>
  <c r="T32" i="35"/>
  <c r="V32" i="35" s="1"/>
  <c r="R42" i="36"/>
  <c r="T42" i="36" s="1"/>
  <c r="R42" i="25"/>
  <c r="S42" i="25" s="1"/>
  <c r="R34" i="36"/>
  <c r="T34" i="36" s="1"/>
  <c r="R34" i="25"/>
  <c r="S34" i="25" s="1"/>
  <c r="N44" i="26"/>
  <c r="N44" i="37"/>
  <c r="N95" i="26"/>
  <c r="N95" i="37"/>
  <c r="N26" i="26"/>
  <c r="N26" i="37"/>
  <c r="N54" i="26"/>
  <c r="N54" i="37"/>
  <c r="N63" i="26"/>
  <c r="N63" i="37"/>
  <c r="N105" i="26"/>
  <c r="N105" i="37"/>
  <c r="F6" i="39"/>
  <c r="C8" i="5"/>
  <c r="D8" i="5"/>
  <c r="Z69" i="7"/>
  <c r="G36" i="14"/>
  <c r="C105" i="5"/>
  <c r="C92" i="5"/>
  <c r="C106" i="5"/>
  <c r="C104" i="5"/>
  <c r="S65" i="7"/>
  <c r="T46" i="7" s="1"/>
  <c r="S89" i="7"/>
  <c r="T65" i="7"/>
  <c r="T89" i="7"/>
  <c r="Z71" i="7"/>
  <c r="E105" i="7"/>
  <c r="E127" i="7"/>
  <c r="E129" i="7" s="1"/>
  <c r="D104" i="7"/>
  <c r="D126" i="7"/>
  <c r="D128" i="7" s="1"/>
  <c r="D105" i="7"/>
  <c r="D127" i="7"/>
  <c r="D129" i="7" s="1"/>
  <c r="F105" i="7"/>
  <c r="F127" i="7"/>
  <c r="F129" i="7" s="1"/>
  <c r="C126" i="7"/>
  <c r="F104" i="7"/>
  <c r="F126" i="7"/>
  <c r="F128" i="7" s="1"/>
  <c r="E104" i="7"/>
  <c r="E126" i="7"/>
  <c r="E128" i="7" s="1"/>
  <c r="G105" i="7"/>
  <c r="G127" i="7"/>
  <c r="G129" i="7" s="1"/>
  <c r="G104" i="7"/>
  <c r="G126" i="7"/>
  <c r="G128" i="7" s="1"/>
  <c r="C127" i="7"/>
  <c r="I16" i="19"/>
  <c r="Q16" i="19" s="1"/>
  <c r="S16" i="19" s="1"/>
  <c r="U16" i="19" s="1"/>
  <c r="G16" i="35"/>
  <c r="O16" i="35" s="1"/>
  <c r="S16" i="35" s="1"/>
  <c r="V16" i="35" s="1"/>
  <c r="I16" i="29"/>
  <c r="Q16" i="29" s="1"/>
  <c r="S16" i="29" s="1"/>
  <c r="V16" i="29" s="1"/>
  <c r="H16" i="31"/>
  <c r="P16" i="31" s="1"/>
  <c r="G16" i="24"/>
  <c r="O16" i="24" s="1"/>
  <c r="S16" i="24" s="1"/>
  <c r="U16" i="24" s="1"/>
  <c r="E16" i="37"/>
  <c r="J16" i="37" s="1"/>
  <c r="I16" i="30"/>
  <c r="P16" i="30" s="1"/>
  <c r="Q16" i="30" s="1"/>
  <c r="T16" i="30" s="1"/>
  <c r="I16" i="18"/>
  <c r="P16" i="18" s="1"/>
  <c r="Q16" i="18" s="1"/>
  <c r="S16" i="18" s="1"/>
  <c r="H16" i="20"/>
  <c r="P16" i="20" s="1"/>
  <c r="J16" i="17"/>
  <c r="S16" i="17" s="1"/>
  <c r="U16" i="17" s="1"/>
  <c r="W16" i="17" s="1"/>
  <c r="G16" i="36"/>
  <c r="N16" i="36" s="1"/>
  <c r="Q16" i="36" s="1"/>
  <c r="T16" i="36" s="1"/>
  <c r="J16" i="28"/>
  <c r="S16" i="28" s="1"/>
  <c r="U16" i="28" s="1"/>
  <c r="X16" i="28" s="1"/>
  <c r="G16" i="25"/>
  <c r="N16" i="25" s="1"/>
  <c r="Q16" i="25" s="1"/>
  <c r="S16" i="25" s="1"/>
  <c r="K16" i="34"/>
  <c r="T16" i="34" s="1"/>
  <c r="U16" i="34" s="1"/>
  <c r="X16" i="34" s="1"/>
  <c r="E16" i="26"/>
  <c r="J16" i="26" s="1"/>
  <c r="K16" i="23"/>
  <c r="T16" i="23" s="1"/>
  <c r="U16" i="23" s="1"/>
  <c r="W16" i="23" s="1"/>
  <c r="K51" i="34"/>
  <c r="T51" i="34" s="1"/>
  <c r="U51" i="34" s="1"/>
  <c r="E51" i="26"/>
  <c r="J51" i="26" s="1"/>
  <c r="I51" i="29"/>
  <c r="Q51" i="29" s="1"/>
  <c r="S51" i="29" s="1"/>
  <c r="H51" i="31"/>
  <c r="P51" i="31" s="1"/>
  <c r="S51" i="31" s="1"/>
  <c r="G51" i="24"/>
  <c r="O51" i="24" s="1"/>
  <c r="S51" i="24" s="1"/>
  <c r="K51" i="23"/>
  <c r="T51" i="23" s="1"/>
  <c r="U51" i="23" s="1"/>
  <c r="E51" i="37"/>
  <c r="J51" i="37" s="1"/>
  <c r="G51" i="35"/>
  <c r="O51" i="35" s="1"/>
  <c r="S51" i="35" s="1"/>
  <c r="I51" i="18"/>
  <c r="P51" i="18" s="1"/>
  <c r="Q51" i="18" s="1"/>
  <c r="G51" i="36"/>
  <c r="N51" i="36" s="1"/>
  <c r="Q51" i="36" s="1"/>
  <c r="I51" i="30"/>
  <c r="P51" i="30" s="1"/>
  <c r="Q51" i="30" s="1"/>
  <c r="J51" i="28"/>
  <c r="S51" i="28" s="1"/>
  <c r="U51" i="28" s="1"/>
  <c r="G51" i="25"/>
  <c r="N51" i="25" s="1"/>
  <c r="Q51" i="25" s="1"/>
  <c r="H51" i="20"/>
  <c r="P51" i="20" s="1"/>
  <c r="S51" i="20" s="1"/>
  <c r="I51" i="19"/>
  <c r="Q51" i="19" s="1"/>
  <c r="S51" i="19" s="1"/>
  <c r="J51" i="17"/>
  <c r="S51" i="17" s="1"/>
  <c r="U51" i="17" s="1"/>
  <c r="G60" i="25"/>
  <c r="N60" i="25" s="1"/>
  <c r="Q60" i="25" s="1"/>
  <c r="G60" i="36"/>
  <c r="N60" i="36" s="1"/>
  <c r="Q60" i="36" s="1"/>
  <c r="E60" i="37"/>
  <c r="J60" i="37" s="1"/>
  <c r="H60" i="20"/>
  <c r="P60" i="20" s="1"/>
  <c r="S60" i="20" s="1"/>
  <c r="J60" i="17"/>
  <c r="S60" i="17" s="1"/>
  <c r="U60" i="17" s="1"/>
  <c r="I60" i="19"/>
  <c r="Q60" i="19" s="1"/>
  <c r="S60" i="19" s="1"/>
  <c r="H60" i="31"/>
  <c r="P60" i="31" s="1"/>
  <c r="S60" i="31" s="1"/>
  <c r="I60" i="18"/>
  <c r="P60" i="18" s="1"/>
  <c r="Q60" i="18" s="1"/>
  <c r="K60" i="34"/>
  <c r="T60" i="34" s="1"/>
  <c r="U60" i="34" s="1"/>
  <c r="I60" i="29"/>
  <c r="Q60" i="29" s="1"/>
  <c r="S60" i="29" s="1"/>
  <c r="E60" i="26"/>
  <c r="J60" i="26" s="1"/>
  <c r="K60" i="23"/>
  <c r="T60" i="23" s="1"/>
  <c r="U60" i="23" s="1"/>
  <c r="G60" i="24"/>
  <c r="O60" i="24" s="1"/>
  <c r="S60" i="24" s="1"/>
  <c r="I60" i="30"/>
  <c r="P60" i="30" s="1"/>
  <c r="Q60" i="30" s="1"/>
  <c r="G60" i="35"/>
  <c r="O60" i="35" s="1"/>
  <c r="S60" i="35" s="1"/>
  <c r="J60" i="28"/>
  <c r="S60" i="28" s="1"/>
  <c r="U60" i="28" s="1"/>
  <c r="H85" i="20"/>
  <c r="P85" i="20" s="1"/>
  <c r="S85" i="20" s="1"/>
  <c r="J85" i="17"/>
  <c r="S85" i="17" s="1"/>
  <c r="U85" i="17" s="1"/>
  <c r="I85" i="19"/>
  <c r="Q85" i="19" s="1"/>
  <c r="S85" i="19" s="1"/>
  <c r="I85" i="30"/>
  <c r="P85" i="30" s="1"/>
  <c r="Q85" i="30" s="1"/>
  <c r="E85" i="26"/>
  <c r="J85" i="26" s="1"/>
  <c r="M85" i="26" s="1"/>
  <c r="G85" i="25"/>
  <c r="N85" i="25" s="1"/>
  <c r="Q85" i="25" s="1"/>
  <c r="I85" i="18"/>
  <c r="P85" i="18" s="1"/>
  <c r="Q85" i="18" s="1"/>
  <c r="H85" i="31"/>
  <c r="P85" i="31" s="1"/>
  <c r="S85" i="31" s="1"/>
  <c r="J85" i="28"/>
  <c r="K85" i="34"/>
  <c r="T85" i="34" s="1"/>
  <c r="U85" i="34" s="1"/>
  <c r="G85" i="35"/>
  <c r="O85" i="35" s="1"/>
  <c r="S85" i="35" s="1"/>
  <c r="I85" i="29"/>
  <c r="Q85" i="29" s="1"/>
  <c r="S85" i="29" s="1"/>
  <c r="K85" i="23"/>
  <c r="T85" i="23" s="1"/>
  <c r="U85" i="23" s="1"/>
  <c r="E85" i="37"/>
  <c r="J85" i="37" s="1"/>
  <c r="M85" i="37" s="1"/>
  <c r="G85" i="36"/>
  <c r="N85" i="36" s="1"/>
  <c r="Q85" i="36" s="1"/>
  <c r="G85" i="24"/>
  <c r="O85" i="24" s="1"/>
  <c r="S85" i="24" s="1"/>
  <c r="I52" i="29"/>
  <c r="Q52" i="29" s="1"/>
  <c r="S52" i="29" s="1"/>
  <c r="E52" i="26"/>
  <c r="J52" i="26" s="1"/>
  <c r="K52" i="23"/>
  <c r="T52" i="23" s="1"/>
  <c r="U52" i="23" s="1"/>
  <c r="G52" i="35"/>
  <c r="O52" i="35" s="1"/>
  <c r="S52" i="35" s="1"/>
  <c r="H52" i="31"/>
  <c r="P52" i="31" s="1"/>
  <c r="S52" i="31" s="1"/>
  <c r="G52" i="24"/>
  <c r="O52" i="24" s="1"/>
  <c r="S52" i="24" s="1"/>
  <c r="J52" i="28"/>
  <c r="S52" i="28" s="1"/>
  <c r="U52" i="28" s="1"/>
  <c r="E52" i="37"/>
  <c r="J52" i="37" s="1"/>
  <c r="G52" i="36"/>
  <c r="N52" i="36" s="1"/>
  <c r="Q52" i="36" s="1"/>
  <c r="I52" i="19"/>
  <c r="Q52" i="19" s="1"/>
  <c r="S52" i="19" s="1"/>
  <c r="I52" i="30"/>
  <c r="P52" i="30" s="1"/>
  <c r="Q52" i="30" s="1"/>
  <c r="G52" i="25"/>
  <c r="N52" i="25" s="1"/>
  <c r="Q52" i="25" s="1"/>
  <c r="I52" i="18"/>
  <c r="P52" i="18" s="1"/>
  <c r="Q52" i="18" s="1"/>
  <c r="K52" i="34"/>
  <c r="T52" i="34" s="1"/>
  <c r="U52" i="34" s="1"/>
  <c r="H52" i="20"/>
  <c r="P52" i="20" s="1"/>
  <c r="S52" i="20" s="1"/>
  <c r="J52" i="17"/>
  <c r="S52" i="17" s="1"/>
  <c r="U52" i="17" s="1"/>
  <c r="AG15" i="40"/>
  <c r="H14" i="31"/>
  <c r="P14" i="31" s="1"/>
  <c r="E14" i="37"/>
  <c r="J14" i="37" s="1"/>
  <c r="I14" i="18"/>
  <c r="P14" i="18" s="1"/>
  <c r="Q14" i="18" s="1"/>
  <c r="S14" i="18" s="1"/>
  <c r="G14" i="24"/>
  <c r="O14" i="24" s="1"/>
  <c r="S14" i="24" s="1"/>
  <c r="U14" i="24" s="1"/>
  <c r="I14" i="30"/>
  <c r="P14" i="30" s="1"/>
  <c r="Q14" i="30" s="1"/>
  <c r="K14" i="34"/>
  <c r="T14" i="34" s="1"/>
  <c r="U14" i="34" s="1"/>
  <c r="I14" i="29"/>
  <c r="Q14" i="29" s="1"/>
  <c r="S14" i="29" s="1"/>
  <c r="V14" i="29" s="1"/>
  <c r="G14" i="25"/>
  <c r="N14" i="25" s="1"/>
  <c r="Q14" i="25" s="1"/>
  <c r="S14" i="25" s="1"/>
  <c r="H14" i="20"/>
  <c r="P14" i="20" s="1"/>
  <c r="J14" i="17"/>
  <c r="S14" i="17" s="1"/>
  <c r="U14" i="17" s="1"/>
  <c r="W14" i="17" s="1"/>
  <c r="G14" i="36"/>
  <c r="N14" i="36" s="1"/>
  <c r="Q14" i="36" s="1"/>
  <c r="T14" i="36" s="1"/>
  <c r="I14" i="19"/>
  <c r="Q14" i="19" s="1"/>
  <c r="S14" i="19" s="1"/>
  <c r="U14" i="19" s="1"/>
  <c r="J14" i="28"/>
  <c r="S14" i="28" s="1"/>
  <c r="U14" i="28" s="1"/>
  <c r="X14" i="28" s="1"/>
  <c r="E14" i="26"/>
  <c r="J14" i="26" s="1"/>
  <c r="K14" i="23"/>
  <c r="T14" i="23" s="1"/>
  <c r="U14" i="23" s="1"/>
  <c r="W14" i="23" s="1"/>
  <c r="G14" i="35"/>
  <c r="O14" i="35" s="1"/>
  <c r="S14" i="35" s="1"/>
  <c r="V14" i="35" s="1"/>
  <c r="R15" i="40"/>
  <c r="L8" i="44"/>
  <c r="G24" i="24"/>
  <c r="O24" i="24" s="1"/>
  <c r="S24" i="24" s="1"/>
  <c r="U24" i="24" s="1"/>
  <c r="I24" i="19"/>
  <c r="Q24" i="19" s="1"/>
  <c r="S24" i="19" s="1"/>
  <c r="U24" i="19" s="1"/>
  <c r="H24" i="20"/>
  <c r="P24" i="20" s="1"/>
  <c r="J24" i="17"/>
  <c r="S24" i="17" s="1"/>
  <c r="U24" i="17" s="1"/>
  <c r="W24" i="17" s="1"/>
  <c r="G24" i="36"/>
  <c r="N24" i="36" s="1"/>
  <c r="Q24" i="36" s="1"/>
  <c r="T24" i="36" s="1"/>
  <c r="G24" i="25"/>
  <c r="N24" i="25" s="1"/>
  <c r="Q24" i="25" s="1"/>
  <c r="S24" i="25" s="1"/>
  <c r="K24" i="34"/>
  <c r="T24" i="34" s="1"/>
  <c r="U24" i="34" s="1"/>
  <c r="X24" i="34" s="1"/>
  <c r="E24" i="26"/>
  <c r="J24" i="26" s="1"/>
  <c r="K24" i="23"/>
  <c r="T24" i="23" s="1"/>
  <c r="U24" i="23" s="1"/>
  <c r="W24" i="23" s="1"/>
  <c r="H24" i="31"/>
  <c r="P24" i="31" s="1"/>
  <c r="E24" i="37"/>
  <c r="J24" i="37" s="1"/>
  <c r="I24" i="29"/>
  <c r="Q24" i="29" s="1"/>
  <c r="S24" i="29" s="1"/>
  <c r="V24" i="29" s="1"/>
  <c r="J24" i="28"/>
  <c r="S24" i="28" s="1"/>
  <c r="U24" i="28" s="1"/>
  <c r="X24" i="28" s="1"/>
  <c r="I24" i="18"/>
  <c r="P24" i="18" s="1"/>
  <c r="Q24" i="18" s="1"/>
  <c r="S24" i="18" s="1"/>
  <c r="G24" i="35"/>
  <c r="O24" i="35" s="1"/>
  <c r="S24" i="35" s="1"/>
  <c r="V24" i="35" s="1"/>
  <c r="I24" i="30"/>
  <c r="P24" i="30" s="1"/>
  <c r="Q24" i="30" s="1"/>
  <c r="T24" i="30" s="1"/>
  <c r="E81" i="26"/>
  <c r="J81" i="26" s="1"/>
  <c r="G81" i="24"/>
  <c r="O81" i="24" s="1"/>
  <c r="S81" i="24" s="1"/>
  <c r="I81" i="18"/>
  <c r="P81" i="18" s="1"/>
  <c r="Q81" i="18" s="1"/>
  <c r="G81" i="36"/>
  <c r="N81" i="36" s="1"/>
  <c r="Q81" i="36" s="1"/>
  <c r="G81" i="35"/>
  <c r="O81" i="35" s="1"/>
  <c r="S81" i="35" s="1"/>
  <c r="G81" i="25"/>
  <c r="N81" i="25" s="1"/>
  <c r="Q81" i="25" s="1"/>
  <c r="K81" i="23"/>
  <c r="T81" i="23" s="1"/>
  <c r="U81" i="23" s="1"/>
  <c r="J81" i="28"/>
  <c r="I81" i="19"/>
  <c r="Q81" i="19" s="1"/>
  <c r="S81" i="19" s="1"/>
  <c r="K81" i="34"/>
  <c r="T81" i="34" s="1"/>
  <c r="U81" i="34" s="1"/>
  <c r="I81" i="29"/>
  <c r="Q81" i="29" s="1"/>
  <c r="S81" i="29" s="1"/>
  <c r="H81" i="20"/>
  <c r="P81" i="20" s="1"/>
  <c r="S81" i="20" s="1"/>
  <c r="J81" i="17"/>
  <c r="S81" i="17" s="1"/>
  <c r="U81" i="17" s="1"/>
  <c r="H81" i="31"/>
  <c r="P81" i="31" s="1"/>
  <c r="S81" i="31" s="1"/>
  <c r="I81" i="30"/>
  <c r="P81" i="30" s="1"/>
  <c r="Q81" i="30" s="1"/>
  <c r="E81" i="37"/>
  <c r="J81" i="37" s="1"/>
  <c r="GD86" i="2"/>
  <c r="G82" i="36"/>
  <c r="N82" i="36" s="1"/>
  <c r="Q82" i="36" s="1"/>
  <c r="J82" i="28"/>
  <c r="E82" i="26"/>
  <c r="J82" i="26" s="1"/>
  <c r="K82" i="23"/>
  <c r="T82" i="23" s="1"/>
  <c r="U82" i="23" s="1"/>
  <c r="I82" i="18"/>
  <c r="P82" i="18" s="1"/>
  <c r="Q82" i="18" s="1"/>
  <c r="I82" i="29"/>
  <c r="Q82" i="29" s="1"/>
  <c r="S82" i="29" s="1"/>
  <c r="K82" i="34"/>
  <c r="T82" i="34" s="1"/>
  <c r="U82" i="34" s="1"/>
  <c r="G82" i="25"/>
  <c r="N82" i="25" s="1"/>
  <c r="Q82" i="25" s="1"/>
  <c r="I82" i="19"/>
  <c r="Q82" i="19" s="1"/>
  <c r="S82" i="19" s="1"/>
  <c r="I82" i="30"/>
  <c r="P82" i="30" s="1"/>
  <c r="Q82" i="30" s="1"/>
  <c r="H82" i="31"/>
  <c r="P82" i="31" s="1"/>
  <c r="S82" i="31" s="1"/>
  <c r="E82" i="37"/>
  <c r="J82" i="37" s="1"/>
  <c r="H82" i="20"/>
  <c r="P82" i="20" s="1"/>
  <c r="S82" i="20" s="1"/>
  <c r="J82" i="17"/>
  <c r="S82" i="17" s="1"/>
  <c r="U82" i="17" s="1"/>
  <c r="G82" i="24"/>
  <c r="O82" i="24" s="1"/>
  <c r="S82" i="24" s="1"/>
  <c r="G82" i="35"/>
  <c r="O82" i="35" s="1"/>
  <c r="S82" i="35" s="1"/>
  <c r="D1" i="22"/>
  <c r="D1" i="33"/>
  <c r="L62" i="44"/>
  <c r="BM15" i="40"/>
  <c r="G76" i="25"/>
  <c r="N76" i="25" s="1"/>
  <c r="Q76" i="25" s="1"/>
  <c r="E76" i="37"/>
  <c r="J76" i="37" s="1"/>
  <c r="I76" i="29"/>
  <c r="Q76" i="29" s="1"/>
  <c r="S76" i="29" s="1"/>
  <c r="J76" i="28"/>
  <c r="G76" i="36"/>
  <c r="N76" i="36" s="1"/>
  <c r="Q76" i="36" s="1"/>
  <c r="G76" i="35"/>
  <c r="O76" i="35" s="1"/>
  <c r="S76" i="35" s="1"/>
  <c r="H76" i="31"/>
  <c r="I76" i="30"/>
  <c r="P76" i="30" s="1"/>
  <c r="Q76" i="30" s="1"/>
  <c r="H76" i="20"/>
  <c r="P76" i="20" s="1"/>
  <c r="S76" i="20" s="1"/>
  <c r="J76" i="17"/>
  <c r="S76" i="17" s="1"/>
  <c r="U76" i="17" s="1"/>
  <c r="I76" i="19"/>
  <c r="Q76" i="19" s="1"/>
  <c r="S76" i="19" s="1"/>
  <c r="I76" i="18"/>
  <c r="P76" i="18" s="1"/>
  <c r="Q76" i="18" s="1"/>
  <c r="K76" i="34"/>
  <c r="T76" i="34" s="1"/>
  <c r="U76" i="34" s="1"/>
  <c r="E76" i="26"/>
  <c r="J76" i="26" s="1"/>
  <c r="K76" i="23"/>
  <c r="T76" i="23" s="1"/>
  <c r="U76" i="23" s="1"/>
  <c r="G76" i="24"/>
  <c r="O76" i="24" s="1"/>
  <c r="S76" i="24" s="1"/>
  <c r="L60" i="44"/>
  <c r="AX15" i="40"/>
  <c r="J15" i="40"/>
  <c r="L7" i="44"/>
  <c r="E61" i="37"/>
  <c r="J61" i="37" s="1"/>
  <c r="M61" i="37" s="1"/>
  <c r="K61" i="34"/>
  <c r="T61" i="34" s="1"/>
  <c r="U61" i="34" s="1"/>
  <c r="I61" i="19"/>
  <c r="Q61" i="19" s="1"/>
  <c r="S61" i="19" s="1"/>
  <c r="H61" i="31"/>
  <c r="P61" i="31" s="1"/>
  <c r="S61" i="31" s="1"/>
  <c r="I61" i="29"/>
  <c r="Q61" i="29" s="1"/>
  <c r="S61" i="29" s="1"/>
  <c r="K61" i="23"/>
  <c r="T61" i="23" s="1"/>
  <c r="U61" i="23" s="1"/>
  <c r="I61" i="18"/>
  <c r="P61" i="18" s="1"/>
  <c r="Q61" i="18" s="1"/>
  <c r="J61" i="28"/>
  <c r="S61" i="28" s="1"/>
  <c r="U61" i="28" s="1"/>
  <c r="G61" i="24"/>
  <c r="O61" i="24" s="1"/>
  <c r="S61" i="24" s="1"/>
  <c r="I61" i="30"/>
  <c r="P61" i="30" s="1"/>
  <c r="Q61" i="30" s="1"/>
  <c r="H61" i="20"/>
  <c r="P61" i="20" s="1"/>
  <c r="S61" i="20" s="1"/>
  <c r="J61" i="17"/>
  <c r="S61" i="17" s="1"/>
  <c r="U61" i="17" s="1"/>
  <c r="G61" i="35"/>
  <c r="O61" i="35" s="1"/>
  <c r="S61" i="35" s="1"/>
  <c r="E61" i="26"/>
  <c r="J61" i="26" s="1"/>
  <c r="M61" i="26" s="1"/>
  <c r="G61" i="25"/>
  <c r="N61" i="25" s="1"/>
  <c r="Q61" i="25" s="1"/>
  <c r="G61" i="36"/>
  <c r="N61" i="36" s="1"/>
  <c r="Q61" i="36" s="1"/>
  <c r="G50" i="35"/>
  <c r="O50" i="35" s="1"/>
  <c r="S50" i="35" s="1"/>
  <c r="I50" i="29"/>
  <c r="Q50" i="29" s="1"/>
  <c r="S50" i="29" s="1"/>
  <c r="E50" i="26"/>
  <c r="J50" i="26" s="1"/>
  <c r="K50" i="23"/>
  <c r="T50" i="23" s="1"/>
  <c r="U50" i="23" s="1"/>
  <c r="I50" i="18"/>
  <c r="P50" i="18" s="1"/>
  <c r="Q50" i="18" s="1"/>
  <c r="G50" i="25"/>
  <c r="N50" i="25" s="1"/>
  <c r="Q50" i="25" s="1"/>
  <c r="I50" i="30"/>
  <c r="P50" i="30" s="1"/>
  <c r="Q50" i="30" s="1"/>
  <c r="I50" i="19"/>
  <c r="Q50" i="19" s="1"/>
  <c r="S50" i="19" s="1"/>
  <c r="G50" i="36"/>
  <c r="N50" i="36" s="1"/>
  <c r="Q50" i="36" s="1"/>
  <c r="J50" i="28"/>
  <c r="S50" i="28" s="1"/>
  <c r="U50" i="28" s="1"/>
  <c r="K50" i="34"/>
  <c r="T50" i="34" s="1"/>
  <c r="U50" i="34" s="1"/>
  <c r="H50" i="20"/>
  <c r="P50" i="20" s="1"/>
  <c r="S50" i="20" s="1"/>
  <c r="J50" i="17"/>
  <c r="S50" i="17" s="1"/>
  <c r="U50" i="17" s="1"/>
  <c r="H50" i="31"/>
  <c r="P50" i="31" s="1"/>
  <c r="S50" i="31" s="1"/>
  <c r="G50" i="24"/>
  <c r="O50" i="24" s="1"/>
  <c r="S50" i="24" s="1"/>
  <c r="E50" i="37"/>
  <c r="J50" i="37" s="1"/>
  <c r="K53" i="34"/>
  <c r="T53" i="34" s="1"/>
  <c r="U53" i="34" s="1"/>
  <c r="H53" i="20"/>
  <c r="P53" i="20" s="1"/>
  <c r="S53" i="20" s="1"/>
  <c r="J53" i="17"/>
  <c r="S53" i="17" s="1"/>
  <c r="U53" i="17" s="1"/>
  <c r="G53" i="36"/>
  <c r="N53" i="36" s="1"/>
  <c r="Q53" i="36" s="1"/>
  <c r="E53" i="37"/>
  <c r="J53" i="37" s="1"/>
  <c r="I53" i="19"/>
  <c r="Q53" i="19" s="1"/>
  <c r="S53" i="19" s="1"/>
  <c r="I53" i="30"/>
  <c r="P53" i="30" s="1"/>
  <c r="Q53" i="30" s="1"/>
  <c r="E53" i="26"/>
  <c r="J53" i="26" s="1"/>
  <c r="G53" i="25"/>
  <c r="N53" i="25" s="1"/>
  <c r="Q53" i="25" s="1"/>
  <c r="I53" i="18"/>
  <c r="P53" i="18" s="1"/>
  <c r="Q53" i="18" s="1"/>
  <c r="I53" i="29"/>
  <c r="Q53" i="29" s="1"/>
  <c r="S53" i="29" s="1"/>
  <c r="K53" i="23"/>
  <c r="T53" i="23" s="1"/>
  <c r="U53" i="23" s="1"/>
  <c r="J53" i="28"/>
  <c r="S53" i="28" s="1"/>
  <c r="U53" i="28" s="1"/>
  <c r="G53" i="35"/>
  <c r="O53" i="35" s="1"/>
  <c r="S53" i="35" s="1"/>
  <c r="H53" i="31"/>
  <c r="P53" i="31" s="1"/>
  <c r="S53" i="31" s="1"/>
  <c r="G53" i="24"/>
  <c r="O53" i="24" s="1"/>
  <c r="S53" i="24" s="1"/>
  <c r="G77" i="36"/>
  <c r="N77" i="36" s="1"/>
  <c r="Q77" i="36" s="1"/>
  <c r="G77" i="35"/>
  <c r="O77" i="35" s="1"/>
  <c r="S77" i="35" s="1"/>
  <c r="K77" i="34"/>
  <c r="T77" i="34" s="1"/>
  <c r="U77" i="34" s="1"/>
  <c r="H77" i="31"/>
  <c r="P77" i="31" s="1"/>
  <c r="S77" i="31" s="1"/>
  <c r="I77" i="30"/>
  <c r="P77" i="30" s="1"/>
  <c r="Q77" i="30" s="1"/>
  <c r="I77" i="19"/>
  <c r="Q77" i="19" s="1"/>
  <c r="S77" i="19" s="1"/>
  <c r="K77" i="23"/>
  <c r="T77" i="23" s="1"/>
  <c r="U77" i="23" s="1"/>
  <c r="I77" i="18"/>
  <c r="P77" i="18" s="1"/>
  <c r="Q77" i="18" s="1"/>
  <c r="G77" i="24"/>
  <c r="O77" i="24" s="1"/>
  <c r="S77" i="24" s="1"/>
  <c r="H77" i="20"/>
  <c r="P77" i="20" s="1"/>
  <c r="S77" i="20" s="1"/>
  <c r="J77" i="17"/>
  <c r="S77" i="17" s="1"/>
  <c r="U77" i="17" s="1"/>
  <c r="I77" i="29"/>
  <c r="Q77" i="29" s="1"/>
  <c r="S77" i="29" s="1"/>
  <c r="E77" i="26"/>
  <c r="J77" i="26" s="1"/>
  <c r="G77" i="25"/>
  <c r="N77" i="25" s="1"/>
  <c r="Q77" i="25" s="1"/>
  <c r="J77" i="28"/>
  <c r="E77" i="37"/>
  <c r="J77" i="37" s="1"/>
  <c r="I78" i="18"/>
  <c r="P78" i="18" s="1"/>
  <c r="Q78" i="18" s="1"/>
  <c r="I78" i="29"/>
  <c r="Q78" i="29" s="1"/>
  <c r="S78" i="29" s="1"/>
  <c r="G78" i="24"/>
  <c r="O78" i="24" s="1"/>
  <c r="S78" i="24" s="1"/>
  <c r="J78" i="28"/>
  <c r="G78" i="25"/>
  <c r="N78" i="25" s="1"/>
  <c r="Q78" i="25" s="1"/>
  <c r="K78" i="34"/>
  <c r="T78" i="34" s="1"/>
  <c r="U78" i="34" s="1"/>
  <c r="H78" i="20"/>
  <c r="P78" i="20" s="1"/>
  <c r="S78" i="20" s="1"/>
  <c r="J78" i="17"/>
  <c r="S78" i="17" s="1"/>
  <c r="U78" i="17" s="1"/>
  <c r="E78" i="37"/>
  <c r="J78" i="37" s="1"/>
  <c r="G78" i="36"/>
  <c r="N78" i="36" s="1"/>
  <c r="Q78" i="36" s="1"/>
  <c r="G78" i="35"/>
  <c r="O78" i="35" s="1"/>
  <c r="S78" i="35" s="1"/>
  <c r="H78" i="31"/>
  <c r="P78" i="31" s="1"/>
  <c r="S78" i="31" s="1"/>
  <c r="I78" i="19"/>
  <c r="Q78" i="19" s="1"/>
  <c r="S78" i="19" s="1"/>
  <c r="I78" i="30"/>
  <c r="P78" i="30" s="1"/>
  <c r="Q78" i="30" s="1"/>
  <c r="E78" i="26"/>
  <c r="J78" i="26" s="1"/>
  <c r="K78" i="23"/>
  <c r="T78" i="23" s="1"/>
  <c r="U78" i="23" s="1"/>
  <c r="L9" i="44"/>
  <c r="Z15" i="40"/>
  <c r="L57" i="44"/>
  <c r="D1" i="29"/>
  <c r="BO5" i="2"/>
  <c r="G56" i="24"/>
  <c r="O56" i="24" s="1"/>
  <c r="S56" i="24" s="1"/>
  <c r="I56" i="19"/>
  <c r="Q56" i="19" s="1"/>
  <c r="S56" i="19" s="1"/>
  <c r="K56" i="34"/>
  <c r="T56" i="34" s="1"/>
  <c r="U56" i="34" s="1"/>
  <c r="J56" i="28"/>
  <c r="S56" i="28" s="1"/>
  <c r="U56" i="28" s="1"/>
  <c r="H56" i="20"/>
  <c r="P56" i="20" s="1"/>
  <c r="S56" i="20" s="1"/>
  <c r="J56" i="17"/>
  <c r="S56" i="17" s="1"/>
  <c r="U56" i="17" s="1"/>
  <c r="I56" i="30"/>
  <c r="P56" i="30" s="1"/>
  <c r="Q56" i="30" s="1"/>
  <c r="G56" i="25"/>
  <c r="N56" i="25" s="1"/>
  <c r="Q56" i="25" s="1"/>
  <c r="E56" i="37"/>
  <c r="J56" i="37" s="1"/>
  <c r="E56" i="26"/>
  <c r="J56" i="26" s="1"/>
  <c r="K56" i="23"/>
  <c r="T56" i="23" s="1"/>
  <c r="U56" i="23" s="1"/>
  <c r="I56" i="18"/>
  <c r="P56" i="18" s="1"/>
  <c r="Q56" i="18" s="1"/>
  <c r="G56" i="36"/>
  <c r="N56" i="36" s="1"/>
  <c r="Q56" i="36" s="1"/>
  <c r="G56" i="35"/>
  <c r="O56" i="35" s="1"/>
  <c r="S56" i="35" s="1"/>
  <c r="H56" i="31"/>
  <c r="P56" i="31" s="1"/>
  <c r="S56" i="31" s="1"/>
  <c r="I56" i="29"/>
  <c r="Q56" i="29" s="1"/>
  <c r="S56" i="29" s="1"/>
  <c r="K79" i="34"/>
  <c r="T79" i="34" s="1"/>
  <c r="U79" i="34" s="1"/>
  <c r="G79" i="35"/>
  <c r="O79" i="35" s="1"/>
  <c r="S79" i="35" s="1"/>
  <c r="G79" i="25"/>
  <c r="N79" i="25" s="1"/>
  <c r="Q79" i="25" s="1"/>
  <c r="G79" i="36"/>
  <c r="N79" i="36" s="1"/>
  <c r="Q79" i="36" s="1"/>
  <c r="E79" i="37"/>
  <c r="J79" i="37" s="1"/>
  <c r="K79" i="23"/>
  <c r="T79" i="23" s="1"/>
  <c r="U79" i="23" s="1"/>
  <c r="I79" i="19"/>
  <c r="Q79" i="19" s="1"/>
  <c r="S79" i="19" s="1"/>
  <c r="H79" i="31"/>
  <c r="P79" i="31" s="1"/>
  <c r="S79" i="31" s="1"/>
  <c r="I79" i="30"/>
  <c r="P79" i="30" s="1"/>
  <c r="Q79" i="30" s="1"/>
  <c r="I79" i="29"/>
  <c r="Q79" i="29" s="1"/>
  <c r="S79" i="29" s="1"/>
  <c r="H79" i="20"/>
  <c r="P79" i="20" s="1"/>
  <c r="S79" i="20" s="1"/>
  <c r="J79" i="17"/>
  <c r="S79" i="17" s="1"/>
  <c r="U79" i="17" s="1"/>
  <c r="J79" i="28"/>
  <c r="G79" i="24"/>
  <c r="O79" i="24" s="1"/>
  <c r="S79" i="24" s="1"/>
  <c r="I79" i="18"/>
  <c r="P79" i="18" s="1"/>
  <c r="Q79" i="18" s="1"/>
  <c r="E79" i="26"/>
  <c r="J79" i="26" s="1"/>
  <c r="J25" i="28"/>
  <c r="S25" i="28" s="1"/>
  <c r="U25" i="28" s="1"/>
  <c r="X25" i="28" s="1"/>
  <c r="G25" i="25"/>
  <c r="N25" i="25" s="1"/>
  <c r="Q25" i="25" s="1"/>
  <c r="S25" i="25" s="1"/>
  <c r="K25" i="23"/>
  <c r="T25" i="23" s="1"/>
  <c r="U25" i="23" s="1"/>
  <c r="W25" i="23" s="1"/>
  <c r="I25" i="29"/>
  <c r="Q25" i="29" s="1"/>
  <c r="S25" i="29" s="1"/>
  <c r="V25" i="29" s="1"/>
  <c r="H25" i="31"/>
  <c r="P25" i="31" s="1"/>
  <c r="H25" i="20"/>
  <c r="P25" i="20" s="1"/>
  <c r="J25" i="17"/>
  <c r="S25" i="17" s="1"/>
  <c r="U25" i="17" s="1"/>
  <c r="W25" i="17" s="1"/>
  <c r="E25" i="37"/>
  <c r="J25" i="37" s="1"/>
  <c r="G25" i="35"/>
  <c r="O25" i="35" s="1"/>
  <c r="S25" i="35" s="1"/>
  <c r="V25" i="35" s="1"/>
  <c r="I25" i="18"/>
  <c r="P25" i="18" s="1"/>
  <c r="Q25" i="18" s="1"/>
  <c r="S25" i="18" s="1"/>
  <c r="I25" i="30"/>
  <c r="P25" i="30" s="1"/>
  <c r="Q25" i="30" s="1"/>
  <c r="T25" i="30" s="1"/>
  <c r="E25" i="26"/>
  <c r="J25" i="26" s="1"/>
  <c r="I25" i="19"/>
  <c r="Q25" i="19" s="1"/>
  <c r="S25" i="19" s="1"/>
  <c r="U25" i="19" s="1"/>
  <c r="G25" i="24"/>
  <c r="O25" i="24" s="1"/>
  <c r="S25" i="24" s="1"/>
  <c r="U25" i="24" s="1"/>
  <c r="G25" i="36"/>
  <c r="N25" i="36" s="1"/>
  <c r="Q25" i="36" s="1"/>
  <c r="T25" i="36" s="1"/>
  <c r="K25" i="34"/>
  <c r="T25" i="34" s="1"/>
  <c r="U25" i="34" s="1"/>
  <c r="X25" i="34" s="1"/>
  <c r="D1" i="31"/>
  <c r="E83" i="26"/>
  <c r="J83" i="26" s="1"/>
  <c r="H83" i="31"/>
  <c r="P83" i="31" s="1"/>
  <c r="S83" i="31" s="1"/>
  <c r="E83" i="37"/>
  <c r="J83" i="37" s="1"/>
  <c r="G83" i="35"/>
  <c r="O83" i="35" s="1"/>
  <c r="S83" i="35" s="1"/>
  <c r="K83" i="34"/>
  <c r="T83" i="34" s="1"/>
  <c r="U83" i="34" s="1"/>
  <c r="I83" i="29"/>
  <c r="Q83" i="29" s="1"/>
  <c r="S83" i="29" s="1"/>
  <c r="J83" i="28"/>
  <c r="G83" i="24"/>
  <c r="O83" i="24" s="1"/>
  <c r="S83" i="24" s="1"/>
  <c r="G83" i="36"/>
  <c r="N83" i="36" s="1"/>
  <c r="Q83" i="36" s="1"/>
  <c r="K83" i="23"/>
  <c r="T83" i="23" s="1"/>
  <c r="U83" i="23" s="1"/>
  <c r="I83" i="18"/>
  <c r="P83" i="18" s="1"/>
  <c r="Q83" i="18" s="1"/>
  <c r="G83" i="25"/>
  <c r="N83" i="25" s="1"/>
  <c r="Q83" i="25" s="1"/>
  <c r="H83" i="20"/>
  <c r="P83" i="20" s="1"/>
  <c r="S83" i="20" s="1"/>
  <c r="I83" i="19"/>
  <c r="Q83" i="19" s="1"/>
  <c r="S83" i="19" s="1"/>
  <c r="J83" i="17"/>
  <c r="S83" i="17" s="1"/>
  <c r="U83" i="17" s="1"/>
  <c r="I83" i="30"/>
  <c r="P83" i="30" s="1"/>
  <c r="Q83" i="30" s="1"/>
  <c r="E84" i="37"/>
  <c r="J84" i="37" s="1"/>
  <c r="G84" i="35"/>
  <c r="O84" i="35" s="1"/>
  <c r="S84" i="35" s="1"/>
  <c r="K84" i="34"/>
  <c r="T84" i="34" s="1"/>
  <c r="U84" i="34" s="1"/>
  <c r="I84" i="29"/>
  <c r="Q84" i="29" s="1"/>
  <c r="S84" i="29" s="1"/>
  <c r="E84" i="26"/>
  <c r="J84" i="26" s="1"/>
  <c r="K84" i="23"/>
  <c r="T84" i="23" s="1"/>
  <c r="U84" i="23" s="1"/>
  <c r="G84" i="36"/>
  <c r="N84" i="36" s="1"/>
  <c r="Q84" i="36" s="1"/>
  <c r="G84" i="24"/>
  <c r="O84" i="24" s="1"/>
  <c r="S84" i="24" s="1"/>
  <c r="I84" i="19"/>
  <c r="Q84" i="19" s="1"/>
  <c r="S84" i="19" s="1"/>
  <c r="I84" i="30"/>
  <c r="P84" i="30" s="1"/>
  <c r="Q84" i="30" s="1"/>
  <c r="G84" i="25"/>
  <c r="N84" i="25" s="1"/>
  <c r="Q84" i="25" s="1"/>
  <c r="I84" i="18"/>
  <c r="P84" i="18" s="1"/>
  <c r="Q84" i="18" s="1"/>
  <c r="H84" i="31"/>
  <c r="J84" i="28"/>
  <c r="H84" i="20"/>
  <c r="P84" i="20" s="1"/>
  <c r="S84" i="20" s="1"/>
  <c r="J84" i="17"/>
  <c r="S84" i="17" s="1"/>
  <c r="U84" i="17" s="1"/>
  <c r="E17" i="26"/>
  <c r="J17" i="26" s="1"/>
  <c r="G17" i="24"/>
  <c r="O17" i="24" s="1"/>
  <c r="S17" i="24" s="1"/>
  <c r="U17" i="24" s="1"/>
  <c r="I17" i="30"/>
  <c r="P17" i="30" s="1"/>
  <c r="Q17" i="30" s="1"/>
  <c r="T17" i="30" s="1"/>
  <c r="J17" i="28"/>
  <c r="S17" i="28" s="1"/>
  <c r="U17" i="28" s="1"/>
  <c r="X17" i="28" s="1"/>
  <c r="E17" i="37"/>
  <c r="J17" i="37" s="1"/>
  <c r="I17" i="18"/>
  <c r="P17" i="18" s="1"/>
  <c r="Q17" i="18" s="1"/>
  <c r="S17" i="18" s="1"/>
  <c r="G17" i="36"/>
  <c r="N17" i="36" s="1"/>
  <c r="Q17" i="36" s="1"/>
  <c r="T17" i="36" s="1"/>
  <c r="K17" i="34"/>
  <c r="T17" i="34" s="1"/>
  <c r="U17" i="34" s="1"/>
  <c r="X17" i="34" s="1"/>
  <c r="G17" i="25"/>
  <c r="N17" i="25" s="1"/>
  <c r="Q17" i="25" s="1"/>
  <c r="S17" i="25" s="1"/>
  <c r="K17" i="23"/>
  <c r="T17" i="23" s="1"/>
  <c r="U17" i="23" s="1"/>
  <c r="W17" i="23" s="1"/>
  <c r="I17" i="29"/>
  <c r="Q17" i="29" s="1"/>
  <c r="S17" i="29" s="1"/>
  <c r="V17" i="29" s="1"/>
  <c r="I17" i="19"/>
  <c r="Q17" i="19" s="1"/>
  <c r="S17" i="19" s="1"/>
  <c r="U17" i="19" s="1"/>
  <c r="G17" i="35"/>
  <c r="O17" i="35" s="1"/>
  <c r="S17" i="35" s="1"/>
  <c r="V17" i="35" s="1"/>
  <c r="H17" i="20"/>
  <c r="P17" i="20" s="1"/>
  <c r="J17" i="17"/>
  <c r="S17" i="17" s="1"/>
  <c r="U17" i="17" s="1"/>
  <c r="W17" i="17" s="1"/>
  <c r="H17" i="31"/>
  <c r="P17" i="31" s="1"/>
  <c r="BF15" i="40"/>
  <c r="L61" i="44"/>
  <c r="G75" i="24"/>
  <c r="O75" i="24" s="1"/>
  <c r="S75" i="24" s="1"/>
  <c r="K75" i="23"/>
  <c r="T75" i="23" s="1"/>
  <c r="U75" i="23" s="1"/>
  <c r="K75" i="34"/>
  <c r="T75" i="34" s="1"/>
  <c r="U75" i="34" s="1"/>
  <c r="E75" i="37"/>
  <c r="J75" i="37" s="1"/>
  <c r="G75" i="25"/>
  <c r="N75" i="25" s="1"/>
  <c r="Q75" i="25" s="1"/>
  <c r="H75" i="20"/>
  <c r="P75" i="20" s="1"/>
  <c r="S75" i="20" s="1"/>
  <c r="J75" i="17"/>
  <c r="S75" i="17" s="1"/>
  <c r="U75" i="17" s="1"/>
  <c r="I75" i="29"/>
  <c r="Q75" i="29" s="1"/>
  <c r="S75" i="29" s="1"/>
  <c r="E75" i="26"/>
  <c r="J75" i="26" s="1"/>
  <c r="H75" i="31"/>
  <c r="P75" i="31" s="1"/>
  <c r="S75" i="31" s="1"/>
  <c r="G75" i="35"/>
  <c r="O75" i="35" s="1"/>
  <c r="S75" i="35" s="1"/>
  <c r="I75" i="30"/>
  <c r="P75" i="30" s="1"/>
  <c r="Q75" i="30" s="1"/>
  <c r="I75" i="18"/>
  <c r="P75" i="18" s="1"/>
  <c r="Q75" i="18" s="1"/>
  <c r="G75" i="36"/>
  <c r="J75" i="28"/>
  <c r="I75" i="19"/>
  <c r="Q75" i="19" s="1"/>
  <c r="S75" i="19" s="1"/>
  <c r="G20" i="36"/>
  <c r="N20" i="36" s="1"/>
  <c r="Q20" i="36" s="1"/>
  <c r="T20" i="36" s="1"/>
  <c r="I20" i="30"/>
  <c r="P20" i="30" s="1"/>
  <c r="Q20" i="30" s="1"/>
  <c r="T20" i="30" s="1"/>
  <c r="E20" i="26"/>
  <c r="J20" i="26" s="1"/>
  <c r="K20" i="23"/>
  <c r="T20" i="23" s="1"/>
  <c r="U20" i="23" s="1"/>
  <c r="W20" i="23" s="1"/>
  <c r="G20" i="24"/>
  <c r="O20" i="24" s="1"/>
  <c r="S20" i="24" s="1"/>
  <c r="U20" i="24" s="1"/>
  <c r="G20" i="35"/>
  <c r="O20" i="35" s="1"/>
  <c r="S20" i="35" s="1"/>
  <c r="V20" i="35" s="1"/>
  <c r="I20" i="19"/>
  <c r="Q20" i="19" s="1"/>
  <c r="S20" i="19" s="1"/>
  <c r="U20" i="19" s="1"/>
  <c r="E20" i="37"/>
  <c r="J20" i="37" s="1"/>
  <c r="G20" i="25"/>
  <c r="N20" i="25" s="1"/>
  <c r="Q20" i="25" s="1"/>
  <c r="S20" i="25" s="1"/>
  <c r="I20" i="18"/>
  <c r="P20" i="18" s="1"/>
  <c r="Q20" i="18" s="1"/>
  <c r="S20" i="18" s="1"/>
  <c r="J20" i="28"/>
  <c r="S20" i="28" s="1"/>
  <c r="U20" i="28" s="1"/>
  <c r="X20" i="28" s="1"/>
  <c r="K20" i="34"/>
  <c r="T20" i="34" s="1"/>
  <c r="U20" i="34" s="1"/>
  <c r="X20" i="34" s="1"/>
  <c r="I20" i="29"/>
  <c r="Q20" i="29" s="1"/>
  <c r="S20" i="29" s="1"/>
  <c r="V20" i="29" s="1"/>
  <c r="H20" i="31"/>
  <c r="P20" i="31" s="1"/>
  <c r="H20" i="20"/>
  <c r="P20" i="20" s="1"/>
  <c r="J20" i="17"/>
  <c r="S20" i="17" s="1"/>
  <c r="U20" i="17" s="1"/>
  <c r="W20" i="17" s="1"/>
  <c r="I57" i="30"/>
  <c r="P57" i="30" s="1"/>
  <c r="Q57" i="30" s="1"/>
  <c r="G57" i="25"/>
  <c r="N57" i="25" s="1"/>
  <c r="Q57" i="25" s="1"/>
  <c r="K57" i="23"/>
  <c r="T57" i="23" s="1"/>
  <c r="U57" i="23" s="1"/>
  <c r="E57" i="37"/>
  <c r="J57" i="37" s="1"/>
  <c r="H57" i="20"/>
  <c r="P57" i="20" s="1"/>
  <c r="S57" i="20" s="1"/>
  <c r="J57" i="17"/>
  <c r="S57" i="17" s="1"/>
  <c r="U57" i="17" s="1"/>
  <c r="G57" i="36"/>
  <c r="N57" i="36" s="1"/>
  <c r="Q57" i="36" s="1"/>
  <c r="G57" i="35"/>
  <c r="O57" i="35" s="1"/>
  <c r="S57" i="35" s="1"/>
  <c r="I57" i="18"/>
  <c r="P57" i="18" s="1"/>
  <c r="Q57" i="18" s="1"/>
  <c r="I57" i="29"/>
  <c r="Q57" i="29" s="1"/>
  <c r="S57" i="29" s="1"/>
  <c r="E57" i="26"/>
  <c r="J57" i="26" s="1"/>
  <c r="K57" i="34"/>
  <c r="T57" i="34" s="1"/>
  <c r="U57" i="34" s="1"/>
  <c r="H57" i="31"/>
  <c r="P57" i="31" s="1"/>
  <c r="S57" i="31" s="1"/>
  <c r="J57" i="28"/>
  <c r="S57" i="28" s="1"/>
  <c r="U57" i="28" s="1"/>
  <c r="I57" i="19"/>
  <c r="Q57" i="19" s="1"/>
  <c r="S57" i="19" s="1"/>
  <c r="G57" i="24"/>
  <c r="O57" i="24" s="1"/>
  <c r="S57" i="24" s="1"/>
  <c r="J58" i="28"/>
  <c r="S58" i="28" s="1"/>
  <c r="U58" i="28" s="1"/>
  <c r="I58" i="18"/>
  <c r="P58" i="18" s="1"/>
  <c r="Q58" i="18" s="1"/>
  <c r="K58" i="34"/>
  <c r="T58" i="34" s="1"/>
  <c r="U58" i="34" s="1"/>
  <c r="H58" i="31"/>
  <c r="P58" i="31" s="1"/>
  <c r="S58" i="31" s="1"/>
  <c r="I58" i="19"/>
  <c r="Q58" i="19" s="1"/>
  <c r="S58" i="19" s="1"/>
  <c r="H58" i="20"/>
  <c r="P58" i="20" s="1"/>
  <c r="S58" i="20" s="1"/>
  <c r="J58" i="17"/>
  <c r="S58" i="17" s="1"/>
  <c r="U58" i="17" s="1"/>
  <c r="G58" i="24"/>
  <c r="O58" i="24" s="1"/>
  <c r="S58" i="24" s="1"/>
  <c r="E58" i="26"/>
  <c r="J58" i="26" s="1"/>
  <c r="K58" i="23"/>
  <c r="T58" i="23" s="1"/>
  <c r="U58" i="23" s="1"/>
  <c r="I58" i="30"/>
  <c r="P58" i="30" s="1"/>
  <c r="Q58" i="30" s="1"/>
  <c r="G58" i="25"/>
  <c r="N58" i="25" s="1"/>
  <c r="Q58" i="25" s="1"/>
  <c r="I58" i="29"/>
  <c r="Q58" i="29" s="1"/>
  <c r="S58" i="29" s="1"/>
  <c r="E58" i="37"/>
  <c r="J58" i="37" s="1"/>
  <c r="G58" i="35"/>
  <c r="O58" i="35" s="1"/>
  <c r="S58" i="35" s="1"/>
  <c r="G58" i="36"/>
  <c r="N58" i="36" s="1"/>
  <c r="Q58" i="36" s="1"/>
  <c r="CB7" i="39"/>
  <c r="D11" i="41" s="1"/>
  <c r="D1" i="32"/>
  <c r="H54" i="20"/>
  <c r="P54" i="20" s="1"/>
  <c r="S54" i="20" s="1"/>
  <c r="I54" i="18"/>
  <c r="P54" i="18" s="1"/>
  <c r="Q54" i="18" s="1"/>
  <c r="J54" i="17"/>
  <c r="S54" i="17" s="1"/>
  <c r="U54" i="17" s="1"/>
  <c r="J54" i="28"/>
  <c r="S54" i="28" s="1"/>
  <c r="U54" i="28" s="1"/>
  <c r="E54" i="26"/>
  <c r="J54" i="26" s="1"/>
  <c r="K54" i="23"/>
  <c r="T54" i="23" s="1"/>
  <c r="U54" i="23" s="1"/>
  <c r="K54" i="34"/>
  <c r="T54" i="34" s="1"/>
  <c r="U54" i="34" s="1"/>
  <c r="G54" i="35"/>
  <c r="O54" i="35" s="1"/>
  <c r="S54" i="35" s="1"/>
  <c r="H54" i="31"/>
  <c r="P54" i="31" s="1"/>
  <c r="S54" i="31" s="1"/>
  <c r="G54" i="24"/>
  <c r="O54" i="24" s="1"/>
  <c r="S54" i="24" s="1"/>
  <c r="G54" i="36"/>
  <c r="N54" i="36" s="1"/>
  <c r="Q54" i="36" s="1"/>
  <c r="I54" i="19"/>
  <c r="Q54" i="19" s="1"/>
  <c r="S54" i="19" s="1"/>
  <c r="E54" i="37"/>
  <c r="J54" i="37" s="1"/>
  <c r="I54" i="30"/>
  <c r="P54" i="30" s="1"/>
  <c r="Q54" i="30" s="1"/>
  <c r="I54" i="29"/>
  <c r="Q54" i="29" s="1"/>
  <c r="S54" i="29" s="1"/>
  <c r="G54" i="25"/>
  <c r="N54" i="25" s="1"/>
  <c r="Q54" i="25" s="1"/>
  <c r="G59" i="24"/>
  <c r="O59" i="24" s="1"/>
  <c r="S59" i="24" s="1"/>
  <c r="I59" i="29"/>
  <c r="Q59" i="29" s="1"/>
  <c r="S59" i="29" s="1"/>
  <c r="K59" i="23"/>
  <c r="T59" i="23" s="1"/>
  <c r="U59" i="23" s="1"/>
  <c r="I59" i="30"/>
  <c r="P59" i="30" s="1"/>
  <c r="Q59" i="30" s="1"/>
  <c r="G59" i="35"/>
  <c r="O59" i="35" s="1"/>
  <c r="S59" i="35" s="1"/>
  <c r="K59" i="34"/>
  <c r="T59" i="34" s="1"/>
  <c r="U59" i="34" s="1"/>
  <c r="G59" i="25"/>
  <c r="N59" i="25" s="1"/>
  <c r="Q59" i="25" s="1"/>
  <c r="H59" i="20"/>
  <c r="P59" i="20" s="1"/>
  <c r="S59" i="20" s="1"/>
  <c r="J59" i="17"/>
  <c r="S59" i="17" s="1"/>
  <c r="U59" i="17" s="1"/>
  <c r="G59" i="36"/>
  <c r="N59" i="36" s="1"/>
  <c r="Q59" i="36" s="1"/>
  <c r="J59" i="28"/>
  <c r="S59" i="28" s="1"/>
  <c r="U59" i="28" s="1"/>
  <c r="E59" i="37"/>
  <c r="J59" i="37" s="1"/>
  <c r="E59" i="26"/>
  <c r="J59" i="26" s="1"/>
  <c r="I59" i="18"/>
  <c r="P59" i="18" s="1"/>
  <c r="Q59" i="18" s="1"/>
  <c r="H59" i="31"/>
  <c r="P59" i="31" s="1"/>
  <c r="S59" i="31" s="1"/>
  <c r="I59" i="19"/>
  <c r="Q59" i="19" s="1"/>
  <c r="S59" i="19" s="1"/>
  <c r="G21" i="35"/>
  <c r="O21" i="35" s="1"/>
  <c r="S21" i="35" s="1"/>
  <c r="V21" i="35" s="1"/>
  <c r="H21" i="20"/>
  <c r="P21" i="20" s="1"/>
  <c r="J21" i="17"/>
  <c r="S21" i="17" s="1"/>
  <c r="U21" i="17" s="1"/>
  <c r="W21" i="17" s="1"/>
  <c r="K21" i="34"/>
  <c r="T21" i="34" s="1"/>
  <c r="U21" i="34" s="1"/>
  <c r="X21" i="34" s="1"/>
  <c r="I21" i="19"/>
  <c r="Q21" i="19" s="1"/>
  <c r="S21" i="19" s="1"/>
  <c r="U21" i="19" s="1"/>
  <c r="I21" i="29"/>
  <c r="Q21" i="29" s="1"/>
  <c r="S21" i="29" s="1"/>
  <c r="V21" i="29" s="1"/>
  <c r="J21" i="28"/>
  <c r="S21" i="28" s="1"/>
  <c r="U21" i="28" s="1"/>
  <c r="X21" i="28" s="1"/>
  <c r="E21" i="26"/>
  <c r="J21" i="26" s="1"/>
  <c r="G21" i="25"/>
  <c r="N21" i="25" s="1"/>
  <c r="Q21" i="25" s="1"/>
  <c r="S21" i="25" s="1"/>
  <c r="E21" i="37"/>
  <c r="J21" i="37" s="1"/>
  <c r="I21" i="18"/>
  <c r="P21" i="18" s="1"/>
  <c r="Q21" i="18" s="1"/>
  <c r="S21" i="18" s="1"/>
  <c r="H21" i="31"/>
  <c r="P21" i="31" s="1"/>
  <c r="G21" i="36"/>
  <c r="N21" i="36" s="1"/>
  <c r="Q21" i="36" s="1"/>
  <c r="T21" i="36" s="1"/>
  <c r="K21" i="23"/>
  <c r="T21" i="23" s="1"/>
  <c r="U21" i="23" s="1"/>
  <c r="W21" i="23" s="1"/>
  <c r="I21" i="30"/>
  <c r="P21" i="30" s="1"/>
  <c r="Q21" i="30" s="1"/>
  <c r="T21" i="30" s="1"/>
  <c r="G21" i="24"/>
  <c r="O21" i="24" s="1"/>
  <c r="S21" i="24" s="1"/>
  <c r="U21" i="24" s="1"/>
  <c r="D1" i="28"/>
  <c r="E22" i="37"/>
  <c r="J22" i="37" s="1"/>
  <c r="H22" i="20"/>
  <c r="P22" i="20" s="1"/>
  <c r="I22" i="18"/>
  <c r="P22" i="18" s="1"/>
  <c r="Q22" i="18" s="1"/>
  <c r="S22" i="18" s="1"/>
  <c r="J22" i="17"/>
  <c r="S22" i="17" s="1"/>
  <c r="U22" i="17" s="1"/>
  <c r="W22" i="17" s="1"/>
  <c r="H22" i="31"/>
  <c r="P22" i="31" s="1"/>
  <c r="G22" i="36"/>
  <c r="N22" i="36" s="1"/>
  <c r="Q22" i="36" s="1"/>
  <c r="T22" i="36" s="1"/>
  <c r="E22" i="26"/>
  <c r="J22" i="26" s="1"/>
  <c r="K22" i="23"/>
  <c r="T22" i="23" s="1"/>
  <c r="U22" i="23" s="1"/>
  <c r="W22" i="23" s="1"/>
  <c r="I22" i="30"/>
  <c r="P22" i="30" s="1"/>
  <c r="Q22" i="30" s="1"/>
  <c r="T22" i="30" s="1"/>
  <c r="G22" i="35"/>
  <c r="O22" i="35" s="1"/>
  <c r="S22" i="35" s="1"/>
  <c r="V22" i="35" s="1"/>
  <c r="K22" i="34"/>
  <c r="T22" i="34" s="1"/>
  <c r="U22" i="34" s="1"/>
  <c r="X22" i="34" s="1"/>
  <c r="G22" i="24"/>
  <c r="O22" i="24" s="1"/>
  <c r="S22" i="24" s="1"/>
  <c r="U22" i="24" s="1"/>
  <c r="I22" i="29"/>
  <c r="Q22" i="29" s="1"/>
  <c r="S22" i="29" s="1"/>
  <c r="V22" i="29" s="1"/>
  <c r="J22" i="28"/>
  <c r="S22" i="28" s="1"/>
  <c r="U22" i="28" s="1"/>
  <c r="X22" i="28" s="1"/>
  <c r="I22" i="19"/>
  <c r="Q22" i="19" s="1"/>
  <c r="S22" i="19" s="1"/>
  <c r="U22" i="19" s="1"/>
  <c r="G22" i="25"/>
  <c r="N22" i="25" s="1"/>
  <c r="Q22" i="25" s="1"/>
  <c r="S22" i="25" s="1"/>
  <c r="L59" i="44"/>
  <c r="AP15" i="40"/>
  <c r="E18" i="37"/>
  <c r="J18" i="37" s="1"/>
  <c r="E18" i="26"/>
  <c r="J18" i="26" s="1"/>
  <c r="K18" i="23"/>
  <c r="T18" i="23" s="1"/>
  <c r="U18" i="23" s="1"/>
  <c r="W18" i="23" s="1"/>
  <c r="I18" i="18"/>
  <c r="P18" i="18" s="1"/>
  <c r="Q18" i="18" s="1"/>
  <c r="S18" i="18" s="1"/>
  <c r="G18" i="25"/>
  <c r="N18" i="25" s="1"/>
  <c r="Q18" i="25" s="1"/>
  <c r="S18" i="25" s="1"/>
  <c r="I18" i="19"/>
  <c r="Q18" i="19" s="1"/>
  <c r="S18" i="19" s="1"/>
  <c r="U18" i="19" s="1"/>
  <c r="G18" i="35"/>
  <c r="O18" i="35" s="1"/>
  <c r="S18" i="35" s="1"/>
  <c r="V18" i="35" s="1"/>
  <c r="H18" i="31"/>
  <c r="P18" i="31" s="1"/>
  <c r="J18" i="28"/>
  <c r="S18" i="28" s="1"/>
  <c r="U18" i="28" s="1"/>
  <c r="X18" i="28" s="1"/>
  <c r="H18" i="20"/>
  <c r="P18" i="20" s="1"/>
  <c r="J18" i="17"/>
  <c r="S18" i="17" s="1"/>
  <c r="U18" i="17" s="1"/>
  <c r="W18" i="17" s="1"/>
  <c r="K18" i="34"/>
  <c r="T18" i="34" s="1"/>
  <c r="U18" i="34" s="1"/>
  <c r="X18" i="34" s="1"/>
  <c r="G18" i="24"/>
  <c r="O18" i="24" s="1"/>
  <c r="S18" i="24" s="1"/>
  <c r="U18" i="24" s="1"/>
  <c r="G18" i="36"/>
  <c r="N18" i="36" s="1"/>
  <c r="Q18" i="36" s="1"/>
  <c r="T18" i="36" s="1"/>
  <c r="I18" i="30"/>
  <c r="P18" i="30" s="1"/>
  <c r="Q18" i="30" s="1"/>
  <c r="T18" i="30" s="1"/>
  <c r="I18" i="29"/>
  <c r="Q18" i="29" s="1"/>
  <c r="S18" i="29" s="1"/>
  <c r="V18" i="29" s="1"/>
  <c r="G55" i="35"/>
  <c r="O55" i="35" s="1"/>
  <c r="S55" i="35" s="1"/>
  <c r="G55" i="36"/>
  <c r="N55" i="36" s="1"/>
  <c r="Q55" i="36" s="1"/>
  <c r="H55" i="20"/>
  <c r="P55" i="20" s="1"/>
  <c r="S55" i="20" s="1"/>
  <c r="J55" i="17"/>
  <c r="S55" i="17" s="1"/>
  <c r="U55" i="17" s="1"/>
  <c r="H55" i="31"/>
  <c r="P55" i="31" s="1"/>
  <c r="S55" i="31" s="1"/>
  <c r="G55" i="24"/>
  <c r="O55" i="24" s="1"/>
  <c r="S55" i="24" s="1"/>
  <c r="I55" i="29"/>
  <c r="Q55" i="29" s="1"/>
  <c r="S55" i="29" s="1"/>
  <c r="E55" i="26"/>
  <c r="J55" i="26" s="1"/>
  <c r="I55" i="19"/>
  <c r="Q55" i="19" s="1"/>
  <c r="S55" i="19" s="1"/>
  <c r="E55" i="37"/>
  <c r="J55" i="37" s="1"/>
  <c r="I55" i="30"/>
  <c r="P55" i="30" s="1"/>
  <c r="Q55" i="30" s="1"/>
  <c r="G55" i="25"/>
  <c r="N55" i="25" s="1"/>
  <c r="Q55" i="25" s="1"/>
  <c r="J55" i="28"/>
  <c r="S55" i="28" s="1"/>
  <c r="U55" i="28" s="1"/>
  <c r="K55" i="34"/>
  <c r="T55" i="34" s="1"/>
  <c r="U55" i="34" s="1"/>
  <c r="I55" i="18"/>
  <c r="P55" i="18" s="1"/>
  <c r="Q55" i="18" s="1"/>
  <c r="K55" i="23"/>
  <c r="T55" i="23" s="1"/>
  <c r="U55" i="23" s="1"/>
  <c r="G23" i="35"/>
  <c r="O23" i="35" s="1"/>
  <c r="S23" i="35" s="1"/>
  <c r="V23" i="35" s="1"/>
  <c r="K23" i="34"/>
  <c r="T23" i="34" s="1"/>
  <c r="U23" i="34" s="1"/>
  <c r="X23" i="34" s="1"/>
  <c r="I23" i="29"/>
  <c r="Q23" i="29" s="1"/>
  <c r="S23" i="29" s="1"/>
  <c r="V23" i="29" s="1"/>
  <c r="J23" i="28"/>
  <c r="S23" i="28" s="1"/>
  <c r="U23" i="28" s="1"/>
  <c r="X23" i="28" s="1"/>
  <c r="H23" i="20"/>
  <c r="P23" i="20" s="1"/>
  <c r="J23" i="17"/>
  <c r="S23" i="17" s="1"/>
  <c r="U23" i="17" s="1"/>
  <c r="W23" i="17" s="1"/>
  <c r="I23" i="30"/>
  <c r="P23" i="30" s="1"/>
  <c r="Q23" i="30" s="1"/>
  <c r="T23" i="30" s="1"/>
  <c r="G23" i="24"/>
  <c r="O23" i="24" s="1"/>
  <c r="S23" i="24" s="1"/>
  <c r="U23" i="24" s="1"/>
  <c r="E23" i="26"/>
  <c r="J23" i="26" s="1"/>
  <c r="I23" i="19"/>
  <c r="Q23" i="19" s="1"/>
  <c r="S23" i="19" s="1"/>
  <c r="U23" i="19" s="1"/>
  <c r="G23" i="25"/>
  <c r="N23" i="25" s="1"/>
  <c r="Q23" i="25" s="1"/>
  <c r="S23" i="25" s="1"/>
  <c r="E23" i="37"/>
  <c r="J23" i="37" s="1"/>
  <c r="G23" i="36"/>
  <c r="N23" i="36" s="1"/>
  <c r="Q23" i="36" s="1"/>
  <c r="T23" i="36" s="1"/>
  <c r="H23" i="31"/>
  <c r="P23" i="31" s="1"/>
  <c r="I23" i="18"/>
  <c r="P23" i="18" s="1"/>
  <c r="Q23" i="18" s="1"/>
  <c r="S23" i="18" s="1"/>
  <c r="K23" i="23"/>
  <c r="T23" i="23" s="1"/>
  <c r="U23" i="23" s="1"/>
  <c r="W23" i="23" s="1"/>
  <c r="C15" i="40"/>
  <c r="L6" i="44"/>
  <c r="I80" i="19"/>
  <c r="Q80" i="19" s="1"/>
  <c r="S80" i="19" s="1"/>
  <c r="E80" i="37"/>
  <c r="J80" i="37" s="1"/>
  <c r="H80" i="31"/>
  <c r="P80" i="31" s="1"/>
  <c r="S80" i="31" s="1"/>
  <c r="I80" i="30"/>
  <c r="P80" i="30" s="1"/>
  <c r="Q80" i="30" s="1"/>
  <c r="I80" i="29"/>
  <c r="Q80" i="29" s="1"/>
  <c r="S80" i="29" s="1"/>
  <c r="J80" i="28"/>
  <c r="K80" i="34"/>
  <c r="T80" i="34" s="1"/>
  <c r="U80" i="34" s="1"/>
  <c r="G80" i="24"/>
  <c r="O80" i="24" s="1"/>
  <c r="S80" i="24" s="1"/>
  <c r="I80" i="18"/>
  <c r="P80" i="18" s="1"/>
  <c r="Q80" i="18" s="1"/>
  <c r="H80" i="20"/>
  <c r="P80" i="20" s="1"/>
  <c r="S80" i="20" s="1"/>
  <c r="J80" i="17"/>
  <c r="S80" i="17" s="1"/>
  <c r="U80" i="17" s="1"/>
  <c r="G80" i="35"/>
  <c r="O80" i="35" s="1"/>
  <c r="S80" i="35" s="1"/>
  <c r="G80" i="36"/>
  <c r="N80" i="36" s="1"/>
  <c r="Q80" i="36" s="1"/>
  <c r="G80" i="25"/>
  <c r="N80" i="25" s="1"/>
  <c r="Q80" i="25" s="1"/>
  <c r="E80" i="26"/>
  <c r="J80" i="26" s="1"/>
  <c r="K80" i="23"/>
  <c r="T80" i="23" s="1"/>
  <c r="U80" i="23" s="1"/>
  <c r="D1" i="30"/>
  <c r="H74" i="31"/>
  <c r="P74" i="31" s="1"/>
  <c r="S74" i="31" s="1"/>
  <c r="I74" i="18"/>
  <c r="P74" i="18" s="1"/>
  <c r="Q74" i="18" s="1"/>
  <c r="I74" i="30"/>
  <c r="P74" i="30" s="1"/>
  <c r="Q74" i="30" s="1"/>
  <c r="G74" i="35"/>
  <c r="O74" i="35" s="1"/>
  <c r="S74" i="35" s="1"/>
  <c r="I74" i="29"/>
  <c r="Q74" i="29" s="1"/>
  <c r="S74" i="29" s="1"/>
  <c r="I74" i="19"/>
  <c r="Q74" i="19" s="1"/>
  <c r="S74" i="19" s="1"/>
  <c r="G74" i="36"/>
  <c r="N74" i="36" s="1"/>
  <c r="Q74" i="36" s="1"/>
  <c r="H74" i="20"/>
  <c r="P74" i="20" s="1"/>
  <c r="S74" i="20" s="1"/>
  <c r="J74" i="17"/>
  <c r="S74" i="17" s="1"/>
  <c r="U74" i="17" s="1"/>
  <c r="J74" i="28"/>
  <c r="G74" i="24"/>
  <c r="O74" i="24" s="1"/>
  <c r="S74" i="24" s="1"/>
  <c r="E74" i="26"/>
  <c r="J74" i="26" s="1"/>
  <c r="K74" i="23"/>
  <c r="T74" i="23" s="1"/>
  <c r="U74" i="23" s="1"/>
  <c r="E74" i="37"/>
  <c r="J74" i="37" s="1"/>
  <c r="K74" i="34"/>
  <c r="T74" i="34" s="1"/>
  <c r="U74" i="34" s="1"/>
  <c r="G74" i="25"/>
  <c r="N74" i="25" s="1"/>
  <c r="Q74" i="25" s="1"/>
  <c r="E19" i="26"/>
  <c r="J19" i="26" s="1"/>
  <c r="H19" i="31"/>
  <c r="P19" i="31" s="1"/>
  <c r="K19" i="34"/>
  <c r="T19" i="34" s="1"/>
  <c r="U19" i="34" s="1"/>
  <c r="X19" i="34" s="1"/>
  <c r="J19" i="28"/>
  <c r="S19" i="28" s="1"/>
  <c r="U19" i="28" s="1"/>
  <c r="X19" i="28" s="1"/>
  <c r="I19" i="29"/>
  <c r="Q19" i="29" s="1"/>
  <c r="S19" i="29" s="1"/>
  <c r="V19" i="29" s="1"/>
  <c r="G19" i="36"/>
  <c r="N19" i="36" s="1"/>
  <c r="Q19" i="36" s="1"/>
  <c r="T19" i="36" s="1"/>
  <c r="I19" i="30"/>
  <c r="P19" i="30" s="1"/>
  <c r="Q19" i="30" s="1"/>
  <c r="T19" i="30" s="1"/>
  <c r="G19" i="24"/>
  <c r="O19" i="24" s="1"/>
  <c r="S19" i="24" s="1"/>
  <c r="U19" i="24" s="1"/>
  <c r="K19" i="23"/>
  <c r="T19" i="23" s="1"/>
  <c r="U19" i="23" s="1"/>
  <c r="W19" i="23" s="1"/>
  <c r="E19" i="37"/>
  <c r="J19" i="37" s="1"/>
  <c r="I19" i="18"/>
  <c r="P19" i="18" s="1"/>
  <c r="Q19" i="18" s="1"/>
  <c r="S19" i="18" s="1"/>
  <c r="G19" i="35"/>
  <c r="O19" i="35" s="1"/>
  <c r="S19" i="35" s="1"/>
  <c r="V19" i="35" s="1"/>
  <c r="G19" i="25"/>
  <c r="N19" i="25" s="1"/>
  <c r="Q19" i="25" s="1"/>
  <c r="S19" i="25" s="1"/>
  <c r="H19" i="20"/>
  <c r="P19" i="20" s="1"/>
  <c r="I19" i="19"/>
  <c r="Q19" i="19" s="1"/>
  <c r="S19" i="19" s="1"/>
  <c r="U19" i="19" s="1"/>
  <c r="J19" i="17"/>
  <c r="S19" i="17" s="1"/>
  <c r="U19" i="17" s="1"/>
  <c r="W19" i="17" s="1"/>
  <c r="C122" i="29"/>
  <c r="B122" i="29"/>
  <c r="A123" i="29"/>
  <c r="AH31" i="40"/>
  <c r="AH32" i="40"/>
  <c r="O36" i="14"/>
  <c r="AX36" i="14"/>
  <c r="AA36" i="14"/>
  <c r="F110" i="37"/>
  <c r="K110" i="37" s="1"/>
  <c r="F110" i="26"/>
  <c r="K110" i="26" s="1"/>
  <c r="BH35" i="14"/>
  <c r="GA110" i="2"/>
  <c r="AA35" i="14"/>
  <c r="AO36" i="14"/>
  <c r="AP36" i="14" s="1"/>
  <c r="FW111" i="2"/>
  <c r="K31" i="40"/>
  <c r="K32" i="40"/>
  <c r="AT36" i="14"/>
  <c r="BV35" i="14"/>
  <c r="GD110" i="2"/>
  <c r="AK36" i="14"/>
  <c r="AL36" i="14" s="1"/>
  <c r="FV111" i="2"/>
  <c r="BN36" i="14"/>
  <c r="BO36" i="14" s="1"/>
  <c r="GB111" i="2"/>
  <c r="AT35" i="14"/>
  <c r="G35" i="14"/>
  <c r="C35" i="14"/>
  <c r="AX35" i="14"/>
  <c r="K36" i="14"/>
  <c r="L36" i="14" s="1"/>
  <c r="O35" i="14"/>
  <c r="AG35" i="14"/>
  <c r="FU110" i="2"/>
  <c r="U36" i="14"/>
  <c r="BB36" i="14"/>
  <c r="BC36" i="14" s="1"/>
  <c r="U35" i="14"/>
  <c r="BR36" i="14"/>
  <c r="BS36" i="14" s="1"/>
  <c r="GC111" i="2"/>
  <c r="J3" i="44"/>
  <c r="C58" i="44"/>
  <c r="G58" i="44"/>
  <c r="G63" i="44"/>
  <c r="J4" i="44"/>
  <c r="J119" i="44" s="1"/>
  <c r="K4" i="44"/>
  <c r="K119" i="44" s="1"/>
  <c r="H5" i="44"/>
  <c r="J63" i="44"/>
  <c r="I63" i="44"/>
  <c r="H63" i="44"/>
  <c r="F5" i="44"/>
  <c r="G5" i="44"/>
  <c r="D4" i="44"/>
  <c r="D119" i="44" s="1"/>
  <c r="I4" i="44"/>
  <c r="I119" i="44" s="1"/>
  <c r="D63" i="44"/>
  <c r="C63" i="44"/>
  <c r="F63" i="44"/>
  <c r="E58" i="44"/>
  <c r="I58" i="44"/>
  <c r="K63" i="44"/>
  <c r="D5" i="44"/>
  <c r="E4" i="44"/>
  <c r="E119" i="44" s="1"/>
  <c r="E63" i="44"/>
  <c r="I5" i="44"/>
  <c r="C4" i="44"/>
  <c r="C119" i="44" s="1"/>
  <c r="C5" i="44"/>
  <c r="E5" i="44"/>
  <c r="D58" i="44"/>
  <c r="F4" i="44"/>
  <c r="F119" i="44" s="1"/>
  <c r="J5" i="44"/>
  <c r="K5" i="44"/>
  <c r="H4" i="44"/>
  <c r="H119" i="44" s="1"/>
  <c r="J58" i="44"/>
  <c r="F58" i="44"/>
  <c r="H58" i="44"/>
  <c r="K58" i="44"/>
  <c r="G4" i="44"/>
  <c r="G119" i="44" s="1"/>
  <c r="BE50" i="2"/>
  <c r="FX50" i="2" s="1"/>
  <c r="G86" i="36"/>
  <c r="K86" i="34"/>
  <c r="G86" i="24"/>
  <c r="O86" i="24" s="1"/>
  <c r="S86" i="24" s="1"/>
  <c r="E86" i="37"/>
  <c r="G86" i="35"/>
  <c r="I86" i="30"/>
  <c r="I122" i="30" s="1"/>
  <c r="P122" i="30" s="1"/>
  <c r="E86" i="26"/>
  <c r="J86" i="26" s="1"/>
  <c r="J86" i="17"/>
  <c r="S86" i="17" s="1"/>
  <c r="U86" i="17" s="1"/>
  <c r="J86" i="28"/>
  <c r="I86" i="29"/>
  <c r="I86" i="19"/>
  <c r="Q86" i="19" s="1"/>
  <c r="S86" i="19" s="1"/>
  <c r="K86" i="23"/>
  <c r="T86" i="23" s="1"/>
  <c r="U86" i="23" s="1"/>
  <c r="G86" i="25"/>
  <c r="N86" i="25" s="1"/>
  <c r="Q86" i="25" s="1"/>
  <c r="H86" i="20"/>
  <c r="P86" i="20" s="1"/>
  <c r="S86" i="20" s="1"/>
  <c r="I86" i="18"/>
  <c r="P86" i="18" s="1"/>
  <c r="Q86" i="18" s="1"/>
  <c r="H86" i="31"/>
  <c r="BF12" i="40"/>
  <c r="BJ12" i="40" s="1"/>
  <c r="AX11" i="40"/>
  <c r="BB11" i="40" s="1"/>
  <c r="Z7" i="40"/>
  <c r="K57" i="44"/>
  <c r="R11" i="40"/>
  <c r="V11" i="40" s="1"/>
  <c r="AX14" i="40"/>
  <c r="AP13" i="40"/>
  <c r="J11" i="40"/>
  <c r="N11" i="40" s="1"/>
  <c r="AP12" i="40"/>
  <c r="Z13" i="40"/>
  <c r="C9" i="40"/>
  <c r="C12" i="40"/>
  <c r="R7" i="40"/>
  <c r="V7" i="40" s="1"/>
  <c r="AX10" i="40"/>
  <c r="H3" i="44"/>
  <c r="G3" i="44"/>
  <c r="J9" i="40"/>
  <c r="N9" i="40" s="1"/>
  <c r="D112" i="5"/>
  <c r="D101" i="5"/>
  <c r="D87" i="5"/>
  <c r="D126" i="5"/>
  <c r="D100" i="5"/>
  <c r="D85" i="5"/>
  <c r="D86" i="5"/>
  <c r="D99" i="5"/>
  <c r="D114" i="5"/>
  <c r="D113" i="5"/>
  <c r="D124" i="5"/>
  <c r="D125" i="5"/>
  <c r="R9" i="40"/>
  <c r="BM13" i="40"/>
  <c r="BQ13" i="40" s="1"/>
  <c r="AP10" i="40"/>
  <c r="C7" i="40"/>
  <c r="AP5" i="40"/>
  <c r="BM8" i="40"/>
  <c r="E3" i="44"/>
  <c r="BM5" i="40"/>
  <c r="BM10" i="40"/>
  <c r="E57" i="44"/>
  <c r="C101" i="5"/>
  <c r="C85" i="5"/>
  <c r="C86" i="5"/>
  <c r="C100" i="5"/>
  <c r="C87" i="5"/>
  <c r="C113" i="5"/>
  <c r="C126" i="5"/>
  <c r="C112" i="5"/>
  <c r="C99" i="5"/>
  <c r="C124" i="5"/>
  <c r="C125" i="5"/>
  <c r="C114" i="5"/>
  <c r="F74" i="26"/>
  <c r="K74" i="26" s="1"/>
  <c r="F74" i="37"/>
  <c r="K74" i="37" s="1"/>
  <c r="BU5" i="39"/>
  <c r="Z5" i="40"/>
  <c r="K3" i="44"/>
  <c r="AX9" i="40"/>
  <c r="AX13" i="40"/>
  <c r="Z11" i="40"/>
  <c r="AD11" i="40" s="1"/>
  <c r="AG14" i="40"/>
  <c r="F38" i="37"/>
  <c r="K38" i="37" s="1"/>
  <c r="M38" i="37" s="1"/>
  <c r="F38" i="26"/>
  <c r="K38" i="26" s="1"/>
  <c r="M38" i="26" s="1"/>
  <c r="H57" i="44"/>
  <c r="BM6" i="40"/>
  <c r="BQ6" i="40" s="1"/>
  <c r="AP11" i="40"/>
  <c r="AT11" i="40" s="1"/>
  <c r="J14" i="40"/>
  <c r="N14" i="40" s="1"/>
  <c r="C3" i="44"/>
  <c r="AG12" i="40"/>
  <c r="F62" i="26"/>
  <c r="K62" i="26" s="1"/>
  <c r="F62" i="37"/>
  <c r="K62" i="37" s="1"/>
  <c r="C57" i="44"/>
  <c r="J7" i="40"/>
  <c r="N7" i="40" s="1"/>
  <c r="BF10" i="40"/>
  <c r="C10" i="40"/>
  <c r="Z9" i="40"/>
  <c r="AP7" i="40"/>
  <c r="AG10" i="40"/>
  <c r="AK10" i="40" s="1"/>
  <c r="CB6" i="39"/>
  <c r="C11" i="41" s="1"/>
  <c r="F57" i="44"/>
  <c r="BM14" i="40"/>
  <c r="BQ14" i="40" s="1"/>
  <c r="C8" i="40"/>
  <c r="Z6" i="40"/>
  <c r="AD6" i="40" s="1"/>
  <c r="J12" i="40"/>
  <c r="N12" i="40" s="1"/>
  <c r="C105" i="7"/>
  <c r="H103" i="7"/>
  <c r="H105" i="7" s="1"/>
  <c r="O10" i="7" s="1"/>
  <c r="C11" i="40"/>
  <c r="F11" i="40" s="1"/>
  <c r="AG8" i="40"/>
  <c r="F50" i="26"/>
  <c r="K50" i="26" s="1"/>
  <c r="F50" i="37"/>
  <c r="K50" i="37" s="1"/>
  <c r="BF7" i="40"/>
  <c r="J6" i="40"/>
  <c r="BF8" i="40"/>
  <c r="AG9" i="40"/>
  <c r="AG13" i="40"/>
  <c r="R5" i="40"/>
  <c r="BF5" i="40"/>
  <c r="J57" i="44"/>
  <c r="BF13" i="40"/>
  <c r="BJ13" i="40" s="1"/>
  <c r="Z10" i="40"/>
  <c r="D3" i="44"/>
  <c r="G57" i="44"/>
  <c r="Z12" i="40"/>
  <c r="R8" i="40"/>
  <c r="BF11" i="40"/>
  <c r="BJ11" i="40" s="1"/>
  <c r="J13" i="40"/>
  <c r="N13" i="40" s="1"/>
  <c r="AX12" i="40"/>
  <c r="R14" i="40"/>
  <c r="V14" i="40" s="1"/>
  <c r="BQ11" i="40"/>
  <c r="D57" i="44"/>
  <c r="J10" i="40"/>
  <c r="N10" i="40" s="1"/>
  <c r="C14" i="40"/>
  <c r="I3" i="44"/>
  <c r="AX5" i="40"/>
  <c r="R12" i="40"/>
  <c r="V12" i="40" s="1"/>
  <c r="Z14" i="40"/>
  <c r="AD14" i="40" s="1"/>
  <c r="AG11" i="40"/>
  <c r="AK11" i="40" s="1"/>
  <c r="C13" i="40"/>
  <c r="C5" i="40"/>
  <c r="F98" i="26"/>
  <c r="K98" i="26" s="1"/>
  <c r="F98" i="37"/>
  <c r="K98" i="37" s="1"/>
  <c r="AD25" i="2"/>
  <c r="C6" i="40"/>
  <c r="F6" i="40" s="1"/>
  <c r="R6" i="40"/>
  <c r="V6" i="40" s="1"/>
  <c r="AP9" i="40"/>
  <c r="AX7" i="40"/>
  <c r="F26" i="26"/>
  <c r="K26" i="26" s="1"/>
  <c r="M26" i="26" s="1"/>
  <c r="F26" i="37"/>
  <c r="K26" i="37" s="1"/>
  <c r="M26" i="37" s="1"/>
  <c r="F14" i="37"/>
  <c r="K14" i="37" s="1"/>
  <c r="F14" i="26"/>
  <c r="K14" i="26" s="1"/>
  <c r="AP14" i="40"/>
  <c r="AT14" i="40" s="1"/>
  <c r="FV13" i="2"/>
  <c r="CB5" i="39"/>
  <c r="BF14" i="40"/>
  <c r="BJ14" i="40" s="1"/>
  <c r="J5" i="40"/>
  <c r="BM7" i="40"/>
  <c r="AX6" i="40"/>
  <c r="BB6" i="40" s="1"/>
  <c r="J8" i="40"/>
  <c r="N8" i="40" s="1"/>
  <c r="Z8" i="40"/>
  <c r="BF9" i="40"/>
  <c r="BM9" i="40"/>
  <c r="I57" i="44"/>
  <c r="F2" i="26"/>
  <c r="K2" i="26" s="1"/>
  <c r="M2" i="26" s="1"/>
  <c r="F2" i="37"/>
  <c r="K2" i="37" s="1"/>
  <c r="M2" i="37" s="1"/>
  <c r="F87" i="37"/>
  <c r="K87" i="37" s="1"/>
  <c r="M87" i="37" s="1"/>
  <c r="F87" i="26"/>
  <c r="K87" i="26" s="1"/>
  <c r="M87" i="26" s="1"/>
  <c r="FV2" i="2"/>
  <c r="BU6" i="39"/>
  <c r="AI41" i="2"/>
  <c r="AX8" i="40"/>
  <c r="F86" i="37"/>
  <c r="K86" i="37" s="1"/>
  <c r="F86" i="26"/>
  <c r="K86" i="26" s="1"/>
  <c r="BF6" i="40"/>
  <c r="BJ6" i="40" s="1"/>
  <c r="F3" i="44"/>
  <c r="R10" i="40"/>
  <c r="R13" i="40"/>
  <c r="V13" i="40" s="1"/>
  <c r="AP8" i="40"/>
  <c r="AD46" i="2"/>
  <c r="BE46" i="2"/>
  <c r="BK34" i="2"/>
  <c r="BK40" i="2"/>
  <c r="R13" i="2"/>
  <c r="X26" i="2"/>
  <c r="FR26" i="2" s="1"/>
  <c r="AH8" i="39"/>
  <c r="AK8" i="39" s="1"/>
  <c r="BK44" i="2"/>
  <c r="BE20" i="2"/>
  <c r="AD30" i="2"/>
  <c r="X59" i="2"/>
  <c r="BE10" i="2"/>
  <c r="R32" i="2"/>
  <c r="R18" i="2"/>
  <c r="X63" i="2"/>
  <c r="AD67" i="2"/>
  <c r="BE7" i="2"/>
  <c r="BE27" i="2"/>
  <c r="R39" i="2"/>
  <c r="R45" i="2"/>
  <c r="R16" i="2"/>
  <c r="AI29" i="2"/>
  <c r="R11" i="2"/>
  <c r="AD43" i="2"/>
  <c r="CV5" i="39"/>
  <c r="CY5" i="39" s="1"/>
  <c r="R8" i="2"/>
  <c r="X22" i="2"/>
  <c r="R56" i="2"/>
  <c r="BE62" i="2"/>
  <c r="CL11" i="39"/>
  <c r="CO11" i="39" s="1"/>
  <c r="BE54" i="2"/>
  <c r="AD34" i="2"/>
  <c r="X13" i="2"/>
  <c r="AD2" i="2"/>
  <c r="AS6" i="39"/>
  <c r="AV6" i="39" s="1"/>
  <c r="AD26" i="2"/>
  <c r="AS8" i="39"/>
  <c r="AV8" i="39" s="1"/>
  <c r="AI44" i="2"/>
  <c r="R9" i="2"/>
  <c r="AI20" i="2"/>
  <c r="BK30" i="2"/>
  <c r="AD59" i="2"/>
  <c r="BK10" i="2"/>
  <c r="AD32" i="2"/>
  <c r="AD18" i="2"/>
  <c r="AD63" i="2"/>
  <c r="AI67" i="2"/>
  <c r="R72" i="2"/>
  <c r="BK7" i="2"/>
  <c r="AD27" i="2"/>
  <c r="BE39" i="2"/>
  <c r="X45" i="2"/>
  <c r="X16" i="2"/>
  <c r="X11" i="2"/>
  <c r="R31" i="2"/>
  <c r="R43" i="2"/>
  <c r="BE68" i="2"/>
  <c r="X5" i="39"/>
  <c r="AA5" i="39" s="1"/>
  <c r="BE8" i="2"/>
  <c r="BE22" i="2"/>
  <c r="X56" i="2"/>
  <c r="R54" i="2"/>
  <c r="AI5" i="2"/>
  <c r="BE71" i="2"/>
  <c r="BK42" i="2"/>
  <c r="AD13" i="2"/>
  <c r="AI2" i="2"/>
  <c r="BD6" i="39"/>
  <c r="BG6" i="39" s="1"/>
  <c r="BK26" i="2"/>
  <c r="CV8" i="39"/>
  <c r="CY8" i="39" s="1"/>
  <c r="BE44" i="2"/>
  <c r="BE9" i="2"/>
  <c r="BK20" i="2"/>
  <c r="AI30" i="2"/>
  <c r="R10" i="2"/>
  <c r="AI32" i="2"/>
  <c r="AI18" i="2"/>
  <c r="BK63" i="2"/>
  <c r="X72" i="2"/>
  <c r="BK27" i="2"/>
  <c r="X39" i="2"/>
  <c r="AI45" i="2"/>
  <c r="AD16" i="2"/>
  <c r="BK11" i="2"/>
  <c r="BK31" i="2"/>
  <c r="BK43" i="2"/>
  <c r="AI68" i="2"/>
  <c r="AH5" i="39"/>
  <c r="AK5" i="39" s="1"/>
  <c r="X8" i="2"/>
  <c r="R22" i="2"/>
  <c r="BK56" i="2"/>
  <c r="R73" i="2"/>
  <c r="AI64" i="2"/>
  <c r="X54" i="2"/>
  <c r="BK5" i="2"/>
  <c r="AD71" i="2"/>
  <c r="R23" i="2"/>
  <c r="BK36" i="2"/>
  <c r="X42" i="2"/>
  <c r="BE13" i="2"/>
  <c r="CL6" i="39"/>
  <c r="CO6" i="39" s="1"/>
  <c r="AI26" i="2"/>
  <c r="BD8" i="39"/>
  <c r="BG8" i="39" s="1"/>
  <c r="AD44" i="2"/>
  <c r="AI69" i="2"/>
  <c r="BK9" i="2"/>
  <c r="AD20" i="2"/>
  <c r="BE30" i="2"/>
  <c r="BK61" i="2"/>
  <c r="X10" i="2"/>
  <c r="BK32" i="2"/>
  <c r="R63" i="2"/>
  <c r="BE49" i="2"/>
  <c r="AD72" i="2"/>
  <c r="AI27" i="2"/>
  <c r="AD39" i="2"/>
  <c r="BK45" i="2"/>
  <c r="AI16" i="2"/>
  <c r="AD35" i="2"/>
  <c r="AD11" i="2"/>
  <c r="AD31" i="2"/>
  <c r="BE43" i="2"/>
  <c r="AD68" i="2"/>
  <c r="AS5" i="39"/>
  <c r="AV5" i="39" s="1"/>
  <c r="AD8" i="2"/>
  <c r="AD22" i="2"/>
  <c r="AI58" i="2"/>
  <c r="BE73" i="2"/>
  <c r="BK64" i="2"/>
  <c r="R50" i="2"/>
  <c r="X10" i="39"/>
  <c r="AA10" i="39" s="1"/>
  <c r="AD54" i="2"/>
  <c r="R5" i="2"/>
  <c r="AI71" i="2"/>
  <c r="X23" i="2"/>
  <c r="AD36" i="2"/>
  <c r="R42" i="2"/>
  <c r="AI13" i="2"/>
  <c r="BK2" i="2"/>
  <c r="CV6" i="39"/>
  <c r="CY6" i="39" s="1"/>
  <c r="BE26" i="2"/>
  <c r="CL8" i="39"/>
  <c r="CO8" i="39" s="1"/>
  <c r="R44" i="2"/>
  <c r="BE69" i="2"/>
  <c r="X9" i="2"/>
  <c r="R20" i="2"/>
  <c r="AD61" i="2"/>
  <c r="AD10" i="2"/>
  <c r="BE32" i="2"/>
  <c r="BE63" i="2"/>
  <c r="AI15" i="2"/>
  <c r="BK49" i="2"/>
  <c r="AI72" i="2"/>
  <c r="AI39" i="2"/>
  <c r="BE45" i="2"/>
  <c r="BK16" i="2"/>
  <c r="R35" i="2"/>
  <c r="AI11" i="2"/>
  <c r="X31" i="2"/>
  <c r="BK68" i="2"/>
  <c r="CL5" i="39"/>
  <c r="CO5" i="39" s="1"/>
  <c r="AI8" i="2"/>
  <c r="AI22" i="2"/>
  <c r="BK58" i="2"/>
  <c r="BK73" i="2"/>
  <c r="R64" i="2"/>
  <c r="X50" i="2"/>
  <c r="AH10" i="39"/>
  <c r="AK10" i="39" s="1"/>
  <c r="AI54" i="2"/>
  <c r="X5" i="2"/>
  <c r="R71" i="2"/>
  <c r="AD23" i="2"/>
  <c r="BE36" i="2"/>
  <c r="AD42" i="2"/>
  <c r="BK13" i="2"/>
  <c r="R2" i="2"/>
  <c r="X6" i="39"/>
  <c r="AA6" i="39" s="1"/>
  <c r="X44" i="2"/>
  <c r="BK69" i="2"/>
  <c r="AD9" i="2"/>
  <c r="X20" i="2"/>
  <c r="AI61" i="2"/>
  <c r="R15" i="2"/>
  <c r="R49" i="2"/>
  <c r="BE72" i="2"/>
  <c r="R21" i="2"/>
  <c r="BK39" i="2"/>
  <c r="BE16" i="2"/>
  <c r="X35" i="2"/>
  <c r="AI31" i="2"/>
  <c r="R68" i="2"/>
  <c r="BD5" i="39"/>
  <c r="BG5" i="39" s="1"/>
  <c r="BK8" i="2"/>
  <c r="BK22" i="2"/>
  <c r="BE58" i="2"/>
  <c r="X73" i="2"/>
  <c r="X64" i="2"/>
  <c r="AD50" i="2"/>
  <c r="AS10" i="39"/>
  <c r="AV10" i="39" s="1"/>
  <c r="BK54" i="2"/>
  <c r="BE5" i="2"/>
  <c r="AI23" i="2"/>
  <c r="AI36" i="2"/>
  <c r="AI42" i="2"/>
  <c r="X2" i="2"/>
  <c r="AH6" i="39"/>
  <c r="AK6" i="39" s="1"/>
  <c r="R69" i="2"/>
  <c r="AI9" i="2"/>
  <c r="R61" i="2"/>
  <c r="R65" i="2"/>
  <c r="BK15" i="2"/>
  <c r="X49" i="2"/>
  <c r="BK72" i="2"/>
  <c r="BE21" i="2"/>
  <c r="AI4" i="2"/>
  <c r="AI35" i="2"/>
  <c r="BE31" i="2"/>
  <c r="X68" i="2"/>
  <c r="X58" i="2"/>
  <c r="AD73" i="2"/>
  <c r="AD64" i="2"/>
  <c r="AI50" i="2"/>
  <c r="BD10" i="39"/>
  <c r="BG10" i="39" s="1"/>
  <c r="AD5" i="2"/>
  <c r="BK71" i="2"/>
  <c r="BE23" i="2"/>
  <c r="R36" i="2"/>
  <c r="BE42" i="2"/>
  <c r="BE57" i="2"/>
  <c r="X69" i="2"/>
  <c r="X61" i="2"/>
  <c r="AD53" i="2"/>
  <c r="BK65" i="2"/>
  <c r="X15" i="2"/>
  <c r="AD49" i="2"/>
  <c r="AD47" i="2"/>
  <c r="BK21" i="2"/>
  <c r="BK41" i="2"/>
  <c r="AD4" i="2"/>
  <c r="BE35" i="2"/>
  <c r="R19" i="2"/>
  <c r="AD12" i="2"/>
  <c r="AD58" i="2"/>
  <c r="AI73" i="2"/>
  <c r="BE64" i="2"/>
  <c r="CL10" i="39"/>
  <c r="CO10" i="39" s="1"/>
  <c r="D60" i="30"/>
  <c r="BK23" i="2"/>
  <c r="X36" i="2"/>
  <c r="BK57" i="2"/>
  <c r="AD69" i="2"/>
  <c r="BE28" i="2"/>
  <c r="BE61" i="2"/>
  <c r="BE3" i="2"/>
  <c r="R24" i="2"/>
  <c r="X53" i="2"/>
  <c r="BE65" i="2"/>
  <c r="AD15" i="2"/>
  <c r="AI49" i="2"/>
  <c r="R47" i="2"/>
  <c r="AD21" i="2"/>
  <c r="BE41" i="2"/>
  <c r="BK4" i="2"/>
  <c r="BK35" i="2"/>
  <c r="BK19" i="2"/>
  <c r="BE33" i="2"/>
  <c r="BK12" i="2"/>
  <c r="R58" i="2"/>
  <c r="BK50" i="2"/>
  <c r="CV10" i="39"/>
  <c r="CY10" i="39" s="1"/>
  <c r="D71" i="31"/>
  <c r="X38" i="2"/>
  <c r="AH9" i="39"/>
  <c r="AK9" i="39" s="1"/>
  <c r="R57" i="2"/>
  <c r="X14" i="2"/>
  <c r="AH7" i="39"/>
  <c r="AK7" i="39" s="1"/>
  <c r="BK28" i="2"/>
  <c r="R3" i="2"/>
  <c r="X24" i="2"/>
  <c r="AD55" i="2"/>
  <c r="AI53" i="2"/>
  <c r="X65" i="2"/>
  <c r="BE15" i="2"/>
  <c r="BE51" i="2"/>
  <c r="X47" i="2"/>
  <c r="AI21" i="2"/>
  <c r="AD37" i="2"/>
  <c r="R41" i="2"/>
  <c r="BE4" i="2"/>
  <c r="X19" i="2"/>
  <c r="R33" i="2"/>
  <c r="R25" i="2"/>
  <c r="AI12" i="2"/>
  <c r="D50" i="34"/>
  <c r="AD60" i="2"/>
  <c r="BK48" i="2"/>
  <c r="AD38" i="2"/>
  <c r="AS9" i="39"/>
  <c r="AV9" i="39" s="1"/>
  <c r="X57" i="2"/>
  <c r="R6" i="2"/>
  <c r="R14" i="2"/>
  <c r="X7" i="39"/>
  <c r="AA7" i="39" s="1"/>
  <c r="AD28" i="2"/>
  <c r="X3" i="2"/>
  <c r="AI24" i="2"/>
  <c r="R55" i="2"/>
  <c r="R53" i="2"/>
  <c r="AD65" i="2"/>
  <c r="AD51" i="2"/>
  <c r="BK47" i="2"/>
  <c r="X21" i="2"/>
  <c r="X37" i="2"/>
  <c r="X41" i="2"/>
  <c r="R70" i="2"/>
  <c r="R4" i="2"/>
  <c r="BE19" i="2"/>
  <c r="BK33" i="2"/>
  <c r="AI66" i="2"/>
  <c r="BK25" i="2"/>
  <c r="BE12" i="2"/>
  <c r="AI60" i="2"/>
  <c r="BE52" i="2"/>
  <c r="R17" i="2"/>
  <c r="X48" i="2"/>
  <c r="R40" i="2"/>
  <c r="BE38" i="2"/>
  <c r="CL9" i="39"/>
  <c r="CO9" i="39" s="1"/>
  <c r="AD57" i="2"/>
  <c r="X6" i="2"/>
  <c r="AD14" i="2"/>
  <c r="AS7" i="39"/>
  <c r="AV7" i="39" s="1"/>
  <c r="AI28" i="2"/>
  <c r="AD3" i="2"/>
  <c r="AD24" i="2"/>
  <c r="X55" i="2"/>
  <c r="BE53" i="2"/>
  <c r="AI65" i="2"/>
  <c r="AI51" i="2"/>
  <c r="AI47" i="2"/>
  <c r="BK37" i="2"/>
  <c r="AD41" i="2"/>
  <c r="BE70" i="2"/>
  <c r="X4" i="2"/>
  <c r="R29" i="2"/>
  <c r="X33" i="2"/>
  <c r="AD66" i="2"/>
  <c r="BE25" i="2"/>
  <c r="R12" i="2"/>
  <c r="BK60" i="2"/>
  <c r="R62" i="2"/>
  <c r="X11" i="39"/>
  <c r="AA11" i="39" s="1"/>
  <c r="BK17" i="2"/>
  <c r="AD48" i="2"/>
  <c r="R38" i="2"/>
  <c r="X9" i="39"/>
  <c r="AA9" i="39" s="1"/>
  <c r="AI57" i="2"/>
  <c r="AD6" i="2"/>
  <c r="BK14" i="2"/>
  <c r="CV7" i="39"/>
  <c r="CY7" i="39" s="1"/>
  <c r="R28" i="2"/>
  <c r="AI59" i="2"/>
  <c r="BK3" i="2"/>
  <c r="BE24" i="2"/>
  <c r="AI55" i="2"/>
  <c r="BK53" i="2"/>
  <c r="BK67" i="2"/>
  <c r="R51" i="2"/>
  <c r="BE47" i="2"/>
  <c r="AD7" i="2"/>
  <c r="R37" i="2"/>
  <c r="AD70" i="2"/>
  <c r="BK29" i="2"/>
  <c r="AI19" i="2"/>
  <c r="AD33" i="2"/>
  <c r="BK66" i="2"/>
  <c r="X25" i="2"/>
  <c r="X12" i="2"/>
  <c r="BE60" i="2"/>
  <c r="X62" i="2"/>
  <c r="AH11" i="39"/>
  <c r="AK11" i="39" s="1"/>
  <c r="AI52" i="2"/>
  <c r="BE17" i="2"/>
  <c r="R48" i="2"/>
  <c r="X40" i="2"/>
  <c r="R46" i="2"/>
  <c r="X34" i="2"/>
  <c r="AD40" i="2"/>
  <c r="AI38" i="2"/>
  <c r="BD9" i="39"/>
  <c r="BG9" i="39" s="1"/>
  <c r="BE6" i="2"/>
  <c r="AI14" i="2"/>
  <c r="BD7" i="39"/>
  <c r="BG7" i="39" s="1"/>
  <c r="X28" i="2"/>
  <c r="BK59" i="2"/>
  <c r="AI3" i="2"/>
  <c r="BK24" i="2"/>
  <c r="BE55" i="2"/>
  <c r="BK18" i="2"/>
  <c r="R67" i="2"/>
  <c r="X51" i="2"/>
  <c r="AI7" i="2"/>
  <c r="BE37" i="2"/>
  <c r="X70" i="2"/>
  <c r="BE29" i="2"/>
  <c r="R66" i="2"/>
  <c r="AI56" i="2"/>
  <c r="AD62" i="2"/>
  <c r="AS11" i="39"/>
  <c r="AV11" i="39" s="1"/>
  <c r="BK52" i="2"/>
  <c r="X17" i="2"/>
  <c r="BE48" i="2"/>
  <c r="BK46" i="2"/>
  <c r="X46" i="2"/>
  <c r="BE34" i="2"/>
  <c r="AI40" i="2"/>
  <c r="BK38" i="2"/>
  <c r="CV9" i="39"/>
  <c r="CY9" i="39" s="1"/>
  <c r="AI6" i="2"/>
  <c r="BE14" i="2"/>
  <c r="CL7" i="39"/>
  <c r="CO7" i="39" s="1"/>
  <c r="R30" i="2"/>
  <c r="BE59" i="2"/>
  <c r="BK55" i="2"/>
  <c r="BE18" i="2"/>
  <c r="X67" i="2"/>
  <c r="BK51" i="2"/>
  <c r="R7" i="2"/>
  <c r="R27" i="2"/>
  <c r="AI37" i="2"/>
  <c r="AI70" i="2"/>
  <c r="X29" i="2"/>
  <c r="X43" i="2"/>
  <c r="X66" i="2"/>
  <c r="AI25" i="2"/>
  <c r="AD56" i="2"/>
  <c r="X60" i="2"/>
  <c r="BK62" i="2"/>
  <c r="CV11" i="39"/>
  <c r="CY11" i="39" s="1"/>
  <c r="R52" i="2"/>
  <c r="AD17" i="2"/>
  <c r="R34" i="2"/>
  <c r="AI46" i="2"/>
  <c r="AI34" i="2"/>
  <c r="BE40" i="2"/>
  <c r="R26" i="2"/>
  <c r="X8" i="39"/>
  <c r="AA8" i="39" s="1"/>
  <c r="BK6" i="2"/>
  <c r="X30" i="2"/>
  <c r="R59" i="2"/>
  <c r="AI10" i="2"/>
  <c r="X32" i="2"/>
  <c r="X18" i="2"/>
  <c r="AI63" i="2"/>
  <c r="BE67" i="2"/>
  <c r="X7" i="2"/>
  <c r="X27" i="2"/>
  <c r="AD45" i="2"/>
  <c r="BK70" i="2"/>
  <c r="AD29" i="2"/>
  <c r="BE11" i="2"/>
  <c r="AI43" i="2"/>
  <c r="BE66" i="2"/>
  <c r="BE56" i="2"/>
  <c r="AI62" i="2"/>
  <c r="BD11" i="39"/>
  <c r="BG11" i="39" s="1"/>
  <c r="X52" i="2"/>
  <c r="AI17" i="2"/>
  <c r="D71" i="5"/>
  <c r="D72" i="5"/>
  <c r="C72" i="5"/>
  <c r="C71" i="5"/>
  <c r="C70" i="5"/>
  <c r="C38" i="5"/>
  <c r="C37" i="5"/>
  <c r="C39" i="5"/>
  <c r="C20" i="5"/>
  <c r="C21" i="5"/>
  <c r="C54" i="5"/>
  <c r="C55" i="5"/>
  <c r="C19" i="5"/>
  <c r="C56" i="5"/>
  <c r="D70" i="5"/>
  <c r="D55" i="5"/>
  <c r="D38" i="5"/>
  <c r="D56" i="5"/>
  <c r="D54" i="5"/>
  <c r="D39" i="5"/>
  <c r="D21" i="5"/>
  <c r="D20" i="5"/>
  <c r="D37" i="5"/>
  <c r="D19" i="5"/>
  <c r="C122" i="7"/>
  <c r="H120" i="7"/>
  <c r="H122" i="7" s="1"/>
  <c r="C111" i="7"/>
  <c r="H109" i="7"/>
  <c r="H111" i="7" s="1"/>
  <c r="C104" i="7"/>
  <c r="H102" i="7"/>
  <c r="H104" i="7" s="1"/>
  <c r="N10" i="7" s="1"/>
  <c r="H108" i="7"/>
  <c r="H110" i="7" s="1"/>
  <c r="C110" i="7"/>
  <c r="H114" i="7"/>
  <c r="H116" i="7" s="1"/>
  <c r="C116" i="7"/>
  <c r="H115" i="7"/>
  <c r="H117" i="7" s="1"/>
  <c r="C117" i="7"/>
  <c r="GD62" i="2"/>
  <c r="GB74" i="2"/>
  <c r="FW3" i="2"/>
  <c r="GA98" i="2"/>
  <c r="FU74" i="2"/>
  <c r="GC86" i="2"/>
  <c r="FW38" i="2"/>
  <c r="GA99" i="2"/>
  <c r="GD74" i="2"/>
  <c r="FW86" i="2"/>
  <c r="FU14" i="2"/>
  <c r="GB99" i="2"/>
  <c r="FV26" i="2"/>
  <c r="GB87" i="2"/>
  <c r="FU2" i="2"/>
  <c r="GD14" i="2"/>
  <c r="FW98" i="2"/>
  <c r="GB38" i="2"/>
  <c r="FU86" i="2"/>
  <c r="GA87" i="2"/>
  <c r="FU50" i="2"/>
  <c r="GA14" i="2"/>
  <c r="GA38" i="2"/>
  <c r="GD38" i="2"/>
  <c r="GC2" i="2"/>
  <c r="GA51" i="2"/>
  <c r="FV98" i="2"/>
  <c r="GB14" i="2"/>
  <c r="FW14" i="2"/>
  <c r="GB86" i="2"/>
  <c r="FV38" i="2"/>
  <c r="GC26" i="2"/>
  <c r="FW50" i="2"/>
  <c r="FU62" i="2"/>
  <c r="GD98" i="2"/>
  <c r="GD51" i="2"/>
  <c r="GC27" i="2"/>
  <c r="GA62" i="2"/>
  <c r="FV50" i="2"/>
  <c r="GC75" i="2"/>
  <c r="GB62" i="2"/>
  <c r="GD2" i="2"/>
  <c r="FW62" i="2"/>
  <c r="FU98" i="2"/>
  <c r="GD39" i="2"/>
  <c r="GD87" i="2"/>
  <c r="FV99" i="2"/>
  <c r="FU38" i="2"/>
  <c r="GC39" i="2"/>
  <c r="FV74" i="2"/>
  <c r="GA63" i="2"/>
  <c r="GD63" i="2"/>
  <c r="GA39" i="2"/>
  <c r="FV86" i="2"/>
  <c r="GC98" i="2"/>
  <c r="GC62" i="2"/>
  <c r="GB75" i="2"/>
  <c r="FW74" i="2"/>
  <c r="FV87" i="2"/>
  <c r="GB15" i="2"/>
  <c r="FW26" i="2"/>
  <c r="GB2" i="2"/>
  <c r="GB39" i="2"/>
  <c r="FU51" i="2"/>
  <c r="GA75" i="2"/>
  <c r="FW2" i="2"/>
  <c r="GB50" i="2"/>
  <c r="GB26" i="2"/>
  <c r="GD50" i="2"/>
  <c r="GD26" i="2"/>
  <c r="FU26" i="2"/>
  <c r="GA2" i="2"/>
  <c r="GA50" i="2"/>
  <c r="GA26" i="2"/>
  <c r="FV51" i="2"/>
  <c r="GD27" i="2"/>
  <c r="FV62" i="2"/>
  <c r="GC38" i="2"/>
  <c r="FV27" i="2"/>
  <c r="GA74" i="2"/>
  <c r="GC50" i="2"/>
  <c r="GB98" i="2"/>
  <c r="GC14" i="2"/>
  <c r="C122" i="5"/>
  <c r="C69" i="5"/>
  <c r="C123" i="5"/>
  <c r="C35" i="5"/>
  <c r="C81" i="5"/>
  <c r="C12" i="5"/>
  <c r="C58" i="5"/>
  <c r="C32" i="5"/>
  <c r="C17" i="5"/>
  <c r="C47" i="5"/>
  <c r="C18" i="5"/>
  <c r="C16" i="5"/>
  <c r="C24" i="5"/>
  <c r="C6" i="5"/>
  <c r="C97" i="5"/>
  <c r="C118" i="5"/>
  <c r="C62" i="5"/>
  <c r="C33" i="5"/>
  <c r="C29" i="5"/>
  <c r="C98" i="5"/>
  <c r="C84" i="5"/>
  <c r="C45" i="5"/>
  <c r="C59" i="5"/>
  <c r="C36" i="5"/>
  <c r="C79" i="5"/>
  <c r="C67" i="5"/>
  <c r="C46" i="5"/>
  <c r="C13" i="5"/>
  <c r="C14" i="5"/>
  <c r="C10" i="5"/>
  <c r="C11" i="5"/>
  <c r="C103" i="5"/>
  <c r="C121" i="5"/>
  <c r="C68" i="5"/>
  <c r="C7" i="5"/>
  <c r="C77" i="5"/>
  <c r="C66" i="5"/>
  <c r="C95" i="5"/>
  <c r="C111" i="5"/>
  <c r="C116" i="5"/>
  <c r="C96" i="5"/>
  <c r="C50" i="5"/>
  <c r="C25" i="5"/>
  <c r="C30" i="5"/>
  <c r="C53" i="5"/>
  <c r="C110" i="5"/>
  <c r="C83" i="5"/>
  <c r="C61" i="5"/>
  <c r="C60" i="5"/>
  <c r="C93" i="5"/>
  <c r="C76" i="5"/>
  <c r="C42" i="5"/>
  <c r="C49" i="5"/>
  <c r="C109" i="5"/>
  <c r="C48" i="5"/>
  <c r="C23" i="5"/>
  <c r="C28" i="5"/>
  <c r="C5" i="5"/>
  <c r="C27" i="5"/>
  <c r="C91" i="5"/>
  <c r="C120" i="5"/>
  <c r="C78" i="5"/>
  <c r="C41" i="5"/>
  <c r="C107" i="5"/>
  <c r="C89" i="5"/>
  <c r="C65" i="5"/>
  <c r="C117" i="5"/>
  <c r="C26" i="5"/>
  <c r="C4" i="5"/>
  <c r="W4" i="5" s="1"/>
  <c r="C52" i="5"/>
  <c r="C51" i="5"/>
  <c r="C82" i="5"/>
  <c r="C94" i="5"/>
  <c r="C74" i="5"/>
  <c r="C64" i="5"/>
  <c r="C15" i="5"/>
  <c r="C80" i="5"/>
  <c r="C34" i="5"/>
  <c r="C44" i="5"/>
  <c r="C9" i="5"/>
  <c r="C43" i="5"/>
  <c r="C75" i="5"/>
  <c r="C90" i="5"/>
  <c r="C63" i="5"/>
  <c r="C31" i="5"/>
  <c r="C108" i="5"/>
  <c r="C119" i="5"/>
  <c r="D123" i="5"/>
  <c r="D69" i="5"/>
  <c r="D122" i="5"/>
  <c r="D58" i="5"/>
  <c r="D32" i="5"/>
  <c r="D17" i="5"/>
  <c r="D47" i="5"/>
  <c r="D18" i="5"/>
  <c r="D16" i="5"/>
  <c r="D24" i="5"/>
  <c r="D6" i="5"/>
  <c r="D97" i="5"/>
  <c r="D49" i="5"/>
  <c r="D105" i="5"/>
  <c r="D104" i="5"/>
  <c r="D61" i="5"/>
  <c r="D59" i="5"/>
  <c r="D36" i="5"/>
  <c r="D79" i="5"/>
  <c r="D67" i="5"/>
  <c r="D46" i="5"/>
  <c r="D13" i="5"/>
  <c r="D14" i="5"/>
  <c r="D10" i="5"/>
  <c r="D95" i="5"/>
  <c r="D29" i="5"/>
  <c r="D98" i="5"/>
  <c r="D84" i="5"/>
  <c r="D28" i="5"/>
  <c r="D5" i="5"/>
  <c r="D9" i="5"/>
  <c r="D82" i="5"/>
  <c r="D30" i="5"/>
  <c r="D53" i="5"/>
  <c r="D110" i="5"/>
  <c r="D11" i="5"/>
  <c r="D35" i="5"/>
  <c r="D90" i="5"/>
  <c r="D121" i="5"/>
  <c r="D68" i="5"/>
  <c r="D7" i="5"/>
  <c r="D77" i="5"/>
  <c r="D66" i="5"/>
  <c r="D27" i="5"/>
  <c r="D43" i="5"/>
  <c r="D63" i="5"/>
  <c r="D50" i="5"/>
  <c r="D109" i="5"/>
  <c r="D48" i="5"/>
  <c r="D23" i="5"/>
  <c r="D60" i="5"/>
  <c r="D93" i="5"/>
  <c r="D76" i="5"/>
  <c r="D45" i="5"/>
  <c r="D42" i="5"/>
  <c r="D4" i="5"/>
  <c r="X4" i="5" s="1"/>
  <c r="D52" i="5"/>
  <c r="D51" i="5"/>
  <c r="D108" i="5"/>
  <c r="D116" i="5"/>
  <c r="D12" i="5"/>
  <c r="D120" i="5"/>
  <c r="D78" i="5"/>
  <c r="D41" i="5"/>
  <c r="D107" i="5"/>
  <c r="D92" i="5"/>
  <c r="D89" i="5"/>
  <c r="D65" i="5"/>
  <c r="D117" i="5"/>
  <c r="D25" i="5"/>
  <c r="D81" i="5"/>
  <c r="D80" i="5"/>
  <c r="D34" i="5"/>
  <c r="D44" i="5"/>
  <c r="D96" i="5"/>
  <c r="D111" i="5"/>
  <c r="D91" i="5"/>
  <c r="D94" i="5"/>
  <c r="D74" i="5"/>
  <c r="D118" i="5"/>
  <c r="D106" i="5"/>
  <c r="D83" i="5"/>
  <c r="D103" i="5"/>
  <c r="D75" i="5"/>
  <c r="D62" i="5"/>
  <c r="D33" i="5"/>
  <c r="D64" i="5"/>
  <c r="D26" i="5"/>
  <c r="D119" i="5"/>
  <c r="D15" i="5"/>
  <c r="D31" i="5"/>
  <c r="AM59" i="7"/>
  <c r="L3" i="44" l="1"/>
  <c r="M5" i="60" s="1"/>
  <c r="L12" i="41"/>
  <c r="M15" i="60"/>
  <c r="W13" i="60"/>
  <c r="W18" i="60"/>
  <c r="M18" i="60"/>
  <c r="W5" i="60"/>
  <c r="M11" i="60"/>
  <c r="W12" i="60"/>
  <c r="W8" i="60"/>
  <c r="W11" i="60"/>
  <c r="M16" i="60"/>
  <c r="M9" i="60"/>
  <c r="M17" i="60"/>
  <c r="W9" i="60"/>
  <c r="M8" i="60"/>
  <c r="M10" i="60"/>
  <c r="W16" i="60"/>
  <c r="J69" i="41"/>
  <c r="K69" i="41"/>
  <c r="H69" i="41"/>
  <c r="C69" i="41"/>
  <c r="F69" i="41"/>
  <c r="E69" i="41"/>
  <c r="D69" i="41"/>
  <c r="L65" i="44"/>
  <c r="L69" i="41"/>
  <c r="I69" i="41"/>
  <c r="G69" i="41"/>
  <c r="K61" i="73"/>
  <c r="J69" i="73"/>
  <c r="D69" i="73"/>
  <c r="L61" i="73"/>
  <c r="L69" i="73"/>
  <c r="H69" i="73"/>
  <c r="F69" i="73"/>
  <c r="E69" i="73"/>
  <c r="K69" i="73"/>
  <c r="C69" i="73"/>
  <c r="I69" i="73"/>
  <c r="G69" i="73"/>
  <c r="H145" i="44"/>
  <c r="D10" i="41"/>
  <c r="H17" i="44"/>
  <c r="G61" i="73"/>
  <c r="D145" i="44"/>
  <c r="K168" i="32"/>
  <c r="M168" i="32" s="1"/>
  <c r="L145" i="44"/>
  <c r="L155" i="44" s="1"/>
  <c r="E145" i="44"/>
  <c r="E192" i="32"/>
  <c r="I180" i="32"/>
  <c r="K179" i="32"/>
  <c r="M179" i="32" s="1"/>
  <c r="J145" i="44"/>
  <c r="E203" i="32"/>
  <c r="I203" i="32" s="1"/>
  <c r="I191" i="32"/>
  <c r="W44" i="60"/>
  <c r="W43" i="60"/>
  <c r="I204" i="31"/>
  <c r="Q204" i="31" s="1"/>
  <c r="Q192" i="31"/>
  <c r="K145" i="44"/>
  <c r="C145" i="44"/>
  <c r="K190" i="32"/>
  <c r="M190" i="32" s="1"/>
  <c r="K202" i="32"/>
  <c r="M202" i="32" s="1"/>
  <c r="O168" i="33"/>
  <c r="Q168" i="33" s="1"/>
  <c r="S203" i="31"/>
  <c r="O157" i="33"/>
  <c r="Q157" i="33" s="1"/>
  <c r="BF18" i="39" s="1"/>
  <c r="F192" i="33"/>
  <c r="L180" i="33"/>
  <c r="O190" i="33"/>
  <c r="Q190" i="33" s="1"/>
  <c r="F181" i="33"/>
  <c r="L169" i="33"/>
  <c r="O202" i="33"/>
  <c r="Q202" i="33" s="1"/>
  <c r="S169" i="31"/>
  <c r="O179" i="33"/>
  <c r="Q179" i="33" s="1"/>
  <c r="G145" i="44"/>
  <c r="I193" i="31"/>
  <c r="Q181" i="31"/>
  <c r="K157" i="32"/>
  <c r="M157" i="32" s="1"/>
  <c r="AU18" i="39" s="1"/>
  <c r="F203" i="33"/>
  <c r="L203" i="33" s="1"/>
  <c r="L191" i="33"/>
  <c r="E181" i="32"/>
  <c r="I169" i="32"/>
  <c r="I145" i="44"/>
  <c r="FD62" i="3"/>
  <c r="FD86" i="3"/>
  <c r="FD87" i="3"/>
  <c r="FD63" i="3"/>
  <c r="FD75" i="3"/>
  <c r="FD110" i="3"/>
  <c r="FD38" i="3"/>
  <c r="FD14" i="3"/>
  <c r="FD111" i="3"/>
  <c r="FD74" i="3"/>
  <c r="FD50" i="3"/>
  <c r="FD51" i="3"/>
  <c r="FD26" i="3"/>
  <c r="FD122" i="3"/>
  <c r="FD99" i="3"/>
  <c r="FD98" i="3"/>
  <c r="E61" i="73"/>
  <c r="J61" i="73"/>
  <c r="C61" i="73"/>
  <c r="D61" i="73"/>
  <c r="I61" i="73"/>
  <c r="F61" i="73"/>
  <c r="H61" i="73"/>
  <c r="D53" i="22"/>
  <c r="EX38" i="3"/>
  <c r="D70" i="22"/>
  <c r="D52" i="22"/>
  <c r="D28" i="22"/>
  <c r="D37" i="22"/>
  <c r="D55" i="22"/>
  <c r="D11" i="22"/>
  <c r="D71" i="22"/>
  <c r="D30" i="22"/>
  <c r="D67" i="22"/>
  <c r="D63" i="22"/>
  <c r="D14" i="22"/>
  <c r="D10" i="22"/>
  <c r="D22" i="22"/>
  <c r="D56" i="22"/>
  <c r="D62" i="22"/>
  <c r="D60" i="22"/>
  <c r="D54" i="22"/>
  <c r="D33" i="22"/>
  <c r="D45" i="22"/>
  <c r="D47" i="22"/>
  <c r="D4" i="22"/>
  <c r="D61" i="22"/>
  <c r="D16" i="22"/>
  <c r="D43" i="22"/>
  <c r="D35" i="22"/>
  <c r="D9" i="22"/>
  <c r="D51" i="22"/>
  <c r="FR63" i="2"/>
  <c r="D19" i="22"/>
  <c r="D21" i="22"/>
  <c r="D2" i="20"/>
  <c r="D31" i="22"/>
  <c r="D39" i="22"/>
  <c r="D69" i="22"/>
  <c r="D64" i="22"/>
  <c r="D20" i="22"/>
  <c r="D27" i="22"/>
  <c r="D40" i="22"/>
  <c r="D7" i="22"/>
  <c r="D38" i="22"/>
  <c r="D59" i="22"/>
  <c r="D73" i="22"/>
  <c r="D57" i="22"/>
  <c r="D66" i="22"/>
  <c r="D24" i="22"/>
  <c r="D42" i="22"/>
  <c r="FA62" i="3"/>
  <c r="D17" i="22"/>
  <c r="D36" i="22"/>
  <c r="D58" i="22"/>
  <c r="D44" i="22"/>
  <c r="D41" i="22"/>
  <c r="D26" i="22"/>
  <c r="D18" i="22"/>
  <c r="D34" i="22"/>
  <c r="D25" i="22"/>
  <c r="D50" i="22"/>
  <c r="D2" i="18"/>
  <c r="D8" i="22"/>
  <c r="D72" i="22"/>
  <c r="D32" i="22"/>
  <c r="D5" i="22"/>
  <c r="D65" i="22"/>
  <c r="D23" i="22"/>
  <c r="D3" i="22"/>
  <c r="D49" i="22"/>
  <c r="D13" i="22"/>
  <c r="D15" i="22"/>
  <c r="D2" i="21"/>
  <c r="D29" i="22"/>
  <c r="D46" i="22"/>
  <c r="D6" i="22"/>
  <c r="D12" i="22"/>
  <c r="D68" i="22"/>
  <c r="D48" i="22"/>
  <c r="C68" i="44"/>
  <c r="H68" i="44"/>
  <c r="C17" i="44"/>
  <c r="M74" i="26"/>
  <c r="M50" i="37"/>
  <c r="DS5" i="39"/>
  <c r="M86" i="26"/>
  <c r="M25" i="37"/>
  <c r="O25" i="37" s="1"/>
  <c r="M74" i="37"/>
  <c r="O74" i="37" s="1"/>
  <c r="M50" i="26"/>
  <c r="O50" i="26" s="1"/>
  <c r="M14" i="26"/>
  <c r="O14" i="26" s="1"/>
  <c r="O2" i="37"/>
  <c r="O2" i="26"/>
  <c r="M25" i="26"/>
  <c r="O25" i="26" s="1"/>
  <c r="M14" i="37"/>
  <c r="O14" i="37" s="1"/>
  <c r="AJ6" i="39"/>
  <c r="W5" i="27"/>
  <c r="S19" i="20"/>
  <c r="U19" i="20" s="1"/>
  <c r="S17" i="20"/>
  <c r="U17" i="20" s="1"/>
  <c r="S23" i="20"/>
  <c r="U23" i="20" s="1"/>
  <c r="S14" i="31"/>
  <c r="V14" i="31" s="1"/>
  <c r="S16" i="31"/>
  <c r="V16" i="31" s="1"/>
  <c r="S22" i="20"/>
  <c r="U22" i="20" s="1"/>
  <c r="S20" i="20"/>
  <c r="U20" i="20" s="1"/>
  <c r="S18" i="20"/>
  <c r="U18" i="20" s="1"/>
  <c r="S20" i="31"/>
  <c r="V20" i="31" s="1"/>
  <c r="S25" i="20"/>
  <c r="U25" i="20" s="1"/>
  <c r="S18" i="31"/>
  <c r="V18" i="31" s="1"/>
  <c r="S21" i="20"/>
  <c r="U21" i="20" s="1"/>
  <c r="S25" i="31"/>
  <c r="V25" i="31" s="1"/>
  <c r="S24" i="31"/>
  <c r="V24" i="31" s="1"/>
  <c r="S23" i="31"/>
  <c r="V23" i="31" s="1"/>
  <c r="S14" i="20"/>
  <c r="U14" i="20" s="1"/>
  <c r="S19" i="31"/>
  <c r="V19" i="31" s="1"/>
  <c r="S16" i="20"/>
  <c r="U16" i="20" s="1"/>
  <c r="S21" i="31"/>
  <c r="V21" i="31" s="1"/>
  <c r="S17" i="31"/>
  <c r="V17" i="31" s="1"/>
  <c r="S24" i="20"/>
  <c r="U24" i="20" s="1"/>
  <c r="S22" i="31"/>
  <c r="V22" i="31" s="1"/>
  <c r="GC99" i="2"/>
  <c r="FW15" i="2"/>
  <c r="BO8" i="40"/>
  <c r="BQ8" i="40"/>
  <c r="BO9" i="40"/>
  <c r="BQ9" i="40"/>
  <c r="AZ12" i="40"/>
  <c r="BB12" i="40"/>
  <c r="AI12" i="40"/>
  <c r="AK12" i="40"/>
  <c r="AZ13" i="40"/>
  <c r="BB13" i="40"/>
  <c r="BH9" i="40"/>
  <c r="BJ9" i="40"/>
  <c r="FU87" i="2"/>
  <c r="BH7" i="40"/>
  <c r="BJ7" i="40"/>
  <c r="BH10" i="40"/>
  <c r="BJ10" i="40"/>
  <c r="AR15" i="40"/>
  <c r="AT15" i="40"/>
  <c r="AZ7" i="40"/>
  <c r="BA9" i="40" s="1"/>
  <c r="BB7" i="40"/>
  <c r="BO15" i="40"/>
  <c r="BQ15" i="40"/>
  <c r="FW87" i="2"/>
  <c r="AZ9" i="40"/>
  <c r="BB9" i="40"/>
  <c r="AR13" i="40"/>
  <c r="AT13" i="40"/>
  <c r="Z86" i="51"/>
  <c r="FU99" i="2"/>
  <c r="AI15" i="40"/>
  <c r="AK15" i="40"/>
  <c r="X86" i="51"/>
  <c r="J6" i="27"/>
  <c r="Y86" i="51"/>
  <c r="AZ14" i="40"/>
  <c r="BB14" i="40"/>
  <c r="AZ15" i="40"/>
  <c r="BB15" i="40"/>
  <c r="AR8" i="40"/>
  <c r="AS10" i="40" s="1"/>
  <c r="AT8" i="40"/>
  <c r="GA88" i="2"/>
  <c r="AZ8" i="40"/>
  <c r="BB8" i="40"/>
  <c r="AR9" i="40"/>
  <c r="AT9" i="40"/>
  <c r="AI13" i="40"/>
  <c r="AK13" i="40"/>
  <c r="BO10" i="40"/>
  <c r="BQ10" i="40"/>
  <c r="FW99" i="2"/>
  <c r="AI14" i="40"/>
  <c r="AK14" i="40"/>
  <c r="AZ10" i="40"/>
  <c r="BA10" i="40" s="1"/>
  <c r="BB10" i="40"/>
  <c r="BO7" i="40"/>
  <c r="BQ7" i="40"/>
  <c r="AI9" i="40"/>
  <c r="AK9" i="40"/>
  <c r="AI8" i="40"/>
  <c r="AK8" i="40"/>
  <c r="AR7" i="40"/>
  <c r="AT7" i="40"/>
  <c r="BH8" i="40"/>
  <c r="BJ8" i="40"/>
  <c r="AR10" i="40"/>
  <c r="AT10" i="40"/>
  <c r="BH15" i="40"/>
  <c r="BJ15" i="40"/>
  <c r="AR12" i="40"/>
  <c r="AT12" i="40"/>
  <c r="GC87" i="2"/>
  <c r="BG6" i="27"/>
  <c r="O97" i="37"/>
  <c r="O26" i="37"/>
  <c r="O61" i="37"/>
  <c r="O85" i="37"/>
  <c r="O38" i="37"/>
  <c r="O87" i="37"/>
  <c r="O37" i="26"/>
  <c r="O85" i="26"/>
  <c r="O38" i="26"/>
  <c r="O87" i="26"/>
  <c r="O61" i="26"/>
  <c r="O26" i="26"/>
  <c r="AZ6" i="27"/>
  <c r="P6" i="27"/>
  <c r="J32" i="40"/>
  <c r="N6" i="40"/>
  <c r="T7" i="40"/>
  <c r="T8" i="40"/>
  <c r="V8" i="40"/>
  <c r="AB15" i="40"/>
  <c r="AD15" i="40"/>
  <c r="L15" i="40"/>
  <c r="N15" i="40"/>
  <c r="AB8" i="40"/>
  <c r="AD8" i="40"/>
  <c r="AB7" i="40"/>
  <c r="AD7" i="40"/>
  <c r="T9" i="40"/>
  <c r="V9" i="40"/>
  <c r="T15" i="40"/>
  <c r="V15" i="40"/>
  <c r="AB10" i="40"/>
  <c r="AD10" i="40"/>
  <c r="AB13" i="40"/>
  <c r="AD13" i="40"/>
  <c r="AB12" i="40"/>
  <c r="AD12" i="40"/>
  <c r="T10" i="40"/>
  <c r="V10" i="40"/>
  <c r="AB9" i="40"/>
  <c r="AD9" i="40"/>
  <c r="E14" i="40"/>
  <c r="F14" i="40"/>
  <c r="E10" i="40"/>
  <c r="F10" i="40"/>
  <c r="E12" i="40"/>
  <c r="F12" i="40"/>
  <c r="E7" i="40"/>
  <c r="F7" i="40"/>
  <c r="E8" i="40"/>
  <c r="F8" i="40"/>
  <c r="E13" i="40"/>
  <c r="F13" i="40"/>
  <c r="E9" i="40"/>
  <c r="F9" i="40"/>
  <c r="E15" i="40"/>
  <c r="F15" i="40"/>
  <c r="D37" i="33"/>
  <c r="AK24" i="2"/>
  <c r="D24" i="33"/>
  <c r="D18" i="20"/>
  <c r="D17" i="23"/>
  <c r="D51" i="18"/>
  <c r="D41" i="32"/>
  <c r="D41" i="21"/>
  <c r="D52" i="23"/>
  <c r="D33" i="18"/>
  <c r="D15" i="23"/>
  <c r="AF4" i="2"/>
  <c r="D4" i="32"/>
  <c r="D4" i="21"/>
  <c r="AF5" i="2"/>
  <c r="D5" i="32"/>
  <c r="D5" i="21"/>
  <c r="D45" i="23"/>
  <c r="D5" i="18"/>
  <c r="AF22" i="2"/>
  <c r="D22" i="32"/>
  <c r="D22" i="21"/>
  <c r="D49" i="23"/>
  <c r="D73" i="18"/>
  <c r="D44" i="23"/>
  <c r="D54" i="18"/>
  <c r="AF34" i="2"/>
  <c r="D34" i="32"/>
  <c r="D34" i="21"/>
  <c r="D7" i="23"/>
  <c r="D46" i="23"/>
  <c r="D34" i="23"/>
  <c r="D62" i="32"/>
  <c r="D62" i="21"/>
  <c r="D60" i="23"/>
  <c r="BN14" i="2"/>
  <c r="AF24" i="2"/>
  <c r="D24" i="32"/>
  <c r="D24" i="21"/>
  <c r="D4" i="18"/>
  <c r="D6" i="18"/>
  <c r="D73" i="20"/>
  <c r="U15" i="2"/>
  <c r="D15" i="18"/>
  <c r="AF10" i="2"/>
  <c r="D10" i="32"/>
  <c r="D10" i="21"/>
  <c r="BH26" i="2"/>
  <c r="D26" i="23"/>
  <c r="X26" i="23" s="1"/>
  <c r="AF35" i="2"/>
  <c r="D35" i="32"/>
  <c r="D35" i="21"/>
  <c r="N35" i="21" s="1"/>
  <c r="AK18" i="2"/>
  <c r="D18" i="33"/>
  <c r="D31" i="18"/>
  <c r="D30" i="32"/>
  <c r="D30" i="21"/>
  <c r="D34" i="18"/>
  <c r="AF70" i="2"/>
  <c r="D70" i="32"/>
  <c r="D70" i="21"/>
  <c r="N70" i="21" s="1"/>
  <c r="D33" i="23"/>
  <c r="AK17" i="2"/>
  <c r="D17" i="33"/>
  <c r="D29" i="23"/>
  <c r="D55" i="23"/>
  <c r="AK38" i="2"/>
  <c r="D38" i="33"/>
  <c r="D64" i="23"/>
  <c r="D36" i="18"/>
  <c r="D32" i="20"/>
  <c r="D40" i="23"/>
  <c r="D52" i="18"/>
  <c r="D43" i="20"/>
  <c r="D17" i="20"/>
  <c r="D70" i="20"/>
  <c r="AF33" i="2"/>
  <c r="D33" i="32"/>
  <c r="D33" i="21"/>
  <c r="AK60" i="2"/>
  <c r="D60" i="33"/>
  <c r="AF65" i="2"/>
  <c r="D65" i="32"/>
  <c r="D65" i="21"/>
  <c r="D19" i="20"/>
  <c r="D14" i="20"/>
  <c r="AK35" i="2"/>
  <c r="D35" i="33"/>
  <c r="AK42" i="2"/>
  <c r="D42" i="33"/>
  <c r="D35" i="20"/>
  <c r="D50" i="20"/>
  <c r="AK39" i="2"/>
  <c r="D39" i="33"/>
  <c r="AF54" i="2"/>
  <c r="D54" i="32"/>
  <c r="D54" i="21"/>
  <c r="AF8" i="2"/>
  <c r="D8" i="32"/>
  <c r="D8" i="21"/>
  <c r="D63" i="18"/>
  <c r="AF16" i="2"/>
  <c r="D16" i="32"/>
  <c r="D16" i="21"/>
  <c r="AK20" i="2"/>
  <c r="D20" i="33"/>
  <c r="D54" i="23"/>
  <c r="AF43" i="2"/>
  <c r="D43" i="32"/>
  <c r="D43" i="21"/>
  <c r="N43" i="21" s="1"/>
  <c r="D46" i="32"/>
  <c r="D46" i="21"/>
  <c r="D24" i="23"/>
  <c r="D3" i="20"/>
  <c r="D67" i="20"/>
  <c r="AF6" i="2"/>
  <c r="D6" i="32"/>
  <c r="D6" i="21"/>
  <c r="AF48" i="2"/>
  <c r="D48" i="32"/>
  <c r="D48" i="21"/>
  <c r="N48" i="21" s="1"/>
  <c r="D3" i="32"/>
  <c r="D3" i="21"/>
  <c r="D70" i="18"/>
  <c r="D57" i="20"/>
  <c r="D41" i="23"/>
  <c r="D65" i="23"/>
  <c r="D36" i="20"/>
  <c r="D73" i="33"/>
  <c r="D23" i="23"/>
  <c r="AK50" i="2"/>
  <c r="D50" i="33"/>
  <c r="D58" i="23"/>
  <c r="AK16" i="2"/>
  <c r="D16" i="33"/>
  <c r="AK69" i="2"/>
  <c r="D69" i="33"/>
  <c r="D23" i="18"/>
  <c r="AK32" i="2"/>
  <c r="D32" i="33"/>
  <c r="D11" i="20"/>
  <c r="D20" i="23"/>
  <c r="D66" i="20"/>
  <c r="D6" i="33"/>
  <c r="D48" i="23"/>
  <c r="AF45" i="2"/>
  <c r="D45" i="32"/>
  <c r="D45" i="21"/>
  <c r="N45" i="21" s="1"/>
  <c r="BN38" i="2"/>
  <c r="AK10" i="2"/>
  <c r="D10" i="33"/>
  <c r="D34" i="33"/>
  <c r="D29" i="20"/>
  <c r="D37" i="23"/>
  <c r="AK19" i="2"/>
  <c r="D19" i="33"/>
  <c r="D25" i="23"/>
  <c r="AK47" i="2"/>
  <c r="D47" i="33"/>
  <c r="D40" i="18"/>
  <c r="D12" i="23"/>
  <c r="D53" i="18"/>
  <c r="D4" i="23"/>
  <c r="D57" i="18"/>
  <c r="D58" i="18"/>
  <c r="AF53" i="2"/>
  <c r="D53" i="32"/>
  <c r="D53" i="21"/>
  <c r="AK4" i="2"/>
  <c r="D4" i="33"/>
  <c r="D65" i="18"/>
  <c r="AK36" i="2"/>
  <c r="D36" i="33"/>
  <c r="D16" i="23"/>
  <c r="D22" i="18"/>
  <c r="AK45" i="2"/>
  <c r="D45" i="33"/>
  <c r="AK67" i="2"/>
  <c r="D67" i="33"/>
  <c r="D9" i="18"/>
  <c r="D11" i="18"/>
  <c r="D30" i="20"/>
  <c r="AA27" i="2"/>
  <c r="D27" i="20"/>
  <c r="V27" i="20" s="1"/>
  <c r="W27" i="20" s="1"/>
  <c r="AK57" i="2"/>
  <c r="D57" i="33"/>
  <c r="D65" i="20"/>
  <c r="AF21" i="2"/>
  <c r="D21" i="32"/>
  <c r="D21" i="21"/>
  <c r="D53" i="20"/>
  <c r="AF58" i="2"/>
  <c r="D58" i="32"/>
  <c r="D58" i="21"/>
  <c r="N58" i="21" s="1"/>
  <c r="AF64" i="2"/>
  <c r="D64" i="32"/>
  <c r="D64" i="21"/>
  <c r="N64" i="21" s="1"/>
  <c r="D42" i="32"/>
  <c r="D42" i="21"/>
  <c r="D31" i="20"/>
  <c r="D50" i="18"/>
  <c r="D44" i="32"/>
  <c r="D44" i="21"/>
  <c r="N44" i="21" s="1"/>
  <c r="AF71" i="2"/>
  <c r="D71" i="32"/>
  <c r="D71" i="21"/>
  <c r="N71" i="21" s="1"/>
  <c r="D10" i="18"/>
  <c r="D56" i="20"/>
  <c r="D16" i="20"/>
  <c r="AF67" i="2"/>
  <c r="D67" i="32"/>
  <c r="D67" i="21"/>
  <c r="N67" i="21" s="1"/>
  <c r="AK33" i="2"/>
  <c r="D33" i="33"/>
  <c r="D18" i="23"/>
  <c r="AK52" i="2"/>
  <c r="D52" i="33"/>
  <c r="D59" i="18"/>
  <c r="AK70" i="2"/>
  <c r="D70" i="33"/>
  <c r="AK7" i="2"/>
  <c r="D7" i="33"/>
  <c r="AK55" i="2"/>
  <c r="D55" i="33"/>
  <c r="AF66" i="2"/>
  <c r="D66" i="32"/>
  <c r="D66" i="21"/>
  <c r="N66" i="21" s="1"/>
  <c r="D21" i="23"/>
  <c r="AK23" i="2"/>
  <c r="D23" i="33"/>
  <c r="D61" i="33"/>
  <c r="D61" i="32"/>
  <c r="D61" i="21"/>
  <c r="D13" i="33"/>
  <c r="AF68" i="2"/>
  <c r="D68" i="32"/>
  <c r="D68" i="21"/>
  <c r="N68" i="21" s="1"/>
  <c r="D10" i="20"/>
  <c r="D8" i="20"/>
  <c r="D39" i="20"/>
  <c r="AF63" i="2"/>
  <c r="D63" i="32"/>
  <c r="D63" i="21"/>
  <c r="N63" i="21" s="1"/>
  <c r="AK44" i="2"/>
  <c r="D44" i="33"/>
  <c r="AK29" i="2"/>
  <c r="D29" i="33"/>
  <c r="D34" i="20"/>
  <c r="AK62" i="2"/>
  <c r="D62" i="33"/>
  <c r="AK3" i="2"/>
  <c r="D3" i="33"/>
  <c r="AK28" i="2"/>
  <c r="D28" i="33"/>
  <c r="D41" i="20"/>
  <c r="AK46" i="2"/>
  <c r="D46" i="33"/>
  <c r="D40" i="32"/>
  <c r="D40" i="21"/>
  <c r="AK51" i="2"/>
  <c r="D51" i="33"/>
  <c r="D55" i="18"/>
  <c r="D38" i="32"/>
  <c r="D38" i="21"/>
  <c r="AF60" i="2"/>
  <c r="D60" i="32"/>
  <c r="D60" i="21"/>
  <c r="N60" i="21" s="1"/>
  <c r="D41" i="18"/>
  <c r="D56" i="23"/>
  <c r="D7" i="20"/>
  <c r="D60" i="20"/>
  <c r="D37" i="20"/>
  <c r="AK53" i="2"/>
  <c r="D53" i="33"/>
  <c r="D38" i="20"/>
  <c r="D24" i="18"/>
  <c r="D12" i="32"/>
  <c r="D12" i="21"/>
  <c r="D73" i="32"/>
  <c r="D73" i="21"/>
  <c r="D36" i="23"/>
  <c r="D64" i="18"/>
  <c r="AK11" i="2"/>
  <c r="D11" i="33"/>
  <c r="AK72" i="2"/>
  <c r="D72" i="33"/>
  <c r="AF39" i="2"/>
  <c r="D39" i="32"/>
  <c r="D39" i="21"/>
  <c r="N39" i="21" s="1"/>
  <c r="D22" i="23"/>
  <c r="X22" i="23" s="1"/>
  <c r="Y22" i="23" s="1"/>
  <c r="D45" i="20"/>
  <c r="D63" i="20"/>
  <c r="D62" i="20"/>
  <c r="AF14" i="2"/>
  <c r="D14" i="32"/>
  <c r="D14" i="21"/>
  <c r="D37" i="32"/>
  <c r="D37" i="21"/>
  <c r="D5" i="23"/>
  <c r="D21" i="18"/>
  <c r="D20" i="20"/>
  <c r="D20" i="18"/>
  <c r="D42" i="18"/>
  <c r="D43" i="23"/>
  <c r="D26" i="33"/>
  <c r="D13" i="32"/>
  <c r="D13" i="21"/>
  <c r="AF18" i="2"/>
  <c r="D18" i="32"/>
  <c r="D18" i="21"/>
  <c r="D62" i="23"/>
  <c r="D16" i="18"/>
  <c r="D26" i="20"/>
  <c r="AK41" i="2"/>
  <c r="D41" i="33"/>
  <c r="D40" i="33"/>
  <c r="D66" i="23"/>
  <c r="AF56" i="2"/>
  <c r="D56" i="32"/>
  <c r="D56" i="21"/>
  <c r="N56" i="21" s="1"/>
  <c r="D59" i="23"/>
  <c r="D28" i="20"/>
  <c r="D48" i="20"/>
  <c r="D21" i="20"/>
  <c r="AK12" i="2"/>
  <c r="D12" i="33"/>
  <c r="AF55" i="2"/>
  <c r="D55" i="32"/>
  <c r="D55" i="21"/>
  <c r="N55" i="21" s="1"/>
  <c r="D3" i="23"/>
  <c r="D19" i="18"/>
  <c r="AF47" i="2"/>
  <c r="D47" i="32"/>
  <c r="D47" i="21"/>
  <c r="N47" i="21" s="1"/>
  <c r="D61" i="20"/>
  <c r="D58" i="20"/>
  <c r="D61" i="18"/>
  <c r="AF23" i="2"/>
  <c r="D23" i="32"/>
  <c r="D23" i="21"/>
  <c r="AK27" i="2"/>
  <c r="D27" i="33"/>
  <c r="D54" i="20"/>
  <c r="D8" i="23"/>
  <c r="D39" i="23"/>
  <c r="D26" i="32"/>
  <c r="D26" i="21"/>
  <c r="D18" i="18"/>
  <c r="D71" i="20"/>
  <c r="D47" i="18"/>
  <c r="AF9" i="2"/>
  <c r="D9" i="32"/>
  <c r="D9" i="21"/>
  <c r="D9" i="20"/>
  <c r="AF36" i="2"/>
  <c r="D36" i="32"/>
  <c r="D36" i="21"/>
  <c r="N36" i="21" s="1"/>
  <c r="AF31" i="2"/>
  <c r="D31" i="32"/>
  <c r="D31" i="21"/>
  <c r="N31" i="21" s="1"/>
  <c r="AK68" i="2"/>
  <c r="D68" i="33"/>
  <c r="D72" i="20"/>
  <c r="AK30" i="2"/>
  <c r="D30" i="33"/>
  <c r="D32" i="32"/>
  <c r="D32" i="21"/>
  <c r="D56" i="18"/>
  <c r="D45" i="18"/>
  <c r="D13" i="18"/>
  <c r="D30" i="18"/>
  <c r="D61" i="23"/>
  <c r="D49" i="32"/>
  <c r="D49" i="21"/>
  <c r="AK9" i="2"/>
  <c r="D9" i="33"/>
  <c r="D71" i="18"/>
  <c r="D15" i="33"/>
  <c r="BH2" i="2"/>
  <c r="AF27" i="2"/>
  <c r="D27" i="32"/>
  <c r="D27" i="21"/>
  <c r="N27" i="21" s="1"/>
  <c r="D32" i="18"/>
  <c r="AF19" i="2"/>
  <c r="D19" i="32"/>
  <c r="D19" i="21"/>
  <c r="D51" i="20"/>
  <c r="D33" i="20"/>
  <c r="D46" i="18"/>
  <c r="D37" i="18"/>
  <c r="D6" i="20"/>
  <c r="D21" i="33"/>
  <c r="D67" i="23"/>
  <c r="D7" i="18"/>
  <c r="AK56" i="2"/>
  <c r="D56" i="33"/>
  <c r="D14" i="33"/>
  <c r="D40" i="20"/>
  <c r="D12" i="20"/>
  <c r="AK59" i="2"/>
  <c r="D59" i="33"/>
  <c r="D4" i="20"/>
  <c r="AF57" i="2"/>
  <c r="D57" i="32"/>
  <c r="D57" i="21"/>
  <c r="N57" i="21" s="1"/>
  <c r="AF28" i="2"/>
  <c r="D28" i="32"/>
  <c r="D28" i="21"/>
  <c r="N28" i="21" s="1"/>
  <c r="D47" i="20"/>
  <c r="D49" i="33"/>
  <c r="D35" i="18"/>
  <c r="D69" i="23"/>
  <c r="D23" i="20"/>
  <c r="D73" i="23"/>
  <c r="AF11" i="2"/>
  <c r="D11" i="32"/>
  <c r="D11" i="21"/>
  <c r="D71" i="23"/>
  <c r="D22" i="20"/>
  <c r="D39" i="18"/>
  <c r="D38" i="18"/>
  <c r="D27" i="18"/>
  <c r="D29" i="18"/>
  <c r="D24" i="20"/>
  <c r="D69" i="20"/>
  <c r="D68" i="20"/>
  <c r="D68" i="18"/>
  <c r="D46" i="20"/>
  <c r="D7" i="32"/>
  <c r="D7" i="21"/>
  <c r="D11" i="23"/>
  <c r="D26" i="18"/>
  <c r="AF17" i="2"/>
  <c r="D17" i="32"/>
  <c r="D17" i="21"/>
  <c r="D67" i="18"/>
  <c r="D53" i="23"/>
  <c r="AF51" i="2"/>
  <c r="D51" i="32"/>
  <c r="D51" i="21"/>
  <c r="N51" i="21" s="1"/>
  <c r="U3" i="2"/>
  <c r="D3" i="18"/>
  <c r="D28" i="23"/>
  <c r="D15" i="20"/>
  <c r="D57" i="23"/>
  <c r="D31" i="23"/>
  <c r="D49" i="20"/>
  <c r="D69" i="18"/>
  <c r="AF50" i="2"/>
  <c r="D50" i="32"/>
  <c r="D50" i="21"/>
  <c r="AK31" i="2"/>
  <c r="D31" i="33"/>
  <c r="D72" i="23"/>
  <c r="D5" i="20"/>
  <c r="AK22" i="2"/>
  <c r="D22" i="33"/>
  <c r="D63" i="23"/>
  <c r="D30" i="23"/>
  <c r="D13" i="23"/>
  <c r="D68" i="23"/>
  <c r="D10" i="23"/>
  <c r="D25" i="32"/>
  <c r="D25" i="21"/>
  <c r="D60" i="18"/>
  <c r="D25" i="33"/>
  <c r="D14" i="23"/>
  <c r="D66" i="18"/>
  <c r="D6" i="23"/>
  <c r="D48" i="18"/>
  <c r="D25" i="20"/>
  <c r="D47" i="23"/>
  <c r="D28" i="18"/>
  <c r="D70" i="23"/>
  <c r="D25" i="18"/>
  <c r="D51" i="23"/>
  <c r="AF15" i="2"/>
  <c r="D15" i="32"/>
  <c r="D15" i="21"/>
  <c r="D35" i="23"/>
  <c r="D44" i="20"/>
  <c r="D44" i="18"/>
  <c r="D71" i="33"/>
  <c r="AK58" i="2"/>
  <c r="D58" i="33"/>
  <c r="AF72" i="2"/>
  <c r="D72" i="32"/>
  <c r="D72" i="21"/>
  <c r="N72" i="21" s="1"/>
  <c r="AK64" i="2"/>
  <c r="D64" i="33"/>
  <c r="D9" i="23"/>
  <c r="AK5" i="2"/>
  <c r="D5" i="33"/>
  <c r="AF59" i="2"/>
  <c r="D59" i="32"/>
  <c r="D59" i="21"/>
  <c r="N59" i="21" s="1"/>
  <c r="D13" i="20"/>
  <c r="D8" i="18"/>
  <c r="BH27" i="2"/>
  <c r="D27" i="23"/>
  <c r="X27" i="23" s="1"/>
  <c r="Y27" i="23" s="1"/>
  <c r="D50" i="23"/>
  <c r="AK43" i="2"/>
  <c r="D43" i="33"/>
  <c r="D62" i="18"/>
  <c r="AK65" i="2"/>
  <c r="D65" i="33"/>
  <c r="D17" i="18"/>
  <c r="AK66" i="2"/>
  <c r="D66" i="33"/>
  <c r="D63" i="33"/>
  <c r="D52" i="20"/>
  <c r="AF29" i="2"/>
  <c r="D29" i="32"/>
  <c r="D29" i="21"/>
  <c r="N29" i="21" s="1"/>
  <c r="D12" i="18"/>
  <c r="D55" i="20"/>
  <c r="BH38" i="2"/>
  <c r="D38" i="23"/>
  <c r="X38" i="23" s="1"/>
  <c r="D19" i="23"/>
  <c r="D14" i="18"/>
  <c r="AF69" i="2"/>
  <c r="D69" i="32"/>
  <c r="D69" i="21"/>
  <c r="N69" i="21" s="1"/>
  <c r="D42" i="23"/>
  <c r="D64" i="20"/>
  <c r="D49" i="18"/>
  <c r="AK54" i="2"/>
  <c r="D54" i="33"/>
  <c r="AK8" i="2"/>
  <c r="D8" i="33"/>
  <c r="D32" i="23"/>
  <c r="D20" i="32"/>
  <c r="D20" i="21"/>
  <c r="D42" i="20"/>
  <c r="D43" i="18"/>
  <c r="D72" i="18"/>
  <c r="D59" i="20"/>
  <c r="AF52" i="2"/>
  <c r="D52" i="32"/>
  <c r="D52" i="21"/>
  <c r="N52" i="21" s="1"/>
  <c r="O52" i="21" s="1"/>
  <c r="D48" i="33"/>
  <c r="AU12" i="39"/>
  <c r="AZ12" i="39" s="1"/>
  <c r="AE13" i="27"/>
  <c r="P8" i="27"/>
  <c r="AU8" i="39"/>
  <c r="AU9" i="39"/>
  <c r="AU10" i="39"/>
  <c r="AM7" i="27"/>
  <c r="AM13" i="27"/>
  <c r="W8" i="27"/>
  <c r="AE8" i="27"/>
  <c r="BF10" i="39"/>
  <c r="AE11" i="27"/>
  <c r="BF8" i="39"/>
  <c r="AM11" i="27"/>
  <c r="AE9" i="27"/>
  <c r="AU13" i="39"/>
  <c r="AZ13" i="39" s="1"/>
  <c r="AU11" i="39"/>
  <c r="AJ9" i="39"/>
  <c r="AM8" i="27"/>
  <c r="AM10" i="27"/>
  <c r="AE7" i="27"/>
  <c r="Z9" i="39"/>
  <c r="AB9" i="39" s="1"/>
  <c r="AD9" i="39" s="1"/>
  <c r="AE12" i="27"/>
  <c r="BF13" i="39"/>
  <c r="BK13" i="39" s="1"/>
  <c r="AM12" i="27"/>
  <c r="BF11" i="39"/>
  <c r="AE10" i="27"/>
  <c r="AM9" i="27"/>
  <c r="P7" i="27"/>
  <c r="BF12" i="39"/>
  <c r="BK12" i="39" s="1"/>
  <c r="BF9" i="39"/>
  <c r="W7" i="27"/>
  <c r="AJ8" i="39"/>
  <c r="M102" i="32"/>
  <c r="Q105" i="33"/>
  <c r="M105" i="32"/>
  <c r="Q109" i="33"/>
  <c r="M103" i="32"/>
  <c r="N50" i="21"/>
  <c r="Q100" i="33"/>
  <c r="Q107" i="33"/>
  <c r="M107" i="32"/>
  <c r="N34" i="21"/>
  <c r="Q99" i="33"/>
  <c r="N33" i="21"/>
  <c r="N65" i="21"/>
  <c r="M106" i="32"/>
  <c r="Q108" i="33"/>
  <c r="N53" i="21"/>
  <c r="M99" i="32"/>
  <c r="N54" i="21"/>
  <c r="Q106" i="33"/>
  <c r="Q104" i="33"/>
  <c r="Q98" i="33"/>
  <c r="M101" i="32"/>
  <c r="Q101" i="33"/>
  <c r="Q102" i="33"/>
  <c r="M108" i="32"/>
  <c r="Q103" i="33"/>
  <c r="M98" i="32"/>
  <c r="M100" i="32"/>
  <c r="M104" i="32"/>
  <c r="Z8" i="39"/>
  <c r="AB8" i="39" s="1"/>
  <c r="AD8" i="39" s="1"/>
  <c r="M109" i="32"/>
  <c r="AT6" i="27"/>
  <c r="D6" i="27"/>
  <c r="J31" i="40"/>
  <c r="DH8" i="39"/>
  <c r="DM8" i="39" s="1"/>
  <c r="DH9" i="39"/>
  <c r="DM9" i="39" s="1"/>
  <c r="DH7" i="39"/>
  <c r="DM7" i="39" s="1"/>
  <c r="CX9" i="39"/>
  <c r="CZ9" i="39" s="1"/>
  <c r="DB9" i="39" s="1"/>
  <c r="CX8" i="39"/>
  <c r="CZ8" i="39" s="1"/>
  <c r="DB8" i="39" s="1"/>
  <c r="CX7" i="39"/>
  <c r="CZ7" i="39" s="1"/>
  <c r="DB7" i="39" s="1"/>
  <c r="CN9" i="39"/>
  <c r="CP9" i="39" s="1"/>
  <c r="CR9" i="39" s="1"/>
  <c r="CN8" i="39"/>
  <c r="CP8" i="39" s="1"/>
  <c r="CR8" i="39" s="1"/>
  <c r="X14" i="34"/>
  <c r="CN7" i="39" s="1"/>
  <c r="CP7" i="39" s="1"/>
  <c r="CR7" i="39" s="1"/>
  <c r="T14" i="30"/>
  <c r="Z7" i="39" s="1"/>
  <c r="AB7" i="39" s="1"/>
  <c r="AD7" i="39" s="1"/>
  <c r="AT7" i="27"/>
  <c r="AZ7" i="27"/>
  <c r="AT8" i="27"/>
  <c r="AZ8" i="27"/>
  <c r="BG7" i="27"/>
  <c r="BG8" i="27"/>
  <c r="F7" i="39"/>
  <c r="FW39" i="2"/>
  <c r="BN25" i="2"/>
  <c r="BN39" i="2"/>
  <c r="BN6" i="2"/>
  <c r="BN3" i="2"/>
  <c r="BN5" i="2"/>
  <c r="BN47" i="2"/>
  <c r="BN27" i="2"/>
  <c r="BN19" i="2"/>
  <c r="BN49" i="2"/>
  <c r="BN33" i="2"/>
  <c r="BN42" i="2"/>
  <c r="BN8" i="2"/>
  <c r="BN46" i="2"/>
  <c r="BN18" i="2"/>
  <c r="BN43" i="2"/>
  <c r="BN20" i="2"/>
  <c r="BN10" i="2"/>
  <c r="BN40" i="2"/>
  <c r="BN28" i="2"/>
  <c r="BN7" i="2"/>
  <c r="BN35" i="2"/>
  <c r="BN16" i="2"/>
  <c r="BN31" i="2"/>
  <c r="BN34" i="2"/>
  <c r="BN37" i="2"/>
  <c r="BN15" i="2"/>
  <c r="BN4" i="2"/>
  <c r="BN11" i="2"/>
  <c r="BN30" i="2"/>
  <c r="BN24" i="2"/>
  <c r="BN48" i="2"/>
  <c r="BN9" i="2"/>
  <c r="BN36" i="2"/>
  <c r="BN41" i="2"/>
  <c r="BN29" i="2"/>
  <c r="BN13" i="2"/>
  <c r="BN26" i="2"/>
  <c r="BN17" i="2"/>
  <c r="BN23" i="2"/>
  <c r="BN21" i="2"/>
  <c r="FY2" i="2"/>
  <c r="BN2" i="2"/>
  <c r="BN32" i="2"/>
  <c r="BN12" i="2"/>
  <c r="BN22" i="2"/>
  <c r="BN45" i="2"/>
  <c r="BN44" i="2"/>
  <c r="BH37" i="2"/>
  <c r="BH21" i="2"/>
  <c r="BH34" i="2"/>
  <c r="BH33" i="2"/>
  <c r="BH36" i="2"/>
  <c r="BH22" i="2"/>
  <c r="BH3" i="2"/>
  <c r="BH5" i="2"/>
  <c r="BH43" i="2"/>
  <c r="BH8" i="2"/>
  <c r="BH39" i="2"/>
  <c r="BH14" i="2"/>
  <c r="BH19" i="2"/>
  <c r="BH6" i="2"/>
  <c r="BH28" i="2"/>
  <c r="BH48" i="2"/>
  <c r="BH17" i="2"/>
  <c r="BH31" i="2"/>
  <c r="BH30" i="2"/>
  <c r="BH13" i="2"/>
  <c r="BH10" i="2"/>
  <c r="BH29" i="2"/>
  <c r="BH15" i="2"/>
  <c r="BH35" i="2"/>
  <c r="BH9" i="2"/>
  <c r="BH47" i="2"/>
  <c r="BH40" i="2"/>
  <c r="BH42" i="2"/>
  <c r="BH32" i="2"/>
  <c r="BH11" i="2"/>
  <c r="BH45" i="2"/>
  <c r="BH49" i="2"/>
  <c r="BH44" i="2"/>
  <c r="BH7" i="2"/>
  <c r="BH46" i="2"/>
  <c r="BH25" i="2"/>
  <c r="BH12" i="2"/>
  <c r="BH18" i="2"/>
  <c r="BH4" i="2"/>
  <c r="BH41" i="2"/>
  <c r="BH23" i="2"/>
  <c r="BH20" i="2"/>
  <c r="BH16" i="2"/>
  <c r="BH24" i="2"/>
  <c r="AK37" i="2"/>
  <c r="AK61" i="2"/>
  <c r="AK13" i="2"/>
  <c r="FT2" i="2"/>
  <c r="AK2" i="2"/>
  <c r="AK21" i="2"/>
  <c r="AK26" i="2"/>
  <c r="AK14" i="2"/>
  <c r="AK63" i="2"/>
  <c r="AK25" i="2"/>
  <c r="FT15" i="2"/>
  <c r="AK15" i="2"/>
  <c r="AK49" i="2"/>
  <c r="AK6" i="2"/>
  <c r="AK71" i="2"/>
  <c r="AK40" i="2"/>
  <c r="AK34" i="2"/>
  <c r="GB63" i="2"/>
  <c r="AK73" i="2"/>
  <c r="AF37" i="2"/>
  <c r="AF61" i="2"/>
  <c r="AF12" i="2"/>
  <c r="AF73" i="2"/>
  <c r="AF13" i="2"/>
  <c r="AF62" i="2"/>
  <c r="AF7" i="2"/>
  <c r="AF26" i="2"/>
  <c r="AF32" i="2"/>
  <c r="AF49" i="2"/>
  <c r="FS2" i="2"/>
  <c r="AF2" i="2"/>
  <c r="AF41" i="2"/>
  <c r="FS25" i="2"/>
  <c r="AF25" i="2"/>
  <c r="AF20" i="2"/>
  <c r="AF3" i="2"/>
  <c r="AF30" i="2"/>
  <c r="AF46" i="2"/>
  <c r="AF40" i="2"/>
  <c r="AF38" i="2"/>
  <c r="AF42" i="2"/>
  <c r="AF44" i="2"/>
  <c r="AA28" i="2"/>
  <c r="AA48" i="2"/>
  <c r="AA10" i="2"/>
  <c r="AA8" i="2"/>
  <c r="AA39" i="2"/>
  <c r="AA21" i="2"/>
  <c r="AA6" i="2"/>
  <c r="AA3" i="2"/>
  <c r="AA45" i="2"/>
  <c r="AA20" i="2"/>
  <c r="AA26" i="2"/>
  <c r="AA46" i="2"/>
  <c r="AA40" i="2"/>
  <c r="AA12" i="2"/>
  <c r="AA4" i="2"/>
  <c r="AA24" i="2"/>
  <c r="AA47" i="2"/>
  <c r="AA9" i="2"/>
  <c r="AA25" i="2"/>
  <c r="AA23" i="2"/>
  <c r="AA22" i="2"/>
  <c r="AA18" i="2"/>
  <c r="AA15" i="2"/>
  <c r="AA49" i="2"/>
  <c r="AA5" i="2"/>
  <c r="AA13" i="2"/>
  <c r="AA44" i="2"/>
  <c r="AA32" i="2"/>
  <c r="AA43" i="2"/>
  <c r="AA17" i="2"/>
  <c r="AA42" i="2"/>
  <c r="AA19" i="2"/>
  <c r="AA14" i="2"/>
  <c r="FR2" i="2"/>
  <c r="AA2" i="2"/>
  <c r="AA41" i="2"/>
  <c r="AA36" i="2"/>
  <c r="AA35" i="2"/>
  <c r="AA11" i="2"/>
  <c r="AA7" i="2"/>
  <c r="AA37" i="2"/>
  <c r="AA29" i="2"/>
  <c r="AA30" i="2"/>
  <c r="AA34" i="2"/>
  <c r="AA33" i="2"/>
  <c r="AA38" i="2"/>
  <c r="AA31" i="2"/>
  <c r="AA16" i="2"/>
  <c r="U46" i="2"/>
  <c r="U37" i="2"/>
  <c r="U29" i="2"/>
  <c r="U21" i="2"/>
  <c r="U20" i="2"/>
  <c r="U42" i="2"/>
  <c r="U16" i="2"/>
  <c r="U47" i="2"/>
  <c r="U19" i="2"/>
  <c r="U18" i="2"/>
  <c r="U30" i="2"/>
  <c r="U7" i="2"/>
  <c r="U26" i="2"/>
  <c r="U45" i="2"/>
  <c r="U13" i="2"/>
  <c r="U48" i="2"/>
  <c r="U28" i="2"/>
  <c r="U32" i="2"/>
  <c r="U25" i="2"/>
  <c r="U39" i="2"/>
  <c r="U12" i="2"/>
  <c r="U14" i="2"/>
  <c r="U35" i="2"/>
  <c r="U44" i="2"/>
  <c r="U33" i="2"/>
  <c r="U49" i="2"/>
  <c r="U43" i="2"/>
  <c r="U4" i="2"/>
  <c r="U6" i="2"/>
  <c r="U8" i="2"/>
  <c r="U5" i="2"/>
  <c r="U17" i="2"/>
  <c r="U40" i="2"/>
  <c r="U36" i="2"/>
  <c r="FQ2" i="2"/>
  <c r="U2" i="2"/>
  <c r="U31" i="2"/>
  <c r="U27" i="2"/>
  <c r="U23" i="2"/>
  <c r="U22" i="2"/>
  <c r="U9" i="2"/>
  <c r="U11" i="2"/>
  <c r="U34" i="2"/>
  <c r="U38" i="2"/>
  <c r="U10" i="2"/>
  <c r="U41" i="2"/>
  <c r="U24" i="2"/>
  <c r="F80" i="51"/>
  <c r="G80" i="51"/>
  <c r="L80" i="51"/>
  <c r="M80" i="51"/>
  <c r="W5" i="5"/>
  <c r="BH5" i="39"/>
  <c r="BJ5" i="39" s="1"/>
  <c r="BH7" i="39"/>
  <c r="BJ7" i="39" s="1"/>
  <c r="D8" i="73" s="1"/>
  <c r="L64" i="44"/>
  <c r="X9" i="5"/>
  <c r="X5" i="5"/>
  <c r="X6" i="5"/>
  <c r="X8" i="5"/>
  <c r="W7" i="5"/>
  <c r="X7" i="5"/>
  <c r="X10" i="5"/>
  <c r="W9" i="5"/>
  <c r="W10" i="5"/>
  <c r="W6" i="5"/>
  <c r="W8" i="5"/>
  <c r="AL10" i="7"/>
  <c r="F86" i="7" s="1"/>
  <c r="AJ10" i="7"/>
  <c r="AH10" i="7"/>
  <c r="C86" i="7" s="1"/>
  <c r="AM10" i="7"/>
  <c r="G86" i="7" s="1"/>
  <c r="AI10" i="7"/>
  <c r="D86" i="7" s="1"/>
  <c r="AK10" i="7"/>
  <c r="E86" i="7" s="1"/>
  <c r="AN10" i="7"/>
  <c r="H86" i="7" s="1"/>
  <c r="AO10" i="7"/>
  <c r="AP10" i="7" s="1"/>
  <c r="AQ10" i="7" s="1"/>
  <c r="AR10" i="7" s="1"/>
  <c r="U10" i="7"/>
  <c r="W10" i="7"/>
  <c r="X10" i="7"/>
  <c r="AA10" i="7"/>
  <c r="Y10" i="7"/>
  <c r="AB10" i="7"/>
  <c r="AD10" i="7"/>
  <c r="T10" i="7"/>
  <c r="V10" i="7"/>
  <c r="Z10" i="7"/>
  <c r="H64" i="7" s="1"/>
  <c r="AC10" i="7"/>
  <c r="Z65" i="7"/>
  <c r="N8" i="7"/>
  <c r="C128" i="7"/>
  <c r="H126" i="7"/>
  <c r="H128" i="7" s="1"/>
  <c r="N14" i="7" s="1"/>
  <c r="H127" i="7"/>
  <c r="H129" i="7" s="1"/>
  <c r="O14" i="7" s="1"/>
  <c r="C129" i="7"/>
  <c r="FQ39" i="2"/>
  <c r="FX62" i="2"/>
  <c r="GD3" i="2"/>
  <c r="BH6" i="39"/>
  <c r="BJ6" i="39" s="1"/>
  <c r="C8" i="73" s="1"/>
  <c r="GD15" i="2"/>
  <c r="FV63" i="2"/>
  <c r="FU15" i="2"/>
  <c r="O50" i="37"/>
  <c r="FU39" i="2"/>
  <c r="GA15" i="2"/>
  <c r="FW27" i="2"/>
  <c r="GC15" i="2"/>
  <c r="GC63" i="2"/>
  <c r="FW63" i="2"/>
  <c r="GB27" i="2"/>
  <c r="AW7" i="39"/>
  <c r="AY7" i="39" s="1"/>
  <c r="D7" i="73" s="1"/>
  <c r="GD75" i="2"/>
  <c r="FV75" i="2"/>
  <c r="GC51" i="2"/>
  <c r="FU63" i="2"/>
  <c r="GC3" i="2"/>
  <c r="FU3" i="2"/>
  <c r="AW5" i="39"/>
  <c r="AY5" i="39" s="1"/>
  <c r="FW51" i="2"/>
  <c r="GB3" i="2"/>
  <c r="AW6" i="39"/>
  <c r="AY6" i="39" s="1"/>
  <c r="C7" i="73" s="1"/>
  <c r="FY26" i="2"/>
  <c r="FR39" i="2"/>
  <c r="O74" i="26"/>
  <c r="FY27" i="2"/>
  <c r="FW75" i="2"/>
  <c r="FS39" i="2"/>
  <c r="FS51" i="2"/>
  <c r="FU75" i="2"/>
  <c r="FS63" i="2"/>
  <c r="FT39" i="2"/>
  <c r="FT27" i="2"/>
  <c r="FU27" i="2"/>
  <c r="FQ50" i="2"/>
  <c r="O86" i="26"/>
  <c r="FS26" i="2"/>
  <c r="C32" i="40"/>
  <c r="E32" i="40" s="1"/>
  <c r="H36" i="14"/>
  <c r="FS27" i="2"/>
  <c r="AU36" i="14"/>
  <c r="GA3" i="2"/>
  <c r="E66" i="26"/>
  <c r="J66" i="26" s="1"/>
  <c r="K66" i="23"/>
  <c r="T66" i="23" s="1"/>
  <c r="U66" i="23" s="1"/>
  <c r="I66" i="18"/>
  <c r="P66" i="18" s="1"/>
  <c r="Q66" i="18" s="1"/>
  <c r="K66" i="34"/>
  <c r="T66" i="34" s="1"/>
  <c r="U66" i="34" s="1"/>
  <c r="G66" i="25"/>
  <c r="N66" i="25" s="1"/>
  <c r="Q66" i="25" s="1"/>
  <c r="I66" i="19"/>
  <c r="Q66" i="19" s="1"/>
  <c r="S66" i="19" s="1"/>
  <c r="I66" i="29"/>
  <c r="Q66" i="29" s="1"/>
  <c r="S66" i="29" s="1"/>
  <c r="G66" i="35"/>
  <c r="O66" i="35" s="1"/>
  <c r="S66" i="35" s="1"/>
  <c r="H66" i="31"/>
  <c r="P66" i="31" s="1"/>
  <c r="S66" i="31" s="1"/>
  <c r="E66" i="37"/>
  <c r="J66" i="37" s="1"/>
  <c r="G66" i="36"/>
  <c r="N66" i="36" s="1"/>
  <c r="Q66" i="36" s="1"/>
  <c r="J66" i="28"/>
  <c r="S66" i="28" s="1"/>
  <c r="U66" i="28" s="1"/>
  <c r="I66" i="30"/>
  <c r="P66" i="30" s="1"/>
  <c r="Q66" i="30" s="1"/>
  <c r="H66" i="20"/>
  <c r="P66" i="20" s="1"/>
  <c r="S66" i="20" s="1"/>
  <c r="J66" i="17"/>
  <c r="S66" i="17" s="1"/>
  <c r="U66" i="17" s="1"/>
  <c r="G66" i="24"/>
  <c r="O66" i="24" s="1"/>
  <c r="S66" i="24" s="1"/>
  <c r="S79" i="28"/>
  <c r="U79" i="28" s="1"/>
  <c r="J127" i="28"/>
  <c r="G101" i="24"/>
  <c r="O101" i="24" s="1"/>
  <c r="S101" i="24" s="1"/>
  <c r="G101" i="35"/>
  <c r="H101" i="31"/>
  <c r="E101" i="26"/>
  <c r="J101" i="26" s="1"/>
  <c r="I101" i="19"/>
  <c r="Q101" i="19" s="1"/>
  <c r="S101" i="19" s="1"/>
  <c r="G101" i="25"/>
  <c r="N101" i="25" s="1"/>
  <c r="Q101" i="25" s="1"/>
  <c r="G101" i="36"/>
  <c r="I101" i="18"/>
  <c r="P101" i="18" s="1"/>
  <c r="Q101" i="18" s="1"/>
  <c r="I101" i="29"/>
  <c r="K101" i="34"/>
  <c r="J101" i="28"/>
  <c r="E101" i="37"/>
  <c r="I101" i="30"/>
  <c r="K101" i="23"/>
  <c r="T101" i="23" s="1"/>
  <c r="U101" i="23" s="1"/>
  <c r="H101" i="20"/>
  <c r="P101" i="20" s="1"/>
  <c r="S101" i="20" s="1"/>
  <c r="J101" i="17"/>
  <c r="S101" i="17" s="1"/>
  <c r="U101" i="17" s="1"/>
  <c r="G105" i="25"/>
  <c r="N105" i="25" s="1"/>
  <c r="Q105" i="25" s="1"/>
  <c r="K105" i="23"/>
  <c r="T105" i="23" s="1"/>
  <c r="U105" i="23" s="1"/>
  <c r="J105" i="28"/>
  <c r="H105" i="20"/>
  <c r="P105" i="20" s="1"/>
  <c r="S105" i="20" s="1"/>
  <c r="J105" i="17"/>
  <c r="S105" i="17" s="1"/>
  <c r="U105" i="17" s="1"/>
  <c r="K105" i="34"/>
  <c r="I105" i="29"/>
  <c r="I105" i="18"/>
  <c r="P105" i="18" s="1"/>
  <c r="Q105" i="18" s="1"/>
  <c r="E105" i="26"/>
  <c r="J105" i="26" s="1"/>
  <c r="G105" i="35"/>
  <c r="I105" i="30"/>
  <c r="I105" i="19"/>
  <c r="Q105" i="19" s="1"/>
  <c r="S105" i="19" s="1"/>
  <c r="E105" i="37"/>
  <c r="G105" i="24"/>
  <c r="O105" i="24" s="1"/>
  <c r="S105" i="24" s="1"/>
  <c r="G105" i="36"/>
  <c r="H105" i="31"/>
  <c r="S84" i="28"/>
  <c r="U84" i="28" s="1"/>
  <c r="J132" i="28"/>
  <c r="I109" i="30"/>
  <c r="G109" i="36"/>
  <c r="G109" i="35"/>
  <c r="K109" i="34"/>
  <c r="J109" i="28"/>
  <c r="I109" i="19"/>
  <c r="Q109" i="19" s="1"/>
  <c r="S109" i="19" s="1"/>
  <c r="I109" i="29"/>
  <c r="K109" i="23"/>
  <c r="T109" i="23" s="1"/>
  <c r="U109" i="23" s="1"/>
  <c r="I109" i="18"/>
  <c r="P109" i="18" s="1"/>
  <c r="Q109" i="18" s="1"/>
  <c r="H109" i="31"/>
  <c r="H109" i="20"/>
  <c r="P109" i="20" s="1"/>
  <c r="S109" i="20" s="1"/>
  <c r="J109" i="17"/>
  <c r="S109" i="17" s="1"/>
  <c r="U109" i="17" s="1"/>
  <c r="G109" i="24"/>
  <c r="O109" i="24" s="1"/>
  <c r="S109" i="24" s="1"/>
  <c r="E109" i="26"/>
  <c r="J109" i="26" s="1"/>
  <c r="E109" i="37"/>
  <c r="G109" i="25"/>
  <c r="N109" i="25" s="1"/>
  <c r="Q109" i="25" s="1"/>
  <c r="G108" i="35"/>
  <c r="E108" i="37"/>
  <c r="G108" i="25"/>
  <c r="N108" i="25" s="1"/>
  <c r="Q108" i="25" s="1"/>
  <c r="H108" i="20"/>
  <c r="P108" i="20" s="1"/>
  <c r="S108" i="20" s="1"/>
  <c r="J108" i="17"/>
  <c r="S108" i="17" s="1"/>
  <c r="U108" i="17" s="1"/>
  <c r="J108" i="28"/>
  <c r="I108" i="19"/>
  <c r="Q108" i="19" s="1"/>
  <c r="S108" i="19" s="1"/>
  <c r="G108" i="36"/>
  <c r="I108" i="30"/>
  <c r="E108" i="26"/>
  <c r="J108" i="26" s="1"/>
  <c r="I108" i="18"/>
  <c r="P108" i="18" s="1"/>
  <c r="Q108" i="18" s="1"/>
  <c r="K108" i="34"/>
  <c r="I108" i="29"/>
  <c r="H108" i="31"/>
  <c r="K108" i="23"/>
  <c r="T108" i="23" s="1"/>
  <c r="U108" i="23" s="1"/>
  <c r="G108" i="24"/>
  <c r="O108" i="24" s="1"/>
  <c r="S108" i="24" s="1"/>
  <c r="P84" i="31"/>
  <c r="S84" i="31" s="1"/>
  <c r="E104" i="37"/>
  <c r="G104" i="24"/>
  <c r="O104" i="24" s="1"/>
  <c r="S104" i="24" s="1"/>
  <c r="I104" i="19"/>
  <c r="Q104" i="19" s="1"/>
  <c r="S104" i="19" s="1"/>
  <c r="H104" i="31"/>
  <c r="H104" i="20"/>
  <c r="P104" i="20" s="1"/>
  <c r="S104" i="20" s="1"/>
  <c r="J104" i="17"/>
  <c r="S104" i="17" s="1"/>
  <c r="U104" i="17" s="1"/>
  <c r="G104" i="36"/>
  <c r="E104" i="26"/>
  <c r="J104" i="26" s="1"/>
  <c r="G104" i="25"/>
  <c r="N104" i="25" s="1"/>
  <c r="Q104" i="25" s="1"/>
  <c r="K104" i="23"/>
  <c r="T104" i="23" s="1"/>
  <c r="U104" i="23" s="1"/>
  <c r="I104" i="18"/>
  <c r="P104" i="18" s="1"/>
  <c r="Q104" i="18" s="1"/>
  <c r="I104" i="29"/>
  <c r="K104" i="34"/>
  <c r="G104" i="35"/>
  <c r="I104" i="30"/>
  <c r="J104" i="28"/>
  <c r="G72" i="24"/>
  <c r="O72" i="24" s="1"/>
  <c r="S72" i="24" s="1"/>
  <c r="I72" i="19"/>
  <c r="Q72" i="19" s="1"/>
  <c r="S72" i="19" s="1"/>
  <c r="G72" i="35"/>
  <c r="O72" i="35" s="1"/>
  <c r="S72" i="35" s="1"/>
  <c r="G72" i="36"/>
  <c r="N72" i="36" s="1"/>
  <c r="Q72" i="36" s="1"/>
  <c r="E72" i="37"/>
  <c r="J72" i="37" s="1"/>
  <c r="H72" i="20"/>
  <c r="P72" i="20" s="1"/>
  <c r="S72" i="20" s="1"/>
  <c r="J72" i="17"/>
  <c r="S72" i="17" s="1"/>
  <c r="U72" i="17" s="1"/>
  <c r="I72" i="29"/>
  <c r="Q72" i="29" s="1"/>
  <c r="S72" i="29" s="1"/>
  <c r="G72" i="25"/>
  <c r="N72" i="25" s="1"/>
  <c r="Q72" i="25" s="1"/>
  <c r="E72" i="26"/>
  <c r="J72" i="26" s="1"/>
  <c r="K72" i="23"/>
  <c r="T72" i="23" s="1"/>
  <c r="U72" i="23" s="1"/>
  <c r="I72" i="18"/>
  <c r="P72" i="18" s="1"/>
  <c r="Q72" i="18" s="1"/>
  <c r="J72" i="28"/>
  <c r="S72" i="28" s="1"/>
  <c r="U72" i="28" s="1"/>
  <c r="H72" i="31"/>
  <c r="P72" i="31" s="1"/>
  <c r="S72" i="31" s="1"/>
  <c r="K72" i="34"/>
  <c r="T72" i="34" s="1"/>
  <c r="U72" i="34" s="1"/>
  <c r="I72" i="30"/>
  <c r="P72" i="30" s="1"/>
  <c r="Q72" i="30" s="1"/>
  <c r="E69" i="37"/>
  <c r="J69" i="37" s="1"/>
  <c r="I69" i="29"/>
  <c r="Q69" i="29" s="1"/>
  <c r="S69" i="29" s="1"/>
  <c r="H69" i="20"/>
  <c r="P69" i="20" s="1"/>
  <c r="S69" i="20" s="1"/>
  <c r="J69" i="17"/>
  <c r="S69" i="17" s="1"/>
  <c r="U69" i="17" s="1"/>
  <c r="I69" i="19"/>
  <c r="Q69" i="19" s="1"/>
  <c r="S69" i="19" s="1"/>
  <c r="J69" i="28"/>
  <c r="S69" i="28" s="1"/>
  <c r="U69" i="28" s="1"/>
  <c r="E69" i="26"/>
  <c r="J69" i="26" s="1"/>
  <c r="G69" i="25"/>
  <c r="N69" i="25" s="1"/>
  <c r="Q69" i="25" s="1"/>
  <c r="G69" i="35"/>
  <c r="O69" i="35" s="1"/>
  <c r="S69" i="35" s="1"/>
  <c r="I69" i="18"/>
  <c r="P69" i="18" s="1"/>
  <c r="Q69" i="18" s="1"/>
  <c r="G69" i="36"/>
  <c r="N69" i="36" s="1"/>
  <c r="Q69" i="36" s="1"/>
  <c r="K69" i="34"/>
  <c r="T69" i="34" s="1"/>
  <c r="U69" i="34" s="1"/>
  <c r="H69" i="31"/>
  <c r="P69" i="31" s="1"/>
  <c r="S69" i="31" s="1"/>
  <c r="K69" i="23"/>
  <c r="T69" i="23" s="1"/>
  <c r="U69" i="23" s="1"/>
  <c r="I69" i="30"/>
  <c r="P69" i="30" s="1"/>
  <c r="Q69" i="30" s="1"/>
  <c r="G69" i="24"/>
  <c r="O69" i="24" s="1"/>
  <c r="S69" i="24" s="1"/>
  <c r="E98" i="26"/>
  <c r="J98" i="26" s="1"/>
  <c r="H98" i="31"/>
  <c r="K98" i="23"/>
  <c r="T98" i="23" s="1"/>
  <c r="U98" i="23" s="1"/>
  <c r="I98" i="18"/>
  <c r="P98" i="18" s="1"/>
  <c r="Q98" i="18" s="1"/>
  <c r="J98" i="28"/>
  <c r="G98" i="25"/>
  <c r="N98" i="25" s="1"/>
  <c r="Q98" i="25" s="1"/>
  <c r="I98" i="19"/>
  <c r="Q98" i="19" s="1"/>
  <c r="S98" i="19" s="1"/>
  <c r="K98" i="34"/>
  <c r="G98" i="35"/>
  <c r="G98" i="36"/>
  <c r="E98" i="37"/>
  <c r="H98" i="20"/>
  <c r="P98" i="20" s="1"/>
  <c r="S98" i="20" s="1"/>
  <c r="J98" i="17"/>
  <c r="S98" i="17" s="1"/>
  <c r="U98" i="17" s="1"/>
  <c r="I98" i="29"/>
  <c r="I98" i="30"/>
  <c r="G98" i="24"/>
  <c r="O98" i="24" s="1"/>
  <c r="S98" i="24" s="1"/>
  <c r="H68" i="31"/>
  <c r="P68" i="31" s="1"/>
  <c r="S68" i="31" s="1"/>
  <c r="K68" i="34"/>
  <c r="T68" i="34" s="1"/>
  <c r="U68" i="34" s="1"/>
  <c r="I68" i="30"/>
  <c r="P68" i="30" s="1"/>
  <c r="Q68" i="30" s="1"/>
  <c r="E68" i="26"/>
  <c r="J68" i="26" s="1"/>
  <c r="K68" i="23"/>
  <c r="T68" i="23" s="1"/>
  <c r="U68" i="23" s="1"/>
  <c r="E68" i="37"/>
  <c r="J68" i="37" s="1"/>
  <c r="G68" i="24"/>
  <c r="O68" i="24" s="1"/>
  <c r="S68" i="24" s="1"/>
  <c r="I68" i="29"/>
  <c r="Q68" i="29" s="1"/>
  <c r="S68" i="29" s="1"/>
  <c r="I68" i="19"/>
  <c r="Q68" i="19" s="1"/>
  <c r="S68" i="19" s="1"/>
  <c r="G68" i="25"/>
  <c r="N68" i="25" s="1"/>
  <c r="Q68" i="25" s="1"/>
  <c r="I68" i="18"/>
  <c r="P68" i="18" s="1"/>
  <c r="Q68" i="18" s="1"/>
  <c r="G68" i="35"/>
  <c r="O68" i="35" s="1"/>
  <c r="S68" i="35" s="1"/>
  <c r="J68" i="28"/>
  <c r="S68" i="28" s="1"/>
  <c r="U68" i="28" s="1"/>
  <c r="G68" i="36"/>
  <c r="N68" i="36" s="1"/>
  <c r="Q68" i="36" s="1"/>
  <c r="H68" i="20"/>
  <c r="P68" i="20" s="1"/>
  <c r="S68" i="20" s="1"/>
  <c r="J68" i="17"/>
  <c r="S68" i="17" s="1"/>
  <c r="U68" i="17" s="1"/>
  <c r="G73" i="25"/>
  <c r="N73" i="25" s="1"/>
  <c r="Q73" i="25" s="1"/>
  <c r="K73" i="23"/>
  <c r="T73" i="23" s="1"/>
  <c r="U73" i="23" s="1"/>
  <c r="J73" i="28"/>
  <c r="S73" i="28" s="1"/>
  <c r="U73" i="28" s="1"/>
  <c r="H73" i="20"/>
  <c r="P73" i="20" s="1"/>
  <c r="S73" i="20" s="1"/>
  <c r="J73" i="17"/>
  <c r="S73" i="17" s="1"/>
  <c r="U73" i="17" s="1"/>
  <c r="K73" i="34"/>
  <c r="T73" i="34" s="1"/>
  <c r="U73" i="34" s="1"/>
  <c r="I73" i="18"/>
  <c r="P73" i="18" s="1"/>
  <c r="Q73" i="18" s="1"/>
  <c r="H73" i="31"/>
  <c r="P73" i="31" s="1"/>
  <c r="S73" i="31" s="1"/>
  <c r="I73" i="30"/>
  <c r="P73" i="30" s="1"/>
  <c r="Q73" i="30" s="1"/>
  <c r="E73" i="26"/>
  <c r="J73" i="26" s="1"/>
  <c r="I73" i="19"/>
  <c r="Q73" i="19" s="1"/>
  <c r="S73" i="19" s="1"/>
  <c r="G73" i="36"/>
  <c r="N73" i="36" s="1"/>
  <c r="Q73" i="36" s="1"/>
  <c r="G73" i="35"/>
  <c r="O73" i="35" s="1"/>
  <c r="S73" i="35" s="1"/>
  <c r="G73" i="24"/>
  <c r="O73" i="24" s="1"/>
  <c r="S73" i="24" s="1"/>
  <c r="I73" i="29"/>
  <c r="Q73" i="29" s="1"/>
  <c r="S73" i="29" s="1"/>
  <c r="E73" i="37"/>
  <c r="J73" i="37" s="1"/>
  <c r="BO4" i="2"/>
  <c r="AA17" i="3"/>
  <c r="P76" i="31"/>
  <c r="S76" i="31" s="1"/>
  <c r="S74" i="28"/>
  <c r="U74" i="28" s="1"/>
  <c r="J122" i="28"/>
  <c r="FV3" i="2"/>
  <c r="S85" i="28"/>
  <c r="U85" i="28" s="1"/>
  <c r="J133" i="28"/>
  <c r="H71" i="31"/>
  <c r="P71" i="31" s="1"/>
  <c r="S71" i="31" s="1"/>
  <c r="I71" i="30"/>
  <c r="P71" i="30" s="1"/>
  <c r="Q71" i="30" s="1"/>
  <c r="J71" i="28"/>
  <c r="S71" i="28" s="1"/>
  <c r="U71" i="28" s="1"/>
  <c r="H71" i="20"/>
  <c r="P71" i="20" s="1"/>
  <c r="S71" i="20" s="1"/>
  <c r="J71" i="17"/>
  <c r="S71" i="17" s="1"/>
  <c r="U71" i="17" s="1"/>
  <c r="G71" i="24"/>
  <c r="O71" i="24" s="1"/>
  <c r="S71" i="24" s="1"/>
  <c r="E71" i="26"/>
  <c r="J71" i="26" s="1"/>
  <c r="I71" i="19"/>
  <c r="Q71" i="19" s="1"/>
  <c r="S71" i="19" s="1"/>
  <c r="G71" i="35"/>
  <c r="O71" i="35" s="1"/>
  <c r="S71" i="35" s="1"/>
  <c r="K71" i="34"/>
  <c r="T71" i="34" s="1"/>
  <c r="U71" i="34" s="1"/>
  <c r="E71" i="37"/>
  <c r="J71" i="37" s="1"/>
  <c r="G71" i="36"/>
  <c r="N71" i="36" s="1"/>
  <c r="Q71" i="36" s="1"/>
  <c r="G71" i="25"/>
  <c r="N71" i="25" s="1"/>
  <c r="Q71" i="25" s="1"/>
  <c r="I71" i="29"/>
  <c r="Q71" i="29" s="1"/>
  <c r="S71" i="29" s="1"/>
  <c r="I71" i="18"/>
  <c r="P71" i="18" s="1"/>
  <c r="Q71" i="18" s="1"/>
  <c r="K71" i="23"/>
  <c r="T71" i="23" s="1"/>
  <c r="U71" i="23" s="1"/>
  <c r="L23" i="41"/>
  <c r="S76" i="28"/>
  <c r="U76" i="28" s="1"/>
  <c r="J124" i="28"/>
  <c r="A124" i="29"/>
  <c r="C123" i="29"/>
  <c r="B123" i="29"/>
  <c r="G107" i="36"/>
  <c r="H107" i="31"/>
  <c r="I107" i="29"/>
  <c r="J107" i="28"/>
  <c r="G107" i="24"/>
  <c r="O107" i="24" s="1"/>
  <c r="S107" i="24" s="1"/>
  <c r="K107" i="34"/>
  <c r="K107" i="23"/>
  <c r="T107" i="23" s="1"/>
  <c r="U107" i="23" s="1"/>
  <c r="E107" i="37"/>
  <c r="H107" i="20"/>
  <c r="P107" i="20" s="1"/>
  <c r="S107" i="20" s="1"/>
  <c r="J107" i="17"/>
  <c r="S107" i="17" s="1"/>
  <c r="U107" i="17" s="1"/>
  <c r="G107" i="25"/>
  <c r="N107" i="25" s="1"/>
  <c r="Q107" i="25" s="1"/>
  <c r="E107" i="26"/>
  <c r="J107" i="26" s="1"/>
  <c r="G107" i="35"/>
  <c r="I107" i="18"/>
  <c r="P107" i="18" s="1"/>
  <c r="Q107" i="18" s="1"/>
  <c r="I107" i="30"/>
  <c r="I107" i="19"/>
  <c r="Q107" i="19" s="1"/>
  <c r="S107" i="19" s="1"/>
  <c r="J123" i="28"/>
  <c r="S75" i="28"/>
  <c r="U75" i="28" s="1"/>
  <c r="S78" i="28"/>
  <c r="U78" i="28" s="1"/>
  <c r="J126" i="28"/>
  <c r="S81" i="28"/>
  <c r="U81" i="28" s="1"/>
  <c r="J129" i="28"/>
  <c r="J128" i="28"/>
  <c r="S80" i="28"/>
  <c r="U80" i="28" s="1"/>
  <c r="G147" i="36"/>
  <c r="N75" i="36"/>
  <c r="Q75" i="36" s="1"/>
  <c r="E99" i="26"/>
  <c r="J99" i="26" s="1"/>
  <c r="G99" i="36"/>
  <c r="I99" i="29"/>
  <c r="E99" i="37"/>
  <c r="I99" i="30"/>
  <c r="G99" i="24"/>
  <c r="O99" i="24" s="1"/>
  <c r="S99" i="24" s="1"/>
  <c r="J99" i="28"/>
  <c r="K99" i="23"/>
  <c r="T99" i="23" s="1"/>
  <c r="U99" i="23" s="1"/>
  <c r="K99" i="34"/>
  <c r="H99" i="31"/>
  <c r="H99" i="20"/>
  <c r="P99" i="20" s="1"/>
  <c r="S99" i="20" s="1"/>
  <c r="J99" i="17"/>
  <c r="S99" i="17" s="1"/>
  <c r="U99" i="17" s="1"/>
  <c r="I99" i="18"/>
  <c r="P99" i="18" s="1"/>
  <c r="Q99" i="18" s="1"/>
  <c r="G99" i="35"/>
  <c r="G99" i="25"/>
  <c r="N99" i="25" s="1"/>
  <c r="Q99" i="25" s="1"/>
  <c r="I99" i="19"/>
  <c r="Q99" i="19" s="1"/>
  <c r="S99" i="19" s="1"/>
  <c r="Q122" i="30"/>
  <c r="J131" i="28"/>
  <c r="S83" i="28"/>
  <c r="U83" i="28" s="1"/>
  <c r="G102" i="25"/>
  <c r="N102" i="25" s="1"/>
  <c r="Q102" i="25" s="1"/>
  <c r="H102" i="20"/>
  <c r="P102" i="20" s="1"/>
  <c r="S102" i="20" s="1"/>
  <c r="J102" i="17"/>
  <c r="S102" i="17" s="1"/>
  <c r="U102" i="17" s="1"/>
  <c r="J102" i="28"/>
  <c r="I102" i="18"/>
  <c r="P102" i="18" s="1"/>
  <c r="Q102" i="18" s="1"/>
  <c r="E102" i="26"/>
  <c r="J102" i="26" s="1"/>
  <c r="K102" i="23"/>
  <c r="T102" i="23" s="1"/>
  <c r="U102" i="23" s="1"/>
  <c r="I102" i="30"/>
  <c r="E102" i="37"/>
  <c r="G102" i="24"/>
  <c r="O102" i="24" s="1"/>
  <c r="S102" i="24" s="1"/>
  <c r="G102" i="35"/>
  <c r="I102" i="29"/>
  <c r="I102" i="19"/>
  <c r="Q102" i="19" s="1"/>
  <c r="S102" i="19" s="1"/>
  <c r="H102" i="31"/>
  <c r="G102" i="36"/>
  <c r="K102" i="34"/>
  <c r="G67" i="35"/>
  <c r="O67" i="35" s="1"/>
  <c r="S67" i="35" s="1"/>
  <c r="E67" i="26"/>
  <c r="J67" i="26" s="1"/>
  <c r="J67" i="28"/>
  <c r="S67" i="28" s="1"/>
  <c r="U67" i="28" s="1"/>
  <c r="G67" i="36"/>
  <c r="N67" i="36" s="1"/>
  <c r="Q67" i="36" s="1"/>
  <c r="H67" i="31"/>
  <c r="P67" i="31" s="1"/>
  <c r="S67" i="31" s="1"/>
  <c r="E67" i="37"/>
  <c r="J67" i="37" s="1"/>
  <c r="I67" i="30"/>
  <c r="P67" i="30" s="1"/>
  <c r="Q67" i="30" s="1"/>
  <c r="G67" i="24"/>
  <c r="O67" i="24" s="1"/>
  <c r="S67" i="24" s="1"/>
  <c r="K67" i="34"/>
  <c r="T67" i="34" s="1"/>
  <c r="U67" i="34" s="1"/>
  <c r="K67" i="23"/>
  <c r="T67" i="23" s="1"/>
  <c r="U67" i="23" s="1"/>
  <c r="I67" i="18"/>
  <c r="P67" i="18" s="1"/>
  <c r="Q67" i="18" s="1"/>
  <c r="I67" i="29"/>
  <c r="Q67" i="29" s="1"/>
  <c r="S67" i="29" s="1"/>
  <c r="G67" i="25"/>
  <c r="N67" i="25" s="1"/>
  <c r="Q67" i="25" s="1"/>
  <c r="H67" i="20"/>
  <c r="P67" i="20" s="1"/>
  <c r="S67" i="20" s="1"/>
  <c r="I67" i="19"/>
  <c r="Q67" i="19" s="1"/>
  <c r="S67" i="19" s="1"/>
  <c r="J67" i="17"/>
  <c r="S67" i="17" s="1"/>
  <c r="U67" i="17" s="1"/>
  <c r="E65" i="37"/>
  <c r="J65" i="37" s="1"/>
  <c r="E65" i="26"/>
  <c r="J65" i="26" s="1"/>
  <c r="G65" i="36"/>
  <c r="N65" i="36" s="1"/>
  <c r="Q65" i="36" s="1"/>
  <c r="I65" i="29"/>
  <c r="Q65" i="29" s="1"/>
  <c r="S65" i="29" s="1"/>
  <c r="I65" i="30"/>
  <c r="P65" i="30" s="1"/>
  <c r="Q65" i="30" s="1"/>
  <c r="G65" i="24"/>
  <c r="O65" i="24" s="1"/>
  <c r="S65" i="24" s="1"/>
  <c r="J65" i="28"/>
  <c r="S65" i="28" s="1"/>
  <c r="U65" i="28" s="1"/>
  <c r="I65" i="18"/>
  <c r="P65" i="18" s="1"/>
  <c r="Q65" i="18" s="1"/>
  <c r="G65" i="25"/>
  <c r="N65" i="25" s="1"/>
  <c r="Q65" i="25" s="1"/>
  <c r="K65" i="23"/>
  <c r="T65" i="23" s="1"/>
  <c r="U65" i="23" s="1"/>
  <c r="I65" i="19"/>
  <c r="Q65" i="19" s="1"/>
  <c r="S65" i="19" s="1"/>
  <c r="K65" i="34"/>
  <c r="T65" i="34" s="1"/>
  <c r="U65" i="34" s="1"/>
  <c r="H65" i="20"/>
  <c r="P65" i="20" s="1"/>
  <c r="S65" i="20" s="1"/>
  <c r="J65" i="17"/>
  <c r="S65" i="17" s="1"/>
  <c r="U65" i="17" s="1"/>
  <c r="G65" i="35"/>
  <c r="O65" i="35" s="1"/>
  <c r="S65" i="35" s="1"/>
  <c r="H65" i="31"/>
  <c r="P65" i="31" s="1"/>
  <c r="S65" i="31" s="1"/>
  <c r="S82" i="28"/>
  <c r="U82" i="28" s="1"/>
  <c r="J130" i="28"/>
  <c r="E100" i="37"/>
  <c r="I100" i="30"/>
  <c r="E100" i="26"/>
  <c r="J100" i="26" s="1"/>
  <c r="J100" i="28"/>
  <c r="K100" i="23"/>
  <c r="T100" i="23" s="1"/>
  <c r="U100" i="23" s="1"/>
  <c r="K100" i="34"/>
  <c r="G100" i="24"/>
  <c r="O100" i="24" s="1"/>
  <c r="S100" i="24" s="1"/>
  <c r="H100" i="31"/>
  <c r="G100" i="35"/>
  <c r="I100" i="19"/>
  <c r="Q100" i="19" s="1"/>
  <c r="S100" i="19" s="1"/>
  <c r="G100" i="25"/>
  <c r="N100" i="25" s="1"/>
  <c r="Q100" i="25" s="1"/>
  <c r="I100" i="18"/>
  <c r="P100" i="18" s="1"/>
  <c r="Q100" i="18" s="1"/>
  <c r="G100" i="36"/>
  <c r="I100" i="29"/>
  <c r="H100" i="20"/>
  <c r="P100" i="20" s="1"/>
  <c r="S100" i="20" s="1"/>
  <c r="J100" i="17"/>
  <c r="S100" i="17" s="1"/>
  <c r="U100" i="17" s="1"/>
  <c r="I64" i="19"/>
  <c r="Q64" i="19" s="1"/>
  <c r="S64" i="19" s="1"/>
  <c r="E64" i="37"/>
  <c r="J64" i="37" s="1"/>
  <c r="H64" i="31"/>
  <c r="P64" i="31" s="1"/>
  <c r="S64" i="31" s="1"/>
  <c r="G64" i="35"/>
  <c r="O64" i="35" s="1"/>
  <c r="S64" i="35" s="1"/>
  <c r="K64" i="34"/>
  <c r="T64" i="34" s="1"/>
  <c r="U64" i="34" s="1"/>
  <c r="G64" i="36"/>
  <c r="N64" i="36" s="1"/>
  <c r="Q64" i="36" s="1"/>
  <c r="I64" i="30"/>
  <c r="P64" i="30" s="1"/>
  <c r="Q64" i="30" s="1"/>
  <c r="G64" i="24"/>
  <c r="O64" i="24" s="1"/>
  <c r="S64" i="24" s="1"/>
  <c r="I64" i="29"/>
  <c r="Q64" i="29" s="1"/>
  <c r="S64" i="29" s="1"/>
  <c r="I64" i="18"/>
  <c r="P64" i="18" s="1"/>
  <c r="Q64" i="18" s="1"/>
  <c r="H64" i="20"/>
  <c r="P64" i="20" s="1"/>
  <c r="S64" i="20" s="1"/>
  <c r="J64" i="17"/>
  <c r="S64" i="17" s="1"/>
  <c r="U64" i="17" s="1"/>
  <c r="J64" i="28"/>
  <c r="S64" i="28" s="1"/>
  <c r="U64" i="28" s="1"/>
  <c r="G64" i="25"/>
  <c r="N64" i="25" s="1"/>
  <c r="Q64" i="25" s="1"/>
  <c r="E64" i="26"/>
  <c r="J64" i="26" s="1"/>
  <c r="K64" i="23"/>
  <c r="T64" i="23" s="1"/>
  <c r="U64" i="23" s="1"/>
  <c r="H103" i="20"/>
  <c r="P103" i="20" s="1"/>
  <c r="S103" i="20" s="1"/>
  <c r="J103" i="17"/>
  <c r="S103" i="17" s="1"/>
  <c r="U103" i="17" s="1"/>
  <c r="I103" i="30"/>
  <c r="I103" i="29"/>
  <c r="E103" i="37"/>
  <c r="G103" i="35"/>
  <c r="E103" i="26"/>
  <c r="J103" i="26" s="1"/>
  <c r="G103" i="24"/>
  <c r="O103" i="24" s="1"/>
  <c r="S103" i="24" s="1"/>
  <c r="K103" i="34"/>
  <c r="J103" i="28"/>
  <c r="I103" i="19"/>
  <c r="Q103" i="19" s="1"/>
  <c r="S103" i="19" s="1"/>
  <c r="H103" i="31"/>
  <c r="G103" i="36"/>
  <c r="G103" i="25"/>
  <c r="N103" i="25" s="1"/>
  <c r="Q103" i="25" s="1"/>
  <c r="I103" i="18"/>
  <c r="P103" i="18" s="1"/>
  <c r="Q103" i="18" s="1"/>
  <c r="K103" i="23"/>
  <c r="T103" i="23" s="1"/>
  <c r="U103" i="23" s="1"/>
  <c r="G70" i="36"/>
  <c r="N70" i="36" s="1"/>
  <c r="Q70" i="36" s="1"/>
  <c r="H70" i="20"/>
  <c r="P70" i="20" s="1"/>
  <c r="S70" i="20" s="1"/>
  <c r="I70" i="18"/>
  <c r="P70" i="18" s="1"/>
  <c r="Q70" i="18" s="1"/>
  <c r="J70" i="17"/>
  <c r="S70" i="17" s="1"/>
  <c r="U70" i="17" s="1"/>
  <c r="E70" i="26"/>
  <c r="J70" i="26" s="1"/>
  <c r="K70" i="23"/>
  <c r="T70" i="23" s="1"/>
  <c r="U70" i="23" s="1"/>
  <c r="H70" i="31"/>
  <c r="P70" i="31" s="1"/>
  <c r="S70" i="31" s="1"/>
  <c r="I70" i="29"/>
  <c r="Q70" i="29" s="1"/>
  <c r="S70" i="29" s="1"/>
  <c r="I70" i="30"/>
  <c r="P70" i="30" s="1"/>
  <c r="Q70" i="30" s="1"/>
  <c r="G70" i="24"/>
  <c r="O70" i="24" s="1"/>
  <c r="S70" i="24" s="1"/>
  <c r="J70" i="28"/>
  <c r="S70" i="28" s="1"/>
  <c r="U70" i="28" s="1"/>
  <c r="E70" i="37"/>
  <c r="J70" i="37" s="1"/>
  <c r="I70" i="19"/>
  <c r="Q70" i="19" s="1"/>
  <c r="S70" i="19" s="1"/>
  <c r="G70" i="35"/>
  <c r="O70" i="35" s="1"/>
  <c r="S70" i="35" s="1"/>
  <c r="K70" i="34"/>
  <c r="T70" i="34" s="1"/>
  <c r="U70" i="34" s="1"/>
  <c r="G70" i="25"/>
  <c r="N70" i="25" s="1"/>
  <c r="Q70" i="25" s="1"/>
  <c r="G106" i="35"/>
  <c r="I106" i="18"/>
  <c r="P106" i="18" s="1"/>
  <c r="Q106" i="18" s="1"/>
  <c r="I106" i="30"/>
  <c r="H106" i="20"/>
  <c r="P106" i="20" s="1"/>
  <c r="S106" i="20" s="1"/>
  <c r="J106" i="17"/>
  <c r="S106" i="17" s="1"/>
  <c r="U106" i="17" s="1"/>
  <c r="I106" i="19"/>
  <c r="Q106" i="19" s="1"/>
  <c r="S106" i="19" s="1"/>
  <c r="G106" i="36"/>
  <c r="G106" i="24"/>
  <c r="O106" i="24" s="1"/>
  <c r="S106" i="24" s="1"/>
  <c r="E106" i="37"/>
  <c r="H106" i="31"/>
  <c r="E106" i="26"/>
  <c r="J106" i="26" s="1"/>
  <c r="K106" i="23"/>
  <c r="T106" i="23" s="1"/>
  <c r="U106" i="23" s="1"/>
  <c r="I106" i="29"/>
  <c r="J106" i="28"/>
  <c r="K106" i="34"/>
  <c r="G106" i="25"/>
  <c r="N106" i="25" s="1"/>
  <c r="Q106" i="25" s="1"/>
  <c r="S77" i="28"/>
  <c r="U77" i="28" s="1"/>
  <c r="J125" i="28"/>
  <c r="I62" i="18"/>
  <c r="P62" i="18" s="1"/>
  <c r="Q62" i="18" s="1"/>
  <c r="G62" i="24"/>
  <c r="O62" i="24" s="1"/>
  <c r="S62" i="24" s="1"/>
  <c r="G62" i="35"/>
  <c r="O62" i="35" s="1"/>
  <c r="S62" i="35" s="1"/>
  <c r="I62" i="30"/>
  <c r="P62" i="30" s="1"/>
  <c r="Q62" i="30" s="1"/>
  <c r="G62" i="36"/>
  <c r="N62" i="36" s="1"/>
  <c r="Q62" i="36" s="1"/>
  <c r="G62" i="25"/>
  <c r="N62" i="25" s="1"/>
  <c r="Q62" i="25" s="1"/>
  <c r="K62" i="34"/>
  <c r="T62" i="34" s="1"/>
  <c r="U62" i="34" s="1"/>
  <c r="I62" i="29"/>
  <c r="Q62" i="29" s="1"/>
  <c r="S62" i="29" s="1"/>
  <c r="H62" i="20"/>
  <c r="P62" i="20" s="1"/>
  <c r="S62" i="20" s="1"/>
  <c r="J62" i="17"/>
  <c r="S62" i="17" s="1"/>
  <c r="U62" i="17" s="1"/>
  <c r="I62" i="19"/>
  <c r="Q62" i="19" s="1"/>
  <c r="S62" i="19" s="1"/>
  <c r="E62" i="37"/>
  <c r="J62" i="37" s="1"/>
  <c r="E62" i="26"/>
  <c r="J62" i="26" s="1"/>
  <c r="K62" i="23"/>
  <c r="T62" i="23" s="1"/>
  <c r="U62" i="23" s="1"/>
  <c r="J62" i="28"/>
  <c r="S62" i="28" s="1"/>
  <c r="U62" i="28" s="1"/>
  <c r="H62" i="31"/>
  <c r="P62" i="31" s="1"/>
  <c r="S62" i="31" s="1"/>
  <c r="AB36" i="14"/>
  <c r="F132" i="44"/>
  <c r="J132" i="44"/>
  <c r="E132" i="44"/>
  <c r="G132" i="44"/>
  <c r="I132" i="44"/>
  <c r="D132" i="44"/>
  <c r="C14" i="44"/>
  <c r="L4" i="44"/>
  <c r="H14" i="44"/>
  <c r="AB6" i="39"/>
  <c r="AD6" i="39" s="1"/>
  <c r="AI11" i="40"/>
  <c r="AG31" i="40"/>
  <c r="AI31" i="40" s="1"/>
  <c r="BV36" i="14"/>
  <c r="BW36" i="14" s="1"/>
  <c r="GD111" i="2"/>
  <c r="AR11" i="40"/>
  <c r="AS11" i="40" s="1"/>
  <c r="AP31" i="40"/>
  <c r="AR31" i="40" s="1"/>
  <c r="BB37" i="14"/>
  <c r="BC37" i="14" s="1"/>
  <c r="AZ6" i="40"/>
  <c r="AX32" i="40"/>
  <c r="AZ32" i="40" s="1"/>
  <c r="BO11" i="40"/>
  <c r="BO6" i="40"/>
  <c r="AB11" i="40"/>
  <c r="Z31" i="40"/>
  <c r="AB31" i="40" s="1"/>
  <c r="F111" i="26"/>
  <c r="K111" i="26" s="1"/>
  <c r="BH36" i="14"/>
  <c r="BI36" i="14" s="1"/>
  <c r="F111" i="37"/>
  <c r="K111" i="37" s="1"/>
  <c r="GA111" i="2"/>
  <c r="BN37" i="14"/>
  <c r="BO37" i="14" s="1"/>
  <c r="GB112" i="2"/>
  <c r="V36" i="14"/>
  <c r="AT37" i="14"/>
  <c r="AU37" i="14" s="1"/>
  <c r="T6" i="40"/>
  <c r="U8" i="40" s="1"/>
  <c r="R32" i="40"/>
  <c r="E11" i="40"/>
  <c r="C31" i="40"/>
  <c r="E31" i="40" s="1"/>
  <c r="U37" i="14"/>
  <c r="V37" i="14" s="1"/>
  <c r="BH11" i="40"/>
  <c r="BF31" i="40"/>
  <c r="K37" i="14"/>
  <c r="L37" i="14" s="1"/>
  <c r="C36" i="14"/>
  <c r="D36" i="14" s="1"/>
  <c r="AO37" i="14"/>
  <c r="AP37" i="14" s="1"/>
  <c r="FW112" i="2"/>
  <c r="AA37" i="14"/>
  <c r="AB37" i="14" s="1"/>
  <c r="T11" i="40"/>
  <c r="R31" i="40"/>
  <c r="BR37" i="14"/>
  <c r="BS37" i="14" s="1"/>
  <c r="GC112" i="2"/>
  <c r="AK37" i="14"/>
  <c r="AL37" i="14" s="1"/>
  <c r="FV112" i="2"/>
  <c r="AY36" i="14"/>
  <c r="AX37" i="14"/>
  <c r="AY37" i="14" s="1"/>
  <c r="AB6" i="40"/>
  <c r="Z32" i="40"/>
  <c r="AB32" i="40" s="1"/>
  <c r="BH6" i="40"/>
  <c r="BF32" i="40"/>
  <c r="AZ11" i="40"/>
  <c r="AX31" i="40"/>
  <c r="AZ31" i="40" s="1"/>
  <c r="AG36" i="14"/>
  <c r="AH36" i="14" s="1"/>
  <c r="FU111" i="2"/>
  <c r="P36" i="14"/>
  <c r="O37" i="14"/>
  <c r="K68" i="44"/>
  <c r="K17" i="44"/>
  <c r="AB5" i="39"/>
  <c r="AD5" i="39" s="1"/>
  <c r="CZ6" i="39"/>
  <c r="DB6" i="39" s="1"/>
  <c r="F61" i="41"/>
  <c r="H61" i="41"/>
  <c r="I61" i="41"/>
  <c r="G61" i="41"/>
  <c r="K61" i="41"/>
  <c r="E61" i="41"/>
  <c r="J61" i="41"/>
  <c r="D61" i="41"/>
  <c r="C61" i="41"/>
  <c r="CZ5" i="39"/>
  <c r="DB5" i="39" s="1"/>
  <c r="CP5" i="39"/>
  <c r="CR5" i="39" s="1"/>
  <c r="CP6" i="39"/>
  <c r="CR6" i="39" s="1"/>
  <c r="AL5" i="39"/>
  <c r="AN5" i="39" s="1"/>
  <c r="L9" i="40"/>
  <c r="O4" i="7"/>
  <c r="FY15" i="2"/>
  <c r="L6" i="40"/>
  <c r="L10" i="40"/>
  <c r="H175" i="51"/>
  <c r="Z94" i="51"/>
  <c r="Y94" i="51"/>
  <c r="G175" i="51"/>
  <c r="F175" i="51"/>
  <c r="X94" i="51"/>
  <c r="H80" i="51"/>
  <c r="I80" i="51"/>
  <c r="J80" i="51"/>
  <c r="K80" i="51"/>
  <c r="N80" i="51"/>
  <c r="O80" i="51"/>
  <c r="P80" i="51"/>
  <c r="Q80" i="51"/>
  <c r="R80" i="51"/>
  <c r="S80" i="51"/>
  <c r="T80" i="51"/>
  <c r="H176" i="51"/>
  <c r="Z95" i="51"/>
  <c r="G176" i="51"/>
  <c r="Y95" i="51"/>
  <c r="X95" i="51"/>
  <c r="F176" i="51"/>
  <c r="I176" i="51" s="1"/>
  <c r="F81" i="51"/>
  <c r="H81" i="51"/>
  <c r="G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F120" i="44"/>
  <c r="J118" i="44"/>
  <c r="C120" i="44"/>
  <c r="G120" i="44"/>
  <c r="H120" i="44"/>
  <c r="D120" i="44"/>
  <c r="K120" i="44"/>
  <c r="J120" i="44"/>
  <c r="I120" i="44"/>
  <c r="E120" i="44"/>
  <c r="G65" i="44"/>
  <c r="H13" i="44"/>
  <c r="H65" i="44"/>
  <c r="C13" i="44"/>
  <c r="C65" i="44"/>
  <c r="D65" i="44"/>
  <c r="E13" i="44"/>
  <c r="K65" i="44"/>
  <c r="G13" i="44"/>
  <c r="J65" i="44"/>
  <c r="E65" i="44"/>
  <c r="F65" i="44"/>
  <c r="D13" i="44"/>
  <c r="F13" i="44"/>
  <c r="I65" i="44"/>
  <c r="I13" i="44"/>
  <c r="D61" i="44"/>
  <c r="G11" i="44"/>
  <c r="G126" i="44" s="1"/>
  <c r="D66" i="44"/>
  <c r="D129" i="44" s="1"/>
  <c r="D15" i="44"/>
  <c r="D130" i="44" s="1"/>
  <c r="C8" i="44"/>
  <c r="C123" i="44" s="1"/>
  <c r="F66" i="44"/>
  <c r="F129" i="44" s="1"/>
  <c r="I11" i="44"/>
  <c r="I126" i="44" s="1"/>
  <c r="F67" i="44"/>
  <c r="K67" i="44"/>
  <c r="K16" i="44"/>
  <c r="J9" i="44"/>
  <c r="K61" i="44"/>
  <c r="I7" i="44"/>
  <c r="I59" i="44"/>
  <c r="K9" i="44"/>
  <c r="C9" i="44"/>
  <c r="J60" i="44"/>
  <c r="K66" i="44"/>
  <c r="G59" i="44"/>
  <c r="G16" i="44"/>
  <c r="I8" i="44"/>
  <c r="I123" i="44" s="1"/>
  <c r="C67" i="44"/>
  <c r="J11" i="44"/>
  <c r="J126" i="44" s="1"/>
  <c r="G67" i="44"/>
  <c r="F61" i="44"/>
  <c r="C6" i="44"/>
  <c r="C16" i="44"/>
  <c r="K8" i="44"/>
  <c r="K123" i="44" s="1"/>
  <c r="H11" i="44"/>
  <c r="H126" i="44" s="1"/>
  <c r="D7" i="44"/>
  <c r="F8" i="44"/>
  <c r="F123" i="44" s="1"/>
  <c r="D8" i="44"/>
  <c r="D123" i="44" s="1"/>
  <c r="H7" i="44"/>
  <c r="H8" i="44"/>
  <c r="H123" i="44" s="1"/>
  <c r="D11" i="44"/>
  <c r="D126" i="44" s="1"/>
  <c r="E59" i="44"/>
  <c r="E9" i="44"/>
  <c r="D60" i="44"/>
  <c r="E6" i="44"/>
  <c r="F60" i="44"/>
  <c r="K14" i="44"/>
  <c r="H67" i="44"/>
  <c r="C61" i="44"/>
  <c r="K59" i="44"/>
  <c r="H16" i="44"/>
  <c r="E67" i="44"/>
  <c r="K6" i="44"/>
  <c r="E11" i="44"/>
  <c r="E126" i="44" s="1"/>
  <c r="G9" i="44"/>
  <c r="K62" i="44"/>
  <c r="K11" i="44"/>
  <c r="J8" i="44"/>
  <c r="J123" i="44" s="1"/>
  <c r="I16" i="44"/>
  <c r="I131" i="44" s="1"/>
  <c r="K7" i="44"/>
  <c r="I6" i="44"/>
  <c r="E15" i="44"/>
  <c r="E130" i="44" s="1"/>
  <c r="E7" i="44"/>
  <c r="G66" i="44"/>
  <c r="G129" i="44" s="1"/>
  <c r="J66" i="44"/>
  <c r="J129" i="44" s="1"/>
  <c r="H61" i="44"/>
  <c r="D59" i="44"/>
  <c r="F7" i="44"/>
  <c r="D9" i="44"/>
  <c r="D6" i="44"/>
  <c r="J59" i="44"/>
  <c r="G15" i="44"/>
  <c r="G130" i="44" s="1"/>
  <c r="J6" i="44"/>
  <c r="I60" i="44"/>
  <c r="I66" i="44"/>
  <c r="I129" i="44" s="1"/>
  <c r="E61" i="44"/>
  <c r="F9" i="44"/>
  <c r="H15" i="44"/>
  <c r="H130" i="44" s="1"/>
  <c r="J16" i="44"/>
  <c r="J131" i="44" s="1"/>
  <c r="J62" i="44"/>
  <c r="E66" i="44"/>
  <c r="E129" i="44" s="1"/>
  <c r="G8" i="44"/>
  <c r="G123" i="44" s="1"/>
  <c r="H59" i="44"/>
  <c r="C60" i="44"/>
  <c r="F11" i="44"/>
  <c r="F126" i="44" s="1"/>
  <c r="E8" i="44"/>
  <c r="E123" i="44" s="1"/>
  <c r="J61" i="44"/>
  <c r="H6" i="44"/>
  <c r="D67" i="44"/>
  <c r="E60" i="44"/>
  <c r="F16" i="44"/>
  <c r="C7" i="44"/>
  <c r="G60" i="44"/>
  <c r="H60" i="44"/>
  <c r="G7" i="44"/>
  <c r="G6" i="44"/>
  <c r="H66" i="44"/>
  <c r="C66" i="44"/>
  <c r="K60" i="44"/>
  <c r="E16" i="44"/>
  <c r="F59" i="44"/>
  <c r="D16" i="44"/>
  <c r="J7" i="44"/>
  <c r="I9" i="44"/>
  <c r="G61" i="44"/>
  <c r="C15" i="44"/>
  <c r="C130" i="44" s="1"/>
  <c r="F6" i="44"/>
  <c r="F15" i="44"/>
  <c r="F130" i="44" s="1"/>
  <c r="I61" i="44"/>
  <c r="FY50" i="2"/>
  <c r="FR51" i="2"/>
  <c r="FQ62" i="2"/>
  <c r="FQ14" i="2"/>
  <c r="FX15" i="2"/>
  <c r="FY3" i="2"/>
  <c r="FS62" i="2"/>
  <c r="FX3" i="2"/>
  <c r="FQ27" i="2"/>
  <c r="FS38" i="2"/>
  <c r="O5" i="7"/>
  <c r="FT62" i="2"/>
  <c r="FQ63" i="2"/>
  <c r="FT50" i="2"/>
  <c r="FS14" i="2"/>
  <c r="FT3" i="2"/>
  <c r="FQ26" i="2"/>
  <c r="R26" i="22"/>
  <c r="FY51" i="2"/>
  <c r="FX38" i="2"/>
  <c r="FQ3" i="2"/>
  <c r="FX51" i="2"/>
  <c r="FQ51" i="2"/>
  <c r="FR62" i="2"/>
  <c r="FT38" i="2"/>
  <c r="FY14" i="2"/>
  <c r="FS50" i="2"/>
  <c r="FX63" i="2"/>
  <c r="FY38" i="2"/>
  <c r="FX27" i="2"/>
  <c r="FY63" i="2"/>
  <c r="FR27" i="2"/>
  <c r="FY62" i="2"/>
  <c r="FQ15" i="2"/>
  <c r="FX26" i="2"/>
  <c r="L8" i="40"/>
  <c r="FR3" i="2"/>
  <c r="H9" i="44"/>
  <c r="H122" i="31"/>
  <c r="P86" i="31"/>
  <c r="S86" i="31" s="1"/>
  <c r="Q86" i="29"/>
  <c r="S86" i="29" s="1"/>
  <c r="I122" i="29"/>
  <c r="S86" i="28"/>
  <c r="U86" i="28" s="1"/>
  <c r="J134" i="28"/>
  <c r="P86" i="30"/>
  <c r="Q86" i="30" s="1"/>
  <c r="G122" i="35"/>
  <c r="O86" i="35"/>
  <c r="S86" i="35" s="1"/>
  <c r="J86" i="37"/>
  <c r="E122" i="37"/>
  <c r="T86" i="34"/>
  <c r="U86" i="34" s="1"/>
  <c r="K122" i="34"/>
  <c r="G122" i="36"/>
  <c r="N86" i="36"/>
  <c r="Q86" i="36" s="1"/>
  <c r="FV15" i="2"/>
  <c r="I118" i="44"/>
  <c r="J13" i="44"/>
  <c r="G118" i="44"/>
  <c r="GB51" i="2"/>
  <c r="GA27" i="2"/>
  <c r="F99" i="37"/>
  <c r="K99" i="37" s="1"/>
  <c r="F99" i="26"/>
  <c r="K99" i="26" s="1"/>
  <c r="GD99" i="2"/>
  <c r="H118" i="44"/>
  <c r="F3" i="37"/>
  <c r="K3" i="37" s="1"/>
  <c r="F3" i="26"/>
  <c r="K3" i="26" s="1"/>
  <c r="F39" i="37"/>
  <c r="K39" i="37" s="1"/>
  <c r="F39" i="26"/>
  <c r="K39" i="26" s="1"/>
  <c r="AG5" i="40"/>
  <c r="FS15" i="2"/>
  <c r="C118" i="44"/>
  <c r="F75" i="26"/>
  <c r="K75" i="26" s="1"/>
  <c r="M75" i="26" s="1"/>
  <c r="F75" i="37"/>
  <c r="K75" i="37" s="1"/>
  <c r="E118" i="44"/>
  <c r="F88" i="37"/>
  <c r="K88" i="37" s="1"/>
  <c r="F88" i="26"/>
  <c r="K88" i="26" s="1"/>
  <c r="F27" i="37"/>
  <c r="K27" i="37" s="1"/>
  <c r="F27" i="26"/>
  <c r="K27" i="26" s="1"/>
  <c r="AB14" i="40"/>
  <c r="FV39" i="2"/>
  <c r="AI10" i="40"/>
  <c r="D118" i="44"/>
  <c r="F63" i="37"/>
  <c r="K63" i="37" s="1"/>
  <c r="F63" i="26"/>
  <c r="K63" i="26" s="1"/>
  <c r="K118" i="44"/>
  <c r="K23" i="41"/>
  <c r="F51" i="37"/>
  <c r="K51" i="37" s="1"/>
  <c r="M51" i="37" s="1"/>
  <c r="F51" i="26"/>
  <c r="K51" i="26" s="1"/>
  <c r="M51" i="26" s="1"/>
  <c r="FV14" i="2"/>
  <c r="BU7" i="39"/>
  <c r="FT51" i="2"/>
  <c r="F118" i="44"/>
  <c r="F15" i="37"/>
  <c r="K15" i="37" s="1"/>
  <c r="F15" i="26"/>
  <c r="K15" i="26" s="1"/>
  <c r="AR14" i="40"/>
  <c r="AG6" i="40"/>
  <c r="J23" i="41"/>
  <c r="FY39" i="2"/>
  <c r="E6" i="40"/>
  <c r="K13" i="44"/>
  <c r="D6" i="35"/>
  <c r="D6" i="24"/>
  <c r="D27" i="30"/>
  <c r="D34" i="34"/>
  <c r="AT11" i="39"/>
  <c r="D46" i="30"/>
  <c r="D60" i="34"/>
  <c r="FQ37" i="2"/>
  <c r="D37" i="30"/>
  <c r="D3" i="24"/>
  <c r="D3" i="35"/>
  <c r="D29" i="30"/>
  <c r="D6" i="31"/>
  <c r="D3" i="31"/>
  <c r="FR38" i="2"/>
  <c r="D38" i="31"/>
  <c r="AI9" i="39"/>
  <c r="D12" i="24"/>
  <c r="D12" i="35"/>
  <c r="D22" i="24"/>
  <c r="V22" i="24" s="1"/>
  <c r="D22" i="35"/>
  <c r="D31" i="31"/>
  <c r="D50" i="30"/>
  <c r="Y10" i="39"/>
  <c r="D45" i="24"/>
  <c r="D45" i="35"/>
  <c r="D26" i="35"/>
  <c r="D26" i="24"/>
  <c r="V26" i="24" s="1"/>
  <c r="CW8" i="39"/>
  <c r="D11" i="31"/>
  <c r="D20" i="34"/>
  <c r="D17" i="30"/>
  <c r="D47" i="24"/>
  <c r="D47" i="35"/>
  <c r="FS37" i="2"/>
  <c r="D24" i="30"/>
  <c r="D21" i="34"/>
  <c r="D39" i="35"/>
  <c r="D39" i="24"/>
  <c r="FT61" i="2"/>
  <c r="FS61" i="2"/>
  <c r="FT13" i="2"/>
  <c r="D10" i="31"/>
  <c r="D22" i="30"/>
  <c r="D9" i="30"/>
  <c r="D11" i="30"/>
  <c r="D67" i="34"/>
  <c r="D7" i="30"/>
  <c r="D46" i="31"/>
  <c r="BE7" i="39"/>
  <c r="D40" i="31"/>
  <c r="D12" i="31"/>
  <c r="D4" i="31"/>
  <c r="D33" i="34"/>
  <c r="FS73" i="2"/>
  <c r="D8" i="35"/>
  <c r="D8" i="24"/>
  <c r="D36" i="34"/>
  <c r="D64" i="30"/>
  <c r="D10" i="30"/>
  <c r="D56" i="31"/>
  <c r="D16" i="31"/>
  <c r="D44" i="24"/>
  <c r="D44" i="35"/>
  <c r="D30" i="30"/>
  <c r="D62" i="30"/>
  <c r="Y11" i="39"/>
  <c r="D11" i="34"/>
  <c r="D26" i="30"/>
  <c r="Y8" i="39"/>
  <c r="D67" i="30"/>
  <c r="D60" i="24"/>
  <c r="D60" i="35"/>
  <c r="D53" i="34"/>
  <c r="D33" i="24"/>
  <c r="D33" i="35"/>
  <c r="D3" i="34"/>
  <c r="D5" i="34"/>
  <c r="D21" i="30"/>
  <c r="D20" i="31"/>
  <c r="D20" i="30"/>
  <c r="D42" i="30"/>
  <c r="D43" i="34"/>
  <c r="FT26" i="2"/>
  <c r="BE8" i="39"/>
  <c r="D8" i="31"/>
  <c r="D39" i="31"/>
  <c r="D2" i="33"/>
  <c r="D2" i="22"/>
  <c r="R2" i="22" s="1"/>
  <c r="BE6" i="39"/>
  <c r="FT63" i="2"/>
  <c r="FT25" i="2"/>
  <c r="D51" i="35"/>
  <c r="D51" i="24"/>
  <c r="D14" i="34"/>
  <c r="CM7" i="39"/>
  <c r="D46" i="24"/>
  <c r="D46" i="35"/>
  <c r="D66" i="30"/>
  <c r="D6" i="34"/>
  <c r="D48" i="30"/>
  <c r="FR25" i="2"/>
  <c r="D25" i="31"/>
  <c r="D47" i="34"/>
  <c r="D28" i="30"/>
  <c r="D70" i="34"/>
  <c r="D24" i="31"/>
  <c r="D19" i="35"/>
  <c r="D19" i="24"/>
  <c r="D47" i="30"/>
  <c r="D19" i="30"/>
  <c r="FR61" i="2"/>
  <c r="D61" i="31"/>
  <c r="D58" i="31"/>
  <c r="FQ61" i="2"/>
  <c r="D61" i="30"/>
  <c r="BE5" i="39"/>
  <c r="FY73" i="2"/>
  <c r="D73" i="35"/>
  <c r="D73" i="24"/>
  <c r="FY49" i="2"/>
  <c r="D49" i="35"/>
  <c r="D49" i="24"/>
  <c r="D5" i="24"/>
  <c r="D5" i="35"/>
  <c r="D22" i="34"/>
  <c r="D45" i="31"/>
  <c r="D63" i="31"/>
  <c r="D52" i="31"/>
  <c r="D18" i="35"/>
  <c r="D18" i="24"/>
  <c r="V18" i="24" s="1"/>
  <c r="D12" i="30"/>
  <c r="D55" i="31"/>
  <c r="D38" i="34"/>
  <c r="CM9" i="39"/>
  <c r="D19" i="34"/>
  <c r="D14" i="30"/>
  <c r="Y7" i="39"/>
  <c r="D47" i="31"/>
  <c r="FX61" i="2"/>
  <c r="D61" i="34"/>
  <c r="D54" i="35"/>
  <c r="D54" i="24"/>
  <c r="D9" i="31"/>
  <c r="D64" i="35"/>
  <c r="D64" i="24"/>
  <c r="AI5" i="39"/>
  <c r="D27" i="35"/>
  <c r="D27" i="24"/>
  <c r="FS13" i="2"/>
  <c r="D62" i="34"/>
  <c r="CM11" i="39"/>
  <c r="D16" i="30"/>
  <c r="D26" i="31"/>
  <c r="AI8" i="39"/>
  <c r="D18" i="31"/>
  <c r="D66" i="31"/>
  <c r="D48" i="34"/>
  <c r="D29" i="34"/>
  <c r="D17" i="34"/>
  <c r="D66" i="35"/>
  <c r="D66" i="24"/>
  <c r="D51" i="30"/>
  <c r="D52" i="34"/>
  <c r="D3" i="30"/>
  <c r="FT49" i="2"/>
  <c r="FS49" i="2"/>
  <c r="D69" i="31"/>
  <c r="D68" i="31"/>
  <c r="D72" i="24"/>
  <c r="D72" i="35"/>
  <c r="D68" i="30"/>
  <c r="D71" i="30"/>
  <c r="D58" i="35"/>
  <c r="D58" i="24"/>
  <c r="FY61" i="2"/>
  <c r="D61" i="24"/>
  <c r="D61" i="35"/>
  <c r="FX2" i="2"/>
  <c r="D2" i="34"/>
  <c r="CM6" i="39"/>
  <c r="D54" i="31"/>
  <c r="D8" i="34"/>
  <c r="FX39" i="2"/>
  <c r="D39" i="34"/>
  <c r="AT8" i="39"/>
  <c r="D18" i="30"/>
  <c r="D70" i="35"/>
  <c r="D70" i="24"/>
  <c r="D55" i="34"/>
  <c r="BE9" i="39"/>
  <c r="D14" i="35"/>
  <c r="D14" i="24"/>
  <c r="V14" i="24" s="1"/>
  <c r="CW7" i="39"/>
  <c r="D4" i="30"/>
  <c r="D6" i="30"/>
  <c r="FQ25" i="2"/>
  <c r="D25" i="30"/>
  <c r="D51" i="34"/>
  <c r="D28" i="34"/>
  <c r="D69" i="35"/>
  <c r="D69" i="24"/>
  <c r="D35" i="30"/>
  <c r="D69" i="34"/>
  <c r="D23" i="31"/>
  <c r="FX73" i="2"/>
  <c r="D73" i="34"/>
  <c r="D72" i="31"/>
  <c r="D42" i="35"/>
  <c r="D42" i="24"/>
  <c r="D56" i="30"/>
  <c r="D45" i="30"/>
  <c r="FQ13" i="2"/>
  <c r="D13" i="30"/>
  <c r="D17" i="31"/>
  <c r="D70" i="31"/>
  <c r="D67" i="24"/>
  <c r="D67" i="35"/>
  <c r="D28" i="24"/>
  <c r="D28" i="35"/>
  <c r="FR15" i="2"/>
  <c r="D15" i="31"/>
  <c r="D57" i="34"/>
  <c r="D31" i="34"/>
  <c r="FR49" i="2"/>
  <c r="D49" i="31"/>
  <c r="D69" i="30"/>
  <c r="AT10" i="39"/>
  <c r="D72" i="34"/>
  <c r="D5" i="31"/>
  <c r="D63" i="34"/>
  <c r="D30" i="34"/>
  <c r="FX13" i="2"/>
  <c r="D13" i="34"/>
  <c r="Y5" i="39"/>
  <c r="D32" i="30"/>
  <c r="D32" i="31"/>
  <c r="D40" i="34"/>
  <c r="D52" i="30"/>
  <c r="D43" i="31"/>
  <c r="FY37" i="2"/>
  <c r="D37" i="24"/>
  <c r="D37" i="35"/>
  <c r="D67" i="31"/>
  <c r="D38" i="35"/>
  <c r="D38" i="24"/>
  <c r="V38" i="24" s="1"/>
  <c r="CW9" i="39"/>
  <c r="D24" i="35"/>
  <c r="D24" i="24"/>
  <c r="FS3" i="2"/>
  <c r="D70" i="30"/>
  <c r="D57" i="31"/>
  <c r="D33" i="30"/>
  <c r="D15" i="34"/>
  <c r="D35" i="24"/>
  <c r="D35" i="35"/>
  <c r="D35" i="34"/>
  <c r="D71" i="35"/>
  <c r="D71" i="24"/>
  <c r="D44" i="31"/>
  <c r="D16" i="35"/>
  <c r="D16" i="24"/>
  <c r="D44" i="30"/>
  <c r="D43" i="35"/>
  <c r="D43" i="24"/>
  <c r="D20" i="24"/>
  <c r="D20" i="35"/>
  <c r="D71" i="34"/>
  <c r="D10" i="35"/>
  <c r="D10" i="24"/>
  <c r="D2" i="32"/>
  <c r="AT6" i="39"/>
  <c r="D22" i="31"/>
  <c r="D39" i="30"/>
  <c r="D40" i="35"/>
  <c r="D40" i="24"/>
  <c r="D29" i="31"/>
  <c r="FX37" i="2"/>
  <c r="D37" i="34"/>
  <c r="D53" i="35"/>
  <c r="D53" i="24"/>
  <c r="FX25" i="2"/>
  <c r="D25" i="34"/>
  <c r="D40" i="30"/>
  <c r="D12" i="34"/>
  <c r="D53" i="30"/>
  <c r="D48" i="24"/>
  <c r="D48" i="35"/>
  <c r="D42" i="34"/>
  <c r="D15" i="24"/>
  <c r="D15" i="35"/>
  <c r="D64" i="31"/>
  <c r="FQ49" i="2"/>
  <c r="D49" i="30"/>
  <c r="D32" i="34"/>
  <c r="D42" i="31"/>
  <c r="D68" i="34"/>
  <c r="D7" i="24"/>
  <c r="D7" i="35"/>
  <c r="D10" i="34"/>
  <c r="FT14" i="2"/>
  <c r="BE11" i="39"/>
  <c r="D27" i="31"/>
  <c r="D62" i="24"/>
  <c r="D62" i="35"/>
  <c r="CW11" i="39"/>
  <c r="D18" i="34"/>
  <c r="D17" i="24"/>
  <c r="V17" i="24" s="1"/>
  <c r="D17" i="35"/>
  <c r="D41" i="31"/>
  <c r="D19" i="31"/>
  <c r="FR14" i="2"/>
  <c r="D14" i="31"/>
  <c r="AI7" i="39"/>
  <c r="D4" i="35"/>
  <c r="D4" i="24"/>
  <c r="D57" i="35"/>
  <c r="D57" i="24"/>
  <c r="D2" i="31"/>
  <c r="AI6" i="39"/>
  <c r="D45" i="34"/>
  <c r="D5" i="30"/>
  <c r="FX49" i="2"/>
  <c r="D49" i="34"/>
  <c r="D31" i="24"/>
  <c r="D31" i="35"/>
  <c r="D9" i="34"/>
  <c r="FR13" i="2"/>
  <c r="D13" i="31"/>
  <c r="D8" i="30"/>
  <c r="D27" i="34"/>
  <c r="D34" i="35"/>
  <c r="D34" i="24"/>
  <c r="D59" i="30"/>
  <c r="D29" i="35"/>
  <c r="D29" i="24"/>
  <c r="D55" i="30"/>
  <c r="AT9" i="39"/>
  <c r="D50" i="35"/>
  <c r="D50" i="24"/>
  <c r="CW10" i="39"/>
  <c r="D64" i="34"/>
  <c r="D36" i="30"/>
  <c r="FR73" i="2"/>
  <c r="D73" i="31"/>
  <c r="D15" i="30"/>
  <c r="D2" i="30"/>
  <c r="Y6" i="39"/>
  <c r="CM5" i="39"/>
  <c r="D26" i="34"/>
  <c r="CM8" i="39"/>
  <c r="D9" i="35"/>
  <c r="D9" i="24"/>
  <c r="D36" i="35"/>
  <c r="D36" i="24"/>
  <c r="D63" i="24"/>
  <c r="D63" i="35"/>
  <c r="D43" i="30"/>
  <c r="D72" i="30"/>
  <c r="D59" i="31"/>
  <c r="D56" i="34"/>
  <c r="D7" i="31"/>
  <c r="D60" i="31"/>
  <c r="D55" i="35"/>
  <c r="D55" i="24"/>
  <c r="D52" i="24"/>
  <c r="D52" i="35"/>
  <c r="D59" i="35"/>
  <c r="D59" i="24"/>
  <c r="FR37" i="2"/>
  <c r="D37" i="31"/>
  <c r="D4" i="34"/>
  <c r="D57" i="30"/>
  <c r="D41" i="34"/>
  <c r="D65" i="34"/>
  <c r="D36" i="31"/>
  <c r="D41" i="35"/>
  <c r="D41" i="24"/>
  <c r="D65" i="24"/>
  <c r="D65" i="35"/>
  <c r="D35" i="31"/>
  <c r="FR50" i="2"/>
  <c r="D50" i="31"/>
  <c r="AI10" i="39"/>
  <c r="D63" i="30"/>
  <c r="FQ73" i="2"/>
  <c r="D73" i="30"/>
  <c r="D11" i="35"/>
  <c r="D11" i="24"/>
  <c r="D44" i="34"/>
  <c r="D54" i="30"/>
  <c r="D30" i="24"/>
  <c r="D30" i="35"/>
  <c r="CW5" i="39"/>
  <c r="D7" i="34"/>
  <c r="D46" i="34"/>
  <c r="D30" i="31"/>
  <c r="D34" i="30"/>
  <c r="D62" i="31"/>
  <c r="AI11" i="39"/>
  <c r="D24" i="34"/>
  <c r="D33" i="31"/>
  <c r="AT7" i="39"/>
  <c r="CM10" i="39"/>
  <c r="D65" i="31"/>
  <c r="D58" i="30"/>
  <c r="FT73" i="2"/>
  <c r="D23" i="34"/>
  <c r="BE10" i="39"/>
  <c r="D58" i="34"/>
  <c r="FY13" i="2"/>
  <c r="D13" i="24"/>
  <c r="D13" i="35"/>
  <c r="D68" i="35"/>
  <c r="D68" i="24"/>
  <c r="D23" i="30"/>
  <c r="D31" i="30"/>
  <c r="FT37" i="2"/>
  <c r="FT40" i="2"/>
  <c r="D51" i="31"/>
  <c r="D34" i="31"/>
  <c r="FQ38" i="2"/>
  <c r="D38" i="30"/>
  <c r="Y9" i="39"/>
  <c r="FX14" i="2"/>
  <c r="D66" i="34"/>
  <c r="D59" i="34"/>
  <c r="D28" i="31"/>
  <c r="D48" i="31"/>
  <c r="FY25" i="2"/>
  <c r="D25" i="35"/>
  <c r="D25" i="24"/>
  <c r="D21" i="31"/>
  <c r="D41" i="30"/>
  <c r="D53" i="31"/>
  <c r="D23" i="35"/>
  <c r="D23" i="24"/>
  <c r="V23" i="24" s="1"/>
  <c r="D21" i="35"/>
  <c r="D21" i="24"/>
  <c r="D65" i="30"/>
  <c r="D16" i="34"/>
  <c r="D2" i="24"/>
  <c r="V2" i="24" s="1"/>
  <c r="D2" i="35"/>
  <c r="CW6" i="39"/>
  <c r="AT5" i="39"/>
  <c r="D32" i="24"/>
  <c r="D32" i="35"/>
  <c r="D56" i="35"/>
  <c r="D56" i="24"/>
  <c r="D54" i="34"/>
  <c r="N5" i="7"/>
  <c r="N6" i="7"/>
  <c r="N7" i="7"/>
  <c r="N4" i="7"/>
  <c r="W41" i="5"/>
  <c r="X41" i="5"/>
  <c r="Z89" i="7"/>
  <c r="AC8" i="40" l="1"/>
  <c r="U9" i="40"/>
  <c r="AJ13" i="40"/>
  <c r="AC9" i="40"/>
  <c r="AC10" i="40"/>
  <c r="AJ14" i="40"/>
  <c r="AS9" i="40"/>
  <c r="BA15" i="40"/>
  <c r="U10" i="40"/>
  <c r="AJ15" i="40"/>
  <c r="AC15" i="40"/>
  <c r="BA8" i="40"/>
  <c r="BP8" i="40"/>
  <c r="W14" i="60"/>
  <c r="W15" i="60"/>
  <c r="E5" i="73"/>
  <c r="D5" i="73"/>
  <c r="D16" i="73"/>
  <c r="D17" i="73"/>
  <c r="F16" i="73"/>
  <c r="C16" i="73"/>
  <c r="E17" i="73"/>
  <c r="E16" i="73"/>
  <c r="F17" i="73"/>
  <c r="C17" i="73"/>
  <c r="F5" i="73"/>
  <c r="C5" i="73"/>
  <c r="AZ19" i="40"/>
  <c r="BP11" i="40"/>
  <c r="BP12" i="40"/>
  <c r="BP10" i="40"/>
  <c r="BP9" i="40"/>
  <c r="BA14" i="40"/>
  <c r="BI9" i="40"/>
  <c r="BI11" i="40"/>
  <c r="BI10" i="40"/>
  <c r="H132" i="44"/>
  <c r="O191" i="33"/>
  <c r="Q191" i="33" s="1"/>
  <c r="S204" i="31"/>
  <c r="O203" i="33"/>
  <c r="Q203" i="33" s="1"/>
  <c r="O169" i="33"/>
  <c r="Q169" i="33" s="1"/>
  <c r="BF19" i="39" s="1"/>
  <c r="F193" i="33"/>
  <c r="L181" i="33"/>
  <c r="K180" i="32"/>
  <c r="M180" i="32" s="1"/>
  <c r="E204" i="32"/>
  <c r="I204" i="32" s="1"/>
  <c r="I192" i="32"/>
  <c r="I205" i="31"/>
  <c r="Q205" i="31" s="1"/>
  <c r="Q193" i="31"/>
  <c r="O180" i="33"/>
  <c r="Q180" i="33" s="1"/>
  <c r="F204" i="33"/>
  <c r="L204" i="33" s="1"/>
  <c r="L192" i="33"/>
  <c r="K191" i="32"/>
  <c r="M191" i="32" s="1"/>
  <c r="K203" i="32"/>
  <c r="M203" i="32" s="1"/>
  <c r="D155" i="44"/>
  <c r="D154" i="44"/>
  <c r="K169" i="32"/>
  <c r="M169" i="32" s="1"/>
  <c r="AU19" i="39" s="1"/>
  <c r="E193" i="32"/>
  <c r="I181" i="32"/>
  <c r="FD39" i="3"/>
  <c r="FD15" i="3"/>
  <c r="FD100" i="3"/>
  <c r="FD123" i="3"/>
  <c r="FD27" i="3"/>
  <c r="BI8" i="40"/>
  <c r="P37" i="14"/>
  <c r="U11" i="40"/>
  <c r="E19" i="40"/>
  <c r="E20" i="40" s="1"/>
  <c r="AW9" i="39"/>
  <c r="AY9" i="39" s="1"/>
  <c r="F7" i="73" s="1"/>
  <c r="AZ9" i="39"/>
  <c r="AW8" i="39"/>
  <c r="AY8" i="39" s="1"/>
  <c r="E7" i="73" s="1"/>
  <c r="AZ8" i="39"/>
  <c r="AW11" i="39"/>
  <c r="AY11" i="39" s="1"/>
  <c r="H7" i="73" s="1"/>
  <c r="AZ11" i="39"/>
  <c r="BH9" i="39"/>
  <c r="BJ9" i="39" s="1"/>
  <c r="F8" i="73" s="1"/>
  <c r="BK9" i="39"/>
  <c r="BH8" i="39"/>
  <c r="BJ8" i="39" s="1"/>
  <c r="E8" i="73" s="1"/>
  <c r="BK8" i="39"/>
  <c r="BH10" i="39"/>
  <c r="BJ10" i="39" s="1"/>
  <c r="G8" i="73" s="1"/>
  <c r="BK10" i="39"/>
  <c r="BH11" i="39"/>
  <c r="BJ11" i="39" s="1"/>
  <c r="H8" i="73" s="1"/>
  <c r="BK11" i="39"/>
  <c r="AW10" i="39"/>
  <c r="AY10" i="39" s="1"/>
  <c r="G7" i="73" s="1"/>
  <c r="AZ10" i="39"/>
  <c r="EY61" i="3"/>
  <c r="EZ26" i="3"/>
  <c r="EZ85" i="3"/>
  <c r="FA85" i="3"/>
  <c r="EZ38" i="3"/>
  <c r="EY62" i="3"/>
  <c r="EZ74" i="3"/>
  <c r="EZ51" i="3"/>
  <c r="EX14" i="3"/>
  <c r="FA27" i="3"/>
  <c r="EX62" i="3"/>
  <c r="EW50" i="3"/>
  <c r="EY49" i="3"/>
  <c r="EY27" i="3"/>
  <c r="FB26" i="3"/>
  <c r="EY75" i="3"/>
  <c r="EZ27" i="3"/>
  <c r="EW61" i="3"/>
  <c r="FA50" i="3"/>
  <c r="EY25" i="3"/>
  <c r="EW73" i="3"/>
  <c r="FA37" i="3"/>
  <c r="EY15" i="3"/>
  <c r="FB51" i="3"/>
  <c r="EZ50" i="3"/>
  <c r="EY50" i="3"/>
  <c r="EX49" i="3"/>
  <c r="EX74" i="3"/>
  <c r="EW39" i="3"/>
  <c r="FA74" i="3"/>
  <c r="EX75" i="3"/>
  <c r="FB61" i="3"/>
  <c r="EZ52" i="3"/>
  <c r="EX26" i="3"/>
  <c r="FA73" i="3"/>
  <c r="EX73" i="3"/>
  <c r="EW63" i="3"/>
  <c r="FA15" i="3"/>
  <c r="EY63" i="3"/>
  <c r="EW51" i="3"/>
  <c r="EX27" i="3"/>
  <c r="FA25" i="3"/>
  <c r="EX50" i="3"/>
  <c r="FA63" i="3"/>
  <c r="FB27" i="3"/>
  <c r="EY51" i="3"/>
  <c r="FB49" i="3"/>
  <c r="EX85" i="3"/>
  <c r="EX25" i="3"/>
  <c r="EZ49" i="3"/>
  <c r="FA49" i="3"/>
  <c r="FA51" i="3"/>
  <c r="EX15" i="3"/>
  <c r="EW15" i="3"/>
  <c r="EY74" i="3"/>
  <c r="EY39" i="3"/>
  <c r="FB39" i="3"/>
  <c r="EZ14" i="3"/>
  <c r="EW25" i="3"/>
  <c r="EW37" i="3"/>
  <c r="EZ75" i="3"/>
  <c r="EW27" i="3"/>
  <c r="FB63" i="3"/>
  <c r="EW26" i="3"/>
  <c r="EX51" i="3"/>
  <c r="EW85" i="3"/>
  <c r="FA38" i="3"/>
  <c r="FB37" i="3"/>
  <c r="FA61" i="3"/>
  <c r="EZ25" i="3"/>
  <c r="FB74" i="3"/>
  <c r="EW74" i="3"/>
  <c r="EY38" i="3"/>
  <c r="FB38" i="3"/>
  <c r="FA14" i="3"/>
  <c r="FB85" i="3"/>
  <c r="EY73" i="3"/>
  <c r="EX39" i="3"/>
  <c r="EW38" i="3"/>
  <c r="EX63" i="3"/>
  <c r="EY37" i="3"/>
  <c r="EZ73" i="3"/>
  <c r="FB75" i="3"/>
  <c r="EZ15" i="3"/>
  <c r="FB62" i="3"/>
  <c r="EW62" i="3"/>
  <c r="EZ61" i="3"/>
  <c r="EW49" i="3"/>
  <c r="EX61" i="3"/>
  <c r="EY85" i="3"/>
  <c r="FA39" i="3"/>
  <c r="EY26" i="3"/>
  <c r="FB15" i="3"/>
  <c r="EZ37" i="3"/>
  <c r="FB73" i="3"/>
  <c r="EX37" i="3"/>
  <c r="FB50" i="3"/>
  <c r="EZ62" i="3"/>
  <c r="EY14" i="3"/>
  <c r="FB14" i="3"/>
  <c r="FB25" i="3"/>
  <c r="FA26" i="3"/>
  <c r="EZ63" i="3"/>
  <c r="FA75" i="3"/>
  <c r="EW75" i="3"/>
  <c r="EZ39" i="3"/>
  <c r="EW14" i="3"/>
  <c r="C132" i="44"/>
  <c r="AL9" i="39"/>
  <c r="AN9" i="39" s="1"/>
  <c r="AO9" i="39"/>
  <c r="AL8" i="39"/>
  <c r="AN8" i="39" s="1"/>
  <c r="AO8" i="39"/>
  <c r="AL6" i="39"/>
  <c r="AN6" i="39" s="1"/>
  <c r="AO6" i="39"/>
  <c r="AM15" i="27"/>
  <c r="AE15" i="27"/>
  <c r="AC13" i="40"/>
  <c r="M73" i="37"/>
  <c r="O73" i="37" s="1"/>
  <c r="M86" i="37"/>
  <c r="O86" i="37" s="1"/>
  <c r="M88" i="26"/>
  <c r="O88" i="26" s="1"/>
  <c r="M39" i="26"/>
  <c r="O39" i="26" s="1"/>
  <c r="M88" i="37"/>
  <c r="O88" i="37" s="1"/>
  <c r="M39" i="37"/>
  <c r="O39" i="37" s="1"/>
  <c r="M27" i="26"/>
  <c r="O27" i="26" s="1"/>
  <c r="M63" i="37"/>
  <c r="O63" i="37" s="1"/>
  <c r="M27" i="37"/>
  <c r="O27" i="37" s="1"/>
  <c r="M99" i="26"/>
  <c r="O99" i="26" s="1"/>
  <c r="M73" i="26"/>
  <c r="O73" i="26" s="1"/>
  <c r="M62" i="26"/>
  <c r="O62" i="26" s="1"/>
  <c r="M62" i="37"/>
  <c r="O62" i="37" s="1"/>
  <c r="O75" i="26"/>
  <c r="M111" i="37"/>
  <c r="O111" i="37" s="1"/>
  <c r="M109" i="26"/>
  <c r="O109" i="26" s="1"/>
  <c r="M15" i="26"/>
  <c r="O15" i="26" s="1"/>
  <c r="O51" i="26"/>
  <c r="M3" i="26"/>
  <c r="O3" i="26" s="1"/>
  <c r="M98" i="26"/>
  <c r="O98" i="26" s="1"/>
  <c r="M15" i="37"/>
  <c r="O15" i="37" s="1"/>
  <c r="O51" i="37"/>
  <c r="M63" i="26"/>
  <c r="O63" i="26" s="1"/>
  <c r="M3" i="37"/>
  <c r="O3" i="37" s="1"/>
  <c r="M111" i="26"/>
  <c r="O111" i="26" s="1"/>
  <c r="M75" i="37"/>
  <c r="O75" i="37" s="1"/>
  <c r="M6" i="60"/>
  <c r="AJ7" i="39"/>
  <c r="W6" i="27"/>
  <c r="AG32" i="40"/>
  <c r="AI32" i="40" s="1"/>
  <c r="AK6" i="40"/>
  <c r="G37" i="14"/>
  <c r="H37" i="14" s="1"/>
  <c r="T23" i="18"/>
  <c r="U23" i="18" s="1"/>
  <c r="T16" i="18"/>
  <c r="U16" i="18" s="1"/>
  <c r="V11" i="20"/>
  <c r="W11" i="20" s="1"/>
  <c r="V15" i="20"/>
  <c r="W15" i="20" s="1"/>
  <c r="V6" i="20"/>
  <c r="W6" i="20" s="1"/>
  <c r="X19" i="23"/>
  <c r="Y19" i="23" s="1"/>
  <c r="T14" i="18"/>
  <c r="V18" i="20"/>
  <c r="W18" i="20" s="1"/>
  <c r="V21" i="20"/>
  <c r="W21" i="20" s="1"/>
  <c r="X24" i="23"/>
  <c r="Y24" i="23" s="1"/>
  <c r="X14" i="23"/>
  <c r="Y14" i="23" s="1"/>
  <c r="N17" i="21"/>
  <c r="O17" i="21" s="1"/>
  <c r="N16" i="21"/>
  <c r="O16" i="21" s="1"/>
  <c r="T12" i="18"/>
  <c r="U12" i="18" s="1"/>
  <c r="T20" i="18"/>
  <c r="U20" i="18" s="1"/>
  <c r="V22" i="20"/>
  <c r="W22" i="20" s="1"/>
  <c r="N2" i="21"/>
  <c r="X16" i="23"/>
  <c r="Y16" i="23" s="1"/>
  <c r="T2" i="18"/>
  <c r="T21" i="18"/>
  <c r="U21" i="18" s="1"/>
  <c r="V23" i="20"/>
  <c r="W23" i="20" s="1"/>
  <c r="V8" i="20"/>
  <c r="W8" i="20" s="1"/>
  <c r="X20" i="23"/>
  <c r="Y20" i="23" s="1"/>
  <c r="X8" i="23"/>
  <c r="Y8" i="23" s="1"/>
  <c r="T25" i="18"/>
  <c r="U25" i="18" s="1"/>
  <c r="V2" i="20"/>
  <c r="W2" i="20" s="1"/>
  <c r="V25" i="20"/>
  <c r="W25" i="20" s="1"/>
  <c r="V10" i="20"/>
  <c r="W10" i="20" s="1"/>
  <c r="X23" i="23"/>
  <c r="Y23" i="23" s="1"/>
  <c r="X9" i="23"/>
  <c r="Y9" i="23" s="1"/>
  <c r="T15" i="18"/>
  <c r="U15" i="18" s="1"/>
  <c r="V9" i="20"/>
  <c r="W9" i="20" s="1"/>
  <c r="X5" i="23"/>
  <c r="Y5" i="23" s="1"/>
  <c r="T3" i="18"/>
  <c r="U3" i="18" s="1"/>
  <c r="N11" i="21"/>
  <c r="O11" i="21" s="1"/>
  <c r="V14" i="20"/>
  <c r="W14" i="20" s="1"/>
  <c r="X4" i="23"/>
  <c r="Y4" i="23" s="1"/>
  <c r="X15" i="23"/>
  <c r="Y15" i="23" s="1"/>
  <c r="X3" i="23"/>
  <c r="Y3" i="23" s="1"/>
  <c r="N23" i="21"/>
  <c r="O23" i="21" s="1"/>
  <c r="T17" i="18"/>
  <c r="U17" i="18" s="1"/>
  <c r="V16" i="20"/>
  <c r="W16" i="20" s="1"/>
  <c r="V19" i="20"/>
  <c r="W19" i="20" s="1"/>
  <c r="V24" i="20"/>
  <c r="W24" i="20" s="1"/>
  <c r="N7" i="21"/>
  <c r="O7" i="21" s="1"/>
  <c r="X18" i="23"/>
  <c r="Y18" i="23" s="1"/>
  <c r="N6" i="21"/>
  <c r="O6" i="21" s="1"/>
  <c r="N8" i="21"/>
  <c r="O8" i="21" s="1"/>
  <c r="N5" i="21"/>
  <c r="O5" i="21" s="1"/>
  <c r="T24" i="18"/>
  <c r="U24" i="18" s="1"/>
  <c r="T5" i="18"/>
  <c r="U5" i="18" s="1"/>
  <c r="T13" i="18"/>
  <c r="U13" i="18" s="1"/>
  <c r="V4" i="20"/>
  <c r="W4" i="20" s="1"/>
  <c r="X12" i="23"/>
  <c r="Y12" i="23" s="1"/>
  <c r="X10" i="23"/>
  <c r="Y10" i="23" s="1"/>
  <c r="T8" i="18"/>
  <c r="U8" i="18" s="1"/>
  <c r="V17" i="20"/>
  <c r="W17" i="20" s="1"/>
  <c r="V12" i="20"/>
  <c r="W12" i="20" s="1"/>
  <c r="N13" i="21"/>
  <c r="O13" i="21" s="1"/>
  <c r="X25" i="23"/>
  <c r="Y25" i="23" s="1"/>
  <c r="X13" i="23"/>
  <c r="Y13" i="23" s="1"/>
  <c r="N14" i="21"/>
  <c r="O14" i="21" s="1"/>
  <c r="T10" i="18"/>
  <c r="U10" i="18" s="1"/>
  <c r="T6" i="18"/>
  <c r="U6" i="18" s="1"/>
  <c r="T4" i="18"/>
  <c r="U4" i="18" s="1"/>
  <c r="T7" i="18"/>
  <c r="U7" i="18" s="1"/>
  <c r="N12" i="21"/>
  <c r="O12" i="21" s="1"/>
  <c r="X7" i="23"/>
  <c r="Y7" i="23" s="1"/>
  <c r="X21" i="23"/>
  <c r="Y21" i="23" s="1"/>
  <c r="N19" i="21"/>
  <c r="O19" i="21" s="1"/>
  <c r="N4" i="21"/>
  <c r="O4" i="21" s="1"/>
  <c r="X17" i="23"/>
  <c r="Y17" i="23" s="1"/>
  <c r="T11" i="18"/>
  <c r="U11" i="18" s="1"/>
  <c r="T18" i="18"/>
  <c r="U18" i="18" s="1"/>
  <c r="V13" i="20"/>
  <c r="W13" i="20" s="1"/>
  <c r="V20" i="20"/>
  <c r="W20" i="20" s="1"/>
  <c r="N3" i="21"/>
  <c r="O3" i="21" s="1"/>
  <c r="X2" i="23"/>
  <c r="N9" i="21"/>
  <c r="O9" i="21" s="1"/>
  <c r="T9" i="18"/>
  <c r="U9" i="18" s="1"/>
  <c r="T19" i="18"/>
  <c r="U19" i="18" s="1"/>
  <c r="V5" i="20"/>
  <c r="W5" i="20" s="1"/>
  <c r="N20" i="21"/>
  <c r="O20" i="21" s="1"/>
  <c r="N15" i="21"/>
  <c r="O15" i="21" s="1"/>
  <c r="N21" i="21"/>
  <c r="O21" i="21" s="1"/>
  <c r="N24" i="21"/>
  <c r="O24" i="21" s="1"/>
  <c r="T22" i="18"/>
  <c r="U22" i="18" s="1"/>
  <c r="V7" i="20"/>
  <c r="W7" i="20" s="1"/>
  <c r="V3" i="20"/>
  <c r="W3" i="20" s="1"/>
  <c r="N25" i="21"/>
  <c r="O25" i="21" s="1"/>
  <c r="X11" i="23"/>
  <c r="Y11" i="23" s="1"/>
  <c r="X6" i="23"/>
  <c r="Y6" i="23" s="1"/>
  <c r="N18" i="21"/>
  <c r="N10" i="21"/>
  <c r="N22" i="21"/>
  <c r="O22" i="21" s="1"/>
  <c r="X43" i="23"/>
  <c r="Y43" i="23" s="1"/>
  <c r="X41" i="23"/>
  <c r="Y41" i="23" s="1"/>
  <c r="X35" i="23"/>
  <c r="Y35" i="23" s="1"/>
  <c r="X31" i="23"/>
  <c r="Y31" i="23" s="1"/>
  <c r="X44" i="23"/>
  <c r="Y44" i="23" s="1"/>
  <c r="X37" i="23"/>
  <c r="Y37" i="23" s="1"/>
  <c r="X42" i="23"/>
  <c r="Y42" i="23" s="1"/>
  <c r="X47" i="23"/>
  <c r="Y47" i="23" s="1"/>
  <c r="X49" i="23"/>
  <c r="Y49" i="23" s="1"/>
  <c r="X48" i="23"/>
  <c r="Y48" i="23" s="1"/>
  <c r="X40" i="23"/>
  <c r="Y40" i="23" s="1"/>
  <c r="X39" i="23"/>
  <c r="Y39" i="23" s="1"/>
  <c r="X33" i="23"/>
  <c r="Y33" i="23" s="1"/>
  <c r="X46" i="23"/>
  <c r="Y46" i="23" s="1"/>
  <c r="X34" i="23"/>
  <c r="Y34" i="23" s="1"/>
  <c r="X45" i="23"/>
  <c r="Y45" i="23" s="1"/>
  <c r="X28" i="23"/>
  <c r="Y28" i="23" s="1"/>
  <c r="X36" i="23"/>
  <c r="Y36" i="23" s="1"/>
  <c r="X30" i="23"/>
  <c r="Y30" i="23" s="1"/>
  <c r="X29" i="23"/>
  <c r="Y29" i="23" s="1"/>
  <c r="X32" i="23"/>
  <c r="Y32" i="23" s="1"/>
  <c r="T36" i="18"/>
  <c r="U36" i="18" s="1"/>
  <c r="T32" i="18"/>
  <c r="U32" i="18" s="1"/>
  <c r="T37" i="18"/>
  <c r="U37" i="18" s="1"/>
  <c r="V48" i="20"/>
  <c r="W48" i="20" s="1"/>
  <c r="N32" i="21"/>
  <c r="O32" i="21" s="1"/>
  <c r="T40" i="18"/>
  <c r="U40" i="18" s="1"/>
  <c r="T28" i="18"/>
  <c r="U28" i="18" s="1"/>
  <c r="T46" i="18"/>
  <c r="U46" i="18" s="1"/>
  <c r="V47" i="20"/>
  <c r="W47" i="20" s="1"/>
  <c r="V28" i="20"/>
  <c r="W28" i="20" s="1"/>
  <c r="N26" i="21"/>
  <c r="O26" i="21" s="1"/>
  <c r="T48" i="18"/>
  <c r="U48" i="18" s="1"/>
  <c r="O44" i="21"/>
  <c r="V31" i="20"/>
  <c r="W31" i="20" s="1"/>
  <c r="V42" i="20"/>
  <c r="W42" i="20" s="1"/>
  <c r="N42" i="21"/>
  <c r="O42" i="21" s="1"/>
  <c r="N62" i="21"/>
  <c r="O62" i="21" s="1"/>
  <c r="T41" i="18"/>
  <c r="U41" i="18" s="1"/>
  <c r="T45" i="18"/>
  <c r="U45" i="18" s="1"/>
  <c r="V38" i="20"/>
  <c r="W38" i="20" s="1"/>
  <c r="N38" i="21"/>
  <c r="O38" i="21" s="1"/>
  <c r="BF14" i="39"/>
  <c r="BK14" i="39" s="1"/>
  <c r="T26" i="18"/>
  <c r="U26" i="18" s="1"/>
  <c r="V33" i="20"/>
  <c r="W33" i="20" s="1"/>
  <c r="V43" i="20"/>
  <c r="W43" i="20" s="1"/>
  <c r="V40" i="20"/>
  <c r="W40" i="20" s="1"/>
  <c r="N40" i="21"/>
  <c r="O40" i="21" s="1"/>
  <c r="N73" i="21"/>
  <c r="O73" i="21" s="1"/>
  <c r="T38" i="18"/>
  <c r="U38" i="18" s="1"/>
  <c r="V34" i="20"/>
  <c r="W34" i="20" s="1"/>
  <c r="V32" i="20"/>
  <c r="W32" i="20" s="1"/>
  <c r="V46" i="20"/>
  <c r="W46" i="20" s="1"/>
  <c r="N46" i="21"/>
  <c r="O46" i="21" s="1"/>
  <c r="T34" i="18"/>
  <c r="U34" i="18" s="1"/>
  <c r="T43" i="18"/>
  <c r="U43" i="18" s="1"/>
  <c r="T30" i="18"/>
  <c r="U30" i="18" s="1"/>
  <c r="V30" i="20"/>
  <c r="W30" i="20" s="1"/>
  <c r="V44" i="20"/>
  <c r="W44" i="20" s="1"/>
  <c r="V26" i="20"/>
  <c r="W26" i="20" s="1"/>
  <c r="N30" i="21"/>
  <c r="O30" i="21" s="1"/>
  <c r="N61" i="21"/>
  <c r="O61" i="21" s="1"/>
  <c r="T49" i="18"/>
  <c r="U49" i="18" s="1"/>
  <c r="V29" i="20"/>
  <c r="W29" i="20" s="1"/>
  <c r="N37" i="21"/>
  <c r="O37" i="21" s="1"/>
  <c r="T33" i="18"/>
  <c r="U33" i="18" s="1"/>
  <c r="V37" i="20"/>
  <c r="W37" i="20" s="1"/>
  <c r="V45" i="20"/>
  <c r="W45" i="20" s="1"/>
  <c r="T44" i="18"/>
  <c r="U44" i="18" s="1"/>
  <c r="T47" i="18"/>
  <c r="U47" i="18" s="1"/>
  <c r="V49" i="20"/>
  <c r="W49" i="20" s="1"/>
  <c r="T35" i="18"/>
  <c r="U35" i="18" s="1"/>
  <c r="AU14" i="39"/>
  <c r="AZ14" i="39" s="1"/>
  <c r="T27" i="18"/>
  <c r="U27" i="18" s="1"/>
  <c r="T42" i="18"/>
  <c r="U42" i="18" s="1"/>
  <c r="V35" i="20"/>
  <c r="W35" i="20" s="1"/>
  <c r="N41" i="21"/>
  <c r="O41" i="21" s="1"/>
  <c r="T31" i="18"/>
  <c r="U31" i="18" s="1"/>
  <c r="V36" i="20"/>
  <c r="W36" i="20" s="1"/>
  <c r="V39" i="20"/>
  <c r="W39" i="20" s="1"/>
  <c r="T39" i="18"/>
  <c r="U39" i="18" s="1"/>
  <c r="V41" i="20"/>
  <c r="W41" i="20" s="1"/>
  <c r="T29" i="18"/>
  <c r="U29" i="18" s="1"/>
  <c r="N49" i="21"/>
  <c r="O49" i="21" s="1"/>
  <c r="BA12" i="40"/>
  <c r="V45" i="24"/>
  <c r="W45" i="24" s="1"/>
  <c r="V6" i="24"/>
  <c r="W6" i="24" s="1"/>
  <c r="R40" i="22"/>
  <c r="S40" i="22" s="1"/>
  <c r="V30" i="24"/>
  <c r="W30" i="24" s="1"/>
  <c r="V32" i="24"/>
  <c r="W32" i="24" s="1"/>
  <c r="V34" i="24"/>
  <c r="W34" i="24" s="1"/>
  <c r="V10" i="24"/>
  <c r="W10" i="24" s="1"/>
  <c r="R14" i="22"/>
  <c r="S14" i="22" s="1"/>
  <c r="R6" i="22"/>
  <c r="S6" i="22" s="1"/>
  <c r="R37" i="22"/>
  <c r="S37" i="22" s="1"/>
  <c r="V39" i="24"/>
  <c r="W39" i="24" s="1"/>
  <c r="V8" i="24"/>
  <c r="W8" i="24" s="1"/>
  <c r="R25" i="22"/>
  <c r="S25" i="22" s="1"/>
  <c r="V13" i="24"/>
  <c r="W13" i="24" s="1"/>
  <c r="V7" i="24"/>
  <c r="W7" i="24" s="1"/>
  <c r="V40" i="24"/>
  <c r="W40" i="24" s="1"/>
  <c r="V37" i="24"/>
  <c r="W37" i="24" s="1"/>
  <c r="V44" i="24"/>
  <c r="W44" i="24" s="1"/>
  <c r="V21" i="24"/>
  <c r="W21" i="24" s="1"/>
  <c r="V24" i="24"/>
  <c r="W24" i="24" s="1"/>
  <c r="V4" i="24"/>
  <c r="W4" i="24" s="1"/>
  <c r="R63" i="22"/>
  <c r="S63" i="22" s="1"/>
  <c r="R34" i="22"/>
  <c r="S34" i="22" s="1"/>
  <c r="V27" i="24"/>
  <c r="W27" i="24" s="1"/>
  <c r="V15" i="24"/>
  <c r="W15" i="24" s="1"/>
  <c r="R21" i="22"/>
  <c r="S21" i="22" s="1"/>
  <c r="V25" i="24"/>
  <c r="W25" i="24" s="1"/>
  <c r="V5" i="24"/>
  <c r="W5" i="24" s="1"/>
  <c r="V19" i="24"/>
  <c r="W19" i="24" s="1"/>
  <c r="V31" i="24"/>
  <c r="W31" i="24" s="1"/>
  <c r="V43" i="24"/>
  <c r="W43" i="24" s="1"/>
  <c r="V28" i="24"/>
  <c r="W28" i="24" s="1"/>
  <c r="R73" i="22"/>
  <c r="S73" i="22" s="1"/>
  <c r="W23" i="24"/>
  <c r="V11" i="24"/>
  <c r="W11" i="24" s="1"/>
  <c r="V36" i="24"/>
  <c r="W36" i="24" s="1"/>
  <c r="W18" i="24"/>
  <c r="V49" i="24"/>
  <c r="W49" i="24" s="1"/>
  <c r="W22" i="24"/>
  <c r="R13" i="22"/>
  <c r="S13" i="22" s="1"/>
  <c r="R33" i="22"/>
  <c r="S33" i="22" s="1"/>
  <c r="V41" i="24"/>
  <c r="W41" i="24" s="1"/>
  <c r="V29" i="24"/>
  <c r="W29" i="24" s="1"/>
  <c r="V9" i="24"/>
  <c r="W9" i="24" s="1"/>
  <c r="R49" i="22"/>
  <c r="S49" i="22" s="1"/>
  <c r="W17" i="24"/>
  <c r="V48" i="24"/>
  <c r="W48" i="24" s="1"/>
  <c r="V35" i="24"/>
  <c r="W35" i="24" s="1"/>
  <c r="V42" i="24"/>
  <c r="W42" i="24" s="1"/>
  <c r="V12" i="24"/>
  <c r="W12" i="24" s="1"/>
  <c r="V3" i="24"/>
  <c r="W3" i="24" s="1"/>
  <c r="R48" i="22"/>
  <c r="S48" i="22" s="1"/>
  <c r="V20" i="24"/>
  <c r="W20" i="24" s="1"/>
  <c r="R71" i="22"/>
  <c r="S71" i="22" s="1"/>
  <c r="R61" i="22"/>
  <c r="S61" i="22" s="1"/>
  <c r="V46" i="24"/>
  <c r="W46" i="24" s="1"/>
  <c r="V33" i="24"/>
  <c r="W33" i="24" s="1"/>
  <c r="V47" i="24"/>
  <c r="W47" i="24" s="1"/>
  <c r="V16" i="24"/>
  <c r="W16" i="24" s="1"/>
  <c r="W43" i="5"/>
  <c r="E14" i="2" s="1"/>
  <c r="F126" i="51"/>
  <c r="I125" i="51"/>
  <c r="T125" i="51"/>
  <c r="F125" i="51"/>
  <c r="S125" i="51"/>
  <c r="T126" i="51"/>
  <c r="R125" i="51"/>
  <c r="S126" i="51"/>
  <c r="Q125" i="51"/>
  <c r="R126" i="51"/>
  <c r="P125" i="51"/>
  <c r="Q126" i="51"/>
  <c r="O125" i="51"/>
  <c r="P126" i="51"/>
  <c r="N125" i="51"/>
  <c r="O126" i="51"/>
  <c r="M125" i="51"/>
  <c r="N126" i="51"/>
  <c r="L125" i="51"/>
  <c r="M126" i="51"/>
  <c r="K125" i="51"/>
  <c r="L126" i="51"/>
  <c r="J125" i="51"/>
  <c r="K126" i="51"/>
  <c r="J126" i="51"/>
  <c r="F94" i="51"/>
  <c r="F109" i="51" s="1"/>
  <c r="I126" i="51"/>
  <c r="H125" i="51"/>
  <c r="H126" i="51"/>
  <c r="G126" i="51"/>
  <c r="G125" i="51"/>
  <c r="AI28" i="7"/>
  <c r="AH28" i="7"/>
  <c r="J86" i="7"/>
  <c r="AO5" i="7"/>
  <c r="AH5" i="7"/>
  <c r="AI5" i="7"/>
  <c r="AJ5" i="7"/>
  <c r="AK5" i="7"/>
  <c r="AL5" i="7"/>
  <c r="AM5" i="7"/>
  <c r="AN5" i="7"/>
  <c r="AK14" i="7"/>
  <c r="AM14" i="7"/>
  <c r="AL14" i="7"/>
  <c r="AN14" i="7"/>
  <c r="AO14" i="7"/>
  <c r="AH14" i="7"/>
  <c r="C90" i="7" s="1"/>
  <c r="AI14" i="7"/>
  <c r="D90" i="7" s="1"/>
  <c r="AJ14" i="7"/>
  <c r="T28" i="7"/>
  <c r="C64" i="7"/>
  <c r="AD28" i="7"/>
  <c r="AB28" i="7"/>
  <c r="Y28" i="7"/>
  <c r="G64" i="7"/>
  <c r="X28" i="7"/>
  <c r="F64" i="7"/>
  <c r="AA28" i="7"/>
  <c r="E64" i="7"/>
  <c r="W28" i="7"/>
  <c r="AD4" i="7"/>
  <c r="Z4" i="7"/>
  <c r="AA4" i="7"/>
  <c r="AB4" i="7"/>
  <c r="AC4" i="7"/>
  <c r="AC7" i="7"/>
  <c r="AB7" i="7"/>
  <c r="AD7" i="7"/>
  <c r="Z7" i="7"/>
  <c r="AA7" i="7"/>
  <c r="U28" i="7"/>
  <c r="AD14" i="7"/>
  <c r="AA14" i="7"/>
  <c r="AC14" i="7"/>
  <c r="AB14" i="7"/>
  <c r="Z14" i="7"/>
  <c r="AB6" i="7"/>
  <c r="AD6" i="7"/>
  <c r="AC6" i="7"/>
  <c r="AA6" i="7"/>
  <c r="Z6" i="7"/>
  <c r="AA5" i="7"/>
  <c r="AC5" i="7"/>
  <c r="Z5" i="7"/>
  <c r="AB5" i="7"/>
  <c r="AD5" i="7"/>
  <c r="Z8" i="7"/>
  <c r="AA8" i="7"/>
  <c r="AB8" i="7"/>
  <c r="AC8" i="7"/>
  <c r="AD8" i="7"/>
  <c r="AC28" i="7"/>
  <c r="Z28" i="7"/>
  <c r="D64" i="7"/>
  <c r="V28" i="7"/>
  <c r="N9" i="7"/>
  <c r="W14" i="7"/>
  <c r="T14" i="7"/>
  <c r="T32" i="7" s="1"/>
  <c r="U14" i="7"/>
  <c r="V14" i="7"/>
  <c r="X14" i="7"/>
  <c r="Y14" i="7"/>
  <c r="AJ11" i="40"/>
  <c r="AS13" i="40"/>
  <c r="AS12" i="40"/>
  <c r="FS40" i="2"/>
  <c r="FR40" i="2"/>
  <c r="FY28" i="2"/>
  <c r="AC11" i="40"/>
  <c r="FX40" i="2"/>
  <c r="FT16" i="2"/>
  <c r="T106" i="34"/>
  <c r="K142" i="34"/>
  <c r="J102" i="37"/>
  <c r="E138" i="37"/>
  <c r="G143" i="35"/>
  <c r="O107" i="35"/>
  <c r="J170" i="28"/>
  <c r="S170" i="28" s="1"/>
  <c r="S122" i="28"/>
  <c r="I116" i="29"/>
  <c r="G116" i="25"/>
  <c r="N116" i="25" s="1"/>
  <c r="Q116" i="25" s="1"/>
  <c r="H116" i="31"/>
  <c r="G116" i="36"/>
  <c r="E116" i="26"/>
  <c r="J116" i="26" s="1"/>
  <c r="G116" i="24"/>
  <c r="O116" i="24" s="1"/>
  <c r="S116" i="24" s="1"/>
  <c r="I116" i="18"/>
  <c r="P116" i="18" s="1"/>
  <c r="Q116" i="18" s="1"/>
  <c r="I116" i="30"/>
  <c r="K116" i="23"/>
  <c r="T116" i="23" s="1"/>
  <c r="U116" i="23" s="1"/>
  <c r="H116" i="20"/>
  <c r="P116" i="20" s="1"/>
  <c r="S116" i="20" s="1"/>
  <c r="E116" i="37"/>
  <c r="G116" i="35"/>
  <c r="K116" i="34"/>
  <c r="J116" i="28"/>
  <c r="I116" i="19"/>
  <c r="Q116" i="19" s="1"/>
  <c r="S116" i="19" s="1"/>
  <c r="J116" i="17"/>
  <c r="S116" i="17" s="1"/>
  <c r="U116" i="17" s="1"/>
  <c r="J152" i="28"/>
  <c r="S104" i="28"/>
  <c r="J108" i="37"/>
  <c r="E144" i="37"/>
  <c r="T109" i="34"/>
  <c r="K145" i="34"/>
  <c r="O101" i="35"/>
  <c r="G137" i="35"/>
  <c r="S106" i="28"/>
  <c r="J154" i="28"/>
  <c r="H113" i="31"/>
  <c r="I113" i="29"/>
  <c r="I113" i="30"/>
  <c r="G113" i="35"/>
  <c r="G113" i="25"/>
  <c r="N113" i="25" s="1"/>
  <c r="Q113" i="25" s="1"/>
  <c r="E113" i="26"/>
  <c r="J113" i="26" s="1"/>
  <c r="G113" i="24"/>
  <c r="O113" i="24" s="1"/>
  <c r="S113" i="24" s="1"/>
  <c r="I113" i="18"/>
  <c r="P113" i="18" s="1"/>
  <c r="Q113" i="18" s="1"/>
  <c r="E113" i="37"/>
  <c r="K113" i="34"/>
  <c r="G113" i="36"/>
  <c r="J113" i="28"/>
  <c r="H113" i="20"/>
  <c r="P113" i="20" s="1"/>
  <c r="S113" i="20" s="1"/>
  <c r="K113" i="23"/>
  <c r="T113" i="23" s="1"/>
  <c r="U113" i="23" s="1"/>
  <c r="I113" i="19"/>
  <c r="Q113" i="19" s="1"/>
  <c r="S113" i="19" s="1"/>
  <c r="J113" i="17"/>
  <c r="S113" i="17" s="1"/>
  <c r="U113" i="17" s="1"/>
  <c r="P102" i="30"/>
  <c r="I138" i="30"/>
  <c r="P104" i="30"/>
  <c r="I140" i="30"/>
  <c r="Q105" i="29"/>
  <c r="I141" i="29"/>
  <c r="Q106" i="29"/>
  <c r="I142" i="29"/>
  <c r="G139" i="36"/>
  <c r="N103" i="36"/>
  <c r="O100" i="35"/>
  <c r="G136" i="35"/>
  <c r="S98" i="28"/>
  <c r="J146" i="28"/>
  <c r="O104" i="35"/>
  <c r="G140" i="35"/>
  <c r="T105" i="34"/>
  <c r="K141" i="34"/>
  <c r="K118" i="34"/>
  <c r="G118" i="36"/>
  <c r="K118" i="23"/>
  <c r="T118" i="23" s="1"/>
  <c r="U118" i="23" s="1"/>
  <c r="E118" i="37"/>
  <c r="I118" i="18"/>
  <c r="P118" i="18" s="1"/>
  <c r="Q118" i="18" s="1"/>
  <c r="I118" i="30"/>
  <c r="I118" i="29"/>
  <c r="J118" i="28"/>
  <c r="H118" i="20"/>
  <c r="P118" i="20" s="1"/>
  <c r="S118" i="20" s="1"/>
  <c r="G118" i="25"/>
  <c r="N118" i="25" s="1"/>
  <c r="Q118" i="25" s="1"/>
  <c r="G118" i="24"/>
  <c r="O118" i="24" s="1"/>
  <c r="S118" i="24" s="1"/>
  <c r="G118" i="35"/>
  <c r="E118" i="26"/>
  <c r="J118" i="26" s="1"/>
  <c r="H118" i="31"/>
  <c r="I118" i="19"/>
  <c r="Q118" i="19" s="1"/>
  <c r="S118" i="19" s="1"/>
  <c r="J118" i="17"/>
  <c r="S118" i="17" s="1"/>
  <c r="U118" i="17" s="1"/>
  <c r="P103" i="31"/>
  <c r="H139" i="31"/>
  <c r="P100" i="31"/>
  <c r="H136" i="31"/>
  <c r="P99" i="31"/>
  <c r="H135" i="31"/>
  <c r="T104" i="34"/>
  <c r="K140" i="34"/>
  <c r="O108" i="35"/>
  <c r="G144" i="35"/>
  <c r="O109" i="35"/>
  <c r="G145" i="35"/>
  <c r="E115" i="26"/>
  <c r="J115" i="26" s="1"/>
  <c r="H115" i="20"/>
  <c r="P115" i="20" s="1"/>
  <c r="S115" i="20" s="1"/>
  <c r="I115" i="30"/>
  <c r="E115" i="37"/>
  <c r="G115" i="35"/>
  <c r="J115" i="28"/>
  <c r="I115" i="29"/>
  <c r="G115" i="25"/>
  <c r="N115" i="25" s="1"/>
  <c r="Q115" i="25" s="1"/>
  <c r="G115" i="24"/>
  <c r="O115" i="24" s="1"/>
  <c r="S115" i="24" s="1"/>
  <c r="G115" i="36"/>
  <c r="K115" i="23"/>
  <c r="T115" i="23" s="1"/>
  <c r="U115" i="23" s="1"/>
  <c r="I115" i="18"/>
  <c r="P115" i="18" s="1"/>
  <c r="Q115" i="18" s="1"/>
  <c r="H115" i="31"/>
  <c r="K115" i="34"/>
  <c r="I115" i="19"/>
  <c r="Q115" i="19" s="1"/>
  <c r="S115" i="19" s="1"/>
  <c r="J115" i="17"/>
  <c r="S115" i="17" s="1"/>
  <c r="U115" i="17" s="1"/>
  <c r="T99" i="34"/>
  <c r="K135" i="34"/>
  <c r="Q104" i="29"/>
  <c r="I140" i="29"/>
  <c r="P108" i="31"/>
  <c r="H144" i="31"/>
  <c r="N109" i="36"/>
  <c r="G145" i="36"/>
  <c r="P106" i="31"/>
  <c r="H142" i="31"/>
  <c r="J151" i="28"/>
  <c r="S103" i="28"/>
  <c r="T100" i="34"/>
  <c r="K136" i="34"/>
  <c r="J150" i="28"/>
  <c r="S102" i="28"/>
  <c r="J107" i="37"/>
  <c r="E143" i="37"/>
  <c r="P98" i="31"/>
  <c r="H134" i="31"/>
  <c r="Q108" i="29"/>
  <c r="I144" i="29"/>
  <c r="J109" i="37"/>
  <c r="M109" i="37" s="1"/>
  <c r="E145" i="37"/>
  <c r="P109" i="30"/>
  <c r="I145" i="30"/>
  <c r="S105" i="28"/>
  <c r="J153" i="28"/>
  <c r="P101" i="30"/>
  <c r="I137" i="30"/>
  <c r="J106" i="37"/>
  <c r="E142" i="37"/>
  <c r="T103" i="34"/>
  <c r="K139" i="34"/>
  <c r="S99" i="28"/>
  <c r="J147" i="28"/>
  <c r="J177" i="28"/>
  <c r="S177" i="28" s="1"/>
  <c r="S129" i="28"/>
  <c r="K144" i="34"/>
  <c r="T108" i="34"/>
  <c r="J180" i="28"/>
  <c r="S180" i="28" s="1"/>
  <c r="S132" i="28"/>
  <c r="J101" i="37"/>
  <c r="E137" i="37"/>
  <c r="G110" i="25"/>
  <c r="N110" i="25" s="1"/>
  <c r="Q110" i="25" s="1"/>
  <c r="G110" i="36"/>
  <c r="H110" i="20"/>
  <c r="P110" i="20" s="1"/>
  <c r="S110" i="20" s="1"/>
  <c r="K110" i="34"/>
  <c r="I110" i="29"/>
  <c r="G110" i="24"/>
  <c r="O110" i="24" s="1"/>
  <c r="S110" i="24" s="1"/>
  <c r="G110" i="35"/>
  <c r="E110" i="37"/>
  <c r="E110" i="26"/>
  <c r="J110" i="26" s="1"/>
  <c r="K110" i="23"/>
  <c r="T110" i="23" s="1"/>
  <c r="U110" i="23" s="1"/>
  <c r="J110" i="28"/>
  <c r="I110" i="18"/>
  <c r="P110" i="18" s="1"/>
  <c r="Q110" i="18" s="1"/>
  <c r="I110" i="30"/>
  <c r="H110" i="31"/>
  <c r="I110" i="19"/>
  <c r="Q110" i="19" s="1"/>
  <c r="S110" i="19" s="1"/>
  <c r="J110" i="17"/>
  <c r="S110" i="17" s="1"/>
  <c r="U110" i="17" s="1"/>
  <c r="S100" i="28"/>
  <c r="J148" i="28"/>
  <c r="T107" i="34"/>
  <c r="K143" i="34"/>
  <c r="J149" i="28"/>
  <c r="S101" i="28"/>
  <c r="J175" i="28"/>
  <c r="S175" i="28" s="1"/>
  <c r="S127" i="28"/>
  <c r="FY4" i="2"/>
  <c r="FS4" i="2"/>
  <c r="J173" i="28"/>
  <c r="S173" i="28" s="1"/>
  <c r="S125" i="28"/>
  <c r="N106" i="36"/>
  <c r="G142" i="36"/>
  <c r="P99" i="30"/>
  <c r="I135" i="30"/>
  <c r="J174" i="28"/>
  <c r="S174" i="28" s="1"/>
  <c r="S126" i="28"/>
  <c r="J172" i="28"/>
  <c r="S172" i="28" s="1"/>
  <c r="S124" i="28"/>
  <c r="BO3" i="2"/>
  <c r="AA16" i="3"/>
  <c r="I134" i="30"/>
  <c r="P98" i="30"/>
  <c r="P105" i="31"/>
  <c r="H141" i="31"/>
  <c r="T101" i="34"/>
  <c r="K137" i="34"/>
  <c r="O103" i="35"/>
  <c r="G139" i="35"/>
  <c r="P100" i="30"/>
  <c r="I136" i="30"/>
  <c r="T102" i="34"/>
  <c r="K138" i="34"/>
  <c r="J99" i="37"/>
  <c r="E135" i="37"/>
  <c r="S107" i="28"/>
  <c r="J155" i="28"/>
  <c r="Q98" i="29"/>
  <c r="I134" i="29"/>
  <c r="N104" i="36"/>
  <c r="G140" i="36"/>
  <c r="P108" i="30"/>
  <c r="I144" i="30"/>
  <c r="G141" i="36"/>
  <c r="N105" i="36"/>
  <c r="I137" i="29"/>
  <c r="Q101" i="29"/>
  <c r="J103" i="37"/>
  <c r="E139" i="37"/>
  <c r="J112" i="28"/>
  <c r="E112" i="26"/>
  <c r="J112" i="26" s="1"/>
  <c r="E112" i="37"/>
  <c r="G112" i="36"/>
  <c r="H112" i="20"/>
  <c r="P112" i="20" s="1"/>
  <c r="S112" i="20" s="1"/>
  <c r="K112" i="23"/>
  <c r="T112" i="23" s="1"/>
  <c r="U112" i="23" s="1"/>
  <c r="I112" i="29"/>
  <c r="G112" i="35"/>
  <c r="H112" i="31"/>
  <c r="G112" i="25"/>
  <c r="N112" i="25" s="1"/>
  <c r="Q112" i="25" s="1"/>
  <c r="G112" i="24"/>
  <c r="O112" i="24" s="1"/>
  <c r="S112" i="24" s="1"/>
  <c r="I112" i="30"/>
  <c r="I112" i="18"/>
  <c r="P112" i="18" s="1"/>
  <c r="Q112" i="18" s="1"/>
  <c r="K112" i="34"/>
  <c r="J112" i="17"/>
  <c r="S112" i="17" s="1"/>
  <c r="U112" i="17" s="1"/>
  <c r="I112" i="19"/>
  <c r="Q112" i="19" s="1"/>
  <c r="S112" i="19" s="1"/>
  <c r="J100" i="37"/>
  <c r="E136" i="37"/>
  <c r="N102" i="36"/>
  <c r="G138" i="36"/>
  <c r="J179" i="28"/>
  <c r="S179" i="28" s="1"/>
  <c r="S131" i="28"/>
  <c r="Q99" i="29"/>
  <c r="I135" i="29"/>
  <c r="Q107" i="29"/>
  <c r="I143" i="29"/>
  <c r="N108" i="36"/>
  <c r="G144" i="36"/>
  <c r="H145" i="31"/>
  <c r="P109" i="31"/>
  <c r="Q103" i="29"/>
  <c r="I139" i="29"/>
  <c r="H138" i="31"/>
  <c r="P102" i="31"/>
  <c r="N99" i="36"/>
  <c r="G135" i="36"/>
  <c r="P107" i="31"/>
  <c r="H143" i="31"/>
  <c r="H117" i="20"/>
  <c r="P117" i="20" s="1"/>
  <c r="S117" i="20" s="1"/>
  <c r="G117" i="24"/>
  <c r="O117" i="24" s="1"/>
  <c r="S117" i="24" s="1"/>
  <c r="G117" i="35"/>
  <c r="K117" i="34"/>
  <c r="H117" i="31"/>
  <c r="K117" i="23"/>
  <c r="T117" i="23" s="1"/>
  <c r="U117" i="23" s="1"/>
  <c r="J117" i="28"/>
  <c r="E117" i="26"/>
  <c r="J117" i="26" s="1"/>
  <c r="G117" i="36"/>
  <c r="I117" i="29"/>
  <c r="G117" i="25"/>
  <c r="N117" i="25" s="1"/>
  <c r="Q117" i="25" s="1"/>
  <c r="I117" i="18"/>
  <c r="P117" i="18" s="1"/>
  <c r="Q117" i="18" s="1"/>
  <c r="E117" i="37"/>
  <c r="I117" i="30"/>
  <c r="I117" i="19"/>
  <c r="Q117" i="19" s="1"/>
  <c r="S117" i="19" s="1"/>
  <c r="J117" i="17"/>
  <c r="S117" i="17" s="1"/>
  <c r="U117" i="17" s="1"/>
  <c r="J105" i="37"/>
  <c r="E141" i="37"/>
  <c r="N101" i="36"/>
  <c r="G137" i="36"/>
  <c r="G114" i="24"/>
  <c r="O114" i="24" s="1"/>
  <c r="S114" i="24" s="1"/>
  <c r="I114" i="18"/>
  <c r="P114" i="18" s="1"/>
  <c r="Q114" i="18" s="1"/>
  <c r="G114" i="36"/>
  <c r="K114" i="34"/>
  <c r="H114" i="31"/>
  <c r="H114" i="20"/>
  <c r="P114" i="20" s="1"/>
  <c r="S114" i="20" s="1"/>
  <c r="I114" i="30"/>
  <c r="J114" i="28"/>
  <c r="E114" i="26"/>
  <c r="J114" i="26" s="1"/>
  <c r="G114" i="35"/>
  <c r="I114" i="29"/>
  <c r="E114" i="37"/>
  <c r="G114" i="25"/>
  <c r="N114" i="25" s="1"/>
  <c r="Q114" i="25" s="1"/>
  <c r="K114" i="23"/>
  <c r="T114" i="23" s="1"/>
  <c r="U114" i="23" s="1"/>
  <c r="I114" i="19"/>
  <c r="Q114" i="19" s="1"/>
  <c r="S114" i="19" s="1"/>
  <c r="J114" i="17"/>
  <c r="S114" i="17" s="1"/>
  <c r="U114" i="17" s="1"/>
  <c r="P106" i="30"/>
  <c r="I142" i="30"/>
  <c r="P103" i="30"/>
  <c r="I139" i="30"/>
  <c r="J171" i="28"/>
  <c r="S171" i="28" s="1"/>
  <c r="S123" i="28"/>
  <c r="G143" i="36"/>
  <c r="N107" i="36"/>
  <c r="E134" i="37"/>
  <c r="J98" i="37"/>
  <c r="M98" i="37" s="1"/>
  <c r="P104" i="31"/>
  <c r="H140" i="31"/>
  <c r="S108" i="28"/>
  <c r="J156" i="28"/>
  <c r="Q100" i="29"/>
  <c r="I136" i="29"/>
  <c r="J178" i="28"/>
  <c r="S178" i="28" s="1"/>
  <c r="S130" i="28"/>
  <c r="I138" i="29"/>
  <c r="Q102" i="29"/>
  <c r="I119" i="29"/>
  <c r="K119" i="23"/>
  <c r="T119" i="23" s="1"/>
  <c r="U119" i="23" s="1"/>
  <c r="H119" i="20"/>
  <c r="P119" i="20" s="1"/>
  <c r="S119" i="20" s="1"/>
  <c r="E119" i="26"/>
  <c r="J119" i="26" s="1"/>
  <c r="G119" i="24"/>
  <c r="O119" i="24" s="1"/>
  <c r="S119" i="24" s="1"/>
  <c r="J119" i="28"/>
  <c r="H119" i="31"/>
  <c r="G119" i="25"/>
  <c r="N119" i="25" s="1"/>
  <c r="Q119" i="25" s="1"/>
  <c r="G119" i="35"/>
  <c r="E119" i="37"/>
  <c r="G119" i="36"/>
  <c r="K119" i="34"/>
  <c r="I119" i="30"/>
  <c r="I119" i="18"/>
  <c r="P119" i="18" s="1"/>
  <c r="Q119" i="18" s="1"/>
  <c r="I119" i="19"/>
  <c r="Q119" i="19" s="1"/>
  <c r="S119" i="19" s="1"/>
  <c r="J119" i="17"/>
  <c r="S119" i="17" s="1"/>
  <c r="U119" i="17" s="1"/>
  <c r="H121" i="31"/>
  <c r="I121" i="29"/>
  <c r="H121" i="20"/>
  <c r="P121" i="20" s="1"/>
  <c r="S121" i="20" s="1"/>
  <c r="E121" i="37"/>
  <c r="K121" i="34"/>
  <c r="J121" i="28"/>
  <c r="G121" i="35"/>
  <c r="I121" i="30"/>
  <c r="G121" i="24"/>
  <c r="O121" i="24" s="1"/>
  <c r="S121" i="24" s="1"/>
  <c r="K121" i="23"/>
  <c r="T121" i="23" s="1"/>
  <c r="U121" i="23" s="1"/>
  <c r="G121" i="36"/>
  <c r="E121" i="26"/>
  <c r="J121" i="26" s="1"/>
  <c r="G121" i="25"/>
  <c r="N121" i="25" s="1"/>
  <c r="Q121" i="25" s="1"/>
  <c r="I121" i="18"/>
  <c r="P121" i="18" s="1"/>
  <c r="Q121" i="18" s="1"/>
  <c r="J121" i="17"/>
  <c r="S121" i="17" s="1"/>
  <c r="U121" i="17" s="1"/>
  <c r="I121" i="19"/>
  <c r="Q121" i="19" s="1"/>
  <c r="S121" i="19" s="1"/>
  <c r="N98" i="36"/>
  <c r="G134" i="36"/>
  <c r="Q109" i="29"/>
  <c r="I145" i="29"/>
  <c r="P105" i="30"/>
  <c r="I141" i="30"/>
  <c r="FX28" i="2"/>
  <c r="O106" i="35"/>
  <c r="G142" i="35"/>
  <c r="N100" i="36"/>
  <c r="G136" i="36"/>
  <c r="O102" i="35"/>
  <c r="G138" i="35"/>
  <c r="N147" i="36"/>
  <c r="G183" i="36"/>
  <c r="N183" i="36" s="1"/>
  <c r="J176" i="28"/>
  <c r="S176" i="28" s="1"/>
  <c r="S128" i="28"/>
  <c r="P107" i="30"/>
  <c r="I143" i="30"/>
  <c r="J181" i="28"/>
  <c r="S181" i="28" s="1"/>
  <c r="S133" i="28"/>
  <c r="O98" i="35"/>
  <c r="G134" i="35"/>
  <c r="O105" i="35"/>
  <c r="G141" i="35"/>
  <c r="FQ4" i="2"/>
  <c r="O99" i="35"/>
  <c r="G135" i="35"/>
  <c r="C124" i="29"/>
  <c r="A125" i="29"/>
  <c r="B124" i="29"/>
  <c r="T98" i="34"/>
  <c r="K134" i="34"/>
  <c r="E120" i="37"/>
  <c r="G120" i="35"/>
  <c r="K120" i="23"/>
  <c r="T120" i="23" s="1"/>
  <c r="U120" i="23" s="1"/>
  <c r="G120" i="25"/>
  <c r="N120" i="25" s="1"/>
  <c r="Q120" i="25" s="1"/>
  <c r="G120" i="36"/>
  <c r="I120" i="30"/>
  <c r="I120" i="18"/>
  <c r="P120" i="18" s="1"/>
  <c r="Q120" i="18" s="1"/>
  <c r="E120" i="26"/>
  <c r="J120" i="26" s="1"/>
  <c r="I120" i="29"/>
  <c r="H120" i="20"/>
  <c r="P120" i="20" s="1"/>
  <c r="S120" i="20" s="1"/>
  <c r="K120" i="34"/>
  <c r="H120" i="31"/>
  <c r="J120" i="28"/>
  <c r="G120" i="24"/>
  <c r="O120" i="24" s="1"/>
  <c r="S120" i="24" s="1"/>
  <c r="J120" i="17"/>
  <c r="S120" i="17" s="1"/>
  <c r="U120" i="17" s="1"/>
  <c r="I120" i="19"/>
  <c r="Q120" i="19" s="1"/>
  <c r="S120" i="19" s="1"/>
  <c r="J104" i="37"/>
  <c r="E140" i="37"/>
  <c r="S109" i="28"/>
  <c r="J157" i="28"/>
  <c r="P101" i="31"/>
  <c r="H137" i="31"/>
  <c r="K126" i="44"/>
  <c r="H129" i="44"/>
  <c r="C129" i="44"/>
  <c r="L68" i="44"/>
  <c r="K132" i="44"/>
  <c r="BN38" i="14"/>
  <c r="BO38" i="14" s="1"/>
  <c r="GB113" i="2"/>
  <c r="K38" i="14"/>
  <c r="L38" i="14" s="1"/>
  <c r="AG37" i="14"/>
  <c r="AH37" i="14" s="1"/>
  <c r="FU112" i="2"/>
  <c r="AC14" i="40"/>
  <c r="BA13" i="40"/>
  <c r="AZ20" i="40"/>
  <c r="AZ21" i="40" s="1"/>
  <c r="AZ22" i="40" s="1"/>
  <c r="AZ23" i="40" s="1"/>
  <c r="AZ24" i="40" s="1"/>
  <c r="AZ25" i="40" s="1"/>
  <c r="AZ26" i="40" s="1"/>
  <c r="AZ27" i="40" s="1"/>
  <c r="T143" i="10" s="1"/>
  <c r="AA38" i="14"/>
  <c r="AB38" i="14" s="1"/>
  <c r="BV37" i="14"/>
  <c r="BW37" i="14" s="1"/>
  <c r="GD112" i="2"/>
  <c r="BA11" i="40"/>
  <c r="U38" i="14"/>
  <c r="V38" i="14" s="1"/>
  <c r="AJ10" i="40"/>
  <c r="AC12" i="40"/>
  <c r="F112" i="26"/>
  <c r="K112" i="26" s="1"/>
  <c r="BH37" i="14"/>
  <c r="BI37" i="14" s="1"/>
  <c r="F112" i="37"/>
  <c r="K112" i="37" s="1"/>
  <c r="GA112" i="2"/>
  <c r="O38" i="14"/>
  <c r="AB19" i="40"/>
  <c r="AB20" i="40" s="1"/>
  <c r="AB21" i="40" s="1"/>
  <c r="AB22" i="40" s="1"/>
  <c r="AB23" i="40" s="1"/>
  <c r="AB24" i="40" s="1"/>
  <c r="AB25" i="40" s="1"/>
  <c r="AB26" i="40" s="1"/>
  <c r="AB27" i="40" s="1"/>
  <c r="AO38" i="14"/>
  <c r="AP38" i="14" s="1"/>
  <c r="FW113" i="2"/>
  <c r="AI19" i="40"/>
  <c r="AI20" i="40" s="1"/>
  <c r="AI21" i="40" s="1"/>
  <c r="AI22" i="40" s="1"/>
  <c r="AI23" i="40" s="1"/>
  <c r="AI24" i="40" s="1"/>
  <c r="AI25" i="40" s="1"/>
  <c r="AI26" i="40" s="1"/>
  <c r="AI27" i="40" s="1"/>
  <c r="AJ12" i="40"/>
  <c r="AX38" i="14"/>
  <c r="AY38" i="14" s="1"/>
  <c r="AK38" i="14"/>
  <c r="AL38" i="14" s="1"/>
  <c r="FV113" i="2"/>
  <c r="BR38" i="14"/>
  <c r="BS38" i="14" s="1"/>
  <c r="GC113" i="2"/>
  <c r="C37" i="14"/>
  <c r="D37" i="14" s="1"/>
  <c r="BB38" i="14"/>
  <c r="BC38" i="14" s="1"/>
  <c r="AT38" i="14"/>
  <c r="AU38" i="14" s="1"/>
  <c r="L17" i="44"/>
  <c r="L61" i="41"/>
  <c r="AS15" i="40"/>
  <c r="M10" i="40"/>
  <c r="L176" i="51"/>
  <c r="O176" i="51"/>
  <c r="R176" i="51"/>
  <c r="U176" i="51"/>
  <c r="X176" i="51"/>
  <c r="AA176" i="51"/>
  <c r="AD176" i="51"/>
  <c r="X100" i="51"/>
  <c r="F95" i="51"/>
  <c r="F110" i="51" s="1"/>
  <c r="G95" i="51"/>
  <c r="G110" i="51" s="1"/>
  <c r="H95" i="51"/>
  <c r="H110" i="51" s="1"/>
  <c r="I95" i="51"/>
  <c r="I110" i="51" s="1"/>
  <c r="J95" i="51"/>
  <c r="J110" i="51" s="1"/>
  <c r="K95" i="51"/>
  <c r="K110" i="51" s="1"/>
  <c r="L95" i="51"/>
  <c r="L110" i="51" s="1"/>
  <c r="M95" i="51"/>
  <c r="M110" i="51" s="1"/>
  <c r="N95" i="51"/>
  <c r="N110" i="51" s="1"/>
  <c r="O95" i="51"/>
  <c r="O110" i="51" s="1"/>
  <c r="P95" i="51"/>
  <c r="P110" i="51" s="1"/>
  <c r="Q95" i="51"/>
  <c r="Q110" i="51" s="1"/>
  <c r="R95" i="51"/>
  <c r="R110" i="51" s="1"/>
  <c r="S95" i="51"/>
  <c r="S110" i="51" s="1"/>
  <c r="T95" i="51"/>
  <c r="T110" i="51" s="1"/>
  <c r="J176" i="51"/>
  <c r="M176" i="51"/>
  <c r="P176" i="51"/>
  <c r="S176" i="51"/>
  <c r="V176" i="51"/>
  <c r="Y176" i="51"/>
  <c r="AB176" i="51"/>
  <c r="AE176" i="51"/>
  <c r="K176" i="51"/>
  <c r="N176" i="51"/>
  <c r="Q176" i="51"/>
  <c r="T176" i="51"/>
  <c r="W176" i="51"/>
  <c r="Z176" i="51"/>
  <c r="AC176" i="51"/>
  <c r="AF176" i="51"/>
  <c r="G94" i="51"/>
  <c r="G109" i="51" s="1"/>
  <c r="H94" i="51"/>
  <c r="H109" i="51" s="1"/>
  <c r="I94" i="51"/>
  <c r="I109" i="51" s="1"/>
  <c r="J94" i="51"/>
  <c r="J109" i="51" s="1"/>
  <c r="K94" i="51"/>
  <c r="K109" i="51" s="1"/>
  <c r="L94" i="51"/>
  <c r="L109" i="51" s="1"/>
  <c r="M94" i="51"/>
  <c r="M109" i="51" s="1"/>
  <c r="N94" i="51"/>
  <c r="N109" i="51" s="1"/>
  <c r="O94" i="51"/>
  <c r="O109" i="51" s="1"/>
  <c r="P94" i="51"/>
  <c r="P109" i="51" s="1"/>
  <c r="Q94" i="51"/>
  <c r="Q109" i="51" s="1"/>
  <c r="R94" i="51"/>
  <c r="R109" i="51" s="1"/>
  <c r="S94" i="51"/>
  <c r="S109" i="51" s="1"/>
  <c r="T94" i="51"/>
  <c r="T109" i="51" s="1"/>
  <c r="I175" i="51"/>
  <c r="L175" i="51"/>
  <c r="O175" i="51"/>
  <c r="R175" i="51"/>
  <c r="U175" i="51"/>
  <c r="X175" i="51"/>
  <c r="AA175" i="51"/>
  <c r="AD175" i="51"/>
  <c r="J175" i="51"/>
  <c r="M175" i="51"/>
  <c r="P175" i="51"/>
  <c r="S175" i="51"/>
  <c r="V175" i="51"/>
  <c r="Y175" i="51"/>
  <c r="AB175" i="51"/>
  <c r="AE175" i="51"/>
  <c r="Y100" i="51"/>
  <c r="Z100" i="51"/>
  <c r="K175" i="51"/>
  <c r="N175" i="51"/>
  <c r="Q175" i="51"/>
  <c r="T175" i="51"/>
  <c r="W175" i="51"/>
  <c r="Z175" i="51"/>
  <c r="AC175" i="51"/>
  <c r="AF175" i="51"/>
  <c r="J122" i="44"/>
  <c r="D124" i="44"/>
  <c r="F128" i="44"/>
  <c r="D128" i="44"/>
  <c r="E128" i="44"/>
  <c r="G122" i="44"/>
  <c r="E131" i="44"/>
  <c r="C124" i="44"/>
  <c r="H128" i="44"/>
  <c r="C122" i="44"/>
  <c r="K64" i="44"/>
  <c r="F124" i="44"/>
  <c r="K124" i="44"/>
  <c r="F121" i="44"/>
  <c r="E122" i="44"/>
  <c r="F122" i="44"/>
  <c r="E18" i="44"/>
  <c r="G128" i="44"/>
  <c r="K121" i="44"/>
  <c r="E69" i="44"/>
  <c r="D122" i="44"/>
  <c r="I128" i="44"/>
  <c r="D121" i="44"/>
  <c r="C128" i="44"/>
  <c r="H122" i="44"/>
  <c r="I121" i="44"/>
  <c r="H131" i="44"/>
  <c r="F69" i="44"/>
  <c r="K131" i="44"/>
  <c r="I69" i="44"/>
  <c r="K122" i="44"/>
  <c r="E124" i="44"/>
  <c r="G131" i="44"/>
  <c r="F131" i="44"/>
  <c r="D69" i="44"/>
  <c r="G124" i="44"/>
  <c r="E121" i="44"/>
  <c r="J69" i="44"/>
  <c r="I122" i="44"/>
  <c r="D131" i="44"/>
  <c r="H124" i="44"/>
  <c r="J121" i="44"/>
  <c r="C18" i="44"/>
  <c r="K69" i="44"/>
  <c r="C69" i="44"/>
  <c r="G69" i="44"/>
  <c r="K129" i="44"/>
  <c r="G121" i="44"/>
  <c r="I124" i="44"/>
  <c r="C131" i="44"/>
  <c r="H121" i="44"/>
  <c r="I18" i="44"/>
  <c r="G18" i="44"/>
  <c r="J124" i="44"/>
  <c r="D18" i="44"/>
  <c r="H18" i="44"/>
  <c r="J64" i="44"/>
  <c r="H69" i="44"/>
  <c r="F18" i="44"/>
  <c r="C11" i="44"/>
  <c r="C126" i="44" s="1"/>
  <c r="S26" i="22"/>
  <c r="O35" i="21"/>
  <c r="O31" i="21"/>
  <c r="O67" i="21"/>
  <c r="O66" i="21"/>
  <c r="O56" i="21"/>
  <c r="O45" i="21"/>
  <c r="O33" i="21"/>
  <c r="O36" i="21"/>
  <c r="O28" i="21"/>
  <c r="O63" i="21"/>
  <c r="O71" i="21"/>
  <c r="O54" i="21"/>
  <c r="R62" i="22"/>
  <c r="O10" i="21"/>
  <c r="O47" i="21"/>
  <c r="O57" i="21"/>
  <c r="O39" i="21"/>
  <c r="O68" i="21"/>
  <c r="O72" i="21"/>
  <c r="O29" i="21"/>
  <c r="O27" i="21"/>
  <c r="O51" i="21"/>
  <c r="O53" i="21"/>
  <c r="R50" i="22"/>
  <c r="O64" i="21"/>
  <c r="R38" i="22"/>
  <c r="O58" i="21"/>
  <c r="O60" i="21"/>
  <c r="O48" i="21"/>
  <c r="O69" i="21"/>
  <c r="O43" i="21"/>
  <c r="O34" i="21"/>
  <c r="O59" i="21"/>
  <c r="O65" i="21"/>
  <c r="O55" i="21"/>
  <c r="O70" i="21"/>
  <c r="R18" i="22"/>
  <c r="I158" i="30"/>
  <c r="J182" i="28"/>
  <c r="S182" i="28" s="1"/>
  <c r="S134" i="28"/>
  <c r="N122" i="36"/>
  <c r="G158" i="36"/>
  <c r="T122" i="34"/>
  <c r="K158" i="34"/>
  <c r="I158" i="29"/>
  <c r="Q122" i="29"/>
  <c r="J122" i="37"/>
  <c r="E158" i="37"/>
  <c r="O122" i="35"/>
  <c r="G158" i="35"/>
  <c r="P122" i="31"/>
  <c r="H158" i="31"/>
  <c r="FS64" i="2"/>
  <c r="FU100" i="2"/>
  <c r="FR4" i="2"/>
  <c r="FU40" i="2"/>
  <c r="FV52" i="2"/>
  <c r="F89" i="26"/>
  <c r="K89" i="26" s="1"/>
  <c r="F89" i="37"/>
  <c r="K89" i="37" s="1"/>
  <c r="GA89" i="2"/>
  <c r="FW4" i="2"/>
  <c r="FR64" i="2"/>
  <c r="F28" i="26"/>
  <c r="K28" i="26" s="1"/>
  <c r="F28" i="37"/>
  <c r="K28" i="37" s="1"/>
  <c r="GA28" i="2"/>
  <c r="GB28" i="2"/>
  <c r="FX52" i="2"/>
  <c r="GD76" i="2"/>
  <c r="FW28" i="2"/>
  <c r="FX16" i="2"/>
  <c r="FQ28" i="2"/>
  <c r="GC40" i="2"/>
  <c r="FV100" i="2"/>
  <c r="GD16" i="2"/>
  <c r="GC52" i="2"/>
  <c r="FY40" i="2"/>
  <c r="FY64" i="2"/>
  <c r="FR28" i="2"/>
  <c r="FS52" i="2"/>
  <c r="GD64" i="2"/>
  <c r="GB40" i="2"/>
  <c r="GB88" i="2"/>
  <c r="GC4" i="2"/>
  <c r="FQ64" i="2"/>
  <c r="FW100" i="2"/>
  <c r="FW64" i="2"/>
  <c r="F100" i="37"/>
  <c r="K100" i="37" s="1"/>
  <c r="F100" i="26"/>
  <c r="K100" i="26" s="1"/>
  <c r="GA100" i="2"/>
  <c r="FT28" i="2"/>
  <c r="GD88" i="2"/>
  <c r="FW88" i="2"/>
  <c r="AI6" i="40"/>
  <c r="FV4" i="2"/>
  <c r="FT4" i="2"/>
  <c r="FY16" i="2"/>
  <c r="GB4" i="2"/>
  <c r="FS28" i="2"/>
  <c r="FU76" i="2"/>
  <c r="FT64" i="2"/>
  <c r="AG7" i="40"/>
  <c r="GB64" i="2"/>
  <c r="GD100" i="2"/>
  <c r="GC16" i="2"/>
  <c r="FW52" i="2"/>
  <c r="GB16" i="2"/>
  <c r="FV16" i="2"/>
  <c r="FV88" i="2"/>
  <c r="F52" i="37"/>
  <c r="K52" i="37" s="1"/>
  <c r="F52" i="26"/>
  <c r="K52" i="26" s="1"/>
  <c r="GA52" i="2"/>
  <c r="FQ16" i="2"/>
  <c r="GD40" i="2"/>
  <c r="J128" i="44"/>
  <c r="J18" i="44"/>
  <c r="F16" i="37"/>
  <c r="K16" i="37" s="1"/>
  <c r="F16" i="26"/>
  <c r="K16" i="26" s="1"/>
  <c r="GA16" i="2"/>
  <c r="F64" i="26"/>
  <c r="K64" i="26" s="1"/>
  <c r="F64" i="37"/>
  <c r="K64" i="37" s="1"/>
  <c r="GA64" i="2"/>
  <c r="GB52" i="2"/>
  <c r="AS14" i="40"/>
  <c r="GC28" i="2"/>
  <c r="FX64" i="2"/>
  <c r="FV64" i="2"/>
  <c r="GB76" i="2"/>
  <c r="FW16" i="2"/>
  <c r="GB100" i="2"/>
  <c r="FS16" i="2"/>
  <c r="FQ40" i="2"/>
  <c r="FU4" i="2"/>
  <c r="F4" i="26"/>
  <c r="K4" i="26" s="1"/>
  <c r="F4" i="37"/>
  <c r="K4" i="37" s="1"/>
  <c r="GA4" i="2"/>
  <c r="GC88" i="2"/>
  <c r="FV76" i="2"/>
  <c r="GC76" i="2"/>
  <c r="FV40" i="2"/>
  <c r="GC100" i="2"/>
  <c r="FU88" i="2"/>
  <c r="F40" i="37"/>
  <c r="K40" i="37" s="1"/>
  <c r="F40" i="26"/>
  <c r="K40" i="26" s="1"/>
  <c r="GA40" i="2"/>
  <c r="FV28" i="2"/>
  <c r="FT52" i="2"/>
  <c r="FR52" i="2"/>
  <c r="FY52" i="2"/>
  <c r="FR16" i="2"/>
  <c r="FU28" i="2"/>
  <c r="FU52" i="2"/>
  <c r="F76" i="26"/>
  <c r="K76" i="26" s="1"/>
  <c r="F76" i="37"/>
  <c r="K76" i="37" s="1"/>
  <c r="GA76" i="2"/>
  <c r="FW40" i="2"/>
  <c r="GD4" i="2"/>
  <c r="FU64" i="2"/>
  <c r="GC64" i="2"/>
  <c r="K18" i="44"/>
  <c r="K128" i="44"/>
  <c r="FU16" i="2"/>
  <c r="GD52" i="2"/>
  <c r="GD28" i="2"/>
  <c r="FQ52" i="2"/>
  <c r="FW76" i="2"/>
  <c r="FX4" i="2"/>
  <c r="AY6" i="27"/>
  <c r="BA6" i="27" s="1"/>
  <c r="W14" i="24"/>
  <c r="O5" i="27"/>
  <c r="Q5" i="27" s="1"/>
  <c r="U2" i="18"/>
  <c r="V5" i="27"/>
  <c r="X5" i="27" s="1"/>
  <c r="O8" i="27"/>
  <c r="Q8" i="27" s="1"/>
  <c r="Y38" i="23"/>
  <c r="AS8" i="27"/>
  <c r="AU8" i="27" s="1"/>
  <c r="AY7" i="27"/>
  <c r="BA7" i="27" s="1"/>
  <c r="W26" i="24"/>
  <c r="AY10" i="27"/>
  <c r="AY9" i="27"/>
  <c r="AY8" i="27"/>
  <c r="BA8" i="27" s="1"/>
  <c r="W38" i="24"/>
  <c r="O4" i="27"/>
  <c r="S2" i="22"/>
  <c r="O7" i="27"/>
  <c r="Q7" i="27" s="1"/>
  <c r="V7" i="27"/>
  <c r="X7" i="27" s="1"/>
  <c r="AY4" i="27"/>
  <c r="V8" i="27"/>
  <c r="X8" i="27" s="1"/>
  <c r="V6" i="27"/>
  <c r="O6" i="27"/>
  <c r="Q6" i="27" s="1"/>
  <c r="AS4" i="27"/>
  <c r="O2" i="21"/>
  <c r="AS5" i="27"/>
  <c r="AU5" i="27" s="1"/>
  <c r="Y2" i="23"/>
  <c r="AS6" i="27"/>
  <c r="AU6" i="27" s="1"/>
  <c r="Y26" i="23"/>
  <c r="AS7" i="27"/>
  <c r="AU7" i="27" s="1"/>
  <c r="AY5" i="27"/>
  <c r="BA5" i="27" s="1"/>
  <c r="W2" i="24"/>
  <c r="AO4" i="7"/>
  <c r="AN4" i="7"/>
  <c r="X5" i="7"/>
  <c r="W5" i="7"/>
  <c r="T5" i="7"/>
  <c r="T23" i="7" s="1"/>
  <c r="V5" i="7"/>
  <c r="U5" i="7"/>
  <c r="Y5" i="7"/>
  <c r="X8" i="7"/>
  <c r="Y8" i="7"/>
  <c r="W8" i="7"/>
  <c r="E62" i="7" s="1"/>
  <c r="V8" i="7"/>
  <c r="T8" i="7"/>
  <c r="T26" i="7" s="1"/>
  <c r="U8" i="7"/>
  <c r="W4" i="7"/>
  <c r="E58" i="7" s="1"/>
  <c r="V4" i="7"/>
  <c r="Y4" i="7"/>
  <c r="U4" i="7"/>
  <c r="T4" i="7"/>
  <c r="X4" i="7"/>
  <c r="AJ4" i="7"/>
  <c r="AK4" i="7"/>
  <c r="AL4" i="7"/>
  <c r="AI4" i="7"/>
  <c r="AH4" i="7"/>
  <c r="AM4" i="7"/>
  <c r="W6" i="7"/>
  <c r="T6" i="7"/>
  <c r="T24" i="7" s="1"/>
  <c r="Y6" i="7"/>
  <c r="V6" i="7"/>
  <c r="U6" i="7"/>
  <c r="X6" i="7"/>
  <c r="U7" i="7"/>
  <c r="Y7" i="7"/>
  <c r="T7" i="7"/>
  <c r="T25" i="7" s="1"/>
  <c r="X7" i="7"/>
  <c r="V7" i="7"/>
  <c r="W7" i="7"/>
  <c r="X46" i="5"/>
  <c r="K51" i="2" s="1"/>
  <c r="W42" i="5"/>
  <c r="E4" i="2" s="1"/>
  <c r="W46" i="5"/>
  <c r="X47" i="5"/>
  <c r="K66" i="2" s="1"/>
  <c r="X42" i="5"/>
  <c r="X44" i="5"/>
  <c r="K35" i="2" s="1"/>
  <c r="X43" i="5"/>
  <c r="K17" i="2" s="1"/>
  <c r="X45" i="5"/>
  <c r="K39" i="2" s="1"/>
  <c r="W44" i="5"/>
  <c r="E33" i="2" s="1"/>
  <c r="W45" i="5"/>
  <c r="E49" i="2" s="1"/>
  <c r="W47" i="5"/>
  <c r="E67" i="2" s="1"/>
  <c r="W19" i="60" l="1"/>
  <c r="W20" i="60" s="1"/>
  <c r="M19" i="60"/>
  <c r="E6" i="73"/>
  <c r="F6" i="73"/>
  <c r="C6" i="73"/>
  <c r="F186" i="51"/>
  <c r="M117" i="51"/>
  <c r="E90" i="7"/>
  <c r="AK32" i="7"/>
  <c r="G90" i="7"/>
  <c r="AM32" i="7"/>
  <c r="AK22" i="7"/>
  <c r="H81" i="7"/>
  <c r="AN23" i="7"/>
  <c r="G81" i="7"/>
  <c r="AM23" i="7"/>
  <c r="F81" i="7"/>
  <c r="AL23" i="7"/>
  <c r="E81" i="7"/>
  <c r="AK23" i="7"/>
  <c r="AJ22" i="7"/>
  <c r="AN22" i="7"/>
  <c r="AJ23" i="7"/>
  <c r="AL22" i="7"/>
  <c r="AO22" i="7"/>
  <c r="AP5" i="7"/>
  <c r="AO23" i="7"/>
  <c r="AJ32" i="7"/>
  <c r="AP14" i="7"/>
  <c r="AO32" i="7"/>
  <c r="AM22" i="7"/>
  <c r="H90" i="7"/>
  <c r="AN32" i="7"/>
  <c r="F90" i="7"/>
  <c r="AL32" i="7"/>
  <c r="X6" i="27"/>
  <c r="O204" i="33"/>
  <c r="Q204" i="33" s="1"/>
  <c r="O181" i="33"/>
  <c r="Q181" i="33" s="1"/>
  <c r="BF20" i="39" s="1"/>
  <c r="K181" i="32"/>
  <c r="M181" i="32" s="1"/>
  <c r="AU20" i="39" s="1"/>
  <c r="F205" i="33"/>
  <c r="L205" i="33" s="1"/>
  <c r="L193" i="33"/>
  <c r="E205" i="32"/>
  <c r="I205" i="32" s="1"/>
  <c r="I193" i="32"/>
  <c r="S205" i="31"/>
  <c r="K192" i="32"/>
  <c r="M192" i="32" s="1"/>
  <c r="K204" i="32"/>
  <c r="M204" i="32" s="1"/>
  <c r="O192" i="33"/>
  <c r="Q192" i="33" s="1"/>
  <c r="FD28" i="3"/>
  <c r="FD124" i="3"/>
  <c r="FD52" i="3"/>
  <c r="FD64" i="3"/>
  <c r="FD40" i="3"/>
  <c r="FD88" i="3"/>
  <c r="FD112" i="3"/>
  <c r="FD76" i="3"/>
  <c r="FD101" i="3"/>
  <c r="FD16" i="3"/>
  <c r="P38" i="14"/>
  <c r="EZ40" i="3"/>
  <c r="EX64" i="3"/>
  <c r="EZ64" i="3"/>
  <c r="FB28" i="3"/>
  <c r="FB16" i="3"/>
  <c r="EX52" i="3"/>
  <c r="FA64" i="3"/>
  <c r="EY52" i="3"/>
  <c r="EW64" i="3"/>
  <c r="FA76" i="3"/>
  <c r="EZ16" i="3"/>
  <c r="EY76" i="3"/>
  <c r="EW16" i="3"/>
  <c r="FA52" i="3"/>
  <c r="EW52" i="3"/>
  <c r="EZ76" i="3"/>
  <c r="EY28" i="3"/>
  <c r="EW76" i="3"/>
  <c r="EY64" i="3"/>
  <c r="FA40" i="3"/>
  <c r="EW40" i="3"/>
  <c r="FA28" i="3"/>
  <c r="EY40" i="3"/>
  <c r="FB76" i="3"/>
  <c r="EX76" i="3"/>
  <c r="EX28" i="3"/>
  <c r="FB52" i="3"/>
  <c r="EZ28" i="3"/>
  <c r="EX16" i="3"/>
  <c r="FA16" i="3"/>
  <c r="FB64" i="3"/>
  <c r="EX40" i="3"/>
  <c r="EW28" i="3"/>
  <c r="EY16" i="3"/>
  <c r="FB40" i="3"/>
  <c r="AL7" i="39"/>
  <c r="AN7" i="39" s="1"/>
  <c r="AO7" i="39"/>
  <c r="L7" i="40"/>
  <c r="I133" i="44"/>
  <c r="T147" i="10"/>
  <c r="S143" i="10"/>
  <c r="M20" i="60"/>
  <c r="M52" i="37"/>
  <c r="O52" i="37" s="1"/>
  <c r="M89" i="26"/>
  <c r="O89" i="26" s="1"/>
  <c r="M121" i="26"/>
  <c r="O121" i="26" s="1"/>
  <c r="M28" i="37"/>
  <c r="O28" i="37" s="1"/>
  <c r="M28" i="26"/>
  <c r="O28" i="26" s="1"/>
  <c r="M4" i="37"/>
  <c r="O4" i="37" s="1"/>
  <c r="M89" i="37"/>
  <c r="O89" i="37" s="1"/>
  <c r="M4" i="26"/>
  <c r="O4" i="26" s="1"/>
  <c r="M100" i="26"/>
  <c r="O100" i="26" s="1"/>
  <c r="M40" i="26"/>
  <c r="O40" i="26" s="1"/>
  <c r="M100" i="37"/>
  <c r="M112" i="26"/>
  <c r="O112" i="26" s="1"/>
  <c r="M64" i="37"/>
  <c r="O64" i="37" s="1"/>
  <c r="M40" i="37"/>
  <c r="O40" i="37" s="1"/>
  <c r="M52" i="26"/>
  <c r="O52" i="26" s="1"/>
  <c r="M16" i="26"/>
  <c r="O16" i="26" s="1"/>
  <c r="M16" i="37"/>
  <c r="O16" i="37" s="1"/>
  <c r="M64" i="26"/>
  <c r="O64" i="26" s="1"/>
  <c r="M99" i="37"/>
  <c r="O99" i="37" s="1"/>
  <c r="M76" i="37"/>
  <c r="O76" i="37" s="1"/>
  <c r="M110" i="26"/>
  <c r="O110" i="26" s="1"/>
  <c r="M76" i="26"/>
  <c r="O76" i="26" s="1"/>
  <c r="S99" i="31"/>
  <c r="S102" i="31"/>
  <c r="S98" i="31"/>
  <c r="S108" i="31"/>
  <c r="S100" i="31"/>
  <c r="S105" i="31"/>
  <c r="S103" i="31"/>
  <c r="S122" i="31"/>
  <c r="S109" i="31"/>
  <c r="S104" i="31"/>
  <c r="S106" i="31"/>
  <c r="S101" i="31"/>
  <c r="S107" i="31"/>
  <c r="U14" i="18"/>
  <c r="G38" i="14"/>
  <c r="H38" i="14" s="1"/>
  <c r="AI7" i="40"/>
  <c r="AJ9" i="40" s="1"/>
  <c r="AK7" i="40"/>
  <c r="F49" i="2"/>
  <c r="F67" i="2"/>
  <c r="F33" i="2"/>
  <c r="R56" i="22"/>
  <c r="S56" i="22" s="1"/>
  <c r="R24" i="22"/>
  <c r="S24" i="22" s="1"/>
  <c r="R29" i="22"/>
  <c r="S29" i="22" s="1"/>
  <c r="R28" i="22"/>
  <c r="S28" i="22" s="1"/>
  <c r="R5" i="22"/>
  <c r="S5" i="22" s="1"/>
  <c r="R19" i="22"/>
  <c r="S19" i="22" s="1"/>
  <c r="R47" i="22"/>
  <c r="S47" i="22" s="1"/>
  <c r="R59" i="22"/>
  <c r="S59" i="22" s="1"/>
  <c r="R55" i="22"/>
  <c r="S55" i="22" s="1"/>
  <c r="R68" i="22"/>
  <c r="S68" i="22" s="1"/>
  <c r="R72" i="22"/>
  <c r="S72" i="22" s="1"/>
  <c r="R51" i="22"/>
  <c r="S51" i="22" s="1"/>
  <c r="R7" i="22"/>
  <c r="S7" i="22" s="1"/>
  <c r="R39" i="22"/>
  <c r="S39" i="22" s="1"/>
  <c r="R12" i="22"/>
  <c r="S12" i="22" s="1"/>
  <c r="R44" i="22"/>
  <c r="S44" i="22" s="1"/>
  <c r="R22" i="22"/>
  <c r="S22" i="22" s="1"/>
  <c r="R20" i="22"/>
  <c r="S20" i="22" s="1"/>
  <c r="R41" i="22"/>
  <c r="S41" i="22" s="1"/>
  <c r="R11" i="22"/>
  <c r="S11" i="22" s="1"/>
  <c r="R42" i="22"/>
  <c r="S42" i="22" s="1"/>
  <c r="R16" i="22"/>
  <c r="S16" i="22" s="1"/>
  <c r="R69" i="22"/>
  <c r="S69" i="22" s="1"/>
  <c r="R4" i="22"/>
  <c r="S4" i="22" s="1"/>
  <c r="R15" i="22"/>
  <c r="S15" i="22" s="1"/>
  <c r="R36" i="22"/>
  <c r="S36" i="22" s="1"/>
  <c r="R27" i="22"/>
  <c r="S27" i="22" s="1"/>
  <c r="R52" i="22"/>
  <c r="S52" i="22" s="1"/>
  <c r="R57" i="22"/>
  <c r="S57" i="22" s="1"/>
  <c r="R9" i="22"/>
  <c r="S9" i="22" s="1"/>
  <c r="R67" i="22"/>
  <c r="S67" i="22" s="1"/>
  <c r="R30" i="22"/>
  <c r="S30" i="22" s="1"/>
  <c r="R3" i="22"/>
  <c r="S3" i="22" s="1"/>
  <c r="R32" i="22"/>
  <c r="S32" i="22" s="1"/>
  <c r="R46" i="22"/>
  <c r="S46" i="22" s="1"/>
  <c r="R70" i="22"/>
  <c r="S70" i="22" s="1"/>
  <c r="R64" i="22"/>
  <c r="S64" i="22" s="1"/>
  <c r="R23" i="22"/>
  <c r="S23" i="22" s="1"/>
  <c r="R58" i="22"/>
  <c r="S58" i="22" s="1"/>
  <c r="R45" i="22"/>
  <c r="S45" i="22" s="1"/>
  <c r="R66" i="22"/>
  <c r="S66" i="22" s="1"/>
  <c r="R35" i="22"/>
  <c r="S35" i="22" s="1"/>
  <c r="R54" i="22"/>
  <c r="S54" i="22" s="1"/>
  <c r="R65" i="22"/>
  <c r="S65" i="22" s="1"/>
  <c r="R10" i="22"/>
  <c r="S10" i="22" s="1"/>
  <c r="R53" i="22"/>
  <c r="S53" i="22" s="1"/>
  <c r="R43" i="22"/>
  <c r="S43" i="22" s="1"/>
  <c r="R8" i="22"/>
  <c r="S8" i="22" s="1"/>
  <c r="R31" i="22"/>
  <c r="S31" i="22" s="1"/>
  <c r="R60" i="22"/>
  <c r="S60" i="22" s="1"/>
  <c r="R17" i="22"/>
  <c r="S17" i="22" s="1"/>
  <c r="K117" i="51"/>
  <c r="G95" i="2" s="1"/>
  <c r="G112" i="2"/>
  <c r="N117" i="51"/>
  <c r="P117" i="51"/>
  <c r="S117" i="51"/>
  <c r="V190" i="28" s="1"/>
  <c r="T117" i="51"/>
  <c r="V196" i="28" s="1"/>
  <c r="O117" i="51"/>
  <c r="V145" i="28" s="1"/>
  <c r="F117" i="51"/>
  <c r="R117" i="51"/>
  <c r="V180" i="28" s="1"/>
  <c r="H117" i="51"/>
  <c r="G61" i="2" s="1"/>
  <c r="J117" i="51"/>
  <c r="G78" i="2" s="1"/>
  <c r="Q117" i="51"/>
  <c r="V160" i="28" s="1"/>
  <c r="I117" i="51"/>
  <c r="G73" i="2" s="1"/>
  <c r="L117" i="51"/>
  <c r="G98" i="2" s="1"/>
  <c r="G117" i="51"/>
  <c r="G118" i="51"/>
  <c r="M48" i="2" s="1"/>
  <c r="H118" i="51"/>
  <c r="M61" i="2" s="1"/>
  <c r="I118" i="51"/>
  <c r="M66" i="2" s="1"/>
  <c r="L118" i="51"/>
  <c r="M105" i="2" s="1"/>
  <c r="K118" i="51"/>
  <c r="M91" i="2" s="1"/>
  <c r="P118" i="51"/>
  <c r="N118" i="51"/>
  <c r="Q118" i="51"/>
  <c r="R118" i="51"/>
  <c r="O118" i="51"/>
  <c r="S118" i="51"/>
  <c r="T118" i="51"/>
  <c r="J118" i="51"/>
  <c r="M75" i="2" s="1"/>
  <c r="M118" i="51"/>
  <c r="M117" i="2" s="1"/>
  <c r="F118" i="51"/>
  <c r="M26" i="2" s="1"/>
  <c r="F14" i="2"/>
  <c r="U22" i="7"/>
  <c r="V22" i="7"/>
  <c r="AJ83" i="7"/>
  <c r="AH83" i="7"/>
  <c r="AI83" i="7"/>
  <c r="AG83" i="7"/>
  <c r="F80" i="7"/>
  <c r="J90" i="7"/>
  <c r="E80" i="7"/>
  <c r="X32" i="7"/>
  <c r="H80" i="7"/>
  <c r="V32" i="7"/>
  <c r="G80" i="7"/>
  <c r="J64" i="7"/>
  <c r="T83" i="7" s="1"/>
  <c r="Y24" i="7"/>
  <c r="Y32" i="7"/>
  <c r="W32" i="7"/>
  <c r="T22" i="7"/>
  <c r="T9" i="7"/>
  <c r="T51" i="7" s="1"/>
  <c r="H128" i="5" s="1"/>
  <c r="AB11" i="5" s="1"/>
  <c r="AB9" i="7"/>
  <c r="Z9" i="7"/>
  <c r="U9" i="7"/>
  <c r="AC9" i="7"/>
  <c r="AA9" i="7"/>
  <c r="AD9" i="7"/>
  <c r="AD18" i="7" s="1"/>
  <c r="V9" i="7"/>
  <c r="V49" i="7" s="1"/>
  <c r="W9" i="7"/>
  <c r="W48" i="7" s="1"/>
  <c r="C9" i="8" s="1"/>
  <c r="X9" i="7"/>
  <c r="X49" i="7" s="1"/>
  <c r="F10" i="8" s="1"/>
  <c r="Y9" i="7"/>
  <c r="Y49" i="7" s="1"/>
  <c r="I10" i="8" s="1"/>
  <c r="X24" i="7"/>
  <c r="Z32" i="7"/>
  <c r="D68" i="7"/>
  <c r="U32" i="7"/>
  <c r="C68" i="7"/>
  <c r="E68" i="7"/>
  <c r="AA32" i="7"/>
  <c r="H68" i="7"/>
  <c r="AI32" i="7"/>
  <c r="AH32" i="7"/>
  <c r="G68" i="7"/>
  <c r="F68" i="7"/>
  <c r="AC24" i="40"/>
  <c r="AC25" i="40"/>
  <c r="AC22" i="40"/>
  <c r="AC21" i="40"/>
  <c r="AC27" i="40"/>
  <c r="AC26" i="40"/>
  <c r="AC23" i="40"/>
  <c r="AC20" i="40"/>
  <c r="BA24" i="40"/>
  <c r="BA19" i="40"/>
  <c r="BA25" i="40"/>
  <c r="BA22" i="40"/>
  <c r="R100" i="51"/>
  <c r="AC19" i="40"/>
  <c r="T100" i="51"/>
  <c r="S100" i="51"/>
  <c r="S122" i="35"/>
  <c r="BA21" i="40"/>
  <c r="BA20" i="40"/>
  <c r="H173" i="31"/>
  <c r="P173" i="31" s="1"/>
  <c r="P137" i="31"/>
  <c r="S99" i="35"/>
  <c r="U128" i="28"/>
  <c r="N121" i="36"/>
  <c r="G157" i="36"/>
  <c r="P119" i="30"/>
  <c r="I155" i="30"/>
  <c r="P142" i="30"/>
  <c r="I178" i="30"/>
  <c r="P178" i="30" s="1"/>
  <c r="S112" i="28"/>
  <c r="J160" i="28"/>
  <c r="S160" i="28" s="1"/>
  <c r="I170" i="29"/>
  <c r="Q170" i="29" s="1"/>
  <c r="Q134" i="29"/>
  <c r="H177" i="31"/>
  <c r="P177" i="31" s="1"/>
  <c r="P141" i="31"/>
  <c r="I171" i="30"/>
  <c r="P171" i="30" s="1"/>
  <c r="P135" i="30"/>
  <c r="K175" i="34"/>
  <c r="T175" i="34" s="1"/>
  <c r="T139" i="34"/>
  <c r="O109" i="37"/>
  <c r="J199" i="28"/>
  <c r="S199" i="28" s="1"/>
  <c r="S151" i="28"/>
  <c r="G176" i="35"/>
  <c r="O176" i="35" s="1"/>
  <c r="O140" i="35"/>
  <c r="Q102" i="30"/>
  <c r="P113" i="30"/>
  <c r="I149" i="30"/>
  <c r="U176" i="28"/>
  <c r="T119" i="34"/>
  <c r="K155" i="34"/>
  <c r="Q106" i="30"/>
  <c r="P114" i="31"/>
  <c r="H150" i="31"/>
  <c r="P117" i="30"/>
  <c r="I153" i="30"/>
  <c r="H181" i="31"/>
  <c r="P181" i="31" s="1"/>
  <c r="P145" i="31"/>
  <c r="E175" i="37"/>
  <c r="J175" i="37" s="1"/>
  <c r="J139" i="37"/>
  <c r="S98" i="29"/>
  <c r="Q99" i="30"/>
  <c r="P110" i="31"/>
  <c r="H146" i="31"/>
  <c r="U103" i="34"/>
  <c r="I180" i="29"/>
  <c r="Q180" i="29" s="1"/>
  <c r="Q144" i="29"/>
  <c r="H178" i="31"/>
  <c r="P178" i="31" s="1"/>
  <c r="P142" i="31"/>
  <c r="H171" i="31"/>
  <c r="P171" i="31" s="1"/>
  <c r="P135" i="31"/>
  <c r="S104" i="35"/>
  <c r="Q113" i="29"/>
  <c r="I149" i="29"/>
  <c r="Q116" i="29"/>
  <c r="I152" i="29"/>
  <c r="J205" i="28"/>
  <c r="S205" i="28" s="1"/>
  <c r="S157" i="28"/>
  <c r="P120" i="30"/>
  <c r="I156" i="30"/>
  <c r="Q183" i="36"/>
  <c r="N119" i="36"/>
  <c r="G155" i="36"/>
  <c r="J204" i="28"/>
  <c r="S204" i="28" s="1"/>
  <c r="S156" i="28"/>
  <c r="T114" i="34"/>
  <c r="K150" i="34"/>
  <c r="J117" i="37"/>
  <c r="E153" i="37"/>
  <c r="G180" i="36"/>
  <c r="N180" i="36" s="1"/>
  <c r="N144" i="36"/>
  <c r="J203" i="28"/>
  <c r="S203" i="28" s="1"/>
  <c r="S155" i="28"/>
  <c r="G178" i="36"/>
  <c r="N178" i="36" s="1"/>
  <c r="N142" i="36"/>
  <c r="P110" i="30"/>
  <c r="I146" i="30"/>
  <c r="J137" i="37"/>
  <c r="E173" i="37"/>
  <c r="J173" i="37" s="1"/>
  <c r="E178" i="37"/>
  <c r="J178" i="37" s="1"/>
  <c r="J142" i="37"/>
  <c r="S108" i="29"/>
  <c r="S118" i="28"/>
  <c r="J166" i="28"/>
  <c r="S166" i="28" s="1"/>
  <c r="J194" i="28"/>
  <c r="S194" i="28" s="1"/>
  <c r="S146" i="28"/>
  <c r="P113" i="31"/>
  <c r="H149" i="31"/>
  <c r="U122" i="28"/>
  <c r="U109" i="28"/>
  <c r="N120" i="36"/>
  <c r="G156" i="36"/>
  <c r="Q147" i="36"/>
  <c r="I177" i="30"/>
  <c r="P177" i="30" s="1"/>
  <c r="P141" i="30"/>
  <c r="P121" i="30"/>
  <c r="I157" i="30"/>
  <c r="J119" i="37"/>
  <c r="E155" i="37"/>
  <c r="U108" i="28"/>
  <c r="N114" i="36"/>
  <c r="G150" i="36"/>
  <c r="H179" i="31"/>
  <c r="P179" i="31" s="1"/>
  <c r="P143" i="31"/>
  <c r="Q108" i="36"/>
  <c r="T112" i="34"/>
  <c r="K148" i="34"/>
  <c r="U107" i="28"/>
  <c r="Q98" i="30"/>
  <c r="Q106" i="36"/>
  <c r="H170" i="31"/>
  <c r="P170" i="31" s="1"/>
  <c r="P134" i="31"/>
  <c r="Q118" i="29"/>
  <c r="I154" i="29"/>
  <c r="U98" i="28"/>
  <c r="J202" i="28"/>
  <c r="S202" i="28" s="1"/>
  <c r="S154" i="28"/>
  <c r="U170" i="28"/>
  <c r="Q100" i="51"/>
  <c r="E176" i="37"/>
  <c r="J176" i="37" s="1"/>
  <c r="J140" i="37"/>
  <c r="G174" i="35"/>
  <c r="O174" i="35" s="1"/>
  <c r="O138" i="35"/>
  <c r="Q105" i="30"/>
  <c r="O121" i="35"/>
  <c r="G157" i="35"/>
  <c r="O119" i="35"/>
  <c r="G155" i="35"/>
  <c r="E171" i="37"/>
  <c r="J171" i="37" s="1"/>
  <c r="J135" i="37"/>
  <c r="I170" i="30"/>
  <c r="P170" i="30" s="1"/>
  <c r="P134" i="30"/>
  <c r="U125" i="28"/>
  <c r="U101" i="28"/>
  <c r="S110" i="28"/>
  <c r="J158" i="28"/>
  <c r="S158" i="28" s="1"/>
  <c r="U132" i="28"/>
  <c r="T115" i="34"/>
  <c r="K151" i="34"/>
  <c r="H172" i="31"/>
  <c r="P172" i="31" s="1"/>
  <c r="P136" i="31"/>
  <c r="P118" i="30"/>
  <c r="I154" i="30"/>
  <c r="U106" i="28"/>
  <c r="S116" i="28"/>
  <c r="J164" i="28"/>
  <c r="S164" i="28" s="1"/>
  <c r="S107" i="35"/>
  <c r="P100" i="51"/>
  <c r="S102" i="35"/>
  <c r="Q145" i="29"/>
  <c r="I181" i="29"/>
  <c r="Q181" i="29" s="1"/>
  <c r="S121" i="28"/>
  <c r="J169" i="28"/>
  <c r="S169" i="28" s="1"/>
  <c r="H176" i="31"/>
  <c r="P176" i="31" s="1"/>
  <c r="P140" i="31"/>
  <c r="Q117" i="29"/>
  <c r="I153" i="29"/>
  <c r="I179" i="29"/>
  <c r="Q179" i="29" s="1"/>
  <c r="Q143" i="29"/>
  <c r="P112" i="30"/>
  <c r="I148" i="30"/>
  <c r="U173" i="28"/>
  <c r="J197" i="28"/>
  <c r="S197" i="28" s="1"/>
  <c r="S149" i="28"/>
  <c r="U180" i="28"/>
  <c r="P115" i="31"/>
  <c r="H151" i="31"/>
  <c r="I177" i="29"/>
  <c r="Q177" i="29" s="1"/>
  <c r="Q141" i="29"/>
  <c r="T116" i="34"/>
  <c r="K152" i="34"/>
  <c r="G179" i="35"/>
  <c r="O179" i="35" s="1"/>
  <c r="O143" i="35"/>
  <c r="U122" i="34"/>
  <c r="O120" i="35"/>
  <c r="G156" i="35"/>
  <c r="O141" i="35"/>
  <c r="G177" i="35"/>
  <c r="O177" i="35" s="1"/>
  <c r="N136" i="36"/>
  <c r="G172" i="36"/>
  <c r="N172" i="36" s="1"/>
  <c r="S109" i="29"/>
  <c r="T121" i="34"/>
  <c r="K157" i="34"/>
  <c r="P119" i="31"/>
  <c r="H155" i="31"/>
  <c r="N117" i="36"/>
  <c r="G153" i="36"/>
  <c r="N135" i="36"/>
  <c r="G171" i="36"/>
  <c r="N171" i="36" s="1"/>
  <c r="S107" i="29"/>
  <c r="K174" i="34"/>
  <c r="T174" i="34" s="1"/>
  <c r="T138" i="34"/>
  <c r="U108" i="34"/>
  <c r="J143" i="37"/>
  <c r="E179" i="37"/>
  <c r="J179" i="37" s="1"/>
  <c r="N145" i="36"/>
  <c r="G181" i="36"/>
  <c r="N181" i="36" s="1"/>
  <c r="P139" i="31"/>
  <c r="H175" i="31"/>
  <c r="P175" i="31" s="1"/>
  <c r="J118" i="37"/>
  <c r="E154" i="37"/>
  <c r="G172" i="35"/>
  <c r="O172" i="35" s="1"/>
  <c r="O136" i="35"/>
  <c r="S105" i="29"/>
  <c r="O116" i="35"/>
  <c r="G152" i="35"/>
  <c r="E174" i="37"/>
  <c r="J174" i="37" s="1"/>
  <c r="J138" i="37"/>
  <c r="J120" i="37"/>
  <c r="E156" i="37"/>
  <c r="S105" i="35"/>
  <c r="Q100" i="36"/>
  <c r="G170" i="36"/>
  <c r="N170" i="36" s="1"/>
  <c r="N134" i="36"/>
  <c r="J121" i="37"/>
  <c r="M121" i="37" s="1"/>
  <c r="E157" i="37"/>
  <c r="S119" i="28"/>
  <c r="J167" i="28"/>
  <c r="S167" i="28" s="1"/>
  <c r="O98" i="37"/>
  <c r="Q99" i="36"/>
  <c r="Q135" i="29"/>
  <c r="I171" i="29"/>
  <c r="Q171" i="29" s="1"/>
  <c r="U102" i="34"/>
  <c r="J110" i="37"/>
  <c r="M110" i="37" s="1"/>
  <c r="E146" i="37"/>
  <c r="K180" i="34"/>
  <c r="T180" i="34" s="1"/>
  <c r="T144" i="34"/>
  <c r="Q109" i="36"/>
  <c r="S100" i="35"/>
  <c r="S113" i="28"/>
  <c r="J161" i="28"/>
  <c r="S161" i="28" s="1"/>
  <c r="O137" i="35"/>
  <c r="G173" i="35"/>
  <c r="O173" i="35" s="1"/>
  <c r="J116" i="37"/>
  <c r="E152" i="37"/>
  <c r="Q122" i="36"/>
  <c r="K170" i="34"/>
  <c r="T170" i="34" s="1"/>
  <c r="T134" i="34"/>
  <c r="G170" i="35"/>
  <c r="O170" i="35" s="1"/>
  <c r="O134" i="35"/>
  <c r="G178" i="35"/>
  <c r="O178" i="35" s="1"/>
  <c r="O142" i="35"/>
  <c r="Q98" i="36"/>
  <c r="E170" i="37"/>
  <c r="J170" i="37" s="1"/>
  <c r="J134" i="37"/>
  <c r="S117" i="28"/>
  <c r="J165" i="28"/>
  <c r="S165" i="28" s="1"/>
  <c r="S99" i="29"/>
  <c r="P112" i="31"/>
  <c r="H148" i="31"/>
  <c r="S101" i="29"/>
  <c r="I172" i="30"/>
  <c r="P172" i="30" s="1"/>
  <c r="P136" i="30"/>
  <c r="BO2" i="2"/>
  <c r="AA15" i="3"/>
  <c r="O110" i="35"/>
  <c r="G146" i="35"/>
  <c r="H180" i="31"/>
  <c r="P180" i="31" s="1"/>
  <c r="P144" i="31"/>
  <c r="N115" i="36"/>
  <c r="G151" i="36"/>
  <c r="G181" i="35"/>
  <c r="O181" i="35" s="1"/>
  <c r="O145" i="35"/>
  <c r="N118" i="36"/>
  <c r="G154" i="36"/>
  <c r="Q103" i="36"/>
  <c r="I176" i="30"/>
  <c r="P176" i="30" s="1"/>
  <c r="P140" i="30"/>
  <c r="N113" i="36"/>
  <c r="G149" i="36"/>
  <c r="S101" i="35"/>
  <c r="K178" i="34"/>
  <c r="T178" i="34" s="1"/>
  <c r="T142" i="34"/>
  <c r="U98" i="34"/>
  <c r="S98" i="35"/>
  <c r="S106" i="35"/>
  <c r="Q121" i="29"/>
  <c r="I157" i="29"/>
  <c r="S102" i="29"/>
  <c r="G173" i="36"/>
  <c r="N173" i="36" s="1"/>
  <c r="N137" i="36"/>
  <c r="H174" i="31"/>
  <c r="P174" i="31" s="1"/>
  <c r="P138" i="31"/>
  <c r="U131" i="28"/>
  <c r="O112" i="35"/>
  <c r="G148" i="35"/>
  <c r="Q137" i="29"/>
  <c r="I173" i="29"/>
  <c r="Q173" i="29" s="1"/>
  <c r="Q100" i="30"/>
  <c r="U124" i="28"/>
  <c r="T143" i="34"/>
  <c r="K179" i="34"/>
  <c r="T179" i="34" s="1"/>
  <c r="P137" i="30"/>
  <c r="I173" i="30"/>
  <c r="P173" i="30" s="1"/>
  <c r="S109" i="35"/>
  <c r="T118" i="34"/>
  <c r="K154" i="34"/>
  <c r="G175" i="36"/>
  <c r="N175" i="36" s="1"/>
  <c r="N139" i="36"/>
  <c r="Q104" i="30"/>
  <c r="T113" i="34"/>
  <c r="K149" i="34"/>
  <c r="T145" i="34"/>
  <c r="K181" i="34"/>
  <c r="T181" i="34" s="1"/>
  <c r="U106" i="34"/>
  <c r="P121" i="31"/>
  <c r="H157" i="31"/>
  <c r="I174" i="29"/>
  <c r="Q174" i="29" s="1"/>
  <c r="Q138" i="29"/>
  <c r="Q107" i="36"/>
  <c r="J114" i="37"/>
  <c r="E150" i="37"/>
  <c r="Q101" i="36"/>
  <c r="P117" i="31"/>
  <c r="H153" i="31"/>
  <c r="I175" i="29"/>
  <c r="Q175" i="29" s="1"/>
  <c r="Q139" i="29"/>
  <c r="U179" i="28"/>
  <c r="Q112" i="29"/>
  <c r="I148" i="29"/>
  <c r="Q105" i="36"/>
  <c r="G175" i="35"/>
  <c r="O175" i="35" s="1"/>
  <c r="O139" i="35"/>
  <c r="U172" i="28"/>
  <c r="U107" i="34"/>
  <c r="Q110" i="29"/>
  <c r="I146" i="29"/>
  <c r="U129" i="28"/>
  <c r="Q101" i="30"/>
  <c r="G180" i="35"/>
  <c r="O180" i="35" s="1"/>
  <c r="O144" i="35"/>
  <c r="I178" i="29"/>
  <c r="Q178" i="29" s="1"/>
  <c r="Q142" i="29"/>
  <c r="J113" i="37"/>
  <c r="E149" i="37"/>
  <c r="U109" i="34"/>
  <c r="P116" i="30"/>
  <c r="I152" i="30"/>
  <c r="S120" i="28"/>
  <c r="J168" i="28"/>
  <c r="S168" i="28" s="1"/>
  <c r="U133" i="28"/>
  <c r="U130" i="28"/>
  <c r="N143" i="36"/>
  <c r="G179" i="36"/>
  <c r="N179" i="36" s="1"/>
  <c r="Q114" i="29"/>
  <c r="I150" i="29"/>
  <c r="J141" i="37"/>
  <c r="E177" i="37"/>
  <c r="J177" i="37" s="1"/>
  <c r="T117" i="34"/>
  <c r="K153" i="34"/>
  <c r="S103" i="29"/>
  <c r="G174" i="36"/>
  <c r="N174" i="36" s="1"/>
  <c r="N138" i="36"/>
  <c r="G177" i="36"/>
  <c r="N177" i="36" s="1"/>
  <c r="N141" i="36"/>
  <c r="S103" i="35"/>
  <c r="J196" i="28"/>
  <c r="S196" i="28" s="1"/>
  <c r="S148" i="28"/>
  <c r="T110" i="34"/>
  <c r="K146" i="34"/>
  <c r="U177" i="28"/>
  <c r="J201" i="28"/>
  <c r="S201" i="28" s="1"/>
  <c r="S153" i="28"/>
  <c r="U102" i="28"/>
  <c r="I176" i="29"/>
  <c r="Q176" i="29" s="1"/>
  <c r="Q140" i="29"/>
  <c r="Q115" i="29"/>
  <c r="I151" i="29"/>
  <c r="S108" i="35"/>
  <c r="S106" i="29"/>
  <c r="E180" i="37"/>
  <c r="J180" i="37" s="1"/>
  <c r="J144" i="37"/>
  <c r="I100" i="51"/>
  <c r="P120" i="31"/>
  <c r="H156" i="31"/>
  <c r="U181" i="28"/>
  <c r="Q119" i="29"/>
  <c r="I155" i="29"/>
  <c r="U178" i="28"/>
  <c r="U123" i="28"/>
  <c r="O114" i="35"/>
  <c r="G150" i="35"/>
  <c r="O117" i="35"/>
  <c r="G153" i="35"/>
  <c r="Q102" i="36"/>
  <c r="I180" i="30"/>
  <c r="P180" i="30" s="1"/>
  <c r="P144" i="30"/>
  <c r="U100" i="28"/>
  <c r="U105" i="28"/>
  <c r="J198" i="28"/>
  <c r="S198" i="28" s="1"/>
  <c r="S150" i="28"/>
  <c r="S104" i="29"/>
  <c r="S115" i="28"/>
  <c r="J163" i="28"/>
  <c r="S163" i="28" s="1"/>
  <c r="T140" i="34"/>
  <c r="K176" i="34"/>
  <c r="T176" i="34" s="1"/>
  <c r="P118" i="31"/>
  <c r="H154" i="31"/>
  <c r="H185" i="51"/>
  <c r="H194" i="51" s="1"/>
  <c r="T120" i="34"/>
  <c r="K156" i="34"/>
  <c r="C125" i="29"/>
  <c r="B125" i="29"/>
  <c r="A126" i="29"/>
  <c r="P143" i="30"/>
  <c r="I179" i="30"/>
  <c r="P179" i="30" s="1"/>
  <c r="I172" i="29"/>
  <c r="Q172" i="29" s="1"/>
  <c r="Q136" i="29"/>
  <c r="U171" i="28"/>
  <c r="E172" i="37"/>
  <c r="J172" i="37" s="1"/>
  <c r="J136" i="37"/>
  <c r="N112" i="36"/>
  <c r="G148" i="36"/>
  <c r="Q108" i="30"/>
  <c r="U126" i="28"/>
  <c r="N110" i="36"/>
  <c r="G146" i="36"/>
  <c r="J195" i="28"/>
  <c r="S195" i="28" s="1"/>
  <c r="S147" i="28"/>
  <c r="I181" i="30"/>
  <c r="P181" i="30" s="1"/>
  <c r="P145" i="30"/>
  <c r="K172" i="34"/>
  <c r="T172" i="34" s="1"/>
  <c r="T136" i="34"/>
  <c r="O115" i="35"/>
  <c r="G151" i="35"/>
  <c r="U104" i="34"/>
  <c r="U104" i="28"/>
  <c r="G185" i="51"/>
  <c r="Q107" i="30"/>
  <c r="S100" i="29"/>
  <c r="P139" i="30"/>
  <c r="I175" i="30"/>
  <c r="P175" i="30" s="1"/>
  <c r="S114" i="28"/>
  <c r="J162" i="28"/>
  <c r="S162" i="28" s="1"/>
  <c r="J112" i="37"/>
  <c r="E148" i="37"/>
  <c r="G176" i="36"/>
  <c r="N176" i="36" s="1"/>
  <c r="N140" i="36"/>
  <c r="T137" i="34"/>
  <c r="K173" i="34"/>
  <c r="T173" i="34" s="1"/>
  <c r="U174" i="28"/>
  <c r="U127" i="28"/>
  <c r="U99" i="28"/>
  <c r="Q109" i="30"/>
  <c r="U100" i="34"/>
  <c r="K171" i="34"/>
  <c r="T171" i="34" s="1"/>
  <c r="T135" i="34"/>
  <c r="J115" i="37"/>
  <c r="E151" i="37"/>
  <c r="O118" i="35"/>
  <c r="G154" i="35"/>
  <c r="K177" i="34"/>
  <c r="T177" i="34" s="1"/>
  <c r="T141" i="34"/>
  <c r="J200" i="28"/>
  <c r="S200" i="28" s="1"/>
  <c r="S152" i="28"/>
  <c r="N116" i="36"/>
  <c r="G152" i="36"/>
  <c r="Q120" i="29"/>
  <c r="I156" i="29"/>
  <c r="G171" i="35"/>
  <c r="O171" i="35" s="1"/>
  <c r="O135" i="35"/>
  <c r="Q103" i="30"/>
  <c r="P114" i="30"/>
  <c r="I150" i="30"/>
  <c r="Q104" i="36"/>
  <c r="U101" i="34"/>
  <c r="U175" i="28"/>
  <c r="J145" i="37"/>
  <c r="E181" i="37"/>
  <c r="J181" i="37" s="1"/>
  <c r="U103" i="28"/>
  <c r="U99" i="34"/>
  <c r="P115" i="30"/>
  <c r="I151" i="30"/>
  <c r="U105" i="34"/>
  <c r="P138" i="30"/>
  <c r="I174" i="30"/>
  <c r="P174" i="30" s="1"/>
  <c r="O113" i="35"/>
  <c r="G149" i="35"/>
  <c r="P116" i="31"/>
  <c r="H152" i="31"/>
  <c r="L69" i="44"/>
  <c r="L18" i="44"/>
  <c r="AK39" i="14"/>
  <c r="AL39" i="14" s="1"/>
  <c r="FV114" i="2"/>
  <c r="O39" i="14"/>
  <c r="AG38" i="14"/>
  <c r="AH38" i="14" s="1"/>
  <c r="FU113" i="2"/>
  <c r="BH38" i="14"/>
  <c r="BI38" i="14" s="1"/>
  <c r="F113" i="26"/>
  <c r="K113" i="26" s="1"/>
  <c r="F113" i="37"/>
  <c r="K113" i="37" s="1"/>
  <c r="GA113" i="2"/>
  <c r="U39" i="14"/>
  <c r="V39" i="14" s="1"/>
  <c r="BB39" i="14"/>
  <c r="BC39" i="14" s="1"/>
  <c r="C38" i="14"/>
  <c r="D38" i="14" s="1"/>
  <c r="M100" i="51"/>
  <c r="BA23" i="40"/>
  <c r="AX39" i="14"/>
  <c r="AY39" i="14" s="1"/>
  <c r="BA26" i="40"/>
  <c r="K39" i="14"/>
  <c r="L39" i="14" s="1"/>
  <c r="BA27" i="40"/>
  <c r="AO39" i="14"/>
  <c r="AP39" i="14" s="1"/>
  <c r="FW114" i="2"/>
  <c r="AA39" i="14"/>
  <c r="AB39" i="14" s="1"/>
  <c r="H100" i="51"/>
  <c r="BN39" i="14"/>
  <c r="BO39" i="14" s="1"/>
  <c r="GB114" i="2"/>
  <c r="F100" i="51"/>
  <c r="AT39" i="14"/>
  <c r="AU39" i="14" s="1"/>
  <c r="BR39" i="14"/>
  <c r="BS39" i="14" s="1"/>
  <c r="GC114" i="2"/>
  <c r="BV38" i="14"/>
  <c r="BW38" i="14" s="1"/>
  <c r="GD113" i="2"/>
  <c r="O100" i="37"/>
  <c r="I185" i="51"/>
  <c r="G100" i="51"/>
  <c r="J185" i="51"/>
  <c r="J194" i="51" s="1"/>
  <c r="J186" i="51"/>
  <c r="J195" i="51" s="1"/>
  <c r="M186" i="51"/>
  <c r="L186" i="51"/>
  <c r="L195" i="51" s="1"/>
  <c r="O100" i="51"/>
  <c r="K186" i="51"/>
  <c r="N100" i="51"/>
  <c r="F185" i="51"/>
  <c r="M185" i="51"/>
  <c r="I186" i="51"/>
  <c r="L185" i="51"/>
  <c r="L194" i="51" s="1"/>
  <c r="L100" i="51"/>
  <c r="H186" i="51"/>
  <c r="H195" i="51" s="1"/>
  <c r="K185" i="51"/>
  <c r="K100" i="51"/>
  <c r="G186" i="51"/>
  <c r="J100" i="51"/>
  <c r="F133" i="44"/>
  <c r="D133" i="44"/>
  <c r="E133" i="44"/>
  <c r="G133" i="44"/>
  <c r="F127" i="44"/>
  <c r="H133" i="44"/>
  <c r="C133" i="44"/>
  <c r="E127" i="44"/>
  <c r="G127" i="44"/>
  <c r="H127" i="44"/>
  <c r="I127" i="44"/>
  <c r="AL5" i="27"/>
  <c r="AN5" i="27" s="1"/>
  <c r="AD5" i="27"/>
  <c r="AF5" i="27" s="1"/>
  <c r="AD7" i="27"/>
  <c r="AF7" i="27" s="1"/>
  <c r="AD8" i="27"/>
  <c r="AF8" i="27" s="1"/>
  <c r="AD9" i="27"/>
  <c r="AF9" i="27" s="1"/>
  <c r="O50" i="21"/>
  <c r="AL7" i="27"/>
  <c r="AN7" i="27" s="1"/>
  <c r="AD10" i="27"/>
  <c r="AF10" i="27" s="1"/>
  <c r="AL8" i="27"/>
  <c r="AN8" i="27" s="1"/>
  <c r="S38" i="22"/>
  <c r="AL10" i="27"/>
  <c r="AN10" i="27" s="1"/>
  <c r="S62" i="22"/>
  <c r="AL9" i="27"/>
  <c r="AN9" i="27" s="1"/>
  <c r="S50" i="22"/>
  <c r="AL6" i="27"/>
  <c r="AN6" i="27" s="1"/>
  <c r="S18" i="22"/>
  <c r="AD6" i="27"/>
  <c r="AF6" i="27" s="1"/>
  <c r="O18" i="21"/>
  <c r="AA22" i="7"/>
  <c r="E194" i="37"/>
  <c r="J194" i="37" s="1"/>
  <c r="J158" i="37"/>
  <c r="H194" i="31"/>
  <c r="P194" i="31" s="1"/>
  <c r="P158" i="31"/>
  <c r="S122" i="29"/>
  <c r="I194" i="29"/>
  <c r="Q194" i="29" s="1"/>
  <c r="Q158" i="29"/>
  <c r="K194" i="34"/>
  <c r="T194" i="34" s="1"/>
  <c r="T158" i="34"/>
  <c r="G194" i="35"/>
  <c r="O194" i="35" s="1"/>
  <c r="O158" i="35"/>
  <c r="G194" i="36"/>
  <c r="N194" i="36" s="1"/>
  <c r="N158" i="36"/>
  <c r="U182" i="28"/>
  <c r="I194" i="30"/>
  <c r="P194" i="30" s="1"/>
  <c r="P158" i="30"/>
  <c r="U134" i="28"/>
  <c r="K133" i="44"/>
  <c r="J133" i="44"/>
  <c r="FU29" i="2"/>
  <c r="FS5" i="2"/>
  <c r="FT5" i="2"/>
  <c r="FW101" i="2"/>
  <c r="FY53" i="2"/>
  <c r="F29" i="37"/>
  <c r="K29" i="37" s="1"/>
  <c r="F29" i="26"/>
  <c r="K29" i="26" s="1"/>
  <c r="GA29" i="2"/>
  <c r="FV29" i="2"/>
  <c r="FQ17" i="2"/>
  <c r="FS41" i="2"/>
  <c r="FV41" i="2"/>
  <c r="FV77" i="2"/>
  <c r="FW17" i="2"/>
  <c r="FX65" i="2"/>
  <c r="FX17" i="2"/>
  <c r="FY29" i="2"/>
  <c r="FQ29" i="2"/>
  <c r="FU41" i="2"/>
  <c r="FU65" i="2"/>
  <c r="GD5" i="2"/>
  <c r="F5" i="37"/>
  <c r="K5" i="37" s="1"/>
  <c r="F5" i="26"/>
  <c r="K5" i="26" s="1"/>
  <c r="GA5" i="2"/>
  <c r="FQ53" i="2"/>
  <c r="GC89" i="2"/>
  <c r="FS29" i="2"/>
  <c r="FY65" i="2"/>
  <c r="FR65" i="2"/>
  <c r="FR17" i="2"/>
  <c r="F65" i="37"/>
  <c r="K65" i="37" s="1"/>
  <c r="F65" i="26"/>
  <c r="K65" i="26" s="1"/>
  <c r="GA65" i="2"/>
  <c r="FV17" i="2"/>
  <c r="FV5" i="2"/>
  <c r="GD17" i="2"/>
  <c r="FX5" i="2"/>
  <c r="FS65" i="2"/>
  <c r="AA25" i="7"/>
  <c r="GC77" i="2"/>
  <c r="GC29" i="2"/>
  <c r="GC17" i="2"/>
  <c r="FR41" i="2"/>
  <c r="GB77" i="2"/>
  <c r="FQ65" i="2"/>
  <c r="GB41" i="2"/>
  <c r="FY41" i="2"/>
  <c r="FR5" i="2"/>
  <c r="FU53" i="2"/>
  <c r="FU17" i="2"/>
  <c r="F41" i="26"/>
  <c r="K41" i="26" s="1"/>
  <c r="F41" i="37"/>
  <c r="K41" i="37" s="1"/>
  <c r="GA41" i="2"/>
  <c r="AA24" i="7"/>
  <c r="GD29" i="2"/>
  <c r="FW41" i="2"/>
  <c r="FX29" i="2"/>
  <c r="FU5" i="2"/>
  <c r="FT65" i="2"/>
  <c r="GB29" i="2"/>
  <c r="F90" i="26"/>
  <c r="K90" i="26" s="1"/>
  <c r="F90" i="37"/>
  <c r="K90" i="37" s="1"/>
  <c r="GA90" i="2"/>
  <c r="AA26" i="7"/>
  <c r="AA23" i="7"/>
  <c r="FY5" i="2"/>
  <c r="FS17" i="2"/>
  <c r="F53" i="37"/>
  <c r="K53" i="37" s="1"/>
  <c r="F53" i="26"/>
  <c r="K53" i="26" s="1"/>
  <c r="GA53" i="2"/>
  <c r="GB5" i="2"/>
  <c r="F101" i="37"/>
  <c r="K101" i="37" s="1"/>
  <c r="M101" i="37" s="1"/>
  <c r="F101" i="26"/>
  <c r="K101" i="26" s="1"/>
  <c r="GA101" i="2"/>
  <c r="FW29" i="2"/>
  <c r="FQ41" i="2"/>
  <c r="GC65" i="2"/>
  <c r="FQ5" i="2"/>
  <c r="FV65" i="2"/>
  <c r="GD101" i="2"/>
  <c r="FW89" i="2"/>
  <c r="GD65" i="2"/>
  <c r="FV101" i="2"/>
  <c r="FW5" i="2"/>
  <c r="F17" i="26"/>
  <c r="K17" i="26" s="1"/>
  <c r="F17" i="37"/>
  <c r="K17" i="37" s="1"/>
  <c r="GA17" i="2"/>
  <c r="GD41" i="2"/>
  <c r="GB17" i="2"/>
  <c r="GC5" i="2"/>
  <c r="GC53" i="2"/>
  <c r="FV53" i="2"/>
  <c r="FV89" i="2"/>
  <c r="GD77" i="2"/>
  <c r="FU101" i="2"/>
  <c r="FX53" i="2"/>
  <c r="FU89" i="2"/>
  <c r="FU77" i="2"/>
  <c r="FY17" i="2"/>
  <c r="GC41" i="2"/>
  <c r="E21" i="40"/>
  <c r="E22" i="40" s="1"/>
  <c r="E23" i="40" s="1"/>
  <c r="E24" i="40" s="1"/>
  <c r="E25" i="40" s="1"/>
  <c r="E26" i="40" s="1"/>
  <c r="E27" i="40" s="1"/>
  <c r="FW65" i="2"/>
  <c r="FS53" i="2"/>
  <c r="F77" i="26"/>
  <c r="K77" i="26" s="1"/>
  <c r="F77" i="37"/>
  <c r="K77" i="37" s="1"/>
  <c r="GA77" i="2"/>
  <c r="FT53" i="2"/>
  <c r="GB101" i="2"/>
  <c r="GB65" i="2"/>
  <c r="GD89" i="2"/>
  <c r="GB89" i="2"/>
  <c r="FT29" i="2"/>
  <c r="GD53" i="2"/>
  <c r="FT17" i="2"/>
  <c r="FT41" i="2"/>
  <c r="FW53" i="2"/>
  <c r="FW77" i="2"/>
  <c r="GC101" i="2"/>
  <c r="GB53" i="2"/>
  <c r="FR53" i="2"/>
  <c r="FX41" i="2"/>
  <c r="FR29" i="2"/>
  <c r="N5" i="39"/>
  <c r="Q5" i="39" s="1"/>
  <c r="D5" i="39"/>
  <c r="G5" i="39" s="1"/>
  <c r="H5" i="39" s="1"/>
  <c r="J5" i="39" s="1"/>
  <c r="L51" i="2"/>
  <c r="AP4" i="7"/>
  <c r="AP22" i="7" s="1"/>
  <c r="Z25" i="7"/>
  <c r="Z24" i="7"/>
  <c r="Z23" i="7"/>
  <c r="Z26" i="7"/>
  <c r="Z22" i="7"/>
  <c r="AB26" i="7"/>
  <c r="AB23" i="7"/>
  <c r="AB22" i="7"/>
  <c r="AB24" i="7"/>
  <c r="AB25" i="7"/>
  <c r="U23" i="7"/>
  <c r="U25" i="7"/>
  <c r="U26" i="7"/>
  <c r="V24" i="7"/>
  <c r="D60" i="7"/>
  <c r="C81" i="7"/>
  <c r="AH23" i="7"/>
  <c r="C62" i="7"/>
  <c r="D59" i="7"/>
  <c r="V23" i="7"/>
  <c r="G60" i="7"/>
  <c r="W25" i="7"/>
  <c r="E61" i="7"/>
  <c r="D62" i="7"/>
  <c r="V26" i="7"/>
  <c r="C59" i="7"/>
  <c r="G58" i="7"/>
  <c r="Y22" i="7"/>
  <c r="D58" i="7"/>
  <c r="H59" i="7"/>
  <c r="H62" i="7"/>
  <c r="E60" i="7"/>
  <c r="W24" i="7"/>
  <c r="D61" i="7"/>
  <c r="V25" i="7"/>
  <c r="AH22" i="7"/>
  <c r="C80" i="7"/>
  <c r="W26" i="7"/>
  <c r="W23" i="7"/>
  <c r="E59" i="7"/>
  <c r="D81" i="7"/>
  <c r="AI23" i="7"/>
  <c r="C60" i="7"/>
  <c r="Y23" i="7"/>
  <c r="G59" i="7"/>
  <c r="H61" i="7"/>
  <c r="D80" i="7"/>
  <c r="AI22" i="7"/>
  <c r="G62" i="7"/>
  <c r="Y26" i="7"/>
  <c r="F59" i="7"/>
  <c r="X23" i="7"/>
  <c r="F60" i="7"/>
  <c r="F61" i="7"/>
  <c r="X25" i="7"/>
  <c r="H58" i="7"/>
  <c r="F62" i="7"/>
  <c r="X26" i="7"/>
  <c r="H60" i="7"/>
  <c r="U24" i="7"/>
  <c r="C61" i="7"/>
  <c r="F58" i="7"/>
  <c r="X22" i="7"/>
  <c r="W22" i="7"/>
  <c r="G61" i="7"/>
  <c r="Y25" i="7"/>
  <c r="C58" i="7"/>
  <c r="E31" i="2"/>
  <c r="E28" i="2"/>
  <c r="K65" i="2"/>
  <c r="E62" i="2"/>
  <c r="K36" i="2"/>
  <c r="K33" i="2"/>
  <c r="K59" i="2"/>
  <c r="K23" i="2"/>
  <c r="E47" i="2"/>
  <c r="E22" i="2"/>
  <c r="E46" i="2"/>
  <c r="K53" i="2"/>
  <c r="E2" i="2"/>
  <c r="E9" i="2"/>
  <c r="E6" i="2"/>
  <c r="E13" i="2"/>
  <c r="E12" i="2"/>
  <c r="E8" i="2"/>
  <c r="E10" i="2"/>
  <c r="E7" i="2"/>
  <c r="E11" i="2"/>
  <c r="E5" i="2"/>
  <c r="E3" i="2"/>
  <c r="E32" i="2"/>
  <c r="E44" i="2"/>
  <c r="K15" i="2"/>
  <c r="E18" i="2"/>
  <c r="K71" i="2"/>
  <c r="K60" i="2"/>
  <c r="E37" i="2"/>
  <c r="E45" i="2"/>
  <c r="K24" i="2"/>
  <c r="K70" i="2"/>
  <c r="E50" i="2"/>
  <c r="K52" i="2"/>
  <c r="E20" i="2"/>
  <c r="E26" i="2"/>
  <c r="K25" i="2"/>
  <c r="E16" i="2"/>
  <c r="K64" i="2"/>
  <c r="E60" i="2"/>
  <c r="K57" i="2"/>
  <c r="K46" i="2"/>
  <c r="E34" i="2"/>
  <c r="K20" i="2"/>
  <c r="E72" i="2"/>
  <c r="E19" i="2"/>
  <c r="E59" i="2"/>
  <c r="K55" i="2"/>
  <c r="K47" i="2"/>
  <c r="K14" i="2"/>
  <c r="E68" i="2"/>
  <c r="E23" i="2"/>
  <c r="K27" i="2"/>
  <c r="E51" i="2"/>
  <c r="K48" i="2"/>
  <c r="K18" i="2"/>
  <c r="E73" i="2"/>
  <c r="E21" i="2"/>
  <c r="K26" i="2"/>
  <c r="E52" i="2"/>
  <c r="K44" i="2"/>
  <c r="E48" i="2"/>
  <c r="K16" i="2"/>
  <c r="E69" i="2"/>
  <c r="E15" i="2"/>
  <c r="K32" i="2"/>
  <c r="E53" i="2"/>
  <c r="K43" i="2"/>
  <c r="E42" i="2"/>
  <c r="K21" i="2"/>
  <c r="E63" i="2"/>
  <c r="K62" i="2"/>
  <c r="K37" i="2"/>
  <c r="E55" i="2"/>
  <c r="E39" i="2"/>
  <c r="K19" i="2"/>
  <c r="K73" i="2"/>
  <c r="K29" i="2"/>
  <c r="E57" i="2"/>
  <c r="K56" i="2"/>
  <c r="K38" i="2"/>
  <c r="E43" i="2"/>
  <c r="K22" i="2"/>
  <c r="E66" i="2"/>
  <c r="K69" i="2"/>
  <c r="E56" i="2"/>
  <c r="K58" i="2"/>
  <c r="K49" i="2"/>
  <c r="E29" i="2"/>
  <c r="E38" i="2"/>
  <c r="E64" i="2"/>
  <c r="K72" i="2"/>
  <c r="K30" i="2"/>
  <c r="E54" i="2"/>
  <c r="K50" i="2"/>
  <c r="K41" i="2"/>
  <c r="E27" i="2"/>
  <c r="E40" i="2"/>
  <c r="E71" i="2"/>
  <c r="E25" i="2"/>
  <c r="K67" i="2"/>
  <c r="K31" i="2"/>
  <c r="E61" i="2"/>
  <c r="K61" i="2"/>
  <c r="K40" i="2"/>
  <c r="E30" i="2"/>
  <c r="K3" i="2"/>
  <c r="K5" i="2"/>
  <c r="K4" i="2"/>
  <c r="K11" i="2"/>
  <c r="K2" i="2"/>
  <c r="K13" i="2"/>
  <c r="K8" i="2"/>
  <c r="K9" i="2"/>
  <c r="K6" i="2"/>
  <c r="K7" i="2"/>
  <c r="K12" i="2"/>
  <c r="K10" i="2"/>
  <c r="E35" i="2"/>
  <c r="E70" i="2"/>
  <c r="E17" i="2"/>
  <c r="K63" i="2"/>
  <c r="K34" i="2"/>
  <c r="E58" i="2"/>
  <c r="K54" i="2"/>
  <c r="K42" i="2"/>
  <c r="E36" i="2"/>
  <c r="E41" i="2"/>
  <c r="E65" i="2"/>
  <c r="E24" i="2"/>
  <c r="K68" i="2"/>
  <c r="K28" i="2"/>
  <c r="K45" i="2"/>
  <c r="L35" i="2"/>
  <c r="L66" i="2"/>
  <c r="L17" i="2"/>
  <c r="L39" i="2"/>
  <c r="AJ8" i="40" l="1"/>
  <c r="AJ19" i="40" s="1"/>
  <c r="D6" i="73"/>
  <c r="I195" i="51"/>
  <c r="AQ14" i="7"/>
  <c r="AP32" i="7"/>
  <c r="AQ5" i="7"/>
  <c r="AP23" i="7"/>
  <c r="K193" i="32"/>
  <c r="M193" i="32" s="1"/>
  <c r="AU21" i="39"/>
  <c r="K205" i="32"/>
  <c r="M205" i="32" s="1"/>
  <c r="AU22" i="39" s="1"/>
  <c r="O193" i="33"/>
  <c r="Q193" i="33" s="1"/>
  <c r="BF21" i="39" s="1"/>
  <c r="O205" i="33"/>
  <c r="Q205" i="33" s="1"/>
  <c r="BF22" i="39" s="1"/>
  <c r="FD125" i="3"/>
  <c r="FD77" i="3"/>
  <c r="FD29" i="3"/>
  <c r="FD102" i="3"/>
  <c r="FD89" i="3"/>
  <c r="FD113" i="3"/>
  <c r="FD17" i="3"/>
  <c r="FD41" i="3"/>
  <c r="FD65" i="3"/>
  <c r="FD53" i="3"/>
  <c r="P39" i="14"/>
  <c r="M8" i="40"/>
  <c r="M9" i="40"/>
  <c r="FB41" i="3"/>
  <c r="EX65" i="3"/>
  <c r="EZ53" i="3"/>
  <c r="EW65" i="3"/>
  <c r="EW29" i="3"/>
  <c r="EZ17" i="3"/>
  <c r="FA53" i="3"/>
  <c r="EW17" i="3"/>
  <c r="EZ77" i="3"/>
  <c r="EY77" i="3"/>
  <c r="EX29" i="3"/>
  <c r="FA29" i="3"/>
  <c r="EY17" i="3"/>
  <c r="FA41" i="3"/>
  <c r="FA17" i="3"/>
  <c r="EW53" i="3"/>
  <c r="EX17" i="3"/>
  <c r="FB77" i="3"/>
  <c r="FB29" i="3"/>
  <c r="EZ65" i="3"/>
  <c r="EX53" i="3"/>
  <c r="EX77" i="3"/>
  <c r="FB17" i="3"/>
  <c r="FA77" i="3"/>
  <c r="EZ41" i="3"/>
  <c r="FB53" i="3"/>
  <c r="EY29" i="3"/>
  <c r="EY65" i="3"/>
  <c r="FB65" i="3"/>
  <c r="FA65" i="3"/>
  <c r="EX41" i="3"/>
  <c r="EZ29" i="3"/>
  <c r="F2" i="2"/>
  <c r="EY41" i="3"/>
  <c r="EW77" i="3"/>
  <c r="EW41" i="3"/>
  <c r="EY53" i="3"/>
  <c r="G32" i="40"/>
  <c r="T142" i="51"/>
  <c r="G30" i="40"/>
  <c r="G31" i="40"/>
  <c r="S147" i="10"/>
  <c r="R143" i="10"/>
  <c r="M112" i="37"/>
  <c r="M17" i="37"/>
  <c r="O17" i="37" s="1"/>
  <c r="M17" i="26"/>
  <c r="O17" i="26" s="1"/>
  <c r="M41" i="26"/>
  <c r="O41" i="26" s="1"/>
  <c r="M29" i="26"/>
  <c r="O29" i="26" s="1"/>
  <c r="M41" i="37"/>
  <c r="O41" i="37" s="1"/>
  <c r="M29" i="37"/>
  <c r="O29" i="37" s="1"/>
  <c r="M101" i="26"/>
  <c r="O101" i="26" s="1"/>
  <c r="M113" i="37"/>
  <c r="O113" i="37" s="1"/>
  <c r="M65" i="26"/>
  <c r="O65" i="26" s="1"/>
  <c r="M77" i="37"/>
  <c r="O77" i="37" s="1"/>
  <c r="M65" i="37"/>
  <c r="O65" i="37" s="1"/>
  <c r="M77" i="26"/>
  <c r="O77" i="26" s="1"/>
  <c r="M90" i="37"/>
  <c r="O90" i="37" s="1"/>
  <c r="M5" i="26"/>
  <c r="O5" i="26" s="1"/>
  <c r="M90" i="26"/>
  <c r="O90" i="26" s="1"/>
  <c r="M5" i="37"/>
  <c r="O5" i="37" s="1"/>
  <c r="M53" i="26"/>
  <c r="O53" i="26" s="1"/>
  <c r="M53" i="37"/>
  <c r="O53" i="37" s="1"/>
  <c r="M113" i="26"/>
  <c r="O113" i="26" s="1"/>
  <c r="S138" i="31"/>
  <c r="S144" i="31"/>
  <c r="S143" i="31"/>
  <c r="S114" i="31"/>
  <c r="S137" i="31"/>
  <c r="S174" i="31"/>
  <c r="S180" i="31"/>
  <c r="S115" i="31"/>
  <c r="S179" i="31"/>
  <c r="S173" i="31"/>
  <c r="S120" i="31"/>
  <c r="S117" i="31"/>
  <c r="S175" i="31"/>
  <c r="S136" i="31"/>
  <c r="S134" i="31"/>
  <c r="S110" i="31"/>
  <c r="S139" i="31"/>
  <c r="S172" i="31"/>
  <c r="S170" i="31"/>
  <c r="S116" i="31"/>
  <c r="S119" i="31"/>
  <c r="S118" i="31"/>
  <c r="S113" i="31"/>
  <c r="S135" i="31"/>
  <c r="S145" i="31"/>
  <c r="S112" i="31"/>
  <c r="S171" i="31"/>
  <c r="S181" i="31"/>
  <c r="S158" i="31"/>
  <c r="S121" i="31"/>
  <c r="S142" i="31"/>
  <c r="S194" i="31"/>
  <c r="S140" i="31"/>
  <c r="S178" i="31"/>
  <c r="S141" i="31"/>
  <c r="S176" i="31"/>
  <c r="S177" i="31"/>
  <c r="G39" i="14"/>
  <c r="H39" i="14" s="1"/>
  <c r="V139" i="28"/>
  <c r="V138" i="28"/>
  <c r="V144" i="28"/>
  <c r="V143" i="28"/>
  <c r="V142" i="28"/>
  <c r="V141" i="28"/>
  <c r="G26" i="2"/>
  <c r="G37" i="2"/>
  <c r="V140" i="28"/>
  <c r="V137" i="28"/>
  <c r="V136" i="28"/>
  <c r="V134" i="28"/>
  <c r="G40" i="2"/>
  <c r="D66" i="19"/>
  <c r="D51" i="19"/>
  <c r="D33" i="17"/>
  <c r="D17" i="19"/>
  <c r="D35" i="19"/>
  <c r="D67" i="17"/>
  <c r="I14" i="2"/>
  <c r="D14" i="17"/>
  <c r="X14" i="17" s="1"/>
  <c r="D49" i="17"/>
  <c r="D39" i="19"/>
  <c r="V129" i="28"/>
  <c r="V130" i="28"/>
  <c r="V122" i="28"/>
  <c r="V131" i="28"/>
  <c r="V132" i="28"/>
  <c r="V133" i="28"/>
  <c r="V124" i="28"/>
  <c r="V123" i="28"/>
  <c r="V125" i="28"/>
  <c r="V126" i="28"/>
  <c r="V127" i="28"/>
  <c r="V128" i="28"/>
  <c r="V135" i="28"/>
  <c r="T122" i="29"/>
  <c r="T123" i="29"/>
  <c r="T124" i="29"/>
  <c r="T125" i="29"/>
  <c r="V200" i="28"/>
  <c r="V204" i="28"/>
  <c r="V198" i="28"/>
  <c r="V184" i="28"/>
  <c r="V183" i="28"/>
  <c r="V178" i="28"/>
  <c r="V177" i="28"/>
  <c r="V174" i="28"/>
  <c r="V165" i="28"/>
  <c r="T117" i="29"/>
  <c r="V73" i="28"/>
  <c r="V195" i="28"/>
  <c r="V189" i="28"/>
  <c r="V159" i="28"/>
  <c r="T75" i="29"/>
  <c r="V194" i="28"/>
  <c r="V188" i="28"/>
  <c r="V158" i="28"/>
  <c r="V78" i="28"/>
  <c r="V203" i="28"/>
  <c r="V187" i="28"/>
  <c r="V169" i="28"/>
  <c r="V61" i="28"/>
  <c r="V202" i="28"/>
  <c r="V186" i="28"/>
  <c r="V168" i="28"/>
  <c r="V201" i="28"/>
  <c r="V185" i="28"/>
  <c r="V179" i="28"/>
  <c r="V167" i="28"/>
  <c r="V166" i="28"/>
  <c r="V199" i="28"/>
  <c r="V182" i="28"/>
  <c r="V176" i="28"/>
  <c r="V164" i="28"/>
  <c r="V205" i="28"/>
  <c r="V175" i="28"/>
  <c r="T91" i="29"/>
  <c r="V148" i="28"/>
  <c r="V156" i="28"/>
  <c r="V149" i="28"/>
  <c r="V150" i="28"/>
  <c r="V151" i="28"/>
  <c r="V152" i="28"/>
  <c r="V153" i="28"/>
  <c r="V154" i="28"/>
  <c r="V155" i="28"/>
  <c r="V157" i="28"/>
  <c r="V146" i="28"/>
  <c r="V147" i="28"/>
  <c r="T105" i="29"/>
  <c r="V197" i="28"/>
  <c r="V173" i="28"/>
  <c r="T66" i="29"/>
  <c r="V112" i="28"/>
  <c r="V171" i="28"/>
  <c r="T61" i="29"/>
  <c r="V95" i="28"/>
  <c r="V193" i="28"/>
  <c r="V172" i="28"/>
  <c r="V163" i="28"/>
  <c r="T48" i="19"/>
  <c r="U48" i="19" s="1"/>
  <c r="T48" i="29"/>
  <c r="V48" i="29" s="1"/>
  <c r="V192" i="28"/>
  <c r="V170" i="28"/>
  <c r="V162" i="28"/>
  <c r="V191" i="28"/>
  <c r="V181" i="28"/>
  <c r="V161" i="28"/>
  <c r="T26" i="19"/>
  <c r="U26" i="19" s="1"/>
  <c r="T26" i="29"/>
  <c r="V26" i="29" s="1"/>
  <c r="V98" i="28"/>
  <c r="G38" i="2"/>
  <c r="M52" i="2"/>
  <c r="G115" i="2"/>
  <c r="G118" i="2"/>
  <c r="G39" i="2"/>
  <c r="G100" i="2"/>
  <c r="M95" i="2"/>
  <c r="G105" i="2"/>
  <c r="M97" i="2"/>
  <c r="G102" i="2"/>
  <c r="M90" i="2"/>
  <c r="G70" i="2"/>
  <c r="M94" i="2"/>
  <c r="G66" i="2"/>
  <c r="M71" i="2"/>
  <c r="G63" i="2"/>
  <c r="M72" i="2"/>
  <c r="G69" i="2"/>
  <c r="M43" i="2"/>
  <c r="M63" i="2"/>
  <c r="M46" i="2"/>
  <c r="M64" i="2"/>
  <c r="M47" i="2"/>
  <c r="M69" i="2"/>
  <c r="M45" i="2"/>
  <c r="M57" i="2"/>
  <c r="M106" i="2"/>
  <c r="M60" i="2"/>
  <c r="M107" i="2"/>
  <c r="M108" i="2"/>
  <c r="M55" i="2"/>
  <c r="G103" i="2"/>
  <c r="M109" i="2"/>
  <c r="M56" i="2"/>
  <c r="G109" i="2"/>
  <c r="M104" i="2"/>
  <c r="M59" i="2"/>
  <c r="G107" i="2"/>
  <c r="M98" i="2"/>
  <c r="M38" i="2"/>
  <c r="M40" i="2"/>
  <c r="M110" i="2"/>
  <c r="M88" i="2"/>
  <c r="M80" i="2"/>
  <c r="M62" i="2"/>
  <c r="G121" i="2"/>
  <c r="M49" i="2"/>
  <c r="M118" i="2"/>
  <c r="M87" i="2"/>
  <c r="M78" i="2"/>
  <c r="M65" i="2"/>
  <c r="G114" i="2"/>
  <c r="M42" i="2"/>
  <c r="M111" i="2"/>
  <c r="M92" i="2"/>
  <c r="M83" i="2"/>
  <c r="M68" i="2"/>
  <c r="G111" i="2"/>
  <c r="M119" i="2"/>
  <c r="M96" i="2"/>
  <c r="M74" i="2"/>
  <c r="M70" i="2"/>
  <c r="G119" i="2"/>
  <c r="M101" i="2"/>
  <c r="M89" i="2"/>
  <c r="M77" i="2"/>
  <c r="M51" i="2"/>
  <c r="G93" i="2"/>
  <c r="M41" i="2"/>
  <c r="M99" i="2"/>
  <c r="M86" i="2"/>
  <c r="M76" i="2"/>
  <c r="M53" i="2"/>
  <c r="G43" i="2"/>
  <c r="G97" i="2"/>
  <c r="M44" i="2"/>
  <c r="M103" i="2"/>
  <c r="M93" i="2"/>
  <c r="M84" i="2"/>
  <c r="M54" i="2"/>
  <c r="M37" i="2"/>
  <c r="M34" i="2"/>
  <c r="M28" i="2"/>
  <c r="M31" i="2"/>
  <c r="M32" i="2"/>
  <c r="M35" i="2"/>
  <c r="M27" i="2"/>
  <c r="M29" i="2"/>
  <c r="M36" i="2"/>
  <c r="M30" i="2"/>
  <c r="M33" i="2"/>
  <c r="G46" i="2"/>
  <c r="G90" i="2"/>
  <c r="M102" i="2"/>
  <c r="M85" i="2"/>
  <c r="M50" i="2"/>
  <c r="G48" i="2"/>
  <c r="M112" i="2"/>
  <c r="G42" i="2"/>
  <c r="M113" i="2"/>
  <c r="O17" i="2"/>
  <c r="G45" i="2"/>
  <c r="M114" i="2"/>
  <c r="G49" i="2"/>
  <c r="M115" i="2"/>
  <c r="M120" i="2"/>
  <c r="M79" i="2"/>
  <c r="G120" i="2"/>
  <c r="G41" i="2"/>
  <c r="M39" i="2"/>
  <c r="M116" i="2"/>
  <c r="M100" i="2"/>
  <c r="M81" i="2"/>
  <c r="M67" i="2"/>
  <c r="M58" i="2"/>
  <c r="G116" i="2"/>
  <c r="M121" i="2"/>
  <c r="M82" i="2"/>
  <c r="M73" i="2"/>
  <c r="G104" i="2"/>
  <c r="G99" i="2"/>
  <c r="G101" i="2"/>
  <c r="G108" i="2"/>
  <c r="G80" i="2"/>
  <c r="G91" i="2"/>
  <c r="G89" i="2"/>
  <c r="G88" i="2"/>
  <c r="G94" i="2"/>
  <c r="G87" i="2"/>
  <c r="G106" i="2"/>
  <c r="G86" i="2"/>
  <c r="G83" i="2"/>
  <c r="G62" i="2"/>
  <c r="G75" i="2"/>
  <c r="G71" i="2"/>
  <c r="G76" i="2"/>
  <c r="G65" i="2"/>
  <c r="G81" i="2"/>
  <c r="G72" i="2"/>
  <c r="G82" i="2"/>
  <c r="G68" i="2"/>
  <c r="G50" i="2"/>
  <c r="G84" i="2"/>
  <c r="G60" i="2"/>
  <c r="G85" i="2"/>
  <c r="G56" i="2"/>
  <c r="G59" i="2"/>
  <c r="G52" i="2"/>
  <c r="G57" i="2"/>
  <c r="G55" i="2"/>
  <c r="G53" i="2"/>
  <c r="G79" i="2"/>
  <c r="G29" i="2"/>
  <c r="G36" i="2"/>
  <c r="G35" i="2"/>
  <c r="G32" i="2"/>
  <c r="G27" i="2"/>
  <c r="G34" i="2"/>
  <c r="G33" i="2"/>
  <c r="G31" i="2"/>
  <c r="G28" i="2"/>
  <c r="G30" i="2"/>
  <c r="G51" i="2"/>
  <c r="G74" i="2"/>
  <c r="G117" i="2"/>
  <c r="G44" i="2"/>
  <c r="G92" i="2"/>
  <c r="G64" i="2"/>
  <c r="G58" i="2"/>
  <c r="G77" i="2"/>
  <c r="G113" i="2"/>
  <c r="G47" i="2"/>
  <c r="G96" i="2"/>
  <c r="G67" i="2"/>
  <c r="G54" i="2"/>
  <c r="G110" i="2"/>
  <c r="W49" i="7"/>
  <c r="C10" i="8" s="1"/>
  <c r="E10" i="8" s="1"/>
  <c r="W18" i="7"/>
  <c r="F41" i="2"/>
  <c r="F55" i="2"/>
  <c r="F34" i="2"/>
  <c r="F69" i="2"/>
  <c r="F19" i="2"/>
  <c r="F38" i="2"/>
  <c r="F4" i="2"/>
  <c r="F17" i="2"/>
  <c r="F29" i="2"/>
  <c r="F21" i="2"/>
  <c r="F18" i="2"/>
  <c r="F26" i="2"/>
  <c r="F36" i="2"/>
  <c r="F45" i="2"/>
  <c r="F30" i="2"/>
  <c r="F70" i="2"/>
  <c r="F46" i="2"/>
  <c r="F71" i="2"/>
  <c r="F65" i="2"/>
  <c r="F57" i="2"/>
  <c r="F6" i="2"/>
  <c r="F73" i="2"/>
  <c r="F35" i="2"/>
  <c r="F61" i="2"/>
  <c r="F63" i="2"/>
  <c r="F60" i="2"/>
  <c r="F44" i="2"/>
  <c r="F22" i="2"/>
  <c r="F56" i="2"/>
  <c r="F32" i="2"/>
  <c r="F47" i="2"/>
  <c r="F42" i="2"/>
  <c r="F51" i="2"/>
  <c r="F16" i="2"/>
  <c r="F3" i="2"/>
  <c r="F25" i="2"/>
  <c r="F66" i="2"/>
  <c r="F5" i="2"/>
  <c r="F11" i="2"/>
  <c r="F24" i="2"/>
  <c r="F40" i="2"/>
  <c r="F43" i="2"/>
  <c r="F53" i="2"/>
  <c r="F68" i="2"/>
  <c r="F20" i="2"/>
  <c r="F7" i="2"/>
  <c r="F10" i="2"/>
  <c r="F62" i="2"/>
  <c r="W51" i="7"/>
  <c r="F15" i="2"/>
  <c r="F50" i="2"/>
  <c r="F8" i="2"/>
  <c r="F27" i="2"/>
  <c r="F28" i="2"/>
  <c r="W50" i="7"/>
  <c r="F12" i="2"/>
  <c r="F54" i="2"/>
  <c r="F59" i="2"/>
  <c r="F13" i="2"/>
  <c r="F31" i="2"/>
  <c r="W47" i="7"/>
  <c r="F48" i="2"/>
  <c r="F58" i="2"/>
  <c r="F72" i="2"/>
  <c r="F37" i="2"/>
  <c r="F9" i="2"/>
  <c r="F23" i="2"/>
  <c r="F64" i="2"/>
  <c r="F39" i="2"/>
  <c r="F52" i="2"/>
  <c r="Y18" i="7"/>
  <c r="V46" i="7"/>
  <c r="V18" i="7"/>
  <c r="U27" i="7"/>
  <c r="U42" i="7" s="1"/>
  <c r="T50" i="7"/>
  <c r="G128" i="5" s="1"/>
  <c r="AA11" i="5" s="1"/>
  <c r="S83" i="7"/>
  <c r="X83" i="7"/>
  <c r="W83" i="7"/>
  <c r="V83" i="7"/>
  <c r="G195" i="51"/>
  <c r="E5" i="12" s="1"/>
  <c r="G5" i="12"/>
  <c r="M195" i="51"/>
  <c r="K5" i="12" s="1"/>
  <c r="F195" i="51"/>
  <c r="D5" i="12" s="1"/>
  <c r="K195" i="51"/>
  <c r="I5" i="12" s="1"/>
  <c r="I194" i="51"/>
  <c r="K194" i="51"/>
  <c r="F194" i="51"/>
  <c r="M194" i="51"/>
  <c r="G194" i="51"/>
  <c r="V51" i="7"/>
  <c r="H151" i="5" s="1"/>
  <c r="V50" i="7"/>
  <c r="AC27" i="7"/>
  <c r="Y50" i="7"/>
  <c r="Y48" i="7"/>
  <c r="I9" i="8" s="1"/>
  <c r="K9" i="8" s="1"/>
  <c r="Y47" i="7"/>
  <c r="D178" i="5" s="1"/>
  <c r="W46" i="7"/>
  <c r="C7" i="8" s="1"/>
  <c r="E7" i="8" s="1"/>
  <c r="T47" i="7"/>
  <c r="D128" i="5" s="1"/>
  <c r="X11" i="5" s="1"/>
  <c r="T49" i="7"/>
  <c r="F128" i="5" s="1"/>
  <c r="Z11" i="5" s="1"/>
  <c r="X18" i="7"/>
  <c r="V47" i="7"/>
  <c r="U83" i="7"/>
  <c r="V48" i="7"/>
  <c r="H129" i="5"/>
  <c r="H138" i="5"/>
  <c r="H134" i="5"/>
  <c r="H135" i="5"/>
  <c r="H131" i="5"/>
  <c r="H133" i="5"/>
  <c r="H130" i="5"/>
  <c r="H136" i="5"/>
  <c r="H132" i="5"/>
  <c r="H137" i="5"/>
  <c r="X50" i="7"/>
  <c r="F11" i="8" s="1"/>
  <c r="H11" i="8" s="1"/>
  <c r="X47" i="7"/>
  <c r="X51" i="7"/>
  <c r="AA27" i="7"/>
  <c r="AA42" i="7" s="1"/>
  <c r="AD51" i="7"/>
  <c r="H203" i="5" s="1"/>
  <c r="AD47" i="7"/>
  <c r="D203" i="5" s="1"/>
  <c r="AD50" i="7"/>
  <c r="G203" i="5" s="1"/>
  <c r="AD46" i="7"/>
  <c r="C203" i="5" s="1"/>
  <c r="AI87" i="7"/>
  <c r="AJ87" i="7"/>
  <c r="AH87" i="7"/>
  <c r="AD48" i="7"/>
  <c r="E203" i="5" s="1"/>
  <c r="AA51" i="7"/>
  <c r="AC49" i="7"/>
  <c r="F200" i="5" s="1"/>
  <c r="F201" i="5" s="1"/>
  <c r="AA48" i="7"/>
  <c r="AC50" i="7"/>
  <c r="G200" i="5" s="1"/>
  <c r="G201" i="5" s="1"/>
  <c r="AA49" i="7"/>
  <c r="AC47" i="7"/>
  <c r="D200" i="5" s="1"/>
  <c r="D201" i="5" s="1"/>
  <c r="Z46" i="7"/>
  <c r="C185" i="5" s="1"/>
  <c r="Z27" i="7"/>
  <c r="Z42" i="7" s="1"/>
  <c r="AA18" i="7"/>
  <c r="AC18" i="7"/>
  <c r="AB27" i="7"/>
  <c r="AA50" i="7"/>
  <c r="T27" i="7"/>
  <c r="T39" i="7" s="1"/>
  <c r="C63" i="7"/>
  <c r="C73" i="7" s="1"/>
  <c r="U47" i="7"/>
  <c r="D140" i="5" s="1"/>
  <c r="U48" i="7"/>
  <c r="E140" i="5" s="1"/>
  <c r="AB48" i="7"/>
  <c r="U51" i="7"/>
  <c r="H140" i="5" s="1"/>
  <c r="AB47" i="7"/>
  <c r="U46" i="7"/>
  <c r="C140" i="5" s="1"/>
  <c r="Z49" i="7"/>
  <c r="F185" i="5" s="1"/>
  <c r="AB49" i="7"/>
  <c r="U50" i="7"/>
  <c r="G140" i="5" s="1"/>
  <c r="X46" i="7"/>
  <c r="Z48" i="7"/>
  <c r="E185" i="5" s="1"/>
  <c r="AB50" i="7"/>
  <c r="U49" i="7"/>
  <c r="F140" i="5" s="1"/>
  <c r="Z51" i="7"/>
  <c r="H185" i="5" s="1"/>
  <c r="AB46" i="7"/>
  <c r="C196" i="5" s="1"/>
  <c r="Y51" i="7"/>
  <c r="H178" i="5" s="1"/>
  <c r="G63" i="7"/>
  <c r="G73" i="7" s="1"/>
  <c r="Y27" i="7"/>
  <c r="Y43" i="7" s="1"/>
  <c r="U18" i="7"/>
  <c r="Z18" i="7"/>
  <c r="AB51" i="7"/>
  <c r="X48" i="7"/>
  <c r="F9" i="8" s="1"/>
  <c r="F63" i="7"/>
  <c r="X27" i="7"/>
  <c r="X39" i="7" s="1"/>
  <c r="Z47" i="7"/>
  <c r="D185" i="5" s="1"/>
  <c r="AB18" i="7"/>
  <c r="E63" i="7"/>
  <c r="W27" i="7"/>
  <c r="W43" i="7" s="1"/>
  <c r="T18" i="7"/>
  <c r="Z50" i="7"/>
  <c r="G185" i="5" s="1"/>
  <c r="AC48" i="7"/>
  <c r="E200" i="5" s="1"/>
  <c r="E201" i="5" s="1"/>
  <c r="H63" i="7"/>
  <c r="D63" i="7"/>
  <c r="V27" i="7"/>
  <c r="V39" i="7" s="1"/>
  <c r="AA47" i="7"/>
  <c r="AC51" i="7"/>
  <c r="H200" i="5" s="1"/>
  <c r="H201" i="5" s="1"/>
  <c r="AM83" i="7"/>
  <c r="Y46" i="7"/>
  <c r="AD27" i="7"/>
  <c r="T48" i="7"/>
  <c r="E128" i="5" s="1"/>
  <c r="Y11" i="5" s="1"/>
  <c r="AD49" i="7"/>
  <c r="F203" i="5" s="1"/>
  <c r="AA46" i="7"/>
  <c r="C191" i="5" s="1"/>
  <c r="AC46" i="7"/>
  <c r="C200" i="5" s="1"/>
  <c r="C201" i="5" s="1"/>
  <c r="J68" i="7"/>
  <c r="AB32" i="7"/>
  <c r="AJ23" i="40"/>
  <c r="AJ22" i="40"/>
  <c r="AJ27" i="40"/>
  <c r="AJ20" i="40"/>
  <c r="AJ26" i="40"/>
  <c r="AJ24" i="40"/>
  <c r="AJ25" i="40"/>
  <c r="AJ21" i="40"/>
  <c r="S158" i="35"/>
  <c r="U200" i="28"/>
  <c r="U172" i="34"/>
  <c r="S176" i="29"/>
  <c r="Q174" i="36"/>
  <c r="U120" i="28"/>
  <c r="S178" i="29"/>
  <c r="S174" i="29"/>
  <c r="Q173" i="30"/>
  <c r="U142" i="34"/>
  <c r="U119" i="28"/>
  <c r="S136" i="35"/>
  <c r="Q136" i="36"/>
  <c r="U149" i="28"/>
  <c r="S145" i="29"/>
  <c r="U164" i="28"/>
  <c r="K184" i="34"/>
  <c r="T184" i="34" s="1"/>
  <c r="T148" i="34"/>
  <c r="U156" i="28"/>
  <c r="S134" i="29"/>
  <c r="S194" i="35"/>
  <c r="S135" i="35"/>
  <c r="U141" i="34"/>
  <c r="Q145" i="30"/>
  <c r="Q144" i="30"/>
  <c r="H192" i="31"/>
  <c r="P192" i="31" s="1"/>
  <c r="P156" i="31"/>
  <c r="S144" i="35"/>
  <c r="I184" i="29"/>
  <c r="Q184" i="29" s="1"/>
  <c r="Q148" i="29"/>
  <c r="H193" i="31"/>
  <c r="P193" i="31" s="1"/>
  <c r="P157" i="31"/>
  <c r="Q137" i="30"/>
  <c r="Q137" i="36"/>
  <c r="U178" i="34"/>
  <c r="U144" i="34"/>
  <c r="E193" i="37"/>
  <c r="J193" i="37" s="1"/>
  <c r="J157" i="37"/>
  <c r="S172" i="35"/>
  <c r="S177" i="35"/>
  <c r="U197" i="28"/>
  <c r="U116" i="28"/>
  <c r="S138" i="35"/>
  <c r="U112" i="34"/>
  <c r="U204" i="28"/>
  <c r="S170" i="29"/>
  <c r="U158" i="34"/>
  <c r="S171" i="35"/>
  <c r="U177" i="34"/>
  <c r="Q181" i="30"/>
  <c r="S136" i="29"/>
  <c r="H190" i="31"/>
  <c r="P190" i="31" s="1"/>
  <c r="P154" i="31"/>
  <c r="Q180" i="30"/>
  <c r="S180" i="35"/>
  <c r="S112" i="29"/>
  <c r="U181" i="34"/>
  <c r="Q173" i="36"/>
  <c r="G182" i="35"/>
  <c r="O182" i="35" s="1"/>
  <c r="O146" i="35"/>
  <c r="U165" i="28"/>
  <c r="U180" i="34"/>
  <c r="O121" i="37"/>
  <c r="E190" i="37"/>
  <c r="J190" i="37" s="1"/>
  <c r="J154" i="37"/>
  <c r="Q171" i="36"/>
  <c r="S141" i="35"/>
  <c r="S174" i="35"/>
  <c r="G192" i="36"/>
  <c r="N192" i="36" s="1"/>
  <c r="N156" i="36"/>
  <c r="H185" i="31"/>
  <c r="P185" i="31" s="1"/>
  <c r="P149" i="31"/>
  <c r="P146" i="30"/>
  <c r="I182" i="30"/>
  <c r="P182" i="30" s="1"/>
  <c r="S140" i="35"/>
  <c r="U160" i="28"/>
  <c r="U194" i="34"/>
  <c r="Q156" i="29"/>
  <c r="I192" i="29"/>
  <c r="Q192" i="29" s="1"/>
  <c r="G190" i="35"/>
  <c r="O190" i="35" s="1"/>
  <c r="O154" i="35"/>
  <c r="U147" i="28"/>
  <c r="S172" i="29"/>
  <c r="U153" i="28"/>
  <c r="K189" i="34"/>
  <c r="T189" i="34" s="1"/>
  <c r="T153" i="34"/>
  <c r="U145" i="34"/>
  <c r="U179" i="34"/>
  <c r="S110" i="35"/>
  <c r="U117" i="28"/>
  <c r="J146" i="37"/>
  <c r="E182" i="37"/>
  <c r="J182" i="37" s="1"/>
  <c r="Q134" i="36"/>
  <c r="Q135" i="36"/>
  <c r="G192" i="35"/>
  <c r="O192" i="35" s="1"/>
  <c r="O156" i="35"/>
  <c r="S143" i="35"/>
  <c r="Q120" i="36"/>
  <c r="Q110" i="30"/>
  <c r="G191" i="36"/>
  <c r="N191" i="36" s="1"/>
  <c r="N155" i="36"/>
  <c r="S144" i="29"/>
  <c r="S176" i="35"/>
  <c r="U112" i="28"/>
  <c r="H188" i="31"/>
  <c r="P188" i="31" s="1"/>
  <c r="P152" i="31"/>
  <c r="S120" i="29"/>
  <c r="S118" i="35"/>
  <c r="U173" i="34"/>
  <c r="U195" i="28"/>
  <c r="Q179" i="30"/>
  <c r="U176" i="34"/>
  <c r="U201" i="28"/>
  <c r="U117" i="34"/>
  <c r="K185" i="34"/>
  <c r="T185" i="34" s="1"/>
  <c r="T149" i="34"/>
  <c r="U143" i="34"/>
  <c r="G185" i="36"/>
  <c r="N185" i="36" s="1"/>
  <c r="N149" i="36"/>
  <c r="O110" i="37"/>
  <c r="Q170" i="36"/>
  <c r="G189" i="36"/>
  <c r="N189" i="36" s="1"/>
  <c r="N153" i="36"/>
  <c r="S120" i="35"/>
  <c r="S179" i="35"/>
  <c r="I184" i="30"/>
  <c r="P184" i="30" s="1"/>
  <c r="P148" i="30"/>
  <c r="P154" i="30"/>
  <c r="I190" i="30"/>
  <c r="P190" i="30" s="1"/>
  <c r="Q134" i="30"/>
  <c r="I190" i="29"/>
  <c r="Q190" i="29" s="1"/>
  <c r="Q154" i="29"/>
  <c r="U146" i="28"/>
  <c r="Q119" i="36"/>
  <c r="S180" i="29"/>
  <c r="U151" i="28"/>
  <c r="E187" i="37"/>
  <c r="J187" i="37" s="1"/>
  <c r="J151" i="37"/>
  <c r="U137" i="34"/>
  <c r="G182" i="36"/>
  <c r="N182" i="36" s="1"/>
  <c r="N146" i="36"/>
  <c r="Q143" i="30"/>
  <c r="U140" i="34"/>
  <c r="G189" i="35"/>
  <c r="O189" i="35" s="1"/>
  <c r="O153" i="35"/>
  <c r="S139" i="29"/>
  <c r="U113" i="34"/>
  <c r="Q157" i="29"/>
  <c r="I193" i="29"/>
  <c r="Q193" i="29" s="1"/>
  <c r="Q113" i="36"/>
  <c r="DE6" i="39"/>
  <c r="C18" i="41" s="1"/>
  <c r="AA14" i="3"/>
  <c r="AJ61" i="7"/>
  <c r="E188" i="37"/>
  <c r="J188" i="37" s="1"/>
  <c r="J152" i="37"/>
  <c r="Q117" i="36"/>
  <c r="K188" i="34"/>
  <c r="T188" i="34" s="1"/>
  <c r="T152" i="34"/>
  <c r="Q112" i="30"/>
  <c r="Q118" i="30"/>
  <c r="Q170" i="30"/>
  <c r="S118" i="29"/>
  <c r="U194" i="28"/>
  <c r="I189" i="30"/>
  <c r="P189" i="30" s="1"/>
  <c r="P153" i="30"/>
  <c r="U199" i="28"/>
  <c r="G185" i="35"/>
  <c r="O185" i="35" s="1"/>
  <c r="O149" i="35"/>
  <c r="Q140" i="36"/>
  <c r="Q110" i="36"/>
  <c r="C126" i="29"/>
  <c r="A127" i="29"/>
  <c r="B126" i="29"/>
  <c r="U163" i="28"/>
  <c r="S117" i="35"/>
  <c r="S175" i="29"/>
  <c r="S121" i="29"/>
  <c r="Q140" i="30"/>
  <c r="Q181" i="36"/>
  <c r="U116" i="34"/>
  <c r="S143" i="29"/>
  <c r="G186" i="36"/>
  <c r="N186" i="36" s="1"/>
  <c r="N150" i="36"/>
  <c r="U166" i="28"/>
  <c r="Q142" i="36"/>
  <c r="Q117" i="30"/>
  <c r="Q178" i="30"/>
  <c r="S113" i="35"/>
  <c r="U135" i="34"/>
  <c r="Q176" i="36"/>
  <c r="U115" i="28"/>
  <c r="G186" i="35"/>
  <c r="O186" i="35" s="1"/>
  <c r="O150" i="35"/>
  <c r="T146" i="34"/>
  <c r="K182" i="34"/>
  <c r="T182" i="34" s="1"/>
  <c r="I186" i="29"/>
  <c r="Q186" i="29" s="1"/>
  <c r="Q150" i="29"/>
  <c r="I182" i="29"/>
  <c r="Q182" i="29" s="1"/>
  <c r="Q146" i="29"/>
  <c r="H189" i="31"/>
  <c r="P189" i="31" s="1"/>
  <c r="P153" i="31"/>
  <c r="Q176" i="30"/>
  <c r="S173" i="35"/>
  <c r="S171" i="29"/>
  <c r="Q145" i="36"/>
  <c r="S141" i="29"/>
  <c r="S179" i="29"/>
  <c r="Q114" i="36"/>
  <c r="U118" i="28"/>
  <c r="Q178" i="36"/>
  <c r="I192" i="30"/>
  <c r="P192" i="30" s="1"/>
  <c r="P156" i="30"/>
  <c r="I188" i="29"/>
  <c r="Q188" i="29" s="1"/>
  <c r="Q152" i="29"/>
  <c r="H186" i="31"/>
  <c r="P186" i="31" s="1"/>
  <c r="P150" i="31"/>
  <c r="Q142" i="30"/>
  <c r="Q174" i="30"/>
  <c r="U171" i="34"/>
  <c r="E184" i="37"/>
  <c r="J184" i="37" s="1"/>
  <c r="J148" i="37"/>
  <c r="S114" i="35"/>
  <c r="U110" i="34"/>
  <c r="S114" i="29"/>
  <c r="S110" i="29"/>
  <c r="Q139" i="36"/>
  <c r="Q136" i="30"/>
  <c r="S137" i="35"/>
  <c r="S135" i="29"/>
  <c r="S177" i="29"/>
  <c r="I189" i="29"/>
  <c r="Q189" i="29" s="1"/>
  <c r="Q153" i="29"/>
  <c r="K187" i="34"/>
  <c r="T187" i="34" s="1"/>
  <c r="T151" i="34"/>
  <c r="U155" i="28"/>
  <c r="Q120" i="30"/>
  <c r="S116" i="29"/>
  <c r="U139" i="34"/>
  <c r="Q138" i="30"/>
  <c r="T156" i="34"/>
  <c r="K192" i="34"/>
  <c r="T192" i="34" s="1"/>
  <c r="U148" i="28"/>
  <c r="Q179" i="36"/>
  <c r="I188" i="30"/>
  <c r="P188" i="30" s="1"/>
  <c r="P152" i="30"/>
  <c r="Q175" i="36"/>
  <c r="S173" i="29"/>
  <c r="Q172" i="30"/>
  <c r="S142" i="35"/>
  <c r="U161" i="28"/>
  <c r="E192" i="37"/>
  <c r="J192" i="37" s="1"/>
  <c r="J156" i="37"/>
  <c r="H191" i="31"/>
  <c r="P191" i="31" s="1"/>
  <c r="P155" i="31"/>
  <c r="S117" i="29"/>
  <c r="U115" i="34"/>
  <c r="U203" i="28"/>
  <c r="U157" i="28"/>
  <c r="I185" i="29"/>
  <c r="Q185" i="29" s="1"/>
  <c r="Q149" i="29"/>
  <c r="P146" i="31"/>
  <c r="H182" i="31"/>
  <c r="P182" i="31" s="1"/>
  <c r="U175" i="34"/>
  <c r="U162" i="28"/>
  <c r="U120" i="34"/>
  <c r="U150" i="28"/>
  <c r="U196" i="28"/>
  <c r="Q143" i="36"/>
  <c r="Q116" i="30"/>
  <c r="K190" i="34"/>
  <c r="T190" i="34" s="1"/>
  <c r="T154" i="34"/>
  <c r="S137" i="29"/>
  <c r="N154" i="36"/>
  <c r="G190" i="36"/>
  <c r="N190" i="36" s="1"/>
  <c r="S178" i="35"/>
  <c r="U113" i="28"/>
  <c r="E191" i="37"/>
  <c r="J191" i="37" s="1"/>
  <c r="J155" i="37"/>
  <c r="Q144" i="36"/>
  <c r="U205" i="28"/>
  <c r="S113" i="29"/>
  <c r="I186" i="30"/>
  <c r="P186" i="30" s="1"/>
  <c r="P150" i="30"/>
  <c r="U114" i="28"/>
  <c r="U198" i="28"/>
  <c r="J150" i="37"/>
  <c r="E186" i="37"/>
  <c r="J186" i="37" s="1"/>
  <c r="U118" i="34"/>
  <c r="G184" i="35"/>
  <c r="O184" i="35" s="1"/>
  <c r="O148" i="35"/>
  <c r="Q118" i="36"/>
  <c r="S134" i="35"/>
  <c r="O112" i="37"/>
  <c r="T157" i="34"/>
  <c r="K193" i="34"/>
  <c r="T193" i="34" s="1"/>
  <c r="H187" i="31"/>
  <c r="P187" i="31" s="1"/>
  <c r="P151" i="31"/>
  <c r="G191" i="35"/>
  <c r="O191" i="35" s="1"/>
  <c r="O155" i="35"/>
  <c r="Q180" i="36"/>
  <c r="I191" i="30"/>
  <c r="P191" i="30" s="1"/>
  <c r="P155" i="30"/>
  <c r="I187" i="30"/>
  <c r="P187" i="30" s="1"/>
  <c r="P151" i="30"/>
  <c r="Q114" i="30"/>
  <c r="Q175" i="30"/>
  <c r="G184" i="36"/>
  <c r="N184" i="36" s="1"/>
  <c r="N148" i="36"/>
  <c r="S112" i="35"/>
  <c r="S145" i="35"/>
  <c r="H184" i="31"/>
  <c r="P184" i="31" s="1"/>
  <c r="P148" i="31"/>
  <c r="S170" i="35"/>
  <c r="G188" i="35"/>
  <c r="O188" i="35" s="1"/>
  <c r="O152" i="35"/>
  <c r="U138" i="34"/>
  <c r="U121" i="34"/>
  <c r="S119" i="35"/>
  <c r="P157" i="30"/>
  <c r="I193" i="30"/>
  <c r="P193" i="30" s="1"/>
  <c r="E189" i="37"/>
  <c r="J189" i="37" s="1"/>
  <c r="J153" i="37"/>
  <c r="K191" i="34"/>
  <c r="T191" i="34" s="1"/>
  <c r="T155" i="34"/>
  <c r="Q135" i="30"/>
  <c r="Q119" i="30"/>
  <c r="Q115" i="30"/>
  <c r="G188" i="36"/>
  <c r="N188" i="36" s="1"/>
  <c r="N152" i="36"/>
  <c r="Q139" i="30"/>
  <c r="G187" i="35"/>
  <c r="O187" i="35" s="1"/>
  <c r="O151" i="35"/>
  <c r="Q112" i="36"/>
  <c r="I191" i="29"/>
  <c r="Q191" i="29" s="1"/>
  <c r="Q155" i="29"/>
  <c r="I187" i="29"/>
  <c r="Q187" i="29" s="1"/>
  <c r="Q151" i="29"/>
  <c r="Q141" i="36"/>
  <c r="E185" i="37"/>
  <c r="J185" i="37" s="1"/>
  <c r="J149" i="37"/>
  <c r="S139" i="35"/>
  <c r="S181" i="35"/>
  <c r="U134" i="34"/>
  <c r="S116" i="35"/>
  <c r="U174" i="34"/>
  <c r="U169" i="28"/>
  <c r="O157" i="35"/>
  <c r="G193" i="35"/>
  <c r="O193" i="35" s="1"/>
  <c r="Q121" i="30"/>
  <c r="U119" i="34"/>
  <c r="Q171" i="30"/>
  <c r="N157" i="36"/>
  <c r="G193" i="36"/>
  <c r="N193" i="36" s="1"/>
  <c r="Q158" i="36"/>
  <c r="Q116" i="36"/>
  <c r="S115" i="35"/>
  <c r="S119" i="29"/>
  <c r="S115" i="29"/>
  <c r="Q177" i="36"/>
  <c r="S175" i="35"/>
  <c r="G187" i="36"/>
  <c r="N187" i="36" s="1"/>
  <c r="N151" i="36"/>
  <c r="U170" i="34"/>
  <c r="U121" i="28"/>
  <c r="U158" i="28"/>
  <c r="S121" i="35"/>
  <c r="U154" i="28"/>
  <c r="Q141" i="30"/>
  <c r="K186" i="34"/>
  <c r="T186" i="34" s="1"/>
  <c r="T150" i="34"/>
  <c r="I185" i="30"/>
  <c r="P185" i="30" s="1"/>
  <c r="P149" i="30"/>
  <c r="Q121" i="36"/>
  <c r="Q194" i="36"/>
  <c r="U152" i="28"/>
  <c r="U136" i="34"/>
  <c r="S140" i="29"/>
  <c r="Q138" i="36"/>
  <c r="U168" i="28"/>
  <c r="S142" i="29"/>
  <c r="S138" i="29"/>
  <c r="Q115" i="36"/>
  <c r="U167" i="28"/>
  <c r="Q172" i="36"/>
  <c r="S181" i="29"/>
  <c r="U110" i="28"/>
  <c r="U202" i="28"/>
  <c r="Q177" i="30"/>
  <c r="U114" i="34"/>
  <c r="Q113" i="30"/>
  <c r="BR40" i="14"/>
  <c r="BS40" i="14" s="1"/>
  <c r="GC115" i="2"/>
  <c r="AA40" i="14"/>
  <c r="AB40" i="14" s="1"/>
  <c r="AT40" i="14"/>
  <c r="AU40" i="14" s="1"/>
  <c r="AG39" i="14"/>
  <c r="AH39" i="14" s="1"/>
  <c r="FU114" i="2"/>
  <c r="K40" i="14"/>
  <c r="L40" i="14" s="1"/>
  <c r="U40" i="14"/>
  <c r="V40" i="14" s="1"/>
  <c r="BV39" i="14"/>
  <c r="BW39" i="14" s="1"/>
  <c r="GD114" i="2"/>
  <c r="O40" i="14"/>
  <c r="AO40" i="14"/>
  <c r="AP40" i="14" s="1"/>
  <c r="FW115" i="2"/>
  <c r="C39" i="14"/>
  <c r="D39" i="14" s="1"/>
  <c r="AX40" i="14"/>
  <c r="AY40" i="14" s="1"/>
  <c r="BN40" i="14"/>
  <c r="BO40" i="14" s="1"/>
  <c r="GB115" i="2"/>
  <c r="F114" i="26"/>
  <c r="K114" i="26" s="1"/>
  <c r="BH39" i="14"/>
  <c r="BI39" i="14" s="1"/>
  <c r="F114" i="37"/>
  <c r="K114" i="37" s="1"/>
  <c r="GA114" i="2"/>
  <c r="AK40" i="14"/>
  <c r="AL40" i="14" s="1"/>
  <c r="FV115" i="2"/>
  <c r="BB40" i="14"/>
  <c r="BC40" i="14" s="1"/>
  <c r="Q158" i="30"/>
  <c r="Q194" i="30"/>
  <c r="O101" i="37"/>
  <c r="M191" i="51"/>
  <c r="F191" i="51"/>
  <c r="J5" i="12"/>
  <c r="H5" i="12"/>
  <c r="J191" i="51"/>
  <c r="K191" i="51"/>
  <c r="G191" i="51"/>
  <c r="F5" i="12"/>
  <c r="H191" i="51"/>
  <c r="L191" i="51"/>
  <c r="I191" i="51"/>
  <c r="S158" i="29"/>
  <c r="S194" i="29"/>
  <c r="FR54" i="2"/>
  <c r="FW54" i="2"/>
  <c r="FV102" i="2"/>
  <c r="FW30" i="2"/>
  <c r="FW42" i="2"/>
  <c r="FU54" i="2"/>
  <c r="FY30" i="2"/>
  <c r="FU30" i="2"/>
  <c r="FT30" i="2"/>
  <c r="GC54" i="2"/>
  <c r="FV66" i="2"/>
  <c r="FS18" i="2"/>
  <c r="GB30" i="2"/>
  <c r="FR42" i="2"/>
  <c r="FS66" i="2"/>
  <c r="FR66" i="2"/>
  <c r="FV42" i="2"/>
  <c r="FV30" i="2"/>
  <c r="FW66" i="2"/>
  <c r="FY18" i="2"/>
  <c r="FU102" i="2"/>
  <c r="F18" i="37"/>
  <c r="K18" i="37" s="1"/>
  <c r="F18" i="26"/>
  <c r="K18" i="26" s="1"/>
  <c r="GA18" i="2"/>
  <c r="GC30" i="2"/>
  <c r="F66" i="37"/>
  <c r="K66" i="37" s="1"/>
  <c r="F66" i="26"/>
  <c r="K66" i="26" s="1"/>
  <c r="GA66" i="2"/>
  <c r="GC90" i="2"/>
  <c r="FU66" i="2"/>
  <c r="FY54" i="2"/>
  <c r="GC102" i="2"/>
  <c r="FT42" i="2"/>
  <c r="GB102" i="2"/>
  <c r="GD30" i="2"/>
  <c r="FQ66" i="2"/>
  <c r="FX18" i="2"/>
  <c r="GB90" i="2"/>
  <c r="GD66" i="2"/>
  <c r="FQ6" i="2"/>
  <c r="FX6" i="2"/>
  <c r="FY66" i="2"/>
  <c r="GB54" i="2"/>
  <c r="FT66" i="2"/>
  <c r="FR6" i="2"/>
  <c r="GC78" i="2"/>
  <c r="FQ54" i="2"/>
  <c r="FT18" i="2"/>
  <c r="FT54" i="2"/>
  <c r="FU78" i="2"/>
  <c r="F102" i="37"/>
  <c r="K102" i="37" s="1"/>
  <c r="M102" i="37" s="1"/>
  <c r="F102" i="26"/>
  <c r="K102" i="26" s="1"/>
  <c r="GA102" i="2"/>
  <c r="FW102" i="2"/>
  <c r="GC6" i="2"/>
  <c r="FW90" i="2"/>
  <c r="FY6" i="2"/>
  <c r="GD18" i="2"/>
  <c r="FS42" i="2"/>
  <c r="GC66" i="2"/>
  <c r="FU6" i="2"/>
  <c r="FX66" i="2"/>
  <c r="GD78" i="2"/>
  <c r="FW78" i="2"/>
  <c r="GD54" i="2"/>
  <c r="GD90" i="2"/>
  <c r="GB6" i="2"/>
  <c r="FY42" i="2"/>
  <c r="FR18" i="2"/>
  <c r="FU42" i="2"/>
  <c r="FT6" i="2"/>
  <c r="GB18" i="2"/>
  <c r="F42" i="37"/>
  <c r="K42" i="37" s="1"/>
  <c r="F42" i="26"/>
  <c r="K42" i="26" s="1"/>
  <c r="GA42" i="2"/>
  <c r="FV6" i="2"/>
  <c r="FR30" i="2"/>
  <c r="F78" i="26"/>
  <c r="K78" i="26" s="1"/>
  <c r="F78" i="37"/>
  <c r="K78" i="37" s="1"/>
  <c r="GA78" i="2"/>
  <c r="FU90" i="2"/>
  <c r="FV90" i="2"/>
  <c r="GD102" i="2"/>
  <c r="FX30" i="2"/>
  <c r="FS30" i="2"/>
  <c r="F6" i="37"/>
  <c r="K6" i="37" s="1"/>
  <c r="F6" i="26"/>
  <c r="K6" i="26" s="1"/>
  <c r="GA6" i="2"/>
  <c r="FW18" i="2"/>
  <c r="FW6" i="2"/>
  <c r="GB78" i="2"/>
  <c r="FQ30" i="2"/>
  <c r="FX42" i="2"/>
  <c r="GB66" i="2"/>
  <c r="GD42" i="2"/>
  <c r="FQ42" i="2"/>
  <c r="FU18" i="2"/>
  <c r="GB42" i="2"/>
  <c r="FV18" i="2"/>
  <c r="FS6" i="2"/>
  <c r="D7" i="39"/>
  <c r="G7" i="39" s="1"/>
  <c r="H7" i="39" s="1"/>
  <c r="J7" i="39" s="1"/>
  <c r="FX54" i="2"/>
  <c r="FV54" i="2"/>
  <c r="F54" i="37"/>
  <c r="K54" i="37" s="1"/>
  <c r="F54" i="26"/>
  <c r="K54" i="26" s="1"/>
  <c r="GA54" i="2"/>
  <c r="F91" i="26"/>
  <c r="K91" i="26" s="1"/>
  <c r="F91" i="37"/>
  <c r="K91" i="37" s="1"/>
  <c r="GA91" i="2"/>
  <c r="GD6" i="2"/>
  <c r="FV78" i="2"/>
  <c r="FQ18" i="2"/>
  <c r="FS54" i="2"/>
  <c r="GC42" i="2"/>
  <c r="GC18" i="2"/>
  <c r="F30" i="26"/>
  <c r="K30" i="26" s="1"/>
  <c r="F30" i="37"/>
  <c r="K30" i="37" s="1"/>
  <c r="GA30" i="2"/>
  <c r="L59" i="2"/>
  <c r="L54" i="2"/>
  <c r="L6" i="2"/>
  <c r="L67" i="2"/>
  <c r="L44" i="2"/>
  <c r="L46" i="2"/>
  <c r="D10" i="39"/>
  <c r="G10" i="39" s="1"/>
  <c r="L15" i="2"/>
  <c r="D11" i="39"/>
  <c r="G11" i="39" s="1"/>
  <c r="L61" i="2"/>
  <c r="L10" i="2"/>
  <c r="FP39" i="2"/>
  <c r="D39" i="29"/>
  <c r="FO14" i="2"/>
  <c r="D14" i="28"/>
  <c r="L9" i="2"/>
  <c r="L21" i="2"/>
  <c r="L57" i="2"/>
  <c r="L70" i="2"/>
  <c r="L53" i="2"/>
  <c r="L11" i="2"/>
  <c r="L37" i="2"/>
  <c r="FP17" i="2"/>
  <c r="D17" i="29"/>
  <c r="L8" i="2"/>
  <c r="D9" i="39"/>
  <c r="G9" i="39" s="1"/>
  <c r="L29" i="2"/>
  <c r="L14" i="2"/>
  <c r="N7" i="39"/>
  <c r="Q7" i="39" s="1"/>
  <c r="L13" i="2"/>
  <c r="FP51" i="2"/>
  <c r="D51" i="29"/>
  <c r="L45" i="2"/>
  <c r="L30" i="2"/>
  <c r="L34" i="2"/>
  <c r="L73" i="2"/>
  <c r="FP66" i="2"/>
  <c r="D66" i="29"/>
  <c r="L63" i="2"/>
  <c r="L2" i="2"/>
  <c r="N6" i="39"/>
  <c r="Q6" i="39" s="1"/>
  <c r="L49" i="2"/>
  <c r="L43" i="2"/>
  <c r="L47" i="2"/>
  <c r="L24" i="2"/>
  <c r="L64" i="2"/>
  <c r="L65" i="2"/>
  <c r="L4" i="2"/>
  <c r="L58" i="2"/>
  <c r="L5" i="2"/>
  <c r="L28" i="2"/>
  <c r="L41" i="2"/>
  <c r="L48" i="2"/>
  <c r="L60" i="2"/>
  <c r="L68" i="2"/>
  <c r="L32" i="2"/>
  <c r="L25" i="2"/>
  <c r="L23" i="2"/>
  <c r="L3" i="2"/>
  <c r="L40" i="2"/>
  <c r="D8" i="39"/>
  <c r="G8" i="39" s="1"/>
  <c r="L69" i="2"/>
  <c r="L50" i="2"/>
  <c r="N10" i="39"/>
  <c r="Q10" i="39" s="1"/>
  <c r="L22" i="2"/>
  <c r="L18" i="2"/>
  <c r="L71" i="2"/>
  <c r="L55" i="2"/>
  <c r="E5" i="39"/>
  <c r="L26" i="2"/>
  <c r="N8" i="39"/>
  <c r="Q8" i="39" s="1"/>
  <c r="L19" i="2"/>
  <c r="L38" i="2"/>
  <c r="N9" i="39"/>
  <c r="Q9" i="39" s="1"/>
  <c r="L27" i="2"/>
  <c r="L52" i="2"/>
  <c r="L42" i="2"/>
  <c r="L12" i="2"/>
  <c r="L16" i="2"/>
  <c r="D6" i="39"/>
  <c r="G6" i="39" s="1"/>
  <c r="H6" i="39" s="1"/>
  <c r="J6" i="39" s="1"/>
  <c r="L33" i="2"/>
  <c r="D35" i="29"/>
  <c r="L72" i="2"/>
  <c r="L62" i="2"/>
  <c r="N11" i="39"/>
  <c r="Q11" i="39" s="1"/>
  <c r="L20" i="2"/>
  <c r="L7" i="2"/>
  <c r="L31" i="2"/>
  <c r="L56" i="2"/>
  <c r="L36" i="2"/>
  <c r="O5" i="39"/>
  <c r="AQ4" i="7"/>
  <c r="AQ22" i="7" s="1"/>
  <c r="AC25" i="7"/>
  <c r="AC24" i="7"/>
  <c r="AB36" i="7"/>
  <c r="U12" i="8"/>
  <c r="W12" i="8" s="1"/>
  <c r="U10" i="8"/>
  <c r="W10" i="8" s="1"/>
  <c r="U8" i="8"/>
  <c r="W8" i="8" s="1"/>
  <c r="AC22" i="7"/>
  <c r="AC23" i="7"/>
  <c r="AC26" i="7"/>
  <c r="Z36" i="7"/>
  <c r="D161" i="5"/>
  <c r="C8" i="8"/>
  <c r="E8" i="8" s="1"/>
  <c r="H161" i="5"/>
  <c r="C12" i="8"/>
  <c r="E12" i="8" s="1"/>
  <c r="D170" i="5"/>
  <c r="F8" i="8"/>
  <c r="H8" i="8" s="1"/>
  <c r="H170" i="5"/>
  <c r="F12" i="8"/>
  <c r="H12" i="8" s="1"/>
  <c r="G170" i="5"/>
  <c r="L7" i="8"/>
  <c r="L12" i="8"/>
  <c r="N12" i="8" s="1"/>
  <c r="L10" i="8"/>
  <c r="N10" i="8" s="1"/>
  <c r="D151" i="5"/>
  <c r="G151" i="5"/>
  <c r="I8" i="8"/>
  <c r="K8" i="8" s="1"/>
  <c r="G178" i="5"/>
  <c r="I11" i="8"/>
  <c r="K11" i="8" s="1"/>
  <c r="I12" i="8"/>
  <c r="K12" i="8" s="1"/>
  <c r="G161" i="5"/>
  <c r="C11" i="8"/>
  <c r="E11" i="8" s="1"/>
  <c r="E73" i="7"/>
  <c r="H73" i="7"/>
  <c r="C151" i="5"/>
  <c r="F170" i="5"/>
  <c r="H10" i="8"/>
  <c r="J81" i="7"/>
  <c r="W36" i="7"/>
  <c r="Y36" i="7"/>
  <c r="X36" i="7"/>
  <c r="U36" i="7"/>
  <c r="D73" i="7"/>
  <c r="J80" i="7"/>
  <c r="Y52" i="7"/>
  <c r="E151" i="5"/>
  <c r="J58" i="7"/>
  <c r="F151" i="5"/>
  <c r="E9" i="8"/>
  <c r="E161" i="5"/>
  <c r="C170" i="5"/>
  <c r="F7" i="8"/>
  <c r="H7" i="8" s="1"/>
  <c r="H9" i="8"/>
  <c r="E170" i="5"/>
  <c r="V36" i="7"/>
  <c r="J62" i="7"/>
  <c r="F73" i="7"/>
  <c r="J59" i="7"/>
  <c r="C161" i="5"/>
  <c r="J61" i="7"/>
  <c r="J60" i="7"/>
  <c r="F178" i="5"/>
  <c r="K10" i="8"/>
  <c r="C3" i="73" l="1"/>
  <c r="D3" i="73"/>
  <c r="AR5" i="7"/>
  <c r="AR23" i="7" s="1"/>
  <c r="AQ23" i="7"/>
  <c r="AR14" i="7"/>
  <c r="AR32" i="7" s="1"/>
  <c r="AQ32" i="7"/>
  <c r="U11" i="8"/>
  <c r="W11" i="8" s="1"/>
  <c r="E178" i="5"/>
  <c r="E182" i="5" s="1"/>
  <c r="W52" i="7"/>
  <c r="V52" i="7"/>
  <c r="L9" i="8"/>
  <c r="N9" i="8" s="1"/>
  <c r="T126" i="29"/>
  <c r="U9" i="8"/>
  <c r="W9" i="8" s="1"/>
  <c r="V26" i="17"/>
  <c r="W26" i="17" s="1"/>
  <c r="FD42" i="3"/>
  <c r="FD114" i="3"/>
  <c r="FD30" i="3"/>
  <c r="FD54" i="3"/>
  <c r="FD66" i="3"/>
  <c r="FD103" i="3"/>
  <c r="FD126" i="3"/>
  <c r="FD18" i="3"/>
  <c r="FD90" i="3"/>
  <c r="FD78" i="3"/>
  <c r="P40" i="14"/>
  <c r="Z52" i="7"/>
  <c r="X52" i="7"/>
  <c r="F161" i="5"/>
  <c r="F164" i="5" s="1"/>
  <c r="L11" i="8"/>
  <c r="N11" i="8" s="1"/>
  <c r="L8" i="8"/>
  <c r="N8" i="8" s="1"/>
  <c r="I2" i="2"/>
  <c r="EW66" i="3"/>
  <c r="EV63" i="3"/>
  <c r="FA18" i="3"/>
  <c r="FB18" i="3"/>
  <c r="EY42" i="3"/>
  <c r="FB42" i="3"/>
  <c r="U52" i="7"/>
  <c r="EV78" i="3"/>
  <c r="FB54" i="3"/>
  <c r="EW30" i="3"/>
  <c r="EW54" i="3"/>
  <c r="EZ30" i="3"/>
  <c r="FA30" i="3"/>
  <c r="FB30" i="3"/>
  <c r="EY30" i="3"/>
  <c r="FA66" i="3"/>
  <c r="FB78" i="3"/>
  <c r="EW78" i="3"/>
  <c r="EU26" i="3"/>
  <c r="EY18" i="3"/>
  <c r="EZ42" i="3"/>
  <c r="FA54" i="3"/>
  <c r="EV51" i="3"/>
  <c r="EZ18" i="3"/>
  <c r="EX18" i="3"/>
  <c r="EW18" i="3"/>
  <c r="EZ54" i="3"/>
  <c r="EX78" i="3"/>
  <c r="EX66" i="3"/>
  <c r="EW42" i="3"/>
  <c r="EY78" i="3"/>
  <c r="EZ78" i="3"/>
  <c r="EX42" i="3"/>
  <c r="EY54" i="3"/>
  <c r="FA42" i="3"/>
  <c r="EX30" i="3"/>
  <c r="EX54" i="3"/>
  <c r="FA78" i="3"/>
  <c r="EV29" i="3"/>
  <c r="EY66" i="3"/>
  <c r="EZ66" i="3"/>
  <c r="FB66" i="3"/>
  <c r="D2" i="17"/>
  <c r="X2" i="17" s="1"/>
  <c r="D127" i="44"/>
  <c r="E21" i="12"/>
  <c r="V26" i="28"/>
  <c r="X26" i="28" s="1"/>
  <c r="R147" i="10"/>
  <c r="Q143" i="10"/>
  <c r="S142" i="51"/>
  <c r="T146" i="51"/>
  <c r="M42" i="37"/>
  <c r="O42" i="37" s="1"/>
  <c r="M66" i="26"/>
  <c r="O66" i="26" s="1"/>
  <c r="M42" i="26"/>
  <c r="O42" i="26" s="1"/>
  <c r="M66" i="37"/>
  <c r="O66" i="37" s="1"/>
  <c r="M114" i="26"/>
  <c r="O114" i="26" s="1"/>
  <c r="M114" i="37"/>
  <c r="O114" i="37" s="1"/>
  <c r="M91" i="26"/>
  <c r="O91" i="26" s="1"/>
  <c r="M91" i="37"/>
  <c r="O91" i="37" s="1"/>
  <c r="M54" i="26"/>
  <c r="O54" i="26" s="1"/>
  <c r="M30" i="37"/>
  <c r="O30" i="37" s="1"/>
  <c r="M54" i="37"/>
  <c r="O54" i="37" s="1"/>
  <c r="M102" i="26"/>
  <c r="O102" i="26" s="1"/>
  <c r="M18" i="26"/>
  <c r="O18" i="26" s="1"/>
  <c r="M30" i="26"/>
  <c r="O30" i="26" s="1"/>
  <c r="M6" i="26"/>
  <c r="O6" i="26" s="1"/>
  <c r="M6" i="37"/>
  <c r="O6" i="37" s="1"/>
  <c r="M78" i="37"/>
  <c r="O78" i="37" s="1"/>
  <c r="M18" i="37"/>
  <c r="O18" i="37" s="1"/>
  <c r="M78" i="26"/>
  <c r="O78" i="26" s="1"/>
  <c r="S154" i="31"/>
  <c r="S190" i="31"/>
  <c r="S156" i="31"/>
  <c r="S149" i="31"/>
  <c r="S192" i="31"/>
  <c r="S155" i="31"/>
  <c r="S191" i="31"/>
  <c r="S185" i="31"/>
  <c r="S182" i="31"/>
  <c r="S153" i="31"/>
  <c r="S146" i="31"/>
  <c r="S189" i="31"/>
  <c r="S152" i="31"/>
  <c r="S188" i="31"/>
  <c r="S151" i="31"/>
  <c r="S187" i="31"/>
  <c r="S157" i="31"/>
  <c r="S193" i="31"/>
  <c r="S150" i="31"/>
  <c r="S148" i="31"/>
  <c r="S186" i="31"/>
  <c r="S184" i="31"/>
  <c r="G40" i="14"/>
  <c r="H40" i="14" s="1"/>
  <c r="F200" i="51"/>
  <c r="V40" i="28"/>
  <c r="X40" i="28" s="1"/>
  <c r="V37" i="28"/>
  <c r="X37" i="28" s="1"/>
  <c r="V37" i="17"/>
  <c r="W37" i="17" s="1"/>
  <c r="V40" i="17"/>
  <c r="W40" i="17" s="1"/>
  <c r="D15" i="19"/>
  <c r="D69" i="19"/>
  <c r="D67" i="19"/>
  <c r="D36" i="19"/>
  <c r="D72" i="19"/>
  <c r="D12" i="19"/>
  <c r="D40" i="19"/>
  <c r="D68" i="19"/>
  <c r="O2" i="2"/>
  <c r="D2" i="19"/>
  <c r="D8" i="19"/>
  <c r="D58" i="17"/>
  <c r="I10" i="2"/>
  <c r="D10" i="17"/>
  <c r="X10" i="17" s="1"/>
  <c r="Y10" i="17" s="1"/>
  <c r="D47" i="17"/>
  <c r="D30" i="17"/>
  <c r="D31" i="19"/>
  <c r="D9" i="19"/>
  <c r="D41" i="19"/>
  <c r="D22" i="19"/>
  <c r="D5" i="19"/>
  <c r="D70" i="19"/>
  <c r="D26" i="19"/>
  <c r="D64" i="19"/>
  <c r="D57" i="19"/>
  <c r="D6" i="19"/>
  <c r="D48" i="17"/>
  <c r="I7" i="2"/>
  <c r="FO7" i="2" s="1"/>
  <c r="D7" i="17"/>
  <c r="X7" i="17" s="1"/>
  <c r="D32" i="17"/>
  <c r="D45" i="17"/>
  <c r="I20" i="2"/>
  <c r="D20" i="17"/>
  <c r="X20" i="17" s="1"/>
  <c r="D56" i="17"/>
  <c r="D36" i="17"/>
  <c r="D3" i="19"/>
  <c r="D60" i="19"/>
  <c r="D13" i="19"/>
  <c r="D21" i="19"/>
  <c r="D54" i="19"/>
  <c r="D31" i="17"/>
  <c r="D68" i="17"/>
  <c r="I22" i="2"/>
  <c r="D22" i="17"/>
  <c r="X22" i="17" s="1"/>
  <c r="Y22" i="17" s="1"/>
  <c r="I26" i="2"/>
  <c r="FO26" i="2" s="1"/>
  <c r="D26" i="17"/>
  <c r="X26" i="17" s="1"/>
  <c r="I13" i="2"/>
  <c r="D13" i="17"/>
  <c r="X13" i="17" s="1"/>
  <c r="D53" i="17"/>
  <c r="D44" i="17"/>
  <c r="I18" i="2"/>
  <c r="FO18" i="2" s="1"/>
  <c r="D18" i="17"/>
  <c r="X18" i="17" s="1"/>
  <c r="D59" i="17"/>
  <c r="D43" i="17"/>
  <c r="D60" i="17"/>
  <c r="I21" i="2"/>
  <c r="D21" i="17"/>
  <c r="X21" i="17" s="1"/>
  <c r="Y21" i="17" s="1"/>
  <c r="D59" i="19"/>
  <c r="D55" i="19"/>
  <c r="D50" i="19"/>
  <c r="D23" i="19"/>
  <c r="D48" i="19"/>
  <c r="D54" i="17"/>
  <c r="I40" i="2"/>
  <c r="D40" i="17"/>
  <c r="D63" i="17"/>
  <c r="D29" i="17"/>
  <c r="D63" i="19"/>
  <c r="D37" i="19"/>
  <c r="I12" i="2"/>
  <c r="D12" i="17"/>
  <c r="X12" i="17" s="1"/>
  <c r="I24" i="2"/>
  <c r="D24" i="17"/>
  <c r="X24" i="17" s="1"/>
  <c r="D61" i="17"/>
  <c r="I17" i="2"/>
  <c r="D17" i="17"/>
  <c r="X17" i="17" s="1"/>
  <c r="Y17" i="17" s="1"/>
  <c r="D61" i="19"/>
  <c r="D56" i="19"/>
  <c r="D33" i="19"/>
  <c r="D52" i="19"/>
  <c r="D24" i="19"/>
  <c r="D47" i="19"/>
  <c r="D14" i="19"/>
  <c r="I11" i="2"/>
  <c r="D11" i="17"/>
  <c r="X11" i="17" s="1"/>
  <c r="D35" i="17"/>
  <c r="I4" i="2"/>
  <c r="D4" i="17"/>
  <c r="X4" i="17" s="1"/>
  <c r="D7" i="19"/>
  <c r="D71" i="19"/>
  <c r="D25" i="19"/>
  <c r="D34" i="19"/>
  <c r="D52" i="17"/>
  <c r="D28" i="17"/>
  <c r="I5" i="2"/>
  <c r="D5" i="17"/>
  <c r="X5" i="17" s="1"/>
  <c r="D73" i="17"/>
  <c r="D38" i="17"/>
  <c r="D58" i="19"/>
  <c r="D39" i="17"/>
  <c r="D27" i="17"/>
  <c r="D66" i="17"/>
  <c r="I6" i="2"/>
  <c r="D6" i="17"/>
  <c r="X6" i="17" s="1"/>
  <c r="I19" i="2"/>
  <c r="D19" i="17"/>
  <c r="X19" i="17" s="1"/>
  <c r="D38" i="19"/>
  <c r="D4" i="19"/>
  <c r="D20" i="19"/>
  <c r="D16" i="19"/>
  <c r="D18" i="19"/>
  <c r="D43" i="19"/>
  <c r="D30" i="19"/>
  <c r="D29" i="19"/>
  <c r="D46" i="19"/>
  <c r="D64" i="17"/>
  <c r="I8" i="2"/>
  <c r="D8" i="17"/>
  <c r="X8" i="17" s="1"/>
  <c r="I25" i="2"/>
  <c r="D25" i="17"/>
  <c r="X25" i="17" s="1"/>
  <c r="Y25" i="17" s="1"/>
  <c r="D57" i="17"/>
  <c r="D69" i="17"/>
  <c r="D42" i="19"/>
  <c r="D27" i="19"/>
  <c r="D11" i="19"/>
  <c r="D65" i="19"/>
  <c r="I23" i="2"/>
  <c r="D23" i="17"/>
  <c r="X23" i="17" s="1"/>
  <c r="D50" i="17"/>
  <c r="I3" i="2"/>
  <c r="D3" i="17"/>
  <c r="X3" i="17" s="1"/>
  <c r="D65" i="17"/>
  <c r="D34" i="17"/>
  <c r="D32" i="19"/>
  <c r="D28" i="19"/>
  <c r="D53" i="19"/>
  <c r="I9" i="2"/>
  <c r="D9" i="17"/>
  <c r="X9" i="17" s="1"/>
  <c r="I15" i="2"/>
  <c r="D15" i="17"/>
  <c r="X15" i="17" s="1"/>
  <c r="Y15" i="17" s="1"/>
  <c r="I16" i="2"/>
  <c r="D16" i="17"/>
  <c r="X16" i="17" s="1"/>
  <c r="Y16" i="17" s="1"/>
  <c r="D71" i="17"/>
  <c r="D55" i="17"/>
  <c r="D73" i="19"/>
  <c r="D49" i="19"/>
  <c r="D45" i="19"/>
  <c r="D44" i="19"/>
  <c r="D62" i="19"/>
  <c r="D19" i="19"/>
  <c r="D10" i="19"/>
  <c r="D37" i="17"/>
  <c r="D51" i="17"/>
  <c r="D46" i="17"/>
  <c r="D41" i="17"/>
  <c r="D72" i="17"/>
  <c r="D62" i="17"/>
  <c r="D42" i="17"/>
  <c r="D70" i="17"/>
  <c r="V17" i="19"/>
  <c r="W17" i="19" s="1"/>
  <c r="V113" i="28"/>
  <c r="V35" i="17"/>
  <c r="W35" i="17" s="1"/>
  <c r="V35" i="28"/>
  <c r="X35" i="28" s="1"/>
  <c r="V82" i="28"/>
  <c r="V89" i="28"/>
  <c r="T39" i="29"/>
  <c r="V39" i="29" s="1"/>
  <c r="T102" i="29"/>
  <c r="T93" i="29"/>
  <c r="T70" i="29"/>
  <c r="V121" i="28"/>
  <c r="T108" i="29"/>
  <c r="V66" i="28"/>
  <c r="V77" i="28"/>
  <c r="V36" i="17"/>
  <c r="W36" i="17" s="1"/>
  <c r="V36" i="28"/>
  <c r="X36" i="28" s="1"/>
  <c r="V72" i="28"/>
  <c r="V91" i="28"/>
  <c r="V41" i="17"/>
  <c r="W41" i="17" s="1"/>
  <c r="V41" i="28"/>
  <c r="X41" i="28" s="1"/>
  <c r="V90" i="28"/>
  <c r="T103" i="29"/>
  <c r="T74" i="29"/>
  <c r="T62" i="29"/>
  <c r="T107" i="29"/>
  <c r="T94" i="29"/>
  <c r="V58" i="28"/>
  <c r="V29" i="17"/>
  <c r="W29" i="17" s="1"/>
  <c r="V29" i="28"/>
  <c r="X29" i="28" s="1"/>
  <c r="V81" i="28"/>
  <c r="V80" i="28"/>
  <c r="V120" i="28"/>
  <c r="V46" i="17"/>
  <c r="W46" i="17" s="1"/>
  <c r="V46" i="28"/>
  <c r="X46" i="28" s="1"/>
  <c r="T44" i="19"/>
  <c r="U44" i="19" s="1"/>
  <c r="T44" i="29"/>
  <c r="V44" i="29" s="1"/>
  <c r="T96" i="29"/>
  <c r="T80" i="29"/>
  <c r="T60" i="29"/>
  <c r="V70" i="28"/>
  <c r="V64" i="28"/>
  <c r="V108" i="28"/>
  <c r="T79" i="29"/>
  <c r="T33" i="19"/>
  <c r="U33" i="19" s="1"/>
  <c r="T33" i="29"/>
  <c r="V33" i="29" s="1"/>
  <c r="V97" i="28"/>
  <c r="T119" i="29"/>
  <c r="T88" i="29"/>
  <c r="T106" i="29"/>
  <c r="T90" i="29"/>
  <c r="V92" i="28"/>
  <c r="V79" i="28"/>
  <c r="V101" i="28"/>
  <c r="T120" i="29"/>
  <c r="T30" i="19"/>
  <c r="U30" i="19" s="1"/>
  <c r="T30" i="29"/>
  <c r="V30" i="29" s="1"/>
  <c r="V43" i="17"/>
  <c r="W43" i="17" s="1"/>
  <c r="V43" i="28"/>
  <c r="X43" i="28" s="1"/>
  <c r="V111" i="28"/>
  <c r="T110" i="29"/>
  <c r="T57" i="29"/>
  <c r="V102" i="28"/>
  <c r="V44" i="17"/>
  <c r="W44" i="17" s="1"/>
  <c r="V44" i="28"/>
  <c r="X44" i="28" s="1"/>
  <c r="V53" i="28"/>
  <c r="V65" i="28"/>
  <c r="V99" i="28"/>
  <c r="T115" i="29"/>
  <c r="T36" i="19"/>
  <c r="U36" i="19" s="1"/>
  <c r="T36" i="29"/>
  <c r="V36" i="29" s="1"/>
  <c r="T53" i="29"/>
  <c r="T68" i="29"/>
  <c r="T40" i="19"/>
  <c r="U40" i="19" s="1"/>
  <c r="T40" i="29"/>
  <c r="V40" i="29" s="1"/>
  <c r="T45" i="19"/>
  <c r="U45" i="19" s="1"/>
  <c r="T45" i="29"/>
  <c r="V45" i="29" s="1"/>
  <c r="T97" i="29"/>
  <c r="V117" i="28"/>
  <c r="V55" i="28"/>
  <c r="V76" i="28"/>
  <c r="V104" i="28"/>
  <c r="V49" i="28"/>
  <c r="X49" i="28" s="1"/>
  <c r="T29" i="19"/>
  <c r="U29" i="19" s="1"/>
  <c r="T29" i="29"/>
  <c r="V29" i="29" s="1"/>
  <c r="T76" i="29"/>
  <c r="T83" i="29"/>
  <c r="T38" i="19"/>
  <c r="U38" i="19" s="1"/>
  <c r="T38" i="29"/>
  <c r="V38" i="29" s="1"/>
  <c r="T69" i="29"/>
  <c r="V105" i="28"/>
  <c r="V74" i="28"/>
  <c r="V57" i="28"/>
  <c r="V71" i="28"/>
  <c r="T73" i="29"/>
  <c r="T114" i="29"/>
  <c r="T27" i="19"/>
  <c r="U27" i="19" s="1"/>
  <c r="T27" i="29"/>
  <c r="V27" i="29" s="1"/>
  <c r="T86" i="29"/>
  <c r="T92" i="29"/>
  <c r="T98" i="29"/>
  <c r="T47" i="19"/>
  <c r="U47" i="19" s="1"/>
  <c r="T47" i="29"/>
  <c r="V47" i="29" s="1"/>
  <c r="T95" i="29"/>
  <c r="V51" i="28"/>
  <c r="V52" i="28"/>
  <c r="V75" i="28"/>
  <c r="T82" i="29"/>
  <c r="V45" i="17"/>
  <c r="W45" i="17" s="1"/>
  <c r="V45" i="28"/>
  <c r="X45" i="28" s="1"/>
  <c r="T35" i="29"/>
  <c r="V35" i="29" s="1"/>
  <c r="T99" i="29"/>
  <c r="T111" i="29"/>
  <c r="V107" i="28"/>
  <c r="T64" i="29"/>
  <c r="V100" i="28"/>
  <c r="V30" i="17"/>
  <c r="W30" i="17" s="1"/>
  <c r="V30" i="28"/>
  <c r="X30" i="28" s="1"/>
  <c r="V59" i="28"/>
  <c r="V62" i="28"/>
  <c r="T121" i="29"/>
  <c r="T32" i="19"/>
  <c r="U32" i="19" s="1"/>
  <c r="T32" i="29"/>
  <c r="V32" i="29" s="1"/>
  <c r="T41" i="19"/>
  <c r="U41" i="19" s="1"/>
  <c r="T41" i="29"/>
  <c r="V41" i="29" s="1"/>
  <c r="T42" i="19"/>
  <c r="U42" i="19" s="1"/>
  <c r="T42" i="29"/>
  <c r="V42" i="29" s="1"/>
  <c r="T59" i="29"/>
  <c r="T46" i="19"/>
  <c r="U46" i="19" s="1"/>
  <c r="T46" i="29"/>
  <c r="V46" i="29" s="1"/>
  <c r="V39" i="17"/>
  <c r="W39" i="17" s="1"/>
  <c r="V39" i="28"/>
  <c r="X39" i="28" s="1"/>
  <c r="V28" i="17"/>
  <c r="W28" i="17" s="1"/>
  <c r="V28" i="28"/>
  <c r="X28" i="28" s="1"/>
  <c r="V56" i="28"/>
  <c r="V83" i="28"/>
  <c r="V116" i="28"/>
  <c r="T113" i="29"/>
  <c r="T31" i="19"/>
  <c r="U31" i="19" s="1"/>
  <c r="T31" i="29"/>
  <c r="V31" i="29" s="1"/>
  <c r="V93" i="28"/>
  <c r="V114" i="28"/>
  <c r="T104" i="29"/>
  <c r="T63" i="29"/>
  <c r="V118" i="28"/>
  <c r="V110" i="28"/>
  <c r="V31" i="17"/>
  <c r="W31" i="17" s="1"/>
  <c r="X31" i="17" s="1"/>
  <c r="Y31" i="17" s="1"/>
  <c r="V31" i="28"/>
  <c r="X31" i="28" s="1"/>
  <c r="V85" i="28"/>
  <c r="V86" i="28"/>
  <c r="T58" i="29"/>
  <c r="V42" i="17"/>
  <c r="W42" i="17" s="1"/>
  <c r="V42" i="28"/>
  <c r="X42" i="28" s="1"/>
  <c r="T28" i="19"/>
  <c r="U28" i="19" s="1"/>
  <c r="T28" i="29"/>
  <c r="V28" i="29" s="1"/>
  <c r="T51" i="29"/>
  <c r="T65" i="29"/>
  <c r="V109" i="28"/>
  <c r="T43" i="19"/>
  <c r="U43" i="19" s="1"/>
  <c r="T43" i="29"/>
  <c r="V43" i="29" s="1"/>
  <c r="V115" i="28"/>
  <c r="V54" i="28"/>
  <c r="V33" i="28"/>
  <c r="X33" i="28" s="1"/>
  <c r="V60" i="28"/>
  <c r="V106" i="28"/>
  <c r="T67" i="29"/>
  <c r="T112" i="29"/>
  <c r="T34" i="19"/>
  <c r="U34" i="19" s="1"/>
  <c r="T34" i="29"/>
  <c r="V34" i="29" s="1"/>
  <c r="T77" i="29"/>
  <c r="T78" i="29"/>
  <c r="T56" i="29"/>
  <c r="V69" i="28"/>
  <c r="T52" i="29"/>
  <c r="V67" i="28"/>
  <c r="V34" i="17"/>
  <c r="W34" i="17" s="1"/>
  <c r="V34" i="28"/>
  <c r="X34" i="28" s="1"/>
  <c r="V84" i="28"/>
  <c r="V87" i="28"/>
  <c r="T81" i="29"/>
  <c r="V48" i="17"/>
  <c r="W48" i="17" s="1"/>
  <c r="V48" i="28"/>
  <c r="X48" i="28" s="1"/>
  <c r="T37" i="19"/>
  <c r="U37" i="19" s="1"/>
  <c r="T37" i="29"/>
  <c r="V37" i="29" s="1"/>
  <c r="T89" i="29"/>
  <c r="T87" i="29"/>
  <c r="T109" i="29"/>
  <c r="T72" i="29"/>
  <c r="V38" i="17"/>
  <c r="W38" i="17" s="1"/>
  <c r="V38" i="28"/>
  <c r="X38" i="28" s="1"/>
  <c r="V96" i="28"/>
  <c r="V27" i="17"/>
  <c r="W27" i="17" s="1"/>
  <c r="V27" i="28"/>
  <c r="X27" i="28" s="1"/>
  <c r="V50" i="28"/>
  <c r="V94" i="28"/>
  <c r="T100" i="29"/>
  <c r="T50" i="29"/>
  <c r="T54" i="29"/>
  <c r="T101" i="29"/>
  <c r="T118" i="29"/>
  <c r="V103" i="28"/>
  <c r="V63" i="28"/>
  <c r="V47" i="17"/>
  <c r="W47" i="17" s="1"/>
  <c r="V47" i="28"/>
  <c r="X47" i="28" s="1"/>
  <c r="V32" i="17"/>
  <c r="W32" i="17" s="1"/>
  <c r="V32" i="28"/>
  <c r="X32" i="28" s="1"/>
  <c r="V68" i="28"/>
  <c r="V88" i="28"/>
  <c r="T116" i="29"/>
  <c r="T85" i="29"/>
  <c r="T84" i="29"/>
  <c r="V119" i="28"/>
  <c r="T49" i="19"/>
  <c r="U49" i="19" s="1"/>
  <c r="T49" i="29"/>
  <c r="V49" i="29" s="1"/>
  <c r="T55" i="29"/>
  <c r="T71" i="29"/>
  <c r="I49" i="2"/>
  <c r="V49" i="17"/>
  <c r="W49" i="17" s="1"/>
  <c r="X49" i="17" s="1"/>
  <c r="O35" i="2"/>
  <c r="T35" i="19"/>
  <c r="U35" i="19" s="1"/>
  <c r="I35" i="2"/>
  <c r="I33" i="2"/>
  <c r="V33" i="17"/>
  <c r="W33" i="17" s="1"/>
  <c r="O39" i="2"/>
  <c r="T39" i="19"/>
  <c r="U39" i="19" s="1"/>
  <c r="I47" i="2"/>
  <c r="I46" i="2"/>
  <c r="I48" i="2"/>
  <c r="I39" i="2"/>
  <c r="I36" i="2"/>
  <c r="I30" i="2"/>
  <c r="O30" i="2"/>
  <c r="O21" i="2"/>
  <c r="O10" i="2"/>
  <c r="O44" i="2"/>
  <c r="O45" i="2"/>
  <c r="O16" i="2"/>
  <c r="O38" i="2"/>
  <c r="O3" i="2"/>
  <c r="O12" i="2"/>
  <c r="I31" i="2"/>
  <c r="I34" i="2"/>
  <c r="O40" i="2"/>
  <c r="O41" i="2"/>
  <c r="O28" i="2"/>
  <c r="O14" i="2"/>
  <c r="O6" i="2"/>
  <c r="O18" i="2"/>
  <c r="O37" i="2"/>
  <c r="O24" i="2"/>
  <c r="O4" i="2"/>
  <c r="I43" i="2"/>
  <c r="O19" i="2"/>
  <c r="O42" i="2"/>
  <c r="O23" i="2"/>
  <c r="O31" i="2"/>
  <c r="O33" i="2"/>
  <c r="O29" i="2"/>
  <c r="O11" i="2"/>
  <c r="O5" i="2"/>
  <c r="O9" i="2"/>
  <c r="O26" i="2"/>
  <c r="O22" i="2"/>
  <c r="O47" i="2"/>
  <c r="O13" i="2"/>
  <c r="I41" i="2"/>
  <c r="O32" i="2"/>
  <c r="O15" i="2"/>
  <c r="O36" i="2"/>
  <c r="O7" i="2"/>
  <c r="O25" i="2"/>
  <c r="O48" i="2"/>
  <c r="I42" i="2"/>
  <c r="O20" i="2"/>
  <c r="O43" i="2"/>
  <c r="O27" i="2"/>
  <c r="O49" i="2"/>
  <c r="O34" i="2"/>
  <c r="O8" i="2"/>
  <c r="O46" i="2"/>
  <c r="I32" i="2"/>
  <c r="I45" i="2"/>
  <c r="I38" i="2"/>
  <c r="I29" i="2"/>
  <c r="I27" i="2"/>
  <c r="I28" i="2"/>
  <c r="I44" i="2"/>
  <c r="U41" i="7"/>
  <c r="I37" i="2"/>
  <c r="U40" i="7"/>
  <c r="U43" i="7"/>
  <c r="U38" i="7"/>
  <c r="U39" i="7"/>
  <c r="R7" i="8"/>
  <c r="T7" i="8" s="1"/>
  <c r="AB52" i="7"/>
  <c r="AA38" i="7"/>
  <c r="T42" i="7"/>
  <c r="Z40" i="7"/>
  <c r="AA39" i="7"/>
  <c r="T52" i="7"/>
  <c r="C28" i="73"/>
  <c r="G134" i="5"/>
  <c r="C128" i="5"/>
  <c r="W11" i="5" s="1"/>
  <c r="T36" i="7"/>
  <c r="T43" i="7"/>
  <c r="G130" i="5"/>
  <c r="Z43" i="7"/>
  <c r="G136" i="5"/>
  <c r="G138" i="5"/>
  <c r="G137" i="5"/>
  <c r="G132" i="5"/>
  <c r="G133" i="5"/>
  <c r="G135" i="5"/>
  <c r="G129" i="5"/>
  <c r="AA12" i="5" s="1"/>
  <c r="Z83" i="7"/>
  <c r="Z38" i="7"/>
  <c r="AA41" i="7"/>
  <c r="AA40" i="7"/>
  <c r="AA36" i="7"/>
  <c r="G131" i="5"/>
  <c r="T38" i="7"/>
  <c r="AA43" i="7"/>
  <c r="X41" i="7"/>
  <c r="D135" i="5"/>
  <c r="D129" i="5"/>
  <c r="X12" i="5" s="1"/>
  <c r="D131" i="5"/>
  <c r="D133" i="5"/>
  <c r="D136" i="5"/>
  <c r="D137" i="5"/>
  <c r="D134" i="5"/>
  <c r="D138" i="5"/>
  <c r="F137" i="5"/>
  <c r="D130" i="5"/>
  <c r="F131" i="5"/>
  <c r="D132" i="5"/>
  <c r="F135" i="5"/>
  <c r="F129" i="5"/>
  <c r="Z12" i="5" s="1"/>
  <c r="F130" i="5"/>
  <c r="F132" i="5"/>
  <c r="F134" i="5"/>
  <c r="F136" i="5"/>
  <c r="F133" i="5"/>
  <c r="X43" i="7"/>
  <c r="T41" i="7"/>
  <c r="T40" i="7"/>
  <c r="AB38" i="7"/>
  <c r="F138" i="5"/>
  <c r="X42" i="7"/>
  <c r="AB12" i="5"/>
  <c r="AM69" i="7"/>
  <c r="AG87" i="7"/>
  <c r="G186" i="5"/>
  <c r="G187" i="5"/>
  <c r="G189" i="5"/>
  <c r="G188" i="5"/>
  <c r="C198" i="5"/>
  <c r="C197" i="5"/>
  <c r="AB40" i="7"/>
  <c r="H188" i="5"/>
  <c r="H189" i="5"/>
  <c r="H186" i="5"/>
  <c r="H187" i="5"/>
  <c r="C194" i="5"/>
  <c r="C192" i="5"/>
  <c r="C193" i="5"/>
  <c r="R10" i="8"/>
  <c r="F196" i="5"/>
  <c r="F188" i="5"/>
  <c r="F186" i="5"/>
  <c r="F187" i="5"/>
  <c r="F189" i="5"/>
  <c r="E129" i="5"/>
  <c r="Y12" i="5" s="1"/>
  <c r="E138" i="5"/>
  <c r="E134" i="5"/>
  <c r="E137" i="5"/>
  <c r="E136" i="5"/>
  <c r="E131" i="5"/>
  <c r="E133" i="5"/>
  <c r="E135" i="5"/>
  <c r="E132" i="5"/>
  <c r="E130" i="5"/>
  <c r="D187" i="5"/>
  <c r="D188" i="5"/>
  <c r="D186" i="5"/>
  <c r="D189" i="5"/>
  <c r="O10" i="8"/>
  <c r="Q10" i="8" s="1"/>
  <c r="AE10" i="8" s="1"/>
  <c r="F31" i="73" s="1"/>
  <c r="F191" i="5"/>
  <c r="I7" i="8"/>
  <c r="K7" i="8" s="1"/>
  <c r="D28" i="73" s="1"/>
  <c r="C178" i="5"/>
  <c r="R11" i="8"/>
  <c r="T11" i="8" s="1"/>
  <c r="G196" i="5"/>
  <c r="R8" i="8"/>
  <c r="T8" i="8" s="1"/>
  <c r="D196" i="5"/>
  <c r="O9" i="8"/>
  <c r="Q9" i="8" s="1"/>
  <c r="AE9" i="8" s="1"/>
  <c r="F30" i="73" s="1"/>
  <c r="E191" i="5"/>
  <c r="E188" i="5"/>
  <c r="E187" i="5"/>
  <c r="E186" i="5"/>
  <c r="E189" i="5"/>
  <c r="R9" i="8"/>
  <c r="T9" i="8" s="1"/>
  <c r="E196" i="5"/>
  <c r="O12" i="8"/>
  <c r="Q12" i="8" s="1"/>
  <c r="AE12" i="8" s="1"/>
  <c r="H191" i="5"/>
  <c r="O8" i="8"/>
  <c r="Q8" i="8" s="1"/>
  <c r="AE8" i="8" s="1"/>
  <c r="F29" i="73" s="1"/>
  <c r="D191" i="5"/>
  <c r="Z41" i="7"/>
  <c r="R12" i="8"/>
  <c r="T12" i="8" s="1"/>
  <c r="H196" i="5"/>
  <c r="Z39" i="7"/>
  <c r="O11" i="8"/>
  <c r="Q11" i="8" s="1"/>
  <c r="AE11" i="8" s="1"/>
  <c r="F32" i="73" s="1"/>
  <c r="G191" i="5"/>
  <c r="C186" i="5"/>
  <c r="C188" i="5"/>
  <c r="C189" i="5"/>
  <c r="C187" i="5"/>
  <c r="D179" i="5"/>
  <c r="D182" i="5"/>
  <c r="D183" i="5"/>
  <c r="D181" i="5"/>
  <c r="D180" i="5"/>
  <c r="H180" i="5"/>
  <c r="H183" i="5"/>
  <c r="H181" i="5"/>
  <c r="H179" i="5"/>
  <c r="H182" i="5"/>
  <c r="G180" i="5"/>
  <c r="G183" i="5"/>
  <c r="G181" i="5"/>
  <c r="G182" i="5"/>
  <c r="G179" i="5"/>
  <c r="F182" i="5"/>
  <c r="F180" i="5"/>
  <c r="F183" i="5"/>
  <c r="F179" i="5"/>
  <c r="F181" i="5"/>
  <c r="H173" i="5"/>
  <c r="H176" i="5"/>
  <c r="H172" i="5"/>
  <c r="H174" i="5"/>
  <c r="H175" i="5"/>
  <c r="H171" i="5"/>
  <c r="D172" i="5"/>
  <c r="D173" i="5"/>
  <c r="D175" i="5"/>
  <c r="D176" i="5"/>
  <c r="D171" i="5"/>
  <c r="D174" i="5"/>
  <c r="C176" i="5"/>
  <c r="C172" i="5"/>
  <c r="C175" i="5"/>
  <c r="C171" i="5"/>
  <c r="C173" i="5"/>
  <c r="C174" i="5"/>
  <c r="E175" i="5"/>
  <c r="E173" i="5"/>
  <c r="E176" i="5"/>
  <c r="E172" i="5"/>
  <c r="E174" i="5"/>
  <c r="E171" i="5"/>
  <c r="F175" i="5"/>
  <c r="F174" i="5"/>
  <c r="F172" i="5"/>
  <c r="F173" i="5"/>
  <c r="F171" i="5"/>
  <c r="F176" i="5"/>
  <c r="G176" i="5"/>
  <c r="G173" i="5"/>
  <c r="G171" i="5"/>
  <c r="G172" i="5"/>
  <c r="G175" i="5"/>
  <c r="G174" i="5"/>
  <c r="C164" i="5"/>
  <c r="C165" i="5"/>
  <c r="C167" i="5"/>
  <c r="C162" i="5"/>
  <c r="C168" i="5"/>
  <c r="C163" i="5"/>
  <c r="C166" i="5"/>
  <c r="H162" i="5"/>
  <c r="H165" i="5"/>
  <c r="H163" i="5"/>
  <c r="H168" i="5"/>
  <c r="H166" i="5"/>
  <c r="H167" i="5"/>
  <c r="H164" i="5"/>
  <c r="G162" i="5"/>
  <c r="G167" i="5"/>
  <c r="G163" i="5"/>
  <c r="G166" i="5"/>
  <c r="G164" i="5"/>
  <c r="G165" i="5"/>
  <c r="G168" i="5"/>
  <c r="D164" i="5"/>
  <c r="D167" i="5"/>
  <c r="D168" i="5"/>
  <c r="D162" i="5"/>
  <c r="D165" i="5"/>
  <c r="D163" i="5"/>
  <c r="D166" i="5"/>
  <c r="E167" i="5"/>
  <c r="E165" i="5"/>
  <c r="E163" i="5"/>
  <c r="E164" i="5"/>
  <c r="E162" i="5"/>
  <c r="E166" i="5"/>
  <c r="E168" i="5"/>
  <c r="C156" i="5"/>
  <c r="C155" i="5"/>
  <c r="C153" i="5"/>
  <c r="C159" i="5"/>
  <c r="C152" i="5"/>
  <c r="C158" i="5"/>
  <c r="C154" i="5"/>
  <c r="C157" i="5"/>
  <c r="D158" i="5"/>
  <c r="D156" i="5"/>
  <c r="D159" i="5"/>
  <c r="D157" i="5"/>
  <c r="D152" i="5"/>
  <c r="D153" i="5"/>
  <c r="D154" i="5"/>
  <c r="D155" i="5"/>
  <c r="F153" i="5"/>
  <c r="F159" i="5"/>
  <c r="F154" i="5"/>
  <c r="F155" i="5"/>
  <c r="F158" i="5"/>
  <c r="F157" i="5"/>
  <c r="F152" i="5"/>
  <c r="F156" i="5"/>
  <c r="E159" i="5"/>
  <c r="E155" i="5"/>
  <c r="E154" i="5"/>
  <c r="E158" i="5"/>
  <c r="E153" i="5"/>
  <c r="E156" i="5"/>
  <c r="E157" i="5"/>
  <c r="E152" i="5"/>
  <c r="G159" i="5"/>
  <c r="G154" i="5"/>
  <c r="G157" i="5"/>
  <c r="G158" i="5"/>
  <c r="G153" i="5"/>
  <c r="G152" i="5"/>
  <c r="G156" i="5"/>
  <c r="G155" i="5"/>
  <c r="H156" i="5"/>
  <c r="H154" i="5"/>
  <c r="H153" i="5"/>
  <c r="H157" i="5"/>
  <c r="H155" i="5"/>
  <c r="H152" i="5"/>
  <c r="H159" i="5"/>
  <c r="H158" i="5"/>
  <c r="G144" i="5"/>
  <c r="G147" i="5"/>
  <c r="G146" i="5"/>
  <c r="G149" i="5"/>
  <c r="G142" i="5"/>
  <c r="G143" i="5"/>
  <c r="G148" i="5"/>
  <c r="G145" i="5"/>
  <c r="G141" i="5"/>
  <c r="E143" i="5"/>
  <c r="E144" i="5"/>
  <c r="E148" i="5"/>
  <c r="E141" i="5"/>
  <c r="E147" i="5"/>
  <c r="E145" i="5"/>
  <c r="E149" i="5"/>
  <c r="E142" i="5"/>
  <c r="E146" i="5"/>
  <c r="D148" i="5"/>
  <c r="D143" i="5"/>
  <c r="D149" i="5"/>
  <c r="D141" i="5"/>
  <c r="D142" i="5"/>
  <c r="D144" i="5"/>
  <c r="D145" i="5"/>
  <c r="D147" i="5"/>
  <c r="D146" i="5"/>
  <c r="C148" i="5"/>
  <c r="C149" i="5"/>
  <c r="C141" i="5"/>
  <c r="C145" i="5"/>
  <c r="C143" i="5"/>
  <c r="C146" i="5"/>
  <c r="C144" i="5"/>
  <c r="C147" i="5"/>
  <c r="C142" i="5"/>
  <c r="F143" i="5"/>
  <c r="F146" i="5"/>
  <c r="F144" i="5"/>
  <c r="F141" i="5"/>
  <c r="F149" i="5"/>
  <c r="F147" i="5"/>
  <c r="F148" i="5"/>
  <c r="F142" i="5"/>
  <c r="F145" i="5"/>
  <c r="H146" i="5"/>
  <c r="H149" i="5"/>
  <c r="H141" i="5"/>
  <c r="AB13" i="5" s="1"/>
  <c r="H147" i="5"/>
  <c r="H142" i="5"/>
  <c r="H145" i="5"/>
  <c r="H144" i="5"/>
  <c r="H148" i="5"/>
  <c r="H143" i="5"/>
  <c r="AI77" i="7"/>
  <c r="AG77" i="7"/>
  <c r="AJ77" i="7"/>
  <c r="AH77" i="7"/>
  <c r="AG78" i="7"/>
  <c r="AH78" i="7"/>
  <c r="AJ78" i="7"/>
  <c r="AI78" i="7"/>
  <c r="Y42" i="7"/>
  <c r="Y40" i="7"/>
  <c r="O7" i="8"/>
  <c r="Q7" i="8" s="1"/>
  <c r="AA52" i="7"/>
  <c r="Y38" i="7"/>
  <c r="X38" i="7"/>
  <c r="Y41" i="7"/>
  <c r="X40" i="7"/>
  <c r="W38" i="7"/>
  <c r="W40" i="7"/>
  <c r="V40" i="7"/>
  <c r="W39" i="7"/>
  <c r="V42" i="7"/>
  <c r="W42" i="7"/>
  <c r="V41" i="7"/>
  <c r="J63" i="7"/>
  <c r="J73" i="7" s="1"/>
  <c r="W41" i="7"/>
  <c r="V38" i="7"/>
  <c r="V43" i="7"/>
  <c r="Y39" i="7"/>
  <c r="AB43" i="7"/>
  <c r="AB41" i="7"/>
  <c r="AB39" i="7"/>
  <c r="AB42" i="7"/>
  <c r="S87" i="7"/>
  <c r="V87" i="7"/>
  <c r="W87" i="7"/>
  <c r="X87" i="7"/>
  <c r="U87" i="7"/>
  <c r="T87" i="7"/>
  <c r="AC32" i="7"/>
  <c r="AC43" i="7" s="1"/>
  <c r="G200" i="51"/>
  <c r="S187" i="35"/>
  <c r="Q148" i="36"/>
  <c r="U193" i="34"/>
  <c r="S152" i="29"/>
  <c r="U182" i="34"/>
  <c r="Q186" i="36"/>
  <c r="U149" i="34"/>
  <c r="U189" i="34"/>
  <c r="Q184" i="36"/>
  <c r="U157" i="34"/>
  <c r="S188" i="29"/>
  <c r="U146" i="34"/>
  <c r="U185" i="34"/>
  <c r="Q155" i="36"/>
  <c r="Q150" i="30"/>
  <c r="Q156" i="30"/>
  <c r="S150" i="35"/>
  <c r="S153" i="35"/>
  <c r="Q191" i="36"/>
  <c r="Q149" i="30"/>
  <c r="U155" i="34"/>
  <c r="Q186" i="30"/>
  <c r="U154" i="34"/>
  <c r="Q192" i="30"/>
  <c r="S186" i="35"/>
  <c r="AI61" i="7"/>
  <c r="AJ62" i="7"/>
  <c r="S189" i="35"/>
  <c r="Q182" i="30"/>
  <c r="Q185" i="30"/>
  <c r="S193" i="35"/>
  <c r="Q152" i="36"/>
  <c r="U191" i="34"/>
  <c r="S152" i="35"/>
  <c r="Q155" i="30"/>
  <c r="U190" i="34"/>
  <c r="N113" i="5"/>
  <c r="N54" i="5"/>
  <c r="N17" i="5"/>
  <c r="N116" i="5"/>
  <c r="N106" i="5"/>
  <c r="N78" i="5"/>
  <c r="N82" i="5"/>
  <c r="N122" i="5"/>
  <c r="N61" i="5"/>
  <c r="N96" i="5"/>
  <c r="N114" i="5"/>
  <c r="N38" i="5"/>
  <c r="N69" i="5"/>
  <c r="N16" i="5"/>
  <c r="N117" i="5"/>
  <c r="N104" i="5"/>
  <c r="N63" i="5"/>
  <c r="N50" i="5"/>
  <c r="N21" i="5"/>
  <c r="N89" i="5"/>
  <c r="N64" i="5"/>
  <c r="N58" i="5"/>
  <c r="N86" i="5"/>
  <c r="N55" i="5"/>
  <c r="N123" i="5"/>
  <c r="N23" i="5"/>
  <c r="N118" i="5"/>
  <c r="N75" i="5"/>
  <c r="N79" i="5"/>
  <c r="N95" i="5"/>
  <c r="N24" i="5"/>
  <c r="N85" i="5"/>
  <c r="N6" i="5"/>
  <c r="N26" i="5"/>
  <c r="N105" i="5"/>
  <c r="N44" i="5"/>
  <c r="N111" i="5"/>
  <c r="N83" i="5"/>
  <c r="N7" i="5"/>
  <c r="N36" i="5"/>
  <c r="N59" i="5"/>
  <c r="N108" i="5"/>
  <c r="N47" i="5"/>
  <c r="N51" i="5"/>
  <c r="N27" i="5"/>
  <c r="N71" i="5"/>
  <c r="N9" i="5"/>
  <c r="N28" i="5"/>
  <c r="N41" i="5"/>
  <c r="N62" i="5"/>
  <c r="N52" i="5"/>
  <c r="N8" i="5"/>
  <c r="N119" i="5"/>
  <c r="N76" i="5"/>
  <c r="N48" i="5"/>
  <c r="N97" i="5"/>
  <c r="N65" i="5"/>
  <c r="N10" i="5"/>
  <c r="N74" i="5"/>
  <c r="N93" i="5"/>
  <c r="N20" i="5"/>
  <c r="N72" i="5"/>
  <c r="N29" i="5"/>
  <c r="N77" i="5"/>
  <c r="N84" i="5"/>
  <c r="N120" i="5"/>
  <c r="N121" i="5"/>
  <c r="N99" i="5"/>
  <c r="N43" i="5"/>
  <c r="N15" i="5"/>
  <c r="N35" i="5"/>
  <c r="N91" i="5"/>
  <c r="N67" i="5"/>
  <c r="N125" i="5"/>
  <c r="N18" i="5"/>
  <c r="N34" i="5"/>
  <c r="N110" i="5"/>
  <c r="N87" i="5"/>
  <c r="N11" i="5"/>
  <c r="N30" i="5"/>
  <c r="N42" i="5"/>
  <c r="N45" i="5"/>
  <c r="N80" i="5"/>
  <c r="N53" i="5"/>
  <c r="N14" i="5"/>
  <c r="N33" i="5"/>
  <c r="N103" i="5"/>
  <c r="N46" i="5"/>
  <c r="N81" i="5"/>
  <c r="N101" i="5"/>
  <c r="N70" i="5"/>
  <c r="N12" i="5"/>
  <c r="N31" i="5"/>
  <c r="N60" i="5"/>
  <c r="N109" i="5"/>
  <c r="N94" i="5"/>
  <c r="N98" i="5"/>
  <c r="N37" i="5"/>
  <c r="N13" i="5"/>
  <c r="N32" i="5"/>
  <c r="N107" i="5"/>
  <c r="N90" i="5"/>
  <c r="N49" i="5"/>
  <c r="N100" i="5"/>
  <c r="N56" i="5"/>
  <c r="N4" i="5"/>
  <c r="AH4" i="5" s="1"/>
  <c r="N19" i="5"/>
  <c r="N5" i="5"/>
  <c r="N25" i="5"/>
  <c r="N92" i="5"/>
  <c r="N124" i="5"/>
  <c r="N66" i="5"/>
  <c r="N126" i="5"/>
  <c r="N39" i="5"/>
  <c r="N68" i="5"/>
  <c r="N112" i="5"/>
  <c r="Q153" i="36"/>
  <c r="Q146" i="30"/>
  <c r="U150" i="34"/>
  <c r="Q151" i="36"/>
  <c r="S157" i="35"/>
  <c r="Q188" i="36"/>
  <c r="S188" i="35"/>
  <c r="Q191" i="30"/>
  <c r="A128" i="29"/>
  <c r="C127" i="29"/>
  <c r="B127" i="29"/>
  <c r="O101" i="5"/>
  <c r="O37" i="5"/>
  <c r="O13" i="5"/>
  <c r="O32" i="5"/>
  <c r="O43" i="5"/>
  <c r="O77" i="5"/>
  <c r="O81" i="5"/>
  <c r="O38" i="5"/>
  <c r="O17" i="5"/>
  <c r="O46" i="5"/>
  <c r="O50" i="5"/>
  <c r="O126" i="5"/>
  <c r="O14" i="5"/>
  <c r="O33" i="5"/>
  <c r="O120" i="5"/>
  <c r="O91" i="5"/>
  <c r="O66" i="5"/>
  <c r="O56" i="5"/>
  <c r="O60" i="5"/>
  <c r="O125" i="5"/>
  <c r="O20" i="5"/>
  <c r="O18" i="5"/>
  <c r="O34" i="5"/>
  <c r="O106" i="5"/>
  <c r="O78" i="5"/>
  <c r="O94" i="5"/>
  <c r="O35" i="5"/>
  <c r="O86" i="5"/>
  <c r="O85" i="5"/>
  <c r="O124" i="5"/>
  <c r="O54" i="5"/>
  <c r="O69" i="5"/>
  <c r="O16" i="5"/>
  <c r="O117" i="5"/>
  <c r="O75" i="5"/>
  <c r="O110" i="5"/>
  <c r="O95" i="5"/>
  <c r="O19" i="5"/>
  <c r="O23" i="5"/>
  <c r="O118" i="5"/>
  <c r="O103" i="5"/>
  <c r="O79" i="5"/>
  <c r="O67" i="5"/>
  <c r="O25" i="5"/>
  <c r="O109" i="5"/>
  <c r="O113" i="5"/>
  <c r="O122" i="5"/>
  <c r="O123" i="5"/>
  <c r="O24" i="5"/>
  <c r="O89" i="5"/>
  <c r="O121" i="5"/>
  <c r="O64" i="5"/>
  <c r="O83" i="5"/>
  <c r="O44" i="5"/>
  <c r="O26" i="5"/>
  <c r="O31" i="5"/>
  <c r="O90" i="5"/>
  <c r="O49" i="5"/>
  <c r="O98" i="5"/>
  <c r="O87" i="5"/>
  <c r="O58" i="5"/>
  <c r="O92" i="5"/>
  <c r="O96" i="5"/>
  <c r="O6" i="5"/>
  <c r="O108" i="5"/>
  <c r="O111" i="5"/>
  <c r="O12" i="5"/>
  <c r="O116" i="5"/>
  <c r="O114" i="5"/>
  <c r="O5" i="5"/>
  <c r="O51" i="5"/>
  <c r="O104" i="5"/>
  <c r="O82" i="5"/>
  <c r="O59" i="5"/>
  <c r="O42" i="5"/>
  <c r="O65" i="5"/>
  <c r="O53" i="5"/>
  <c r="O4" i="5"/>
  <c r="AI4" i="5" s="1"/>
  <c r="O7" i="5"/>
  <c r="O36" i="5"/>
  <c r="O74" i="5"/>
  <c r="O61" i="5"/>
  <c r="O47" i="5"/>
  <c r="O68" i="5"/>
  <c r="O41" i="5"/>
  <c r="O71" i="5"/>
  <c r="O8" i="5"/>
  <c r="O27" i="5"/>
  <c r="O105" i="5"/>
  <c r="O76" i="5"/>
  <c r="O80" i="5"/>
  <c r="O97" i="5"/>
  <c r="O72" i="5"/>
  <c r="O9" i="5"/>
  <c r="O29" i="5"/>
  <c r="O48" i="5"/>
  <c r="O39" i="5"/>
  <c r="O28" i="5"/>
  <c r="O119" i="5"/>
  <c r="O45" i="5"/>
  <c r="O93" i="5"/>
  <c r="O52" i="5"/>
  <c r="O70" i="5"/>
  <c r="O21" i="5"/>
  <c r="O55" i="5"/>
  <c r="O15" i="5"/>
  <c r="O107" i="5"/>
  <c r="O63" i="5"/>
  <c r="O99" i="5"/>
  <c r="O10" i="5"/>
  <c r="O62" i="5"/>
  <c r="O84" i="5"/>
  <c r="O11" i="5"/>
  <c r="O100" i="5"/>
  <c r="O30" i="5"/>
  <c r="O112" i="5"/>
  <c r="Q189" i="36"/>
  <c r="U186" i="34"/>
  <c r="Q187" i="36"/>
  <c r="Q151" i="30"/>
  <c r="Q193" i="30"/>
  <c r="Q187" i="30"/>
  <c r="S148" i="35"/>
  <c r="Q152" i="30"/>
  <c r="Q156" i="36"/>
  <c r="S151" i="29"/>
  <c r="Q157" i="30"/>
  <c r="S184" i="35"/>
  <c r="Q188" i="30"/>
  <c r="AP6" i="40"/>
  <c r="AT6" i="40" s="1"/>
  <c r="Q146" i="36"/>
  <c r="S154" i="29"/>
  <c r="Q192" i="36"/>
  <c r="S146" i="35"/>
  <c r="S187" i="29"/>
  <c r="S155" i="35"/>
  <c r="Q182" i="36"/>
  <c r="S190" i="29"/>
  <c r="S182" i="35"/>
  <c r="U148" i="34"/>
  <c r="S155" i="29"/>
  <c r="S191" i="35"/>
  <c r="S154" i="35"/>
  <c r="U184" i="34"/>
  <c r="Q193" i="36"/>
  <c r="S191" i="29"/>
  <c r="S149" i="35"/>
  <c r="U152" i="34"/>
  <c r="S193" i="29"/>
  <c r="S190" i="35"/>
  <c r="Q157" i="36"/>
  <c r="U151" i="34"/>
  <c r="S146" i="29"/>
  <c r="S185" i="35"/>
  <c r="Q153" i="30"/>
  <c r="U188" i="34"/>
  <c r="S157" i="29"/>
  <c r="Q190" i="30"/>
  <c r="Q149" i="36"/>
  <c r="S192" i="29"/>
  <c r="U192" i="34"/>
  <c r="U187" i="34"/>
  <c r="S182" i="29"/>
  <c r="Q189" i="30"/>
  <c r="Q154" i="30"/>
  <c r="Q185" i="36"/>
  <c r="S156" i="29"/>
  <c r="K200" i="51"/>
  <c r="Q190" i="36"/>
  <c r="S149" i="29"/>
  <c r="U156" i="34"/>
  <c r="S153" i="29"/>
  <c r="S150" i="29"/>
  <c r="Q148" i="30"/>
  <c r="S156" i="35"/>
  <c r="S148" i="29"/>
  <c r="J200" i="51"/>
  <c r="S151" i="35"/>
  <c r="Q154" i="36"/>
  <c r="S185" i="29"/>
  <c r="S189" i="29"/>
  <c r="S186" i="29"/>
  <c r="Q150" i="36"/>
  <c r="Q184" i="30"/>
  <c r="S192" i="35"/>
  <c r="U153" i="34"/>
  <c r="S184" i="29"/>
  <c r="AX41" i="14"/>
  <c r="AY41" i="14" s="1"/>
  <c r="K41" i="14"/>
  <c r="L41" i="14" s="1"/>
  <c r="O41" i="14"/>
  <c r="AT41" i="14"/>
  <c r="AU41" i="14" s="1"/>
  <c r="BV40" i="14"/>
  <c r="BW40" i="14" s="1"/>
  <c r="GD115" i="2"/>
  <c r="AD11" i="8"/>
  <c r="E32" i="73" s="1"/>
  <c r="AB11" i="8"/>
  <c r="C32" i="73" s="1"/>
  <c r="AC11" i="8"/>
  <c r="D32" i="73" s="1"/>
  <c r="AB8" i="8"/>
  <c r="C29" i="73" s="1"/>
  <c r="AC8" i="8"/>
  <c r="D29" i="73" s="1"/>
  <c r="AD8" i="8"/>
  <c r="E29" i="73" s="1"/>
  <c r="AC10" i="8"/>
  <c r="D31" i="73" s="1"/>
  <c r="AB10" i="8"/>
  <c r="C31" i="73" s="1"/>
  <c r="AD10" i="8"/>
  <c r="E31" i="73" s="1"/>
  <c r="AB12" i="8"/>
  <c r="AC12" i="8"/>
  <c r="AD12" i="8"/>
  <c r="BH40" i="14"/>
  <c r="BI40" i="14" s="1"/>
  <c r="F115" i="37"/>
  <c r="K115" i="37" s="1"/>
  <c r="F115" i="26"/>
  <c r="K115" i="26" s="1"/>
  <c r="GA115" i="2"/>
  <c r="C40" i="14"/>
  <c r="D40" i="14" s="1"/>
  <c r="AB9" i="8"/>
  <c r="C30" i="73" s="1"/>
  <c r="AC9" i="8"/>
  <c r="D30" i="73" s="1"/>
  <c r="AD9" i="8"/>
  <c r="E30" i="73" s="1"/>
  <c r="I200" i="51"/>
  <c r="BB41" i="14"/>
  <c r="BC41" i="14" s="1"/>
  <c r="AG40" i="14"/>
  <c r="AH40" i="14" s="1"/>
  <c r="FU115" i="2"/>
  <c r="AA41" i="14"/>
  <c r="AB41" i="14" s="1"/>
  <c r="BN41" i="14"/>
  <c r="BO41" i="14" s="1"/>
  <c r="GB116" i="2"/>
  <c r="AO41" i="14"/>
  <c r="AP41" i="14" s="1"/>
  <c r="FW116" i="2"/>
  <c r="U41" i="14"/>
  <c r="V41" i="14" s="1"/>
  <c r="BR41" i="14"/>
  <c r="BS41" i="14" s="1"/>
  <c r="GC116" i="2"/>
  <c r="AK41" i="14"/>
  <c r="AL41" i="14" s="1"/>
  <c r="FV116" i="2"/>
  <c r="O102" i="37"/>
  <c r="H200" i="51"/>
  <c r="L200" i="51"/>
  <c r="M200" i="51"/>
  <c r="GD7" i="2"/>
  <c r="GB43" i="2"/>
  <c r="FQ31" i="2"/>
  <c r="GB7" i="2"/>
  <c r="GC67" i="2"/>
  <c r="GD67" i="2"/>
  <c r="FX19" i="2"/>
  <c r="FR43" i="2"/>
  <c r="FV103" i="2"/>
  <c r="F55" i="37"/>
  <c r="K55" i="37" s="1"/>
  <c r="F55" i="26"/>
  <c r="K55" i="26" s="1"/>
  <c r="GA55" i="2"/>
  <c r="FU91" i="2"/>
  <c r="GC91" i="2"/>
  <c r="FV31" i="2"/>
  <c r="F31" i="37"/>
  <c r="K31" i="37" s="1"/>
  <c r="F31" i="26"/>
  <c r="K31" i="26" s="1"/>
  <c r="GA31" i="2"/>
  <c r="GB67" i="2"/>
  <c r="FS31" i="2"/>
  <c r="FW103" i="2"/>
  <c r="F103" i="37"/>
  <c r="K103" i="37" s="1"/>
  <c r="M103" i="37" s="1"/>
  <c r="F103" i="26"/>
  <c r="K103" i="26" s="1"/>
  <c r="GA103" i="2"/>
  <c r="GC79" i="2"/>
  <c r="F19" i="37"/>
  <c r="K19" i="37" s="1"/>
  <c r="F19" i="26"/>
  <c r="K19" i="26" s="1"/>
  <c r="GA19" i="2"/>
  <c r="FU19" i="2"/>
  <c r="F43" i="26"/>
  <c r="K43" i="26" s="1"/>
  <c r="F43" i="37"/>
  <c r="K43" i="37" s="1"/>
  <c r="GA43" i="2"/>
  <c r="FU43" i="2"/>
  <c r="FX67" i="2"/>
  <c r="FW91" i="2"/>
  <c r="FY67" i="2"/>
  <c r="FQ67" i="2"/>
  <c r="GC103" i="2"/>
  <c r="FT31" i="2"/>
  <c r="FR31" i="2"/>
  <c r="FT19" i="2"/>
  <c r="GB31" i="2"/>
  <c r="FU55" i="2"/>
  <c r="FW55" i="2"/>
  <c r="FV43" i="2"/>
  <c r="GD91" i="2"/>
  <c r="FX31" i="2"/>
  <c r="FR19" i="2"/>
  <c r="GC7" i="2"/>
  <c r="F67" i="37"/>
  <c r="K67" i="37" s="1"/>
  <c r="F67" i="26"/>
  <c r="K67" i="26" s="1"/>
  <c r="GA67" i="2"/>
  <c r="FV55" i="2"/>
  <c r="FS7" i="2"/>
  <c r="F79" i="37"/>
  <c r="K79" i="37" s="1"/>
  <c r="F79" i="26"/>
  <c r="K79" i="26" s="1"/>
  <c r="GA79" i="2"/>
  <c r="GB91" i="2"/>
  <c r="GD31" i="2"/>
  <c r="FU103" i="2"/>
  <c r="FW43" i="2"/>
  <c r="FR55" i="2"/>
  <c r="GC19" i="2"/>
  <c r="GB19" i="2"/>
  <c r="GD55" i="2"/>
  <c r="FU79" i="2"/>
  <c r="GB55" i="2"/>
  <c r="FX7" i="2"/>
  <c r="FS19" i="2"/>
  <c r="FQ19" i="2"/>
  <c r="FX43" i="2"/>
  <c r="FW19" i="2"/>
  <c r="FS43" i="2"/>
  <c r="FR7" i="2"/>
  <c r="FR67" i="2"/>
  <c r="FQ43" i="2"/>
  <c r="FY55" i="2"/>
  <c r="GC31" i="2"/>
  <c r="FY19" i="2"/>
  <c r="FU31" i="2"/>
  <c r="GC43" i="2"/>
  <c r="F92" i="37"/>
  <c r="K92" i="37" s="1"/>
  <c r="F92" i="26"/>
  <c r="K92" i="26" s="1"/>
  <c r="GA92" i="2"/>
  <c r="FX55" i="2"/>
  <c r="GB79" i="2"/>
  <c r="GD103" i="2"/>
  <c r="FW79" i="2"/>
  <c r="FV67" i="2"/>
  <c r="FW31" i="2"/>
  <c r="FV79" i="2"/>
  <c r="FV7" i="2"/>
  <c r="FY43" i="2"/>
  <c r="GD19" i="2"/>
  <c r="GB103" i="2"/>
  <c r="FS67" i="2"/>
  <c r="D4" i="12"/>
  <c r="FV19" i="2"/>
  <c r="FT7" i="2"/>
  <c r="FU7" i="2"/>
  <c r="FT55" i="2"/>
  <c r="FT67" i="2"/>
  <c r="FQ7" i="2"/>
  <c r="FU67" i="2"/>
  <c r="FW67" i="2"/>
  <c r="FY31" i="2"/>
  <c r="GD43" i="2"/>
  <c r="F7" i="37"/>
  <c r="K7" i="37" s="1"/>
  <c r="F7" i="26"/>
  <c r="K7" i="26" s="1"/>
  <c r="GA7" i="2"/>
  <c r="FW7" i="2"/>
  <c r="FV91" i="2"/>
  <c r="FS55" i="2"/>
  <c r="GD79" i="2"/>
  <c r="FY7" i="2"/>
  <c r="FQ55" i="2"/>
  <c r="FT43" i="2"/>
  <c r="GC55" i="2"/>
  <c r="D72" i="29"/>
  <c r="D18" i="28"/>
  <c r="Y18" i="17"/>
  <c r="D33" i="29"/>
  <c r="FP5" i="2"/>
  <c r="D5" i="29"/>
  <c r="FO16" i="2"/>
  <c r="D16" i="28"/>
  <c r="FP4" i="2"/>
  <c r="D4" i="29"/>
  <c r="FO25" i="2"/>
  <c r="D25" i="28"/>
  <c r="FP16" i="2"/>
  <c r="D16" i="29"/>
  <c r="D20" i="28"/>
  <c r="Y20" i="17"/>
  <c r="FP18" i="2"/>
  <c r="D18" i="29"/>
  <c r="D8" i="28"/>
  <c r="Y8" i="17"/>
  <c r="FP43" i="2"/>
  <c r="D43" i="29"/>
  <c r="D57" i="29"/>
  <c r="FO6" i="2"/>
  <c r="D6" i="28"/>
  <c r="Y6" i="17"/>
  <c r="D9" i="29"/>
  <c r="FP15" i="2"/>
  <c r="D15" i="29"/>
  <c r="FP73" i="2"/>
  <c r="D73" i="29"/>
  <c r="FP52" i="2"/>
  <c r="D52" i="29"/>
  <c r="FO15" i="2"/>
  <c r="D15" i="28"/>
  <c r="FP40" i="2"/>
  <c r="D40" i="29"/>
  <c r="FO5" i="2"/>
  <c r="D5" i="28"/>
  <c r="Y5" i="17"/>
  <c r="FO17" i="2"/>
  <c r="D17" i="28"/>
  <c r="D36" i="29"/>
  <c r="FO2" i="2"/>
  <c r="D2" i="28"/>
  <c r="FP25" i="2"/>
  <c r="D25" i="29"/>
  <c r="FO3" i="2"/>
  <c r="D3" i="28"/>
  <c r="Y3" i="17"/>
  <c r="FP49" i="2"/>
  <c r="D49" i="29"/>
  <c r="FP13" i="2"/>
  <c r="D13" i="29"/>
  <c r="FP61" i="2"/>
  <c r="D61" i="29"/>
  <c r="FP67" i="2"/>
  <c r="D67" i="29"/>
  <c r="FP27" i="2"/>
  <c r="D27" i="29"/>
  <c r="D24" i="28"/>
  <c r="Y24" i="17"/>
  <c r="D10" i="28"/>
  <c r="FP41" i="2"/>
  <c r="D41" i="29"/>
  <c r="D21" i="28"/>
  <c r="FP29" i="2"/>
  <c r="D29" i="29"/>
  <c r="E7" i="39"/>
  <c r="Y7" i="17"/>
  <c r="FP19" i="2"/>
  <c r="D19" i="29"/>
  <c r="FO4" i="2"/>
  <c r="D4" i="28"/>
  <c r="Y4" i="17"/>
  <c r="D20" i="29"/>
  <c r="FO13" i="2"/>
  <c r="D13" i="28"/>
  <c r="Y13" i="17"/>
  <c r="D22" i="29"/>
  <c r="D12" i="28"/>
  <c r="Y12" i="17"/>
  <c r="FO19" i="2"/>
  <c r="D19" i="28"/>
  <c r="Y19" i="17"/>
  <c r="D24" i="29"/>
  <c r="D34" i="29"/>
  <c r="FP37" i="2"/>
  <c r="D37" i="29"/>
  <c r="Y14" i="17"/>
  <c r="D46" i="29"/>
  <c r="FP6" i="2"/>
  <c r="D6" i="29"/>
  <c r="D56" i="29"/>
  <c r="FP26" i="2"/>
  <c r="D26" i="29"/>
  <c r="O8" i="39"/>
  <c r="FP3" i="2"/>
  <c r="D3" i="29"/>
  <c r="D60" i="29"/>
  <c r="FP28" i="2"/>
  <c r="D28" i="29"/>
  <c r="FP64" i="2"/>
  <c r="D64" i="29"/>
  <c r="C4" i="27"/>
  <c r="D71" i="29"/>
  <c r="FP50" i="2"/>
  <c r="D50" i="29"/>
  <c r="O10" i="39"/>
  <c r="D68" i="29"/>
  <c r="FP30" i="2"/>
  <c r="D30" i="29"/>
  <c r="FP54" i="2"/>
  <c r="D54" i="29"/>
  <c r="FP55" i="2"/>
  <c r="D55" i="29"/>
  <c r="FP2" i="2"/>
  <c r="D2" i="29"/>
  <c r="O6" i="39"/>
  <c r="D21" i="29"/>
  <c r="FP38" i="2"/>
  <c r="D38" i="29"/>
  <c r="O9" i="39"/>
  <c r="D47" i="29"/>
  <c r="D45" i="29"/>
  <c r="D11" i="29"/>
  <c r="FP53" i="2"/>
  <c r="D53" i="29"/>
  <c r="D59" i="29"/>
  <c r="FP62" i="2"/>
  <c r="D62" i="29"/>
  <c r="O11" i="39"/>
  <c r="D12" i="29"/>
  <c r="D26" i="28"/>
  <c r="D11" i="28"/>
  <c r="Y11" i="17"/>
  <c r="D58" i="29"/>
  <c r="FP63" i="2"/>
  <c r="D63" i="29"/>
  <c r="FP31" i="2"/>
  <c r="D31" i="29"/>
  <c r="D23" i="28"/>
  <c r="Y23" i="17"/>
  <c r="D69" i="29"/>
  <c r="FP32" i="2"/>
  <c r="D32" i="29"/>
  <c r="D8" i="29"/>
  <c r="D44" i="29"/>
  <c r="D9" i="28"/>
  <c r="Y9" i="17"/>
  <c r="FP42" i="2"/>
  <c r="D42" i="29"/>
  <c r="FO40" i="2"/>
  <c r="D40" i="28"/>
  <c r="FP65" i="2"/>
  <c r="D65" i="29"/>
  <c r="FP14" i="2"/>
  <c r="D14" i="29"/>
  <c r="O7" i="39"/>
  <c r="D22" i="28"/>
  <c r="D48" i="29"/>
  <c r="I4" i="27"/>
  <c r="FP7" i="2"/>
  <c r="D7" i="29"/>
  <c r="D23" i="29"/>
  <c r="D70" i="29"/>
  <c r="D10" i="29"/>
  <c r="K4" i="12"/>
  <c r="I4" i="12"/>
  <c r="H4" i="12"/>
  <c r="J4" i="12"/>
  <c r="G4" i="12"/>
  <c r="F4" i="12"/>
  <c r="E4" i="12"/>
  <c r="AR4" i="7"/>
  <c r="AR22" i="7" s="1"/>
  <c r="AD23" i="7"/>
  <c r="AD24" i="7"/>
  <c r="AD26" i="7"/>
  <c r="AD25" i="7"/>
  <c r="AC52" i="7"/>
  <c r="U7" i="8"/>
  <c r="X9" i="8"/>
  <c r="Z9" i="8" s="1"/>
  <c r="X10" i="8"/>
  <c r="Z10" i="8" s="1"/>
  <c r="X12" i="8"/>
  <c r="Z12" i="8" s="1"/>
  <c r="X11" i="8"/>
  <c r="Z11" i="8" s="1"/>
  <c r="AH11" i="8" s="1"/>
  <c r="I32" i="73" s="1"/>
  <c r="X8" i="8"/>
  <c r="Z8" i="8" s="1"/>
  <c r="AD22" i="7"/>
  <c r="X48" i="5"/>
  <c r="L16" i="8"/>
  <c r="N16" i="8" s="1"/>
  <c r="N7" i="8"/>
  <c r="F16" i="8"/>
  <c r="H16" i="8" s="1"/>
  <c r="W77" i="7"/>
  <c r="V77" i="7"/>
  <c r="T77" i="7"/>
  <c r="S77" i="7"/>
  <c r="U77" i="7"/>
  <c r="X77" i="7"/>
  <c r="U81" i="7"/>
  <c r="V81" i="7"/>
  <c r="T81" i="7"/>
  <c r="S81" i="7"/>
  <c r="W81" i="7"/>
  <c r="X81" i="7"/>
  <c r="T78" i="7"/>
  <c r="X78" i="7"/>
  <c r="V78" i="7"/>
  <c r="W78" i="7"/>
  <c r="U78" i="7"/>
  <c r="S78" i="7"/>
  <c r="C16" i="8"/>
  <c r="E16" i="8" s="1"/>
  <c r="AB48" i="5"/>
  <c r="AA48" i="5"/>
  <c r="T79" i="7"/>
  <c r="U79" i="7"/>
  <c r="W79" i="7"/>
  <c r="X79" i="7"/>
  <c r="V79" i="7"/>
  <c r="S79" i="7"/>
  <c r="T80" i="7"/>
  <c r="S80" i="7"/>
  <c r="U80" i="7"/>
  <c r="W80" i="7"/>
  <c r="X80" i="7"/>
  <c r="V80" i="7"/>
  <c r="Z48" i="5"/>
  <c r="Y48" i="5"/>
  <c r="D7" i="28" l="1"/>
  <c r="C138" i="5"/>
  <c r="W31" i="5" s="1"/>
  <c r="E181" i="5"/>
  <c r="E179" i="5"/>
  <c r="Y17" i="5" s="1"/>
  <c r="E183" i="5"/>
  <c r="E180" i="5"/>
  <c r="F166" i="5"/>
  <c r="F163" i="5"/>
  <c r="Z16" i="5" s="1"/>
  <c r="F168" i="5"/>
  <c r="F162" i="5"/>
  <c r="Z15" i="5" s="1"/>
  <c r="F167" i="5"/>
  <c r="F165" i="5"/>
  <c r="Z18" i="5" s="1"/>
  <c r="X32" i="17"/>
  <c r="Y32" i="17" s="1"/>
  <c r="X45" i="17"/>
  <c r="Y45" i="17" s="1"/>
  <c r="AH8" i="8"/>
  <c r="I29" i="73" s="1"/>
  <c r="E6" i="39"/>
  <c r="FD127" i="3"/>
  <c r="FD115" i="3"/>
  <c r="FD79" i="3"/>
  <c r="FD55" i="3"/>
  <c r="FD19" i="3"/>
  <c r="FD43" i="3"/>
  <c r="FD31" i="3"/>
  <c r="FD104" i="3"/>
  <c r="FD67" i="3"/>
  <c r="FD91" i="3"/>
  <c r="P41" i="14"/>
  <c r="X47" i="17"/>
  <c r="Y47" i="17" s="1"/>
  <c r="X38" i="17"/>
  <c r="U44" i="7"/>
  <c r="AH9" i="8"/>
  <c r="I30" i="73" s="1"/>
  <c r="X43" i="17"/>
  <c r="Y43" i="17" s="1"/>
  <c r="X34" i="17"/>
  <c r="Y34" i="17" s="1"/>
  <c r="V31" i="19"/>
  <c r="W31" i="19" s="1"/>
  <c r="X28" i="17"/>
  <c r="Y28" i="17" s="1"/>
  <c r="X30" i="17"/>
  <c r="Y30" i="17" s="1"/>
  <c r="X27" i="17"/>
  <c r="Y27" i="17" s="1"/>
  <c r="EU18" i="3"/>
  <c r="EW43" i="3"/>
  <c r="D36" i="28"/>
  <c r="EU27" i="3"/>
  <c r="EV17" i="3"/>
  <c r="EY67" i="3"/>
  <c r="FB43" i="3"/>
  <c r="EV54" i="3"/>
  <c r="EV50" i="3"/>
  <c r="EV37" i="3"/>
  <c r="EZ43" i="3"/>
  <c r="D39" i="28"/>
  <c r="X48" i="17"/>
  <c r="Y48" i="17" s="1"/>
  <c r="EV74" i="3"/>
  <c r="EX31" i="3"/>
  <c r="F33" i="73"/>
  <c r="D48" i="28"/>
  <c r="EV30" i="3"/>
  <c r="EW55" i="3"/>
  <c r="FA55" i="3"/>
  <c r="EV49" i="3"/>
  <c r="D46" i="28"/>
  <c r="X39" i="17"/>
  <c r="Y39" i="17" s="1"/>
  <c r="EV41" i="3"/>
  <c r="EU16" i="3"/>
  <c r="EV64" i="3"/>
  <c r="EV19" i="3"/>
  <c r="EU38" i="3"/>
  <c r="EV76" i="3"/>
  <c r="EV31" i="3"/>
  <c r="EV39" i="3"/>
  <c r="EU14" i="3"/>
  <c r="EU30" i="3"/>
  <c r="EY79" i="3"/>
  <c r="EW31" i="3"/>
  <c r="EY19" i="3"/>
  <c r="FA43" i="3"/>
  <c r="D34" i="28"/>
  <c r="D47" i="28"/>
  <c r="EV14" i="3"/>
  <c r="EW79" i="3"/>
  <c r="D37" i="28"/>
  <c r="FO42" i="2"/>
  <c r="FO31" i="2"/>
  <c r="EV85" i="3"/>
  <c r="EX67" i="3"/>
  <c r="EV40" i="3"/>
  <c r="EV79" i="3"/>
  <c r="EV28" i="3"/>
  <c r="EX79" i="3"/>
  <c r="EY43" i="3"/>
  <c r="E33" i="73"/>
  <c r="EV67" i="3"/>
  <c r="EU19" i="3"/>
  <c r="EV27" i="3"/>
  <c r="EW19" i="3"/>
  <c r="EY31" i="3"/>
  <c r="D33" i="73"/>
  <c r="D37" i="73" s="1"/>
  <c r="D44" i="28"/>
  <c r="EU29" i="3"/>
  <c r="EZ55" i="3"/>
  <c r="FB31" i="3"/>
  <c r="EX19" i="3"/>
  <c r="FB79" i="3"/>
  <c r="C33" i="73"/>
  <c r="C37" i="73" s="1"/>
  <c r="FO28" i="2"/>
  <c r="EV66" i="3"/>
  <c r="EV15" i="3"/>
  <c r="EU37" i="3"/>
  <c r="EZ79" i="3"/>
  <c r="FA19" i="3"/>
  <c r="FO27" i="2"/>
  <c r="D35" i="28"/>
  <c r="FO29" i="2"/>
  <c r="D43" i="28"/>
  <c r="FO38" i="2"/>
  <c r="EV38" i="3"/>
  <c r="FB19" i="3"/>
  <c r="FB55" i="3"/>
  <c r="FB67" i="3"/>
  <c r="EY55" i="3"/>
  <c r="FA79" i="3"/>
  <c r="D45" i="28"/>
  <c r="D41" i="28"/>
  <c r="EV44" i="3"/>
  <c r="EU31" i="3"/>
  <c r="EV73" i="3"/>
  <c r="EV65" i="3"/>
  <c r="EV16" i="3"/>
  <c r="EZ67" i="3"/>
  <c r="EZ31" i="3"/>
  <c r="EV61" i="3"/>
  <c r="EV77" i="3"/>
  <c r="EV43" i="3"/>
  <c r="EV52" i="3"/>
  <c r="EX55" i="3"/>
  <c r="D32" i="28"/>
  <c r="EV25" i="3"/>
  <c r="EV26" i="3"/>
  <c r="EV42" i="3"/>
  <c r="EV53" i="3"/>
  <c r="EV55" i="3"/>
  <c r="FA67" i="3"/>
  <c r="EX43" i="3"/>
  <c r="X42" i="17"/>
  <c r="Y42" i="17" s="1"/>
  <c r="EW67" i="3"/>
  <c r="EU17" i="3"/>
  <c r="EU25" i="3"/>
  <c r="EU28" i="3"/>
  <c r="EU52" i="3"/>
  <c r="EV75" i="3"/>
  <c r="EV62" i="3"/>
  <c r="EV18" i="3"/>
  <c r="EU15" i="3"/>
  <c r="EZ19" i="3"/>
  <c r="FA31" i="3"/>
  <c r="D30" i="28"/>
  <c r="H21" i="12"/>
  <c r="G21" i="12"/>
  <c r="AM18" i="39" s="1"/>
  <c r="K48" i="12"/>
  <c r="DV22" i="39" s="1"/>
  <c r="J48" i="12"/>
  <c r="DV21" i="39" s="1"/>
  <c r="I48" i="12"/>
  <c r="G48" i="12"/>
  <c r="K21" i="12"/>
  <c r="H48" i="12"/>
  <c r="DV19" i="39" s="1"/>
  <c r="AM16" i="39"/>
  <c r="J21" i="12"/>
  <c r="AM21" i="39" s="1"/>
  <c r="F48" i="12"/>
  <c r="I21" i="12"/>
  <c r="E48" i="12"/>
  <c r="F21" i="12"/>
  <c r="S146" i="51"/>
  <c r="R142" i="51"/>
  <c r="P143" i="10"/>
  <c r="Q147" i="10"/>
  <c r="M115" i="26"/>
  <c r="O115" i="26" s="1"/>
  <c r="M43" i="37"/>
  <c r="O43" i="37" s="1"/>
  <c r="M67" i="26"/>
  <c r="O67" i="26" s="1"/>
  <c r="M43" i="26"/>
  <c r="O43" i="26" s="1"/>
  <c r="M67" i="37"/>
  <c r="O67" i="37" s="1"/>
  <c r="M79" i="37"/>
  <c r="O79" i="37" s="1"/>
  <c r="M103" i="26"/>
  <c r="O103" i="26" s="1"/>
  <c r="M55" i="37"/>
  <c r="O55" i="37" s="1"/>
  <c r="M92" i="26"/>
  <c r="O92" i="26" s="1"/>
  <c r="M31" i="37"/>
  <c r="O31" i="37" s="1"/>
  <c r="M115" i="37"/>
  <c r="O115" i="37" s="1"/>
  <c r="M92" i="37"/>
  <c r="O92" i="37" s="1"/>
  <c r="M7" i="26"/>
  <c r="O7" i="26" s="1"/>
  <c r="M79" i="26"/>
  <c r="O79" i="26" s="1"/>
  <c r="M55" i="26"/>
  <c r="O55" i="26" s="1"/>
  <c r="M19" i="26"/>
  <c r="O19" i="26" s="1"/>
  <c r="M19" i="37"/>
  <c r="O19" i="37" s="1"/>
  <c r="M31" i="26"/>
  <c r="O31" i="26" s="1"/>
  <c r="M7" i="37"/>
  <c r="O7" i="37" s="1"/>
  <c r="FO43" i="2"/>
  <c r="X46" i="17"/>
  <c r="Y46" i="17" s="1"/>
  <c r="X36" i="17"/>
  <c r="Y36" i="17" s="1"/>
  <c r="X35" i="17"/>
  <c r="Y35" i="17" s="1"/>
  <c r="G41" i="14"/>
  <c r="H41" i="14" s="1"/>
  <c r="X44" i="17"/>
  <c r="Y44" i="17" s="1"/>
  <c r="X41" i="17"/>
  <c r="Y41" i="17" s="1"/>
  <c r="T127" i="29"/>
  <c r="X37" i="17"/>
  <c r="Y37" i="17" s="1"/>
  <c r="D28" i="28"/>
  <c r="FO30" i="2"/>
  <c r="X40" i="17"/>
  <c r="Y40" i="17" s="1"/>
  <c r="AH10" i="8"/>
  <c r="I31" i="73" s="1"/>
  <c r="AC36" i="7"/>
  <c r="E28" i="73"/>
  <c r="V15" i="19"/>
  <c r="W15" i="19" s="1"/>
  <c r="V4" i="19"/>
  <c r="W4" i="19" s="1"/>
  <c r="V24" i="19"/>
  <c r="W24" i="19" s="1"/>
  <c r="V10" i="19"/>
  <c r="W10" i="19" s="1"/>
  <c r="V13" i="19"/>
  <c r="W13" i="19" s="1"/>
  <c r="V21" i="19"/>
  <c r="W21" i="19" s="1"/>
  <c r="V18" i="19"/>
  <c r="W18" i="19" s="1"/>
  <c r="V8" i="19"/>
  <c r="W8" i="19" s="1"/>
  <c r="V22" i="19"/>
  <c r="W22" i="19" s="1"/>
  <c r="V6" i="19"/>
  <c r="W6" i="19" s="1"/>
  <c r="V14" i="19"/>
  <c r="V9" i="19"/>
  <c r="W9" i="19" s="1"/>
  <c r="V5" i="19"/>
  <c r="W5" i="19" s="1"/>
  <c r="V11" i="19"/>
  <c r="W11" i="19" s="1"/>
  <c r="V20" i="19"/>
  <c r="W20" i="19" s="1"/>
  <c r="V12" i="19"/>
  <c r="W12" i="19" s="1"/>
  <c r="V25" i="19"/>
  <c r="W25" i="19" s="1"/>
  <c r="V23" i="19"/>
  <c r="W23" i="19" s="1"/>
  <c r="V3" i="19"/>
  <c r="W3" i="19" s="1"/>
  <c r="V7" i="19"/>
  <c r="W7" i="19" s="1"/>
  <c r="V19" i="19"/>
  <c r="W19" i="19" s="1"/>
  <c r="V16" i="19"/>
  <c r="W16" i="19" s="1"/>
  <c r="X29" i="17"/>
  <c r="Y29" i="17" s="1"/>
  <c r="V2" i="19"/>
  <c r="W2" i="19" s="1"/>
  <c r="D29" i="28"/>
  <c r="D38" i="28"/>
  <c r="FO37" i="2"/>
  <c r="FO41" i="2"/>
  <c r="FO39" i="2"/>
  <c r="D27" i="28"/>
  <c r="F8" i="39"/>
  <c r="H8" i="39" s="1"/>
  <c r="J8" i="39" s="1"/>
  <c r="J7" i="27"/>
  <c r="V37" i="19"/>
  <c r="W37" i="19" s="1"/>
  <c r="D8" i="27"/>
  <c r="V46" i="19"/>
  <c r="W46" i="19" s="1"/>
  <c r="V47" i="19"/>
  <c r="W47" i="19" s="1"/>
  <c r="V30" i="19"/>
  <c r="W30" i="19" s="1"/>
  <c r="V34" i="19"/>
  <c r="W34" i="19" s="1"/>
  <c r="V26" i="19"/>
  <c r="W26" i="19" s="1"/>
  <c r="V49" i="19"/>
  <c r="W49" i="19" s="1"/>
  <c r="V28" i="19"/>
  <c r="W28" i="19" s="1"/>
  <c r="V27" i="19"/>
  <c r="W27" i="19" s="1"/>
  <c r="V41" i="19"/>
  <c r="W41" i="19" s="1"/>
  <c r="V43" i="19"/>
  <c r="W43" i="19" s="1"/>
  <c r="V40" i="19"/>
  <c r="W40" i="19" s="1"/>
  <c r="V29" i="19"/>
  <c r="W29" i="19" s="1"/>
  <c r="J8" i="27"/>
  <c r="V33" i="19"/>
  <c r="W33" i="19" s="1"/>
  <c r="V48" i="19"/>
  <c r="W48" i="19" s="1"/>
  <c r="F9" i="39"/>
  <c r="H9" i="39" s="1"/>
  <c r="J9" i="39" s="1"/>
  <c r="E9" i="39"/>
  <c r="D31" i="28"/>
  <c r="V42" i="19"/>
  <c r="W42" i="19" s="1"/>
  <c r="V38" i="19"/>
  <c r="W38" i="19" s="1"/>
  <c r="D7" i="27"/>
  <c r="X33" i="17"/>
  <c r="Y33" i="17" s="1"/>
  <c r="V36" i="19"/>
  <c r="W36" i="19" s="1"/>
  <c r="V45" i="19"/>
  <c r="W45" i="19" s="1"/>
  <c r="E8" i="39"/>
  <c r="V32" i="19"/>
  <c r="W32" i="19" s="1"/>
  <c r="V44" i="19"/>
  <c r="W44" i="19" s="1"/>
  <c r="D42" i="28"/>
  <c r="K79" i="2"/>
  <c r="V35" i="19"/>
  <c r="W35" i="19" s="1"/>
  <c r="V39" i="19"/>
  <c r="W39" i="19" s="1"/>
  <c r="D49" i="28"/>
  <c r="Y49" i="17"/>
  <c r="FO49" i="2"/>
  <c r="D33" i="28"/>
  <c r="AF12" i="8"/>
  <c r="G33" i="41" s="1"/>
  <c r="F28" i="73"/>
  <c r="F37" i="73" s="1"/>
  <c r="AG12" i="8"/>
  <c r="H33" i="41" s="1"/>
  <c r="G28" i="73"/>
  <c r="AG8" i="8"/>
  <c r="I16" i="8"/>
  <c r="K16" i="8" s="1"/>
  <c r="AF8" i="8"/>
  <c r="O16" i="8"/>
  <c r="Q16" i="8" s="1"/>
  <c r="AF9" i="8"/>
  <c r="C129" i="5"/>
  <c r="W12" i="5" s="1"/>
  <c r="C135" i="5"/>
  <c r="AG10" i="8"/>
  <c r="C136" i="5"/>
  <c r="Z44" i="7"/>
  <c r="T44" i="7"/>
  <c r="C130" i="5"/>
  <c r="W13" i="5" s="1"/>
  <c r="C131" i="5"/>
  <c r="W24" i="5" s="1"/>
  <c r="C133" i="5"/>
  <c r="W16" i="5" s="1"/>
  <c r="C132" i="5"/>
  <c r="W15" i="5" s="1"/>
  <c r="C137" i="5"/>
  <c r="C134" i="5"/>
  <c r="AG11" i="8"/>
  <c r="AH12" i="8"/>
  <c r="I33" i="41" s="1"/>
  <c r="AF11" i="8"/>
  <c r="AA13" i="5"/>
  <c r="AA44" i="7"/>
  <c r="AG9" i="8"/>
  <c r="AB44" i="7"/>
  <c r="W44" i="7"/>
  <c r="X44" i="7"/>
  <c r="V44" i="7"/>
  <c r="Y44" i="7"/>
  <c r="AI5" i="5"/>
  <c r="AI42" i="5" s="1"/>
  <c r="BV4" i="2" s="1"/>
  <c r="AH10" i="5"/>
  <c r="X13" i="5"/>
  <c r="Z13" i="5"/>
  <c r="AH8" i="5"/>
  <c r="AH6" i="5"/>
  <c r="AI8" i="5"/>
  <c r="AH9" i="5"/>
  <c r="AH5" i="5"/>
  <c r="AI6" i="5"/>
  <c r="AI7" i="5"/>
  <c r="AI10" i="5"/>
  <c r="AI9" i="5"/>
  <c r="AH7" i="5"/>
  <c r="AB15" i="5"/>
  <c r="AA15" i="5"/>
  <c r="Z14" i="5"/>
  <c r="X14" i="5"/>
  <c r="AB18" i="5"/>
  <c r="AA17" i="5"/>
  <c r="AB17" i="5"/>
  <c r="Z17" i="5"/>
  <c r="X17" i="5"/>
  <c r="X16" i="5"/>
  <c r="AB16" i="5"/>
  <c r="X18" i="5"/>
  <c r="Y13" i="5"/>
  <c r="AA14" i="5"/>
  <c r="X15" i="5"/>
  <c r="AA18" i="5"/>
  <c r="AB14" i="5"/>
  <c r="AA16" i="5"/>
  <c r="Y15" i="5"/>
  <c r="Y18" i="5"/>
  <c r="Y16" i="5"/>
  <c r="Y14" i="5"/>
  <c r="G198" i="5"/>
  <c r="G197" i="5"/>
  <c r="D193" i="5"/>
  <c r="D194" i="5"/>
  <c r="D192" i="5"/>
  <c r="X19" i="5" s="1"/>
  <c r="C179" i="5"/>
  <c r="C183" i="5"/>
  <c r="C180" i="5"/>
  <c r="C182" i="5"/>
  <c r="C181" i="5"/>
  <c r="H194" i="5"/>
  <c r="H193" i="5"/>
  <c r="H192" i="5"/>
  <c r="AB19" i="5" s="1"/>
  <c r="F194" i="5"/>
  <c r="F192" i="5"/>
  <c r="F193" i="5"/>
  <c r="E197" i="5"/>
  <c r="E198" i="5"/>
  <c r="G194" i="5"/>
  <c r="G192" i="5"/>
  <c r="AA19" i="5" s="1"/>
  <c r="G193" i="5"/>
  <c r="F197" i="5"/>
  <c r="F198" i="5"/>
  <c r="H197" i="5"/>
  <c r="H198" i="5"/>
  <c r="E194" i="5"/>
  <c r="E193" i="5"/>
  <c r="E192" i="5"/>
  <c r="D197" i="5"/>
  <c r="D198" i="5"/>
  <c r="AC41" i="7"/>
  <c r="AC39" i="7"/>
  <c r="AM87" i="7"/>
  <c r="AM78" i="7"/>
  <c r="T82" i="7"/>
  <c r="T92" i="7" s="1"/>
  <c r="W82" i="7"/>
  <c r="W92" i="7" s="1"/>
  <c r="X82" i="7"/>
  <c r="X92" i="7" s="1"/>
  <c r="V82" i="7"/>
  <c r="V92" i="7" s="1"/>
  <c r="U82" i="7"/>
  <c r="U92" i="7" s="1"/>
  <c r="S82" i="7"/>
  <c r="S92" i="7" s="1"/>
  <c r="AC38" i="7"/>
  <c r="AC42" i="7"/>
  <c r="AC40" i="7"/>
  <c r="Z87" i="7"/>
  <c r="AD32" i="7"/>
  <c r="AD43" i="7" s="1"/>
  <c r="FP8" i="2"/>
  <c r="FO44" i="2"/>
  <c r="FP44" i="2"/>
  <c r="FP68" i="2"/>
  <c r="FO8" i="2"/>
  <c r="FP33" i="2"/>
  <c r="AI41" i="5"/>
  <c r="AH41" i="5"/>
  <c r="A129" i="29"/>
  <c r="C128" i="29"/>
  <c r="B128" i="29"/>
  <c r="C59" i="44"/>
  <c r="AI62" i="7"/>
  <c r="FO20" i="2"/>
  <c r="AP32" i="40"/>
  <c r="AR32" i="40" s="1"/>
  <c r="AR6" i="40"/>
  <c r="AR19" i="40" s="1"/>
  <c r="AM61" i="7"/>
  <c r="O6" i="7"/>
  <c r="FP20" i="2"/>
  <c r="FP56" i="2"/>
  <c r="U42" i="14"/>
  <c r="V42" i="14" s="1"/>
  <c r="AG41" i="14"/>
  <c r="AH41" i="14" s="1"/>
  <c r="FU116" i="2"/>
  <c r="BN42" i="14"/>
  <c r="BO42" i="14" s="1"/>
  <c r="GB117" i="2"/>
  <c r="K42" i="14"/>
  <c r="L42" i="14" s="1"/>
  <c r="AK42" i="14"/>
  <c r="AL42" i="14" s="1"/>
  <c r="FV117" i="2"/>
  <c r="C41" i="14"/>
  <c r="D41" i="14" s="1"/>
  <c r="BV41" i="14"/>
  <c r="BW41" i="14" s="1"/>
  <c r="GD116" i="2"/>
  <c r="AX42" i="14"/>
  <c r="AY42" i="14" s="1"/>
  <c r="BB42" i="14"/>
  <c r="BC42" i="14" s="1"/>
  <c r="AT42" i="14"/>
  <c r="AU42" i="14" s="1"/>
  <c r="AA42" i="14"/>
  <c r="AB42" i="14" s="1"/>
  <c r="BR42" i="14"/>
  <c r="BS42" i="14" s="1"/>
  <c r="GC117" i="2"/>
  <c r="AO42" i="14"/>
  <c r="AP42" i="14" s="1"/>
  <c r="FW117" i="2"/>
  <c r="F116" i="26"/>
  <c r="K116" i="26" s="1"/>
  <c r="BH41" i="14"/>
  <c r="BI41" i="14" s="1"/>
  <c r="F116" i="37"/>
  <c r="K116" i="37" s="1"/>
  <c r="GA116" i="2"/>
  <c r="O42" i="14"/>
  <c r="O103" i="37"/>
  <c r="D10" i="12"/>
  <c r="F29" i="41"/>
  <c r="F30" i="41"/>
  <c r="C31" i="41"/>
  <c r="E29" i="41"/>
  <c r="I30" i="41"/>
  <c r="C29" i="41"/>
  <c r="E30" i="41"/>
  <c r="I29" i="41"/>
  <c r="C30" i="41"/>
  <c r="D29" i="41"/>
  <c r="D30" i="41"/>
  <c r="FU68" i="2"/>
  <c r="FT8" i="2"/>
  <c r="FY56" i="2"/>
  <c r="GD56" i="2"/>
  <c r="FU104" i="2"/>
  <c r="FU56" i="2"/>
  <c r="F32" i="37"/>
  <c r="K32" i="37" s="1"/>
  <c r="F32" i="26"/>
  <c r="K32" i="26" s="1"/>
  <c r="GA32" i="2"/>
  <c r="FU92" i="2"/>
  <c r="FX20" i="2"/>
  <c r="F8" i="37"/>
  <c r="K8" i="37" s="1"/>
  <c r="F8" i="26"/>
  <c r="K8" i="26" s="1"/>
  <c r="GA8" i="2"/>
  <c r="GB104" i="2"/>
  <c r="FV8" i="2"/>
  <c r="F93" i="26"/>
  <c r="K93" i="26" s="1"/>
  <c r="F93" i="37"/>
  <c r="K93" i="37" s="1"/>
  <c r="GA93" i="2"/>
  <c r="FS44" i="2"/>
  <c r="GD80" i="2"/>
  <c r="FW80" i="2"/>
  <c r="FV44" i="2"/>
  <c r="FY68" i="2"/>
  <c r="FO32" i="2"/>
  <c r="FQ8" i="2"/>
  <c r="GB20" i="2"/>
  <c r="GD32" i="2"/>
  <c r="FS8" i="2"/>
  <c r="GC8" i="2"/>
  <c r="GB32" i="2"/>
  <c r="F44" i="26"/>
  <c r="K44" i="26" s="1"/>
  <c r="F44" i="37"/>
  <c r="K44" i="37" s="1"/>
  <c r="GA44" i="2"/>
  <c r="GC80" i="2"/>
  <c r="FS32" i="2"/>
  <c r="GD68" i="2"/>
  <c r="GD44" i="2"/>
  <c r="GC44" i="2"/>
  <c r="FS20" i="2"/>
  <c r="GD92" i="2"/>
  <c r="FT32" i="2"/>
  <c r="FV20" i="2"/>
  <c r="FR68" i="2"/>
  <c r="FW92" i="2"/>
  <c r="F56" i="37"/>
  <c r="K56" i="37" s="1"/>
  <c r="F56" i="26"/>
  <c r="K56" i="26" s="1"/>
  <c r="GA56" i="2"/>
  <c r="GC56" i="2"/>
  <c r="FT68" i="2"/>
  <c r="GD104" i="2"/>
  <c r="GC20" i="2"/>
  <c r="GB92" i="2"/>
  <c r="FV56" i="2"/>
  <c r="FU20" i="2"/>
  <c r="FQ32" i="2"/>
  <c r="FS56" i="2"/>
  <c r="FV80" i="2"/>
  <c r="FU32" i="2"/>
  <c r="FX8" i="2"/>
  <c r="FV32" i="2"/>
  <c r="FY32" i="2"/>
  <c r="FR8" i="2"/>
  <c r="FR20" i="2"/>
  <c r="FT20" i="2"/>
  <c r="GC104" i="2"/>
  <c r="FT44" i="2"/>
  <c r="FT56" i="2"/>
  <c r="GB80" i="2"/>
  <c r="FW20" i="2"/>
  <c r="FR56" i="2"/>
  <c r="F104" i="37"/>
  <c r="K104" i="37" s="1"/>
  <c r="M104" i="37" s="1"/>
  <c r="F104" i="26"/>
  <c r="K104" i="26" s="1"/>
  <c r="GA104" i="2"/>
  <c r="GB68" i="2"/>
  <c r="GD20" i="2"/>
  <c r="FW32" i="2"/>
  <c r="FY20" i="2"/>
  <c r="GB56" i="2"/>
  <c r="GC92" i="2"/>
  <c r="FV104" i="2"/>
  <c r="GB44" i="2"/>
  <c r="FW68" i="2"/>
  <c r="FX32" i="2"/>
  <c r="FQ68" i="2"/>
  <c r="FX68" i="2"/>
  <c r="GC68" i="2"/>
  <c r="FQ56" i="2"/>
  <c r="FV92" i="2"/>
  <c r="FU8" i="2"/>
  <c r="FX56" i="2"/>
  <c r="FX44" i="2"/>
  <c r="FW44" i="2"/>
  <c r="FS68" i="2"/>
  <c r="FV68" i="2"/>
  <c r="GC32" i="2"/>
  <c r="FU80" i="2"/>
  <c r="F80" i="37"/>
  <c r="K80" i="37" s="1"/>
  <c r="F80" i="26"/>
  <c r="K80" i="26" s="1"/>
  <c r="GA80" i="2"/>
  <c r="FW56" i="2"/>
  <c r="F20" i="26"/>
  <c r="K20" i="26" s="1"/>
  <c r="F20" i="37"/>
  <c r="K20" i="37" s="1"/>
  <c r="GA20" i="2"/>
  <c r="FW104" i="2"/>
  <c r="FR44" i="2"/>
  <c r="FY44" i="2"/>
  <c r="FQ44" i="2"/>
  <c r="F68" i="37"/>
  <c r="K68" i="37" s="1"/>
  <c r="F68" i="26"/>
  <c r="K68" i="26" s="1"/>
  <c r="GA68" i="2"/>
  <c r="FR32" i="2"/>
  <c r="FU44" i="2"/>
  <c r="GB8" i="2"/>
  <c r="GD8" i="2"/>
  <c r="FY8" i="2"/>
  <c r="FW8" i="2"/>
  <c r="FQ20" i="2"/>
  <c r="I8" i="27"/>
  <c r="I7" i="27"/>
  <c r="C6" i="27"/>
  <c r="E6" i="27" s="1"/>
  <c r="Y2" i="17"/>
  <c r="C5" i="27"/>
  <c r="E5" i="27" s="1"/>
  <c r="Y38" i="17"/>
  <c r="C8" i="27"/>
  <c r="Y26" i="17"/>
  <c r="C7" i="27"/>
  <c r="I6" i="27"/>
  <c r="K6" i="27" s="1"/>
  <c r="W14" i="19"/>
  <c r="I5" i="27"/>
  <c r="K5" i="27" s="1"/>
  <c r="E10" i="12"/>
  <c r="F10" i="12"/>
  <c r="G10" i="12"/>
  <c r="J10" i="12"/>
  <c r="H10" i="12"/>
  <c r="I10" i="12"/>
  <c r="K10" i="12"/>
  <c r="D32" i="41"/>
  <c r="I25" i="8"/>
  <c r="E31" i="41"/>
  <c r="N24" i="8"/>
  <c r="E32" i="41"/>
  <c r="N25" i="8"/>
  <c r="F33" i="41"/>
  <c r="S26" i="8"/>
  <c r="D31" i="41"/>
  <c r="I24" i="8"/>
  <c r="D24" i="8"/>
  <c r="E33" i="41"/>
  <c r="N26" i="8"/>
  <c r="C33" i="41"/>
  <c r="D26" i="8"/>
  <c r="D33" i="41"/>
  <c r="I26" i="8"/>
  <c r="I32" i="41"/>
  <c r="AH25" i="8"/>
  <c r="F32" i="41"/>
  <c r="S25" i="8"/>
  <c r="F31" i="41"/>
  <c r="S24" i="8"/>
  <c r="C32" i="41"/>
  <c r="D25" i="8"/>
  <c r="I31" i="41"/>
  <c r="AH24" i="8"/>
  <c r="K77" i="2"/>
  <c r="W7" i="8"/>
  <c r="H28" i="73" s="1"/>
  <c r="U16" i="8"/>
  <c r="W16" i="8" s="1"/>
  <c r="AD52" i="7"/>
  <c r="X7" i="8"/>
  <c r="K74" i="2"/>
  <c r="K76" i="2"/>
  <c r="K80" i="2"/>
  <c r="K83" i="2"/>
  <c r="K82" i="2"/>
  <c r="K85" i="2"/>
  <c r="K75" i="2"/>
  <c r="K78" i="2"/>
  <c r="K84" i="2"/>
  <c r="K81" i="2"/>
  <c r="T10" i="8"/>
  <c r="AF10" i="8" s="1"/>
  <c r="G31" i="73" s="1"/>
  <c r="R16" i="8"/>
  <c r="T16" i="8" s="1"/>
  <c r="Z81" i="7"/>
  <c r="Z79" i="7"/>
  <c r="AA24" i="5"/>
  <c r="Y49" i="5"/>
  <c r="AH84" i="2"/>
  <c r="AH82" i="2"/>
  <c r="AH78" i="2"/>
  <c r="AH80" i="2"/>
  <c r="AH74" i="2"/>
  <c r="AH83" i="2"/>
  <c r="AH81" i="2"/>
  <c r="AH85" i="2"/>
  <c r="AH77" i="2"/>
  <c r="AH79" i="2"/>
  <c r="AH76" i="2"/>
  <c r="AH75" i="2"/>
  <c r="AB49" i="5"/>
  <c r="AM77" i="7"/>
  <c r="AB24" i="5"/>
  <c r="AB50" i="5"/>
  <c r="AH108" i="2" s="1"/>
  <c r="X24" i="5"/>
  <c r="Z78" i="7"/>
  <c r="Z49" i="5"/>
  <c r="X49" i="5"/>
  <c r="AA49" i="5"/>
  <c r="Z80" i="7"/>
  <c r="Z24" i="5"/>
  <c r="W74" i="2"/>
  <c r="W75" i="2"/>
  <c r="W80" i="2"/>
  <c r="W81" i="2"/>
  <c r="W83" i="2"/>
  <c r="W85" i="2"/>
  <c r="W78" i="2"/>
  <c r="W84" i="2"/>
  <c r="W79" i="2"/>
  <c r="W76" i="2"/>
  <c r="W77" i="2"/>
  <c r="W82" i="2"/>
  <c r="Q77" i="2"/>
  <c r="Q80" i="2"/>
  <c r="Q78" i="2"/>
  <c r="Q79" i="2"/>
  <c r="Q83" i="2"/>
  <c r="Q81" i="2"/>
  <c r="Q85" i="2"/>
  <c r="Q76" i="2"/>
  <c r="Q74" i="2"/>
  <c r="Q82" i="2"/>
  <c r="Q84" i="2"/>
  <c r="Q75" i="2"/>
  <c r="Z77" i="7"/>
  <c r="AC79" i="2"/>
  <c r="AC80" i="2"/>
  <c r="AC77" i="2"/>
  <c r="AC84" i="2"/>
  <c r="AC85" i="2"/>
  <c r="AC82" i="2"/>
  <c r="AC75" i="2"/>
  <c r="AC83" i="2"/>
  <c r="AC78" i="2"/>
  <c r="AC74" i="2"/>
  <c r="AC76" i="2"/>
  <c r="AC81" i="2"/>
  <c r="Y24" i="5"/>
  <c r="Y19" i="5" l="1"/>
  <c r="Z19" i="5"/>
  <c r="E3" i="73"/>
  <c r="F3" i="73"/>
  <c r="W21" i="5"/>
  <c r="E37" i="73"/>
  <c r="AM22" i="39"/>
  <c r="DV20" i="39"/>
  <c r="AM19" i="39"/>
  <c r="FD92" i="3"/>
  <c r="FD105" i="3"/>
  <c r="FD56" i="3"/>
  <c r="FD68" i="3"/>
  <c r="FD80" i="3"/>
  <c r="FD20" i="3"/>
  <c r="FD128" i="3"/>
  <c r="FD116" i="3"/>
  <c r="FD44" i="3"/>
  <c r="FD32" i="3"/>
  <c r="E53" i="12"/>
  <c r="DV16" i="39"/>
  <c r="DV18" i="39"/>
  <c r="P42" i="14"/>
  <c r="AH26" i="8"/>
  <c r="AM20" i="39"/>
  <c r="AC26" i="8"/>
  <c r="H31" i="41"/>
  <c r="EU61" i="3"/>
  <c r="EU49" i="3"/>
  <c r="EU50" i="3"/>
  <c r="EV32" i="3"/>
  <c r="G32" i="73"/>
  <c r="FB80" i="3"/>
  <c r="EX68" i="3"/>
  <c r="I33" i="73"/>
  <c r="EU20" i="3"/>
  <c r="H32" i="73"/>
  <c r="H31" i="73"/>
  <c r="EW80" i="3"/>
  <c r="FA56" i="3"/>
  <c r="EY68" i="3"/>
  <c r="EZ32" i="3"/>
  <c r="FB20" i="3"/>
  <c r="EW56" i="3"/>
  <c r="FA68" i="3"/>
  <c r="FA44" i="3"/>
  <c r="EX80" i="3"/>
  <c r="EY20" i="3"/>
  <c r="EU43" i="3"/>
  <c r="FB32" i="3"/>
  <c r="EU32" i="3"/>
  <c r="EV80" i="3"/>
  <c r="G30" i="41"/>
  <c r="G30" i="73"/>
  <c r="EW44" i="3"/>
  <c r="FB56" i="3"/>
  <c r="EV45" i="3"/>
  <c r="EV56" i="3"/>
  <c r="EX20" i="3"/>
  <c r="EU56" i="3"/>
  <c r="G29" i="73"/>
  <c r="FA80" i="3"/>
  <c r="EX32" i="3"/>
  <c r="EX56" i="3"/>
  <c r="EZ68" i="3"/>
  <c r="EZ80" i="3"/>
  <c r="EZ44" i="3"/>
  <c r="EY44" i="3"/>
  <c r="EV20" i="3"/>
  <c r="H29" i="73"/>
  <c r="EU54" i="3"/>
  <c r="FB44" i="3"/>
  <c r="FA32" i="3"/>
  <c r="EW68" i="3"/>
  <c r="EY56" i="3"/>
  <c r="H33" i="73"/>
  <c r="EU41" i="3"/>
  <c r="EU39" i="3"/>
  <c r="EU40" i="3"/>
  <c r="EW32" i="3"/>
  <c r="EZ56" i="3"/>
  <c r="EX44" i="3"/>
  <c r="EY80" i="3"/>
  <c r="EW20" i="3"/>
  <c r="FB68" i="3"/>
  <c r="EU51" i="3"/>
  <c r="EU55" i="3"/>
  <c r="FA20" i="3"/>
  <c r="EY32" i="3"/>
  <c r="H30" i="73"/>
  <c r="G33" i="73"/>
  <c r="EU44" i="3"/>
  <c r="EZ20" i="3"/>
  <c r="EV68" i="3"/>
  <c r="EU53" i="3"/>
  <c r="EU42" i="3"/>
  <c r="F53" i="12"/>
  <c r="DV17" i="39"/>
  <c r="AM17" i="39"/>
  <c r="O143" i="10"/>
  <c r="P147" i="10"/>
  <c r="Q142" i="51"/>
  <c r="R146" i="51"/>
  <c r="M56" i="37"/>
  <c r="O56" i="37" s="1"/>
  <c r="M8" i="26"/>
  <c r="O8" i="26" s="1"/>
  <c r="M116" i="37"/>
  <c r="O116" i="37" s="1"/>
  <c r="M8" i="37"/>
  <c r="O8" i="37" s="1"/>
  <c r="M80" i="37"/>
  <c r="O80" i="37" s="1"/>
  <c r="M116" i="26"/>
  <c r="O116" i="26" s="1"/>
  <c r="M68" i="26"/>
  <c r="O68" i="26" s="1"/>
  <c r="M104" i="26"/>
  <c r="O104" i="26" s="1"/>
  <c r="M68" i="37"/>
  <c r="O68" i="37" s="1"/>
  <c r="M20" i="37"/>
  <c r="O20" i="37" s="1"/>
  <c r="M20" i="26"/>
  <c r="O20" i="26" s="1"/>
  <c r="M93" i="37"/>
  <c r="O93" i="37" s="1"/>
  <c r="M93" i="26"/>
  <c r="O93" i="26" s="1"/>
  <c r="M44" i="37"/>
  <c r="O44" i="37" s="1"/>
  <c r="M44" i="26"/>
  <c r="O44" i="26" s="1"/>
  <c r="M32" i="26"/>
  <c r="O32" i="26" s="1"/>
  <c r="M80" i="26"/>
  <c r="O80" i="26" s="1"/>
  <c r="M56" i="26"/>
  <c r="O56" i="26" s="1"/>
  <c r="M32" i="37"/>
  <c r="O32" i="37" s="1"/>
  <c r="K7" i="27"/>
  <c r="T128" i="29"/>
  <c r="G42" i="14"/>
  <c r="H42" i="14" s="1"/>
  <c r="AC24" i="8"/>
  <c r="L79" i="2"/>
  <c r="E7" i="27"/>
  <c r="K8" i="27"/>
  <c r="E8" i="27"/>
  <c r="AA50" i="5"/>
  <c r="AC104" i="2" s="1"/>
  <c r="Z50" i="5"/>
  <c r="W105" i="2" s="1"/>
  <c r="X50" i="5"/>
  <c r="K102" i="2" s="1"/>
  <c r="W48" i="5"/>
  <c r="E75" i="2" s="1"/>
  <c r="Y50" i="5"/>
  <c r="Q99" i="2" s="1"/>
  <c r="X26" i="8"/>
  <c r="H29" i="41"/>
  <c r="G29" i="41"/>
  <c r="AC25" i="8"/>
  <c r="H32" i="41"/>
  <c r="W18" i="5"/>
  <c r="X25" i="8"/>
  <c r="G32" i="41"/>
  <c r="H30" i="41"/>
  <c r="W19" i="5"/>
  <c r="W20" i="5"/>
  <c r="W14" i="5"/>
  <c r="W17" i="5"/>
  <c r="AD36" i="7"/>
  <c r="AC44" i="7"/>
  <c r="AD38" i="7"/>
  <c r="AA20" i="5"/>
  <c r="Y21" i="5"/>
  <c r="AA21" i="5"/>
  <c r="Y20" i="5"/>
  <c r="Z21" i="5"/>
  <c r="AB21" i="5"/>
  <c r="AB20" i="5"/>
  <c r="X21" i="5"/>
  <c r="X20" i="5"/>
  <c r="Z20" i="5"/>
  <c r="AJ63" i="7"/>
  <c r="AI63" i="7" s="1"/>
  <c r="AH6" i="7"/>
  <c r="AN6" i="7"/>
  <c r="AM6" i="7"/>
  <c r="AI6" i="7"/>
  <c r="AJ6" i="7"/>
  <c r="AO6" i="7"/>
  <c r="AK6" i="7"/>
  <c r="AL6" i="7"/>
  <c r="Z82" i="7"/>
  <c r="AD40" i="7"/>
  <c r="AD41" i="7"/>
  <c r="AD39" i="7"/>
  <c r="AD42" i="7"/>
  <c r="AI44" i="5"/>
  <c r="BV26" i="2" s="1"/>
  <c r="BV6" i="2"/>
  <c r="BV8" i="2"/>
  <c r="BV12" i="2"/>
  <c r="BV9" i="2"/>
  <c r="BV13" i="2"/>
  <c r="BV3" i="2"/>
  <c r="AI46" i="5"/>
  <c r="BV51" i="2" s="1"/>
  <c r="AH46" i="5"/>
  <c r="BP59" i="2" s="1"/>
  <c r="AI47" i="5"/>
  <c r="BV64" i="2" s="1"/>
  <c r="AH45" i="5"/>
  <c r="BP49" i="2" s="1"/>
  <c r="BW4" i="2"/>
  <c r="BV5" i="2"/>
  <c r="AM62" i="7"/>
  <c r="O7" i="7"/>
  <c r="A130" i="29"/>
  <c r="C129" i="29"/>
  <c r="B129" i="29"/>
  <c r="AH47" i="5"/>
  <c r="BP62" i="2" s="1"/>
  <c r="BV2" i="2"/>
  <c r="BV7" i="2"/>
  <c r="C121" i="44"/>
  <c r="C127" i="44" s="1"/>
  <c r="AH43" i="5"/>
  <c r="BP23" i="2" s="1"/>
  <c r="BV11" i="2"/>
  <c r="AI45" i="5"/>
  <c r="AH42" i="5"/>
  <c r="AH44" i="5"/>
  <c r="BP33" i="2" s="1"/>
  <c r="BV10" i="2"/>
  <c r="AS8" i="40"/>
  <c r="AI43" i="5"/>
  <c r="AX43" i="14"/>
  <c r="AY43" i="14" s="1"/>
  <c r="BN43" i="14"/>
  <c r="BO43" i="14" s="1"/>
  <c r="GB118" i="2"/>
  <c r="AT43" i="14"/>
  <c r="AU43" i="14" s="1"/>
  <c r="AO43" i="14"/>
  <c r="AP43" i="14" s="1"/>
  <c r="FW118" i="2"/>
  <c r="AK43" i="14"/>
  <c r="AL43" i="14" s="1"/>
  <c r="FV118" i="2"/>
  <c r="BR43" i="14"/>
  <c r="BS43" i="14" s="1"/>
  <c r="GC118" i="2"/>
  <c r="BB43" i="14"/>
  <c r="BC43" i="14" s="1"/>
  <c r="K43" i="14"/>
  <c r="L43" i="14" s="1"/>
  <c r="BV42" i="14"/>
  <c r="BW42" i="14" s="1"/>
  <c r="GD117" i="2"/>
  <c r="F117" i="37"/>
  <c r="K117" i="37" s="1"/>
  <c r="F117" i="26"/>
  <c r="K117" i="26" s="1"/>
  <c r="BH42" i="14"/>
  <c r="BI42" i="14" s="1"/>
  <c r="GA117" i="2"/>
  <c r="AG42" i="14"/>
  <c r="AH42" i="14" s="1"/>
  <c r="FU117" i="2"/>
  <c r="AA43" i="14"/>
  <c r="AB43" i="14" s="1"/>
  <c r="O43" i="14"/>
  <c r="C42" i="14"/>
  <c r="D42" i="14" s="1"/>
  <c r="U43" i="14"/>
  <c r="V43" i="14" s="1"/>
  <c r="O104" i="37"/>
  <c r="I29" i="8"/>
  <c r="G28" i="41"/>
  <c r="F81" i="37"/>
  <c r="K81" i="37" s="1"/>
  <c r="F81" i="26"/>
  <c r="K81" i="26" s="1"/>
  <c r="GA81" i="2"/>
  <c r="FQ21" i="2"/>
  <c r="FW105" i="2"/>
  <c r="FQ69" i="2"/>
  <c r="GB69" i="2"/>
  <c r="FX9" i="2"/>
  <c r="FQ33" i="2"/>
  <c r="GC45" i="2"/>
  <c r="FS33" i="2"/>
  <c r="FX21" i="2"/>
  <c r="GB9" i="2"/>
  <c r="FV93" i="2"/>
  <c r="GB57" i="2"/>
  <c r="GB93" i="2"/>
  <c r="FT33" i="2"/>
  <c r="GD81" i="2"/>
  <c r="FV9" i="2"/>
  <c r="FP21" i="2"/>
  <c r="FU81" i="2"/>
  <c r="FP45" i="2"/>
  <c r="FR21" i="2"/>
  <c r="FW93" i="2"/>
  <c r="FS9" i="2"/>
  <c r="FY57" i="2"/>
  <c r="FW57" i="2"/>
  <c r="FQ45" i="2"/>
  <c r="GB45" i="2"/>
  <c r="FP57" i="2"/>
  <c r="GB81" i="2"/>
  <c r="GD45" i="2"/>
  <c r="GC81" i="2"/>
  <c r="FU93" i="2"/>
  <c r="FU45" i="2"/>
  <c r="FW45" i="2"/>
  <c r="FQ57" i="2"/>
  <c r="FU33" i="2"/>
  <c r="GC21" i="2"/>
  <c r="FU57" i="2"/>
  <c r="FW9" i="2"/>
  <c r="F21" i="37"/>
  <c r="K21" i="37" s="1"/>
  <c r="F21" i="26"/>
  <c r="K21" i="26" s="1"/>
  <c r="GA21" i="2"/>
  <c r="GC33" i="2"/>
  <c r="FX33" i="2"/>
  <c r="FR9" i="2"/>
  <c r="FT69" i="2"/>
  <c r="FO45" i="2"/>
  <c r="GD33" i="2"/>
  <c r="FT9" i="2"/>
  <c r="FY45" i="2"/>
  <c r="FY21" i="2"/>
  <c r="F105" i="26"/>
  <c r="K105" i="26" s="1"/>
  <c r="F105" i="37"/>
  <c r="K105" i="37" s="1"/>
  <c r="M105" i="37" s="1"/>
  <c r="GA105" i="2"/>
  <c r="GD93" i="2"/>
  <c r="FY69" i="2"/>
  <c r="GB105" i="2"/>
  <c r="FR33" i="2"/>
  <c r="FX45" i="2"/>
  <c r="GC69" i="2"/>
  <c r="FP34" i="2"/>
  <c r="FV105" i="2"/>
  <c r="FT57" i="2"/>
  <c r="FV81" i="2"/>
  <c r="FU21" i="2"/>
  <c r="FO21" i="2"/>
  <c r="FY9" i="2"/>
  <c r="FV69" i="2"/>
  <c r="GC105" i="2"/>
  <c r="FR69" i="2"/>
  <c r="F45" i="26"/>
  <c r="K45" i="26" s="1"/>
  <c r="F45" i="37"/>
  <c r="K45" i="37" s="1"/>
  <c r="GA45" i="2"/>
  <c r="GB21" i="2"/>
  <c r="F33" i="37"/>
  <c r="K33" i="37" s="1"/>
  <c r="F33" i="26"/>
  <c r="K33" i="26" s="1"/>
  <c r="GA33" i="2"/>
  <c r="FU69" i="2"/>
  <c r="FR57" i="2"/>
  <c r="FY33" i="2"/>
  <c r="FV45" i="2"/>
  <c r="FS45" i="2"/>
  <c r="FW69" i="2"/>
  <c r="GC93" i="2"/>
  <c r="FS57" i="2"/>
  <c r="GC57" i="2"/>
  <c r="FS21" i="2"/>
  <c r="GD69" i="2"/>
  <c r="FO33" i="2"/>
  <c r="FU105" i="2"/>
  <c r="D29" i="8"/>
  <c r="FS69" i="2"/>
  <c r="FX57" i="2"/>
  <c r="FT21" i="2"/>
  <c r="FV21" i="2"/>
  <c r="F9" i="26"/>
  <c r="K9" i="26" s="1"/>
  <c r="F9" i="37"/>
  <c r="K9" i="37" s="1"/>
  <c r="GA9" i="2"/>
  <c r="FR45" i="2"/>
  <c r="FO9" i="2"/>
  <c r="FP9" i="2"/>
  <c r="GD21" i="2"/>
  <c r="FW21" i="2"/>
  <c r="GB33" i="2"/>
  <c r="FX69" i="2"/>
  <c r="FT45" i="2"/>
  <c r="FP69" i="2"/>
  <c r="FV33" i="2"/>
  <c r="GD105" i="2"/>
  <c r="GD57" i="2"/>
  <c r="FW33" i="2"/>
  <c r="GD9" i="2"/>
  <c r="F69" i="37"/>
  <c r="K69" i="37" s="1"/>
  <c r="F69" i="26"/>
  <c r="K69" i="26" s="1"/>
  <c r="GA69" i="2"/>
  <c r="FU9" i="2"/>
  <c r="FV57" i="2"/>
  <c r="FW81" i="2"/>
  <c r="F94" i="26"/>
  <c r="K94" i="26" s="1"/>
  <c r="F94" i="37"/>
  <c r="K94" i="37" s="1"/>
  <c r="GA94" i="2"/>
  <c r="F57" i="26"/>
  <c r="K57" i="26" s="1"/>
  <c r="F57" i="37"/>
  <c r="K57" i="37" s="1"/>
  <c r="GA57" i="2"/>
  <c r="GC9" i="2"/>
  <c r="FQ9" i="2"/>
  <c r="L77" i="2"/>
  <c r="AH29" i="8"/>
  <c r="N29" i="8"/>
  <c r="S29" i="8"/>
  <c r="G31" i="41"/>
  <c r="X24" i="8"/>
  <c r="AG16" i="8"/>
  <c r="H28" i="41"/>
  <c r="AD16" i="8"/>
  <c r="E28" i="41"/>
  <c r="E37" i="41" s="1"/>
  <c r="AE16" i="8"/>
  <c r="F28" i="41"/>
  <c r="F37" i="41" s="1"/>
  <c r="AC16" i="8"/>
  <c r="D28" i="41"/>
  <c r="D37" i="41" s="1"/>
  <c r="AB16" i="8"/>
  <c r="C28" i="41"/>
  <c r="C37" i="41" s="1"/>
  <c r="BD12" i="39"/>
  <c r="BG12" i="39" s="1"/>
  <c r="BH12" i="39" s="1"/>
  <c r="BJ12" i="39" s="1"/>
  <c r="AS12" i="39"/>
  <c r="AV12" i="39" s="1"/>
  <c r="AH12" i="39"/>
  <c r="AK12" i="39" s="1"/>
  <c r="X12" i="39"/>
  <c r="AA12" i="39" s="1"/>
  <c r="N12" i="39"/>
  <c r="Q12" i="39" s="1"/>
  <c r="Z7" i="8"/>
  <c r="I28" i="73" s="1"/>
  <c r="X16" i="8"/>
  <c r="Z16" i="8" s="1"/>
  <c r="AD78" i="2"/>
  <c r="R75" i="2"/>
  <c r="AI82" i="2"/>
  <c r="R85" i="2"/>
  <c r="L76" i="2"/>
  <c r="AD79" i="2"/>
  <c r="R81" i="2"/>
  <c r="X83" i="2"/>
  <c r="L84" i="2"/>
  <c r="AD83" i="2"/>
  <c r="AI80" i="2"/>
  <c r="L78" i="2"/>
  <c r="R84" i="2"/>
  <c r="R82" i="2"/>
  <c r="L82" i="2"/>
  <c r="R74" i="2"/>
  <c r="X78" i="2"/>
  <c r="X85" i="2"/>
  <c r="R83" i="2"/>
  <c r="X81" i="2"/>
  <c r="AI75" i="2"/>
  <c r="L74" i="2"/>
  <c r="AI74" i="2"/>
  <c r="AD82" i="2"/>
  <c r="X84" i="2"/>
  <c r="AD77" i="2"/>
  <c r="L80" i="2"/>
  <c r="R79" i="2"/>
  <c r="X80" i="2"/>
  <c r="AI76" i="2"/>
  <c r="AD76" i="2"/>
  <c r="AI83" i="2"/>
  <c r="X82" i="2"/>
  <c r="AI84" i="2"/>
  <c r="AD84" i="2"/>
  <c r="L83" i="2"/>
  <c r="R76" i="2"/>
  <c r="AD80" i="2"/>
  <c r="R78" i="2"/>
  <c r="X75" i="2"/>
  <c r="AI79" i="2"/>
  <c r="X77" i="2"/>
  <c r="L75" i="2"/>
  <c r="X74" i="2"/>
  <c r="AD74" i="2"/>
  <c r="AD75" i="2"/>
  <c r="AI78" i="2"/>
  <c r="X76" i="2"/>
  <c r="L85" i="2"/>
  <c r="AD85" i="2"/>
  <c r="X79" i="2"/>
  <c r="R80" i="2"/>
  <c r="AI77" i="2"/>
  <c r="L81" i="2"/>
  <c r="AD81" i="2"/>
  <c r="R77" i="2"/>
  <c r="AI85" i="2"/>
  <c r="AI108" i="2"/>
  <c r="AI81" i="2"/>
  <c r="AF16" i="8"/>
  <c r="AH105" i="2"/>
  <c r="AH101" i="2"/>
  <c r="AH109" i="2"/>
  <c r="AH99" i="2"/>
  <c r="AH106" i="2"/>
  <c r="AH107" i="2"/>
  <c r="AH104" i="2"/>
  <c r="AH100" i="2"/>
  <c r="Z25" i="5"/>
  <c r="Z51" i="5"/>
  <c r="W110" i="2" s="1"/>
  <c r="AH102" i="2"/>
  <c r="W50" i="5"/>
  <c r="E103" i="2" s="1"/>
  <c r="Z92" i="7"/>
  <c r="X25" i="5"/>
  <c r="X51" i="5"/>
  <c r="K110" i="2" s="1"/>
  <c r="AH103" i="2"/>
  <c r="AH89" i="2"/>
  <c r="AH94" i="2"/>
  <c r="AH93" i="2"/>
  <c r="AH97" i="2"/>
  <c r="AH96" i="2"/>
  <c r="AH92" i="2"/>
  <c r="AH95" i="2"/>
  <c r="AH90" i="2"/>
  <c r="AH88" i="2"/>
  <c r="AH86" i="2"/>
  <c r="AH87" i="2"/>
  <c r="AH91" i="2"/>
  <c r="AA25" i="5"/>
  <c r="AA51" i="5"/>
  <c r="AC110" i="2" s="1"/>
  <c r="AC92" i="2"/>
  <c r="AC91" i="2"/>
  <c r="AC96" i="2"/>
  <c r="AC97" i="2"/>
  <c r="AC88" i="2"/>
  <c r="AC94" i="2"/>
  <c r="AC87" i="2"/>
  <c r="AC86" i="2"/>
  <c r="AC90" i="2"/>
  <c r="AC89" i="2"/>
  <c r="AC93" i="2"/>
  <c r="AC95" i="2"/>
  <c r="AB25" i="5"/>
  <c r="AB51" i="5"/>
  <c r="K97" i="2"/>
  <c r="K92" i="2"/>
  <c r="K88" i="2"/>
  <c r="K86" i="2"/>
  <c r="K93" i="2"/>
  <c r="K96" i="2"/>
  <c r="K94" i="2"/>
  <c r="K87" i="2"/>
  <c r="K90" i="2"/>
  <c r="K95" i="2"/>
  <c r="K89" i="2"/>
  <c r="K91" i="2"/>
  <c r="Y25" i="5"/>
  <c r="Y51" i="5"/>
  <c r="Q110" i="2" s="1"/>
  <c r="W96" i="2"/>
  <c r="W89" i="2"/>
  <c r="W95" i="2"/>
  <c r="W91" i="2"/>
  <c r="W87" i="2"/>
  <c r="W97" i="2"/>
  <c r="W93" i="2"/>
  <c r="W86" i="2"/>
  <c r="W90" i="2"/>
  <c r="W88" i="2"/>
  <c r="W94" i="2"/>
  <c r="W92" i="2"/>
  <c r="AH98" i="2"/>
  <c r="W49" i="5"/>
  <c r="Q95" i="2"/>
  <c r="Q90" i="2"/>
  <c r="Q87" i="2"/>
  <c r="Q91" i="2"/>
  <c r="Q89" i="2"/>
  <c r="Q97" i="2"/>
  <c r="Q86" i="2"/>
  <c r="Q96" i="2"/>
  <c r="Q94" i="2"/>
  <c r="Q92" i="2"/>
  <c r="Q88" i="2"/>
  <c r="Q93" i="2"/>
  <c r="I8" i="73" l="1"/>
  <c r="I37" i="73"/>
  <c r="AL24" i="7"/>
  <c r="AO24" i="7"/>
  <c r="AM24" i="7"/>
  <c r="AN24" i="7"/>
  <c r="AK24" i="7"/>
  <c r="AJ24" i="7"/>
  <c r="T129" i="29"/>
  <c r="FD117" i="3"/>
  <c r="FD81" i="3"/>
  <c r="FD21" i="3"/>
  <c r="FD93" i="3"/>
  <c r="FD129" i="3"/>
  <c r="FD45" i="3"/>
  <c r="FD69" i="3"/>
  <c r="FD33" i="3"/>
  <c r="FD106" i="3"/>
  <c r="FD57" i="3"/>
  <c r="P43" i="14"/>
  <c r="AC29" i="8"/>
  <c r="G37" i="73"/>
  <c r="FB45" i="3"/>
  <c r="EZ69" i="3"/>
  <c r="FB81" i="3"/>
  <c r="FA21" i="3"/>
  <c r="FA69" i="3"/>
  <c r="FB69" i="3"/>
  <c r="EX45" i="3"/>
  <c r="EV57" i="3"/>
  <c r="EV21" i="3"/>
  <c r="EX81" i="3"/>
  <c r="EU57" i="3"/>
  <c r="EY69" i="3"/>
  <c r="EX69" i="3"/>
  <c r="EV81" i="3"/>
  <c r="EU21" i="3"/>
  <c r="EY81" i="3"/>
  <c r="EZ81" i="3"/>
  <c r="EY21" i="3"/>
  <c r="FA33" i="3"/>
  <c r="EV46" i="3"/>
  <c r="EW33" i="3"/>
  <c r="EZ57" i="3"/>
  <c r="EX57" i="3"/>
  <c r="EX21" i="3"/>
  <c r="EZ45" i="3"/>
  <c r="EY45" i="3"/>
  <c r="FB21" i="3"/>
  <c r="FA45" i="3"/>
  <c r="FA57" i="3"/>
  <c r="EX33" i="3"/>
  <c r="H37" i="73"/>
  <c r="FA81" i="3"/>
  <c r="EU45" i="3"/>
  <c r="EU33" i="3"/>
  <c r="FB33" i="3"/>
  <c r="EV69" i="3"/>
  <c r="EW45" i="3"/>
  <c r="EW69" i="3"/>
  <c r="FB57" i="3"/>
  <c r="EY57" i="3"/>
  <c r="EW21" i="3"/>
  <c r="EZ21" i="3"/>
  <c r="EW57" i="3"/>
  <c r="EY33" i="3"/>
  <c r="EZ33" i="3"/>
  <c r="EV33" i="3"/>
  <c r="EW81" i="3"/>
  <c r="D84" i="32"/>
  <c r="D82" i="22"/>
  <c r="D85" i="32"/>
  <c r="D84" i="22"/>
  <c r="D77" i="32"/>
  <c r="D78" i="32"/>
  <c r="D83" i="22"/>
  <c r="D80" i="22"/>
  <c r="D78" i="22"/>
  <c r="D76" i="32"/>
  <c r="D75" i="32"/>
  <c r="D76" i="22"/>
  <c r="D85" i="22"/>
  <c r="D79" i="22"/>
  <c r="R79" i="22" s="1"/>
  <c r="D74" i="32"/>
  <c r="D81" i="22"/>
  <c r="D83" i="32"/>
  <c r="D81" i="32"/>
  <c r="D74" i="22"/>
  <c r="D82" i="32"/>
  <c r="D80" i="32"/>
  <c r="D79" i="32"/>
  <c r="D77" i="22"/>
  <c r="D75" i="22"/>
  <c r="Q146" i="51"/>
  <c r="P142" i="51"/>
  <c r="O147" i="10"/>
  <c r="N143" i="10"/>
  <c r="M9" i="26"/>
  <c r="O9" i="26" s="1"/>
  <c r="M105" i="26"/>
  <c r="O105" i="26" s="1"/>
  <c r="M21" i="37"/>
  <c r="O21" i="37" s="1"/>
  <c r="M9" i="37"/>
  <c r="O9" i="37" s="1"/>
  <c r="M33" i="26"/>
  <c r="O33" i="26" s="1"/>
  <c r="M21" i="26"/>
  <c r="O21" i="26" s="1"/>
  <c r="M57" i="37"/>
  <c r="O57" i="37" s="1"/>
  <c r="M33" i="37"/>
  <c r="O33" i="37" s="1"/>
  <c r="M57" i="26"/>
  <c r="O57" i="26" s="1"/>
  <c r="M81" i="26"/>
  <c r="O81" i="26" s="1"/>
  <c r="M81" i="37"/>
  <c r="O81" i="37" s="1"/>
  <c r="M117" i="26"/>
  <c r="O117" i="26" s="1"/>
  <c r="M94" i="37"/>
  <c r="O94" i="37" s="1"/>
  <c r="M45" i="37"/>
  <c r="O45" i="37" s="1"/>
  <c r="M117" i="37"/>
  <c r="O117" i="37" s="1"/>
  <c r="M94" i="26"/>
  <c r="O94" i="26" s="1"/>
  <c r="M69" i="26"/>
  <c r="O69" i="26" s="1"/>
  <c r="M45" i="26"/>
  <c r="O45" i="26" s="1"/>
  <c r="M69" i="37"/>
  <c r="O69" i="37" s="1"/>
  <c r="G43" i="14"/>
  <c r="H43" i="14" s="1"/>
  <c r="FP79" i="2"/>
  <c r="EV91" i="3" s="1"/>
  <c r="D108" i="33"/>
  <c r="D108" i="22"/>
  <c r="W100" i="2"/>
  <c r="K106" i="2"/>
  <c r="D79" i="19"/>
  <c r="BW3" i="2"/>
  <c r="D3" i="26" s="1"/>
  <c r="BW9" i="2"/>
  <c r="D9" i="37" s="1"/>
  <c r="BW26" i="2"/>
  <c r="D26" i="26" s="1"/>
  <c r="P26" i="26" s="1"/>
  <c r="BY4" i="2"/>
  <c r="D79" i="29"/>
  <c r="X29" i="8"/>
  <c r="W109" i="2"/>
  <c r="Q109" i="2"/>
  <c r="Q101" i="2"/>
  <c r="Q102" i="2"/>
  <c r="Q104" i="2"/>
  <c r="Q108" i="2"/>
  <c r="K101" i="2"/>
  <c r="K109" i="2"/>
  <c r="AC109" i="2"/>
  <c r="AC98" i="2"/>
  <c r="AC99" i="2"/>
  <c r="Q103" i="2"/>
  <c r="AC107" i="2"/>
  <c r="AC102" i="2"/>
  <c r="Q107" i="2"/>
  <c r="AC101" i="2"/>
  <c r="Q98" i="2"/>
  <c r="AC106" i="2"/>
  <c r="K105" i="2"/>
  <c r="W98" i="2"/>
  <c r="AC100" i="2"/>
  <c r="AC105" i="2"/>
  <c r="K99" i="2"/>
  <c r="K100" i="2"/>
  <c r="K104" i="2"/>
  <c r="K107" i="2"/>
  <c r="W104" i="2"/>
  <c r="AC108" i="2"/>
  <c r="K108" i="2"/>
  <c r="E84" i="2"/>
  <c r="E80" i="2"/>
  <c r="E77" i="2"/>
  <c r="E85" i="2"/>
  <c r="E74" i="2"/>
  <c r="E81" i="2"/>
  <c r="K103" i="2"/>
  <c r="Q100" i="2"/>
  <c r="E82" i="2"/>
  <c r="E76" i="2"/>
  <c r="E79" i="2"/>
  <c r="E78" i="2"/>
  <c r="Q105" i="2"/>
  <c r="D78" i="33"/>
  <c r="D74" i="33"/>
  <c r="D76" i="33"/>
  <c r="D77" i="33"/>
  <c r="D75" i="33"/>
  <c r="D81" i="33"/>
  <c r="D80" i="33"/>
  <c r="D82" i="33"/>
  <c r="D85" i="33"/>
  <c r="D84" i="33"/>
  <c r="D79" i="33"/>
  <c r="D83" i="33"/>
  <c r="AK108" i="2"/>
  <c r="D78" i="18"/>
  <c r="D76" i="21"/>
  <c r="D81" i="18"/>
  <c r="D75" i="21"/>
  <c r="D80" i="21"/>
  <c r="D82" i="18"/>
  <c r="D79" i="21"/>
  <c r="D74" i="21"/>
  <c r="D76" i="18"/>
  <c r="D80" i="20"/>
  <c r="D84" i="18"/>
  <c r="D80" i="18"/>
  <c r="D74" i="20"/>
  <c r="D79" i="18"/>
  <c r="D81" i="20"/>
  <c r="D85" i="18"/>
  <c r="D84" i="21"/>
  <c r="D83" i="18"/>
  <c r="D85" i="21"/>
  <c r="D77" i="20"/>
  <c r="D77" i="21"/>
  <c r="D85" i="20"/>
  <c r="D83" i="21"/>
  <c r="D75" i="18"/>
  <c r="D79" i="20"/>
  <c r="F103" i="2"/>
  <c r="D77" i="18"/>
  <c r="D82" i="20"/>
  <c r="D84" i="20"/>
  <c r="D78" i="20"/>
  <c r="D78" i="21"/>
  <c r="D81" i="21"/>
  <c r="D76" i="20"/>
  <c r="D75" i="20"/>
  <c r="D82" i="21"/>
  <c r="D74" i="18"/>
  <c r="D83" i="20"/>
  <c r="W103" i="2"/>
  <c r="W107" i="2"/>
  <c r="W102" i="2"/>
  <c r="W99" i="2"/>
  <c r="W101" i="2"/>
  <c r="W108" i="2"/>
  <c r="Q106" i="2"/>
  <c r="K98" i="2"/>
  <c r="W106" i="2"/>
  <c r="AC103" i="2"/>
  <c r="AH110" i="2"/>
  <c r="E83" i="2"/>
  <c r="D76" i="19"/>
  <c r="D83" i="19"/>
  <c r="D78" i="19"/>
  <c r="D75" i="19"/>
  <c r="D80" i="19"/>
  <c r="D77" i="19"/>
  <c r="D85" i="19"/>
  <c r="D84" i="19"/>
  <c r="D81" i="19"/>
  <c r="D82" i="19"/>
  <c r="D74" i="19"/>
  <c r="AK82" i="2"/>
  <c r="AK84" i="2"/>
  <c r="AK79" i="2"/>
  <c r="AK78" i="2"/>
  <c r="AK83" i="2"/>
  <c r="AK74" i="2"/>
  <c r="AK77" i="2"/>
  <c r="AK76" i="2"/>
  <c r="AK81" i="2"/>
  <c r="AK75" i="2"/>
  <c r="AK85" i="2"/>
  <c r="AK80" i="2"/>
  <c r="AF77" i="2"/>
  <c r="AF83" i="2"/>
  <c r="AF81" i="2"/>
  <c r="AF78" i="2"/>
  <c r="AF82" i="2"/>
  <c r="AF75" i="2"/>
  <c r="AF76" i="2"/>
  <c r="AF79" i="2"/>
  <c r="AF80" i="2"/>
  <c r="AF74" i="2"/>
  <c r="AF85" i="2"/>
  <c r="AF84" i="2"/>
  <c r="H37" i="41"/>
  <c r="F75" i="2"/>
  <c r="AD44" i="7"/>
  <c r="BP38" i="2"/>
  <c r="AI64" i="7"/>
  <c r="F82" i="7"/>
  <c r="E82" i="7"/>
  <c r="AP6" i="7"/>
  <c r="AP24" i="7" s="1"/>
  <c r="G82" i="7"/>
  <c r="H82" i="7"/>
  <c r="O9" i="7"/>
  <c r="AN7" i="7"/>
  <c r="AO7" i="7"/>
  <c r="AI7" i="7"/>
  <c r="D83" i="7" s="1"/>
  <c r="AJ7" i="7"/>
  <c r="AH7" i="7"/>
  <c r="C83" i="7" s="1"/>
  <c r="AK7" i="7"/>
  <c r="AL7" i="7"/>
  <c r="AM7" i="7"/>
  <c r="AJ64" i="7"/>
  <c r="BP39" i="2"/>
  <c r="BV33" i="2"/>
  <c r="BV37" i="2"/>
  <c r="BP42" i="2"/>
  <c r="BP46" i="2"/>
  <c r="BP43" i="2"/>
  <c r="BV31" i="2"/>
  <c r="BV36" i="2"/>
  <c r="BV29" i="2"/>
  <c r="BV28" i="2"/>
  <c r="BV32" i="2"/>
  <c r="BV35" i="2"/>
  <c r="BV34" i="2"/>
  <c r="BW6" i="2"/>
  <c r="BV30" i="2"/>
  <c r="BP44" i="2"/>
  <c r="BP41" i="2"/>
  <c r="BV27" i="2"/>
  <c r="BP45" i="2"/>
  <c r="BP40" i="2"/>
  <c r="BW8" i="2"/>
  <c r="BW13" i="2"/>
  <c r="BW12" i="2"/>
  <c r="G37" i="41"/>
  <c r="BV55" i="2"/>
  <c r="BV54" i="2"/>
  <c r="BP16" i="2"/>
  <c r="BP19" i="2"/>
  <c r="BP22" i="2"/>
  <c r="BV53" i="2"/>
  <c r="BV52" i="2"/>
  <c r="BV58" i="2"/>
  <c r="BV50" i="2"/>
  <c r="BV57" i="2"/>
  <c r="BV56" i="2"/>
  <c r="BP21" i="2"/>
  <c r="BP15" i="2"/>
  <c r="BP25" i="2"/>
  <c r="BV60" i="2"/>
  <c r="BV61" i="2"/>
  <c r="BP36" i="2"/>
  <c r="BP32" i="2"/>
  <c r="BP28" i="2"/>
  <c r="BP31" i="2"/>
  <c r="BP30" i="2"/>
  <c r="BP26" i="2"/>
  <c r="BP37" i="2"/>
  <c r="BP20" i="2"/>
  <c r="BV59" i="2"/>
  <c r="BP27" i="2"/>
  <c r="BP24" i="2"/>
  <c r="BP17" i="2"/>
  <c r="BQ62" i="2"/>
  <c r="BW5" i="2"/>
  <c r="BV62" i="2"/>
  <c r="D82" i="7"/>
  <c r="AI24" i="7"/>
  <c r="BW11" i="2"/>
  <c r="BV67" i="2"/>
  <c r="BP52" i="2"/>
  <c r="BV66" i="2"/>
  <c r="BP14" i="2"/>
  <c r="BP35" i="2"/>
  <c r="B130" i="29"/>
  <c r="C130" i="29"/>
  <c r="A131" i="29"/>
  <c r="BP53" i="2"/>
  <c r="BP72" i="2"/>
  <c r="BV63" i="2"/>
  <c r="BP57" i="2"/>
  <c r="BP64" i="2"/>
  <c r="BV65" i="2"/>
  <c r="BV49" i="2"/>
  <c r="BV40" i="2"/>
  <c r="BV39" i="2"/>
  <c r="BV48" i="2"/>
  <c r="BV43" i="2"/>
  <c r="BV47" i="2"/>
  <c r="BV46" i="2"/>
  <c r="BV41" i="2"/>
  <c r="BV38" i="2"/>
  <c r="BV42" i="2"/>
  <c r="BV44" i="2"/>
  <c r="BV45" i="2"/>
  <c r="AH24" i="7"/>
  <c r="C82" i="7"/>
  <c r="BQ23" i="2"/>
  <c r="AM63" i="7"/>
  <c r="O8" i="7"/>
  <c r="DF5" i="39"/>
  <c r="DI5" i="39" s="1"/>
  <c r="BP51" i="2"/>
  <c r="BP69" i="2"/>
  <c r="BV68" i="2"/>
  <c r="BV18" i="2"/>
  <c r="BV25" i="2"/>
  <c r="BV17" i="2"/>
  <c r="BV19" i="2"/>
  <c r="BV22" i="2"/>
  <c r="BV20" i="2"/>
  <c r="BV23" i="2"/>
  <c r="BV14" i="2"/>
  <c r="BV15" i="2"/>
  <c r="BV16" i="2"/>
  <c r="BV21" i="2"/>
  <c r="BV24" i="2"/>
  <c r="BP12" i="2"/>
  <c r="BP7" i="2"/>
  <c r="BP3" i="2"/>
  <c r="BP4" i="2"/>
  <c r="BP6" i="2"/>
  <c r="BP9" i="2"/>
  <c r="BP2" i="2"/>
  <c r="BP10" i="2"/>
  <c r="BP13" i="2"/>
  <c r="BP5" i="2"/>
  <c r="BP8" i="2"/>
  <c r="BP11" i="2"/>
  <c r="BW7" i="2"/>
  <c r="BP60" i="2"/>
  <c r="BP70" i="2"/>
  <c r="BV73" i="2"/>
  <c r="BP48" i="2"/>
  <c r="BP55" i="2"/>
  <c r="BP66" i="2"/>
  <c r="BV70" i="2"/>
  <c r="BQ33" i="2"/>
  <c r="D4" i="37"/>
  <c r="D4" i="26"/>
  <c r="BP61" i="2"/>
  <c r="BP71" i="2"/>
  <c r="BV71" i="2"/>
  <c r="D26" i="37"/>
  <c r="BP54" i="2"/>
  <c r="BP73" i="2"/>
  <c r="BV72" i="2"/>
  <c r="BP56" i="2"/>
  <c r="BP67" i="2"/>
  <c r="BW51" i="2"/>
  <c r="BP29" i="2"/>
  <c r="BP58" i="2"/>
  <c r="BP63" i="2"/>
  <c r="DQ5" i="39"/>
  <c r="DT5" i="39" s="1"/>
  <c r="DU5" i="39" s="1"/>
  <c r="DW5" i="39" s="1"/>
  <c r="BW10" i="2"/>
  <c r="BP50" i="2"/>
  <c r="BP68" i="2"/>
  <c r="BQ49" i="2"/>
  <c r="BP65" i="2"/>
  <c r="AR20" i="40"/>
  <c r="AR21" i="40" s="1"/>
  <c r="AR22" i="40" s="1"/>
  <c r="AR23" i="40" s="1"/>
  <c r="AR24" i="40" s="1"/>
  <c r="AR25" i="40" s="1"/>
  <c r="AR26" i="40" s="1"/>
  <c r="AR27" i="40" s="1"/>
  <c r="T142" i="10" s="1"/>
  <c r="S142" i="10" s="1"/>
  <c r="R142" i="10" s="1"/>
  <c r="Q142" i="10" s="1"/>
  <c r="P142" i="10" s="1"/>
  <c r="O142" i="10" s="1"/>
  <c r="BW64" i="2"/>
  <c r="BQ59" i="2"/>
  <c r="AS23" i="40"/>
  <c r="AS27" i="40"/>
  <c r="AS25" i="40"/>
  <c r="AS20" i="40"/>
  <c r="AS19" i="40"/>
  <c r="AS22" i="40"/>
  <c r="AS24" i="40"/>
  <c r="AS26" i="40"/>
  <c r="AS21" i="40"/>
  <c r="BP47" i="2"/>
  <c r="BP18" i="2"/>
  <c r="BP34" i="2"/>
  <c r="BW2" i="2"/>
  <c r="DQ6" i="39"/>
  <c r="DT6" i="39" s="1"/>
  <c r="BV69" i="2"/>
  <c r="U44" i="14"/>
  <c r="V44" i="14" s="1"/>
  <c r="AA44" i="14"/>
  <c r="AB44" i="14" s="1"/>
  <c r="BR44" i="14"/>
  <c r="BS44" i="14" s="1"/>
  <c r="GC119" i="2"/>
  <c r="BN44" i="14"/>
  <c r="BO44" i="14" s="1"/>
  <c r="GB119" i="2"/>
  <c r="BV43" i="14"/>
  <c r="BW43" i="14" s="1"/>
  <c r="GD118" i="2"/>
  <c r="AK44" i="14"/>
  <c r="AL44" i="14" s="1"/>
  <c r="FV119" i="2"/>
  <c r="C43" i="14"/>
  <c r="D43" i="14" s="1"/>
  <c r="AG43" i="14"/>
  <c r="AH43" i="14" s="1"/>
  <c r="FU118" i="2"/>
  <c r="AX44" i="14"/>
  <c r="AY44" i="14" s="1"/>
  <c r="K44" i="14"/>
  <c r="L44" i="14" s="1"/>
  <c r="AO44" i="14"/>
  <c r="AP44" i="14" s="1"/>
  <c r="FW119" i="2"/>
  <c r="O44" i="14"/>
  <c r="BB44" i="14"/>
  <c r="BC44" i="14" s="1"/>
  <c r="AT44" i="14"/>
  <c r="AU44" i="14" s="1"/>
  <c r="F118" i="26"/>
  <c r="K118" i="26" s="1"/>
  <c r="BH43" i="14"/>
  <c r="BI43" i="14" s="1"/>
  <c r="F118" i="37"/>
  <c r="K118" i="37" s="1"/>
  <c r="GA118" i="2"/>
  <c r="BD14" i="39"/>
  <c r="BG14" i="39" s="1"/>
  <c r="AH119" i="2"/>
  <c r="Q120" i="2"/>
  <c r="AC113" i="2"/>
  <c r="AC112" i="2"/>
  <c r="W119" i="2"/>
  <c r="Q118" i="2"/>
  <c r="AH111" i="2"/>
  <c r="W111" i="2"/>
  <c r="K113" i="2"/>
  <c r="W116" i="2"/>
  <c r="Q113" i="2"/>
  <c r="K118" i="2"/>
  <c r="AH116" i="2"/>
  <c r="AC117" i="2"/>
  <c r="AH113" i="2"/>
  <c r="AH121" i="2"/>
  <c r="W121" i="2"/>
  <c r="Q119" i="2"/>
  <c r="AC114" i="2"/>
  <c r="AC116" i="2"/>
  <c r="K115" i="2"/>
  <c r="W118" i="2"/>
  <c r="Q115" i="2"/>
  <c r="W113" i="2"/>
  <c r="AH118" i="2"/>
  <c r="AC120" i="2"/>
  <c r="K112" i="2"/>
  <c r="K120" i="2"/>
  <c r="Q112" i="2"/>
  <c r="Q111" i="2"/>
  <c r="AH115" i="2"/>
  <c r="AC119" i="2"/>
  <c r="K117" i="2"/>
  <c r="W120" i="2"/>
  <c r="AC118" i="2"/>
  <c r="W115" i="2"/>
  <c r="AH120" i="2"/>
  <c r="Q117" i="2"/>
  <c r="K119" i="2"/>
  <c r="Q116" i="2"/>
  <c r="K114" i="2"/>
  <c r="AH112" i="2"/>
  <c r="W112" i="2"/>
  <c r="AH117" i="2"/>
  <c r="AC115" i="2"/>
  <c r="K121" i="2"/>
  <c r="AC121" i="2"/>
  <c r="W117" i="2"/>
  <c r="AC111" i="2"/>
  <c r="Q121" i="2"/>
  <c r="K111" i="2"/>
  <c r="Q114" i="2"/>
  <c r="K116" i="2"/>
  <c r="AH114" i="2"/>
  <c r="W114" i="2"/>
  <c r="R110" i="2"/>
  <c r="X110" i="2"/>
  <c r="AD110" i="2"/>
  <c r="L110" i="2"/>
  <c r="O105" i="37"/>
  <c r="D82" i="31"/>
  <c r="D85" i="31"/>
  <c r="D75" i="31"/>
  <c r="D84" i="31"/>
  <c r="D78" i="31"/>
  <c r="D78" i="30"/>
  <c r="D75" i="30"/>
  <c r="D80" i="30"/>
  <c r="D83" i="31"/>
  <c r="D79" i="31"/>
  <c r="D76" i="30"/>
  <c r="D80" i="31"/>
  <c r="D82" i="30"/>
  <c r="D81" i="30"/>
  <c r="D77" i="30"/>
  <c r="D79" i="30"/>
  <c r="D84" i="30"/>
  <c r="D81" i="31"/>
  <c r="D77" i="31"/>
  <c r="D83" i="30"/>
  <c r="D76" i="31"/>
  <c r="D85" i="30"/>
  <c r="FS58" i="2"/>
  <c r="FR46" i="2"/>
  <c r="FU34" i="2"/>
  <c r="FU82" i="2"/>
  <c r="FW106" i="2"/>
  <c r="GC10" i="2"/>
  <c r="F95" i="37"/>
  <c r="K95" i="37" s="1"/>
  <c r="F95" i="26"/>
  <c r="K95" i="26" s="1"/>
  <c r="GA95" i="2"/>
  <c r="FV34" i="2"/>
  <c r="GB34" i="2"/>
  <c r="FU106" i="2"/>
  <c r="FR58" i="2"/>
  <c r="FY10" i="2"/>
  <c r="FT58" i="2"/>
  <c r="GD94" i="2"/>
  <c r="FY46" i="2"/>
  <c r="FR10" i="2"/>
  <c r="GB46" i="2"/>
  <c r="FR34" i="2"/>
  <c r="FU58" i="2"/>
  <c r="GC82" i="2"/>
  <c r="FW94" i="2"/>
  <c r="GB94" i="2"/>
  <c r="FQ34" i="2"/>
  <c r="FP22" i="2"/>
  <c r="FQ46" i="2"/>
  <c r="FW22" i="2"/>
  <c r="FO34" i="2"/>
  <c r="F46" i="26"/>
  <c r="K46" i="26" s="1"/>
  <c r="F46" i="37"/>
  <c r="K46" i="37" s="1"/>
  <c r="GA46" i="2"/>
  <c r="FO22" i="2"/>
  <c r="F70" i="26"/>
  <c r="K70" i="26" s="1"/>
  <c r="F70" i="37"/>
  <c r="K70" i="37" s="1"/>
  <c r="GA70" i="2"/>
  <c r="FX58" i="2"/>
  <c r="FV46" i="2"/>
  <c r="FT10" i="2"/>
  <c r="GD46" i="2"/>
  <c r="GB58" i="2"/>
  <c r="FX10" i="2"/>
  <c r="FQ22" i="2"/>
  <c r="FW82" i="2"/>
  <c r="FX34" i="2"/>
  <c r="F58" i="26"/>
  <c r="K58" i="26" s="1"/>
  <c r="F58" i="37"/>
  <c r="K58" i="37" s="1"/>
  <c r="GA58" i="2"/>
  <c r="FV106" i="2"/>
  <c r="FQ58" i="2"/>
  <c r="FV10" i="2"/>
  <c r="FP70" i="2"/>
  <c r="FT46" i="2"/>
  <c r="GD22" i="2"/>
  <c r="FU70" i="2"/>
  <c r="FR70" i="2"/>
  <c r="GC34" i="2"/>
  <c r="FX22" i="2"/>
  <c r="F10" i="26"/>
  <c r="K10" i="26" s="1"/>
  <c r="F10" i="37"/>
  <c r="K10" i="37" s="1"/>
  <c r="GA10" i="2"/>
  <c r="FS70" i="2"/>
  <c r="GB106" i="2"/>
  <c r="GD34" i="2"/>
  <c r="FW58" i="2"/>
  <c r="FR22" i="2"/>
  <c r="FV94" i="2"/>
  <c r="FV58" i="2"/>
  <c r="GD10" i="2"/>
  <c r="GD70" i="2"/>
  <c r="GC94" i="2"/>
  <c r="FP35" i="2"/>
  <c r="GC22" i="2"/>
  <c r="FW46" i="2"/>
  <c r="GD82" i="2"/>
  <c r="GB70" i="2"/>
  <c r="FS46" i="2"/>
  <c r="FU22" i="2"/>
  <c r="GB82" i="2"/>
  <c r="FX70" i="2"/>
  <c r="FP10" i="2"/>
  <c r="F106" i="26"/>
  <c r="K106" i="26" s="1"/>
  <c r="F106" i="37"/>
  <c r="K106" i="37" s="1"/>
  <c r="M106" i="37" s="1"/>
  <c r="GA106" i="2"/>
  <c r="GC106" i="2"/>
  <c r="FO46" i="2"/>
  <c r="FY58" i="2"/>
  <c r="FS34" i="2"/>
  <c r="F22" i="26"/>
  <c r="K22" i="26" s="1"/>
  <c r="F22" i="37"/>
  <c r="K22" i="37" s="1"/>
  <c r="GA22" i="2"/>
  <c r="FU46" i="2"/>
  <c r="FT34" i="2"/>
  <c r="FQ70" i="2"/>
  <c r="FT22" i="2"/>
  <c r="FW34" i="2"/>
  <c r="FS22" i="2"/>
  <c r="FW70" i="2"/>
  <c r="F34" i="37"/>
  <c r="K34" i="37" s="1"/>
  <c r="F34" i="26"/>
  <c r="K34" i="26" s="1"/>
  <c r="GA34" i="2"/>
  <c r="GC70" i="2"/>
  <c r="GD106" i="2"/>
  <c r="FO10" i="2"/>
  <c r="FV22" i="2"/>
  <c r="FY22" i="2"/>
  <c r="FP58" i="2"/>
  <c r="FP46" i="2"/>
  <c r="F82" i="37"/>
  <c r="K82" i="37" s="1"/>
  <c r="F82" i="26"/>
  <c r="K82" i="26" s="1"/>
  <c r="GA82" i="2"/>
  <c r="FQ10" i="2"/>
  <c r="FU10" i="2"/>
  <c r="FY34" i="2"/>
  <c r="FV70" i="2"/>
  <c r="FV82" i="2"/>
  <c r="FY70" i="2"/>
  <c r="FT70" i="2"/>
  <c r="GB10" i="2"/>
  <c r="GC46" i="2"/>
  <c r="GD58" i="2"/>
  <c r="GC58" i="2"/>
  <c r="GB22" i="2"/>
  <c r="FX46" i="2"/>
  <c r="FW10" i="2"/>
  <c r="FU94" i="2"/>
  <c r="FS10" i="2"/>
  <c r="FP77" i="2"/>
  <c r="EV89" i="3" s="1"/>
  <c r="D77" i="29"/>
  <c r="AH16" i="8"/>
  <c r="I28" i="41"/>
  <c r="I37" i="41" s="1"/>
  <c r="AW12" i="39"/>
  <c r="AY12" i="39" s="1"/>
  <c r="BE12" i="39"/>
  <c r="BD13" i="39"/>
  <c r="BG13" i="39" s="1"/>
  <c r="BH13" i="39" s="1"/>
  <c r="BJ13" i="39" s="1"/>
  <c r="AT12" i="39"/>
  <c r="AS13" i="39"/>
  <c r="AV13" i="39" s="1"/>
  <c r="D74" i="31"/>
  <c r="AI12" i="39"/>
  <c r="AH13" i="39"/>
  <c r="AK13" i="39" s="1"/>
  <c r="X13" i="39"/>
  <c r="AA13" i="39" s="1"/>
  <c r="D74" i="30"/>
  <c r="Y12" i="39"/>
  <c r="N13" i="39"/>
  <c r="Q13" i="39" s="1"/>
  <c r="O12" i="39"/>
  <c r="D74" i="29"/>
  <c r="D83" i="29"/>
  <c r="D78" i="29"/>
  <c r="D80" i="29"/>
  <c r="D81" i="29"/>
  <c r="D76" i="29"/>
  <c r="D75" i="29"/>
  <c r="D84" i="29"/>
  <c r="D85" i="29"/>
  <c r="D82" i="29"/>
  <c r="R95" i="2"/>
  <c r="AI86" i="2"/>
  <c r="AI99" i="2"/>
  <c r="FS85" i="2"/>
  <c r="EY97" i="3" s="1"/>
  <c r="L89" i="2"/>
  <c r="AI101" i="2"/>
  <c r="FP75" i="2"/>
  <c r="EV87" i="3" s="1"/>
  <c r="FS82" i="2"/>
  <c r="EY94" i="3" s="1"/>
  <c r="R92" i="2"/>
  <c r="L95" i="2"/>
  <c r="AI100" i="2"/>
  <c r="FT81" i="2"/>
  <c r="EZ93" i="3" s="1"/>
  <c r="FR80" i="2"/>
  <c r="EX92" i="3" s="1"/>
  <c r="R94" i="2"/>
  <c r="L90" i="2"/>
  <c r="FR76" i="2"/>
  <c r="EX88" i="3" s="1"/>
  <c r="FR77" i="2"/>
  <c r="EX89" i="3" s="1"/>
  <c r="FT74" i="2"/>
  <c r="EZ86" i="3" s="1"/>
  <c r="R96" i="2"/>
  <c r="L87" i="2"/>
  <c r="AI89" i="2"/>
  <c r="AI104" i="2"/>
  <c r="FP81" i="2"/>
  <c r="EV93" i="3" s="1"/>
  <c r="FQ79" i="2"/>
  <c r="EW91" i="3" s="1"/>
  <c r="FQ74" i="2"/>
  <c r="EW86" i="3" s="1"/>
  <c r="FQ85" i="2"/>
  <c r="EW97" i="3" s="1"/>
  <c r="L97" i="2"/>
  <c r="AI88" i="2"/>
  <c r="X87" i="2"/>
  <c r="AI95" i="2"/>
  <c r="FT80" i="2"/>
  <c r="EZ92" i="3" s="1"/>
  <c r="AD96" i="2"/>
  <c r="R93" i="2"/>
  <c r="AD91" i="2"/>
  <c r="X96" i="2"/>
  <c r="FP85" i="2"/>
  <c r="EV97" i="3" s="1"/>
  <c r="AI93" i="2"/>
  <c r="FR78" i="2"/>
  <c r="EX90" i="3" s="1"/>
  <c r="AI94" i="2"/>
  <c r="R86" i="2"/>
  <c r="L94" i="2"/>
  <c r="FT78" i="2"/>
  <c r="EZ90" i="3" s="1"/>
  <c r="FT79" i="2"/>
  <c r="EZ91" i="3" s="1"/>
  <c r="FP74" i="2"/>
  <c r="EV86" i="3" s="1"/>
  <c r="X93" i="2"/>
  <c r="X97" i="2"/>
  <c r="FR79" i="2"/>
  <c r="EX91" i="3" s="1"/>
  <c r="FS77" i="2"/>
  <c r="EY89" i="3" s="1"/>
  <c r="X91" i="2"/>
  <c r="AD97" i="2"/>
  <c r="FQ77" i="2"/>
  <c r="EW89" i="3" s="1"/>
  <c r="FS80" i="2"/>
  <c r="EY92" i="3" s="1"/>
  <c r="FR85" i="2"/>
  <c r="EX97" i="3" s="1"/>
  <c r="AI109" i="2"/>
  <c r="FS81" i="2"/>
  <c r="EY93" i="3" s="1"/>
  <c r="AD92" i="2"/>
  <c r="AI105" i="2"/>
  <c r="FP76" i="2"/>
  <c r="EV88" i="3" s="1"/>
  <c r="R97" i="2"/>
  <c r="X92" i="2"/>
  <c r="L96" i="2"/>
  <c r="AD95" i="2"/>
  <c r="AD104" i="2"/>
  <c r="FT77" i="2"/>
  <c r="EZ89" i="3" s="1"/>
  <c r="FP82" i="2"/>
  <c r="EV94" i="3" s="1"/>
  <c r="FT82" i="2"/>
  <c r="EZ94" i="3" s="1"/>
  <c r="AD94" i="2"/>
  <c r="AI90" i="2"/>
  <c r="X89" i="2"/>
  <c r="FT76" i="2"/>
  <c r="EZ88" i="3" s="1"/>
  <c r="AI98" i="2"/>
  <c r="AI97" i="2"/>
  <c r="X105" i="2"/>
  <c r="R89" i="2"/>
  <c r="X94" i="2"/>
  <c r="L93" i="2"/>
  <c r="AD93" i="2"/>
  <c r="AI102" i="2"/>
  <c r="AI107" i="2"/>
  <c r="FS75" i="2"/>
  <c r="EY87" i="3" s="1"/>
  <c r="FR75" i="2"/>
  <c r="EX87" i="3" s="1"/>
  <c r="FT75" i="2"/>
  <c r="EZ87" i="3" s="1"/>
  <c r="AI103" i="2"/>
  <c r="FS74" i="2"/>
  <c r="EY86" i="3" s="1"/>
  <c r="FS76" i="2"/>
  <c r="EY88" i="3" s="1"/>
  <c r="AI92" i="2"/>
  <c r="AI96" i="2"/>
  <c r="FR83" i="2"/>
  <c r="EX95" i="3" s="1"/>
  <c r="AD87" i="2"/>
  <c r="FP78" i="2"/>
  <c r="EV90" i="3" s="1"/>
  <c r="X95" i="2"/>
  <c r="FR74" i="2"/>
  <c r="EX86" i="3" s="1"/>
  <c r="L91" i="2"/>
  <c r="FQ76" i="2"/>
  <c r="EW88" i="3" s="1"/>
  <c r="R88" i="2"/>
  <c r="R91" i="2"/>
  <c r="X88" i="2"/>
  <c r="L86" i="2"/>
  <c r="AD89" i="2"/>
  <c r="FR82" i="2"/>
  <c r="EX94" i="3" s="1"/>
  <c r="FQ82" i="2"/>
  <c r="EW94" i="3" s="1"/>
  <c r="FQ75" i="2"/>
  <c r="EW87" i="3" s="1"/>
  <c r="R87" i="2"/>
  <c r="X90" i="2"/>
  <c r="L88" i="2"/>
  <c r="AD90" i="2"/>
  <c r="AI91" i="2"/>
  <c r="R99" i="2"/>
  <c r="FQ78" i="2"/>
  <c r="EW90" i="3" s="1"/>
  <c r="FR81" i="2"/>
  <c r="EX93" i="3" s="1"/>
  <c r="FP80" i="2"/>
  <c r="EV92" i="3" s="1"/>
  <c r="FS79" i="2"/>
  <c r="EY91" i="3" s="1"/>
  <c r="AD88" i="2"/>
  <c r="R90" i="2"/>
  <c r="X86" i="2"/>
  <c r="L92" i="2"/>
  <c r="AD86" i="2"/>
  <c r="AI87" i="2"/>
  <c r="AI106" i="2"/>
  <c r="L102" i="2"/>
  <c r="FT85" i="2"/>
  <c r="EZ97" i="3" s="1"/>
  <c r="FQ80" i="2"/>
  <c r="EW92" i="3" s="1"/>
  <c r="FQ81" i="2"/>
  <c r="EW93" i="3" s="1"/>
  <c r="FS78" i="2"/>
  <c r="EY90" i="3" s="1"/>
  <c r="E104" i="2"/>
  <c r="E102" i="2"/>
  <c r="E100" i="2"/>
  <c r="E105" i="2"/>
  <c r="E99" i="2"/>
  <c r="E106" i="2"/>
  <c r="E108" i="2"/>
  <c r="E109" i="2"/>
  <c r="E98" i="2"/>
  <c r="E107" i="2"/>
  <c r="Y26" i="5"/>
  <c r="Y52" i="5"/>
  <c r="W25" i="5"/>
  <c r="E101" i="2"/>
  <c r="Z26" i="5"/>
  <c r="AK16" i="39"/>
  <c r="Z52" i="5"/>
  <c r="X26" i="5"/>
  <c r="X52" i="5"/>
  <c r="Q16" i="39"/>
  <c r="AA26" i="5"/>
  <c r="AV16" i="39"/>
  <c r="AA52" i="5"/>
  <c r="AB26" i="5"/>
  <c r="BG16" i="39"/>
  <c r="AB52" i="5"/>
  <c r="E88" i="2"/>
  <c r="E87" i="2"/>
  <c r="E89" i="2"/>
  <c r="E94" i="2"/>
  <c r="E97" i="2"/>
  <c r="E90" i="2"/>
  <c r="E93" i="2"/>
  <c r="E86" i="2"/>
  <c r="E91" i="2"/>
  <c r="E92" i="2"/>
  <c r="E95" i="2"/>
  <c r="E96" i="2"/>
  <c r="J8" i="73" l="1"/>
  <c r="I7" i="73"/>
  <c r="AJ25" i="7"/>
  <c r="AP7" i="7"/>
  <c r="AO25" i="7"/>
  <c r="H83" i="7"/>
  <c r="AN25" i="7"/>
  <c r="G83" i="7"/>
  <c r="AM25" i="7"/>
  <c r="F83" i="7"/>
  <c r="AL25" i="7"/>
  <c r="E83" i="7"/>
  <c r="AK25" i="7"/>
  <c r="D3" i="37"/>
  <c r="FD34" i="3"/>
  <c r="FD107" i="3"/>
  <c r="FD118" i="3"/>
  <c r="FD82" i="3"/>
  <c r="FD130" i="3"/>
  <c r="FD58" i="3"/>
  <c r="FD94" i="3"/>
  <c r="FD70" i="3"/>
  <c r="FD46" i="3"/>
  <c r="FD22" i="3"/>
  <c r="P44" i="14"/>
  <c r="D9" i="26"/>
  <c r="EY82" i="3"/>
  <c r="EW46" i="3"/>
  <c r="EY22" i="3"/>
  <c r="EZ58" i="3"/>
  <c r="EZ22" i="3"/>
  <c r="EW22" i="3"/>
  <c r="EU46" i="3"/>
  <c r="EU22" i="3"/>
  <c r="EZ34" i="3"/>
  <c r="FB70" i="3"/>
  <c r="EZ82" i="3"/>
  <c r="EV22" i="3"/>
  <c r="EV82" i="3"/>
  <c r="FA46" i="3"/>
  <c r="EZ70" i="3"/>
  <c r="EW82" i="3"/>
  <c r="EU58" i="3"/>
  <c r="EX34" i="3"/>
  <c r="FA34" i="3"/>
  <c r="FB82" i="3"/>
  <c r="FA82" i="3"/>
  <c r="FA70" i="3"/>
  <c r="FB22" i="3"/>
  <c r="EW58" i="3"/>
  <c r="EW34" i="3"/>
  <c r="EX70" i="3"/>
  <c r="FA58" i="3"/>
  <c r="EZ46" i="3"/>
  <c r="EW70" i="3"/>
  <c r="EX46" i="3"/>
  <c r="EV47" i="3"/>
  <c r="EV58" i="3"/>
  <c r="FA22" i="3"/>
  <c r="EV34" i="3"/>
  <c r="EX82" i="3"/>
  <c r="FB46" i="3"/>
  <c r="EV70" i="3"/>
  <c r="EU34" i="3"/>
  <c r="EX58" i="3"/>
  <c r="EY58" i="3"/>
  <c r="EX22" i="3"/>
  <c r="BY2" i="2"/>
  <c r="EY70" i="3"/>
  <c r="FB34" i="3"/>
  <c r="EY34" i="3"/>
  <c r="EY46" i="3"/>
  <c r="FB58" i="3"/>
  <c r="F78" i="2"/>
  <c r="D78" i="17" s="1"/>
  <c r="D103" i="22"/>
  <c r="BH14" i="39"/>
  <c r="BJ14" i="39" s="1"/>
  <c r="N142" i="10"/>
  <c r="O146" i="10"/>
  <c r="O150" i="10" s="1"/>
  <c r="AT22" i="40" s="1"/>
  <c r="N147" i="10"/>
  <c r="M143" i="10"/>
  <c r="P146" i="51"/>
  <c r="O142" i="51"/>
  <c r="M22" i="26"/>
  <c r="O22" i="26" s="1"/>
  <c r="M10" i="26"/>
  <c r="O10" i="26" s="1"/>
  <c r="M46" i="37"/>
  <c r="O46" i="37" s="1"/>
  <c r="M34" i="26"/>
  <c r="O34" i="26" s="1"/>
  <c r="M46" i="26"/>
  <c r="O46" i="26" s="1"/>
  <c r="M34" i="37"/>
  <c r="O34" i="37" s="1"/>
  <c r="M22" i="37"/>
  <c r="O22" i="37" s="1"/>
  <c r="M10" i="37"/>
  <c r="O10" i="37" s="1"/>
  <c r="M82" i="26"/>
  <c r="O82" i="26" s="1"/>
  <c r="M82" i="37"/>
  <c r="O82" i="37" s="1"/>
  <c r="M106" i="26"/>
  <c r="O106" i="26" s="1"/>
  <c r="M58" i="37"/>
  <c r="O58" i="37" s="1"/>
  <c r="M118" i="37"/>
  <c r="O118" i="37" s="1"/>
  <c r="M58" i="26"/>
  <c r="O58" i="26" s="1"/>
  <c r="M95" i="26"/>
  <c r="O95" i="26" s="1"/>
  <c r="M70" i="37"/>
  <c r="O70" i="37" s="1"/>
  <c r="M95" i="37"/>
  <c r="O95" i="37" s="1"/>
  <c r="M118" i="26"/>
  <c r="O118" i="26" s="1"/>
  <c r="M70" i="26"/>
  <c r="O70" i="26" s="1"/>
  <c r="AD101" i="2"/>
  <c r="X100" i="2"/>
  <c r="R109" i="2"/>
  <c r="L106" i="2"/>
  <c r="L109" i="2"/>
  <c r="R101" i="2"/>
  <c r="FR84" i="2"/>
  <c r="EX96" i="3" s="1"/>
  <c r="T130" i="29"/>
  <c r="O14" i="14"/>
  <c r="U14" i="14"/>
  <c r="AO14" i="14"/>
  <c r="K14" i="14"/>
  <c r="AA14" i="14"/>
  <c r="G44" i="14"/>
  <c r="H44" i="14" s="1"/>
  <c r="R98" i="2"/>
  <c r="D110" i="29"/>
  <c r="R104" i="2"/>
  <c r="AD105" i="2"/>
  <c r="R102" i="2"/>
  <c r="AD100" i="2"/>
  <c r="X98" i="2"/>
  <c r="X109" i="2"/>
  <c r="F80" i="2"/>
  <c r="D102" i="33"/>
  <c r="D102" i="22"/>
  <c r="D94" i="33"/>
  <c r="D94" i="22"/>
  <c r="D88" i="33"/>
  <c r="D88" i="22"/>
  <c r="D93" i="33"/>
  <c r="D93" i="22"/>
  <c r="D106" i="33"/>
  <c r="D106" i="22"/>
  <c r="D91" i="33"/>
  <c r="D91" i="22"/>
  <c r="D87" i="33"/>
  <c r="D87" i="22"/>
  <c r="D97" i="33"/>
  <c r="D97" i="22"/>
  <c r="D109" i="33"/>
  <c r="D109" i="22"/>
  <c r="D101" i="33"/>
  <c r="D101" i="22"/>
  <c r="D98" i="33"/>
  <c r="D98" i="22"/>
  <c r="D96" i="33"/>
  <c r="D96" i="22"/>
  <c r="D92" i="33"/>
  <c r="D92" i="22"/>
  <c r="D99" i="33"/>
  <c r="D99" i="22"/>
  <c r="D104" i="33"/>
  <c r="D104" i="22"/>
  <c r="D86" i="33"/>
  <c r="D86" i="22"/>
  <c r="D105" i="33"/>
  <c r="D105" i="22"/>
  <c r="D90" i="33"/>
  <c r="D90" i="22"/>
  <c r="D89" i="33"/>
  <c r="D89" i="22"/>
  <c r="D95" i="33"/>
  <c r="D95" i="22"/>
  <c r="D107" i="33"/>
  <c r="D107" i="22"/>
  <c r="D100" i="33"/>
  <c r="D100" i="22"/>
  <c r="R108" i="2"/>
  <c r="AK14" i="14"/>
  <c r="L105" i="2"/>
  <c r="BW31" i="2"/>
  <c r="D31" i="37" s="1"/>
  <c r="BT49" i="2"/>
  <c r="BQ40" i="2"/>
  <c r="D40" i="25" s="1"/>
  <c r="P9" i="26"/>
  <c r="Q9" i="26" s="1"/>
  <c r="BQ42" i="2"/>
  <c r="D42" i="36" s="1"/>
  <c r="P4" i="26"/>
  <c r="Q4" i="26" s="1"/>
  <c r="BQ41" i="2"/>
  <c r="D41" i="25" s="1"/>
  <c r="BW37" i="2"/>
  <c r="D37" i="26" s="1"/>
  <c r="P3" i="26"/>
  <c r="Q3" i="26" s="1"/>
  <c r="BQ28" i="2"/>
  <c r="FZ28" i="2" s="1"/>
  <c r="BQ16" i="2"/>
  <c r="D16" i="25" s="1"/>
  <c r="BY51" i="2"/>
  <c r="BY5" i="2"/>
  <c r="BW30" i="2"/>
  <c r="D30" i="26" s="1"/>
  <c r="BY64" i="2"/>
  <c r="BY10" i="2"/>
  <c r="BT33" i="2"/>
  <c r="BQ38" i="2"/>
  <c r="FZ38" i="2" s="1"/>
  <c r="BW61" i="2"/>
  <c r="D61" i="26" s="1"/>
  <c r="BY26" i="2"/>
  <c r="BY11" i="2"/>
  <c r="BY7" i="2"/>
  <c r="BQ15" i="2"/>
  <c r="FZ15" i="2" s="1"/>
  <c r="BQ17" i="2"/>
  <c r="FZ17" i="2" s="1"/>
  <c r="BY9" i="2"/>
  <c r="BT23" i="2"/>
  <c r="BQ27" i="2"/>
  <c r="FZ27" i="2" s="1"/>
  <c r="BY3" i="2"/>
  <c r="BW50" i="2"/>
  <c r="D50" i="26" s="1"/>
  <c r="P50" i="26" s="1"/>
  <c r="L103" i="2"/>
  <c r="AD109" i="2"/>
  <c r="AD98" i="2"/>
  <c r="AD108" i="2"/>
  <c r="R103" i="2"/>
  <c r="AD102" i="2"/>
  <c r="L99" i="2"/>
  <c r="L101" i="2"/>
  <c r="R100" i="2"/>
  <c r="AD107" i="2"/>
  <c r="L104" i="2"/>
  <c r="L108" i="2"/>
  <c r="AD99" i="2"/>
  <c r="AD106" i="2"/>
  <c r="R107" i="2"/>
  <c r="X104" i="2"/>
  <c r="L107" i="2"/>
  <c r="F84" i="2"/>
  <c r="L100" i="2"/>
  <c r="F85" i="2"/>
  <c r="F74" i="2"/>
  <c r="F82" i="2"/>
  <c r="F79" i="2"/>
  <c r="X108" i="2"/>
  <c r="F76" i="2"/>
  <c r="F81" i="2"/>
  <c r="D12" i="39"/>
  <c r="G12" i="39" s="1"/>
  <c r="F77" i="2"/>
  <c r="X102" i="2"/>
  <c r="X107" i="2"/>
  <c r="R105" i="2"/>
  <c r="X101" i="2"/>
  <c r="X99" i="2"/>
  <c r="X103" i="2"/>
  <c r="D103" i="33"/>
  <c r="D86" i="32"/>
  <c r="D110" i="32"/>
  <c r="D94" i="32"/>
  <c r="D90" i="32"/>
  <c r="D95" i="32"/>
  <c r="D88" i="32"/>
  <c r="D93" i="32"/>
  <c r="D97" i="32"/>
  <c r="D92" i="32"/>
  <c r="D91" i="32"/>
  <c r="D104" i="32"/>
  <c r="D89" i="32"/>
  <c r="D87" i="32"/>
  <c r="D96" i="32"/>
  <c r="N14" i="39"/>
  <c r="Q14" i="39" s="1"/>
  <c r="D103" i="17"/>
  <c r="X14" i="39"/>
  <c r="AA14" i="39" s="1"/>
  <c r="F102" i="2"/>
  <c r="AK91" i="2"/>
  <c r="D88" i="20"/>
  <c r="D93" i="20"/>
  <c r="AK104" i="2"/>
  <c r="F86" i="2"/>
  <c r="AK94" i="2"/>
  <c r="AK89" i="2"/>
  <c r="AK87" i="2"/>
  <c r="AK96" i="2"/>
  <c r="F94" i="2"/>
  <c r="D86" i="20"/>
  <c r="D87" i="20"/>
  <c r="F93" i="2"/>
  <c r="D89" i="20"/>
  <c r="AK109" i="2"/>
  <c r="D86" i="18"/>
  <c r="F90" i="2"/>
  <c r="F97" i="2"/>
  <c r="F104" i="2"/>
  <c r="D91" i="18"/>
  <c r="AK95" i="2"/>
  <c r="D88" i="18"/>
  <c r="AK92" i="2"/>
  <c r="AK107" i="2"/>
  <c r="AK90" i="2"/>
  <c r="F89" i="2"/>
  <c r="F101" i="2"/>
  <c r="D90" i="18"/>
  <c r="D90" i="20"/>
  <c r="AK102" i="2"/>
  <c r="D92" i="20"/>
  <c r="AK88" i="2"/>
  <c r="AH14" i="39"/>
  <c r="AK14" i="39" s="1"/>
  <c r="D97" i="18"/>
  <c r="AK93" i="2"/>
  <c r="AK99" i="2"/>
  <c r="AK100" i="2"/>
  <c r="D94" i="20"/>
  <c r="D96" i="18"/>
  <c r="D110" i="20"/>
  <c r="D91" i="20"/>
  <c r="AK86" i="2"/>
  <c r="AI110" i="2"/>
  <c r="D95" i="18"/>
  <c r="D110" i="18"/>
  <c r="F98" i="2"/>
  <c r="D105" i="20"/>
  <c r="F87" i="2"/>
  <c r="F88" i="2"/>
  <c r="D95" i="20"/>
  <c r="AK105" i="2"/>
  <c r="D96" i="20"/>
  <c r="F96" i="2"/>
  <c r="AK97" i="2"/>
  <c r="F95" i="2"/>
  <c r="F108" i="2"/>
  <c r="AK98" i="2"/>
  <c r="D92" i="18"/>
  <c r="F109" i="2"/>
  <c r="F92" i="2"/>
  <c r="F106" i="2"/>
  <c r="D93" i="18"/>
  <c r="D87" i="18"/>
  <c r="F91" i="2"/>
  <c r="F99" i="2"/>
  <c r="AK106" i="2"/>
  <c r="D97" i="20"/>
  <c r="AK101" i="2"/>
  <c r="F105" i="2"/>
  <c r="D89" i="18"/>
  <c r="F107" i="2"/>
  <c r="F100" i="2"/>
  <c r="D99" i="18"/>
  <c r="D94" i="18"/>
  <c r="L98" i="2"/>
  <c r="AD103" i="2"/>
  <c r="F83" i="2"/>
  <c r="R106" i="2"/>
  <c r="X106" i="2"/>
  <c r="AS14" i="39"/>
  <c r="AV14" i="39" s="1"/>
  <c r="D75" i="17"/>
  <c r="D91" i="19"/>
  <c r="D93" i="19"/>
  <c r="D97" i="19"/>
  <c r="D95" i="19"/>
  <c r="D94" i="19"/>
  <c r="D90" i="19"/>
  <c r="D92" i="19"/>
  <c r="D86" i="19"/>
  <c r="D89" i="19"/>
  <c r="D110" i="19"/>
  <c r="D102" i="19"/>
  <c r="D88" i="19"/>
  <c r="D96" i="19"/>
  <c r="D87" i="19"/>
  <c r="R82" i="22"/>
  <c r="S82" i="22" s="1"/>
  <c r="R83" i="22"/>
  <c r="S83" i="22" s="1"/>
  <c r="AF92" i="2"/>
  <c r="D92" i="21"/>
  <c r="AF91" i="2"/>
  <c r="D91" i="21"/>
  <c r="AF86" i="2"/>
  <c r="D86" i="21"/>
  <c r="AF89" i="2"/>
  <c r="D89" i="21"/>
  <c r="AF104" i="2"/>
  <c r="D104" i="21"/>
  <c r="AF110" i="2"/>
  <c r="D110" i="21"/>
  <c r="AF96" i="2"/>
  <c r="D96" i="21"/>
  <c r="AF88" i="2"/>
  <c r="D88" i="21"/>
  <c r="AF95" i="2"/>
  <c r="D95" i="21"/>
  <c r="AF87" i="2"/>
  <c r="D87" i="21"/>
  <c r="AF94" i="2"/>
  <c r="D94" i="21"/>
  <c r="AF93" i="2"/>
  <c r="D93" i="21"/>
  <c r="AF90" i="2"/>
  <c r="D90" i="21"/>
  <c r="AF97" i="2"/>
  <c r="D97" i="21"/>
  <c r="BY13" i="2"/>
  <c r="BY8" i="2"/>
  <c r="BY6" i="2"/>
  <c r="BY12" i="2"/>
  <c r="R80" i="22"/>
  <c r="S80" i="22" s="1"/>
  <c r="R76" i="22"/>
  <c r="S76" i="22" s="1"/>
  <c r="R84" i="22"/>
  <c r="S84" i="22" s="1"/>
  <c r="R81" i="22"/>
  <c r="S81" i="22" s="1"/>
  <c r="R78" i="22"/>
  <c r="S78" i="22" s="1"/>
  <c r="R85" i="22"/>
  <c r="S85" i="22" s="1"/>
  <c r="R77" i="22"/>
  <c r="S77" i="22" s="1"/>
  <c r="R75" i="22"/>
  <c r="S75" i="22" s="1"/>
  <c r="R74" i="22"/>
  <c r="S74" i="22" s="1"/>
  <c r="N74" i="21"/>
  <c r="N75" i="21"/>
  <c r="N85" i="21"/>
  <c r="N81" i="21"/>
  <c r="N80" i="21"/>
  <c r="N76" i="21"/>
  <c r="N79" i="21"/>
  <c r="N77" i="21"/>
  <c r="N83" i="21"/>
  <c r="N82" i="21"/>
  <c r="N84" i="21"/>
  <c r="N78" i="21"/>
  <c r="BW33" i="2"/>
  <c r="D33" i="26" s="1"/>
  <c r="AK103" i="2"/>
  <c r="BW60" i="2"/>
  <c r="BW27" i="2"/>
  <c r="BW29" i="2"/>
  <c r="W51" i="5"/>
  <c r="AK8" i="7"/>
  <c r="AH8" i="7"/>
  <c r="C84" i="7" s="1"/>
  <c r="AI8" i="7"/>
  <c r="D84" i="7" s="1"/>
  <c r="AM8" i="7"/>
  <c r="AO8" i="7"/>
  <c r="AJ8" i="7"/>
  <c r="AN8" i="7"/>
  <c r="AL8" i="7"/>
  <c r="J83" i="7"/>
  <c r="AQ6" i="7"/>
  <c r="AQ24" i="7" s="1"/>
  <c r="AL9" i="7"/>
  <c r="AN9" i="7"/>
  <c r="AM9" i="7"/>
  <c r="AO9" i="7"/>
  <c r="AH9" i="7"/>
  <c r="AI9" i="7"/>
  <c r="D85" i="7" s="1"/>
  <c r="AJ9" i="7"/>
  <c r="AK9" i="7"/>
  <c r="AM64" i="7"/>
  <c r="BQ36" i="2"/>
  <c r="BQ32" i="2"/>
  <c r="BQ43" i="2"/>
  <c r="BW36" i="2"/>
  <c r="BQ19" i="2"/>
  <c r="BQ31" i="2"/>
  <c r="D6" i="26"/>
  <c r="BQ45" i="2"/>
  <c r="D6" i="37"/>
  <c r="BQ44" i="2"/>
  <c r="BQ22" i="2"/>
  <c r="BQ46" i="2"/>
  <c r="BQ39" i="2"/>
  <c r="BW32" i="2"/>
  <c r="BW34" i="2"/>
  <c r="BW58" i="2"/>
  <c r="BW35" i="2"/>
  <c r="D12" i="26"/>
  <c r="BW28" i="2"/>
  <c r="DQ8" i="39"/>
  <c r="DT8" i="39" s="1"/>
  <c r="BW56" i="2"/>
  <c r="BW52" i="2"/>
  <c r="D13" i="26"/>
  <c r="D13" i="37"/>
  <c r="D8" i="37"/>
  <c r="D8" i="26"/>
  <c r="BQ25" i="2"/>
  <c r="BW55" i="2"/>
  <c r="D12" i="37"/>
  <c r="BW54" i="2"/>
  <c r="BQ20" i="2"/>
  <c r="BW57" i="2"/>
  <c r="DQ10" i="39"/>
  <c r="DT10" i="39" s="1"/>
  <c r="BW53" i="2"/>
  <c r="BQ37" i="2"/>
  <c r="FQ83" i="2"/>
  <c r="EW95" i="3" s="1"/>
  <c r="BQ21" i="2"/>
  <c r="BQ24" i="2"/>
  <c r="FS83" i="2"/>
  <c r="EY95" i="3" s="1"/>
  <c r="BQ26" i="2"/>
  <c r="BQ30" i="2"/>
  <c r="DF9" i="39"/>
  <c r="DI9" i="39" s="1"/>
  <c r="DJ9" i="39" s="1"/>
  <c r="DL9" i="39" s="1"/>
  <c r="BW59" i="2"/>
  <c r="DF11" i="39"/>
  <c r="DI11" i="39" s="1"/>
  <c r="BQ6" i="2"/>
  <c r="BW22" i="2"/>
  <c r="BQ53" i="2"/>
  <c r="D11" i="37"/>
  <c r="D11" i="26"/>
  <c r="D5" i="26"/>
  <c r="D5" i="37"/>
  <c r="D2" i="37"/>
  <c r="D2" i="26"/>
  <c r="P2" i="26" s="1"/>
  <c r="DR6" i="39"/>
  <c r="FZ49" i="2"/>
  <c r="D49" i="36"/>
  <c r="D49" i="25"/>
  <c r="BQ4" i="2"/>
  <c r="BW19" i="2"/>
  <c r="BW67" i="2"/>
  <c r="BQ34" i="2"/>
  <c r="BW73" i="2"/>
  <c r="BQ3" i="2"/>
  <c r="BW17" i="2"/>
  <c r="J82" i="7"/>
  <c r="BW72" i="2"/>
  <c r="BQ70" i="2"/>
  <c r="BQ7" i="2"/>
  <c r="BW25" i="2"/>
  <c r="BQ73" i="2"/>
  <c r="BW70" i="2"/>
  <c r="BQ60" i="2"/>
  <c r="BQ12" i="2"/>
  <c r="BW18" i="2"/>
  <c r="AH25" i="7"/>
  <c r="BW45" i="2"/>
  <c r="DF7" i="39"/>
  <c r="DI7" i="39" s="1"/>
  <c r="DJ7" i="39" s="1"/>
  <c r="DL7" i="39" s="1"/>
  <c r="BQ14" i="2"/>
  <c r="FZ62" i="2"/>
  <c r="D62" i="36"/>
  <c r="D62" i="25"/>
  <c r="FP83" i="2"/>
  <c r="EV95" i="3" s="1"/>
  <c r="BQ68" i="2"/>
  <c r="DR5" i="39"/>
  <c r="BQ54" i="2"/>
  <c r="BQ66" i="2"/>
  <c r="BW44" i="2"/>
  <c r="B131" i="29"/>
  <c r="A132" i="29"/>
  <c r="C131" i="29"/>
  <c r="DF10" i="39"/>
  <c r="DI10" i="39" s="1"/>
  <c r="BQ50" i="2"/>
  <c r="BQ63" i="2"/>
  <c r="BQ55" i="2"/>
  <c r="BW42" i="2"/>
  <c r="FZ41" i="2"/>
  <c r="D59" i="25"/>
  <c r="D59" i="36"/>
  <c r="D28" i="25"/>
  <c r="BQ58" i="2"/>
  <c r="D33" i="36"/>
  <c r="D33" i="25"/>
  <c r="FZ33" i="2"/>
  <c r="D7" i="26"/>
  <c r="D7" i="37"/>
  <c r="D38" i="36"/>
  <c r="D38" i="25"/>
  <c r="T38" i="25" s="1"/>
  <c r="BW38" i="2"/>
  <c r="DQ9" i="39"/>
  <c r="DT9" i="39" s="1"/>
  <c r="FT83" i="2"/>
  <c r="EZ95" i="3" s="1"/>
  <c r="D10" i="37"/>
  <c r="D10" i="26"/>
  <c r="BW41" i="2"/>
  <c r="BQ35" i="2"/>
  <c r="D64" i="26"/>
  <c r="D64" i="37"/>
  <c r="BQ11" i="2"/>
  <c r="BW24" i="2"/>
  <c r="BW68" i="2"/>
  <c r="AI25" i="7"/>
  <c r="BW46" i="2"/>
  <c r="D51" i="37"/>
  <c r="D51" i="26"/>
  <c r="BQ8" i="2"/>
  <c r="BW21" i="2"/>
  <c r="BQ69" i="2"/>
  <c r="BW47" i="2"/>
  <c r="BW66" i="2"/>
  <c r="BW69" i="2"/>
  <c r="BQ29" i="2"/>
  <c r="BW71" i="2"/>
  <c r="BQ48" i="2"/>
  <c r="BQ5" i="2"/>
  <c r="BW16" i="2"/>
  <c r="BQ51" i="2"/>
  <c r="D23" i="25"/>
  <c r="D23" i="36"/>
  <c r="BW43" i="2"/>
  <c r="BW65" i="2"/>
  <c r="BQ52" i="2"/>
  <c r="BW62" i="2"/>
  <c r="DQ11" i="39"/>
  <c r="DT11" i="39" s="1"/>
  <c r="BQ67" i="2"/>
  <c r="Q26" i="26"/>
  <c r="BQ71" i="2"/>
  <c r="BQ13" i="2"/>
  <c r="BW15" i="2"/>
  <c r="DG5" i="39"/>
  <c r="BW48" i="2"/>
  <c r="BQ64" i="2"/>
  <c r="DF8" i="39"/>
  <c r="DI8" i="39" s="1"/>
  <c r="DJ8" i="39" s="1"/>
  <c r="DL8" i="39" s="1"/>
  <c r="BQ18" i="2"/>
  <c r="D61" i="37"/>
  <c r="BQ56" i="2"/>
  <c r="BQ61" i="2"/>
  <c r="BQ10" i="2"/>
  <c r="BW14" i="2"/>
  <c r="DQ7" i="39"/>
  <c r="DT7" i="39" s="1"/>
  <c r="BW39" i="2"/>
  <c r="BQ57" i="2"/>
  <c r="BQ47" i="2"/>
  <c r="BQ2" i="2"/>
  <c r="DF6" i="39"/>
  <c r="DI6" i="39" s="1"/>
  <c r="DJ6" i="39" s="1"/>
  <c r="DL6" i="39" s="1"/>
  <c r="BW23" i="2"/>
  <c r="BW40" i="2"/>
  <c r="BW63" i="2"/>
  <c r="D50" i="37"/>
  <c r="BQ65" i="2"/>
  <c r="BQ9" i="2"/>
  <c r="BW20" i="2"/>
  <c r="BW49" i="2"/>
  <c r="D17" i="25"/>
  <c r="BQ72" i="2"/>
  <c r="AA45" i="14"/>
  <c r="AX45" i="14"/>
  <c r="AX14" i="14"/>
  <c r="AK45" i="14"/>
  <c r="FV120" i="2"/>
  <c r="O45" i="14"/>
  <c r="BV44" i="14"/>
  <c r="BW44" i="14" s="1"/>
  <c r="GD119" i="2"/>
  <c r="BN45" i="14"/>
  <c r="GB120" i="2"/>
  <c r="BN14" i="14"/>
  <c r="F119" i="26"/>
  <c r="K119" i="26" s="1"/>
  <c r="BH44" i="14"/>
  <c r="BI44" i="14" s="1"/>
  <c r="F119" i="37"/>
  <c r="K119" i="37" s="1"/>
  <c r="GA119" i="2"/>
  <c r="AG44" i="14"/>
  <c r="AH44" i="14" s="1"/>
  <c r="FU119" i="2"/>
  <c r="AO45" i="14"/>
  <c r="FW120" i="2"/>
  <c r="AT45" i="14"/>
  <c r="AT14" i="14"/>
  <c r="C44" i="14"/>
  <c r="D44" i="14" s="1"/>
  <c r="BR45" i="14"/>
  <c r="GC120" i="2"/>
  <c r="BR14" i="14"/>
  <c r="K45" i="14"/>
  <c r="BB45" i="14"/>
  <c r="BB14" i="14"/>
  <c r="U45" i="14"/>
  <c r="X119" i="2"/>
  <c r="R120" i="2"/>
  <c r="AD112" i="2"/>
  <c r="AI119" i="2"/>
  <c r="AD113" i="2"/>
  <c r="X116" i="2"/>
  <c r="X114" i="2"/>
  <c r="R111" i="2"/>
  <c r="D110" i="31"/>
  <c r="AH15" i="39"/>
  <c r="AK15" i="39" s="1"/>
  <c r="D14" i="39"/>
  <c r="G14" i="39" s="1"/>
  <c r="BD15" i="39"/>
  <c r="BG15" i="39" s="1"/>
  <c r="D110" i="30"/>
  <c r="X15" i="39"/>
  <c r="AA15" i="39" s="1"/>
  <c r="BE14" i="39"/>
  <c r="N15" i="39"/>
  <c r="Q15" i="39" s="1"/>
  <c r="AS15" i="39"/>
  <c r="AV15" i="39" s="1"/>
  <c r="L113" i="2"/>
  <c r="R113" i="2"/>
  <c r="AI115" i="2"/>
  <c r="R112" i="2"/>
  <c r="AD117" i="2"/>
  <c r="X112" i="2"/>
  <c r="AI113" i="2"/>
  <c r="L120" i="2"/>
  <c r="AI111" i="2"/>
  <c r="X121" i="2"/>
  <c r="AI118" i="2"/>
  <c r="L116" i="2"/>
  <c r="L114" i="2"/>
  <c r="L118" i="2"/>
  <c r="AD121" i="2"/>
  <c r="R119" i="2"/>
  <c r="AI112" i="2"/>
  <c r="AD119" i="2"/>
  <c r="AD111" i="2"/>
  <c r="AI114" i="2"/>
  <c r="X111" i="2"/>
  <c r="X118" i="2"/>
  <c r="X120" i="2"/>
  <c r="L115" i="2"/>
  <c r="AI120" i="2"/>
  <c r="R121" i="2"/>
  <c r="R115" i="2"/>
  <c r="R114" i="2"/>
  <c r="R116" i="2"/>
  <c r="AD118" i="2"/>
  <c r="AI117" i="2"/>
  <c r="X115" i="2"/>
  <c r="X117" i="2"/>
  <c r="AD116" i="2"/>
  <c r="L117" i="2"/>
  <c r="AD114" i="2"/>
  <c r="L119" i="2"/>
  <c r="AD115" i="2"/>
  <c r="AD120" i="2"/>
  <c r="L121" i="2"/>
  <c r="R118" i="2"/>
  <c r="AI121" i="2"/>
  <c r="L112" i="2"/>
  <c r="L111" i="2"/>
  <c r="R117" i="2"/>
  <c r="X113" i="2"/>
  <c r="AI116" i="2"/>
  <c r="FQ110" i="2"/>
  <c r="EW122" i="3" s="1"/>
  <c r="FP110" i="2"/>
  <c r="EV122" i="3" s="1"/>
  <c r="FR110" i="2"/>
  <c r="EX122" i="3" s="1"/>
  <c r="FS110" i="2"/>
  <c r="EY122" i="3" s="1"/>
  <c r="O106" i="37"/>
  <c r="S79" i="22"/>
  <c r="D94" i="31"/>
  <c r="D87" i="31"/>
  <c r="D95" i="30"/>
  <c r="D88" i="31"/>
  <c r="D91" i="30"/>
  <c r="D88" i="30"/>
  <c r="D99" i="30"/>
  <c r="D90" i="30"/>
  <c r="D97" i="31"/>
  <c r="D92" i="30"/>
  <c r="D93" i="30"/>
  <c r="D89" i="30"/>
  <c r="D90" i="31"/>
  <c r="D96" i="31"/>
  <c r="D87" i="30"/>
  <c r="D89" i="31"/>
  <c r="D94" i="30"/>
  <c r="D93" i="31"/>
  <c r="D95" i="31"/>
  <c r="D97" i="30"/>
  <c r="D91" i="31"/>
  <c r="D96" i="30"/>
  <c r="BH16" i="39"/>
  <c r="R21" i="40" s="1"/>
  <c r="AW16" i="39"/>
  <c r="J21" i="40" s="1"/>
  <c r="FX47" i="2"/>
  <c r="GB23" i="2"/>
  <c r="F35" i="26"/>
  <c r="K35" i="26" s="1"/>
  <c r="F35" i="37"/>
  <c r="K35" i="37" s="1"/>
  <c r="GA35" i="2"/>
  <c r="FQ71" i="2"/>
  <c r="FS35" i="2"/>
  <c r="GC107" i="2"/>
  <c r="GC23" i="2"/>
  <c r="FR71" i="2"/>
  <c r="FT11" i="2"/>
  <c r="FW107" i="2"/>
  <c r="FV23" i="2"/>
  <c r="FU23" i="2"/>
  <c r="GD35" i="2"/>
  <c r="F11" i="37"/>
  <c r="K11" i="37" s="1"/>
  <c r="F11" i="26"/>
  <c r="K11" i="26" s="1"/>
  <c r="M11" i="26" s="1"/>
  <c r="GA11" i="2"/>
  <c r="FR35" i="2"/>
  <c r="GB35" i="2"/>
  <c r="FY35" i="2"/>
  <c r="FT71" i="2"/>
  <c r="F83" i="37"/>
  <c r="K83" i="37" s="1"/>
  <c r="F83" i="26"/>
  <c r="K83" i="26" s="1"/>
  <c r="GA83" i="2"/>
  <c r="FV59" i="2"/>
  <c r="FQ23" i="2"/>
  <c r="FO23" i="2"/>
  <c r="FQ35" i="2"/>
  <c r="GC59" i="2"/>
  <c r="FW71" i="2"/>
  <c r="FT35" i="2"/>
  <c r="FP36" i="2"/>
  <c r="FU71" i="2"/>
  <c r="FV47" i="2"/>
  <c r="FQ47" i="2"/>
  <c r="FT59" i="2"/>
  <c r="FU83" i="2"/>
  <c r="FW47" i="2"/>
  <c r="FS11" i="2"/>
  <c r="FO11" i="2"/>
  <c r="FS47" i="2"/>
  <c r="FV35" i="2"/>
  <c r="GB11" i="2"/>
  <c r="FY71" i="2"/>
  <c r="FP47" i="2"/>
  <c r="FP11" i="2"/>
  <c r="FV11" i="2"/>
  <c r="FX11" i="2"/>
  <c r="GB95" i="2"/>
  <c r="FU11" i="2"/>
  <c r="FU47" i="2"/>
  <c r="FY59" i="2"/>
  <c r="GC95" i="2"/>
  <c r="GB107" i="2"/>
  <c r="FX23" i="2"/>
  <c r="GD23" i="2"/>
  <c r="GB47" i="2"/>
  <c r="FY11" i="2"/>
  <c r="FU95" i="2"/>
  <c r="FS23" i="2"/>
  <c r="GB71" i="2"/>
  <c r="F47" i="37"/>
  <c r="K47" i="37" s="1"/>
  <c r="F47" i="26"/>
  <c r="K47" i="26" s="1"/>
  <c r="GA47" i="2"/>
  <c r="FU35" i="2"/>
  <c r="FT23" i="2"/>
  <c r="GD59" i="2"/>
  <c r="FV83" i="2"/>
  <c r="FP59" i="2"/>
  <c r="GD107" i="2"/>
  <c r="FX71" i="2"/>
  <c r="FV95" i="2"/>
  <c r="FQ59" i="2"/>
  <c r="GB59" i="2"/>
  <c r="FP23" i="2"/>
  <c r="FW95" i="2"/>
  <c r="FQ11" i="2"/>
  <c r="FO47" i="2"/>
  <c r="GD71" i="2"/>
  <c r="FT47" i="2"/>
  <c r="F59" i="37"/>
  <c r="K59" i="37" s="1"/>
  <c r="F59" i="26"/>
  <c r="K59" i="26" s="1"/>
  <c r="GA59" i="2"/>
  <c r="FR11" i="2"/>
  <c r="FR59" i="2"/>
  <c r="GA96" i="2"/>
  <c r="F96" i="26"/>
  <c r="K96" i="26" s="1"/>
  <c r="F96" i="37"/>
  <c r="K96" i="37" s="1"/>
  <c r="FY23" i="2"/>
  <c r="FW11" i="2"/>
  <c r="FW35" i="2"/>
  <c r="GD83" i="2"/>
  <c r="FX59" i="2"/>
  <c r="FO35" i="2"/>
  <c r="FR47" i="2"/>
  <c r="GC47" i="2"/>
  <c r="FV71" i="2"/>
  <c r="FZ23" i="2"/>
  <c r="GC71" i="2"/>
  <c r="F23" i="37"/>
  <c r="K23" i="37" s="1"/>
  <c r="F23" i="26"/>
  <c r="K23" i="26" s="1"/>
  <c r="GA23" i="2"/>
  <c r="FR23" i="2"/>
  <c r="GC35" i="2"/>
  <c r="FZ59" i="2"/>
  <c r="GC83" i="2"/>
  <c r="FS71" i="2"/>
  <c r="FX35" i="2"/>
  <c r="FY47" i="2"/>
  <c r="GC11" i="2"/>
  <c r="GD47" i="2"/>
  <c r="FW23" i="2"/>
  <c r="FU107" i="2"/>
  <c r="F107" i="26"/>
  <c r="K107" i="26" s="1"/>
  <c r="F107" i="37"/>
  <c r="K107" i="37" s="1"/>
  <c r="M107" i="37" s="1"/>
  <c r="GA107" i="2"/>
  <c r="GB83" i="2"/>
  <c r="FW59" i="2"/>
  <c r="FU59" i="2"/>
  <c r="GD11" i="2"/>
  <c r="FP71" i="2"/>
  <c r="FV107" i="2"/>
  <c r="FW83" i="2"/>
  <c r="F71" i="37"/>
  <c r="K71" i="37" s="1"/>
  <c r="F71" i="26"/>
  <c r="K71" i="26" s="1"/>
  <c r="GA71" i="2"/>
  <c r="GD95" i="2"/>
  <c r="FS59" i="2"/>
  <c r="BH12" i="40"/>
  <c r="T12" i="40"/>
  <c r="AW13" i="39"/>
  <c r="AY13" i="39" s="1"/>
  <c r="BE13" i="39"/>
  <c r="AT13" i="39"/>
  <c r="AA16" i="39"/>
  <c r="D86" i="31"/>
  <c r="AI13" i="39"/>
  <c r="D86" i="30"/>
  <c r="Y13" i="39"/>
  <c r="O13" i="39"/>
  <c r="D13" i="39"/>
  <c r="G13" i="39" s="1"/>
  <c r="D90" i="29"/>
  <c r="D93" i="29"/>
  <c r="D95" i="29"/>
  <c r="D94" i="29"/>
  <c r="D91" i="29"/>
  <c r="D92" i="29"/>
  <c r="D88" i="29"/>
  <c r="D97" i="29"/>
  <c r="D86" i="29"/>
  <c r="D96" i="29"/>
  <c r="D87" i="29"/>
  <c r="D102" i="29"/>
  <c r="D105" i="31"/>
  <c r="D92" i="31"/>
  <c r="D89" i="29"/>
  <c r="AD11" i="27"/>
  <c r="FS94" i="2"/>
  <c r="EY106" i="3" s="1"/>
  <c r="FS95" i="2"/>
  <c r="EY107" i="3" s="1"/>
  <c r="FP90" i="2"/>
  <c r="EV102" i="3" s="1"/>
  <c r="FT106" i="2"/>
  <c r="EZ118" i="3" s="1"/>
  <c r="FR105" i="2"/>
  <c r="EX117" i="3" s="1"/>
  <c r="FR92" i="2"/>
  <c r="EX104" i="3" s="1"/>
  <c r="FS92" i="2"/>
  <c r="EY104" i="3" s="1"/>
  <c r="FR93" i="2"/>
  <c r="EX105" i="3" s="1"/>
  <c r="FQ88" i="2"/>
  <c r="EW100" i="3" s="1"/>
  <c r="FR94" i="2"/>
  <c r="EX106" i="3" s="1"/>
  <c r="FR90" i="2"/>
  <c r="EX102" i="3" s="1"/>
  <c r="FT102" i="2"/>
  <c r="EZ114" i="3" s="1"/>
  <c r="FT105" i="2"/>
  <c r="EZ117" i="3" s="1"/>
  <c r="FT93" i="2"/>
  <c r="EZ105" i="3" s="1"/>
  <c r="FT88" i="2"/>
  <c r="EZ100" i="3" s="1"/>
  <c r="FQ92" i="2"/>
  <c r="EW104" i="3" s="1"/>
  <c r="FQ87" i="2"/>
  <c r="EW99" i="3" s="1"/>
  <c r="FQ99" i="2"/>
  <c r="EW111" i="3" s="1"/>
  <c r="FS93" i="2"/>
  <c r="EY105" i="3" s="1"/>
  <c r="FS104" i="2"/>
  <c r="EY116" i="3" s="1"/>
  <c r="FQ97" i="2"/>
  <c r="EW109" i="3" s="1"/>
  <c r="FQ86" i="2"/>
  <c r="EW98" i="3" s="1"/>
  <c r="FP97" i="2"/>
  <c r="EV109" i="3" s="1"/>
  <c r="FT94" i="2"/>
  <c r="EZ106" i="3" s="1"/>
  <c r="FP92" i="2"/>
  <c r="EV104" i="3" s="1"/>
  <c r="FT109" i="2"/>
  <c r="EZ121" i="3" s="1"/>
  <c r="FR88" i="2"/>
  <c r="EX100" i="3" s="1"/>
  <c r="FP102" i="2"/>
  <c r="EV114" i="3" s="1"/>
  <c r="FQ91" i="2"/>
  <c r="EW103" i="3" s="1"/>
  <c r="FR95" i="2"/>
  <c r="EX107" i="3" s="1"/>
  <c r="FT89" i="2"/>
  <c r="EZ101" i="3" s="1"/>
  <c r="FT99" i="2"/>
  <c r="EZ111" i="3" s="1"/>
  <c r="FQ90" i="2"/>
  <c r="EW102" i="3" s="1"/>
  <c r="FR91" i="2"/>
  <c r="EX103" i="3" s="1"/>
  <c r="FQ94" i="2"/>
  <c r="EW106" i="3" s="1"/>
  <c r="FT87" i="2"/>
  <c r="EZ99" i="3" s="1"/>
  <c r="FS88" i="2"/>
  <c r="EY100" i="3" s="1"/>
  <c r="FT91" i="2"/>
  <c r="EZ103" i="3" s="1"/>
  <c r="FT97" i="2"/>
  <c r="EZ109" i="3" s="1"/>
  <c r="FT90" i="2"/>
  <c r="EZ102" i="3" s="1"/>
  <c r="FT86" i="2"/>
  <c r="EZ98" i="3" s="1"/>
  <c r="FS89" i="2"/>
  <c r="EY101" i="3" s="1"/>
  <c r="FT92" i="2"/>
  <c r="EZ104" i="3" s="1"/>
  <c r="FR97" i="2"/>
  <c r="EX109" i="3" s="1"/>
  <c r="FP89" i="2"/>
  <c r="EV101" i="3" s="1"/>
  <c r="FP88" i="2"/>
  <c r="EV100" i="3" s="1"/>
  <c r="FT104" i="2"/>
  <c r="EZ116" i="3" s="1"/>
  <c r="FR86" i="2"/>
  <c r="EX98" i="3" s="1"/>
  <c r="FT107" i="2"/>
  <c r="EZ119" i="3" s="1"/>
  <c r="FQ89" i="2"/>
  <c r="EW101" i="3" s="1"/>
  <c r="FS91" i="2"/>
  <c r="EY103" i="3" s="1"/>
  <c r="FQ93" i="2"/>
  <c r="EW105" i="3" s="1"/>
  <c r="FP87" i="2"/>
  <c r="EV99" i="3" s="1"/>
  <c r="FT100" i="2"/>
  <c r="EZ112" i="3" s="1"/>
  <c r="FP91" i="2"/>
  <c r="EV103" i="3" s="1"/>
  <c r="FR87" i="2"/>
  <c r="EX99" i="3" s="1"/>
  <c r="FP86" i="2"/>
  <c r="EV98" i="3" s="1"/>
  <c r="FT103" i="2"/>
  <c r="EZ115" i="3" s="1"/>
  <c r="FS97" i="2"/>
  <c r="EY109" i="3" s="1"/>
  <c r="FP94" i="2"/>
  <c r="EV106" i="3" s="1"/>
  <c r="FP95" i="2"/>
  <c r="EV107" i="3" s="1"/>
  <c r="FS87" i="2"/>
  <c r="EY99" i="3" s="1"/>
  <c r="FR89" i="2"/>
  <c r="EX101" i="3" s="1"/>
  <c r="FS86" i="2"/>
  <c r="EY98" i="3" s="1"/>
  <c r="FS90" i="2"/>
  <c r="EY102" i="3" s="1"/>
  <c r="FP93" i="2"/>
  <c r="EV105" i="3" s="1"/>
  <c r="FT98" i="2"/>
  <c r="EZ110" i="3" s="1"/>
  <c r="FT95" i="2"/>
  <c r="EZ107" i="3" s="1"/>
  <c r="FT101" i="2"/>
  <c r="EZ113" i="3" s="1"/>
  <c r="FQ95" i="2"/>
  <c r="EW107" i="3" s="1"/>
  <c r="AA27" i="5"/>
  <c r="AV17" i="39"/>
  <c r="AA53" i="5"/>
  <c r="AB27" i="5"/>
  <c r="BG17" i="39"/>
  <c r="AB53" i="5"/>
  <c r="Z27" i="5"/>
  <c r="AK17" i="39"/>
  <c r="Z53" i="5"/>
  <c r="Y27" i="5"/>
  <c r="AA17" i="39"/>
  <c r="Y53" i="5"/>
  <c r="W52" i="5"/>
  <c r="W26" i="5"/>
  <c r="X27" i="5"/>
  <c r="X53" i="5"/>
  <c r="K8" i="73" l="1"/>
  <c r="D18" i="73"/>
  <c r="J7" i="73"/>
  <c r="F18" i="73"/>
  <c r="E18" i="73"/>
  <c r="C18" i="73"/>
  <c r="AL27" i="7"/>
  <c r="AP9" i="7"/>
  <c r="AO27" i="7"/>
  <c r="G85" i="7"/>
  <c r="AM27" i="7"/>
  <c r="H85" i="7"/>
  <c r="AN27" i="7"/>
  <c r="F84" i="7"/>
  <c r="AL26" i="7"/>
  <c r="AN26" i="7"/>
  <c r="AJ26" i="7"/>
  <c r="AO26" i="7"/>
  <c r="AM26" i="7"/>
  <c r="AN39" i="7"/>
  <c r="E85" i="7"/>
  <c r="AK27" i="7"/>
  <c r="AJ27" i="7"/>
  <c r="AK26" i="7"/>
  <c r="AQ7" i="7"/>
  <c r="AP25" i="7"/>
  <c r="L108" i="73"/>
  <c r="L108" i="41"/>
  <c r="L111" i="73"/>
  <c r="L111" i="41"/>
  <c r="L106" i="73"/>
  <c r="L106" i="41"/>
  <c r="L110" i="73"/>
  <c r="L110" i="41"/>
  <c r="L107" i="41"/>
  <c r="L107" i="73"/>
  <c r="L100" i="73"/>
  <c r="L100" i="41"/>
  <c r="L98" i="41"/>
  <c r="L98" i="73"/>
  <c r="L95" i="73"/>
  <c r="L95" i="41"/>
  <c r="L101" i="41"/>
  <c r="L101" i="73"/>
  <c r="L97" i="41"/>
  <c r="L97" i="73"/>
  <c r="H53" i="11"/>
  <c r="L96" i="41"/>
  <c r="L96" i="73"/>
  <c r="D17" i="36"/>
  <c r="D30" i="37"/>
  <c r="D31" i="26"/>
  <c r="D27" i="25"/>
  <c r="D16" i="36"/>
  <c r="FZ16" i="2"/>
  <c r="FD23" i="3"/>
  <c r="FD59" i="3"/>
  <c r="FD83" i="3"/>
  <c r="FD95" i="3"/>
  <c r="FD35" i="3"/>
  <c r="FD108" i="3"/>
  <c r="FD131" i="3"/>
  <c r="FD119" i="3"/>
  <c r="FD47" i="3"/>
  <c r="FD71" i="3"/>
  <c r="AB81" i="10"/>
  <c r="AA15" i="14"/>
  <c r="AB82" i="51"/>
  <c r="U15" i="14"/>
  <c r="AB83" i="51"/>
  <c r="D42" i="25"/>
  <c r="D15" i="36"/>
  <c r="FZ40" i="2"/>
  <c r="FC52" i="3" s="1"/>
  <c r="D37" i="37"/>
  <c r="D41" i="36"/>
  <c r="D28" i="36"/>
  <c r="D15" i="25"/>
  <c r="FZ42" i="2"/>
  <c r="FC54" i="3" s="1"/>
  <c r="D40" i="36"/>
  <c r="FC39" i="3"/>
  <c r="FC50" i="3"/>
  <c r="EX71" i="3"/>
  <c r="EV23" i="3"/>
  <c r="EW35" i="3"/>
  <c r="EX47" i="3"/>
  <c r="FC28" i="3"/>
  <c r="FA47" i="3"/>
  <c r="FA71" i="3"/>
  <c r="EV71" i="3"/>
  <c r="EY35" i="3"/>
  <c r="EY23" i="3"/>
  <c r="EV48" i="3"/>
  <c r="EX23" i="3"/>
  <c r="FB71" i="3"/>
  <c r="EZ23" i="3"/>
  <c r="FC40" i="3"/>
  <c r="D27" i="36"/>
  <c r="EV35" i="3"/>
  <c r="EV59" i="3"/>
  <c r="BT2" i="2"/>
  <c r="EY83" i="3"/>
  <c r="EZ47" i="3"/>
  <c r="EX83" i="3"/>
  <c r="FC27" i="3"/>
  <c r="FB83" i="3"/>
  <c r="FA59" i="3"/>
  <c r="EV83" i="3"/>
  <c r="FC35" i="3"/>
  <c r="FC29" i="3"/>
  <c r="FB23" i="3"/>
  <c r="FC53" i="3"/>
  <c r="EZ59" i="3"/>
  <c r="EW71" i="3"/>
  <c r="EZ35" i="3"/>
  <c r="EZ71" i="3"/>
  <c r="FC71" i="3"/>
  <c r="EY71" i="3"/>
  <c r="EW59" i="3"/>
  <c r="EZ83" i="3"/>
  <c r="FA83" i="3"/>
  <c r="FA35" i="3"/>
  <c r="EW47" i="3"/>
  <c r="FB47" i="3"/>
  <c r="FC45" i="3"/>
  <c r="FB35" i="3"/>
  <c r="FA23" i="3"/>
  <c r="EY47" i="3"/>
  <c r="EX59" i="3"/>
  <c r="EU59" i="3"/>
  <c r="EY59" i="3"/>
  <c r="EW83" i="3"/>
  <c r="EX35" i="3"/>
  <c r="EU35" i="3"/>
  <c r="FB59" i="3"/>
  <c r="EU47" i="3"/>
  <c r="EW23" i="3"/>
  <c r="EU23" i="3"/>
  <c r="FC74" i="3"/>
  <c r="FC61" i="3"/>
  <c r="D111" i="22"/>
  <c r="D103" i="20"/>
  <c r="D109" i="32"/>
  <c r="D117" i="22"/>
  <c r="D99" i="20"/>
  <c r="D120" i="32"/>
  <c r="D113" i="22"/>
  <c r="D101" i="31"/>
  <c r="D104" i="20"/>
  <c r="D115" i="32"/>
  <c r="D116" i="22"/>
  <c r="D117" i="32"/>
  <c r="D107" i="20"/>
  <c r="FS106" i="2"/>
  <c r="EY118" i="3" s="1"/>
  <c r="D114" i="32"/>
  <c r="D114" i="22"/>
  <c r="D113" i="32"/>
  <c r="D102" i="20"/>
  <c r="D99" i="32"/>
  <c r="D111" i="32"/>
  <c r="D115" i="22"/>
  <c r="D119" i="22"/>
  <c r="D120" i="22"/>
  <c r="D112" i="32"/>
  <c r="D109" i="20"/>
  <c r="D116" i="32"/>
  <c r="D119" i="32"/>
  <c r="D112" i="22"/>
  <c r="D98" i="20"/>
  <c r="D101" i="18"/>
  <c r="D100" i="30"/>
  <c r="D108" i="18"/>
  <c r="D100" i="32"/>
  <c r="D102" i="18"/>
  <c r="D121" i="32"/>
  <c r="D118" i="32"/>
  <c r="D104" i="18"/>
  <c r="D109" i="18"/>
  <c r="D103" i="18"/>
  <c r="D100" i="20"/>
  <c r="D118" i="22"/>
  <c r="AF101" i="2"/>
  <c r="D121" i="22"/>
  <c r="AW15" i="39"/>
  <c r="AY15" i="39" s="1"/>
  <c r="BH15" i="39"/>
  <c r="BJ15" i="39" s="1"/>
  <c r="AW14" i="39"/>
  <c r="AY14" i="39" s="1"/>
  <c r="N142" i="51"/>
  <c r="O146" i="51"/>
  <c r="L143" i="10"/>
  <c r="M147" i="10"/>
  <c r="M151" i="10" s="1"/>
  <c r="O151" i="10" s="1"/>
  <c r="BB22" i="40" s="1"/>
  <c r="M142" i="10"/>
  <c r="N146" i="10"/>
  <c r="AF11" i="27"/>
  <c r="FS101" i="2"/>
  <c r="EY113" i="3" s="1"/>
  <c r="M35" i="26"/>
  <c r="O35" i="26" s="1"/>
  <c r="M119" i="37"/>
  <c r="O119" i="37" s="1"/>
  <c r="M96" i="37"/>
  <c r="O96" i="37" s="1"/>
  <c r="M96" i="26"/>
  <c r="O96" i="26" s="1"/>
  <c r="M47" i="26"/>
  <c r="O47" i="26" s="1"/>
  <c r="M119" i="26"/>
  <c r="O119" i="26" s="1"/>
  <c r="M47" i="37"/>
  <c r="O47" i="37" s="1"/>
  <c r="M71" i="26"/>
  <c r="O71" i="26" s="1"/>
  <c r="M71" i="37"/>
  <c r="O71" i="37" s="1"/>
  <c r="M35" i="37"/>
  <c r="O35" i="37" s="1"/>
  <c r="M83" i="26"/>
  <c r="O83" i="26" s="1"/>
  <c r="M23" i="26"/>
  <c r="O23" i="26" s="1"/>
  <c r="M11" i="37"/>
  <c r="O11" i="37" s="1"/>
  <c r="M83" i="37"/>
  <c r="O83" i="37" s="1"/>
  <c r="M23" i="37"/>
  <c r="O23" i="37" s="1"/>
  <c r="M107" i="26"/>
  <c r="O107" i="26" s="1"/>
  <c r="M59" i="26"/>
  <c r="O59" i="26" s="1"/>
  <c r="M59" i="37"/>
  <c r="O59" i="37" s="1"/>
  <c r="D100" i="31"/>
  <c r="FR100" i="2"/>
  <c r="EX112" i="3" s="1"/>
  <c r="D106" i="29"/>
  <c r="FP106" i="2"/>
  <c r="EV118" i="3" s="1"/>
  <c r="D101" i="21"/>
  <c r="FQ109" i="2"/>
  <c r="EW121" i="3" s="1"/>
  <c r="FQ102" i="2"/>
  <c r="EW114" i="3" s="1"/>
  <c r="FR98" i="2"/>
  <c r="EX110" i="3" s="1"/>
  <c r="FP109" i="2"/>
  <c r="EV121" i="3" s="1"/>
  <c r="FS105" i="2"/>
  <c r="EY117" i="3" s="1"/>
  <c r="D109" i="29"/>
  <c r="D101" i="32"/>
  <c r="D106" i="19"/>
  <c r="D109" i="30"/>
  <c r="D104" i="30"/>
  <c r="D103" i="29"/>
  <c r="FQ98" i="2"/>
  <c r="EW110" i="3" s="1"/>
  <c r="FP105" i="2"/>
  <c r="EV117" i="3" s="1"/>
  <c r="D98" i="30"/>
  <c r="D108" i="30"/>
  <c r="D109" i="19"/>
  <c r="O84" i="21"/>
  <c r="O82" i="21"/>
  <c r="O83" i="21"/>
  <c r="O77" i="21"/>
  <c r="O79" i="21"/>
  <c r="O76" i="21"/>
  <c r="O80" i="21"/>
  <c r="O81" i="21"/>
  <c r="O85" i="21"/>
  <c r="O75" i="21"/>
  <c r="O78" i="21"/>
  <c r="O74" i="21"/>
  <c r="FQ101" i="2"/>
  <c r="EW113" i="3" s="1"/>
  <c r="D101" i="30"/>
  <c r="D98" i="18"/>
  <c r="D102" i="30"/>
  <c r="D108" i="29"/>
  <c r="FQ104" i="2"/>
  <c r="EW116" i="3" s="1"/>
  <c r="FP99" i="2"/>
  <c r="EV111" i="3" s="1"/>
  <c r="FR109" i="2"/>
  <c r="EX121" i="3" s="1"/>
  <c r="D109" i="31"/>
  <c r="D98" i="31"/>
  <c r="FQ107" i="2"/>
  <c r="EW119" i="3" s="1"/>
  <c r="AF105" i="2"/>
  <c r="FS102" i="2"/>
  <c r="EY114" i="3" s="1"/>
  <c r="D105" i="21"/>
  <c r="T131" i="29"/>
  <c r="AB84" i="51"/>
  <c r="AD15" i="14"/>
  <c r="AA16" i="14"/>
  <c r="AD16" i="14" s="1"/>
  <c r="AG14" i="14"/>
  <c r="FS96" i="2"/>
  <c r="EY108" i="3" s="1"/>
  <c r="C14" i="14"/>
  <c r="FP96" i="2"/>
  <c r="EV108" i="3" s="1"/>
  <c r="FR96" i="2"/>
  <c r="EX108" i="3" s="1"/>
  <c r="FQ108" i="2"/>
  <c r="EW120" i="3" s="1"/>
  <c r="AB85" i="51"/>
  <c r="AT13" i="14"/>
  <c r="BB13" i="14"/>
  <c r="BC14" i="14" s="1"/>
  <c r="FT96" i="2"/>
  <c r="EZ108" i="3" s="1"/>
  <c r="FS108" i="2"/>
  <c r="EY120" i="3" s="1"/>
  <c r="AX13" i="14"/>
  <c r="BN13" i="14"/>
  <c r="BR13" i="14"/>
  <c r="FQ96" i="2"/>
  <c r="EW108" i="3" s="1"/>
  <c r="G14" i="14"/>
  <c r="G45" i="14"/>
  <c r="D101" i="29"/>
  <c r="FS100" i="2"/>
  <c r="EY112" i="3" s="1"/>
  <c r="D115" i="29"/>
  <c r="D121" i="29"/>
  <c r="D118" i="29"/>
  <c r="D114" i="29"/>
  <c r="D116" i="29"/>
  <c r="D119" i="29"/>
  <c r="D111" i="29"/>
  <c r="D112" i="29"/>
  <c r="D117" i="29"/>
  <c r="D113" i="29"/>
  <c r="D120" i="29"/>
  <c r="FS98" i="2"/>
  <c r="EY110" i="3" s="1"/>
  <c r="D100" i="21"/>
  <c r="AF100" i="2"/>
  <c r="O11" i="26"/>
  <c r="P11" i="26" s="1"/>
  <c r="Q11" i="26" s="1"/>
  <c r="D105" i="32"/>
  <c r="D107" i="30"/>
  <c r="FP101" i="2"/>
  <c r="EV113" i="3" s="1"/>
  <c r="AB80" i="10"/>
  <c r="AB82" i="10"/>
  <c r="U16" i="14"/>
  <c r="D80" i="17"/>
  <c r="FS107" i="2"/>
  <c r="EY119" i="3" s="1"/>
  <c r="D105" i="19"/>
  <c r="D105" i="29"/>
  <c r="FP103" i="2"/>
  <c r="EV115" i="3" s="1"/>
  <c r="FT110" i="2"/>
  <c r="EZ122" i="3" s="1"/>
  <c r="D110" i="22"/>
  <c r="R110" i="22" s="1"/>
  <c r="S110" i="22" s="1"/>
  <c r="D99" i="29"/>
  <c r="W53" i="11"/>
  <c r="D109" i="21"/>
  <c r="FS109" i="2"/>
  <c r="EY121" i="3" s="1"/>
  <c r="D103" i="19"/>
  <c r="D104" i="31"/>
  <c r="D108" i="21"/>
  <c r="AF109" i="2"/>
  <c r="AF98" i="2"/>
  <c r="D99" i="19"/>
  <c r="BY38" i="2"/>
  <c r="BY25" i="2"/>
  <c r="BT4" i="2"/>
  <c r="BY71" i="2"/>
  <c r="T28" i="25"/>
  <c r="U28" i="25" s="1"/>
  <c r="BT7" i="2"/>
  <c r="T42" i="25"/>
  <c r="U42" i="25" s="1"/>
  <c r="P8" i="26"/>
  <c r="Q8" i="26" s="1"/>
  <c r="BY61" i="2"/>
  <c r="BY37" i="2"/>
  <c r="BT40" i="2"/>
  <c r="BT47" i="2"/>
  <c r="BY15" i="2"/>
  <c r="BY65" i="2"/>
  <c r="BY21" i="2"/>
  <c r="BY68" i="2"/>
  <c r="BY41" i="2"/>
  <c r="P30" i="26"/>
  <c r="Q30" i="26" s="1"/>
  <c r="BY18" i="2"/>
  <c r="T17" i="25"/>
  <c r="U17" i="25" s="1"/>
  <c r="BT29" i="2"/>
  <c r="BY24" i="2"/>
  <c r="T49" i="25"/>
  <c r="U49" i="25" s="1"/>
  <c r="P6" i="26"/>
  <c r="Q6" i="26" s="1"/>
  <c r="BT38" i="2"/>
  <c r="BT41" i="2"/>
  <c r="BT13" i="2"/>
  <c r="BY43" i="2"/>
  <c r="BT8" i="2"/>
  <c r="BT12" i="2"/>
  <c r="BY17" i="2"/>
  <c r="D33" i="37"/>
  <c r="T15" i="25"/>
  <c r="U15" i="25" s="1"/>
  <c r="BY69" i="2"/>
  <c r="BY42" i="2"/>
  <c r="BY44" i="2"/>
  <c r="P13" i="26"/>
  <c r="Q13" i="26" s="1"/>
  <c r="BY50" i="2"/>
  <c r="P61" i="26"/>
  <c r="Q61" i="26" s="1"/>
  <c r="FZ71" i="2"/>
  <c r="P51" i="26"/>
  <c r="Q51" i="26" s="1"/>
  <c r="P10" i="26"/>
  <c r="Q10" i="26" s="1"/>
  <c r="BY72" i="2"/>
  <c r="BT3" i="2"/>
  <c r="BY49" i="2"/>
  <c r="T23" i="25"/>
  <c r="U23" i="25" s="1"/>
  <c r="P33" i="26"/>
  <c r="Q33" i="26" s="1"/>
  <c r="BY73" i="2"/>
  <c r="T16" i="25"/>
  <c r="U16" i="25" s="1"/>
  <c r="P7" i="26"/>
  <c r="Q7" i="26" s="1"/>
  <c r="BT14" i="2"/>
  <c r="BY70" i="2"/>
  <c r="BY20" i="2"/>
  <c r="BY63" i="2"/>
  <c r="BY39" i="2"/>
  <c r="BT17" i="2"/>
  <c r="BT16" i="2"/>
  <c r="BT42" i="2"/>
  <c r="BY31" i="2"/>
  <c r="P64" i="26"/>
  <c r="Q64" i="26" s="1"/>
  <c r="P31" i="26"/>
  <c r="Q31" i="26" s="1"/>
  <c r="BT34" i="2"/>
  <c r="BT9" i="2"/>
  <c r="BY40" i="2"/>
  <c r="BY16" i="2"/>
  <c r="BY66" i="2"/>
  <c r="T33" i="25"/>
  <c r="U33" i="25" s="1"/>
  <c r="BY22" i="2"/>
  <c r="BT27" i="2"/>
  <c r="BT28" i="2"/>
  <c r="BT18" i="2"/>
  <c r="BY48" i="2"/>
  <c r="P37" i="26"/>
  <c r="Q37" i="26" s="1"/>
  <c r="BY23" i="2"/>
  <c r="BY14" i="2"/>
  <c r="BT5" i="2"/>
  <c r="T27" i="25"/>
  <c r="U27" i="25" s="1"/>
  <c r="BY67" i="2"/>
  <c r="BT6" i="2"/>
  <c r="BY62" i="2"/>
  <c r="BY47" i="2"/>
  <c r="BT10" i="2"/>
  <c r="BY46" i="2"/>
  <c r="T41" i="25"/>
  <c r="U41" i="25" s="1"/>
  <c r="BY45" i="2"/>
  <c r="BY19" i="2"/>
  <c r="P5" i="26"/>
  <c r="Q5" i="26" s="1"/>
  <c r="T40" i="25"/>
  <c r="U40" i="25" s="1"/>
  <c r="BT15" i="2"/>
  <c r="BY30" i="2"/>
  <c r="AF108" i="2"/>
  <c r="D102" i="21"/>
  <c r="D98" i="21"/>
  <c r="D102" i="32"/>
  <c r="AF102" i="2"/>
  <c r="D108" i="32"/>
  <c r="FQ103" i="2"/>
  <c r="EW115" i="3" s="1"/>
  <c r="D107" i="32"/>
  <c r="D103" i="30"/>
  <c r="D107" i="21"/>
  <c r="AF107" i="2"/>
  <c r="D100" i="29"/>
  <c r="FP100" i="2"/>
  <c r="EV112" i="3" s="1"/>
  <c r="D98" i="32"/>
  <c r="D101" i="19"/>
  <c r="FP104" i="2"/>
  <c r="EV116" i="3" s="1"/>
  <c r="FP107" i="2"/>
  <c r="EV119" i="3" s="1"/>
  <c r="D108" i="19"/>
  <c r="D100" i="18"/>
  <c r="FP108" i="2"/>
  <c r="EV120" i="3" s="1"/>
  <c r="FQ100" i="2"/>
  <c r="EW112" i="3" s="1"/>
  <c r="FS99" i="2"/>
  <c r="EY111" i="3" s="1"/>
  <c r="D99" i="21"/>
  <c r="D107" i="18"/>
  <c r="AF99" i="2"/>
  <c r="D104" i="19"/>
  <c r="D104" i="29"/>
  <c r="FR104" i="2"/>
  <c r="EX116" i="3" s="1"/>
  <c r="D85" i="17"/>
  <c r="FR108" i="2"/>
  <c r="EX120" i="3" s="1"/>
  <c r="D74" i="17"/>
  <c r="D108" i="20"/>
  <c r="FR103" i="2"/>
  <c r="EX115" i="3" s="1"/>
  <c r="D106" i="21"/>
  <c r="AF106" i="2"/>
  <c r="D108" i="31"/>
  <c r="D106" i="32"/>
  <c r="D100" i="19"/>
  <c r="D105" i="30"/>
  <c r="FQ105" i="2"/>
  <c r="EW117" i="3" s="1"/>
  <c r="FR102" i="2"/>
  <c r="EX114" i="3" s="1"/>
  <c r="D84" i="17"/>
  <c r="D107" i="29"/>
  <c r="D82" i="17"/>
  <c r="FR107" i="2"/>
  <c r="EX119" i="3" s="1"/>
  <c r="D107" i="19"/>
  <c r="D79" i="17"/>
  <c r="D81" i="17"/>
  <c r="D102" i="31"/>
  <c r="D107" i="31"/>
  <c r="D77" i="17"/>
  <c r="D76" i="17"/>
  <c r="D105" i="18"/>
  <c r="D93" i="17"/>
  <c r="FR99" i="2"/>
  <c r="EX111" i="3" s="1"/>
  <c r="D101" i="20"/>
  <c r="D99" i="31"/>
  <c r="D103" i="31"/>
  <c r="FR101" i="2"/>
  <c r="EX113" i="3" s="1"/>
  <c r="D102" i="17"/>
  <c r="D114" i="33"/>
  <c r="D118" i="33"/>
  <c r="D111" i="33"/>
  <c r="D110" i="33"/>
  <c r="D121" i="33"/>
  <c r="D120" i="33"/>
  <c r="D112" i="33"/>
  <c r="D113" i="33"/>
  <c r="D117" i="33"/>
  <c r="D116" i="33"/>
  <c r="D119" i="33"/>
  <c r="D115" i="33"/>
  <c r="D103" i="32"/>
  <c r="Y14" i="39"/>
  <c r="O14" i="39"/>
  <c r="D108" i="17"/>
  <c r="D86" i="17"/>
  <c r="D94" i="17"/>
  <c r="AT14" i="39"/>
  <c r="D92" i="17"/>
  <c r="D87" i="17"/>
  <c r="D91" i="17"/>
  <c r="D90" i="17"/>
  <c r="D109" i="17"/>
  <c r="D95" i="17"/>
  <c r="D106" i="17"/>
  <c r="D107" i="17"/>
  <c r="D104" i="17"/>
  <c r="D116" i="21"/>
  <c r="D121" i="20"/>
  <c r="D113" i="18"/>
  <c r="D121" i="18"/>
  <c r="D111" i="21"/>
  <c r="D112" i="21"/>
  <c r="D117" i="20"/>
  <c r="D119" i="21"/>
  <c r="D120" i="18"/>
  <c r="D97" i="17"/>
  <c r="D88" i="17"/>
  <c r="D111" i="18"/>
  <c r="D119" i="20"/>
  <c r="D118" i="18"/>
  <c r="D105" i="17"/>
  <c r="D115" i="20"/>
  <c r="D119" i="18"/>
  <c r="D121" i="21"/>
  <c r="D114" i="20"/>
  <c r="D112" i="20"/>
  <c r="D120" i="21"/>
  <c r="D117" i="21"/>
  <c r="D116" i="20"/>
  <c r="D99" i="17"/>
  <c r="D115" i="21"/>
  <c r="D118" i="21"/>
  <c r="D112" i="18"/>
  <c r="D113" i="21"/>
  <c r="D113" i="20"/>
  <c r="D120" i="20"/>
  <c r="D117" i="18"/>
  <c r="D116" i="18"/>
  <c r="D114" i="21"/>
  <c r="D114" i="18"/>
  <c r="D118" i="20"/>
  <c r="D100" i="17"/>
  <c r="D98" i="17"/>
  <c r="D96" i="17"/>
  <c r="D101" i="17"/>
  <c r="D115" i="18"/>
  <c r="D111" i="20"/>
  <c r="AK110" i="2"/>
  <c r="AI14" i="39"/>
  <c r="D89" i="17"/>
  <c r="D98" i="29"/>
  <c r="FP98" i="2"/>
  <c r="EV110" i="3" s="1"/>
  <c r="D98" i="19"/>
  <c r="D106" i="20"/>
  <c r="D106" i="31"/>
  <c r="FR106" i="2"/>
  <c r="EX118" i="3" s="1"/>
  <c r="AF103" i="2"/>
  <c r="D103" i="21"/>
  <c r="N103" i="21" s="1"/>
  <c r="O103" i="21" s="1"/>
  <c r="FS103" i="2"/>
  <c r="EY115" i="3" s="1"/>
  <c r="D106" i="18"/>
  <c r="FQ106" i="2"/>
  <c r="EW118" i="3" s="1"/>
  <c r="D106" i="30"/>
  <c r="D83" i="17"/>
  <c r="D118" i="19"/>
  <c r="D114" i="19"/>
  <c r="D116" i="19"/>
  <c r="D119" i="19"/>
  <c r="D111" i="19"/>
  <c r="D112" i="19"/>
  <c r="D117" i="19"/>
  <c r="D113" i="19"/>
  <c r="D115" i="19"/>
  <c r="D120" i="19"/>
  <c r="D121" i="19"/>
  <c r="R103" i="22"/>
  <c r="S103" i="22" s="1"/>
  <c r="AL11" i="27"/>
  <c r="BY34" i="2"/>
  <c r="BY54" i="2"/>
  <c r="D32" i="37"/>
  <c r="BY32" i="2"/>
  <c r="D60" i="26"/>
  <c r="BY60" i="2"/>
  <c r="BY59" i="2"/>
  <c r="BY52" i="2"/>
  <c r="BY56" i="2"/>
  <c r="BY27" i="2"/>
  <c r="BY55" i="2"/>
  <c r="BY36" i="2"/>
  <c r="BY53" i="2"/>
  <c r="BY28" i="2"/>
  <c r="D29" i="26"/>
  <c r="BY29" i="2"/>
  <c r="BY33" i="2"/>
  <c r="D57" i="37"/>
  <c r="BY57" i="2"/>
  <c r="BY35" i="2"/>
  <c r="BY58" i="2"/>
  <c r="R108" i="22"/>
  <c r="S108" i="22" s="1"/>
  <c r="N110" i="21"/>
  <c r="O110" i="21" s="1"/>
  <c r="D26" i="25"/>
  <c r="BT26" i="2"/>
  <c r="FZ22" i="2"/>
  <c r="BT22" i="2"/>
  <c r="BT44" i="2"/>
  <c r="D24" i="25"/>
  <c r="BT24" i="2"/>
  <c r="D20" i="25"/>
  <c r="BT20" i="2"/>
  <c r="FZ45" i="2"/>
  <c r="BT45" i="2"/>
  <c r="D60" i="37"/>
  <c r="BT21" i="2"/>
  <c r="BT32" i="2"/>
  <c r="FZ31" i="2"/>
  <c r="BT31" i="2"/>
  <c r="BT39" i="2"/>
  <c r="BT19" i="2"/>
  <c r="D36" i="25"/>
  <c r="BT36" i="2"/>
  <c r="FZ48" i="2"/>
  <c r="BT48" i="2"/>
  <c r="FZ11" i="2"/>
  <c r="BT11" i="2"/>
  <c r="BT37" i="2"/>
  <c r="BT25" i="2"/>
  <c r="FZ35" i="2"/>
  <c r="BT35" i="2"/>
  <c r="BT30" i="2"/>
  <c r="BT46" i="2"/>
  <c r="D43" i="25"/>
  <c r="BT43" i="2"/>
  <c r="D52" i="26"/>
  <c r="D26" i="36"/>
  <c r="AK115" i="2"/>
  <c r="AK114" i="2"/>
  <c r="AK118" i="2"/>
  <c r="AK111" i="2"/>
  <c r="AK119" i="2"/>
  <c r="AK121" i="2"/>
  <c r="AK120" i="2"/>
  <c r="AK112" i="2"/>
  <c r="AK113" i="2"/>
  <c r="AK117" i="2"/>
  <c r="AK116" i="2"/>
  <c r="AF120" i="2"/>
  <c r="AF117" i="2"/>
  <c r="AF115" i="2"/>
  <c r="AF118" i="2"/>
  <c r="AF113" i="2"/>
  <c r="AF114" i="2"/>
  <c r="AF116" i="2"/>
  <c r="AF111" i="2"/>
  <c r="AF119" i="2"/>
  <c r="AF112" i="2"/>
  <c r="AF121" i="2"/>
  <c r="FR115" i="2"/>
  <c r="EX127" i="3" s="1"/>
  <c r="D119" i="31"/>
  <c r="D112" i="31"/>
  <c r="D114" i="31"/>
  <c r="D120" i="31"/>
  <c r="D116" i="31"/>
  <c r="FR118" i="2"/>
  <c r="EX130" i="3" s="1"/>
  <c r="D115" i="30"/>
  <c r="D113" i="30"/>
  <c r="D121" i="30"/>
  <c r="D118" i="30"/>
  <c r="D120" i="30"/>
  <c r="D119" i="30"/>
  <c r="D111" i="30"/>
  <c r="D112" i="30"/>
  <c r="D117" i="30"/>
  <c r="D116" i="30"/>
  <c r="D114" i="30"/>
  <c r="D36" i="37"/>
  <c r="D36" i="26"/>
  <c r="D27" i="37"/>
  <c r="D27" i="26"/>
  <c r="FZ26" i="2"/>
  <c r="D32" i="25"/>
  <c r="D32" i="36"/>
  <c r="D29" i="37"/>
  <c r="FZ32" i="2"/>
  <c r="E110" i="2"/>
  <c r="D34" i="37"/>
  <c r="D34" i="26"/>
  <c r="D52" i="37"/>
  <c r="D36" i="36"/>
  <c r="D22" i="36"/>
  <c r="D58" i="37"/>
  <c r="D35" i="37"/>
  <c r="D35" i="26"/>
  <c r="AJ18" i="7"/>
  <c r="E115" i="2"/>
  <c r="E112" i="2"/>
  <c r="E120" i="2"/>
  <c r="E113" i="2"/>
  <c r="E118" i="2"/>
  <c r="AM47" i="7"/>
  <c r="M178" i="5" s="1"/>
  <c r="M183" i="5" s="1"/>
  <c r="AJ48" i="7"/>
  <c r="AO47" i="7"/>
  <c r="AL49" i="7"/>
  <c r="F41" i="8" s="1"/>
  <c r="H41" i="8" s="1"/>
  <c r="AM18" i="7"/>
  <c r="E111" i="2"/>
  <c r="E119" i="2"/>
  <c r="E114" i="2"/>
  <c r="E117" i="2"/>
  <c r="AK47" i="7"/>
  <c r="AN47" i="7"/>
  <c r="M185" i="5" s="1"/>
  <c r="M186" i="5" s="1"/>
  <c r="AJ46" i="7"/>
  <c r="AJ47" i="7"/>
  <c r="D55" i="37"/>
  <c r="D55" i="26"/>
  <c r="AH49" i="7"/>
  <c r="O128" i="5" s="1"/>
  <c r="AI11" i="5" s="1"/>
  <c r="E121" i="2"/>
  <c r="E116" i="2"/>
  <c r="AL47" i="7"/>
  <c r="F39" i="8" s="1"/>
  <c r="H39" i="8" s="1"/>
  <c r="AI48" i="7"/>
  <c r="N140" i="5" s="1"/>
  <c r="C85" i="7"/>
  <c r="AH27" i="7"/>
  <c r="H84" i="7"/>
  <c r="H95" i="7" s="1"/>
  <c r="AN46" i="7"/>
  <c r="L185" i="5" s="1"/>
  <c r="L189" i="5" s="1"/>
  <c r="AN49" i="7"/>
  <c r="O185" i="5" s="1"/>
  <c r="AH48" i="7"/>
  <c r="N128" i="5" s="1"/>
  <c r="AL46" i="7"/>
  <c r="L170" i="5" s="1"/>
  <c r="AP8" i="7"/>
  <c r="AP26" i="7" s="1"/>
  <c r="AO46" i="7"/>
  <c r="L191" i="5" s="1"/>
  <c r="AO48" i="7"/>
  <c r="N191" i="5" s="1"/>
  <c r="AO49" i="7"/>
  <c r="AI49" i="7"/>
  <c r="O140" i="5" s="1"/>
  <c r="G84" i="7"/>
  <c r="G95" i="7" s="1"/>
  <c r="AM46" i="7"/>
  <c r="AM48" i="7"/>
  <c r="N178" i="5" s="1"/>
  <c r="AM49" i="7"/>
  <c r="O178" i="5" s="1"/>
  <c r="AI18" i="7"/>
  <c r="AH46" i="7"/>
  <c r="L128" i="5" s="1"/>
  <c r="AF11" i="5" s="1"/>
  <c r="F85" i="7"/>
  <c r="F95" i="7" s="1"/>
  <c r="AH18" i="7"/>
  <c r="AN18" i="7"/>
  <c r="AJ49" i="7"/>
  <c r="E84" i="7"/>
  <c r="E95" i="7" s="1"/>
  <c r="AK49" i="7"/>
  <c r="O161" i="5" s="1"/>
  <c r="AN48" i="7"/>
  <c r="N185" i="5" s="1"/>
  <c r="AL18" i="7"/>
  <c r="AK46" i="7"/>
  <c r="L161" i="5" s="1"/>
  <c r="AL48" i="7"/>
  <c r="AI47" i="7"/>
  <c r="M140" i="5" s="1"/>
  <c r="AR6" i="7"/>
  <c r="AR24" i="7" s="1"/>
  <c r="AK18" i="7"/>
  <c r="AI46" i="7"/>
  <c r="L140" i="5" s="1"/>
  <c r="AK48" i="7"/>
  <c r="N161" i="5" s="1"/>
  <c r="AH80" i="7"/>
  <c r="AG80" i="7"/>
  <c r="AJ80" i="7"/>
  <c r="AI80" i="7"/>
  <c r="AI27" i="7"/>
  <c r="AH47" i="7"/>
  <c r="M128" i="5" s="1"/>
  <c r="FZ46" i="2"/>
  <c r="D46" i="25"/>
  <c r="D19" i="25"/>
  <c r="D19" i="36"/>
  <c r="FZ19" i="2"/>
  <c r="D43" i="36"/>
  <c r="D54" i="37"/>
  <c r="D54" i="26"/>
  <c r="DR8" i="39"/>
  <c r="FZ43" i="2"/>
  <c r="FZ39" i="2"/>
  <c r="D39" i="25"/>
  <c r="D56" i="37"/>
  <c r="D39" i="36"/>
  <c r="D56" i="26"/>
  <c r="D32" i="26"/>
  <c r="AG79" i="7"/>
  <c r="AH79" i="7"/>
  <c r="AI79" i="7"/>
  <c r="AJ79" i="7"/>
  <c r="AO18" i="7"/>
  <c r="D31" i="36"/>
  <c r="D44" i="36"/>
  <c r="D45" i="36"/>
  <c r="D58" i="26"/>
  <c r="D22" i="25"/>
  <c r="D45" i="25"/>
  <c r="D30" i="36"/>
  <c r="D31" i="25"/>
  <c r="FZ44" i="2"/>
  <c r="D46" i="36"/>
  <c r="D44" i="25"/>
  <c r="FZ21" i="2"/>
  <c r="D28" i="26"/>
  <c r="D28" i="37"/>
  <c r="D37" i="36"/>
  <c r="D37" i="25"/>
  <c r="D30" i="25"/>
  <c r="D20" i="36"/>
  <c r="DR10" i="39"/>
  <c r="FZ20" i="2"/>
  <c r="FZ37" i="2"/>
  <c r="D25" i="36"/>
  <c r="D25" i="25"/>
  <c r="FZ25" i="2"/>
  <c r="FZ30" i="2"/>
  <c r="D57" i="26"/>
  <c r="D21" i="36"/>
  <c r="D59" i="26"/>
  <c r="D24" i="36"/>
  <c r="D21" i="25"/>
  <c r="D59" i="37"/>
  <c r="D53" i="37"/>
  <c r="D53" i="26"/>
  <c r="DG8" i="39"/>
  <c r="FQ120" i="2"/>
  <c r="EW132" i="3" s="1"/>
  <c r="Q50" i="26"/>
  <c r="D68" i="26"/>
  <c r="D68" i="37"/>
  <c r="D66" i="36"/>
  <c r="FZ66" i="2"/>
  <c r="D66" i="25"/>
  <c r="FZ7" i="2"/>
  <c r="D7" i="25"/>
  <c r="D7" i="36"/>
  <c r="FZ53" i="2"/>
  <c r="D53" i="36"/>
  <c r="D53" i="25"/>
  <c r="FZ2" i="2"/>
  <c r="D2" i="36"/>
  <c r="D2" i="25"/>
  <c r="T2" i="25" s="1"/>
  <c r="DG6" i="39"/>
  <c r="D57" i="25"/>
  <c r="D57" i="36"/>
  <c r="FZ57" i="2"/>
  <c r="D64" i="36"/>
  <c r="FZ64" i="2"/>
  <c r="D64" i="25"/>
  <c r="D71" i="25"/>
  <c r="D71" i="36"/>
  <c r="D43" i="26"/>
  <c r="D43" i="37"/>
  <c r="D48" i="25"/>
  <c r="D48" i="36"/>
  <c r="D68" i="25"/>
  <c r="FZ68" i="2"/>
  <c r="D68" i="36"/>
  <c r="D70" i="26"/>
  <c r="D70" i="37"/>
  <c r="FZ3" i="2"/>
  <c r="D3" i="36"/>
  <c r="D3" i="25"/>
  <c r="Q2" i="26"/>
  <c r="BN5" i="27"/>
  <c r="FZ56" i="2"/>
  <c r="D56" i="25"/>
  <c r="D56" i="36"/>
  <c r="D24" i="37"/>
  <c r="D24" i="26"/>
  <c r="D35" i="25"/>
  <c r="D35" i="36"/>
  <c r="FZ55" i="2"/>
  <c r="D55" i="25"/>
  <c r="D55" i="36"/>
  <c r="FZ65" i="2"/>
  <c r="D65" i="36"/>
  <c r="D65" i="25"/>
  <c r="D47" i="36"/>
  <c r="D47" i="25"/>
  <c r="FZ47" i="2"/>
  <c r="D39" i="37"/>
  <c r="D39" i="26"/>
  <c r="FZ18" i="2"/>
  <c r="D18" i="36"/>
  <c r="D18" i="25"/>
  <c r="D69" i="37"/>
  <c r="D69" i="26"/>
  <c r="FZ54" i="2"/>
  <c r="D54" i="36"/>
  <c r="D54" i="25"/>
  <c r="D45" i="37"/>
  <c r="D45" i="26"/>
  <c r="D70" i="36"/>
  <c r="D70" i="25"/>
  <c r="FZ70" i="2"/>
  <c r="D73" i="37"/>
  <c r="D73" i="26"/>
  <c r="D48" i="37"/>
  <c r="D48" i="26"/>
  <c r="D71" i="26"/>
  <c r="D71" i="37"/>
  <c r="D47" i="37"/>
  <c r="D47" i="26"/>
  <c r="D38" i="26"/>
  <c r="P38" i="26" s="1"/>
  <c r="D38" i="37"/>
  <c r="DR9" i="39"/>
  <c r="FZ73" i="2"/>
  <c r="D73" i="25"/>
  <c r="D73" i="36"/>
  <c r="D49" i="26"/>
  <c r="D49" i="37"/>
  <c r="D41" i="37"/>
  <c r="D41" i="26"/>
  <c r="FZ63" i="2"/>
  <c r="D63" i="36"/>
  <c r="D63" i="25"/>
  <c r="D14" i="25"/>
  <c r="T14" i="25" s="1"/>
  <c r="FZ14" i="2"/>
  <c r="D14" i="36"/>
  <c r="DG7" i="39"/>
  <c r="D19" i="26"/>
  <c r="D19" i="37"/>
  <c r="D63" i="37"/>
  <c r="D63" i="26"/>
  <c r="FZ67" i="2"/>
  <c r="D67" i="36"/>
  <c r="D67" i="25"/>
  <c r="D11" i="36"/>
  <c r="D11" i="25"/>
  <c r="FZ29" i="2"/>
  <c r="D29" i="36"/>
  <c r="D29" i="25"/>
  <c r="D69" i="36"/>
  <c r="D69" i="25"/>
  <c r="FZ69" i="2"/>
  <c r="DG10" i="39"/>
  <c r="FZ50" i="2"/>
  <c r="D50" i="36"/>
  <c r="D50" i="25"/>
  <c r="D72" i="37"/>
  <c r="D72" i="26"/>
  <c r="D4" i="36"/>
  <c r="FZ4" i="2"/>
  <c r="D4" i="25"/>
  <c r="FZ51" i="2"/>
  <c r="D51" i="36"/>
  <c r="D51" i="25"/>
  <c r="U38" i="25"/>
  <c r="D58" i="25"/>
  <c r="D58" i="36"/>
  <c r="FZ58" i="2"/>
  <c r="B132" i="29"/>
  <c r="A133" i="29"/>
  <c r="C132" i="29"/>
  <c r="D18" i="26"/>
  <c r="D18" i="37"/>
  <c r="D20" i="37"/>
  <c r="D20" i="26"/>
  <c r="D40" i="26"/>
  <c r="D40" i="37"/>
  <c r="D14" i="37"/>
  <c r="D14" i="26"/>
  <c r="P14" i="26" s="1"/>
  <c r="DR7" i="39"/>
  <c r="D52" i="36"/>
  <c r="FZ52" i="2"/>
  <c r="D52" i="25"/>
  <c r="D66" i="26"/>
  <c r="D66" i="37"/>
  <c r="D67" i="37"/>
  <c r="D67" i="26"/>
  <c r="AI26" i="7"/>
  <c r="D95" i="7"/>
  <c r="D21" i="37"/>
  <c r="D21" i="26"/>
  <c r="AH26" i="7"/>
  <c r="D15" i="37"/>
  <c r="D15" i="26"/>
  <c r="D16" i="26"/>
  <c r="D16" i="37"/>
  <c r="D46" i="37"/>
  <c r="D46" i="26"/>
  <c r="D44" i="37"/>
  <c r="D44" i="26"/>
  <c r="D12" i="25"/>
  <c r="D12" i="36"/>
  <c r="D9" i="36"/>
  <c r="D9" i="25"/>
  <c r="FZ9" i="2"/>
  <c r="D10" i="25"/>
  <c r="D10" i="36"/>
  <c r="FZ10" i="2"/>
  <c r="DG9" i="39"/>
  <c r="D22" i="37"/>
  <c r="D22" i="26"/>
  <c r="D72" i="25"/>
  <c r="D72" i="36"/>
  <c r="D23" i="37"/>
  <c r="D23" i="26"/>
  <c r="FZ8" i="2"/>
  <c r="D8" i="25"/>
  <c r="D8" i="36"/>
  <c r="D42" i="26"/>
  <c r="D42" i="37"/>
  <c r="DG11" i="39"/>
  <c r="FZ13" i="2"/>
  <c r="D13" i="36"/>
  <c r="D13" i="25"/>
  <c r="D65" i="26"/>
  <c r="D65" i="37"/>
  <c r="FZ5" i="2"/>
  <c r="D5" i="36"/>
  <c r="D5" i="25"/>
  <c r="D60" i="36"/>
  <c r="D60" i="25"/>
  <c r="D25" i="26"/>
  <c r="D25" i="37"/>
  <c r="D17" i="26"/>
  <c r="D17" i="37"/>
  <c r="FZ61" i="2"/>
  <c r="D61" i="25"/>
  <c r="D61" i="36"/>
  <c r="D62" i="37"/>
  <c r="D62" i="26"/>
  <c r="P62" i="26" s="1"/>
  <c r="DR11" i="39"/>
  <c r="D34" i="36"/>
  <c r="D34" i="25"/>
  <c r="FZ34" i="2"/>
  <c r="D6" i="36"/>
  <c r="D6" i="25"/>
  <c r="FZ6" i="2"/>
  <c r="FT119" i="2"/>
  <c r="EZ131" i="3" s="1"/>
  <c r="FS112" i="2"/>
  <c r="EY124" i="3" s="1"/>
  <c r="FR119" i="2"/>
  <c r="EX131" i="3" s="1"/>
  <c r="L45" i="14"/>
  <c r="L46" i="14"/>
  <c r="AU45" i="14"/>
  <c r="AU46" i="14"/>
  <c r="AG45" i="14"/>
  <c r="FU120" i="2"/>
  <c r="BI12" i="40"/>
  <c r="V45" i="14"/>
  <c r="V46" i="14"/>
  <c r="AL45" i="14"/>
  <c r="AL46" i="14"/>
  <c r="BS45" i="14"/>
  <c r="BS46" i="14"/>
  <c r="BV45" i="14"/>
  <c r="GD120" i="2"/>
  <c r="BV13" i="14"/>
  <c r="BV14" i="14"/>
  <c r="BH45" i="14"/>
  <c r="F120" i="37"/>
  <c r="K120" i="37" s="1"/>
  <c r="F120" i="26"/>
  <c r="K120" i="26" s="1"/>
  <c r="GA120" i="2"/>
  <c r="BH13" i="14"/>
  <c r="BH14" i="14"/>
  <c r="AY45" i="14"/>
  <c r="AY46" i="14"/>
  <c r="BC45" i="14"/>
  <c r="BC46" i="14"/>
  <c r="C45" i="14"/>
  <c r="BO14" i="14"/>
  <c r="AP45" i="14"/>
  <c r="AP46" i="14"/>
  <c r="AB45" i="14"/>
  <c r="AB46" i="14"/>
  <c r="P45" i="14"/>
  <c r="P46" i="14"/>
  <c r="BO45" i="14"/>
  <c r="BO46" i="14"/>
  <c r="FR114" i="2"/>
  <c r="EX126" i="3" s="1"/>
  <c r="FS113" i="2"/>
  <c r="EY125" i="3" s="1"/>
  <c r="FT114" i="2"/>
  <c r="EZ126" i="3" s="1"/>
  <c r="FS111" i="2"/>
  <c r="EY123" i="3" s="1"/>
  <c r="FQ111" i="2"/>
  <c r="EW123" i="3" s="1"/>
  <c r="FR116" i="2"/>
  <c r="EX128" i="3" s="1"/>
  <c r="FS117" i="2"/>
  <c r="EY129" i="3" s="1"/>
  <c r="FP118" i="2"/>
  <c r="EV130" i="3" s="1"/>
  <c r="FR120" i="2"/>
  <c r="EX132" i="3" s="1"/>
  <c r="FT112" i="2"/>
  <c r="EZ124" i="3" s="1"/>
  <c r="FR112" i="2"/>
  <c r="EX124" i="3" s="1"/>
  <c r="FQ114" i="2"/>
  <c r="EW126" i="3" s="1"/>
  <c r="FT115" i="2"/>
  <c r="EZ127" i="3" s="1"/>
  <c r="O15" i="39"/>
  <c r="BE15" i="39"/>
  <c r="Y15" i="39"/>
  <c r="AI15" i="39"/>
  <c r="AT15" i="39"/>
  <c r="FP113" i="2"/>
  <c r="EV125" i="3" s="1"/>
  <c r="FS119" i="2"/>
  <c r="EY131" i="3" s="1"/>
  <c r="FT118" i="2"/>
  <c r="EZ130" i="3" s="1"/>
  <c r="FT113" i="2"/>
  <c r="EZ125" i="3" s="1"/>
  <c r="FS116" i="2"/>
  <c r="EY128" i="3" s="1"/>
  <c r="FQ115" i="2"/>
  <c r="EW127" i="3" s="1"/>
  <c r="FQ112" i="2"/>
  <c r="EW124" i="3" s="1"/>
  <c r="FP116" i="2"/>
  <c r="EV128" i="3" s="1"/>
  <c r="D113" i="31"/>
  <c r="D117" i="31"/>
  <c r="FR121" i="2"/>
  <c r="EX133" i="3" s="1"/>
  <c r="D121" i="31"/>
  <c r="D115" i="31"/>
  <c r="FR117" i="2"/>
  <c r="EX129" i="3" s="1"/>
  <c r="D118" i="31"/>
  <c r="FR111" i="2"/>
  <c r="EX123" i="3" s="1"/>
  <c r="D111" i="31"/>
  <c r="FQ116" i="2"/>
  <c r="EW128" i="3" s="1"/>
  <c r="FP120" i="2"/>
  <c r="EV132" i="3" s="1"/>
  <c r="FT120" i="2"/>
  <c r="EZ132" i="3" s="1"/>
  <c r="FS121" i="2"/>
  <c r="EY133" i="3" s="1"/>
  <c r="FQ119" i="2"/>
  <c r="EW131" i="3" s="1"/>
  <c r="FQ113" i="2"/>
  <c r="EW125" i="3" s="1"/>
  <c r="FP114" i="2"/>
  <c r="EV126" i="3" s="1"/>
  <c r="FS118" i="2"/>
  <c r="EY130" i="3" s="1"/>
  <c r="FP111" i="2"/>
  <c r="EV123" i="3" s="1"/>
  <c r="FQ117" i="2"/>
  <c r="EW129" i="3" s="1"/>
  <c r="FP121" i="2"/>
  <c r="EV133" i="3" s="1"/>
  <c r="FQ118" i="2"/>
  <c r="EW130" i="3" s="1"/>
  <c r="FS120" i="2"/>
  <c r="EY132" i="3" s="1"/>
  <c r="FS115" i="2"/>
  <c r="EY127" i="3" s="1"/>
  <c r="FT111" i="2"/>
  <c r="EZ123" i="3" s="1"/>
  <c r="FQ121" i="2"/>
  <c r="EW133" i="3" s="1"/>
  <c r="FT121" i="2"/>
  <c r="EZ133" i="3" s="1"/>
  <c r="FT116" i="2"/>
  <c r="EZ128" i="3" s="1"/>
  <c r="FP115" i="2"/>
  <c r="EV127" i="3" s="1"/>
  <c r="FS114" i="2"/>
  <c r="EY126" i="3" s="1"/>
  <c r="FR113" i="2"/>
  <c r="EX125" i="3" s="1"/>
  <c r="FP119" i="2"/>
  <c r="EV131" i="3" s="1"/>
  <c r="FP112" i="2"/>
  <c r="EV124" i="3" s="1"/>
  <c r="FT117" i="2"/>
  <c r="EZ129" i="3" s="1"/>
  <c r="FP117" i="2"/>
  <c r="EV129" i="3" s="1"/>
  <c r="O107" i="37"/>
  <c r="R98" i="22"/>
  <c r="R86" i="22"/>
  <c r="R19" i="40"/>
  <c r="BH17" i="39"/>
  <c r="R22" i="40" s="1"/>
  <c r="AW17" i="39"/>
  <c r="J22" i="40" s="1"/>
  <c r="FY48" i="2"/>
  <c r="FT48" i="2"/>
  <c r="FW96" i="2"/>
  <c r="FX12" i="2"/>
  <c r="FQ84" i="2"/>
  <c r="EW96" i="3" s="1"/>
  <c r="FZ72" i="2"/>
  <c r="FV60" i="2"/>
  <c r="GB36" i="2"/>
  <c r="FU24" i="2"/>
  <c r="FW84" i="2"/>
  <c r="FW60" i="2"/>
  <c r="FT84" i="2"/>
  <c r="EZ96" i="3" s="1"/>
  <c r="FX72" i="2"/>
  <c r="GD60" i="2"/>
  <c r="GD24" i="2"/>
  <c r="FU48" i="2"/>
  <c r="FY72" i="2"/>
  <c r="U8" i="14"/>
  <c r="U9" i="14"/>
  <c r="U11" i="14"/>
  <c r="U10" i="14"/>
  <c r="U12" i="14"/>
  <c r="U5" i="14"/>
  <c r="U7" i="14"/>
  <c r="U13" i="14"/>
  <c r="U6" i="14"/>
  <c r="FS36" i="2"/>
  <c r="GC84" i="2"/>
  <c r="FS24" i="2"/>
  <c r="FO12" i="2"/>
  <c r="FT12" i="2"/>
  <c r="FW24" i="2"/>
  <c r="FX36" i="2"/>
  <c r="GA24" i="2"/>
  <c r="F24" i="37"/>
  <c r="K24" i="37" s="1"/>
  <c r="F24" i="26"/>
  <c r="K24" i="26" s="1"/>
  <c r="O8" i="14"/>
  <c r="O10" i="14"/>
  <c r="O9" i="14"/>
  <c r="O6" i="14"/>
  <c r="O7" i="14"/>
  <c r="O11" i="14"/>
  <c r="O5" i="14"/>
  <c r="O13" i="14"/>
  <c r="O12" i="14"/>
  <c r="FP24" i="2"/>
  <c r="FV12" i="2"/>
  <c r="FQ48" i="2"/>
  <c r="FR36" i="2"/>
  <c r="FV24" i="2"/>
  <c r="GB84" i="2"/>
  <c r="FR48" i="2"/>
  <c r="FZ12" i="2"/>
  <c r="FT24" i="2"/>
  <c r="FX24" i="2"/>
  <c r="FQ36" i="2"/>
  <c r="FQ72" i="2"/>
  <c r="FV108" i="2"/>
  <c r="AK10" i="14"/>
  <c r="AK12" i="14"/>
  <c r="AK6" i="14"/>
  <c r="AK9" i="14"/>
  <c r="AK8" i="14"/>
  <c r="AK5" i="14"/>
  <c r="AK7" i="14"/>
  <c r="AK11" i="14"/>
  <c r="AK13" i="14"/>
  <c r="FZ60" i="2"/>
  <c r="FR60" i="2"/>
  <c r="FU96" i="2"/>
  <c r="FS12" i="2"/>
  <c r="FR72" i="2"/>
  <c r="FS60" i="2"/>
  <c r="GD48" i="2"/>
  <c r="AA8" i="14"/>
  <c r="AA11" i="14"/>
  <c r="AA13" i="14"/>
  <c r="AA12" i="14"/>
  <c r="AA6" i="14"/>
  <c r="AA5" i="14"/>
  <c r="AA7" i="14"/>
  <c r="AA10" i="14"/>
  <c r="FT108" i="2"/>
  <c r="EZ120" i="3" s="1"/>
  <c r="AA9" i="14"/>
  <c r="GC72" i="2"/>
  <c r="FW36" i="2"/>
  <c r="GD72" i="2"/>
  <c r="GB60" i="2"/>
  <c r="FU12" i="2"/>
  <c r="K10" i="14"/>
  <c r="K5" i="14"/>
  <c r="K6" i="14"/>
  <c r="K13" i="14"/>
  <c r="K8" i="14"/>
  <c r="K9" i="14"/>
  <c r="K12" i="14"/>
  <c r="K7" i="14"/>
  <c r="K11" i="14"/>
  <c r="GB12" i="2"/>
  <c r="FV48" i="2"/>
  <c r="FT36" i="2"/>
  <c r="FO36" i="2"/>
  <c r="FU36" i="2"/>
  <c r="FO24" i="2"/>
  <c r="GA84" i="2"/>
  <c r="F84" i="37"/>
  <c r="K84" i="37" s="1"/>
  <c r="F84" i="26"/>
  <c r="K84" i="26" s="1"/>
  <c r="FP72" i="2"/>
  <c r="AX12" i="14"/>
  <c r="AX6" i="14"/>
  <c r="AX11" i="14"/>
  <c r="AX10" i="14"/>
  <c r="AX5" i="14"/>
  <c r="AX8" i="14"/>
  <c r="AX9" i="14"/>
  <c r="AX7" i="14"/>
  <c r="FR12" i="2"/>
  <c r="GD108" i="2"/>
  <c r="BV9" i="14"/>
  <c r="BV11" i="14"/>
  <c r="BV10" i="14"/>
  <c r="BV8" i="14"/>
  <c r="BV6" i="14"/>
  <c r="BV12" i="14"/>
  <c r="BV7" i="14"/>
  <c r="BV5" i="14"/>
  <c r="FY12" i="2"/>
  <c r="GB108" i="2"/>
  <c r="BN12" i="14"/>
  <c r="BN5" i="14"/>
  <c r="BN9" i="14"/>
  <c r="BN6" i="14"/>
  <c r="BN8" i="14"/>
  <c r="BN10" i="14"/>
  <c r="BN7" i="14"/>
  <c r="BN11" i="14"/>
  <c r="FW48" i="2"/>
  <c r="G10" i="14"/>
  <c r="G11" i="14"/>
  <c r="G5" i="14"/>
  <c r="G6" i="14"/>
  <c r="G7" i="14"/>
  <c r="G9" i="14"/>
  <c r="G8" i="14"/>
  <c r="G13" i="14"/>
  <c r="G12" i="14"/>
  <c r="GC24" i="2"/>
  <c r="GD96" i="2"/>
  <c r="FS72" i="2"/>
  <c r="FZ24" i="2"/>
  <c r="FW12" i="2"/>
  <c r="FO48" i="2"/>
  <c r="FQ60" i="2"/>
  <c r="FP12" i="2"/>
  <c r="FV36" i="2"/>
  <c r="FU72" i="2"/>
  <c r="FW72" i="2"/>
  <c r="GA36" i="2"/>
  <c r="F36" i="37"/>
  <c r="K36" i="37" s="1"/>
  <c r="F36" i="26"/>
  <c r="K36" i="26" s="1"/>
  <c r="GA108" i="2"/>
  <c r="F108" i="26"/>
  <c r="K108" i="26" s="1"/>
  <c r="F108" i="37"/>
  <c r="K108" i="37" s="1"/>
  <c r="M108" i="37" s="1"/>
  <c r="BH10" i="14"/>
  <c r="BH7" i="14"/>
  <c r="BH8" i="14"/>
  <c r="BH9" i="14"/>
  <c r="BH6" i="14"/>
  <c r="BH12" i="14"/>
  <c r="BH11" i="14"/>
  <c r="BH5" i="14"/>
  <c r="FX60" i="2"/>
  <c r="FQ24" i="2"/>
  <c r="FT72" i="2"/>
  <c r="GA12" i="2"/>
  <c r="F12" i="26"/>
  <c r="K12" i="26" s="1"/>
  <c r="M12" i="26" s="1"/>
  <c r="F12" i="37"/>
  <c r="K12" i="37" s="1"/>
  <c r="GD12" i="2"/>
  <c r="GC36" i="2"/>
  <c r="FS84" i="2"/>
  <c r="EY96" i="3" s="1"/>
  <c r="FP60" i="2"/>
  <c r="GB48" i="2"/>
  <c r="GC96" i="2"/>
  <c r="GB96" i="2"/>
  <c r="FU84" i="2"/>
  <c r="FP84" i="2"/>
  <c r="EV96" i="3" s="1"/>
  <c r="C9" i="14"/>
  <c r="C6" i="14"/>
  <c r="C5" i="14"/>
  <c r="C12" i="14"/>
  <c r="C11" i="14"/>
  <c r="C13" i="14"/>
  <c r="C7" i="14"/>
  <c r="C10" i="14"/>
  <c r="C8" i="14"/>
  <c r="FV72" i="2"/>
  <c r="FQ12" i="2"/>
  <c r="GA48" i="2"/>
  <c r="F48" i="26"/>
  <c r="K48" i="26" s="1"/>
  <c r="F48" i="37"/>
  <c r="K48" i="37" s="1"/>
  <c r="BB11" i="14"/>
  <c r="BB9" i="14"/>
  <c r="BB7" i="14"/>
  <c r="BB10" i="14"/>
  <c r="BB8" i="14"/>
  <c r="BB5" i="14"/>
  <c r="BB6" i="14"/>
  <c r="BB12" i="14"/>
  <c r="FW108" i="2"/>
  <c r="AO6" i="14"/>
  <c r="AO13" i="14"/>
  <c r="AO11" i="14"/>
  <c r="AO8" i="14"/>
  <c r="AO5" i="14"/>
  <c r="AO10" i="14"/>
  <c r="AO12" i="14"/>
  <c r="AO7" i="14"/>
  <c r="AO9" i="14"/>
  <c r="GB24" i="2"/>
  <c r="GA60" i="2"/>
  <c r="F60" i="26"/>
  <c r="K60" i="26" s="1"/>
  <c r="M60" i="26" s="1"/>
  <c r="F60" i="37"/>
  <c r="K60" i="37" s="1"/>
  <c r="FY36" i="2"/>
  <c r="GD36" i="2"/>
  <c r="GC12" i="2"/>
  <c r="FR24" i="2"/>
  <c r="FY24" i="2"/>
  <c r="FV96" i="2"/>
  <c r="FV84" i="2"/>
  <c r="AT11" i="14"/>
  <c r="AT5" i="14"/>
  <c r="AT6" i="14"/>
  <c r="AT12" i="14"/>
  <c r="AT8" i="14"/>
  <c r="AT7" i="14"/>
  <c r="AT10" i="14"/>
  <c r="AT9" i="14"/>
  <c r="FY60" i="2"/>
  <c r="FP48" i="2"/>
  <c r="FT60" i="2"/>
  <c r="GC60" i="2"/>
  <c r="GC108" i="2"/>
  <c r="BR11" i="14"/>
  <c r="BR10" i="14"/>
  <c r="BR8" i="14"/>
  <c r="BR9" i="14"/>
  <c r="BR6" i="14"/>
  <c r="BR5" i="14"/>
  <c r="BR7" i="14"/>
  <c r="BR12" i="14"/>
  <c r="GA72" i="2"/>
  <c r="F72" i="37"/>
  <c r="K72" i="37" s="1"/>
  <c r="F72" i="26"/>
  <c r="K72" i="26" s="1"/>
  <c r="FU60" i="2"/>
  <c r="FU108" i="2"/>
  <c r="AG5" i="14"/>
  <c r="AG12" i="14"/>
  <c r="AG6" i="14"/>
  <c r="AG11" i="14"/>
  <c r="AG10" i="14"/>
  <c r="AG8" i="14"/>
  <c r="AG13" i="14"/>
  <c r="AG9" i="14"/>
  <c r="AG7" i="14"/>
  <c r="GC48" i="2"/>
  <c r="GD84" i="2"/>
  <c r="GB72" i="2"/>
  <c r="FS48" i="2"/>
  <c r="FZ36" i="2"/>
  <c r="FX48" i="2"/>
  <c r="BH13" i="40"/>
  <c r="BO14" i="40"/>
  <c r="T13" i="40"/>
  <c r="U12" i="40"/>
  <c r="L32" i="40"/>
  <c r="L31" i="40"/>
  <c r="L14" i="40"/>
  <c r="Q17" i="39"/>
  <c r="G16" i="39"/>
  <c r="Z28" i="5"/>
  <c r="AK18" i="39"/>
  <c r="Z54" i="5"/>
  <c r="AB28" i="5"/>
  <c r="BG18" i="39"/>
  <c r="AB54" i="5"/>
  <c r="X28" i="5"/>
  <c r="Y28" i="5"/>
  <c r="AA18" i="39"/>
  <c r="Y54" i="5"/>
  <c r="W27" i="5"/>
  <c r="W53" i="5"/>
  <c r="G17" i="39"/>
  <c r="AA28" i="5"/>
  <c r="AV18" i="39"/>
  <c r="AA54" i="5"/>
  <c r="K7" i="73" l="1"/>
  <c r="L8" i="73"/>
  <c r="L7" i="73"/>
  <c r="AR7" i="7"/>
  <c r="AR25" i="7" s="1"/>
  <c r="AQ25" i="7"/>
  <c r="AQ9" i="7"/>
  <c r="AP27" i="7"/>
  <c r="E99" i="73"/>
  <c r="E99" i="41"/>
  <c r="G99" i="41"/>
  <c r="G99" i="73"/>
  <c r="K99" i="41"/>
  <c r="K99" i="73"/>
  <c r="F99" i="73"/>
  <c r="F99" i="41"/>
  <c r="H99" i="73"/>
  <c r="H99" i="41"/>
  <c r="I99" i="41"/>
  <c r="I99" i="73"/>
  <c r="D99" i="73"/>
  <c r="D99" i="41"/>
  <c r="J99" i="41"/>
  <c r="J99" i="73"/>
  <c r="C99" i="73"/>
  <c r="C99" i="41"/>
  <c r="J111" i="41"/>
  <c r="J111" i="73"/>
  <c r="E111" i="73"/>
  <c r="E111" i="41"/>
  <c r="C111" i="41"/>
  <c r="C111" i="73"/>
  <c r="D111" i="41"/>
  <c r="D111" i="73"/>
  <c r="G111" i="41"/>
  <c r="G111" i="73"/>
  <c r="F111" i="41"/>
  <c r="F111" i="73"/>
  <c r="H111" i="41"/>
  <c r="H111" i="73"/>
  <c r="I111" i="41"/>
  <c r="I111" i="73"/>
  <c r="G106" i="41"/>
  <c r="G106" i="73"/>
  <c r="H106" i="41"/>
  <c r="H106" i="73"/>
  <c r="E106" i="41"/>
  <c r="E106" i="73"/>
  <c r="F106" i="41"/>
  <c r="F106" i="73"/>
  <c r="J106" i="73"/>
  <c r="J106" i="41"/>
  <c r="D106" i="41"/>
  <c r="D106" i="73"/>
  <c r="C106" i="41"/>
  <c r="C70" i="44" s="1"/>
  <c r="C106" i="73"/>
  <c r="I106" i="41"/>
  <c r="I106" i="73"/>
  <c r="G101" i="41"/>
  <c r="G101" i="73"/>
  <c r="E101" i="41"/>
  <c r="E101" i="73"/>
  <c r="J101" i="41"/>
  <c r="J101" i="73"/>
  <c r="H101" i="73"/>
  <c r="H101" i="41"/>
  <c r="C101" i="73"/>
  <c r="C101" i="41"/>
  <c r="F101" i="73"/>
  <c r="F101" i="41"/>
  <c r="I101" i="41"/>
  <c r="I101" i="73"/>
  <c r="K101" i="41"/>
  <c r="K101" i="73"/>
  <c r="D101" i="73"/>
  <c r="D101" i="41"/>
  <c r="J108" i="41"/>
  <c r="J108" i="73"/>
  <c r="D108" i="73"/>
  <c r="D108" i="41"/>
  <c r="C108" i="73"/>
  <c r="C108" i="41"/>
  <c r="C72" i="44" s="1"/>
  <c r="F108" i="73"/>
  <c r="F108" i="41"/>
  <c r="H108" i="73"/>
  <c r="H108" i="41"/>
  <c r="E108" i="73"/>
  <c r="E108" i="41"/>
  <c r="G108" i="41"/>
  <c r="G108" i="73"/>
  <c r="I108" i="41"/>
  <c r="I108" i="73"/>
  <c r="F93" i="41"/>
  <c r="F93" i="73"/>
  <c r="H93" i="41"/>
  <c r="H93" i="73"/>
  <c r="E93" i="41"/>
  <c r="E93" i="73"/>
  <c r="K93" i="73"/>
  <c r="K93" i="41"/>
  <c r="I93" i="41"/>
  <c r="I93" i="73"/>
  <c r="J93" i="73"/>
  <c r="J93" i="41"/>
  <c r="C93" i="73"/>
  <c r="C93" i="41"/>
  <c r="C19" i="44" s="1"/>
  <c r="D93" i="41"/>
  <c r="D93" i="73"/>
  <c r="G93" i="41"/>
  <c r="G93" i="73"/>
  <c r="C109" i="73"/>
  <c r="C109" i="41"/>
  <c r="C73" i="44" s="1"/>
  <c r="I109" i="41"/>
  <c r="I109" i="73"/>
  <c r="J109" i="41"/>
  <c r="J109" i="73"/>
  <c r="D109" i="73"/>
  <c r="D109" i="41"/>
  <c r="G109" i="73"/>
  <c r="G109" i="41"/>
  <c r="F109" i="41"/>
  <c r="F109" i="73"/>
  <c r="E109" i="73"/>
  <c r="E109" i="41"/>
  <c r="H109" i="41"/>
  <c r="H109" i="73"/>
  <c r="J94" i="41"/>
  <c r="J94" i="73"/>
  <c r="K94" i="41"/>
  <c r="K94" i="73"/>
  <c r="F94" i="73"/>
  <c r="F94" i="41"/>
  <c r="G94" i="73"/>
  <c r="G94" i="41"/>
  <c r="E94" i="73"/>
  <c r="E94" i="41"/>
  <c r="D94" i="73"/>
  <c r="D94" i="41"/>
  <c r="C94" i="41"/>
  <c r="C20" i="44" s="1"/>
  <c r="C135" i="44" s="1"/>
  <c r="C94" i="73"/>
  <c r="I94" i="73"/>
  <c r="I94" i="41"/>
  <c r="H94" i="41"/>
  <c r="H94" i="73"/>
  <c r="I110" i="73"/>
  <c r="I110" i="41"/>
  <c r="E110" i="41"/>
  <c r="E110" i="73"/>
  <c r="H110" i="41"/>
  <c r="H110" i="73"/>
  <c r="F110" i="41"/>
  <c r="F110" i="73"/>
  <c r="D110" i="41"/>
  <c r="D110" i="73"/>
  <c r="G110" i="41"/>
  <c r="G110" i="73"/>
  <c r="C110" i="73"/>
  <c r="C110" i="41"/>
  <c r="J110" i="73"/>
  <c r="J110" i="41"/>
  <c r="C112" i="41"/>
  <c r="C112" i="73"/>
  <c r="E112" i="41"/>
  <c r="E112" i="73"/>
  <c r="J112" i="73"/>
  <c r="J112" i="41"/>
  <c r="D112" i="41"/>
  <c r="D112" i="73"/>
  <c r="F112" i="73"/>
  <c r="F112" i="41"/>
  <c r="H112" i="73"/>
  <c r="H112" i="41"/>
  <c r="I112" i="73"/>
  <c r="I112" i="41"/>
  <c r="G112" i="73"/>
  <c r="G112" i="41"/>
  <c r="E107" i="73"/>
  <c r="E107" i="41"/>
  <c r="G107" i="73"/>
  <c r="G107" i="41"/>
  <c r="F107" i="73"/>
  <c r="F107" i="41"/>
  <c r="C107" i="73"/>
  <c r="C107" i="41"/>
  <c r="C71" i="44" s="1"/>
  <c r="H107" i="41"/>
  <c r="H107" i="73"/>
  <c r="I107" i="73"/>
  <c r="I107" i="41"/>
  <c r="D107" i="73"/>
  <c r="D107" i="41"/>
  <c r="D71" i="44" s="1"/>
  <c r="J107" i="41"/>
  <c r="J107" i="73"/>
  <c r="I95" i="73"/>
  <c r="I95" i="41"/>
  <c r="E95" i="73"/>
  <c r="E95" i="41"/>
  <c r="J95" i="73"/>
  <c r="J95" i="41"/>
  <c r="G95" i="73"/>
  <c r="G95" i="41"/>
  <c r="F95" i="73"/>
  <c r="F95" i="41"/>
  <c r="K95" i="41"/>
  <c r="K95" i="73"/>
  <c r="D95" i="73"/>
  <c r="D95" i="41"/>
  <c r="C95" i="41"/>
  <c r="C21" i="44" s="1"/>
  <c r="C95" i="73"/>
  <c r="H95" i="73"/>
  <c r="H95" i="41"/>
  <c r="G98" i="41"/>
  <c r="G98" i="73"/>
  <c r="H98" i="41"/>
  <c r="H98" i="73"/>
  <c r="E98" i="73"/>
  <c r="E98" i="41"/>
  <c r="C98" i="73"/>
  <c r="C98" i="41"/>
  <c r="C24" i="44" s="1"/>
  <c r="C139" i="44" s="1"/>
  <c r="D98" i="41"/>
  <c r="D24" i="44" s="1"/>
  <c r="D139" i="44" s="1"/>
  <c r="D98" i="73"/>
  <c r="J98" i="41"/>
  <c r="J98" i="73"/>
  <c r="K98" i="41"/>
  <c r="K98" i="73"/>
  <c r="I98" i="41"/>
  <c r="I98" i="73"/>
  <c r="F98" i="41"/>
  <c r="F98" i="73"/>
  <c r="K100" i="73"/>
  <c r="K100" i="41"/>
  <c r="I100" i="41"/>
  <c r="I100" i="73"/>
  <c r="E100" i="41"/>
  <c r="E100" i="73"/>
  <c r="C100" i="73"/>
  <c r="C100" i="41"/>
  <c r="F100" i="41"/>
  <c r="F100" i="73"/>
  <c r="G100" i="41"/>
  <c r="G100" i="73"/>
  <c r="D100" i="41"/>
  <c r="D100" i="73"/>
  <c r="J100" i="41"/>
  <c r="J100" i="73"/>
  <c r="H100" i="41"/>
  <c r="H100" i="73"/>
  <c r="J96" i="41"/>
  <c r="J96" i="73"/>
  <c r="K96" i="41"/>
  <c r="K96" i="73"/>
  <c r="C96" i="73"/>
  <c r="C96" i="41"/>
  <c r="C22" i="44" s="1"/>
  <c r="I96" i="41"/>
  <c r="I96" i="73"/>
  <c r="E96" i="73"/>
  <c r="E96" i="41"/>
  <c r="D96" i="73"/>
  <c r="D96" i="41"/>
  <c r="G96" i="73"/>
  <c r="G96" i="41"/>
  <c r="H96" i="41"/>
  <c r="H96" i="73"/>
  <c r="F96" i="41"/>
  <c r="F96" i="73"/>
  <c r="D97" i="73"/>
  <c r="D97" i="41"/>
  <c r="K97" i="41"/>
  <c r="K97" i="73"/>
  <c r="E97" i="73"/>
  <c r="E97" i="41"/>
  <c r="C97" i="73"/>
  <c r="C97" i="41"/>
  <c r="C23" i="44" s="1"/>
  <c r="J97" i="73"/>
  <c r="J97" i="41"/>
  <c r="H97" i="73"/>
  <c r="H97" i="41"/>
  <c r="I97" i="41"/>
  <c r="I97" i="73"/>
  <c r="G97" i="73"/>
  <c r="G97" i="41"/>
  <c r="F97" i="73"/>
  <c r="F97" i="41"/>
  <c r="L109" i="41"/>
  <c r="L109" i="73"/>
  <c r="K109" i="41"/>
  <c r="K109" i="73"/>
  <c r="L112" i="41"/>
  <c r="L112" i="73"/>
  <c r="K112" i="73"/>
  <c r="K112" i="41"/>
  <c r="L94" i="41"/>
  <c r="L94" i="73"/>
  <c r="K111" i="41"/>
  <c r="K111" i="73"/>
  <c r="K110" i="73"/>
  <c r="K110" i="41"/>
  <c r="K107" i="41"/>
  <c r="K107" i="73"/>
  <c r="K108" i="41"/>
  <c r="K108" i="73"/>
  <c r="K106" i="73"/>
  <c r="K106" i="41"/>
  <c r="L93" i="73"/>
  <c r="L93" i="41"/>
  <c r="L99" i="41"/>
  <c r="L99" i="73"/>
  <c r="N98" i="41"/>
  <c r="N98" i="73"/>
  <c r="M98" i="41"/>
  <c r="M98" i="73"/>
  <c r="T132" i="29"/>
  <c r="FD96" i="3"/>
  <c r="BS14" i="14"/>
  <c r="FD120" i="3"/>
  <c r="FD132" i="3"/>
  <c r="FD24" i="3"/>
  <c r="BO13" i="14"/>
  <c r="FD84" i="3"/>
  <c r="FD72" i="3"/>
  <c r="FD48" i="3"/>
  <c r="FD36" i="3"/>
  <c r="BS13" i="14"/>
  <c r="FD60" i="3"/>
  <c r="AY14" i="14"/>
  <c r="AU13" i="14"/>
  <c r="V53" i="11"/>
  <c r="W54" i="11" s="1"/>
  <c r="W57" i="11" s="1"/>
  <c r="W59" i="11" s="1"/>
  <c r="W61" i="11" s="1"/>
  <c r="W78" i="11" s="1"/>
  <c r="W80" i="11" s="1"/>
  <c r="T20" i="11"/>
  <c r="R53" i="11"/>
  <c r="K47" i="12"/>
  <c r="DK22" i="39" s="1"/>
  <c r="R42" i="11"/>
  <c r="R46" i="11" s="1"/>
  <c r="R48" i="11" s="1"/>
  <c r="R50" i="11" s="1"/>
  <c r="R74" i="11" s="1"/>
  <c r="S75" i="11" s="1"/>
  <c r="R20" i="11"/>
  <c r="R24" i="11" s="1"/>
  <c r="R26" i="11" s="1"/>
  <c r="R28" i="11" s="1"/>
  <c r="R66" i="11" s="1"/>
  <c r="S67" i="11" s="1"/>
  <c r="AU14" i="14"/>
  <c r="S20" i="11"/>
  <c r="AY6" i="14"/>
  <c r="S42" i="11"/>
  <c r="S53" i="11"/>
  <c r="T42" i="11"/>
  <c r="T53" i="11"/>
  <c r="AY13" i="14"/>
  <c r="L39" i="8"/>
  <c r="N39" i="8" s="1"/>
  <c r="V14" i="14"/>
  <c r="C53" i="11"/>
  <c r="D53" i="11"/>
  <c r="AB15" i="14"/>
  <c r="AA47" i="14" s="1"/>
  <c r="AA48" i="14" s="1"/>
  <c r="AA49" i="14" s="1"/>
  <c r="AA50" i="14" s="1"/>
  <c r="AA51" i="14" s="1"/>
  <c r="AA52" i="14" s="1"/>
  <c r="AA53" i="14" s="1"/>
  <c r="AA54" i="14" s="1"/>
  <c r="AA55" i="14" s="1"/>
  <c r="AA56" i="14" s="1"/>
  <c r="AA57" i="14" s="1"/>
  <c r="AA58" i="14" s="1"/>
  <c r="C42" i="11"/>
  <c r="C46" i="11" s="1"/>
  <c r="C48" i="11" s="1"/>
  <c r="C50" i="11" s="1"/>
  <c r="C74" i="11" s="1"/>
  <c r="D75" i="11" s="1"/>
  <c r="E42" i="11"/>
  <c r="AL14" i="14"/>
  <c r="AA17" i="14"/>
  <c r="AD17" i="14" s="1"/>
  <c r="L14" i="14"/>
  <c r="AH14" i="14"/>
  <c r="AB14" i="14"/>
  <c r="F53" i="11"/>
  <c r="D42" i="11"/>
  <c r="X16" i="14"/>
  <c r="X15" i="14"/>
  <c r="V15" i="14"/>
  <c r="U47" i="14" s="1"/>
  <c r="U48" i="14" s="1"/>
  <c r="AP14" i="14"/>
  <c r="E53" i="11"/>
  <c r="H14" i="14"/>
  <c r="AB80" i="51"/>
  <c r="AB81" i="51"/>
  <c r="D20" i="11"/>
  <c r="C20" i="11"/>
  <c r="C24" i="11" s="1"/>
  <c r="C26" i="11" s="1"/>
  <c r="C28" i="11" s="1"/>
  <c r="C66" i="11" s="1"/>
  <c r="D67" i="11" s="1"/>
  <c r="E31" i="11"/>
  <c r="C31" i="11"/>
  <c r="C35" i="11" s="1"/>
  <c r="C37" i="11" s="1"/>
  <c r="C39" i="11" s="1"/>
  <c r="C70" i="11" s="1"/>
  <c r="C72" i="11" s="1"/>
  <c r="C73" i="11" s="1"/>
  <c r="D31" i="11"/>
  <c r="EV72" i="3"/>
  <c r="EU36" i="3"/>
  <c r="FC37" i="3"/>
  <c r="FC36" i="3"/>
  <c r="EY48" i="3"/>
  <c r="FC20" i="3"/>
  <c r="EX36" i="3"/>
  <c r="EY84" i="3"/>
  <c r="EY72" i="3"/>
  <c r="EW84" i="3"/>
  <c r="FC62" i="3"/>
  <c r="FC69" i="3"/>
  <c r="FC60" i="3"/>
  <c r="FB36" i="3"/>
  <c r="EZ72" i="3"/>
  <c r="EX24" i="3"/>
  <c r="EU48" i="3"/>
  <c r="EX84" i="3"/>
  <c r="EW48" i="3"/>
  <c r="FC46" i="3"/>
  <c r="FC70" i="3"/>
  <c r="FC85" i="3"/>
  <c r="FC15" i="3"/>
  <c r="FC64" i="3"/>
  <c r="FC81" i="3"/>
  <c r="FC77" i="3"/>
  <c r="FC49" i="3"/>
  <c r="FC51" i="3"/>
  <c r="FC44" i="3"/>
  <c r="FC34" i="3"/>
  <c r="EZ84" i="3"/>
  <c r="EV60" i="3"/>
  <c r="EZ48" i="3"/>
  <c r="EY24" i="3"/>
  <c r="FA36" i="3"/>
  <c r="FA60" i="3"/>
  <c r="FB72" i="3"/>
  <c r="FB48" i="3"/>
  <c r="EZ36" i="3"/>
  <c r="FC17" i="3"/>
  <c r="FC32" i="3"/>
  <c r="FC55" i="3"/>
  <c r="FC48" i="3"/>
  <c r="FC72" i="3"/>
  <c r="EX60" i="3"/>
  <c r="FC84" i="3"/>
  <c r="FC26" i="3"/>
  <c r="FC66" i="3"/>
  <c r="FC67" i="3"/>
  <c r="FC80" i="3"/>
  <c r="FC38" i="3"/>
  <c r="FC43" i="3"/>
  <c r="FC63" i="3"/>
  <c r="FC24" i="3"/>
  <c r="FC41" i="3"/>
  <c r="FA72" i="3"/>
  <c r="EX48" i="3"/>
  <c r="FC25" i="3"/>
  <c r="FC22" i="3"/>
  <c r="FC31" i="3"/>
  <c r="FA24" i="3"/>
  <c r="EW60" i="3"/>
  <c r="FC73" i="3"/>
  <c r="FC75" i="3"/>
  <c r="FA48" i="3"/>
  <c r="FB84" i="3"/>
  <c r="FB60" i="3"/>
  <c r="FC16" i="3"/>
  <c r="FC30" i="3"/>
  <c r="FC47" i="3"/>
  <c r="EX72" i="3"/>
  <c r="EY60" i="3"/>
  <c r="FC65" i="3"/>
  <c r="EV24" i="3"/>
  <c r="EV84" i="3"/>
  <c r="EV36" i="3"/>
  <c r="EZ24" i="3"/>
  <c r="FC21" i="3"/>
  <c r="FC33" i="3"/>
  <c r="FC57" i="3"/>
  <c r="FC14" i="3"/>
  <c r="EW36" i="3"/>
  <c r="EZ60" i="3"/>
  <c r="EW72" i="3"/>
  <c r="EU24" i="3"/>
  <c r="FC68" i="3"/>
  <c r="FC19" i="3"/>
  <c r="FC58" i="3"/>
  <c r="FB24" i="3"/>
  <c r="EU60" i="3"/>
  <c r="EY36" i="3"/>
  <c r="FC79" i="3"/>
  <c r="FC59" i="3"/>
  <c r="EW24" i="3"/>
  <c r="FA84" i="3"/>
  <c r="FC18" i="3"/>
  <c r="FC82" i="3"/>
  <c r="FC76" i="3"/>
  <c r="FC78" i="3"/>
  <c r="FC42" i="3"/>
  <c r="FC56" i="3"/>
  <c r="FC23" i="3"/>
  <c r="FC83" i="3"/>
  <c r="R20" i="40"/>
  <c r="M8" i="41"/>
  <c r="J19" i="40"/>
  <c r="J20" i="40"/>
  <c r="F47" i="12"/>
  <c r="H47" i="12"/>
  <c r="DK19" i="39" s="1"/>
  <c r="I47" i="12"/>
  <c r="DK20" i="39" s="1"/>
  <c r="J47" i="12"/>
  <c r="DK21" i="39" s="1"/>
  <c r="E47" i="12"/>
  <c r="DK16" i="39" s="1"/>
  <c r="G47" i="12"/>
  <c r="DK18" i="39" s="1"/>
  <c r="N151" i="10"/>
  <c r="BB21" i="40" s="1"/>
  <c r="L142" i="10"/>
  <c r="M146" i="10"/>
  <c r="M150" i="10" s="1"/>
  <c r="K143" i="10"/>
  <c r="L147" i="10"/>
  <c r="M142" i="51"/>
  <c r="N146" i="51"/>
  <c r="AN11" i="27"/>
  <c r="M38" i="60"/>
  <c r="C38" i="60"/>
  <c r="M48" i="26"/>
  <c r="O48" i="26" s="1"/>
  <c r="M24" i="26"/>
  <c r="O24" i="26" s="1"/>
  <c r="M60" i="37"/>
  <c r="O60" i="37" s="1"/>
  <c r="M36" i="26"/>
  <c r="O36" i="26" s="1"/>
  <c r="M24" i="37"/>
  <c r="O24" i="37" s="1"/>
  <c r="M36" i="37"/>
  <c r="O36" i="37" s="1"/>
  <c r="M72" i="26"/>
  <c r="O72" i="26" s="1"/>
  <c r="M120" i="26"/>
  <c r="O120" i="26" s="1"/>
  <c r="BO14" i="27" s="1"/>
  <c r="M72" i="37"/>
  <c r="O72" i="37" s="1"/>
  <c r="M120" i="37"/>
  <c r="O120" i="37" s="1"/>
  <c r="M84" i="26"/>
  <c r="O84" i="26" s="1"/>
  <c r="BO11" i="27" s="1"/>
  <c r="M84" i="37"/>
  <c r="O84" i="37" s="1"/>
  <c r="M48" i="37"/>
  <c r="O48" i="37" s="1"/>
  <c r="M12" i="37"/>
  <c r="O12" i="37" s="1"/>
  <c r="M108" i="26"/>
  <c r="O108" i="26" s="1"/>
  <c r="BO13" i="27" s="1"/>
  <c r="H45" i="14"/>
  <c r="H46" i="14"/>
  <c r="I14" i="27"/>
  <c r="O12" i="26"/>
  <c r="P12" i="26" s="1"/>
  <c r="Q12" i="26" s="1"/>
  <c r="BO12" i="27"/>
  <c r="O60" i="26"/>
  <c r="P60" i="26" s="1"/>
  <c r="Q60" i="26" s="1"/>
  <c r="U17" i="14"/>
  <c r="AB83" i="10"/>
  <c r="AB85" i="10" s="1"/>
  <c r="H6" i="14"/>
  <c r="T10" i="25"/>
  <c r="U10" i="25" s="1"/>
  <c r="P44" i="26"/>
  <c r="Q44" i="26" s="1"/>
  <c r="P57" i="26"/>
  <c r="Q57" i="26" s="1"/>
  <c r="P28" i="26"/>
  <c r="Q28" i="26" s="1"/>
  <c r="P58" i="26"/>
  <c r="Q58" i="26" s="1"/>
  <c r="T32" i="25"/>
  <c r="U32" i="25" s="1"/>
  <c r="T26" i="25"/>
  <c r="T47" i="25"/>
  <c r="U47" i="25" s="1"/>
  <c r="P70" i="26"/>
  <c r="Q70" i="26" s="1"/>
  <c r="P66" i="26"/>
  <c r="Q66" i="26" s="1"/>
  <c r="P54" i="26"/>
  <c r="Q54" i="26" s="1"/>
  <c r="T5" i="25"/>
  <c r="U5" i="25" s="1"/>
  <c r="P46" i="26"/>
  <c r="Q46" i="26" s="1"/>
  <c r="T7" i="25"/>
  <c r="U7" i="25" s="1"/>
  <c r="T25" i="25"/>
  <c r="U25" i="25" s="1"/>
  <c r="T44" i="25"/>
  <c r="U44" i="25" s="1"/>
  <c r="P27" i="26"/>
  <c r="Q27" i="26" s="1"/>
  <c r="P63" i="26"/>
  <c r="Q63" i="26" s="1"/>
  <c r="P35" i="26"/>
  <c r="Q35" i="26" s="1"/>
  <c r="T9" i="25"/>
  <c r="U9" i="25" s="1"/>
  <c r="P42" i="26"/>
  <c r="Q42" i="26" s="1"/>
  <c r="P16" i="26"/>
  <c r="Q16" i="26" s="1"/>
  <c r="P69" i="26"/>
  <c r="Q69" i="26" s="1"/>
  <c r="P53" i="26"/>
  <c r="Q53" i="26" s="1"/>
  <c r="T6" i="25"/>
  <c r="U6" i="25" s="1"/>
  <c r="P41" i="26"/>
  <c r="Q41" i="26" s="1"/>
  <c r="P73" i="26"/>
  <c r="Q73" i="26" s="1"/>
  <c r="T35" i="25"/>
  <c r="U35" i="25" s="1"/>
  <c r="T20" i="25"/>
  <c r="U20" i="25" s="1"/>
  <c r="P65" i="26"/>
  <c r="Q65" i="26" s="1"/>
  <c r="P22" i="26"/>
  <c r="Q22" i="26" s="1"/>
  <c r="P15" i="26"/>
  <c r="Q15" i="26" s="1"/>
  <c r="T18" i="25"/>
  <c r="U18" i="25" s="1"/>
  <c r="T48" i="25"/>
  <c r="U48" i="25" s="1"/>
  <c r="T19" i="25"/>
  <c r="U19" i="25" s="1"/>
  <c r="P34" i="26"/>
  <c r="Q34" i="26" s="1"/>
  <c r="P52" i="26"/>
  <c r="Q52" i="26" s="1"/>
  <c r="P18" i="26"/>
  <c r="Q18" i="26" s="1"/>
  <c r="P47" i="26"/>
  <c r="Q47" i="26" s="1"/>
  <c r="P32" i="26"/>
  <c r="Q32" i="26" s="1"/>
  <c r="T46" i="25"/>
  <c r="U46" i="25" s="1"/>
  <c r="T36" i="25"/>
  <c r="U36" i="25" s="1"/>
  <c r="T24" i="25"/>
  <c r="U24" i="25" s="1"/>
  <c r="P17" i="26"/>
  <c r="Q17" i="26" s="1"/>
  <c r="T13" i="25"/>
  <c r="U13" i="25" s="1"/>
  <c r="T3" i="25"/>
  <c r="P68" i="26"/>
  <c r="Q68" i="26" s="1"/>
  <c r="T30" i="25"/>
  <c r="U30" i="25" s="1"/>
  <c r="T31" i="25"/>
  <c r="U31" i="25" s="1"/>
  <c r="P56" i="26"/>
  <c r="Q56" i="26" s="1"/>
  <c r="P29" i="26"/>
  <c r="Q29" i="26" s="1"/>
  <c r="T34" i="25"/>
  <c r="U34" i="25" s="1"/>
  <c r="T8" i="25"/>
  <c r="U8" i="25" s="1"/>
  <c r="P67" i="26"/>
  <c r="Q67" i="26" s="1"/>
  <c r="P49" i="26"/>
  <c r="Q49" i="26" s="1"/>
  <c r="P43" i="26"/>
  <c r="Q43" i="26" s="1"/>
  <c r="T21" i="25"/>
  <c r="U21" i="25" s="1"/>
  <c r="T37" i="25"/>
  <c r="U37" i="25" s="1"/>
  <c r="T43" i="25"/>
  <c r="U43" i="25" s="1"/>
  <c r="P25" i="26"/>
  <c r="Q25" i="26" s="1"/>
  <c r="P40" i="26"/>
  <c r="Q40" i="26" s="1"/>
  <c r="P19" i="26"/>
  <c r="Q19" i="26" s="1"/>
  <c r="T45" i="25"/>
  <c r="U45" i="25" s="1"/>
  <c r="P55" i="26"/>
  <c r="Q55" i="26" s="1"/>
  <c r="P23" i="26"/>
  <c r="Q23" i="26" s="1"/>
  <c r="T12" i="25"/>
  <c r="U12" i="25" s="1"/>
  <c r="T4" i="25"/>
  <c r="U4" i="25" s="1"/>
  <c r="T29" i="25"/>
  <c r="U29" i="25" s="1"/>
  <c r="P71" i="26"/>
  <c r="Q71" i="26" s="1"/>
  <c r="P39" i="26"/>
  <c r="Q39" i="26" s="1"/>
  <c r="P59" i="26"/>
  <c r="Q59" i="26" s="1"/>
  <c r="T22" i="25"/>
  <c r="U22" i="25" s="1"/>
  <c r="T39" i="25"/>
  <c r="P21" i="26"/>
  <c r="Q21" i="26" s="1"/>
  <c r="P20" i="26"/>
  <c r="Q20" i="26" s="1"/>
  <c r="T11" i="25"/>
  <c r="U11" i="25" s="1"/>
  <c r="P45" i="26"/>
  <c r="Q45" i="26" s="1"/>
  <c r="F110" i="2"/>
  <c r="R120" i="22"/>
  <c r="S120" i="22" s="1"/>
  <c r="AI41" i="7"/>
  <c r="R97" i="22"/>
  <c r="S97" i="22" s="1"/>
  <c r="R102" i="22"/>
  <c r="S102" i="22" s="1"/>
  <c r="R107" i="22"/>
  <c r="S107" i="22" s="1"/>
  <c r="R87" i="22"/>
  <c r="S87" i="22" s="1"/>
  <c r="R111" i="22"/>
  <c r="S111" i="22" s="1"/>
  <c r="R92" i="22"/>
  <c r="S92" i="22" s="1"/>
  <c r="R112" i="22"/>
  <c r="S112" i="22" s="1"/>
  <c r="R96" i="22"/>
  <c r="S96" i="22" s="1"/>
  <c r="R118" i="22"/>
  <c r="S118" i="22" s="1"/>
  <c r="R99" i="22"/>
  <c r="S99" i="22" s="1"/>
  <c r="R106" i="22"/>
  <c r="S106" i="22" s="1"/>
  <c r="R117" i="22"/>
  <c r="S117" i="22" s="1"/>
  <c r="R100" i="22"/>
  <c r="S100" i="22" s="1"/>
  <c r="R104" i="22"/>
  <c r="S104" i="22" s="1"/>
  <c r="R105" i="22"/>
  <c r="S105" i="22" s="1"/>
  <c r="R115" i="22"/>
  <c r="S115" i="22" s="1"/>
  <c r="R101" i="22"/>
  <c r="S101" i="22" s="1"/>
  <c r="R94" i="22"/>
  <c r="S94" i="22" s="1"/>
  <c r="R114" i="22"/>
  <c r="S114" i="22" s="1"/>
  <c r="R109" i="22"/>
  <c r="S109" i="22" s="1"/>
  <c r="R91" i="22"/>
  <c r="S91" i="22" s="1"/>
  <c r="R95" i="22"/>
  <c r="S95" i="22" s="1"/>
  <c r="R93" i="22"/>
  <c r="S93" i="22" s="1"/>
  <c r="R90" i="22"/>
  <c r="S90" i="22" s="1"/>
  <c r="R88" i="22"/>
  <c r="S88" i="22" s="1"/>
  <c r="R89" i="22"/>
  <c r="S89" i="22" s="1"/>
  <c r="R121" i="22"/>
  <c r="S121" i="22" s="1"/>
  <c r="R119" i="22"/>
  <c r="S119" i="22" s="1"/>
  <c r="N114" i="21"/>
  <c r="O114" i="21" s="1"/>
  <c r="N95" i="21"/>
  <c r="N96" i="21"/>
  <c r="N118" i="21"/>
  <c r="O118" i="21" s="1"/>
  <c r="N106" i="21"/>
  <c r="O106" i="21" s="1"/>
  <c r="N97" i="21"/>
  <c r="N108" i="21"/>
  <c r="O108" i="21" s="1"/>
  <c r="N90" i="21"/>
  <c r="N101" i="21"/>
  <c r="O101" i="21" s="1"/>
  <c r="N100" i="21"/>
  <c r="O100" i="21" s="1"/>
  <c r="N109" i="21"/>
  <c r="O109" i="21" s="1"/>
  <c r="N116" i="21"/>
  <c r="O116" i="21" s="1"/>
  <c r="N104" i="21"/>
  <c r="O104" i="21" s="1"/>
  <c r="N99" i="21"/>
  <c r="O99" i="21" s="1"/>
  <c r="N112" i="21"/>
  <c r="O112" i="21" s="1"/>
  <c r="N86" i="21"/>
  <c r="N107" i="21"/>
  <c r="O107" i="21" s="1"/>
  <c r="N87" i="21"/>
  <c r="N88" i="21"/>
  <c r="N105" i="21"/>
  <c r="O105" i="21" s="1"/>
  <c r="N121" i="21"/>
  <c r="O121" i="21" s="1"/>
  <c r="N102" i="21"/>
  <c r="O102" i="21" s="1"/>
  <c r="N94" i="21"/>
  <c r="N98" i="21"/>
  <c r="O98" i="21" s="1"/>
  <c r="N92" i="21"/>
  <c r="N91" i="21"/>
  <c r="N115" i="21"/>
  <c r="O115" i="21" s="1"/>
  <c r="N120" i="21"/>
  <c r="O120" i="21" s="1"/>
  <c r="N89" i="21"/>
  <c r="N93" i="21"/>
  <c r="N113" i="21"/>
  <c r="O113" i="21" s="1"/>
  <c r="C41" i="8"/>
  <c r="E41" i="8" s="1"/>
  <c r="AB41" i="8" s="1"/>
  <c r="L32" i="73" s="1"/>
  <c r="M170" i="5"/>
  <c r="M172" i="5" s="1"/>
  <c r="AK36" i="7"/>
  <c r="AH39" i="7"/>
  <c r="O38" i="8"/>
  <c r="Q38" i="8" s="1"/>
  <c r="AJ38" i="7"/>
  <c r="AN41" i="7"/>
  <c r="C40" i="8"/>
  <c r="E40" i="8" s="1"/>
  <c r="L38" i="8"/>
  <c r="N38" i="8" s="1"/>
  <c r="F38" i="8"/>
  <c r="H38" i="8" s="1"/>
  <c r="F118" i="2"/>
  <c r="F113" i="2"/>
  <c r="F120" i="2"/>
  <c r="F112" i="2"/>
  <c r="F117" i="2"/>
  <c r="F115" i="2"/>
  <c r="F114" i="2"/>
  <c r="F119" i="2"/>
  <c r="F111" i="2"/>
  <c r="F116" i="2"/>
  <c r="F121" i="2"/>
  <c r="AL39" i="7"/>
  <c r="P14" i="14"/>
  <c r="G53" i="11"/>
  <c r="BC13" i="14"/>
  <c r="U53" i="11"/>
  <c r="D14" i="14"/>
  <c r="O40" i="8"/>
  <c r="Q40" i="8" s="1"/>
  <c r="AO39" i="7"/>
  <c r="AM41" i="7"/>
  <c r="M180" i="5"/>
  <c r="M181" i="5"/>
  <c r="J84" i="7"/>
  <c r="AG81" i="7" s="1"/>
  <c r="M182" i="5"/>
  <c r="M179" i="5"/>
  <c r="M191" i="5"/>
  <c r="O39" i="8"/>
  <c r="Q39" i="8" s="1"/>
  <c r="D15" i="39"/>
  <c r="G15" i="39" s="1"/>
  <c r="M189" i="5"/>
  <c r="M188" i="5"/>
  <c r="M187" i="5"/>
  <c r="BS6" i="14"/>
  <c r="M130" i="5"/>
  <c r="AG11" i="5"/>
  <c r="N137" i="5"/>
  <c r="AH11" i="5"/>
  <c r="N130" i="5"/>
  <c r="N133" i="5"/>
  <c r="N129" i="5"/>
  <c r="AH12" i="5" s="1"/>
  <c r="N136" i="5"/>
  <c r="N132" i="5"/>
  <c r="N138" i="5"/>
  <c r="M131" i="5"/>
  <c r="N131" i="5"/>
  <c r="N134" i="5"/>
  <c r="M137" i="5"/>
  <c r="M133" i="5"/>
  <c r="M129" i="5"/>
  <c r="AG12" i="5" s="1"/>
  <c r="M136" i="5"/>
  <c r="M132" i="5"/>
  <c r="M138" i="5"/>
  <c r="N135" i="5"/>
  <c r="M134" i="5"/>
  <c r="M135" i="5"/>
  <c r="AM40" i="7"/>
  <c r="AJ41" i="7"/>
  <c r="AI39" i="7"/>
  <c r="AO41" i="7"/>
  <c r="AL38" i="7"/>
  <c r="AM80" i="7"/>
  <c r="O191" i="5"/>
  <c r="O41" i="8"/>
  <c r="Q41" i="8" s="1"/>
  <c r="AM39" i="7"/>
  <c r="N192" i="5"/>
  <c r="N193" i="5"/>
  <c r="N194" i="5"/>
  <c r="AI40" i="7"/>
  <c r="J85" i="7"/>
  <c r="AL40" i="7"/>
  <c r="AO38" i="7"/>
  <c r="AN40" i="7"/>
  <c r="AQ8" i="7"/>
  <c r="AQ26" i="7" s="1"/>
  <c r="AP18" i="7"/>
  <c r="AP46" i="7"/>
  <c r="L196" i="5" s="1"/>
  <c r="AP49" i="7"/>
  <c r="O196" i="5" s="1"/>
  <c r="AP47" i="7"/>
  <c r="M196" i="5" s="1"/>
  <c r="AP48" i="7"/>
  <c r="AM38" i="7"/>
  <c r="AJ39" i="7"/>
  <c r="AK38" i="7"/>
  <c r="N187" i="5"/>
  <c r="N186" i="5"/>
  <c r="N189" i="5"/>
  <c r="N188" i="5"/>
  <c r="O183" i="5"/>
  <c r="O181" i="5"/>
  <c r="O180" i="5"/>
  <c r="O182" i="5"/>
  <c r="O179" i="5"/>
  <c r="AO40" i="7"/>
  <c r="N183" i="5"/>
  <c r="N181" i="5"/>
  <c r="N180" i="5"/>
  <c r="N179" i="5"/>
  <c r="N182" i="5"/>
  <c r="AN38" i="7"/>
  <c r="AK39" i="7"/>
  <c r="AI38" i="7"/>
  <c r="AH40" i="7"/>
  <c r="AL41" i="7"/>
  <c r="AJ40" i="7"/>
  <c r="AK41" i="7"/>
  <c r="O189" i="5"/>
  <c r="O187" i="5"/>
  <c r="O186" i="5"/>
  <c r="O188" i="5"/>
  <c r="AK40" i="7"/>
  <c r="AH41" i="7"/>
  <c r="L186" i="5"/>
  <c r="L187" i="5"/>
  <c r="L188" i="5"/>
  <c r="L173" i="5"/>
  <c r="L176" i="5"/>
  <c r="L171" i="5"/>
  <c r="L172" i="5"/>
  <c r="L175" i="5"/>
  <c r="L174" i="5"/>
  <c r="N168" i="5"/>
  <c r="N164" i="5"/>
  <c r="N162" i="5"/>
  <c r="N163" i="5"/>
  <c r="N166" i="5"/>
  <c r="N167" i="5"/>
  <c r="N165" i="5"/>
  <c r="L165" i="5"/>
  <c r="L168" i="5"/>
  <c r="L162" i="5"/>
  <c r="L167" i="5"/>
  <c r="L166" i="5"/>
  <c r="L164" i="5"/>
  <c r="L163" i="5"/>
  <c r="O168" i="5"/>
  <c r="O163" i="5"/>
  <c r="O164" i="5"/>
  <c r="O167" i="5"/>
  <c r="O166" i="5"/>
  <c r="O165" i="5"/>
  <c r="O162" i="5"/>
  <c r="M149" i="5"/>
  <c r="M141" i="5"/>
  <c r="M144" i="5"/>
  <c r="M142" i="5"/>
  <c r="M146" i="5"/>
  <c r="M145" i="5"/>
  <c r="M147" i="5"/>
  <c r="M143" i="5"/>
  <c r="M148" i="5"/>
  <c r="N145" i="5"/>
  <c r="N141" i="5"/>
  <c r="N144" i="5"/>
  <c r="N147" i="5"/>
  <c r="N148" i="5"/>
  <c r="N149" i="5"/>
  <c r="N142" i="5"/>
  <c r="N143" i="5"/>
  <c r="N146" i="5"/>
  <c r="L142" i="5"/>
  <c r="L143" i="5"/>
  <c r="L149" i="5"/>
  <c r="L141" i="5"/>
  <c r="L147" i="5"/>
  <c r="L145" i="5"/>
  <c r="L146" i="5"/>
  <c r="L144" i="5"/>
  <c r="L148" i="5"/>
  <c r="O144" i="5"/>
  <c r="O147" i="5"/>
  <c r="O145" i="5"/>
  <c r="O148" i="5"/>
  <c r="O146" i="5"/>
  <c r="O141" i="5"/>
  <c r="O142" i="5"/>
  <c r="O143" i="5"/>
  <c r="O149" i="5"/>
  <c r="L130" i="5"/>
  <c r="L134" i="5"/>
  <c r="L138" i="5"/>
  <c r="L129" i="5"/>
  <c r="AF12" i="5" s="1"/>
  <c r="L133" i="5"/>
  <c r="L137" i="5"/>
  <c r="L131" i="5"/>
  <c r="L135" i="5"/>
  <c r="L132" i="5"/>
  <c r="L136" i="5"/>
  <c r="O131" i="5"/>
  <c r="O135" i="5"/>
  <c r="O130" i="5"/>
  <c r="O134" i="5"/>
  <c r="O138" i="5"/>
  <c r="O133" i="5"/>
  <c r="O137" i="5"/>
  <c r="O132" i="5"/>
  <c r="O136" i="5"/>
  <c r="O129" i="5"/>
  <c r="AI12" i="5" s="1"/>
  <c r="O170" i="5"/>
  <c r="AM79" i="7"/>
  <c r="AH36" i="7"/>
  <c r="AH38" i="7"/>
  <c r="AO51" i="7"/>
  <c r="L41" i="8"/>
  <c r="N41" i="8" s="1"/>
  <c r="AK51" i="7"/>
  <c r="BN7" i="27"/>
  <c r="C38" i="8"/>
  <c r="E38" i="8" s="1"/>
  <c r="AN51" i="7"/>
  <c r="K49" i="12"/>
  <c r="BN9" i="27"/>
  <c r="BF8" i="27"/>
  <c r="BH8" i="27" s="1"/>
  <c r="BF10" i="27"/>
  <c r="F40" i="8"/>
  <c r="H40" i="8" s="1"/>
  <c r="N170" i="5"/>
  <c r="BF9" i="27"/>
  <c r="BF6" i="27"/>
  <c r="BH6" i="27" s="1"/>
  <c r="U14" i="25"/>
  <c r="AM36" i="7"/>
  <c r="AN36" i="7"/>
  <c r="AO36" i="7"/>
  <c r="AI36" i="7"/>
  <c r="N151" i="5"/>
  <c r="L40" i="8"/>
  <c r="N40" i="8" s="1"/>
  <c r="AH51" i="7"/>
  <c r="R128" i="5" s="1"/>
  <c r="AP36" i="7"/>
  <c r="O151" i="5"/>
  <c r="L151" i="5"/>
  <c r="AJ51" i="7"/>
  <c r="BF7" i="27"/>
  <c r="BH7" i="27" s="1"/>
  <c r="I40" i="8"/>
  <c r="K40" i="8" s="1"/>
  <c r="M151" i="5"/>
  <c r="BF5" i="27"/>
  <c r="BH5" i="27" s="1"/>
  <c r="U2" i="25"/>
  <c r="C133" i="29"/>
  <c r="A134" i="29"/>
  <c r="B133" i="29"/>
  <c r="AL51" i="7"/>
  <c r="M161" i="5"/>
  <c r="C39" i="8"/>
  <c r="E39" i="8" s="1"/>
  <c r="AJ36" i="7"/>
  <c r="BN8" i="27"/>
  <c r="Q38" i="26"/>
  <c r="I41" i="8"/>
  <c r="K41" i="8" s="1"/>
  <c r="C95" i="7"/>
  <c r="BN6" i="27"/>
  <c r="Q14" i="26"/>
  <c r="AI51" i="7"/>
  <c r="L178" i="5"/>
  <c r="I38" i="8"/>
  <c r="AM51" i="7"/>
  <c r="BN10" i="27"/>
  <c r="Q62" i="26"/>
  <c r="AL36" i="7"/>
  <c r="I39" i="8"/>
  <c r="K39" i="8" s="1"/>
  <c r="BI14" i="14"/>
  <c r="BW14" i="14"/>
  <c r="BI13" i="14"/>
  <c r="BI13" i="40"/>
  <c r="BI45" i="14"/>
  <c r="BI46" i="14"/>
  <c r="AH45" i="14"/>
  <c r="AH46" i="14"/>
  <c r="BW13" i="14"/>
  <c r="D45" i="14"/>
  <c r="D46" i="14"/>
  <c r="BW45" i="14"/>
  <c r="BW46" i="14"/>
  <c r="BO14" i="39"/>
  <c r="BP14" i="39" s="1"/>
  <c r="BQ14" i="39" s="1"/>
  <c r="K9" i="73" s="1"/>
  <c r="EB14" i="39"/>
  <c r="EC14" i="39" s="1"/>
  <c r="ED14" i="39" s="1"/>
  <c r="K20" i="73" s="1"/>
  <c r="EI14" i="39"/>
  <c r="EJ14" i="39" s="1"/>
  <c r="EJ16" i="39" s="1"/>
  <c r="EP14" i="39"/>
  <c r="EQ14" i="39" s="1"/>
  <c r="ER14" i="39" s="1"/>
  <c r="K22" i="73" s="1"/>
  <c r="BV14" i="39"/>
  <c r="BW14" i="39" s="1"/>
  <c r="BX14" i="39" s="1"/>
  <c r="K10" i="73" s="1"/>
  <c r="CC14" i="39"/>
  <c r="CD14" i="39" s="1"/>
  <c r="CE14" i="39" s="1"/>
  <c r="K11" i="73" s="1"/>
  <c r="AA29" i="5"/>
  <c r="AV20" i="39" s="1"/>
  <c r="AB29" i="5"/>
  <c r="BG20" i="39" s="1"/>
  <c r="Y29" i="5"/>
  <c r="AA20" i="39" s="1"/>
  <c r="Z29" i="5"/>
  <c r="AK20" i="39" s="1"/>
  <c r="X29" i="5"/>
  <c r="O108" i="37"/>
  <c r="AD13" i="27"/>
  <c r="AF13" i="27" s="1"/>
  <c r="AD12" i="27"/>
  <c r="AL12" i="27"/>
  <c r="AN12" i="27" s="1"/>
  <c r="S86" i="22"/>
  <c r="S98" i="22"/>
  <c r="AL13" i="27"/>
  <c r="AN13" i="27" s="1"/>
  <c r="BH18" i="39"/>
  <c r="R23" i="40" s="1"/>
  <c r="M7" i="41"/>
  <c r="AW18" i="39"/>
  <c r="J23" i="40" s="1"/>
  <c r="BI7" i="14"/>
  <c r="L9" i="14"/>
  <c r="BV6" i="39"/>
  <c r="BW6" i="39" s="1"/>
  <c r="BX6" i="39" s="1"/>
  <c r="C10" i="73" s="1"/>
  <c r="AH12" i="14"/>
  <c r="BO13" i="39"/>
  <c r="BP13" i="39" s="1"/>
  <c r="BQ13" i="39" s="1"/>
  <c r="J9" i="73" s="1"/>
  <c r="BS8" i="14"/>
  <c r="EI9" i="39"/>
  <c r="EJ9" i="39" s="1"/>
  <c r="EK9" i="39" s="1"/>
  <c r="F21" i="73" s="1"/>
  <c r="AU10" i="14"/>
  <c r="D8" i="14"/>
  <c r="BI10" i="14"/>
  <c r="BO11" i="14"/>
  <c r="EB12" i="39"/>
  <c r="EC12" i="39" s="1"/>
  <c r="ED12" i="39" s="1"/>
  <c r="I20" i="73" s="1"/>
  <c r="BW6" i="14"/>
  <c r="EP7" i="39"/>
  <c r="EQ7" i="39" s="1"/>
  <c r="ER7" i="39" s="1"/>
  <c r="D22" i="73" s="1"/>
  <c r="AY10" i="14"/>
  <c r="L8" i="14"/>
  <c r="AL8" i="14"/>
  <c r="BV9" i="39"/>
  <c r="BW9" i="39" s="1"/>
  <c r="BX9" i="39" s="1"/>
  <c r="F10" i="73" s="1"/>
  <c r="V6" i="14"/>
  <c r="EI7" i="39"/>
  <c r="EJ7" i="39" s="1"/>
  <c r="EK7" i="39" s="1"/>
  <c r="D21" i="73" s="1"/>
  <c r="BC6" i="14"/>
  <c r="C155" i="44"/>
  <c r="BO6" i="39"/>
  <c r="BP6" i="39" s="1"/>
  <c r="BQ6" i="39" s="1"/>
  <c r="C9" i="73" s="1"/>
  <c r="AU7" i="14"/>
  <c r="AP9" i="14"/>
  <c r="CC10" i="39"/>
  <c r="CD10" i="39" s="1"/>
  <c r="CE10" i="39" s="1"/>
  <c r="G11" i="73" s="1"/>
  <c r="BC8" i="14"/>
  <c r="D10" i="14"/>
  <c r="BO7" i="14"/>
  <c r="EB8" i="39"/>
  <c r="EC8" i="39" s="1"/>
  <c r="ED8" i="39" s="1"/>
  <c r="E20" i="73" s="1"/>
  <c r="AY11" i="14"/>
  <c r="G42" i="11"/>
  <c r="L13" i="14"/>
  <c r="AB9" i="14"/>
  <c r="AL9" i="14"/>
  <c r="BV10" i="39"/>
  <c r="BW10" i="39" s="1"/>
  <c r="BX10" i="39" s="1"/>
  <c r="G10" i="73" s="1"/>
  <c r="V13" i="14"/>
  <c r="AH6" i="14"/>
  <c r="BO7" i="39"/>
  <c r="BP7" i="39" s="1"/>
  <c r="BQ7" i="39" s="1"/>
  <c r="D9" i="73" s="1"/>
  <c r="BW12" i="14"/>
  <c r="EP13" i="39"/>
  <c r="EQ13" i="39" s="1"/>
  <c r="ER13" i="39" s="1"/>
  <c r="J22" i="73" s="1"/>
  <c r="EI11" i="39"/>
  <c r="EJ11" i="39" s="1"/>
  <c r="EK11" i="39" s="1"/>
  <c r="H21" i="73" s="1"/>
  <c r="BS10" i="14"/>
  <c r="AU8" i="14"/>
  <c r="AP7" i="14"/>
  <c r="CC8" i="39"/>
  <c r="CD8" i="39" s="1"/>
  <c r="CE8" i="39" s="1"/>
  <c r="E11" i="73" s="1"/>
  <c r="BC10" i="14"/>
  <c r="D7" i="14"/>
  <c r="H12" i="14"/>
  <c r="F31" i="11"/>
  <c r="BO10" i="14"/>
  <c r="EB11" i="39"/>
  <c r="EC11" i="39" s="1"/>
  <c r="BW8" i="14"/>
  <c r="EP9" i="39"/>
  <c r="EQ9" i="39" s="1"/>
  <c r="ER9" i="39" s="1"/>
  <c r="F22" i="73" s="1"/>
  <c r="L6" i="14"/>
  <c r="AL6" i="14"/>
  <c r="BV7" i="39"/>
  <c r="BW7" i="39" s="1"/>
  <c r="BX7" i="39" s="1"/>
  <c r="D10" i="73" s="1"/>
  <c r="P12" i="14"/>
  <c r="V7" i="14"/>
  <c r="BV8" i="39"/>
  <c r="BW8" i="39" s="1"/>
  <c r="BX8" i="39" s="1"/>
  <c r="E10" i="73" s="1"/>
  <c r="AL7" i="14"/>
  <c r="BS11" i="14"/>
  <c r="EI12" i="39"/>
  <c r="U20" i="11"/>
  <c r="AU12" i="14"/>
  <c r="CC13" i="39"/>
  <c r="CD13" i="39" s="1"/>
  <c r="CE13" i="39" s="1"/>
  <c r="J11" i="73" s="1"/>
  <c r="AP12" i="14"/>
  <c r="BC7" i="14"/>
  <c r="D13" i="14"/>
  <c r="H13" i="14"/>
  <c r="G31" i="11"/>
  <c r="BO8" i="14"/>
  <c r="EB9" i="39"/>
  <c r="EC9" i="39" s="1"/>
  <c r="ED9" i="39" s="1"/>
  <c r="F20" i="73" s="1"/>
  <c r="BW10" i="14"/>
  <c r="EP11" i="39"/>
  <c r="EQ11" i="39" s="1"/>
  <c r="ER11" i="39" s="1"/>
  <c r="H22" i="73" s="1"/>
  <c r="AY12" i="14"/>
  <c r="U42" i="11"/>
  <c r="AB10" i="14"/>
  <c r="AL12" i="14"/>
  <c r="BV13" i="39"/>
  <c r="BW13" i="39" s="1"/>
  <c r="BX13" i="39" s="1"/>
  <c r="J10" i="73" s="1"/>
  <c r="P13" i="14"/>
  <c r="AY8" i="14"/>
  <c r="AU6" i="14"/>
  <c r="AP10" i="14"/>
  <c r="CC11" i="39"/>
  <c r="CD11" i="39" s="1"/>
  <c r="CE11" i="39" s="1"/>
  <c r="H11" i="73" s="1"/>
  <c r="BC9" i="14"/>
  <c r="E20" i="11"/>
  <c r="D11" i="14"/>
  <c r="H8" i="14"/>
  <c r="BO6" i="14"/>
  <c r="EB7" i="39"/>
  <c r="EC7" i="39" s="1"/>
  <c r="ED7" i="39" s="1"/>
  <c r="D20" i="73" s="1"/>
  <c r="BW11" i="14"/>
  <c r="EP12" i="39"/>
  <c r="EQ12" i="39" s="1"/>
  <c r="L10" i="14"/>
  <c r="AB7" i="14"/>
  <c r="BV11" i="39"/>
  <c r="BW11" i="39" s="1"/>
  <c r="BX11" i="39" s="1"/>
  <c r="H10" i="73" s="1"/>
  <c r="AL10" i="14"/>
  <c r="V12" i="14"/>
  <c r="F42" i="11"/>
  <c r="L12" i="14"/>
  <c r="BS9" i="14"/>
  <c r="EI10" i="39"/>
  <c r="EJ10" i="39" s="1"/>
  <c r="EK10" i="39" s="1"/>
  <c r="G21" i="73" s="1"/>
  <c r="CC6" i="39"/>
  <c r="CD6" i="39" s="1"/>
  <c r="CE6" i="39" s="1"/>
  <c r="C11" i="73" s="1"/>
  <c r="BC11" i="14"/>
  <c r="D12" i="14"/>
  <c r="H9" i="14"/>
  <c r="BO9" i="14"/>
  <c r="EB10" i="39"/>
  <c r="EC10" i="39" s="1"/>
  <c r="ED10" i="39" s="1"/>
  <c r="G20" i="73" s="1"/>
  <c r="BW9" i="14"/>
  <c r="EP10" i="39"/>
  <c r="EQ10" i="39" s="1"/>
  <c r="ER10" i="39" s="1"/>
  <c r="G22" i="73" s="1"/>
  <c r="P11" i="14"/>
  <c r="V10" i="14"/>
  <c r="AU11" i="14"/>
  <c r="AP8" i="14"/>
  <c r="CC9" i="39"/>
  <c r="CD9" i="39" s="1"/>
  <c r="CE9" i="39" s="1"/>
  <c r="F11" i="73" s="1"/>
  <c r="H7" i="14"/>
  <c r="EB6" i="39"/>
  <c r="EC6" i="39" s="1"/>
  <c r="ED6" i="39" s="1"/>
  <c r="C20" i="73" s="1"/>
  <c r="P7" i="14"/>
  <c r="V11" i="14"/>
  <c r="BI8" i="14"/>
  <c r="CC12" i="39"/>
  <c r="CD12" i="39" s="1"/>
  <c r="AP11" i="14"/>
  <c r="D6" i="14"/>
  <c r="EB13" i="39"/>
  <c r="EC13" i="39" s="1"/>
  <c r="BO12" i="14"/>
  <c r="AB12" i="14"/>
  <c r="P6" i="14"/>
  <c r="V9" i="14"/>
  <c r="AP13" i="14"/>
  <c r="D9" i="14"/>
  <c r="AB13" i="14"/>
  <c r="P9" i="14"/>
  <c r="V8" i="14"/>
  <c r="AH7" i="14"/>
  <c r="BO8" i="39"/>
  <c r="BP8" i="39" s="1"/>
  <c r="BQ8" i="39" s="1"/>
  <c r="E9" i="73" s="1"/>
  <c r="AP6" i="14"/>
  <c r="CC7" i="39"/>
  <c r="CD7" i="39" s="1"/>
  <c r="CE7" i="39" s="1"/>
  <c r="D11" i="73" s="1"/>
  <c r="H11" i="14"/>
  <c r="AB11" i="14"/>
  <c r="P10" i="14"/>
  <c r="AH9" i="14"/>
  <c r="BO10" i="39"/>
  <c r="BP10" i="39" s="1"/>
  <c r="BQ10" i="39" s="1"/>
  <c r="G9" i="73" s="1"/>
  <c r="BI11" i="14"/>
  <c r="H10" i="14"/>
  <c r="AB8" i="14"/>
  <c r="P8" i="14"/>
  <c r="BW7" i="14"/>
  <c r="EP8" i="39"/>
  <c r="EQ8" i="39" s="1"/>
  <c r="ER8" i="39" s="1"/>
  <c r="E22" i="73" s="1"/>
  <c r="AH13" i="14"/>
  <c r="BS12" i="14"/>
  <c r="EI13" i="39"/>
  <c r="EJ13" i="39" s="1"/>
  <c r="EK13" i="39" s="1"/>
  <c r="J21" i="73" s="1"/>
  <c r="BI12" i="14"/>
  <c r="V42" i="11"/>
  <c r="AH8" i="14"/>
  <c r="BO9" i="39"/>
  <c r="BP9" i="39" s="1"/>
  <c r="BQ9" i="39" s="1"/>
  <c r="F9" i="73" s="1"/>
  <c r="BS7" i="14"/>
  <c r="EI8" i="39"/>
  <c r="EJ8" i="39" s="1"/>
  <c r="EK8" i="39" s="1"/>
  <c r="E21" i="73" s="1"/>
  <c r="BI6" i="14"/>
  <c r="AY7" i="14"/>
  <c r="L11" i="14"/>
  <c r="AL13" i="14"/>
  <c r="BO12" i="39"/>
  <c r="BP12" i="39" s="1"/>
  <c r="AH11" i="14"/>
  <c r="AU9" i="14"/>
  <c r="AH10" i="14"/>
  <c r="BO11" i="39"/>
  <c r="BP11" i="39" s="1"/>
  <c r="BQ11" i="39" s="1"/>
  <c r="H9" i="73" s="1"/>
  <c r="EI6" i="39"/>
  <c r="EJ6" i="39" s="1"/>
  <c r="EK6" i="39" s="1"/>
  <c r="C21" i="73" s="1"/>
  <c r="BC12" i="14"/>
  <c r="BI9" i="14"/>
  <c r="EP6" i="39"/>
  <c r="EQ6" i="39" s="1"/>
  <c r="ER6" i="39" s="1"/>
  <c r="C22" i="73" s="1"/>
  <c r="AY9" i="14"/>
  <c r="L7" i="14"/>
  <c r="AL11" i="14"/>
  <c r="BV12" i="39"/>
  <c r="BW12" i="39" s="1"/>
  <c r="BX12" i="39" s="1"/>
  <c r="I10" i="73" s="1"/>
  <c r="BH31" i="40"/>
  <c r="BH32" i="40"/>
  <c r="BH14" i="40"/>
  <c r="BI15" i="40" s="1"/>
  <c r="U13" i="40"/>
  <c r="T32" i="40"/>
  <c r="T31" i="40"/>
  <c r="T14" i="40"/>
  <c r="U19" i="40" s="1"/>
  <c r="Q18" i="39"/>
  <c r="BG19" i="39"/>
  <c r="G18" i="39"/>
  <c r="W28" i="5"/>
  <c r="W54" i="5"/>
  <c r="AA19" i="39"/>
  <c r="AV19" i="39"/>
  <c r="X54" i="5"/>
  <c r="AK19" i="39"/>
  <c r="AA18" i="14" l="1"/>
  <c r="N150" i="10"/>
  <c r="AT21" i="40" s="1"/>
  <c r="AB86" i="51"/>
  <c r="AC85" i="51" s="1"/>
  <c r="G49" i="12"/>
  <c r="J49" i="12"/>
  <c r="H49" i="12"/>
  <c r="I49" i="12"/>
  <c r="AR9" i="7"/>
  <c r="AR27" i="7" s="1"/>
  <c r="AQ27" i="7"/>
  <c r="T21" i="11"/>
  <c r="T25" i="11" s="1"/>
  <c r="F102" i="73"/>
  <c r="D102" i="73"/>
  <c r="E102" i="73"/>
  <c r="L113" i="73"/>
  <c r="J102" i="73"/>
  <c r="D113" i="73"/>
  <c r="J113" i="73"/>
  <c r="F113" i="73"/>
  <c r="E113" i="73"/>
  <c r="H113" i="73"/>
  <c r="K113" i="73"/>
  <c r="G113" i="73"/>
  <c r="I113" i="73"/>
  <c r="C113" i="73"/>
  <c r="O98" i="41"/>
  <c r="O98" i="73"/>
  <c r="M97" i="73"/>
  <c r="M97" i="41"/>
  <c r="N97" i="73"/>
  <c r="N97" i="41"/>
  <c r="S43" i="11"/>
  <c r="S47" i="11" s="1"/>
  <c r="R57" i="11"/>
  <c r="R59" i="11" s="1"/>
  <c r="R61" i="11" s="1"/>
  <c r="R78" i="11" s="1"/>
  <c r="F54" i="11"/>
  <c r="F57" i="11" s="1"/>
  <c r="F59" i="11" s="1"/>
  <c r="F61" i="11" s="1"/>
  <c r="F78" i="11" s="1"/>
  <c r="F80" i="11" s="1"/>
  <c r="D43" i="11"/>
  <c r="D47" i="11" s="1"/>
  <c r="C76" i="11"/>
  <c r="C77" i="11" s="1"/>
  <c r="C105" i="11" s="1"/>
  <c r="T43" i="11"/>
  <c r="T47" i="11" s="1"/>
  <c r="T54" i="11"/>
  <c r="T57" i="11" s="1"/>
  <c r="T59" i="11" s="1"/>
  <c r="T61" i="11" s="1"/>
  <c r="T78" i="11" s="1"/>
  <c r="T80" i="11" s="1"/>
  <c r="S54" i="11"/>
  <c r="S57" i="11" s="1"/>
  <c r="S59" i="11" s="1"/>
  <c r="S61" i="11" s="1"/>
  <c r="S78" i="11" s="1"/>
  <c r="T79" i="11" s="1"/>
  <c r="R76" i="11"/>
  <c r="R77" i="11" s="1"/>
  <c r="R105" i="11" s="1"/>
  <c r="E43" i="11"/>
  <c r="E47" i="11" s="1"/>
  <c r="C57" i="11"/>
  <c r="C59" i="11" s="1"/>
  <c r="C61" i="11" s="1"/>
  <c r="C78" i="11" s="1"/>
  <c r="E32" i="11"/>
  <c r="E36" i="11" s="1"/>
  <c r="D71" i="11"/>
  <c r="D32" i="11"/>
  <c r="D36" i="11" s="1"/>
  <c r="R68" i="11"/>
  <c r="R69" i="11" s="1"/>
  <c r="R103" i="11" s="1"/>
  <c r="S21" i="11"/>
  <c r="S25" i="11" s="1"/>
  <c r="T133" i="29"/>
  <c r="F49" i="12"/>
  <c r="AL15" i="14"/>
  <c r="DK17" i="39"/>
  <c r="BO15" i="14"/>
  <c r="BW15" i="14"/>
  <c r="BW47" i="14" s="1"/>
  <c r="BV47" i="14" s="1"/>
  <c r="BI15" i="14"/>
  <c r="BH15" i="14" s="1"/>
  <c r="BS15" i="14"/>
  <c r="E49" i="12"/>
  <c r="AY15" i="14"/>
  <c r="BC15" i="14"/>
  <c r="BB15" i="14" s="1"/>
  <c r="BB47" i="14" s="1"/>
  <c r="BB48" i="14" s="1"/>
  <c r="BB49" i="14" s="1"/>
  <c r="BB50" i="14" s="1"/>
  <c r="BB51" i="14" s="1"/>
  <c r="BB52" i="14" s="1"/>
  <c r="BB53" i="14" s="1"/>
  <c r="BB54" i="14" s="1"/>
  <c r="BB55" i="14" s="1"/>
  <c r="BB56" i="14" s="1"/>
  <c r="BB57" i="14" s="1"/>
  <c r="BB58" i="14" s="1"/>
  <c r="AU15" i="14"/>
  <c r="ED11" i="39"/>
  <c r="H20" i="73" s="1"/>
  <c r="BH19" i="40"/>
  <c r="C68" i="11"/>
  <c r="C69" i="11" s="1"/>
  <c r="C103" i="11" s="1"/>
  <c r="H50" i="2" s="1"/>
  <c r="D54" i="11"/>
  <c r="D57" i="11" s="1"/>
  <c r="D59" i="11" s="1"/>
  <c r="D61" i="11" s="1"/>
  <c r="D78" i="11" s="1"/>
  <c r="E79" i="11" s="1"/>
  <c r="D21" i="11"/>
  <c r="D25" i="11" s="1"/>
  <c r="E54" i="11"/>
  <c r="E57" i="11" s="1"/>
  <c r="E59" i="11" s="1"/>
  <c r="E61" i="11" s="1"/>
  <c r="E78" i="11" s="1"/>
  <c r="F79" i="11" s="1"/>
  <c r="U49" i="14"/>
  <c r="V48" i="14"/>
  <c r="AH15" i="14"/>
  <c r="K102" i="73"/>
  <c r="X17" i="14"/>
  <c r="I102" i="73"/>
  <c r="AP15" i="14"/>
  <c r="AP47" i="14" s="1"/>
  <c r="AO47" i="14" s="1"/>
  <c r="G102" i="73"/>
  <c r="L15" i="14"/>
  <c r="L47" i="14" s="1"/>
  <c r="K47" i="14" s="1"/>
  <c r="P15" i="14"/>
  <c r="P47" i="14" s="1"/>
  <c r="O47" i="14" s="1"/>
  <c r="O48" i="14" s="1"/>
  <c r="O49" i="14" s="1"/>
  <c r="O50" i="14" s="1"/>
  <c r="O51" i="14" s="1"/>
  <c r="O52" i="14" s="1"/>
  <c r="O53" i="14" s="1"/>
  <c r="O54" i="14" s="1"/>
  <c r="O55" i="14" s="1"/>
  <c r="O56" i="14" s="1"/>
  <c r="O57" i="14" s="1"/>
  <c r="O58" i="14" s="1"/>
  <c r="H102" i="73"/>
  <c r="L102" i="73"/>
  <c r="C102" i="73"/>
  <c r="H15" i="14"/>
  <c r="T19" i="40"/>
  <c r="C173" i="44"/>
  <c r="D177" i="44"/>
  <c r="C177" i="44"/>
  <c r="EK14" i="39"/>
  <c r="K21" i="73" s="1"/>
  <c r="L142" i="51"/>
  <c r="M146" i="51"/>
  <c r="M150" i="51" s="1"/>
  <c r="J143" i="10"/>
  <c r="K147" i="10"/>
  <c r="K142" i="10"/>
  <c r="L146" i="10"/>
  <c r="AF12" i="27"/>
  <c r="D20" i="44"/>
  <c r="D135" i="44" s="1"/>
  <c r="H70" i="44"/>
  <c r="BO5" i="27"/>
  <c r="BO10" i="27"/>
  <c r="P72" i="26"/>
  <c r="Q72" i="26" s="1"/>
  <c r="BO7" i="27"/>
  <c r="BP7" i="27" s="1"/>
  <c r="P36" i="26"/>
  <c r="Q36" i="26" s="1"/>
  <c r="BO6" i="27"/>
  <c r="BP6" i="27" s="1"/>
  <c r="P24" i="26"/>
  <c r="Q24" i="26" s="1"/>
  <c r="P48" i="26"/>
  <c r="Q48" i="26" s="1"/>
  <c r="BO8" i="27"/>
  <c r="BP8" i="27" s="1"/>
  <c r="C38" i="44"/>
  <c r="K38" i="44"/>
  <c r="G38" i="44"/>
  <c r="I38" i="44"/>
  <c r="J38" i="44"/>
  <c r="H38" i="44"/>
  <c r="F38" i="44"/>
  <c r="E38" i="44"/>
  <c r="O93" i="21"/>
  <c r="O89" i="21"/>
  <c r="O91" i="21"/>
  <c r="O92" i="21"/>
  <c r="O90" i="21"/>
  <c r="O94" i="21"/>
  <c r="O97" i="21"/>
  <c r="O88" i="21"/>
  <c r="O96" i="21"/>
  <c r="O87" i="21"/>
  <c r="O95" i="21"/>
  <c r="O86" i="21"/>
  <c r="AC81" i="51"/>
  <c r="AC83" i="51"/>
  <c r="AC82" i="51"/>
  <c r="AC84" i="51"/>
  <c r="AC80" i="51"/>
  <c r="X79" i="11"/>
  <c r="U18" i="14"/>
  <c r="U3" i="25"/>
  <c r="U39" i="25"/>
  <c r="H17" i="14"/>
  <c r="H18" i="14"/>
  <c r="H19" i="14"/>
  <c r="H20" i="14"/>
  <c r="H21" i="14"/>
  <c r="H16" i="14"/>
  <c r="U26" i="25"/>
  <c r="BO9" i="27"/>
  <c r="BP9" i="27" s="1"/>
  <c r="AC81" i="10"/>
  <c r="AC80" i="10"/>
  <c r="AC82" i="10"/>
  <c r="AU20" i="14"/>
  <c r="AU21" i="14"/>
  <c r="AU16" i="14"/>
  <c r="AU17" i="14"/>
  <c r="AU18" i="14"/>
  <c r="AU19" i="14"/>
  <c r="AC83" i="10"/>
  <c r="D21" i="14"/>
  <c r="D16" i="14"/>
  <c r="D15" i="14"/>
  <c r="D17" i="14"/>
  <c r="D20" i="14"/>
  <c r="D18" i="14"/>
  <c r="D19" i="14"/>
  <c r="AA19" i="14"/>
  <c r="AD18" i="14"/>
  <c r="D110" i="17"/>
  <c r="AH48" i="5"/>
  <c r="BP81" i="2" s="1"/>
  <c r="AG48" i="5"/>
  <c r="BJ80" i="2" s="1"/>
  <c r="D112" i="17"/>
  <c r="D121" i="17"/>
  <c r="D120" i="17"/>
  <c r="D116" i="17"/>
  <c r="D113" i="17"/>
  <c r="D111" i="17"/>
  <c r="D118" i="17"/>
  <c r="D119" i="17"/>
  <c r="D114" i="17"/>
  <c r="D115" i="17"/>
  <c r="D117" i="17"/>
  <c r="AL14" i="27"/>
  <c r="AN14" i="27" s="1"/>
  <c r="AN17" i="27" s="1"/>
  <c r="R116" i="22"/>
  <c r="S116" i="22" s="1"/>
  <c r="R113" i="22"/>
  <c r="S113" i="22" s="1"/>
  <c r="N117" i="21"/>
  <c r="O117" i="21" s="1"/>
  <c r="N111" i="21"/>
  <c r="O111" i="21" s="1"/>
  <c r="N119" i="21"/>
  <c r="O119" i="21" s="1"/>
  <c r="M171" i="5"/>
  <c r="AC41" i="8"/>
  <c r="I54" i="8" s="1"/>
  <c r="AD14" i="27"/>
  <c r="AF14" i="27" s="1"/>
  <c r="M174" i="5"/>
  <c r="M175" i="5"/>
  <c r="M176" i="5"/>
  <c r="M173" i="5"/>
  <c r="R41" i="8"/>
  <c r="T41" i="8" s="1"/>
  <c r="AF41" i="8" s="1"/>
  <c r="AJ81" i="7"/>
  <c r="AH81" i="7"/>
  <c r="AB40" i="8"/>
  <c r="C104" i="11"/>
  <c r="E21" i="11"/>
  <c r="E25" i="11" s="1"/>
  <c r="AI81" i="7"/>
  <c r="R39" i="8"/>
  <c r="T39" i="8" s="1"/>
  <c r="AF39" i="8" s="1"/>
  <c r="P30" i="73" s="1"/>
  <c r="R38" i="8"/>
  <c r="T38" i="8" s="1"/>
  <c r="AF38" i="8" s="1"/>
  <c r="P28" i="73" s="1"/>
  <c r="O45" i="8"/>
  <c r="Q45" i="8" s="1"/>
  <c r="AX15" i="14"/>
  <c r="G54" i="11"/>
  <c r="G57" i="11" s="1"/>
  <c r="G59" i="11" s="1"/>
  <c r="G61" i="11" s="1"/>
  <c r="G78" i="11" s="1"/>
  <c r="H54" i="11"/>
  <c r="H57" i="11" s="1"/>
  <c r="H59" i="11" s="1"/>
  <c r="H61" i="11" s="1"/>
  <c r="H78" i="11" s="1"/>
  <c r="U54" i="11"/>
  <c r="U57" i="11" s="1"/>
  <c r="U59" i="11" s="1"/>
  <c r="U61" i="11" s="1"/>
  <c r="U78" i="11" s="1"/>
  <c r="V54" i="11"/>
  <c r="V57" i="11" s="1"/>
  <c r="V59" i="11" s="1"/>
  <c r="V61" i="11" s="1"/>
  <c r="V78" i="11" s="1"/>
  <c r="J95" i="7"/>
  <c r="M192" i="5"/>
  <c r="M194" i="5"/>
  <c r="M193" i="5"/>
  <c r="F102" i="41"/>
  <c r="AF13" i="5"/>
  <c r="AI13" i="5"/>
  <c r="AH13" i="5"/>
  <c r="AG13" i="5"/>
  <c r="O198" i="5"/>
  <c r="O197" i="5"/>
  <c r="AR8" i="7"/>
  <c r="AQ47" i="7"/>
  <c r="M200" i="5" s="1"/>
  <c r="M201" i="5" s="1"/>
  <c r="AQ48" i="7"/>
  <c r="N200" i="5" s="1"/>
  <c r="N201" i="5" s="1"/>
  <c r="AQ49" i="7"/>
  <c r="O200" i="5" s="1"/>
  <c r="O201" i="5" s="1"/>
  <c r="AQ46" i="7"/>
  <c r="L200" i="5" s="1"/>
  <c r="AQ18" i="7"/>
  <c r="AP41" i="7"/>
  <c r="AP38" i="7"/>
  <c r="AH82" i="7"/>
  <c r="AG82" i="7"/>
  <c r="AJ82" i="7"/>
  <c r="AI82" i="7"/>
  <c r="AP40" i="7"/>
  <c r="AP39" i="7"/>
  <c r="N196" i="5"/>
  <c r="R40" i="8"/>
  <c r="T40" i="8" s="1"/>
  <c r="AF40" i="8" s="1"/>
  <c r="P31" i="73" s="1"/>
  <c r="M198" i="5"/>
  <c r="M197" i="5"/>
  <c r="O193" i="5"/>
  <c r="O192" i="5"/>
  <c r="O194" i="5"/>
  <c r="L194" i="5"/>
  <c r="L192" i="5"/>
  <c r="L193" i="5"/>
  <c r="L180" i="5"/>
  <c r="L183" i="5"/>
  <c r="L181" i="5"/>
  <c r="L179" i="5"/>
  <c r="L182" i="5"/>
  <c r="O176" i="5"/>
  <c r="O171" i="5"/>
  <c r="O174" i="5"/>
  <c r="O175" i="5"/>
  <c r="O173" i="5"/>
  <c r="O172" i="5"/>
  <c r="N176" i="5"/>
  <c r="N175" i="5"/>
  <c r="N173" i="5"/>
  <c r="N172" i="5"/>
  <c r="N171" i="5"/>
  <c r="N174" i="5"/>
  <c r="M165" i="5"/>
  <c r="M168" i="5"/>
  <c r="M163" i="5"/>
  <c r="M166" i="5"/>
  <c r="M164" i="5"/>
  <c r="M162" i="5"/>
  <c r="M167" i="5"/>
  <c r="M159" i="5"/>
  <c r="M157" i="5"/>
  <c r="M152" i="5"/>
  <c r="AG14" i="5" s="1"/>
  <c r="M156" i="5"/>
  <c r="M154" i="5"/>
  <c r="M155" i="5"/>
  <c r="M153" i="5"/>
  <c r="M158" i="5"/>
  <c r="L159" i="5"/>
  <c r="L157" i="5"/>
  <c r="L156" i="5"/>
  <c r="L152" i="5"/>
  <c r="AF14" i="5" s="1"/>
  <c r="L153" i="5"/>
  <c r="AF15" i="5" s="1"/>
  <c r="L155" i="5"/>
  <c r="L154" i="5"/>
  <c r="AF16" i="5" s="1"/>
  <c r="L158" i="5"/>
  <c r="O154" i="5"/>
  <c r="O152" i="5"/>
  <c r="AI14" i="5" s="1"/>
  <c r="O157" i="5"/>
  <c r="O155" i="5"/>
  <c r="O158" i="5"/>
  <c r="O153" i="5"/>
  <c r="AI15" i="5" s="1"/>
  <c r="O156" i="5"/>
  <c r="O159" i="5"/>
  <c r="N152" i="5"/>
  <c r="AH14" i="5" s="1"/>
  <c r="N154" i="5"/>
  <c r="N155" i="5"/>
  <c r="N156" i="5"/>
  <c r="N159" i="5"/>
  <c r="N157" i="5"/>
  <c r="N158" i="5"/>
  <c r="N153" i="5"/>
  <c r="AH15" i="5" s="1"/>
  <c r="F45" i="8"/>
  <c r="H45" i="8" s="1"/>
  <c r="AC40" i="8"/>
  <c r="BP10" i="27"/>
  <c r="AI43" i="7"/>
  <c r="AM43" i="7"/>
  <c r="AL43" i="7"/>
  <c r="AN43" i="7"/>
  <c r="L45" i="8"/>
  <c r="N45" i="8" s="1"/>
  <c r="AK43" i="7"/>
  <c r="AO43" i="7"/>
  <c r="AH43" i="7"/>
  <c r="AE39" i="8"/>
  <c r="O30" i="73" s="1"/>
  <c r="AC39" i="8"/>
  <c r="M30" i="73" s="1"/>
  <c r="AD39" i="8"/>
  <c r="N30" i="73" s="1"/>
  <c r="AP51" i="7"/>
  <c r="AB39" i="8"/>
  <c r="L30" i="73" s="1"/>
  <c r="AG49" i="5"/>
  <c r="C134" i="29"/>
  <c r="A135" i="29"/>
  <c r="B134" i="29"/>
  <c r="K38" i="8"/>
  <c r="AC38" i="8" s="1"/>
  <c r="M28" i="73" s="1"/>
  <c r="I45" i="8"/>
  <c r="K45" i="8" s="1"/>
  <c r="AE40" i="8"/>
  <c r="O31" i="73" s="1"/>
  <c r="AD41" i="8"/>
  <c r="N32" i="73" s="1"/>
  <c r="AQ38" i="7"/>
  <c r="C45" i="8"/>
  <c r="E45" i="8" s="1"/>
  <c r="AD40" i="8"/>
  <c r="N31" i="73" s="1"/>
  <c r="AB38" i="8"/>
  <c r="L28" i="73" s="1"/>
  <c r="AE38" i="8"/>
  <c r="O28" i="73" s="1"/>
  <c r="AD38" i="8"/>
  <c r="N28" i="73" s="1"/>
  <c r="AE41" i="8"/>
  <c r="O32" i="73" s="1"/>
  <c r="L32" i="41"/>
  <c r="D54" i="8"/>
  <c r="AJ43" i="7"/>
  <c r="AF48" i="5"/>
  <c r="AI48" i="5"/>
  <c r="AH49" i="5"/>
  <c r="U21" i="40"/>
  <c r="U24" i="40"/>
  <c r="U22" i="40"/>
  <c r="U20" i="40"/>
  <c r="BI14" i="40"/>
  <c r="BI27" i="40" s="1"/>
  <c r="U25" i="40"/>
  <c r="U23" i="40"/>
  <c r="U26" i="40"/>
  <c r="U27" i="40"/>
  <c r="U15" i="40"/>
  <c r="Z56" i="5"/>
  <c r="Y56" i="5"/>
  <c r="EB15" i="39"/>
  <c r="EC15" i="39" s="1"/>
  <c r="ED15" i="39" s="1"/>
  <c r="L20" i="73" s="1"/>
  <c r="AA56" i="5"/>
  <c r="Z30" i="5"/>
  <c r="AK21" i="39" s="1"/>
  <c r="X56" i="5"/>
  <c r="Y30" i="5"/>
  <c r="AA21" i="39" s="1"/>
  <c r="X30" i="5"/>
  <c r="AA30" i="5"/>
  <c r="AV21" i="39" s="1"/>
  <c r="AB56" i="5"/>
  <c r="AB30" i="5"/>
  <c r="BG21" i="39" s="1"/>
  <c r="W29" i="5"/>
  <c r="G20" i="39" s="1"/>
  <c r="C137" i="44"/>
  <c r="C136" i="44"/>
  <c r="D184" i="44"/>
  <c r="C184" i="44"/>
  <c r="C138" i="44"/>
  <c r="G25" i="44"/>
  <c r="D27" i="44"/>
  <c r="I72" i="44"/>
  <c r="E24" i="44"/>
  <c r="E139" i="44" s="1"/>
  <c r="E72" i="44"/>
  <c r="G27" i="44"/>
  <c r="C76" i="44"/>
  <c r="I27" i="44"/>
  <c r="C74" i="44"/>
  <c r="D26" i="44"/>
  <c r="H72" i="44"/>
  <c r="D25" i="44"/>
  <c r="I71" i="44"/>
  <c r="K26" i="44"/>
  <c r="E76" i="44"/>
  <c r="E20" i="44"/>
  <c r="E135" i="44" s="1"/>
  <c r="H21" i="44"/>
  <c r="H76" i="44"/>
  <c r="F21" i="44"/>
  <c r="F75" i="44"/>
  <c r="G73" i="44"/>
  <c r="H22" i="44"/>
  <c r="E25" i="44"/>
  <c r="F74" i="44"/>
  <c r="D21" i="44"/>
  <c r="D136" i="44" s="1"/>
  <c r="E27" i="44"/>
  <c r="K72" i="44"/>
  <c r="H71" i="44"/>
  <c r="K25" i="44"/>
  <c r="C27" i="44"/>
  <c r="J72" i="44"/>
  <c r="F23" i="44"/>
  <c r="G23" i="44"/>
  <c r="K76" i="44"/>
  <c r="K75" i="44"/>
  <c r="J25" i="44"/>
  <c r="K27" i="44"/>
  <c r="F71" i="44"/>
  <c r="J27" i="44"/>
  <c r="I21" i="44"/>
  <c r="F22" i="44"/>
  <c r="I24" i="44"/>
  <c r="I139" i="44" s="1"/>
  <c r="G75" i="44"/>
  <c r="I76" i="44"/>
  <c r="K22" i="44"/>
  <c r="F76" i="44"/>
  <c r="E74" i="44"/>
  <c r="D76" i="44"/>
  <c r="L123" i="44"/>
  <c r="E71" i="44"/>
  <c r="F24" i="44"/>
  <c r="F139" i="44" s="1"/>
  <c r="G22" i="44"/>
  <c r="D22" i="44"/>
  <c r="G76" i="44"/>
  <c r="I75" i="44"/>
  <c r="K23" i="44"/>
  <c r="K20" i="44"/>
  <c r="K135" i="44" s="1"/>
  <c r="G26" i="44"/>
  <c r="K71" i="44"/>
  <c r="C75" i="44"/>
  <c r="F73" i="44"/>
  <c r="F27" i="44"/>
  <c r="C25" i="44"/>
  <c r="H25" i="44"/>
  <c r="D73" i="44"/>
  <c r="H20" i="44"/>
  <c r="H135" i="44" s="1"/>
  <c r="I20" i="44"/>
  <c r="I135" i="44" s="1"/>
  <c r="J24" i="44"/>
  <c r="J139" i="44" s="1"/>
  <c r="G74" i="44"/>
  <c r="J21" i="44"/>
  <c r="D74" i="44"/>
  <c r="J26" i="44"/>
  <c r="H74" i="44"/>
  <c r="H75" i="44"/>
  <c r="I74" i="44"/>
  <c r="C26" i="44"/>
  <c r="J73" i="44"/>
  <c r="G72" i="44"/>
  <c r="E26" i="44"/>
  <c r="D72" i="44"/>
  <c r="G21" i="44"/>
  <c r="I26" i="44"/>
  <c r="E75" i="44"/>
  <c r="K73" i="44"/>
  <c r="K24" i="44"/>
  <c r="K139" i="44" s="1"/>
  <c r="I23" i="44"/>
  <c r="G20" i="44"/>
  <c r="G135" i="44" s="1"/>
  <c r="J23" i="44"/>
  <c r="H24" i="44"/>
  <c r="H139" i="44" s="1"/>
  <c r="J74" i="44"/>
  <c r="G24" i="44"/>
  <c r="G139" i="44" s="1"/>
  <c r="K74" i="44"/>
  <c r="H73" i="44"/>
  <c r="E21" i="44"/>
  <c r="F20" i="44"/>
  <c r="F135" i="44" s="1"/>
  <c r="E23" i="44"/>
  <c r="J76" i="44"/>
  <c r="F72" i="44"/>
  <c r="J75" i="44"/>
  <c r="I73" i="44"/>
  <c r="E22" i="44"/>
  <c r="H27" i="44"/>
  <c r="D75" i="44"/>
  <c r="I25" i="44"/>
  <c r="H23" i="44"/>
  <c r="J20" i="44"/>
  <c r="J135" i="44" s="1"/>
  <c r="K21" i="44"/>
  <c r="D23" i="44"/>
  <c r="G71" i="44"/>
  <c r="F25" i="44"/>
  <c r="I22" i="44"/>
  <c r="H26" i="44"/>
  <c r="J71" i="44"/>
  <c r="J22" i="44"/>
  <c r="F26" i="44"/>
  <c r="E73" i="44"/>
  <c r="BH19" i="39"/>
  <c r="BH20" i="39"/>
  <c r="R25" i="40" s="1"/>
  <c r="AW20" i="39"/>
  <c r="J25" i="40" s="1"/>
  <c r="AW19" i="39"/>
  <c r="J24" i="40" s="1"/>
  <c r="C102" i="41"/>
  <c r="ER12" i="39"/>
  <c r="I22" i="73" s="1"/>
  <c r="G15" i="14"/>
  <c r="Z19" i="40"/>
  <c r="AA19" i="40" s="1"/>
  <c r="F43" i="11"/>
  <c r="F47" i="11" s="1"/>
  <c r="I19" i="44"/>
  <c r="I102" i="41"/>
  <c r="G19" i="44"/>
  <c r="G102" i="41"/>
  <c r="G32" i="11"/>
  <c r="G36" i="11" s="1"/>
  <c r="ED13" i="39"/>
  <c r="J20" i="73" s="1"/>
  <c r="I70" i="44"/>
  <c r="I113" i="41"/>
  <c r="D19" i="44"/>
  <c r="D102" i="41"/>
  <c r="K19" i="44"/>
  <c r="K102" i="41"/>
  <c r="F32" i="11"/>
  <c r="F36" i="11" s="1"/>
  <c r="V43" i="11"/>
  <c r="V47" i="11" s="1"/>
  <c r="U43" i="11"/>
  <c r="U47" i="11" s="1"/>
  <c r="H19" i="44"/>
  <c r="H102" i="41"/>
  <c r="G70" i="44"/>
  <c r="G113" i="41"/>
  <c r="CE12" i="39"/>
  <c r="I11" i="73" s="1"/>
  <c r="G43" i="11"/>
  <c r="G47" i="11" s="1"/>
  <c r="J19" i="44"/>
  <c r="J102" i="41"/>
  <c r="D70" i="44"/>
  <c r="D113" i="41"/>
  <c r="F19" i="44"/>
  <c r="K70" i="44"/>
  <c r="K113" i="41"/>
  <c r="E19" i="44"/>
  <c r="E102" i="41"/>
  <c r="BQ12" i="39"/>
  <c r="I9" i="73" s="1"/>
  <c r="C134" i="44"/>
  <c r="J70" i="44"/>
  <c r="J113" i="41"/>
  <c r="H113" i="41"/>
  <c r="BF19" i="40"/>
  <c r="C113" i="41"/>
  <c r="U21" i="11"/>
  <c r="U25" i="11" s="1"/>
  <c r="F70" i="44"/>
  <c r="F113" i="41"/>
  <c r="E70" i="44"/>
  <c r="E113" i="41"/>
  <c r="U14" i="40"/>
  <c r="Q20" i="39"/>
  <c r="Q19" i="39"/>
  <c r="W55" i="5"/>
  <c r="G19" i="39"/>
  <c r="Y55" i="5"/>
  <c r="AA55" i="5"/>
  <c r="Z55" i="5"/>
  <c r="X55" i="5"/>
  <c r="AB55" i="5"/>
  <c r="T150" i="51" l="1"/>
  <c r="S150" i="51"/>
  <c r="R150" i="51"/>
  <c r="Q150" i="51"/>
  <c r="F24" i="40" s="1"/>
  <c r="P150" i="51"/>
  <c r="F23" i="40" s="1"/>
  <c r="O150" i="51"/>
  <c r="F22" i="40" s="1"/>
  <c r="N150" i="51"/>
  <c r="T24" i="11"/>
  <c r="T26" i="11" s="1"/>
  <c r="T28" i="11" s="1"/>
  <c r="T66" i="11" s="1"/>
  <c r="U67" i="11" s="1"/>
  <c r="AR18" i="7"/>
  <c r="AR26" i="7"/>
  <c r="BM19" i="40"/>
  <c r="S46" i="11"/>
  <c r="S48" i="11" s="1"/>
  <c r="S50" i="11" s="1"/>
  <c r="S74" i="11" s="1"/>
  <c r="T75" i="11" s="1"/>
  <c r="G79" i="11"/>
  <c r="D46" i="11"/>
  <c r="D48" i="11" s="1"/>
  <c r="D50" i="11" s="1"/>
  <c r="D74" i="11" s="1"/>
  <c r="E75" i="11" s="1"/>
  <c r="T46" i="11"/>
  <c r="T48" i="11" s="1"/>
  <c r="T50" i="11" s="1"/>
  <c r="T74" i="11" s="1"/>
  <c r="U75" i="11" s="1"/>
  <c r="M94" i="41"/>
  <c r="M94" i="73"/>
  <c r="M107" i="73"/>
  <c r="M107" i="41"/>
  <c r="P98" i="41"/>
  <c r="P98" i="73"/>
  <c r="O97" i="73"/>
  <c r="O97" i="41"/>
  <c r="S24" i="11"/>
  <c r="S26" i="11" s="1"/>
  <c r="S28" i="11" s="1"/>
  <c r="S66" i="11" s="1"/>
  <c r="T67" i="11" s="1"/>
  <c r="U79" i="11"/>
  <c r="S80" i="11"/>
  <c r="E46" i="11"/>
  <c r="E48" i="11" s="1"/>
  <c r="E50" i="11" s="1"/>
  <c r="E74" i="11" s="1"/>
  <c r="E76" i="11" s="1"/>
  <c r="E35" i="11"/>
  <c r="E37" i="11" s="1"/>
  <c r="E39" i="11" s="1"/>
  <c r="E70" i="11" s="1"/>
  <c r="F71" i="11" s="1"/>
  <c r="D35" i="11"/>
  <c r="D37" i="11" s="1"/>
  <c r="D39" i="11" s="1"/>
  <c r="D70" i="11" s="1"/>
  <c r="E71" i="11" s="1"/>
  <c r="D80" i="11"/>
  <c r="E80" i="11"/>
  <c r="E81" i="11" s="1"/>
  <c r="D24" i="11"/>
  <c r="D26" i="11" s="1"/>
  <c r="D28" i="11" s="1"/>
  <c r="D66" i="11" s="1"/>
  <c r="D68" i="11" s="1"/>
  <c r="D69" i="11" s="1"/>
  <c r="D103" i="11" s="1"/>
  <c r="H70" i="2" s="1"/>
  <c r="BH47" i="14"/>
  <c r="BH48" i="14" s="1"/>
  <c r="BH49" i="14" s="1"/>
  <c r="BH50" i="14" s="1"/>
  <c r="BH51" i="14" s="1"/>
  <c r="BH52" i="14" s="1"/>
  <c r="BH53" i="14" s="1"/>
  <c r="BH54" i="14" s="1"/>
  <c r="BH55" i="14" s="1"/>
  <c r="BH56" i="14" s="1"/>
  <c r="BH57" i="14" s="1"/>
  <c r="BH58" i="14" s="1"/>
  <c r="BK15" i="14"/>
  <c r="AX47" i="14"/>
  <c r="AX48" i="14" s="1"/>
  <c r="AX49" i="14" s="1"/>
  <c r="AX50" i="14" s="1"/>
  <c r="AX51" i="14" s="1"/>
  <c r="AX52" i="14" s="1"/>
  <c r="AX53" i="14" s="1"/>
  <c r="AX54" i="14" s="1"/>
  <c r="AX55" i="14" s="1"/>
  <c r="AX56" i="14" s="1"/>
  <c r="AX57" i="14" s="1"/>
  <c r="AX58" i="14" s="1"/>
  <c r="M131" i="73" s="1"/>
  <c r="M32" i="41"/>
  <c r="O37" i="73"/>
  <c r="L31" i="73"/>
  <c r="L37" i="73" s="1"/>
  <c r="M31" i="73"/>
  <c r="N37" i="73"/>
  <c r="P32" i="73"/>
  <c r="P37" i="73" s="1"/>
  <c r="M32" i="73"/>
  <c r="K48" i="14"/>
  <c r="K49" i="14" s="1"/>
  <c r="K50" i="14" s="1"/>
  <c r="K51" i="14" s="1"/>
  <c r="K52" i="14" s="1"/>
  <c r="K53" i="14" s="1"/>
  <c r="K54" i="14" s="1"/>
  <c r="K55" i="14" s="1"/>
  <c r="K56" i="14" s="1"/>
  <c r="K57" i="14" s="1"/>
  <c r="K58" i="14" s="1"/>
  <c r="M119" i="73" s="1"/>
  <c r="X18" i="14"/>
  <c r="U50" i="14"/>
  <c r="V49" i="14"/>
  <c r="G47" i="14"/>
  <c r="G48" i="14" s="1"/>
  <c r="G49" i="14" s="1"/>
  <c r="G50" i="14" s="1"/>
  <c r="G51" i="14" s="1"/>
  <c r="G52" i="14" s="1"/>
  <c r="G53" i="14" s="1"/>
  <c r="G54" i="14" s="1"/>
  <c r="G55" i="14" s="1"/>
  <c r="G56" i="14" s="1"/>
  <c r="G57" i="14" s="1"/>
  <c r="G58" i="14" s="1"/>
  <c r="M118" i="73" s="1"/>
  <c r="K155" i="44"/>
  <c r="J173" i="44"/>
  <c r="I173" i="44"/>
  <c r="H173" i="44"/>
  <c r="E173" i="44"/>
  <c r="C176" i="44"/>
  <c r="F173" i="44"/>
  <c r="D173" i="44"/>
  <c r="D193" i="44" s="1"/>
  <c r="G173" i="44"/>
  <c r="D197" i="44"/>
  <c r="J177" i="44"/>
  <c r="E177" i="44"/>
  <c r="E197" i="44" s="1"/>
  <c r="F177" i="44"/>
  <c r="I177" i="44"/>
  <c r="G177" i="44"/>
  <c r="H184" i="44"/>
  <c r="D174" i="44"/>
  <c r="C175" i="44"/>
  <c r="C174" i="44"/>
  <c r="BP5" i="27"/>
  <c r="BO15" i="27"/>
  <c r="AF17" i="27"/>
  <c r="J142" i="10"/>
  <c r="K146" i="10"/>
  <c r="I143" i="10"/>
  <c r="J147" i="10"/>
  <c r="F27" i="40"/>
  <c r="F26" i="40"/>
  <c r="F25" i="40"/>
  <c r="K142" i="51"/>
  <c r="L146" i="51"/>
  <c r="F21" i="40"/>
  <c r="AL15" i="27"/>
  <c r="AN15" i="27" s="1"/>
  <c r="AD15" i="27"/>
  <c r="AF15" i="27" s="1"/>
  <c r="K184" i="44"/>
  <c r="K173" i="44"/>
  <c r="J155" i="44"/>
  <c r="K154" i="44"/>
  <c r="D38" i="44"/>
  <c r="J154" i="44"/>
  <c r="I155" i="44"/>
  <c r="M34" i="60"/>
  <c r="F155" i="44"/>
  <c r="F154" i="44"/>
  <c r="E155" i="44"/>
  <c r="H155" i="44"/>
  <c r="G155" i="44"/>
  <c r="C154" i="44"/>
  <c r="I154" i="44"/>
  <c r="G154" i="44"/>
  <c r="H154" i="44"/>
  <c r="E154" i="44"/>
  <c r="C10" i="60"/>
  <c r="BM50" i="2"/>
  <c r="BM51" i="2"/>
  <c r="BM52" i="2"/>
  <c r="BM53" i="2"/>
  <c r="BM54" i="2"/>
  <c r="BM55" i="2"/>
  <c r="BM56" i="2"/>
  <c r="BM57" i="2"/>
  <c r="BM58" i="2"/>
  <c r="BM59" i="2"/>
  <c r="BM60" i="2"/>
  <c r="BM61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T50" i="2"/>
  <c r="T51" i="2"/>
  <c r="T52" i="2"/>
  <c r="T53" i="2"/>
  <c r="T54" i="2"/>
  <c r="T55" i="2"/>
  <c r="T56" i="2"/>
  <c r="T57" i="2"/>
  <c r="T58" i="2"/>
  <c r="T59" i="2"/>
  <c r="T60" i="2"/>
  <c r="T61" i="2"/>
  <c r="N50" i="2"/>
  <c r="N51" i="2"/>
  <c r="N52" i="2"/>
  <c r="N53" i="2"/>
  <c r="N54" i="2"/>
  <c r="N55" i="2"/>
  <c r="N56" i="2"/>
  <c r="N57" i="2"/>
  <c r="N58" i="2"/>
  <c r="N59" i="2"/>
  <c r="N60" i="2"/>
  <c r="N61" i="2"/>
  <c r="H57" i="2"/>
  <c r="H58" i="2"/>
  <c r="H59" i="2"/>
  <c r="H60" i="2"/>
  <c r="H61" i="2"/>
  <c r="H51" i="2"/>
  <c r="H52" i="2"/>
  <c r="H53" i="2"/>
  <c r="H54" i="2"/>
  <c r="H55" i="2"/>
  <c r="H56" i="2"/>
  <c r="U19" i="14"/>
  <c r="U20" i="14" s="1"/>
  <c r="T134" i="29"/>
  <c r="AT15" i="14"/>
  <c r="BE15" i="14"/>
  <c r="AA20" i="14"/>
  <c r="AD19" i="14"/>
  <c r="C15" i="14"/>
  <c r="BP78" i="2"/>
  <c r="BJ84" i="2"/>
  <c r="BJ74" i="2"/>
  <c r="BP82" i="2"/>
  <c r="BJ81" i="2"/>
  <c r="BP83" i="2"/>
  <c r="BP76" i="2"/>
  <c r="BJ78" i="2"/>
  <c r="BJ77" i="2"/>
  <c r="BP79" i="2"/>
  <c r="BP85" i="2"/>
  <c r="BP77" i="2"/>
  <c r="BJ76" i="2"/>
  <c r="BP74" i="2"/>
  <c r="BP75" i="2"/>
  <c r="BP80" i="2"/>
  <c r="BJ85" i="2"/>
  <c r="BJ83" i="2"/>
  <c r="BJ79" i="2"/>
  <c r="BJ75" i="2"/>
  <c r="S79" i="11"/>
  <c r="R80" i="11"/>
  <c r="R81" i="11" s="1"/>
  <c r="R106" i="11" s="1"/>
  <c r="C80" i="11"/>
  <c r="C81" i="11" s="1"/>
  <c r="D79" i="11"/>
  <c r="BJ82" i="2"/>
  <c r="BP84" i="2"/>
  <c r="J28" i="44"/>
  <c r="D28" i="44"/>
  <c r="C28" i="44"/>
  <c r="H28" i="44"/>
  <c r="K28" i="44"/>
  <c r="E28" i="44"/>
  <c r="F28" i="44"/>
  <c r="G28" i="44"/>
  <c r="I28" i="44"/>
  <c r="S122" i="22"/>
  <c r="AN18" i="27" s="1"/>
  <c r="O122" i="21"/>
  <c r="AF18" i="27" s="1"/>
  <c r="T81" i="11"/>
  <c r="L31" i="41"/>
  <c r="AH92" i="7"/>
  <c r="D53" i="8"/>
  <c r="D57" i="8" s="1"/>
  <c r="AJ92" i="7"/>
  <c r="T20" i="40"/>
  <c r="F81" i="11"/>
  <c r="AM81" i="7"/>
  <c r="E24" i="11"/>
  <c r="E26" i="11" s="1"/>
  <c r="E28" i="11" s="1"/>
  <c r="E66" i="11" s="1"/>
  <c r="E68" i="11" s="1"/>
  <c r="F20" i="11"/>
  <c r="F21" i="11" s="1"/>
  <c r="F25" i="11" s="1"/>
  <c r="AI92" i="7"/>
  <c r="U40" i="8"/>
  <c r="W40" i="8" s="1"/>
  <c r="AG40" i="8" s="1"/>
  <c r="Q31" i="73" s="1"/>
  <c r="H79" i="11"/>
  <c r="G80" i="11"/>
  <c r="V80" i="11"/>
  <c r="W79" i="11"/>
  <c r="W81" i="11" s="1"/>
  <c r="U89" i="11" s="1"/>
  <c r="U39" i="8"/>
  <c r="W39" i="8" s="1"/>
  <c r="AG39" i="8" s="1"/>
  <c r="U80" i="11"/>
  <c r="V79" i="11"/>
  <c r="U41" i="8"/>
  <c r="W41" i="8" s="1"/>
  <c r="AG41" i="8" s="1"/>
  <c r="AR39" i="7"/>
  <c r="X53" i="11"/>
  <c r="I79" i="11"/>
  <c r="H80" i="11"/>
  <c r="R45" i="8"/>
  <c r="T45" i="8" s="1"/>
  <c r="G35" i="11"/>
  <c r="G37" i="11" s="1"/>
  <c r="G39" i="11" s="1"/>
  <c r="G70" i="11" s="1"/>
  <c r="AH18" i="5"/>
  <c r="AQ39" i="7"/>
  <c r="AF18" i="5"/>
  <c r="AH19" i="5"/>
  <c r="AG19" i="5"/>
  <c r="AI16" i="5"/>
  <c r="AI17" i="5"/>
  <c r="AI19" i="5"/>
  <c r="AH16" i="5"/>
  <c r="AG18" i="5"/>
  <c r="AI18" i="5"/>
  <c r="AG20" i="5"/>
  <c r="AI20" i="5"/>
  <c r="AH17" i="5"/>
  <c r="AF17" i="5"/>
  <c r="AG16" i="5"/>
  <c r="AF19" i="5"/>
  <c r="AG15" i="5"/>
  <c r="AG17" i="5"/>
  <c r="AM82" i="7"/>
  <c r="AG92" i="7"/>
  <c r="N197" i="5"/>
  <c r="AH20" i="5" s="1"/>
  <c r="N198" i="5"/>
  <c r="AR48" i="7"/>
  <c r="N203" i="5" s="1"/>
  <c r="AR47" i="7"/>
  <c r="M203" i="5" s="1"/>
  <c r="AG21" i="5" s="1"/>
  <c r="AR49" i="7"/>
  <c r="O203" i="5" s="1"/>
  <c r="AI21" i="5" s="1"/>
  <c r="AR46" i="7"/>
  <c r="L203" i="5" s="1"/>
  <c r="AQ40" i="7"/>
  <c r="AQ41" i="7"/>
  <c r="L198" i="5"/>
  <c r="L197" i="5"/>
  <c r="AF20" i="5" s="1"/>
  <c r="M31" i="41"/>
  <c r="X54" i="8"/>
  <c r="I53" i="8"/>
  <c r="I57" i="8" s="1"/>
  <c r="P32" i="41"/>
  <c r="AP43" i="7"/>
  <c r="P16" i="14"/>
  <c r="P17" i="14" s="1"/>
  <c r="P18" i="14" s="1"/>
  <c r="P19" i="14" s="1"/>
  <c r="P20" i="14" s="1"/>
  <c r="P21" i="14" s="1"/>
  <c r="AF45" i="8"/>
  <c r="P28" i="41"/>
  <c r="BP92" i="2"/>
  <c r="BP96" i="2"/>
  <c r="BP89" i="2"/>
  <c r="BP97" i="2"/>
  <c r="BP88" i="2"/>
  <c r="BP87" i="2"/>
  <c r="BP93" i="2"/>
  <c r="BP86" i="2"/>
  <c r="BP90" i="2"/>
  <c r="BP91" i="2"/>
  <c r="BP94" i="2"/>
  <c r="BP95" i="2"/>
  <c r="AQ36" i="7"/>
  <c r="O31" i="41"/>
  <c r="S53" i="8"/>
  <c r="AI49" i="5"/>
  <c r="AH24" i="5"/>
  <c r="AH51" i="5"/>
  <c r="BP110" i="2" s="1"/>
  <c r="AF49" i="5"/>
  <c r="N31" i="41"/>
  <c r="N53" i="8"/>
  <c r="BK80" i="2"/>
  <c r="P31" i="41"/>
  <c r="X53" i="8"/>
  <c r="U38" i="8"/>
  <c r="AQ51" i="7"/>
  <c r="BJ87" i="2"/>
  <c r="BJ96" i="2"/>
  <c r="BJ92" i="2"/>
  <c r="BJ88" i="2"/>
  <c r="BJ93" i="2"/>
  <c r="BJ94" i="2"/>
  <c r="BJ89" i="2"/>
  <c r="BJ95" i="2"/>
  <c r="BJ90" i="2"/>
  <c r="BJ97" i="2"/>
  <c r="BJ91" i="2"/>
  <c r="BJ86" i="2"/>
  <c r="AG50" i="5"/>
  <c r="S54" i="8"/>
  <c r="O32" i="41"/>
  <c r="C135" i="29"/>
  <c r="A136" i="29"/>
  <c r="B135" i="29"/>
  <c r="T135" i="29" s="1"/>
  <c r="L30" i="41"/>
  <c r="AG24" i="5"/>
  <c r="AG51" i="5"/>
  <c r="BJ110" i="2" s="1"/>
  <c r="BD78" i="2"/>
  <c r="BD84" i="2"/>
  <c r="BD79" i="2"/>
  <c r="BD82" i="2"/>
  <c r="BD76" i="2"/>
  <c r="BD77" i="2"/>
  <c r="BD85" i="2"/>
  <c r="BD75" i="2"/>
  <c r="BD83" i="2"/>
  <c r="BD74" i="2"/>
  <c r="BD81" i="2"/>
  <c r="BD80" i="2"/>
  <c r="M28" i="41"/>
  <c r="AC45" i="8"/>
  <c r="P30" i="41"/>
  <c r="BV83" i="2"/>
  <c r="BV78" i="2"/>
  <c r="BV75" i="2"/>
  <c r="BV84" i="2"/>
  <c r="BV77" i="2"/>
  <c r="BV85" i="2"/>
  <c r="BV79" i="2"/>
  <c r="BV82" i="2"/>
  <c r="BV80" i="2"/>
  <c r="BV74" i="2"/>
  <c r="BV81" i="2"/>
  <c r="BV76" i="2"/>
  <c r="AD45" i="8"/>
  <c r="N28" i="41"/>
  <c r="O28" i="41"/>
  <c r="AE45" i="8"/>
  <c r="N30" i="41"/>
  <c r="N32" i="41"/>
  <c r="N54" i="8"/>
  <c r="BQ81" i="2"/>
  <c r="M30" i="41"/>
  <c r="L28" i="41"/>
  <c r="AB45" i="8"/>
  <c r="O30" i="41"/>
  <c r="AH50" i="5"/>
  <c r="Z57" i="5"/>
  <c r="Z31" i="5"/>
  <c r="AK22" i="39" s="1"/>
  <c r="Y57" i="5"/>
  <c r="Y31" i="5"/>
  <c r="AA22" i="39" s="1"/>
  <c r="L16" i="14"/>
  <c r="L17" i="14" s="1"/>
  <c r="L18" i="14" s="1"/>
  <c r="L19" i="14" s="1"/>
  <c r="L20" i="14" s="1"/>
  <c r="L21" i="14" s="1"/>
  <c r="BI20" i="40"/>
  <c r="BI21" i="40"/>
  <c r="BI22" i="40"/>
  <c r="BI23" i="40"/>
  <c r="BI19" i="40"/>
  <c r="BI25" i="40"/>
  <c r="BI26" i="40"/>
  <c r="BI24" i="40"/>
  <c r="AB57" i="5"/>
  <c r="AB31" i="5"/>
  <c r="BG22" i="39" s="1"/>
  <c r="AA57" i="5"/>
  <c r="AA31" i="5"/>
  <c r="AV22" i="39" s="1"/>
  <c r="AH16" i="14"/>
  <c r="AH17" i="14" s="1"/>
  <c r="AH18" i="14" s="1"/>
  <c r="AH19" i="14" s="1"/>
  <c r="AH20" i="14" s="1"/>
  <c r="AH21" i="14" s="1"/>
  <c r="AL16" i="14"/>
  <c r="AL17" i="14" s="1"/>
  <c r="AL18" i="14" s="1"/>
  <c r="AL19" i="14" s="1"/>
  <c r="AL20" i="14" s="1"/>
  <c r="AL21" i="14" s="1"/>
  <c r="BI16" i="14"/>
  <c r="BH16" i="14" s="1"/>
  <c r="BH59" i="14" s="1"/>
  <c r="BH60" i="14" s="1"/>
  <c r="BH61" i="14" s="1"/>
  <c r="BH62" i="14" s="1"/>
  <c r="BH63" i="14" s="1"/>
  <c r="BH64" i="14" s="1"/>
  <c r="BH65" i="14" s="1"/>
  <c r="BH66" i="14" s="1"/>
  <c r="BH67" i="14" s="1"/>
  <c r="BH68" i="14" s="1"/>
  <c r="BH69" i="14" s="1"/>
  <c r="BH70" i="14" s="1"/>
  <c r="AP16" i="14"/>
  <c r="AP17" i="14" s="1"/>
  <c r="AP18" i="14" s="1"/>
  <c r="AP19" i="14" s="1"/>
  <c r="AP20" i="14" s="1"/>
  <c r="AP21" i="14" s="1"/>
  <c r="H31" i="11"/>
  <c r="H32" i="11" s="1"/>
  <c r="H36" i="11" s="1"/>
  <c r="X57" i="5"/>
  <c r="X31" i="5"/>
  <c r="W56" i="5"/>
  <c r="W30" i="5"/>
  <c r="G21" i="39" s="1"/>
  <c r="C182" i="44"/>
  <c r="G141" i="44"/>
  <c r="K177" i="44"/>
  <c r="D204" i="44"/>
  <c r="F141" i="44"/>
  <c r="E137" i="44"/>
  <c r="J136" i="44"/>
  <c r="I141" i="44"/>
  <c r="J142" i="44"/>
  <c r="G142" i="44"/>
  <c r="E184" i="44"/>
  <c r="E204" i="44" s="1"/>
  <c r="J184" i="44"/>
  <c r="K138" i="44"/>
  <c r="D137" i="44"/>
  <c r="K142" i="44"/>
  <c r="E136" i="44"/>
  <c r="F136" i="44"/>
  <c r="H137" i="44"/>
  <c r="E138" i="44"/>
  <c r="F184" i="44"/>
  <c r="I137" i="44"/>
  <c r="E141" i="44"/>
  <c r="F137" i="44"/>
  <c r="H177" i="44"/>
  <c r="D141" i="44"/>
  <c r="I184" i="44"/>
  <c r="J141" i="44"/>
  <c r="G140" i="44"/>
  <c r="H140" i="44"/>
  <c r="I138" i="44"/>
  <c r="C77" i="44"/>
  <c r="K137" i="44"/>
  <c r="H136" i="44"/>
  <c r="H141" i="44"/>
  <c r="C142" i="44"/>
  <c r="G137" i="44"/>
  <c r="J140" i="44"/>
  <c r="E140" i="44"/>
  <c r="G138" i="44"/>
  <c r="I142" i="44"/>
  <c r="D138" i="44"/>
  <c r="F142" i="44"/>
  <c r="H138" i="44"/>
  <c r="J138" i="44"/>
  <c r="E142" i="44"/>
  <c r="I136" i="44"/>
  <c r="G136" i="44"/>
  <c r="C140" i="44"/>
  <c r="D140" i="44"/>
  <c r="D142" i="44"/>
  <c r="K136" i="44"/>
  <c r="C141" i="44"/>
  <c r="I140" i="44"/>
  <c r="K140" i="44"/>
  <c r="H77" i="44"/>
  <c r="E77" i="44"/>
  <c r="D77" i="44"/>
  <c r="G77" i="44"/>
  <c r="C183" i="44"/>
  <c r="F77" i="44"/>
  <c r="K77" i="44"/>
  <c r="I77" i="44"/>
  <c r="J137" i="44"/>
  <c r="K141" i="44"/>
  <c r="F138" i="44"/>
  <c r="G184" i="44"/>
  <c r="F140" i="44"/>
  <c r="H142" i="44"/>
  <c r="L19" i="44"/>
  <c r="L121" i="44"/>
  <c r="C144" i="44"/>
  <c r="R24" i="40"/>
  <c r="BH21" i="39"/>
  <c r="AW21" i="39"/>
  <c r="J26" i="40" s="1"/>
  <c r="C172" i="44"/>
  <c r="U46" i="11"/>
  <c r="U48" i="11" s="1"/>
  <c r="U50" i="11" s="1"/>
  <c r="U74" i="11" s="1"/>
  <c r="U76" i="11" s="1"/>
  <c r="F46" i="11"/>
  <c r="F48" i="11" s="1"/>
  <c r="F50" i="11" s="1"/>
  <c r="F74" i="11" s="1"/>
  <c r="F76" i="11" s="1"/>
  <c r="V46" i="11"/>
  <c r="V48" i="11" s="1"/>
  <c r="V50" i="11" s="1"/>
  <c r="V74" i="11" s="1"/>
  <c r="W75" i="11" s="1"/>
  <c r="U88" i="11" s="1"/>
  <c r="J134" i="44"/>
  <c r="J77" i="44"/>
  <c r="U24" i="11"/>
  <c r="U26" i="11" s="1"/>
  <c r="U28" i="11" s="1"/>
  <c r="U66" i="11" s="1"/>
  <c r="BS16" i="14"/>
  <c r="BS17" i="14" s="1"/>
  <c r="BS18" i="14" s="1"/>
  <c r="BS19" i="14" s="1"/>
  <c r="BS20" i="14" s="1"/>
  <c r="BS21" i="14" s="1"/>
  <c r="BC16" i="14"/>
  <c r="BB16" i="14" s="1"/>
  <c r="BB59" i="14" s="1"/>
  <c r="BB60" i="14" s="1"/>
  <c r="BB61" i="14" s="1"/>
  <c r="BB62" i="14" s="1"/>
  <c r="BB63" i="14" s="1"/>
  <c r="BB64" i="14" s="1"/>
  <c r="BB65" i="14" s="1"/>
  <c r="BB66" i="14" s="1"/>
  <c r="BB67" i="14" s="1"/>
  <c r="BB68" i="14" s="1"/>
  <c r="BB69" i="14" s="1"/>
  <c r="BB70" i="14" s="1"/>
  <c r="F35" i="11"/>
  <c r="F37" i="11" s="1"/>
  <c r="F39" i="11" s="1"/>
  <c r="F70" i="11" s="1"/>
  <c r="G134" i="44"/>
  <c r="E134" i="44"/>
  <c r="BO16" i="14"/>
  <c r="BO17" i="14" s="1"/>
  <c r="BO18" i="14" s="1"/>
  <c r="BO19" i="14" s="1"/>
  <c r="BO20" i="14" s="1"/>
  <c r="BO21" i="14" s="1"/>
  <c r="K134" i="44"/>
  <c r="AG19" i="40"/>
  <c r="AH19" i="40" s="1"/>
  <c r="G46" i="11"/>
  <c r="G48" i="11" s="1"/>
  <c r="G50" i="11" s="1"/>
  <c r="G74" i="11" s="1"/>
  <c r="AY16" i="14"/>
  <c r="AY17" i="14" s="1"/>
  <c r="AY18" i="14" s="1"/>
  <c r="AY19" i="14" s="1"/>
  <c r="AY20" i="14" s="1"/>
  <c r="AY21" i="14" s="1"/>
  <c r="I134" i="44"/>
  <c r="G16" i="14"/>
  <c r="EC16" i="39"/>
  <c r="D134" i="44"/>
  <c r="BW16" i="14"/>
  <c r="BW17" i="14" s="1"/>
  <c r="BW18" i="14" s="1"/>
  <c r="BW19" i="14" s="1"/>
  <c r="BW20" i="14" s="1"/>
  <c r="BW21" i="14" s="1"/>
  <c r="F134" i="44"/>
  <c r="H134" i="44"/>
  <c r="BG19" i="40"/>
  <c r="BH20" i="40"/>
  <c r="S19" i="40"/>
  <c r="Q21" i="39"/>
  <c r="M21" i="60" l="1"/>
  <c r="T68" i="11"/>
  <c r="T69" i="11" s="1"/>
  <c r="G81" i="11"/>
  <c r="S76" i="11"/>
  <c r="S77" i="11" s="1"/>
  <c r="S105" i="11" s="1"/>
  <c r="D76" i="11"/>
  <c r="D77" i="11" s="1"/>
  <c r="D105" i="11" s="1"/>
  <c r="T76" i="11"/>
  <c r="T77" i="11" s="1"/>
  <c r="E77" i="11"/>
  <c r="F75" i="11"/>
  <c r="F77" i="11" s="1"/>
  <c r="U81" i="11"/>
  <c r="E72" i="11"/>
  <c r="E73" i="11" s="1"/>
  <c r="D81" i="11"/>
  <c r="D106" i="11" s="1"/>
  <c r="D72" i="11"/>
  <c r="D73" i="11" s="1"/>
  <c r="D104" i="11" s="1"/>
  <c r="N73" i="2" s="1"/>
  <c r="S68" i="11"/>
  <c r="S69" i="11" s="1"/>
  <c r="S103" i="11" s="1"/>
  <c r="N94" i="41"/>
  <c r="N94" i="73"/>
  <c r="Q98" i="41"/>
  <c r="Q98" i="73"/>
  <c r="M108" i="41"/>
  <c r="M108" i="73"/>
  <c r="P97" i="73"/>
  <c r="P97" i="41"/>
  <c r="M109" i="73"/>
  <c r="M109" i="41"/>
  <c r="M93" i="41"/>
  <c r="M37" i="73"/>
  <c r="S81" i="11"/>
  <c r="S106" i="11" s="1"/>
  <c r="M106" i="41"/>
  <c r="H69" i="2"/>
  <c r="I69" i="2" s="1"/>
  <c r="H67" i="2"/>
  <c r="E67" i="11"/>
  <c r="E69" i="11" s="1"/>
  <c r="H73" i="2"/>
  <c r="H71" i="2"/>
  <c r="H68" i="2"/>
  <c r="H63" i="2"/>
  <c r="V63" i="17" s="1"/>
  <c r="W63" i="17" s="1"/>
  <c r="X63" i="17" s="1"/>
  <c r="H62" i="2"/>
  <c r="H66" i="2"/>
  <c r="H65" i="2"/>
  <c r="I65" i="2" s="1"/>
  <c r="H64" i="2"/>
  <c r="H72" i="2"/>
  <c r="I72" i="2" s="1"/>
  <c r="M131" i="41"/>
  <c r="M79" i="44" s="1"/>
  <c r="X36" i="60" s="1"/>
  <c r="Q30" i="73"/>
  <c r="Q32" i="73"/>
  <c r="X19" i="14"/>
  <c r="U51" i="14"/>
  <c r="V50" i="14"/>
  <c r="M119" i="41"/>
  <c r="M31" i="44" s="1"/>
  <c r="X20" i="14"/>
  <c r="K15" i="14"/>
  <c r="G59" i="14"/>
  <c r="G60" i="14" s="1"/>
  <c r="G61" i="14" s="1"/>
  <c r="G62" i="14" s="1"/>
  <c r="G63" i="14" s="1"/>
  <c r="G64" i="14" s="1"/>
  <c r="G65" i="14" s="1"/>
  <c r="G66" i="14" s="1"/>
  <c r="G67" i="14" s="1"/>
  <c r="G68" i="14" s="1"/>
  <c r="G69" i="14" s="1"/>
  <c r="G70" i="14" s="1"/>
  <c r="N118" i="73" s="1"/>
  <c r="M118" i="41"/>
  <c r="M30" i="44" s="1"/>
  <c r="M146" i="44" s="1"/>
  <c r="D35" i="60" s="1"/>
  <c r="K193" i="44"/>
  <c r="J193" i="44"/>
  <c r="I193" i="44"/>
  <c r="H193" i="44"/>
  <c r="F193" i="44"/>
  <c r="G193" i="44"/>
  <c r="E193" i="44"/>
  <c r="D176" i="44"/>
  <c r="D196" i="44" s="1"/>
  <c r="F176" i="44"/>
  <c r="E176" i="44"/>
  <c r="J176" i="44"/>
  <c r="H183" i="44"/>
  <c r="G176" i="44"/>
  <c r="I176" i="44"/>
  <c r="D194" i="44"/>
  <c r="K197" i="44"/>
  <c r="F197" i="44"/>
  <c r="J197" i="44"/>
  <c r="G197" i="44"/>
  <c r="I197" i="44"/>
  <c r="I204" i="44"/>
  <c r="J180" i="44"/>
  <c r="F178" i="44"/>
  <c r="G182" i="44"/>
  <c r="I186" i="44"/>
  <c r="I178" i="44"/>
  <c r="J185" i="44"/>
  <c r="F175" i="44"/>
  <c r="H179" i="44"/>
  <c r="J174" i="44"/>
  <c r="D180" i="44"/>
  <c r="E179" i="44"/>
  <c r="D178" i="44"/>
  <c r="H174" i="44"/>
  <c r="I175" i="44"/>
  <c r="J175" i="44"/>
  <c r="F179" i="44"/>
  <c r="E175" i="44"/>
  <c r="G174" i="44"/>
  <c r="E180" i="44"/>
  <c r="F174" i="44"/>
  <c r="G179" i="44"/>
  <c r="H178" i="44"/>
  <c r="E174" i="44"/>
  <c r="E194" i="44" s="1"/>
  <c r="G178" i="44"/>
  <c r="I174" i="44"/>
  <c r="F180" i="44"/>
  <c r="D182" i="44"/>
  <c r="D202" i="44" s="1"/>
  <c r="I180" i="44"/>
  <c r="D186" i="44"/>
  <c r="H180" i="44"/>
  <c r="E185" i="44"/>
  <c r="G180" i="44"/>
  <c r="C178" i="44"/>
  <c r="C186" i="44"/>
  <c r="C180" i="44"/>
  <c r="C106" i="11"/>
  <c r="Z55" i="2" s="1"/>
  <c r="I147" i="10"/>
  <c r="H143" i="10"/>
  <c r="I142" i="10"/>
  <c r="J146" i="10"/>
  <c r="J142" i="51"/>
  <c r="K146" i="51"/>
  <c r="K204" i="44"/>
  <c r="K182" i="44"/>
  <c r="K180" i="44"/>
  <c r="K183" i="44"/>
  <c r="K185" i="44"/>
  <c r="K174" i="44"/>
  <c r="C39" i="60"/>
  <c r="M39" i="60"/>
  <c r="M35" i="60"/>
  <c r="C35" i="60"/>
  <c r="C34" i="60"/>
  <c r="H182" i="44"/>
  <c r="C8" i="60"/>
  <c r="AT47" i="14"/>
  <c r="AU47" i="14" s="1"/>
  <c r="C47" i="14"/>
  <c r="BS51" i="2"/>
  <c r="BS52" i="2"/>
  <c r="BS53" i="2"/>
  <c r="BS54" i="2"/>
  <c r="BS55" i="2"/>
  <c r="BS56" i="2"/>
  <c r="BS57" i="2"/>
  <c r="BS58" i="2"/>
  <c r="BS59" i="2"/>
  <c r="BS60" i="2"/>
  <c r="BS61" i="2"/>
  <c r="BS50" i="2"/>
  <c r="R50" i="25" s="1"/>
  <c r="BQ82" i="2"/>
  <c r="AT16" i="14"/>
  <c r="BE16" i="14"/>
  <c r="BK16" i="14"/>
  <c r="BE47" i="14"/>
  <c r="AD47" i="14"/>
  <c r="AD20" i="14"/>
  <c r="AA21" i="14"/>
  <c r="U21" i="14"/>
  <c r="BI17" i="14"/>
  <c r="BI18" i="14" s="1"/>
  <c r="BI19" i="14" s="1"/>
  <c r="BI20" i="14" s="1"/>
  <c r="BI21" i="14" s="1"/>
  <c r="BK84" i="2"/>
  <c r="U97" i="11"/>
  <c r="D42" i="12" s="1"/>
  <c r="BC17" i="14"/>
  <c r="BC18" i="14" s="1"/>
  <c r="BC19" i="14" s="1"/>
  <c r="BC20" i="14" s="1"/>
  <c r="BC21" i="14" s="1"/>
  <c r="BQ77" i="2"/>
  <c r="BQ80" i="2"/>
  <c r="BK76" i="2"/>
  <c r="BQ78" i="2"/>
  <c r="BK74" i="2"/>
  <c r="BQ83" i="2"/>
  <c r="BK83" i="2"/>
  <c r="BK82" i="2"/>
  <c r="BQ75" i="2"/>
  <c r="BK78" i="2"/>
  <c r="BQ79" i="2"/>
  <c r="BK77" i="2"/>
  <c r="BQ74" i="2"/>
  <c r="BQ76" i="2"/>
  <c r="BK81" i="2"/>
  <c r="CV12" i="39"/>
  <c r="CY12" i="39" s="1"/>
  <c r="BQ85" i="2"/>
  <c r="BK85" i="2"/>
  <c r="BK75" i="2"/>
  <c r="BK79" i="2"/>
  <c r="BQ84" i="2"/>
  <c r="DF12" i="39"/>
  <c r="DI12" i="39" s="1"/>
  <c r="U55" i="35"/>
  <c r="U57" i="35"/>
  <c r="U61" i="35"/>
  <c r="U60" i="35"/>
  <c r="U56" i="35"/>
  <c r="U59" i="35"/>
  <c r="U58" i="35"/>
  <c r="U53" i="35"/>
  <c r="U52" i="35"/>
  <c r="U54" i="35"/>
  <c r="U51" i="35"/>
  <c r="U50" i="35"/>
  <c r="W52" i="34"/>
  <c r="W56" i="34"/>
  <c r="W55" i="34"/>
  <c r="W51" i="34"/>
  <c r="W59" i="34"/>
  <c r="W60" i="34"/>
  <c r="W58" i="34"/>
  <c r="W54" i="34"/>
  <c r="W57" i="34"/>
  <c r="W53" i="34"/>
  <c r="W61" i="34"/>
  <c r="W50" i="34"/>
  <c r="S56" i="30"/>
  <c r="S60" i="30"/>
  <c r="S57" i="30"/>
  <c r="S61" i="30"/>
  <c r="S58" i="30"/>
  <c r="S54" i="30"/>
  <c r="S53" i="30"/>
  <c r="S52" i="30"/>
  <c r="S51" i="30"/>
  <c r="S50" i="30"/>
  <c r="S55" i="30"/>
  <c r="S59" i="30"/>
  <c r="U53" i="29"/>
  <c r="V53" i="29" s="1"/>
  <c r="U52" i="29"/>
  <c r="V52" i="29" s="1"/>
  <c r="U58" i="29"/>
  <c r="V58" i="29" s="1"/>
  <c r="U54" i="29"/>
  <c r="V54" i="29" s="1"/>
  <c r="U51" i="29"/>
  <c r="V51" i="29" s="1"/>
  <c r="U57" i="29"/>
  <c r="V57" i="29" s="1"/>
  <c r="U56" i="29"/>
  <c r="V56" i="29" s="1"/>
  <c r="U55" i="29"/>
  <c r="V55" i="29" s="1"/>
  <c r="U61" i="29"/>
  <c r="V61" i="29" s="1"/>
  <c r="U50" i="29"/>
  <c r="V50" i="29" s="1"/>
  <c r="U60" i="29"/>
  <c r="V60" i="29" s="1"/>
  <c r="U59" i="29"/>
  <c r="V59" i="29" s="1"/>
  <c r="C16" i="14"/>
  <c r="W61" i="28"/>
  <c r="X61" i="28" s="1"/>
  <c r="W55" i="28"/>
  <c r="X55" i="28" s="1"/>
  <c r="W60" i="28"/>
  <c r="X60" i="28" s="1"/>
  <c r="W70" i="28"/>
  <c r="X70" i="28" s="1"/>
  <c r="W56" i="28"/>
  <c r="X56" i="28" s="1"/>
  <c r="W59" i="28"/>
  <c r="X59" i="28" s="1"/>
  <c r="W52" i="28"/>
  <c r="X52" i="28" s="1"/>
  <c r="W57" i="28"/>
  <c r="X57" i="28" s="1"/>
  <c r="W53" i="28"/>
  <c r="X53" i="28" s="1"/>
  <c r="W50" i="28"/>
  <c r="X50" i="28" s="1"/>
  <c r="W51" i="28"/>
  <c r="X51" i="28" s="1"/>
  <c r="W58" i="28"/>
  <c r="X58" i="28" s="1"/>
  <c r="W54" i="28"/>
  <c r="X54" i="28" s="1"/>
  <c r="BN50" i="2"/>
  <c r="T50" i="24"/>
  <c r="U50" i="24" s="1"/>
  <c r="BN55" i="2"/>
  <c r="T55" i="24"/>
  <c r="U55" i="24" s="1"/>
  <c r="V55" i="24" s="1"/>
  <c r="W55" i="24" s="1"/>
  <c r="BN57" i="2"/>
  <c r="T57" i="24"/>
  <c r="U57" i="24" s="1"/>
  <c r="V57" i="24" s="1"/>
  <c r="W57" i="24" s="1"/>
  <c r="BN61" i="2"/>
  <c r="T61" i="24"/>
  <c r="U61" i="24" s="1"/>
  <c r="V61" i="24" s="1"/>
  <c r="W61" i="24" s="1"/>
  <c r="BN60" i="2"/>
  <c r="T60" i="24"/>
  <c r="U60" i="24" s="1"/>
  <c r="V60" i="24" s="1"/>
  <c r="W60" i="24" s="1"/>
  <c r="BN56" i="2"/>
  <c r="T56" i="24"/>
  <c r="U56" i="24" s="1"/>
  <c r="V56" i="24" s="1"/>
  <c r="W56" i="24" s="1"/>
  <c r="BN59" i="2"/>
  <c r="T59" i="24"/>
  <c r="U59" i="24" s="1"/>
  <c r="V59" i="24" s="1"/>
  <c r="W59" i="24" s="1"/>
  <c r="BN58" i="2"/>
  <c r="T58" i="24"/>
  <c r="U58" i="24" s="1"/>
  <c r="V58" i="24" s="1"/>
  <c r="W58" i="24" s="1"/>
  <c r="BN53" i="2"/>
  <c r="T53" i="24"/>
  <c r="U53" i="24" s="1"/>
  <c r="V53" i="24" s="1"/>
  <c r="W53" i="24" s="1"/>
  <c r="BN52" i="2"/>
  <c r="T52" i="24"/>
  <c r="U52" i="24" s="1"/>
  <c r="V52" i="24" s="1"/>
  <c r="W52" i="24" s="1"/>
  <c r="BN54" i="2"/>
  <c r="T54" i="24"/>
  <c r="U54" i="24" s="1"/>
  <c r="V54" i="24" s="1"/>
  <c r="W54" i="24" s="1"/>
  <c r="BN51" i="2"/>
  <c r="T51" i="24"/>
  <c r="U51" i="24" s="1"/>
  <c r="V51" i="24" s="1"/>
  <c r="W51" i="24" s="1"/>
  <c r="BH57" i="2"/>
  <c r="V57" i="23"/>
  <c r="W57" i="23" s="1"/>
  <c r="BH53" i="2"/>
  <c r="V53" i="23"/>
  <c r="W53" i="23" s="1"/>
  <c r="BH61" i="2"/>
  <c r="V61" i="23"/>
  <c r="W61" i="23" s="1"/>
  <c r="BH50" i="2"/>
  <c r="V50" i="23"/>
  <c r="W50" i="23" s="1"/>
  <c r="BH52" i="2"/>
  <c r="V52" i="23"/>
  <c r="W52" i="23" s="1"/>
  <c r="BH56" i="2"/>
  <c r="V56" i="23"/>
  <c r="W56" i="23" s="1"/>
  <c r="BH55" i="2"/>
  <c r="V55" i="23"/>
  <c r="W55" i="23" s="1"/>
  <c r="BH51" i="2"/>
  <c r="V51" i="23"/>
  <c r="W51" i="23" s="1"/>
  <c r="BH59" i="2"/>
  <c r="V59" i="23"/>
  <c r="W59" i="23" s="1"/>
  <c r="BH60" i="2"/>
  <c r="V60" i="23"/>
  <c r="W60" i="23" s="1"/>
  <c r="BH58" i="2"/>
  <c r="V58" i="23"/>
  <c r="W58" i="23" s="1"/>
  <c r="BH54" i="2"/>
  <c r="V54" i="23"/>
  <c r="W54" i="23" s="1"/>
  <c r="F24" i="11"/>
  <c r="F26" i="11" s="1"/>
  <c r="F28" i="11" s="1"/>
  <c r="F66" i="11" s="1"/>
  <c r="F68" i="11" s="1"/>
  <c r="U50" i="2"/>
  <c r="R50" i="18"/>
  <c r="S50" i="18" s="1"/>
  <c r="U55" i="2"/>
  <c r="R55" i="18"/>
  <c r="S55" i="18" s="1"/>
  <c r="U59" i="2"/>
  <c r="R59" i="18"/>
  <c r="S59" i="18" s="1"/>
  <c r="U56" i="2"/>
  <c r="R56" i="18"/>
  <c r="S56" i="18" s="1"/>
  <c r="U60" i="2"/>
  <c r="R60" i="18"/>
  <c r="S60" i="18" s="1"/>
  <c r="U57" i="2"/>
  <c r="R57" i="18"/>
  <c r="S57" i="18" s="1"/>
  <c r="U61" i="2"/>
  <c r="R61" i="18"/>
  <c r="S61" i="18" s="1"/>
  <c r="U58" i="2"/>
  <c r="R58" i="18"/>
  <c r="S58" i="18" s="1"/>
  <c r="U54" i="2"/>
  <c r="R54" i="18"/>
  <c r="S54" i="18" s="1"/>
  <c r="U53" i="2"/>
  <c r="R53" i="18"/>
  <c r="S53" i="18" s="1"/>
  <c r="U52" i="2"/>
  <c r="R52" i="18"/>
  <c r="S52" i="18" s="1"/>
  <c r="U51" i="2"/>
  <c r="R51" i="18"/>
  <c r="S51" i="18" s="1"/>
  <c r="O55" i="2"/>
  <c r="T55" i="19"/>
  <c r="U55" i="19" s="1"/>
  <c r="O61" i="2"/>
  <c r="T61" i="19"/>
  <c r="U61" i="19" s="1"/>
  <c r="O50" i="2"/>
  <c r="T50" i="19"/>
  <c r="U50" i="19" s="1"/>
  <c r="O60" i="2"/>
  <c r="T60" i="19"/>
  <c r="U60" i="19" s="1"/>
  <c r="O59" i="2"/>
  <c r="T59" i="19"/>
  <c r="U59" i="19" s="1"/>
  <c r="O53" i="2"/>
  <c r="T53" i="19"/>
  <c r="U53" i="19" s="1"/>
  <c r="O52" i="2"/>
  <c r="T52" i="19"/>
  <c r="U52" i="19" s="1"/>
  <c r="O58" i="2"/>
  <c r="T58" i="19"/>
  <c r="U58" i="19" s="1"/>
  <c r="O54" i="2"/>
  <c r="T54" i="19"/>
  <c r="U54" i="19" s="1"/>
  <c r="O51" i="2"/>
  <c r="T51" i="19"/>
  <c r="U51" i="19" s="1"/>
  <c r="O57" i="2"/>
  <c r="T57" i="19"/>
  <c r="U57" i="19" s="1"/>
  <c r="O56" i="2"/>
  <c r="T56" i="19"/>
  <c r="U56" i="19" s="1"/>
  <c r="I53" i="2"/>
  <c r="V53" i="17"/>
  <c r="W53" i="17" s="1"/>
  <c r="X53" i="17" s="1"/>
  <c r="I50" i="2"/>
  <c r="V50" i="17"/>
  <c r="W50" i="17" s="1"/>
  <c r="X50" i="17" s="1"/>
  <c r="I51" i="2"/>
  <c r="V51" i="17"/>
  <c r="W51" i="17" s="1"/>
  <c r="X51" i="17" s="1"/>
  <c r="I58" i="2"/>
  <c r="V58" i="17"/>
  <c r="W58" i="17" s="1"/>
  <c r="X58" i="17" s="1"/>
  <c r="I54" i="2"/>
  <c r="V54" i="17"/>
  <c r="W54" i="17" s="1"/>
  <c r="X54" i="17" s="1"/>
  <c r="I61" i="2"/>
  <c r="V61" i="17"/>
  <c r="W61" i="17" s="1"/>
  <c r="X61" i="17" s="1"/>
  <c r="I60" i="2"/>
  <c r="V60" i="17"/>
  <c r="W60" i="17" s="1"/>
  <c r="X60" i="17" s="1"/>
  <c r="I70" i="2"/>
  <c r="V70" i="17"/>
  <c r="W70" i="17" s="1"/>
  <c r="X70" i="17" s="1"/>
  <c r="I56" i="2"/>
  <c r="V56" i="17"/>
  <c r="W56" i="17" s="1"/>
  <c r="X56" i="17" s="1"/>
  <c r="I59" i="2"/>
  <c r="V59" i="17"/>
  <c r="W59" i="17" s="1"/>
  <c r="X59" i="17" s="1"/>
  <c r="I52" i="2"/>
  <c r="V52" i="17"/>
  <c r="W52" i="17" s="1"/>
  <c r="X52" i="17" s="1"/>
  <c r="I57" i="2"/>
  <c r="V57" i="17"/>
  <c r="W57" i="17" s="1"/>
  <c r="X57" i="17" s="1"/>
  <c r="I55" i="2"/>
  <c r="V55" i="17"/>
  <c r="W55" i="17" s="1"/>
  <c r="X55" i="17" s="1"/>
  <c r="U77" i="11"/>
  <c r="V20" i="11"/>
  <c r="AM92" i="7"/>
  <c r="F67" i="11"/>
  <c r="X40" i="8"/>
  <c r="Z40" i="8" s="1"/>
  <c r="AH40" i="8" s="1"/>
  <c r="Q30" i="41"/>
  <c r="Q32" i="41"/>
  <c r="AR38" i="7"/>
  <c r="AR40" i="7"/>
  <c r="AC54" i="8"/>
  <c r="AR36" i="7"/>
  <c r="X54" i="11"/>
  <c r="X57" i="11" s="1"/>
  <c r="X59" i="11" s="1"/>
  <c r="X61" i="11" s="1"/>
  <c r="X78" i="11" s="1"/>
  <c r="V81" i="11"/>
  <c r="AC53" i="8"/>
  <c r="Q31" i="41"/>
  <c r="AR41" i="7"/>
  <c r="H81" i="11"/>
  <c r="X39" i="8"/>
  <c r="Z39" i="8" s="1"/>
  <c r="AH39" i="8" s="1"/>
  <c r="AH21" i="5"/>
  <c r="X38" i="8"/>
  <c r="Z38" i="8" s="1"/>
  <c r="AH38" i="8" s="1"/>
  <c r="R28" i="73" s="1"/>
  <c r="X41" i="8"/>
  <c r="Z41" i="8" s="1"/>
  <c r="AH41" i="8" s="1"/>
  <c r="L201" i="5"/>
  <c r="AF21" i="5" s="1"/>
  <c r="X57" i="8"/>
  <c r="BP117" i="2"/>
  <c r="BP116" i="2"/>
  <c r="BP111" i="2"/>
  <c r="BP114" i="2"/>
  <c r="BP113" i="2"/>
  <c r="BP119" i="2"/>
  <c r="BP112" i="2"/>
  <c r="BP121" i="2"/>
  <c r="BP115" i="2"/>
  <c r="AR51" i="7"/>
  <c r="BP120" i="2"/>
  <c r="L37" i="41"/>
  <c r="BP118" i="2"/>
  <c r="AG15" i="14"/>
  <c r="AK15" i="14"/>
  <c r="BJ118" i="2"/>
  <c r="AQ43" i="7"/>
  <c r="BJ111" i="2"/>
  <c r="BJ114" i="2"/>
  <c r="BJ121" i="2"/>
  <c r="BJ115" i="2"/>
  <c r="BJ116" i="2"/>
  <c r="BW78" i="2"/>
  <c r="BK94" i="2"/>
  <c r="BQ89" i="2"/>
  <c r="BW83" i="2"/>
  <c r="BJ117" i="2"/>
  <c r="BK93" i="2"/>
  <c r="BQ96" i="2"/>
  <c r="BK88" i="2"/>
  <c r="BQ92" i="2"/>
  <c r="BK92" i="2"/>
  <c r="AI50" i="5"/>
  <c r="BP105" i="2"/>
  <c r="BP107" i="2"/>
  <c r="BP106" i="2"/>
  <c r="BP109" i="2"/>
  <c r="BP108" i="2"/>
  <c r="BP101" i="2"/>
  <c r="BP103" i="2"/>
  <c r="BP104" i="2"/>
  <c r="BP102" i="2"/>
  <c r="BP98" i="2"/>
  <c r="BP100" i="2"/>
  <c r="BP99" i="2"/>
  <c r="BE80" i="2"/>
  <c r="BK96" i="2"/>
  <c r="AI24" i="5"/>
  <c r="AI51" i="5"/>
  <c r="BV96" i="2"/>
  <c r="BV92" i="2"/>
  <c r="BV89" i="2"/>
  <c r="BV88" i="2"/>
  <c r="BV94" i="2"/>
  <c r="BV86" i="2"/>
  <c r="BV97" i="2"/>
  <c r="BV90" i="2"/>
  <c r="BV95" i="2"/>
  <c r="BV93" i="2"/>
  <c r="BV87" i="2"/>
  <c r="BV91" i="2"/>
  <c r="FZ81" i="2"/>
  <c r="FC93" i="3" s="1"/>
  <c r="D81" i="25"/>
  <c r="D81" i="36"/>
  <c r="BE81" i="2"/>
  <c r="BK87" i="2"/>
  <c r="O37" i="41"/>
  <c r="BW76" i="2"/>
  <c r="BE74" i="2"/>
  <c r="CL12" i="39"/>
  <c r="CO12" i="39" s="1"/>
  <c r="BK110" i="2"/>
  <c r="BJ120" i="2"/>
  <c r="AH52" i="5"/>
  <c r="AH25" i="5"/>
  <c r="DI16" i="39" s="1"/>
  <c r="BW81" i="2"/>
  <c r="BE83" i="2"/>
  <c r="AG25" i="5"/>
  <c r="CY16" i="39" s="1"/>
  <c r="AG52" i="5"/>
  <c r="C136" i="29"/>
  <c r="A137" i="29"/>
  <c r="B136" i="29"/>
  <c r="BJ113" i="2"/>
  <c r="W38" i="8"/>
  <c r="AG38" i="8" s="1"/>
  <c r="Q28" i="73" s="1"/>
  <c r="Q37" i="73" s="1"/>
  <c r="U45" i="8"/>
  <c r="W45" i="8" s="1"/>
  <c r="BQ110" i="2"/>
  <c r="BQ95" i="2"/>
  <c r="DQ12" i="39"/>
  <c r="DT12" i="39" s="1"/>
  <c r="BW74" i="2"/>
  <c r="BE75" i="2"/>
  <c r="AF50" i="5"/>
  <c r="BQ94" i="2"/>
  <c r="BW80" i="2"/>
  <c r="BE85" i="2"/>
  <c r="BJ105" i="2"/>
  <c r="BJ100" i="2"/>
  <c r="BJ109" i="2"/>
  <c r="BJ98" i="2"/>
  <c r="BJ99" i="2"/>
  <c r="BJ106" i="2"/>
  <c r="BJ104" i="2"/>
  <c r="BJ107" i="2"/>
  <c r="BJ103" i="2"/>
  <c r="BJ102" i="2"/>
  <c r="BJ101" i="2"/>
  <c r="BJ108" i="2"/>
  <c r="AF24" i="5"/>
  <c r="AF51" i="5"/>
  <c r="BQ91" i="2"/>
  <c r="P37" i="41"/>
  <c r="BW82" i="2"/>
  <c r="BE77" i="2"/>
  <c r="CV13" i="39"/>
  <c r="CY13" i="39" s="1"/>
  <c r="BK86" i="2"/>
  <c r="BQ90" i="2"/>
  <c r="BW79" i="2"/>
  <c r="BE76" i="2"/>
  <c r="BK91" i="2"/>
  <c r="N57" i="8"/>
  <c r="DF13" i="39"/>
  <c r="DI13" i="39" s="1"/>
  <c r="BQ86" i="2"/>
  <c r="BW85" i="2"/>
  <c r="BE82" i="2"/>
  <c r="BK97" i="2"/>
  <c r="S57" i="8"/>
  <c r="BQ93" i="2"/>
  <c r="BW77" i="2"/>
  <c r="BE79" i="2"/>
  <c r="BK90" i="2"/>
  <c r="BQ87" i="2"/>
  <c r="N37" i="41"/>
  <c r="BW84" i="2"/>
  <c r="M37" i="41"/>
  <c r="BE84" i="2"/>
  <c r="BJ119" i="2"/>
  <c r="BK95" i="2"/>
  <c r="FY80" i="2"/>
  <c r="FB92" i="3" s="1"/>
  <c r="D80" i="24"/>
  <c r="D80" i="35"/>
  <c r="BD95" i="2"/>
  <c r="BD93" i="2"/>
  <c r="BD96" i="2"/>
  <c r="BD90" i="2"/>
  <c r="BD92" i="2"/>
  <c r="BD94" i="2"/>
  <c r="BD91" i="2"/>
  <c r="BD86" i="2"/>
  <c r="BD88" i="2"/>
  <c r="BD89" i="2"/>
  <c r="BD87" i="2"/>
  <c r="BD97" i="2"/>
  <c r="BQ88" i="2"/>
  <c r="BW75" i="2"/>
  <c r="BE78" i="2"/>
  <c r="BJ112" i="2"/>
  <c r="BK89" i="2"/>
  <c r="BQ97" i="2"/>
  <c r="AB58" i="5"/>
  <c r="Y58" i="5"/>
  <c r="Z58" i="5"/>
  <c r="L70" i="44"/>
  <c r="L24" i="44"/>
  <c r="L20" i="44"/>
  <c r="AA58" i="5"/>
  <c r="X58" i="5"/>
  <c r="W57" i="5"/>
  <c r="G22" i="39"/>
  <c r="I31" i="11"/>
  <c r="I32" i="11" s="1"/>
  <c r="I36" i="11" s="1"/>
  <c r="EP15" i="39"/>
  <c r="EQ15" i="39" s="1"/>
  <c r="EI15" i="39"/>
  <c r="EJ15" i="39" s="1"/>
  <c r="EK15" i="39" s="1"/>
  <c r="L21" i="73" s="1"/>
  <c r="CC15" i="39"/>
  <c r="CD15" i="39" s="1"/>
  <c r="CD16" i="39" s="1"/>
  <c r="BV15" i="39"/>
  <c r="BW15" i="39" s="1"/>
  <c r="BO15" i="39"/>
  <c r="BP15" i="39" s="1"/>
  <c r="AB16" i="14"/>
  <c r="AA59" i="14" s="1"/>
  <c r="AA60" i="14" s="1"/>
  <c r="AA61" i="14" s="1"/>
  <c r="AA62" i="14" s="1"/>
  <c r="AA63" i="14" s="1"/>
  <c r="AA64" i="14" s="1"/>
  <c r="AA65" i="14" s="1"/>
  <c r="AA66" i="14" s="1"/>
  <c r="AA67" i="14" s="1"/>
  <c r="AA68" i="14" s="1"/>
  <c r="AA69" i="14" s="1"/>
  <c r="AA70" i="14" s="1"/>
  <c r="H48" i="14"/>
  <c r="G186" i="44"/>
  <c r="I179" i="44"/>
  <c r="F186" i="44"/>
  <c r="K176" i="44"/>
  <c r="F204" i="44"/>
  <c r="E182" i="44"/>
  <c r="F182" i="44"/>
  <c r="D175" i="44"/>
  <c r="D195" i="44" s="1"/>
  <c r="H185" i="44"/>
  <c r="H175" i="44"/>
  <c r="I182" i="44"/>
  <c r="H197" i="44"/>
  <c r="E186" i="44"/>
  <c r="G204" i="44"/>
  <c r="J178" i="44"/>
  <c r="J204" i="44"/>
  <c r="D179" i="44"/>
  <c r="E183" i="44"/>
  <c r="G185" i="44"/>
  <c r="D183" i="44"/>
  <c r="D203" i="44" s="1"/>
  <c r="J186" i="44"/>
  <c r="G183" i="44"/>
  <c r="K175" i="44"/>
  <c r="H176" i="44"/>
  <c r="I183" i="44"/>
  <c r="H186" i="44"/>
  <c r="K178" i="44"/>
  <c r="E178" i="44"/>
  <c r="G175" i="44"/>
  <c r="F185" i="44"/>
  <c r="I185" i="44"/>
  <c r="C185" i="44"/>
  <c r="C179" i="44"/>
  <c r="J183" i="44"/>
  <c r="K186" i="44"/>
  <c r="D185" i="44"/>
  <c r="C143" i="44"/>
  <c r="F183" i="44"/>
  <c r="H204" i="44"/>
  <c r="J182" i="44"/>
  <c r="M20" i="44"/>
  <c r="H143" i="44"/>
  <c r="H144" i="44"/>
  <c r="J143" i="44"/>
  <c r="J144" i="44"/>
  <c r="E143" i="44"/>
  <c r="E144" i="44"/>
  <c r="K143" i="44"/>
  <c r="K144" i="44"/>
  <c r="G143" i="44"/>
  <c r="G144" i="44"/>
  <c r="D143" i="44"/>
  <c r="D144" i="44"/>
  <c r="I143" i="44"/>
  <c r="I144" i="44"/>
  <c r="F143" i="44"/>
  <c r="F144" i="44"/>
  <c r="R26" i="40"/>
  <c r="BH22" i="39"/>
  <c r="AW22" i="39"/>
  <c r="J27" i="40" s="1"/>
  <c r="G75" i="11"/>
  <c r="V75" i="11"/>
  <c r="G172" i="44"/>
  <c r="H172" i="44"/>
  <c r="I172" i="44"/>
  <c r="J172" i="44"/>
  <c r="D172" i="44"/>
  <c r="D192" i="44" s="1"/>
  <c r="F172" i="44"/>
  <c r="K172" i="44"/>
  <c r="V76" i="11"/>
  <c r="E172" i="44"/>
  <c r="H75" i="11"/>
  <c r="F88" i="11" s="1"/>
  <c r="G76" i="11"/>
  <c r="BR15" i="14"/>
  <c r="EC17" i="39"/>
  <c r="H35" i="11"/>
  <c r="H37" i="11" s="1"/>
  <c r="H39" i="11" s="1"/>
  <c r="H70" i="11" s="1"/>
  <c r="AB17" i="14"/>
  <c r="AA71" i="14" s="1"/>
  <c r="AA72" i="14" s="1"/>
  <c r="AA73" i="14" s="1"/>
  <c r="AA74" i="14" s="1"/>
  <c r="AA75" i="14" s="1"/>
  <c r="AA76" i="14" s="1"/>
  <c r="AA77" i="14" s="1"/>
  <c r="AA78" i="14" s="1"/>
  <c r="AA79" i="14" s="1"/>
  <c r="AA80" i="14" s="1"/>
  <c r="AA81" i="14" s="1"/>
  <c r="AA82" i="14" s="1"/>
  <c r="U68" i="11"/>
  <c r="U69" i="11" s="1"/>
  <c r="V67" i="11"/>
  <c r="EJ17" i="39"/>
  <c r="F72" i="11"/>
  <c r="G71" i="11"/>
  <c r="G17" i="14"/>
  <c r="BN15" i="14"/>
  <c r="H71" i="11"/>
  <c r="G72" i="11"/>
  <c r="W19" i="40"/>
  <c r="BH21" i="40"/>
  <c r="S20" i="40"/>
  <c r="T21" i="40"/>
  <c r="Q22" i="39"/>
  <c r="N35" i="60" l="1"/>
  <c r="E105" i="11"/>
  <c r="T83" i="2" s="1"/>
  <c r="M93" i="73"/>
  <c r="T105" i="11"/>
  <c r="BM78" i="2" s="1"/>
  <c r="F105" i="11"/>
  <c r="T90" i="2" s="1"/>
  <c r="V69" i="17"/>
  <c r="W69" i="17" s="1"/>
  <c r="X69" i="17" s="1"/>
  <c r="Y69" i="17" s="1"/>
  <c r="U106" i="11"/>
  <c r="BS92" i="2" s="1"/>
  <c r="V106" i="11"/>
  <c r="BS106" i="2" s="1"/>
  <c r="T103" i="11"/>
  <c r="BG82" i="2" s="1"/>
  <c r="I63" i="2"/>
  <c r="D63" i="28" s="1"/>
  <c r="N71" i="2"/>
  <c r="O71" i="2" s="1"/>
  <c r="N69" i="2"/>
  <c r="O69" i="2" s="1"/>
  <c r="I71" i="2"/>
  <c r="FO71" i="2" s="1"/>
  <c r="EU83" i="3" s="1"/>
  <c r="N68" i="2"/>
  <c r="O68" i="2" s="1"/>
  <c r="N72" i="2"/>
  <c r="U72" i="29" s="1"/>
  <c r="V72" i="29" s="1"/>
  <c r="N70" i="2"/>
  <c r="O70" i="2" s="1"/>
  <c r="V67" i="17"/>
  <c r="W67" i="17" s="1"/>
  <c r="X67" i="17" s="1"/>
  <c r="Y67" i="17" s="1"/>
  <c r="I73" i="2"/>
  <c r="D73" i="28" s="1"/>
  <c r="I67" i="2"/>
  <c r="D67" i="28" s="1"/>
  <c r="N67" i="2"/>
  <c r="O67" i="2" s="1"/>
  <c r="N65" i="2"/>
  <c r="O65" i="2" s="1"/>
  <c r="N66" i="2"/>
  <c r="T66" i="19" s="1"/>
  <c r="U66" i="19" s="1"/>
  <c r="V71" i="17"/>
  <c r="W71" i="17" s="1"/>
  <c r="X71" i="17" s="1"/>
  <c r="Y71" i="17" s="1"/>
  <c r="N64" i="2"/>
  <c r="T64" i="19" s="1"/>
  <c r="U64" i="19" s="1"/>
  <c r="N62" i="2"/>
  <c r="O62" i="2" s="1"/>
  <c r="V68" i="17"/>
  <c r="W68" i="17" s="1"/>
  <c r="X68" i="17" s="1"/>
  <c r="Y68" i="17" s="1"/>
  <c r="N63" i="2"/>
  <c r="U63" i="29" s="1"/>
  <c r="V63" i="29" s="1"/>
  <c r="I66" i="2"/>
  <c r="FO66" i="2" s="1"/>
  <c r="EU78" i="3" s="1"/>
  <c r="W69" i="28"/>
  <c r="X69" i="28" s="1"/>
  <c r="G106" i="11"/>
  <c r="Z107" i="2" s="1"/>
  <c r="E106" i="11"/>
  <c r="Z85" i="2" s="1"/>
  <c r="F106" i="11"/>
  <c r="Z96" i="2" s="1"/>
  <c r="V64" i="17"/>
  <c r="W64" i="17" s="1"/>
  <c r="X64" i="17" s="1"/>
  <c r="Y64" i="17" s="1"/>
  <c r="I68" i="2"/>
  <c r="FO68" i="2" s="1"/>
  <c r="EU80" i="3" s="1"/>
  <c r="W68" i="28"/>
  <c r="X68" i="28" s="1"/>
  <c r="W63" i="28"/>
  <c r="X63" i="28" s="1"/>
  <c r="W67" i="28"/>
  <c r="X67" i="28" s="1"/>
  <c r="V73" i="17"/>
  <c r="W73" i="17" s="1"/>
  <c r="X73" i="17" s="1"/>
  <c r="Y73" i="17" s="1"/>
  <c r="W73" i="28"/>
  <c r="X73" i="28" s="1"/>
  <c r="W71" i="28"/>
  <c r="X71" i="28" s="1"/>
  <c r="E104" i="11"/>
  <c r="N74" i="2" s="1"/>
  <c r="W66" i="28"/>
  <c r="X66" i="28" s="1"/>
  <c r="V66" i="17"/>
  <c r="W66" i="17" s="1"/>
  <c r="X66" i="17" s="1"/>
  <c r="Y66" i="17" s="1"/>
  <c r="V62" i="17"/>
  <c r="W62" i="17" s="1"/>
  <c r="X62" i="17" s="1"/>
  <c r="Y62" i="17" s="1"/>
  <c r="I62" i="2"/>
  <c r="FO62" i="2" s="1"/>
  <c r="EU74" i="3" s="1"/>
  <c r="T106" i="11"/>
  <c r="BS81" i="2" s="1"/>
  <c r="W64" i="28"/>
  <c r="X64" i="28" s="1"/>
  <c r="M110" i="41"/>
  <c r="M110" i="73"/>
  <c r="O94" i="41"/>
  <c r="O94" i="73"/>
  <c r="M111" i="73"/>
  <c r="M111" i="41"/>
  <c r="M100" i="73"/>
  <c r="M100" i="41"/>
  <c r="M99" i="73"/>
  <c r="M99" i="41"/>
  <c r="R98" i="41"/>
  <c r="R98" i="73"/>
  <c r="N109" i="73"/>
  <c r="N109" i="41"/>
  <c r="N108" i="41"/>
  <c r="N108" i="73"/>
  <c r="M95" i="73"/>
  <c r="M95" i="41"/>
  <c r="R97" i="73"/>
  <c r="R97" i="41"/>
  <c r="Q97" i="73"/>
  <c r="Q97" i="41"/>
  <c r="V72" i="17"/>
  <c r="W72" i="17" s="1"/>
  <c r="X72" i="17" s="1"/>
  <c r="Y72" i="17" s="1"/>
  <c r="W72" i="28"/>
  <c r="X72" i="28" s="1"/>
  <c r="M106" i="73"/>
  <c r="N93" i="41"/>
  <c r="M70" i="44"/>
  <c r="N106" i="41"/>
  <c r="H196" i="44"/>
  <c r="G196" i="44"/>
  <c r="E196" i="44"/>
  <c r="F196" i="44"/>
  <c r="K196" i="44"/>
  <c r="W65" i="28"/>
  <c r="X65" i="28" s="1"/>
  <c r="I64" i="2"/>
  <c r="FO64" i="2" s="1"/>
  <c r="EU76" i="3" s="1"/>
  <c r="W62" i="28"/>
  <c r="X62" i="28" s="1"/>
  <c r="T136" i="29"/>
  <c r="V65" i="17"/>
  <c r="W65" i="17" s="1"/>
  <c r="X65" i="17" s="1"/>
  <c r="Y65" i="17" s="1"/>
  <c r="BR47" i="14"/>
  <c r="BR48" i="14" s="1"/>
  <c r="BR49" i="14" s="1"/>
  <c r="BR50" i="14" s="1"/>
  <c r="BR51" i="14" s="1"/>
  <c r="BR52" i="14" s="1"/>
  <c r="BR53" i="14" s="1"/>
  <c r="BR54" i="14" s="1"/>
  <c r="BR55" i="14" s="1"/>
  <c r="BR56" i="14" s="1"/>
  <c r="BR57" i="14" s="1"/>
  <c r="BR58" i="14" s="1"/>
  <c r="M135" i="73" s="1"/>
  <c r="BN47" i="14"/>
  <c r="BN48" i="14" s="1"/>
  <c r="BN49" i="14" s="1"/>
  <c r="BN50" i="14" s="1"/>
  <c r="BN51" i="14" s="1"/>
  <c r="BN52" i="14" s="1"/>
  <c r="BN53" i="14" s="1"/>
  <c r="BN54" i="14" s="1"/>
  <c r="BN55" i="14" s="1"/>
  <c r="BN56" i="14" s="1"/>
  <c r="BN57" i="14" s="1"/>
  <c r="BN58" i="14" s="1"/>
  <c r="M134" i="73" s="1"/>
  <c r="M147" i="44"/>
  <c r="R32" i="73"/>
  <c r="R30" i="73"/>
  <c r="R31" i="73"/>
  <c r="X21" i="14"/>
  <c r="AD21" i="14"/>
  <c r="V51" i="14"/>
  <c r="U52" i="14"/>
  <c r="AG47" i="14"/>
  <c r="AG48" i="14" s="1"/>
  <c r="AG49" i="14" s="1"/>
  <c r="AG50" i="14" s="1"/>
  <c r="AG51" i="14" s="1"/>
  <c r="AG52" i="14" s="1"/>
  <c r="AG53" i="14" s="1"/>
  <c r="AG54" i="14" s="1"/>
  <c r="AG55" i="14" s="1"/>
  <c r="AG56" i="14" s="1"/>
  <c r="AG57" i="14" s="1"/>
  <c r="AG58" i="14" s="1"/>
  <c r="M123" i="73" s="1"/>
  <c r="G71" i="14"/>
  <c r="G72" i="14" s="1"/>
  <c r="G73" i="14" s="1"/>
  <c r="G74" i="14" s="1"/>
  <c r="G75" i="14" s="1"/>
  <c r="G76" i="14" s="1"/>
  <c r="G77" i="14" s="1"/>
  <c r="G78" i="14" s="1"/>
  <c r="G79" i="14" s="1"/>
  <c r="G80" i="14" s="1"/>
  <c r="G81" i="14" s="1"/>
  <c r="G82" i="14" s="1"/>
  <c r="O118" i="73" s="1"/>
  <c r="N118" i="41"/>
  <c r="N30" i="44" s="1"/>
  <c r="N146" i="44" s="1"/>
  <c r="S50" i="36"/>
  <c r="T50" i="36" s="1"/>
  <c r="R61" i="25"/>
  <c r="S61" i="25" s="1"/>
  <c r="T61" i="25" s="1"/>
  <c r="U61" i="25" s="1"/>
  <c r="S59" i="36"/>
  <c r="T59" i="36" s="1"/>
  <c r="S58" i="36"/>
  <c r="T58" i="36" s="1"/>
  <c r="S55" i="36"/>
  <c r="T55" i="36" s="1"/>
  <c r="S54" i="36"/>
  <c r="T54" i="36" s="1"/>
  <c r="S52" i="36"/>
  <c r="T52" i="36" s="1"/>
  <c r="R51" i="25"/>
  <c r="S51" i="25" s="1"/>
  <c r="T51" i="25" s="1"/>
  <c r="U51" i="25" s="1"/>
  <c r="AK47" i="14"/>
  <c r="AK48" i="14" s="1"/>
  <c r="AK49" i="14" s="1"/>
  <c r="AK50" i="14" s="1"/>
  <c r="AK51" i="14" s="1"/>
  <c r="AK52" i="14" s="1"/>
  <c r="AK53" i="14" s="1"/>
  <c r="AK54" i="14" s="1"/>
  <c r="AK55" i="14" s="1"/>
  <c r="AK56" i="14" s="1"/>
  <c r="AK57" i="14" s="1"/>
  <c r="AK58" i="14" s="1"/>
  <c r="M124" i="73" s="1"/>
  <c r="J196" i="44"/>
  <c r="H203" i="44"/>
  <c r="I203" i="44"/>
  <c r="I206" i="44"/>
  <c r="I200" i="44"/>
  <c r="H200" i="44"/>
  <c r="J206" i="44"/>
  <c r="E198" i="44"/>
  <c r="H194" i="44"/>
  <c r="I194" i="44"/>
  <c r="G202" i="44"/>
  <c r="E199" i="44"/>
  <c r="D198" i="44"/>
  <c r="F200" i="44"/>
  <c r="E200" i="44"/>
  <c r="I195" i="44"/>
  <c r="E202" i="44"/>
  <c r="G195" i="44"/>
  <c r="I198" i="44"/>
  <c r="F199" i="44"/>
  <c r="J195" i="44"/>
  <c r="G194" i="44"/>
  <c r="D206" i="44"/>
  <c r="J200" i="44"/>
  <c r="G199" i="44"/>
  <c r="H199" i="44"/>
  <c r="K195" i="44"/>
  <c r="H198" i="44"/>
  <c r="J194" i="44"/>
  <c r="G200" i="44"/>
  <c r="AT17" i="14"/>
  <c r="J198" i="44"/>
  <c r="K194" i="44"/>
  <c r="K200" i="44"/>
  <c r="D200" i="44"/>
  <c r="F194" i="44"/>
  <c r="F205" i="44"/>
  <c r="E206" i="44"/>
  <c r="G198" i="44"/>
  <c r="H202" i="44"/>
  <c r="F195" i="44"/>
  <c r="K205" i="44"/>
  <c r="K202" i="44"/>
  <c r="E23" i="12"/>
  <c r="F23" i="12"/>
  <c r="BI17" i="39" s="1"/>
  <c r="BK17" i="39" s="1"/>
  <c r="Z54" i="2"/>
  <c r="Z53" i="2"/>
  <c r="Z52" i="2"/>
  <c r="Z51" i="2"/>
  <c r="Z50" i="2"/>
  <c r="Z61" i="2"/>
  <c r="Z60" i="2"/>
  <c r="Z59" i="2"/>
  <c r="Z58" i="2"/>
  <c r="Z57" i="2"/>
  <c r="Z56" i="2"/>
  <c r="I142" i="51"/>
  <c r="J146" i="51"/>
  <c r="H142" i="10"/>
  <c r="I146" i="10"/>
  <c r="H147" i="10"/>
  <c r="G143" i="10"/>
  <c r="I202" i="44"/>
  <c r="M40" i="60"/>
  <c r="C40" i="60"/>
  <c r="M37" i="60"/>
  <c r="C37" i="60"/>
  <c r="M41" i="60"/>
  <c r="C41" i="60"/>
  <c r="M19" i="44"/>
  <c r="D77" i="25"/>
  <c r="AT48" i="14"/>
  <c r="AU48" i="14" s="1"/>
  <c r="AT59" i="14"/>
  <c r="AT60" i="14" s="1"/>
  <c r="AT61" i="14" s="1"/>
  <c r="AT62" i="14" s="1"/>
  <c r="AT63" i="14" s="1"/>
  <c r="AT64" i="14" s="1"/>
  <c r="AT65" i="14" s="1"/>
  <c r="AT66" i="14" s="1"/>
  <c r="AT67" i="14" s="1"/>
  <c r="AT68" i="14" s="1"/>
  <c r="AT69" i="14" s="1"/>
  <c r="AT70" i="14" s="1"/>
  <c r="C59" i="14"/>
  <c r="L134" i="44"/>
  <c r="W21" i="60"/>
  <c r="M135" i="44"/>
  <c r="N22" i="60"/>
  <c r="L135" i="44"/>
  <c r="M22" i="60"/>
  <c r="L139" i="44"/>
  <c r="M26" i="60"/>
  <c r="D83" i="24"/>
  <c r="FZ77" i="2"/>
  <c r="FC89" i="3" s="1"/>
  <c r="G20" i="11"/>
  <c r="G21" i="11" s="1"/>
  <c r="G25" i="11" s="1"/>
  <c r="D83" i="35"/>
  <c r="D82" i="25"/>
  <c r="D82" i="36"/>
  <c r="D80" i="25"/>
  <c r="FZ80" i="2"/>
  <c r="FC92" i="3" s="1"/>
  <c r="R55" i="25"/>
  <c r="S55" i="25" s="1"/>
  <c r="T55" i="25" s="1"/>
  <c r="U55" i="25" s="1"/>
  <c r="BT55" i="2"/>
  <c r="D80" i="36"/>
  <c r="FZ82" i="2"/>
  <c r="FC94" i="3" s="1"/>
  <c r="BS67" i="2"/>
  <c r="BS68" i="2"/>
  <c r="BS69" i="2"/>
  <c r="BS70" i="2"/>
  <c r="BS71" i="2"/>
  <c r="BS72" i="2"/>
  <c r="BS73" i="2"/>
  <c r="BS66" i="2"/>
  <c r="BS62" i="2"/>
  <c r="BS63" i="2"/>
  <c r="BS65" i="2"/>
  <c r="BS64" i="2"/>
  <c r="BS108" i="2"/>
  <c r="BM83" i="2"/>
  <c r="BM85" i="2"/>
  <c r="BM74" i="2"/>
  <c r="BM75" i="2"/>
  <c r="BM76" i="2"/>
  <c r="BM67" i="2"/>
  <c r="BM68" i="2"/>
  <c r="BM69" i="2"/>
  <c r="BM70" i="2"/>
  <c r="BM71" i="2"/>
  <c r="BM72" i="2"/>
  <c r="BM73" i="2"/>
  <c r="BM62" i="2"/>
  <c r="BM63" i="2"/>
  <c r="BM64" i="2"/>
  <c r="BM65" i="2"/>
  <c r="BM66" i="2"/>
  <c r="BG67" i="2"/>
  <c r="BG68" i="2"/>
  <c r="BG69" i="2"/>
  <c r="BG70" i="2"/>
  <c r="BG71" i="2"/>
  <c r="BG72" i="2"/>
  <c r="BG73" i="2"/>
  <c r="BG62" i="2"/>
  <c r="BG63" i="2"/>
  <c r="BG64" i="2"/>
  <c r="BG65" i="2"/>
  <c r="BG66" i="2"/>
  <c r="Z67" i="2"/>
  <c r="Z68" i="2"/>
  <c r="Z69" i="2"/>
  <c r="Z70" i="2"/>
  <c r="Z71" i="2"/>
  <c r="Z72" i="2"/>
  <c r="Z73" i="2"/>
  <c r="Z62" i="2"/>
  <c r="Z63" i="2"/>
  <c r="Z64" i="2"/>
  <c r="Z65" i="2"/>
  <c r="Z66" i="2"/>
  <c r="T67" i="2"/>
  <c r="T68" i="2"/>
  <c r="T66" i="2"/>
  <c r="T69" i="2"/>
  <c r="T70" i="2"/>
  <c r="T71" i="2"/>
  <c r="T72" i="2"/>
  <c r="T73" i="2"/>
  <c r="T62" i="2"/>
  <c r="T63" i="2"/>
  <c r="T64" i="2"/>
  <c r="T65" i="2"/>
  <c r="T85" i="2"/>
  <c r="T74" i="2"/>
  <c r="T75" i="2"/>
  <c r="T81" i="2"/>
  <c r="T76" i="2"/>
  <c r="T82" i="2"/>
  <c r="T77" i="2"/>
  <c r="T78" i="2"/>
  <c r="T79" i="2"/>
  <c r="T80" i="2"/>
  <c r="T86" i="2"/>
  <c r="FY83" i="2"/>
  <c r="FB95" i="3" s="1"/>
  <c r="FZ78" i="2"/>
  <c r="FC90" i="3" s="1"/>
  <c r="FY82" i="2"/>
  <c r="FB94" i="3" s="1"/>
  <c r="D76" i="35"/>
  <c r="D82" i="35"/>
  <c r="FY76" i="2"/>
  <c r="FB88" i="3" s="1"/>
  <c r="D76" i="24"/>
  <c r="BE48" i="14"/>
  <c r="BH17" i="14"/>
  <c r="BB17" i="14"/>
  <c r="BB71" i="14" s="1"/>
  <c r="BB72" i="14" s="1"/>
  <c r="BB73" i="14" s="1"/>
  <c r="BB74" i="14" s="1"/>
  <c r="BB75" i="14" s="1"/>
  <c r="BB76" i="14" s="1"/>
  <c r="BB77" i="14" s="1"/>
  <c r="BB78" i="14" s="1"/>
  <c r="BB79" i="14" s="1"/>
  <c r="BB80" i="14" s="1"/>
  <c r="BB81" i="14" s="1"/>
  <c r="BB82" i="14" s="1"/>
  <c r="D84" i="35"/>
  <c r="D84" i="24"/>
  <c r="FY84" i="2"/>
  <c r="FB96" i="3" s="1"/>
  <c r="AD59" i="14"/>
  <c r="AD48" i="14"/>
  <c r="H106" i="11"/>
  <c r="F89" i="11"/>
  <c r="D77" i="36"/>
  <c r="D75" i="36"/>
  <c r="D82" i="24"/>
  <c r="D78" i="25"/>
  <c r="D74" i="24"/>
  <c r="D75" i="25"/>
  <c r="FY74" i="2"/>
  <c r="FB86" i="3" s="1"/>
  <c r="D74" i="35"/>
  <c r="D78" i="35"/>
  <c r="D78" i="24"/>
  <c r="FZ75" i="2"/>
  <c r="FC87" i="3" s="1"/>
  <c r="FY85" i="2"/>
  <c r="FB97" i="3" s="1"/>
  <c r="FY77" i="2"/>
  <c r="FB89" i="3" s="1"/>
  <c r="D85" i="25"/>
  <c r="FY78" i="2"/>
  <c r="FB90" i="3" s="1"/>
  <c r="FZ85" i="2"/>
  <c r="FC97" i="3" s="1"/>
  <c r="D85" i="36"/>
  <c r="BT52" i="2"/>
  <c r="D77" i="35"/>
  <c r="D77" i="24"/>
  <c r="D75" i="35"/>
  <c r="D75" i="24"/>
  <c r="D83" i="25"/>
  <c r="FZ83" i="2"/>
  <c r="FC95" i="3" s="1"/>
  <c r="FZ84" i="2"/>
  <c r="FC96" i="3" s="1"/>
  <c r="D83" i="36"/>
  <c r="D85" i="35"/>
  <c r="FZ79" i="2"/>
  <c r="FC91" i="3" s="1"/>
  <c r="D78" i="36"/>
  <c r="FY81" i="2"/>
  <c r="FB93" i="3" s="1"/>
  <c r="D81" i="35"/>
  <c r="R52" i="25"/>
  <c r="S52" i="25" s="1"/>
  <c r="T52" i="25" s="1"/>
  <c r="BT50" i="2"/>
  <c r="S50" i="25"/>
  <c r="T50" i="25" s="1"/>
  <c r="AA55" i="2"/>
  <c r="BT51" i="2"/>
  <c r="S51" i="36"/>
  <c r="T51" i="36" s="1"/>
  <c r="T55" i="20"/>
  <c r="U55" i="20" s="1"/>
  <c r="V55" i="20" s="1"/>
  <c r="W55" i="20" s="1"/>
  <c r="D81" i="24"/>
  <c r="CW12" i="39"/>
  <c r="D74" i="25"/>
  <c r="FY79" i="2"/>
  <c r="FB91" i="3" s="1"/>
  <c r="FZ74" i="2"/>
  <c r="FC86" i="3" s="1"/>
  <c r="BT61" i="2"/>
  <c r="DG12" i="39"/>
  <c r="D84" i="36"/>
  <c r="D79" i="25"/>
  <c r="FY75" i="2"/>
  <c r="FB87" i="3" s="1"/>
  <c r="D79" i="36"/>
  <c r="D74" i="36"/>
  <c r="D84" i="25"/>
  <c r="FZ76" i="2"/>
  <c r="FC88" i="3" s="1"/>
  <c r="D76" i="25"/>
  <c r="D76" i="36"/>
  <c r="BT57" i="2"/>
  <c r="D79" i="35"/>
  <c r="D79" i="24"/>
  <c r="R58" i="25"/>
  <c r="S58" i="25" s="1"/>
  <c r="T58" i="25" s="1"/>
  <c r="BT54" i="2"/>
  <c r="G67" i="11"/>
  <c r="R54" i="25"/>
  <c r="S54" i="25" s="1"/>
  <c r="T54" i="25" s="1"/>
  <c r="BT58" i="2"/>
  <c r="R60" i="25"/>
  <c r="S60" i="25" s="1"/>
  <c r="T60" i="25" s="1"/>
  <c r="C17" i="14"/>
  <c r="D85" i="24"/>
  <c r="BT60" i="2"/>
  <c r="R59" i="25"/>
  <c r="S59" i="25" s="1"/>
  <c r="T59" i="25" s="1"/>
  <c r="R53" i="25"/>
  <c r="S53" i="25" s="1"/>
  <c r="T53" i="25" s="1"/>
  <c r="BT59" i="2"/>
  <c r="BT53" i="2"/>
  <c r="R57" i="25"/>
  <c r="S57" i="25" s="1"/>
  <c r="T57" i="25" s="1"/>
  <c r="S56" i="36"/>
  <c r="T56" i="36" s="1"/>
  <c r="R56" i="25"/>
  <c r="S56" i="25" s="1"/>
  <c r="T56" i="25" s="1"/>
  <c r="BT56" i="2"/>
  <c r="S60" i="36"/>
  <c r="T60" i="36" s="1"/>
  <c r="S53" i="36"/>
  <c r="T53" i="36" s="1"/>
  <c r="S57" i="36"/>
  <c r="T57" i="36" s="1"/>
  <c r="S61" i="36"/>
  <c r="T61" i="36" s="1"/>
  <c r="U55" i="31"/>
  <c r="V55" i="31" s="1"/>
  <c r="BY75" i="2"/>
  <c r="D74" i="23"/>
  <c r="D82" i="23"/>
  <c r="BY81" i="2"/>
  <c r="BY76" i="2"/>
  <c r="BK118" i="2"/>
  <c r="BQ115" i="2"/>
  <c r="BY82" i="2"/>
  <c r="BY84" i="2"/>
  <c r="D79" i="23"/>
  <c r="BQ121" i="2"/>
  <c r="BY85" i="2"/>
  <c r="D76" i="23"/>
  <c r="D85" i="23"/>
  <c r="D75" i="23"/>
  <c r="D80" i="23"/>
  <c r="BQ119" i="2"/>
  <c r="BY77" i="2"/>
  <c r="BY80" i="2"/>
  <c r="BY74" i="2"/>
  <c r="BY83" i="2"/>
  <c r="D81" i="23"/>
  <c r="BY79" i="2"/>
  <c r="BY78" i="2"/>
  <c r="D78" i="23"/>
  <c r="D84" i="23"/>
  <c r="D83" i="23"/>
  <c r="D77" i="23"/>
  <c r="BD119" i="2"/>
  <c r="BV110" i="2"/>
  <c r="FO55" i="2"/>
  <c r="EU67" i="3" s="1"/>
  <c r="Y70" i="17"/>
  <c r="Y57" i="17"/>
  <c r="D60" i="28"/>
  <c r="D51" i="28"/>
  <c r="FO53" i="2"/>
  <c r="EU65" i="3" s="1"/>
  <c r="FO54" i="2"/>
  <c r="EU66" i="3" s="1"/>
  <c r="V56" i="35"/>
  <c r="V58" i="35"/>
  <c r="V59" i="35"/>
  <c r="V54" i="35"/>
  <c r="V57" i="35"/>
  <c r="V52" i="35"/>
  <c r="V53" i="35"/>
  <c r="V50" i="35"/>
  <c r="V60" i="35"/>
  <c r="V51" i="35"/>
  <c r="V61" i="35"/>
  <c r="V55" i="35"/>
  <c r="X59" i="34"/>
  <c r="X61" i="34"/>
  <c r="X54" i="34"/>
  <c r="X50" i="34"/>
  <c r="X51" i="34"/>
  <c r="X55" i="34"/>
  <c r="X60" i="34"/>
  <c r="X58" i="34"/>
  <c r="X53" i="34"/>
  <c r="X56" i="34"/>
  <c r="X57" i="34"/>
  <c r="X52" i="34"/>
  <c r="T52" i="30"/>
  <c r="T55" i="30"/>
  <c r="T51" i="30"/>
  <c r="T53" i="30"/>
  <c r="T54" i="30"/>
  <c r="T58" i="30"/>
  <c r="T59" i="30"/>
  <c r="T61" i="30"/>
  <c r="T57" i="30"/>
  <c r="T50" i="30"/>
  <c r="T60" i="30"/>
  <c r="T56" i="30"/>
  <c r="U73" i="29"/>
  <c r="V73" i="29" s="1"/>
  <c r="F10" i="39"/>
  <c r="H10" i="39" s="1"/>
  <c r="J10" i="39" s="1"/>
  <c r="V50" i="24"/>
  <c r="W50" i="24" s="1"/>
  <c r="AZ9" i="27"/>
  <c r="AT9" i="27"/>
  <c r="P9" i="27"/>
  <c r="J9" i="27"/>
  <c r="D9" i="27"/>
  <c r="X53" i="23"/>
  <c r="Y53" i="23" s="1"/>
  <c r="X59" i="23"/>
  <c r="Y59" i="23" s="1"/>
  <c r="X57" i="23"/>
  <c r="Y57" i="23" s="1"/>
  <c r="X51" i="23"/>
  <c r="Y51" i="23" s="1"/>
  <c r="X52" i="23"/>
  <c r="Y52" i="23" s="1"/>
  <c r="X55" i="23"/>
  <c r="Y55" i="23" s="1"/>
  <c r="X56" i="23"/>
  <c r="Y56" i="23" s="1"/>
  <c r="X54" i="23"/>
  <c r="Y54" i="23" s="1"/>
  <c r="X50" i="23"/>
  <c r="Y50" i="23" s="1"/>
  <c r="AS9" i="27"/>
  <c r="X58" i="23"/>
  <c r="Y58" i="23" s="1"/>
  <c r="X61" i="23"/>
  <c r="Y61" i="23" s="1"/>
  <c r="X60" i="23"/>
  <c r="Y60" i="23" s="1"/>
  <c r="V10" i="27"/>
  <c r="V9" i="27"/>
  <c r="T61" i="18"/>
  <c r="T51" i="18"/>
  <c r="T56" i="18"/>
  <c r="T58" i="18"/>
  <c r="T59" i="18"/>
  <c r="T57" i="18"/>
  <c r="T60" i="18"/>
  <c r="T52" i="18"/>
  <c r="T53" i="18"/>
  <c r="T55" i="18"/>
  <c r="T54" i="18"/>
  <c r="T50" i="18"/>
  <c r="O9" i="27"/>
  <c r="Y61" i="17"/>
  <c r="V61" i="19"/>
  <c r="W61" i="19" s="1"/>
  <c r="FO58" i="2"/>
  <c r="EU70" i="3" s="1"/>
  <c r="D70" i="28"/>
  <c r="FO70" i="2"/>
  <c r="EU82" i="3" s="1"/>
  <c r="Y58" i="17"/>
  <c r="D58" i="28"/>
  <c r="V54" i="19"/>
  <c r="W54" i="19" s="1"/>
  <c r="V55" i="19"/>
  <c r="W55" i="19" s="1"/>
  <c r="D61" i="28"/>
  <c r="FO69" i="2"/>
  <c r="EU81" i="3" s="1"/>
  <c r="FO72" i="2"/>
  <c r="EU84" i="3" s="1"/>
  <c r="FO65" i="2"/>
  <c r="EU77" i="3" s="1"/>
  <c r="D72" i="28"/>
  <c r="Y52" i="17"/>
  <c r="D52" i="28"/>
  <c r="FO61" i="2"/>
  <c r="EU73" i="3" s="1"/>
  <c r="Y51" i="17"/>
  <c r="V58" i="19"/>
  <c r="W58" i="19" s="1"/>
  <c r="FO51" i="2"/>
  <c r="EU63" i="3" s="1"/>
  <c r="D59" i="28"/>
  <c r="Y53" i="17"/>
  <c r="D65" i="28"/>
  <c r="D53" i="28"/>
  <c r="V52" i="19"/>
  <c r="W52" i="19" s="1"/>
  <c r="V53" i="19"/>
  <c r="W53" i="19" s="1"/>
  <c r="V59" i="19"/>
  <c r="W59" i="19" s="1"/>
  <c r="V56" i="19"/>
  <c r="W56" i="19" s="1"/>
  <c r="V60" i="19"/>
  <c r="W60" i="19" s="1"/>
  <c r="V57" i="19"/>
  <c r="W57" i="19" s="1"/>
  <c r="V50" i="19"/>
  <c r="W50" i="19" s="1"/>
  <c r="V51" i="19"/>
  <c r="W51" i="19" s="1"/>
  <c r="FO52" i="2"/>
  <c r="EU64" i="3" s="1"/>
  <c r="Y63" i="17"/>
  <c r="Y50" i="17"/>
  <c r="FO50" i="2"/>
  <c r="EU62" i="3" s="1"/>
  <c r="D50" i="28"/>
  <c r="FO59" i="2"/>
  <c r="EU71" i="3" s="1"/>
  <c r="Y59" i="17"/>
  <c r="I9" i="27"/>
  <c r="O73" i="2"/>
  <c r="T73" i="19"/>
  <c r="U73" i="19" s="1"/>
  <c r="D57" i="28"/>
  <c r="Y60" i="17"/>
  <c r="Y55" i="17"/>
  <c r="E10" i="39"/>
  <c r="Y54" i="17"/>
  <c r="D69" i="28"/>
  <c r="D54" i="28"/>
  <c r="D56" i="28"/>
  <c r="FO56" i="2"/>
  <c r="EU68" i="3" s="1"/>
  <c r="D55" i="28"/>
  <c r="Y56" i="17"/>
  <c r="FO57" i="2"/>
  <c r="EU69" i="3" s="1"/>
  <c r="FO60" i="2"/>
  <c r="EU72" i="3" s="1"/>
  <c r="U105" i="11"/>
  <c r="W106" i="11"/>
  <c r="U103" i="11"/>
  <c r="E103" i="11"/>
  <c r="V21" i="11"/>
  <c r="V25" i="11" s="1"/>
  <c r="W20" i="11"/>
  <c r="R31" i="41"/>
  <c r="AC57" i="8"/>
  <c r="F73" i="11"/>
  <c r="F69" i="11"/>
  <c r="X45" i="8"/>
  <c r="Z45" i="8" s="1"/>
  <c r="AH53" i="8"/>
  <c r="AR43" i="7"/>
  <c r="X80" i="11"/>
  <c r="X81" i="11" s="1"/>
  <c r="V89" i="11" s="1"/>
  <c r="Y79" i="11"/>
  <c r="AH54" i="8"/>
  <c r="R32" i="41"/>
  <c r="R30" i="41"/>
  <c r="BQ113" i="2"/>
  <c r="BQ117" i="2"/>
  <c r="BQ116" i="2"/>
  <c r="BQ112" i="2"/>
  <c r="AG16" i="14"/>
  <c r="BO16" i="39"/>
  <c r="BQ111" i="2"/>
  <c r="BQ120" i="2"/>
  <c r="BQ114" i="2"/>
  <c r="DF15" i="39"/>
  <c r="DI15" i="39" s="1"/>
  <c r="BQ118" i="2"/>
  <c r="BV16" i="39"/>
  <c r="AK16" i="14"/>
  <c r="BK114" i="2"/>
  <c r="BK115" i="2"/>
  <c r="BK121" i="2"/>
  <c r="BK116" i="2"/>
  <c r="BK111" i="2"/>
  <c r="BD110" i="2"/>
  <c r="BD111" i="2"/>
  <c r="BD114" i="2"/>
  <c r="BD112" i="2"/>
  <c r="BD118" i="2"/>
  <c r="BD121" i="2"/>
  <c r="BD120" i="2"/>
  <c r="BD115" i="2"/>
  <c r="BD116" i="2"/>
  <c r="BD117" i="2"/>
  <c r="BE92" i="2"/>
  <c r="D86" i="36"/>
  <c r="DG13" i="39"/>
  <c r="BO13" i="40" s="1"/>
  <c r="BP13" i="40" s="1"/>
  <c r="FZ86" i="2"/>
  <c r="FC98" i="3" s="1"/>
  <c r="D86" i="25"/>
  <c r="BK99" i="2"/>
  <c r="DR12" i="39"/>
  <c r="D74" i="26"/>
  <c r="P74" i="26" s="1"/>
  <c r="D74" i="37"/>
  <c r="D81" i="37"/>
  <c r="D81" i="26"/>
  <c r="D87" i="24"/>
  <c r="D87" i="35"/>
  <c r="FY87" i="2"/>
  <c r="FB99" i="3" s="1"/>
  <c r="BW94" i="2"/>
  <c r="BQ106" i="2"/>
  <c r="FY92" i="2"/>
  <c r="FB104" i="3" s="1"/>
  <c r="D92" i="24"/>
  <c r="D92" i="35"/>
  <c r="BE90" i="2"/>
  <c r="D76" i="34"/>
  <c r="FX76" i="2"/>
  <c r="FA88" i="3" s="1"/>
  <c r="BK98" i="2"/>
  <c r="CV14" i="39"/>
  <c r="CY14" i="39" s="1"/>
  <c r="D110" i="25"/>
  <c r="D110" i="36"/>
  <c r="FZ110" i="2"/>
  <c r="FC122" i="3" s="1"/>
  <c r="FY110" i="2"/>
  <c r="FB122" i="3" s="1"/>
  <c r="D110" i="24"/>
  <c r="D110" i="35"/>
  <c r="BW88" i="2"/>
  <c r="BQ107" i="2"/>
  <c r="BE96" i="2"/>
  <c r="D87" i="25"/>
  <c r="D87" i="36"/>
  <c r="FZ87" i="2"/>
  <c r="FC99" i="3" s="1"/>
  <c r="D97" i="24"/>
  <c r="D97" i="35"/>
  <c r="FY97" i="2"/>
  <c r="FB109" i="3" s="1"/>
  <c r="D90" i="25"/>
  <c r="D90" i="36"/>
  <c r="FZ90" i="2"/>
  <c r="FC102" i="3" s="1"/>
  <c r="BK109" i="2"/>
  <c r="BW89" i="2"/>
  <c r="BQ105" i="2"/>
  <c r="D89" i="24"/>
  <c r="D89" i="35"/>
  <c r="FY89" i="2"/>
  <c r="FB101" i="3" s="1"/>
  <c r="BE93" i="2"/>
  <c r="FX82" i="2"/>
  <c r="FA94" i="3" s="1"/>
  <c r="D82" i="34"/>
  <c r="BK100" i="2"/>
  <c r="AG45" i="8"/>
  <c r="Q28" i="41"/>
  <c r="Q37" i="41" s="1"/>
  <c r="BW92" i="2"/>
  <c r="BK112" i="2"/>
  <c r="BE95" i="2"/>
  <c r="D77" i="26"/>
  <c r="D77" i="37"/>
  <c r="AH45" i="8"/>
  <c r="R28" i="41"/>
  <c r="D91" i="25"/>
  <c r="D91" i="36"/>
  <c r="FZ91" i="2"/>
  <c r="FC103" i="3" s="1"/>
  <c r="BK105" i="2"/>
  <c r="BK113" i="2"/>
  <c r="BW96" i="2"/>
  <c r="BV113" i="2"/>
  <c r="D96" i="36"/>
  <c r="FZ96" i="2"/>
  <c r="FC108" i="3" s="1"/>
  <c r="D96" i="25"/>
  <c r="D89" i="25"/>
  <c r="FZ89" i="2"/>
  <c r="FC101" i="3" s="1"/>
  <c r="D89" i="36"/>
  <c r="D78" i="34"/>
  <c r="FX78" i="2"/>
  <c r="FA90" i="3" s="1"/>
  <c r="FX77" i="2"/>
  <c r="FA89" i="3" s="1"/>
  <c r="D77" i="34"/>
  <c r="D85" i="34"/>
  <c r="FX85" i="2"/>
  <c r="FA97" i="3" s="1"/>
  <c r="D74" i="34"/>
  <c r="FX74" i="2"/>
  <c r="FA86" i="3" s="1"/>
  <c r="CM12" i="39"/>
  <c r="BV116" i="2"/>
  <c r="D92" i="25"/>
  <c r="D92" i="36"/>
  <c r="FZ92" i="2"/>
  <c r="FC104" i="3" s="1"/>
  <c r="FZ88" i="2"/>
  <c r="FC100" i="3" s="1"/>
  <c r="D88" i="25"/>
  <c r="D88" i="36"/>
  <c r="AF25" i="5"/>
  <c r="CO16" i="39" s="1"/>
  <c r="AF52" i="5"/>
  <c r="A138" i="29"/>
  <c r="C137" i="29"/>
  <c r="B137" i="29"/>
  <c r="T137" i="29" s="1"/>
  <c r="AI25" i="5"/>
  <c r="DT16" i="39" s="1"/>
  <c r="AI52" i="5"/>
  <c r="BV119" i="2"/>
  <c r="D84" i="37"/>
  <c r="D84" i="26"/>
  <c r="BD113" i="2"/>
  <c r="BQ99" i="2"/>
  <c r="BV121" i="2"/>
  <c r="D78" i="26"/>
  <c r="D78" i="37"/>
  <c r="D85" i="26"/>
  <c r="D85" i="37"/>
  <c r="D96" i="35"/>
  <c r="FY96" i="2"/>
  <c r="FB108" i="3" s="1"/>
  <c r="D96" i="24"/>
  <c r="BQ100" i="2"/>
  <c r="BV115" i="2"/>
  <c r="D75" i="26"/>
  <c r="D75" i="37"/>
  <c r="BE97" i="2"/>
  <c r="D91" i="24"/>
  <c r="D91" i="35"/>
  <c r="FY91" i="2"/>
  <c r="FB103" i="3" s="1"/>
  <c r="D79" i="26"/>
  <c r="D79" i="37"/>
  <c r="D82" i="26"/>
  <c r="D82" i="37"/>
  <c r="BK108" i="2"/>
  <c r="D80" i="26"/>
  <c r="D80" i="37"/>
  <c r="AG26" i="5"/>
  <c r="CY17" i="39" s="1"/>
  <c r="AG53" i="5"/>
  <c r="BW91" i="2"/>
  <c r="BQ98" i="2"/>
  <c r="DF14" i="39"/>
  <c r="DI14" i="39" s="1"/>
  <c r="BV114" i="2"/>
  <c r="D83" i="26"/>
  <c r="D83" i="37"/>
  <c r="BE87" i="2"/>
  <c r="D95" i="35"/>
  <c r="FY95" i="2"/>
  <c r="FB107" i="3" s="1"/>
  <c r="D95" i="24"/>
  <c r="BK101" i="2"/>
  <c r="D75" i="34"/>
  <c r="FX75" i="2"/>
  <c r="FA87" i="3" s="1"/>
  <c r="BW87" i="2"/>
  <c r="BQ102" i="2"/>
  <c r="BV120" i="2"/>
  <c r="D93" i="24"/>
  <c r="FY93" i="2"/>
  <c r="FB105" i="3" s="1"/>
  <c r="D93" i="35"/>
  <c r="BE89" i="2"/>
  <c r="BK102" i="2"/>
  <c r="FZ95" i="2"/>
  <c r="FC107" i="3" s="1"/>
  <c r="D95" i="36"/>
  <c r="D95" i="25"/>
  <c r="D76" i="26"/>
  <c r="D76" i="37"/>
  <c r="BW93" i="2"/>
  <c r="BQ104" i="2"/>
  <c r="BV117" i="2"/>
  <c r="BE88" i="2"/>
  <c r="D93" i="25"/>
  <c r="FZ93" i="2"/>
  <c r="FC105" i="3" s="1"/>
  <c r="D93" i="36"/>
  <c r="BK103" i="2"/>
  <c r="BD109" i="2"/>
  <c r="BD108" i="2"/>
  <c r="BD101" i="2"/>
  <c r="BD102" i="2"/>
  <c r="BD100" i="2"/>
  <c r="BD99" i="2"/>
  <c r="BD105" i="2"/>
  <c r="BD104" i="2"/>
  <c r="BD107" i="2"/>
  <c r="BD103" i="2"/>
  <c r="BD98" i="2"/>
  <c r="BD106" i="2"/>
  <c r="FX83" i="2"/>
  <c r="FA95" i="3" s="1"/>
  <c r="D83" i="34"/>
  <c r="D81" i="34"/>
  <c r="FX81" i="2"/>
  <c r="FA93" i="3" s="1"/>
  <c r="BW95" i="2"/>
  <c r="BQ103" i="2"/>
  <c r="BV112" i="2"/>
  <c r="D88" i="24"/>
  <c r="D88" i="35"/>
  <c r="FY88" i="2"/>
  <c r="FB100" i="3" s="1"/>
  <c r="BE86" i="2"/>
  <c r="CL13" i="39"/>
  <c r="CO13" i="39" s="1"/>
  <c r="BK119" i="2"/>
  <c r="FY90" i="2"/>
  <c r="FB102" i="3" s="1"/>
  <c r="D90" i="24"/>
  <c r="D90" i="35"/>
  <c r="BK107" i="2"/>
  <c r="D94" i="25"/>
  <c r="D94" i="36"/>
  <c r="FZ94" i="2"/>
  <c r="FC106" i="3" s="1"/>
  <c r="AH26" i="5"/>
  <c r="DI17" i="39" s="1"/>
  <c r="AH53" i="5"/>
  <c r="BW90" i="2"/>
  <c r="BQ101" i="2"/>
  <c r="BV118" i="2"/>
  <c r="BK117" i="2"/>
  <c r="BE91" i="2"/>
  <c r="D84" i="34"/>
  <c r="FX84" i="2"/>
  <c r="FA96" i="3" s="1"/>
  <c r="BK104" i="2"/>
  <c r="BK120" i="2"/>
  <c r="BW97" i="2"/>
  <c r="BQ108" i="2"/>
  <c r="BV111" i="2"/>
  <c r="FZ97" i="2"/>
  <c r="FC109" i="3" s="1"/>
  <c r="D97" i="25"/>
  <c r="D97" i="36"/>
  <c r="BE94" i="2"/>
  <c r="FX79" i="2"/>
  <c r="FA91" i="3" s="1"/>
  <c r="D79" i="34"/>
  <c r="CW13" i="39"/>
  <c r="FY86" i="2"/>
  <c r="FB98" i="3" s="1"/>
  <c r="D86" i="24"/>
  <c r="D86" i="35"/>
  <c r="BK106" i="2"/>
  <c r="CV15" i="39"/>
  <c r="CY15" i="39" s="1"/>
  <c r="DQ13" i="39"/>
  <c r="DT13" i="39" s="1"/>
  <c r="BW86" i="2"/>
  <c r="FX80" i="2"/>
  <c r="FA92" i="3" s="1"/>
  <c r="D80" i="34"/>
  <c r="BQ109" i="2"/>
  <c r="BV102" i="2"/>
  <c r="BV103" i="2"/>
  <c r="BV99" i="2"/>
  <c r="BV98" i="2"/>
  <c r="BV104" i="2"/>
  <c r="BV107" i="2"/>
  <c r="BV105" i="2"/>
  <c r="BV101" i="2"/>
  <c r="BV106" i="2"/>
  <c r="BV108" i="2"/>
  <c r="BV100" i="2"/>
  <c r="BV109" i="2"/>
  <c r="D94" i="24"/>
  <c r="D94" i="35"/>
  <c r="FY94" i="2"/>
  <c r="FB106" i="3" s="1"/>
  <c r="L26" i="44"/>
  <c r="L25" i="44"/>
  <c r="W58" i="5"/>
  <c r="H42" i="11"/>
  <c r="H43" i="11" s="1"/>
  <c r="H47" i="11" s="1"/>
  <c r="J31" i="11"/>
  <c r="W42" i="11"/>
  <c r="W43" i="11" s="1"/>
  <c r="W47" i="11" s="1"/>
  <c r="ER15" i="39"/>
  <c r="L22" i="73" s="1"/>
  <c r="EQ16" i="39"/>
  <c r="EQ17" i="39" s="1"/>
  <c r="EQ18" i="39" s="1"/>
  <c r="EQ19" i="39" s="1"/>
  <c r="EQ20" i="39" s="1"/>
  <c r="EQ21" i="39" s="1"/>
  <c r="EQ22" i="39" s="1"/>
  <c r="CE15" i="39"/>
  <c r="L11" i="73" s="1"/>
  <c r="CD17" i="39"/>
  <c r="CD18" i="39" s="1"/>
  <c r="CD19" i="39" s="1"/>
  <c r="CD20" i="39" s="1"/>
  <c r="CD21" i="39" s="1"/>
  <c r="CD22" i="39" s="1"/>
  <c r="BX15" i="39"/>
  <c r="L10" i="73" s="1"/>
  <c r="BW16" i="39"/>
  <c r="BW17" i="39" s="1"/>
  <c r="BW18" i="39" s="1"/>
  <c r="BQ15" i="39"/>
  <c r="L9" i="73" s="1"/>
  <c r="BP16" i="39"/>
  <c r="BP17" i="39" s="1"/>
  <c r="BP18" i="39" s="1"/>
  <c r="BP19" i="39" s="1"/>
  <c r="BP20" i="39" s="1"/>
  <c r="BP21" i="39" s="1"/>
  <c r="BP22" i="39" s="1"/>
  <c r="H60" i="14"/>
  <c r="H49" i="14"/>
  <c r="AH48" i="14"/>
  <c r="F30" i="12"/>
  <c r="BJ17" i="39" s="1"/>
  <c r="I199" i="44"/>
  <c r="F202" i="44"/>
  <c r="H206" i="44"/>
  <c r="G206" i="44"/>
  <c r="E195" i="44"/>
  <c r="F206" i="44"/>
  <c r="I196" i="44"/>
  <c r="D199" i="44"/>
  <c r="I205" i="44"/>
  <c r="H205" i="44"/>
  <c r="G205" i="44"/>
  <c r="E203" i="44"/>
  <c r="F203" i="44"/>
  <c r="K198" i="44"/>
  <c r="K206" i="44"/>
  <c r="G203" i="44"/>
  <c r="D205" i="44"/>
  <c r="E205" i="44"/>
  <c r="J203" i="44"/>
  <c r="F198" i="44"/>
  <c r="H195" i="44"/>
  <c r="J202" i="44"/>
  <c r="J205" i="44"/>
  <c r="K203" i="44"/>
  <c r="L72" i="44"/>
  <c r="L22" i="44"/>
  <c r="R27" i="40"/>
  <c r="G77" i="11"/>
  <c r="H192" i="44"/>
  <c r="I192" i="44"/>
  <c r="F192" i="44"/>
  <c r="J192" i="44"/>
  <c r="G192" i="44"/>
  <c r="E192" i="44"/>
  <c r="K192" i="44"/>
  <c r="V77" i="11"/>
  <c r="I35" i="11"/>
  <c r="BM20" i="40"/>
  <c r="M21" i="41"/>
  <c r="L71" i="44"/>
  <c r="AB18" i="14"/>
  <c r="AA83" i="14" s="1"/>
  <c r="AA84" i="14" s="1"/>
  <c r="AA85" i="14" s="1"/>
  <c r="AA86" i="14" s="1"/>
  <c r="AA87" i="14" s="1"/>
  <c r="AA88" i="14" s="1"/>
  <c r="AA89" i="14" s="1"/>
  <c r="AA90" i="14" s="1"/>
  <c r="AA91" i="14" s="1"/>
  <c r="AA92" i="14" s="1"/>
  <c r="AA93" i="14" s="1"/>
  <c r="AA94" i="14" s="1"/>
  <c r="BR16" i="14"/>
  <c r="EI16" i="39"/>
  <c r="EK16" i="39" s="1"/>
  <c r="AX16" i="14"/>
  <c r="X42" i="11"/>
  <c r="EJ18" i="39"/>
  <c r="BN16" i="14"/>
  <c r="EB16" i="39"/>
  <c r="ED16" i="39" s="1"/>
  <c r="M20" i="41"/>
  <c r="BF20" i="40"/>
  <c r="BG20" i="40" s="1"/>
  <c r="G73" i="11"/>
  <c r="I71" i="11"/>
  <c r="H72" i="11"/>
  <c r="H73" i="11" s="1"/>
  <c r="F87" i="11" s="1"/>
  <c r="G18" i="14"/>
  <c r="EC18" i="39"/>
  <c r="W20" i="40"/>
  <c r="BH22" i="40"/>
  <c r="T22" i="40"/>
  <c r="S21" i="40"/>
  <c r="F26" i="8" s="1"/>
  <c r="T84" i="2" l="1"/>
  <c r="BM84" i="2"/>
  <c r="T84" i="24" s="1"/>
  <c r="U84" i="24" s="1"/>
  <c r="V84" i="24" s="1"/>
  <c r="W84" i="24" s="1"/>
  <c r="D66" i="28"/>
  <c r="BS105" i="2"/>
  <c r="R105" i="25" s="1"/>
  <c r="S105" i="25" s="1"/>
  <c r="BM82" i="2"/>
  <c r="BN82" i="2" s="1"/>
  <c r="BM80" i="2"/>
  <c r="T80" i="24" s="1"/>
  <c r="U80" i="24" s="1"/>
  <c r="V80" i="24" s="1"/>
  <c r="W80" i="24" s="1"/>
  <c r="T63" i="19"/>
  <c r="U63" i="19" s="1"/>
  <c r="V63" i="19" s="1"/>
  <c r="W63" i="19" s="1"/>
  <c r="BM81" i="2"/>
  <c r="BN81" i="2" s="1"/>
  <c r="BM79" i="2"/>
  <c r="BN79" i="2" s="1"/>
  <c r="BM77" i="2"/>
  <c r="BN77" i="2" s="1"/>
  <c r="T89" i="2"/>
  <c r="U89" i="2" s="1"/>
  <c r="T97" i="2"/>
  <c r="U97" i="2" s="1"/>
  <c r="T93" i="2"/>
  <c r="S93" i="30" s="1"/>
  <c r="D71" i="28"/>
  <c r="O63" i="2"/>
  <c r="T96" i="2"/>
  <c r="S96" i="30" s="1"/>
  <c r="T88" i="2"/>
  <c r="R88" i="18" s="1"/>
  <c r="S88" i="18" s="1"/>
  <c r="T87" i="2"/>
  <c r="S87" i="30" s="1"/>
  <c r="T62" i="19"/>
  <c r="U62" i="19" s="1"/>
  <c r="V62" i="19" s="1"/>
  <c r="W62" i="19" s="1"/>
  <c r="U62" i="29"/>
  <c r="V62" i="29" s="1"/>
  <c r="BS107" i="2"/>
  <c r="S107" i="36" s="1"/>
  <c r="BS102" i="2"/>
  <c r="BT102" i="2" s="1"/>
  <c r="BS101" i="2"/>
  <c r="R101" i="25" s="1"/>
  <c r="S101" i="25" s="1"/>
  <c r="BS97" i="2"/>
  <c r="R97" i="25" s="1"/>
  <c r="S97" i="25" s="1"/>
  <c r="T97" i="25" s="1"/>
  <c r="U97" i="25" s="1"/>
  <c r="BS96" i="2"/>
  <c r="S96" i="36" s="1"/>
  <c r="T96" i="36" s="1"/>
  <c r="T69" i="19"/>
  <c r="U69" i="19" s="1"/>
  <c r="V69" i="19" s="1"/>
  <c r="W69" i="19" s="1"/>
  <c r="M27" i="60"/>
  <c r="D68" i="28"/>
  <c r="M28" i="60"/>
  <c r="M24" i="60"/>
  <c r="W24" i="60"/>
  <c r="BS95" i="2"/>
  <c r="BT95" i="2" s="1"/>
  <c r="BS94" i="2"/>
  <c r="S94" i="36" s="1"/>
  <c r="T94" i="36" s="1"/>
  <c r="T95" i="2"/>
  <c r="U95" i="2" s="1"/>
  <c r="BS93" i="2"/>
  <c r="S93" i="36" s="1"/>
  <c r="T93" i="36" s="1"/>
  <c r="W23" i="60"/>
  <c r="T94" i="2"/>
  <c r="S94" i="30" s="1"/>
  <c r="BS91" i="2"/>
  <c r="S91" i="36" s="1"/>
  <c r="T91" i="36" s="1"/>
  <c r="X21" i="60"/>
  <c r="BG84" i="2"/>
  <c r="W84" i="34" s="1"/>
  <c r="BS90" i="2"/>
  <c r="S90" i="36" s="1"/>
  <c r="T90" i="36" s="1"/>
  <c r="T92" i="2"/>
  <c r="S92" i="30" s="1"/>
  <c r="BG83" i="2"/>
  <c r="W83" i="34" s="1"/>
  <c r="BS89" i="2"/>
  <c r="BT89" i="2" s="1"/>
  <c r="T91" i="2"/>
  <c r="R91" i="18" s="1"/>
  <c r="S91" i="18" s="1"/>
  <c r="BS88" i="2"/>
  <c r="R88" i="25" s="1"/>
  <c r="S88" i="25" s="1"/>
  <c r="T88" i="25" s="1"/>
  <c r="U88" i="25" s="1"/>
  <c r="BS87" i="2"/>
  <c r="R87" i="25" s="1"/>
  <c r="S87" i="25" s="1"/>
  <c r="T87" i="25" s="1"/>
  <c r="U87" i="25" s="1"/>
  <c r="FO67" i="2"/>
  <c r="EU79" i="3" s="1"/>
  <c r="O66" i="2"/>
  <c r="FO63" i="2"/>
  <c r="EU75" i="3" s="1"/>
  <c r="BG81" i="2"/>
  <c r="W81" i="34" s="1"/>
  <c r="U70" i="29"/>
  <c r="V70" i="29" s="1"/>
  <c r="D62" i="28"/>
  <c r="T70" i="19"/>
  <c r="U70" i="19" s="1"/>
  <c r="V70" i="19" s="1"/>
  <c r="W70" i="19" s="1"/>
  <c r="U68" i="29"/>
  <c r="V68" i="29" s="1"/>
  <c r="U64" i="29"/>
  <c r="V64" i="29" s="1"/>
  <c r="E11" i="39"/>
  <c r="T65" i="19"/>
  <c r="U65" i="19" s="1"/>
  <c r="V65" i="19" s="1"/>
  <c r="W65" i="19" s="1"/>
  <c r="BG78" i="2"/>
  <c r="BH78" i="2" s="1"/>
  <c r="BG77" i="2"/>
  <c r="BH77" i="2" s="1"/>
  <c r="U66" i="29"/>
  <c r="V66" i="29" s="1"/>
  <c r="BG75" i="2"/>
  <c r="W75" i="34" s="1"/>
  <c r="BS99" i="2"/>
  <c r="BT99" i="2" s="1"/>
  <c r="N76" i="2"/>
  <c r="O76" i="2" s="1"/>
  <c r="U69" i="29"/>
  <c r="V69" i="29" s="1"/>
  <c r="BG76" i="2"/>
  <c r="BH76" i="2" s="1"/>
  <c r="BG74" i="2"/>
  <c r="BH74" i="2" s="1"/>
  <c r="BG85" i="2"/>
  <c r="W85" i="34" s="1"/>
  <c r="BG80" i="2"/>
  <c r="W80" i="34" s="1"/>
  <c r="BG79" i="2"/>
  <c r="BH79" i="2" s="1"/>
  <c r="BS86" i="2"/>
  <c r="BT86" i="2" s="1"/>
  <c r="N8" i="73"/>
  <c r="N106" i="73"/>
  <c r="N93" i="73"/>
  <c r="G3" i="73"/>
  <c r="T71" i="19"/>
  <c r="U71" i="19" s="1"/>
  <c r="N130" i="73"/>
  <c r="BS98" i="2"/>
  <c r="S98" i="36" s="1"/>
  <c r="BS109" i="2"/>
  <c r="BT109" i="2" s="1"/>
  <c r="BS104" i="2"/>
  <c r="S104" i="36" s="1"/>
  <c r="BS103" i="2"/>
  <c r="BT103" i="2" s="1"/>
  <c r="BS100" i="2"/>
  <c r="BT100" i="2" s="1"/>
  <c r="Z91" i="2"/>
  <c r="T91" i="20" s="1"/>
  <c r="U91" i="20" s="1"/>
  <c r="V91" i="20" s="1"/>
  <c r="W91" i="20" s="1"/>
  <c r="N79" i="2"/>
  <c r="U79" i="29" s="1"/>
  <c r="V79" i="29" s="1"/>
  <c r="N78" i="2"/>
  <c r="U78" i="29" s="1"/>
  <c r="V78" i="29" s="1"/>
  <c r="N77" i="2"/>
  <c r="U77" i="29" s="1"/>
  <c r="V77" i="29" s="1"/>
  <c r="N85" i="2"/>
  <c r="O85" i="2" s="1"/>
  <c r="N75" i="2"/>
  <c r="T75" i="19" s="1"/>
  <c r="U75" i="19" s="1"/>
  <c r="FO73" i="2"/>
  <c r="EU85" i="3" s="1"/>
  <c r="N82" i="2"/>
  <c r="U82" i="29" s="1"/>
  <c r="V82" i="29" s="1"/>
  <c r="Z95" i="2"/>
  <c r="T95" i="20" s="1"/>
  <c r="U95" i="20" s="1"/>
  <c r="V95" i="20" s="1"/>
  <c r="W95" i="20" s="1"/>
  <c r="Z92" i="2"/>
  <c r="AA92" i="2" s="1"/>
  <c r="Z89" i="2"/>
  <c r="T89" i="20" s="1"/>
  <c r="U89" i="20" s="1"/>
  <c r="V89" i="20" s="1"/>
  <c r="W89" i="20" s="1"/>
  <c r="Z86" i="2"/>
  <c r="U86" i="31" s="1"/>
  <c r="V86" i="31" s="1"/>
  <c r="N83" i="2"/>
  <c r="O83" i="2" s="1"/>
  <c r="Z97" i="2"/>
  <c r="T97" i="20" s="1"/>
  <c r="U97" i="20" s="1"/>
  <c r="V97" i="20" s="1"/>
  <c r="W97" i="20" s="1"/>
  <c r="T68" i="19"/>
  <c r="U68" i="19" s="1"/>
  <c r="V68" i="19" s="1"/>
  <c r="W68" i="19" s="1"/>
  <c r="Z82" i="2"/>
  <c r="T82" i="20" s="1"/>
  <c r="U82" i="20" s="1"/>
  <c r="V82" i="20" s="1"/>
  <c r="W82" i="20" s="1"/>
  <c r="Z99" i="2"/>
  <c r="U99" i="31" s="1"/>
  <c r="Z81" i="2"/>
  <c r="U81" i="31" s="1"/>
  <c r="V81" i="31" s="1"/>
  <c r="Z79" i="2"/>
  <c r="T79" i="20" s="1"/>
  <c r="U79" i="20" s="1"/>
  <c r="V79" i="20" s="1"/>
  <c r="W79" i="20" s="1"/>
  <c r="Z78" i="2"/>
  <c r="AA78" i="2" s="1"/>
  <c r="Z77" i="2"/>
  <c r="AA77" i="2" s="1"/>
  <c r="Z75" i="2"/>
  <c r="T75" i="20" s="1"/>
  <c r="U75" i="20" s="1"/>
  <c r="V75" i="20" s="1"/>
  <c r="W75" i="20" s="1"/>
  <c r="T72" i="19"/>
  <c r="U72" i="19" s="1"/>
  <c r="V72" i="19" s="1"/>
  <c r="W72" i="19" s="1"/>
  <c r="Z74" i="2"/>
  <c r="T74" i="20" s="1"/>
  <c r="U74" i="20" s="1"/>
  <c r="V74" i="20" s="1"/>
  <c r="W74" i="20" s="1"/>
  <c r="O72" i="2"/>
  <c r="Z84" i="2"/>
  <c r="AA84" i="2" s="1"/>
  <c r="Z83" i="2"/>
  <c r="U83" i="31" s="1"/>
  <c r="V83" i="31" s="1"/>
  <c r="Z109" i="2"/>
  <c r="AA109" i="2" s="1"/>
  <c r="Z108" i="2"/>
  <c r="AA108" i="2" s="1"/>
  <c r="Z106" i="2"/>
  <c r="U106" i="31" s="1"/>
  <c r="Z104" i="2"/>
  <c r="AA104" i="2" s="1"/>
  <c r="U71" i="29"/>
  <c r="V71" i="29" s="1"/>
  <c r="Z98" i="2"/>
  <c r="U98" i="31" s="1"/>
  <c r="Z103" i="2"/>
  <c r="AA103" i="2" s="1"/>
  <c r="Z102" i="2"/>
  <c r="AA102" i="2" s="1"/>
  <c r="Z101" i="2"/>
  <c r="U101" i="31" s="1"/>
  <c r="BS83" i="2"/>
  <c r="S83" i="36" s="1"/>
  <c r="T83" i="36" s="1"/>
  <c r="N81" i="2"/>
  <c r="O81" i="2" s="1"/>
  <c r="N84" i="2"/>
  <c r="U84" i="29" s="1"/>
  <c r="V84" i="29" s="1"/>
  <c r="Z100" i="2"/>
  <c r="AA100" i="2" s="1"/>
  <c r="BS84" i="2"/>
  <c r="R84" i="25" s="1"/>
  <c r="S84" i="25" s="1"/>
  <c r="T84" i="25" s="1"/>
  <c r="U84" i="25" s="1"/>
  <c r="Z90" i="2"/>
  <c r="U90" i="31" s="1"/>
  <c r="V90" i="31" s="1"/>
  <c r="Z88" i="2"/>
  <c r="AA88" i="2" s="1"/>
  <c r="Z93" i="2"/>
  <c r="U93" i="31" s="1"/>
  <c r="V93" i="31" s="1"/>
  <c r="N80" i="2"/>
  <c r="O80" i="2" s="1"/>
  <c r="U65" i="29"/>
  <c r="V65" i="29" s="1"/>
  <c r="T67" i="19"/>
  <c r="U67" i="19" s="1"/>
  <c r="V67" i="19" s="1"/>
  <c r="W67" i="19" s="1"/>
  <c r="U67" i="29"/>
  <c r="V67" i="29" s="1"/>
  <c r="Z80" i="2"/>
  <c r="T80" i="20" s="1"/>
  <c r="U80" i="20" s="1"/>
  <c r="V80" i="20" s="1"/>
  <c r="W80" i="20" s="1"/>
  <c r="Z76" i="2"/>
  <c r="T76" i="20" s="1"/>
  <c r="U76" i="20" s="1"/>
  <c r="V76" i="20" s="1"/>
  <c r="W76" i="20" s="1"/>
  <c r="BS82" i="2"/>
  <c r="BT82" i="2" s="1"/>
  <c r="Z87" i="2"/>
  <c r="AA87" i="2" s="1"/>
  <c r="D64" i="28"/>
  <c r="O64" i="2"/>
  <c r="Z105" i="2"/>
  <c r="T105" i="20" s="1"/>
  <c r="U105" i="20" s="1"/>
  <c r="BS76" i="2"/>
  <c r="R76" i="25" s="1"/>
  <c r="S76" i="25" s="1"/>
  <c r="T76" i="25" s="1"/>
  <c r="U76" i="25" s="1"/>
  <c r="Z94" i="2"/>
  <c r="AA94" i="2" s="1"/>
  <c r="D10" i="27"/>
  <c r="BS78" i="2"/>
  <c r="R78" i="25" s="1"/>
  <c r="S78" i="25" s="1"/>
  <c r="T78" i="25" s="1"/>
  <c r="U78" i="25" s="1"/>
  <c r="BS75" i="2"/>
  <c r="S75" i="36" s="1"/>
  <c r="T75" i="36" s="1"/>
  <c r="BS74" i="2"/>
  <c r="S74" i="36" s="1"/>
  <c r="T74" i="36" s="1"/>
  <c r="BS77" i="2"/>
  <c r="BT77" i="2" s="1"/>
  <c r="BS85" i="2"/>
  <c r="S85" i="36" s="1"/>
  <c r="T85" i="36" s="1"/>
  <c r="BS80" i="2"/>
  <c r="S80" i="36" s="1"/>
  <c r="T80" i="36" s="1"/>
  <c r="BS79" i="2"/>
  <c r="BT79" i="2" s="1"/>
  <c r="M134" i="44"/>
  <c r="F11" i="39"/>
  <c r="H11" i="39" s="1"/>
  <c r="J11" i="39" s="1"/>
  <c r="P94" i="41"/>
  <c r="P94" i="73"/>
  <c r="M20" i="73"/>
  <c r="L48" i="73" s="1"/>
  <c r="N110" i="41"/>
  <c r="N110" i="73"/>
  <c r="N107" i="73"/>
  <c r="N107" i="41"/>
  <c r="M21" i="73"/>
  <c r="L49" i="73" s="1"/>
  <c r="N111" i="73"/>
  <c r="N111" i="41"/>
  <c r="N100" i="73"/>
  <c r="N100" i="41"/>
  <c r="N26" i="44" s="1"/>
  <c r="N99" i="41"/>
  <c r="N99" i="73"/>
  <c r="S98" i="41"/>
  <c r="S98" i="73"/>
  <c r="S97" i="73"/>
  <c r="S97" i="41"/>
  <c r="O106" i="41"/>
  <c r="O93" i="41"/>
  <c r="BR59" i="14"/>
  <c r="BR60" i="14" s="1"/>
  <c r="BR61" i="14" s="1"/>
  <c r="BR62" i="14" s="1"/>
  <c r="BR63" i="14" s="1"/>
  <c r="BR64" i="14" s="1"/>
  <c r="BR65" i="14" s="1"/>
  <c r="BR66" i="14" s="1"/>
  <c r="BR67" i="14" s="1"/>
  <c r="BR68" i="14" s="1"/>
  <c r="BR69" i="14" s="1"/>
  <c r="BR70" i="14" s="1"/>
  <c r="N135" i="73" s="1"/>
  <c r="BN59" i="14"/>
  <c r="BN60" i="14" s="1"/>
  <c r="BN61" i="14" s="1"/>
  <c r="BN62" i="14" s="1"/>
  <c r="BN63" i="14" s="1"/>
  <c r="BN64" i="14" s="1"/>
  <c r="BN65" i="14" s="1"/>
  <c r="BN66" i="14" s="1"/>
  <c r="BN67" i="14" s="1"/>
  <c r="BN68" i="14" s="1"/>
  <c r="BN69" i="14" s="1"/>
  <c r="BN70" i="14" s="1"/>
  <c r="N134" i="73" s="1"/>
  <c r="BH18" i="14"/>
  <c r="BH71" i="14"/>
  <c r="BH72" i="14" s="1"/>
  <c r="BH73" i="14" s="1"/>
  <c r="BH74" i="14" s="1"/>
  <c r="BH75" i="14" s="1"/>
  <c r="BH76" i="14" s="1"/>
  <c r="BH77" i="14" s="1"/>
  <c r="BH78" i="14" s="1"/>
  <c r="BH79" i="14" s="1"/>
  <c r="BH80" i="14" s="1"/>
  <c r="BH81" i="14" s="1"/>
  <c r="BH82" i="14" s="1"/>
  <c r="M134" i="41"/>
  <c r="M82" i="44" s="1"/>
  <c r="X40" i="60" s="1"/>
  <c r="M135" i="41"/>
  <c r="M83" i="44" s="1"/>
  <c r="X41" i="60" s="1"/>
  <c r="AX59" i="14"/>
  <c r="AX60" i="14" s="1"/>
  <c r="AX61" i="14" s="1"/>
  <c r="AX62" i="14" s="1"/>
  <c r="AX63" i="14" s="1"/>
  <c r="AX64" i="14" s="1"/>
  <c r="AX65" i="14" s="1"/>
  <c r="AX66" i="14" s="1"/>
  <c r="AX67" i="14" s="1"/>
  <c r="AX68" i="14" s="1"/>
  <c r="AX69" i="14" s="1"/>
  <c r="AX70" i="14" s="1"/>
  <c r="N131" i="73" s="1"/>
  <c r="M22" i="41"/>
  <c r="M67" i="41"/>
  <c r="R37" i="73"/>
  <c r="M123" i="41"/>
  <c r="M35" i="44" s="1"/>
  <c r="N40" i="60" s="1"/>
  <c r="U53" i="14"/>
  <c r="V52" i="14"/>
  <c r="AG59" i="14"/>
  <c r="AG60" i="14" s="1"/>
  <c r="AG61" i="14" s="1"/>
  <c r="AG62" i="14" s="1"/>
  <c r="AG63" i="14" s="1"/>
  <c r="AG64" i="14" s="1"/>
  <c r="AG65" i="14" s="1"/>
  <c r="AG66" i="14" s="1"/>
  <c r="AG67" i="14" s="1"/>
  <c r="AG68" i="14" s="1"/>
  <c r="AG69" i="14" s="1"/>
  <c r="AG70" i="14" s="1"/>
  <c r="N123" i="73" s="1"/>
  <c r="M11" i="41"/>
  <c r="G83" i="14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P118" i="73" s="1"/>
  <c r="O118" i="41"/>
  <c r="O30" i="44" s="1"/>
  <c r="O146" i="44" s="1"/>
  <c r="S72" i="36"/>
  <c r="T72" i="36" s="1"/>
  <c r="S71" i="36"/>
  <c r="T71" i="36" s="1"/>
  <c r="AA56" i="2"/>
  <c r="AA58" i="2"/>
  <c r="R81" i="25"/>
  <c r="S81" i="25" s="1"/>
  <c r="T81" i="25" s="1"/>
  <c r="U81" i="25" s="1"/>
  <c r="AA60" i="2"/>
  <c r="AA61" i="2"/>
  <c r="AA51" i="2"/>
  <c r="AA53" i="2"/>
  <c r="M124" i="41"/>
  <c r="M36" i="44" s="1"/>
  <c r="AT18" i="14"/>
  <c r="U51" i="31"/>
  <c r="V51" i="31" s="1"/>
  <c r="AT71" i="14"/>
  <c r="AT72" i="14" s="1"/>
  <c r="AT73" i="14" s="1"/>
  <c r="AT74" i="14" s="1"/>
  <c r="AT75" i="14" s="1"/>
  <c r="AT76" i="14" s="1"/>
  <c r="AT77" i="14" s="1"/>
  <c r="AT78" i="14" s="1"/>
  <c r="AT79" i="14" s="1"/>
  <c r="AT80" i="14" s="1"/>
  <c r="AT81" i="14" s="1"/>
  <c r="AT82" i="14" s="1"/>
  <c r="M58" i="41"/>
  <c r="N130" i="41"/>
  <c r="N78" i="44" s="1"/>
  <c r="AA57" i="2"/>
  <c r="U57" i="31"/>
  <c r="V57" i="31" s="1"/>
  <c r="T51" i="20"/>
  <c r="U51" i="20" s="1"/>
  <c r="V51" i="20" s="1"/>
  <c r="W51" i="20" s="1"/>
  <c r="T56" i="20"/>
  <c r="U56" i="20" s="1"/>
  <c r="V56" i="20" s="1"/>
  <c r="W56" i="20" s="1"/>
  <c r="T57" i="20"/>
  <c r="U57" i="20" s="1"/>
  <c r="V57" i="20" s="1"/>
  <c r="W57" i="20" s="1"/>
  <c r="T52" i="20"/>
  <c r="U52" i="20" s="1"/>
  <c r="V52" i="20" s="1"/>
  <c r="W52" i="20" s="1"/>
  <c r="U52" i="31"/>
  <c r="V52" i="31" s="1"/>
  <c r="U50" i="31"/>
  <c r="V50" i="31" s="1"/>
  <c r="U60" i="31"/>
  <c r="V60" i="31" s="1"/>
  <c r="T60" i="20"/>
  <c r="U60" i="20" s="1"/>
  <c r="V60" i="20" s="1"/>
  <c r="W60" i="20" s="1"/>
  <c r="AA50" i="2"/>
  <c r="T61" i="20"/>
  <c r="U61" i="20" s="1"/>
  <c r="V61" i="20" s="1"/>
  <c r="W61" i="20" s="1"/>
  <c r="T50" i="20"/>
  <c r="U50" i="20" s="1"/>
  <c r="V50" i="20" s="1"/>
  <c r="W50" i="20" s="1"/>
  <c r="U61" i="31"/>
  <c r="V61" i="31" s="1"/>
  <c r="U53" i="31"/>
  <c r="V53" i="31" s="1"/>
  <c r="U54" i="31"/>
  <c r="V54" i="31" s="1"/>
  <c r="T53" i="20"/>
  <c r="U53" i="20" s="1"/>
  <c r="V53" i="20" s="1"/>
  <c r="W53" i="20" s="1"/>
  <c r="U56" i="31"/>
  <c r="V56" i="31" s="1"/>
  <c r="G23" i="12"/>
  <c r="H23" i="12"/>
  <c r="H30" i="12" s="1"/>
  <c r="I23" i="12"/>
  <c r="J23" i="12"/>
  <c r="K23" i="12"/>
  <c r="BI22" i="39" s="1"/>
  <c r="BI16" i="39"/>
  <c r="BK16" i="39" s="1"/>
  <c r="E30" i="12"/>
  <c r="AA59" i="2"/>
  <c r="T54" i="20"/>
  <c r="U54" i="20" s="1"/>
  <c r="V54" i="20" s="1"/>
  <c r="W54" i="20" s="1"/>
  <c r="AK59" i="14"/>
  <c r="AK60" i="14" s="1"/>
  <c r="AK61" i="14" s="1"/>
  <c r="AK62" i="14" s="1"/>
  <c r="AK63" i="14" s="1"/>
  <c r="AK64" i="14" s="1"/>
  <c r="AK65" i="14" s="1"/>
  <c r="AK66" i="14" s="1"/>
  <c r="AK67" i="14" s="1"/>
  <c r="AK68" i="14" s="1"/>
  <c r="AK69" i="14" s="1"/>
  <c r="AK70" i="14" s="1"/>
  <c r="N124" i="73" s="1"/>
  <c r="AG17" i="14"/>
  <c r="AA52" i="2"/>
  <c r="AA54" i="2"/>
  <c r="T58" i="20"/>
  <c r="U58" i="20" s="1"/>
  <c r="V58" i="20" s="1"/>
  <c r="W58" i="20" s="1"/>
  <c r="U58" i="31"/>
  <c r="V58" i="31" s="1"/>
  <c r="T59" i="20"/>
  <c r="U59" i="20" s="1"/>
  <c r="V59" i="20" s="1"/>
  <c r="W59" i="20" s="1"/>
  <c r="U59" i="31"/>
  <c r="V59" i="31" s="1"/>
  <c r="F143" i="10"/>
  <c r="F147" i="10" s="1"/>
  <c r="G147" i="10"/>
  <c r="G142" i="10"/>
  <c r="H146" i="10"/>
  <c r="I146" i="51"/>
  <c r="H142" i="51"/>
  <c r="BA9" i="27"/>
  <c r="L177" i="44"/>
  <c r="L197" i="44" s="1"/>
  <c r="C22" i="60"/>
  <c r="O35" i="60"/>
  <c r="E35" i="60"/>
  <c r="M36" i="60"/>
  <c r="C42" i="60"/>
  <c r="M42" i="60"/>
  <c r="C21" i="60"/>
  <c r="N21" i="60"/>
  <c r="D22" i="60"/>
  <c r="AU60" i="14"/>
  <c r="N19" i="44"/>
  <c r="G24" i="11"/>
  <c r="G26" i="11" s="1"/>
  <c r="G28" i="11" s="1"/>
  <c r="G66" i="11" s="1"/>
  <c r="G68" i="11" s="1"/>
  <c r="G69" i="11" s="1"/>
  <c r="G103" i="11" s="1"/>
  <c r="AT49" i="14"/>
  <c r="R66" i="25"/>
  <c r="S66" i="25" s="1"/>
  <c r="T66" i="25" s="1"/>
  <c r="U66" i="25" s="1"/>
  <c r="C71" i="14"/>
  <c r="C26" i="60"/>
  <c r="BT66" i="2"/>
  <c r="S66" i="36"/>
  <c r="T66" i="36" s="1"/>
  <c r="H20" i="11"/>
  <c r="H21" i="11" s="1"/>
  <c r="H25" i="11" s="1"/>
  <c r="K16" i="14"/>
  <c r="BS115" i="2"/>
  <c r="BS116" i="2"/>
  <c r="BS114" i="2"/>
  <c r="BS117" i="2"/>
  <c r="BS118" i="2"/>
  <c r="BS119" i="2"/>
  <c r="BS120" i="2"/>
  <c r="BS121" i="2"/>
  <c r="BS113" i="2"/>
  <c r="BS110" i="2"/>
  <c r="BS111" i="2"/>
  <c r="BS112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G86" i="2"/>
  <c r="BG87" i="2"/>
  <c r="BG88" i="2"/>
  <c r="BG89" i="2"/>
  <c r="BG90" i="2"/>
  <c r="BG91" i="2"/>
  <c r="BG92" i="2"/>
  <c r="BG93" i="2"/>
  <c r="BG94" i="2"/>
  <c r="BG95" i="2"/>
  <c r="BG96" i="2"/>
  <c r="BG97" i="2"/>
  <c r="Z115" i="2"/>
  <c r="Z116" i="2"/>
  <c r="Z117" i="2"/>
  <c r="Z118" i="2"/>
  <c r="Z119" i="2"/>
  <c r="Z120" i="2"/>
  <c r="Z121" i="2"/>
  <c r="Z110" i="2"/>
  <c r="Z111" i="2"/>
  <c r="Z112" i="2"/>
  <c r="Z113" i="2"/>
  <c r="Z114" i="2"/>
  <c r="H74" i="2"/>
  <c r="H75" i="2"/>
  <c r="H76" i="2"/>
  <c r="H77" i="2"/>
  <c r="H78" i="2"/>
  <c r="H79" i="2"/>
  <c r="H80" i="2"/>
  <c r="H81" i="2"/>
  <c r="H82" i="2"/>
  <c r="H83" i="2"/>
  <c r="H84" i="2"/>
  <c r="H85" i="2"/>
  <c r="DH10" i="39"/>
  <c r="U51" i="18"/>
  <c r="U61" i="18"/>
  <c r="U50" i="18"/>
  <c r="U54" i="18"/>
  <c r="U55" i="18"/>
  <c r="U53" i="18"/>
  <c r="U52" i="18"/>
  <c r="U60" i="18"/>
  <c r="U57" i="18"/>
  <c r="U59" i="18"/>
  <c r="U58" i="18"/>
  <c r="U56" i="18"/>
  <c r="U54" i="25"/>
  <c r="U53" i="25"/>
  <c r="U59" i="25"/>
  <c r="U52" i="25"/>
  <c r="U56" i="25"/>
  <c r="U60" i="25"/>
  <c r="U57" i="25"/>
  <c r="U58" i="25"/>
  <c r="U50" i="25"/>
  <c r="BB18" i="14"/>
  <c r="BB83" i="14" s="1"/>
  <c r="BB84" i="14" s="1"/>
  <c r="BB85" i="14" s="1"/>
  <c r="BB86" i="14" s="1"/>
  <c r="BB87" i="14" s="1"/>
  <c r="BB88" i="14" s="1"/>
  <c r="BB89" i="14" s="1"/>
  <c r="BB90" i="14" s="1"/>
  <c r="BB91" i="14" s="1"/>
  <c r="BB92" i="14" s="1"/>
  <c r="BB93" i="14" s="1"/>
  <c r="BB94" i="14" s="1"/>
  <c r="BE17" i="14"/>
  <c r="BE49" i="14"/>
  <c r="BK17" i="14"/>
  <c r="AD83" i="14"/>
  <c r="AD71" i="14"/>
  <c r="AD49" i="14"/>
  <c r="AD60" i="14"/>
  <c r="R47" i="14"/>
  <c r="V97" i="11"/>
  <c r="E42" i="12" s="1"/>
  <c r="F97" i="11"/>
  <c r="D14" i="12" s="1"/>
  <c r="BF11" i="27"/>
  <c r="D121" i="36"/>
  <c r="D121" i="25"/>
  <c r="FZ121" i="2"/>
  <c r="FC133" i="3" s="1"/>
  <c r="T85" i="20"/>
  <c r="U85" i="20" s="1"/>
  <c r="V85" i="20" s="1"/>
  <c r="W85" i="20" s="1"/>
  <c r="AA85" i="2"/>
  <c r="U85" i="31"/>
  <c r="V85" i="31" s="1"/>
  <c r="BT81" i="2"/>
  <c r="U96" i="31"/>
  <c r="V96" i="31" s="1"/>
  <c r="AA96" i="2"/>
  <c r="T96" i="20"/>
  <c r="U96" i="20" s="1"/>
  <c r="S81" i="36"/>
  <c r="T81" i="36" s="1"/>
  <c r="AY11" i="27"/>
  <c r="D118" i="24"/>
  <c r="FZ119" i="2"/>
  <c r="FC131" i="3" s="1"/>
  <c r="D118" i="35"/>
  <c r="BW110" i="2"/>
  <c r="BG9" i="27"/>
  <c r="D115" i="36"/>
  <c r="D119" i="36"/>
  <c r="FY118" i="2"/>
  <c r="FB130" i="3" s="1"/>
  <c r="FZ115" i="2"/>
  <c r="FC127" i="3" s="1"/>
  <c r="C18" i="14"/>
  <c r="D115" i="25"/>
  <c r="D119" i="25"/>
  <c r="R71" i="25"/>
  <c r="S71" i="25" s="1"/>
  <c r="T71" i="25" s="1"/>
  <c r="U71" i="25" s="1"/>
  <c r="S62" i="36"/>
  <c r="T62" i="36" s="1"/>
  <c r="BT71" i="2"/>
  <c r="S73" i="36"/>
  <c r="T73" i="36" s="1"/>
  <c r="BT73" i="2"/>
  <c r="R73" i="25"/>
  <c r="S73" i="25" s="1"/>
  <c r="T73" i="25" s="1"/>
  <c r="BT72" i="2"/>
  <c r="R72" i="25"/>
  <c r="S72" i="25" s="1"/>
  <c r="T72" i="25" s="1"/>
  <c r="U72" i="25" s="1"/>
  <c r="BT70" i="2"/>
  <c r="R70" i="25"/>
  <c r="S70" i="25" s="1"/>
  <c r="T70" i="25" s="1"/>
  <c r="U70" i="25" s="1"/>
  <c r="S70" i="36"/>
  <c r="T70" i="36" s="1"/>
  <c r="BT62" i="2"/>
  <c r="R62" i="25"/>
  <c r="S62" i="25" s="1"/>
  <c r="T62" i="25" s="1"/>
  <c r="S68" i="36"/>
  <c r="T68" i="36" s="1"/>
  <c r="BT68" i="2"/>
  <c r="R68" i="25"/>
  <c r="S68" i="25" s="1"/>
  <c r="T68" i="25" s="1"/>
  <c r="U68" i="25" s="1"/>
  <c r="BT67" i="2"/>
  <c r="R67" i="25"/>
  <c r="S67" i="25" s="1"/>
  <c r="T67" i="25" s="1"/>
  <c r="S67" i="36"/>
  <c r="T67" i="36" s="1"/>
  <c r="BT69" i="2"/>
  <c r="R69" i="25"/>
  <c r="S69" i="25" s="1"/>
  <c r="T69" i="25" s="1"/>
  <c r="U69" i="25" s="1"/>
  <c r="S69" i="36"/>
  <c r="T69" i="36" s="1"/>
  <c r="S63" i="36"/>
  <c r="T63" i="36" s="1"/>
  <c r="BT63" i="2"/>
  <c r="R63" i="25"/>
  <c r="S63" i="25" s="1"/>
  <c r="BT64" i="2"/>
  <c r="R64" i="25"/>
  <c r="S64" i="25" s="1"/>
  <c r="T64" i="25" s="1"/>
  <c r="U64" i="25" s="1"/>
  <c r="S64" i="36"/>
  <c r="T64" i="36" s="1"/>
  <c r="BT65" i="2"/>
  <c r="R65" i="25"/>
  <c r="S65" i="25" s="1"/>
  <c r="T65" i="25" s="1"/>
  <c r="U65" i="25" s="1"/>
  <c r="S65" i="36"/>
  <c r="T65" i="36" s="1"/>
  <c r="BE119" i="2"/>
  <c r="AA68" i="2"/>
  <c r="T68" i="20"/>
  <c r="U68" i="20" s="1"/>
  <c r="V68" i="20" s="1"/>
  <c r="W68" i="20" s="1"/>
  <c r="U68" i="31"/>
  <c r="V68" i="31" s="1"/>
  <c r="U67" i="31"/>
  <c r="V67" i="31" s="1"/>
  <c r="AA67" i="2"/>
  <c r="T67" i="20"/>
  <c r="U67" i="20" s="1"/>
  <c r="V67" i="20" s="1"/>
  <c r="W67" i="20" s="1"/>
  <c r="AA66" i="2"/>
  <c r="T66" i="20"/>
  <c r="U66" i="20" s="1"/>
  <c r="V66" i="20" s="1"/>
  <c r="W66" i="20" s="1"/>
  <c r="U66" i="31"/>
  <c r="V66" i="31" s="1"/>
  <c r="AA65" i="2"/>
  <c r="T65" i="20"/>
  <c r="U65" i="20" s="1"/>
  <c r="V65" i="20" s="1"/>
  <c r="W65" i="20" s="1"/>
  <c r="U65" i="31"/>
  <c r="V65" i="31" s="1"/>
  <c r="AA64" i="2"/>
  <c r="T64" i="20"/>
  <c r="U64" i="20" s="1"/>
  <c r="V64" i="20" s="1"/>
  <c r="W64" i="20" s="1"/>
  <c r="U64" i="31"/>
  <c r="V64" i="31" s="1"/>
  <c r="U63" i="31"/>
  <c r="V63" i="31" s="1"/>
  <c r="AA63" i="2"/>
  <c r="T63" i="20"/>
  <c r="U63" i="20" s="1"/>
  <c r="V63" i="20" s="1"/>
  <c r="W63" i="20" s="1"/>
  <c r="AA62" i="2"/>
  <c r="T62" i="20"/>
  <c r="U62" i="20" s="1"/>
  <c r="U62" i="31"/>
  <c r="V62" i="31" s="1"/>
  <c r="U71" i="31"/>
  <c r="V71" i="31" s="1"/>
  <c r="AA71" i="2"/>
  <c r="T71" i="20"/>
  <c r="U71" i="20" s="1"/>
  <c r="V71" i="20" s="1"/>
  <c r="W71" i="20" s="1"/>
  <c r="U70" i="31"/>
  <c r="V70" i="31" s="1"/>
  <c r="AA70" i="2"/>
  <c r="T70" i="20"/>
  <c r="U70" i="20" s="1"/>
  <c r="V70" i="20" s="1"/>
  <c r="W70" i="20" s="1"/>
  <c r="U73" i="31"/>
  <c r="V73" i="31" s="1"/>
  <c r="AA73" i="2"/>
  <c r="T73" i="20"/>
  <c r="U73" i="20" s="1"/>
  <c r="V73" i="20" s="1"/>
  <c r="W73" i="20" s="1"/>
  <c r="U72" i="31"/>
  <c r="V72" i="31" s="1"/>
  <c r="AA72" i="2"/>
  <c r="T72" i="20"/>
  <c r="U72" i="20" s="1"/>
  <c r="V72" i="20" s="1"/>
  <c r="W72" i="20" s="1"/>
  <c r="T69" i="20"/>
  <c r="U69" i="20" s="1"/>
  <c r="V69" i="20" s="1"/>
  <c r="W69" i="20" s="1"/>
  <c r="U69" i="31"/>
  <c r="V69" i="31" s="1"/>
  <c r="AA69" i="2"/>
  <c r="D93" i="23"/>
  <c r="D92" i="23"/>
  <c r="BY90" i="2"/>
  <c r="BY87" i="2"/>
  <c r="D95" i="23"/>
  <c r="D86" i="23"/>
  <c r="BY96" i="2"/>
  <c r="BE116" i="2"/>
  <c r="BY91" i="2"/>
  <c r="D91" i="23"/>
  <c r="BE120" i="2"/>
  <c r="D88" i="23"/>
  <c r="D89" i="23"/>
  <c r="D97" i="23"/>
  <c r="BY89" i="2"/>
  <c r="D96" i="23"/>
  <c r="BE114" i="2"/>
  <c r="BY97" i="2"/>
  <c r="D87" i="23"/>
  <c r="BE111" i="2"/>
  <c r="D94" i="23"/>
  <c r="BY92" i="2"/>
  <c r="BY94" i="2"/>
  <c r="BE110" i="2"/>
  <c r="BY95" i="2"/>
  <c r="BY88" i="2"/>
  <c r="BY86" i="2"/>
  <c r="BY93" i="2"/>
  <c r="D90" i="23"/>
  <c r="S106" i="36"/>
  <c r="S105" i="36"/>
  <c r="S108" i="36"/>
  <c r="BI19" i="39"/>
  <c r="BI20" i="39"/>
  <c r="BK20" i="39" s="1"/>
  <c r="CX10" i="39"/>
  <c r="CZ10" i="39" s="1"/>
  <c r="DB10" i="39" s="1"/>
  <c r="CN10" i="39"/>
  <c r="CP10" i="39" s="1"/>
  <c r="CR10" i="39" s="1"/>
  <c r="Z10" i="39"/>
  <c r="AB10" i="39" s="1"/>
  <c r="AD10" i="39" s="1"/>
  <c r="S92" i="36"/>
  <c r="T92" i="36" s="1"/>
  <c r="U70" i="35"/>
  <c r="U69" i="35"/>
  <c r="U68" i="35"/>
  <c r="U67" i="35"/>
  <c r="U80" i="35"/>
  <c r="U78" i="35"/>
  <c r="U73" i="35"/>
  <c r="U82" i="35"/>
  <c r="U65" i="35"/>
  <c r="U64" i="35"/>
  <c r="V64" i="35" s="1"/>
  <c r="U76" i="35"/>
  <c r="U63" i="35"/>
  <c r="U75" i="35"/>
  <c r="U71" i="35"/>
  <c r="U74" i="35"/>
  <c r="U66" i="35"/>
  <c r="U84" i="35"/>
  <c r="U62" i="35"/>
  <c r="V62" i="35" s="1"/>
  <c r="U85" i="35"/>
  <c r="U72" i="35"/>
  <c r="U83" i="35"/>
  <c r="W71" i="34"/>
  <c r="W63" i="34"/>
  <c r="W69" i="34"/>
  <c r="W70" i="34"/>
  <c r="W62" i="34"/>
  <c r="W73" i="34"/>
  <c r="W72" i="34"/>
  <c r="W82" i="34"/>
  <c r="W65" i="34"/>
  <c r="W64" i="34"/>
  <c r="W68" i="34"/>
  <c r="W67" i="34"/>
  <c r="W66" i="34"/>
  <c r="U107" i="31"/>
  <c r="S66" i="30"/>
  <c r="S65" i="30"/>
  <c r="S64" i="30"/>
  <c r="S75" i="30"/>
  <c r="S70" i="30"/>
  <c r="S81" i="30"/>
  <c r="S63" i="30"/>
  <c r="S79" i="30"/>
  <c r="S62" i="30"/>
  <c r="S76" i="30"/>
  <c r="S71" i="30"/>
  <c r="S74" i="30"/>
  <c r="S72" i="30"/>
  <c r="S86" i="30"/>
  <c r="S82" i="30"/>
  <c r="S69" i="30"/>
  <c r="S80" i="30"/>
  <c r="S68" i="30"/>
  <c r="S85" i="30"/>
  <c r="S78" i="30"/>
  <c r="S67" i="30"/>
  <c r="S84" i="30"/>
  <c r="S90" i="30"/>
  <c r="S83" i="30"/>
  <c r="S77" i="30"/>
  <c r="S73" i="30"/>
  <c r="U74" i="29"/>
  <c r="V74" i="29" s="1"/>
  <c r="R108" i="25"/>
  <c r="S108" i="25" s="1"/>
  <c r="R106" i="25"/>
  <c r="S106" i="25" s="1"/>
  <c r="Q9" i="27"/>
  <c r="AU9" i="27"/>
  <c r="K9" i="27"/>
  <c r="P85" i="26"/>
  <c r="P79" i="26"/>
  <c r="P77" i="26"/>
  <c r="P84" i="26"/>
  <c r="P80" i="26"/>
  <c r="P78" i="26"/>
  <c r="P81" i="26"/>
  <c r="P83" i="26"/>
  <c r="P76" i="26"/>
  <c r="P75" i="26"/>
  <c r="P82" i="26"/>
  <c r="BT92" i="2"/>
  <c r="R92" i="25"/>
  <c r="S92" i="25" s="1"/>
  <c r="T92" i="25" s="1"/>
  <c r="U92" i="25" s="1"/>
  <c r="BN67" i="2"/>
  <c r="T67" i="24"/>
  <c r="U67" i="24" s="1"/>
  <c r="V67" i="24" s="1"/>
  <c r="W67" i="24" s="1"/>
  <c r="BN80" i="2"/>
  <c r="BN78" i="2"/>
  <c r="T78" i="24"/>
  <c r="U78" i="24" s="1"/>
  <c r="V78" i="24" s="1"/>
  <c r="W78" i="24" s="1"/>
  <c r="BN73" i="2"/>
  <c r="T73" i="24"/>
  <c r="U73" i="24" s="1"/>
  <c r="V73" i="24" s="1"/>
  <c r="W73" i="24" s="1"/>
  <c r="BN65" i="2"/>
  <c r="T65" i="24"/>
  <c r="U65" i="24" s="1"/>
  <c r="V65" i="24" s="1"/>
  <c r="W65" i="24" s="1"/>
  <c r="BN64" i="2"/>
  <c r="T64" i="24"/>
  <c r="U64" i="24" s="1"/>
  <c r="V64" i="24" s="1"/>
  <c r="W64" i="24" s="1"/>
  <c r="BN76" i="2"/>
  <c r="T76" i="24"/>
  <c r="U76" i="24" s="1"/>
  <c r="V76" i="24" s="1"/>
  <c r="W76" i="24" s="1"/>
  <c r="BN63" i="2"/>
  <c r="T63" i="24"/>
  <c r="U63" i="24" s="1"/>
  <c r="V63" i="24" s="1"/>
  <c r="W63" i="24" s="1"/>
  <c r="BN75" i="2"/>
  <c r="T75" i="24"/>
  <c r="U75" i="24" s="1"/>
  <c r="V75" i="24" s="1"/>
  <c r="W75" i="24" s="1"/>
  <c r="BN71" i="2"/>
  <c r="T71" i="24"/>
  <c r="U71" i="24" s="1"/>
  <c r="V71" i="24" s="1"/>
  <c r="W71" i="24" s="1"/>
  <c r="BN74" i="2"/>
  <c r="T74" i="24"/>
  <c r="U74" i="24" s="1"/>
  <c r="BN66" i="2"/>
  <c r="T66" i="24"/>
  <c r="U66" i="24" s="1"/>
  <c r="V66" i="24" s="1"/>
  <c r="W66" i="24" s="1"/>
  <c r="BN84" i="2"/>
  <c r="BN62" i="2"/>
  <c r="T62" i="24"/>
  <c r="U62" i="24" s="1"/>
  <c r="BN85" i="2"/>
  <c r="T85" i="24"/>
  <c r="U85" i="24" s="1"/>
  <c r="V85" i="24" s="1"/>
  <c r="W85" i="24" s="1"/>
  <c r="BN72" i="2"/>
  <c r="T72" i="24"/>
  <c r="U72" i="24" s="1"/>
  <c r="V72" i="24" s="1"/>
  <c r="W72" i="24" s="1"/>
  <c r="BN83" i="2"/>
  <c r="T83" i="24"/>
  <c r="U83" i="24" s="1"/>
  <c r="V83" i="24" s="1"/>
  <c r="W83" i="24" s="1"/>
  <c r="BN70" i="2"/>
  <c r="T70" i="24"/>
  <c r="U70" i="24" s="1"/>
  <c r="V70" i="24" s="1"/>
  <c r="W70" i="24" s="1"/>
  <c r="BN69" i="2"/>
  <c r="T69" i="24"/>
  <c r="U69" i="24" s="1"/>
  <c r="V69" i="24" s="1"/>
  <c r="W69" i="24" s="1"/>
  <c r="BN68" i="2"/>
  <c r="T68" i="24"/>
  <c r="U68" i="24" s="1"/>
  <c r="V68" i="24" s="1"/>
  <c r="W68" i="24" s="1"/>
  <c r="BH65" i="2"/>
  <c r="V65" i="23"/>
  <c r="W65" i="23" s="1"/>
  <c r="BH64" i="2"/>
  <c r="V64" i="23"/>
  <c r="W64" i="23" s="1"/>
  <c r="BH68" i="2"/>
  <c r="V68" i="23"/>
  <c r="W68" i="23" s="1"/>
  <c r="BH67" i="2"/>
  <c r="V67" i="23"/>
  <c r="W67" i="23" s="1"/>
  <c r="BH66" i="2"/>
  <c r="V66" i="23"/>
  <c r="W66" i="23" s="1"/>
  <c r="BH71" i="2"/>
  <c r="V71" i="23"/>
  <c r="W71" i="23" s="1"/>
  <c r="BH63" i="2"/>
  <c r="V63" i="23"/>
  <c r="W63" i="23" s="1"/>
  <c r="BH69" i="2"/>
  <c r="V69" i="23"/>
  <c r="W69" i="23" s="1"/>
  <c r="BH70" i="2"/>
  <c r="V70" i="23"/>
  <c r="W70" i="23" s="1"/>
  <c r="BH62" i="2"/>
  <c r="V62" i="23"/>
  <c r="W62" i="23" s="1"/>
  <c r="BH73" i="2"/>
  <c r="V73" i="23"/>
  <c r="W73" i="23" s="1"/>
  <c r="BH72" i="2"/>
  <c r="V72" i="23"/>
  <c r="W72" i="23" s="1"/>
  <c r="BH82" i="2"/>
  <c r="V82" i="23"/>
  <c r="W82" i="23" s="1"/>
  <c r="V12" i="27"/>
  <c r="V11" i="27"/>
  <c r="AA107" i="2"/>
  <c r="T107" i="20"/>
  <c r="U107" i="20" s="1"/>
  <c r="BT108" i="2"/>
  <c r="U86" i="2"/>
  <c r="R86" i="18"/>
  <c r="S86" i="18" s="1"/>
  <c r="U82" i="2"/>
  <c r="R82" i="18"/>
  <c r="S82" i="18" s="1"/>
  <c r="U69" i="2"/>
  <c r="R69" i="18"/>
  <c r="S69" i="18" s="1"/>
  <c r="U80" i="2"/>
  <c r="R80" i="18"/>
  <c r="S80" i="18" s="1"/>
  <c r="U68" i="2"/>
  <c r="R68" i="18"/>
  <c r="S68" i="18" s="1"/>
  <c r="U78" i="2"/>
  <c r="R78" i="18"/>
  <c r="S78" i="18" s="1"/>
  <c r="U67" i="2"/>
  <c r="R67" i="18"/>
  <c r="S67" i="18" s="1"/>
  <c r="U85" i="2"/>
  <c r="R85" i="18"/>
  <c r="S85" i="18" s="1"/>
  <c r="U77" i="2"/>
  <c r="R77" i="18"/>
  <c r="S77" i="18" s="1"/>
  <c r="U84" i="2"/>
  <c r="R84" i="18"/>
  <c r="S84" i="18" s="1"/>
  <c r="U90" i="2"/>
  <c r="R90" i="18"/>
  <c r="S90" i="18" s="1"/>
  <c r="U83" i="2"/>
  <c r="R83" i="18"/>
  <c r="S83" i="18" s="1"/>
  <c r="U73" i="2"/>
  <c r="R73" i="18"/>
  <c r="S73" i="18" s="1"/>
  <c r="U66" i="2"/>
  <c r="R66" i="18"/>
  <c r="S66" i="18" s="1"/>
  <c r="U65" i="2"/>
  <c r="R65" i="18"/>
  <c r="S65" i="18" s="1"/>
  <c r="U64" i="2"/>
  <c r="R64" i="18"/>
  <c r="S64" i="18" s="1"/>
  <c r="U75" i="2"/>
  <c r="R75" i="18"/>
  <c r="S75" i="18" s="1"/>
  <c r="U70" i="2"/>
  <c r="R70" i="18"/>
  <c r="S70" i="18" s="1"/>
  <c r="U81" i="2"/>
  <c r="R81" i="18"/>
  <c r="S81" i="18" s="1"/>
  <c r="U63" i="2"/>
  <c r="R63" i="18"/>
  <c r="S63" i="18" s="1"/>
  <c r="U79" i="2"/>
  <c r="R79" i="18"/>
  <c r="S79" i="18" s="1"/>
  <c r="U62" i="2"/>
  <c r="R62" i="18"/>
  <c r="S62" i="18" s="1"/>
  <c r="U76" i="2"/>
  <c r="R76" i="18"/>
  <c r="S76" i="18" s="1"/>
  <c r="U71" i="2"/>
  <c r="R71" i="18"/>
  <c r="S71" i="18" s="1"/>
  <c r="U74" i="2"/>
  <c r="R74" i="18"/>
  <c r="S74" i="18" s="1"/>
  <c r="U72" i="2"/>
  <c r="R72" i="18"/>
  <c r="S72" i="18" s="1"/>
  <c r="V64" i="19"/>
  <c r="W64" i="19" s="1"/>
  <c r="C9" i="27"/>
  <c r="E9" i="27" s="1"/>
  <c r="V73" i="19"/>
  <c r="W73" i="19" s="1"/>
  <c r="BT105" i="2"/>
  <c r="V66" i="19"/>
  <c r="W66" i="19" s="1"/>
  <c r="C10" i="27"/>
  <c r="I10" i="27"/>
  <c r="O74" i="2"/>
  <c r="T74" i="19"/>
  <c r="U74" i="19" s="1"/>
  <c r="BT106" i="2"/>
  <c r="FZ114" i="2"/>
  <c r="FC126" i="3" s="1"/>
  <c r="D117" i="36"/>
  <c r="FZ113" i="2"/>
  <c r="FC125" i="3" s="1"/>
  <c r="FZ120" i="2"/>
  <c r="FC132" i="3" s="1"/>
  <c r="D111" i="36"/>
  <c r="D111" i="24"/>
  <c r="BO17" i="39"/>
  <c r="BQ17" i="39" s="1"/>
  <c r="X106" i="11"/>
  <c r="V105" i="11"/>
  <c r="V24" i="11"/>
  <c r="V26" i="11" s="1"/>
  <c r="V28" i="11" s="1"/>
  <c r="V66" i="11" s="1"/>
  <c r="W67" i="11" s="1"/>
  <c r="U86" i="11" s="1"/>
  <c r="W21" i="11"/>
  <c r="W25" i="11" s="1"/>
  <c r="X20" i="11"/>
  <c r="AK17" i="14"/>
  <c r="I30" i="12"/>
  <c r="F103" i="11"/>
  <c r="G105" i="11"/>
  <c r="G104" i="11"/>
  <c r="F104" i="11"/>
  <c r="F95" i="11"/>
  <c r="D12" i="12" s="1"/>
  <c r="D26" i="12" s="1"/>
  <c r="AH57" i="8"/>
  <c r="Y53" i="11"/>
  <c r="R37" i="41"/>
  <c r="J32" i="11"/>
  <c r="J36" i="11" s="1"/>
  <c r="I37" i="11"/>
  <c r="M25" i="44"/>
  <c r="D111" i="25"/>
  <c r="FZ111" i="2"/>
  <c r="FC123" i="3" s="1"/>
  <c r="FZ112" i="2"/>
  <c r="FC124" i="3" s="1"/>
  <c r="D113" i="25"/>
  <c r="D113" i="36"/>
  <c r="FZ116" i="2"/>
  <c r="FC128" i="3" s="1"/>
  <c r="D112" i="36"/>
  <c r="D112" i="25"/>
  <c r="D116" i="25"/>
  <c r="D116" i="36"/>
  <c r="D117" i="25"/>
  <c r="FZ117" i="2"/>
  <c r="FC129" i="3" s="1"/>
  <c r="D121" i="35"/>
  <c r="FY121" i="2"/>
  <c r="FB133" i="3" s="1"/>
  <c r="BE121" i="2"/>
  <c r="D114" i="36"/>
  <c r="D121" i="24"/>
  <c r="D114" i="25"/>
  <c r="AL48" i="14"/>
  <c r="D120" i="25"/>
  <c r="BE112" i="2"/>
  <c r="D120" i="36"/>
  <c r="BV17" i="39"/>
  <c r="BX17" i="39" s="1"/>
  <c r="N10" i="73" s="1"/>
  <c r="FZ118" i="2"/>
  <c r="FC130" i="3" s="1"/>
  <c r="D118" i="25"/>
  <c r="DG15" i="39"/>
  <c r="D118" i="36"/>
  <c r="D115" i="24"/>
  <c r="D115" i="35"/>
  <c r="BE118" i="2"/>
  <c r="FY115" i="2"/>
  <c r="FB127" i="3" s="1"/>
  <c r="D114" i="35"/>
  <c r="FY114" i="2"/>
  <c r="FB126" i="3" s="1"/>
  <c r="D114" i="24"/>
  <c r="D116" i="35"/>
  <c r="D116" i="24"/>
  <c r="FY116" i="2"/>
  <c r="FB128" i="3" s="1"/>
  <c r="FY111" i="2"/>
  <c r="FB123" i="3" s="1"/>
  <c r="D111" i="35"/>
  <c r="BE115" i="2"/>
  <c r="CL15" i="39"/>
  <c r="CO15" i="39" s="1"/>
  <c r="BE117" i="2"/>
  <c r="CW15" i="39"/>
  <c r="BW105" i="2"/>
  <c r="D86" i="26"/>
  <c r="P86" i="26" s="1"/>
  <c r="DR13" i="39"/>
  <c r="D86" i="37"/>
  <c r="BW118" i="2"/>
  <c r="CL14" i="39"/>
  <c r="CO14" i="39" s="1"/>
  <c r="BE98" i="2"/>
  <c r="D99" i="36"/>
  <c r="FZ99" i="2"/>
  <c r="FC111" i="3" s="1"/>
  <c r="D99" i="25"/>
  <c r="BW107" i="2"/>
  <c r="D101" i="25"/>
  <c r="D101" i="36"/>
  <c r="FZ101" i="2"/>
  <c r="FC113" i="3" s="1"/>
  <c r="BE103" i="2"/>
  <c r="D100" i="25"/>
  <c r="D100" i="36"/>
  <c r="FZ100" i="2"/>
  <c r="FC112" i="3" s="1"/>
  <c r="BW113" i="2"/>
  <c r="D107" i="25"/>
  <c r="D107" i="36"/>
  <c r="FZ107" i="2"/>
  <c r="FC119" i="3" s="1"/>
  <c r="BW104" i="2"/>
  <c r="BW111" i="2"/>
  <c r="FY107" i="2"/>
  <c r="FB119" i="3" s="1"/>
  <c r="D107" i="24"/>
  <c r="D107" i="35"/>
  <c r="D95" i="37"/>
  <c r="D95" i="26"/>
  <c r="BE107" i="2"/>
  <c r="BW120" i="2"/>
  <c r="D96" i="26"/>
  <c r="D96" i="37"/>
  <c r="BW98" i="2"/>
  <c r="DQ14" i="39"/>
  <c r="DT14" i="39" s="1"/>
  <c r="FZ108" i="2"/>
  <c r="FC120" i="3" s="1"/>
  <c r="D108" i="25"/>
  <c r="D108" i="36"/>
  <c r="BE104" i="2"/>
  <c r="D102" i="24"/>
  <c r="D102" i="35"/>
  <c r="FY102" i="2"/>
  <c r="FB114" i="3" s="1"/>
  <c r="BW114" i="2"/>
  <c r="D108" i="35"/>
  <c r="FY108" i="2"/>
  <c r="FB120" i="3" s="1"/>
  <c r="D108" i="24"/>
  <c r="C138" i="29"/>
  <c r="B138" i="29"/>
  <c r="A139" i="29"/>
  <c r="AS11" i="27"/>
  <c r="FY100" i="2"/>
  <c r="FB112" i="3" s="1"/>
  <c r="D100" i="24"/>
  <c r="D100" i="35"/>
  <c r="FX90" i="2"/>
  <c r="FA102" i="3" s="1"/>
  <c r="D90" i="34"/>
  <c r="BW99" i="2"/>
  <c r="D106" i="35"/>
  <c r="D106" i="24"/>
  <c r="FY106" i="2"/>
  <c r="FB118" i="3" s="1"/>
  <c r="D91" i="34"/>
  <c r="FX91" i="2"/>
  <c r="FA103" i="3" s="1"/>
  <c r="D90" i="26"/>
  <c r="D90" i="37"/>
  <c r="BE105" i="2"/>
  <c r="FZ102" i="2"/>
  <c r="FC114" i="3" s="1"/>
  <c r="D102" i="25"/>
  <c r="D102" i="36"/>
  <c r="BF12" i="27"/>
  <c r="BW103" i="2"/>
  <c r="CM13" i="39"/>
  <c r="FX86" i="2"/>
  <c r="FA98" i="3" s="1"/>
  <c r="D86" i="34"/>
  <c r="BE99" i="2"/>
  <c r="BE113" i="2"/>
  <c r="D88" i="26"/>
  <c r="D88" i="37"/>
  <c r="Q74" i="26"/>
  <c r="BN11" i="27"/>
  <c r="BW102" i="2"/>
  <c r="BE100" i="2"/>
  <c r="D87" i="26"/>
  <c r="D87" i="37"/>
  <c r="D106" i="25"/>
  <c r="FZ106" i="2"/>
  <c r="FC118" i="3" s="1"/>
  <c r="D106" i="36"/>
  <c r="D109" i="36"/>
  <c r="D109" i="25"/>
  <c r="FZ109" i="2"/>
  <c r="FC121" i="3" s="1"/>
  <c r="D97" i="26"/>
  <c r="D97" i="37"/>
  <c r="D117" i="24"/>
  <c r="FY117" i="2"/>
  <c r="FB129" i="3" s="1"/>
  <c r="D117" i="35"/>
  <c r="BE102" i="2"/>
  <c r="D98" i="25"/>
  <c r="D98" i="36"/>
  <c r="DG14" i="39"/>
  <c r="FZ98" i="2"/>
  <c r="FC110" i="3" s="1"/>
  <c r="D113" i="24"/>
  <c r="FY113" i="2"/>
  <c r="FB125" i="3" s="1"/>
  <c r="D113" i="35"/>
  <c r="BE101" i="2"/>
  <c r="FZ105" i="2"/>
  <c r="FC117" i="3" s="1"/>
  <c r="D105" i="25"/>
  <c r="D105" i="36"/>
  <c r="BP15" i="40"/>
  <c r="BP14" i="40"/>
  <c r="AY12" i="27"/>
  <c r="AH54" i="5"/>
  <c r="AH27" i="5"/>
  <c r="DI18" i="39" s="1"/>
  <c r="BE108" i="2"/>
  <c r="D88" i="34"/>
  <c r="FX88" i="2"/>
  <c r="FA100" i="3" s="1"/>
  <c r="D93" i="37"/>
  <c r="D93" i="26"/>
  <c r="FX97" i="2"/>
  <c r="FA109" i="3" s="1"/>
  <c r="D97" i="34"/>
  <c r="AF26" i="5"/>
  <c r="CO17" i="39" s="1"/>
  <c r="AF53" i="5"/>
  <c r="FY120" i="2"/>
  <c r="FB132" i="3" s="1"/>
  <c r="D120" i="24"/>
  <c r="D120" i="35"/>
  <c r="BE109" i="2"/>
  <c r="D89" i="34"/>
  <c r="FX89" i="2"/>
  <c r="FA101" i="3" s="1"/>
  <c r="D87" i="34"/>
  <c r="FX87" i="2"/>
  <c r="FA99" i="3" s="1"/>
  <c r="D91" i="37"/>
  <c r="D91" i="26"/>
  <c r="BW116" i="2"/>
  <c r="FX93" i="2"/>
  <c r="FA105" i="3" s="1"/>
  <c r="D93" i="34"/>
  <c r="D89" i="26"/>
  <c r="D89" i="37"/>
  <c r="D109" i="35"/>
  <c r="D109" i="24"/>
  <c r="FY109" i="2"/>
  <c r="FB121" i="3" s="1"/>
  <c r="D94" i="26"/>
  <c r="D94" i="37"/>
  <c r="BW109" i="2"/>
  <c r="D103" i="24"/>
  <c r="D103" i="35"/>
  <c r="FY103" i="2"/>
  <c r="FB115" i="3" s="1"/>
  <c r="BW119" i="2"/>
  <c r="DQ15" i="39"/>
  <c r="DT15" i="39" s="1"/>
  <c r="D92" i="34"/>
  <c r="FX92" i="2"/>
  <c r="FA104" i="3" s="1"/>
  <c r="BW100" i="2"/>
  <c r="AG27" i="5"/>
  <c r="CY18" i="39" s="1"/>
  <c r="AG54" i="5"/>
  <c r="AI26" i="5"/>
  <c r="DT17" i="39" s="1"/>
  <c r="AI53" i="5"/>
  <c r="BW108" i="2"/>
  <c r="FX94" i="2"/>
  <c r="FA106" i="3" s="1"/>
  <c r="D94" i="34"/>
  <c r="D104" i="24"/>
  <c r="FY104" i="2"/>
  <c r="FB116" i="3" s="1"/>
  <c r="D104" i="35"/>
  <c r="BW121" i="2"/>
  <c r="D105" i="35"/>
  <c r="D105" i="24"/>
  <c r="FY105" i="2"/>
  <c r="FB117" i="3" s="1"/>
  <c r="FX95" i="2"/>
  <c r="FA107" i="3" s="1"/>
  <c r="D95" i="34"/>
  <c r="FX96" i="2"/>
  <c r="FA108" i="3" s="1"/>
  <c r="D96" i="34"/>
  <c r="CW14" i="39"/>
  <c r="FY98" i="2"/>
  <c r="FB110" i="3" s="1"/>
  <c r="D98" i="24"/>
  <c r="D98" i="35"/>
  <c r="BW106" i="2"/>
  <c r="BW112" i="2"/>
  <c r="BW117" i="2"/>
  <c r="FY112" i="2"/>
  <c r="FB124" i="3" s="1"/>
  <c r="D112" i="35"/>
  <c r="D112" i="24"/>
  <c r="FY99" i="2"/>
  <c r="FB111" i="3" s="1"/>
  <c r="D99" i="24"/>
  <c r="D99" i="35"/>
  <c r="BW101" i="2"/>
  <c r="D119" i="35"/>
  <c r="D119" i="24"/>
  <c r="FY119" i="2"/>
  <c r="FB131" i="3" s="1"/>
  <c r="D103" i="25"/>
  <c r="D103" i="36"/>
  <c r="FZ103" i="2"/>
  <c r="FC115" i="3" s="1"/>
  <c r="BE106" i="2"/>
  <c r="FZ104" i="2"/>
  <c r="FC116" i="3" s="1"/>
  <c r="D104" i="25"/>
  <c r="D104" i="36"/>
  <c r="FY101" i="2"/>
  <c r="FB113" i="3" s="1"/>
  <c r="D101" i="24"/>
  <c r="D101" i="35"/>
  <c r="BW115" i="2"/>
  <c r="D92" i="26"/>
  <c r="D92" i="37"/>
  <c r="N70" i="44"/>
  <c r="L76" i="44"/>
  <c r="L75" i="44"/>
  <c r="N20" i="44"/>
  <c r="L21" i="44"/>
  <c r="L74" i="44"/>
  <c r="L27" i="44"/>
  <c r="M26" i="44"/>
  <c r="K31" i="11"/>
  <c r="K32" i="11" s="1"/>
  <c r="K36" i="11" s="1"/>
  <c r="M10" i="41"/>
  <c r="AG20" i="40"/>
  <c r="AH20" i="40" s="1"/>
  <c r="BX16" i="39"/>
  <c r="M9" i="41"/>
  <c r="Z20" i="40"/>
  <c r="AA20" i="40" s="1"/>
  <c r="BQ16" i="39"/>
  <c r="BS48" i="14"/>
  <c r="BO48" i="14"/>
  <c r="AY48" i="14"/>
  <c r="AU61" i="14"/>
  <c r="H50" i="14"/>
  <c r="L48" i="14"/>
  <c r="H61" i="14"/>
  <c r="AL49" i="14"/>
  <c r="AH60" i="14"/>
  <c r="AH49" i="14"/>
  <c r="H72" i="14"/>
  <c r="H26" i="8"/>
  <c r="J26" i="8" s="1"/>
  <c r="O8" i="41"/>
  <c r="D47" i="41" s="1"/>
  <c r="L137" i="44"/>
  <c r="L128" i="44"/>
  <c r="L126" i="44"/>
  <c r="M72" i="44"/>
  <c r="AB60" i="14"/>
  <c r="AB72" i="14"/>
  <c r="H46" i="11"/>
  <c r="H48" i="11" s="1"/>
  <c r="H50" i="11" s="1"/>
  <c r="H74" i="11" s="1"/>
  <c r="I75" i="11" s="1"/>
  <c r="W46" i="11"/>
  <c r="W48" i="11" s="1"/>
  <c r="W50" i="11" s="1"/>
  <c r="W74" i="11" s="1"/>
  <c r="W76" i="11" s="1"/>
  <c r="BW19" i="39"/>
  <c r="BO18" i="39"/>
  <c r="BQ18" i="39" s="1"/>
  <c r="AG18" i="14"/>
  <c r="G19" i="14"/>
  <c r="N20" i="41"/>
  <c r="L48" i="41" s="1"/>
  <c r="BF21" i="40"/>
  <c r="BG21" i="40" s="1"/>
  <c r="M67" i="73" s="1"/>
  <c r="C55" i="8"/>
  <c r="E55" i="8" s="1"/>
  <c r="BN17" i="14"/>
  <c r="EB17" i="39"/>
  <c r="ED17" i="39" s="1"/>
  <c r="BM21" i="40"/>
  <c r="N21" i="41"/>
  <c r="L49" i="41" s="1"/>
  <c r="C56" i="8"/>
  <c r="E56" i="8" s="1"/>
  <c r="BR17" i="14"/>
  <c r="EI17" i="39"/>
  <c r="EK17" i="39" s="1"/>
  <c r="EJ19" i="39"/>
  <c r="X43" i="11"/>
  <c r="X47" i="11" s="1"/>
  <c r="EC19" i="39"/>
  <c r="M71" i="44"/>
  <c r="Y42" i="11"/>
  <c r="AX17" i="14"/>
  <c r="AB19" i="14"/>
  <c r="AA95" i="14" s="1"/>
  <c r="AA96" i="14" s="1"/>
  <c r="AA97" i="14" s="1"/>
  <c r="AA98" i="14" s="1"/>
  <c r="AA99" i="14" s="1"/>
  <c r="AA100" i="14" s="1"/>
  <c r="AA101" i="14" s="1"/>
  <c r="AA102" i="14" s="1"/>
  <c r="AA103" i="14" s="1"/>
  <c r="AA104" i="14" s="1"/>
  <c r="AA105" i="14" s="1"/>
  <c r="AA106" i="14" s="1"/>
  <c r="BH23" i="40"/>
  <c r="T23" i="40"/>
  <c r="S22" i="40"/>
  <c r="K26" i="8" s="1"/>
  <c r="M152" i="44" l="1"/>
  <c r="D41" i="60" s="1"/>
  <c r="T82" i="24"/>
  <c r="U82" i="24" s="1"/>
  <c r="V82" i="24" s="1"/>
  <c r="W82" i="24" s="1"/>
  <c r="U79" i="35"/>
  <c r="S89" i="30"/>
  <c r="S97" i="30"/>
  <c r="U77" i="35"/>
  <c r="T77" i="24"/>
  <c r="U77" i="24" s="1"/>
  <c r="V77" i="24" s="1"/>
  <c r="W77" i="24" s="1"/>
  <c r="T79" i="24"/>
  <c r="U79" i="24" s="1"/>
  <c r="V79" i="24" s="1"/>
  <c r="W79" i="24" s="1"/>
  <c r="BT101" i="2"/>
  <c r="V83" i="23"/>
  <c r="W83" i="23" s="1"/>
  <c r="BH83" i="2"/>
  <c r="T81" i="24"/>
  <c r="U81" i="24" s="1"/>
  <c r="V81" i="24" s="1"/>
  <c r="W81" i="24" s="1"/>
  <c r="U81" i="35"/>
  <c r="S91" i="30"/>
  <c r="T91" i="30" s="1"/>
  <c r="R96" i="18"/>
  <c r="S96" i="18" s="1"/>
  <c r="T96" i="18" s="1"/>
  <c r="U96" i="18" s="1"/>
  <c r="U96" i="2"/>
  <c r="R89" i="18"/>
  <c r="S89" i="18" s="1"/>
  <c r="T89" i="18" s="1"/>
  <c r="U89" i="18" s="1"/>
  <c r="BT87" i="2"/>
  <c r="S97" i="36"/>
  <c r="T97" i="36" s="1"/>
  <c r="BT96" i="2"/>
  <c r="S87" i="36"/>
  <c r="T87" i="36" s="1"/>
  <c r="R93" i="18"/>
  <c r="S93" i="18" s="1"/>
  <c r="T93" i="18" s="1"/>
  <c r="U93" i="18" s="1"/>
  <c r="R97" i="18"/>
  <c r="S97" i="18" s="1"/>
  <c r="T97" i="18" s="1"/>
  <c r="U97" i="18" s="1"/>
  <c r="U93" i="2"/>
  <c r="BT97" i="2"/>
  <c r="R102" i="25"/>
  <c r="S102" i="25" s="1"/>
  <c r="T102" i="25" s="1"/>
  <c r="U102" i="25" s="1"/>
  <c r="BT107" i="2"/>
  <c r="U91" i="2"/>
  <c r="R107" i="25"/>
  <c r="S107" i="25" s="1"/>
  <c r="T107" i="25" s="1"/>
  <c r="U107" i="25" s="1"/>
  <c r="S88" i="30"/>
  <c r="T88" i="30" s="1"/>
  <c r="R87" i="18"/>
  <c r="S87" i="18" s="1"/>
  <c r="T87" i="18" s="1"/>
  <c r="U87" i="18" s="1"/>
  <c r="BT98" i="2"/>
  <c r="U88" i="2"/>
  <c r="U87" i="2"/>
  <c r="S101" i="36"/>
  <c r="T101" i="36" s="1"/>
  <c r="BH81" i="2"/>
  <c r="S102" i="36"/>
  <c r="T102" i="36" s="1"/>
  <c r="V81" i="23"/>
  <c r="W81" i="23" s="1"/>
  <c r="X81" i="23" s="1"/>
  <c r="Y81" i="23" s="1"/>
  <c r="S95" i="36"/>
  <c r="T95" i="36" s="1"/>
  <c r="R95" i="25"/>
  <c r="S95" i="25" s="1"/>
  <c r="T95" i="25" s="1"/>
  <c r="U95" i="25" s="1"/>
  <c r="R92" i="18"/>
  <c r="S92" i="18" s="1"/>
  <c r="T92" i="18" s="1"/>
  <c r="U92" i="18" s="1"/>
  <c r="R96" i="25"/>
  <c r="S96" i="25" s="1"/>
  <c r="T96" i="25" s="1"/>
  <c r="U96" i="25" s="1"/>
  <c r="R94" i="25"/>
  <c r="S94" i="25" s="1"/>
  <c r="T94" i="25" s="1"/>
  <c r="U94" i="25" s="1"/>
  <c r="BT94" i="2"/>
  <c r="S88" i="36"/>
  <c r="T88" i="36" s="1"/>
  <c r="U92" i="2"/>
  <c r="S89" i="36"/>
  <c r="T89" i="36" s="1"/>
  <c r="R89" i="25"/>
  <c r="S89" i="25" s="1"/>
  <c r="T89" i="25" s="1"/>
  <c r="U89" i="25" s="1"/>
  <c r="T81" i="20"/>
  <c r="U81" i="20" s="1"/>
  <c r="V81" i="20" s="1"/>
  <c r="W81" i="20" s="1"/>
  <c r="BT90" i="2"/>
  <c r="U83" i="29"/>
  <c r="V83" i="29" s="1"/>
  <c r="R90" i="25"/>
  <c r="S90" i="25" s="1"/>
  <c r="T90" i="25" s="1"/>
  <c r="U90" i="25" s="1"/>
  <c r="W79" i="34"/>
  <c r="X79" i="34" s="1"/>
  <c r="S95" i="30"/>
  <c r="T95" i="30" s="1"/>
  <c r="R99" i="25"/>
  <c r="S99" i="25" s="1"/>
  <c r="T99" i="25" s="1"/>
  <c r="U99" i="25" s="1"/>
  <c r="R93" i="25"/>
  <c r="S93" i="25" s="1"/>
  <c r="T93" i="25" s="1"/>
  <c r="U93" i="25" s="1"/>
  <c r="BT93" i="2"/>
  <c r="M29" i="60"/>
  <c r="V84" i="23"/>
  <c r="W84" i="23" s="1"/>
  <c r="X84" i="23" s="1"/>
  <c r="Y84" i="23" s="1"/>
  <c r="U94" i="2"/>
  <c r="BT104" i="2"/>
  <c r="BT88" i="2"/>
  <c r="T99" i="20"/>
  <c r="U99" i="20" s="1"/>
  <c r="V99" i="20" s="1"/>
  <c r="W99" i="20" s="1"/>
  <c r="T101" i="20"/>
  <c r="U101" i="20" s="1"/>
  <c r="V101" i="20" s="1"/>
  <c r="W101" i="20" s="1"/>
  <c r="R91" i="25"/>
  <c r="S91" i="25" s="1"/>
  <c r="T91" i="25" s="1"/>
  <c r="U91" i="25" s="1"/>
  <c r="R109" i="25"/>
  <c r="S109" i="25" s="1"/>
  <c r="T109" i="25" s="1"/>
  <c r="U109" i="25" s="1"/>
  <c r="BH84" i="2"/>
  <c r="AA97" i="2"/>
  <c r="U97" i="31"/>
  <c r="V97" i="31" s="1"/>
  <c r="R100" i="25"/>
  <c r="S100" i="25" s="1"/>
  <c r="T100" i="25" s="1"/>
  <c r="U100" i="25" s="1"/>
  <c r="T98" i="20"/>
  <c r="U98" i="20" s="1"/>
  <c r="V98" i="20" s="1"/>
  <c r="W98" i="20" s="1"/>
  <c r="R103" i="25"/>
  <c r="S103" i="25" s="1"/>
  <c r="T103" i="25" s="1"/>
  <c r="U103" i="25" s="1"/>
  <c r="AA99" i="2"/>
  <c r="U102" i="31"/>
  <c r="V102" i="31" s="1"/>
  <c r="AA101" i="2"/>
  <c r="BT91" i="2"/>
  <c r="D21" i="60"/>
  <c r="V77" i="23"/>
  <c r="W77" i="23" s="1"/>
  <c r="X77" i="23" s="1"/>
  <c r="Y77" i="23" s="1"/>
  <c r="M23" i="60"/>
  <c r="W29" i="60"/>
  <c r="R94" i="18"/>
  <c r="S94" i="18" s="1"/>
  <c r="R95" i="18"/>
  <c r="S95" i="18" s="1"/>
  <c r="T95" i="18" s="1"/>
  <c r="U95" i="18" s="1"/>
  <c r="AA105" i="2"/>
  <c r="AA98" i="2"/>
  <c r="R104" i="25"/>
  <c r="S104" i="25" s="1"/>
  <c r="T104" i="25" s="1"/>
  <c r="U104" i="25" s="1"/>
  <c r="R98" i="25"/>
  <c r="S98" i="25" s="1"/>
  <c r="BH80" i="2"/>
  <c r="AA95" i="2"/>
  <c r="W76" i="34"/>
  <c r="X76" i="34" s="1"/>
  <c r="W77" i="34"/>
  <c r="X77" i="34" s="1"/>
  <c r="S109" i="36"/>
  <c r="T109" i="36" s="1"/>
  <c r="U85" i="29"/>
  <c r="V85" i="29" s="1"/>
  <c r="BT74" i="2"/>
  <c r="V80" i="23"/>
  <c r="W80" i="23" s="1"/>
  <c r="X80" i="23" s="1"/>
  <c r="Y80" i="23" s="1"/>
  <c r="O75" i="2"/>
  <c r="V78" i="23"/>
  <c r="W78" i="23" s="1"/>
  <c r="X78" i="23" s="1"/>
  <c r="Y78" i="23" s="1"/>
  <c r="S103" i="36"/>
  <c r="T103" i="36" s="1"/>
  <c r="U81" i="29"/>
  <c r="V81" i="29" s="1"/>
  <c r="O79" i="2"/>
  <c r="T81" i="19"/>
  <c r="U81" i="19" s="1"/>
  <c r="V81" i="19" s="1"/>
  <c r="W81" i="19" s="1"/>
  <c r="U76" i="29"/>
  <c r="V76" i="29" s="1"/>
  <c r="W78" i="34"/>
  <c r="X78" i="34" s="1"/>
  <c r="R74" i="25"/>
  <c r="S74" i="25" s="1"/>
  <c r="T74" i="25" s="1"/>
  <c r="U74" i="25" s="1"/>
  <c r="T78" i="19"/>
  <c r="U78" i="19" s="1"/>
  <c r="V78" i="19" s="1"/>
  <c r="W78" i="19" s="1"/>
  <c r="T79" i="19"/>
  <c r="U79" i="19" s="1"/>
  <c r="V79" i="19" s="1"/>
  <c r="W79" i="19" s="1"/>
  <c r="U108" i="31"/>
  <c r="V108" i="31" s="1"/>
  <c r="U80" i="29"/>
  <c r="V80" i="29" s="1"/>
  <c r="T77" i="19"/>
  <c r="U77" i="19" s="1"/>
  <c r="V77" i="19" s="1"/>
  <c r="W77" i="19" s="1"/>
  <c r="O77" i="2"/>
  <c r="AA79" i="2"/>
  <c r="O78" i="2"/>
  <c r="U109" i="31"/>
  <c r="V109" i="31" s="1"/>
  <c r="T86" i="20"/>
  <c r="U86" i="20" s="1"/>
  <c r="V86" i="20" s="1"/>
  <c r="W86" i="20" s="1"/>
  <c r="U103" i="31"/>
  <c r="V103" i="31" s="1"/>
  <c r="U95" i="31"/>
  <c r="V95" i="31" s="1"/>
  <c r="T102" i="20"/>
  <c r="U102" i="20" s="1"/>
  <c r="V102" i="20" s="1"/>
  <c r="W102" i="20" s="1"/>
  <c r="BH85" i="2"/>
  <c r="O82" i="2"/>
  <c r="V74" i="23"/>
  <c r="W74" i="23" s="1"/>
  <c r="X74" i="23" s="1"/>
  <c r="Y74" i="23" s="1"/>
  <c r="T109" i="20"/>
  <c r="U109" i="20" s="1"/>
  <c r="V109" i="20" s="1"/>
  <c r="W109" i="20" s="1"/>
  <c r="BH75" i="2"/>
  <c r="S86" i="36"/>
  <c r="T86" i="36" s="1"/>
  <c r="V75" i="23"/>
  <c r="W75" i="23" s="1"/>
  <c r="X75" i="23" s="1"/>
  <c r="Y75" i="23" s="1"/>
  <c r="S99" i="36"/>
  <c r="T99" i="36" s="1"/>
  <c r="T83" i="19"/>
  <c r="U83" i="19" s="1"/>
  <c r="V83" i="19" s="1"/>
  <c r="W83" i="19" s="1"/>
  <c r="S100" i="36"/>
  <c r="T100" i="36" s="1"/>
  <c r="T108" i="20"/>
  <c r="U108" i="20" s="1"/>
  <c r="V108" i="20" s="1"/>
  <c r="W108" i="20" s="1"/>
  <c r="U91" i="31"/>
  <c r="V91" i="31" s="1"/>
  <c r="T85" i="19"/>
  <c r="U85" i="19" s="1"/>
  <c r="V85" i="19" s="1"/>
  <c r="W85" i="19" s="1"/>
  <c r="V79" i="23"/>
  <c r="W79" i="23" s="1"/>
  <c r="X79" i="23" s="1"/>
  <c r="Y79" i="23" s="1"/>
  <c r="U75" i="29"/>
  <c r="V75" i="29" s="1"/>
  <c r="AA91" i="2"/>
  <c r="T76" i="19"/>
  <c r="U76" i="19" s="1"/>
  <c r="W74" i="34"/>
  <c r="X74" i="34" s="1"/>
  <c r="AA86" i="2"/>
  <c r="V85" i="23"/>
  <c r="W85" i="23" s="1"/>
  <c r="X85" i="23" s="1"/>
  <c r="Y85" i="23" s="1"/>
  <c r="T82" i="19"/>
  <c r="U82" i="19" s="1"/>
  <c r="V82" i="19" s="1"/>
  <c r="W82" i="19" s="1"/>
  <c r="T106" i="20"/>
  <c r="U106" i="20" s="1"/>
  <c r="V106" i="20" s="1"/>
  <c r="W106" i="20" s="1"/>
  <c r="R82" i="25"/>
  <c r="S82" i="25" s="1"/>
  <c r="T82" i="25" s="1"/>
  <c r="U82" i="25" s="1"/>
  <c r="AA106" i="2"/>
  <c r="T103" i="20"/>
  <c r="U103" i="20" s="1"/>
  <c r="V103" i="20" s="1"/>
  <c r="W103" i="20" s="1"/>
  <c r="R86" i="25"/>
  <c r="S86" i="25" s="1"/>
  <c r="U104" i="31"/>
  <c r="V104" i="31" s="1"/>
  <c r="T80" i="19"/>
  <c r="U80" i="19" s="1"/>
  <c r="V80" i="19" s="1"/>
  <c r="W80" i="19" s="1"/>
  <c r="T93" i="20"/>
  <c r="U93" i="20" s="1"/>
  <c r="V93" i="20" s="1"/>
  <c r="W93" i="20" s="1"/>
  <c r="T104" i="20"/>
  <c r="U104" i="20" s="1"/>
  <c r="V104" i="20" s="1"/>
  <c r="W104" i="20" s="1"/>
  <c r="V76" i="23"/>
  <c r="W76" i="23" s="1"/>
  <c r="X76" i="23" s="1"/>
  <c r="Y76" i="23" s="1"/>
  <c r="U75" i="31"/>
  <c r="V75" i="31" s="1"/>
  <c r="T90" i="20"/>
  <c r="U90" i="20" s="1"/>
  <c r="V90" i="20" s="1"/>
  <c r="W90" i="20" s="1"/>
  <c r="AA81" i="2"/>
  <c r="AA76" i="2"/>
  <c r="S79" i="36"/>
  <c r="T79" i="36" s="1"/>
  <c r="U79" i="31"/>
  <c r="V79" i="31" s="1"/>
  <c r="AA93" i="2"/>
  <c r="U89" i="31"/>
  <c r="V89" i="31" s="1"/>
  <c r="J10" i="27"/>
  <c r="K10" i="27" s="1"/>
  <c r="E10" i="27"/>
  <c r="U100" i="31"/>
  <c r="V100" i="31" s="1"/>
  <c r="G5" i="73"/>
  <c r="G16" i="73"/>
  <c r="G17" i="73"/>
  <c r="O93" i="73"/>
  <c r="U84" i="31"/>
  <c r="V84" i="31" s="1"/>
  <c r="V71" i="19"/>
  <c r="W71" i="19" s="1"/>
  <c r="T84" i="20"/>
  <c r="U84" i="20" s="1"/>
  <c r="V84" i="20" s="1"/>
  <c r="W84" i="20" s="1"/>
  <c r="O130" i="73"/>
  <c r="U105" i="31"/>
  <c r="V105" i="31" s="1"/>
  <c r="U92" i="31"/>
  <c r="V92" i="31" s="1"/>
  <c r="O106" i="73"/>
  <c r="T84" i="19"/>
  <c r="U84" i="19" s="1"/>
  <c r="V84" i="19" s="1"/>
  <c r="W84" i="19" s="1"/>
  <c r="H3" i="73"/>
  <c r="O84" i="2"/>
  <c r="T100" i="20"/>
  <c r="U100" i="20" s="1"/>
  <c r="T92" i="20"/>
  <c r="U92" i="20" s="1"/>
  <c r="V92" i="20" s="1"/>
  <c r="W92" i="20" s="1"/>
  <c r="U74" i="31"/>
  <c r="V74" i="31" s="1"/>
  <c r="U76" i="31"/>
  <c r="V76" i="31" s="1"/>
  <c r="T78" i="20"/>
  <c r="U78" i="20" s="1"/>
  <c r="V78" i="20" s="1"/>
  <c r="W78" i="20" s="1"/>
  <c r="U78" i="31"/>
  <c r="V78" i="31" s="1"/>
  <c r="T87" i="20"/>
  <c r="U87" i="20" s="1"/>
  <c r="V87" i="20" s="1"/>
  <c r="W87" i="20" s="1"/>
  <c r="U87" i="31"/>
  <c r="V87" i="31" s="1"/>
  <c r="AA83" i="2"/>
  <c r="S84" i="36"/>
  <c r="T84" i="36" s="1"/>
  <c r="AA90" i="2"/>
  <c r="BT84" i="2"/>
  <c r="T94" i="20"/>
  <c r="U94" i="20" s="1"/>
  <c r="V94" i="20" s="1"/>
  <c r="W94" i="20" s="1"/>
  <c r="AA82" i="2"/>
  <c r="U82" i="31"/>
  <c r="V82" i="31" s="1"/>
  <c r="BT80" i="2"/>
  <c r="AA89" i="2"/>
  <c r="U80" i="31"/>
  <c r="V80" i="31" s="1"/>
  <c r="BT76" i="2"/>
  <c r="R83" i="25"/>
  <c r="S83" i="25" s="1"/>
  <c r="T83" i="25" s="1"/>
  <c r="U83" i="25" s="1"/>
  <c r="BT78" i="2"/>
  <c r="BT75" i="2"/>
  <c r="T83" i="20"/>
  <c r="U83" i="20" s="1"/>
  <c r="V83" i="20" s="1"/>
  <c r="W83" i="20" s="1"/>
  <c r="T88" i="20"/>
  <c r="U88" i="20" s="1"/>
  <c r="V88" i="20" s="1"/>
  <c r="W88" i="20" s="1"/>
  <c r="BT83" i="2"/>
  <c r="BT85" i="2"/>
  <c r="R85" i="25"/>
  <c r="S85" i="25" s="1"/>
  <c r="T85" i="25" s="1"/>
  <c r="U85" i="25" s="1"/>
  <c r="U77" i="31"/>
  <c r="V77" i="31" s="1"/>
  <c r="S76" i="36"/>
  <c r="T76" i="36" s="1"/>
  <c r="AA74" i="2"/>
  <c r="AA75" i="2"/>
  <c r="T77" i="20"/>
  <c r="U77" i="20" s="1"/>
  <c r="V77" i="20" s="1"/>
  <c r="W77" i="20" s="1"/>
  <c r="R77" i="25"/>
  <c r="S77" i="25" s="1"/>
  <c r="T77" i="25" s="1"/>
  <c r="U77" i="25" s="1"/>
  <c r="S77" i="36"/>
  <c r="T77" i="36" s="1"/>
  <c r="R80" i="25"/>
  <c r="S80" i="25" s="1"/>
  <c r="T80" i="25" s="1"/>
  <c r="U80" i="25" s="1"/>
  <c r="AA80" i="2"/>
  <c r="U88" i="31"/>
  <c r="V88" i="31" s="1"/>
  <c r="S78" i="36"/>
  <c r="T78" i="36" s="1"/>
  <c r="R75" i="25"/>
  <c r="S75" i="25" s="1"/>
  <c r="T75" i="25" s="1"/>
  <c r="U75" i="25" s="1"/>
  <c r="S82" i="36"/>
  <c r="T82" i="36" s="1"/>
  <c r="U94" i="31"/>
  <c r="V94" i="31" s="1"/>
  <c r="R79" i="25"/>
  <c r="S79" i="25" s="1"/>
  <c r="T79" i="25" s="1"/>
  <c r="U79" i="25" s="1"/>
  <c r="AT19" i="14"/>
  <c r="AT20" i="14" s="1"/>
  <c r="O107" i="73"/>
  <c r="O107" i="41"/>
  <c r="N21" i="73"/>
  <c r="M49" i="73" s="1"/>
  <c r="O111" i="73"/>
  <c r="O111" i="41"/>
  <c r="N20" i="73"/>
  <c r="M48" i="73" s="1"/>
  <c r="O110" i="41"/>
  <c r="O110" i="73"/>
  <c r="Q94" i="73"/>
  <c r="Q94" i="41"/>
  <c r="P99" i="73"/>
  <c r="P99" i="41"/>
  <c r="O9" i="73"/>
  <c r="E48" i="73" s="1"/>
  <c r="M9" i="73"/>
  <c r="C48" i="73" s="1"/>
  <c r="M10" i="73"/>
  <c r="C49" i="73" s="1"/>
  <c r="O100" i="73"/>
  <c r="O100" i="41"/>
  <c r="N9" i="73"/>
  <c r="D48" i="73" s="1"/>
  <c r="O109" i="73"/>
  <c r="O109" i="41"/>
  <c r="O108" i="41"/>
  <c r="O108" i="73"/>
  <c r="N95" i="73"/>
  <c r="N95" i="41"/>
  <c r="O99" i="73"/>
  <c r="O99" i="41"/>
  <c r="P106" i="41"/>
  <c r="P70" i="44" s="1"/>
  <c r="P106" i="73"/>
  <c r="P93" i="41"/>
  <c r="N41" i="60"/>
  <c r="O70" i="44"/>
  <c r="BI21" i="39"/>
  <c r="BJ16" i="39"/>
  <c r="BN71" i="14"/>
  <c r="BN72" i="14" s="1"/>
  <c r="BN73" i="14" s="1"/>
  <c r="BN74" i="14" s="1"/>
  <c r="BN75" i="14" s="1"/>
  <c r="BN76" i="14" s="1"/>
  <c r="BN77" i="14" s="1"/>
  <c r="BN78" i="14" s="1"/>
  <c r="BN79" i="14" s="1"/>
  <c r="BN80" i="14" s="1"/>
  <c r="BN81" i="14" s="1"/>
  <c r="BN82" i="14" s="1"/>
  <c r="O134" i="73" s="1"/>
  <c r="BH19" i="14"/>
  <c r="BH83" i="14"/>
  <c r="BH84" i="14" s="1"/>
  <c r="BH85" i="14" s="1"/>
  <c r="BH86" i="14" s="1"/>
  <c r="BH87" i="14" s="1"/>
  <c r="BH88" i="14" s="1"/>
  <c r="BH89" i="14" s="1"/>
  <c r="BH90" i="14" s="1"/>
  <c r="BH91" i="14" s="1"/>
  <c r="BH92" i="14" s="1"/>
  <c r="BH93" i="14" s="1"/>
  <c r="BH94" i="14" s="1"/>
  <c r="BR71" i="14"/>
  <c r="BR72" i="14" s="1"/>
  <c r="BR73" i="14" s="1"/>
  <c r="BR74" i="14" s="1"/>
  <c r="BR75" i="14" s="1"/>
  <c r="BR76" i="14" s="1"/>
  <c r="BR77" i="14" s="1"/>
  <c r="BR78" i="14" s="1"/>
  <c r="BR79" i="14" s="1"/>
  <c r="BR80" i="14" s="1"/>
  <c r="BR81" i="14" s="1"/>
  <c r="BR82" i="14" s="1"/>
  <c r="O135" i="73" s="1"/>
  <c r="M151" i="44"/>
  <c r="D40" i="60" s="1"/>
  <c r="N134" i="41"/>
  <c r="N82" i="44" s="1"/>
  <c r="Y40" i="60" s="1"/>
  <c r="N135" i="41"/>
  <c r="N83" i="44" s="1"/>
  <c r="Y41" i="60" s="1"/>
  <c r="AX71" i="14"/>
  <c r="AX72" i="14" s="1"/>
  <c r="AX73" i="14" s="1"/>
  <c r="AX74" i="14" s="1"/>
  <c r="AX75" i="14" s="1"/>
  <c r="AX76" i="14" s="1"/>
  <c r="AX77" i="14" s="1"/>
  <c r="AX78" i="14" s="1"/>
  <c r="AX79" i="14" s="1"/>
  <c r="AX80" i="14" s="1"/>
  <c r="AX81" i="14" s="1"/>
  <c r="AX82" i="14" s="1"/>
  <c r="O131" i="73" s="1"/>
  <c r="N131" i="41"/>
  <c r="N79" i="44" s="1"/>
  <c r="Y36" i="60" s="1"/>
  <c r="AG71" i="14"/>
  <c r="N123" i="41"/>
  <c r="N35" i="44" s="1"/>
  <c r="O40" i="60" s="1"/>
  <c r="AG83" i="14"/>
  <c r="AG84" i="14" s="1"/>
  <c r="AG85" i="14" s="1"/>
  <c r="AG86" i="14" s="1"/>
  <c r="AG87" i="14" s="1"/>
  <c r="AG88" i="14" s="1"/>
  <c r="AG89" i="14" s="1"/>
  <c r="AG90" i="14" s="1"/>
  <c r="AG91" i="14" s="1"/>
  <c r="AG92" i="14" s="1"/>
  <c r="AG93" i="14" s="1"/>
  <c r="AG94" i="14" s="1"/>
  <c r="P123" i="73" s="1"/>
  <c r="U54" i="14"/>
  <c r="V53" i="14"/>
  <c r="BJ21" i="39"/>
  <c r="BK21" i="39"/>
  <c r="BJ22" i="39"/>
  <c r="BK22" i="39"/>
  <c r="BJ19" i="39"/>
  <c r="BK19" i="39"/>
  <c r="G95" i="14"/>
  <c r="G96" i="14" s="1"/>
  <c r="G97" i="14" s="1"/>
  <c r="G98" i="14" s="1"/>
  <c r="G99" i="14" s="1"/>
  <c r="G100" i="14" s="1"/>
  <c r="G101" i="14" s="1"/>
  <c r="G102" i="14" s="1"/>
  <c r="G103" i="14" s="1"/>
  <c r="G104" i="14" s="1"/>
  <c r="G105" i="14" s="1"/>
  <c r="G106" i="14" s="1"/>
  <c r="Q118" i="73" s="1"/>
  <c r="J30" i="12"/>
  <c r="P118" i="41"/>
  <c r="P30" i="44" s="1"/>
  <c r="P146" i="44" s="1"/>
  <c r="M59" i="41"/>
  <c r="M60" i="41"/>
  <c r="D114" i="34"/>
  <c r="U112" i="31"/>
  <c r="I82" i="2"/>
  <c r="FO82" i="2" s="1"/>
  <c r="EU94" i="3" s="1"/>
  <c r="FX110" i="2"/>
  <c r="FA122" i="3" s="1"/>
  <c r="D120" i="34"/>
  <c r="D111" i="34"/>
  <c r="O10" i="41"/>
  <c r="D49" i="41" s="1"/>
  <c r="N10" i="44" s="1"/>
  <c r="D49" i="73"/>
  <c r="N124" i="41"/>
  <c r="N36" i="44" s="1"/>
  <c r="AK71" i="14"/>
  <c r="AK72" i="14" s="1"/>
  <c r="AK73" i="14" s="1"/>
  <c r="AK74" i="14" s="1"/>
  <c r="AK75" i="14" s="1"/>
  <c r="AK76" i="14" s="1"/>
  <c r="AK77" i="14" s="1"/>
  <c r="AK78" i="14" s="1"/>
  <c r="AK79" i="14" s="1"/>
  <c r="AK80" i="14" s="1"/>
  <c r="AK81" i="14" s="1"/>
  <c r="AK82" i="14" s="1"/>
  <c r="O124" i="73" s="1"/>
  <c r="K59" i="14"/>
  <c r="K60" i="14" s="1"/>
  <c r="K61" i="14" s="1"/>
  <c r="K62" i="14" s="1"/>
  <c r="K63" i="14" s="1"/>
  <c r="K64" i="14" s="1"/>
  <c r="K65" i="14" s="1"/>
  <c r="K66" i="14" s="1"/>
  <c r="K67" i="14" s="1"/>
  <c r="K68" i="14" s="1"/>
  <c r="K69" i="14" s="1"/>
  <c r="K70" i="14" s="1"/>
  <c r="N119" i="73" s="1"/>
  <c r="DJ10" i="39"/>
  <c r="DL10" i="39" s="1"/>
  <c r="DM10" i="39"/>
  <c r="AT83" i="14"/>
  <c r="AT84" i="14" s="1"/>
  <c r="AT85" i="14" s="1"/>
  <c r="AT86" i="14" s="1"/>
  <c r="AT87" i="14" s="1"/>
  <c r="AT88" i="14" s="1"/>
  <c r="AT89" i="14" s="1"/>
  <c r="AT90" i="14" s="1"/>
  <c r="AT91" i="14" s="1"/>
  <c r="AT92" i="14" s="1"/>
  <c r="AT93" i="14" s="1"/>
  <c r="AT94" i="14" s="1"/>
  <c r="AU72" i="14"/>
  <c r="H67" i="11"/>
  <c r="F86" i="11" s="1"/>
  <c r="F94" i="11" s="1"/>
  <c r="O130" i="41"/>
  <c r="O78" i="44" s="1"/>
  <c r="AJ10" i="39"/>
  <c r="W9" i="27"/>
  <c r="X9" i="27" s="1"/>
  <c r="K30" i="12"/>
  <c r="BI18" i="39"/>
  <c r="G30" i="12"/>
  <c r="AK18" i="14"/>
  <c r="AK19" i="14" s="1"/>
  <c r="BV18" i="39"/>
  <c r="BX18" i="39" s="1"/>
  <c r="H146" i="51"/>
  <c r="G142" i="51"/>
  <c r="F55" i="8"/>
  <c r="G55" i="8" s="1"/>
  <c r="N67" i="41"/>
  <c r="F142" i="10"/>
  <c r="F146" i="10" s="1"/>
  <c r="G146" i="10"/>
  <c r="BP11" i="27"/>
  <c r="BH9" i="27"/>
  <c r="C15" i="60"/>
  <c r="P35" i="60"/>
  <c r="F35" i="60"/>
  <c r="M43" i="60"/>
  <c r="M44" i="60"/>
  <c r="C36" i="60"/>
  <c r="L154" i="44"/>
  <c r="Y34" i="60"/>
  <c r="O21" i="60"/>
  <c r="O28" i="60"/>
  <c r="N27" i="60"/>
  <c r="N28" i="60"/>
  <c r="X23" i="60"/>
  <c r="Y21" i="60"/>
  <c r="X24" i="60"/>
  <c r="AA119" i="2"/>
  <c r="D110" i="37"/>
  <c r="T114" i="20"/>
  <c r="U114" i="20" s="1"/>
  <c r="V114" i="20" s="1"/>
  <c r="W114" i="20" s="1"/>
  <c r="AA114" i="2"/>
  <c r="T112" i="20"/>
  <c r="U112" i="20" s="1"/>
  <c r="V112" i="20" s="1"/>
  <c r="W112" i="20" s="1"/>
  <c r="C13" i="60"/>
  <c r="AA113" i="2"/>
  <c r="U111" i="31"/>
  <c r="T111" i="20"/>
  <c r="U111" i="20" s="1"/>
  <c r="V111" i="20" s="1"/>
  <c r="W111" i="20" s="1"/>
  <c r="AA111" i="2"/>
  <c r="T121" i="20"/>
  <c r="U121" i="20" s="1"/>
  <c r="V121" i="20" s="1"/>
  <c r="W121" i="20" s="1"/>
  <c r="AA121" i="2"/>
  <c r="T113" i="20"/>
  <c r="U113" i="20" s="1"/>
  <c r="V113" i="20" s="1"/>
  <c r="W113" i="20" s="1"/>
  <c r="U117" i="31"/>
  <c r="T117" i="20"/>
  <c r="U117" i="20" s="1"/>
  <c r="V117" i="20" s="1"/>
  <c r="W117" i="20" s="1"/>
  <c r="AA117" i="2"/>
  <c r="U115" i="31"/>
  <c r="U121" i="31"/>
  <c r="T116" i="20"/>
  <c r="U116" i="20" s="1"/>
  <c r="V116" i="20" s="1"/>
  <c r="W116" i="20" s="1"/>
  <c r="AA115" i="2"/>
  <c r="U113" i="31"/>
  <c r="U114" i="31"/>
  <c r="T118" i="20"/>
  <c r="U118" i="20" s="1"/>
  <c r="V118" i="20" s="1"/>
  <c r="W118" i="20" s="1"/>
  <c r="AA118" i="2"/>
  <c r="T120" i="20"/>
  <c r="U120" i="20" s="1"/>
  <c r="V120" i="20" s="1"/>
  <c r="W120" i="20" s="1"/>
  <c r="AA120" i="2"/>
  <c r="AA116" i="2"/>
  <c r="T119" i="20"/>
  <c r="U119" i="20" s="1"/>
  <c r="V119" i="20" s="1"/>
  <c r="W119" i="20" s="1"/>
  <c r="T115" i="20"/>
  <c r="U115" i="20" s="1"/>
  <c r="V115" i="20" s="1"/>
  <c r="W115" i="20" s="1"/>
  <c r="U116" i="31"/>
  <c r="U119" i="31"/>
  <c r="AT50" i="14"/>
  <c r="AU49" i="14"/>
  <c r="C83" i="14"/>
  <c r="AA112" i="2"/>
  <c r="L140" i="44"/>
  <c r="W27" i="60"/>
  <c r="H24" i="11"/>
  <c r="H26" i="11" s="1"/>
  <c r="H28" i="11" s="1"/>
  <c r="H66" i="11" s="1"/>
  <c r="I67" i="11" s="1"/>
  <c r="L141" i="44"/>
  <c r="W28" i="60"/>
  <c r="N135" i="44"/>
  <c r="O22" i="60"/>
  <c r="L175" i="44"/>
  <c r="L195" i="44" s="1"/>
  <c r="C24" i="60"/>
  <c r="U118" i="31"/>
  <c r="I20" i="11"/>
  <c r="I21" i="11" s="1"/>
  <c r="I25" i="11" s="1"/>
  <c r="P48" i="14"/>
  <c r="K17" i="14"/>
  <c r="J42" i="11"/>
  <c r="T110" i="20"/>
  <c r="U110" i="20" s="1"/>
  <c r="I42" i="11"/>
  <c r="I43" i="11" s="1"/>
  <c r="I47" i="11" s="1"/>
  <c r="U110" i="31"/>
  <c r="Q82" i="26"/>
  <c r="Q75" i="26"/>
  <c r="Q76" i="26"/>
  <c r="Q83" i="26"/>
  <c r="Q81" i="26"/>
  <c r="Q78" i="26"/>
  <c r="Q80" i="26"/>
  <c r="Q84" i="26"/>
  <c r="Q77" i="26"/>
  <c r="Q79" i="26"/>
  <c r="Q85" i="26"/>
  <c r="BM99" i="2"/>
  <c r="BM100" i="2"/>
  <c r="BM101" i="2"/>
  <c r="BM102" i="2"/>
  <c r="BM103" i="2"/>
  <c r="BM104" i="2"/>
  <c r="BM105" i="2"/>
  <c r="BM106" i="2"/>
  <c r="BM107" i="2"/>
  <c r="BM108" i="2"/>
  <c r="BM109" i="2"/>
  <c r="BM98" i="2"/>
  <c r="T99" i="2"/>
  <c r="T100" i="2"/>
  <c r="T101" i="2"/>
  <c r="T102" i="2"/>
  <c r="T103" i="2"/>
  <c r="T104" i="2"/>
  <c r="T105" i="2"/>
  <c r="T106" i="2"/>
  <c r="T107" i="2"/>
  <c r="T108" i="2"/>
  <c r="T109" i="2"/>
  <c r="T98" i="2"/>
  <c r="N86" i="2"/>
  <c r="N87" i="2"/>
  <c r="N88" i="2"/>
  <c r="N89" i="2"/>
  <c r="N90" i="2"/>
  <c r="N91" i="2"/>
  <c r="N92" i="2"/>
  <c r="N93" i="2"/>
  <c r="N94" i="2"/>
  <c r="N95" i="2"/>
  <c r="N96" i="2"/>
  <c r="N97" i="2"/>
  <c r="N99" i="2"/>
  <c r="N100" i="2"/>
  <c r="N101" i="2"/>
  <c r="N102" i="2"/>
  <c r="N103" i="2"/>
  <c r="N104" i="2"/>
  <c r="N105" i="2"/>
  <c r="N106" i="2"/>
  <c r="N98" i="2"/>
  <c r="N107" i="2"/>
  <c r="N108" i="2"/>
  <c r="N109" i="2"/>
  <c r="H105" i="2"/>
  <c r="H106" i="2"/>
  <c r="H107" i="2"/>
  <c r="H108" i="2"/>
  <c r="H109" i="2"/>
  <c r="H98" i="2"/>
  <c r="H99" i="2"/>
  <c r="H100" i="2"/>
  <c r="H101" i="2"/>
  <c r="H102" i="2"/>
  <c r="H103" i="2"/>
  <c r="H104" i="2"/>
  <c r="H89" i="2"/>
  <c r="H90" i="2"/>
  <c r="H91" i="2"/>
  <c r="H92" i="2"/>
  <c r="H93" i="2"/>
  <c r="H94" i="2"/>
  <c r="H95" i="2"/>
  <c r="H96" i="2"/>
  <c r="H97" i="2"/>
  <c r="H86" i="2"/>
  <c r="H87" i="2"/>
  <c r="H88" i="2"/>
  <c r="AA110" i="2"/>
  <c r="D110" i="26"/>
  <c r="P110" i="26" s="1"/>
  <c r="Q110" i="26" s="1"/>
  <c r="DH11" i="39"/>
  <c r="T104" i="36"/>
  <c r="T106" i="36"/>
  <c r="T108" i="36"/>
  <c r="T107" i="36"/>
  <c r="T105" i="36"/>
  <c r="T98" i="36"/>
  <c r="U120" i="31"/>
  <c r="T138" i="29"/>
  <c r="U62" i="25"/>
  <c r="U67" i="25"/>
  <c r="U73" i="25"/>
  <c r="BE59" i="14"/>
  <c r="BE50" i="14"/>
  <c r="BB19" i="14"/>
  <c r="BB95" i="14" s="1"/>
  <c r="BB96" i="14" s="1"/>
  <c r="BB97" i="14" s="1"/>
  <c r="BB98" i="14" s="1"/>
  <c r="BB99" i="14" s="1"/>
  <c r="BB100" i="14" s="1"/>
  <c r="BB101" i="14" s="1"/>
  <c r="BB102" i="14" s="1"/>
  <c r="BB103" i="14" s="1"/>
  <c r="BB104" i="14" s="1"/>
  <c r="BB105" i="14" s="1"/>
  <c r="BB106" i="14" s="1"/>
  <c r="BE18" i="14"/>
  <c r="BK18" i="14"/>
  <c r="AD61" i="14"/>
  <c r="AD95" i="14"/>
  <c r="AD50" i="14"/>
  <c r="AD72" i="14"/>
  <c r="AD84" i="14"/>
  <c r="AL60" i="14"/>
  <c r="R48" i="14"/>
  <c r="BJ20" i="39"/>
  <c r="V96" i="20"/>
  <c r="W96" i="20" s="1"/>
  <c r="C19" i="14"/>
  <c r="FX119" i="2"/>
  <c r="FA131" i="3" s="1"/>
  <c r="D119" i="34"/>
  <c r="D110" i="34"/>
  <c r="D119" i="23"/>
  <c r="FX111" i="2"/>
  <c r="FA123" i="3" s="1"/>
  <c r="FX116" i="2"/>
  <c r="FA128" i="3" s="1"/>
  <c r="D116" i="34"/>
  <c r="BY110" i="2"/>
  <c r="FX120" i="2"/>
  <c r="FA132" i="3" s="1"/>
  <c r="FX114" i="2"/>
  <c r="FA126" i="3" s="1"/>
  <c r="T105" i="25"/>
  <c r="U105" i="25" s="1"/>
  <c r="V82" i="17"/>
  <c r="W82" i="17" s="1"/>
  <c r="X82" i="17" s="1"/>
  <c r="Y82" i="17" s="1"/>
  <c r="T63" i="25"/>
  <c r="BG10" i="27"/>
  <c r="BH10" i="27" s="1"/>
  <c r="AJ11" i="39"/>
  <c r="V62" i="20"/>
  <c r="W62" i="20" s="1"/>
  <c r="W10" i="27"/>
  <c r="X10" i="27" s="1"/>
  <c r="D109" i="23"/>
  <c r="BY112" i="2"/>
  <c r="D105" i="23"/>
  <c r="BY98" i="2"/>
  <c r="D118" i="23"/>
  <c r="D100" i="23"/>
  <c r="BY113" i="2"/>
  <c r="BY118" i="2"/>
  <c r="BY108" i="2"/>
  <c r="BY109" i="2"/>
  <c r="BY116" i="2"/>
  <c r="D99" i="23"/>
  <c r="D121" i="23"/>
  <c r="BY114" i="2"/>
  <c r="BY107" i="2"/>
  <c r="BY106" i="2"/>
  <c r="BY102" i="2"/>
  <c r="D120" i="23"/>
  <c r="BY101" i="2"/>
  <c r="BY111" i="2"/>
  <c r="D112" i="23"/>
  <c r="BY100" i="2"/>
  <c r="D108" i="23"/>
  <c r="BY105" i="2"/>
  <c r="D114" i="23"/>
  <c r="BY104" i="2"/>
  <c r="D106" i="23"/>
  <c r="D102" i="23"/>
  <c r="BY120" i="2"/>
  <c r="BY103" i="2"/>
  <c r="D117" i="23"/>
  <c r="D101" i="23"/>
  <c r="D104" i="23"/>
  <c r="D111" i="23"/>
  <c r="D116" i="23"/>
  <c r="BY115" i="2"/>
  <c r="D107" i="23"/>
  <c r="BY121" i="2"/>
  <c r="BY119" i="2"/>
  <c r="D103" i="23"/>
  <c r="D98" i="23"/>
  <c r="D115" i="23"/>
  <c r="BY117" i="2"/>
  <c r="D113" i="23"/>
  <c r="BY99" i="2"/>
  <c r="D110" i="23"/>
  <c r="W82" i="28"/>
  <c r="X82" i="28" s="1"/>
  <c r="L136" i="44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V83" i="35"/>
  <c r="V81" i="35"/>
  <c r="S119" i="36"/>
  <c r="S112" i="36"/>
  <c r="S111" i="36"/>
  <c r="S110" i="36"/>
  <c r="S118" i="36"/>
  <c r="S117" i="36"/>
  <c r="S114" i="36"/>
  <c r="S113" i="36"/>
  <c r="S121" i="36"/>
  <c r="V75" i="35"/>
  <c r="S120" i="36"/>
  <c r="S116" i="36"/>
  <c r="S115" i="36"/>
  <c r="V78" i="35"/>
  <c r="V71" i="35"/>
  <c r="V73" i="35"/>
  <c r="U88" i="35"/>
  <c r="U86" i="35"/>
  <c r="U90" i="35"/>
  <c r="U87" i="35"/>
  <c r="V72" i="35"/>
  <c r="V63" i="35"/>
  <c r="V79" i="35"/>
  <c r="V85" i="35"/>
  <c r="V76" i="35"/>
  <c r="V80" i="35"/>
  <c r="U96" i="35"/>
  <c r="U94" i="35"/>
  <c r="V84" i="35"/>
  <c r="V77" i="35"/>
  <c r="V67" i="35"/>
  <c r="U89" i="35"/>
  <c r="U95" i="35"/>
  <c r="V66" i="35"/>
  <c r="V65" i="35"/>
  <c r="V68" i="35"/>
  <c r="U93" i="35"/>
  <c r="U92" i="35"/>
  <c r="V74" i="35"/>
  <c r="V82" i="35"/>
  <c r="V69" i="35"/>
  <c r="U97" i="35"/>
  <c r="U91" i="35"/>
  <c r="V70" i="35"/>
  <c r="X67" i="34"/>
  <c r="X73" i="34"/>
  <c r="X63" i="34"/>
  <c r="X84" i="34"/>
  <c r="X65" i="34"/>
  <c r="X70" i="34"/>
  <c r="X82" i="34"/>
  <c r="X72" i="34"/>
  <c r="X69" i="34"/>
  <c r="X66" i="34"/>
  <c r="X81" i="34"/>
  <c r="X68" i="34"/>
  <c r="X85" i="34"/>
  <c r="X83" i="34"/>
  <c r="X64" i="34"/>
  <c r="X62" i="34"/>
  <c r="X71" i="34"/>
  <c r="X80" i="34"/>
  <c r="X75" i="34"/>
  <c r="W96" i="34"/>
  <c r="W89" i="34"/>
  <c r="W95" i="34"/>
  <c r="W87" i="34"/>
  <c r="W94" i="34"/>
  <c r="W97" i="34"/>
  <c r="W93" i="34"/>
  <c r="W91" i="34"/>
  <c r="W88" i="34"/>
  <c r="W92" i="34"/>
  <c r="W86" i="34"/>
  <c r="W90" i="34"/>
  <c r="T83" i="30"/>
  <c r="T85" i="30"/>
  <c r="V101" i="31"/>
  <c r="V107" i="31"/>
  <c r="V98" i="31"/>
  <c r="V106" i="31"/>
  <c r="V99" i="31"/>
  <c r="T93" i="30"/>
  <c r="T77" i="30"/>
  <c r="T86" i="30"/>
  <c r="T63" i="30"/>
  <c r="T72" i="30"/>
  <c r="T80" i="30"/>
  <c r="T78" i="30"/>
  <c r="T66" i="30"/>
  <c r="T81" i="30"/>
  <c r="T90" i="30"/>
  <c r="T68" i="30"/>
  <c r="T74" i="30"/>
  <c r="T70" i="30"/>
  <c r="T75" i="30"/>
  <c r="T84" i="30"/>
  <c r="T97" i="30"/>
  <c r="T71" i="30"/>
  <c r="T64" i="30"/>
  <c r="T94" i="30"/>
  <c r="T96" i="30"/>
  <c r="T76" i="30"/>
  <c r="T87" i="30"/>
  <c r="T73" i="30"/>
  <c r="T67" i="30"/>
  <c r="T69" i="30"/>
  <c r="T62" i="30"/>
  <c r="T65" i="30"/>
  <c r="T82" i="30"/>
  <c r="T79" i="30"/>
  <c r="T89" i="30"/>
  <c r="T92" i="30"/>
  <c r="T108" i="25"/>
  <c r="U108" i="25" s="1"/>
  <c r="W77" i="28"/>
  <c r="X77" i="28" s="1"/>
  <c r="W78" i="28"/>
  <c r="X78" i="28" s="1"/>
  <c r="W84" i="28"/>
  <c r="X84" i="28" s="1"/>
  <c r="W75" i="28"/>
  <c r="X75" i="28" s="1"/>
  <c r="W76" i="28"/>
  <c r="X76" i="28" s="1"/>
  <c r="W79" i="28"/>
  <c r="X79" i="28" s="1"/>
  <c r="W80" i="28"/>
  <c r="X80" i="28" s="1"/>
  <c r="W83" i="28"/>
  <c r="X83" i="28" s="1"/>
  <c r="W81" i="28"/>
  <c r="X81" i="28" s="1"/>
  <c r="W85" i="28"/>
  <c r="X85" i="28" s="1"/>
  <c r="W74" i="28"/>
  <c r="X74" i="28" s="1"/>
  <c r="V62" i="24"/>
  <c r="W62" i="24" s="1"/>
  <c r="AZ10" i="27"/>
  <c r="V74" i="24"/>
  <c r="W74" i="24" s="1"/>
  <c r="AT10" i="27"/>
  <c r="P10" i="27"/>
  <c r="P11" i="27"/>
  <c r="P93" i="26"/>
  <c r="Q93" i="26" s="1"/>
  <c r="P97" i="26"/>
  <c r="Q97" i="26" s="1"/>
  <c r="P95" i="26"/>
  <c r="Q95" i="26" s="1"/>
  <c r="P89" i="26"/>
  <c r="Q89" i="26" s="1"/>
  <c r="P90" i="26"/>
  <c r="Q90" i="26" s="1"/>
  <c r="P96" i="26"/>
  <c r="Q96" i="26" s="1"/>
  <c r="P87" i="26"/>
  <c r="Q87" i="26" s="1"/>
  <c r="P94" i="26"/>
  <c r="Q94" i="26" s="1"/>
  <c r="P88" i="26"/>
  <c r="Q88" i="26" s="1"/>
  <c r="P92" i="26"/>
  <c r="Q92" i="26" s="1"/>
  <c r="P91" i="26"/>
  <c r="Q91" i="26" s="1"/>
  <c r="T106" i="25"/>
  <c r="U106" i="25" s="1"/>
  <c r="T101" i="25"/>
  <c r="U101" i="25" s="1"/>
  <c r="BT116" i="2"/>
  <c r="R116" i="25"/>
  <c r="S116" i="25" s="1"/>
  <c r="T116" i="25" s="1"/>
  <c r="U116" i="25" s="1"/>
  <c r="BT115" i="2"/>
  <c r="R115" i="25"/>
  <c r="S115" i="25" s="1"/>
  <c r="T115" i="25" s="1"/>
  <c r="U115" i="25" s="1"/>
  <c r="BT119" i="2"/>
  <c r="R119" i="25"/>
  <c r="S119" i="25" s="1"/>
  <c r="T119" i="25" s="1"/>
  <c r="U119" i="25" s="1"/>
  <c r="BT112" i="2"/>
  <c r="R112" i="25"/>
  <c r="S112" i="25" s="1"/>
  <c r="T112" i="25" s="1"/>
  <c r="U112" i="25" s="1"/>
  <c r="BT111" i="2"/>
  <c r="R111" i="25"/>
  <c r="S111" i="25" s="1"/>
  <c r="T111" i="25" s="1"/>
  <c r="U111" i="25" s="1"/>
  <c r="BT110" i="2"/>
  <c r="R110" i="25"/>
  <c r="S110" i="25" s="1"/>
  <c r="BT118" i="2"/>
  <c r="R118" i="25"/>
  <c r="S118" i="25" s="1"/>
  <c r="T118" i="25" s="1"/>
  <c r="U118" i="25" s="1"/>
  <c r="BT117" i="2"/>
  <c r="R117" i="25"/>
  <c r="S117" i="25" s="1"/>
  <c r="T117" i="25" s="1"/>
  <c r="U117" i="25" s="1"/>
  <c r="BT114" i="2"/>
  <c r="R114" i="25"/>
  <c r="S114" i="25" s="1"/>
  <c r="T114" i="25" s="1"/>
  <c r="U114" i="25" s="1"/>
  <c r="BT113" i="2"/>
  <c r="R113" i="25"/>
  <c r="S113" i="25" s="1"/>
  <c r="T113" i="25" s="1"/>
  <c r="U113" i="25" s="1"/>
  <c r="BT121" i="2"/>
  <c r="R121" i="25"/>
  <c r="S121" i="25" s="1"/>
  <c r="T121" i="25" s="1"/>
  <c r="U121" i="25" s="1"/>
  <c r="BT120" i="2"/>
  <c r="R120" i="25"/>
  <c r="S120" i="25" s="1"/>
  <c r="T120" i="25" s="1"/>
  <c r="U120" i="25" s="1"/>
  <c r="X65" i="23"/>
  <c r="Y65" i="23" s="1"/>
  <c r="X70" i="23"/>
  <c r="Y70" i="23" s="1"/>
  <c r="X67" i="23"/>
  <c r="Y67" i="23" s="1"/>
  <c r="BN96" i="2"/>
  <c r="T96" i="24"/>
  <c r="U96" i="24" s="1"/>
  <c r="V96" i="24" s="1"/>
  <c r="W96" i="24" s="1"/>
  <c r="BN94" i="2"/>
  <c r="T94" i="24"/>
  <c r="U94" i="24" s="1"/>
  <c r="V94" i="24" s="1"/>
  <c r="W94" i="24" s="1"/>
  <c r="BN89" i="2"/>
  <c r="T89" i="24"/>
  <c r="U89" i="24" s="1"/>
  <c r="V89" i="24" s="1"/>
  <c r="W89" i="24" s="1"/>
  <c r="BN95" i="2"/>
  <c r="T95" i="24"/>
  <c r="U95" i="24" s="1"/>
  <c r="V95" i="24" s="1"/>
  <c r="W95" i="24" s="1"/>
  <c r="BN93" i="2"/>
  <c r="T93" i="24"/>
  <c r="U93" i="24" s="1"/>
  <c r="V93" i="24" s="1"/>
  <c r="W93" i="24" s="1"/>
  <c r="BN92" i="2"/>
  <c r="T92" i="24"/>
  <c r="U92" i="24" s="1"/>
  <c r="V92" i="24" s="1"/>
  <c r="W92" i="24" s="1"/>
  <c r="BN97" i="2"/>
  <c r="T97" i="24"/>
  <c r="U97" i="24" s="1"/>
  <c r="V97" i="24" s="1"/>
  <c r="W97" i="24" s="1"/>
  <c r="BN91" i="2"/>
  <c r="T91" i="24"/>
  <c r="U91" i="24" s="1"/>
  <c r="V91" i="24" s="1"/>
  <c r="W91" i="24" s="1"/>
  <c r="BN88" i="2"/>
  <c r="T88" i="24"/>
  <c r="U88" i="24" s="1"/>
  <c r="V88" i="24" s="1"/>
  <c r="W88" i="24" s="1"/>
  <c r="BN86" i="2"/>
  <c r="T86" i="24"/>
  <c r="U86" i="24" s="1"/>
  <c r="BN90" i="2"/>
  <c r="T90" i="24"/>
  <c r="U90" i="24" s="1"/>
  <c r="V90" i="24" s="1"/>
  <c r="W90" i="24" s="1"/>
  <c r="BN87" i="2"/>
  <c r="T87" i="24"/>
  <c r="U87" i="24" s="1"/>
  <c r="V87" i="24" s="1"/>
  <c r="W87" i="24" s="1"/>
  <c r="X71" i="23"/>
  <c r="Y71" i="23" s="1"/>
  <c r="X64" i="23"/>
  <c r="Y64" i="23" s="1"/>
  <c r="X72" i="23"/>
  <c r="Y72" i="23" s="1"/>
  <c r="X69" i="23"/>
  <c r="Y69" i="23" s="1"/>
  <c r="X66" i="23"/>
  <c r="Y66" i="23" s="1"/>
  <c r="X73" i="23"/>
  <c r="Y73" i="23" s="1"/>
  <c r="X63" i="23"/>
  <c r="Y63" i="23" s="1"/>
  <c r="X83" i="23"/>
  <c r="Y83" i="23" s="1"/>
  <c r="X68" i="23"/>
  <c r="Y68" i="23" s="1"/>
  <c r="X62" i="23"/>
  <c r="Y62" i="23" s="1"/>
  <c r="AS10" i="27"/>
  <c r="X82" i="23"/>
  <c r="Y82" i="23" s="1"/>
  <c r="BH87" i="2"/>
  <c r="V87" i="23"/>
  <c r="W87" i="23" s="1"/>
  <c r="BH94" i="2"/>
  <c r="V94" i="23"/>
  <c r="W94" i="23" s="1"/>
  <c r="BH97" i="2"/>
  <c r="V97" i="23"/>
  <c r="W97" i="23" s="1"/>
  <c r="BH93" i="2"/>
  <c r="V93" i="23"/>
  <c r="W93" i="23" s="1"/>
  <c r="BH91" i="2"/>
  <c r="V91" i="23"/>
  <c r="W91" i="23" s="1"/>
  <c r="BH88" i="2"/>
  <c r="V88" i="23"/>
  <c r="W88" i="23" s="1"/>
  <c r="BH92" i="2"/>
  <c r="V92" i="23"/>
  <c r="W92" i="23" s="1"/>
  <c r="BH86" i="2"/>
  <c r="V86" i="23"/>
  <c r="W86" i="23" s="1"/>
  <c r="BH90" i="2"/>
  <c r="V90" i="23"/>
  <c r="W90" i="23" s="1"/>
  <c r="BH96" i="2"/>
  <c r="V96" i="23"/>
  <c r="W96" i="23" s="1"/>
  <c r="BH89" i="2"/>
  <c r="V89" i="23"/>
  <c r="W89" i="23" s="1"/>
  <c r="BH95" i="2"/>
  <c r="V95" i="23"/>
  <c r="W95" i="23" s="1"/>
  <c r="V13" i="27"/>
  <c r="V107" i="20"/>
  <c r="W107" i="20" s="1"/>
  <c r="V14" i="27"/>
  <c r="V105" i="20"/>
  <c r="W105" i="20" s="1"/>
  <c r="T72" i="18"/>
  <c r="T74" i="18"/>
  <c r="T88" i="18"/>
  <c r="U88" i="18" s="1"/>
  <c r="O10" i="27"/>
  <c r="T79" i="18"/>
  <c r="U79" i="18" s="1"/>
  <c r="T68" i="18"/>
  <c r="T63" i="18"/>
  <c r="T66" i="18"/>
  <c r="T77" i="18"/>
  <c r="U77" i="18" s="1"/>
  <c r="T80" i="18"/>
  <c r="U80" i="18" s="1"/>
  <c r="T81" i="18"/>
  <c r="U81" i="18" s="1"/>
  <c r="O11" i="27"/>
  <c r="T70" i="18"/>
  <c r="T73" i="18"/>
  <c r="T85" i="18"/>
  <c r="U85" i="18" s="1"/>
  <c r="T69" i="18"/>
  <c r="T75" i="18"/>
  <c r="U75" i="18" s="1"/>
  <c r="T82" i="18"/>
  <c r="U82" i="18" s="1"/>
  <c r="T71" i="18"/>
  <c r="T64" i="18"/>
  <c r="T83" i="18"/>
  <c r="U83" i="18" s="1"/>
  <c r="T67" i="18"/>
  <c r="T86" i="18"/>
  <c r="O12" i="27"/>
  <c r="T76" i="18"/>
  <c r="U76" i="18" s="1"/>
  <c r="T90" i="18"/>
  <c r="U90" i="18" s="1"/>
  <c r="T78" i="18"/>
  <c r="U78" i="18" s="1"/>
  <c r="T62" i="18"/>
  <c r="T65" i="18"/>
  <c r="T84" i="18"/>
  <c r="U84" i="18" s="1"/>
  <c r="T91" i="18"/>
  <c r="U91" i="18" s="1"/>
  <c r="V75" i="19"/>
  <c r="W75" i="19" s="1"/>
  <c r="V74" i="19"/>
  <c r="W74" i="19" s="1"/>
  <c r="I11" i="27"/>
  <c r="I85" i="2"/>
  <c r="V85" i="17"/>
  <c r="W85" i="17" s="1"/>
  <c r="X85" i="17" s="1"/>
  <c r="I74" i="2"/>
  <c r="V74" i="17"/>
  <c r="W74" i="17" s="1"/>
  <c r="X74" i="17" s="1"/>
  <c r="I77" i="2"/>
  <c r="V77" i="17"/>
  <c r="W77" i="17" s="1"/>
  <c r="X77" i="17" s="1"/>
  <c r="I78" i="2"/>
  <c r="V78" i="17"/>
  <c r="W78" i="17" s="1"/>
  <c r="X78" i="17" s="1"/>
  <c r="I84" i="2"/>
  <c r="V84" i="17"/>
  <c r="W84" i="17" s="1"/>
  <c r="X84" i="17" s="1"/>
  <c r="I75" i="2"/>
  <c r="V75" i="17"/>
  <c r="W75" i="17" s="1"/>
  <c r="X75" i="17" s="1"/>
  <c r="I76" i="2"/>
  <c r="V76" i="17"/>
  <c r="W76" i="17" s="1"/>
  <c r="X76" i="17" s="1"/>
  <c r="I79" i="2"/>
  <c r="V79" i="17"/>
  <c r="W79" i="17" s="1"/>
  <c r="X79" i="17" s="1"/>
  <c r="I80" i="2"/>
  <c r="V80" i="17"/>
  <c r="W80" i="17" s="1"/>
  <c r="X80" i="17" s="1"/>
  <c r="I83" i="2"/>
  <c r="V83" i="17"/>
  <c r="W83" i="17" s="1"/>
  <c r="X83" i="17" s="1"/>
  <c r="I81" i="2"/>
  <c r="V81" i="17"/>
  <c r="W81" i="17" s="1"/>
  <c r="X81" i="17" s="1"/>
  <c r="H27" i="8"/>
  <c r="J27" i="8" s="1"/>
  <c r="Z22" i="40"/>
  <c r="AA22" i="40" s="1"/>
  <c r="O9" i="41"/>
  <c r="D48" i="41" s="1"/>
  <c r="D118" i="34"/>
  <c r="FX121" i="2"/>
  <c r="FA133" i="3" s="1"/>
  <c r="W77" i="11"/>
  <c r="V68" i="11"/>
  <c r="V69" i="11" s="1"/>
  <c r="W24" i="11"/>
  <c r="W26" i="11" s="1"/>
  <c r="W28" i="11" s="1"/>
  <c r="W66" i="11" s="1"/>
  <c r="W68" i="11" s="1"/>
  <c r="Y20" i="11"/>
  <c r="X21" i="11"/>
  <c r="X25" i="11" s="1"/>
  <c r="H104" i="11"/>
  <c r="Z53" i="11"/>
  <c r="Y54" i="11"/>
  <c r="Y57" i="11" s="1"/>
  <c r="Y59" i="11" s="1"/>
  <c r="Y61" i="11" s="1"/>
  <c r="Y78" i="11" s="1"/>
  <c r="J35" i="11"/>
  <c r="J37" i="11" s="1"/>
  <c r="J39" i="11" s="1"/>
  <c r="I39" i="11"/>
  <c r="N134" i="44"/>
  <c r="D121" i="34"/>
  <c r="FX112" i="2"/>
  <c r="FA124" i="3" s="1"/>
  <c r="D112" i="34"/>
  <c r="FX115" i="2"/>
  <c r="FA127" i="3" s="1"/>
  <c r="D115" i="34"/>
  <c r="BF14" i="27"/>
  <c r="FX118" i="2"/>
  <c r="FA130" i="3" s="1"/>
  <c r="D117" i="34"/>
  <c r="FX117" i="2"/>
  <c r="FA129" i="3" s="1"/>
  <c r="CM15" i="39"/>
  <c r="H28" i="8"/>
  <c r="J28" i="8" s="1"/>
  <c r="AG22" i="40"/>
  <c r="AH22" i="40" s="1"/>
  <c r="N60" i="73" s="1"/>
  <c r="D99" i="26"/>
  <c r="D99" i="37"/>
  <c r="D101" i="26"/>
  <c r="D101" i="37"/>
  <c r="D106" i="26"/>
  <c r="D106" i="37"/>
  <c r="FX102" i="2"/>
  <c r="FA114" i="3" s="1"/>
  <c r="D102" i="34"/>
  <c r="D121" i="26"/>
  <c r="D121" i="37"/>
  <c r="D118" i="26"/>
  <c r="D118" i="37"/>
  <c r="D116" i="26"/>
  <c r="D116" i="37"/>
  <c r="D106" i="34"/>
  <c r="FX106" i="2"/>
  <c r="FA118" i="3" s="1"/>
  <c r="C139" i="29"/>
  <c r="A140" i="29"/>
  <c r="B139" i="29"/>
  <c r="AH28" i="5"/>
  <c r="DI19" i="39" s="1"/>
  <c r="AH55" i="5"/>
  <c r="D101" i="34"/>
  <c r="FX101" i="2"/>
  <c r="FA113" i="3" s="1"/>
  <c r="D98" i="26"/>
  <c r="P98" i="26" s="1"/>
  <c r="D98" i="37"/>
  <c r="DR14" i="39"/>
  <c r="D117" i="26"/>
  <c r="D117" i="37"/>
  <c r="AY13" i="27"/>
  <c r="D119" i="26"/>
  <c r="D119" i="37"/>
  <c r="D109" i="26"/>
  <c r="D109" i="37"/>
  <c r="FX109" i="2"/>
  <c r="FA121" i="3" s="1"/>
  <c r="D109" i="34"/>
  <c r="FX100" i="2"/>
  <c r="FA112" i="3" s="1"/>
  <c r="D100" i="34"/>
  <c r="D120" i="26"/>
  <c r="D120" i="37"/>
  <c r="D112" i="26"/>
  <c r="D112" i="37"/>
  <c r="AF27" i="5"/>
  <c r="CO18" i="39" s="1"/>
  <c r="AF54" i="5"/>
  <c r="FX99" i="2"/>
  <c r="FA111" i="3" s="1"/>
  <c r="D99" i="34"/>
  <c r="D108" i="26"/>
  <c r="D108" i="37"/>
  <c r="D100" i="26"/>
  <c r="D100" i="37"/>
  <c r="D103" i="26"/>
  <c r="D103" i="37"/>
  <c r="D105" i="34"/>
  <c r="FX105" i="2"/>
  <c r="FA117" i="3" s="1"/>
  <c r="D104" i="34"/>
  <c r="FX104" i="2"/>
  <c r="FA116" i="3" s="1"/>
  <c r="BF13" i="27"/>
  <c r="Q86" i="26"/>
  <c r="BN12" i="27"/>
  <c r="BP12" i="27" s="1"/>
  <c r="D114" i="26"/>
  <c r="D114" i="37"/>
  <c r="D111" i="26"/>
  <c r="D111" i="37"/>
  <c r="D107" i="37"/>
  <c r="D107" i="26"/>
  <c r="AI27" i="5"/>
  <c r="DT18" i="39" s="1"/>
  <c r="AI54" i="5"/>
  <c r="D113" i="34"/>
  <c r="FX113" i="2"/>
  <c r="FA125" i="3" s="1"/>
  <c r="FX107" i="2"/>
  <c r="FA119" i="3" s="1"/>
  <c r="D107" i="34"/>
  <c r="D113" i="26"/>
  <c r="D113" i="37"/>
  <c r="DR15" i="39"/>
  <c r="FX98" i="2"/>
  <c r="FA110" i="3" s="1"/>
  <c r="CM14" i="39"/>
  <c r="D98" i="34"/>
  <c r="D105" i="26"/>
  <c r="D105" i="37"/>
  <c r="D115" i="26"/>
  <c r="D115" i="37"/>
  <c r="AY14" i="27"/>
  <c r="AG28" i="5"/>
  <c r="CY19" i="39" s="1"/>
  <c r="AG55" i="5"/>
  <c r="FX108" i="2"/>
  <c r="FA120" i="3" s="1"/>
  <c r="D108" i="34"/>
  <c r="D102" i="26"/>
  <c r="D102" i="37"/>
  <c r="AS12" i="27"/>
  <c r="D104" i="37"/>
  <c r="D104" i="26"/>
  <c r="FX103" i="2"/>
  <c r="FA115" i="3" s="1"/>
  <c r="D103" i="34"/>
  <c r="L142" i="44"/>
  <c r="N25" i="44"/>
  <c r="O20" i="44"/>
  <c r="M75" i="44"/>
  <c r="M74" i="44"/>
  <c r="O19" i="44"/>
  <c r="N8" i="44"/>
  <c r="L31" i="11"/>
  <c r="L32" i="11" s="1"/>
  <c r="L36" i="11" s="1"/>
  <c r="AG21" i="40"/>
  <c r="AH21" i="40" s="1"/>
  <c r="M60" i="73" s="1"/>
  <c r="C28" i="8"/>
  <c r="E28" i="8" s="1"/>
  <c r="N10" i="41"/>
  <c r="C49" i="41" s="1"/>
  <c r="L124" i="44"/>
  <c r="C27" i="8"/>
  <c r="Z21" i="40"/>
  <c r="AA21" i="40" s="1"/>
  <c r="M59" i="73" s="1"/>
  <c r="N9" i="41"/>
  <c r="C48" i="41" s="1"/>
  <c r="BS49" i="14"/>
  <c r="BS60" i="14"/>
  <c r="AY49" i="14"/>
  <c r="AY60" i="14"/>
  <c r="BO60" i="14"/>
  <c r="BC48" i="14"/>
  <c r="BO49" i="14"/>
  <c r="AU62" i="14"/>
  <c r="AU73" i="14"/>
  <c r="H84" i="14"/>
  <c r="AL72" i="14"/>
  <c r="AL61" i="14"/>
  <c r="H62" i="14"/>
  <c r="L60" i="14"/>
  <c r="AL50" i="14"/>
  <c r="AH61" i="14"/>
  <c r="L49" i="14"/>
  <c r="H51" i="14"/>
  <c r="H73" i="14"/>
  <c r="AH50" i="14"/>
  <c r="L182" i="44"/>
  <c r="L202" i="44" s="1"/>
  <c r="M61" i="44"/>
  <c r="N72" i="44"/>
  <c r="N74" i="44"/>
  <c r="L119" i="44"/>
  <c r="N75" i="44"/>
  <c r="M62" i="44"/>
  <c r="P49" i="14"/>
  <c r="AB61" i="14"/>
  <c r="AB73" i="14"/>
  <c r="AB84" i="14"/>
  <c r="H76" i="11"/>
  <c r="X75" i="11"/>
  <c r="M28" i="8"/>
  <c r="O28" i="8" s="1"/>
  <c r="AG23" i="40"/>
  <c r="AH23" i="40" s="1"/>
  <c r="O60" i="73" s="1"/>
  <c r="P10" i="41"/>
  <c r="E49" i="41" s="1"/>
  <c r="EJ20" i="39"/>
  <c r="O20" i="41"/>
  <c r="M48" i="41" s="1"/>
  <c r="H55" i="8"/>
  <c r="J55" i="8" s="1"/>
  <c r="BF22" i="40"/>
  <c r="BG22" i="40" s="1"/>
  <c r="N67" i="73" s="1"/>
  <c r="AB20" i="14"/>
  <c r="AA107" i="14" s="1"/>
  <c r="AA108" i="14" s="1"/>
  <c r="AA109" i="14" s="1"/>
  <c r="AA110" i="14" s="1"/>
  <c r="AA111" i="14" s="1"/>
  <c r="AA112" i="14" s="1"/>
  <c r="AA113" i="14" s="1"/>
  <c r="AA114" i="14" s="1"/>
  <c r="AA115" i="14" s="1"/>
  <c r="AA116" i="14" s="1"/>
  <c r="AA117" i="14" s="1"/>
  <c r="AA118" i="14" s="1"/>
  <c r="BN18" i="14"/>
  <c r="EB18" i="39"/>
  <c r="ED18" i="39" s="1"/>
  <c r="K42" i="11"/>
  <c r="G20" i="14"/>
  <c r="M31" i="11"/>
  <c r="EC20" i="39"/>
  <c r="BW20" i="39"/>
  <c r="X46" i="11"/>
  <c r="X48" i="11" s="1"/>
  <c r="X50" i="11" s="1"/>
  <c r="X74" i="11" s="1"/>
  <c r="AG19" i="14"/>
  <c r="BO19" i="39"/>
  <c r="BQ19" i="39" s="1"/>
  <c r="Z23" i="40"/>
  <c r="AA23" i="40" s="1"/>
  <c r="O59" i="73" s="1"/>
  <c r="P9" i="41"/>
  <c r="E48" i="41" s="1"/>
  <c r="M27" i="8"/>
  <c r="N71" i="44"/>
  <c r="H56" i="8"/>
  <c r="J56" i="8" s="1"/>
  <c r="BM22" i="40"/>
  <c r="O21" i="41"/>
  <c r="M49" i="41" s="1"/>
  <c r="AX18" i="14"/>
  <c r="Z42" i="11"/>
  <c r="BV19" i="39"/>
  <c r="BX19" i="39" s="1"/>
  <c r="Y43" i="11"/>
  <c r="Y47" i="11" s="1"/>
  <c r="BR18" i="14"/>
  <c r="EI18" i="39"/>
  <c r="EK18" i="39" s="1"/>
  <c r="K35" i="11"/>
  <c r="K37" i="11" s="1"/>
  <c r="K39" i="11" s="1"/>
  <c r="K70" i="11" s="1"/>
  <c r="L26" i="8"/>
  <c r="BH24" i="40"/>
  <c r="T24" i="40"/>
  <c r="S23" i="40"/>
  <c r="P26" i="8" s="1"/>
  <c r="AZ11" i="27" l="1"/>
  <c r="BA11" i="27" s="1"/>
  <c r="K27" i="8"/>
  <c r="N59" i="73"/>
  <c r="P12" i="27"/>
  <c r="T94" i="18"/>
  <c r="U94" i="18" s="1"/>
  <c r="W13" i="27"/>
  <c r="X13" i="27" s="1"/>
  <c r="DH13" i="39"/>
  <c r="DJ13" i="39" s="1"/>
  <c r="DL13" i="39" s="1"/>
  <c r="BG13" i="27"/>
  <c r="T98" i="25"/>
  <c r="U98" i="25" s="1"/>
  <c r="BG12" i="27"/>
  <c r="BH12" i="27" s="1"/>
  <c r="Z34" i="60"/>
  <c r="Z21" i="60"/>
  <c r="T86" i="25"/>
  <c r="U86" i="25" s="1"/>
  <c r="J11" i="27"/>
  <c r="K11" i="27" s="1"/>
  <c r="AT11" i="27"/>
  <c r="AU11" i="27" s="1"/>
  <c r="V76" i="19"/>
  <c r="W76" i="19" s="1"/>
  <c r="W11" i="27"/>
  <c r="X11" i="27" s="1"/>
  <c r="P93" i="73"/>
  <c r="Q106" i="73"/>
  <c r="P8" i="73"/>
  <c r="G18" i="73"/>
  <c r="Q8" i="73"/>
  <c r="G47" i="73" s="1"/>
  <c r="T8" i="41"/>
  <c r="I47" i="41" s="1"/>
  <c r="M8" i="73"/>
  <c r="C47" i="73" s="1"/>
  <c r="AJ12" i="39"/>
  <c r="AO12" i="39" s="1"/>
  <c r="V100" i="20"/>
  <c r="W100" i="20" s="1"/>
  <c r="R8" i="73"/>
  <c r="H47" i="73" s="1"/>
  <c r="Q106" i="41"/>
  <c r="W12" i="27"/>
  <c r="X12" i="27" s="1"/>
  <c r="AJ13" i="39"/>
  <c r="AL13" i="39" s="1"/>
  <c r="AN13" i="39" s="1"/>
  <c r="DH12" i="39"/>
  <c r="DM12" i="39" s="1"/>
  <c r="AT95" i="14"/>
  <c r="AT96" i="14" s="1"/>
  <c r="AT97" i="14" s="1"/>
  <c r="AT98" i="14" s="1"/>
  <c r="AT99" i="14" s="1"/>
  <c r="AT100" i="14" s="1"/>
  <c r="AT101" i="14" s="1"/>
  <c r="AT102" i="14" s="1"/>
  <c r="AT103" i="14" s="1"/>
  <c r="AT104" i="14" s="1"/>
  <c r="AT105" i="14" s="1"/>
  <c r="AT106" i="14" s="1"/>
  <c r="Q130" i="41" s="1"/>
  <c r="Q78" i="44" s="1"/>
  <c r="BG11" i="27"/>
  <c r="BH11" i="27" s="1"/>
  <c r="AB26" i="8"/>
  <c r="AD26" i="8" s="1"/>
  <c r="D82" i="28"/>
  <c r="S8" i="41"/>
  <c r="H47" i="41" s="1"/>
  <c r="R8" i="44" s="1"/>
  <c r="O21" i="73"/>
  <c r="N49" i="73" s="1"/>
  <c r="P111" i="73"/>
  <c r="P111" i="41"/>
  <c r="Q100" i="73"/>
  <c r="Q100" i="41"/>
  <c r="P10" i="73"/>
  <c r="F49" i="73" s="1"/>
  <c r="P107" i="73"/>
  <c r="P107" i="41"/>
  <c r="P9" i="73"/>
  <c r="F48" i="73" s="1"/>
  <c r="Q99" i="73"/>
  <c r="Q99" i="41"/>
  <c r="R94" i="73"/>
  <c r="R94" i="41"/>
  <c r="O20" i="73"/>
  <c r="N48" i="73" s="1"/>
  <c r="P110" i="41"/>
  <c r="P110" i="73"/>
  <c r="P109" i="73"/>
  <c r="P109" i="41"/>
  <c r="P108" i="41"/>
  <c r="P108" i="73"/>
  <c r="K18" i="14"/>
  <c r="O95" i="73"/>
  <c r="O95" i="41"/>
  <c r="O10" i="73"/>
  <c r="E49" i="73" s="1"/>
  <c r="P100" i="73"/>
  <c r="P100" i="41"/>
  <c r="AU84" i="14"/>
  <c r="S8" i="73"/>
  <c r="D47" i="73"/>
  <c r="P130" i="41"/>
  <c r="P78" i="44" s="1"/>
  <c r="P130" i="73"/>
  <c r="R106" i="41"/>
  <c r="Q93" i="41"/>
  <c r="N8" i="41"/>
  <c r="C47" i="41" s="1"/>
  <c r="M8" i="44" s="1"/>
  <c r="C26" i="8"/>
  <c r="E26" i="8" s="1"/>
  <c r="G26" i="8" s="1"/>
  <c r="AM26" i="8" s="1"/>
  <c r="Q8" i="41"/>
  <c r="F47" i="41" s="1"/>
  <c r="P8" i="44" s="1"/>
  <c r="R26" i="8"/>
  <c r="T26" i="8" s="1"/>
  <c r="AG26" i="8"/>
  <c r="AI26" i="8" s="1"/>
  <c r="V112" i="31"/>
  <c r="BN83" i="14"/>
  <c r="BN84" i="14" s="1"/>
  <c r="BN85" i="14" s="1"/>
  <c r="BN86" i="14" s="1"/>
  <c r="BN87" i="14" s="1"/>
  <c r="BN88" i="14" s="1"/>
  <c r="BN89" i="14" s="1"/>
  <c r="BN90" i="14" s="1"/>
  <c r="BN91" i="14" s="1"/>
  <c r="BN92" i="14" s="1"/>
  <c r="BN93" i="14" s="1"/>
  <c r="BN94" i="14" s="1"/>
  <c r="P134" i="73" s="1"/>
  <c r="N151" i="44"/>
  <c r="E40" i="60" s="1"/>
  <c r="O135" i="41"/>
  <c r="O83" i="44" s="1"/>
  <c r="Z41" i="60" s="1"/>
  <c r="BR83" i="14"/>
  <c r="BR84" i="14" s="1"/>
  <c r="BR85" i="14" s="1"/>
  <c r="BR86" i="14" s="1"/>
  <c r="BR87" i="14" s="1"/>
  <c r="BR88" i="14" s="1"/>
  <c r="BR89" i="14" s="1"/>
  <c r="BR90" i="14" s="1"/>
  <c r="BR91" i="14" s="1"/>
  <c r="BR92" i="14" s="1"/>
  <c r="BR93" i="14" s="1"/>
  <c r="BR94" i="14" s="1"/>
  <c r="P135" i="73" s="1"/>
  <c r="BH20" i="14"/>
  <c r="BH95" i="14"/>
  <c r="BH96" i="14" s="1"/>
  <c r="BH97" i="14" s="1"/>
  <c r="BH98" i="14" s="1"/>
  <c r="BH99" i="14" s="1"/>
  <c r="BH100" i="14" s="1"/>
  <c r="BH101" i="14" s="1"/>
  <c r="BH102" i="14" s="1"/>
  <c r="BH103" i="14" s="1"/>
  <c r="BH104" i="14" s="1"/>
  <c r="BH105" i="14" s="1"/>
  <c r="BH106" i="14" s="1"/>
  <c r="O134" i="41"/>
  <c r="O82" i="44" s="1"/>
  <c r="Z40" i="60" s="1"/>
  <c r="O131" i="41"/>
  <c r="O79" i="44" s="1"/>
  <c r="Z36" i="60" s="1"/>
  <c r="AX83" i="14"/>
  <c r="AX84" i="14" s="1"/>
  <c r="AX85" i="14" s="1"/>
  <c r="AX86" i="14" s="1"/>
  <c r="AX87" i="14" s="1"/>
  <c r="AX88" i="14" s="1"/>
  <c r="AX89" i="14" s="1"/>
  <c r="AX90" i="14" s="1"/>
  <c r="AX91" i="14" s="1"/>
  <c r="AX92" i="14" s="1"/>
  <c r="AX93" i="14" s="1"/>
  <c r="AX94" i="14" s="1"/>
  <c r="P131" i="73" s="1"/>
  <c r="V54" i="14"/>
  <c r="U55" i="14"/>
  <c r="P123" i="41"/>
  <c r="P35" i="44" s="1"/>
  <c r="AG95" i="14"/>
  <c r="AG96" i="14" s="1"/>
  <c r="AG97" i="14" s="1"/>
  <c r="AG98" i="14" s="1"/>
  <c r="AG99" i="14" s="1"/>
  <c r="AG100" i="14" s="1"/>
  <c r="AG101" i="14" s="1"/>
  <c r="AG102" i="14" s="1"/>
  <c r="AG103" i="14" s="1"/>
  <c r="AG104" i="14" s="1"/>
  <c r="AG105" i="14" s="1"/>
  <c r="AG106" i="14" s="1"/>
  <c r="Q123" i="73" s="1"/>
  <c r="AG72" i="14"/>
  <c r="BJ18" i="39"/>
  <c r="BK18" i="39"/>
  <c r="Q118" i="41"/>
  <c r="Q30" i="44" s="1"/>
  <c r="Q146" i="44" s="1"/>
  <c r="H35" i="60" s="1"/>
  <c r="O59" i="41"/>
  <c r="G107" i="14"/>
  <c r="G108" i="14" s="1"/>
  <c r="G109" i="14" s="1"/>
  <c r="G110" i="14" s="1"/>
  <c r="G111" i="14" s="1"/>
  <c r="G112" i="14" s="1"/>
  <c r="G113" i="14" s="1"/>
  <c r="G114" i="14" s="1"/>
  <c r="G115" i="14" s="1"/>
  <c r="G116" i="14" s="1"/>
  <c r="G117" i="14" s="1"/>
  <c r="G118" i="14" s="1"/>
  <c r="R118" i="73" s="1"/>
  <c r="N59" i="41"/>
  <c r="P59" i="41"/>
  <c r="P60" i="41"/>
  <c r="AK95" i="14"/>
  <c r="AK96" i="14" s="1"/>
  <c r="AK97" i="14" s="1"/>
  <c r="AK98" i="14" s="1"/>
  <c r="AK99" i="14" s="1"/>
  <c r="AK100" i="14" s="1"/>
  <c r="AK101" i="14" s="1"/>
  <c r="AK102" i="14" s="1"/>
  <c r="AK103" i="14" s="1"/>
  <c r="AK104" i="14" s="1"/>
  <c r="AK105" i="14" s="1"/>
  <c r="AK106" i="14" s="1"/>
  <c r="Q124" i="73" s="1"/>
  <c r="N60" i="41"/>
  <c r="O124" i="41"/>
  <c r="O36" i="44" s="1"/>
  <c r="P41" i="60" s="1"/>
  <c r="N152" i="44"/>
  <c r="E41" i="60" s="1"/>
  <c r="AK83" i="14"/>
  <c r="O41" i="60"/>
  <c r="K71" i="14"/>
  <c r="K83" i="14"/>
  <c r="K84" i="14" s="1"/>
  <c r="K85" i="14" s="1"/>
  <c r="K86" i="14" s="1"/>
  <c r="K87" i="14" s="1"/>
  <c r="K88" i="14" s="1"/>
  <c r="K89" i="14" s="1"/>
  <c r="K90" i="14" s="1"/>
  <c r="K91" i="14" s="1"/>
  <c r="K92" i="14" s="1"/>
  <c r="K93" i="14" s="1"/>
  <c r="K94" i="14" s="1"/>
  <c r="P119" i="73" s="1"/>
  <c r="N119" i="41"/>
  <c r="N31" i="44" s="1"/>
  <c r="N147" i="44" s="1"/>
  <c r="E36" i="60" s="1"/>
  <c r="DJ11" i="39"/>
  <c r="DL11" i="39" s="1"/>
  <c r="DM11" i="39"/>
  <c r="AL11" i="39"/>
  <c r="AN11" i="39" s="1"/>
  <c r="AO11" i="39"/>
  <c r="AL10" i="39"/>
  <c r="AN10" i="39" s="1"/>
  <c r="AO10" i="39"/>
  <c r="C44" i="60"/>
  <c r="C43" i="60"/>
  <c r="L12" i="40"/>
  <c r="L11" i="40"/>
  <c r="L13" i="40"/>
  <c r="M15" i="40" s="1"/>
  <c r="W26" i="8"/>
  <c r="Y26" i="8" s="1"/>
  <c r="K28" i="8"/>
  <c r="O60" i="41"/>
  <c r="K55" i="8"/>
  <c r="O67" i="41"/>
  <c r="G146" i="51"/>
  <c r="F142" i="51"/>
  <c r="F146" i="51" s="1"/>
  <c r="BF15" i="27"/>
  <c r="AY15" i="27"/>
  <c r="V15" i="27"/>
  <c r="BA10" i="27"/>
  <c r="C27" i="60"/>
  <c r="C23" i="60"/>
  <c r="E21" i="60"/>
  <c r="E22" i="60"/>
  <c r="C28" i="60"/>
  <c r="P21" i="60"/>
  <c r="P22" i="60"/>
  <c r="G35" i="60"/>
  <c r="Q35" i="60"/>
  <c r="D36" i="60"/>
  <c r="N36" i="60"/>
  <c r="O27" i="60"/>
  <c r="O12" i="60"/>
  <c r="X12" i="60"/>
  <c r="N9" i="44"/>
  <c r="Y27" i="60"/>
  <c r="Y24" i="60"/>
  <c r="Y28" i="60"/>
  <c r="X11" i="60"/>
  <c r="P19" i="44"/>
  <c r="X28" i="60"/>
  <c r="AA21" i="60"/>
  <c r="X27" i="60"/>
  <c r="Y23" i="60"/>
  <c r="M21" i="44"/>
  <c r="V111" i="31"/>
  <c r="V114" i="31"/>
  <c r="V115" i="31"/>
  <c r="V113" i="31"/>
  <c r="V117" i="31"/>
  <c r="V116" i="31"/>
  <c r="V121" i="31"/>
  <c r="V119" i="31"/>
  <c r="W14" i="27"/>
  <c r="X14" i="27" s="1"/>
  <c r="I46" i="11"/>
  <c r="I48" i="11" s="1"/>
  <c r="I50" i="11" s="1"/>
  <c r="I74" i="11" s="1"/>
  <c r="J75" i="11" s="1"/>
  <c r="V110" i="20"/>
  <c r="W110" i="20" s="1"/>
  <c r="V118" i="31"/>
  <c r="AT51" i="14"/>
  <c r="AU50" i="14"/>
  <c r="C95" i="14"/>
  <c r="AT107" i="14"/>
  <c r="AT108" i="14" s="1"/>
  <c r="AT109" i="14" s="1"/>
  <c r="AT110" i="14" s="1"/>
  <c r="AT111" i="14" s="1"/>
  <c r="AT112" i="14" s="1"/>
  <c r="AT113" i="14" s="1"/>
  <c r="AT114" i="14" s="1"/>
  <c r="AT115" i="14" s="1"/>
  <c r="AT116" i="14" s="1"/>
  <c r="AT117" i="14" s="1"/>
  <c r="AT118" i="14" s="1"/>
  <c r="H68" i="11"/>
  <c r="H69" i="11" s="1"/>
  <c r="H103" i="11" s="1"/>
  <c r="I24" i="11"/>
  <c r="I26" i="11" s="1"/>
  <c r="I28" i="11" s="1"/>
  <c r="I66" i="11" s="1"/>
  <c r="J67" i="11" s="1"/>
  <c r="V110" i="31"/>
  <c r="N123" i="44"/>
  <c r="O10" i="60"/>
  <c r="L180" i="44"/>
  <c r="L200" i="44" s="1"/>
  <c r="C29" i="60"/>
  <c r="L178" i="44"/>
  <c r="L198" i="44" s="1"/>
  <c r="C11" i="60"/>
  <c r="L173" i="44"/>
  <c r="L193" i="44" s="1"/>
  <c r="C6" i="60"/>
  <c r="J43" i="11"/>
  <c r="J47" i="11" s="1"/>
  <c r="J20" i="11"/>
  <c r="J21" i="11" s="1"/>
  <c r="J25" i="11" s="1"/>
  <c r="N115" i="2"/>
  <c r="N116" i="2"/>
  <c r="N117" i="2"/>
  <c r="N118" i="2"/>
  <c r="N119" i="2"/>
  <c r="N120" i="2"/>
  <c r="N121" i="2"/>
  <c r="N114" i="2"/>
  <c r="N110" i="2"/>
  <c r="N111" i="2"/>
  <c r="N112" i="2"/>
  <c r="N113" i="2"/>
  <c r="R8" i="41"/>
  <c r="G47" i="41" s="1"/>
  <c r="V120" i="31"/>
  <c r="DH14" i="39"/>
  <c r="T114" i="36"/>
  <c r="T127" i="36"/>
  <c r="T117" i="36"/>
  <c r="T126" i="36"/>
  <c r="T118" i="36"/>
  <c r="T125" i="36"/>
  <c r="T110" i="36"/>
  <c r="T124" i="36"/>
  <c r="T111" i="36"/>
  <c r="T123" i="36"/>
  <c r="T112" i="36"/>
  <c r="T122" i="36"/>
  <c r="T119" i="36"/>
  <c r="T115" i="36"/>
  <c r="T133" i="36"/>
  <c r="T116" i="36"/>
  <c r="T132" i="36"/>
  <c r="T120" i="36"/>
  <c r="T131" i="36"/>
  <c r="T130" i="36"/>
  <c r="T121" i="36"/>
  <c r="T129" i="36"/>
  <c r="T113" i="36"/>
  <c r="T128" i="36"/>
  <c r="U86" i="18"/>
  <c r="U67" i="18"/>
  <c r="U64" i="18"/>
  <c r="U71" i="18"/>
  <c r="U66" i="18"/>
  <c r="U63" i="18"/>
  <c r="U68" i="18"/>
  <c r="U65" i="18"/>
  <c r="U62" i="18"/>
  <c r="U69" i="18"/>
  <c r="U73" i="18"/>
  <c r="U70" i="18"/>
  <c r="U74" i="18"/>
  <c r="U72" i="18"/>
  <c r="T139" i="29"/>
  <c r="U63" i="25"/>
  <c r="BB20" i="14"/>
  <c r="BB107" i="14" s="1"/>
  <c r="BB108" i="14" s="1"/>
  <c r="BB109" i="14" s="1"/>
  <c r="BB110" i="14" s="1"/>
  <c r="BB111" i="14" s="1"/>
  <c r="BB112" i="14" s="1"/>
  <c r="BB113" i="14" s="1"/>
  <c r="BB114" i="14" s="1"/>
  <c r="BB115" i="14" s="1"/>
  <c r="BB116" i="14" s="1"/>
  <c r="BB117" i="14" s="1"/>
  <c r="BB118" i="14" s="1"/>
  <c r="BE19" i="14"/>
  <c r="BE51" i="14"/>
  <c r="BE71" i="14"/>
  <c r="BE60" i="14"/>
  <c r="BK19" i="14"/>
  <c r="AD85" i="14"/>
  <c r="AD73" i="14"/>
  <c r="AD107" i="14"/>
  <c r="AD51" i="14"/>
  <c r="AD96" i="14"/>
  <c r="AD62" i="14"/>
  <c r="R49" i="14"/>
  <c r="C20" i="14"/>
  <c r="FO76" i="2"/>
  <c r="EU88" i="3" s="1"/>
  <c r="FO75" i="2"/>
  <c r="EU87" i="3" s="1"/>
  <c r="FO78" i="2"/>
  <c r="EU90" i="3" s="1"/>
  <c r="FO81" i="2"/>
  <c r="EU93" i="3" s="1"/>
  <c r="Y83" i="17"/>
  <c r="FO74" i="2"/>
  <c r="EU86" i="3" s="1"/>
  <c r="D80" i="28"/>
  <c r="CX11" i="39"/>
  <c r="CZ11" i="39" s="1"/>
  <c r="DB11" i="39" s="1"/>
  <c r="CX12" i="39"/>
  <c r="CZ12" i="39" s="1"/>
  <c r="DB12" i="39" s="1"/>
  <c r="CN11" i="39"/>
  <c r="CP11" i="39" s="1"/>
  <c r="CR11" i="39" s="1"/>
  <c r="CN12" i="39"/>
  <c r="CP12" i="39" s="1"/>
  <c r="CR12" i="39" s="1"/>
  <c r="BH13" i="27"/>
  <c r="AJ14" i="39"/>
  <c r="Z13" i="39"/>
  <c r="AB13" i="39" s="1"/>
  <c r="AD13" i="39" s="1"/>
  <c r="Z12" i="39"/>
  <c r="AB12" i="39" s="1"/>
  <c r="AD12" i="39" s="1"/>
  <c r="Z11" i="39"/>
  <c r="AB11" i="39" s="1"/>
  <c r="AD11" i="39" s="1"/>
  <c r="V93" i="35"/>
  <c r="V92" i="35"/>
  <c r="V96" i="35"/>
  <c r="U100" i="35"/>
  <c r="U102" i="35"/>
  <c r="U101" i="35"/>
  <c r="U99" i="35"/>
  <c r="U103" i="35"/>
  <c r="V95" i="35"/>
  <c r="U109" i="35"/>
  <c r="V87" i="35"/>
  <c r="U104" i="35"/>
  <c r="V91" i="35"/>
  <c r="V89" i="35"/>
  <c r="U98" i="35"/>
  <c r="V90" i="35"/>
  <c r="U108" i="35"/>
  <c r="V97" i="35"/>
  <c r="U105" i="35"/>
  <c r="V86" i="35"/>
  <c r="U107" i="35"/>
  <c r="U106" i="35"/>
  <c r="V94" i="35"/>
  <c r="V88" i="35"/>
  <c r="X86" i="34"/>
  <c r="X94" i="34"/>
  <c r="X95" i="34"/>
  <c r="X88" i="34"/>
  <c r="X96" i="34"/>
  <c r="X97" i="34"/>
  <c r="X90" i="34"/>
  <c r="X87" i="34"/>
  <c r="X92" i="34"/>
  <c r="X89" i="34"/>
  <c r="X91" i="34"/>
  <c r="X93" i="34"/>
  <c r="S99" i="30"/>
  <c r="S108" i="30"/>
  <c r="S106" i="30"/>
  <c r="S101" i="30"/>
  <c r="S98" i="30"/>
  <c r="S105" i="30"/>
  <c r="S103" i="30"/>
  <c r="S104" i="30"/>
  <c r="S102" i="30"/>
  <c r="S109" i="30"/>
  <c r="S107" i="30"/>
  <c r="S100" i="30"/>
  <c r="Q12" i="27"/>
  <c r="U86" i="29"/>
  <c r="V86" i="29" s="1"/>
  <c r="U97" i="29"/>
  <c r="V97" i="29" s="1"/>
  <c r="U98" i="29"/>
  <c r="U91" i="29"/>
  <c r="V91" i="29" s="1"/>
  <c r="U102" i="29"/>
  <c r="U89" i="29"/>
  <c r="V89" i="29" s="1"/>
  <c r="U106" i="29"/>
  <c r="U95" i="29"/>
  <c r="V95" i="29" s="1"/>
  <c r="U105" i="29"/>
  <c r="U96" i="29"/>
  <c r="V96" i="29" s="1"/>
  <c r="U104" i="29"/>
  <c r="U94" i="29"/>
  <c r="V94" i="29" s="1"/>
  <c r="U109" i="29"/>
  <c r="U93" i="29"/>
  <c r="V93" i="29" s="1"/>
  <c r="U103" i="29"/>
  <c r="U92" i="29"/>
  <c r="V92" i="29" s="1"/>
  <c r="U108" i="29"/>
  <c r="U88" i="29"/>
  <c r="V88" i="29" s="1"/>
  <c r="U100" i="29"/>
  <c r="U107" i="29"/>
  <c r="U101" i="29"/>
  <c r="U99" i="29"/>
  <c r="U90" i="29"/>
  <c r="V90" i="29" s="1"/>
  <c r="U87" i="29"/>
  <c r="V87" i="29" s="1"/>
  <c r="F12" i="39"/>
  <c r="H12" i="39" s="1"/>
  <c r="J12" i="39" s="1"/>
  <c r="Q11" i="27"/>
  <c r="W109" i="28"/>
  <c r="W92" i="28"/>
  <c r="X92" i="28" s="1"/>
  <c r="W106" i="28"/>
  <c r="W90" i="28"/>
  <c r="X90" i="28" s="1"/>
  <c r="W107" i="28"/>
  <c r="W88" i="28"/>
  <c r="X88" i="28" s="1"/>
  <c r="W105" i="28"/>
  <c r="W103" i="28"/>
  <c r="W102" i="28"/>
  <c r="W100" i="28"/>
  <c r="W87" i="28"/>
  <c r="X87" i="28" s="1"/>
  <c r="W97" i="28"/>
  <c r="X97" i="28" s="1"/>
  <c r="W91" i="28"/>
  <c r="X91" i="28" s="1"/>
  <c r="W96" i="28"/>
  <c r="X96" i="28" s="1"/>
  <c r="W101" i="28"/>
  <c r="W95" i="28"/>
  <c r="X95" i="28" s="1"/>
  <c r="W98" i="28"/>
  <c r="W89" i="28"/>
  <c r="X89" i="28" s="1"/>
  <c r="W108" i="28"/>
  <c r="W86" i="28"/>
  <c r="X86" i="28" s="1"/>
  <c r="W99" i="28"/>
  <c r="W94" i="28"/>
  <c r="X94" i="28" s="1"/>
  <c r="W104" i="28"/>
  <c r="W93" i="28"/>
  <c r="X93" i="28" s="1"/>
  <c r="T110" i="25"/>
  <c r="BG14" i="27"/>
  <c r="BH14" i="27" s="1"/>
  <c r="Q10" i="27"/>
  <c r="AU10" i="27"/>
  <c r="V86" i="24"/>
  <c r="W86" i="24" s="1"/>
  <c r="AZ12" i="27"/>
  <c r="BA12" i="27" s="1"/>
  <c r="AT12" i="27"/>
  <c r="AU12" i="27" s="1"/>
  <c r="D11" i="27"/>
  <c r="P102" i="26"/>
  <c r="Q102" i="26" s="1"/>
  <c r="P121" i="26"/>
  <c r="Q121" i="26" s="1"/>
  <c r="P116" i="26"/>
  <c r="Q116" i="26" s="1"/>
  <c r="P99" i="26"/>
  <c r="Q99" i="26" s="1"/>
  <c r="P104" i="26"/>
  <c r="Q104" i="26" s="1"/>
  <c r="P117" i="26"/>
  <c r="Q117" i="26" s="1"/>
  <c r="P107" i="26"/>
  <c r="Q107" i="26" s="1"/>
  <c r="P103" i="26"/>
  <c r="Q103" i="26" s="1"/>
  <c r="P108" i="26"/>
  <c r="Q108" i="26" s="1"/>
  <c r="P106" i="26"/>
  <c r="Q106" i="26" s="1"/>
  <c r="P113" i="26"/>
  <c r="Q113" i="26" s="1"/>
  <c r="P120" i="26"/>
  <c r="Q120" i="26" s="1"/>
  <c r="P111" i="26"/>
  <c r="Q111" i="26" s="1"/>
  <c r="P109" i="26"/>
  <c r="Q109" i="26" s="1"/>
  <c r="P115" i="26"/>
  <c r="Q115" i="26" s="1"/>
  <c r="P118" i="26"/>
  <c r="Q118" i="26" s="1"/>
  <c r="P101" i="26"/>
  <c r="Q101" i="26" s="1"/>
  <c r="P100" i="26"/>
  <c r="Q100" i="26" s="1"/>
  <c r="P112" i="26"/>
  <c r="Q112" i="26" s="1"/>
  <c r="P105" i="26"/>
  <c r="Q105" i="26" s="1"/>
  <c r="P114" i="26"/>
  <c r="Q114" i="26" s="1"/>
  <c r="P119" i="26"/>
  <c r="Q119" i="26" s="1"/>
  <c r="BN103" i="2"/>
  <c r="T103" i="24"/>
  <c r="U103" i="24" s="1"/>
  <c r="V103" i="24" s="1"/>
  <c r="W103" i="24" s="1"/>
  <c r="BN109" i="2"/>
  <c r="T109" i="24"/>
  <c r="U109" i="24" s="1"/>
  <c r="V109" i="24" s="1"/>
  <c r="W109" i="24" s="1"/>
  <c r="BN104" i="2"/>
  <c r="T104" i="24"/>
  <c r="U104" i="24" s="1"/>
  <c r="V104" i="24" s="1"/>
  <c r="W104" i="24" s="1"/>
  <c r="BN98" i="2"/>
  <c r="T98" i="24"/>
  <c r="U98" i="24" s="1"/>
  <c r="BN108" i="2"/>
  <c r="T108" i="24"/>
  <c r="U108" i="24" s="1"/>
  <c r="V108" i="24" s="1"/>
  <c r="W108" i="24" s="1"/>
  <c r="BN105" i="2"/>
  <c r="T105" i="24"/>
  <c r="U105" i="24" s="1"/>
  <c r="V105" i="24" s="1"/>
  <c r="W105" i="24" s="1"/>
  <c r="BN107" i="2"/>
  <c r="T107" i="24"/>
  <c r="U107" i="24" s="1"/>
  <c r="V107" i="24" s="1"/>
  <c r="W107" i="24" s="1"/>
  <c r="BN106" i="2"/>
  <c r="T106" i="24"/>
  <c r="U106" i="24" s="1"/>
  <c r="V106" i="24" s="1"/>
  <c r="W106" i="24" s="1"/>
  <c r="BN100" i="2"/>
  <c r="T100" i="24"/>
  <c r="U100" i="24" s="1"/>
  <c r="V100" i="24" s="1"/>
  <c r="W100" i="24" s="1"/>
  <c r="BN102" i="2"/>
  <c r="T102" i="24"/>
  <c r="U102" i="24" s="1"/>
  <c r="V102" i="24" s="1"/>
  <c r="W102" i="24" s="1"/>
  <c r="BN101" i="2"/>
  <c r="T101" i="24"/>
  <c r="U101" i="24" s="1"/>
  <c r="V101" i="24" s="1"/>
  <c r="W101" i="24" s="1"/>
  <c r="BN99" i="2"/>
  <c r="T99" i="24"/>
  <c r="U99" i="24" s="1"/>
  <c r="V99" i="24" s="1"/>
  <c r="W99" i="24" s="1"/>
  <c r="X91" i="23"/>
  <c r="Y91" i="23" s="1"/>
  <c r="X95" i="23"/>
  <c r="Y95" i="23" s="1"/>
  <c r="X93" i="23"/>
  <c r="Y93" i="23" s="1"/>
  <c r="X89" i="23"/>
  <c r="Y89" i="23" s="1"/>
  <c r="X97" i="23"/>
  <c r="Y97" i="23" s="1"/>
  <c r="X96" i="23"/>
  <c r="Y96" i="23" s="1"/>
  <c r="X94" i="23"/>
  <c r="Y94" i="23" s="1"/>
  <c r="X90" i="23"/>
  <c r="Y90" i="23" s="1"/>
  <c r="X87" i="23"/>
  <c r="Y87" i="23" s="1"/>
  <c r="X86" i="23"/>
  <c r="Y86" i="23" s="1"/>
  <c r="X92" i="23"/>
  <c r="Y92" i="23" s="1"/>
  <c r="X88" i="23"/>
  <c r="Y88" i="23" s="1"/>
  <c r="U99" i="2"/>
  <c r="R99" i="18"/>
  <c r="S99" i="18" s="1"/>
  <c r="U108" i="2"/>
  <c r="R108" i="18"/>
  <c r="S108" i="18" s="1"/>
  <c r="U106" i="2"/>
  <c r="R106" i="18"/>
  <c r="S106" i="18" s="1"/>
  <c r="U101" i="2"/>
  <c r="R101" i="18"/>
  <c r="S101" i="18" s="1"/>
  <c r="U98" i="2"/>
  <c r="R98" i="18"/>
  <c r="S98" i="18" s="1"/>
  <c r="U105" i="2"/>
  <c r="R105" i="18"/>
  <c r="S105" i="18" s="1"/>
  <c r="U103" i="2"/>
  <c r="R103" i="18"/>
  <c r="S103" i="18" s="1"/>
  <c r="U104" i="2"/>
  <c r="R104" i="18"/>
  <c r="S104" i="18" s="1"/>
  <c r="U102" i="2"/>
  <c r="R102" i="18"/>
  <c r="S102" i="18" s="1"/>
  <c r="U109" i="2"/>
  <c r="R109" i="18"/>
  <c r="S109" i="18" s="1"/>
  <c r="U107" i="2"/>
  <c r="R107" i="18"/>
  <c r="S107" i="18" s="1"/>
  <c r="U100" i="2"/>
  <c r="R100" i="18"/>
  <c r="S100" i="18" s="1"/>
  <c r="Y74" i="17"/>
  <c r="D74" i="28"/>
  <c r="D77" i="28"/>
  <c r="D83" i="28"/>
  <c r="Y77" i="17"/>
  <c r="Y85" i="17"/>
  <c r="FO85" i="2"/>
  <c r="EU97" i="3" s="1"/>
  <c r="D85" i="28"/>
  <c r="FO80" i="2"/>
  <c r="EU92" i="3" s="1"/>
  <c r="Y80" i="17"/>
  <c r="O97" i="2"/>
  <c r="T97" i="19"/>
  <c r="U97" i="19" s="1"/>
  <c r="O98" i="2"/>
  <c r="T98" i="19"/>
  <c r="U98" i="19" s="1"/>
  <c r="O91" i="2"/>
  <c r="T91" i="19"/>
  <c r="U91" i="19" s="1"/>
  <c r="O102" i="2"/>
  <c r="T102" i="19"/>
  <c r="U102" i="19" s="1"/>
  <c r="O89" i="2"/>
  <c r="T89" i="19"/>
  <c r="U89" i="19" s="1"/>
  <c r="O106" i="2"/>
  <c r="T106" i="19"/>
  <c r="U106" i="19" s="1"/>
  <c r="O95" i="2"/>
  <c r="T95" i="19"/>
  <c r="U95" i="19" s="1"/>
  <c r="O105" i="2"/>
  <c r="T105" i="19"/>
  <c r="U105" i="19" s="1"/>
  <c r="O96" i="2"/>
  <c r="T96" i="19"/>
  <c r="U96" i="19" s="1"/>
  <c r="O104" i="2"/>
  <c r="T104" i="19"/>
  <c r="U104" i="19" s="1"/>
  <c r="O94" i="2"/>
  <c r="T94" i="19"/>
  <c r="U94" i="19" s="1"/>
  <c r="O109" i="2"/>
  <c r="T109" i="19"/>
  <c r="U109" i="19" s="1"/>
  <c r="O93" i="2"/>
  <c r="T93" i="19"/>
  <c r="U93" i="19" s="1"/>
  <c r="O103" i="2"/>
  <c r="T103" i="19"/>
  <c r="U103" i="19" s="1"/>
  <c r="O92" i="2"/>
  <c r="T92" i="19"/>
  <c r="U92" i="19" s="1"/>
  <c r="O108" i="2"/>
  <c r="T108" i="19"/>
  <c r="U108" i="19" s="1"/>
  <c r="O88" i="2"/>
  <c r="T88" i="19"/>
  <c r="U88" i="19" s="1"/>
  <c r="O100" i="2"/>
  <c r="T100" i="19"/>
  <c r="U100" i="19" s="1"/>
  <c r="O107" i="2"/>
  <c r="T107" i="19"/>
  <c r="U107" i="19" s="1"/>
  <c r="O101" i="2"/>
  <c r="T101" i="19"/>
  <c r="U101" i="19" s="1"/>
  <c r="O99" i="2"/>
  <c r="T99" i="19"/>
  <c r="U99" i="19" s="1"/>
  <c r="O90" i="2"/>
  <c r="T90" i="19"/>
  <c r="U90" i="19" s="1"/>
  <c r="O87" i="2"/>
  <c r="T87" i="19"/>
  <c r="U87" i="19" s="1"/>
  <c r="O86" i="2"/>
  <c r="T86" i="19"/>
  <c r="U86" i="19" s="1"/>
  <c r="FO83" i="2"/>
  <c r="EU95" i="3" s="1"/>
  <c r="E12" i="39"/>
  <c r="Y76" i="17"/>
  <c r="FO84" i="2"/>
  <c r="EU96" i="3" s="1"/>
  <c r="D75" i="28"/>
  <c r="D81" i="28"/>
  <c r="Y84" i="17"/>
  <c r="I101" i="2"/>
  <c r="V101" i="17"/>
  <c r="W101" i="17" s="1"/>
  <c r="X101" i="17" s="1"/>
  <c r="I95" i="2"/>
  <c r="V95" i="17"/>
  <c r="W95" i="17" s="1"/>
  <c r="X95" i="17" s="1"/>
  <c r="D76" i="28"/>
  <c r="Y75" i="17"/>
  <c r="I98" i="2"/>
  <c r="V98" i="17"/>
  <c r="W98" i="17" s="1"/>
  <c r="X98" i="17" s="1"/>
  <c r="I89" i="2"/>
  <c r="V89" i="17"/>
  <c r="W89" i="17" s="1"/>
  <c r="X89" i="17" s="1"/>
  <c r="I108" i="2"/>
  <c r="V108" i="17"/>
  <c r="W108" i="17" s="1"/>
  <c r="X108" i="17" s="1"/>
  <c r="I86" i="2"/>
  <c r="V86" i="17"/>
  <c r="W86" i="17" s="1"/>
  <c r="X86" i="17" s="1"/>
  <c r="D78" i="28"/>
  <c r="I99" i="2"/>
  <c r="V99" i="17"/>
  <c r="W99" i="17" s="1"/>
  <c r="X99" i="17" s="1"/>
  <c r="I94" i="2"/>
  <c r="V94" i="17"/>
  <c r="W94" i="17" s="1"/>
  <c r="X94" i="17" s="1"/>
  <c r="D79" i="28"/>
  <c r="I104" i="2"/>
  <c r="V104" i="17"/>
  <c r="W104" i="17" s="1"/>
  <c r="X104" i="17" s="1"/>
  <c r="I93" i="2"/>
  <c r="V93" i="17"/>
  <c r="W93" i="17" s="1"/>
  <c r="X93" i="17" s="1"/>
  <c r="Y79" i="17"/>
  <c r="I109" i="2"/>
  <c r="V109" i="17"/>
  <c r="W109" i="17" s="1"/>
  <c r="X109" i="17" s="1"/>
  <c r="I92" i="2"/>
  <c r="V92" i="17"/>
  <c r="W92" i="17" s="1"/>
  <c r="X92" i="17" s="1"/>
  <c r="I106" i="2"/>
  <c r="V106" i="17"/>
  <c r="W106" i="17" s="1"/>
  <c r="X106" i="17" s="1"/>
  <c r="I90" i="2"/>
  <c r="V90" i="17"/>
  <c r="W90" i="17" s="1"/>
  <c r="X90" i="17" s="1"/>
  <c r="I107" i="2"/>
  <c r="V107" i="17"/>
  <c r="W107" i="17" s="1"/>
  <c r="X107" i="17" s="1"/>
  <c r="I88" i="2"/>
  <c r="V88" i="17"/>
  <c r="W88" i="17" s="1"/>
  <c r="X88" i="17" s="1"/>
  <c r="Y78" i="17"/>
  <c r="I105" i="2"/>
  <c r="V105" i="17"/>
  <c r="W105" i="17" s="1"/>
  <c r="X105" i="17" s="1"/>
  <c r="I103" i="2"/>
  <c r="V103" i="17"/>
  <c r="W103" i="17" s="1"/>
  <c r="X103" i="17" s="1"/>
  <c r="I102" i="2"/>
  <c r="V102" i="17"/>
  <c r="W102" i="17" s="1"/>
  <c r="X102" i="17" s="1"/>
  <c r="I100" i="2"/>
  <c r="V100" i="17"/>
  <c r="W100" i="17" s="1"/>
  <c r="X100" i="17" s="1"/>
  <c r="I87" i="2"/>
  <c r="V87" i="17"/>
  <c r="W87" i="17" s="1"/>
  <c r="X87" i="17" s="1"/>
  <c r="I97" i="2"/>
  <c r="V97" i="17"/>
  <c r="W97" i="17" s="1"/>
  <c r="X97" i="17" s="1"/>
  <c r="I91" i="2"/>
  <c r="V91" i="17"/>
  <c r="W91" i="17" s="1"/>
  <c r="X91" i="17" s="1"/>
  <c r="FO79" i="2"/>
  <c r="EU91" i="3" s="1"/>
  <c r="D84" i="28"/>
  <c r="FO77" i="2"/>
  <c r="EU89" i="3" s="1"/>
  <c r="I96" i="2"/>
  <c r="V96" i="17"/>
  <c r="W96" i="17" s="1"/>
  <c r="X96" i="17" s="1"/>
  <c r="Y81" i="17"/>
  <c r="V103" i="11"/>
  <c r="W105" i="11"/>
  <c r="U96" i="11"/>
  <c r="D41" i="12" s="1"/>
  <c r="W69" i="11"/>
  <c r="W103" i="11" s="1"/>
  <c r="U90" i="11"/>
  <c r="X67" i="11"/>
  <c r="X24" i="11"/>
  <c r="X26" i="11" s="1"/>
  <c r="X28" i="11" s="1"/>
  <c r="X66" i="11" s="1"/>
  <c r="X68" i="11" s="1"/>
  <c r="Z20" i="11"/>
  <c r="Y21" i="11"/>
  <c r="Y25" i="11" s="1"/>
  <c r="H77" i="11"/>
  <c r="F90" i="11"/>
  <c r="D11" i="12"/>
  <c r="K20" i="11"/>
  <c r="AA53" i="11"/>
  <c r="Y80" i="11"/>
  <c r="Y81" i="11" s="1"/>
  <c r="Z79" i="11"/>
  <c r="Z54" i="11"/>
  <c r="Z57" i="11" s="1"/>
  <c r="Z59" i="11" s="1"/>
  <c r="Z61" i="11" s="1"/>
  <c r="Z78" i="11" s="1"/>
  <c r="I70" i="11"/>
  <c r="J70" i="11"/>
  <c r="N141" i="44"/>
  <c r="M140" i="44"/>
  <c r="M141" i="44"/>
  <c r="O134" i="44"/>
  <c r="O135" i="44"/>
  <c r="L28" i="8"/>
  <c r="AN28" i="8" s="1"/>
  <c r="BN14" i="27"/>
  <c r="BP14" i="27" s="1"/>
  <c r="B140" i="29"/>
  <c r="C140" i="29"/>
  <c r="A141" i="29"/>
  <c r="AF28" i="5"/>
  <c r="CO19" i="39" s="1"/>
  <c r="AF55" i="5"/>
  <c r="AH56" i="5"/>
  <c r="AH29" i="5"/>
  <c r="DI20" i="39" s="1"/>
  <c r="Q98" i="26"/>
  <c r="BN13" i="27"/>
  <c r="BP13" i="27" s="1"/>
  <c r="AG29" i="5"/>
  <c r="CY20" i="39" s="1"/>
  <c r="AG56" i="5"/>
  <c r="AI28" i="5"/>
  <c r="DT19" i="39" s="1"/>
  <c r="AI55" i="5"/>
  <c r="N140" i="44"/>
  <c r="O25" i="44"/>
  <c r="P20" i="44"/>
  <c r="M9" i="44"/>
  <c r="O26" i="44"/>
  <c r="N21" i="44"/>
  <c r="M10" i="44"/>
  <c r="M20" i="11"/>
  <c r="AB20" i="11"/>
  <c r="F28" i="8"/>
  <c r="G28" i="8" s="1"/>
  <c r="AM28" i="8" s="1"/>
  <c r="F27" i="8"/>
  <c r="E27" i="8"/>
  <c r="BS50" i="14"/>
  <c r="BS72" i="14"/>
  <c r="BS61" i="14"/>
  <c r="AY61" i="14"/>
  <c r="AY72" i="14"/>
  <c r="BC49" i="14"/>
  <c r="BO61" i="14"/>
  <c r="BC60" i="14"/>
  <c r="BO50" i="14"/>
  <c r="AY50" i="14"/>
  <c r="BO72" i="14"/>
  <c r="AU74" i="14"/>
  <c r="AU63" i="14"/>
  <c r="AU85" i="14"/>
  <c r="AH51" i="14"/>
  <c r="AL51" i="14"/>
  <c r="AH62" i="14"/>
  <c r="AL73" i="14"/>
  <c r="AH84" i="14"/>
  <c r="H63" i="14"/>
  <c r="L61" i="14"/>
  <c r="H74" i="14"/>
  <c r="AL62" i="14"/>
  <c r="H96" i="14"/>
  <c r="H52" i="14"/>
  <c r="H85" i="14"/>
  <c r="L50" i="14"/>
  <c r="N61" i="44"/>
  <c r="Q20" i="44"/>
  <c r="O9" i="44"/>
  <c r="N62" i="44"/>
  <c r="O72" i="44"/>
  <c r="O10" i="44"/>
  <c r="AB21" i="14"/>
  <c r="AA119" i="14" s="1"/>
  <c r="AA120" i="14" s="1"/>
  <c r="AA121" i="14" s="1"/>
  <c r="AA122" i="14" s="1"/>
  <c r="AA123" i="14" s="1"/>
  <c r="AA124" i="14" s="1"/>
  <c r="AA125" i="14" s="1"/>
  <c r="AA126" i="14" s="1"/>
  <c r="AA127" i="14" s="1"/>
  <c r="AA128" i="14" s="1"/>
  <c r="AA129" i="14" s="1"/>
  <c r="AA130" i="14" s="1"/>
  <c r="AB85" i="14"/>
  <c r="AB62" i="14"/>
  <c r="AB74" i="14"/>
  <c r="P50" i="14"/>
  <c r="AB96" i="14"/>
  <c r="L35" i="11"/>
  <c r="L37" i="11" s="1"/>
  <c r="L39" i="11" s="1"/>
  <c r="L70" i="11" s="1"/>
  <c r="Q10" i="41"/>
  <c r="F49" i="41" s="1"/>
  <c r="R28" i="8"/>
  <c r="T28" i="8" s="1"/>
  <c r="AG24" i="40"/>
  <c r="AH24" i="40" s="1"/>
  <c r="P60" i="73" s="1"/>
  <c r="AK20" i="14"/>
  <c r="BV20" i="39"/>
  <c r="BX20" i="39" s="1"/>
  <c r="BO20" i="39"/>
  <c r="BQ20" i="39" s="1"/>
  <c r="AG20" i="14"/>
  <c r="K72" i="11"/>
  <c r="L71" i="11"/>
  <c r="X76" i="11"/>
  <c r="X77" i="11" s="1"/>
  <c r="V88" i="11" s="1"/>
  <c r="V96" i="11" s="1"/>
  <c r="Y75" i="11"/>
  <c r="Z24" i="40"/>
  <c r="AA24" i="40" s="1"/>
  <c r="P59" i="73" s="1"/>
  <c r="R27" i="8"/>
  <c r="Q9" i="41"/>
  <c r="F48" i="41" s="1"/>
  <c r="P27" i="8"/>
  <c r="M56" i="8"/>
  <c r="O56" i="8" s="1"/>
  <c r="BM23" i="40"/>
  <c r="P21" i="41"/>
  <c r="N49" i="41" s="1"/>
  <c r="AT21" i="14"/>
  <c r="AC20" i="11"/>
  <c r="M55" i="8"/>
  <c r="O55" i="8" s="1"/>
  <c r="P20" i="41"/>
  <c r="N48" i="41" s="1"/>
  <c r="BF23" i="40"/>
  <c r="BG23" i="40" s="1"/>
  <c r="O67" i="73" s="1"/>
  <c r="K43" i="11"/>
  <c r="K47" i="11" s="1"/>
  <c r="O27" i="8"/>
  <c r="Z43" i="11"/>
  <c r="Z47" i="11" s="1"/>
  <c r="BN19" i="14"/>
  <c r="EB19" i="39"/>
  <c r="ED19" i="39" s="1"/>
  <c r="EJ21" i="39"/>
  <c r="M32" i="11"/>
  <c r="M36" i="11" s="1"/>
  <c r="EI19" i="39"/>
  <c r="EK19" i="39" s="1"/>
  <c r="BR19" i="14"/>
  <c r="Y46" i="11"/>
  <c r="Y48" i="11" s="1"/>
  <c r="Y50" i="11" s="1"/>
  <c r="Y74" i="11" s="1"/>
  <c r="AX19" i="14"/>
  <c r="AA42" i="11"/>
  <c r="G21" i="14"/>
  <c r="N31" i="11"/>
  <c r="P28" i="8"/>
  <c r="Q28" i="8" s="1"/>
  <c r="AO28" i="8" s="1"/>
  <c r="BW21" i="39"/>
  <c r="L27" i="8"/>
  <c r="AN27" i="8" s="1"/>
  <c r="EC21" i="39"/>
  <c r="K19" i="14"/>
  <c r="L42" i="11"/>
  <c r="AM55" i="8"/>
  <c r="L76" i="73" s="1"/>
  <c r="L85" i="73" s="1"/>
  <c r="L55" i="8"/>
  <c r="AN26" i="8"/>
  <c r="BH25" i="40"/>
  <c r="T25" i="40"/>
  <c r="S24" i="40"/>
  <c r="U26" i="8" s="1"/>
  <c r="M24" i="40" l="1"/>
  <c r="AU96" i="14"/>
  <c r="DM13" i="39"/>
  <c r="AB34" i="60"/>
  <c r="S10" i="60"/>
  <c r="P123" i="44"/>
  <c r="G10" i="60" s="1"/>
  <c r="AA34" i="60"/>
  <c r="M123" i="44"/>
  <c r="V26" i="8"/>
  <c r="AP26" i="8" s="1"/>
  <c r="F75" i="41" s="1"/>
  <c r="DJ12" i="39"/>
  <c r="DL12" i="39" s="1"/>
  <c r="I18" i="73" s="1"/>
  <c r="AL12" i="39"/>
  <c r="AN12" i="39" s="1"/>
  <c r="W122" i="20"/>
  <c r="X18" i="27" s="1"/>
  <c r="AO13" i="39"/>
  <c r="G6" i="73"/>
  <c r="I16" i="73"/>
  <c r="R130" i="73"/>
  <c r="I3" i="73"/>
  <c r="H16" i="73"/>
  <c r="J6" i="73"/>
  <c r="R106" i="73"/>
  <c r="I17" i="73"/>
  <c r="H17" i="73"/>
  <c r="H6" i="73"/>
  <c r="H18" i="73"/>
  <c r="Q130" i="73"/>
  <c r="J18" i="73"/>
  <c r="H5" i="73"/>
  <c r="I5" i="73"/>
  <c r="Q93" i="73"/>
  <c r="C75" i="41"/>
  <c r="J5" i="73"/>
  <c r="I47" i="73"/>
  <c r="C75" i="73"/>
  <c r="Q95" i="73"/>
  <c r="Q95" i="41"/>
  <c r="S94" i="73"/>
  <c r="S94" i="41"/>
  <c r="Q107" i="73"/>
  <c r="Q107" i="41"/>
  <c r="Q111" i="73"/>
  <c r="Q111" i="41"/>
  <c r="P21" i="73"/>
  <c r="O49" i="73" s="1"/>
  <c r="P20" i="73"/>
  <c r="O48" i="73" s="1"/>
  <c r="Q110" i="41"/>
  <c r="Q110" i="73"/>
  <c r="R99" i="73"/>
  <c r="R99" i="41"/>
  <c r="Q9" i="73"/>
  <c r="G48" i="73" s="1"/>
  <c r="Q10" i="73"/>
  <c r="G49" i="73" s="1"/>
  <c r="R100" i="73"/>
  <c r="R100" i="41"/>
  <c r="Q109" i="73"/>
  <c r="Q109" i="41"/>
  <c r="Q108" i="73"/>
  <c r="Q108" i="41"/>
  <c r="P95" i="73"/>
  <c r="P95" i="41"/>
  <c r="O8" i="73"/>
  <c r="E47" i="73" s="1"/>
  <c r="F47" i="73"/>
  <c r="N10" i="60"/>
  <c r="S106" i="41"/>
  <c r="S106" i="73"/>
  <c r="R93" i="41"/>
  <c r="M13" i="40"/>
  <c r="M14" i="40"/>
  <c r="M27" i="40"/>
  <c r="M25" i="40"/>
  <c r="M12" i="40"/>
  <c r="M26" i="40"/>
  <c r="O152" i="44"/>
  <c r="F41" i="60" s="1"/>
  <c r="R35" i="60"/>
  <c r="M22" i="40"/>
  <c r="M19" i="40"/>
  <c r="M23" i="40"/>
  <c r="O36" i="60"/>
  <c r="M21" i="40"/>
  <c r="M20" i="40"/>
  <c r="BH21" i="14"/>
  <c r="BH119" i="14" s="1"/>
  <c r="BH120" i="14" s="1"/>
  <c r="BH121" i="14" s="1"/>
  <c r="BH122" i="14" s="1"/>
  <c r="BH123" i="14" s="1"/>
  <c r="BH124" i="14" s="1"/>
  <c r="BH125" i="14" s="1"/>
  <c r="BH126" i="14" s="1"/>
  <c r="BH127" i="14" s="1"/>
  <c r="BH128" i="14" s="1"/>
  <c r="BH129" i="14" s="1"/>
  <c r="BH130" i="14" s="1"/>
  <c r="BH107" i="14"/>
  <c r="BH108" i="14" s="1"/>
  <c r="BH109" i="14" s="1"/>
  <c r="BH110" i="14" s="1"/>
  <c r="BH111" i="14" s="1"/>
  <c r="BH112" i="14" s="1"/>
  <c r="BH113" i="14" s="1"/>
  <c r="BH114" i="14" s="1"/>
  <c r="BH115" i="14" s="1"/>
  <c r="BH116" i="14" s="1"/>
  <c r="BH117" i="14" s="1"/>
  <c r="BH118" i="14" s="1"/>
  <c r="P135" i="41"/>
  <c r="P83" i="44" s="1"/>
  <c r="AA41" i="60" s="1"/>
  <c r="BR95" i="14"/>
  <c r="BR96" i="14" s="1"/>
  <c r="BR97" i="14" s="1"/>
  <c r="BR98" i="14" s="1"/>
  <c r="BR99" i="14" s="1"/>
  <c r="BR100" i="14" s="1"/>
  <c r="BR101" i="14" s="1"/>
  <c r="BR102" i="14" s="1"/>
  <c r="BR103" i="14" s="1"/>
  <c r="BR104" i="14" s="1"/>
  <c r="BR105" i="14" s="1"/>
  <c r="BR106" i="14" s="1"/>
  <c r="Q135" i="73" s="1"/>
  <c r="BN95" i="14"/>
  <c r="BN96" i="14" s="1"/>
  <c r="BN97" i="14" s="1"/>
  <c r="BN98" i="14" s="1"/>
  <c r="BN99" i="14" s="1"/>
  <c r="BN100" i="14" s="1"/>
  <c r="BN101" i="14" s="1"/>
  <c r="BN102" i="14" s="1"/>
  <c r="BN103" i="14" s="1"/>
  <c r="BN104" i="14" s="1"/>
  <c r="BN105" i="14" s="1"/>
  <c r="BN106" i="14" s="1"/>
  <c r="Q134" i="73" s="1"/>
  <c r="P134" i="41"/>
  <c r="P82" i="44" s="1"/>
  <c r="AA40" i="60" s="1"/>
  <c r="P131" i="41"/>
  <c r="P79" i="44" s="1"/>
  <c r="AA36" i="60" s="1"/>
  <c r="P67" i="41"/>
  <c r="P8" i="41"/>
  <c r="E47" i="41" s="1"/>
  <c r="O8" i="44" s="1"/>
  <c r="AX95" i="14"/>
  <c r="AX96" i="14" s="1"/>
  <c r="AX97" i="14" s="1"/>
  <c r="AX98" i="14" s="1"/>
  <c r="AX99" i="14" s="1"/>
  <c r="AX100" i="14" s="1"/>
  <c r="AX101" i="14" s="1"/>
  <c r="AX102" i="14" s="1"/>
  <c r="AX103" i="14" s="1"/>
  <c r="AX104" i="14" s="1"/>
  <c r="AX105" i="14" s="1"/>
  <c r="AX106" i="14" s="1"/>
  <c r="Q131" i="73" s="1"/>
  <c r="M26" i="8"/>
  <c r="O26" i="8" s="1"/>
  <c r="Q26" i="8" s="1"/>
  <c r="AO26" i="8" s="1"/>
  <c r="AG73" i="14"/>
  <c r="AH72" i="14"/>
  <c r="Q123" i="41"/>
  <c r="Q35" i="44" s="1"/>
  <c r="U56" i="14"/>
  <c r="V55" i="14"/>
  <c r="AG107" i="14"/>
  <c r="AG108" i="14" s="1"/>
  <c r="AG109" i="14" s="1"/>
  <c r="AG110" i="14" s="1"/>
  <c r="AG111" i="14" s="1"/>
  <c r="AG112" i="14" s="1"/>
  <c r="AG113" i="14" s="1"/>
  <c r="AG114" i="14" s="1"/>
  <c r="AG115" i="14" s="1"/>
  <c r="AG116" i="14" s="1"/>
  <c r="AG117" i="14" s="1"/>
  <c r="AG118" i="14" s="1"/>
  <c r="R123" i="73" s="1"/>
  <c r="Q59" i="41"/>
  <c r="D76" i="41"/>
  <c r="D85" i="41" s="1"/>
  <c r="N16" i="44" s="1"/>
  <c r="D76" i="73"/>
  <c r="D85" i="73" s="1"/>
  <c r="G119" i="14"/>
  <c r="G120" i="14" s="1"/>
  <c r="G121" i="14" s="1"/>
  <c r="G122" i="14" s="1"/>
  <c r="G123" i="14" s="1"/>
  <c r="G124" i="14" s="1"/>
  <c r="G125" i="14" s="1"/>
  <c r="G126" i="14" s="1"/>
  <c r="G127" i="14" s="1"/>
  <c r="G128" i="14" s="1"/>
  <c r="G129" i="14" s="1"/>
  <c r="G130" i="14" s="1"/>
  <c r="S118" i="73" s="1"/>
  <c r="R118" i="41"/>
  <c r="R30" i="44" s="1"/>
  <c r="R146" i="44" s="1"/>
  <c r="I35" i="60" s="1"/>
  <c r="M11" i="40"/>
  <c r="L19" i="40"/>
  <c r="L20" i="40" s="1"/>
  <c r="AK84" i="14"/>
  <c r="C77" i="41"/>
  <c r="C86" i="41" s="1"/>
  <c r="C77" i="73"/>
  <c r="C86" i="73" s="1"/>
  <c r="Q124" i="41"/>
  <c r="Q36" i="44" s="1"/>
  <c r="E77" i="41"/>
  <c r="E77" i="73"/>
  <c r="E86" i="73" s="1"/>
  <c r="AK107" i="14"/>
  <c r="AK108" i="14" s="1"/>
  <c r="AK109" i="14" s="1"/>
  <c r="AK110" i="14" s="1"/>
  <c r="AK111" i="14" s="1"/>
  <c r="AK112" i="14" s="1"/>
  <c r="AK113" i="14" s="1"/>
  <c r="AK114" i="14" s="1"/>
  <c r="AK115" i="14" s="1"/>
  <c r="AK116" i="14" s="1"/>
  <c r="AK117" i="14" s="1"/>
  <c r="AK118" i="14" s="1"/>
  <c r="R124" i="73" s="1"/>
  <c r="D77" i="41"/>
  <c r="D77" i="73"/>
  <c r="D86" i="73" s="1"/>
  <c r="Q60" i="41"/>
  <c r="P119" i="41"/>
  <c r="P31" i="44" s="1"/>
  <c r="K95" i="14"/>
  <c r="K96" i="14" s="1"/>
  <c r="K97" i="14" s="1"/>
  <c r="K98" i="14" s="1"/>
  <c r="K99" i="14" s="1"/>
  <c r="K100" i="14" s="1"/>
  <c r="K101" i="14" s="1"/>
  <c r="K102" i="14" s="1"/>
  <c r="K103" i="14" s="1"/>
  <c r="K104" i="14" s="1"/>
  <c r="K105" i="14" s="1"/>
  <c r="K106" i="14" s="1"/>
  <c r="Q119" i="73" s="1"/>
  <c r="K72" i="14"/>
  <c r="DJ14" i="39"/>
  <c r="AP19" i="40" s="1"/>
  <c r="AQ19" i="40" s="1"/>
  <c r="AU19" i="40" s="1"/>
  <c r="DM14" i="39"/>
  <c r="AL14" i="39"/>
  <c r="AN14" i="39" s="1"/>
  <c r="AO14" i="39"/>
  <c r="DH16" i="39"/>
  <c r="DM16" i="39" s="1"/>
  <c r="D75" i="41"/>
  <c r="D75" i="73"/>
  <c r="R130" i="41"/>
  <c r="R78" i="44" s="1"/>
  <c r="BN15" i="27"/>
  <c r="BP15" i="27" s="1"/>
  <c r="BG15" i="27"/>
  <c r="BH15" i="27" s="1"/>
  <c r="W15" i="27"/>
  <c r="X15" i="27" s="1"/>
  <c r="E28" i="60"/>
  <c r="E10" i="60"/>
  <c r="E27" i="60"/>
  <c r="Q21" i="60"/>
  <c r="P28" i="60"/>
  <c r="P27" i="60"/>
  <c r="Q40" i="60"/>
  <c r="O23" i="60"/>
  <c r="O11" i="60"/>
  <c r="N23" i="60"/>
  <c r="D28" i="60"/>
  <c r="D27" i="60"/>
  <c r="F22" i="60"/>
  <c r="F21" i="60"/>
  <c r="R123" i="44"/>
  <c r="M136" i="44"/>
  <c r="P134" i="44"/>
  <c r="Q10" i="60"/>
  <c r="Z24" i="60"/>
  <c r="Q8" i="44"/>
  <c r="S8" i="44"/>
  <c r="Y12" i="60"/>
  <c r="Y11" i="60"/>
  <c r="P12" i="60"/>
  <c r="P11" i="60"/>
  <c r="I76" i="11"/>
  <c r="I77" i="11" s="1"/>
  <c r="G88" i="11" s="1"/>
  <c r="G96" i="11" s="1"/>
  <c r="J46" i="11"/>
  <c r="J48" i="11" s="1"/>
  <c r="J50" i="11" s="1"/>
  <c r="J74" i="11" s="1"/>
  <c r="J76" i="11" s="1"/>
  <c r="J77" i="11" s="1"/>
  <c r="H88" i="11" s="1"/>
  <c r="I68" i="11"/>
  <c r="I69" i="11" s="1"/>
  <c r="G86" i="11" s="1"/>
  <c r="G94" i="11" s="1"/>
  <c r="E11" i="12" s="1"/>
  <c r="E25" i="12" s="1"/>
  <c r="AT52" i="14"/>
  <c r="AU51" i="14"/>
  <c r="C107" i="14"/>
  <c r="AT119" i="14"/>
  <c r="AT120" i="14" s="1"/>
  <c r="AT121" i="14" s="1"/>
  <c r="AT122" i="14" s="1"/>
  <c r="AT123" i="14" s="1"/>
  <c r="AT124" i="14" s="1"/>
  <c r="AT125" i="14" s="1"/>
  <c r="AT126" i="14" s="1"/>
  <c r="AT127" i="14" s="1"/>
  <c r="AT128" i="14" s="1"/>
  <c r="AT129" i="14" s="1"/>
  <c r="AT130" i="14" s="1"/>
  <c r="AJ15" i="39"/>
  <c r="Q135" i="44"/>
  <c r="R22" i="60"/>
  <c r="M124" i="44"/>
  <c r="N11" i="60"/>
  <c r="P135" i="44"/>
  <c r="Q22" i="60"/>
  <c r="M125" i="44"/>
  <c r="N12" i="60"/>
  <c r="J24" i="11"/>
  <c r="J26" i="11" s="1"/>
  <c r="BM115" i="2"/>
  <c r="BM116" i="2"/>
  <c r="BM117" i="2"/>
  <c r="BM118" i="2"/>
  <c r="BM119" i="2"/>
  <c r="BM120" i="2"/>
  <c r="BM121" i="2"/>
  <c r="BM110" i="2"/>
  <c r="BM111" i="2"/>
  <c r="BM114" i="2"/>
  <c r="BM112" i="2"/>
  <c r="BM113" i="2"/>
  <c r="BG115" i="2"/>
  <c r="BG116" i="2"/>
  <c r="BG117" i="2"/>
  <c r="BG118" i="2"/>
  <c r="BG119" i="2"/>
  <c r="BG120" i="2"/>
  <c r="BG121" i="2"/>
  <c r="BG110" i="2"/>
  <c r="BG114" i="2"/>
  <c r="BG111" i="2"/>
  <c r="BG112" i="2"/>
  <c r="BG113" i="2"/>
  <c r="BG99" i="2"/>
  <c r="BG98" i="2"/>
  <c r="BG100" i="2"/>
  <c r="BG101" i="2"/>
  <c r="BG102" i="2"/>
  <c r="BG103" i="2"/>
  <c r="BG104" i="2"/>
  <c r="BG105" i="2"/>
  <c r="BG106" i="2"/>
  <c r="BG107" i="2"/>
  <c r="BG108" i="2"/>
  <c r="BG109" i="2"/>
  <c r="H121" i="2"/>
  <c r="H110" i="2"/>
  <c r="H111" i="2"/>
  <c r="H112" i="2"/>
  <c r="H113" i="2"/>
  <c r="H114" i="2"/>
  <c r="H115" i="2"/>
  <c r="H116" i="2"/>
  <c r="H117" i="2"/>
  <c r="H118" i="2"/>
  <c r="H119" i="2"/>
  <c r="H120" i="2"/>
  <c r="C21" i="14"/>
  <c r="DH15" i="39"/>
  <c r="T140" i="29"/>
  <c r="U110" i="25"/>
  <c r="U122" i="25" s="1"/>
  <c r="BH18" i="27" s="1"/>
  <c r="BE83" i="14"/>
  <c r="BE61" i="14"/>
  <c r="BE72" i="14"/>
  <c r="BE52" i="14"/>
  <c r="BB21" i="14"/>
  <c r="BE20" i="14"/>
  <c r="BK21" i="14"/>
  <c r="BK20" i="14"/>
  <c r="AD63" i="14"/>
  <c r="AD119" i="14"/>
  <c r="AD97" i="14"/>
  <c r="AD52" i="14"/>
  <c r="AD108" i="14"/>
  <c r="AD74" i="14"/>
  <c r="AD86" i="14"/>
  <c r="R50" i="14"/>
  <c r="Y106" i="11"/>
  <c r="S141" i="36" s="1"/>
  <c r="W89" i="11"/>
  <c r="Y105" i="17"/>
  <c r="Y89" i="17"/>
  <c r="D91" i="28"/>
  <c r="FO88" i="2"/>
  <c r="EU100" i="3" s="1"/>
  <c r="D94" i="28"/>
  <c r="D90" i="28"/>
  <c r="FO100" i="2"/>
  <c r="EU112" i="3" s="1"/>
  <c r="D106" i="28"/>
  <c r="FO102" i="2"/>
  <c r="EU114" i="3" s="1"/>
  <c r="D96" i="28"/>
  <c r="Y109" i="17"/>
  <c r="V108" i="29"/>
  <c r="V103" i="29"/>
  <c r="V109" i="29"/>
  <c r="V104" i="29"/>
  <c r="V105" i="29"/>
  <c r="V106" i="29"/>
  <c r="V99" i="29"/>
  <c r="V101" i="29"/>
  <c r="V102" i="29"/>
  <c r="V107" i="29"/>
  <c r="V100" i="29"/>
  <c r="V98" i="29"/>
  <c r="X98" i="28"/>
  <c r="X109" i="28"/>
  <c r="X101" i="28"/>
  <c r="X100" i="28"/>
  <c r="X102" i="28"/>
  <c r="X103" i="28"/>
  <c r="X104" i="28"/>
  <c r="X105" i="28"/>
  <c r="X99" i="28"/>
  <c r="X107" i="28"/>
  <c r="X108" i="28"/>
  <c r="X106" i="28"/>
  <c r="N136" i="44"/>
  <c r="BH17" i="27"/>
  <c r="CX13" i="39"/>
  <c r="CZ13" i="39" s="1"/>
  <c r="DB13" i="39" s="1"/>
  <c r="CN13" i="39"/>
  <c r="CP13" i="39" s="1"/>
  <c r="CR13" i="39" s="1"/>
  <c r="V107" i="35"/>
  <c r="V109" i="35"/>
  <c r="V104" i="35"/>
  <c r="V106" i="35"/>
  <c r="V105" i="35"/>
  <c r="V103" i="35"/>
  <c r="V99" i="35"/>
  <c r="V108" i="35"/>
  <c r="V101" i="35"/>
  <c r="V98" i="35"/>
  <c r="V102" i="35"/>
  <c r="V100" i="35"/>
  <c r="T104" i="30"/>
  <c r="T105" i="30"/>
  <c r="T100" i="30"/>
  <c r="T101" i="30"/>
  <c r="T103" i="30"/>
  <c r="T109" i="30"/>
  <c r="T98" i="30"/>
  <c r="T107" i="30"/>
  <c r="T106" i="30"/>
  <c r="T108" i="30"/>
  <c r="T102" i="30"/>
  <c r="T99" i="30"/>
  <c r="U113" i="29"/>
  <c r="U111" i="29"/>
  <c r="U118" i="29"/>
  <c r="U110" i="29"/>
  <c r="U114" i="29"/>
  <c r="U112" i="29"/>
  <c r="U121" i="29"/>
  <c r="U117" i="29"/>
  <c r="U116" i="29"/>
  <c r="U120" i="29"/>
  <c r="U119" i="29"/>
  <c r="U115" i="29"/>
  <c r="F13" i="39"/>
  <c r="H13" i="39" s="1"/>
  <c r="J13" i="39" s="1"/>
  <c r="D51" i="12"/>
  <c r="X17" i="27"/>
  <c r="V98" i="24"/>
  <c r="W98" i="24" s="1"/>
  <c r="AZ13" i="27"/>
  <c r="BA13" i="27" s="1"/>
  <c r="P13" i="27"/>
  <c r="J12" i="27"/>
  <c r="J13" i="27"/>
  <c r="D12" i="27"/>
  <c r="D13" i="27"/>
  <c r="Q122" i="26"/>
  <c r="BP18" i="27" s="1"/>
  <c r="T109" i="18"/>
  <c r="T108" i="18"/>
  <c r="T105" i="18"/>
  <c r="T106" i="18"/>
  <c r="T104" i="18"/>
  <c r="T103" i="18"/>
  <c r="T98" i="18"/>
  <c r="O13" i="27"/>
  <c r="T100" i="18"/>
  <c r="T101" i="18"/>
  <c r="T107" i="18"/>
  <c r="T102" i="18"/>
  <c r="T99" i="18"/>
  <c r="D107" i="28"/>
  <c r="D86" i="28"/>
  <c r="V108" i="19"/>
  <c r="W108" i="19" s="1"/>
  <c r="V105" i="19"/>
  <c r="W105" i="19" s="1"/>
  <c r="FO98" i="2"/>
  <c r="EU110" i="3" s="1"/>
  <c r="FO89" i="2"/>
  <c r="EU101" i="3" s="1"/>
  <c r="V88" i="19"/>
  <c r="W88" i="19" s="1"/>
  <c r="V96" i="19"/>
  <c r="W96" i="19" s="1"/>
  <c r="V97" i="19"/>
  <c r="W97" i="19" s="1"/>
  <c r="D89" i="28"/>
  <c r="D101" i="28"/>
  <c r="V86" i="19"/>
  <c r="W86" i="19" s="1"/>
  <c r="Y101" i="17"/>
  <c r="Y106" i="17"/>
  <c r="V100" i="19"/>
  <c r="W100" i="19" s="1"/>
  <c r="V104" i="19"/>
  <c r="W104" i="19" s="1"/>
  <c r="V98" i="19"/>
  <c r="W98" i="19" s="1"/>
  <c r="V87" i="19"/>
  <c r="W87" i="19" s="1"/>
  <c r="V92" i="19"/>
  <c r="W92" i="19" s="1"/>
  <c r="V95" i="19"/>
  <c r="W95" i="19" s="1"/>
  <c r="V90" i="19"/>
  <c r="W90" i="19" s="1"/>
  <c r="V103" i="19"/>
  <c r="W103" i="19" s="1"/>
  <c r="V106" i="19"/>
  <c r="W106" i="19" s="1"/>
  <c r="V99" i="19"/>
  <c r="W99" i="19" s="1"/>
  <c r="V93" i="19"/>
  <c r="W93" i="19" s="1"/>
  <c r="V89" i="19"/>
  <c r="W89" i="19" s="1"/>
  <c r="V101" i="19"/>
  <c r="W101" i="19" s="1"/>
  <c r="V109" i="19"/>
  <c r="W109" i="19" s="1"/>
  <c r="V102" i="19"/>
  <c r="W102" i="19" s="1"/>
  <c r="V107" i="19"/>
  <c r="W107" i="19" s="1"/>
  <c r="V94" i="19"/>
  <c r="W94" i="19" s="1"/>
  <c r="V91" i="19"/>
  <c r="W91" i="19" s="1"/>
  <c r="FO101" i="2"/>
  <c r="EU113" i="3" s="1"/>
  <c r="FO97" i="2"/>
  <c r="EU109" i="3" s="1"/>
  <c r="D100" i="28"/>
  <c r="D98" i="28"/>
  <c r="Y107" i="17"/>
  <c r="I12" i="27"/>
  <c r="D95" i="28"/>
  <c r="Y95" i="17"/>
  <c r="FO95" i="2"/>
  <c r="EU107" i="3" s="1"/>
  <c r="Y99" i="17"/>
  <c r="Y108" i="17"/>
  <c r="O113" i="2"/>
  <c r="T113" i="19"/>
  <c r="U113" i="19" s="1"/>
  <c r="O111" i="2"/>
  <c r="T111" i="19"/>
  <c r="U111" i="19" s="1"/>
  <c r="O118" i="2"/>
  <c r="T118" i="19"/>
  <c r="U118" i="19" s="1"/>
  <c r="O110" i="2"/>
  <c r="T110" i="19"/>
  <c r="U110" i="19" s="1"/>
  <c r="O114" i="2"/>
  <c r="T114" i="19"/>
  <c r="U114" i="19" s="1"/>
  <c r="O112" i="2"/>
  <c r="T112" i="19"/>
  <c r="U112" i="19" s="1"/>
  <c r="I13" i="27"/>
  <c r="O121" i="2"/>
  <c r="T121" i="19"/>
  <c r="U121" i="19" s="1"/>
  <c r="O117" i="2"/>
  <c r="T117" i="19"/>
  <c r="U117" i="19" s="1"/>
  <c r="O116" i="2"/>
  <c r="T116" i="19"/>
  <c r="U116" i="19" s="1"/>
  <c r="O120" i="2"/>
  <c r="T120" i="19"/>
  <c r="U120" i="19" s="1"/>
  <c r="O119" i="2"/>
  <c r="T119" i="19"/>
  <c r="U119" i="19" s="1"/>
  <c r="D109" i="28"/>
  <c r="O115" i="2"/>
  <c r="T115" i="19"/>
  <c r="U115" i="19" s="1"/>
  <c r="FO93" i="2"/>
  <c r="EU105" i="3" s="1"/>
  <c r="Y97" i="17"/>
  <c r="FO91" i="2"/>
  <c r="EU103" i="3" s="1"/>
  <c r="Y92" i="17"/>
  <c r="D102" i="28"/>
  <c r="Y102" i="17"/>
  <c r="FO86" i="2"/>
  <c r="EU98" i="3" s="1"/>
  <c r="Y86" i="17"/>
  <c r="E14" i="39"/>
  <c r="D103" i="28"/>
  <c r="D99" i="28"/>
  <c r="Y96" i="17"/>
  <c r="FO103" i="2"/>
  <c r="EU115" i="3" s="1"/>
  <c r="Y91" i="17"/>
  <c r="D88" i="28"/>
  <c r="FO99" i="2"/>
  <c r="EU111" i="3" s="1"/>
  <c r="FO90" i="2"/>
  <c r="EU102" i="3" s="1"/>
  <c r="Y87" i="17"/>
  <c r="Y90" i="17"/>
  <c r="D97" i="28"/>
  <c r="Y88" i="17"/>
  <c r="Y104" i="17"/>
  <c r="D87" i="28"/>
  <c r="FO94" i="2"/>
  <c r="EU106" i="3" s="1"/>
  <c r="C11" i="27"/>
  <c r="E13" i="39"/>
  <c r="D93" i="28"/>
  <c r="FO96" i="2"/>
  <c r="EU108" i="3" s="1"/>
  <c r="FO104" i="2"/>
  <c r="EU116" i="3" s="1"/>
  <c r="D104" i="28"/>
  <c r="Y103" i="17"/>
  <c r="FO106" i="2"/>
  <c r="EU118" i="3" s="1"/>
  <c r="Y94" i="17"/>
  <c r="FO87" i="2"/>
  <c r="EU99" i="3" s="1"/>
  <c r="D92" i="28"/>
  <c r="Y100" i="17"/>
  <c r="FO107" i="2"/>
  <c r="EU119" i="3" s="1"/>
  <c r="FO92" i="2"/>
  <c r="EU104" i="3" s="1"/>
  <c r="D108" i="28"/>
  <c r="D105" i="28"/>
  <c r="FO105" i="2"/>
  <c r="EU117" i="3" s="1"/>
  <c r="Y93" i="17"/>
  <c r="FO109" i="2"/>
  <c r="EU121" i="3" s="1"/>
  <c r="FO108" i="2"/>
  <c r="EU120" i="3" s="1"/>
  <c r="X105" i="11"/>
  <c r="U94" i="11"/>
  <c r="X69" i="11"/>
  <c r="Y67" i="11"/>
  <c r="Y24" i="11"/>
  <c r="Y26" i="11" s="1"/>
  <c r="Y28" i="11" s="1"/>
  <c r="Y66" i="11" s="1"/>
  <c r="Y68" i="11" s="1"/>
  <c r="AA20" i="11"/>
  <c r="AB21" i="11" s="1"/>
  <c r="Z21" i="11"/>
  <c r="Z25" i="11" s="1"/>
  <c r="F96" i="11"/>
  <c r="D13" i="12" s="1"/>
  <c r="D27" i="12" s="1"/>
  <c r="D25" i="12"/>
  <c r="Y98" i="17"/>
  <c r="H105" i="11"/>
  <c r="D86" i="41"/>
  <c r="L20" i="11"/>
  <c r="M21" i="11" s="1"/>
  <c r="K21" i="11"/>
  <c r="K25" i="11" s="1"/>
  <c r="AB53" i="11"/>
  <c r="AA79" i="11"/>
  <c r="Z80" i="11"/>
  <c r="Z81" i="11" s="1"/>
  <c r="AA54" i="11"/>
  <c r="AA57" i="11" s="1"/>
  <c r="AA59" i="11" s="1"/>
  <c r="AA61" i="11" s="1"/>
  <c r="AA78" i="11" s="1"/>
  <c r="K71" i="11"/>
  <c r="K73" i="11" s="1"/>
  <c r="I87" i="11" s="1"/>
  <c r="J72" i="11"/>
  <c r="I72" i="11"/>
  <c r="I73" i="11" s="1"/>
  <c r="G87" i="11" s="1"/>
  <c r="J71" i="11"/>
  <c r="N124" i="44"/>
  <c r="N125" i="44"/>
  <c r="BP17" i="27"/>
  <c r="AH57" i="5"/>
  <c r="AH30" i="5"/>
  <c r="DI21" i="39" s="1"/>
  <c r="AG30" i="5"/>
  <c r="CY21" i="39" s="1"/>
  <c r="AG57" i="5"/>
  <c r="AF29" i="5"/>
  <c r="CO20" i="39" s="1"/>
  <c r="AF56" i="5"/>
  <c r="AI29" i="5"/>
  <c r="DT20" i="39" s="1"/>
  <c r="AI56" i="5"/>
  <c r="C141" i="29"/>
  <c r="A142" i="29"/>
  <c r="B141" i="29"/>
  <c r="O74" i="44"/>
  <c r="P25" i="44"/>
  <c r="O21" i="44"/>
  <c r="O71" i="44"/>
  <c r="Q70" i="44"/>
  <c r="Q19" i="44"/>
  <c r="P26" i="44"/>
  <c r="O75" i="44"/>
  <c r="N20" i="11"/>
  <c r="N21" i="11" s="1"/>
  <c r="N25" i="11" s="1"/>
  <c r="G27" i="8"/>
  <c r="BS84" i="14"/>
  <c r="BS51" i="14"/>
  <c r="BS73" i="14"/>
  <c r="BS62" i="14"/>
  <c r="BO62" i="14"/>
  <c r="BO51" i="14"/>
  <c r="BO73" i="14"/>
  <c r="BC50" i="14"/>
  <c r="BO84" i="14"/>
  <c r="AY73" i="14"/>
  <c r="BC61" i="14"/>
  <c r="AY62" i="14"/>
  <c r="AY84" i="14"/>
  <c r="AY51" i="14"/>
  <c r="BC72" i="14"/>
  <c r="AU86" i="14"/>
  <c r="AU75" i="14"/>
  <c r="AU108" i="14"/>
  <c r="AU64" i="14"/>
  <c r="AU97" i="14"/>
  <c r="P55" i="8"/>
  <c r="Q55" i="8" s="1"/>
  <c r="AL96" i="14"/>
  <c r="H97" i="14"/>
  <c r="AH52" i="14"/>
  <c r="AL63" i="14"/>
  <c r="L51" i="14"/>
  <c r="L84" i="14"/>
  <c r="H75" i="14"/>
  <c r="AL74" i="14"/>
  <c r="E86" i="41"/>
  <c r="H108" i="14"/>
  <c r="H64" i="14"/>
  <c r="AH63" i="14"/>
  <c r="L62" i="14"/>
  <c r="AH85" i="14"/>
  <c r="H86" i="14"/>
  <c r="AH96" i="14"/>
  <c r="H53" i="14"/>
  <c r="AL52" i="14"/>
  <c r="L130" i="44"/>
  <c r="L132" i="44"/>
  <c r="O61" i="44"/>
  <c r="O62" i="44"/>
  <c r="R20" i="44"/>
  <c r="P10" i="44"/>
  <c r="AB75" i="14"/>
  <c r="P51" i="14"/>
  <c r="AB63" i="14"/>
  <c r="AB86" i="14"/>
  <c r="AB108" i="14"/>
  <c r="AB97" i="14"/>
  <c r="M71" i="11"/>
  <c r="L72" i="11"/>
  <c r="L73" i="11" s="1"/>
  <c r="J87" i="11" s="1"/>
  <c r="Z46" i="11"/>
  <c r="Z48" i="11" s="1"/>
  <c r="Z50" i="11" s="1"/>
  <c r="Z74" i="11" s="1"/>
  <c r="Z76" i="11" s="1"/>
  <c r="K46" i="11"/>
  <c r="K48" i="11" s="1"/>
  <c r="K50" i="11" s="1"/>
  <c r="K74" i="11" s="1"/>
  <c r="K76" i="11" s="1"/>
  <c r="BW22" i="39"/>
  <c r="AC21" i="11"/>
  <c r="AC25" i="11" s="1"/>
  <c r="R10" i="41"/>
  <c r="G49" i="41" s="1"/>
  <c r="W28" i="8"/>
  <c r="Y28" i="8" s="1"/>
  <c r="AG25" i="40"/>
  <c r="AH25" i="40" s="1"/>
  <c r="Q60" i="73" s="1"/>
  <c r="M35" i="11"/>
  <c r="M37" i="11" s="1"/>
  <c r="M39" i="11" s="1"/>
  <c r="M70" i="11" s="1"/>
  <c r="AD20" i="11"/>
  <c r="L43" i="11"/>
  <c r="L47" i="11" s="1"/>
  <c r="U28" i="8"/>
  <c r="V28" i="8" s="1"/>
  <c r="AP28" i="8" s="1"/>
  <c r="AG21" i="14"/>
  <c r="BO21" i="39"/>
  <c r="BQ21" i="39" s="1"/>
  <c r="Z25" i="40"/>
  <c r="AA25" i="40" s="1"/>
  <c r="Q59" i="73" s="1"/>
  <c r="W27" i="8"/>
  <c r="R9" i="41"/>
  <c r="G48" i="41" s="1"/>
  <c r="AX20" i="14"/>
  <c r="AB42" i="11"/>
  <c r="K20" i="14"/>
  <c r="M42" i="11"/>
  <c r="EC22" i="39"/>
  <c r="Z75" i="11"/>
  <c r="Y76" i="11"/>
  <c r="Y77" i="11" s="1"/>
  <c r="W88" i="11" s="1"/>
  <c r="R56" i="8"/>
  <c r="T56" i="8" s="1"/>
  <c r="BM24" i="40"/>
  <c r="Q21" i="41"/>
  <c r="O49" i="41" s="1"/>
  <c r="EJ22" i="39"/>
  <c r="AA43" i="11"/>
  <c r="AA47" i="11" s="1"/>
  <c r="BR20" i="14"/>
  <c r="EI20" i="39"/>
  <c r="EK20" i="39" s="1"/>
  <c r="Q27" i="8"/>
  <c r="AO27" i="8" s="1"/>
  <c r="P9" i="44"/>
  <c r="T27" i="8"/>
  <c r="N32" i="11"/>
  <c r="N36" i="11" s="1"/>
  <c r="R55" i="8"/>
  <c r="T55" i="8" s="1"/>
  <c r="Q20" i="41"/>
  <c r="O48" i="41" s="1"/>
  <c r="BF24" i="40"/>
  <c r="BG24" i="40" s="1"/>
  <c r="P67" i="73" s="1"/>
  <c r="U27" i="8"/>
  <c r="O31" i="11"/>
  <c r="BN20" i="14"/>
  <c r="EB20" i="39"/>
  <c r="ED20" i="39" s="1"/>
  <c r="AK21" i="14"/>
  <c r="BV21" i="39"/>
  <c r="BX21" i="39" s="1"/>
  <c r="AN55" i="8"/>
  <c r="M76" i="73" s="1"/>
  <c r="M85" i="73" s="1"/>
  <c r="L76" i="41"/>
  <c r="BH26" i="40"/>
  <c r="S25" i="40"/>
  <c r="Z26" i="8" s="1"/>
  <c r="AA26" i="8" s="1"/>
  <c r="AQ26" i="8" s="1"/>
  <c r="T26" i="40"/>
  <c r="K19" i="40" l="1"/>
  <c r="O19" i="40" s="1"/>
  <c r="F75" i="73"/>
  <c r="D10" i="60"/>
  <c r="P10" i="60"/>
  <c r="S123" i="44"/>
  <c r="Q11" i="60"/>
  <c r="R10" i="60"/>
  <c r="AC34" i="60"/>
  <c r="Q12" i="60"/>
  <c r="I6" i="73"/>
  <c r="K6" i="73"/>
  <c r="S130" i="73"/>
  <c r="J3" i="73"/>
  <c r="R93" i="73"/>
  <c r="J16" i="73"/>
  <c r="J17" i="73"/>
  <c r="E75" i="41"/>
  <c r="R10" i="73"/>
  <c r="H49" i="73" s="1"/>
  <c r="S100" i="73"/>
  <c r="S100" i="41"/>
  <c r="Q20" i="73"/>
  <c r="P48" i="73" s="1"/>
  <c r="R110" i="41"/>
  <c r="R110" i="73"/>
  <c r="Q21" i="73"/>
  <c r="P49" i="73" s="1"/>
  <c r="R111" i="73"/>
  <c r="R111" i="41"/>
  <c r="R95" i="73"/>
  <c r="R95" i="41"/>
  <c r="R107" i="73"/>
  <c r="R107" i="41"/>
  <c r="R9" i="73"/>
  <c r="H48" i="73" s="1"/>
  <c r="S99" i="73"/>
  <c r="S99" i="41"/>
  <c r="R109" i="73"/>
  <c r="R109" i="41"/>
  <c r="S109" i="73"/>
  <c r="S109" i="41"/>
  <c r="R108" i="73"/>
  <c r="R108" i="41"/>
  <c r="S93" i="41"/>
  <c r="S19" i="44" s="1"/>
  <c r="S93" i="73"/>
  <c r="S35" i="60"/>
  <c r="O123" i="44"/>
  <c r="T141" i="29"/>
  <c r="Q134" i="41"/>
  <c r="Q82" i="44" s="1"/>
  <c r="AB40" i="60" s="1"/>
  <c r="BR107" i="14"/>
  <c r="BR108" i="14" s="1"/>
  <c r="BR109" i="14" s="1"/>
  <c r="BR110" i="14" s="1"/>
  <c r="BR111" i="14" s="1"/>
  <c r="BR112" i="14" s="1"/>
  <c r="BR113" i="14" s="1"/>
  <c r="BR114" i="14" s="1"/>
  <c r="BR115" i="14" s="1"/>
  <c r="BR116" i="14" s="1"/>
  <c r="BR117" i="14" s="1"/>
  <c r="BR118" i="14" s="1"/>
  <c r="R135" i="73" s="1"/>
  <c r="BN107" i="14"/>
  <c r="BN108" i="14" s="1"/>
  <c r="BN109" i="14" s="1"/>
  <c r="BN110" i="14" s="1"/>
  <c r="BN111" i="14" s="1"/>
  <c r="BN112" i="14" s="1"/>
  <c r="BN113" i="14" s="1"/>
  <c r="BN114" i="14" s="1"/>
  <c r="BN115" i="14" s="1"/>
  <c r="BN116" i="14" s="1"/>
  <c r="BN117" i="14" s="1"/>
  <c r="BN118" i="14" s="1"/>
  <c r="R134" i="73" s="1"/>
  <c r="Q135" i="41"/>
  <c r="Q83" i="44" s="1"/>
  <c r="AB41" i="60" s="1"/>
  <c r="P151" i="44"/>
  <c r="G40" i="60" s="1"/>
  <c r="P147" i="44"/>
  <c r="G36" i="60" s="1"/>
  <c r="Q131" i="41"/>
  <c r="Q79" i="44" s="1"/>
  <c r="AB36" i="60" s="1"/>
  <c r="AX107" i="14"/>
  <c r="AX108" i="14" s="1"/>
  <c r="AX109" i="14" s="1"/>
  <c r="AX110" i="14" s="1"/>
  <c r="AX111" i="14" s="1"/>
  <c r="AX112" i="14" s="1"/>
  <c r="AX113" i="14" s="1"/>
  <c r="AX114" i="14" s="1"/>
  <c r="AX115" i="14" s="1"/>
  <c r="AX116" i="14" s="1"/>
  <c r="AX117" i="14" s="1"/>
  <c r="AX118" i="14" s="1"/>
  <c r="R131" i="73" s="1"/>
  <c r="Q67" i="41"/>
  <c r="E75" i="73"/>
  <c r="R123" i="41"/>
  <c r="R35" i="44" s="1"/>
  <c r="S40" i="60" s="1"/>
  <c r="V56" i="14"/>
  <c r="U57" i="14"/>
  <c r="AG119" i="14"/>
  <c r="AG120" i="14" s="1"/>
  <c r="AG121" i="14" s="1"/>
  <c r="AG122" i="14" s="1"/>
  <c r="AG123" i="14" s="1"/>
  <c r="AG124" i="14" s="1"/>
  <c r="AG125" i="14" s="1"/>
  <c r="AG126" i="14" s="1"/>
  <c r="AG127" i="14" s="1"/>
  <c r="AG128" i="14" s="1"/>
  <c r="AG129" i="14" s="1"/>
  <c r="AG130" i="14" s="1"/>
  <c r="S123" i="73" s="1"/>
  <c r="AG74" i="14"/>
  <c r="AH73" i="14"/>
  <c r="E76" i="41"/>
  <c r="E85" i="41" s="1"/>
  <c r="O16" i="44" s="1"/>
  <c r="E76" i="73"/>
  <c r="E85" i="73" s="1"/>
  <c r="R59" i="41"/>
  <c r="S118" i="41"/>
  <c r="S30" i="44" s="1"/>
  <c r="S146" i="44" s="1"/>
  <c r="J35" i="60" s="1"/>
  <c r="W110" i="28"/>
  <c r="X110" i="28" s="1"/>
  <c r="R60" i="41"/>
  <c r="AK119" i="14"/>
  <c r="AK120" i="14" s="1"/>
  <c r="AK121" i="14" s="1"/>
  <c r="AK122" i="14" s="1"/>
  <c r="AK123" i="14" s="1"/>
  <c r="AK124" i="14" s="1"/>
  <c r="AK125" i="14" s="1"/>
  <c r="AK126" i="14" s="1"/>
  <c r="AK127" i="14" s="1"/>
  <c r="AK128" i="14" s="1"/>
  <c r="AK129" i="14" s="1"/>
  <c r="AK130" i="14" s="1"/>
  <c r="S124" i="73" s="1"/>
  <c r="R124" i="41"/>
  <c r="R36" i="44" s="1"/>
  <c r="S41" i="60" s="1"/>
  <c r="F77" i="41"/>
  <c r="F77" i="73"/>
  <c r="F86" i="73" s="1"/>
  <c r="AK85" i="14"/>
  <c r="AL84" i="14"/>
  <c r="K73" i="14"/>
  <c r="L72" i="14"/>
  <c r="Q119" i="41"/>
  <c r="Q31" i="44" s="1"/>
  <c r="K107" i="14"/>
  <c r="K108" i="14" s="1"/>
  <c r="K109" i="14" s="1"/>
  <c r="K110" i="14" s="1"/>
  <c r="K111" i="14" s="1"/>
  <c r="K112" i="14" s="1"/>
  <c r="K113" i="14" s="1"/>
  <c r="K114" i="14" s="1"/>
  <c r="K115" i="14" s="1"/>
  <c r="K116" i="14" s="1"/>
  <c r="K117" i="14" s="1"/>
  <c r="K118" i="14" s="1"/>
  <c r="R119" i="73" s="1"/>
  <c r="DJ16" i="39"/>
  <c r="DL16" i="39" s="1"/>
  <c r="C19" i="40"/>
  <c r="D19" i="40" s="1"/>
  <c r="G19" i="40" s="1"/>
  <c r="DL14" i="39"/>
  <c r="DJ15" i="39"/>
  <c r="AP20" i="40" s="1"/>
  <c r="AQ20" i="40" s="1"/>
  <c r="DM15" i="39"/>
  <c r="AL15" i="39"/>
  <c r="AN15" i="39" s="1"/>
  <c r="AO15" i="39"/>
  <c r="G75" i="41"/>
  <c r="G75" i="73"/>
  <c r="S130" i="41"/>
  <c r="S78" i="44" s="1"/>
  <c r="BE21" i="14"/>
  <c r="BB119" i="14"/>
  <c r="BB120" i="14" s="1"/>
  <c r="BB121" i="14" s="1"/>
  <c r="BB122" i="14" s="1"/>
  <c r="BB123" i="14" s="1"/>
  <c r="BB124" i="14" s="1"/>
  <c r="BB125" i="14" s="1"/>
  <c r="BB126" i="14" s="1"/>
  <c r="BB127" i="14" s="1"/>
  <c r="BB128" i="14" s="1"/>
  <c r="BB129" i="14" s="1"/>
  <c r="BB130" i="14" s="1"/>
  <c r="J28" i="11"/>
  <c r="J66" i="11" s="1"/>
  <c r="I15" i="27"/>
  <c r="E11" i="27"/>
  <c r="E23" i="60"/>
  <c r="G22" i="60"/>
  <c r="I10" i="60"/>
  <c r="Q27" i="60"/>
  <c r="Q28" i="60"/>
  <c r="R21" i="60"/>
  <c r="P23" i="60"/>
  <c r="R40" i="60"/>
  <c r="R41" i="60"/>
  <c r="Q36" i="60"/>
  <c r="O18" i="60"/>
  <c r="D23" i="60"/>
  <c r="D11" i="60"/>
  <c r="D12" i="60"/>
  <c r="G21" i="60"/>
  <c r="Q123" i="44"/>
  <c r="T10" i="60"/>
  <c r="Z28" i="60"/>
  <c r="AB21" i="60"/>
  <c r="Z23" i="60"/>
  <c r="Z27" i="60"/>
  <c r="N17" i="44"/>
  <c r="K75" i="11"/>
  <c r="K77" i="11" s="1"/>
  <c r="I88" i="11" s="1"/>
  <c r="I105" i="11"/>
  <c r="S132" i="30" s="1"/>
  <c r="Z12" i="60"/>
  <c r="Z11" i="60"/>
  <c r="G90" i="11"/>
  <c r="M178" i="44"/>
  <c r="M198" i="44" s="1"/>
  <c r="O20" i="11"/>
  <c r="O21" i="11" s="1"/>
  <c r="I103" i="11"/>
  <c r="W124" i="28" s="1"/>
  <c r="AT53" i="14"/>
  <c r="AU52" i="14"/>
  <c r="C119" i="14"/>
  <c r="M179" i="44"/>
  <c r="H22" i="60"/>
  <c r="R135" i="44"/>
  <c r="S22" i="60"/>
  <c r="N178" i="44"/>
  <c r="E11" i="60"/>
  <c r="N179" i="44"/>
  <c r="E12" i="60"/>
  <c r="L186" i="44"/>
  <c r="L206" i="44" s="1"/>
  <c r="C19" i="60"/>
  <c r="L184" i="44"/>
  <c r="L204" i="44" s="1"/>
  <c r="C17" i="60"/>
  <c r="T115" i="2"/>
  <c r="T116" i="2"/>
  <c r="T117" i="2"/>
  <c r="T118" i="2"/>
  <c r="T119" i="2"/>
  <c r="T120" i="2"/>
  <c r="T121" i="2"/>
  <c r="T113" i="2"/>
  <c r="T114" i="2"/>
  <c r="T110" i="2"/>
  <c r="T111" i="2"/>
  <c r="T112" i="2"/>
  <c r="T141" i="36"/>
  <c r="U106" i="18"/>
  <c r="U105" i="18"/>
  <c r="U108" i="18"/>
  <c r="U109" i="18"/>
  <c r="U99" i="18"/>
  <c r="U102" i="18"/>
  <c r="U107" i="18"/>
  <c r="U101" i="18"/>
  <c r="U100" i="18"/>
  <c r="U98" i="18"/>
  <c r="U103" i="18"/>
  <c r="U104" i="18"/>
  <c r="BE95" i="14"/>
  <c r="BE53" i="14"/>
  <c r="BE73" i="14"/>
  <c r="BE62" i="14"/>
  <c r="BE84" i="14"/>
  <c r="S138" i="36"/>
  <c r="S134" i="36"/>
  <c r="S144" i="36"/>
  <c r="AD75" i="14"/>
  <c r="AD109" i="14"/>
  <c r="AD53" i="14"/>
  <c r="AD98" i="14"/>
  <c r="AD120" i="14"/>
  <c r="AD64" i="14"/>
  <c r="AD87" i="14"/>
  <c r="S137" i="36"/>
  <c r="S136" i="36"/>
  <c r="S135" i="36"/>
  <c r="S145" i="36"/>
  <c r="S143" i="36"/>
  <c r="S142" i="36"/>
  <c r="S140" i="36"/>
  <c r="S139" i="36"/>
  <c r="R51" i="14"/>
  <c r="W97" i="11"/>
  <c r="F42" i="12" s="1"/>
  <c r="Z106" i="11"/>
  <c r="S151" i="36" s="1"/>
  <c r="X89" i="11"/>
  <c r="X97" i="11" s="1"/>
  <c r="G42" i="12" s="1"/>
  <c r="G95" i="11"/>
  <c r="E12" i="12" s="1"/>
  <c r="E26" i="12" s="1"/>
  <c r="I110" i="2"/>
  <c r="V110" i="17"/>
  <c r="W110" i="17" s="1"/>
  <c r="X110" i="17" s="1"/>
  <c r="Y110" i="17" s="1"/>
  <c r="W117" i="28"/>
  <c r="X117" i="28" s="1"/>
  <c r="V119" i="17"/>
  <c r="W119" i="17" s="1"/>
  <c r="X119" i="17" s="1"/>
  <c r="Y119" i="17" s="1"/>
  <c r="I116" i="2"/>
  <c r="I115" i="2"/>
  <c r="V112" i="17"/>
  <c r="W112" i="17" s="1"/>
  <c r="X112" i="17" s="1"/>
  <c r="Y112" i="17" s="1"/>
  <c r="I114" i="2"/>
  <c r="V118" i="17"/>
  <c r="W118" i="17" s="1"/>
  <c r="X118" i="17" s="1"/>
  <c r="Y118" i="17" s="1"/>
  <c r="V113" i="17"/>
  <c r="W113" i="17" s="1"/>
  <c r="X113" i="17" s="1"/>
  <c r="I120" i="2"/>
  <c r="K20" i="40"/>
  <c r="L21" i="40"/>
  <c r="I117" i="2"/>
  <c r="F14" i="39"/>
  <c r="V118" i="29"/>
  <c r="V111" i="29"/>
  <c r="V113" i="29"/>
  <c r="V115" i="29"/>
  <c r="V119" i="29"/>
  <c r="V120" i="29"/>
  <c r="V116" i="29"/>
  <c r="V117" i="29"/>
  <c r="V121" i="29"/>
  <c r="V112" i="29"/>
  <c r="V114" i="29"/>
  <c r="V110" i="29"/>
  <c r="CX14" i="39"/>
  <c r="CZ14" i="39" s="1"/>
  <c r="Z14" i="39"/>
  <c r="AB14" i="39" s="1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I113" i="2"/>
  <c r="U110" i="35"/>
  <c r="U121" i="35"/>
  <c r="U119" i="35"/>
  <c r="U111" i="35"/>
  <c r="U118" i="35"/>
  <c r="U117" i="35"/>
  <c r="U116" i="35"/>
  <c r="U120" i="35"/>
  <c r="U115" i="35"/>
  <c r="U114" i="35"/>
  <c r="U113" i="35"/>
  <c r="U112" i="35"/>
  <c r="W101" i="34"/>
  <c r="W117" i="34"/>
  <c r="W106" i="34"/>
  <c r="W120" i="34"/>
  <c r="W98" i="34"/>
  <c r="W119" i="34"/>
  <c r="W107" i="34"/>
  <c r="W111" i="34"/>
  <c r="W104" i="34"/>
  <c r="W121" i="34"/>
  <c r="W102" i="34"/>
  <c r="W116" i="34"/>
  <c r="W109" i="34"/>
  <c r="W115" i="34"/>
  <c r="W105" i="34"/>
  <c r="W108" i="34"/>
  <c r="W100" i="34"/>
  <c r="W99" i="34"/>
  <c r="W114" i="34"/>
  <c r="W112" i="34"/>
  <c r="W118" i="34"/>
  <c r="W113" i="34"/>
  <c r="W103" i="34"/>
  <c r="W110" i="34"/>
  <c r="I118" i="2"/>
  <c r="V120" i="17"/>
  <c r="W120" i="17" s="1"/>
  <c r="X120" i="17" s="1"/>
  <c r="V116" i="17"/>
  <c r="W114" i="28"/>
  <c r="W111" i="28"/>
  <c r="W118" i="28"/>
  <c r="W119" i="28"/>
  <c r="W116" i="28"/>
  <c r="W113" i="28"/>
  <c r="W115" i="28"/>
  <c r="W120" i="28"/>
  <c r="W112" i="28"/>
  <c r="W121" i="28"/>
  <c r="V115" i="17"/>
  <c r="I119" i="2"/>
  <c r="V114" i="17"/>
  <c r="I112" i="2"/>
  <c r="V121" i="17"/>
  <c r="W121" i="17" s="1"/>
  <c r="X121" i="17" s="1"/>
  <c r="Y121" i="17" s="1"/>
  <c r="I121" i="2"/>
  <c r="V111" i="17"/>
  <c r="W111" i="17" s="1"/>
  <c r="X111" i="17" s="1"/>
  <c r="I111" i="2"/>
  <c r="V117" i="17"/>
  <c r="W117" i="17" s="1"/>
  <c r="X117" i="17" s="1"/>
  <c r="Y117" i="17" s="1"/>
  <c r="K12" i="27"/>
  <c r="Q13" i="27"/>
  <c r="K13" i="27"/>
  <c r="J14" i="27"/>
  <c r="J15" i="27" s="1"/>
  <c r="F98" i="11"/>
  <c r="BN114" i="2"/>
  <c r="T114" i="24"/>
  <c r="U114" i="24" s="1"/>
  <c r="V114" i="24" s="1"/>
  <c r="W114" i="24" s="1"/>
  <c r="BN113" i="2"/>
  <c r="T113" i="24"/>
  <c r="U113" i="24" s="1"/>
  <c r="V113" i="24" s="1"/>
  <c r="W113" i="24" s="1"/>
  <c r="BN112" i="2"/>
  <c r="T112" i="24"/>
  <c r="U112" i="24" s="1"/>
  <c r="V112" i="24" s="1"/>
  <c r="W112" i="24" s="1"/>
  <c r="BN110" i="2"/>
  <c r="T110" i="24"/>
  <c r="U110" i="24" s="1"/>
  <c r="BN121" i="2"/>
  <c r="T121" i="24"/>
  <c r="U121" i="24" s="1"/>
  <c r="V121" i="24" s="1"/>
  <c r="W121" i="24" s="1"/>
  <c r="BN119" i="2"/>
  <c r="T119" i="24"/>
  <c r="U119" i="24" s="1"/>
  <c r="V119" i="24" s="1"/>
  <c r="W119" i="24" s="1"/>
  <c r="BN111" i="2"/>
  <c r="T111" i="24"/>
  <c r="U111" i="24" s="1"/>
  <c r="V111" i="24" s="1"/>
  <c r="W111" i="24" s="1"/>
  <c r="BN118" i="2"/>
  <c r="T118" i="24"/>
  <c r="U118" i="24" s="1"/>
  <c r="V118" i="24" s="1"/>
  <c r="W118" i="24" s="1"/>
  <c r="BN117" i="2"/>
  <c r="T117" i="24"/>
  <c r="U117" i="24" s="1"/>
  <c r="V117" i="24" s="1"/>
  <c r="W117" i="24" s="1"/>
  <c r="BN116" i="2"/>
  <c r="T116" i="24"/>
  <c r="U116" i="24" s="1"/>
  <c r="V116" i="24" s="1"/>
  <c r="W116" i="24" s="1"/>
  <c r="BN120" i="2"/>
  <c r="T120" i="24"/>
  <c r="U120" i="24" s="1"/>
  <c r="V120" i="24" s="1"/>
  <c r="W120" i="24" s="1"/>
  <c r="BN115" i="2"/>
  <c r="T115" i="24"/>
  <c r="U115" i="24" s="1"/>
  <c r="V115" i="24" s="1"/>
  <c r="W115" i="24" s="1"/>
  <c r="BH105" i="2"/>
  <c r="V105" i="23"/>
  <c r="W105" i="23" s="1"/>
  <c r="BH108" i="2"/>
  <c r="V108" i="23"/>
  <c r="W108" i="23" s="1"/>
  <c r="BH100" i="2"/>
  <c r="V100" i="23"/>
  <c r="W100" i="23" s="1"/>
  <c r="BH99" i="2"/>
  <c r="V99" i="23"/>
  <c r="W99" i="23" s="1"/>
  <c r="BH114" i="2"/>
  <c r="V114" i="23"/>
  <c r="W114" i="23" s="1"/>
  <c r="BH112" i="2"/>
  <c r="V112" i="23"/>
  <c r="W112" i="23" s="1"/>
  <c r="BH118" i="2"/>
  <c r="V118" i="23"/>
  <c r="W118" i="23" s="1"/>
  <c r="BH113" i="2"/>
  <c r="V113" i="23"/>
  <c r="W113" i="23" s="1"/>
  <c r="BH103" i="2"/>
  <c r="V103" i="23"/>
  <c r="W103" i="23" s="1"/>
  <c r="BH110" i="2"/>
  <c r="V110" i="23"/>
  <c r="W110" i="23" s="1"/>
  <c r="BH101" i="2"/>
  <c r="V101" i="23"/>
  <c r="W101" i="23" s="1"/>
  <c r="BH117" i="2"/>
  <c r="V117" i="23"/>
  <c r="W117" i="23" s="1"/>
  <c r="BH106" i="2"/>
  <c r="V106" i="23"/>
  <c r="W106" i="23" s="1"/>
  <c r="BH120" i="2"/>
  <c r="V120" i="23"/>
  <c r="W120" i="23" s="1"/>
  <c r="BH98" i="2"/>
  <c r="V98" i="23"/>
  <c r="W98" i="23" s="1"/>
  <c r="BH119" i="2"/>
  <c r="V119" i="23"/>
  <c r="W119" i="23" s="1"/>
  <c r="BH107" i="2"/>
  <c r="V107" i="23"/>
  <c r="W107" i="23" s="1"/>
  <c r="BH111" i="2"/>
  <c r="V111" i="23"/>
  <c r="W111" i="23" s="1"/>
  <c r="BH104" i="2"/>
  <c r="V104" i="23"/>
  <c r="W104" i="23" s="1"/>
  <c r="BH121" i="2"/>
  <c r="V121" i="23"/>
  <c r="W121" i="23" s="1"/>
  <c r="BH102" i="2"/>
  <c r="V102" i="23"/>
  <c r="W102" i="23" s="1"/>
  <c r="BH116" i="2"/>
  <c r="V116" i="23"/>
  <c r="W116" i="23" s="1"/>
  <c r="BH109" i="2"/>
  <c r="V109" i="23"/>
  <c r="W109" i="23" s="1"/>
  <c r="BH115" i="2"/>
  <c r="V115" i="23"/>
  <c r="W115" i="23" s="1"/>
  <c r="V121" i="19"/>
  <c r="W121" i="19" s="1"/>
  <c r="V117" i="19"/>
  <c r="W117" i="19" s="1"/>
  <c r="V113" i="19"/>
  <c r="W113" i="19" s="1"/>
  <c r="V115" i="19"/>
  <c r="W115" i="19" s="1"/>
  <c r="V119" i="19"/>
  <c r="W119" i="19" s="1"/>
  <c r="V110" i="19"/>
  <c r="W110" i="19" s="1"/>
  <c r="V120" i="19"/>
  <c r="W120" i="19" s="1"/>
  <c r="V111" i="19"/>
  <c r="W111" i="19" s="1"/>
  <c r="V116" i="19"/>
  <c r="W116" i="19" s="1"/>
  <c r="V112" i="19"/>
  <c r="W112" i="19" s="1"/>
  <c r="V114" i="19"/>
  <c r="W114" i="19" s="1"/>
  <c r="V118" i="19"/>
  <c r="W118" i="19" s="1"/>
  <c r="C13" i="27"/>
  <c r="E13" i="27" s="1"/>
  <c r="C12" i="27"/>
  <c r="E12" i="27" s="1"/>
  <c r="X103" i="11"/>
  <c r="Y105" i="11"/>
  <c r="V86" i="11"/>
  <c r="V90" i="11" s="1"/>
  <c r="D40" i="12"/>
  <c r="U98" i="11"/>
  <c r="D52" i="12" s="1"/>
  <c r="Y69" i="11"/>
  <c r="Z67" i="11"/>
  <c r="AB25" i="11"/>
  <c r="AB24" i="11"/>
  <c r="Z24" i="11"/>
  <c r="Z26" i="11" s="1"/>
  <c r="Z28" i="11" s="1"/>
  <c r="Z66" i="11" s="1"/>
  <c r="AA21" i="11"/>
  <c r="AA25" i="11" s="1"/>
  <c r="I104" i="11"/>
  <c r="J105" i="11"/>
  <c r="K24" i="11"/>
  <c r="K26" i="11" s="1"/>
  <c r="K28" i="11" s="1"/>
  <c r="K66" i="11" s="1"/>
  <c r="K68" i="11" s="1"/>
  <c r="M25" i="11"/>
  <c r="M24" i="11"/>
  <c r="L21" i="11"/>
  <c r="L25" i="11" s="1"/>
  <c r="AB79" i="11"/>
  <c r="AA80" i="11"/>
  <c r="AA81" i="11" s="1"/>
  <c r="AB54" i="11"/>
  <c r="AB57" i="11" s="1"/>
  <c r="AB59" i="11" s="1"/>
  <c r="AB61" i="11" s="1"/>
  <c r="AB78" i="11" s="1"/>
  <c r="AC53" i="11"/>
  <c r="J73" i="11"/>
  <c r="H87" i="11" s="1"/>
  <c r="H95" i="11" s="1"/>
  <c r="F12" i="12" s="1"/>
  <c r="F26" i="12" s="1"/>
  <c r="O141" i="44"/>
  <c r="O125" i="44"/>
  <c r="O124" i="44"/>
  <c r="O140" i="44"/>
  <c r="AG31" i="5"/>
  <c r="CY22" i="39" s="1"/>
  <c r="AG58" i="5"/>
  <c r="AH58" i="5"/>
  <c r="AH31" i="5"/>
  <c r="DI22" i="39" s="1"/>
  <c r="AI30" i="5"/>
  <c r="DT21" i="39" s="1"/>
  <c r="AI57" i="5"/>
  <c r="C142" i="29"/>
  <c r="A143" i="29"/>
  <c r="B142" i="29"/>
  <c r="AF30" i="5"/>
  <c r="CO21" i="39" s="1"/>
  <c r="AF57" i="5"/>
  <c r="Q134" i="44"/>
  <c r="O136" i="44"/>
  <c r="O17" i="44"/>
  <c r="P71" i="44"/>
  <c r="R19" i="44"/>
  <c r="P74" i="44"/>
  <c r="P72" i="44"/>
  <c r="Q25" i="44"/>
  <c r="R70" i="44"/>
  <c r="P21" i="44"/>
  <c r="M17" i="44"/>
  <c r="P75" i="44"/>
  <c r="Q26" i="44"/>
  <c r="AM27" i="8"/>
  <c r="C76" i="73" s="1"/>
  <c r="C85" i="73" s="1"/>
  <c r="BS63" i="14"/>
  <c r="BS52" i="14"/>
  <c r="BS96" i="14"/>
  <c r="BS85" i="14"/>
  <c r="BS74" i="14"/>
  <c r="AY74" i="14"/>
  <c r="BC84" i="14"/>
  <c r="BO85" i="14"/>
  <c r="BO74" i="14"/>
  <c r="AY63" i="14"/>
  <c r="BO52" i="14"/>
  <c r="AY85" i="14"/>
  <c r="BC62" i="14"/>
  <c r="BC73" i="14"/>
  <c r="BO63" i="14"/>
  <c r="AY96" i="14"/>
  <c r="BO96" i="14"/>
  <c r="BC96" i="14"/>
  <c r="AY52" i="14"/>
  <c r="BC51" i="14"/>
  <c r="AU120" i="14"/>
  <c r="AU109" i="14"/>
  <c r="AU76" i="14"/>
  <c r="AU98" i="14"/>
  <c r="AU65" i="14"/>
  <c r="AU87" i="14"/>
  <c r="U55" i="8"/>
  <c r="V55" i="8" s="1"/>
  <c r="H109" i="14"/>
  <c r="AL108" i="14"/>
  <c r="H87" i="14"/>
  <c r="AH64" i="14"/>
  <c r="AL75" i="14"/>
  <c r="H120" i="14"/>
  <c r="L63" i="14"/>
  <c r="H76" i="14"/>
  <c r="AH86" i="14"/>
  <c r="AL64" i="14"/>
  <c r="H54" i="14"/>
  <c r="L85" i="14"/>
  <c r="AH108" i="14"/>
  <c r="AL97" i="14"/>
  <c r="H65" i="14"/>
  <c r="AH53" i="14"/>
  <c r="L52" i="14"/>
  <c r="AL53" i="14"/>
  <c r="L96" i="14"/>
  <c r="AH97" i="14"/>
  <c r="H98" i="14"/>
  <c r="P61" i="44"/>
  <c r="L120" i="44"/>
  <c r="P62" i="44"/>
  <c r="Q74" i="44"/>
  <c r="Q75" i="44"/>
  <c r="Q72" i="44"/>
  <c r="R25" i="44"/>
  <c r="R26" i="44"/>
  <c r="Q10" i="44"/>
  <c r="S20" i="44"/>
  <c r="AB64" i="14"/>
  <c r="AB98" i="14"/>
  <c r="P52" i="14"/>
  <c r="AB87" i="14"/>
  <c r="AB120" i="14"/>
  <c r="AB76" i="14"/>
  <c r="AB109" i="14"/>
  <c r="AA75" i="11"/>
  <c r="L75" i="11"/>
  <c r="AA46" i="11"/>
  <c r="AA48" i="11" s="1"/>
  <c r="AA50" i="11" s="1"/>
  <c r="AA74" i="11" s="1"/>
  <c r="AA76" i="11" s="1"/>
  <c r="N35" i="11"/>
  <c r="N37" i="11" s="1"/>
  <c r="N39" i="11" s="1"/>
  <c r="N70" i="11" s="1"/>
  <c r="O71" i="11" s="1"/>
  <c r="L46" i="11"/>
  <c r="L48" i="11" s="1"/>
  <c r="L50" i="11" s="1"/>
  <c r="L74" i="11" s="1"/>
  <c r="M75" i="11" s="1"/>
  <c r="N24" i="11"/>
  <c r="N26" i="11" s="1"/>
  <c r="N28" i="11" s="1"/>
  <c r="N66" i="11" s="1"/>
  <c r="O67" i="11" s="1"/>
  <c r="Z77" i="11"/>
  <c r="AC24" i="11"/>
  <c r="AC26" i="11" s="1"/>
  <c r="AC28" i="11" s="1"/>
  <c r="AC66" i="11" s="1"/>
  <c r="AC68" i="11" s="1"/>
  <c r="H96" i="11"/>
  <c r="AG26" i="40"/>
  <c r="AH26" i="40" s="1"/>
  <c r="R60" i="73" s="1"/>
  <c r="S10" i="41"/>
  <c r="H49" i="41" s="1"/>
  <c r="AB28" i="8"/>
  <c r="AD28" i="8" s="1"/>
  <c r="F86" i="41"/>
  <c r="BO22" i="39"/>
  <c r="BQ22" i="39" s="1"/>
  <c r="W55" i="8"/>
  <c r="Y55" i="8" s="1"/>
  <c r="R20" i="41"/>
  <c r="P48" i="41" s="1"/>
  <c r="BF25" i="40"/>
  <c r="BG25" i="40" s="1"/>
  <c r="Q67" i="73" s="1"/>
  <c r="E13" i="12"/>
  <c r="G98" i="11"/>
  <c r="R21" i="41"/>
  <c r="P49" i="41" s="1"/>
  <c r="BM25" i="40"/>
  <c r="W56" i="8"/>
  <c r="Y56" i="8" s="1"/>
  <c r="AB43" i="11"/>
  <c r="AB47" i="11" s="1"/>
  <c r="Z28" i="8"/>
  <c r="AA28" i="8" s="1"/>
  <c r="BN21" i="14"/>
  <c r="EB21" i="39"/>
  <c r="ED21" i="39" s="1"/>
  <c r="BR21" i="14"/>
  <c r="EI21" i="39"/>
  <c r="EK21" i="39" s="1"/>
  <c r="AX21" i="14"/>
  <c r="AC42" i="11"/>
  <c r="M43" i="11"/>
  <c r="M47" i="11" s="1"/>
  <c r="W96" i="11"/>
  <c r="K21" i="14"/>
  <c r="AD21" i="11"/>
  <c r="AD25" i="11" s="1"/>
  <c r="S70" i="44"/>
  <c r="Q9" i="44"/>
  <c r="M72" i="11"/>
  <c r="M73" i="11" s="1"/>
  <c r="K87" i="11" s="1"/>
  <c r="N71" i="11"/>
  <c r="BV22" i="39"/>
  <c r="BX22" i="39" s="1"/>
  <c r="V27" i="8"/>
  <c r="Z27" i="8"/>
  <c r="E41" i="12"/>
  <c r="Y27" i="8"/>
  <c r="O32" i="11"/>
  <c r="O36" i="11" s="1"/>
  <c r="AB27" i="8"/>
  <c r="Z26" i="40"/>
  <c r="AA26" i="40" s="1"/>
  <c r="R59" i="73" s="1"/>
  <c r="S9" i="41"/>
  <c r="H48" i="41" s="1"/>
  <c r="AO55" i="8"/>
  <c r="N76" i="73" s="1"/>
  <c r="N85" i="73" s="1"/>
  <c r="M76" i="41"/>
  <c r="L85" i="41"/>
  <c r="BH27" i="40"/>
  <c r="S26" i="40"/>
  <c r="AE26" i="8" s="1"/>
  <c r="AF26" i="8" s="1"/>
  <c r="AR26" i="8" s="1"/>
  <c r="T27" i="40"/>
  <c r="AD34" i="60" l="1"/>
  <c r="J10" i="60"/>
  <c r="F10" i="60"/>
  <c r="R12" i="60"/>
  <c r="R11" i="60"/>
  <c r="K18" i="73"/>
  <c r="M18" i="73"/>
  <c r="L6" i="73"/>
  <c r="S10" i="73"/>
  <c r="S95" i="73"/>
  <c r="S95" i="41"/>
  <c r="S107" i="73"/>
  <c r="S107" i="41"/>
  <c r="R21" i="73"/>
  <c r="Q49" i="73" s="1"/>
  <c r="S111" i="41"/>
  <c r="S111" i="73"/>
  <c r="R20" i="73"/>
  <c r="Q48" i="73" s="1"/>
  <c r="S110" i="73"/>
  <c r="S110" i="41"/>
  <c r="S9" i="73"/>
  <c r="S108" i="73"/>
  <c r="S108" i="41"/>
  <c r="T35" i="60"/>
  <c r="Q147" i="44"/>
  <c r="H36" i="60" s="1"/>
  <c r="BR119" i="14"/>
  <c r="BR120" i="14" s="1"/>
  <c r="BR121" i="14" s="1"/>
  <c r="BR122" i="14" s="1"/>
  <c r="BR123" i="14" s="1"/>
  <c r="BR124" i="14" s="1"/>
  <c r="BR125" i="14" s="1"/>
  <c r="BR126" i="14" s="1"/>
  <c r="BR127" i="14" s="1"/>
  <c r="BR128" i="14" s="1"/>
  <c r="BR129" i="14" s="1"/>
  <c r="BR130" i="14" s="1"/>
  <c r="S135" i="73" s="1"/>
  <c r="R134" i="41"/>
  <c r="R82" i="44" s="1"/>
  <c r="AC40" i="60" s="1"/>
  <c r="BN119" i="14"/>
  <c r="BN120" i="14" s="1"/>
  <c r="BN121" i="14" s="1"/>
  <c r="BN122" i="14" s="1"/>
  <c r="BN123" i="14" s="1"/>
  <c r="BN124" i="14" s="1"/>
  <c r="BN125" i="14" s="1"/>
  <c r="BN126" i="14" s="1"/>
  <c r="BN127" i="14" s="1"/>
  <c r="BN128" i="14" s="1"/>
  <c r="BN129" i="14" s="1"/>
  <c r="BN130" i="14" s="1"/>
  <c r="S134" i="73" s="1"/>
  <c r="R135" i="41"/>
  <c r="R83" i="44" s="1"/>
  <c r="AC41" i="60" s="1"/>
  <c r="Q151" i="44"/>
  <c r="H40" i="60" s="1"/>
  <c r="Q152" i="44"/>
  <c r="H41" i="60" s="1"/>
  <c r="AX119" i="14"/>
  <c r="AX120" i="14" s="1"/>
  <c r="AX121" i="14" s="1"/>
  <c r="AX122" i="14" s="1"/>
  <c r="AX123" i="14" s="1"/>
  <c r="AX124" i="14" s="1"/>
  <c r="AX125" i="14" s="1"/>
  <c r="AX126" i="14" s="1"/>
  <c r="AX127" i="14" s="1"/>
  <c r="AX128" i="14" s="1"/>
  <c r="AX129" i="14" s="1"/>
  <c r="AX130" i="14" s="1"/>
  <c r="S131" i="73" s="1"/>
  <c r="R131" i="41"/>
  <c r="R79" i="44" s="1"/>
  <c r="AC36" i="60" s="1"/>
  <c r="AG75" i="14"/>
  <c r="AH74" i="14"/>
  <c r="S123" i="41"/>
  <c r="S35" i="44" s="1"/>
  <c r="T40" i="60" s="1"/>
  <c r="U58" i="14"/>
  <c r="V58" i="14" s="1"/>
  <c r="V57" i="14"/>
  <c r="S59" i="41"/>
  <c r="DL15" i="39"/>
  <c r="S60" i="41"/>
  <c r="AK86" i="14"/>
  <c r="AL85" i="14"/>
  <c r="S124" i="41"/>
  <c r="S36" i="44" s="1"/>
  <c r="T41" i="60" s="1"/>
  <c r="R119" i="41"/>
  <c r="R31" i="44" s="1"/>
  <c r="K119" i="14"/>
  <c r="K120" i="14" s="1"/>
  <c r="K121" i="14" s="1"/>
  <c r="K122" i="14" s="1"/>
  <c r="K123" i="14" s="1"/>
  <c r="K124" i="14" s="1"/>
  <c r="K125" i="14" s="1"/>
  <c r="K126" i="14" s="1"/>
  <c r="K127" i="14" s="1"/>
  <c r="K128" i="14" s="1"/>
  <c r="K129" i="14" s="1"/>
  <c r="K130" i="14" s="1"/>
  <c r="S119" i="73" s="1"/>
  <c r="K74" i="14"/>
  <c r="L73" i="14"/>
  <c r="AP21" i="40"/>
  <c r="AQ21" i="40" s="1"/>
  <c r="AU21" i="40" s="1"/>
  <c r="C20" i="40"/>
  <c r="D20" i="40" s="1"/>
  <c r="G20" i="40" s="1"/>
  <c r="H14" i="39"/>
  <c r="J14" i="39" s="1"/>
  <c r="H75" i="41"/>
  <c r="H75" i="73"/>
  <c r="M6" i="41"/>
  <c r="K67" i="11"/>
  <c r="K69" i="11" s="1"/>
  <c r="J68" i="11"/>
  <c r="J69" i="11" s="1"/>
  <c r="H86" i="11" s="1"/>
  <c r="H94" i="11" s="1"/>
  <c r="F11" i="12" s="1"/>
  <c r="F25" i="12" s="1"/>
  <c r="K15" i="27"/>
  <c r="AU20" i="40"/>
  <c r="DB14" i="39"/>
  <c r="AD14" i="39"/>
  <c r="S27" i="40"/>
  <c r="AJ26" i="8" s="1"/>
  <c r="AK26" i="8" s="1"/>
  <c r="AS26" i="8" s="1"/>
  <c r="T144" i="51"/>
  <c r="Z55" i="8"/>
  <c r="AA55" i="8" s="1"/>
  <c r="R67" i="41"/>
  <c r="I22" i="60"/>
  <c r="Q23" i="60"/>
  <c r="S28" i="60"/>
  <c r="S27" i="60"/>
  <c r="R27" i="60"/>
  <c r="S21" i="60"/>
  <c r="T21" i="60"/>
  <c r="R28" i="60"/>
  <c r="P18" i="60"/>
  <c r="P19" i="60"/>
  <c r="R36" i="60"/>
  <c r="O19" i="60"/>
  <c r="N19" i="60"/>
  <c r="F27" i="60"/>
  <c r="F28" i="60"/>
  <c r="F23" i="60"/>
  <c r="H10" i="60"/>
  <c r="AA12" i="60"/>
  <c r="AA28" i="60"/>
  <c r="AD21" i="60"/>
  <c r="AA11" i="60"/>
  <c r="AC21" i="60"/>
  <c r="AA24" i="60"/>
  <c r="AA27" i="60"/>
  <c r="AA23" i="60"/>
  <c r="AB24" i="60"/>
  <c r="AB28" i="60"/>
  <c r="AB27" i="60"/>
  <c r="S127" i="30"/>
  <c r="S124" i="30"/>
  <c r="T124" i="30" s="1"/>
  <c r="S129" i="30"/>
  <c r="T129" i="30" s="1"/>
  <c r="S128" i="30"/>
  <c r="S126" i="30"/>
  <c r="T126" i="30" s="1"/>
  <c r="S125" i="30"/>
  <c r="T125" i="30" s="1"/>
  <c r="S123" i="30"/>
  <c r="S122" i="30"/>
  <c r="S133" i="30"/>
  <c r="T133" i="30" s="1"/>
  <c r="S131" i="30"/>
  <c r="S130" i="30"/>
  <c r="T130" i="30" s="1"/>
  <c r="N198" i="44"/>
  <c r="N199" i="44"/>
  <c r="F11" i="60"/>
  <c r="F12" i="60"/>
  <c r="W126" i="28"/>
  <c r="X126" i="28" s="1"/>
  <c r="X124" i="28"/>
  <c r="W133" i="28"/>
  <c r="X133" i="28" s="1"/>
  <c r="W132" i="28"/>
  <c r="X132" i="28" s="1"/>
  <c r="W130" i="28"/>
  <c r="X130" i="28" s="1"/>
  <c r="W125" i="28"/>
  <c r="W127" i="28"/>
  <c r="W128" i="28"/>
  <c r="W129" i="28"/>
  <c r="X129" i="28" s="1"/>
  <c r="W122" i="28"/>
  <c r="X122" i="28" s="1"/>
  <c r="W131" i="28"/>
  <c r="X131" i="28" s="1"/>
  <c r="W123" i="28"/>
  <c r="AT54" i="14"/>
  <c r="AU53" i="14"/>
  <c r="S135" i="44"/>
  <c r="T22" i="60"/>
  <c r="H21" i="60"/>
  <c r="L174" i="44"/>
  <c r="L194" i="44" s="1"/>
  <c r="C7" i="60"/>
  <c r="T137" i="36"/>
  <c r="T134" i="36"/>
  <c r="T138" i="36"/>
  <c r="T139" i="36"/>
  <c r="T140" i="36"/>
  <c r="T142" i="36"/>
  <c r="T143" i="36"/>
  <c r="T145" i="36"/>
  <c r="N18" i="41"/>
  <c r="L45" i="41" s="1"/>
  <c r="M59" i="44" s="1"/>
  <c r="C53" i="8"/>
  <c r="E53" i="8" s="1"/>
  <c r="T135" i="36"/>
  <c r="T136" i="36"/>
  <c r="T144" i="36"/>
  <c r="T142" i="29"/>
  <c r="BE85" i="14"/>
  <c r="BE107" i="14"/>
  <c r="BE63" i="14"/>
  <c r="BE74" i="14"/>
  <c r="BE54" i="14"/>
  <c r="BE96" i="14"/>
  <c r="D110" i="28"/>
  <c r="S152" i="36"/>
  <c r="S150" i="36"/>
  <c r="S149" i="36"/>
  <c r="S156" i="36"/>
  <c r="AD88" i="14"/>
  <c r="AD65" i="14"/>
  <c r="AD121" i="14"/>
  <c r="AD99" i="14"/>
  <c r="AD54" i="14"/>
  <c r="AD110" i="14"/>
  <c r="AD76" i="14"/>
  <c r="S148" i="36"/>
  <c r="FO110" i="2"/>
  <c r="EU122" i="3" s="1"/>
  <c r="S147" i="36"/>
  <c r="S146" i="36"/>
  <c r="S157" i="36"/>
  <c r="S153" i="36"/>
  <c r="S155" i="36"/>
  <c r="S154" i="36"/>
  <c r="R52" i="14"/>
  <c r="O25" i="11"/>
  <c r="AA106" i="11"/>
  <c r="S162" i="36" s="1"/>
  <c r="Y89" i="11"/>
  <c r="I95" i="11"/>
  <c r="G12" i="12" s="1"/>
  <c r="D114" i="28"/>
  <c r="FO114" i="2"/>
  <c r="EU126" i="3" s="1"/>
  <c r="D120" i="28"/>
  <c r="FO117" i="2"/>
  <c r="EU129" i="3" s="1"/>
  <c r="FO120" i="2"/>
  <c r="EU132" i="3" s="1"/>
  <c r="FO116" i="2"/>
  <c r="EU128" i="3" s="1"/>
  <c r="D28" i="12"/>
  <c r="D31" i="12" s="1"/>
  <c r="D17" i="12"/>
  <c r="W114" i="17"/>
  <c r="X114" i="17" s="1"/>
  <c r="Y114" i="17" s="1"/>
  <c r="W115" i="17"/>
  <c r="X115" i="17" s="1"/>
  <c r="Y115" i="17" s="1"/>
  <c r="W116" i="17"/>
  <c r="X116" i="17" s="1"/>
  <c r="Y116" i="17" s="1"/>
  <c r="D115" i="28"/>
  <c r="FO115" i="2"/>
  <c r="EU127" i="3" s="1"/>
  <c r="Y111" i="17"/>
  <c r="D118" i="28"/>
  <c r="D119" i="28"/>
  <c r="Y113" i="17"/>
  <c r="D116" i="28"/>
  <c r="Y120" i="17"/>
  <c r="D117" i="28"/>
  <c r="K21" i="40"/>
  <c r="L22" i="40"/>
  <c r="O20" i="40"/>
  <c r="V117" i="35"/>
  <c r="V124" i="35"/>
  <c r="V123" i="35"/>
  <c r="V133" i="35"/>
  <c r="V132" i="35"/>
  <c r="V131" i="35"/>
  <c r="V130" i="35"/>
  <c r="V129" i="35"/>
  <c r="V128" i="35"/>
  <c r="V127" i="35"/>
  <c r="V126" i="35"/>
  <c r="V125" i="35"/>
  <c r="T132" i="30"/>
  <c r="X114" i="28"/>
  <c r="X121" i="28"/>
  <c r="X112" i="28"/>
  <c r="X120" i="28"/>
  <c r="X115" i="28"/>
  <c r="X113" i="28"/>
  <c r="X116" i="28"/>
  <c r="X119" i="28"/>
  <c r="X118" i="28"/>
  <c r="X111" i="28"/>
  <c r="D113" i="28"/>
  <c r="FO113" i="2"/>
  <c r="EU125" i="3" s="1"/>
  <c r="U139" i="35"/>
  <c r="U140" i="35"/>
  <c r="U141" i="35"/>
  <c r="U142" i="35"/>
  <c r="U143" i="35"/>
  <c r="U138" i="35"/>
  <c r="U144" i="35"/>
  <c r="U145" i="35"/>
  <c r="U134" i="35"/>
  <c r="U135" i="35"/>
  <c r="U136" i="35"/>
  <c r="U137" i="35"/>
  <c r="W122" i="34"/>
  <c r="V122" i="35"/>
  <c r="W123" i="34"/>
  <c r="W124" i="34"/>
  <c r="W125" i="34"/>
  <c r="W126" i="34"/>
  <c r="W127" i="34"/>
  <c r="W128" i="34"/>
  <c r="W129" i="34"/>
  <c r="W130" i="34"/>
  <c r="W131" i="34"/>
  <c r="W132" i="34"/>
  <c r="W133" i="34"/>
  <c r="S139" i="30"/>
  <c r="S140" i="30"/>
  <c r="S141" i="30"/>
  <c r="S142" i="30"/>
  <c r="S143" i="30"/>
  <c r="S144" i="30"/>
  <c r="S145" i="30"/>
  <c r="S134" i="30"/>
  <c r="S135" i="30"/>
  <c r="S136" i="30"/>
  <c r="S137" i="30"/>
  <c r="S138" i="30"/>
  <c r="U122" i="29"/>
  <c r="FO118" i="2"/>
  <c r="EU130" i="3" s="1"/>
  <c r="V120" i="35"/>
  <c r="V116" i="35"/>
  <c r="V112" i="35"/>
  <c r="V113" i="35"/>
  <c r="V118" i="35"/>
  <c r="V111" i="35"/>
  <c r="V119" i="35"/>
  <c r="V114" i="35"/>
  <c r="V121" i="35"/>
  <c r="V115" i="35"/>
  <c r="V110" i="35"/>
  <c r="X110" i="34"/>
  <c r="X108" i="34"/>
  <c r="X111" i="34"/>
  <c r="X103" i="34"/>
  <c r="X105" i="34"/>
  <c r="X107" i="34"/>
  <c r="X113" i="34"/>
  <c r="X112" i="34"/>
  <c r="X116" i="34"/>
  <c r="X120" i="34"/>
  <c r="X115" i="34"/>
  <c r="X119" i="34"/>
  <c r="X118" i="34"/>
  <c r="X109" i="34"/>
  <c r="X98" i="34"/>
  <c r="X114" i="34"/>
  <c r="X102" i="34"/>
  <c r="X106" i="34"/>
  <c r="X99" i="34"/>
  <c r="X121" i="34"/>
  <c r="X117" i="34"/>
  <c r="X100" i="34"/>
  <c r="X104" i="34"/>
  <c r="X101" i="34"/>
  <c r="S114" i="30"/>
  <c r="S113" i="30"/>
  <c r="S121" i="30"/>
  <c r="S120" i="30"/>
  <c r="S119" i="30"/>
  <c r="S111" i="30"/>
  <c r="S118" i="30"/>
  <c r="S117" i="30"/>
  <c r="S110" i="30"/>
  <c r="S112" i="30"/>
  <c r="S116" i="30"/>
  <c r="S115" i="30"/>
  <c r="U123" i="29"/>
  <c r="U124" i="29"/>
  <c r="U125" i="29"/>
  <c r="U126" i="29"/>
  <c r="U127" i="29"/>
  <c r="U128" i="29"/>
  <c r="U129" i="29"/>
  <c r="U130" i="29"/>
  <c r="U131" i="29"/>
  <c r="U132" i="29"/>
  <c r="U133" i="29"/>
  <c r="FO121" i="2"/>
  <c r="EU133" i="3" s="1"/>
  <c r="D121" i="28"/>
  <c r="FO112" i="2"/>
  <c r="EU124" i="3" s="1"/>
  <c r="FO119" i="2"/>
  <c r="EU131" i="3" s="1"/>
  <c r="D112" i="28"/>
  <c r="E15" i="39"/>
  <c r="D111" i="28"/>
  <c r="FO111" i="2"/>
  <c r="EU123" i="3" s="1"/>
  <c r="K14" i="27"/>
  <c r="K17" i="27" s="1"/>
  <c r="V110" i="24"/>
  <c r="W110" i="24" s="1"/>
  <c r="W122" i="24" s="1"/>
  <c r="BA18" i="27" s="1"/>
  <c r="AZ14" i="27"/>
  <c r="AT13" i="27"/>
  <c r="AT14" i="27"/>
  <c r="X118" i="23"/>
  <c r="Y118" i="23" s="1"/>
  <c r="X112" i="23"/>
  <c r="Y112" i="23" s="1"/>
  <c r="X109" i="23"/>
  <c r="Y109" i="23" s="1"/>
  <c r="X98" i="23"/>
  <c r="Y98" i="23" s="1"/>
  <c r="AS13" i="27"/>
  <c r="X116" i="23"/>
  <c r="Y116" i="23" s="1"/>
  <c r="X120" i="23"/>
  <c r="Y120" i="23" s="1"/>
  <c r="X102" i="23"/>
  <c r="Y102" i="23" s="1"/>
  <c r="X106" i="23"/>
  <c r="Y106" i="23" s="1"/>
  <c r="X114" i="23"/>
  <c r="Y114" i="23" s="1"/>
  <c r="X121" i="23"/>
  <c r="Y121" i="23" s="1"/>
  <c r="X117" i="23"/>
  <c r="Y117" i="23" s="1"/>
  <c r="X99" i="23"/>
  <c r="Y99" i="23" s="1"/>
  <c r="X104" i="23"/>
  <c r="Y104" i="23" s="1"/>
  <c r="X101" i="23"/>
  <c r="Y101" i="23" s="1"/>
  <c r="X100" i="23"/>
  <c r="Y100" i="23" s="1"/>
  <c r="X111" i="23"/>
  <c r="Y111" i="23" s="1"/>
  <c r="X110" i="23"/>
  <c r="Y110" i="23" s="1"/>
  <c r="X108" i="23"/>
  <c r="Y108" i="23" s="1"/>
  <c r="AS14" i="27"/>
  <c r="X107" i="23"/>
  <c r="Y107" i="23" s="1"/>
  <c r="X103" i="23"/>
  <c r="Y103" i="23" s="1"/>
  <c r="X105" i="23"/>
  <c r="Y105" i="23" s="1"/>
  <c r="X115" i="23"/>
  <c r="Y115" i="23" s="1"/>
  <c r="X119" i="23"/>
  <c r="Y119" i="23" s="1"/>
  <c r="X113" i="23"/>
  <c r="Y113" i="23" s="1"/>
  <c r="U118" i="2"/>
  <c r="R118" i="18"/>
  <c r="S118" i="18" s="1"/>
  <c r="U117" i="2"/>
  <c r="R117" i="18"/>
  <c r="S117" i="18" s="1"/>
  <c r="U110" i="2"/>
  <c r="R110" i="18"/>
  <c r="S110" i="18" s="1"/>
  <c r="U112" i="2"/>
  <c r="R112" i="18"/>
  <c r="S112" i="18" s="1"/>
  <c r="U116" i="2"/>
  <c r="R116" i="18"/>
  <c r="S116" i="18" s="1"/>
  <c r="U115" i="2"/>
  <c r="R115" i="18"/>
  <c r="S115" i="18" s="1"/>
  <c r="U114" i="2"/>
  <c r="R114" i="18"/>
  <c r="S114" i="18" s="1"/>
  <c r="U113" i="2"/>
  <c r="R113" i="18"/>
  <c r="S113" i="18" s="1"/>
  <c r="U121" i="2"/>
  <c r="R121" i="18"/>
  <c r="S121" i="18" s="1"/>
  <c r="U120" i="2"/>
  <c r="R120" i="18"/>
  <c r="S120" i="18" s="1"/>
  <c r="U119" i="2"/>
  <c r="R119" i="18"/>
  <c r="S119" i="18" s="1"/>
  <c r="U111" i="2"/>
  <c r="R111" i="18"/>
  <c r="S111" i="18" s="1"/>
  <c r="W122" i="19"/>
  <c r="K18" i="27" s="1"/>
  <c r="C14" i="27"/>
  <c r="C15" i="27" s="1"/>
  <c r="X88" i="11"/>
  <c r="X96" i="11" s="1"/>
  <c r="Z105" i="11"/>
  <c r="Y103" i="11"/>
  <c r="V94" i="11"/>
  <c r="W86" i="11"/>
  <c r="W94" i="11" s="1"/>
  <c r="F40" i="12" s="1"/>
  <c r="D50" i="12"/>
  <c r="D54" i="12" s="1"/>
  <c r="D44" i="12"/>
  <c r="AA24" i="11"/>
  <c r="AA26" i="11" s="1"/>
  <c r="AA28" i="11" s="1"/>
  <c r="AA66" i="11" s="1"/>
  <c r="AA68" i="11" s="1"/>
  <c r="AB26" i="11"/>
  <c r="AB28" i="11" s="1"/>
  <c r="AB66" i="11" s="1"/>
  <c r="AA67" i="11"/>
  <c r="Z68" i="11"/>
  <c r="Z69" i="11" s="1"/>
  <c r="Z103" i="11" s="1"/>
  <c r="K105" i="11"/>
  <c r="M104" i="11"/>
  <c r="L104" i="11"/>
  <c r="J104" i="11"/>
  <c r="K104" i="11"/>
  <c r="L67" i="11"/>
  <c r="M26" i="11"/>
  <c r="M28" i="11" s="1"/>
  <c r="M66" i="11" s="1"/>
  <c r="L24" i="11"/>
  <c r="L26" i="11" s="1"/>
  <c r="L28" i="11" s="1"/>
  <c r="L66" i="11" s="1"/>
  <c r="M67" i="11" s="1"/>
  <c r="AC79" i="11"/>
  <c r="AB80" i="11"/>
  <c r="AB81" i="11" s="1"/>
  <c r="AC54" i="11"/>
  <c r="AC57" i="11" s="1"/>
  <c r="AC59" i="11" s="1"/>
  <c r="AC61" i="11" s="1"/>
  <c r="AC78" i="11" s="1"/>
  <c r="AD53" i="11"/>
  <c r="J95" i="11"/>
  <c r="H12" i="12" s="1"/>
  <c r="K95" i="11"/>
  <c r="I12" i="12" s="1"/>
  <c r="P140" i="44"/>
  <c r="P141" i="44"/>
  <c r="P125" i="44"/>
  <c r="P124" i="44"/>
  <c r="O179" i="44"/>
  <c r="O199" i="44" s="1"/>
  <c r="O178" i="44"/>
  <c r="O198" i="44" s="1"/>
  <c r="A144" i="29"/>
  <c r="C143" i="29"/>
  <c r="B143" i="29"/>
  <c r="AI31" i="5"/>
  <c r="DT22" i="39" s="1"/>
  <c r="AI58" i="5"/>
  <c r="AF31" i="5"/>
  <c r="CO22" i="39" s="1"/>
  <c r="AF58" i="5"/>
  <c r="P136" i="44"/>
  <c r="Q141" i="44"/>
  <c r="Q140" i="44"/>
  <c r="R134" i="44"/>
  <c r="Q21" i="44"/>
  <c r="Q71" i="44"/>
  <c r="N42" i="11"/>
  <c r="N43" i="11" s="1"/>
  <c r="N47" i="11" s="1"/>
  <c r="C76" i="41"/>
  <c r="BS108" i="14"/>
  <c r="BS86" i="14"/>
  <c r="BS97" i="14"/>
  <c r="BS53" i="14"/>
  <c r="BS75" i="14"/>
  <c r="BS64" i="14"/>
  <c r="BO75" i="14"/>
  <c r="BO53" i="14"/>
  <c r="BO64" i="14"/>
  <c r="BO86" i="14"/>
  <c r="AY97" i="14"/>
  <c r="AY64" i="14"/>
  <c r="BC74" i="14"/>
  <c r="BC85" i="14"/>
  <c r="AY108" i="14"/>
  <c r="AY53" i="14"/>
  <c r="BO108" i="14"/>
  <c r="AY75" i="14"/>
  <c r="AY86" i="14"/>
  <c r="BC97" i="14"/>
  <c r="BC63" i="14"/>
  <c r="BC52" i="14"/>
  <c r="BO97" i="14"/>
  <c r="AU77" i="14"/>
  <c r="AU66" i="14"/>
  <c r="AU110" i="14"/>
  <c r="AU88" i="14"/>
  <c r="AU99" i="14"/>
  <c r="AU121" i="14"/>
  <c r="L86" i="14"/>
  <c r="H121" i="14"/>
  <c r="AH109" i="14"/>
  <c r="AL120" i="14"/>
  <c r="AL76" i="14"/>
  <c r="AH98" i="14"/>
  <c r="H55" i="14"/>
  <c r="L97" i="14"/>
  <c r="AH54" i="14"/>
  <c r="H88" i="14"/>
  <c r="L108" i="14"/>
  <c r="AL54" i="14"/>
  <c r="AH65" i="14"/>
  <c r="H77" i="14"/>
  <c r="AL109" i="14"/>
  <c r="AH87" i="14"/>
  <c r="H66" i="14"/>
  <c r="AL98" i="14"/>
  <c r="L53" i="14"/>
  <c r="H99" i="14"/>
  <c r="AL65" i="14"/>
  <c r="AH120" i="14"/>
  <c r="L64" i="14"/>
  <c r="H110" i="14"/>
  <c r="AA27" i="8"/>
  <c r="AQ27" i="8" s="1"/>
  <c r="S134" i="44"/>
  <c r="M67" i="44"/>
  <c r="Q61" i="44"/>
  <c r="S26" i="44"/>
  <c r="S25" i="44"/>
  <c r="P17" i="44"/>
  <c r="R72" i="44"/>
  <c r="R10" i="44"/>
  <c r="Q62" i="44"/>
  <c r="AB110" i="14"/>
  <c r="BC108" i="14"/>
  <c r="P53" i="14"/>
  <c r="AB99" i="14"/>
  <c r="AB77" i="14"/>
  <c r="AB65" i="14"/>
  <c r="AB121" i="14"/>
  <c r="AB88" i="14"/>
  <c r="AA77" i="11"/>
  <c r="AA105" i="11" s="1"/>
  <c r="L76" i="11"/>
  <c r="L77" i="11" s="1"/>
  <c r="AD67" i="11"/>
  <c r="N68" i="11"/>
  <c r="AB75" i="11"/>
  <c r="N72" i="11"/>
  <c r="N73" i="11" s="1"/>
  <c r="O35" i="11"/>
  <c r="O37" i="11" s="1"/>
  <c r="O39" i="11" s="1"/>
  <c r="O70" i="11" s="1"/>
  <c r="O72" i="11" s="1"/>
  <c r="O73" i="11" s="1"/>
  <c r="M87" i="11" s="1"/>
  <c r="AG28" i="8"/>
  <c r="AI28" i="8" s="1"/>
  <c r="AG27" i="40"/>
  <c r="AH27" i="40" s="1"/>
  <c r="S60" i="73" s="1"/>
  <c r="T10" i="41"/>
  <c r="AQ28" i="8"/>
  <c r="F41" i="12"/>
  <c r="E51" i="12"/>
  <c r="M46" i="11"/>
  <c r="M48" i="11" s="1"/>
  <c r="M50" i="11" s="1"/>
  <c r="M74" i="11" s="1"/>
  <c r="S21" i="41"/>
  <c r="Q49" i="41" s="1"/>
  <c r="BM26" i="40"/>
  <c r="AB56" i="8"/>
  <c r="AD56" i="8" s="1"/>
  <c r="AG27" i="8"/>
  <c r="Z27" i="40"/>
  <c r="AA27" i="40" s="1"/>
  <c r="S59" i="73" s="1"/>
  <c r="T9" i="41"/>
  <c r="R9" i="44"/>
  <c r="AE27" i="8"/>
  <c r="EI22" i="39"/>
  <c r="EK22" i="39" s="1"/>
  <c r="AD24" i="11"/>
  <c r="AD26" i="11" s="1"/>
  <c r="AD28" i="11" s="1"/>
  <c r="AD66" i="11" s="1"/>
  <c r="AD68" i="11" s="1"/>
  <c r="BF26" i="40"/>
  <c r="BG26" i="40" s="1"/>
  <c r="R67" i="73" s="1"/>
  <c r="S20" i="41"/>
  <c r="Q48" i="41" s="1"/>
  <c r="AB55" i="8"/>
  <c r="AD55" i="8" s="1"/>
  <c r="AB46" i="11"/>
  <c r="AB48" i="11" s="1"/>
  <c r="AB50" i="11" s="1"/>
  <c r="AB74" i="11" s="1"/>
  <c r="AE28" i="8"/>
  <c r="AF28" i="8" s="1"/>
  <c r="AR28" i="8" s="1"/>
  <c r="AD27" i="8"/>
  <c r="O42" i="11"/>
  <c r="EB22" i="39"/>
  <c r="ED22" i="39" s="1"/>
  <c r="AP27" i="8"/>
  <c r="F76" i="73" s="1"/>
  <c r="F85" i="73" s="1"/>
  <c r="O24" i="11"/>
  <c r="AC43" i="11"/>
  <c r="AC47" i="11" s="1"/>
  <c r="E27" i="12"/>
  <c r="I96" i="11"/>
  <c r="F13" i="12"/>
  <c r="AD42" i="11"/>
  <c r="R71" i="44"/>
  <c r="M85" i="41"/>
  <c r="N76" i="41"/>
  <c r="AP55" i="8"/>
  <c r="O76" i="73" s="1"/>
  <c r="O85" i="73" s="1"/>
  <c r="S11" i="60" l="1"/>
  <c r="S12" i="60"/>
  <c r="M65" i="73"/>
  <c r="K5" i="73"/>
  <c r="K17" i="73"/>
  <c r="L18" i="73"/>
  <c r="K3" i="73"/>
  <c r="M56" i="41"/>
  <c r="I48" i="73"/>
  <c r="I49" i="73"/>
  <c r="S20" i="73"/>
  <c r="S21" i="73"/>
  <c r="L45" i="73"/>
  <c r="S134" i="41"/>
  <c r="S82" i="44" s="1"/>
  <c r="AD40" i="60" s="1"/>
  <c r="R152" i="44"/>
  <c r="I41" i="60" s="1"/>
  <c r="R151" i="44"/>
  <c r="I40" i="60" s="1"/>
  <c r="S135" i="41"/>
  <c r="S83" i="44" s="1"/>
  <c r="AD41" i="60" s="1"/>
  <c r="R147" i="44"/>
  <c r="I36" i="60" s="1"/>
  <c r="S131" i="41"/>
  <c r="S79" i="44" s="1"/>
  <c r="AD36" i="60" s="1"/>
  <c r="AG76" i="14"/>
  <c r="AH75" i="14"/>
  <c r="T59" i="41"/>
  <c r="G76" i="41"/>
  <c r="G85" i="41" s="1"/>
  <c r="Q16" i="44" s="1"/>
  <c r="G76" i="73"/>
  <c r="G85" i="73" s="1"/>
  <c r="F53" i="8"/>
  <c r="G53" i="8" s="1"/>
  <c r="AM53" i="8" s="1"/>
  <c r="M18" i="41"/>
  <c r="H77" i="41"/>
  <c r="H77" i="73"/>
  <c r="H86" i="73" s="1"/>
  <c r="G77" i="41"/>
  <c r="G86" i="41" s="1"/>
  <c r="G77" i="73"/>
  <c r="G86" i="73" s="1"/>
  <c r="T60" i="41"/>
  <c r="AK87" i="14"/>
  <c r="AL86" i="14"/>
  <c r="K75" i="14"/>
  <c r="L74" i="14"/>
  <c r="S119" i="41"/>
  <c r="S31" i="44" s="1"/>
  <c r="T36" i="60" s="1"/>
  <c r="H98" i="11"/>
  <c r="I75" i="41"/>
  <c r="I75" i="73"/>
  <c r="N65" i="41"/>
  <c r="M65" i="41"/>
  <c r="M57" i="41"/>
  <c r="H90" i="11"/>
  <c r="J103" i="11"/>
  <c r="W138" i="28" s="1"/>
  <c r="X138" i="28" s="1"/>
  <c r="J22" i="12"/>
  <c r="J24" i="12" s="1"/>
  <c r="F22" i="12"/>
  <c r="K22" i="12"/>
  <c r="K29" i="12" s="1"/>
  <c r="G22" i="12"/>
  <c r="G29" i="12" s="1"/>
  <c r="I22" i="12"/>
  <c r="H22" i="12"/>
  <c r="AX19" i="39" s="1"/>
  <c r="AZ19" i="39" s="1"/>
  <c r="E22" i="12"/>
  <c r="I86" i="11"/>
  <c r="I94" i="11" s="1"/>
  <c r="G11" i="12" s="1"/>
  <c r="G25" i="12" s="1"/>
  <c r="K103" i="11"/>
  <c r="W149" i="28" s="1"/>
  <c r="T148" i="51"/>
  <c r="S144" i="51"/>
  <c r="AE55" i="8"/>
  <c r="S67" i="41"/>
  <c r="AT15" i="27"/>
  <c r="BA14" i="27"/>
  <c r="BA17" i="27" s="1"/>
  <c r="AZ15" i="27"/>
  <c r="BA15" i="27" s="1"/>
  <c r="AS15" i="27"/>
  <c r="I21" i="60"/>
  <c r="T27" i="60"/>
  <c r="Q19" i="60"/>
  <c r="R23" i="60"/>
  <c r="T28" i="60"/>
  <c r="S36" i="60"/>
  <c r="T127" i="30"/>
  <c r="T123" i="30"/>
  <c r="AC23" i="60"/>
  <c r="AC24" i="60"/>
  <c r="AB12" i="60"/>
  <c r="AB11" i="60"/>
  <c r="X18" i="60"/>
  <c r="AB23" i="60"/>
  <c r="X8" i="60"/>
  <c r="T131" i="30"/>
  <c r="T128" i="30"/>
  <c r="T122" i="30"/>
  <c r="G26" i="12"/>
  <c r="O26" i="11"/>
  <c r="O28" i="11" s="1"/>
  <c r="O66" i="11" s="1"/>
  <c r="O68" i="11" s="1"/>
  <c r="O69" i="11" s="1"/>
  <c r="M86" i="11" s="1"/>
  <c r="X125" i="28"/>
  <c r="X127" i="28"/>
  <c r="X123" i="28"/>
  <c r="X128" i="28"/>
  <c r="AT55" i="14"/>
  <c r="AU54" i="14"/>
  <c r="J22" i="60"/>
  <c r="J21" i="60"/>
  <c r="H27" i="60"/>
  <c r="H28" i="60"/>
  <c r="G11" i="60"/>
  <c r="G12" i="60"/>
  <c r="G28" i="60"/>
  <c r="G23" i="60"/>
  <c r="G27" i="60"/>
  <c r="DH17" i="39"/>
  <c r="T143" i="29"/>
  <c r="BE119" i="14"/>
  <c r="BE97" i="14"/>
  <c r="BE55" i="14"/>
  <c r="BE75" i="14"/>
  <c r="BE64" i="14"/>
  <c r="BE108" i="14"/>
  <c r="BE86" i="14"/>
  <c r="S165" i="36"/>
  <c r="S168" i="36"/>
  <c r="S167" i="36"/>
  <c r="S166" i="36"/>
  <c r="S169" i="36"/>
  <c r="S164" i="36"/>
  <c r="AD77" i="14"/>
  <c r="AD111" i="14"/>
  <c r="AD55" i="14"/>
  <c r="AD100" i="14"/>
  <c r="AD122" i="14"/>
  <c r="AD66" i="14"/>
  <c r="AD89" i="14"/>
  <c r="S161" i="36"/>
  <c r="S163" i="36"/>
  <c r="S160" i="36"/>
  <c r="S158" i="36"/>
  <c r="S159" i="36"/>
  <c r="R53" i="14"/>
  <c r="Y97" i="11"/>
  <c r="H42" i="12" s="1"/>
  <c r="AB106" i="11"/>
  <c r="S171" i="36" s="1"/>
  <c r="Z89" i="11"/>
  <c r="Z97" i="11" s="1"/>
  <c r="I42" i="12" s="1"/>
  <c r="N104" i="11"/>
  <c r="L87" i="11"/>
  <c r="L95" i="11" s="1"/>
  <c r="J12" i="12" s="1"/>
  <c r="J26" i="12" s="1"/>
  <c r="D14" i="27"/>
  <c r="N17" i="12"/>
  <c r="N28" i="12"/>
  <c r="N31" i="12" s="1"/>
  <c r="Y122" i="17"/>
  <c r="E18" i="27" s="1"/>
  <c r="L23" i="40"/>
  <c r="K22" i="40"/>
  <c r="F25" i="8"/>
  <c r="F29" i="12"/>
  <c r="AX17" i="39"/>
  <c r="AZ17" i="39" s="1"/>
  <c r="F24" i="12"/>
  <c r="AX18" i="39"/>
  <c r="AZ18" i="39" s="1"/>
  <c r="G24" i="12"/>
  <c r="AX20" i="39"/>
  <c r="AZ20" i="39" s="1"/>
  <c r="I24" i="12"/>
  <c r="CX16" i="39"/>
  <c r="CZ16" i="39" s="1"/>
  <c r="V144" i="35"/>
  <c r="V138" i="35"/>
  <c r="V143" i="35"/>
  <c r="V142" i="35"/>
  <c r="V141" i="35"/>
  <c r="V140" i="35"/>
  <c r="V139" i="35"/>
  <c r="V137" i="35"/>
  <c r="V136" i="35"/>
  <c r="V135" i="35"/>
  <c r="V134" i="35"/>
  <c r="V145" i="35"/>
  <c r="X123" i="34"/>
  <c r="X122" i="34"/>
  <c r="X133" i="34"/>
  <c r="X132" i="34"/>
  <c r="X131" i="34"/>
  <c r="X130" i="34"/>
  <c r="X129" i="34"/>
  <c r="X128" i="34"/>
  <c r="X127" i="34"/>
  <c r="X126" i="34"/>
  <c r="X125" i="34"/>
  <c r="X124" i="34"/>
  <c r="F15" i="39"/>
  <c r="H15" i="39" s="1"/>
  <c r="T143" i="30"/>
  <c r="T142" i="30"/>
  <c r="T141" i="30"/>
  <c r="T140" i="30"/>
  <c r="T139" i="30"/>
  <c r="T138" i="30"/>
  <c r="T137" i="30"/>
  <c r="T136" i="30"/>
  <c r="T135" i="30"/>
  <c r="T134" i="30"/>
  <c r="T145" i="30"/>
  <c r="T144" i="30"/>
  <c r="V123" i="29"/>
  <c r="V122" i="29"/>
  <c r="V132" i="29"/>
  <c r="V131" i="29"/>
  <c r="V130" i="29"/>
  <c r="V129" i="29"/>
  <c r="V128" i="29"/>
  <c r="V127" i="29"/>
  <c r="V126" i="29"/>
  <c r="V125" i="29"/>
  <c r="V124" i="29"/>
  <c r="CX15" i="39"/>
  <c r="CZ15" i="39" s="1"/>
  <c r="CN14" i="39"/>
  <c r="CP14" i="39" s="1"/>
  <c r="CN15" i="39"/>
  <c r="CP15" i="39" s="1"/>
  <c r="U158" i="35"/>
  <c r="U159" i="35"/>
  <c r="U160" i="35"/>
  <c r="U161" i="35"/>
  <c r="U162" i="35"/>
  <c r="U163" i="35"/>
  <c r="U164" i="35"/>
  <c r="U165" i="35"/>
  <c r="U169" i="35"/>
  <c r="U166" i="35"/>
  <c r="U167" i="35"/>
  <c r="U168" i="35"/>
  <c r="U155" i="35"/>
  <c r="U156" i="35"/>
  <c r="U157" i="35"/>
  <c r="U154" i="35"/>
  <c r="U146" i="35"/>
  <c r="U147" i="35"/>
  <c r="U148" i="35"/>
  <c r="U153" i="35"/>
  <c r="U149" i="35"/>
  <c r="U150" i="35"/>
  <c r="U151" i="35"/>
  <c r="U152" i="35"/>
  <c r="W155" i="34"/>
  <c r="W156" i="34"/>
  <c r="W157" i="34"/>
  <c r="W146" i="34"/>
  <c r="W147" i="34"/>
  <c r="W148" i="34"/>
  <c r="W153" i="34"/>
  <c r="W154" i="34"/>
  <c r="W149" i="34"/>
  <c r="W150" i="34"/>
  <c r="W152" i="34"/>
  <c r="W151" i="34"/>
  <c r="W139" i="34"/>
  <c r="W140" i="34"/>
  <c r="W141" i="34"/>
  <c r="W142" i="34"/>
  <c r="W143" i="34"/>
  <c r="W144" i="34"/>
  <c r="W145" i="34"/>
  <c r="W137" i="34"/>
  <c r="W138" i="34"/>
  <c r="W134" i="34"/>
  <c r="W135" i="34"/>
  <c r="W136" i="34"/>
  <c r="S155" i="30"/>
  <c r="S156" i="30"/>
  <c r="S157" i="30"/>
  <c r="S146" i="30"/>
  <c r="S147" i="30"/>
  <c r="S148" i="30"/>
  <c r="S149" i="30"/>
  <c r="S150" i="30"/>
  <c r="S151" i="30"/>
  <c r="S152" i="30"/>
  <c r="S154" i="30"/>
  <c r="S153" i="30"/>
  <c r="T117" i="30"/>
  <c r="T118" i="30"/>
  <c r="T111" i="30"/>
  <c r="T119" i="30"/>
  <c r="T115" i="30"/>
  <c r="T120" i="30"/>
  <c r="T116" i="30"/>
  <c r="T121" i="30"/>
  <c r="T112" i="30"/>
  <c r="T113" i="30"/>
  <c r="T110" i="30"/>
  <c r="T114" i="30"/>
  <c r="U139" i="29"/>
  <c r="U140" i="29"/>
  <c r="U141" i="29"/>
  <c r="U142" i="29"/>
  <c r="U143" i="29"/>
  <c r="U134" i="29"/>
  <c r="U135" i="29"/>
  <c r="U136" i="29"/>
  <c r="U137" i="29"/>
  <c r="U138" i="29"/>
  <c r="V133" i="29"/>
  <c r="AU14" i="27"/>
  <c r="AU13" i="27"/>
  <c r="P14" i="27"/>
  <c r="P15" i="27" s="1"/>
  <c r="Y122" i="23"/>
  <c r="AU18" i="27" s="1"/>
  <c r="W98" i="11"/>
  <c r="T110" i="18"/>
  <c r="T114" i="18"/>
  <c r="U114" i="18" s="1"/>
  <c r="T116" i="18"/>
  <c r="T115" i="18"/>
  <c r="T111" i="18"/>
  <c r="U111" i="18" s="1"/>
  <c r="T112" i="18"/>
  <c r="U112" i="18" s="1"/>
  <c r="T119" i="18"/>
  <c r="O14" i="27"/>
  <c r="O15" i="27" s="1"/>
  <c r="T120" i="18"/>
  <c r="T117" i="18"/>
  <c r="T121" i="18"/>
  <c r="T118" i="18"/>
  <c r="T113" i="18"/>
  <c r="W90" i="11"/>
  <c r="E40" i="12"/>
  <c r="V98" i="11"/>
  <c r="O42" i="12" s="1"/>
  <c r="Y88" i="11"/>
  <c r="Y96" i="11" s="1"/>
  <c r="H41" i="12" s="1"/>
  <c r="X86" i="11"/>
  <c r="X94" i="11" s="1"/>
  <c r="F50" i="12"/>
  <c r="AB67" i="11"/>
  <c r="AC67" i="11"/>
  <c r="AC69" i="11" s="1"/>
  <c r="AB68" i="11"/>
  <c r="AA69" i="11"/>
  <c r="AA103" i="11" s="1"/>
  <c r="O104" i="11"/>
  <c r="J88" i="11"/>
  <c r="J96" i="11" s="1"/>
  <c r="H13" i="12" s="1"/>
  <c r="L105" i="11"/>
  <c r="L68" i="11"/>
  <c r="L69" i="11" s="1"/>
  <c r="M68" i="11"/>
  <c r="M69" i="11" s="1"/>
  <c r="N67" i="11"/>
  <c r="N69" i="11" s="1"/>
  <c r="AD79" i="11"/>
  <c r="AC80" i="11"/>
  <c r="AC81" i="11" s="1"/>
  <c r="AD54" i="11"/>
  <c r="AD57" i="11" s="1"/>
  <c r="AD59" i="11" s="1"/>
  <c r="AD61" i="11" s="1"/>
  <c r="AD78" i="11" s="1"/>
  <c r="AD80" i="11" s="1"/>
  <c r="I26" i="12"/>
  <c r="H26" i="12"/>
  <c r="P178" i="44"/>
  <c r="P198" i="44" s="1"/>
  <c r="P179" i="44"/>
  <c r="P199" i="44" s="1"/>
  <c r="Q125" i="44"/>
  <c r="Q124" i="44"/>
  <c r="I48" i="41"/>
  <c r="I49" i="41"/>
  <c r="B144" i="29"/>
  <c r="C144" i="29"/>
  <c r="A145" i="29"/>
  <c r="Q136" i="44"/>
  <c r="R74" i="44"/>
  <c r="R75" i="44"/>
  <c r="R21" i="44"/>
  <c r="C85" i="41"/>
  <c r="BS98" i="14"/>
  <c r="BS120" i="14"/>
  <c r="BS76" i="14"/>
  <c r="BS87" i="14"/>
  <c r="BS54" i="14"/>
  <c r="BS109" i="14"/>
  <c r="BS65" i="14"/>
  <c r="BC64" i="14"/>
  <c r="BO65" i="14"/>
  <c r="BO120" i="14"/>
  <c r="AY109" i="14"/>
  <c r="AY98" i="14"/>
  <c r="BO54" i="14"/>
  <c r="AY87" i="14"/>
  <c r="BO98" i="14"/>
  <c r="AY76" i="14"/>
  <c r="BC86" i="14"/>
  <c r="BO87" i="14"/>
  <c r="BC75" i="14"/>
  <c r="BC98" i="14"/>
  <c r="AY54" i="14"/>
  <c r="BC53" i="14"/>
  <c r="BO109" i="14"/>
  <c r="AY120" i="14"/>
  <c r="BO76" i="14"/>
  <c r="AY65" i="14"/>
  <c r="AU122" i="14"/>
  <c r="AU111" i="14"/>
  <c r="AU100" i="14"/>
  <c r="AU89" i="14"/>
  <c r="AU67" i="14"/>
  <c r="AU78" i="14"/>
  <c r="AL55" i="14"/>
  <c r="AH110" i="14"/>
  <c r="L87" i="14"/>
  <c r="AH99" i="14"/>
  <c r="AH121" i="14"/>
  <c r="L54" i="14"/>
  <c r="H89" i="14"/>
  <c r="L98" i="14"/>
  <c r="H56" i="14"/>
  <c r="AL77" i="14"/>
  <c r="AL121" i="14"/>
  <c r="AL66" i="14"/>
  <c r="AH66" i="14"/>
  <c r="L120" i="14"/>
  <c r="L109" i="14"/>
  <c r="H100" i="14"/>
  <c r="H111" i="14"/>
  <c r="AL99" i="14"/>
  <c r="AL110" i="14"/>
  <c r="AH88" i="14"/>
  <c r="H122" i="14"/>
  <c r="H78" i="14"/>
  <c r="AH55" i="14"/>
  <c r="L65" i="14"/>
  <c r="H67" i="14"/>
  <c r="R61" i="44"/>
  <c r="N67" i="44"/>
  <c r="S75" i="44"/>
  <c r="S21" i="44"/>
  <c r="S72" i="44"/>
  <c r="R62" i="44"/>
  <c r="S74" i="44"/>
  <c r="AB78" i="14"/>
  <c r="AB122" i="14"/>
  <c r="AB89" i="14"/>
  <c r="AB100" i="14"/>
  <c r="BC109" i="14"/>
  <c r="AB111" i="14"/>
  <c r="AB66" i="14"/>
  <c r="AD69" i="11"/>
  <c r="AC46" i="11"/>
  <c r="AC48" i="11" s="1"/>
  <c r="AC50" i="11" s="1"/>
  <c r="AC74" i="11" s="1"/>
  <c r="AC76" i="11" s="1"/>
  <c r="G41" i="12"/>
  <c r="N46" i="11"/>
  <c r="N48" i="11" s="1"/>
  <c r="N50" i="11" s="1"/>
  <c r="N74" i="11" s="1"/>
  <c r="H86" i="41"/>
  <c r="F27" i="12"/>
  <c r="G13" i="12"/>
  <c r="AF27" i="8"/>
  <c r="N75" i="11"/>
  <c r="M76" i="11"/>
  <c r="M77" i="11" s="1"/>
  <c r="AC75" i="11"/>
  <c r="AB76" i="11"/>
  <c r="AB77" i="11" s="1"/>
  <c r="AB105" i="11" s="1"/>
  <c r="AG55" i="8"/>
  <c r="AI55" i="8" s="1"/>
  <c r="T20" i="41"/>
  <c r="BF27" i="40"/>
  <c r="BG27" i="40" s="1"/>
  <c r="S67" i="73" s="1"/>
  <c r="AI27" i="8"/>
  <c r="AJ27" i="8"/>
  <c r="AD43" i="11"/>
  <c r="AD47" i="11" s="1"/>
  <c r="F76" i="41"/>
  <c r="AG56" i="8"/>
  <c r="AI56" i="8" s="1"/>
  <c r="T21" i="41"/>
  <c r="BM27" i="40"/>
  <c r="S71" i="44"/>
  <c r="F51" i="12"/>
  <c r="AJ28" i="8"/>
  <c r="AK28" i="8" s="1"/>
  <c r="AS28" i="8" s="1"/>
  <c r="O43" i="11"/>
  <c r="O47" i="11" s="1"/>
  <c r="O76" i="41"/>
  <c r="N85" i="41"/>
  <c r="AQ55" i="8"/>
  <c r="P76" i="73" s="1"/>
  <c r="P85" i="73" s="1"/>
  <c r="AF55" i="8"/>
  <c r="K24" i="12" l="1"/>
  <c r="R49" i="73"/>
  <c r="R48" i="73"/>
  <c r="S147" i="44"/>
  <c r="J36" i="60" s="1"/>
  <c r="J29" i="12"/>
  <c r="AX21" i="39"/>
  <c r="AZ21" i="39" s="1"/>
  <c r="AX16" i="39"/>
  <c r="AZ16" i="39" s="1"/>
  <c r="E24" i="12"/>
  <c r="E29" i="12"/>
  <c r="S151" i="44"/>
  <c r="J40" i="60" s="1"/>
  <c r="S152" i="44"/>
  <c r="J41" i="60" s="1"/>
  <c r="T67" i="41"/>
  <c r="AG77" i="14"/>
  <c r="AH76" i="14"/>
  <c r="H29" i="12"/>
  <c r="AX22" i="39"/>
  <c r="AZ22" i="39" s="1"/>
  <c r="H24" i="12"/>
  <c r="AY22" i="39"/>
  <c r="I77" i="41"/>
  <c r="I86" i="41" s="1"/>
  <c r="I77" i="73"/>
  <c r="I86" i="73" s="1"/>
  <c r="AK88" i="14"/>
  <c r="AL87" i="14"/>
  <c r="K76" i="14"/>
  <c r="L75" i="14"/>
  <c r="DJ17" i="39"/>
  <c r="AP22" i="40" s="1"/>
  <c r="AQ22" i="40" s="1"/>
  <c r="DM17" i="39"/>
  <c r="W146" i="28"/>
  <c r="W141" i="28"/>
  <c r="W143" i="28"/>
  <c r="X143" i="28" s="1"/>
  <c r="W142" i="28"/>
  <c r="X142" i="28" s="1"/>
  <c r="W134" i="28"/>
  <c r="W144" i="28"/>
  <c r="X144" i="28" s="1"/>
  <c r="W136" i="28"/>
  <c r="X136" i="28" s="1"/>
  <c r="W145" i="28"/>
  <c r="W140" i="28"/>
  <c r="X140" i="28" s="1"/>
  <c r="W135" i="28"/>
  <c r="X135" i="28" s="1"/>
  <c r="W139" i="28"/>
  <c r="X139" i="28" s="1"/>
  <c r="W137" i="28"/>
  <c r="X137" i="28" s="1"/>
  <c r="M61" i="41"/>
  <c r="L73" i="41"/>
  <c r="L82" i="41" s="1"/>
  <c r="M65" i="44" s="1"/>
  <c r="L73" i="73"/>
  <c r="W148" i="28"/>
  <c r="X148" i="28" s="1"/>
  <c r="W153" i="28"/>
  <c r="X153" i="28" s="1"/>
  <c r="W154" i="28"/>
  <c r="W147" i="28"/>
  <c r="X147" i="28" s="1"/>
  <c r="W157" i="28"/>
  <c r="X157" i="28" s="1"/>
  <c r="W156" i="28"/>
  <c r="X156" i="28" s="1"/>
  <c r="W155" i="28"/>
  <c r="X155" i="28" s="1"/>
  <c r="I98" i="11"/>
  <c r="I90" i="11"/>
  <c r="W152" i="28"/>
  <c r="X152" i="28" s="1"/>
  <c r="W151" i="28"/>
  <c r="X151" i="28" s="1"/>
  <c r="W150" i="28"/>
  <c r="X150" i="28" s="1"/>
  <c r="I29" i="12"/>
  <c r="DB16" i="39"/>
  <c r="DB15" i="39"/>
  <c r="CR15" i="39"/>
  <c r="CR14" i="39"/>
  <c r="J15" i="39"/>
  <c r="S148" i="51"/>
  <c r="R144" i="51"/>
  <c r="AU15" i="27"/>
  <c r="Q15" i="27"/>
  <c r="E14" i="27"/>
  <c r="E17" i="27" s="1"/>
  <c r="D15" i="27"/>
  <c r="E15" i="27" s="1"/>
  <c r="S23" i="60"/>
  <c r="T23" i="60"/>
  <c r="R18" i="60"/>
  <c r="AC28" i="60"/>
  <c r="AC27" i="60"/>
  <c r="AD23" i="60"/>
  <c r="AD24" i="60"/>
  <c r="AD27" i="60"/>
  <c r="AC12" i="60"/>
  <c r="AD28" i="60"/>
  <c r="Y18" i="60"/>
  <c r="AC11" i="60"/>
  <c r="Z16" i="39"/>
  <c r="AB16" i="39" s="1"/>
  <c r="F16" i="39"/>
  <c r="H16" i="39" s="1"/>
  <c r="AT56" i="14"/>
  <c r="AU55" i="14"/>
  <c r="H11" i="60"/>
  <c r="H12" i="60"/>
  <c r="H23" i="60"/>
  <c r="U115" i="18"/>
  <c r="U116" i="18"/>
  <c r="U110" i="18"/>
  <c r="U113" i="18"/>
  <c r="U121" i="18"/>
  <c r="U117" i="18"/>
  <c r="U118" i="18"/>
  <c r="U120" i="18"/>
  <c r="U119" i="18"/>
  <c r="P54" i="14"/>
  <c r="U144" i="29"/>
  <c r="T144" i="29"/>
  <c r="BE87" i="14"/>
  <c r="BE109" i="14"/>
  <c r="BE65" i="14"/>
  <c r="BE76" i="14"/>
  <c r="BE56" i="14"/>
  <c r="BE98" i="14"/>
  <c r="BE120" i="14"/>
  <c r="S179" i="36"/>
  <c r="AD90" i="14"/>
  <c r="AD67" i="14"/>
  <c r="AD123" i="14"/>
  <c r="AD101" i="14"/>
  <c r="AD56" i="14"/>
  <c r="AD112" i="14"/>
  <c r="AD78" i="14"/>
  <c r="S180" i="36"/>
  <c r="S176" i="36"/>
  <c r="S170" i="36"/>
  <c r="S177" i="36"/>
  <c r="S174" i="36"/>
  <c r="S175" i="36"/>
  <c r="S173" i="36"/>
  <c r="S181" i="36"/>
  <c r="S178" i="36"/>
  <c r="R54" i="14"/>
  <c r="S172" i="36"/>
  <c r="AC106" i="11"/>
  <c r="S187" i="36" s="1"/>
  <c r="AA89" i="11"/>
  <c r="AA97" i="11" s="1"/>
  <c r="J42" i="12" s="1"/>
  <c r="M95" i="11"/>
  <c r="K12" i="12" s="1"/>
  <c r="K26" i="12" s="1"/>
  <c r="AY18" i="39"/>
  <c r="F52" i="12"/>
  <c r="F54" i="12" s="1"/>
  <c r="P42" i="12"/>
  <c r="F44" i="12"/>
  <c r="E52" i="12"/>
  <c r="AY20" i="39"/>
  <c r="AY19" i="39"/>
  <c r="AY21" i="39"/>
  <c r="AY16" i="39"/>
  <c r="AY17" i="39"/>
  <c r="K25" i="8"/>
  <c r="L24" i="40"/>
  <c r="K23" i="40"/>
  <c r="CX17" i="39"/>
  <c r="CZ17" i="39" s="1"/>
  <c r="CN16" i="39"/>
  <c r="CP16" i="39" s="1"/>
  <c r="X140" i="34"/>
  <c r="X139" i="34"/>
  <c r="X136" i="34"/>
  <c r="X135" i="34"/>
  <c r="X134" i="34"/>
  <c r="X138" i="34"/>
  <c r="X137" i="34"/>
  <c r="X145" i="34"/>
  <c r="X144" i="34"/>
  <c r="X143" i="34"/>
  <c r="X142" i="34"/>
  <c r="X141" i="34"/>
  <c r="Z17" i="39"/>
  <c r="AB17" i="39" s="1"/>
  <c r="T157" i="30"/>
  <c r="T156" i="30"/>
  <c r="T155" i="30"/>
  <c r="T153" i="30"/>
  <c r="T154" i="30"/>
  <c r="T152" i="30"/>
  <c r="T151" i="30"/>
  <c r="T150" i="30"/>
  <c r="T149" i="30"/>
  <c r="T148" i="30"/>
  <c r="T147" i="30"/>
  <c r="T146" i="30"/>
  <c r="V134" i="29"/>
  <c r="V143" i="29"/>
  <c r="V142" i="29"/>
  <c r="V141" i="29"/>
  <c r="V140" i="29"/>
  <c r="V139" i="29"/>
  <c r="V138" i="29"/>
  <c r="V137" i="29"/>
  <c r="V136" i="29"/>
  <c r="V135" i="29"/>
  <c r="X149" i="28"/>
  <c r="R136" i="44"/>
  <c r="Z15" i="39"/>
  <c r="AB15" i="39" s="1"/>
  <c r="U171" i="35"/>
  <c r="U172" i="35"/>
  <c r="U173" i="35"/>
  <c r="U174" i="35"/>
  <c r="U175" i="35"/>
  <c r="U176" i="35"/>
  <c r="U177" i="35"/>
  <c r="U178" i="35"/>
  <c r="U170" i="35"/>
  <c r="U179" i="35"/>
  <c r="U180" i="35"/>
  <c r="U181" i="35"/>
  <c r="W158" i="34"/>
  <c r="W159" i="34"/>
  <c r="W160" i="34"/>
  <c r="W161" i="34"/>
  <c r="W169" i="34"/>
  <c r="W162" i="34"/>
  <c r="W163" i="34"/>
  <c r="W164" i="34"/>
  <c r="W165" i="34"/>
  <c r="W168" i="34"/>
  <c r="W166" i="34"/>
  <c r="W167" i="34"/>
  <c r="S158" i="30"/>
  <c r="S159" i="30"/>
  <c r="S160" i="30"/>
  <c r="S161" i="30"/>
  <c r="S162" i="30"/>
  <c r="S163" i="30"/>
  <c r="S164" i="30"/>
  <c r="S165" i="30"/>
  <c r="S166" i="30"/>
  <c r="S167" i="30"/>
  <c r="S168" i="30"/>
  <c r="S169" i="30"/>
  <c r="Q14" i="27"/>
  <c r="Q17" i="27" s="1"/>
  <c r="AU17" i="27"/>
  <c r="G40" i="12"/>
  <c r="X98" i="11"/>
  <c r="Q42" i="12" s="1"/>
  <c r="X90" i="11"/>
  <c r="E50" i="12"/>
  <c r="E44" i="12"/>
  <c r="Y86" i="11"/>
  <c r="Y94" i="11" s="1"/>
  <c r="AA86" i="11"/>
  <c r="L103" i="11"/>
  <c r="Z88" i="11"/>
  <c r="Z96" i="11" s="1"/>
  <c r="AB86" i="11"/>
  <c r="AB69" i="11"/>
  <c r="AB103" i="11" s="1"/>
  <c r="N103" i="11"/>
  <c r="M103" i="11"/>
  <c r="K88" i="11"/>
  <c r="K96" i="11" s="1"/>
  <c r="M105" i="11"/>
  <c r="O103" i="11"/>
  <c r="W205" i="28" s="1"/>
  <c r="L86" i="11"/>
  <c r="K86" i="11"/>
  <c r="J86" i="11"/>
  <c r="J94" i="11" s="1"/>
  <c r="H11" i="12" s="1"/>
  <c r="AD81" i="11"/>
  <c r="Q178" i="44"/>
  <c r="Q198" i="44" s="1"/>
  <c r="S141" i="44"/>
  <c r="R141" i="44"/>
  <c r="R140" i="44"/>
  <c r="S140" i="44"/>
  <c r="Q179" i="44"/>
  <c r="Q199" i="44" s="1"/>
  <c r="R124" i="44"/>
  <c r="R125" i="44"/>
  <c r="S9" i="44"/>
  <c r="S10" i="44"/>
  <c r="R49" i="41"/>
  <c r="S62" i="44" s="1"/>
  <c r="R48" i="41"/>
  <c r="S61" i="44" s="1"/>
  <c r="B145" i="29"/>
  <c r="C145" i="29"/>
  <c r="A146" i="29"/>
  <c r="M16" i="44"/>
  <c r="L131" i="44"/>
  <c r="BS88" i="14"/>
  <c r="BS121" i="14"/>
  <c r="BS99" i="14"/>
  <c r="BS110" i="14"/>
  <c r="BS66" i="14"/>
  <c r="BS55" i="14"/>
  <c r="BS77" i="14"/>
  <c r="AY66" i="14"/>
  <c r="BO99" i="14"/>
  <c r="BO110" i="14"/>
  <c r="BO55" i="14"/>
  <c r="BC54" i="14"/>
  <c r="BC76" i="14"/>
  <c r="AY99" i="14"/>
  <c r="BO88" i="14"/>
  <c r="AY55" i="14"/>
  <c r="AY110" i="14"/>
  <c r="BO66" i="14"/>
  <c r="BC99" i="14"/>
  <c r="BC87" i="14"/>
  <c r="BO121" i="14"/>
  <c r="BO77" i="14"/>
  <c r="AY88" i="14"/>
  <c r="BC65" i="14"/>
  <c r="AY77" i="14"/>
  <c r="AY121" i="14"/>
  <c r="AU101" i="14"/>
  <c r="AU68" i="14"/>
  <c r="AU112" i="14"/>
  <c r="AU79" i="14"/>
  <c r="AU123" i="14"/>
  <c r="AU90" i="14"/>
  <c r="H79" i="14"/>
  <c r="AH67" i="14"/>
  <c r="AH56" i="14"/>
  <c r="H101" i="14"/>
  <c r="H90" i="14"/>
  <c r="AL67" i="14"/>
  <c r="L55" i="14"/>
  <c r="AL56" i="14"/>
  <c r="AL78" i="14"/>
  <c r="H68" i="14"/>
  <c r="AL111" i="14"/>
  <c r="AH89" i="14"/>
  <c r="H47" i="14"/>
  <c r="AH122" i="14"/>
  <c r="L110" i="14"/>
  <c r="H57" i="14"/>
  <c r="AH111" i="14"/>
  <c r="AL100" i="14"/>
  <c r="AL122" i="14"/>
  <c r="AH100" i="14"/>
  <c r="L66" i="14"/>
  <c r="L99" i="14"/>
  <c r="H123" i="14"/>
  <c r="H112" i="14"/>
  <c r="L121" i="14"/>
  <c r="L88" i="14"/>
  <c r="L118" i="44"/>
  <c r="N131" i="44"/>
  <c r="O67" i="44"/>
  <c r="R17" i="44"/>
  <c r="P55" i="14"/>
  <c r="BC120" i="14"/>
  <c r="AB112" i="14"/>
  <c r="AB90" i="14"/>
  <c r="AB79" i="14"/>
  <c r="AB67" i="14"/>
  <c r="BC110" i="14"/>
  <c r="AB123" i="14"/>
  <c r="AB101" i="14"/>
  <c r="H27" i="12"/>
  <c r="AD46" i="11"/>
  <c r="AD48" i="11" s="1"/>
  <c r="AD50" i="11" s="1"/>
  <c r="AD74" i="11" s="1"/>
  <c r="AD76" i="11" s="1"/>
  <c r="AD75" i="11"/>
  <c r="F85" i="41"/>
  <c r="AC77" i="11"/>
  <c r="AC105" i="11" s="1"/>
  <c r="AJ55" i="8"/>
  <c r="AK55" i="8" s="1"/>
  <c r="AS55" i="8" s="1"/>
  <c r="R76" i="73" s="1"/>
  <c r="AK27" i="8"/>
  <c r="AR27" i="8"/>
  <c r="H76" i="73" s="1"/>
  <c r="H85" i="73" s="1"/>
  <c r="N76" i="11"/>
  <c r="N77" i="11" s="1"/>
  <c r="O75" i="11"/>
  <c r="G27" i="12"/>
  <c r="Q17" i="44"/>
  <c r="O46" i="11"/>
  <c r="O48" i="11" s="1"/>
  <c r="O50" i="11" s="1"/>
  <c r="O74" i="11" s="1"/>
  <c r="O76" i="11" s="1"/>
  <c r="S136" i="44"/>
  <c r="P76" i="41"/>
  <c r="AR55" i="8"/>
  <c r="Q76" i="73" s="1"/>
  <c r="Q85" i="73" s="1"/>
  <c r="O85" i="41"/>
  <c r="T12" i="60" l="1"/>
  <c r="T11" i="60"/>
  <c r="L3" i="73"/>
  <c r="K16" i="73"/>
  <c r="L16" i="73"/>
  <c r="L17" i="73"/>
  <c r="M17" i="73"/>
  <c r="L44" i="73" s="1"/>
  <c r="R7" i="73"/>
  <c r="H46" i="73" s="1"/>
  <c r="P7" i="73"/>
  <c r="F46" i="73" s="1"/>
  <c r="Q7" i="73"/>
  <c r="G46" i="73" s="1"/>
  <c r="S7" i="73"/>
  <c r="I46" i="73" s="1"/>
  <c r="O7" i="73"/>
  <c r="E46" i="73" s="1"/>
  <c r="T7" i="41"/>
  <c r="N7" i="73"/>
  <c r="D46" i="73" s="1"/>
  <c r="M7" i="73"/>
  <c r="C46" i="73" s="1"/>
  <c r="AG25" i="8"/>
  <c r="AI25" i="8" s="1"/>
  <c r="R85" i="73"/>
  <c r="AG78" i="14"/>
  <c r="AH77" i="14"/>
  <c r="AK89" i="14"/>
  <c r="AL88" i="14"/>
  <c r="K77" i="14"/>
  <c r="L76" i="14"/>
  <c r="DL17" i="39"/>
  <c r="X154" i="28"/>
  <c r="X146" i="28"/>
  <c r="X141" i="28"/>
  <c r="X134" i="28"/>
  <c r="X145" i="28"/>
  <c r="X15" i="60"/>
  <c r="M3" i="41"/>
  <c r="M25" i="8"/>
  <c r="O25" i="8" s="1"/>
  <c r="N17" i="41"/>
  <c r="L44" i="41" s="1"/>
  <c r="M58" i="44" s="1"/>
  <c r="M17" i="41"/>
  <c r="M16" i="41"/>
  <c r="DB17" i="39"/>
  <c r="AD17" i="39"/>
  <c r="AD15" i="39"/>
  <c r="AD16" i="39"/>
  <c r="Q144" i="51"/>
  <c r="R148" i="51"/>
  <c r="J16" i="39"/>
  <c r="I23" i="60"/>
  <c r="S19" i="60"/>
  <c r="R19" i="60"/>
  <c r="N18" i="60"/>
  <c r="AD11" i="60"/>
  <c r="AD12" i="60"/>
  <c r="Z18" i="60"/>
  <c r="AT57" i="14"/>
  <c r="AU56" i="14"/>
  <c r="J23" i="60"/>
  <c r="I12" i="60"/>
  <c r="I11" i="60"/>
  <c r="J27" i="60"/>
  <c r="N185" i="44"/>
  <c r="E18" i="60"/>
  <c r="I27" i="60"/>
  <c r="I28" i="60"/>
  <c r="J28" i="60"/>
  <c r="L172" i="44"/>
  <c r="L192" i="44" s="1"/>
  <c r="C5" i="60"/>
  <c r="L185" i="44"/>
  <c r="L205" i="44" s="1"/>
  <c r="C18" i="60"/>
  <c r="V144" i="29"/>
  <c r="K53" i="8"/>
  <c r="AU22" i="40"/>
  <c r="U122" i="18"/>
  <c r="Q18" i="27" s="1"/>
  <c r="T145" i="29"/>
  <c r="U145" i="29"/>
  <c r="BE121" i="14"/>
  <c r="BE99" i="14"/>
  <c r="BE58" i="14"/>
  <c r="M132" i="73" s="1"/>
  <c r="BE57" i="14"/>
  <c r="BE77" i="14"/>
  <c r="BE66" i="14"/>
  <c r="BE110" i="14"/>
  <c r="BE88" i="14"/>
  <c r="S188" i="36"/>
  <c r="S185" i="36"/>
  <c r="AD79" i="14"/>
  <c r="AD113" i="14"/>
  <c r="AD58" i="14"/>
  <c r="M122" i="73" s="1"/>
  <c r="AD57" i="14"/>
  <c r="AD102" i="14"/>
  <c r="AD124" i="14"/>
  <c r="AD68" i="14"/>
  <c r="AD91" i="14"/>
  <c r="S189" i="36"/>
  <c r="S193" i="36"/>
  <c r="S191" i="36"/>
  <c r="S184" i="36"/>
  <c r="S186" i="36"/>
  <c r="S182" i="36"/>
  <c r="S192" i="36"/>
  <c r="R55" i="14"/>
  <c r="S190" i="36"/>
  <c r="S183" i="36"/>
  <c r="AD106" i="11"/>
  <c r="S205" i="36" s="1"/>
  <c r="AB89" i="11"/>
  <c r="AB97" i="11" s="1"/>
  <c r="K42" i="12" s="1"/>
  <c r="P7" i="41"/>
  <c r="E46" i="41" s="1"/>
  <c r="Q44" i="12"/>
  <c r="Q52" i="12"/>
  <c r="Q54" i="12" s="1"/>
  <c r="P44" i="12"/>
  <c r="P52" i="12"/>
  <c r="P54" i="12" s="1"/>
  <c r="O44" i="12"/>
  <c r="O52" i="12"/>
  <c r="O54" i="12" s="1"/>
  <c r="CN17" i="39"/>
  <c r="CP17" i="39" s="1"/>
  <c r="C25" i="8"/>
  <c r="N7" i="41"/>
  <c r="C46" i="41" s="1"/>
  <c r="Q7" i="41"/>
  <c r="F46" i="41" s="1"/>
  <c r="R25" i="8"/>
  <c r="T25" i="8" s="1"/>
  <c r="W25" i="8"/>
  <c r="Y25" i="8" s="1"/>
  <c r="R7" i="41"/>
  <c r="G46" i="41" s="1"/>
  <c r="AB25" i="8"/>
  <c r="AD25" i="8" s="1"/>
  <c r="S7" i="41"/>
  <c r="H46" i="41" s="1"/>
  <c r="P25" i="8"/>
  <c r="L25" i="40"/>
  <c r="K24" i="40"/>
  <c r="H25" i="8"/>
  <c r="J25" i="8" s="1"/>
  <c r="L25" i="8" s="1"/>
  <c r="AN25" i="8" s="1"/>
  <c r="O7" i="41"/>
  <c r="D46" i="41" s="1"/>
  <c r="Z18" i="39"/>
  <c r="AB18" i="39" s="1"/>
  <c r="T169" i="30"/>
  <c r="T168" i="30"/>
  <c r="T167" i="30"/>
  <c r="T166" i="30"/>
  <c r="T165" i="30"/>
  <c r="T164" i="30"/>
  <c r="T163" i="30"/>
  <c r="T162" i="30"/>
  <c r="T161" i="30"/>
  <c r="T160" i="30"/>
  <c r="T159" i="30"/>
  <c r="T158" i="30"/>
  <c r="G44" i="12"/>
  <c r="U187" i="35"/>
  <c r="U188" i="35"/>
  <c r="U189" i="35"/>
  <c r="U190" i="35"/>
  <c r="U191" i="35"/>
  <c r="U192" i="35"/>
  <c r="U193" i="35"/>
  <c r="U185" i="35"/>
  <c r="U186" i="35"/>
  <c r="U182" i="35"/>
  <c r="U183" i="35"/>
  <c r="U184" i="35"/>
  <c r="W171" i="34"/>
  <c r="W172" i="34"/>
  <c r="W173" i="34"/>
  <c r="W174" i="34"/>
  <c r="W175" i="34"/>
  <c r="W176" i="34"/>
  <c r="W170" i="34"/>
  <c r="W177" i="34"/>
  <c r="W178" i="34"/>
  <c r="W179" i="34"/>
  <c r="W180" i="34"/>
  <c r="W181" i="34"/>
  <c r="S171" i="30"/>
  <c r="S173" i="30"/>
  <c r="S172" i="30"/>
  <c r="S174" i="30"/>
  <c r="S175" i="30"/>
  <c r="S176" i="30"/>
  <c r="S177" i="30"/>
  <c r="S178" i="30"/>
  <c r="S179" i="30"/>
  <c r="S180" i="30"/>
  <c r="S181" i="30"/>
  <c r="S170" i="30"/>
  <c r="W158" i="28"/>
  <c r="W159" i="28"/>
  <c r="W161" i="28"/>
  <c r="W163" i="28"/>
  <c r="W164" i="28"/>
  <c r="W162" i="28"/>
  <c r="W165" i="28"/>
  <c r="W166" i="28"/>
  <c r="W167" i="28"/>
  <c r="W168" i="28"/>
  <c r="W169" i="28"/>
  <c r="W160" i="28"/>
  <c r="W203" i="28"/>
  <c r="W204" i="28"/>
  <c r="X205" i="28"/>
  <c r="W195" i="28"/>
  <c r="W196" i="28"/>
  <c r="W197" i="28"/>
  <c r="W194" i="28"/>
  <c r="W198" i="28"/>
  <c r="W202" i="28"/>
  <c r="W199" i="28"/>
  <c r="W200" i="28"/>
  <c r="W201" i="28"/>
  <c r="W171" i="28"/>
  <c r="W172" i="28"/>
  <c r="W178" i="28"/>
  <c r="W173" i="28"/>
  <c r="W174" i="28"/>
  <c r="W175" i="28"/>
  <c r="W177" i="28"/>
  <c r="W179" i="28"/>
  <c r="W180" i="28"/>
  <c r="W170" i="28"/>
  <c r="W181" i="28"/>
  <c r="W176" i="28"/>
  <c r="W187" i="28"/>
  <c r="W188" i="28"/>
  <c r="W192" i="28"/>
  <c r="W189" i="28"/>
  <c r="W190" i="28"/>
  <c r="W191" i="28"/>
  <c r="W193" i="28"/>
  <c r="W186" i="28"/>
  <c r="W182" i="28"/>
  <c r="W183" i="28"/>
  <c r="W184" i="28"/>
  <c r="W185" i="28"/>
  <c r="J98" i="11"/>
  <c r="AD103" i="11"/>
  <c r="AC103" i="11"/>
  <c r="CR16" i="39"/>
  <c r="E54" i="12"/>
  <c r="Y90" i="11"/>
  <c r="H40" i="12"/>
  <c r="Y98" i="11"/>
  <c r="R42" i="12" s="1"/>
  <c r="Z86" i="11"/>
  <c r="AA88" i="11"/>
  <c r="AA90" i="11" s="1"/>
  <c r="K90" i="11"/>
  <c r="L94" i="11"/>
  <c r="J11" i="12" s="1"/>
  <c r="K94" i="11"/>
  <c r="I11" i="12" s="1"/>
  <c r="L88" i="11"/>
  <c r="L96" i="11" s="1"/>
  <c r="N105" i="11"/>
  <c r="M94" i="11"/>
  <c r="K11" i="12" s="1"/>
  <c r="J90" i="11"/>
  <c r="H25" i="12"/>
  <c r="R179" i="44"/>
  <c r="R199" i="44" s="1"/>
  <c r="R178" i="44"/>
  <c r="R198" i="44" s="1"/>
  <c r="S124" i="44"/>
  <c r="S125" i="44"/>
  <c r="A147" i="29"/>
  <c r="C146" i="29"/>
  <c r="B146" i="29"/>
  <c r="M131" i="44"/>
  <c r="BS122" i="14"/>
  <c r="BS111" i="14"/>
  <c r="BS89" i="14"/>
  <c r="BS56" i="14"/>
  <c r="BS67" i="14"/>
  <c r="BS78" i="14"/>
  <c r="BS100" i="14"/>
  <c r="BC66" i="14"/>
  <c r="BC88" i="14"/>
  <c r="AY56" i="14"/>
  <c r="BC77" i="14"/>
  <c r="AY122" i="14"/>
  <c r="BC55" i="14"/>
  <c r="BC100" i="14"/>
  <c r="BO100" i="14"/>
  <c r="AY89" i="14"/>
  <c r="BO78" i="14"/>
  <c r="BO67" i="14"/>
  <c r="BO89" i="14"/>
  <c r="BO56" i="14"/>
  <c r="AY67" i="14"/>
  <c r="AY111" i="14"/>
  <c r="AY78" i="14"/>
  <c r="BO122" i="14"/>
  <c r="AY100" i="14"/>
  <c r="BO111" i="14"/>
  <c r="AU91" i="14"/>
  <c r="AU124" i="14"/>
  <c r="AU69" i="14"/>
  <c r="AU80" i="14"/>
  <c r="AU102" i="14"/>
  <c r="AU113" i="14"/>
  <c r="AH57" i="14"/>
  <c r="AL101" i="14"/>
  <c r="L111" i="14"/>
  <c r="L67" i="14"/>
  <c r="AH112" i="14"/>
  <c r="H69" i="14"/>
  <c r="H124" i="14"/>
  <c r="AH90" i="14"/>
  <c r="H58" i="14"/>
  <c r="H59" i="14"/>
  <c r="H91" i="14"/>
  <c r="H80" i="14"/>
  <c r="AL79" i="14"/>
  <c r="AH101" i="14"/>
  <c r="AL57" i="14"/>
  <c r="H102" i="14"/>
  <c r="AL112" i="14"/>
  <c r="AL68" i="14"/>
  <c r="L122" i="14"/>
  <c r="AL123" i="14"/>
  <c r="AH123" i="14"/>
  <c r="L56" i="14"/>
  <c r="L100" i="14"/>
  <c r="AH68" i="14"/>
  <c r="L89" i="14"/>
  <c r="H113" i="14"/>
  <c r="O131" i="44"/>
  <c r="P67" i="44"/>
  <c r="S17" i="44"/>
  <c r="AB124" i="14"/>
  <c r="AB80" i="14"/>
  <c r="BC121" i="14"/>
  <c r="AB102" i="14"/>
  <c r="P56" i="14"/>
  <c r="BC111" i="14"/>
  <c r="AB91" i="14"/>
  <c r="AB113" i="14"/>
  <c r="AB68" i="14"/>
  <c r="AD77" i="11"/>
  <c r="AS27" i="8"/>
  <c r="I76" i="73" s="1"/>
  <c r="I85" i="73" s="1"/>
  <c r="I13" i="12"/>
  <c r="H76" i="41"/>
  <c r="I41" i="12"/>
  <c r="P16" i="44"/>
  <c r="O77" i="11"/>
  <c r="M88" i="11" s="1"/>
  <c r="Q76" i="41"/>
  <c r="P85" i="41"/>
  <c r="R76" i="41"/>
  <c r="M16" i="73" l="1"/>
  <c r="M3" i="73"/>
  <c r="M5" i="73"/>
  <c r="L5" i="73"/>
  <c r="N18" i="73"/>
  <c r="M45" i="73" s="1"/>
  <c r="N5" i="73"/>
  <c r="D44" i="73" s="1"/>
  <c r="N17" i="73"/>
  <c r="M44" i="73" s="1"/>
  <c r="N65" i="73"/>
  <c r="I46" i="41"/>
  <c r="S7" i="44" s="1"/>
  <c r="L82" i="73"/>
  <c r="AG79" i="14"/>
  <c r="AH78" i="14"/>
  <c r="AK90" i="14"/>
  <c r="AL89" i="14"/>
  <c r="K78" i="14"/>
  <c r="L77" i="14"/>
  <c r="H53" i="8"/>
  <c r="J53" i="8" s="1"/>
  <c r="L53" i="8" s="1"/>
  <c r="AN53" i="8" s="1"/>
  <c r="O18" i="41"/>
  <c r="M45" i="41" s="1"/>
  <c r="N59" i="44" s="1"/>
  <c r="F18" i="39"/>
  <c r="H18" i="39" s="1"/>
  <c r="F17" i="39"/>
  <c r="H17" i="39" s="1"/>
  <c r="O5" i="41"/>
  <c r="D44" i="41" s="1"/>
  <c r="N5" i="44" s="1"/>
  <c r="D74" i="41"/>
  <c r="D74" i="73"/>
  <c r="M5" i="41"/>
  <c r="N16" i="41"/>
  <c r="L42" i="41" s="1"/>
  <c r="M57" i="44" s="1"/>
  <c r="N5" i="41"/>
  <c r="C44" i="41" s="1"/>
  <c r="M5" i="44" s="1"/>
  <c r="N3" i="41"/>
  <c r="C42" i="41" s="1"/>
  <c r="M3" i="44" s="1"/>
  <c r="O17" i="41"/>
  <c r="M44" i="41" s="1"/>
  <c r="N58" i="44" s="1"/>
  <c r="O65" i="41"/>
  <c r="CR17" i="39"/>
  <c r="AD18" i="39"/>
  <c r="P144" i="51"/>
  <c r="Q148" i="51"/>
  <c r="J12" i="60"/>
  <c r="J11" i="60"/>
  <c r="Q18" i="60"/>
  <c r="T19" i="60"/>
  <c r="F18" i="60"/>
  <c r="X7" i="60"/>
  <c r="N7" i="44"/>
  <c r="AA18" i="60"/>
  <c r="Q7" i="44"/>
  <c r="R7" i="44"/>
  <c r="M7" i="44"/>
  <c r="O7" i="44"/>
  <c r="P7" i="44"/>
  <c r="M122" i="41"/>
  <c r="M34" i="44" s="1"/>
  <c r="M150" i="44" s="1"/>
  <c r="M132" i="41"/>
  <c r="M80" i="44" s="1"/>
  <c r="X37" i="60" s="1"/>
  <c r="AT58" i="14"/>
  <c r="AU57" i="14"/>
  <c r="M185" i="44"/>
  <c r="M205" i="44" s="1"/>
  <c r="D18" i="60"/>
  <c r="S203" i="36"/>
  <c r="T146" i="29"/>
  <c r="U146" i="29"/>
  <c r="V145" i="29"/>
  <c r="BE89" i="14"/>
  <c r="BE111" i="14"/>
  <c r="BE67" i="14"/>
  <c r="BE78" i="14"/>
  <c r="BC101" i="14"/>
  <c r="BE100" i="14"/>
  <c r="BE122" i="14"/>
  <c r="S196" i="36"/>
  <c r="S198" i="36"/>
  <c r="S200" i="36"/>
  <c r="S199" i="36"/>
  <c r="AD92" i="14"/>
  <c r="AD70" i="14"/>
  <c r="N122" i="73" s="1"/>
  <c r="AD69" i="14"/>
  <c r="AD125" i="14"/>
  <c r="AD103" i="14"/>
  <c r="AD114" i="14"/>
  <c r="AD80" i="14"/>
  <c r="S202" i="36"/>
  <c r="S197" i="36"/>
  <c r="S204" i="36"/>
  <c r="S195" i="36"/>
  <c r="S194" i="36"/>
  <c r="S201" i="36"/>
  <c r="R56" i="14"/>
  <c r="AD105" i="11"/>
  <c r="U204" i="35" s="1"/>
  <c r="AB88" i="11"/>
  <c r="AB90" i="11" s="1"/>
  <c r="R44" i="12"/>
  <c r="R52" i="12"/>
  <c r="R54" i="12" s="1"/>
  <c r="H44" i="12"/>
  <c r="S179" i="44"/>
  <c r="S199" i="44" s="1"/>
  <c r="S178" i="44"/>
  <c r="S198" i="44" s="1"/>
  <c r="Q25" i="8"/>
  <c r="AO25" i="8" s="1"/>
  <c r="U25" i="8"/>
  <c r="L26" i="40"/>
  <c r="K25" i="40"/>
  <c r="E25" i="8"/>
  <c r="Z19" i="39"/>
  <c r="AB19" i="39" s="1"/>
  <c r="T170" i="30"/>
  <c r="T181" i="30"/>
  <c r="T180" i="30"/>
  <c r="T179" i="30"/>
  <c r="T178" i="30"/>
  <c r="T177" i="30"/>
  <c r="T176" i="30"/>
  <c r="T175" i="30"/>
  <c r="T174" i="30"/>
  <c r="T172" i="30"/>
  <c r="T173" i="30"/>
  <c r="T171" i="30"/>
  <c r="X189" i="28"/>
  <c r="X201" i="28"/>
  <c r="X166" i="28"/>
  <c r="X192" i="28"/>
  <c r="X200" i="28"/>
  <c r="X165" i="28"/>
  <c r="X188" i="28"/>
  <c r="X199" i="28"/>
  <c r="X162" i="28"/>
  <c r="X187" i="28"/>
  <c r="X202" i="28"/>
  <c r="X164" i="28"/>
  <c r="X176" i="28"/>
  <c r="X198" i="28"/>
  <c r="X163" i="28"/>
  <c r="X181" i="28"/>
  <c r="X194" i="28"/>
  <c r="X161" i="28"/>
  <c r="X170" i="28"/>
  <c r="X197" i="28"/>
  <c r="X159" i="28"/>
  <c r="X180" i="28"/>
  <c r="X196" i="28"/>
  <c r="X158" i="28"/>
  <c r="X185" i="28"/>
  <c r="X179" i="28"/>
  <c r="X195" i="28"/>
  <c r="X184" i="28"/>
  <c r="X177" i="28"/>
  <c r="X183" i="28"/>
  <c r="X175" i="28"/>
  <c r="X204" i="28"/>
  <c r="X182" i="28"/>
  <c r="X174" i="28"/>
  <c r="X203" i="28"/>
  <c r="X186" i="28"/>
  <c r="X173" i="28"/>
  <c r="X160" i="28"/>
  <c r="X193" i="28"/>
  <c r="X178" i="28"/>
  <c r="X169" i="28"/>
  <c r="X191" i="28"/>
  <c r="X172" i="28"/>
  <c r="X168" i="28"/>
  <c r="X190" i="28"/>
  <c r="X171" i="28"/>
  <c r="X167" i="28"/>
  <c r="W187" i="34"/>
  <c r="W188" i="34"/>
  <c r="W189" i="34"/>
  <c r="W190" i="34"/>
  <c r="W191" i="34"/>
  <c r="W192" i="34"/>
  <c r="W193" i="34"/>
  <c r="W184" i="34"/>
  <c r="W182" i="34"/>
  <c r="W183" i="34"/>
  <c r="W185" i="34"/>
  <c r="W186" i="34"/>
  <c r="W203" i="34"/>
  <c r="W204" i="34"/>
  <c r="W205" i="34"/>
  <c r="W202" i="34"/>
  <c r="W194" i="34"/>
  <c r="W195" i="34"/>
  <c r="W196" i="34"/>
  <c r="W200" i="34"/>
  <c r="W197" i="34"/>
  <c r="W201" i="34"/>
  <c r="W198" i="34"/>
  <c r="W199" i="34"/>
  <c r="S187" i="30"/>
  <c r="S188" i="30"/>
  <c r="S189" i="30"/>
  <c r="S190" i="30"/>
  <c r="S191" i="30"/>
  <c r="S192" i="30"/>
  <c r="S193" i="30"/>
  <c r="S186" i="30"/>
  <c r="S182" i="30"/>
  <c r="S183" i="30"/>
  <c r="S184" i="30"/>
  <c r="S185" i="30"/>
  <c r="K98" i="11"/>
  <c r="L90" i="11"/>
  <c r="AA96" i="11"/>
  <c r="J41" i="12" s="1"/>
  <c r="AB94" i="11"/>
  <c r="K40" i="12" s="1"/>
  <c r="Z94" i="11"/>
  <c r="Z90" i="11"/>
  <c r="AA94" i="11"/>
  <c r="J40" i="12" s="1"/>
  <c r="I25" i="12"/>
  <c r="K25" i="12"/>
  <c r="J25" i="12"/>
  <c r="O105" i="11"/>
  <c r="O185" i="44"/>
  <c r="O205" i="44" s="1"/>
  <c r="B147" i="29"/>
  <c r="A148" i="29"/>
  <c r="C147" i="29"/>
  <c r="BS68" i="14"/>
  <c r="BS90" i="14"/>
  <c r="BS112" i="14"/>
  <c r="BS47" i="14"/>
  <c r="BS101" i="14"/>
  <c r="BS57" i="14"/>
  <c r="BS123" i="14"/>
  <c r="BS79" i="14"/>
  <c r="BO101" i="14"/>
  <c r="BO123" i="14"/>
  <c r="BO79" i="14"/>
  <c r="BC56" i="14"/>
  <c r="AY57" i="14"/>
  <c r="BO57" i="14"/>
  <c r="AY47" i="14"/>
  <c r="AY79" i="14"/>
  <c r="BO90" i="14"/>
  <c r="AY90" i="14"/>
  <c r="BO112" i="14"/>
  <c r="AY123" i="14"/>
  <c r="BC89" i="14"/>
  <c r="AY112" i="14"/>
  <c r="AY101" i="14"/>
  <c r="BC67" i="14"/>
  <c r="BO68" i="14"/>
  <c r="BO47" i="14"/>
  <c r="BC78" i="14"/>
  <c r="AY68" i="14"/>
  <c r="BC47" i="14"/>
  <c r="AU70" i="14"/>
  <c r="AU71" i="14"/>
  <c r="AU114" i="14"/>
  <c r="AU125" i="14"/>
  <c r="AU103" i="14"/>
  <c r="AU81" i="14"/>
  <c r="AU92" i="14"/>
  <c r="AL113" i="14"/>
  <c r="AH102" i="14"/>
  <c r="AH124" i="14"/>
  <c r="L68" i="14"/>
  <c r="AH58" i="14"/>
  <c r="AH59" i="14"/>
  <c r="H114" i="14"/>
  <c r="L101" i="14"/>
  <c r="AL80" i="14"/>
  <c r="H103" i="14"/>
  <c r="L90" i="14"/>
  <c r="AL124" i="14"/>
  <c r="AH91" i="14"/>
  <c r="L123" i="14"/>
  <c r="H81" i="14"/>
  <c r="AH69" i="14"/>
  <c r="H125" i="14"/>
  <c r="L112" i="14"/>
  <c r="L57" i="14"/>
  <c r="AL102" i="14"/>
  <c r="AL69" i="14"/>
  <c r="H70" i="14"/>
  <c r="H71" i="14"/>
  <c r="AL58" i="14"/>
  <c r="AL59" i="14"/>
  <c r="H92" i="14"/>
  <c r="AH113" i="14"/>
  <c r="Q67" i="44"/>
  <c r="AB69" i="14"/>
  <c r="AB103" i="14"/>
  <c r="AB92" i="14"/>
  <c r="BC122" i="14"/>
  <c r="AB125" i="14"/>
  <c r="BC112" i="14"/>
  <c r="AB81" i="14"/>
  <c r="AB114" i="14"/>
  <c r="P57" i="14"/>
  <c r="P131" i="44"/>
  <c r="I76" i="41"/>
  <c r="I27" i="12"/>
  <c r="C48" i="14"/>
  <c r="D47" i="14"/>
  <c r="H85" i="41"/>
  <c r="J13" i="12"/>
  <c r="L98" i="11"/>
  <c r="R85" i="41"/>
  <c r="Q85" i="41"/>
  <c r="N7" i="60" l="1"/>
  <c r="Y8" i="60"/>
  <c r="N5" i="60"/>
  <c r="X5" i="60"/>
  <c r="R9" i="60"/>
  <c r="T9" i="60"/>
  <c r="Q9" i="60"/>
  <c r="S9" i="60"/>
  <c r="M130" i="73"/>
  <c r="O5" i="73"/>
  <c r="E44" i="73" s="1"/>
  <c r="N16" i="73"/>
  <c r="AG80" i="14"/>
  <c r="AH79" i="14"/>
  <c r="AK91" i="14"/>
  <c r="AL90" i="14"/>
  <c r="K79" i="14"/>
  <c r="L78" i="14"/>
  <c r="J18" i="39"/>
  <c r="J17" i="39"/>
  <c r="M120" i="44"/>
  <c r="M118" i="44"/>
  <c r="C44" i="73"/>
  <c r="P5" i="41"/>
  <c r="E44" i="41" s="1"/>
  <c r="O5" i="44" s="1"/>
  <c r="C42" i="73"/>
  <c r="L42" i="73"/>
  <c r="M73" i="41"/>
  <c r="M82" i="41" s="1"/>
  <c r="N65" i="44" s="1"/>
  <c r="M73" i="73"/>
  <c r="E74" i="41"/>
  <c r="E74" i="73"/>
  <c r="O16" i="41"/>
  <c r="M42" i="41" s="1"/>
  <c r="N57" i="44" s="1"/>
  <c r="AD19" i="39"/>
  <c r="O144" i="51"/>
  <c r="P148" i="51"/>
  <c r="G18" i="60"/>
  <c r="O7" i="60"/>
  <c r="O9" i="60"/>
  <c r="N9" i="60"/>
  <c r="P9" i="60"/>
  <c r="AB18" i="60"/>
  <c r="Y7" i="60"/>
  <c r="N122" i="41"/>
  <c r="N34" i="44" s="1"/>
  <c r="N150" i="44" s="1"/>
  <c r="D39" i="60"/>
  <c r="N39" i="60"/>
  <c r="N205" i="44"/>
  <c r="M130" i="41"/>
  <c r="M78" i="44" s="1"/>
  <c r="AU58" i="14"/>
  <c r="AU59" i="14"/>
  <c r="T147" i="29"/>
  <c r="U147" i="29"/>
  <c r="V146" i="29"/>
  <c r="BE123" i="14"/>
  <c r="BE101" i="14"/>
  <c r="BE79" i="14"/>
  <c r="BE68" i="14"/>
  <c r="BE112" i="14"/>
  <c r="BE90" i="14"/>
  <c r="AD82" i="14"/>
  <c r="O122" i="73" s="1"/>
  <c r="AD81" i="14"/>
  <c r="AD115" i="14"/>
  <c r="AD104" i="14"/>
  <c r="AD126" i="14"/>
  <c r="AD94" i="14"/>
  <c r="P122" i="73" s="1"/>
  <c r="AD93" i="14"/>
  <c r="U197" i="35"/>
  <c r="R57" i="14"/>
  <c r="U202" i="35"/>
  <c r="U200" i="35"/>
  <c r="U199" i="35"/>
  <c r="U198" i="35"/>
  <c r="U201" i="35"/>
  <c r="U203" i="35"/>
  <c r="U196" i="35"/>
  <c r="U195" i="35"/>
  <c r="U205" i="35"/>
  <c r="U194" i="35"/>
  <c r="M96" i="11"/>
  <c r="K13" i="12" s="1"/>
  <c r="V25" i="8"/>
  <c r="AP25" i="8" s="1"/>
  <c r="G25" i="8"/>
  <c r="Z25" i="8"/>
  <c r="K26" i="40"/>
  <c r="L27" i="40"/>
  <c r="Z20" i="39"/>
  <c r="AB20" i="39" s="1"/>
  <c r="T189" i="30"/>
  <c r="T188" i="30"/>
  <c r="T187" i="30"/>
  <c r="T185" i="30"/>
  <c r="T184" i="30"/>
  <c r="T183" i="30"/>
  <c r="T182" i="30"/>
  <c r="T186" i="30"/>
  <c r="T193" i="30"/>
  <c r="T192" i="30"/>
  <c r="T191" i="30"/>
  <c r="T190" i="30"/>
  <c r="F22" i="39"/>
  <c r="H22" i="39" s="1"/>
  <c r="F19" i="39"/>
  <c r="H19" i="39" s="1"/>
  <c r="F21" i="39"/>
  <c r="H21" i="39" s="1"/>
  <c r="F20" i="39"/>
  <c r="H20" i="39" s="1"/>
  <c r="S203" i="30"/>
  <c r="S205" i="30"/>
  <c r="S204" i="30"/>
  <c r="S194" i="30"/>
  <c r="S195" i="30"/>
  <c r="S196" i="30"/>
  <c r="S197" i="30"/>
  <c r="S198" i="30"/>
  <c r="S202" i="30"/>
  <c r="S199" i="30"/>
  <c r="S200" i="30"/>
  <c r="S201" i="30"/>
  <c r="AA98" i="11"/>
  <c r="T42" i="12" s="1"/>
  <c r="AB96" i="11"/>
  <c r="K41" i="12" s="1"/>
  <c r="I40" i="12"/>
  <c r="Z98" i="11"/>
  <c r="S42" i="12" s="1"/>
  <c r="P185" i="44"/>
  <c r="P205" i="44" s="1"/>
  <c r="C148" i="29"/>
  <c r="A149" i="29"/>
  <c r="B148" i="29"/>
  <c r="AL47" i="14"/>
  <c r="AH47" i="14"/>
  <c r="BS80" i="14"/>
  <c r="BS91" i="14"/>
  <c r="BS124" i="14"/>
  <c r="BS69" i="14"/>
  <c r="BS58" i="14"/>
  <c r="BS59" i="14"/>
  <c r="BS113" i="14"/>
  <c r="BS102" i="14"/>
  <c r="BC57" i="14"/>
  <c r="BC79" i="14"/>
  <c r="BC68" i="14"/>
  <c r="BC90" i="14"/>
  <c r="AY80" i="14"/>
  <c r="AY124" i="14"/>
  <c r="BO80" i="14"/>
  <c r="BC102" i="14"/>
  <c r="BO124" i="14"/>
  <c r="BO58" i="14"/>
  <c r="BO59" i="14"/>
  <c r="AY102" i="14"/>
  <c r="BO113" i="14"/>
  <c r="AY91" i="14"/>
  <c r="BO102" i="14"/>
  <c r="BO69" i="14"/>
  <c r="AY113" i="14"/>
  <c r="AY58" i="14"/>
  <c r="AY59" i="14"/>
  <c r="AY69" i="14"/>
  <c r="BO91" i="14"/>
  <c r="AU104" i="14"/>
  <c r="AU126" i="14"/>
  <c r="AU93" i="14"/>
  <c r="AU115" i="14"/>
  <c r="AU82" i="14"/>
  <c r="AU83" i="14"/>
  <c r="L58" i="14"/>
  <c r="L59" i="14"/>
  <c r="L113" i="14"/>
  <c r="AH70" i="14"/>
  <c r="AH71" i="14"/>
  <c r="L69" i="14"/>
  <c r="AH92" i="14"/>
  <c r="H104" i="14"/>
  <c r="L102" i="14"/>
  <c r="H93" i="14"/>
  <c r="AL70" i="14"/>
  <c r="AL71" i="14"/>
  <c r="H115" i="14"/>
  <c r="H126" i="14"/>
  <c r="H82" i="14"/>
  <c r="H83" i="14"/>
  <c r="AH125" i="14"/>
  <c r="AL81" i="14"/>
  <c r="L124" i="14"/>
  <c r="AL125" i="14"/>
  <c r="AL114" i="14"/>
  <c r="AL103" i="14"/>
  <c r="AH114" i="14"/>
  <c r="L91" i="14"/>
  <c r="AH103" i="14"/>
  <c r="Q131" i="44"/>
  <c r="S67" i="44"/>
  <c r="R67" i="44"/>
  <c r="BC113" i="14"/>
  <c r="AB93" i="14"/>
  <c r="AB126" i="14"/>
  <c r="AB70" i="14"/>
  <c r="AB71" i="14"/>
  <c r="BC123" i="14"/>
  <c r="AB115" i="14"/>
  <c r="AB104" i="14"/>
  <c r="AB82" i="14"/>
  <c r="AB83" i="14"/>
  <c r="P58" i="14"/>
  <c r="C49" i="14"/>
  <c r="D48" i="14"/>
  <c r="J27" i="12"/>
  <c r="R16" i="44"/>
  <c r="I85" i="41"/>
  <c r="N120" i="44"/>
  <c r="O3" i="73" l="1"/>
  <c r="E42" i="73" s="1"/>
  <c r="P5" i="73"/>
  <c r="F44" i="73" s="1"/>
  <c r="O3" i="41"/>
  <c r="D42" i="41" s="1"/>
  <c r="N3" i="44" s="1"/>
  <c r="N3" i="73"/>
  <c r="D42" i="73" s="1"/>
  <c r="AG81" i="14"/>
  <c r="AH80" i="14"/>
  <c r="AK92" i="14"/>
  <c r="AL91" i="14"/>
  <c r="K80" i="14"/>
  <c r="L79" i="14"/>
  <c r="M172" i="44"/>
  <c r="M192" i="44" s="1"/>
  <c r="P3" i="41"/>
  <c r="E42" i="41" s="1"/>
  <c r="O3" i="44" s="1"/>
  <c r="M174" i="44"/>
  <c r="M194" i="44" s="1"/>
  <c r="D7" i="60"/>
  <c r="D5" i="60"/>
  <c r="Y15" i="60"/>
  <c r="Y5" i="60"/>
  <c r="M42" i="73"/>
  <c r="Q5" i="41"/>
  <c r="F44" i="41" s="1"/>
  <c r="P5" i="44" s="1"/>
  <c r="F74" i="41"/>
  <c r="F74" i="73"/>
  <c r="AD20" i="39"/>
  <c r="J19" i="39"/>
  <c r="J22" i="39"/>
  <c r="K27" i="40"/>
  <c r="AJ25" i="8" s="1"/>
  <c r="AK25" i="8" s="1"/>
  <c r="AS25" i="8" s="1"/>
  <c r="T143" i="51"/>
  <c r="N144" i="51"/>
  <c r="O148" i="51"/>
  <c r="J21" i="39"/>
  <c r="J20" i="39"/>
  <c r="E7" i="60"/>
  <c r="H18" i="60"/>
  <c r="S18" i="60"/>
  <c r="X34" i="60"/>
  <c r="AC18" i="60"/>
  <c r="AD18" i="60"/>
  <c r="P7" i="60"/>
  <c r="O122" i="41"/>
  <c r="O34" i="44" s="1"/>
  <c r="O150" i="44" s="1"/>
  <c r="P122" i="41"/>
  <c r="P34" i="44" s="1"/>
  <c r="P150" i="44" s="1"/>
  <c r="E39" i="60"/>
  <c r="O39" i="60"/>
  <c r="R58" i="14"/>
  <c r="M120" i="73" s="1"/>
  <c r="O15" i="14"/>
  <c r="T148" i="29"/>
  <c r="U148" i="29"/>
  <c r="V147" i="29"/>
  <c r="BE91" i="14"/>
  <c r="BE113" i="14"/>
  <c r="BE70" i="14"/>
  <c r="N132" i="73" s="1"/>
  <c r="BE69" i="14"/>
  <c r="BE80" i="14"/>
  <c r="BE102" i="14"/>
  <c r="BE124" i="14"/>
  <c r="M98" i="11"/>
  <c r="AD127" i="14"/>
  <c r="AD106" i="14"/>
  <c r="Q122" i="73" s="1"/>
  <c r="AD105" i="14"/>
  <c r="AD116" i="14"/>
  <c r="J44" i="12"/>
  <c r="T44" i="12"/>
  <c r="T52" i="12"/>
  <c r="T54" i="12" s="1"/>
  <c r="S44" i="12"/>
  <c r="S52" i="12"/>
  <c r="S54" i="12" s="1"/>
  <c r="AE25" i="8"/>
  <c r="AF25" i="8" s="1"/>
  <c r="AR25" i="8" s="1"/>
  <c r="AA25" i="8"/>
  <c r="AQ25" i="8" s="1"/>
  <c r="AM25" i="8"/>
  <c r="Z21" i="39"/>
  <c r="AB21" i="39" s="1"/>
  <c r="T194" i="30"/>
  <c r="T204" i="30"/>
  <c r="T205" i="30"/>
  <c r="T203" i="30"/>
  <c r="T201" i="30"/>
  <c r="T200" i="30"/>
  <c r="T199" i="30"/>
  <c r="T202" i="30"/>
  <c r="T198" i="30"/>
  <c r="T197" i="30"/>
  <c r="T196" i="30"/>
  <c r="T195" i="30"/>
  <c r="AB98" i="11"/>
  <c r="I44" i="12"/>
  <c r="Q185" i="44"/>
  <c r="Q205" i="44" s="1"/>
  <c r="C149" i="29"/>
  <c r="A150" i="29"/>
  <c r="B149" i="29"/>
  <c r="BS103" i="14"/>
  <c r="BS70" i="14"/>
  <c r="BS71" i="14"/>
  <c r="BS114" i="14"/>
  <c r="BS92" i="14"/>
  <c r="BS81" i="14"/>
  <c r="BS125" i="14"/>
  <c r="BC91" i="14"/>
  <c r="BO114" i="14"/>
  <c r="AY114" i="14"/>
  <c r="BO81" i="14"/>
  <c r="BC69" i="14"/>
  <c r="BO70" i="14"/>
  <c r="BO71" i="14"/>
  <c r="AY103" i="14"/>
  <c r="AY125" i="14"/>
  <c r="BC80" i="14"/>
  <c r="BO92" i="14"/>
  <c r="BO125" i="14"/>
  <c r="AY70" i="14"/>
  <c r="AY71" i="14"/>
  <c r="BO103" i="14"/>
  <c r="AY81" i="14"/>
  <c r="BC103" i="14"/>
  <c r="AY92" i="14"/>
  <c r="BC58" i="14"/>
  <c r="BC59" i="14"/>
  <c r="AU116" i="14"/>
  <c r="AU94" i="14"/>
  <c r="AU95" i="14"/>
  <c r="AU127" i="14"/>
  <c r="AU105" i="14"/>
  <c r="L70" i="14"/>
  <c r="L71" i="14"/>
  <c r="AL82" i="14"/>
  <c r="AL83" i="14"/>
  <c r="AH115" i="14"/>
  <c r="AL104" i="14"/>
  <c r="H94" i="14"/>
  <c r="H95" i="14"/>
  <c r="L92" i="14"/>
  <c r="AL115" i="14"/>
  <c r="L103" i="14"/>
  <c r="H127" i="14"/>
  <c r="L114" i="14"/>
  <c r="AH126" i="14"/>
  <c r="H105" i="14"/>
  <c r="AL126" i="14"/>
  <c r="AH104" i="14"/>
  <c r="H116" i="14"/>
  <c r="AH93" i="14"/>
  <c r="L125" i="14"/>
  <c r="AB105" i="14"/>
  <c r="AB116" i="14"/>
  <c r="BC114" i="14"/>
  <c r="AB127" i="14"/>
  <c r="BC124" i="14"/>
  <c r="AB94" i="14"/>
  <c r="AB95" i="14"/>
  <c r="N174" i="44"/>
  <c r="K27" i="12"/>
  <c r="R131" i="44"/>
  <c r="S16" i="44"/>
  <c r="C50" i="14"/>
  <c r="D49" i="14"/>
  <c r="O5" i="60" l="1"/>
  <c r="C74" i="73"/>
  <c r="S3" i="73"/>
  <c r="Q3" i="73"/>
  <c r="R3" i="73"/>
  <c r="P3" i="73"/>
  <c r="Q5" i="73"/>
  <c r="G44" i="73" s="1"/>
  <c r="N118" i="44"/>
  <c r="AG82" i="14"/>
  <c r="O123" i="73" s="1"/>
  <c r="AH81" i="14"/>
  <c r="AK93" i="14"/>
  <c r="AL92" i="14"/>
  <c r="K81" i="14"/>
  <c r="L80" i="14"/>
  <c r="P5" i="60"/>
  <c r="Q7" i="60"/>
  <c r="N194" i="44"/>
  <c r="R5" i="41"/>
  <c r="G44" i="41" s="1"/>
  <c r="Q5" i="44" s="1"/>
  <c r="S3" i="41"/>
  <c r="H42" i="41" s="1"/>
  <c r="R3" i="44" s="1"/>
  <c r="R3" i="41"/>
  <c r="G42" i="41" s="1"/>
  <c r="Q3" i="44" s="1"/>
  <c r="T3" i="41"/>
  <c r="G74" i="41"/>
  <c r="G74" i="73"/>
  <c r="H74" i="41"/>
  <c r="H74" i="73"/>
  <c r="Q3" i="41"/>
  <c r="F42" i="41" s="1"/>
  <c r="P3" i="44" s="1"/>
  <c r="I74" i="41"/>
  <c r="I74" i="73"/>
  <c r="AD21" i="39"/>
  <c r="T147" i="51"/>
  <c r="S143" i="51"/>
  <c r="M144" i="51"/>
  <c r="N148" i="51"/>
  <c r="I18" i="60"/>
  <c r="T18" i="60"/>
  <c r="Q122" i="41"/>
  <c r="Q34" i="44" s="1"/>
  <c r="Q150" i="44" s="1"/>
  <c r="M120" i="41"/>
  <c r="M32" i="44" s="1"/>
  <c r="M148" i="44" s="1"/>
  <c r="G39" i="60"/>
  <c r="Q39" i="60"/>
  <c r="N132" i="41"/>
  <c r="P39" i="60"/>
  <c r="F39" i="60"/>
  <c r="R15" i="14"/>
  <c r="O16" i="14"/>
  <c r="O59" i="14" s="1"/>
  <c r="O60" i="14" s="1"/>
  <c r="O61" i="14" s="1"/>
  <c r="O62" i="14" s="1"/>
  <c r="O63" i="14" s="1"/>
  <c r="O64" i="14" s="1"/>
  <c r="O65" i="14" s="1"/>
  <c r="O66" i="14" s="1"/>
  <c r="O67" i="14" s="1"/>
  <c r="O68" i="14" s="1"/>
  <c r="O69" i="14" s="1"/>
  <c r="O70" i="14" s="1"/>
  <c r="I53" i="11"/>
  <c r="T149" i="29"/>
  <c r="U149" i="29"/>
  <c r="V148" i="29"/>
  <c r="BE125" i="14"/>
  <c r="BC104" i="14"/>
  <c r="BE103" i="14"/>
  <c r="BE82" i="14"/>
  <c r="O132" i="73" s="1"/>
  <c r="BE81" i="14"/>
  <c r="BE114" i="14"/>
  <c r="BE92" i="14"/>
  <c r="AD118" i="14"/>
  <c r="R122" i="73" s="1"/>
  <c r="AD117" i="14"/>
  <c r="AD128" i="14"/>
  <c r="K44" i="12"/>
  <c r="U42" i="12"/>
  <c r="C74" i="41"/>
  <c r="Z22" i="39"/>
  <c r="AB22" i="39" s="1"/>
  <c r="R185" i="44"/>
  <c r="R205" i="44" s="1"/>
  <c r="A151" i="29"/>
  <c r="C150" i="29"/>
  <c r="B150" i="29"/>
  <c r="BS126" i="14"/>
  <c r="BS115" i="14"/>
  <c r="BS104" i="14"/>
  <c r="BS82" i="14"/>
  <c r="BS83" i="14"/>
  <c r="BS93" i="14"/>
  <c r="AY93" i="14"/>
  <c r="AY126" i="14"/>
  <c r="AY104" i="14"/>
  <c r="AY115" i="14"/>
  <c r="BO126" i="14"/>
  <c r="BO115" i="14"/>
  <c r="BO93" i="14"/>
  <c r="AY82" i="14"/>
  <c r="AY83" i="14"/>
  <c r="BC70" i="14"/>
  <c r="BC71" i="14"/>
  <c r="BC92" i="14"/>
  <c r="BC81" i="14"/>
  <c r="BO82" i="14"/>
  <c r="BO83" i="14"/>
  <c r="BO104" i="14"/>
  <c r="AU106" i="14"/>
  <c r="AU107" i="14"/>
  <c r="AU128" i="14"/>
  <c r="AU117" i="14"/>
  <c r="AH94" i="14"/>
  <c r="AH95" i="14"/>
  <c r="H117" i="14"/>
  <c r="H106" i="14"/>
  <c r="H107" i="14"/>
  <c r="L115" i="14"/>
  <c r="AL105" i="14"/>
  <c r="H128" i="14"/>
  <c r="AH105" i="14"/>
  <c r="AH116" i="14"/>
  <c r="L126" i="14"/>
  <c r="AL127" i="14"/>
  <c r="AL116" i="14"/>
  <c r="AH127" i="14"/>
  <c r="L104" i="14"/>
  <c r="L93" i="14"/>
  <c r="AB117" i="14"/>
  <c r="AB128" i="14"/>
  <c r="BC125" i="14"/>
  <c r="AB106" i="14"/>
  <c r="AB107" i="14"/>
  <c r="BC115" i="14"/>
  <c r="S131" i="44"/>
  <c r="C51" i="14"/>
  <c r="D50" i="14"/>
  <c r="N172" i="44" l="1"/>
  <c r="N192" i="44" s="1"/>
  <c r="R5" i="73"/>
  <c r="H44" i="73" s="1"/>
  <c r="E5" i="60"/>
  <c r="M96" i="41"/>
  <c r="M22" i="44" s="1"/>
  <c r="M96" i="73"/>
  <c r="O123" i="41"/>
  <c r="O35" i="44" s="1"/>
  <c r="AH82" i="14"/>
  <c r="AH83" i="14"/>
  <c r="AK94" i="14"/>
  <c r="P124" i="73" s="1"/>
  <c r="AL93" i="14"/>
  <c r="K82" i="14"/>
  <c r="O119" i="73" s="1"/>
  <c r="L81" i="14"/>
  <c r="R5" i="60"/>
  <c r="S5" i="60"/>
  <c r="Q5" i="60"/>
  <c r="I42" i="41"/>
  <c r="S3" i="44" s="1"/>
  <c r="F42" i="73"/>
  <c r="I42" i="73"/>
  <c r="G42" i="73"/>
  <c r="H42" i="73"/>
  <c r="S5" i="41"/>
  <c r="H44" i="41" s="1"/>
  <c r="R5" i="44" s="1"/>
  <c r="AD22" i="39"/>
  <c r="R143" i="51"/>
  <c r="S147" i="51"/>
  <c r="L144" i="51"/>
  <c r="M148" i="51"/>
  <c r="J18" i="60"/>
  <c r="R7" i="60"/>
  <c r="O132" i="41"/>
  <c r="N80" i="44"/>
  <c r="Y37" i="60" s="1"/>
  <c r="R122" i="41"/>
  <c r="R34" i="44" s="1"/>
  <c r="R150" i="44" s="1"/>
  <c r="N37" i="60"/>
  <c r="D37" i="60"/>
  <c r="H39" i="60"/>
  <c r="R39" i="60"/>
  <c r="I54" i="11"/>
  <c r="I57" i="11" s="1"/>
  <c r="I59" i="11" s="1"/>
  <c r="J53" i="11"/>
  <c r="R16" i="14"/>
  <c r="O17" i="14"/>
  <c r="O71" i="14" s="1"/>
  <c r="O72" i="14" s="1"/>
  <c r="O73" i="14" s="1"/>
  <c r="O74" i="14" s="1"/>
  <c r="O75" i="14" s="1"/>
  <c r="O76" i="14" s="1"/>
  <c r="O77" i="14" s="1"/>
  <c r="O78" i="14" s="1"/>
  <c r="O79" i="14" s="1"/>
  <c r="O80" i="14" s="1"/>
  <c r="O81" i="14" s="1"/>
  <c r="O82" i="14" s="1"/>
  <c r="T150" i="29"/>
  <c r="U150" i="29"/>
  <c r="V149" i="29"/>
  <c r="BE94" i="14"/>
  <c r="P132" i="73" s="1"/>
  <c r="BE93" i="14"/>
  <c r="BE115" i="14"/>
  <c r="BE104" i="14"/>
  <c r="BE126" i="14"/>
  <c r="AD130" i="14"/>
  <c r="S122" i="73" s="1"/>
  <c r="AD129" i="14"/>
  <c r="U44" i="12"/>
  <c r="U52" i="12"/>
  <c r="U54" i="12" s="1"/>
  <c r="S185" i="44"/>
  <c r="S205" i="44" s="1"/>
  <c r="A152" i="29"/>
  <c r="C151" i="29"/>
  <c r="B151" i="29"/>
  <c r="BS116" i="14"/>
  <c r="BS94" i="14"/>
  <c r="BS95" i="14"/>
  <c r="BS127" i="14"/>
  <c r="BS105" i="14"/>
  <c r="BC93" i="14"/>
  <c r="BO127" i="14"/>
  <c r="BO105" i="14"/>
  <c r="AY127" i="14"/>
  <c r="AY94" i="14"/>
  <c r="AY95" i="14"/>
  <c r="BO94" i="14"/>
  <c r="BO95" i="14"/>
  <c r="AY116" i="14"/>
  <c r="AY105" i="14"/>
  <c r="BC82" i="14"/>
  <c r="BC83" i="14"/>
  <c r="BO116" i="14"/>
  <c r="AU118" i="14"/>
  <c r="AU119" i="14"/>
  <c r="AU129" i="14"/>
  <c r="H118" i="14"/>
  <c r="H119" i="14"/>
  <c r="AH117" i="14"/>
  <c r="AL117" i="14"/>
  <c r="AH128" i="14"/>
  <c r="AL128" i="14"/>
  <c r="AH106" i="14"/>
  <c r="AH107" i="14"/>
  <c r="L116" i="14"/>
  <c r="L94" i="14"/>
  <c r="L95" i="14"/>
  <c r="L127" i="14"/>
  <c r="L105" i="14"/>
  <c r="H129" i="14"/>
  <c r="AL106" i="14"/>
  <c r="AL107" i="14"/>
  <c r="BC116" i="14"/>
  <c r="BC126" i="14"/>
  <c r="AB118" i="14"/>
  <c r="AB119" i="14"/>
  <c r="AB129" i="14"/>
  <c r="C52" i="14"/>
  <c r="D51" i="14"/>
  <c r="S5" i="73" l="1"/>
  <c r="I44" i="73" s="1"/>
  <c r="M152" i="51"/>
  <c r="N96" i="41"/>
  <c r="N22" i="44" s="1"/>
  <c r="N96" i="73"/>
  <c r="O151" i="44"/>
  <c r="F40" i="60" s="1"/>
  <c r="P40" i="60"/>
  <c r="P124" i="41"/>
  <c r="P36" i="44" s="1"/>
  <c r="AL95" i="14"/>
  <c r="AL94" i="14"/>
  <c r="O119" i="41"/>
  <c r="O31" i="44" s="1"/>
  <c r="L82" i="14"/>
  <c r="L83" i="14"/>
  <c r="T5" i="60"/>
  <c r="T5" i="41"/>
  <c r="R147" i="51"/>
  <c r="Q143" i="51"/>
  <c r="L148" i="51"/>
  <c r="K144" i="51"/>
  <c r="S7" i="60"/>
  <c r="M137" i="44"/>
  <c r="N24" i="60"/>
  <c r="P132" i="41"/>
  <c r="S39" i="60"/>
  <c r="I39" i="60"/>
  <c r="S122" i="41"/>
  <c r="S34" i="44" s="1"/>
  <c r="S150" i="44" s="1"/>
  <c r="O80" i="44"/>
  <c r="Z37" i="60" s="1"/>
  <c r="I61" i="11"/>
  <c r="I78" i="11" s="1"/>
  <c r="I80" i="11" s="1"/>
  <c r="I81" i="11" s="1"/>
  <c r="R17" i="14"/>
  <c r="O18" i="14"/>
  <c r="O83" i="14" s="1"/>
  <c r="O84" i="14" s="1"/>
  <c r="O85" i="14" s="1"/>
  <c r="O86" i="14" s="1"/>
  <c r="O87" i="14" s="1"/>
  <c r="O88" i="14" s="1"/>
  <c r="O89" i="14" s="1"/>
  <c r="O90" i="14" s="1"/>
  <c r="O91" i="14" s="1"/>
  <c r="O92" i="14" s="1"/>
  <c r="O93" i="14" s="1"/>
  <c r="O94" i="14" s="1"/>
  <c r="K53" i="11"/>
  <c r="R59" i="14"/>
  <c r="P59" i="14"/>
  <c r="J54" i="11"/>
  <c r="J57" i="11" s="1"/>
  <c r="J59" i="11" s="1"/>
  <c r="BC105" i="14"/>
  <c r="V150" i="29"/>
  <c r="T151" i="29"/>
  <c r="U151" i="29"/>
  <c r="BE127" i="14"/>
  <c r="BE106" i="14"/>
  <c r="Q132" i="73" s="1"/>
  <c r="BE105" i="14"/>
  <c r="BE116" i="14"/>
  <c r="AD25" i="14"/>
  <c r="AD26" i="14"/>
  <c r="AD29" i="14"/>
  <c r="AD27" i="14"/>
  <c r="AD28" i="14"/>
  <c r="AD30" i="14"/>
  <c r="AD31" i="14"/>
  <c r="C152" i="29"/>
  <c r="B152" i="29"/>
  <c r="A153" i="29"/>
  <c r="BS117" i="14"/>
  <c r="BS106" i="14"/>
  <c r="BS107" i="14"/>
  <c r="BS128" i="14"/>
  <c r="AY106" i="14"/>
  <c r="AY107" i="14"/>
  <c r="AY117" i="14"/>
  <c r="BO106" i="14"/>
  <c r="BO107" i="14"/>
  <c r="BO128" i="14"/>
  <c r="BO117" i="14"/>
  <c r="BC94" i="14"/>
  <c r="BC95" i="14"/>
  <c r="AY128" i="14"/>
  <c r="AU130" i="14"/>
  <c r="AH118" i="14"/>
  <c r="AH119" i="14"/>
  <c r="H130" i="14"/>
  <c r="L117" i="14"/>
  <c r="L106" i="14"/>
  <c r="L107" i="14"/>
  <c r="AL129" i="14"/>
  <c r="AH129" i="14"/>
  <c r="L128" i="14"/>
  <c r="AL118" i="14"/>
  <c r="AL119" i="14"/>
  <c r="BC127" i="14"/>
  <c r="AB130" i="14"/>
  <c r="C53" i="14"/>
  <c r="D52" i="14"/>
  <c r="T152" i="51" l="1"/>
  <c r="V27" i="40" s="1"/>
  <c r="W27" i="40" s="1"/>
  <c r="S152" i="51"/>
  <c r="V26" i="40" s="1"/>
  <c r="W26" i="40" s="1"/>
  <c r="R152" i="51"/>
  <c r="V25" i="40" s="1"/>
  <c r="W25" i="40" s="1"/>
  <c r="Q152" i="51"/>
  <c r="V24" i="40" s="1"/>
  <c r="W24" i="40" s="1"/>
  <c r="P152" i="51"/>
  <c r="V23" i="40" s="1"/>
  <c r="W23" i="40" s="1"/>
  <c r="O152" i="51"/>
  <c r="V22" i="40" s="1"/>
  <c r="W22" i="40" s="1"/>
  <c r="N152" i="51"/>
  <c r="V21" i="40" s="1"/>
  <c r="W21" i="40" s="1"/>
  <c r="O96" i="41"/>
  <c r="O22" i="44" s="1"/>
  <c r="O96" i="73"/>
  <c r="P152" i="44"/>
  <c r="G41" i="60" s="1"/>
  <c r="Q41" i="60"/>
  <c r="O147" i="44"/>
  <c r="F36" i="60" s="1"/>
  <c r="P36" i="60"/>
  <c r="I44" i="41"/>
  <c r="S5" i="44" s="1"/>
  <c r="Q58" i="41"/>
  <c r="F84" i="41" s="1"/>
  <c r="P15" i="44" s="1"/>
  <c r="K148" i="51"/>
  <c r="J144" i="51"/>
  <c r="Q147" i="51"/>
  <c r="P143" i="51"/>
  <c r="D24" i="60"/>
  <c r="N137" i="44"/>
  <c r="O24" i="60"/>
  <c r="Q132" i="41"/>
  <c r="J39" i="60"/>
  <c r="T39" i="60"/>
  <c r="P80" i="44"/>
  <c r="AA37" i="60" s="1"/>
  <c r="J79" i="11"/>
  <c r="G89" i="11"/>
  <c r="I106" i="11"/>
  <c r="J61" i="11"/>
  <c r="J78" i="11" s="1"/>
  <c r="R60" i="14"/>
  <c r="P60" i="14"/>
  <c r="K54" i="11"/>
  <c r="K57" i="11" s="1"/>
  <c r="K59" i="11" s="1"/>
  <c r="R71" i="14"/>
  <c r="R18" i="14"/>
  <c r="O19" i="14"/>
  <c r="O95" i="14" s="1"/>
  <c r="O96" i="14" s="1"/>
  <c r="O97" i="14" s="1"/>
  <c r="O98" i="14" s="1"/>
  <c r="O99" i="14" s="1"/>
  <c r="O100" i="14" s="1"/>
  <c r="O101" i="14" s="1"/>
  <c r="O102" i="14" s="1"/>
  <c r="O103" i="14" s="1"/>
  <c r="O104" i="14" s="1"/>
  <c r="O105" i="14" s="1"/>
  <c r="O106" i="14" s="1"/>
  <c r="L53" i="11"/>
  <c r="BC107" i="14"/>
  <c r="V151" i="29"/>
  <c r="T152" i="29"/>
  <c r="U152" i="29"/>
  <c r="BE118" i="14"/>
  <c r="R132" i="73" s="1"/>
  <c r="BE117" i="14"/>
  <c r="BC106" i="14"/>
  <c r="BC117" i="14"/>
  <c r="BE128" i="14"/>
  <c r="B153" i="29"/>
  <c r="A154" i="29"/>
  <c r="C153" i="29"/>
  <c r="BS129" i="14"/>
  <c r="BS118" i="14"/>
  <c r="BS119" i="14"/>
  <c r="BO118" i="14"/>
  <c r="BO119" i="14"/>
  <c r="BO129" i="14"/>
  <c r="AY129" i="14"/>
  <c r="AY118" i="14"/>
  <c r="AY119" i="14"/>
  <c r="L129" i="14"/>
  <c r="L118" i="14"/>
  <c r="L119" i="14"/>
  <c r="AH130" i="14"/>
  <c r="AL130" i="14"/>
  <c r="BC118" i="14"/>
  <c r="BC128" i="14"/>
  <c r="C54" i="14"/>
  <c r="D53" i="14"/>
  <c r="O58" i="73" l="1"/>
  <c r="E84" i="73" s="1"/>
  <c r="Q58" i="73"/>
  <c r="G84" i="73" s="1"/>
  <c r="O58" i="41"/>
  <c r="D84" i="41" s="1"/>
  <c r="N15" i="44" s="1"/>
  <c r="P58" i="73"/>
  <c r="F84" i="73" s="1"/>
  <c r="R58" i="73"/>
  <c r="H84" i="73" s="1"/>
  <c r="S58" i="73"/>
  <c r="I84" i="73" s="1"/>
  <c r="T58" i="41"/>
  <c r="I84" i="41" s="1"/>
  <c r="S15" i="44" s="1"/>
  <c r="S58" i="41"/>
  <c r="H84" i="41" s="1"/>
  <c r="R15" i="44" s="1"/>
  <c r="N58" i="73"/>
  <c r="D84" i="73" s="1"/>
  <c r="P58" i="41"/>
  <c r="E84" i="41" s="1"/>
  <c r="O15" i="44" s="1"/>
  <c r="R58" i="41"/>
  <c r="G84" i="41" s="1"/>
  <c r="Q15" i="44" s="1"/>
  <c r="M58" i="73"/>
  <c r="C84" i="73" s="1"/>
  <c r="N58" i="41"/>
  <c r="C84" i="41" s="1"/>
  <c r="M15" i="44" s="1"/>
  <c r="P96" i="41"/>
  <c r="P22" i="44" s="1"/>
  <c r="P96" i="73"/>
  <c r="T7" i="60"/>
  <c r="P130" i="44"/>
  <c r="Q17" i="60"/>
  <c r="O143" i="51"/>
  <c r="P147" i="51"/>
  <c r="J148" i="51"/>
  <c r="I144" i="51"/>
  <c r="E24" i="60"/>
  <c r="P24" i="60"/>
  <c r="O137" i="44"/>
  <c r="R132" i="41"/>
  <c r="Q80" i="44"/>
  <c r="AB37" i="60" s="1"/>
  <c r="K61" i="11"/>
  <c r="K78" i="11" s="1"/>
  <c r="K80" i="11" s="1"/>
  <c r="P72" i="14"/>
  <c r="R72" i="14"/>
  <c r="P61" i="14"/>
  <c r="R61" i="14"/>
  <c r="K79" i="11"/>
  <c r="J80" i="11"/>
  <c r="J81" i="11" s="1"/>
  <c r="L54" i="11"/>
  <c r="L57" i="11" s="1"/>
  <c r="L59" i="11" s="1"/>
  <c r="R83" i="14"/>
  <c r="R19" i="14"/>
  <c r="O20" i="14"/>
  <c r="O107" i="14" s="1"/>
  <c r="O108" i="14" s="1"/>
  <c r="O109" i="14" s="1"/>
  <c r="O110" i="14" s="1"/>
  <c r="O111" i="14" s="1"/>
  <c r="O112" i="14" s="1"/>
  <c r="O113" i="14" s="1"/>
  <c r="O114" i="14" s="1"/>
  <c r="O115" i="14" s="1"/>
  <c r="O116" i="14" s="1"/>
  <c r="O117" i="14" s="1"/>
  <c r="O118" i="14" s="1"/>
  <c r="M53" i="11"/>
  <c r="U123" i="31"/>
  <c r="U124" i="31"/>
  <c r="U125" i="31"/>
  <c r="U126" i="31"/>
  <c r="U127" i="31"/>
  <c r="U128" i="31"/>
  <c r="U129" i="31"/>
  <c r="U130" i="31"/>
  <c r="U131" i="31"/>
  <c r="U132" i="31"/>
  <c r="U133" i="31"/>
  <c r="U122" i="31"/>
  <c r="G97" i="11"/>
  <c r="E14" i="12" s="1"/>
  <c r="V152" i="29"/>
  <c r="T153" i="29"/>
  <c r="U153" i="29"/>
  <c r="BC119" i="14"/>
  <c r="BE130" i="14"/>
  <c r="S132" i="73" s="1"/>
  <c r="BE129" i="14"/>
  <c r="C154" i="29"/>
  <c r="A155" i="29"/>
  <c r="B154" i="29"/>
  <c r="BS130" i="14"/>
  <c r="BO130" i="14"/>
  <c r="AY130" i="14"/>
  <c r="L130" i="14"/>
  <c r="BC129" i="14"/>
  <c r="C55" i="14"/>
  <c r="D54" i="14"/>
  <c r="O130" i="44" l="1"/>
  <c r="F17" i="60" s="1"/>
  <c r="Q130" i="44"/>
  <c r="S17" i="60"/>
  <c r="N130" i="44"/>
  <c r="T17" i="60"/>
  <c r="O17" i="60"/>
  <c r="S130" i="44"/>
  <c r="R130" i="44"/>
  <c r="P17" i="60"/>
  <c r="R17" i="60"/>
  <c r="N17" i="60"/>
  <c r="M130" i="44"/>
  <c r="Q96" i="41"/>
  <c r="Q22" i="44" s="1"/>
  <c r="Q96" i="73"/>
  <c r="H17" i="60"/>
  <c r="G17" i="60"/>
  <c r="I148" i="51"/>
  <c r="H144" i="51"/>
  <c r="N143" i="51"/>
  <c r="O147" i="51"/>
  <c r="P137" i="44"/>
  <c r="F24" i="60"/>
  <c r="Q24" i="60"/>
  <c r="S132" i="41"/>
  <c r="R80" i="44"/>
  <c r="AC37" i="60" s="1"/>
  <c r="E28" i="12"/>
  <c r="E31" i="12" s="1"/>
  <c r="O14" i="12"/>
  <c r="E17" i="12"/>
  <c r="L79" i="11"/>
  <c r="L61" i="11"/>
  <c r="L78" i="11" s="1"/>
  <c r="L80" i="11" s="1"/>
  <c r="V131" i="31"/>
  <c r="V130" i="31"/>
  <c r="V129" i="31"/>
  <c r="V128" i="31"/>
  <c r="V127" i="31"/>
  <c r="V126" i="31"/>
  <c r="V125" i="31"/>
  <c r="H89" i="11"/>
  <c r="J106" i="11"/>
  <c r="V124" i="31"/>
  <c r="V123" i="31"/>
  <c r="M54" i="11"/>
  <c r="M57" i="11" s="1"/>
  <c r="M59" i="11" s="1"/>
  <c r="P62" i="14"/>
  <c r="R62" i="14"/>
  <c r="R95" i="14"/>
  <c r="R20" i="14"/>
  <c r="O21" i="14"/>
  <c r="O119" i="14" s="1"/>
  <c r="O120" i="14" s="1"/>
  <c r="O121" i="14" s="1"/>
  <c r="O122" i="14" s="1"/>
  <c r="O123" i="14" s="1"/>
  <c r="O124" i="14" s="1"/>
  <c r="O125" i="14" s="1"/>
  <c r="O126" i="14" s="1"/>
  <c r="O127" i="14" s="1"/>
  <c r="O128" i="14" s="1"/>
  <c r="O129" i="14" s="1"/>
  <c r="O130" i="14" s="1"/>
  <c r="N53" i="11"/>
  <c r="K81" i="11"/>
  <c r="I89" i="11" s="1"/>
  <c r="V122" i="31"/>
  <c r="V133" i="31"/>
  <c r="P73" i="14"/>
  <c r="R73" i="14"/>
  <c r="V132" i="31"/>
  <c r="P84" i="14"/>
  <c r="R84" i="14"/>
  <c r="T154" i="29"/>
  <c r="U154" i="29"/>
  <c r="V153" i="29"/>
  <c r="BE25" i="14"/>
  <c r="BE26" i="14"/>
  <c r="BE27" i="14"/>
  <c r="BE29" i="14"/>
  <c r="BE28" i="14"/>
  <c r="BE30" i="14"/>
  <c r="BE31" i="14"/>
  <c r="R25" i="14"/>
  <c r="B155" i="29"/>
  <c r="A156" i="29"/>
  <c r="C155" i="29"/>
  <c r="BC130" i="14"/>
  <c r="C56" i="14"/>
  <c r="D55" i="14"/>
  <c r="I17" i="60" l="1"/>
  <c r="D17" i="60"/>
  <c r="J17" i="60"/>
  <c r="E17" i="60"/>
  <c r="R96" i="73"/>
  <c r="R96" i="41"/>
  <c r="R22" i="44" s="1"/>
  <c r="M143" i="51"/>
  <c r="N147" i="51"/>
  <c r="G144" i="51"/>
  <c r="H148" i="51"/>
  <c r="G24" i="60"/>
  <c r="Q137" i="44"/>
  <c r="R24" i="60"/>
  <c r="S80" i="44"/>
  <c r="AD37" i="60" s="1"/>
  <c r="O28" i="12"/>
  <c r="O31" i="12" s="1"/>
  <c r="O17" i="12"/>
  <c r="L81" i="11"/>
  <c r="J89" i="11" s="1"/>
  <c r="J97" i="11" s="1"/>
  <c r="H14" i="12" s="1"/>
  <c r="M79" i="11"/>
  <c r="AJ16" i="39"/>
  <c r="P74" i="14"/>
  <c r="R74" i="14"/>
  <c r="M61" i="11"/>
  <c r="M78" i="11" s="1"/>
  <c r="N54" i="11"/>
  <c r="N57" i="11" s="1"/>
  <c r="N59" i="11" s="1"/>
  <c r="R107" i="14"/>
  <c r="R21" i="14"/>
  <c r="O53" i="11"/>
  <c r="P85" i="14"/>
  <c r="R85" i="14"/>
  <c r="K106" i="11"/>
  <c r="U144" i="31"/>
  <c r="U145" i="31"/>
  <c r="U134" i="31"/>
  <c r="U135" i="31"/>
  <c r="U136" i="31"/>
  <c r="U137" i="31"/>
  <c r="U138" i="31"/>
  <c r="U139" i="31"/>
  <c r="U141" i="31"/>
  <c r="U140" i="31"/>
  <c r="U142" i="31"/>
  <c r="U143" i="31"/>
  <c r="P96" i="14"/>
  <c r="R96" i="14"/>
  <c r="H97" i="11"/>
  <c r="F14" i="12" s="1"/>
  <c r="I97" i="11"/>
  <c r="G14" i="12" s="1"/>
  <c r="R63" i="14"/>
  <c r="P63" i="14"/>
  <c r="T155" i="29"/>
  <c r="U155" i="29"/>
  <c r="V154" i="29"/>
  <c r="A157" i="29"/>
  <c r="B156" i="29"/>
  <c r="C156" i="29"/>
  <c r="C57" i="14"/>
  <c r="D56" i="14"/>
  <c r="S96" i="41" l="1"/>
  <c r="S22" i="44" s="1"/>
  <c r="S96" i="73"/>
  <c r="AL16" i="39"/>
  <c r="AN16" i="39" s="1"/>
  <c r="AO16" i="39"/>
  <c r="G148" i="51"/>
  <c r="F144" i="51"/>
  <c r="F148" i="51" s="1"/>
  <c r="L143" i="51"/>
  <c r="M147" i="51"/>
  <c r="M151" i="51" s="1"/>
  <c r="H24" i="60"/>
  <c r="R137" i="44"/>
  <c r="S24" i="60"/>
  <c r="H28" i="12"/>
  <c r="H31" i="12" s="1"/>
  <c r="R14" i="12"/>
  <c r="R17" i="12" s="1"/>
  <c r="H17" i="12"/>
  <c r="F17" i="12"/>
  <c r="F28" i="12"/>
  <c r="F31" i="12" s="1"/>
  <c r="P14" i="12"/>
  <c r="G28" i="12"/>
  <c r="G31" i="12" s="1"/>
  <c r="Q14" i="12"/>
  <c r="Q17" i="12" s="1"/>
  <c r="G17" i="12"/>
  <c r="L106" i="11"/>
  <c r="U169" i="31" s="1"/>
  <c r="N61" i="11"/>
  <c r="N78" i="11" s="1"/>
  <c r="N80" i="11" s="1"/>
  <c r="V138" i="31"/>
  <c r="O54" i="11"/>
  <c r="O57" i="11" s="1"/>
  <c r="O59" i="11" s="1"/>
  <c r="V137" i="31"/>
  <c r="R119" i="14"/>
  <c r="P64" i="14"/>
  <c r="R64" i="14"/>
  <c r="V136" i="31"/>
  <c r="V135" i="31"/>
  <c r="V134" i="31"/>
  <c r="V145" i="31"/>
  <c r="V144" i="31"/>
  <c r="P108" i="14"/>
  <c r="R108" i="14"/>
  <c r="P97" i="14"/>
  <c r="R97" i="14"/>
  <c r="U147" i="31"/>
  <c r="U153" i="31"/>
  <c r="U152" i="31"/>
  <c r="U156" i="31"/>
  <c r="U146" i="31"/>
  <c r="U148" i="31"/>
  <c r="U149" i="31"/>
  <c r="U151" i="31"/>
  <c r="U157" i="31"/>
  <c r="U154" i="31"/>
  <c r="U150" i="31"/>
  <c r="U155" i="31"/>
  <c r="V143" i="31"/>
  <c r="P86" i="14"/>
  <c r="R86" i="14"/>
  <c r="V142" i="31"/>
  <c r="M80" i="11"/>
  <c r="M81" i="11" s="1"/>
  <c r="N79" i="11"/>
  <c r="V140" i="31"/>
  <c r="V141" i="31"/>
  <c r="P75" i="14"/>
  <c r="R75" i="14"/>
  <c r="V139" i="31"/>
  <c r="T156" i="29"/>
  <c r="U156" i="29"/>
  <c r="V155" i="29"/>
  <c r="B157" i="29"/>
  <c r="A158" i="29"/>
  <c r="C157" i="29"/>
  <c r="C58" i="14"/>
  <c r="D57" i="14"/>
  <c r="M117" i="73" l="1"/>
  <c r="M6" i="73"/>
  <c r="T151" i="51"/>
  <c r="S151" i="51"/>
  <c r="R151" i="51"/>
  <c r="Q151" i="51"/>
  <c r="P151" i="51"/>
  <c r="O151" i="51"/>
  <c r="N22" i="40" s="1"/>
  <c r="O22" i="40" s="1"/>
  <c r="N151" i="51"/>
  <c r="N21" i="40" s="1"/>
  <c r="O21" i="40" s="1"/>
  <c r="C21" i="40"/>
  <c r="D21" i="40" s="1"/>
  <c r="F24" i="8" s="1"/>
  <c r="F29" i="8" s="1"/>
  <c r="C24" i="8"/>
  <c r="C29" i="8" s="1"/>
  <c r="C45" i="73"/>
  <c r="N6" i="41"/>
  <c r="C45" i="41" s="1"/>
  <c r="M6" i="44" s="1"/>
  <c r="N27" i="40"/>
  <c r="O27" i="40" s="1"/>
  <c r="N26" i="40"/>
  <c r="O26" i="40" s="1"/>
  <c r="N25" i="40"/>
  <c r="O25" i="40" s="1"/>
  <c r="N24" i="40"/>
  <c r="O24" i="40" s="1"/>
  <c r="N23" i="40"/>
  <c r="O23" i="40" s="1"/>
  <c r="K143" i="51"/>
  <c r="L147" i="51"/>
  <c r="I24" i="60"/>
  <c r="S137" i="44"/>
  <c r="T24" i="60"/>
  <c r="P17" i="12"/>
  <c r="P28" i="12"/>
  <c r="P31" i="12" s="1"/>
  <c r="M117" i="41"/>
  <c r="M29" i="44" s="1"/>
  <c r="O79" i="11"/>
  <c r="U164" i="31"/>
  <c r="U165" i="31"/>
  <c r="U162" i="31"/>
  <c r="U168" i="31"/>
  <c r="V168" i="31" s="1"/>
  <c r="U161" i="31"/>
  <c r="U163" i="31"/>
  <c r="U166" i="31"/>
  <c r="U167" i="31"/>
  <c r="V167" i="31" s="1"/>
  <c r="U159" i="31"/>
  <c r="U158" i="31"/>
  <c r="V158" i="31" s="1"/>
  <c r="U160" i="31"/>
  <c r="V160" i="31" s="1"/>
  <c r="V147" i="31"/>
  <c r="N81" i="11"/>
  <c r="L89" i="11" s="1"/>
  <c r="V169" i="31"/>
  <c r="P98" i="14"/>
  <c r="R98" i="14"/>
  <c r="R65" i="14"/>
  <c r="P65" i="14"/>
  <c r="AJ17" i="39"/>
  <c r="P76" i="14"/>
  <c r="R76" i="14"/>
  <c r="V155" i="31"/>
  <c r="V150" i="31"/>
  <c r="V154" i="31"/>
  <c r="R120" i="14"/>
  <c r="P120" i="14"/>
  <c r="V157" i="31"/>
  <c r="V151" i="31"/>
  <c r="K89" i="11"/>
  <c r="K97" i="11" s="1"/>
  <c r="I14" i="12" s="1"/>
  <c r="M106" i="11"/>
  <c r="V149" i="31"/>
  <c r="V148" i="31"/>
  <c r="V146" i="31"/>
  <c r="P109" i="14"/>
  <c r="R109" i="14"/>
  <c r="O61" i="11"/>
  <c r="O78" i="11" s="1"/>
  <c r="O80" i="11" s="1"/>
  <c r="V156" i="31"/>
  <c r="V152" i="31"/>
  <c r="P87" i="14"/>
  <c r="R87" i="14"/>
  <c r="V153" i="31"/>
  <c r="V156" i="29"/>
  <c r="T157" i="29"/>
  <c r="U157" i="29"/>
  <c r="C158" i="29"/>
  <c r="B158" i="29"/>
  <c r="A159" i="29"/>
  <c r="D58" i="14"/>
  <c r="M145" i="44" l="1"/>
  <c r="M57" i="73"/>
  <c r="C83" i="73" s="1"/>
  <c r="N57" i="73"/>
  <c r="D83" i="73" s="1"/>
  <c r="S57" i="73"/>
  <c r="O57" i="73"/>
  <c r="E83" i="73" s="1"/>
  <c r="P57" i="73"/>
  <c r="F83" i="73" s="1"/>
  <c r="Q57" i="73"/>
  <c r="G83" i="73" s="1"/>
  <c r="R57" i="73"/>
  <c r="H83" i="73" s="1"/>
  <c r="G21" i="40"/>
  <c r="AL17" i="39"/>
  <c r="AN17" i="39" s="1"/>
  <c r="AO17" i="39"/>
  <c r="E24" i="8"/>
  <c r="G24" i="8" s="1"/>
  <c r="AM24" i="8" s="1"/>
  <c r="R57" i="41"/>
  <c r="G83" i="41" s="1"/>
  <c r="Q14" i="44" s="1"/>
  <c r="S57" i="41"/>
  <c r="H83" i="41" s="1"/>
  <c r="R14" i="44" s="1"/>
  <c r="T57" i="41"/>
  <c r="I83" i="41" s="1"/>
  <c r="S14" i="44" s="1"/>
  <c r="N57" i="41"/>
  <c r="C83" i="41" s="1"/>
  <c r="M14" i="44" s="1"/>
  <c r="O57" i="41"/>
  <c r="D83" i="41" s="1"/>
  <c r="N14" i="44" s="1"/>
  <c r="P57" i="41"/>
  <c r="E83" i="41" s="1"/>
  <c r="O14" i="44" s="1"/>
  <c r="Q57" i="41"/>
  <c r="F83" i="41" s="1"/>
  <c r="P14" i="44" s="1"/>
  <c r="J143" i="51"/>
  <c r="K147" i="51"/>
  <c r="J24" i="60"/>
  <c r="M121" i="44"/>
  <c r="N8" i="60"/>
  <c r="I17" i="12"/>
  <c r="I28" i="12"/>
  <c r="I31" i="12" s="1"/>
  <c r="S14" i="12"/>
  <c r="O81" i="11"/>
  <c r="M89" i="11" s="1"/>
  <c r="M97" i="11" s="1"/>
  <c r="K14" i="12" s="1"/>
  <c r="V164" i="31"/>
  <c r="V161" i="31"/>
  <c r="V165" i="31"/>
  <c r="V162" i="31"/>
  <c r="V166" i="31"/>
  <c r="V163" i="31"/>
  <c r="V159" i="31"/>
  <c r="N106" i="11"/>
  <c r="U193" i="31" s="1"/>
  <c r="P110" i="14"/>
  <c r="R110" i="14"/>
  <c r="P88" i="14"/>
  <c r="R88" i="14"/>
  <c r="AJ18" i="39"/>
  <c r="AO18" i="39" s="1"/>
  <c r="P121" i="14"/>
  <c r="R121" i="14"/>
  <c r="L97" i="11"/>
  <c r="J14" i="12" s="1"/>
  <c r="R66" i="14"/>
  <c r="P66" i="14"/>
  <c r="U177" i="31"/>
  <c r="U179" i="31"/>
  <c r="U178" i="31"/>
  <c r="U170" i="31"/>
  <c r="U180" i="31"/>
  <c r="U172" i="31"/>
  <c r="U174" i="31"/>
  <c r="U181" i="31"/>
  <c r="U176" i="31"/>
  <c r="U175" i="31"/>
  <c r="U173" i="31"/>
  <c r="U171" i="31"/>
  <c r="P77" i="14"/>
  <c r="R77" i="14"/>
  <c r="P99" i="14"/>
  <c r="R99" i="14"/>
  <c r="T158" i="29"/>
  <c r="U158" i="29"/>
  <c r="V157" i="29"/>
  <c r="A160" i="29"/>
  <c r="C159" i="29"/>
  <c r="B159" i="29"/>
  <c r="C60" i="14"/>
  <c r="D59" i="14"/>
  <c r="M56" i="73" l="1"/>
  <c r="I83" i="73"/>
  <c r="N6" i="73"/>
  <c r="D45" i="73" s="1"/>
  <c r="N56" i="41"/>
  <c r="N61" i="41" s="1"/>
  <c r="C22" i="40"/>
  <c r="D22" i="40" s="1"/>
  <c r="K24" i="8" s="1"/>
  <c r="K29" i="8" s="1"/>
  <c r="AL18" i="39"/>
  <c r="AN18" i="39" s="1"/>
  <c r="E29" i="8"/>
  <c r="S16" i="60"/>
  <c r="R16" i="60"/>
  <c r="N16" i="60"/>
  <c r="Q16" i="60"/>
  <c r="O16" i="60"/>
  <c r="P16" i="60"/>
  <c r="T16" i="60"/>
  <c r="J147" i="51"/>
  <c r="I143" i="51"/>
  <c r="M175" i="44"/>
  <c r="M195" i="44" s="1"/>
  <c r="D8" i="60"/>
  <c r="J28" i="12"/>
  <c r="J31" i="12" s="1"/>
  <c r="T14" i="12"/>
  <c r="J17" i="12"/>
  <c r="U14" i="12"/>
  <c r="K17" i="12"/>
  <c r="K28" i="12"/>
  <c r="K31" i="12" s="1"/>
  <c r="S28" i="12"/>
  <c r="S31" i="12" s="1"/>
  <c r="S17" i="12"/>
  <c r="N34" i="60"/>
  <c r="M90" i="11"/>
  <c r="O106" i="11"/>
  <c r="AJ19" i="39"/>
  <c r="U185" i="31"/>
  <c r="U192" i="31"/>
  <c r="U184" i="31"/>
  <c r="U188" i="31"/>
  <c r="V188" i="31" s="1"/>
  <c r="U189" i="31"/>
  <c r="U186" i="31"/>
  <c r="U187" i="31"/>
  <c r="U183" i="31"/>
  <c r="U190" i="31"/>
  <c r="U182" i="31"/>
  <c r="U191" i="31"/>
  <c r="V191" i="31" s="1"/>
  <c r="V171" i="31"/>
  <c r="C73" i="73"/>
  <c r="G29" i="8"/>
  <c r="V173" i="31"/>
  <c r="V193" i="31"/>
  <c r="P111" i="14"/>
  <c r="R111" i="14"/>
  <c r="P78" i="14"/>
  <c r="R78" i="14"/>
  <c r="V175" i="31"/>
  <c r="V176" i="31"/>
  <c r="V181" i="31"/>
  <c r="V174" i="31"/>
  <c r="V172" i="31"/>
  <c r="V180" i="31"/>
  <c r="V170" i="31"/>
  <c r="P100" i="14"/>
  <c r="R100" i="14"/>
  <c r="V178" i="31"/>
  <c r="P89" i="14"/>
  <c r="R89" i="14"/>
  <c r="V177" i="31"/>
  <c r="P67" i="14"/>
  <c r="R67" i="14"/>
  <c r="O6" i="41"/>
  <c r="D45" i="41" s="1"/>
  <c r="H24" i="8"/>
  <c r="V179" i="31"/>
  <c r="R122" i="14"/>
  <c r="P122" i="14"/>
  <c r="T159" i="29"/>
  <c r="U159" i="29"/>
  <c r="V158" i="29"/>
  <c r="A161" i="29"/>
  <c r="C160" i="29"/>
  <c r="B160" i="29"/>
  <c r="C61" i="14"/>
  <c r="D60" i="14"/>
  <c r="U205" i="31" l="1"/>
  <c r="U197" i="31"/>
  <c r="V197" i="31" s="1"/>
  <c r="O6" i="73"/>
  <c r="E45" i="73" s="1"/>
  <c r="G22" i="40"/>
  <c r="C23" i="40"/>
  <c r="D23" i="40" s="1"/>
  <c r="P24" i="8" s="1"/>
  <c r="P29" i="8" s="1"/>
  <c r="AL19" i="39"/>
  <c r="C24" i="40" s="1"/>
  <c r="D24" i="40" s="1"/>
  <c r="U24" i="8" s="1"/>
  <c r="U29" i="8" s="1"/>
  <c r="AO19" i="39"/>
  <c r="C78" i="73"/>
  <c r="I147" i="51"/>
  <c r="H143" i="51"/>
  <c r="N6" i="44"/>
  <c r="U17" i="12"/>
  <c r="U28" i="12"/>
  <c r="U31" i="12" s="1"/>
  <c r="T28" i="12"/>
  <c r="T31" i="12" s="1"/>
  <c r="T17" i="12"/>
  <c r="D34" i="60"/>
  <c r="U200" i="31"/>
  <c r="U199" i="31"/>
  <c r="U194" i="31"/>
  <c r="U198" i="31"/>
  <c r="U195" i="31"/>
  <c r="U203" i="31"/>
  <c r="U196" i="31"/>
  <c r="U204" i="31"/>
  <c r="U202" i="31"/>
  <c r="U201" i="31"/>
  <c r="V189" i="31"/>
  <c r="V192" i="31"/>
  <c r="V185" i="31"/>
  <c r="V184" i="31"/>
  <c r="V186" i="31"/>
  <c r="V190" i="31"/>
  <c r="V183" i="31"/>
  <c r="V187" i="31"/>
  <c r="V182" i="31"/>
  <c r="P79" i="14"/>
  <c r="R79" i="14"/>
  <c r="R123" i="14"/>
  <c r="P123" i="14"/>
  <c r="C73" i="41"/>
  <c r="AM29" i="8"/>
  <c r="P101" i="14"/>
  <c r="R101" i="14"/>
  <c r="P68" i="14"/>
  <c r="R68" i="14"/>
  <c r="P112" i="14"/>
  <c r="R112" i="14"/>
  <c r="AJ20" i="39"/>
  <c r="P6" i="41"/>
  <c r="E45" i="41" s="1"/>
  <c r="M24" i="8"/>
  <c r="J24" i="8"/>
  <c r="H29" i="8"/>
  <c r="P90" i="14"/>
  <c r="R90" i="14"/>
  <c r="T160" i="29"/>
  <c r="U160" i="29"/>
  <c r="V159" i="29"/>
  <c r="A162" i="29"/>
  <c r="C161" i="29"/>
  <c r="B161" i="29"/>
  <c r="C62" i="14"/>
  <c r="D61" i="14"/>
  <c r="N56" i="73" l="1"/>
  <c r="O56" i="41"/>
  <c r="O61" i="41" s="1"/>
  <c r="AN19" i="39"/>
  <c r="AL20" i="39"/>
  <c r="AN20" i="39" s="1"/>
  <c r="AO20" i="39"/>
  <c r="G143" i="51"/>
  <c r="H147" i="51"/>
  <c r="O8" i="60"/>
  <c r="N121" i="44"/>
  <c r="O6" i="44"/>
  <c r="V194" i="31"/>
  <c r="V199" i="31"/>
  <c r="V196" i="31"/>
  <c r="V200" i="31"/>
  <c r="V202" i="31"/>
  <c r="V204" i="31"/>
  <c r="V201" i="31"/>
  <c r="V198" i="31"/>
  <c r="V203" i="31"/>
  <c r="V205" i="31"/>
  <c r="V195" i="31"/>
  <c r="AJ21" i="39"/>
  <c r="P69" i="14"/>
  <c r="R69" i="14"/>
  <c r="P113" i="14"/>
  <c r="R113" i="14"/>
  <c r="C78" i="41"/>
  <c r="C82" i="41"/>
  <c r="P91" i="14"/>
  <c r="R91" i="14"/>
  <c r="P124" i="14"/>
  <c r="R124" i="14"/>
  <c r="J29" i="8"/>
  <c r="L24" i="8"/>
  <c r="P80" i="14"/>
  <c r="R80" i="14"/>
  <c r="O24" i="8"/>
  <c r="M29" i="8"/>
  <c r="P102" i="14"/>
  <c r="R102" i="14"/>
  <c r="T161" i="29"/>
  <c r="U161" i="29"/>
  <c r="V160" i="29"/>
  <c r="C162" i="29"/>
  <c r="A163" i="29"/>
  <c r="B162" i="29"/>
  <c r="C63" i="14"/>
  <c r="D62" i="14"/>
  <c r="Q6" i="73" l="1"/>
  <c r="G45" i="73" s="1"/>
  <c r="Q6" i="41"/>
  <c r="F45" i="41" s="1"/>
  <c r="P6" i="44" s="1"/>
  <c r="P6" i="73"/>
  <c r="F45" i="73" s="1"/>
  <c r="M61" i="73"/>
  <c r="C82" i="73"/>
  <c r="C87" i="73" s="1"/>
  <c r="R24" i="8"/>
  <c r="R29" i="8" s="1"/>
  <c r="C25" i="40"/>
  <c r="D25" i="40" s="1"/>
  <c r="Z24" i="8" s="1"/>
  <c r="Z29" i="8" s="1"/>
  <c r="AL21" i="39"/>
  <c r="C26" i="40" s="1"/>
  <c r="D26" i="40" s="1"/>
  <c r="AO21" i="39"/>
  <c r="G147" i="51"/>
  <c r="F143" i="51"/>
  <c r="F147" i="51" s="1"/>
  <c r="N175" i="44"/>
  <c r="N195" i="44" s="1"/>
  <c r="E8" i="60"/>
  <c r="P8" i="60"/>
  <c r="AJ22" i="39"/>
  <c r="AO22" i="39" s="1"/>
  <c r="W24" i="8"/>
  <c r="R6" i="41"/>
  <c r="G45" i="41" s="1"/>
  <c r="R125" i="14"/>
  <c r="P125" i="14"/>
  <c r="M13" i="44"/>
  <c r="C87" i="41"/>
  <c r="P114" i="14"/>
  <c r="R114" i="14"/>
  <c r="P81" i="14"/>
  <c r="R81" i="14"/>
  <c r="R70" i="14"/>
  <c r="N120" i="73" s="1"/>
  <c r="P70" i="14"/>
  <c r="P71" i="14"/>
  <c r="P103" i="14"/>
  <c r="R103" i="14"/>
  <c r="L29" i="8"/>
  <c r="AN24" i="8"/>
  <c r="O29" i="8"/>
  <c r="Q24" i="8"/>
  <c r="P92" i="14"/>
  <c r="R92" i="14"/>
  <c r="T162" i="29"/>
  <c r="U162" i="29"/>
  <c r="V161" i="29"/>
  <c r="C163" i="29"/>
  <c r="B163" i="29"/>
  <c r="A164" i="29"/>
  <c r="C64" i="14"/>
  <c r="D63" i="14"/>
  <c r="Q8" i="60" l="1"/>
  <c r="D73" i="73"/>
  <c r="D78" i="73" s="1"/>
  <c r="AN21" i="39"/>
  <c r="G25" i="40"/>
  <c r="T24" i="8"/>
  <c r="T29" i="8" s="1"/>
  <c r="AL22" i="39"/>
  <c r="AN22" i="39" s="1"/>
  <c r="N15" i="60"/>
  <c r="Q6" i="44"/>
  <c r="N120" i="41"/>
  <c r="N32" i="44" s="1"/>
  <c r="N148" i="44" s="1"/>
  <c r="G26" i="40"/>
  <c r="AE24" i="8"/>
  <c r="AE29" i="8" s="1"/>
  <c r="R82" i="14"/>
  <c r="O120" i="73" s="1"/>
  <c r="P82" i="14"/>
  <c r="P83" i="14"/>
  <c r="Q29" i="8"/>
  <c r="AO24" i="8"/>
  <c r="P93" i="14"/>
  <c r="R93" i="14"/>
  <c r="P115" i="14"/>
  <c r="R115" i="14"/>
  <c r="P104" i="14"/>
  <c r="R104" i="14"/>
  <c r="M128" i="44"/>
  <c r="M18" i="44"/>
  <c r="R126" i="14"/>
  <c r="P126" i="14"/>
  <c r="D73" i="41"/>
  <c r="D78" i="41" s="1"/>
  <c r="AN29" i="8"/>
  <c r="Y24" i="8"/>
  <c r="W29" i="8"/>
  <c r="V162" i="29"/>
  <c r="T163" i="29"/>
  <c r="U163" i="29"/>
  <c r="A165" i="29"/>
  <c r="C164" i="29"/>
  <c r="B164" i="29"/>
  <c r="C65" i="14"/>
  <c r="D64" i="14"/>
  <c r="R8" i="60" l="1"/>
  <c r="S6" i="73"/>
  <c r="I45" i="73" s="1"/>
  <c r="R56" i="73"/>
  <c r="Q56" i="73"/>
  <c r="E73" i="73"/>
  <c r="E78" i="73" s="1"/>
  <c r="R56" i="41"/>
  <c r="R61" i="41" s="1"/>
  <c r="R6" i="73"/>
  <c r="H45" i="73" s="1"/>
  <c r="AB24" i="8"/>
  <c r="AD24" i="8" s="1"/>
  <c r="AD29" i="8" s="1"/>
  <c r="S6" i="41"/>
  <c r="H45" i="41" s="1"/>
  <c r="R6" i="44" s="1"/>
  <c r="V24" i="8"/>
  <c r="AP24" i="8" s="1"/>
  <c r="C27" i="40"/>
  <c r="D27" i="40" s="1"/>
  <c r="G27" i="40" s="1"/>
  <c r="AG24" i="8"/>
  <c r="AG29" i="8" s="1"/>
  <c r="S56" i="41"/>
  <c r="S61" i="41" s="1"/>
  <c r="T6" i="41"/>
  <c r="I45" i="41" s="1"/>
  <c r="S6" i="44" s="1"/>
  <c r="N20" i="60"/>
  <c r="O120" i="41"/>
  <c r="O32" i="44" s="1"/>
  <c r="O148" i="44" s="1"/>
  <c r="O37" i="60"/>
  <c r="E37" i="60"/>
  <c r="M182" i="44"/>
  <c r="M202" i="44" s="1"/>
  <c r="D15" i="60"/>
  <c r="R94" i="14"/>
  <c r="P120" i="73" s="1"/>
  <c r="P94" i="14"/>
  <c r="P95" i="14"/>
  <c r="Y29" i="8"/>
  <c r="AA24" i="8"/>
  <c r="P105" i="14"/>
  <c r="R105" i="14"/>
  <c r="E73" i="41"/>
  <c r="AO29" i="8"/>
  <c r="D82" i="41"/>
  <c r="P116" i="14"/>
  <c r="R116" i="14"/>
  <c r="R127" i="14"/>
  <c r="P127" i="14"/>
  <c r="T164" i="29"/>
  <c r="U164" i="29"/>
  <c r="V163" i="29"/>
  <c r="C165" i="29"/>
  <c r="A166" i="29"/>
  <c r="B165" i="29"/>
  <c r="C66" i="14"/>
  <c r="D65" i="14"/>
  <c r="S8" i="60" l="1"/>
  <c r="T8" i="60"/>
  <c r="F73" i="73"/>
  <c r="F78" i="73" s="1"/>
  <c r="S56" i="73"/>
  <c r="AF24" i="8"/>
  <c r="AR24" i="8" s="1"/>
  <c r="AB29" i="8"/>
  <c r="V29" i="8"/>
  <c r="F73" i="41"/>
  <c r="F78" i="41" s="1"/>
  <c r="AP29" i="8"/>
  <c r="AI24" i="8"/>
  <c r="AI29" i="8" s="1"/>
  <c r="T56" i="41"/>
  <c r="T61" i="41" s="1"/>
  <c r="G29" i="40"/>
  <c r="AJ24" i="8"/>
  <c r="P120" i="41"/>
  <c r="P32" i="44" s="1"/>
  <c r="P148" i="44" s="1"/>
  <c r="P37" i="60"/>
  <c r="F37" i="60"/>
  <c r="P117" i="14"/>
  <c r="R117" i="14"/>
  <c r="R106" i="14"/>
  <c r="Q120" i="73" s="1"/>
  <c r="P106" i="14"/>
  <c r="P107" i="14"/>
  <c r="P128" i="14"/>
  <c r="R128" i="14"/>
  <c r="N13" i="44"/>
  <c r="D87" i="41"/>
  <c r="E78" i="41"/>
  <c r="AQ24" i="8"/>
  <c r="AA29" i="8"/>
  <c r="T165" i="29"/>
  <c r="U165" i="29"/>
  <c r="V164" i="29"/>
  <c r="B166" i="29"/>
  <c r="C166" i="29"/>
  <c r="A167" i="29"/>
  <c r="C67" i="14"/>
  <c r="D66" i="14"/>
  <c r="G73" i="73" l="1"/>
  <c r="G78" i="73" s="1"/>
  <c r="H73" i="73"/>
  <c r="H78" i="73" s="1"/>
  <c r="S61" i="73"/>
  <c r="AF29" i="8"/>
  <c r="AJ29" i="8"/>
  <c r="AK24" i="8"/>
  <c r="O15" i="60"/>
  <c r="Q120" i="41"/>
  <c r="Q32" i="44" s="1"/>
  <c r="Q148" i="44" s="1"/>
  <c r="Q37" i="60"/>
  <c r="G37" i="60"/>
  <c r="N128" i="44"/>
  <c r="N18" i="44"/>
  <c r="AR29" i="8"/>
  <c r="H73" i="41"/>
  <c r="R118" i="14"/>
  <c r="R120" i="73" s="1"/>
  <c r="P118" i="14"/>
  <c r="P119" i="14"/>
  <c r="R129" i="14"/>
  <c r="P129" i="14"/>
  <c r="G73" i="41"/>
  <c r="AQ29" i="8"/>
  <c r="T166" i="29"/>
  <c r="U166" i="29"/>
  <c r="V165" i="29"/>
  <c r="B167" i="29"/>
  <c r="C167" i="29"/>
  <c r="A168" i="29"/>
  <c r="C68" i="14"/>
  <c r="D67" i="14"/>
  <c r="AK29" i="8" l="1"/>
  <c r="AS24" i="8"/>
  <c r="O20" i="60"/>
  <c r="R120" i="41"/>
  <c r="R32" i="44" s="1"/>
  <c r="R148" i="44" s="1"/>
  <c r="R37" i="60"/>
  <c r="H37" i="60"/>
  <c r="N182" i="44"/>
  <c r="N202" i="44" s="1"/>
  <c r="E15" i="60"/>
  <c r="G78" i="41"/>
  <c r="G82" i="41"/>
  <c r="R130" i="14"/>
  <c r="S120" i="73" s="1"/>
  <c r="P130" i="14"/>
  <c r="H82" i="41"/>
  <c r="H78" i="41"/>
  <c r="T167" i="29"/>
  <c r="U167" i="29"/>
  <c r="V166" i="29"/>
  <c r="C168" i="29"/>
  <c r="A169" i="29"/>
  <c r="B168" i="29"/>
  <c r="C69" i="14"/>
  <c r="D68" i="14"/>
  <c r="I73" i="73" l="1"/>
  <c r="I78" i="73" s="1"/>
  <c r="S120" i="41"/>
  <c r="S32" i="44" s="1"/>
  <c r="S148" i="44" s="1"/>
  <c r="J37" i="60" s="1"/>
  <c r="I73" i="41"/>
  <c r="AS29" i="8"/>
  <c r="S37" i="60"/>
  <c r="I37" i="60"/>
  <c r="R13" i="44"/>
  <c r="H87" i="41"/>
  <c r="Q13" i="44"/>
  <c r="G87" i="41"/>
  <c r="R26" i="14"/>
  <c r="R29" i="14"/>
  <c r="R27" i="14"/>
  <c r="R30" i="14"/>
  <c r="R28" i="14"/>
  <c r="R31" i="14"/>
  <c r="T168" i="29"/>
  <c r="U168" i="29"/>
  <c r="V167" i="29"/>
  <c r="C169" i="29"/>
  <c r="A170" i="29"/>
  <c r="B169" i="29"/>
  <c r="C70" i="14"/>
  <c r="D69" i="14"/>
  <c r="I82" i="73" l="1"/>
  <c r="I87" i="73" s="1"/>
  <c r="N117" i="73"/>
  <c r="T37" i="60"/>
  <c r="N117" i="41"/>
  <c r="N29" i="44" s="1"/>
  <c r="S15" i="60"/>
  <c r="S20" i="60" s="1"/>
  <c r="R15" i="60"/>
  <c r="R20" i="60" s="1"/>
  <c r="I82" i="41"/>
  <c r="I78" i="41"/>
  <c r="Q18" i="44"/>
  <c r="R18" i="44"/>
  <c r="T169" i="29"/>
  <c r="U169" i="29"/>
  <c r="V168" i="29"/>
  <c r="A171" i="29"/>
  <c r="C170" i="29"/>
  <c r="B170" i="29"/>
  <c r="D70" i="14"/>
  <c r="N145" i="44" l="1"/>
  <c r="I87" i="41"/>
  <c r="S13" i="44"/>
  <c r="O34" i="60"/>
  <c r="T170" i="29"/>
  <c r="U170" i="29"/>
  <c r="V169" i="29"/>
  <c r="C171" i="29"/>
  <c r="B171" i="29"/>
  <c r="A172" i="29"/>
  <c r="C72" i="14"/>
  <c r="D71" i="14"/>
  <c r="E34" i="60" l="1"/>
  <c r="T15" i="60"/>
  <c r="S18" i="44"/>
  <c r="T171" i="29"/>
  <c r="U171" i="29"/>
  <c r="V170" i="29"/>
  <c r="C172" i="29"/>
  <c r="B172" i="29"/>
  <c r="A173" i="29"/>
  <c r="C73" i="14"/>
  <c r="D72" i="14"/>
  <c r="T20" i="60" l="1"/>
  <c r="V171" i="29"/>
  <c r="T172" i="29"/>
  <c r="U172" i="29"/>
  <c r="B173" i="29"/>
  <c r="A174" i="29"/>
  <c r="C173" i="29"/>
  <c r="C74" i="14"/>
  <c r="D73" i="14"/>
  <c r="T173" i="29" l="1"/>
  <c r="U173" i="29"/>
  <c r="V172" i="29"/>
  <c r="A175" i="29"/>
  <c r="B174" i="29"/>
  <c r="C174" i="29"/>
  <c r="D74" i="14"/>
  <c r="C75" i="14"/>
  <c r="T174" i="29" l="1"/>
  <c r="U174" i="29"/>
  <c r="V173" i="29"/>
  <c r="C175" i="29"/>
  <c r="B175" i="29"/>
  <c r="A176" i="29"/>
  <c r="C76" i="14"/>
  <c r="D75" i="14"/>
  <c r="T175" i="29" l="1"/>
  <c r="U175" i="29"/>
  <c r="V174" i="29"/>
  <c r="C176" i="29"/>
  <c r="B176" i="29"/>
  <c r="A177" i="29"/>
  <c r="C77" i="14"/>
  <c r="D76" i="14"/>
  <c r="T176" i="29" l="1"/>
  <c r="U176" i="29"/>
  <c r="V175" i="29"/>
  <c r="C177" i="29"/>
  <c r="B177" i="29"/>
  <c r="A178" i="29"/>
  <c r="C78" i="14"/>
  <c r="D77" i="14"/>
  <c r="T177" i="29" l="1"/>
  <c r="U177" i="29"/>
  <c r="V176" i="29"/>
  <c r="B178" i="29"/>
  <c r="A179" i="29"/>
  <c r="C178" i="29"/>
  <c r="C79" i="14"/>
  <c r="D78" i="14"/>
  <c r="T178" i="29" l="1"/>
  <c r="U178" i="29"/>
  <c r="V177" i="29"/>
  <c r="C179" i="29"/>
  <c r="B179" i="29"/>
  <c r="A180" i="29"/>
  <c r="D79" i="14"/>
  <c r="C80" i="14"/>
  <c r="T179" i="29" l="1"/>
  <c r="U179" i="29"/>
  <c r="V178" i="29"/>
  <c r="C180" i="29"/>
  <c r="B180" i="29"/>
  <c r="A181" i="29"/>
  <c r="C81" i="14"/>
  <c r="D80" i="14"/>
  <c r="T180" i="29" l="1"/>
  <c r="U180" i="29"/>
  <c r="V179" i="29"/>
  <c r="C181" i="29"/>
  <c r="B181" i="29"/>
  <c r="A182" i="29"/>
  <c r="C82" i="14"/>
  <c r="D81" i="14"/>
  <c r="O117" i="73" l="1"/>
  <c r="O117" i="41"/>
  <c r="O29" i="44" s="1"/>
  <c r="V180" i="29"/>
  <c r="T181" i="29"/>
  <c r="U181" i="29"/>
  <c r="B182" i="29"/>
  <c r="C182" i="29"/>
  <c r="A183" i="29"/>
  <c r="D82" i="14"/>
  <c r="P34" i="60" l="1"/>
  <c r="O145" i="44"/>
  <c r="V181" i="29"/>
  <c r="T182" i="29"/>
  <c r="U182" i="29"/>
  <c r="C183" i="29"/>
  <c r="B183" i="29"/>
  <c r="A184" i="29"/>
  <c r="D83" i="14"/>
  <c r="C84" i="14"/>
  <c r="F34" i="60" l="1"/>
  <c r="T183" i="29"/>
  <c r="U183" i="29"/>
  <c r="V182" i="29"/>
  <c r="A185" i="29"/>
  <c r="B184" i="29"/>
  <c r="C184" i="29"/>
  <c r="C85" i="14"/>
  <c r="D84" i="14"/>
  <c r="T184" i="29" l="1"/>
  <c r="U184" i="29"/>
  <c r="V183" i="29"/>
  <c r="A186" i="29"/>
  <c r="C185" i="29"/>
  <c r="B185" i="29"/>
  <c r="C86" i="14"/>
  <c r="D85" i="14"/>
  <c r="T185" i="29" l="1"/>
  <c r="U185" i="29"/>
  <c r="V184" i="29"/>
  <c r="B186" i="29"/>
  <c r="A187" i="29"/>
  <c r="C186" i="29"/>
  <c r="C87" i="14"/>
  <c r="D86" i="14"/>
  <c r="T186" i="29" l="1"/>
  <c r="U186" i="29"/>
  <c r="V185" i="29"/>
  <c r="B187" i="29"/>
  <c r="A188" i="29"/>
  <c r="C187" i="29"/>
  <c r="D87" i="14"/>
  <c r="C88" i="14"/>
  <c r="T187" i="29" l="1"/>
  <c r="U187" i="29"/>
  <c r="V186" i="29"/>
  <c r="B188" i="29"/>
  <c r="C188" i="29"/>
  <c r="A189" i="29"/>
  <c r="C89" i="14"/>
  <c r="D88" i="14"/>
  <c r="T188" i="29" l="1"/>
  <c r="U188" i="29"/>
  <c r="V187" i="29"/>
  <c r="B189" i="29"/>
  <c r="C189" i="29"/>
  <c r="A190" i="29"/>
  <c r="C90" i="14"/>
  <c r="D89" i="14"/>
  <c r="T189" i="29" l="1"/>
  <c r="U189" i="29"/>
  <c r="V188" i="29"/>
  <c r="C190" i="29"/>
  <c r="A191" i="29"/>
  <c r="B190" i="29"/>
  <c r="C91" i="14"/>
  <c r="D90" i="14"/>
  <c r="T190" i="29" l="1"/>
  <c r="U190" i="29"/>
  <c r="V189" i="29"/>
  <c r="C191" i="29"/>
  <c r="A192" i="29"/>
  <c r="B191" i="29"/>
  <c r="D91" i="14"/>
  <c r="C92" i="14"/>
  <c r="T191" i="29" l="1"/>
  <c r="U191" i="29"/>
  <c r="V190" i="29"/>
  <c r="C192" i="29"/>
  <c r="A193" i="29"/>
  <c r="B192" i="29"/>
  <c r="C93" i="14"/>
  <c r="D92" i="14"/>
  <c r="T192" i="29" l="1"/>
  <c r="U192" i="29"/>
  <c r="V191" i="29"/>
  <c r="A194" i="29"/>
  <c r="C193" i="29"/>
  <c r="B193" i="29"/>
  <c r="C94" i="14"/>
  <c r="D93" i="14"/>
  <c r="P117" i="73" l="1"/>
  <c r="P117" i="41"/>
  <c r="P29" i="44" s="1"/>
  <c r="T193" i="29"/>
  <c r="U193" i="29"/>
  <c r="V192" i="29"/>
  <c r="A195" i="29"/>
  <c r="C194" i="29"/>
  <c r="B194" i="29"/>
  <c r="D94" i="14"/>
  <c r="Q34" i="60" l="1"/>
  <c r="P145" i="44"/>
  <c r="V193" i="29"/>
  <c r="T194" i="29"/>
  <c r="U194" i="29"/>
  <c r="C195" i="29"/>
  <c r="B195" i="29"/>
  <c r="A196" i="29"/>
  <c r="D95" i="14"/>
  <c r="C96" i="14"/>
  <c r="G34" i="60" l="1"/>
  <c r="T195" i="29"/>
  <c r="U195" i="29"/>
  <c r="V194" i="29"/>
  <c r="A197" i="29"/>
  <c r="C196" i="29"/>
  <c r="B196" i="29"/>
  <c r="D96" i="14"/>
  <c r="C97" i="14"/>
  <c r="T196" i="29" l="1"/>
  <c r="U196" i="29"/>
  <c r="V195" i="29"/>
  <c r="A198" i="29"/>
  <c r="B197" i="29"/>
  <c r="C197" i="29"/>
  <c r="D97" i="14"/>
  <c r="C98" i="14"/>
  <c r="T197" i="29" l="1"/>
  <c r="U197" i="29"/>
  <c r="V196" i="29"/>
  <c r="A199" i="29"/>
  <c r="C198" i="29"/>
  <c r="B198" i="29"/>
  <c r="D98" i="14"/>
  <c r="C99" i="14"/>
  <c r="T198" i="29" l="1"/>
  <c r="U198" i="29"/>
  <c r="V197" i="29"/>
  <c r="A200" i="29"/>
  <c r="C199" i="29"/>
  <c r="B199" i="29"/>
  <c r="D99" i="14"/>
  <c r="C100" i="14"/>
  <c r="T199" i="29" l="1"/>
  <c r="U199" i="29"/>
  <c r="V198" i="29"/>
  <c r="B200" i="29"/>
  <c r="C200" i="29"/>
  <c r="A201" i="29"/>
  <c r="C101" i="14"/>
  <c r="D100" i="14"/>
  <c r="T200" i="29" l="1"/>
  <c r="U200" i="29"/>
  <c r="V199" i="29"/>
  <c r="A202" i="29"/>
  <c r="C201" i="29"/>
  <c r="B201" i="29"/>
  <c r="C102" i="14"/>
  <c r="D101" i="14"/>
  <c r="V200" i="29" l="1"/>
  <c r="T201" i="29"/>
  <c r="U201" i="29"/>
  <c r="A203" i="29"/>
  <c r="C202" i="29"/>
  <c r="B202" i="29"/>
  <c r="C103" i="14"/>
  <c r="D102" i="14"/>
  <c r="T202" i="29" l="1"/>
  <c r="U202" i="29"/>
  <c r="V201" i="29"/>
  <c r="A204" i="29"/>
  <c r="C203" i="29"/>
  <c r="B203" i="29"/>
  <c r="C104" i="14"/>
  <c r="D103" i="14"/>
  <c r="T203" i="29" l="1"/>
  <c r="U203" i="29"/>
  <c r="V202" i="29"/>
  <c r="C204" i="29"/>
  <c r="B204" i="29"/>
  <c r="A205" i="29"/>
  <c r="C105" i="14"/>
  <c r="D104" i="14"/>
  <c r="T204" i="29" l="1"/>
  <c r="U204" i="29"/>
  <c r="V203" i="29"/>
  <c r="C205" i="29"/>
  <c r="B205" i="29"/>
  <c r="C106" i="14"/>
  <c r="D105" i="14"/>
  <c r="Q117" i="73" l="1"/>
  <c r="Q117" i="41"/>
  <c r="Q29" i="44" s="1"/>
  <c r="P5" i="39"/>
  <c r="R5" i="39" s="1"/>
  <c r="T5" i="39" s="1"/>
  <c r="P6" i="39"/>
  <c r="R6" i="39" s="1"/>
  <c r="T6" i="39" s="1"/>
  <c r="T205" i="29"/>
  <c r="P7" i="39"/>
  <c r="R7" i="39" s="1"/>
  <c r="T7" i="39" s="1"/>
  <c r="P8" i="39"/>
  <c r="R8" i="39" s="1"/>
  <c r="T8" i="39" s="1"/>
  <c r="P9" i="39"/>
  <c r="R9" i="39" s="1"/>
  <c r="T9" i="39" s="1"/>
  <c r="P10" i="39"/>
  <c r="R10" i="39" s="1"/>
  <c r="T10" i="39" s="1"/>
  <c r="P11" i="39"/>
  <c r="R11" i="39" s="1"/>
  <c r="T11" i="39" s="1"/>
  <c r="P12" i="39"/>
  <c r="R12" i="39" s="1"/>
  <c r="T12" i="39" s="1"/>
  <c r="U205" i="29"/>
  <c r="P13" i="39"/>
  <c r="R13" i="39" s="1"/>
  <c r="T13" i="39" s="1"/>
  <c r="P14" i="39"/>
  <c r="R14" i="39" s="1"/>
  <c r="P15" i="39"/>
  <c r="R15" i="39" s="1"/>
  <c r="P20" i="39"/>
  <c r="R20" i="39" s="1"/>
  <c r="P16" i="39"/>
  <c r="R16" i="39" s="1"/>
  <c r="P19" i="39"/>
  <c r="R19" i="39" s="1"/>
  <c r="P17" i="39"/>
  <c r="R17" i="39" s="1"/>
  <c r="V204" i="29"/>
  <c r="D106" i="14"/>
  <c r="J4" i="73" l="1"/>
  <c r="J12" i="73" s="1"/>
  <c r="I4" i="73"/>
  <c r="I12" i="73" s="1"/>
  <c r="H4" i="73"/>
  <c r="H12" i="73" s="1"/>
  <c r="G4" i="73"/>
  <c r="G12" i="73" s="1"/>
  <c r="E4" i="73"/>
  <c r="E12" i="73" s="1"/>
  <c r="D4" i="73"/>
  <c r="D12" i="73" s="1"/>
  <c r="F4" i="73"/>
  <c r="F12" i="73" s="1"/>
  <c r="C4" i="73"/>
  <c r="C12" i="73" s="1"/>
  <c r="R34" i="60"/>
  <c r="Q145" i="44"/>
  <c r="T19" i="39"/>
  <c r="T16" i="39"/>
  <c r="T20" i="39"/>
  <c r="T15" i="39"/>
  <c r="T17" i="39"/>
  <c r="T14" i="39"/>
  <c r="V205" i="29"/>
  <c r="C108" i="14"/>
  <c r="D107" i="14"/>
  <c r="H34" i="60" l="1"/>
  <c r="P4" i="73"/>
  <c r="K4" i="73"/>
  <c r="K12" i="73" s="1"/>
  <c r="L4" i="73"/>
  <c r="L12" i="73" s="1"/>
  <c r="Q4" i="73"/>
  <c r="M4" i="73"/>
  <c r="N4" i="73"/>
  <c r="N4" i="41"/>
  <c r="C43" i="41" s="1"/>
  <c r="M4" i="44" s="1"/>
  <c r="R4" i="41"/>
  <c r="G43" i="41" s="1"/>
  <c r="Q4" i="44" s="1"/>
  <c r="M4" i="41"/>
  <c r="M12" i="41" s="1"/>
  <c r="O4" i="41"/>
  <c r="D43" i="41" s="1"/>
  <c r="N4" i="44" s="1"/>
  <c r="Q4" i="41"/>
  <c r="F43" i="41" s="1"/>
  <c r="P4" i="44" s="1"/>
  <c r="P18" i="39"/>
  <c r="R18" i="39" s="1"/>
  <c r="P21" i="39"/>
  <c r="R21" i="39" s="1"/>
  <c r="P22" i="39"/>
  <c r="R22" i="39" s="1"/>
  <c r="D108" i="14"/>
  <c r="C109" i="14"/>
  <c r="D43" i="73" l="1"/>
  <c r="G43" i="73"/>
  <c r="C43" i="73"/>
  <c r="T18" i="39"/>
  <c r="T21" i="39"/>
  <c r="T22" i="39"/>
  <c r="R6" i="60"/>
  <c r="Q6" i="60"/>
  <c r="O6" i="60"/>
  <c r="N6" i="60"/>
  <c r="Q119" i="44"/>
  <c r="P119" i="44"/>
  <c r="N119" i="44"/>
  <c r="M119" i="44"/>
  <c r="C110" i="14"/>
  <c r="D109" i="14"/>
  <c r="S4" i="73" l="1"/>
  <c r="S4" i="41"/>
  <c r="H43" i="41" s="1"/>
  <c r="R4" i="44" s="1"/>
  <c r="R4" i="73"/>
  <c r="F43" i="73"/>
  <c r="O4" i="73"/>
  <c r="P4" i="41"/>
  <c r="E43" i="41" s="1"/>
  <c r="O4" i="44" s="1"/>
  <c r="T4" i="41"/>
  <c r="G6" i="60"/>
  <c r="H6" i="60"/>
  <c r="N173" i="44"/>
  <c r="E6" i="60"/>
  <c r="M173" i="44"/>
  <c r="M193" i="44" s="1"/>
  <c r="D6" i="60"/>
  <c r="Q173" i="44"/>
  <c r="P173" i="44"/>
  <c r="C111" i="14"/>
  <c r="D110" i="14"/>
  <c r="I43" i="73" l="1"/>
  <c r="E43" i="73"/>
  <c r="H43" i="73"/>
  <c r="I43" i="41"/>
  <c r="S4" i="44" s="1"/>
  <c r="S6" i="60"/>
  <c r="P6" i="60"/>
  <c r="N193" i="44"/>
  <c r="R119" i="44"/>
  <c r="O119" i="44"/>
  <c r="Q193" i="44"/>
  <c r="C112" i="14"/>
  <c r="D111" i="14"/>
  <c r="T6" i="60" l="1"/>
  <c r="S119" i="44"/>
  <c r="I6" i="60"/>
  <c r="F6" i="60"/>
  <c r="O173" i="44"/>
  <c r="R173" i="44"/>
  <c r="R193" i="44" s="1"/>
  <c r="C113" i="14"/>
  <c r="D112" i="14"/>
  <c r="J6" i="60" l="1"/>
  <c r="S173" i="44"/>
  <c r="S193" i="44" s="1"/>
  <c r="O193" i="44"/>
  <c r="P193" i="44"/>
  <c r="C114" i="14"/>
  <c r="D113" i="14"/>
  <c r="C115" i="14" l="1"/>
  <c r="D114" i="14"/>
  <c r="C116" i="14" l="1"/>
  <c r="D115" i="14"/>
  <c r="C117" i="14" l="1"/>
  <c r="D116" i="14"/>
  <c r="C118" i="14" l="1"/>
  <c r="D117" i="14"/>
  <c r="R117" i="73" l="1"/>
  <c r="R117" i="41"/>
  <c r="R29" i="44" s="1"/>
  <c r="D118" i="14"/>
  <c r="R145" i="44" l="1"/>
  <c r="I34" i="60" s="1"/>
  <c r="S34" i="60"/>
  <c r="D119" i="14"/>
  <c r="C120" i="14"/>
  <c r="C121" i="14" l="1"/>
  <c r="D120" i="14"/>
  <c r="C122" i="14" l="1"/>
  <c r="D121" i="14"/>
  <c r="C123" i="14" l="1"/>
  <c r="D122" i="14"/>
  <c r="C124" i="14" l="1"/>
  <c r="D123" i="14"/>
  <c r="D124" i="14" l="1"/>
  <c r="C125" i="14"/>
  <c r="C126" i="14" l="1"/>
  <c r="D125" i="14"/>
  <c r="C127" i="14" l="1"/>
  <c r="D126" i="14"/>
  <c r="C128" i="14" l="1"/>
  <c r="D127" i="14"/>
  <c r="C129" i="14" l="1"/>
  <c r="D128" i="14"/>
  <c r="M24" i="44" l="1"/>
  <c r="AB47" i="14"/>
  <c r="C130" i="14"/>
  <c r="D129" i="14"/>
  <c r="S117" i="73" l="1"/>
  <c r="S117" i="41"/>
  <c r="S29" i="44" s="1"/>
  <c r="M139" i="44"/>
  <c r="N26" i="60"/>
  <c r="AB48" i="14"/>
  <c r="AT25" i="14"/>
  <c r="AT26" i="14"/>
  <c r="AT27" i="14"/>
  <c r="AT28" i="14"/>
  <c r="AT29" i="14"/>
  <c r="AT30" i="14"/>
  <c r="AT31" i="14"/>
  <c r="G25" i="14"/>
  <c r="G26" i="14"/>
  <c r="G27" i="14"/>
  <c r="G28" i="14"/>
  <c r="G29" i="14"/>
  <c r="G30" i="14"/>
  <c r="G31" i="14"/>
  <c r="D130" i="14"/>
  <c r="C25" i="14"/>
  <c r="C26" i="14"/>
  <c r="C27" i="14"/>
  <c r="C28" i="14"/>
  <c r="C29" i="14"/>
  <c r="C30" i="14"/>
  <c r="C31" i="14"/>
  <c r="C32" i="14" s="1"/>
  <c r="T34" i="60" l="1"/>
  <c r="S145" i="44"/>
  <c r="M177" i="44"/>
  <c r="M197" i="44" s="1"/>
  <c r="M184" i="44"/>
  <c r="M204" i="44" s="1"/>
  <c r="D26" i="60"/>
  <c r="G33" i="14"/>
  <c r="AT33" i="14"/>
  <c r="C33" i="14"/>
  <c r="H26" i="14"/>
  <c r="AU27" i="14"/>
  <c r="H27" i="14"/>
  <c r="AU29" i="14"/>
  <c r="AU30" i="14"/>
  <c r="H28" i="14"/>
  <c r="H30" i="14"/>
  <c r="AB49" i="14"/>
  <c r="AU28" i="14"/>
  <c r="D28" i="14"/>
  <c r="D26" i="14"/>
  <c r="D27" i="14"/>
  <c r="D30" i="14"/>
  <c r="D31" i="14"/>
  <c r="AK25" i="14"/>
  <c r="AK26" i="14"/>
  <c r="AK27" i="14"/>
  <c r="AK28" i="14"/>
  <c r="AK29" i="14"/>
  <c r="AK30" i="14"/>
  <c r="AK31" i="14"/>
  <c r="AU31" i="14"/>
  <c r="AG25" i="14"/>
  <c r="AG26" i="14"/>
  <c r="AG27" i="14"/>
  <c r="AG28" i="14"/>
  <c r="AG29" i="14"/>
  <c r="AG30" i="14"/>
  <c r="AG31" i="14"/>
  <c r="H29" i="14"/>
  <c r="H31" i="14"/>
  <c r="D29" i="14"/>
  <c r="AU26" i="14"/>
  <c r="J34" i="60" l="1"/>
  <c r="AG33" i="14"/>
  <c r="AK33" i="14"/>
  <c r="AL28" i="14"/>
  <c r="AL29" i="14"/>
  <c r="AL26" i="14"/>
  <c r="AL31" i="14"/>
  <c r="AH29" i="14"/>
  <c r="AB50" i="14"/>
  <c r="AL30" i="14"/>
  <c r="AL27" i="14"/>
  <c r="AH26" i="14"/>
  <c r="AH27" i="14"/>
  <c r="AH31" i="14"/>
  <c r="BN25" i="14"/>
  <c r="BN26" i="14"/>
  <c r="BN27" i="14"/>
  <c r="BN28" i="14"/>
  <c r="BN29" i="14"/>
  <c r="BN30" i="14"/>
  <c r="BN31" i="14"/>
  <c r="O25" i="14"/>
  <c r="O26" i="14"/>
  <c r="O27" i="14"/>
  <c r="O28" i="14"/>
  <c r="O29" i="14"/>
  <c r="O30" i="14"/>
  <c r="O31" i="14"/>
  <c r="BB25" i="14"/>
  <c r="BB26" i="14"/>
  <c r="BB27" i="14"/>
  <c r="BB28" i="14"/>
  <c r="BB29" i="14"/>
  <c r="BB30" i="14"/>
  <c r="BB31" i="14"/>
  <c r="AX25" i="14"/>
  <c r="AX26" i="14"/>
  <c r="AX27" i="14"/>
  <c r="AX28" i="14"/>
  <c r="AX29" i="14"/>
  <c r="AX30" i="14"/>
  <c r="AX31" i="14"/>
  <c r="AH28" i="14"/>
  <c r="BR25" i="14"/>
  <c r="BR26" i="14"/>
  <c r="BR27" i="14"/>
  <c r="BR28" i="14"/>
  <c r="BR29" i="14"/>
  <c r="BR30" i="14"/>
  <c r="BR31" i="14"/>
  <c r="AH30" i="14"/>
  <c r="K25" i="14"/>
  <c r="K26" i="14"/>
  <c r="K27" i="14"/>
  <c r="K28" i="14"/>
  <c r="K29" i="14"/>
  <c r="K30" i="14"/>
  <c r="K31" i="14"/>
  <c r="BB33" i="14" l="1"/>
  <c r="BN33" i="14"/>
  <c r="AX33" i="14"/>
  <c r="BR33" i="14"/>
  <c r="K33" i="14"/>
  <c r="O33" i="14"/>
  <c r="BO26" i="14"/>
  <c r="BS30" i="14"/>
  <c r="BO30" i="14"/>
  <c r="BS26" i="14"/>
  <c r="BC27" i="14"/>
  <c r="L26" i="14"/>
  <c r="BS29" i="14"/>
  <c r="AY30" i="14"/>
  <c r="P31" i="14"/>
  <c r="L29" i="14"/>
  <c r="BS31" i="14"/>
  <c r="BS28" i="14"/>
  <c r="AY31" i="14"/>
  <c r="BC28" i="14"/>
  <c r="AY27" i="14"/>
  <c r="L27" i="14"/>
  <c r="P27" i="14"/>
  <c r="L30" i="14"/>
  <c r="P29" i="14"/>
  <c r="BC26" i="14"/>
  <c r="AB51" i="14"/>
  <c r="BC30" i="14"/>
  <c r="BS27" i="14"/>
  <c r="BO27" i="14"/>
  <c r="BO29" i="14"/>
  <c r="BO28" i="14"/>
  <c r="AY29" i="14"/>
  <c r="L28" i="14"/>
  <c r="L31" i="14"/>
  <c r="P28" i="14"/>
  <c r="P26" i="14"/>
  <c r="BC31" i="14"/>
  <c r="BO31" i="14"/>
  <c r="BC29" i="14"/>
  <c r="AY28" i="14"/>
  <c r="AY26" i="14"/>
  <c r="P30" i="14"/>
  <c r="AB52" i="14" l="1"/>
  <c r="AB53" i="14" l="1"/>
  <c r="AB54" i="14" l="1"/>
  <c r="L122" i="44"/>
  <c r="C9" i="60" l="1"/>
  <c r="AB55" i="14"/>
  <c r="AB56" i="14" l="1"/>
  <c r="AB57" i="14" l="1"/>
  <c r="AB58" i="14" l="1"/>
  <c r="AB59" i="14"/>
  <c r="L129" i="44"/>
  <c r="C16" i="60" l="1"/>
  <c r="L133" i="44"/>
  <c r="AA25" i="14"/>
  <c r="C20" i="60" l="1"/>
  <c r="N24" i="44" l="1"/>
  <c r="O24" i="44"/>
  <c r="P26" i="60" l="1"/>
  <c r="N139" i="44"/>
  <c r="O26" i="60"/>
  <c r="O139" i="44"/>
  <c r="N177" i="44" l="1"/>
  <c r="N197" i="44" s="1"/>
  <c r="F26" i="60"/>
  <c r="E26" i="60"/>
  <c r="N184" i="44"/>
  <c r="N204" i="44" s="1"/>
  <c r="O177" i="44"/>
  <c r="O184" i="44"/>
  <c r="P24" i="44"/>
  <c r="O197" i="44" l="1"/>
  <c r="Q26" i="60"/>
  <c r="O204" i="44"/>
  <c r="P139" i="44"/>
  <c r="Q24" i="44"/>
  <c r="Q139" i="44" l="1"/>
  <c r="R26" i="60"/>
  <c r="G26" i="60"/>
  <c r="P184" i="44"/>
  <c r="P204" i="44" s="1"/>
  <c r="P177" i="44"/>
  <c r="P197" i="44" s="1"/>
  <c r="R24" i="44"/>
  <c r="Q177" i="44" l="1"/>
  <c r="Q197" i="44" s="1"/>
  <c r="Q184" i="44"/>
  <c r="Q204" i="44" s="1"/>
  <c r="H26" i="60"/>
  <c r="R139" i="44"/>
  <c r="S26" i="60"/>
  <c r="S24" i="44"/>
  <c r="I26" i="60" l="1"/>
  <c r="R184" i="44"/>
  <c r="R204" i="44" s="1"/>
  <c r="R177" i="44"/>
  <c r="R197" i="44" s="1"/>
  <c r="S139" i="44"/>
  <c r="T26" i="60"/>
  <c r="AA26" i="14"/>
  <c r="S184" i="44" l="1"/>
  <c r="S204" i="44" s="1"/>
  <c r="J26" i="60"/>
  <c r="S177" i="44"/>
  <c r="S197" i="44" s="1"/>
  <c r="AB26" i="14"/>
  <c r="AA27" i="14" l="1"/>
  <c r="AB27" i="14" s="1"/>
  <c r="AA28" i="14"/>
  <c r="AA29" i="14"/>
  <c r="AA30" i="14"/>
  <c r="AA31" i="14"/>
  <c r="AA33" i="14" l="1"/>
  <c r="AB28" i="14"/>
  <c r="AB29" i="14"/>
  <c r="AB30" i="14"/>
  <c r="AB31" i="14"/>
  <c r="M23" i="44" l="1"/>
  <c r="V16" i="14"/>
  <c r="U59" i="14" s="1"/>
  <c r="L102" i="41"/>
  <c r="L23" i="44"/>
  <c r="U60" i="14" l="1"/>
  <c r="V59" i="14"/>
  <c r="N25" i="60"/>
  <c r="L28" i="44"/>
  <c r="M25" i="60"/>
  <c r="X47" i="14"/>
  <c r="V17" i="14"/>
  <c r="U71" i="14" s="1"/>
  <c r="U72" i="14" l="1"/>
  <c r="U61" i="14"/>
  <c r="V60" i="14"/>
  <c r="N31" i="60"/>
  <c r="M31" i="60"/>
  <c r="M30" i="60"/>
  <c r="X71" i="14"/>
  <c r="X59" i="14"/>
  <c r="X48" i="14"/>
  <c r="N23" i="44"/>
  <c r="V18" i="14"/>
  <c r="U83" i="14" s="1"/>
  <c r="U84" i="14" l="1"/>
  <c r="V61" i="14"/>
  <c r="U62" i="14"/>
  <c r="U73" i="14"/>
  <c r="V72" i="14"/>
  <c r="O25" i="60"/>
  <c r="X49" i="14"/>
  <c r="X60" i="14"/>
  <c r="X83" i="14"/>
  <c r="X72" i="14"/>
  <c r="O23" i="44"/>
  <c r="V19" i="14"/>
  <c r="U95" i="14" s="1"/>
  <c r="U74" i="14" l="1"/>
  <c r="V73" i="14"/>
  <c r="U63" i="14"/>
  <c r="V62" i="14"/>
  <c r="U96" i="14"/>
  <c r="U85" i="14"/>
  <c r="V84" i="14"/>
  <c r="P25" i="60"/>
  <c r="P31" i="60" s="1"/>
  <c r="O31" i="60"/>
  <c r="X95" i="14"/>
  <c r="X73" i="14"/>
  <c r="X61" i="14"/>
  <c r="X84" i="14"/>
  <c r="X50" i="14"/>
  <c r="P23" i="44"/>
  <c r="V20" i="14"/>
  <c r="U107" i="14" s="1"/>
  <c r="U64" i="14" l="1"/>
  <c r="V63" i="14"/>
  <c r="U108" i="14"/>
  <c r="V85" i="14"/>
  <c r="U86" i="14"/>
  <c r="U97" i="14"/>
  <c r="V96" i="14"/>
  <c r="U75" i="14"/>
  <c r="V74" i="14"/>
  <c r="Q25" i="60"/>
  <c r="Q31" i="60" s="1"/>
  <c r="X51" i="14"/>
  <c r="X85" i="14"/>
  <c r="X62" i="14"/>
  <c r="X74" i="14"/>
  <c r="X107" i="14"/>
  <c r="X96" i="14"/>
  <c r="Q23" i="44"/>
  <c r="R23" i="44"/>
  <c r="V21" i="14"/>
  <c r="U119" i="14" s="1"/>
  <c r="U120" i="14" l="1"/>
  <c r="U109" i="14"/>
  <c r="V108" i="14"/>
  <c r="U76" i="14"/>
  <c r="V75" i="14"/>
  <c r="V97" i="14"/>
  <c r="U98" i="14"/>
  <c r="U87" i="14"/>
  <c r="V86" i="14"/>
  <c r="U65" i="14"/>
  <c r="V64" i="14"/>
  <c r="S25" i="60"/>
  <c r="S31" i="60" s="1"/>
  <c r="R25" i="60"/>
  <c r="R31" i="60" s="1"/>
  <c r="X97" i="14"/>
  <c r="X108" i="14"/>
  <c r="X63" i="14"/>
  <c r="X86" i="14"/>
  <c r="X75" i="14"/>
  <c r="X52" i="14"/>
  <c r="X119" i="14"/>
  <c r="S23" i="44"/>
  <c r="V109" i="14" l="1"/>
  <c r="U110" i="14"/>
  <c r="V98" i="14"/>
  <c r="U99" i="14"/>
  <c r="U77" i="14"/>
  <c r="V76" i="14"/>
  <c r="U66" i="14"/>
  <c r="V65" i="14"/>
  <c r="U88" i="14"/>
  <c r="V87" i="14"/>
  <c r="U121" i="14"/>
  <c r="V120" i="14"/>
  <c r="T25" i="60"/>
  <c r="T31" i="60" s="1"/>
  <c r="X120" i="14"/>
  <c r="X53" i="14"/>
  <c r="X64" i="14"/>
  <c r="X76" i="14"/>
  <c r="X109" i="14"/>
  <c r="X87" i="14"/>
  <c r="X98" i="14"/>
  <c r="U122" i="14" l="1"/>
  <c r="V121" i="14"/>
  <c r="U67" i="14"/>
  <c r="V66" i="14"/>
  <c r="U100" i="14"/>
  <c r="V99" i="14"/>
  <c r="U111" i="14"/>
  <c r="V110" i="14"/>
  <c r="U89" i="14"/>
  <c r="V88" i="14"/>
  <c r="V77" i="14"/>
  <c r="U78" i="14"/>
  <c r="X110" i="14"/>
  <c r="X65" i="14"/>
  <c r="X88" i="14"/>
  <c r="X54" i="14"/>
  <c r="X77" i="14"/>
  <c r="X99" i="14"/>
  <c r="X121" i="14"/>
  <c r="U90" i="14" l="1"/>
  <c r="V89" i="14"/>
  <c r="V67" i="14"/>
  <c r="U68" i="14"/>
  <c r="V78" i="14"/>
  <c r="U79" i="14"/>
  <c r="U112" i="14"/>
  <c r="V111" i="14"/>
  <c r="U101" i="14"/>
  <c r="V100" i="14"/>
  <c r="V122" i="14"/>
  <c r="U123" i="14"/>
  <c r="X55" i="14"/>
  <c r="X78" i="14"/>
  <c r="X89" i="14"/>
  <c r="X66" i="14"/>
  <c r="X122" i="14"/>
  <c r="X100" i="14"/>
  <c r="X111" i="14"/>
  <c r="V79" i="14" l="1"/>
  <c r="U80" i="14"/>
  <c r="U113" i="14"/>
  <c r="V112" i="14"/>
  <c r="U124" i="14"/>
  <c r="V123" i="14"/>
  <c r="V101" i="14"/>
  <c r="U102" i="14"/>
  <c r="U69" i="14"/>
  <c r="V68" i="14"/>
  <c r="U91" i="14"/>
  <c r="V90" i="14"/>
  <c r="X101" i="14"/>
  <c r="X112" i="14"/>
  <c r="X79" i="14"/>
  <c r="X90" i="14"/>
  <c r="X123" i="14"/>
  <c r="X67" i="14"/>
  <c r="X56" i="14"/>
  <c r="V91" i="14" l="1"/>
  <c r="U92" i="14"/>
  <c r="V69" i="14"/>
  <c r="U70" i="14"/>
  <c r="U103" i="14"/>
  <c r="V102" i="14"/>
  <c r="U114" i="14"/>
  <c r="V113" i="14"/>
  <c r="U81" i="14"/>
  <c r="V80" i="14"/>
  <c r="V124" i="14"/>
  <c r="U125" i="14"/>
  <c r="X58" i="14"/>
  <c r="M121" i="73" s="1"/>
  <c r="X57" i="14"/>
  <c r="X68" i="14"/>
  <c r="X124" i="14"/>
  <c r="X91" i="14"/>
  <c r="X80" i="14"/>
  <c r="X113" i="14"/>
  <c r="X102" i="14"/>
  <c r="V47" i="14"/>
  <c r="U25" i="14"/>
  <c r="V125" i="14" l="1"/>
  <c r="U126" i="14"/>
  <c r="U115" i="14"/>
  <c r="V114" i="14"/>
  <c r="V103" i="14"/>
  <c r="U104" i="14"/>
  <c r="U93" i="14"/>
  <c r="V92" i="14"/>
  <c r="V81" i="14"/>
  <c r="U82" i="14"/>
  <c r="V70" i="14"/>
  <c r="V71" i="14"/>
  <c r="M121" i="41"/>
  <c r="M33" i="44" s="1"/>
  <c r="X114" i="14"/>
  <c r="X81" i="14"/>
  <c r="X92" i="14"/>
  <c r="X125" i="14"/>
  <c r="X103" i="14"/>
  <c r="X70" i="14"/>
  <c r="N121" i="73" s="1"/>
  <c r="X69" i="14"/>
  <c r="V93" i="14" l="1"/>
  <c r="U94" i="14"/>
  <c r="X94" i="14" s="1"/>
  <c r="P121" i="73" s="1"/>
  <c r="U127" i="14"/>
  <c r="V126" i="14"/>
  <c r="V82" i="14"/>
  <c r="V83" i="14"/>
  <c r="U105" i="14"/>
  <c r="V104" i="14"/>
  <c r="U116" i="14"/>
  <c r="V115" i="14"/>
  <c r="X82" i="14"/>
  <c r="O121" i="73" s="1"/>
  <c r="N121" i="41"/>
  <c r="N33" i="44" s="1"/>
  <c r="O121" i="41"/>
  <c r="O33" i="44" s="1"/>
  <c r="X126" i="14"/>
  <c r="X104" i="14"/>
  <c r="X93" i="14"/>
  <c r="U26" i="14"/>
  <c r="V26" i="14" s="1"/>
  <c r="X115" i="14"/>
  <c r="U27" i="14"/>
  <c r="U106" i="14" l="1"/>
  <c r="X106" i="14" s="1"/>
  <c r="Q121" i="73" s="1"/>
  <c r="V105" i="14"/>
  <c r="U128" i="14"/>
  <c r="V127" i="14"/>
  <c r="V94" i="14"/>
  <c r="V95" i="14"/>
  <c r="U117" i="14"/>
  <c r="V116" i="14"/>
  <c r="N38" i="60"/>
  <c r="P121" i="41"/>
  <c r="P33" i="44" s="1"/>
  <c r="V27" i="14"/>
  <c r="U28" i="14"/>
  <c r="V28" i="14" s="1"/>
  <c r="X116" i="14"/>
  <c r="X105" i="14"/>
  <c r="X127" i="14"/>
  <c r="U29" i="14"/>
  <c r="U118" i="14" l="1"/>
  <c r="V117" i="14"/>
  <c r="V128" i="14"/>
  <c r="U129" i="14"/>
  <c r="V106" i="14"/>
  <c r="V107" i="14"/>
  <c r="Q121" i="41"/>
  <c r="Q33" i="44" s="1"/>
  <c r="O38" i="60"/>
  <c r="P38" i="60"/>
  <c r="N44" i="60"/>
  <c r="V29" i="14"/>
  <c r="X118" i="14"/>
  <c r="R121" i="73" s="1"/>
  <c r="X117" i="14"/>
  <c r="X128" i="14"/>
  <c r="U130" i="14" l="1"/>
  <c r="V130" i="14" s="1"/>
  <c r="V129" i="14"/>
  <c r="V118" i="14"/>
  <c r="V119" i="14"/>
  <c r="Q38" i="60"/>
  <c r="R121" i="41"/>
  <c r="R33" i="44" s="1"/>
  <c r="P44" i="60"/>
  <c r="O44" i="60"/>
  <c r="X130" i="14"/>
  <c r="S121" i="73" s="1"/>
  <c r="X129" i="14"/>
  <c r="U30" i="14"/>
  <c r="R38" i="60" l="1"/>
  <c r="S121" i="41"/>
  <c r="S33" i="44" s="1"/>
  <c r="Q44" i="60"/>
  <c r="L73" i="44"/>
  <c r="L38" i="44"/>
  <c r="BK47" i="14"/>
  <c r="X25" i="14"/>
  <c r="X26" i="14"/>
  <c r="X28" i="14"/>
  <c r="X27" i="14"/>
  <c r="X29" i="14"/>
  <c r="X30" i="14"/>
  <c r="X31" i="14"/>
  <c r="V30" i="14"/>
  <c r="L113" i="41"/>
  <c r="U31" i="14"/>
  <c r="V31" i="14" s="1"/>
  <c r="F122" i="37"/>
  <c r="K122" i="37" s="1"/>
  <c r="M122" i="37" s="1"/>
  <c r="BI47" i="14"/>
  <c r="W25" i="60" l="1"/>
  <c r="W30" i="60" s="1"/>
  <c r="S38" i="60"/>
  <c r="R44" i="60"/>
  <c r="L138" i="44"/>
  <c r="L77" i="44"/>
  <c r="BK48" i="14"/>
  <c r="U33" i="14"/>
  <c r="BI48" i="14"/>
  <c r="F123" i="37"/>
  <c r="K123" i="37" s="1"/>
  <c r="M123" i="37" s="1"/>
  <c r="O122" i="37"/>
  <c r="W31" i="60" l="1"/>
  <c r="C25" i="60"/>
  <c r="T38" i="60"/>
  <c r="S44" i="60"/>
  <c r="L183" i="44"/>
  <c r="L203" i="44" s="1"/>
  <c r="L176" i="44"/>
  <c r="L196" i="44" s="1"/>
  <c r="L144" i="44"/>
  <c r="L143" i="44"/>
  <c r="BK49" i="14"/>
  <c r="F124" i="37"/>
  <c r="K124" i="37" s="1"/>
  <c r="M124" i="37" s="1"/>
  <c r="BI49" i="14"/>
  <c r="O123" i="37"/>
  <c r="C30" i="60" l="1"/>
  <c r="C31" i="60"/>
  <c r="T44" i="60"/>
  <c r="BK50" i="14"/>
  <c r="F125" i="37"/>
  <c r="K125" i="37" s="1"/>
  <c r="M125" i="37" s="1"/>
  <c r="BI50" i="14"/>
  <c r="O124" i="37"/>
  <c r="BK51" i="14" l="1"/>
  <c r="BI51" i="14"/>
  <c r="F126" i="37"/>
  <c r="K126" i="37" s="1"/>
  <c r="M126" i="37" s="1"/>
  <c r="O125" i="37"/>
  <c r="BK52" i="14" l="1"/>
  <c r="BI52" i="14"/>
  <c r="F127" i="37"/>
  <c r="K127" i="37" s="1"/>
  <c r="M127" i="37" s="1"/>
  <c r="O126" i="37"/>
  <c r="BK53" i="14" l="1"/>
  <c r="O127" i="37"/>
  <c r="BI53" i="14"/>
  <c r="F128" i="37"/>
  <c r="K128" i="37" s="1"/>
  <c r="M128" i="37" s="1"/>
  <c r="BK54" i="14" l="1"/>
  <c r="O128" i="37"/>
  <c r="F129" i="37"/>
  <c r="K129" i="37" s="1"/>
  <c r="M129" i="37" s="1"/>
  <c r="BI54" i="14"/>
  <c r="BK55" i="14" l="1"/>
  <c r="F130" i="37"/>
  <c r="K130" i="37" s="1"/>
  <c r="M130" i="37" s="1"/>
  <c r="BI55" i="14"/>
  <c r="O129" i="37"/>
  <c r="BK56" i="14" l="1"/>
  <c r="O130" i="37"/>
  <c r="F131" i="37"/>
  <c r="K131" i="37" s="1"/>
  <c r="M131" i="37" s="1"/>
  <c r="BI56" i="14"/>
  <c r="BK58" i="14" l="1"/>
  <c r="M133" i="73" s="1"/>
  <c r="BK57" i="14"/>
  <c r="BI57" i="14"/>
  <c r="F132" i="37"/>
  <c r="K132" i="37" s="1"/>
  <c r="M132" i="37" s="1"/>
  <c r="O131" i="37"/>
  <c r="M133" i="41" l="1"/>
  <c r="O132" i="37"/>
  <c r="BI58" i="14"/>
  <c r="F133" i="37"/>
  <c r="K133" i="37" s="1"/>
  <c r="M133" i="37" s="1"/>
  <c r="M81" i="44" l="1"/>
  <c r="M149" i="44" s="1"/>
  <c r="O133" i="37"/>
  <c r="X38" i="60" l="1"/>
  <c r="D38" i="60" l="1"/>
  <c r="M155" i="44"/>
  <c r="X44" i="60"/>
  <c r="BH25" i="14"/>
  <c r="D44" i="60" l="1"/>
  <c r="BK59" i="14"/>
  <c r="BK60" i="14" l="1"/>
  <c r="F146" i="37"/>
  <c r="K146" i="37" s="1"/>
  <c r="M146" i="37" s="1"/>
  <c r="M73" i="44"/>
  <c r="O73" i="44"/>
  <c r="N73" i="44"/>
  <c r="BI59" i="14"/>
  <c r="F134" i="37"/>
  <c r="K134" i="37" s="1"/>
  <c r="M134" i="37" s="1"/>
  <c r="X25" i="60" l="1"/>
  <c r="Y25" i="60"/>
  <c r="Z25" i="60"/>
  <c r="BK71" i="14"/>
  <c r="BK83" i="14"/>
  <c r="BK61" i="14"/>
  <c r="F158" i="37"/>
  <c r="K158" i="37" s="1"/>
  <c r="M158" i="37" s="1"/>
  <c r="Q73" i="44"/>
  <c r="M138" i="44"/>
  <c r="O138" i="44"/>
  <c r="F147" i="37"/>
  <c r="K147" i="37" s="1"/>
  <c r="M147" i="37" s="1"/>
  <c r="BI72" i="14"/>
  <c r="O134" i="37"/>
  <c r="BI60" i="14"/>
  <c r="F135" i="37"/>
  <c r="K135" i="37" s="1"/>
  <c r="M135" i="37" s="1"/>
  <c r="N138" i="44"/>
  <c r="F25" i="60" l="1"/>
  <c r="E25" i="60"/>
  <c r="Z31" i="60"/>
  <c r="X31" i="60"/>
  <c r="D25" i="60"/>
  <c r="Y31" i="60"/>
  <c r="AB25" i="60"/>
  <c r="BK107" i="14"/>
  <c r="BK62" i="14"/>
  <c r="F160" i="37"/>
  <c r="K160" i="37" s="1"/>
  <c r="M160" i="37" s="1"/>
  <c r="BK84" i="14"/>
  <c r="BI73" i="14"/>
  <c r="BK72" i="14"/>
  <c r="BK95" i="14"/>
  <c r="P73" i="44"/>
  <c r="F170" i="37"/>
  <c r="K170" i="37" s="1"/>
  <c r="M170" i="37" s="1"/>
  <c r="BI84" i="14"/>
  <c r="F159" i="37"/>
  <c r="K159" i="37" s="1"/>
  <c r="M159" i="37" s="1"/>
  <c r="M144" i="44"/>
  <c r="O144" i="44"/>
  <c r="N144" i="44"/>
  <c r="F182" i="37"/>
  <c r="K182" i="37" s="1"/>
  <c r="M182" i="37" s="1"/>
  <c r="F136" i="37"/>
  <c r="K136" i="37" s="1"/>
  <c r="M136" i="37" s="1"/>
  <c r="BI61" i="14"/>
  <c r="O135" i="37"/>
  <c r="Q138" i="44"/>
  <c r="E31" i="60" l="1"/>
  <c r="D31" i="60"/>
  <c r="F31" i="60"/>
  <c r="AB31" i="60"/>
  <c r="AA25" i="60"/>
  <c r="H25" i="60"/>
  <c r="BI85" i="14"/>
  <c r="F148" i="37"/>
  <c r="K148" i="37" s="1"/>
  <c r="M148" i="37" s="1"/>
  <c r="BI97" i="14"/>
  <c r="BK96" i="14"/>
  <c r="BI74" i="14"/>
  <c r="BK73" i="14"/>
  <c r="BI86" i="14"/>
  <c r="BK85" i="14"/>
  <c r="BI96" i="14"/>
  <c r="BK119" i="14"/>
  <c r="F171" i="37"/>
  <c r="K171" i="37" s="1"/>
  <c r="M171" i="37" s="1"/>
  <c r="BK63" i="14"/>
  <c r="BK108" i="14"/>
  <c r="R73" i="44"/>
  <c r="P138" i="44"/>
  <c r="O136" i="37"/>
  <c r="Q144" i="44"/>
  <c r="F194" i="37"/>
  <c r="K194" i="37" s="1"/>
  <c r="M194" i="37" s="1"/>
  <c r="S73" i="44"/>
  <c r="BI62" i="14"/>
  <c r="F137" i="37"/>
  <c r="K137" i="37" s="1"/>
  <c r="M137" i="37" s="1"/>
  <c r="BI108" i="14"/>
  <c r="F183" i="37"/>
  <c r="K183" i="37" s="1"/>
  <c r="M183" i="37" s="1"/>
  <c r="AA31" i="60" l="1"/>
  <c r="AD25" i="60"/>
  <c r="H31" i="60"/>
  <c r="AC25" i="60"/>
  <c r="G25" i="60"/>
  <c r="F149" i="37"/>
  <c r="K149" i="37" s="1"/>
  <c r="M149" i="37" s="1"/>
  <c r="F172" i="37"/>
  <c r="K172" i="37" s="1"/>
  <c r="M172" i="37" s="1"/>
  <c r="F161" i="37"/>
  <c r="K161" i="37" s="1"/>
  <c r="M161" i="37" s="1"/>
  <c r="BK64" i="14"/>
  <c r="BK120" i="14"/>
  <c r="F162" i="37"/>
  <c r="K162" i="37" s="1"/>
  <c r="M162" i="37" s="1"/>
  <c r="BK86" i="14"/>
  <c r="F150" i="37"/>
  <c r="K150" i="37" s="1"/>
  <c r="M150" i="37" s="1"/>
  <c r="BK74" i="14"/>
  <c r="BK97" i="14"/>
  <c r="BK109" i="14"/>
  <c r="R138" i="44"/>
  <c r="P144" i="44"/>
  <c r="O137" i="37"/>
  <c r="BI63" i="14"/>
  <c r="F138" i="37"/>
  <c r="K138" i="37" s="1"/>
  <c r="M138" i="37" s="1"/>
  <c r="S138" i="44"/>
  <c r="BI120" i="14"/>
  <c r="F195" i="37"/>
  <c r="K195" i="37" s="1"/>
  <c r="M195" i="37" s="1"/>
  <c r="BI109" i="14"/>
  <c r="F184" i="37"/>
  <c r="K184" i="37" s="1"/>
  <c r="M184" i="37" s="1"/>
  <c r="I25" i="60" l="1"/>
  <c r="AD31" i="60"/>
  <c r="G31" i="60"/>
  <c r="AC31" i="60"/>
  <c r="J25" i="60"/>
  <c r="R144" i="44"/>
  <c r="BK110" i="14"/>
  <c r="BI75" i="14"/>
  <c r="F174" i="37"/>
  <c r="K174" i="37" s="1"/>
  <c r="M174" i="37" s="1"/>
  <c r="BK98" i="14"/>
  <c r="F173" i="37"/>
  <c r="K173" i="37" s="1"/>
  <c r="F151" i="37"/>
  <c r="K151" i="37" s="1"/>
  <c r="M151" i="37" s="1"/>
  <c r="BK75" i="14"/>
  <c r="BI98" i="14"/>
  <c r="BI88" i="14"/>
  <c r="BK87" i="14"/>
  <c r="BI87" i="14"/>
  <c r="BK121" i="14"/>
  <c r="BK65" i="14"/>
  <c r="BI110" i="14"/>
  <c r="F185" i="37"/>
  <c r="K185" i="37" s="1"/>
  <c r="M185" i="37" s="1"/>
  <c r="O138" i="37"/>
  <c r="BI64" i="14"/>
  <c r="F139" i="37"/>
  <c r="K139" i="37" s="1"/>
  <c r="M139" i="37" s="1"/>
  <c r="F196" i="37"/>
  <c r="K196" i="37" s="1"/>
  <c r="M196" i="37" s="1"/>
  <c r="BI121" i="14"/>
  <c r="S144" i="44"/>
  <c r="I31" i="60" l="1"/>
  <c r="J31" i="60"/>
  <c r="M173" i="37"/>
  <c r="BI99" i="14"/>
  <c r="BI76" i="14"/>
  <c r="BK122" i="14"/>
  <c r="BK88" i="14"/>
  <c r="BI77" i="14"/>
  <c r="BK76" i="14"/>
  <c r="BI100" i="14"/>
  <c r="BK99" i="14"/>
  <c r="BK111" i="14"/>
  <c r="F163" i="37"/>
  <c r="K163" i="37" s="1"/>
  <c r="BK66" i="14"/>
  <c r="BI89" i="14"/>
  <c r="F140" i="37"/>
  <c r="K140" i="37" s="1"/>
  <c r="M140" i="37" s="1"/>
  <c r="BI65" i="14"/>
  <c r="O139" i="37"/>
  <c r="BI111" i="14"/>
  <c r="F186" i="37"/>
  <c r="K186" i="37" s="1"/>
  <c r="M186" i="37" s="1"/>
  <c r="F197" i="37"/>
  <c r="K197" i="37" s="1"/>
  <c r="M197" i="37" s="1"/>
  <c r="BI122" i="14"/>
  <c r="M163" i="37" l="1"/>
  <c r="F152" i="37"/>
  <c r="K152" i="37" s="1"/>
  <c r="M152" i="37" s="1"/>
  <c r="F175" i="37"/>
  <c r="K175" i="37" s="1"/>
  <c r="BK112" i="14"/>
  <c r="BK100" i="14"/>
  <c r="BK77" i="14"/>
  <c r="BI90" i="14"/>
  <c r="BK89" i="14"/>
  <c r="BK123" i="14"/>
  <c r="BK67" i="14"/>
  <c r="F164" i="37"/>
  <c r="K164" i="37" s="1"/>
  <c r="M164" i="37" s="1"/>
  <c r="F187" i="37"/>
  <c r="K187" i="37" s="1"/>
  <c r="M187" i="37" s="1"/>
  <c r="BI112" i="14"/>
  <c r="BI66" i="14"/>
  <c r="F141" i="37"/>
  <c r="K141" i="37" s="1"/>
  <c r="M141" i="37" s="1"/>
  <c r="O140" i="37"/>
  <c r="F198" i="37"/>
  <c r="K198" i="37" s="1"/>
  <c r="M198" i="37" s="1"/>
  <c r="BI123" i="14"/>
  <c r="M175" i="37" l="1"/>
  <c r="BI101" i="14"/>
  <c r="F176" i="37"/>
  <c r="K176" i="37" s="1"/>
  <c r="M176" i="37" s="1"/>
  <c r="F165" i="37"/>
  <c r="K165" i="37" s="1"/>
  <c r="M165" i="37" s="1"/>
  <c r="BK68" i="14"/>
  <c r="BK124" i="14"/>
  <c r="BI91" i="14"/>
  <c r="BK90" i="14"/>
  <c r="BI79" i="14"/>
  <c r="BK78" i="14"/>
  <c r="BI102" i="14"/>
  <c r="BK101" i="14"/>
  <c r="BI78" i="14"/>
  <c r="F153" i="37"/>
  <c r="K153" i="37" s="1"/>
  <c r="M153" i="37" s="1"/>
  <c r="BK113" i="14"/>
  <c r="O141" i="37"/>
  <c r="F188" i="37"/>
  <c r="K188" i="37" s="1"/>
  <c r="M188" i="37" s="1"/>
  <c r="BI113" i="14"/>
  <c r="BI67" i="14"/>
  <c r="F142" i="37"/>
  <c r="K142" i="37" s="1"/>
  <c r="M142" i="37" s="1"/>
  <c r="BI124" i="14"/>
  <c r="F199" i="37"/>
  <c r="K199" i="37" s="1"/>
  <c r="M199" i="37" s="1"/>
  <c r="F177" i="37" l="1"/>
  <c r="K177" i="37" s="1"/>
  <c r="M177" i="37" s="1"/>
  <c r="F166" i="37"/>
  <c r="K166" i="37" s="1"/>
  <c r="BK114" i="14"/>
  <c r="BK102" i="14"/>
  <c r="BK79" i="14"/>
  <c r="BK91" i="14"/>
  <c r="F154" i="37"/>
  <c r="K154" i="37" s="1"/>
  <c r="BK125" i="14"/>
  <c r="BK70" i="14"/>
  <c r="N133" i="73" s="1"/>
  <c r="BK69" i="14"/>
  <c r="BI125" i="14"/>
  <c r="F200" i="37"/>
  <c r="K200" i="37" s="1"/>
  <c r="M200" i="37" s="1"/>
  <c r="F143" i="37"/>
  <c r="K143" i="37" s="1"/>
  <c r="M143" i="37" s="1"/>
  <c r="BI68" i="14"/>
  <c r="BI114" i="14"/>
  <c r="F189" i="37"/>
  <c r="K189" i="37" s="1"/>
  <c r="M189" i="37" s="1"/>
  <c r="O142" i="37"/>
  <c r="N133" i="41" l="1"/>
  <c r="M154" i="37"/>
  <c r="M166" i="37"/>
  <c r="F167" i="37"/>
  <c r="K167" i="37" s="1"/>
  <c r="M167" i="37" s="1"/>
  <c r="BI92" i="14"/>
  <c r="BI103" i="14"/>
  <c r="F178" i="37"/>
  <c r="K178" i="37" s="1"/>
  <c r="BK126" i="14"/>
  <c r="BK92" i="14"/>
  <c r="BI81" i="14"/>
  <c r="BK80" i="14"/>
  <c r="F179" i="37"/>
  <c r="K179" i="37" s="1"/>
  <c r="M179" i="37" s="1"/>
  <c r="BK103" i="14"/>
  <c r="F155" i="37"/>
  <c r="K155" i="37" s="1"/>
  <c r="BI80" i="14"/>
  <c r="BK115" i="14"/>
  <c r="F190" i="37"/>
  <c r="K190" i="37" s="1"/>
  <c r="M190" i="37" s="1"/>
  <c r="BI115" i="14"/>
  <c r="BI126" i="14"/>
  <c r="F201" i="37"/>
  <c r="K201" i="37" s="1"/>
  <c r="M201" i="37" s="1"/>
  <c r="F144" i="37"/>
  <c r="K144" i="37" s="1"/>
  <c r="M144" i="37" s="1"/>
  <c r="BI69" i="14"/>
  <c r="O143" i="37"/>
  <c r="N81" i="44" l="1"/>
  <c r="N149" i="44" s="1"/>
  <c r="M178" i="37"/>
  <c r="M155" i="37"/>
  <c r="BI93" i="14"/>
  <c r="F156" i="37"/>
  <c r="K156" i="37" s="1"/>
  <c r="M156" i="37" s="1"/>
  <c r="F168" i="37"/>
  <c r="K168" i="37" s="1"/>
  <c r="BK116" i="14"/>
  <c r="BI105" i="14"/>
  <c r="BK104" i="14"/>
  <c r="BK82" i="14"/>
  <c r="O133" i="73" s="1"/>
  <c r="BK81" i="14"/>
  <c r="BK94" i="14"/>
  <c r="P133" i="73" s="1"/>
  <c r="BK93" i="14"/>
  <c r="BI104" i="14"/>
  <c r="BK127" i="14"/>
  <c r="BI127" i="14"/>
  <c r="F202" i="37"/>
  <c r="K202" i="37" s="1"/>
  <c r="M202" i="37" s="1"/>
  <c r="BI70" i="14"/>
  <c r="F145" i="37"/>
  <c r="K145" i="37" s="1"/>
  <c r="M145" i="37" s="1"/>
  <c r="BI71" i="14"/>
  <c r="F191" i="37"/>
  <c r="K191" i="37" s="1"/>
  <c r="M191" i="37" s="1"/>
  <c r="BI116" i="14"/>
  <c r="O144" i="37"/>
  <c r="P133" i="41" l="1"/>
  <c r="O133" i="41"/>
  <c r="Y38" i="60"/>
  <c r="M168" i="37"/>
  <c r="F180" i="37"/>
  <c r="K180" i="37" s="1"/>
  <c r="F157" i="37"/>
  <c r="K157" i="37" s="1"/>
  <c r="BI83" i="14"/>
  <c r="BI82" i="14"/>
  <c r="BI94" i="14"/>
  <c r="BK128" i="14"/>
  <c r="BK106" i="14"/>
  <c r="Q133" i="73" s="1"/>
  <c r="BK105" i="14"/>
  <c r="BI95" i="14"/>
  <c r="F169" i="37"/>
  <c r="K169" i="37" s="1"/>
  <c r="M169" i="37" s="1"/>
  <c r="BK118" i="14"/>
  <c r="R133" i="73" s="1"/>
  <c r="BK117" i="14"/>
  <c r="F203" i="37"/>
  <c r="K203" i="37" s="1"/>
  <c r="M203" i="37" s="1"/>
  <c r="BI128" i="14"/>
  <c r="F192" i="37"/>
  <c r="K192" i="37" s="1"/>
  <c r="M192" i="37" s="1"/>
  <c r="BI117" i="14"/>
  <c r="O145" i="37"/>
  <c r="R133" i="41" l="1"/>
  <c r="E38" i="60"/>
  <c r="N155" i="44"/>
  <c r="Y44" i="60"/>
  <c r="O81" i="44"/>
  <c r="O149" i="44" s="1"/>
  <c r="P81" i="44"/>
  <c r="P149" i="44" s="1"/>
  <c r="Q133" i="41"/>
  <c r="M157" i="37"/>
  <c r="M180" i="37"/>
  <c r="F181" i="37"/>
  <c r="K181" i="37" s="1"/>
  <c r="M181" i="37" s="1"/>
  <c r="BI106" i="14"/>
  <c r="BI107" i="14"/>
  <c r="BK130" i="14"/>
  <c r="S133" i="73" s="1"/>
  <c r="BK129" i="14"/>
  <c r="BI118" i="14"/>
  <c r="F193" i="37"/>
  <c r="K193" i="37" s="1"/>
  <c r="M193" i="37" s="1"/>
  <c r="BI119" i="14"/>
  <c r="BI129" i="14"/>
  <c r="F204" i="37"/>
  <c r="K204" i="37" s="1"/>
  <c r="M204" i="37" s="1"/>
  <c r="S133" i="41" l="1"/>
  <c r="S81" i="44" s="1"/>
  <c r="S149" i="44" s="1"/>
  <c r="Z38" i="60"/>
  <c r="Q81" i="44"/>
  <c r="Q149" i="44" s="1"/>
  <c r="AA38" i="60"/>
  <c r="E44" i="60"/>
  <c r="R81" i="44"/>
  <c r="R149" i="44" s="1"/>
  <c r="BK25" i="14"/>
  <c r="BK26" i="14"/>
  <c r="BK27" i="14"/>
  <c r="BK28" i="14"/>
  <c r="BK29" i="14"/>
  <c r="BK30" i="14"/>
  <c r="BK31" i="14"/>
  <c r="BI130" i="14"/>
  <c r="F205" i="37"/>
  <c r="K205" i="37" s="1"/>
  <c r="M205" i="37" s="1"/>
  <c r="BH28" i="14"/>
  <c r="BH27" i="14"/>
  <c r="BH26" i="14"/>
  <c r="BH30" i="14"/>
  <c r="BH29" i="14"/>
  <c r="BH31" i="14"/>
  <c r="AA44" i="60" l="1"/>
  <c r="AB38" i="60"/>
  <c r="AC38" i="60"/>
  <c r="G38" i="60"/>
  <c r="P155" i="44"/>
  <c r="AD38" i="60"/>
  <c r="F38" i="60"/>
  <c r="O155" i="44"/>
  <c r="Z44" i="60"/>
  <c r="BH33" i="14"/>
  <c r="BI28" i="14"/>
  <c r="BI31" i="14"/>
  <c r="BI27" i="14"/>
  <c r="BI29" i="14"/>
  <c r="BI30" i="14"/>
  <c r="BI26" i="14"/>
  <c r="J38" i="60" l="1"/>
  <c r="S155" i="44"/>
  <c r="G44" i="60"/>
  <c r="I38" i="60"/>
  <c r="R155" i="44"/>
  <c r="F44" i="60"/>
  <c r="AD44" i="60"/>
  <c r="AC44" i="60"/>
  <c r="H38" i="60"/>
  <c r="Q155" i="44"/>
  <c r="AB44" i="60"/>
  <c r="H44" i="60" l="1"/>
  <c r="I44" i="60"/>
  <c r="J44" i="60"/>
  <c r="R28" i="12" l="1"/>
  <c r="R31" i="12" s="1"/>
  <c r="Q28" i="12"/>
  <c r="P35" i="10"/>
  <c r="Q35" i="10"/>
  <c r="R35" i="10"/>
  <c r="S35" i="10"/>
  <c r="Q67" i="10"/>
  <c r="Q46" i="10" s="1"/>
  <c r="R67" i="10"/>
  <c r="S67" i="10"/>
  <c r="S51" i="10" s="1"/>
  <c r="S46" i="10" l="1"/>
  <c r="R51" i="10"/>
  <c r="R46" i="10"/>
  <c r="P56" i="10"/>
  <c r="P57" i="10" s="1"/>
  <c r="P60" i="10" s="1"/>
  <c r="P46" i="10"/>
  <c r="S19" i="10"/>
  <c r="S14" i="10"/>
  <c r="M157" i="10" s="1"/>
  <c r="P14" i="10"/>
  <c r="P15" i="10" s="1"/>
  <c r="R19" i="10"/>
  <c r="L161" i="10" s="1"/>
  <c r="R14" i="10"/>
  <c r="Q19" i="10"/>
  <c r="K161" i="10" s="1"/>
  <c r="Q14" i="10"/>
  <c r="P51" i="10"/>
  <c r="G23" i="40"/>
  <c r="Q31" i="12"/>
  <c r="G24" i="40"/>
  <c r="S24" i="10"/>
  <c r="S54" i="10"/>
  <c r="Q49" i="10"/>
  <c r="Q51" i="10"/>
  <c r="P19" i="10"/>
  <c r="S56" i="10"/>
  <c r="R24" i="10"/>
  <c r="R56" i="10"/>
  <c r="Q24" i="10"/>
  <c r="Q56" i="10"/>
  <c r="P24" i="10"/>
  <c r="O56" i="73" l="1"/>
  <c r="P56" i="73"/>
  <c r="P25" i="10"/>
  <c r="J165" i="10"/>
  <c r="S22" i="10"/>
  <c r="M161" i="10"/>
  <c r="P20" i="10"/>
  <c r="J161" i="10"/>
  <c r="K165" i="10"/>
  <c r="L165" i="10"/>
  <c r="M165" i="10"/>
  <c r="P54" i="10"/>
  <c r="P52" i="10"/>
  <c r="R61" i="73"/>
  <c r="H82" i="73"/>
  <c r="H87" i="73" s="1"/>
  <c r="Q61" i="73"/>
  <c r="G82" i="73"/>
  <c r="G87" i="73" s="1"/>
  <c r="N61" i="73"/>
  <c r="D82" i="73"/>
  <c r="D87" i="73" s="1"/>
  <c r="Q56" i="41"/>
  <c r="Q61" i="41" s="1"/>
  <c r="P56" i="41"/>
  <c r="E82" i="41" s="1"/>
  <c r="Q25" i="10"/>
  <c r="R25" i="10" s="1"/>
  <c r="S25" i="10" s="1"/>
  <c r="T25" i="10" s="1"/>
  <c r="U25" i="10" s="1"/>
  <c r="V25" i="10" s="1"/>
  <c r="W25" i="10" s="1"/>
  <c r="X25" i="10" s="1"/>
  <c r="Q57" i="10"/>
  <c r="R57" i="10" s="1"/>
  <c r="S57" i="10" s="1"/>
  <c r="T57" i="10" s="1"/>
  <c r="U57" i="10" s="1"/>
  <c r="V57" i="10" s="1"/>
  <c r="W57" i="10" s="1"/>
  <c r="X57" i="10" s="1"/>
  <c r="Q22" i="10"/>
  <c r="R22" i="10"/>
  <c r="P59" i="10"/>
  <c r="R54" i="10"/>
  <c r="P43" i="10"/>
  <c r="P44" i="10" s="1"/>
  <c r="Q20" i="10"/>
  <c r="R20" i="10" s="1"/>
  <c r="S20" i="10" s="1"/>
  <c r="T20" i="10" s="1"/>
  <c r="U20" i="10" s="1"/>
  <c r="V20" i="10" s="1"/>
  <c r="W20" i="10" s="1"/>
  <c r="X20" i="10" s="1"/>
  <c r="Q15" i="10"/>
  <c r="R15" i="10" s="1"/>
  <c r="S15" i="10" s="1"/>
  <c r="P49" i="10"/>
  <c r="P47" i="10"/>
  <c r="Q47" i="10" s="1"/>
  <c r="R47" i="10" s="1"/>
  <c r="S47" i="10" s="1"/>
  <c r="T47" i="10" s="1"/>
  <c r="U47" i="10" s="1"/>
  <c r="V47" i="10" s="1"/>
  <c r="W47" i="10" s="1"/>
  <c r="X47" i="10" s="1"/>
  <c r="S27" i="10"/>
  <c r="Q59" i="10"/>
  <c r="R17" i="10"/>
  <c r="R11" i="10"/>
  <c r="L157" i="10"/>
  <c r="P17" i="10"/>
  <c r="P11" i="10"/>
  <c r="P12" i="10" s="1"/>
  <c r="J157" i="10"/>
  <c r="S49" i="10"/>
  <c r="S43" i="10"/>
  <c r="S17" i="10"/>
  <c r="S11" i="10"/>
  <c r="P27" i="10"/>
  <c r="Q27" i="10"/>
  <c r="R59" i="10"/>
  <c r="R27" i="10"/>
  <c r="S59" i="10"/>
  <c r="Q43" i="10"/>
  <c r="P22" i="10"/>
  <c r="Q17" i="10"/>
  <c r="Q11" i="10"/>
  <c r="K157" i="10"/>
  <c r="Q54" i="10"/>
  <c r="R49" i="10"/>
  <c r="R43" i="10"/>
  <c r="R77" i="10" l="1"/>
  <c r="S77" i="10"/>
  <c r="Q77" i="10"/>
  <c r="P77" i="10"/>
  <c r="P55" i="10"/>
  <c r="Q52" i="10"/>
  <c r="R52" i="10" s="1"/>
  <c r="S52" i="10" s="1"/>
  <c r="T52" i="10" s="1"/>
  <c r="U52" i="10" s="1"/>
  <c r="V52" i="10" s="1"/>
  <c r="W52" i="10" s="1"/>
  <c r="X52" i="10" s="1"/>
  <c r="T15" i="10"/>
  <c r="U15" i="10" s="1"/>
  <c r="V15" i="10" s="1"/>
  <c r="W15" i="10" s="1"/>
  <c r="X15" i="10" s="1"/>
  <c r="S18" i="10"/>
  <c r="F82" i="41"/>
  <c r="F87" i="41" s="1"/>
  <c r="P61" i="41"/>
  <c r="F82" i="73"/>
  <c r="F87" i="73" s="1"/>
  <c r="P61" i="73"/>
  <c r="E82" i="73"/>
  <c r="E87" i="73" s="1"/>
  <c r="O61" i="73"/>
  <c r="E87" i="41"/>
  <c r="O13" i="44"/>
  <c r="Q44" i="10"/>
  <c r="R44" i="10" s="1"/>
  <c r="S44" i="10" s="1"/>
  <c r="T44" i="10" s="1"/>
  <c r="U44" i="10" s="1"/>
  <c r="V44" i="10" s="1"/>
  <c r="W44" i="10" s="1"/>
  <c r="X44" i="10" s="1"/>
  <c r="P125" i="10"/>
  <c r="P126" i="10"/>
  <c r="P127" i="10"/>
  <c r="P128" i="10"/>
  <c r="P146" i="10" s="1"/>
  <c r="P50" i="10"/>
  <c r="Q55" i="10"/>
  <c r="Q12" i="10"/>
  <c r="R12" i="10" s="1"/>
  <c r="S12" i="10" s="1"/>
  <c r="T12" i="10" s="1"/>
  <c r="U12" i="10" s="1"/>
  <c r="V12" i="10" s="1"/>
  <c r="W12" i="10" s="1"/>
  <c r="X12" i="10" s="1"/>
  <c r="Q50" i="10"/>
  <c r="P18" i="10"/>
  <c r="J158" i="10"/>
  <c r="P23" i="10"/>
  <c r="J162" i="10"/>
  <c r="Q60" i="10"/>
  <c r="J166" i="10"/>
  <c r="P28" i="10"/>
  <c r="J167" i="10" s="1"/>
  <c r="Q125" i="10" l="1"/>
  <c r="J163" i="10"/>
  <c r="P13" i="44"/>
  <c r="P78" i="10"/>
  <c r="J159" i="10"/>
  <c r="P15" i="60"/>
  <c r="O18" i="44"/>
  <c r="J168" i="10"/>
  <c r="P94" i="10"/>
  <c r="P97" i="10"/>
  <c r="P104" i="10" s="1"/>
  <c r="P80" i="10"/>
  <c r="P82" i="10"/>
  <c r="P83" i="10"/>
  <c r="P81" i="10"/>
  <c r="Q127" i="10"/>
  <c r="Q128" i="10"/>
  <c r="Q146" i="10" s="1"/>
  <c r="Q126" i="10"/>
  <c r="P96" i="10"/>
  <c r="P103" i="10" s="1"/>
  <c r="P95" i="10"/>
  <c r="P98" i="10"/>
  <c r="P105" i="10" s="1"/>
  <c r="P84" i="10"/>
  <c r="P91" i="10" s="1"/>
  <c r="K166" i="10"/>
  <c r="Q28" i="10"/>
  <c r="K167" i="10" s="1"/>
  <c r="Q18" i="10"/>
  <c r="K159" i="10" s="1"/>
  <c r="K158" i="10"/>
  <c r="J160" i="10"/>
  <c r="R50" i="10"/>
  <c r="Q97" i="10"/>
  <c r="Q104" i="10" s="1"/>
  <c r="Q94" i="10"/>
  <c r="Q98" i="10"/>
  <c r="Q105" i="10" s="1"/>
  <c r="Q95" i="10"/>
  <c r="Q96" i="10"/>
  <c r="Q103" i="10" s="1"/>
  <c r="R60" i="10"/>
  <c r="K162" i="10"/>
  <c r="Q23" i="10"/>
  <c r="K163" i="10" s="1"/>
  <c r="R55" i="10"/>
  <c r="K164" i="10" l="1"/>
  <c r="K168" i="10"/>
  <c r="Q78" i="10"/>
  <c r="J164" i="10"/>
  <c r="P18" i="44"/>
  <c r="Q15" i="60"/>
  <c r="Q20" i="60" s="1"/>
  <c r="S177" i="10"/>
  <c r="S175" i="10" s="1"/>
  <c r="T177" i="10"/>
  <c r="T173" i="10" s="1"/>
  <c r="R177" i="10"/>
  <c r="R173" i="10" s="1"/>
  <c r="P109" i="10"/>
  <c r="P112" i="10"/>
  <c r="P120" i="10" s="1"/>
  <c r="P20" i="60"/>
  <c r="P110" i="10"/>
  <c r="P118" i="10" s="1"/>
  <c r="P90" i="10"/>
  <c r="P134" i="10" s="1"/>
  <c r="P139" i="10" s="1"/>
  <c r="P151" i="10" s="1"/>
  <c r="BB23" i="40" s="1"/>
  <c r="P135" i="10"/>
  <c r="P140" i="10" s="1"/>
  <c r="P99" i="10"/>
  <c r="P111" i="10"/>
  <c r="P119" i="10" s="1"/>
  <c r="Q80" i="10"/>
  <c r="Q109" i="10" s="1"/>
  <c r="Q83" i="10"/>
  <c r="Q112" i="10" s="1"/>
  <c r="Q82" i="10"/>
  <c r="Q111" i="10" s="1"/>
  <c r="Q81" i="10"/>
  <c r="Q110" i="10" s="1"/>
  <c r="P89" i="10"/>
  <c r="P133" i="10" s="1"/>
  <c r="R125" i="10"/>
  <c r="R128" i="10"/>
  <c r="R146" i="10" s="1"/>
  <c r="R127" i="10"/>
  <c r="R126" i="10"/>
  <c r="Q84" i="10"/>
  <c r="Q91" i="10" s="1"/>
  <c r="Q135" i="10" s="1"/>
  <c r="P85" i="10"/>
  <c r="L162" i="10"/>
  <c r="R23" i="10"/>
  <c r="L163" i="10" s="1"/>
  <c r="S55" i="10"/>
  <c r="S60" i="10"/>
  <c r="K160" i="10"/>
  <c r="L166" i="10"/>
  <c r="R28" i="10"/>
  <c r="R97" i="10"/>
  <c r="R104" i="10" s="1"/>
  <c r="R94" i="10"/>
  <c r="R98" i="10"/>
  <c r="R105" i="10" s="1"/>
  <c r="R95" i="10"/>
  <c r="R96" i="10"/>
  <c r="R103" i="10" s="1"/>
  <c r="R18" i="10"/>
  <c r="L159" i="10" s="1"/>
  <c r="L158" i="10"/>
  <c r="Q99" i="10"/>
  <c r="S50" i="10"/>
  <c r="L164" i="10" l="1"/>
  <c r="S173" i="10"/>
  <c r="I182" i="10" s="1"/>
  <c r="I190" i="10" s="1"/>
  <c r="G36" i="12" s="1"/>
  <c r="S172" i="10"/>
  <c r="Q117" i="10"/>
  <c r="V167" i="34" s="1"/>
  <c r="W177" i="10"/>
  <c r="R78" i="10"/>
  <c r="S174" i="10"/>
  <c r="L167" i="10"/>
  <c r="R174" i="10"/>
  <c r="R172" i="10"/>
  <c r="T175" i="10"/>
  <c r="R175" i="10"/>
  <c r="M159" i="10"/>
  <c r="T172" i="10"/>
  <c r="T174" i="10"/>
  <c r="P117" i="10"/>
  <c r="V150" i="34" s="1"/>
  <c r="X150" i="34" s="1"/>
  <c r="V177" i="10"/>
  <c r="V175" i="10" s="1"/>
  <c r="Y177" i="10"/>
  <c r="U177" i="10"/>
  <c r="Q120" i="10"/>
  <c r="N163" i="37" s="1"/>
  <c r="Q119" i="10"/>
  <c r="R168" i="36" s="1"/>
  <c r="T168" i="36" s="1"/>
  <c r="Q118" i="10"/>
  <c r="T165" i="35" s="1"/>
  <c r="Q140" i="10"/>
  <c r="Q90" i="10"/>
  <c r="Q134" i="10" s="1"/>
  <c r="Q139" i="10" s="1"/>
  <c r="Q151" i="10" s="1"/>
  <c r="BB24" i="40" s="1"/>
  <c r="R80" i="10"/>
  <c r="R109" i="10" s="1"/>
  <c r="R117" i="10" s="1"/>
  <c r="R81" i="10"/>
  <c r="R110" i="10" s="1"/>
  <c r="R118" i="10" s="1"/>
  <c r="R83" i="10"/>
  <c r="R112" i="10" s="1"/>
  <c r="R82" i="10"/>
  <c r="R111" i="10" s="1"/>
  <c r="T154" i="35"/>
  <c r="T155" i="35"/>
  <c r="T156" i="35"/>
  <c r="T157" i="35"/>
  <c r="T146" i="35"/>
  <c r="T147" i="35"/>
  <c r="T148" i="35"/>
  <c r="T149" i="35"/>
  <c r="T150" i="35"/>
  <c r="T151" i="35"/>
  <c r="T152" i="35"/>
  <c r="T153" i="35"/>
  <c r="N169" i="37"/>
  <c r="R146" i="36"/>
  <c r="T146" i="36" s="1"/>
  <c r="R147" i="36"/>
  <c r="T147" i="36" s="1"/>
  <c r="R148" i="36"/>
  <c r="T148" i="36" s="1"/>
  <c r="R149" i="36"/>
  <c r="T149" i="36" s="1"/>
  <c r="R150" i="36"/>
  <c r="T150" i="36" s="1"/>
  <c r="R151" i="36"/>
  <c r="T151" i="36" s="1"/>
  <c r="R152" i="36"/>
  <c r="T152" i="36" s="1"/>
  <c r="R153" i="36"/>
  <c r="T153" i="36" s="1"/>
  <c r="R154" i="36"/>
  <c r="T154" i="36" s="1"/>
  <c r="R155" i="36"/>
  <c r="T155" i="36" s="1"/>
  <c r="R156" i="36"/>
  <c r="T156" i="36" s="1"/>
  <c r="R157" i="36"/>
  <c r="T157" i="36" s="1"/>
  <c r="N147" i="37"/>
  <c r="N148" i="37"/>
  <c r="N149" i="37"/>
  <c r="N150" i="37"/>
  <c r="N151" i="37"/>
  <c r="N152" i="37"/>
  <c r="N153" i="37"/>
  <c r="N154" i="37"/>
  <c r="N155" i="37"/>
  <c r="N156" i="37"/>
  <c r="N157" i="37"/>
  <c r="N146" i="37"/>
  <c r="T162" i="35"/>
  <c r="T163" i="35"/>
  <c r="T164" i="35"/>
  <c r="S128" i="10"/>
  <c r="S146" i="10" s="1"/>
  <c r="S127" i="10"/>
  <c r="S125" i="10"/>
  <c r="S126" i="10"/>
  <c r="P138" i="10"/>
  <c r="P150" i="10" s="1"/>
  <c r="AT23" i="40" s="1"/>
  <c r="Q89" i="10"/>
  <c r="Q133" i="10" s="1"/>
  <c r="Q138" i="10" s="1"/>
  <c r="Q150" i="10" s="1"/>
  <c r="AT24" i="40" s="1"/>
  <c r="R84" i="10"/>
  <c r="R91" i="10" s="1"/>
  <c r="R135" i="10" s="1"/>
  <c r="R140" i="10" s="1"/>
  <c r="T60" i="10"/>
  <c r="L160" i="10"/>
  <c r="U175" i="10"/>
  <c r="U174" i="10"/>
  <c r="U173" i="10"/>
  <c r="U172" i="10"/>
  <c r="T50" i="10"/>
  <c r="T55" i="10"/>
  <c r="Y175" i="10"/>
  <c r="Y174" i="10"/>
  <c r="Y173" i="10"/>
  <c r="Y172" i="10"/>
  <c r="Q85" i="10"/>
  <c r="R99" i="10"/>
  <c r="S96" i="10"/>
  <c r="S103" i="10" s="1"/>
  <c r="S97" i="10"/>
  <c r="S104" i="10" s="1"/>
  <c r="S94" i="10"/>
  <c r="S98" i="10"/>
  <c r="S105" i="10" s="1"/>
  <c r="S95" i="10"/>
  <c r="M166" i="10"/>
  <c r="S28" i="10"/>
  <c r="M167" i="10" s="1"/>
  <c r="M162" i="10"/>
  <c r="S23" i="10"/>
  <c r="M163" i="10" s="1"/>
  <c r="M158" i="10"/>
  <c r="T161" i="35" l="1"/>
  <c r="V148" i="34"/>
  <c r="X148" i="34" s="1"/>
  <c r="R164" i="36"/>
  <c r="T164" i="36" s="1"/>
  <c r="V166" i="34"/>
  <c r="N158" i="37"/>
  <c r="R165" i="36"/>
  <c r="T165" i="36" s="1"/>
  <c r="T169" i="35"/>
  <c r="N164" i="37"/>
  <c r="V165" i="34"/>
  <c r="X165" i="34" s="1"/>
  <c r="T168" i="35"/>
  <c r="V168" i="35" s="1"/>
  <c r="V164" i="34"/>
  <c r="X164" i="34" s="1"/>
  <c r="R159" i="36"/>
  <c r="T159" i="36" s="1"/>
  <c r="V163" i="34"/>
  <c r="X163" i="34" s="1"/>
  <c r="T159" i="35"/>
  <c r="V159" i="35" s="1"/>
  <c r="V162" i="34"/>
  <c r="X162" i="34" s="1"/>
  <c r="T158" i="35"/>
  <c r="R158" i="36"/>
  <c r="T158" i="36" s="1"/>
  <c r="V161" i="34"/>
  <c r="V160" i="34"/>
  <c r="X160" i="34" s="1"/>
  <c r="I184" i="10"/>
  <c r="I192" i="10" s="1"/>
  <c r="G38" i="12" s="1"/>
  <c r="G53" i="12" s="1"/>
  <c r="T160" i="35"/>
  <c r="V160" i="35" s="1"/>
  <c r="V159" i="34"/>
  <c r="V168" i="34"/>
  <c r="I181" i="10"/>
  <c r="I189" i="10" s="1"/>
  <c r="T166" i="35"/>
  <c r="V166" i="35" s="1"/>
  <c r="N159" i="37"/>
  <c r="O159" i="37" s="1"/>
  <c r="R166" i="36"/>
  <c r="T166" i="36" s="1"/>
  <c r="M164" i="10"/>
  <c r="AB177" i="10" s="1"/>
  <c r="W173" i="10"/>
  <c r="W172" i="10"/>
  <c r="W175" i="10"/>
  <c r="J184" i="10" s="1"/>
  <c r="J192" i="10" s="1"/>
  <c r="H38" i="12" s="1"/>
  <c r="W174" i="10"/>
  <c r="I183" i="10"/>
  <c r="I191" i="10" s="1"/>
  <c r="G37" i="12" s="1"/>
  <c r="L168" i="10"/>
  <c r="M168" i="10"/>
  <c r="AC177" i="10" s="1"/>
  <c r="T167" i="35"/>
  <c r="V167" i="35" s="1"/>
  <c r="V158" i="34"/>
  <c r="X158" i="34" s="1"/>
  <c r="V149" i="34"/>
  <c r="X149" i="34" s="1"/>
  <c r="S78" i="10"/>
  <c r="V169" i="34"/>
  <c r="X169" i="34" s="1"/>
  <c r="V151" i="34"/>
  <c r="X151" i="34" s="1"/>
  <c r="R169" i="36"/>
  <c r="T169" i="36" s="1"/>
  <c r="V173" i="10"/>
  <c r="V146" i="34"/>
  <c r="V152" i="34"/>
  <c r="V156" i="34"/>
  <c r="V155" i="34"/>
  <c r="V153" i="34"/>
  <c r="V154" i="34"/>
  <c r="V157" i="34"/>
  <c r="M160" i="10"/>
  <c r="R162" i="36"/>
  <c r="T162" i="36" s="1"/>
  <c r="V174" i="10"/>
  <c r="R161" i="36"/>
  <c r="T161" i="36" s="1"/>
  <c r="V172" i="10"/>
  <c r="R160" i="36"/>
  <c r="T160" i="36" s="1"/>
  <c r="V147" i="34"/>
  <c r="X147" i="34" s="1"/>
  <c r="X177" i="10"/>
  <c r="X175" i="10" s="1"/>
  <c r="N165" i="37"/>
  <c r="O165" i="37" s="1"/>
  <c r="N162" i="37"/>
  <c r="O162" i="37" s="1"/>
  <c r="N161" i="37"/>
  <c r="O161" i="37" s="1"/>
  <c r="N160" i="37"/>
  <c r="N168" i="37"/>
  <c r="O168" i="37" s="1"/>
  <c r="N167" i="37"/>
  <c r="O167" i="37" s="1"/>
  <c r="N166" i="37"/>
  <c r="R167" i="36"/>
  <c r="T167" i="36" s="1"/>
  <c r="R163" i="36"/>
  <c r="T163" i="36" s="1"/>
  <c r="V164" i="35"/>
  <c r="O149" i="37"/>
  <c r="V148" i="35"/>
  <c r="V163" i="35"/>
  <c r="O148" i="37"/>
  <c r="V147" i="35"/>
  <c r="O153" i="37"/>
  <c r="X167" i="34"/>
  <c r="O147" i="37"/>
  <c r="V155" i="35"/>
  <c r="V154" i="35"/>
  <c r="V152" i="35"/>
  <c r="O152" i="37"/>
  <c r="O151" i="37"/>
  <c r="O150" i="37"/>
  <c r="V161" i="35"/>
  <c r="X161" i="34"/>
  <c r="X168" i="34"/>
  <c r="V165" i="35"/>
  <c r="V162" i="35"/>
  <c r="X166" i="34"/>
  <c r="V156" i="35"/>
  <c r="O146" i="37"/>
  <c r="O157" i="37"/>
  <c r="O156" i="37"/>
  <c r="O164" i="37"/>
  <c r="V151" i="35"/>
  <c r="V150" i="35"/>
  <c r="V149" i="35"/>
  <c r="V146" i="35"/>
  <c r="O158" i="37"/>
  <c r="V158" i="35"/>
  <c r="O155" i="37"/>
  <c r="O163" i="37"/>
  <c r="X159" i="34"/>
  <c r="V157" i="35"/>
  <c r="O169" i="37"/>
  <c r="S81" i="10"/>
  <c r="S110" i="10" s="1"/>
  <c r="S118" i="10" s="1"/>
  <c r="S80" i="10"/>
  <c r="S109" i="10" s="1"/>
  <c r="S117" i="10" s="1"/>
  <c r="S82" i="10"/>
  <c r="S111" i="10" s="1"/>
  <c r="S119" i="10" s="1"/>
  <c r="S83" i="10"/>
  <c r="S112" i="10" s="1"/>
  <c r="S120" i="10" s="1"/>
  <c r="V169" i="35"/>
  <c r="O154" i="37"/>
  <c r="V153" i="35"/>
  <c r="T170" i="35"/>
  <c r="T171" i="35"/>
  <c r="T172" i="35"/>
  <c r="T173" i="35"/>
  <c r="T174" i="35"/>
  <c r="T175" i="35"/>
  <c r="T176" i="35"/>
  <c r="T177" i="35"/>
  <c r="T178" i="35"/>
  <c r="T179" i="35"/>
  <c r="T180" i="35"/>
  <c r="T181" i="35"/>
  <c r="V170" i="34"/>
  <c r="V171" i="34"/>
  <c r="V172" i="34"/>
  <c r="V173" i="34"/>
  <c r="V174" i="34"/>
  <c r="V175" i="34"/>
  <c r="V176" i="34"/>
  <c r="V177" i="34"/>
  <c r="V178" i="34"/>
  <c r="V179" i="34"/>
  <c r="V180" i="34"/>
  <c r="V181" i="34"/>
  <c r="T128" i="10"/>
  <c r="T146" i="10" s="1"/>
  <c r="T126" i="10"/>
  <c r="T127" i="10"/>
  <c r="T125" i="10"/>
  <c r="R119" i="10"/>
  <c r="R90" i="10"/>
  <c r="R134" i="10" s="1"/>
  <c r="R139" i="10" s="1"/>
  <c r="R151" i="10" s="1"/>
  <c r="BB25" i="40" s="1"/>
  <c r="R120" i="10"/>
  <c r="R89" i="10"/>
  <c r="R133" i="10" s="1"/>
  <c r="R138" i="10" s="1"/>
  <c r="R150" i="10" s="1"/>
  <c r="AT25" i="40" s="1"/>
  <c r="S84" i="10"/>
  <c r="S91" i="10" s="1"/>
  <c r="S135" i="10" s="1"/>
  <c r="S140" i="10" s="1"/>
  <c r="U50" i="10"/>
  <c r="R85" i="10"/>
  <c r="G35" i="12"/>
  <c r="N158" i="10"/>
  <c r="T18" i="10"/>
  <c r="N159" i="10" s="1"/>
  <c r="U60" i="10"/>
  <c r="T96" i="10"/>
  <c r="T103" i="10" s="1"/>
  <c r="T97" i="10"/>
  <c r="T104" i="10" s="1"/>
  <c r="T94" i="10"/>
  <c r="T98" i="10"/>
  <c r="T105" i="10" s="1"/>
  <c r="T95" i="10"/>
  <c r="N166" i="10"/>
  <c r="T28" i="10"/>
  <c r="S99" i="10"/>
  <c r="G52" i="12"/>
  <c r="N162" i="10"/>
  <c r="T23" i="10"/>
  <c r="N163" i="10" s="1"/>
  <c r="G51" i="12"/>
  <c r="U55" i="10"/>
  <c r="J181" i="10" l="1"/>
  <c r="J189" i="10"/>
  <c r="H35" i="12" s="1"/>
  <c r="I194" i="10"/>
  <c r="AC175" i="10"/>
  <c r="AC172" i="10"/>
  <c r="AB172" i="10"/>
  <c r="AB175" i="10"/>
  <c r="AB173" i="10"/>
  <c r="AB174" i="10"/>
  <c r="J182" i="10"/>
  <c r="J190" i="10" s="1"/>
  <c r="H36" i="12" s="1"/>
  <c r="H51" i="12" s="1"/>
  <c r="X173" i="10"/>
  <c r="X174" i="10"/>
  <c r="AC173" i="10"/>
  <c r="X172" i="10"/>
  <c r="AC174" i="10"/>
  <c r="J183" i="10"/>
  <c r="J191" i="10" s="1"/>
  <c r="N164" i="10"/>
  <c r="AE177" i="10" s="1"/>
  <c r="I186" i="10"/>
  <c r="T78" i="10"/>
  <c r="Z177" i="10"/>
  <c r="N167" i="10"/>
  <c r="T80" i="10"/>
  <c r="T109" i="10" s="1"/>
  <c r="T117" i="10" s="1"/>
  <c r="O160" i="37"/>
  <c r="X154" i="34"/>
  <c r="X153" i="34"/>
  <c r="X155" i="34"/>
  <c r="X156" i="34"/>
  <c r="X152" i="34"/>
  <c r="X146" i="34"/>
  <c r="O166" i="37"/>
  <c r="X157" i="34"/>
  <c r="AA177" i="10"/>
  <c r="CX19" i="39"/>
  <c r="CZ19" i="39" s="1"/>
  <c r="DH19" i="39"/>
  <c r="CN19" i="39"/>
  <c r="CP19" i="39" s="1"/>
  <c r="CX18" i="39"/>
  <c r="CZ18" i="39" s="1"/>
  <c r="DH18" i="39"/>
  <c r="X180" i="34"/>
  <c r="V176" i="35"/>
  <c r="V177" i="35"/>
  <c r="T81" i="10"/>
  <c r="T110" i="10" s="1"/>
  <c r="T118" i="10" s="1"/>
  <c r="T83" i="10"/>
  <c r="T90" i="10" s="1"/>
  <c r="T134" i="10" s="1"/>
  <c r="T82" i="10"/>
  <c r="T89" i="10" s="1"/>
  <c r="T133" i="10" s="1"/>
  <c r="X179" i="34"/>
  <c r="V175" i="35"/>
  <c r="X176" i="34"/>
  <c r="X175" i="34"/>
  <c r="V171" i="35"/>
  <c r="DS18" i="39"/>
  <c r="V178" i="35"/>
  <c r="X174" i="34"/>
  <c r="V170" i="35"/>
  <c r="X172" i="34"/>
  <c r="V180" i="35"/>
  <c r="X181" i="34"/>
  <c r="X178" i="34"/>
  <c r="X171" i="34"/>
  <c r="V173" i="35"/>
  <c r="V172" i="35"/>
  <c r="X170" i="34"/>
  <c r="V179" i="35"/>
  <c r="V174" i="35"/>
  <c r="X177" i="34"/>
  <c r="X173" i="34"/>
  <c r="V181" i="35"/>
  <c r="N179" i="37"/>
  <c r="N180" i="37"/>
  <c r="N181" i="37"/>
  <c r="N170" i="37"/>
  <c r="N171" i="37"/>
  <c r="N172" i="37"/>
  <c r="N173" i="37"/>
  <c r="N174" i="37"/>
  <c r="N175" i="37"/>
  <c r="N176" i="37"/>
  <c r="N177" i="37"/>
  <c r="N178" i="37"/>
  <c r="R174" i="36"/>
  <c r="T174" i="36" s="1"/>
  <c r="R175" i="36"/>
  <c r="T175" i="36" s="1"/>
  <c r="R176" i="36"/>
  <c r="T176" i="36" s="1"/>
  <c r="R177" i="36"/>
  <c r="T177" i="36" s="1"/>
  <c r="R178" i="36"/>
  <c r="T178" i="36" s="1"/>
  <c r="R179" i="36"/>
  <c r="T179" i="36" s="1"/>
  <c r="R180" i="36"/>
  <c r="T180" i="36" s="1"/>
  <c r="R181" i="36"/>
  <c r="T181" i="36" s="1"/>
  <c r="R170" i="36"/>
  <c r="T170" i="36" s="1"/>
  <c r="R171" i="36"/>
  <c r="T171" i="36" s="1"/>
  <c r="R172" i="36"/>
  <c r="T172" i="36" s="1"/>
  <c r="R173" i="36"/>
  <c r="T173" i="36" s="1"/>
  <c r="R190" i="36"/>
  <c r="T190" i="36" s="1"/>
  <c r="R191" i="36"/>
  <c r="T191" i="36" s="1"/>
  <c r="R192" i="36"/>
  <c r="T192" i="36" s="1"/>
  <c r="R193" i="36"/>
  <c r="T193" i="36" s="1"/>
  <c r="R182" i="36"/>
  <c r="T182" i="36" s="1"/>
  <c r="R183" i="36"/>
  <c r="T183" i="36" s="1"/>
  <c r="R184" i="36"/>
  <c r="T184" i="36" s="1"/>
  <c r="R185" i="36"/>
  <c r="T185" i="36" s="1"/>
  <c r="R186" i="36"/>
  <c r="T186" i="36" s="1"/>
  <c r="R187" i="36"/>
  <c r="T187" i="36" s="1"/>
  <c r="R188" i="36"/>
  <c r="T188" i="36" s="1"/>
  <c r="R189" i="36"/>
  <c r="T189" i="36" s="1"/>
  <c r="T186" i="35"/>
  <c r="T187" i="35"/>
  <c r="T188" i="35"/>
  <c r="T189" i="35"/>
  <c r="T190" i="35"/>
  <c r="T191" i="35"/>
  <c r="T192" i="35"/>
  <c r="T193" i="35"/>
  <c r="T182" i="35"/>
  <c r="T183" i="35"/>
  <c r="T184" i="35"/>
  <c r="T185" i="35"/>
  <c r="N182" i="37"/>
  <c r="N183" i="37"/>
  <c r="N184" i="37"/>
  <c r="N185" i="37"/>
  <c r="N186" i="37"/>
  <c r="N187" i="37"/>
  <c r="N188" i="37"/>
  <c r="N189" i="37"/>
  <c r="N190" i="37"/>
  <c r="N191" i="37"/>
  <c r="N192" i="37"/>
  <c r="N193" i="37"/>
  <c r="V184" i="34"/>
  <c r="V185" i="34"/>
  <c r="V186" i="34"/>
  <c r="V187" i="34"/>
  <c r="V188" i="34"/>
  <c r="V189" i="34"/>
  <c r="V190" i="34"/>
  <c r="V191" i="34"/>
  <c r="V192" i="34"/>
  <c r="V193" i="34"/>
  <c r="V182" i="34"/>
  <c r="V183" i="34"/>
  <c r="S90" i="10"/>
  <c r="S134" i="10" s="1"/>
  <c r="S139" i="10" s="1"/>
  <c r="S151" i="10" s="1"/>
  <c r="BB26" i="40" s="1"/>
  <c r="S89" i="10"/>
  <c r="S133" i="10" s="1"/>
  <c r="S138" i="10" s="1"/>
  <c r="S150" i="10" s="1"/>
  <c r="AT26" i="40" s="1"/>
  <c r="H53" i="12"/>
  <c r="T84" i="10"/>
  <c r="T91" i="10" s="1"/>
  <c r="T135" i="10" s="1"/>
  <c r="T140" i="10" s="1"/>
  <c r="T99" i="10"/>
  <c r="U23" i="10"/>
  <c r="H50" i="12"/>
  <c r="V50" i="10"/>
  <c r="U18" i="10"/>
  <c r="N160" i="10"/>
  <c r="V60" i="10"/>
  <c r="G50" i="12"/>
  <c r="G39" i="12"/>
  <c r="S85" i="10"/>
  <c r="V55" i="10"/>
  <c r="U28" i="10"/>
  <c r="AA175" i="10"/>
  <c r="L184" i="10" s="1"/>
  <c r="AA174" i="10"/>
  <c r="AA173" i="10"/>
  <c r="L182" i="10" s="1"/>
  <c r="AA172" i="10"/>
  <c r="L181" i="10" s="1"/>
  <c r="J186" i="10" l="1"/>
  <c r="DS19" i="39"/>
  <c r="DX19" i="39" s="1"/>
  <c r="L183" i="10"/>
  <c r="AE172" i="10"/>
  <c r="AE173" i="10"/>
  <c r="AE174" i="10"/>
  <c r="AE175" i="10"/>
  <c r="H37" i="12"/>
  <c r="J194" i="10"/>
  <c r="U78" i="10"/>
  <c r="Z172" i="10"/>
  <c r="K181" i="10" s="1"/>
  <c r="Z175" i="10"/>
  <c r="K184" i="10" s="1"/>
  <c r="K192" i="10" s="1"/>
  <c r="I38" i="12" s="1"/>
  <c r="I53" i="12" s="1"/>
  <c r="Z174" i="10"/>
  <c r="K183" i="10" s="1"/>
  <c r="K191" i="10" s="1"/>
  <c r="I37" i="12" s="1"/>
  <c r="I52" i="12" s="1"/>
  <c r="Z173" i="10"/>
  <c r="K182" i="10" s="1"/>
  <c r="K190" i="10" s="1"/>
  <c r="I36" i="12" s="1"/>
  <c r="I51" i="12" s="1"/>
  <c r="N168" i="10"/>
  <c r="DU19" i="39"/>
  <c r="DW19" i="39" s="1"/>
  <c r="DU18" i="39"/>
  <c r="DW18" i="39" s="1"/>
  <c r="DX18" i="39"/>
  <c r="DJ19" i="39"/>
  <c r="DL19" i="39" s="1"/>
  <c r="DM19" i="39"/>
  <c r="DJ18" i="39"/>
  <c r="DL18" i="39" s="1"/>
  <c r="DM18" i="39"/>
  <c r="CN18" i="39"/>
  <c r="CP18" i="39" s="1"/>
  <c r="AD177" i="10"/>
  <c r="AD175" i="10" s="1"/>
  <c r="T112" i="10"/>
  <c r="T120" i="10" s="1"/>
  <c r="N201" i="37" s="1"/>
  <c r="DB18" i="39"/>
  <c r="DB19" i="39"/>
  <c r="T111" i="10"/>
  <c r="T119" i="10" s="1"/>
  <c r="R197" i="36" s="1"/>
  <c r="T197" i="36" s="1"/>
  <c r="CX20" i="39"/>
  <c r="CZ20" i="39" s="1"/>
  <c r="CN20" i="39"/>
  <c r="CP20" i="39" s="1"/>
  <c r="X185" i="34"/>
  <c r="O191" i="37"/>
  <c r="V191" i="35"/>
  <c r="O176" i="37"/>
  <c r="O190" i="37"/>
  <c r="V190" i="35"/>
  <c r="O175" i="37"/>
  <c r="O177" i="37"/>
  <c r="O188" i="37"/>
  <c r="X193" i="34"/>
  <c r="O172" i="37"/>
  <c r="X184" i="34"/>
  <c r="V193" i="35"/>
  <c r="V192" i="35"/>
  <c r="O189" i="37"/>
  <c r="X182" i="34"/>
  <c r="V188" i="35"/>
  <c r="O173" i="37"/>
  <c r="O187" i="37"/>
  <c r="V187" i="35"/>
  <c r="X192" i="34"/>
  <c r="O186" i="37"/>
  <c r="V186" i="35"/>
  <c r="O171" i="37"/>
  <c r="O178" i="37"/>
  <c r="O170" i="37"/>
  <c r="X190" i="34"/>
  <c r="O184" i="37"/>
  <c r="O181" i="37"/>
  <c r="O185" i="37"/>
  <c r="X189" i="34"/>
  <c r="O183" i="37"/>
  <c r="O180" i="37"/>
  <c r="V183" i="35"/>
  <c r="O179" i="37"/>
  <c r="V182" i="35"/>
  <c r="O192" i="37"/>
  <c r="V189" i="35"/>
  <c r="X191" i="34"/>
  <c r="X188" i="34"/>
  <c r="X187" i="34"/>
  <c r="V185" i="35"/>
  <c r="O193" i="37"/>
  <c r="X183" i="34"/>
  <c r="O174" i="37"/>
  <c r="O182" i="37"/>
  <c r="X186" i="34"/>
  <c r="V184" i="35"/>
  <c r="T139" i="10"/>
  <c r="T151" i="10" s="1"/>
  <c r="BB27" i="40" s="1"/>
  <c r="T138" i="10"/>
  <c r="T150" i="10" s="1"/>
  <c r="AT27" i="40" s="1"/>
  <c r="T202" i="35"/>
  <c r="T203" i="35"/>
  <c r="T204" i="35"/>
  <c r="T205" i="35"/>
  <c r="T194" i="35"/>
  <c r="T195" i="35"/>
  <c r="T196" i="35"/>
  <c r="T197" i="35"/>
  <c r="T198" i="35"/>
  <c r="T199" i="35"/>
  <c r="T200" i="35"/>
  <c r="T201" i="35"/>
  <c r="N196" i="37"/>
  <c r="N197" i="37"/>
  <c r="N198" i="37"/>
  <c r="V200" i="34"/>
  <c r="V201" i="34"/>
  <c r="V202" i="34"/>
  <c r="V203" i="34"/>
  <c r="V204" i="34"/>
  <c r="V205" i="34"/>
  <c r="V194" i="34"/>
  <c r="V199" i="34"/>
  <c r="V195" i="34"/>
  <c r="V196" i="34"/>
  <c r="V197" i="34"/>
  <c r="V198" i="34"/>
  <c r="CR19" i="39"/>
  <c r="V18" i="10"/>
  <c r="G54" i="12"/>
  <c r="V28" i="10"/>
  <c r="W55" i="10"/>
  <c r="X55" i="10"/>
  <c r="W60" i="10"/>
  <c r="X60" i="10"/>
  <c r="L186" i="10"/>
  <c r="X50" i="10"/>
  <c r="W50" i="10"/>
  <c r="AD174" i="10"/>
  <c r="AD173" i="10"/>
  <c r="T85" i="10"/>
  <c r="V23" i="10"/>
  <c r="P19" i="73" l="1"/>
  <c r="O46" i="73" s="1"/>
  <c r="O17" i="73"/>
  <c r="N44" i="73" s="1"/>
  <c r="P16" i="73"/>
  <c r="O18" i="73"/>
  <c r="N45" i="73" s="1"/>
  <c r="P17" i="73"/>
  <c r="O44" i="73" s="1"/>
  <c r="P18" i="73"/>
  <c r="O45" i="73" s="1"/>
  <c r="O19" i="73"/>
  <c r="AD172" i="10"/>
  <c r="N195" i="37"/>
  <c r="L192" i="10"/>
  <c r="J38" i="12" s="1"/>
  <c r="H39" i="12"/>
  <c r="H52" i="12"/>
  <c r="H54" i="12" s="1"/>
  <c r="N202" i="37"/>
  <c r="N194" i="37"/>
  <c r="O194" i="37" s="1"/>
  <c r="L191" i="10"/>
  <c r="J37" i="12" s="1"/>
  <c r="J52" i="12" s="1"/>
  <c r="N205" i="37"/>
  <c r="N200" i="37"/>
  <c r="V78" i="10"/>
  <c r="N199" i="37"/>
  <c r="O199" i="37" s="1"/>
  <c r="AX24" i="40"/>
  <c r="AY24" i="40" s="1"/>
  <c r="U54" i="8" s="1"/>
  <c r="AF177" i="10"/>
  <c r="N204" i="37"/>
  <c r="N203" i="37"/>
  <c r="K189" i="10"/>
  <c r="K186" i="10"/>
  <c r="L190" i="10"/>
  <c r="J36" i="12" s="1"/>
  <c r="J51" i="12" s="1"/>
  <c r="L189" i="10"/>
  <c r="J35" i="12" s="1"/>
  <c r="AX23" i="40"/>
  <c r="AY23" i="40" s="1"/>
  <c r="BC23" i="40" s="1"/>
  <c r="AP24" i="40"/>
  <c r="AQ24" i="40" s="1"/>
  <c r="AU24" i="40" s="1"/>
  <c r="AP23" i="40"/>
  <c r="AQ23" i="40" s="1"/>
  <c r="P53" i="8" s="1"/>
  <c r="R53" i="8"/>
  <c r="T53" i="8" s="1"/>
  <c r="Q19" i="41"/>
  <c r="O46" i="41" s="1"/>
  <c r="P60" i="44" s="1"/>
  <c r="Q17" i="41"/>
  <c r="O44" i="41" s="1"/>
  <c r="P58" i="44" s="1"/>
  <c r="Q16" i="41"/>
  <c r="O42" i="41" s="1"/>
  <c r="P17" i="41"/>
  <c r="N44" i="41" s="1"/>
  <c r="O58" i="44" s="1"/>
  <c r="M54" i="8"/>
  <c r="O54" i="8" s="1"/>
  <c r="M53" i="8"/>
  <c r="O53" i="8" s="1"/>
  <c r="CR18" i="39"/>
  <c r="R194" i="36"/>
  <c r="T194" i="36" s="1"/>
  <c r="R195" i="36"/>
  <c r="T195" i="36" s="1"/>
  <c r="R196" i="36"/>
  <c r="T196" i="36" s="1"/>
  <c r="R205" i="36"/>
  <c r="T205" i="36" s="1"/>
  <c r="R204" i="36"/>
  <c r="T204" i="36" s="1"/>
  <c r="R203" i="36"/>
  <c r="T203" i="36" s="1"/>
  <c r="R201" i="36"/>
  <c r="T201" i="36" s="1"/>
  <c r="R200" i="36"/>
  <c r="T200" i="36" s="1"/>
  <c r="R199" i="36"/>
  <c r="T199" i="36" s="1"/>
  <c r="R198" i="36"/>
  <c r="T198" i="36" s="1"/>
  <c r="R54" i="8"/>
  <c r="T54" i="8" s="1"/>
  <c r="Q18" i="41"/>
  <c r="O45" i="41" s="1"/>
  <c r="P59" i="44" s="1"/>
  <c r="P18" i="41"/>
  <c r="N45" i="41" s="1"/>
  <c r="O59" i="44" s="1"/>
  <c r="P19" i="41"/>
  <c r="N46" i="41" s="1"/>
  <c r="O60" i="44" s="1"/>
  <c r="DB20" i="39"/>
  <c r="R202" i="36"/>
  <c r="T202" i="36" s="1"/>
  <c r="DS20" i="39"/>
  <c r="DS21" i="39"/>
  <c r="CN21" i="39"/>
  <c r="CP21" i="39" s="1"/>
  <c r="DH20" i="39"/>
  <c r="DH21" i="39"/>
  <c r="CX21" i="39"/>
  <c r="CZ21" i="39" s="1"/>
  <c r="O202" i="37"/>
  <c r="X196" i="34"/>
  <c r="O200" i="37"/>
  <c r="V203" i="35"/>
  <c r="V194" i="35"/>
  <c r="X195" i="34"/>
  <c r="V202" i="35"/>
  <c r="X198" i="34"/>
  <c r="X197" i="34"/>
  <c r="X204" i="34"/>
  <c r="X203" i="34"/>
  <c r="V201" i="35"/>
  <c r="O203" i="37"/>
  <c r="V200" i="35"/>
  <c r="O197" i="37"/>
  <c r="X201" i="34"/>
  <c r="V199" i="35"/>
  <c r="V204" i="35"/>
  <c r="O198" i="37"/>
  <c r="X202" i="34"/>
  <c r="X200" i="34"/>
  <c r="V197" i="35"/>
  <c r="V205" i="35"/>
  <c r="O201" i="37"/>
  <c r="DH5" i="39"/>
  <c r="DJ5" i="39" s="1"/>
  <c r="DL5" i="39" s="1"/>
  <c r="X194" i="34"/>
  <c r="O195" i="37"/>
  <c r="O205" i="37"/>
  <c r="V196" i="35"/>
  <c r="X199" i="34"/>
  <c r="X205" i="34"/>
  <c r="O196" i="37"/>
  <c r="V198" i="35"/>
  <c r="O204" i="37"/>
  <c r="V195" i="35"/>
  <c r="DS16" i="39"/>
  <c r="DS17" i="39"/>
  <c r="X18" i="10"/>
  <c r="W18" i="10"/>
  <c r="J53" i="12"/>
  <c r="W28" i="10"/>
  <c r="X28" i="10"/>
  <c r="W23" i="10"/>
  <c r="X23" i="10"/>
  <c r="AA9" i="60" l="1"/>
  <c r="O16" i="73"/>
  <c r="Q17" i="73"/>
  <c r="P44" i="73" s="1"/>
  <c r="L194" i="10"/>
  <c r="J39" i="12"/>
  <c r="J50" i="12"/>
  <c r="J54" i="12" s="1"/>
  <c r="V54" i="8"/>
  <c r="AP54" i="8" s="1"/>
  <c r="BC24" i="40"/>
  <c r="W78" i="10"/>
  <c r="X78" i="10"/>
  <c r="K194" i="10"/>
  <c r="I35" i="12"/>
  <c r="AF174" i="10"/>
  <c r="M183" i="10" s="1"/>
  <c r="M191" i="10" s="1"/>
  <c r="K37" i="12" s="1"/>
  <c r="K52" i="12" s="1"/>
  <c r="AF172" i="10"/>
  <c r="M181" i="10" s="1"/>
  <c r="AF173" i="10"/>
  <c r="M182" i="10" s="1"/>
  <c r="M190" i="10" s="1"/>
  <c r="K36" i="12" s="1"/>
  <c r="K51" i="12" s="1"/>
  <c r="AF175" i="10"/>
  <c r="M184" i="10" s="1"/>
  <c r="M192" i="10" s="1"/>
  <c r="K38" i="12" s="1"/>
  <c r="K53" i="12" s="1"/>
  <c r="Q65" i="41"/>
  <c r="P65" i="73"/>
  <c r="P66" i="41"/>
  <c r="O66" i="73"/>
  <c r="P54" i="8"/>
  <c r="Q54" i="8" s="1"/>
  <c r="AO54" i="8" s="1"/>
  <c r="DU17" i="39"/>
  <c r="DW17" i="39" s="1"/>
  <c r="DX17" i="39"/>
  <c r="DU21" i="39"/>
  <c r="AX26" i="40" s="1"/>
  <c r="AY26" i="40" s="1"/>
  <c r="AE54" i="8" s="1"/>
  <c r="DX21" i="39"/>
  <c r="DU20" i="39"/>
  <c r="AX25" i="40" s="1"/>
  <c r="AY25" i="40" s="1"/>
  <c r="BC25" i="40" s="1"/>
  <c r="DX20" i="39"/>
  <c r="DU16" i="39"/>
  <c r="AX21" i="40" s="1"/>
  <c r="AY21" i="40" s="1"/>
  <c r="DX16" i="39"/>
  <c r="U53" i="8"/>
  <c r="AU23" i="40"/>
  <c r="Q53" i="8"/>
  <c r="AO53" i="8" s="1"/>
  <c r="DJ21" i="39"/>
  <c r="AP26" i="40" s="1"/>
  <c r="AQ26" i="40" s="1"/>
  <c r="AE53" i="8" s="1"/>
  <c r="DM21" i="39"/>
  <c r="DJ20" i="39"/>
  <c r="AP25" i="40" s="1"/>
  <c r="AQ25" i="40" s="1"/>
  <c r="AU25" i="40" s="1"/>
  <c r="DM20" i="39"/>
  <c r="P122" i="44"/>
  <c r="Z7" i="60"/>
  <c r="P120" i="44"/>
  <c r="O57" i="8"/>
  <c r="O120" i="44"/>
  <c r="AA7" i="60"/>
  <c r="M57" i="8"/>
  <c r="O42" i="73"/>
  <c r="R17" i="41"/>
  <c r="P44" i="41" s="1"/>
  <c r="Q58" i="44" s="1"/>
  <c r="P16" i="41"/>
  <c r="N42" i="41" s="1"/>
  <c r="O57" i="44" s="1"/>
  <c r="DB21" i="39"/>
  <c r="Z9" i="60"/>
  <c r="Z8" i="60"/>
  <c r="P121" i="44"/>
  <c r="AA8" i="60"/>
  <c r="T57" i="8"/>
  <c r="R57" i="8"/>
  <c r="DS7" i="39"/>
  <c r="DS6" i="39"/>
  <c r="DS10" i="39"/>
  <c r="DS9" i="39"/>
  <c r="DS8" i="39"/>
  <c r="DS12" i="39"/>
  <c r="DS13" i="39"/>
  <c r="DS11" i="39"/>
  <c r="DS14" i="39"/>
  <c r="DS15" i="39"/>
  <c r="O121" i="44"/>
  <c r="O122" i="44"/>
  <c r="CN22" i="39"/>
  <c r="CP22" i="39" s="1"/>
  <c r="DS22" i="39"/>
  <c r="DH22" i="39"/>
  <c r="DM22" i="39" s="1"/>
  <c r="CX22" i="39"/>
  <c r="CZ22" i="39" s="1"/>
  <c r="CR21" i="39"/>
  <c r="CR20" i="39"/>
  <c r="P57" i="44"/>
  <c r="Q66" i="73" l="1"/>
  <c r="R16" i="73"/>
  <c r="P66" i="73"/>
  <c r="Q65" i="73"/>
  <c r="R17" i="73"/>
  <c r="Q44" i="73" s="1"/>
  <c r="N19" i="73"/>
  <c r="N73" i="73"/>
  <c r="O65" i="73"/>
  <c r="O74" i="73"/>
  <c r="O74" i="41"/>
  <c r="Q16" i="73"/>
  <c r="Q66" i="41"/>
  <c r="M189" i="10"/>
  <c r="M186" i="10"/>
  <c r="I39" i="12"/>
  <c r="I50" i="12"/>
  <c r="I54" i="12" s="1"/>
  <c r="AX22" i="40"/>
  <c r="AY22" i="40" s="1"/>
  <c r="BC22" i="40" s="1"/>
  <c r="N46" i="73"/>
  <c r="P65" i="41"/>
  <c r="DW20" i="39"/>
  <c r="DW21" i="39"/>
  <c r="DW16" i="39"/>
  <c r="DU11" i="39"/>
  <c r="DW11" i="39" s="1"/>
  <c r="H19" i="73" s="1"/>
  <c r="DX11" i="39"/>
  <c r="DU7" i="39"/>
  <c r="DW7" i="39" s="1"/>
  <c r="DX7" i="39"/>
  <c r="DU13" i="39"/>
  <c r="DW13" i="39" s="1"/>
  <c r="DX13" i="39"/>
  <c r="DU8" i="39"/>
  <c r="DW8" i="39" s="1"/>
  <c r="DX8" i="39"/>
  <c r="DU9" i="39"/>
  <c r="DW9" i="39" s="1"/>
  <c r="DX9" i="39"/>
  <c r="DU12" i="39"/>
  <c r="DW12" i="39" s="1"/>
  <c r="DX12" i="39"/>
  <c r="DU10" i="39"/>
  <c r="DW10" i="39" s="1"/>
  <c r="DX10" i="39"/>
  <c r="DU6" i="39"/>
  <c r="DW6" i="39" s="1"/>
  <c r="DX6" i="39"/>
  <c r="DU22" i="39"/>
  <c r="DW22" i="39" s="1"/>
  <c r="DX22" i="39"/>
  <c r="DU15" i="39"/>
  <c r="DW15" i="39" s="1"/>
  <c r="DX15" i="39"/>
  <c r="DU14" i="39"/>
  <c r="AX19" i="40" s="1"/>
  <c r="AY19" i="40" s="1"/>
  <c r="BC19" i="40" s="1"/>
  <c r="DX14" i="39"/>
  <c r="DL21" i="39"/>
  <c r="DL20" i="39"/>
  <c r="V53" i="8"/>
  <c r="G9" i="60"/>
  <c r="P176" i="44"/>
  <c r="P174" i="44"/>
  <c r="G7" i="60"/>
  <c r="O174" i="44"/>
  <c r="O194" i="44" s="1"/>
  <c r="AB7" i="60"/>
  <c r="F7" i="60"/>
  <c r="Q120" i="44"/>
  <c r="N42" i="73"/>
  <c r="N74" i="41"/>
  <c r="N83" i="41" s="1"/>
  <c r="O66" i="44" s="1"/>
  <c r="N74" i="73"/>
  <c r="R65" i="41"/>
  <c r="S16" i="41"/>
  <c r="Q42" i="41" s="1"/>
  <c r="R66" i="41"/>
  <c r="R16" i="41"/>
  <c r="P42" i="41" s="1"/>
  <c r="S17" i="41"/>
  <c r="Q44" i="41" s="1"/>
  <c r="R58" i="44" s="1"/>
  <c r="Z54" i="8"/>
  <c r="BC26" i="40"/>
  <c r="AU26" i="40"/>
  <c r="Z53" i="8"/>
  <c r="G8" i="60"/>
  <c r="AA5" i="60"/>
  <c r="Z5" i="60"/>
  <c r="P175" i="44"/>
  <c r="O176" i="44"/>
  <c r="F9" i="60"/>
  <c r="O175" i="44"/>
  <c r="O195" i="44" s="1"/>
  <c r="F8" i="60"/>
  <c r="DJ22" i="39"/>
  <c r="DB22" i="39"/>
  <c r="F54" i="8"/>
  <c r="BC21" i="40"/>
  <c r="H54" i="8"/>
  <c r="O19" i="41"/>
  <c r="N73" i="41"/>
  <c r="P118" i="44"/>
  <c r="O118" i="44"/>
  <c r="O83" i="73" l="1"/>
  <c r="O83" i="41"/>
  <c r="P66" i="44" s="1"/>
  <c r="AA16" i="60" s="1"/>
  <c r="Q19" i="73"/>
  <c r="Q18" i="73"/>
  <c r="P45" i="73" s="1"/>
  <c r="R18" i="73"/>
  <c r="Q45" i="73" s="1"/>
  <c r="S17" i="73"/>
  <c r="R44" i="73" s="1"/>
  <c r="J19" i="73"/>
  <c r="J23" i="73" s="1"/>
  <c r="R19" i="73"/>
  <c r="Q46" i="73" s="1"/>
  <c r="R66" i="73"/>
  <c r="L19" i="73"/>
  <c r="M66" i="73"/>
  <c r="I19" i="73"/>
  <c r="N66" i="73"/>
  <c r="S19" i="73"/>
  <c r="R46" i="73" s="1"/>
  <c r="R65" i="73"/>
  <c r="M19" i="73"/>
  <c r="L46" i="73" s="1"/>
  <c r="K54" i="8"/>
  <c r="M194" i="10"/>
  <c r="K35" i="12"/>
  <c r="N83" i="73"/>
  <c r="AB54" i="8"/>
  <c r="AD54" i="8" s="1"/>
  <c r="AF54" i="8" s="1"/>
  <c r="AR54" i="8" s="1"/>
  <c r="C54" i="8"/>
  <c r="C57" i="8" s="1"/>
  <c r="R19" i="41"/>
  <c r="P46" i="41" s="1"/>
  <c r="Q60" i="44" s="1"/>
  <c r="N19" i="41"/>
  <c r="L46" i="41" s="1"/>
  <c r="W54" i="8"/>
  <c r="Y54" i="8" s="1"/>
  <c r="C19" i="73"/>
  <c r="C23" i="73" s="1"/>
  <c r="H23" i="73"/>
  <c r="G19" i="73"/>
  <c r="G23" i="73" s="1"/>
  <c r="F19" i="73"/>
  <c r="F23" i="73" s="1"/>
  <c r="E19" i="73"/>
  <c r="E23" i="73" s="1"/>
  <c r="D19" i="73"/>
  <c r="D23" i="73" s="1"/>
  <c r="M82" i="73"/>
  <c r="W53" i="8"/>
  <c r="Y53" i="8" s="1"/>
  <c r="AA53" i="8" s="1"/>
  <c r="AQ53" i="8" s="1"/>
  <c r="S18" i="41"/>
  <c r="Q45" i="41" s="1"/>
  <c r="R59" i="44" s="1"/>
  <c r="S19" i="41"/>
  <c r="Q46" i="41" s="1"/>
  <c r="R60" i="44" s="1"/>
  <c r="P46" i="73"/>
  <c r="M46" i="73"/>
  <c r="AX27" i="40"/>
  <c r="AY27" i="40" s="1"/>
  <c r="BC27" i="40" s="1"/>
  <c r="DW14" i="39"/>
  <c r="AX20" i="40"/>
  <c r="AY20" i="40" s="1"/>
  <c r="BC20" i="40" s="1"/>
  <c r="AB53" i="8"/>
  <c r="AD53" i="8" s="1"/>
  <c r="AF53" i="8" s="1"/>
  <c r="AR53" i="8" s="1"/>
  <c r="R18" i="41"/>
  <c r="P45" i="41" s="1"/>
  <c r="Q59" i="44" s="1"/>
  <c r="P196" i="44"/>
  <c r="AP53" i="8"/>
  <c r="N82" i="73"/>
  <c r="P194" i="44"/>
  <c r="R120" i="44"/>
  <c r="H7" i="60"/>
  <c r="Q174" i="44"/>
  <c r="Q194" i="44" s="1"/>
  <c r="AC7" i="60"/>
  <c r="S66" i="41"/>
  <c r="T17" i="41"/>
  <c r="R44" i="41" s="1"/>
  <c r="S58" i="44" s="1"/>
  <c r="T19" i="41"/>
  <c r="R46" i="41" s="1"/>
  <c r="S60" i="44" s="1"/>
  <c r="Q42" i="73"/>
  <c r="P42" i="73"/>
  <c r="S65" i="41"/>
  <c r="O66" i="41"/>
  <c r="O129" i="44"/>
  <c r="Z16" i="60"/>
  <c r="N66" i="41"/>
  <c r="AP27" i="40"/>
  <c r="AQ27" i="40" s="1"/>
  <c r="AJ53" i="8" s="1"/>
  <c r="F5" i="60"/>
  <c r="P195" i="44"/>
  <c r="G5" i="60"/>
  <c r="DL22" i="39"/>
  <c r="M19" i="41"/>
  <c r="M23" i="41" s="1"/>
  <c r="AG54" i="8"/>
  <c r="AI54" i="8" s="1"/>
  <c r="M46" i="41"/>
  <c r="H57" i="8"/>
  <c r="J54" i="8"/>
  <c r="P172" i="44"/>
  <c r="R57" i="44"/>
  <c r="CR22" i="39"/>
  <c r="O172" i="44"/>
  <c r="O192" i="44" s="1"/>
  <c r="Q57" i="44"/>
  <c r="N82" i="41"/>
  <c r="P129" i="44" l="1"/>
  <c r="G16" i="60" s="1"/>
  <c r="Q122" i="44"/>
  <c r="Q176" i="44" s="1"/>
  <c r="Q196" i="44" s="1"/>
  <c r="AB8" i="60"/>
  <c r="R121" i="44"/>
  <c r="R122" i="44"/>
  <c r="I9" i="60" s="1"/>
  <c r="S122" i="44"/>
  <c r="S176" i="44" s="1"/>
  <c r="Q74" i="41"/>
  <c r="Q83" i="41" s="1"/>
  <c r="R66" i="44" s="1"/>
  <c r="O73" i="73"/>
  <c r="O82" i="73" s="1"/>
  <c r="Q73" i="73"/>
  <c r="K19" i="73"/>
  <c r="K23" i="73" s="1"/>
  <c r="S16" i="73"/>
  <c r="S18" i="73"/>
  <c r="R45" i="73" s="1"/>
  <c r="K50" i="12"/>
  <c r="K54" i="12" s="1"/>
  <c r="K39" i="12"/>
  <c r="T66" i="41"/>
  <c r="S66" i="73"/>
  <c r="E54" i="8"/>
  <c r="E57" i="8" s="1"/>
  <c r="AC9" i="60"/>
  <c r="Q74" i="73"/>
  <c r="Q83" i="73" s="1"/>
  <c r="AB9" i="60"/>
  <c r="W57" i="8"/>
  <c r="AB57" i="8"/>
  <c r="AD57" i="8"/>
  <c r="AC8" i="60"/>
  <c r="AJ54" i="8"/>
  <c r="AK54" i="8" s="1"/>
  <c r="AS54" i="8" s="1"/>
  <c r="L23" i="73"/>
  <c r="Q121" i="44"/>
  <c r="O73" i="41"/>
  <c r="R174" i="44"/>
  <c r="R194" i="44" s="1"/>
  <c r="I7" i="60"/>
  <c r="S120" i="44"/>
  <c r="AD9" i="60"/>
  <c r="AG53" i="8"/>
  <c r="AI53" i="8" s="1"/>
  <c r="AI57" i="8" s="1"/>
  <c r="P73" i="41"/>
  <c r="P82" i="41" s="1"/>
  <c r="P73" i="73"/>
  <c r="O183" i="44"/>
  <c r="F16" i="60"/>
  <c r="T16" i="41"/>
  <c r="M66" i="41"/>
  <c r="AD7" i="60"/>
  <c r="AU27" i="40"/>
  <c r="H9" i="60"/>
  <c r="AC5" i="60"/>
  <c r="AB5" i="60"/>
  <c r="T18" i="41"/>
  <c r="Y57" i="8"/>
  <c r="AA54" i="8"/>
  <c r="M60" i="44"/>
  <c r="J57" i="8"/>
  <c r="L54" i="8"/>
  <c r="N60" i="44"/>
  <c r="R118" i="44"/>
  <c r="P192" i="44"/>
  <c r="Q118" i="44"/>
  <c r="O65" i="44"/>
  <c r="Q73" i="41"/>
  <c r="P183" i="44" l="1"/>
  <c r="P203" i="44" s="1"/>
  <c r="R176" i="44"/>
  <c r="R196" i="44" s="1"/>
  <c r="I8" i="60"/>
  <c r="R175" i="44"/>
  <c r="J9" i="60"/>
  <c r="H8" i="60"/>
  <c r="S65" i="73"/>
  <c r="G54" i="8"/>
  <c r="AM54" i="8" s="1"/>
  <c r="Q82" i="73"/>
  <c r="Q175" i="44"/>
  <c r="Q195" i="44" s="1"/>
  <c r="O82" i="41"/>
  <c r="P65" i="44" s="1"/>
  <c r="J7" i="60"/>
  <c r="S174" i="44"/>
  <c r="S194" i="44" s="1"/>
  <c r="AC16" i="60"/>
  <c r="R129" i="44"/>
  <c r="AK53" i="8"/>
  <c r="AG57" i="8"/>
  <c r="R42" i="41"/>
  <c r="S57" i="44" s="1"/>
  <c r="R42" i="73"/>
  <c r="T65" i="41"/>
  <c r="R74" i="41"/>
  <c r="R83" i="41" s="1"/>
  <c r="S66" i="44" s="1"/>
  <c r="R74" i="73"/>
  <c r="R83" i="73" s="1"/>
  <c r="P82" i="73"/>
  <c r="X9" i="60"/>
  <c r="Y9" i="60"/>
  <c r="Z15" i="60"/>
  <c r="H5" i="60"/>
  <c r="I5" i="60"/>
  <c r="R45" i="41"/>
  <c r="S59" i="44" s="1"/>
  <c r="AQ54" i="8"/>
  <c r="N122" i="44"/>
  <c r="AN54" i="8"/>
  <c r="M122" i="44"/>
  <c r="Q172" i="44"/>
  <c r="Q192" i="44" s="1"/>
  <c r="Q82" i="41"/>
  <c r="R172" i="44"/>
  <c r="O128" i="44"/>
  <c r="Q65" i="44"/>
  <c r="S196" i="44" l="1"/>
  <c r="L74" i="73"/>
  <c r="L83" i="73" s="1"/>
  <c r="P74" i="73"/>
  <c r="P83" i="73" s="1"/>
  <c r="M74" i="73"/>
  <c r="M83" i="73" s="1"/>
  <c r="R195" i="44"/>
  <c r="P128" i="44"/>
  <c r="AA15" i="60"/>
  <c r="R183" i="44"/>
  <c r="I16" i="60"/>
  <c r="AS53" i="8"/>
  <c r="AD16" i="60"/>
  <c r="S129" i="44"/>
  <c r="E9" i="60"/>
  <c r="D9" i="60"/>
  <c r="F15" i="60"/>
  <c r="AD5" i="60"/>
  <c r="AB15" i="60"/>
  <c r="S121" i="44"/>
  <c r="AD8" i="60"/>
  <c r="P74" i="41"/>
  <c r="M176" i="44"/>
  <c r="M196" i="44" s="1"/>
  <c r="L74" i="41"/>
  <c r="M74" i="41"/>
  <c r="N176" i="44"/>
  <c r="R192" i="44"/>
  <c r="O182" i="44"/>
  <c r="O202" i="44" s="1"/>
  <c r="Q128" i="44"/>
  <c r="R65" i="44"/>
  <c r="S118" i="44"/>
  <c r="G15" i="60" l="1"/>
  <c r="R73" i="41"/>
  <c r="R82" i="41" s="1"/>
  <c r="S65" i="44" s="1"/>
  <c r="P182" i="44"/>
  <c r="P202" i="44" s="1"/>
  <c r="R73" i="73"/>
  <c r="S183" i="44"/>
  <c r="S203" i="44" s="1"/>
  <c r="J16" i="60"/>
  <c r="J5" i="60"/>
  <c r="S175" i="44"/>
  <c r="S195" i="44" s="1"/>
  <c r="AC15" i="60"/>
  <c r="J8" i="60"/>
  <c r="H15" i="60"/>
  <c r="P83" i="41"/>
  <c r="N196" i="44"/>
  <c r="O196" i="44"/>
  <c r="M83" i="41"/>
  <c r="L83" i="41"/>
  <c r="S172" i="44"/>
  <c r="S192" i="44" s="1"/>
  <c r="Q182" i="44"/>
  <c r="R128" i="44"/>
  <c r="Q202" i="44" l="1"/>
  <c r="R82" i="73"/>
  <c r="AD15" i="60"/>
  <c r="I15" i="60"/>
  <c r="Q66" i="44"/>
  <c r="M66" i="44"/>
  <c r="N66" i="44"/>
  <c r="S128" i="44"/>
  <c r="R182" i="44"/>
  <c r="R202" i="44" s="1"/>
  <c r="Y16" i="60" l="1"/>
  <c r="X16" i="60"/>
  <c r="AB16" i="60"/>
  <c r="J15" i="60"/>
  <c r="Q129" i="44"/>
  <c r="N129" i="44"/>
  <c r="M129" i="44"/>
  <c r="S182" i="44"/>
  <c r="S202" i="44" s="1"/>
  <c r="E16" i="60" l="1"/>
  <c r="H16" i="60"/>
  <c r="D16" i="60"/>
  <c r="Q183" i="44"/>
  <c r="M183" i="44"/>
  <c r="M203" i="44" s="1"/>
  <c r="N183" i="44"/>
  <c r="Q203" i="44" l="1"/>
  <c r="R203" i="44"/>
  <c r="N203" i="44"/>
  <c r="O203" i="44"/>
  <c r="BV48" i="14" l="1"/>
  <c r="BV49" i="14" l="1"/>
  <c r="BW49" i="14"/>
  <c r="BV50" i="14"/>
  <c r="BW48" i="14"/>
  <c r="BW50" i="14" l="1"/>
  <c r="BV51" i="14"/>
  <c r="BV52" i="14" l="1"/>
  <c r="BW51" i="14"/>
  <c r="BV53" i="14" l="1"/>
  <c r="BW52" i="14"/>
  <c r="BW53" i="14" l="1"/>
  <c r="BV54" i="14"/>
  <c r="BW54" i="14" l="1"/>
  <c r="BV55" i="14"/>
  <c r="BW55" i="14" l="1"/>
  <c r="BV56" i="14"/>
  <c r="BV57" i="14" l="1"/>
  <c r="BW56" i="14"/>
  <c r="BW57" i="14" l="1"/>
  <c r="BV58" i="14"/>
  <c r="M136" i="73" s="1"/>
  <c r="BV15" i="14" l="1"/>
  <c r="M137" i="73"/>
  <c r="M136" i="41"/>
  <c r="BW58" i="14"/>
  <c r="BV25" i="14"/>
  <c r="M112" i="73" l="1"/>
  <c r="M113" i="73" s="1"/>
  <c r="M112" i="41"/>
  <c r="EP16" i="39"/>
  <c r="ER16" i="39" s="1"/>
  <c r="M22" i="73" s="1"/>
  <c r="BV16" i="14"/>
  <c r="M84" i="44"/>
  <c r="X42" i="60" s="1"/>
  <c r="X43" i="60" s="1"/>
  <c r="M137" i="41"/>
  <c r="M85" i="44" s="1"/>
  <c r="N112" i="73" l="1"/>
  <c r="N113" i="73" s="1"/>
  <c r="N112" i="41"/>
  <c r="N22" i="41"/>
  <c r="L50" i="41" s="1"/>
  <c r="M76" i="44"/>
  <c r="M113" i="41"/>
  <c r="BV59" i="14"/>
  <c r="EP17" i="39"/>
  <c r="ER17" i="39" s="1"/>
  <c r="N22" i="73" s="1"/>
  <c r="BV17" i="14"/>
  <c r="O112" i="73" l="1"/>
  <c r="O113" i="73" s="1"/>
  <c r="O112" i="41"/>
  <c r="N23" i="41"/>
  <c r="O22" i="41"/>
  <c r="O23" i="41" s="1"/>
  <c r="L50" i="73"/>
  <c r="M23" i="73"/>
  <c r="BV71" i="14"/>
  <c r="EP18" i="39"/>
  <c r="ER18" i="39" s="1"/>
  <c r="O22" i="73" s="1"/>
  <c r="BV18" i="14"/>
  <c r="N76" i="44"/>
  <c r="N113" i="41"/>
  <c r="BV60" i="14"/>
  <c r="BW59" i="14"/>
  <c r="X29" i="60"/>
  <c r="X30" i="60" s="1"/>
  <c r="M77" i="44"/>
  <c r="M63" i="44"/>
  <c r="L51" i="41"/>
  <c r="P112" i="41" l="1"/>
  <c r="P112" i="73"/>
  <c r="P113" i="73" s="1"/>
  <c r="M50" i="41"/>
  <c r="N63" i="44" s="1"/>
  <c r="P22" i="41"/>
  <c r="P23" i="41" s="1"/>
  <c r="M50" i="73"/>
  <c r="N23" i="73"/>
  <c r="L51" i="73"/>
  <c r="X13" i="60"/>
  <c r="X14" i="60" s="1"/>
  <c r="M64" i="44"/>
  <c r="O76" i="44"/>
  <c r="O113" i="41"/>
  <c r="BV83" i="14"/>
  <c r="BV19" i="14"/>
  <c r="EP19" i="39"/>
  <c r="ER19" i="39" s="1"/>
  <c r="P22" i="73" s="1"/>
  <c r="BV61" i="14"/>
  <c r="BW60" i="14"/>
  <c r="Y29" i="60"/>
  <c r="Y30" i="60" s="1"/>
  <c r="N77" i="44"/>
  <c r="BV72" i="14"/>
  <c r="AO48" i="14"/>
  <c r="AP48" i="14" s="1"/>
  <c r="M51" i="41" l="1"/>
  <c r="Q112" i="73"/>
  <c r="Q113" i="73" s="1"/>
  <c r="Q112" i="41"/>
  <c r="N50" i="41"/>
  <c r="O63" i="44" s="1"/>
  <c r="Q22" i="41"/>
  <c r="O50" i="41" s="1"/>
  <c r="N50" i="73"/>
  <c r="O23" i="73"/>
  <c r="M51" i="73"/>
  <c r="Y13" i="60"/>
  <c r="Y14" i="60" s="1"/>
  <c r="N64" i="44"/>
  <c r="BV84" i="14"/>
  <c r="P76" i="44"/>
  <c r="P113" i="41"/>
  <c r="BV73" i="14"/>
  <c r="BW72" i="14"/>
  <c r="Z29" i="60"/>
  <c r="Z30" i="60" s="1"/>
  <c r="O77" i="44"/>
  <c r="BV62" i="14"/>
  <c r="BW61" i="14"/>
  <c r="BV95" i="14"/>
  <c r="BV20" i="14"/>
  <c r="EP20" i="39"/>
  <c r="ER20" i="39" s="1"/>
  <c r="Q22" i="73" s="1"/>
  <c r="AO49" i="14"/>
  <c r="N51" i="41" l="1"/>
  <c r="R112" i="41"/>
  <c r="R112" i="73"/>
  <c r="R113" i="73" s="1"/>
  <c r="Q23" i="41"/>
  <c r="R22" i="41"/>
  <c r="P50" i="41" s="1"/>
  <c r="N51" i="73"/>
  <c r="O50" i="73"/>
  <c r="P23" i="73"/>
  <c r="P63" i="44"/>
  <c r="O51" i="41"/>
  <c r="BV74" i="14"/>
  <c r="BW73" i="14"/>
  <c r="BV63" i="14"/>
  <c r="BW62" i="14"/>
  <c r="Q76" i="44"/>
  <c r="Q113" i="41"/>
  <c r="BV107" i="14"/>
  <c r="BV21" i="14"/>
  <c r="EP21" i="39"/>
  <c r="ER21" i="39" s="1"/>
  <c r="R22" i="73" s="1"/>
  <c r="BV96" i="14"/>
  <c r="BV85" i="14"/>
  <c r="BW84" i="14"/>
  <c r="Z13" i="60"/>
  <c r="Z14" i="60" s="1"/>
  <c r="O64" i="44"/>
  <c r="AA29" i="60"/>
  <c r="AA30" i="60" s="1"/>
  <c r="P77" i="44"/>
  <c r="AP49" i="14"/>
  <c r="AO50" i="14"/>
  <c r="S112" i="41" l="1"/>
  <c r="S112" i="73"/>
  <c r="S113" i="73" s="1"/>
  <c r="R23" i="41"/>
  <c r="S22" i="41"/>
  <c r="Q50" i="41" s="1"/>
  <c r="P50" i="73"/>
  <c r="P51" i="73" s="1"/>
  <c r="Q23" i="73"/>
  <c r="O51" i="73"/>
  <c r="BV86" i="14"/>
  <c r="BW85" i="14"/>
  <c r="BV64" i="14"/>
  <c r="BW63" i="14"/>
  <c r="AB29" i="60"/>
  <c r="AB30" i="60" s="1"/>
  <c r="Q77" i="44"/>
  <c r="R76" i="44"/>
  <c r="R113" i="41"/>
  <c r="AA13" i="60"/>
  <c r="AA14" i="60" s="1"/>
  <c r="P64" i="44"/>
  <c r="BV75" i="14"/>
  <c r="BW74" i="14"/>
  <c r="Q63" i="44"/>
  <c r="P51" i="41"/>
  <c r="BV97" i="14"/>
  <c r="BW96" i="14"/>
  <c r="BV119" i="14"/>
  <c r="EP22" i="39"/>
  <c r="ER22" i="39" s="1"/>
  <c r="S22" i="73" s="1"/>
  <c r="BV108" i="14"/>
  <c r="AP50" i="14"/>
  <c r="AO51" i="14"/>
  <c r="S23" i="41" l="1"/>
  <c r="Q50" i="73"/>
  <c r="Q51" i="73" s="1"/>
  <c r="R23" i="73"/>
  <c r="T22" i="41"/>
  <c r="AB13" i="60"/>
  <c r="AB14" i="60" s="1"/>
  <c r="Q64" i="44"/>
  <c r="BV76" i="14"/>
  <c r="BW75" i="14"/>
  <c r="S76" i="44"/>
  <c r="S113" i="41"/>
  <c r="BV65" i="14"/>
  <c r="BW64" i="14"/>
  <c r="R63" i="44"/>
  <c r="Q51" i="41"/>
  <c r="BV109" i="14"/>
  <c r="BW108" i="14"/>
  <c r="BV120" i="14"/>
  <c r="BV98" i="14"/>
  <c r="BW97" i="14"/>
  <c r="AC29" i="60"/>
  <c r="AC30" i="60" s="1"/>
  <c r="R77" i="44"/>
  <c r="BV87" i="14"/>
  <c r="BW86" i="14"/>
  <c r="AP51" i="14"/>
  <c r="AO52" i="14"/>
  <c r="R50" i="41" l="1"/>
  <c r="S63" i="44" s="1"/>
  <c r="T23" i="41"/>
  <c r="R50" i="73"/>
  <c r="R51" i="73" s="1"/>
  <c r="S23" i="73"/>
  <c r="BV110" i="14"/>
  <c r="BW109" i="14"/>
  <c r="AD29" i="60"/>
  <c r="AD30" i="60" s="1"/>
  <c r="S77" i="44"/>
  <c r="BV99" i="14"/>
  <c r="BW98" i="14"/>
  <c r="BV88" i="14"/>
  <c r="BW87" i="14"/>
  <c r="BV121" i="14"/>
  <c r="BW120" i="14"/>
  <c r="AC13" i="60"/>
  <c r="AC14" i="60" s="1"/>
  <c r="R64" i="44"/>
  <c r="BV77" i="14"/>
  <c r="BW76" i="14"/>
  <c r="BV66" i="14"/>
  <c r="BW65" i="14"/>
  <c r="AP52" i="14"/>
  <c r="AO53" i="14"/>
  <c r="R51" i="41" l="1"/>
  <c r="BV89" i="14"/>
  <c r="BW88" i="14"/>
  <c r="AD13" i="60"/>
  <c r="AD14" i="60" s="1"/>
  <c r="S64" i="44"/>
  <c r="BV111" i="14"/>
  <c r="BW110" i="14"/>
  <c r="BV78" i="14"/>
  <c r="BW77" i="14"/>
  <c r="BV67" i="14"/>
  <c r="BW66" i="14"/>
  <c r="BV122" i="14"/>
  <c r="BW121" i="14"/>
  <c r="BV100" i="14"/>
  <c r="BW99" i="14"/>
  <c r="AP53" i="14"/>
  <c r="AO54" i="14"/>
  <c r="BV101" i="14" l="1"/>
  <c r="BW100" i="14"/>
  <c r="BV112" i="14"/>
  <c r="BW111" i="14"/>
  <c r="BV68" i="14"/>
  <c r="BW67" i="14"/>
  <c r="BV90" i="14"/>
  <c r="BW89" i="14"/>
  <c r="BV123" i="14"/>
  <c r="BW122" i="14"/>
  <c r="BV79" i="14"/>
  <c r="BW78" i="14"/>
  <c r="AP54" i="14"/>
  <c r="AO55" i="14"/>
  <c r="BV80" i="14" l="1"/>
  <c r="BW79" i="14"/>
  <c r="BV113" i="14"/>
  <c r="BW112" i="14"/>
  <c r="BV102" i="14"/>
  <c r="BW101" i="14"/>
  <c r="BV124" i="14"/>
  <c r="BW123" i="14"/>
  <c r="BV91" i="14"/>
  <c r="BW90" i="14"/>
  <c r="BV69" i="14"/>
  <c r="BW68" i="14"/>
  <c r="AP55" i="14"/>
  <c r="AO56" i="14"/>
  <c r="BV103" i="14" l="1"/>
  <c r="BW102" i="14"/>
  <c r="BV114" i="14"/>
  <c r="BW113" i="14"/>
  <c r="BV70" i="14"/>
  <c r="BW69" i="14"/>
  <c r="BV125" i="14"/>
  <c r="BW124" i="14"/>
  <c r="BV81" i="14"/>
  <c r="BW80" i="14"/>
  <c r="BV92" i="14"/>
  <c r="BW91" i="14"/>
  <c r="AP56" i="14"/>
  <c r="AO57" i="14"/>
  <c r="N136" i="73" l="1"/>
  <c r="N137" i="73" s="1"/>
  <c r="BV126" i="14"/>
  <c r="BW125" i="14"/>
  <c r="N136" i="41"/>
  <c r="BW70" i="14"/>
  <c r="BW71" i="14"/>
  <c r="BV82" i="14"/>
  <c r="BW81" i="14"/>
  <c r="BV104" i="14"/>
  <c r="BW103" i="14"/>
  <c r="BV93" i="14"/>
  <c r="BW92" i="14"/>
  <c r="BV115" i="14"/>
  <c r="BW114" i="14"/>
  <c r="AP57" i="14"/>
  <c r="AO58" i="14"/>
  <c r="M125" i="73" s="1"/>
  <c r="M126" i="73" s="1"/>
  <c r="O136" i="73" l="1"/>
  <c r="O137" i="73" s="1"/>
  <c r="M125" i="41"/>
  <c r="M37" i="44" s="1"/>
  <c r="M153" i="44" s="1"/>
  <c r="N84" i="44"/>
  <c r="Y42" i="60" s="1"/>
  <c r="Y43" i="60" s="1"/>
  <c r="N137" i="41"/>
  <c r="N85" i="44" s="1"/>
  <c r="BV105" i="14"/>
  <c r="BW104" i="14"/>
  <c r="BV116" i="14"/>
  <c r="BW115" i="14"/>
  <c r="O136" i="41"/>
  <c r="BW82" i="14"/>
  <c r="BW83" i="14"/>
  <c r="BV94" i="14"/>
  <c r="BW93" i="14"/>
  <c r="BV127" i="14"/>
  <c r="BW126" i="14"/>
  <c r="AP58" i="14"/>
  <c r="AO15" i="14"/>
  <c r="P136" i="73" l="1"/>
  <c r="P137" i="73" s="1"/>
  <c r="M101" i="41"/>
  <c r="M101" i="73"/>
  <c r="M102" i="73" s="1"/>
  <c r="M126" i="41"/>
  <c r="BV117" i="14"/>
  <c r="BW116" i="14"/>
  <c r="BV106" i="14"/>
  <c r="BW105" i="14"/>
  <c r="P136" i="41"/>
  <c r="BW94" i="14"/>
  <c r="BW95" i="14"/>
  <c r="O84" i="44"/>
  <c r="Z42" i="60" s="1"/>
  <c r="Z43" i="60" s="1"/>
  <c r="O137" i="41"/>
  <c r="O85" i="44" s="1"/>
  <c r="BV128" i="14"/>
  <c r="BW127" i="14"/>
  <c r="CC16" i="39"/>
  <c r="CE16" i="39" s="1"/>
  <c r="M11" i="73" s="1"/>
  <c r="AO16" i="14"/>
  <c r="Q136" i="73" l="1"/>
  <c r="Q137" i="73" s="1"/>
  <c r="N101" i="41"/>
  <c r="N101" i="73"/>
  <c r="N102" i="73" s="1"/>
  <c r="N11" i="41"/>
  <c r="C50" i="41" s="1"/>
  <c r="P84" i="44"/>
  <c r="AA42" i="60" s="1"/>
  <c r="AA43" i="60" s="1"/>
  <c r="P137" i="41"/>
  <c r="P85" i="44" s="1"/>
  <c r="BV118" i="14"/>
  <c r="BW117" i="14"/>
  <c r="BV129" i="14"/>
  <c r="BW128" i="14"/>
  <c r="Q136" i="41"/>
  <c r="BW106" i="14"/>
  <c r="BW107" i="14"/>
  <c r="N42" i="60"/>
  <c r="N43" i="60" s="1"/>
  <c r="M38" i="44"/>
  <c r="M27" i="44"/>
  <c r="M102" i="41"/>
  <c r="AO59" i="14"/>
  <c r="CC17" i="39"/>
  <c r="CE17" i="39" s="1"/>
  <c r="N11" i="73" s="1"/>
  <c r="AO17" i="14"/>
  <c r="N12" i="41" l="1"/>
  <c r="R136" i="73"/>
  <c r="R137" i="73" s="1"/>
  <c r="O101" i="73"/>
  <c r="O102" i="73" s="1"/>
  <c r="O101" i="41"/>
  <c r="O11" i="41"/>
  <c r="D50" i="41" s="1"/>
  <c r="C50" i="73"/>
  <c r="C51" i="73" s="1"/>
  <c r="M12" i="73"/>
  <c r="BV130" i="14"/>
  <c r="BW129" i="14"/>
  <c r="Q84" i="44"/>
  <c r="AB42" i="60" s="1"/>
  <c r="AB43" i="60" s="1"/>
  <c r="Q137" i="41"/>
  <c r="Q85" i="44" s="1"/>
  <c r="R136" i="41"/>
  <c r="BW118" i="14"/>
  <c r="BW119" i="14"/>
  <c r="D42" i="60"/>
  <c r="D43" i="60" s="1"/>
  <c r="M154" i="44"/>
  <c r="N29" i="60"/>
  <c r="N27" i="44"/>
  <c r="N102" i="41"/>
  <c r="CC18" i="39"/>
  <c r="CE18" i="39" s="1"/>
  <c r="O11" i="73" s="1"/>
  <c r="AO18" i="14"/>
  <c r="AO71" i="14"/>
  <c r="AP59" i="14"/>
  <c r="AO60" i="14"/>
  <c r="M11" i="44"/>
  <c r="C51" i="41"/>
  <c r="M28" i="44"/>
  <c r="M142" i="44"/>
  <c r="S136" i="73" l="1"/>
  <c r="S137" i="73" s="1"/>
  <c r="P101" i="73"/>
  <c r="P102" i="73" s="1"/>
  <c r="P101" i="41"/>
  <c r="O12" i="41"/>
  <c r="D50" i="73"/>
  <c r="D51" i="73" s="1"/>
  <c r="N12" i="73"/>
  <c r="P11" i="41"/>
  <c r="P12" i="41" s="1"/>
  <c r="R84" i="44"/>
  <c r="AC42" i="60" s="1"/>
  <c r="AC43" i="60" s="1"/>
  <c r="R137" i="41"/>
  <c r="R85" i="44" s="1"/>
  <c r="S136" i="41"/>
  <c r="BW130" i="14"/>
  <c r="BV26" i="14"/>
  <c r="BW26" i="14" s="1"/>
  <c r="BV27" i="14"/>
  <c r="BV28" i="14"/>
  <c r="BV30" i="14"/>
  <c r="BV29" i="14"/>
  <c r="BV31" i="14"/>
  <c r="N30" i="60"/>
  <c r="O29" i="60"/>
  <c r="N13" i="60"/>
  <c r="M143" i="44"/>
  <c r="D29" i="60"/>
  <c r="M126" i="44"/>
  <c r="M12" i="44"/>
  <c r="N11" i="44"/>
  <c r="D51" i="41"/>
  <c r="AP60" i="14"/>
  <c r="AO61" i="14"/>
  <c r="O27" i="44"/>
  <c r="O102" i="41"/>
  <c r="AO72" i="14"/>
  <c r="AO83" i="14"/>
  <c r="CC19" i="39"/>
  <c r="CE19" i="39" s="1"/>
  <c r="P11" i="73" s="1"/>
  <c r="AO19" i="14"/>
  <c r="N28" i="44"/>
  <c r="N142" i="44"/>
  <c r="BW27" i="14" l="1"/>
  <c r="Q101" i="73"/>
  <c r="Q102" i="73" s="1"/>
  <c r="Q101" i="41"/>
  <c r="E50" i="41"/>
  <c r="O11" i="44" s="1"/>
  <c r="Q11" i="41"/>
  <c r="Q12" i="41" s="1"/>
  <c r="E50" i="73"/>
  <c r="E51" i="73" s="1"/>
  <c r="O12" i="73"/>
  <c r="BW31" i="14"/>
  <c r="BW29" i="14"/>
  <c r="S84" i="44"/>
  <c r="AD42" i="60" s="1"/>
  <c r="AD43" i="60" s="1"/>
  <c r="S137" i="41"/>
  <c r="S85" i="44" s="1"/>
  <c r="BW30" i="14"/>
  <c r="BV33" i="14"/>
  <c r="BW28" i="14"/>
  <c r="P29" i="60"/>
  <c r="P30" i="60" s="1"/>
  <c r="N14" i="60"/>
  <c r="O30" i="60"/>
  <c r="O13" i="60"/>
  <c r="D13" i="60"/>
  <c r="D30" i="60"/>
  <c r="N143" i="44"/>
  <c r="E29" i="60"/>
  <c r="AO84" i="14"/>
  <c r="AP72" i="14"/>
  <c r="AO73" i="14"/>
  <c r="M127" i="44"/>
  <c r="M180" i="44"/>
  <c r="M200" i="44" s="1"/>
  <c r="O142" i="44"/>
  <c r="O28" i="44"/>
  <c r="AP61" i="14"/>
  <c r="AO62" i="14"/>
  <c r="P27" i="44"/>
  <c r="P102" i="41"/>
  <c r="AO95" i="14"/>
  <c r="CC20" i="39"/>
  <c r="CE20" i="39" s="1"/>
  <c r="Q11" i="73" s="1"/>
  <c r="AO20" i="14"/>
  <c r="N126" i="44"/>
  <c r="N12" i="44"/>
  <c r="R101" i="73" l="1"/>
  <c r="R102" i="73" s="1"/>
  <c r="R101" i="41"/>
  <c r="E51" i="41"/>
  <c r="F50" i="41"/>
  <c r="P11" i="44" s="1"/>
  <c r="R11" i="41"/>
  <c r="G50" i="41" s="1"/>
  <c r="F50" i="73"/>
  <c r="F51" i="73" s="1"/>
  <c r="P12" i="73"/>
  <c r="E13" i="60"/>
  <c r="Q29" i="60"/>
  <c r="Q30" i="60" s="1"/>
  <c r="O14" i="60"/>
  <c r="D14" i="60"/>
  <c r="F29" i="60"/>
  <c r="P13" i="60"/>
  <c r="E30" i="60"/>
  <c r="AO21" i="14"/>
  <c r="AO107" i="14"/>
  <c r="CC21" i="39"/>
  <c r="CE21" i="39" s="1"/>
  <c r="R11" i="73" s="1"/>
  <c r="P142" i="44"/>
  <c r="P28" i="44"/>
  <c r="O126" i="44"/>
  <c r="O12" i="44"/>
  <c r="AP73" i="14"/>
  <c r="AO74" i="14"/>
  <c r="AO96" i="14"/>
  <c r="AP62" i="14"/>
  <c r="AO63" i="14"/>
  <c r="N127" i="44"/>
  <c r="N180" i="44"/>
  <c r="N200" i="44" s="1"/>
  <c r="O143" i="44"/>
  <c r="AP84" i="14"/>
  <c r="AO85" i="14"/>
  <c r="Q27" i="44"/>
  <c r="Q102" i="41"/>
  <c r="R12" i="41" l="1"/>
  <c r="S101" i="73"/>
  <c r="S102" i="73" s="1"/>
  <c r="S101" i="41"/>
  <c r="F51" i="41"/>
  <c r="S11" i="41"/>
  <c r="S12" i="41" s="1"/>
  <c r="G50" i="73"/>
  <c r="G51" i="73" s="1"/>
  <c r="Q12" i="73"/>
  <c r="G29" i="60"/>
  <c r="E14" i="60"/>
  <c r="Q13" i="60"/>
  <c r="R29" i="60"/>
  <c r="R30" i="60" s="1"/>
  <c r="P14" i="60"/>
  <c r="F30" i="60"/>
  <c r="F13" i="60"/>
  <c r="AP96" i="14"/>
  <c r="AO97" i="14"/>
  <c r="AP85" i="14"/>
  <c r="AO86" i="14"/>
  <c r="O127" i="44"/>
  <c r="O180" i="44"/>
  <c r="O200" i="44" s="1"/>
  <c r="AP74" i="14"/>
  <c r="AO75" i="14"/>
  <c r="Q11" i="44"/>
  <c r="G51" i="41"/>
  <c r="P143" i="44"/>
  <c r="R27" i="44"/>
  <c r="R102" i="41"/>
  <c r="P126" i="44"/>
  <c r="P12" i="44"/>
  <c r="AO108" i="14"/>
  <c r="Q142" i="44"/>
  <c r="Q28" i="44"/>
  <c r="CC22" i="39"/>
  <c r="CE22" i="39" s="1"/>
  <c r="S11" i="73" s="1"/>
  <c r="AO119" i="14"/>
  <c r="AP63" i="14"/>
  <c r="AO64" i="14"/>
  <c r="S12" i="73" l="1"/>
  <c r="H50" i="41"/>
  <c r="H51" i="41" s="1"/>
  <c r="T11" i="41"/>
  <c r="H50" i="73"/>
  <c r="H51" i="73" s="1"/>
  <c r="R12" i="73"/>
  <c r="G30" i="60"/>
  <c r="Q14" i="60"/>
  <c r="G13" i="60"/>
  <c r="H29" i="60"/>
  <c r="S29" i="60"/>
  <c r="R13" i="60"/>
  <c r="R14" i="60" s="1"/>
  <c r="F14" i="60"/>
  <c r="AP75" i="14"/>
  <c r="AO76" i="14"/>
  <c r="R142" i="44"/>
  <c r="R28" i="44"/>
  <c r="S27" i="44"/>
  <c r="S102" i="41"/>
  <c r="AP97" i="14"/>
  <c r="AO98" i="14"/>
  <c r="AO120" i="14"/>
  <c r="Q126" i="44"/>
  <c r="Q12" i="44"/>
  <c r="AP86" i="14"/>
  <c r="AO87" i="14"/>
  <c r="AP64" i="14"/>
  <c r="AO65" i="14"/>
  <c r="P127" i="44"/>
  <c r="P180" i="44"/>
  <c r="P200" i="44" s="1"/>
  <c r="Q143" i="44"/>
  <c r="AP108" i="14"/>
  <c r="AO109" i="14"/>
  <c r="R11" i="44" l="1"/>
  <c r="I50" i="41"/>
  <c r="I51" i="41" s="1"/>
  <c r="T12" i="41"/>
  <c r="I50" i="73"/>
  <c r="I51" i="73" s="1"/>
  <c r="S30" i="60"/>
  <c r="G14" i="60"/>
  <c r="H30" i="60"/>
  <c r="I29" i="60"/>
  <c r="H13" i="60"/>
  <c r="T29" i="60"/>
  <c r="AP65" i="14"/>
  <c r="AO66" i="14"/>
  <c r="AP98" i="14"/>
  <c r="AO99" i="14"/>
  <c r="R143" i="44"/>
  <c r="Q180" i="44"/>
  <c r="Q200" i="44" s="1"/>
  <c r="Q127" i="44"/>
  <c r="S142" i="44"/>
  <c r="S28" i="44"/>
  <c r="AP120" i="14"/>
  <c r="AO121" i="14"/>
  <c r="AP76" i="14"/>
  <c r="AO77" i="14"/>
  <c r="AP109" i="14"/>
  <c r="AO110" i="14"/>
  <c r="AP87" i="14"/>
  <c r="AO88" i="14"/>
  <c r="R126" i="44" l="1"/>
  <c r="I13" i="60" s="1"/>
  <c r="R12" i="44"/>
  <c r="S13" i="60"/>
  <c r="S14" i="60" s="1"/>
  <c r="S11" i="44"/>
  <c r="T13" i="60" s="1"/>
  <c r="T14" i="60" s="1"/>
  <c r="T30" i="60"/>
  <c r="H14" i="60"/>
  <c r="I30" i="60"/>
  <c r="J29" i="60"/>
  <c r="AP110" i="14"/>
  <c r="AO111" i="14"/>
  <c r="AP66" i="14"/>
  <c r="AO67" i="14"/>
  <c r="AP121" i="14"/>
  <c r="AO122" i="14"/>
  <c r="AP77" i="14"/>
  <c r="AO78" i="14"/>
  <c r="S143" i="44"/>
  <c r="AP99" i="14"/>
  <c r="AO100" i="14"/>
  <c r="AP88" i="14"/>
  <c r="AO89" i="14"/>
  <c r="R127" i="44" l="1"/>
  <c r="R180" i="44"/>
  <c r="R200" i="44" s="1"/>
  <c r="S126" i="44"/>
  <c r="J13" i="60" s="1"/>
  <c r="S12" i="44"/>
  <c r="J30" i="60"/>
  <c r="I14" i="60"/>
  <c r="AP78" i="14"/>
  <c r="AO79" i="14"/>
  <c r="AP111" i="14"/>
  <c r="AO112" i="14"/>
  <c r="AP122" i="14"/>
  <c r="AO123" i="14"/>
  <c r="AP100" i="14"/>
  <c r="AO101" i="14"/>
  <c r="AP89" i="14"/>
  <c r="AO90" i="14"/>
  <c r="AP67" i="14"/>
  <c r="AO68" i="14"/>
  <c r="S127" i="44" l="1"/>
  <c r="S180" i="44"/>
  <c r="S200" i="44" s="1"/>
  <c r="J14" i="60"/>
  <c r="AP112" i="14"/>
  <c r="AO113" i="14"/>
  <c r="AP123" i="14"/>
  <c r="AO124" i="14"/>
  <c r="AP90" i="14"/>
  <c r="AO91" i="14"/>
  <c r="AP79" i="14"/>
  <c r="AO80" i="14"/>
  <c r="AP101" i="14"/>
  <c r="AO102" i="14"/>
  <c r="AP68" i="14"/>
  <c r="AO69" i="14"/>
  <c r="AP91" i="14" l="1"/>
  <c r="AO92" i="14"/>
  <c r="AP69" i="14"/>
  <c r="AO70" i="14"/>
  <c r="N125" i="73" s="1"/>
  <c r="N126" i="73" s="1"/>
  <c r="AP124" i="14"/>
  <c r="AO125" i="14"/>
  <c r="AP113" i="14"/>
  <c r="AO114" i="14"/>
  <c r="AP102" i="14"/>
  <c r="AO103" i="14"/>
  <c r="AP80" i="14"/>
  <c r="AO81" i="14"/>
  <c r="N125" i="41" l="1"/>
  <c r="N37" i="44" s="1"/>
  <c r="N153" i="44" s="1"/>
  <c r="AP92" i="14"/>
  <c r="AO93" i="14"/>
  <c r="AP114" i="14"/>
  <c r="AO115" i="14"/>
  <c r="AP103" i="14"/>
  <c r="AO104" i="14"/>
  <c r="AP125" i="14"/>
  <c r="AO126" i="14"/>
  <c r="AP81" i="14"/>
  <c r="AO82" i="14"/>
  <c r="O125" i="73" s="1"/>
  <c r="O126" i="73" s="1"/>
  <c r="AP70" i="14"/>
  <c r="AP71" i="14"/>
  <c r="N126" i="41" l="1"/>
  <c r="O125" i="41"/>
  <c r="O37" i="44" s="1"/>
  <c r="O153" i="44" s="1"/>
  <c r="O42" i="60"/>
  <c r="O43" i="60" s="1"/>
  <c r="N38" i="44"/>
  <c r="AP104" i="14"/>
  <c r="AO105" i="14"/>
  <c r="AP93" i="14"/>
  <c r="AO94" i="14"/>
  <c r="P125" i="73" s="1"/>
  <c r="P126" i="73" s="1"/>
  <c r="AP82" i="14"/>
  <c r="AP83" i="14"/>
  <c r="AP115" i="14"/>
  <c r="AO116" i="14"/>
  <c r="AP126" i="14"/>
  <c r="AO127" i="14"/>
  <c r="P125" i="41" l="1"/>
  <c r="P37" i="44" s="1"/>
  <c r="P153" i="44" s="1"/>
  <c r="O126" i="41"/>
  <c r="E42" i="60"/>
  <c r="E43" i="60" s="1"/>
  <c r="N154" i="44"/>
  <c r="O38" i="44"/>
  <c r="P42" i="60"/>
  <c r="P43" i="60" s="1"/>
  <c r="AP127" i="14"/>
  <c r="AO128" i="14"/>
  <c r="AP94" i="14"/>
  <c r="AP95" i="14"/>
  <c r="AP105" i="14"/>
  <c r="AO106" i="14"/>
  <c r="Q125" i="73" s="1"/>
  <c r="Q126" i="73" s="1"/>
  <c r="AP116" i="14"/>
  <c r="AO117" i="14"/>
  <c r="P126" i="41" l="1"/>
  <c r="Q125" i="41"/>
  <c r="Q37" i="44" s="1"/>
  <c r="Q153" i="44" s="1"/>
  <c r="O154" i="44"/>
  <c r="F42" i="60"/>
  <c r="F43" i="60" s="1"/>
  <c r="Q42" i="60"/>
  <c r="Q43" i="60" s="1"/>
  <c r="P38" i="44"/>
  <c r="AP106" i="14"/>
  <c r="AP107" i="14"/>
  <c r="AP128" i="14"/>
  <c r="AO129" i="14"/>
  <c r="AP117" i="14"/>
  <c r="AO118" i="14"/>
  <c r="R125" i="73" s="1"/>
  <c r="R126" i="73" s="1"/>
  <c r="Q126" i="41" l="1"/>
  <c r="R125" i="41"/>
  <c r="R37" i="44" s="1"/>
  <c r="R153" i="44" s="1"/>
  <c r="G42" i="60"/>
  <c r="G43" i="60" s="1"/>
  <c r="P154" i="44"/>
  <c r="R42" i="60"/>
  <c r="R43" i="60" s="1"/>
  <c r="Q38" i="44"/>
  <c r="AP118" i="14"/>
  <c r="AP119" i="14"/>
  <c r="AP129" i="14"/>
  <c r="AO130" i="14"/>
  <c r="S125" i="73" s="1"/>
  <c r="S126" i="73" s="1"/>
  <c r="S125" i="41" l="1"/>
  <c r="S37" i="44" s="1"/>
  <c r="S153" i="44" s="1"/>
  <c r="R126" i="41"/>
  <c r="H42" i="60"/>
  <c r="H43" i="60" s="1"/>
  <c r="Q154" i="44"/>
  <c r="S42" i="60"/>
  <c r="S43" i="60" s="1"/>
  <c r="R38" i="44"/>
  <c r="AP130" i="14"/>
  <c r="AO25" i="14"/>
  <c r="AO28" i="14"/>
  <c r="AO26" i="14"/>
  <c r="AP26" i="14" s="1"/>
  <c r="AO27" i="14"/>
  <c r="AO31" i="14"/>
  <c r="AO29" i="14"/>
  <c r="AO30" i="14"/>
  <c r="AP27" i="14" l="1"/>
  <c r="S126" i="41"/>
  <c r="AP29" i="14"/>
  <c r="I42" i="60"/>
  <c r="I43" i="60" s="1"/>
  <c r="R154" i="44"/>
  <c r="AP31" i="14"/>
  <c r="T42" i="60"/>
  <c r="T43" i="60" s="1"/>
  <c r="S38" i="44"/>
  <c r="AP30" i="14"/>
  <c r="AO33" i="14"/>
  <c r="AP28" i="14"/>
  <c r="J42" i="60" l="1"/>
  <c r="J43" i="60" s="1"/>
  <c r="S154" i="44"/>
  <c r="D10" i="44" l="1"/>
  <c r="D12" i="44" s="1"/>
  <c r="D12" i="41"/>
  <c r="L10" i="44"/>
  <c r="I10" i="44"/>
  <c r="I12" i="44" s="1"/>
  <c r="F10" i="44"/>
  <c r="F12" i="44" s="1"/>
  <c r="C10" i="41"/>
  <c r="C10" i="44" s="1"/>
  <c r="C12" i="44" s="1"/>
  <c r="K10" i="44"/>
  <c r="K125" i="44" s="1"/>
  <c r="H10" i="44"/>
  <c r="H12" i="44" s="1"/>
  <c r="J10" i="44"/>
  <c r="J12" i="44" s="1"/>
  <c r="E10" i="44"/>
  <c r="E12" i="44" s="1"/>
  <c r="G10" i="44"/>
  <c r="G12" i="44" s="1"/>
  <c r="F12" i="41"/>
  <c r="G12" i="41"/>
  <c r="J12" i="41"/>
  <c r="I12" i="41"/>
  <c r="K12" i="41"/>
  <c r="H12" i="41"/>
  <c r="E12" i="41"/>
  <c r="L125" i="44" l="1"/>
  <c r="L127" i="44" s="1"/>
  <c r="L12" i="44"/>
  <c r="M12" i="60"/>
  <c r="M14" i="60" s="1"/>
  <c r="K12" i="44"/>
  <c r="K179" i="44"/>
  <c r="K127" i="44"/>
  <c r="J125" i="44"/>
  <c r="C12" i="41"/>
  <c r="C12" i="60" l="1"/>
  <c r="C14" i="60" s="1"/>
  <c r="L179" i="44"/>
  <c r="M199" i="44" s="1"/>
  <c r="J127" i="44"/>
  <c r="J179" i="44"/>
  <c r="J199" i="44" s="1"/>
  <c r="L199" i="44" l="1"/>
  <c r="K199" i="44"/>
  <c r="GC74" i="2"/>
  <c r="I21" i="41"/>
  <c r="F21" i="41" l="1"/>
  <c r="E21" i="41"/>
  <c r="I62" i="44"/>
  <c r="I64" i="44" s="1"/>
  <c r="D21" i="41"/>
  <c r="H21" i="41"/>
  <c r="G21" i="41"/>
  <c r="C21" i="41"/>
  <c r="I23" i="41"/>
  <c r="EJ12" i="39"/>
  <c r="EK12" i="39" s="1"/>
  <c r="I21" i="73" s="1"/>
  <c r="I23" i="73" s="1"/>
  <c r="BM12" i="40"/>
  <c r="H62" i="44" l="1"/>
  <c r="H64" i="44" s="1"/>
  <c r="H23" i="41"/>
  <c r="BQ12" i="40"/>
  <c r="BO12" i="40"/>
  <c r="BO19" i="40" s="1"/>
  <c r="E23" i="41"/>
  <c r="E62" i="44"/>
  <c r="E64" i="44" s="1"/>
  <c r="C23" i="41"/>
  <c r="C62" i="44"/>
  <c r="C64" i="44" s="1"/>
  <c r="G23" i="41"/>
  <c r="G62" i="44"/>
  <c r="G64" i="44" s="1"/>
  <c r="D62" i="44"/>
  <c r="D64" i="44" s="1"/>
  <c r="D23" i="41"/>
  <c r="F62" i="44"/>
  <c r="F64" i="44" s="1"/>
  <c r="F23" i="41"/>
  <c r="BO20" i="40" l="1"/>
  <c r="BN19" i="40"/>
  <c r="BN20" i="40" l="1"/>
  <c r="BO21" i="40"/>
  <c r="BO22" i="40" l="1"/>
  <c r="BN21" i="40"/>
  <c r="M68" i="73" s="1"/>
  <c r="M68" i="41"/>
  <c r="M69" i="41" s="1"/>
  <c r="F56" i="8" l="1"/>
  <c r="N68" i="41"/>
  <c r="N69" i="41" s="1"/>
  <c r="BN22" i="40"/>
  <c r="N68" i="73" s="1"/>
  <c r="BO23" i="40"/>
  <c r="O68" i="41" l="1"/>
  <c r="O69" i="41" s="1"/>
  <c r="K56" i="8"/>
  <c r="BN23" i="40"/>
  <c r="O68" i="73" s="1"/>
  <c r="BO24" i="40"/>
  <c r="M69" i="73"/>
  <c r="G56" i="8"/>
  <c r="F57" i="8"/>
  <c r="G57" i="8" l="1"/>
  <c r="AM56" i="8"/>
  <c r="L56" i="8"/>
  <c r="K57" i="8"/>
  <c r="BO25" i="40"/>
  <c r="BN24" i="40"/>
  <c r="P68" i="73" s="1"/>
  <c r="N69" i="73"/>
  <c r="P68" i="41"/>
  <c r="P69" i="41" s="1"/>
  <c r="P56" i="8"/>
  <c r="Q56" i="8" l="1"/>
  <c r="P57" i="8"/>
  <c r="O69" i="73"/>
  <c r="U56" i="8"/>
  <c r="Q68" i="41"/>
  <c r="Q69" i="41" s="1"/>
  <c r="BN25" i="40"/>
  <c r="Q68" i="73" s="1"/>
  <c r="BO26" i="40"/>
  <c r="L57" i="8"/>
  <c r="AN56" i="8"/>
  <c r="L77" i="73"/>
  <c r="L77" i="41"/>
  <c r="AM57" i="8"/>
  <c r="L78" i="73" l="1"/>
  <c r="L86" i="73"/>
  <c r="L87" i="73" s="1"/>
  <c r="BO27" i="40"/>
  <c r="BN27" i="40" s="1"/>
  <c r="S68" i="73" s="1"/>
  <c r="BN26" i="40"/>
  <c r="R68" i="73" s="1"/>
  <c r="P69" i="73"/>
  <c r="L78" i="41"/>
  <c r="L86" i="41"/>
  <c r="AN57" i="8"/>
  <c r="M77" i="41"/>
  <c r="M77" i="73"/>
  <c r="Z56" i="8"/>
  <c r="R68" i="41"/>
  <c r="R69" i="41" s="1"/>
  <c r="V56" i="8"/>
  <c r="U57" i="8"/>
  <c r="Q57" i="8"/>
  <c r="AO56" i="8"/>
  <c r="Q69" i="73" l="1"/>
  <c r="AJ56" i="8"/>
  <c r="T68" i="41"/>
  <c r="T69" i="41" s="1"/>
  <c r="Z57" i="8"/>
  <c r="AA56" i="8"/>
  <c r="M78" i="73"/>
  <c r="M86" i="73"/>
  <c r="M87" i="73" s="1"/>
  <c r="N77" i="41"/>
  <c r="N77" i="73"/>
  <c r="AO57" i="8"/>
  <c r="M78" i="41"/>
  <c r="M86" i="41"/>
  <c r="M68" i="44"/>
  <c r="L87" i="41"/>
  <c r="AE56" i="8"/>
  <c r="S68" i="41"/>
  <c r="S69" i="41" s="1"/>
  <c r="AP56" i="8"/>
  <c r="V57" i="8"/>
  <c r="S69" i="73" l="1"/>
  <c r="M87" i="41"/>
  <c r="N68" i="44"/>
  <c r="N78" i="41"/>
  <c r="N86" i="41"/>
  <c r="AA57" i="8"/>
  <c r="AQ56" i="8"/>
  <c r="AJ57" i="8"/>
  <c r="AK56" i="8"/>
  <c r="N78" i="73"/>
  <c r="N86" i="73"/>
  <c r="N87" i="73" s="1"/>
  <c r="AP57" i="8"/>
  <c r="O77" i="73"/>
  <c r="O77" i="41"/>
  <c r="R69" i="73"/>
  <c r="AF56" i="8"/>
  <c r="AE57" i="8"/>
  <c r="M132" i="44"/>
  <c r="X19" i="60"/>
  <c r="X20" i="60" s="1"/>
  <c r="M69" i="44"/>
  <c r="O78" i="41" l="1"/>
  <c r="O86" i="41"/>
  <c r="O68" i="44"/>
  <c r="N87" i="41"/>
  <c r="N132" i="44"/>
  <c r="N69" i="44"/>
  <c r="Y19" i="60"/>
  <c r="Y20" i="60" s="1"/>
  <c r="O78" i="73"/>
  <c r="O86" i="73"/>
  <c r="O87" i="73" s="1"/>
  <c r="AK57" i="8"/>
  <c r="AS56" i="8"/>
  <c r="AQ57" i="8"/>
  <c r="P77" i="73"/>
  <c r="P77" i="41"/>
  <c r="M133" i="44"/>
  <c r="D19" i="60"/>
  <c r="M186" i="44"/>
  <c r="M206" i="44" s="1"/>
  <c r="AR56" i="8"/>
  <c r="AF57" i="8"/>
  <c r="D20" i="60" l="1"/>
  <c r="P78" i="41"/>
  <c r="P86" i="41"/>
  <c r="O132" i="44"/>
  <c r="O69" i="44"/>
  <c r="Z19" i="60"/>
  <c r="Z20" i="60" s="1"/>
  <c r="N186" i="44"/>
  <c r="N206" i="44" s="1"/>
  <c r="E19" i="60"/>
  <c r="N133" i="44"/>
  <c r="Q77" i="73"/>
  <c r="Q77" i="41"/>
  <c r="AR57" i="8"/>
  <c r="O87" i="41"/>
  <c r="P68" i="44"/>
  <c r="P78" i="73"/>
  <c r="P86" i="73"/>
  <c r="P87" i="73" s="1"/>
  <c r="AS57" i="8"/>
  <c r="R77" i="41"/>
  <c r="R77" i="73"/>
  <c r="E20" i="60" l="1"/>
  <c r="Q78" i="73"/>
  <c r="Q86" i="73"/>
  <c r="Q87" i="73" s="1"/>
  <c r="Q78" i="41"/>
  <c r="Q86" i="41"/>
  <c r="Q68" i="44"/>
  <c r="P87" i="41"/>
  <c r="P132" i="44"/>
  <c r="AA19" i="60"/>
  <c r="AA20" i="60" s="1"/>
  <c r="P69" i="44"/>
  <c r="O133" i="44"/>
  <c r="O186" i="44"/>
  <c r="O206" i="44" s="1"/>
  <c r="F19" i="60"/>
  <c r="R78" i="73"/>
  <c r="R86" i="73"/>
  <c r="R87" i="73" s="1"/>
  <c r="R78" i="41"/>
  <c r="R86" i="41"/>
  <c r="F20" i="60" l="1"/>
  <c r="R87" i="41"/>
  <c r="S68" i="44"/>
  <c r="Q132" i="44"/>
  <c r="AB19" i="60"/>
  <c r="AB20" i="60" s="1"/>
  <c r="Q69" i="44"/>
  <c r="G19" i="60"/>
  <c r="P186" i="44"/>
  <c r="P206" i="44" s="1"/>
  <c r="P133" i="44"/>
  <c r="R68" i="44"/>
  <c r="Q87" i="41"/>
  <c r="G20" i="60" l="1"/>
  <c r="R69" i="44"/>
  <c r="AC19" i="60"/>
  <c r="AC20" i="60" s="1"/>
  <c r="R132" i="44"/>
  <c r="Q133" i="44"/>
  <c r="Q186" i="44"/>
  <c r="Q206" i="44" s="1"/>
  <c r="H19" i="60"/>
  <c r="AD19" i="60"/>
  <c r="AD20" i="60" s="1"/>
  <c r="S69" i="44"/>
  <c r="S132" i="44"/>
  <c r="H20" i="60" l="1"/>
  <c r="S133" i="44"/>
  <c r="J19" i="60"/>
  <c r="S186" i="44"/>
  <c r="R186" i="44"/>
  <c r="R206" i="44" s="1"/>
  <c r="R133" i="44"/>
  <c r="I19" i="60"/>
  <c r="I20" i="60" l="1"/>
  <c r="J20" i="60"/>
  <c r="S206" i="4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<sst xmlns="http://schemas.openxmlformats.org/spreadsheetml/2006/main" count="4315" uniqueCount="789">
  <si>
    <t>VRZ_GSlt50kWh</t>
  </si>
  <si>
    <t>VRZ_LargeUsekWh</t>
  </si>
  <si>
    <t>VRZ_StreetLgtkWh</t>
  </si>
  <si>
    <t>VRZ_SentinelLgtkWh</t>
  </si>
  <si>
    <t>VRZ_USLkWh</t>
  </si>
  <si>
    <t>VRZ_LargeUsekW</t>
  </si>
  <si>
    <t>VRZ_StreetLgtkW</t>
  </si>
  <si>
    <t>VRZ_SentinelLgtkW</t>
  </si>
  <si>
    <t>VRZ_StreetLgtDevices</t>
  </si>
  <si>
    <t>VRZ_SentinelLgtDevices</t>
  </si>
  <si>
    <t>WRZ_StreetLgtkWh</t>
  </si>
  <si>
    <t>WRZ_SentinelLgtkWh</t>
  </si>
  <si>
    <t>WRZ_StreetLgtkW</t>
  </si>
  <si>
    <t>WRZ_SentinelLgtkW</t>
  </si>
  <si>
    <t>WRZ_StreetLgtDevices</t>
  </si>
  <si>
    <t>WRZ_SentinelLgtDevices</t>
  </si>
  <si>
    <t>VRZ_ResidentialCustomers</t>
  </si>
  <si>
    <t>VRZ_SeasonalResCustomers</t>
  </si>
  <si>
    <t>VRZ_GSlt50Customers</t>
  </si>
  <si>
    <t>VRZ_GS50-2999Customers</t>
  </si>
  <si>
    <t>VRZ_GS3000-4999Customers</t>
  </si>
  <si>
    <t>VRZ_LargeUseCustomers</t>
  </si>
  <si>
    <t>VRZ_USLConnections</t>
  </si>
  <si>
    <t>VRZ_ResidentialkWh</t>
  </si>
  <si>
    <t>VRZ_SeasonalReskWh</t>
  </si>
  <si>
    <t>WRZ_ResidentialkWh</t>
  </si>
  <si>
    <t>WRZ_GSlt50kWh</t>
  </si>
  <si>
    <t>WRZ_USLkWh</t>
  </si>
  <si>
    <t>WRZ_GS50-2999kW</t>
  </si>
  <si>
    <t>WRZ_GS3000-4999kW</t>
  </si>
  <si>
    <t>WRZ_ResidentialCustomers</t>
  </si>
  <si>
    <t>WRZ_GSlt50Customers</t>
  </si>
  <si>
    <t>WRZ_GS50-2999Customers</t>
  </si>
  <si>
    <t>WRZ_GS3000-4999Customers</t>
  </si>
  <si>
    <t>WRZ_USLConnections</t>
  </si>
  <si>
    <t>Year</t>
  </si>
  <si>
    <t>Date</t>
  </si>
  <si>
    <t>Month</t>
  </si>
  <si>
    <t>Month Days</t>
  </si>
  <si>
    <t>Avg.Temp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</si>
  <si>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</si>
  <si>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</si>
  <si>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</si>
  <si>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</si>
  <si>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</si>
  <si>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</si>
  <si>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</si>
  <si>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</si>
  <si>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</si>
  <si>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</si>
  <si>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</si>
  <si>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</si>
  <si>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</si>
  <si>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</si>
  <si>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GDP</t>
  </si>
  <si>
    <t>TD</t>
  </si>
  <si>
    <t>BMO</t>
  </si>
  <si>
    <t>Scotia</t>
  </si>
  <si>
    <t>RBC</t>
  </si>
  <si>
    <t>Average</t>
  </si>
  <si>
    <t>FTE</t>
  </si>
  <si>
    <t>Implementation Year</t>
  </si>
  <si>
    <t>Savings Year</t>
  </si>
  <si>
    <t>Residential</t>
  </si>
  <si>
    <t>USL</t>
  </si>
  <si>
    <t>Total</t>
  </si>
  <si>
    <t>Persisting</t>
  </si>
  <si>
    <t>to</t>
  </si>
  <si>
    <t>ON Employment</t>
  </si>
  <si>
    <t>GDP (StatCan)</t>
  </si>
  <si>
    <t>GDP (Ontario Economic Accounts)</t>
  </si>
  <si>
    <t>Seasonally Adjusted</t>
  </si>
  <si>
    <t>Unadjusted</t>
  </si>
  <si>
    <t>Ontario</t>
  </si>
  <si>
    <t>Total (40)</t>
  </si>
  <si>
    <t>36-10-0402-01</t>
  </si>
  <si>
    <t>Table 15</t>
  </si>
  <si>
    <t>Q1</t>
  </si>
  <si>
    <t>Q2</t>
  </si>
  <si>
    <t>Average Used</t>
  </si>
  <si>
    <t>Q3</t>
  </si>
  <si>
    <t>Q4</t>
  </si>
  <si>
    <t>All industries  [T001] 10</t>
  </si>
  <si>
    <t>Oshawa</t>
  </si>
  <si>
    <t>Belleville</t>
  </si>
  <si>
    <t>Service-producing industries  [T003] 11</t>
  </si>
  <si>
    <t>Manufacturing  [31-33]</t>
  </si>
  <si>
    <t>Transportation and warehousing  [48-49]</t>
  </si>
  <si>
    <t>ServiceIndGDP</t>
  </si>
  <si>
    <t>ServiceInd</t>
  </si>
  <si>
    <t>Manufacturing</t>
  </si>
  <si>
    <t>Transport&amp;WH</t>
  </si>
  <si>
    <t>Other</t>
  </si>
  <si>
    <t>ON Budget</t>
  </si>
  <si>
    <t>https://economics.td.com/provincial-economic-forecast#on</t>
  </si>
  <si>
    <t>11. Manufacturing</t>
  </si>
  <si>
    <t>21.      Transportation Equipment</t>
  </si>
  <si>
    <t>25. Services Producing Industries</t>
  </si>
  <si>
    <t>28. Transportation and Warehousing</t>
  </si>
  <si>
    <t>Manufacturing (11)</t>
  </si>
  <si>
    <t>Transportation Equipment (21)</t>
  </si>
  <si>
    <t>Services Producing Industries (25)</t>
  </si>
  <si>
    <t>Transportation and Warehousing (28)</t>
  </si>
  <si>
    <t>Peak Days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</si>
  <si>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</si>
  <si>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</si>
  <si>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</si>
  <si>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</si>
  <si>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</si>
  <si>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</si>
  <si>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</si>
  <si>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</si>
  <si>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</si>
  <si>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</si>
  <si>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</si>
  <si>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</si>
  <si>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</si>
  <si>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</si>
  <si>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</si>
  <si>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</si>
  <si>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ON_FTEAdj</t>
  </si>
  <si>
    <t>ON_FTE</t>
  </si>
  <si>
    <t>Osh_FTEAdj</t>
  </si>
  <si>
    <t>Osh_FTE</t>
  </si>
  <si>
    <t>Bellville_FTEAdj</t>
  </si>
  <si>
    <t>Bellville_FTE</t>
  </si>
  <si>
    <t>OntarioGDP</t>
  </si>
  <si>
    <t>ManufacturingGDP</t>
  </si>
  <si>
    <t>Transport&amp;WH_GDP</t>
  </si>
  <si>
    <t>OEA_GDP</t>
  </si>
  <si>
    <t>OEA_ManufacturingGDP</t>
  </si>
  <si>
    <t>OEA_TransEquipGDP</t>
  </si>
  <si>
    <t>OEA_ServicesIndGDP</t>
  </si>
  <si>
    <t>OEA_TransWH_GDP</t>
  </si>
  <si>
    <t>Residential - VRZ</t>
  </si>
  <si>
    <t>GS&lt;50 kW - VRZ</t>
  </si>
  <si>
    <t>GS 50 to 2,999 kW - VRZ</t>
  </si>
  <si>
    <t>GS 3,000 to 4,999 kW - VRZ</t>
  </si>
  <si>
    <t>Large Use - VRZ</t>
  </si>
  <si>
    <t>Unmetered Scattered Load - VRZ</t>
  </si>
  <si>
    <t>Sentinel Lighting - VRZ</t>
  </si>
  <si>
    <t>Street Lighting - VRZ</t>
  </si>
  <si>
    <t>Residential - WRZ</t>
  </si>
  <si>
    <t>GS&lt;50 kW - WRZ</t>
  </si>
  <si>
    <t>Street Lighting - WRZ</t>
  </si>
  <si>
    <t>In year energy savings (GWh)</t>
  </si>
  <si>
    <t>In year energy savings (kWh)</t>
  </si>
  <si>
    <t>Retrofit</t>
  </si>
  <si>
    <t>% of provincial kWh</t>
  </si>
  <si>
    <t>Small Business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</si>
  <si>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</si>
  <si>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</si>
  <si>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</si>
  <si>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</si>
  <si>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</si>
  <si>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</si>
  <si>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</si>
  <si>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</si>
  <si>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</si>
  <si>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</si>
  <si>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</si>
  <si>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</si>
  <si>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Total kWh</t>
  </si>
  <si>
    <t>5-Year Avg.</t>
  </si>
  <si>
    <t>Province</t>
  </si>
  <si>
    <t>Cummulative</t>
  </si>
  <si>
    <t>w/ 1/2 Year Adj.</t>
  </si>
  <si>
    <t>OEB Open Data (RRR): Section 2.1.5.4 Demand and Revenue</t>
  </si>
  <si>
    <t>Low-Income Measure</t>
  </si>
  <si>
    <t>2021 Used</t>
  </si>
  <si>
    <t>GS &lt; 50</t>
  </si>
  <si>
    <t>Statistics Canada - Population and dwelling counts: Canada and census subdivisions Table 98-10-0002-01</t>
  </si>
  <si>
    <t>[Census Family Low Income Measure (CFLIM-AT) Table 11-10-0020-01 data not available for BHI service area)</t>
  </si>
  <si>
    <t>GS&lt; 50</t>
  </si>
  <si>
    <t>Total CDM</t>
  </si>
  <si>
    <t>CDM</t>
  </si>
  <si>
    <t>*Allocations based on LRAMVA allocations in 2015-2019 period</t>
  </si>
  <si>
    <t>Rate Class</t>
  </si>
  <si>
    <t>kWh</t>
  </si>
  <si>
    <t>CDM Adj Weight</t>
  </si>
  <si>
    <t>Amount</t>
  </si>
  <si>
    <t>A</t>
  </si>
  <si>
    <t>B</t>
  </si>
  <si>
    <t>C = A * B</t>
  </si>
  <si>
    <t>D</t>
  </si>
  <si>
    <t>E</t>
  </si>
  <si>
    <t>F = D * E</t>
  </si>
  <si>
    <t>G</t>
  </si>
  <si>
    <t>H</t>
  </si>
  <si>
    <t>I = G * H</t>
  </si>
  <si>
    <t>J</t>
  </si>
  <si>
    <t>K</t>
  </si>
  <si>
    <t>L = J * K</t>
  </si>
  <si>
    <t>Street Light</t>
  </si>
  <si>
    <t>TOTAL</t>
  </si>
  <si>
    <t>2025 Forecast</t>
  </si>
  <si>
    <t>2026 Forecast</t>
  </si>
  <si>
    <t>Weather-Normal Forecast</t>
  </si>
  <si>
    <t>% Savings</t>
  </si>
  <si>
    <t>kW</t>
  </si>
  <si>
    <t>C = B / A</t>
  </si>
  <si>
    <t>E = C * D</t>
  </si>
  <si>
    <t>VRZ Share</t>
  </si>
  <si>
    <t>WRZ Share</t>
  </si>
  <si>
    <t>GS 50-2,999</t>
  </si>
  <si>
    <t>GS 3,000-4,999</t>
  </si>
  <si>
    <t>Large Use</t>
  </si>
  <si>
    <t>GS 50-2,999 kw - WRZ</t>
  </si>
  <si>
    <t>GS 3,000-4,999 kw - WRZ</t>
  </si>
  <si>
    <t>GS&gt;50 kW - WRZ</t>
  </si>
  <si>
    <t>Residential Seasonal - VRZ</t>
  </si>
  <si>
    <t>Residential Seasonal</t>
  </si>
  <si>
    <t>COVID</t>
  </si>
  <si>
    <t>COVID_AM</t>
  </si>
  <si>
    <t>COVID_WFH</t>
  </si>
  <si>
    <t>COVID2020</t>
  </si>
  <si>
    <t>CovHDD20</t>
  </si>
  <si>
    <t>Statscan New zero-emission vehicle registrations, quarterly 20-10-0025-01</t>
  </si>
  <si>
    <t>Cumulative</t>
  </si>
  <si>
    <t>Fuel type</t>
  </si>
  <si>
    <t>Battery electric</t>
  </si>
  <si>
    <t>Plug-in hybrid electric</t>
  </si>
  <si>
    <t>Q1 2017</t>
  </si>
  <si>
    <t>Vehicle type</t>
  </si>
  <si>
    <t>Passenger cars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</si>
  <si>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</si>
  <si>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</si>
  <si>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</si>
  <si>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</si>
  <si>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</si>
  <si>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</si>
  <si>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</si>
  <si>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</si>
  <si>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</si>
  <si>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</si>
  <si>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</si>
  <si>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</si>
  <si>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</si>
  <si>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</si>
  <si>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</si>
  <si>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</si>
  <si>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</si>
  <si>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</si>
  <si>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</si>
  <si>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</si>
  <si>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</si>
  <si>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</si>
  <si>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</si>
  <si>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</si>
  <si>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</si>
  <si>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</si>
  <si>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</si>
  <si>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</si>
  <si>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</si>
  <si>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</si>
  <si>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</si>
  <si>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</si>
  <si>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Multi-purpose vehicles (SUV)</t>
  </si>
  <si>
    <t>Van</t>
  </si>
  <si>
    <t>Pick-Up Truck</t>
  </si>
  <si>
    <t>Total EVs</t>
  </si>
  <si>
    <t>New</t>
  </si>
  <si>
    <t>Passenger + SUV EVs</t>
  </si>
  <si>
    <t>kWh/EV</t>
  </si>
  <si>
    <t>New kWh</t>
  </si>
  <si>
    <t>Cumulative kWh</t>
  </si>
  <si>
    <t>Van EVs</t>
  </si>
  <si>
    <t>Pickup Trucks</t>
  </si>
  <si>
    <t>EVs</t>
  </si>
  <si>
    <t>All Vehicles</t>
  </si>
  <si>
    <t>ON EVs as % of All New Vehicles</t>
  </si>
  <si>
    <t>Passenger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</si>
  <si>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</si>
  <si>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</si>
  <si>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</si>
  <si>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</si>
  <si>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</si>
  <si>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</si>
  <si>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GS&lt;50</t>
  </si>
  <si>
    <t>New Incremental kW</t>
  </si>
  <si>
    <t>Load Factor</t>
  </si>
  <si>
    <t>C = A / B</t>
  </si>
  <si>
    <t>F</t>
  </si>
  <si>
    <t>Passenger &amp; Multi-Purpose EVs</t>
  </si>
  <si>
    <t>P</t>
  </si>
  <si>
    <t>Q</t>
  </si>
  <si>
    <t>Pickup Truck EVs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</si>
  <si>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</si>
  <si>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</si>
  <si>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</si>
  <si>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</si>
  <si>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</si>
  <si>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</si>
  <si>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</si>
  <si>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</si>
  <si>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K = ( Jt-1 + I) * 6,000</t>
  </si>
  <si>
    <t>L = K - Kt-1</t>
  </si>
  <si>
    <t>2024 Incremental</t>
  </si>
  <si>
    <t>2025 Incremental</t>
  </si>
  <si>
    <t>2026 Incremental</t>
  </si>
  <si>
    <t>2024 Cumulative</t>
  </si>
  <si>
    <t>2025 Cumulative</t>
  </si>
  <si>
    <t>2026 Cumulative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</si>
  <si>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</si>
  <si>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</si>
  <si>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</si>
  <si>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</si>
  <si>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</si>
  <si>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</si>
  <si>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</si>
  <si>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</si>
  <si>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</si>
  <si>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January</t>
  </si>
  <si>
    <t>Convert GJ to kWh</t>
  </si>
  <si>
    <t>kWh/GJ</t>
  </si>
  <si>
    <t>February</t>
  </si>
  <si>
    <t>Convert m3 to kWh</t>
  </si>
  <si>
    <t>kWh/m3</t>
  </si>
  <si>
    <t>March</t>
  </si>
  <si>
    <t>kWh per Customer</t>
  </si>
  <si>
    <t>kWh/Customer</t>
  </si>
  <si>
    <t>April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</si>
  <si>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</si>
  <si>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</si>
  <si>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</si>
  <si>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Adj. Consumption</t>
  </si>
  <si>
    <t>June</t>
  </si>
  <si>
    <t>July</t>
  </si>
  <si>
    <t>August</t>
  </si>
  <si>
    <t>September</t>
  </si>
  <si>
    <t>October</t>
  </si>
  <si>
    <t>November</t>
  </si>
  <si>
    <t>December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</si>
  <si>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</si>
  <si>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</si>
  <si>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</si>
  <si>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</si>
  <si>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</si>
  <si>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</si>
  <si>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</si>
  <si>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Residential kWh</t>
  </si>
  <si>
    <t xml:space="preserve">  Winter</t>
  </si>
  <si>
    <t xml:space="preserve">  Summer</t>
  </si>
  <si>
    <t>Seasonally Adjusted kWh</t>
  </si>
  <si>
    <t>GS &lt; 50 kWh</t>
  </si>
  <si>
    <t>2027 Incremental</t>
  </si>
  <si>
    <t>Additional</t>
  </si>
  <si>
    <t>Heating</t>
  </si>
  <si>
    <t>Customer</t>
  </si>
  <si>
    <t>Expansions</t>
  </si>
  <si>
    <t>Actual</t>
  </si>
  <si>
    <t>Port Hope</t>
  </si>
  <si>
    <t>Whitby</t>
  </si>
  <si>
    <t>Ajax</t>
  </si>
  <si>
    <t>Pickering</t>
  </si>
  <si>
    <t>Uxbridge</t>
  </si>
  <si>
    <t>Gravenhurst</t>
  </si>
  <si>
    <t>Port Hope, Ontario</t>
  </si>
  <si>
    <t>All zero-emission vehicles</t>
  </si>
  <si>
    <t>Q1 2024</t>
  </si>
  <si>
    <t>Q2 2024</t>
  </si>
  <si>
    <t>Whitby RZ</t>
  </si>
  <si>
    <t>Veridian RZ</t>
  </si>
  <si>
    <t>2-21-050-EV-Charging-Performance-RequiremeWZRs-in-GTHA.pdf (cleanairpartnership.org)</t>
  </si>
  <si>
    <t>Whitby EVs as % of Ontario Evs</t>
  </si>
  <si>
    <t>GS 50 - 2,999</t>
  </si>
  <si>
    <t>GS 3,000 - 4,999</t>
  </si>
  <si>
    <t>2028 Incremental</t>
  </si>
  <si>
    <t>2029 Incremental</t>
  </si>
  <si>
    <t>2030 Incremental</t>
  </si>
  <si>
    <t>2031 Incremental</t>
  </si>
  <si>
    <t>2027 Cumulative</t>
  </si>
  <si>
    <t>2028 Cumulative</t>
  </si>
  <si>
    <t>2029 Cumulative</t>
  </si>
  <si>
    <t>2030 Cumulative</t>
  </si>
  <si>
    <t>2031 Cumulative</t>
  </si>
  <si>
    <t>Veridian</t>
  </si>
  <si>
    <t>Veridian EVs as % of Ontario Evs</t>
  </si>
  <si>
    <t>Loads</t>
  </si>
  <si>
    <t>Percent of Prior Year</t>
  </si>
  <si>
    <t>St. Lights</t>
  </si>
  <si>
    <t>Customers</t>
  </si>
  <si>
    <t>Devices</t>
  </si>
  <si>
    <t>(Check)</t>
  </si>
  <si>
    <t>Sep</t>
  </si>
  <si>
    <t>Seasonal</t>
  </si>
  <si>
    <t>Monthly Averages</t>
  </si>
  <si>
    <t>10 Year Average</t>
  </si>
  <si>
    <t>Residential Seasonal kWh</t>
  </si>
  <si>
    <t>Sen. Lights</t>
  </si>
  <si>
    <t>Veridian Rate Zone</t>
  </si>
  <si>
    <t>Whitby Rate Zone</t>
  </si>
  <si>
    <t>VRZ Total</t>
  </si>
  <si>
    <t>VRZ %</t>
  </si>
  <si>
    <t>WRZ %</t>
  </si>
  <si>
    <t>GS 50-4,999</t>
  </si>
  <si>
    <t>Sentinel Light</t>
  </si>
  <si>
    <t>Elexicon</t>
  </si>
  <si>
    <t>CovHDD18</t>
  </si>
  <si>
    <t>CovCDD16</t>
  </si>
  <si>
    <t>CovCDD14</t>
  </si>
  <si>
    <t>VRZ_GS50to2999kWh</t>
  </si>
  <si>
    <t>VRZ_GS3000to4999kWh</t>
  </si>
  <si>
    <t>VRZ_GS50to2999kW</t>
  </si>
  <si>
    <t>VRZ_GS3000to4999kW</t>
  </si>
  <si>
    <t>WRZ_GS50to2999kWh</t>
  </si>
  <si>
    <t>WRZ_GS3000to4999kWh</t>
  </si>
  <si>
    <t>Statistics based on the rho-differenced data</t>
  </si>
  <si>
    <t>Statistics based on the original data</t>
  </si>
  <si>
    <t>coefficient</t>
  </si>
  <si>
    <t>std. error</t>
  </si>
  <si>
    <t>t-ratio</t>
  </si>
  <si>
    <t>p-value</t>
  </si>
  <si>
    <t>const</t>
  </si>
  <si>
    <t>MonthDays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</si>
  <si>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</si>
  <si>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</si>
  <si>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</si>
  <si>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</si>
  <si>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</si>
  <si>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</si>
  <si>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</si>
  <si>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Mean dependent var</t>
  </si>
  <si>
    <t>S.D. dependent var</t>
  </si>
  <si>
    <t>Predicted</t>
  </si>
  <si>
    <t>Difference</t>
  </si>
  <si>
    <t>F(6, 100)</t>
  </si>
  <si>
    <t>Dependent variable: VRZ_GSlt50kWh_No_CDM</t>
  </si>
  <si>
    <t>PeakDays</t>
  </si>
  <si>
    <t>Dependent variable: VRZ_LargeUsekWh_No_CDM</t>
  </si>
  <si>
    <t>Dependent variable: WRZ_GS50to2999kWh_No_CDM</t>
  </si>
  <si>
    <t>Dependent variable: WRZ_GS3000to4999kWh_No_CDM</t>
  </si>
  <si>
    <t>WRZ_GS30004999Customers</t>
  </si>
  <si>
    <t>Absolute</t>
  </si>
  <si>
    <t>CDM Added Back</t>
  </si>
  <si>
    <t>Error (%)</t>
  </si>
  <si>
    <t>Mean Absolute Percentage Error (Annual)</t>
  </si>
  <si>
    <t>Mean Absolute Percentage Error (Monthly)</t>
  </si>
  <si>
    <t>GS 50-2,999 kWh</t>
  </si>
  <si>
    <t>Normalized</t>
  </si>
  <si>
    <t>Cumulative Persisting CDM</t>
  </si>
  <si>
    <t>Actual No CDM</t>
  </si>
  <si>
    <t>Normal Predicted 
No CDM</t>
  </si>
  <si>
    <t>Additional Loads</t>
  </si>
  <si>
    <t>Normalized with Additional Loads</t>
  </si>
  <si>
    <t>Normal 
No CDM</t>
  </si>
  <si>
    <t>Additional / Lost Loads</t>
  </si>
  <si>
    <t>Lamps / Devices</t>
  </si>
  <si>
    <t>Average per Device</t>
  </si>
  <si>
    <t>Normal Forecast</t>
  </si>
  <si>
    <t>C = A + B</t>
  </si>
  <si>
    <t>E = B</t>
  </si>
  <si>
    <t>F = D - E</t>
  </si>
  <si>
    <t>H = F + G</t>
  </si>
  <si>
    <t>D = B * C</t>
  </si>
  <si>
    <t>Street Lights</t>
  </si>
  <si>
    <t>Ratio</t>
  </si>
  <si>
    <t>3-Yr MA</t>
  </si>
  <si>
    <t>kWh Normalized</t>
  </si>
  <si>
    <t>kW Normalized</t>
  </si>
  <si>
    <t>Avg. Ratio</t>
  </si>
  <si>
    <t>Trend Ratio (5-yr)</t>
  </si>
  <si>
    <t>Total Forecast</t>
  </si>
  <si>
    <t>Trend Ratio (3-Yr. MA)</t>
  </si>
  <si>
    <t>E = D * G</t>
  </si>
  <si>
    <t>I = E + H</t>
  </si>
  <si>
    <t>E = D * F</t>
  </si>
  <si>
    <t>Divergence</t>
  </si>
  <si>
    <t>5-year change</t>
  </si>
  <si>
    <t>10-year change</t>
  </si>
  <si>
    <t>10-year average used</t>
  </si>
  <si>
    <t>5-year average used</t>
  </si>
  <si>
    <t>(excl 2023)</t>
  </si>
  <si>
    <t>Sentinel Lights</t>
  </si>
  <si>
    <t>5-Year Average Used</t>
  </si>
  <si>
    <t>3-Year Average Used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</si>
  <si>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</si>
  <si>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</si>
  <si>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</si>
  <si>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</si>
  <si>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</si>
  <si>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</si>
  <si>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</si>
  <si>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</si>
  <si>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</si>
  <si>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CDM Adjustment</t>
  </si>
  <si>
    <t>Customers / Devices</t>
  </si>
  <si>
    <t>2027 Forecast</t>
  </si>
  <si>
    <t>2028 Forecast</t>
  </si>
  <si>
    <t>2029 Forecast</t>
  </si>
  <si>
    <t>2030 Forecast</t>
  </si>
  <si>
    <t>2031 Forecast</t>
  </si>
  <si>
    <t>CDM Adjusted kWh Forecast</t>
  </si>
  <si>
    <t>CDM Adjusted kW Forecast</t>
  </si>
  <si>
    <t>Total kW</t>
  </si>
  <si>
    <t>Total Customers/Devices</t>
  </si>
  <si>
    <t>Veridian Summary</t>
  </si>
  <si>
    <t>Whitby Summary</t>
  </si>
  <si>
    <t>https://www.durham.ca/en/doing-business/resources/Documents/PlanningandDevelopment/Envision-Durham/Adopted-Durham-ROP.pdf</t>
  </si>
  <si>
    <t>Envision Durham</t>
  </si>
  <si>
    <t>The City’s population is projected to increase by 6,400 people by 2041 to approximately 58,300 inhabitants, a growth rate of roughly 0.5% per year.</t>
  </si>
  <si>
    <t>City of Belleville Official Plan (August 12, 2024)</t>
  </si>
  <si>
    <t>The District is expected to grow to 99,100 residents by 2051, an average growth rate of 1.2% a year</t>
  </si>
  <si>
    <t>911 Housing unit growth from 2024 to 2034 in Gravenhurst</t>
  </si>
  <si>
    <t>4,531 population growth from 2017 to 2034</t>
  </si>
  <si>
    <t>2017 Master Plan</t>
  </si>
  <si>
    <t>Federal EV Target</t>
  </si>
  <si>
    <t>Actual/Forecast % EVs</t>
  </si>
  <si>
    <t>2370 Housing growth from 2024 to 2051 in Gravenhurst</t>
  </si>
  <si>
    <t>5-Year Average</t>
  </si>
  <si>
    <t>10-Year (-) Growth plus known additions</t>
  </si>
  <si>
    <t>Known Additions Only</t>
  </si>
  <si>
    <t>10-Year Growth</t>
  </si>
  <si>
    <t>Elexicon Summary</t>
  </si>
  <si>
    <t>Averge kW/kW per Customers / Device</t>
  </si>
  <si>
    <t>Averge kWh/kW per Customers / Device</t>
  </si>
  <si>
    <t>VRZ Residential</t>
  </si>
  <si>
    <t>VRZ Street Light</t>
  </si>
  <si>
    <t>VRZ Sentinel Light</t>
  </si>
  <si>
    <t>VRZ USL</t>
  </si>
  <si>
    <t>WRZ Street Light</t>
  </si>
  <si>
    <t>WRZ Sentinel Light</t>
  </si>
  <si>
    <t>WRZ USL</t>
  </si>
  <si>
    <t>Total Elexicon</t>
  </si>
  <si>
    <t>Total Metered Customers</t>
  </si>
  <si>
    <t>https://thoughtleadership.rbc.com/wp-content/uploads/Provincial-Forecast-Tables-Q4-2024.pdf</t>
  </si>
  <si>
    <t>https://economics.bmo.com/media/filer_public/87/fe/87fe577e-23c4-4fb7-94b8-5850af7d4785/outlookprovincial.pdf</t>
  </si>
  <si>
    <t>https://www.scotiabank.com/ca/en/about/economics/economics-publications/post.other-publications.global-outlook-and-forecast-tables.scotiabank%27s-forecast-tables.2024.december-12--2024.html</t>
  </si>
  <si>
    <t>2024 Actual</t>
  </si>
  <si>
    <t>2024 Normal</t>
  </si>
  <si>
    <t>New Construction</t>
  </si>
  <si>
    <t>Home Renovation Savings</t>
  </si>
  <si>
    <t>Commercial HVAC DR</t>
  </si>
  <si>
    <t>Peak Perks</t>
  </si>
  <si>
    <t>https://ieso.ca/Sector-Participants/Energy-Efficiency/2025-2036-Electricity-Demand-Side-Management-Framework</t>
  </si>
  <si>
    <t>https://www.durham.ca/en/living-here/resources/Documents/2024-INFO-80-Monitoring-of-Growth-Trends.pdf</t>
  </si>
  <si>
    <t>5-Year Growth</t>
  </si>
  <si>
    <t>Jan 2025 EE</t>
  </si>
  <si>
    <t>Clarington</t>
  </si>
  <si>
    <t>Scucog</t>
  </si>
  <si>
    <t>Brock</t>
  </si>
  <si>
    <t>Asset Management Plan - 1.33% population growth</t>
  </si>
  <si>
    <t>Model 1: Prais-Winsten, using observations 2015:01-2024:12 (T = 120)</t>
  </si>
  <si>
    <t>F(7, 112)</t>
  </si>
  <si>
    <t>Model 2: Prais-Winsten, using observations 2015:02-2024:12 (T = 119)</t>
  </si>
  <si>
    <t>rho = 0.766831</t>
  </si>
  <si>
    <t>F(5, 113)</t>
  </si>
  <si>
    <t>F(2, 116)</t>
  </si>
  <si>
    <t>Model 4: Prais-Winsten, using observations 2015:02-2024:12 (T = 119)</t>
  </si>
  <si>
    <t>rho = 0.366067</t>
  </si>
  <si>
    <t>F(4, 114)</t>
  </si>
  <si>
    <t>Model 3: Prais-Winsten, using observations 2015:01-2024:12 (T = 120)</t>
  </si>
  <si>
    <t>F(6, 113)</t>
  </si>
  <si>
    <t>Model 4: Prais-Winsten, using observations 2015:01-2024:12 (T = 120)</t>
  </si>
  <si>
    <t>rho = 0.339005</t>
  </si>
  <si>
    <t>F(5, 114)</t>
  </si>
  <si>
    <t>Model 5: Prais-Winsten, using observations 2015:01-2024:12 (T = 120)</t>
  </si>
  <si>
    <t>rho = 0.620318</t>
  </si>
  <si>
    <t>F(2, 117)</t>
  </si>
  <si>
    <t>GS 50-3,000</t>
  </si>
  <si>
    <t>GS &gt; 50</t>
  </si>
  <si>
    <t>Energy Efficiency in Ontario:  2023 Conservation and Demand Management Results</t>
  </si>
  <si>
    <t>Target</t>
  </si>
  <si>
    <t>Actual 2021</t>
  </si>
  <si>
    <t>Actual 2021-22</t>
  </si>
  <si>
    <t>Actual 2021-23</t>
  </si>
  <si>
    <t>Forecast</t>
  </si>
  <si>
    <t>Progress to Target</t>
  </si>
  <si>
    <t>Existing Building Commissioning program</t>
  </si>
  <si>
    <t>https://www.ieso.ca/en/Sector-Participants/Energy-Efficiency/2021-2024-Conservation-and-Demand-Management-Framework</t>
  </si>
  <si>
    <t>Report Ref:</t>
  </si>
  <si>
    <t>Page 11</t>
  </si>
  <si>
    <t>Page 18</t>
  </si>
  <si>
    <t>Page 22/23</t>
  </si>
  <si>
    <t>https://budget.ontario.ca/2025/chapter-2.html#section-2</t>
  </si>
  <si>
    <t>Table 2.3</t>
  </si>
  <si>
    <t>Residential Sector</t>
  </si>
  <si>
    <t>Single Detached</t>
  </si>
  <si>
    <t>Single Attached</t>
  </si>
  <si>
    <t>Apartments</t>
  </si>
  <si>
    <t>Mobile Homes</t>
  </si>
  <si>
    <t>Shares (%)</t>
  </si>
  <si>
    <t>Electricity</t>
  </si>
  <si>
    <t>Natural Gas</t>
  </si>
  <si>
    <r>
      <t>Other</t>
    </r>
    <r>
      <rPr>
        <vertAlign val="superscript"/>
        <sz val="10"/>
        <rFont val="Arial"/>
        <family val="2"/>
      </rPr>
      <t>1</t>
    </r>
  </si>
  <si>
    <t>Wood</t>
  </si>
  <si>
    <t>Total Heating System Stock (thousands)</t>
  </si>
  <si>
    <t>Heating System Stock by Building Type (thousands)</t>
  </si>
  <si>
    <t>Heating System Stock by Heating System Type (thousands)</t>
  </si>
  <si>
    <t>Heating Oil – Normal Efficiency</t>
  </si>
  <si>
    <t>Heating Oil – Medium Efficiency</t>
  </si>
  <si>
    <t>Heating Oil – High Efficiency</t>
  </si>
  <si>
    <t>Natural Gas – Normal Efficiency</t>
  </si>
  <si>
    <t>Natural Gas – Medium Efficiency</t>
  </si>
  <si>
    <t>Natural Gas – High Efficiency</t>
  </si>
  <si>
    <t>Electric</t>
  </si>
  <si>
    <t>Heat Pump</t>
  </si>
  <si>
    <t>Dual Systems</t>
  </si>
  <si>
    <t>Wood/Electric</t>
  </si>
  <si>
    <t>Wood/Heating Oil</t>
  </si>
  <si>
    <t>Natural Gas/Electric</t>
  </si>
  <si>
    <t>Heating Oil/Electric</t>
  </si>
  <si>
    <t>Table 8: Space Heating Secondary Energy Use by System Type</t>
  </si>
  <si>
    <t>Total Space Heating Energy Use (PJ)</t>
  </si>
  <si>
    <t>Energy Use by System Type (PJ)</t>
  </si>
  <si>
    <t>Activity</t>
  </si>
  <si>
    <r>
      <t>Total Floor Space (million 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</si>
  <si>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Energy Intensity (GJ/m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</si>
  <si>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t xml:space="preserve">Heat Gains (PJ) </t>
  </si>
  <si>
    <t>Heating Degree-Day Index</t>
  </si>
  <si>
    <t>Table 21: Heating System Stock by Building Type and Heating System Type</t>
  </si>
  <si>
    <t>VRZ_Residential_EV</t>
  </si>
  <si>
    <t>VRZ_Residential_Heating</t>
  </si>
  <si>
    <t>Cumulative kW</t>
  </si>
  <si>
    <t>Full-Year</t>
  </si>
  <si>
    <t>With half-year</t>
  </si>
  <si>
    <t>VRZ_Seasonal_EV</t>
  </si>
  <si>
    <t>VRZ_Seasonal_Heating</t>
  </si>
  <si>
    <t>VRZ_GSlt50_EV</t>
  </si>
  <si>
    <t>VRZ_GSlt50_Heating</t>
  </si>
  <si>
    <t>VRZ_GS50to2999_EV</t>
  </si>
  <si>
    <t>VRZ_GS50to2999_Heating</t>
  </si>
  <si>
    <t>VRZ_GS3000to4999_EV</t>
  </si>
  <si>
    <t>VRZ_LargeUse_EV</t>
  </si>
  <si>
    <t>WRZ_Residential_EV</t>
  </si>
  <si>
    <t>WRZ_Residential_Heating</t>
  </si>
  <si>
    <t>WRZ_GSlt50_EV</t>
  </si>
  <si>
    <t>WRZ_GSlt50_Heating</t>
  </si>
  <si>
    <t>WRZ_GS50to2999_EV</t>
  </si>
  <si>
    <t>WRZ_GS50to2999_Heating</t>
  </si>
  <si>
    <t>EV &amp; Heating</t>
  </si>
  <si>
    <t>Predicted with EV&amp;H</t>
  </si>
  <si>
    <t>EV</t>
  </si>
  <si>
    <t>Predicted with EV</t>
  </si>
  <si>
    <t>Normalized EV&amp;H</t>
  </si>
  <si>
    <t>Normalized EV</t>
  </si>
  <si>
    <t>Dependent variable: VRZ_ResidentialkWh_No_CDM_AL</t>
  </si>
  <si>
    <t>rho = 0.495198</t>
  </si>
  <si>
    <t>Model 2: Prais-Winsten, using observations 2015:01-2024:12 (T = 120)</t>
  </si>
  <si>
    <t>Dependent variable: WRZ_ResidentialkWh_No_CDM_AL</t>
  </si>
  <si>
    <t>rho = 0.487982</t>
  </si>
  <si>
    <t xml:space="preserve">Commercial/Institutional Sector </t>
  </si>
  <si>
    <t>Ontario¹</t>
  </si>
  <si>
    <t>Table 24: Space Heating Secondary Energy Use and GHG Emissions by Energy Source</t>
  </si>
  <si>
    <t>Energy Use by Energy Source (PJ)</t>
  </si>
  <si>
    <t>Light Fuel Oil and Kerosene</t>
  </si>
  <si>
    <t>Heavy Fuel Oil</t>
  </si>
  <si>
    <t>Steam</t>
  </si>
  <si>
    <r>
      <t>Other</t>
    </r>
    <r>
      <rPr>
        <vertAlign val="superscript"/>
        <sz val="10"/>
        <rFont val="Arial"/>
        <family val="2"/>
      </rPr>
      <t>2</t>
    </r>
  </si>
  <si>
    <t xml:space="preserve">Activity </t>
  </si>
  <si>
    <r>
      <t>Total Floor Space (million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</si>
  <si>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Energy Intensity (GJ/m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</si>
  <si>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 xml:space="preserve">Total Space Heating GHG Emissions </t>
    </r>
    <r>
      <rPr>
        <b/>
        <u/>
        <sz val="10"/>
        <rFont val="Arial"/>
        <family val="2"/>
      </rPr>
      <t>Excluding</t>
    </r>
    <r>
      <rPr>
        <b/>
        <sz val="10"/>
        <rFont val="Arial"/>
        <family val="2"/>
      </rPr>
      <t xml:space="preserve"> Electricity (Mt of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e)</t>
    </r>
  </si>
  <si>
    <r>
      <t>GHG Emissions by Energy Source (Mt of CO</t>
    </r>
    <r>
      <rPr>
        <b/>
        <i/>
        <vertAlign val="subscript"/>
        <sz val="10"/>
        <rFont val="Arial"/>
        <family val="2"/>
      </rPr>
      <t>2</t>
    </r>
    <r>
      <rPr>
        <b/>
        <i/>
        <sz val="10"/>
        <rFont val="Arial"/>
        <family val="2"/>
      </rPr>
      <t>e)</t>
    </r>
  </si>
  <si>
    <t>–</t>
  </si>
  <si>
    <t>GHG Intensity (tonne/TJ)</t>
  </si>
  <si>
    <t xml:space="preserve">Heating Degree-Day Index </t>
  </si>
  <si>
    <t>Vision Durham</t>
  </si>
  <si>
    <t>&amp; Nov 2024 Update</t>
  </si>
  <si>
    <t xml:space="preserve">DURHAM </t>
  </si>
  <si>
    <t>Ontario Population Estimates</t>
  </si>
  <si>
    <t>https://data.ontario.ca/dataset/population-projections/resource/03abe0d5-0995-4ce2-ad9d-e904d50106a5</t>
  </si>
  <si>
    <t>Weighted Average</t>
  </si>
  <si>
    <t>2021-2023 Actuals from 2021-2024 CDM Framework</t>
  </si>
  <si>
    <t xml:space="preserve"> 2021-2024 CDM Framework</t>
  </si>
  <si>
    <t>eDSM Plan</t>
  </si>
  <si>
    <t>Electricity %</t>
  </si>
  <si>
    <t xml:space="preserve">GS 50-2,999 </t>
  </si>
  <si>
    <t xml:space="preserve">Known </t>
  </si>
  <si>
    <t>Additions</t>
  </si>
  <si>
    <t>14-10-0459-01</t>
  </si>
  <si>
    <t>2024 Customer Count</t>
  </si>
  <si>
    <t>Avg. of Envision Durham, Prov. Pop.  Growth in Durham, Historic</t>
  </si>
  <si>
    <t>10-Year Average Only</t>
  </si>
  <si>
    <t>Population</t>
  </si>
  <si>
    <t>Population Growth</t>
  </si>
  <si>
    <t>Heat Pump Utilization</t>
  </si>
  <si>
    <t>% Customers</t>
  </si>
  <si>
    <t>Dependent variable: VRZ_GSlt50kWh_No_CDM_AL</t>
  </si>
  <si>
    <t>Dependent variable: VRZ_SeasonalReskWh_No_CDM_AL</t>
  </si>
  <si>
    <t>Dependent variable: VRZ_GS50to2999kWh_No_CDM_AL</t>
  </si>
  <si>
    <t>Elexicon % Share</t>
  </si>
  <si>
    <t>Scugog</t>
  </si>
  <si>
    <t>Parry Sound</t>
  </si>
  <si>
    <t>Pickup trucks</t>
  </si>
  <si>
    <t>Multi-purpose vehicles</t>
  </si>
  <si>
    <t>Vans</t>
  </si>
  <si>
    <t>Q3 2024</t>
  </si>
  <si>
    <t>Q4 2024</t>
  </si>
  <si>
    <t>Quarterly Increases</t>
  </si>
  <si>
    <t>Total Vehicles (All Types)</t>
  </si>
  <si>
    <t>rho = 0.448988</t>
  </si>
  <si>
    <t>rho = 0.810988</t>
  </si>
  <si>
    <t>rho = 0.27399</t>
  </si>
  <si>
    <t>Dependent variable: VRZ_GS3000to4999kWh_No_CDM_AL</t>
  </si>
  <si>
    <t>rho = 0.735428</t>
  </si>
  <si>
    <t>Dependent variable: VRZ_LargeUsekWh_No_CDM_AL</t>
  </si>
  <si>
    <t>rho = 0.34967</t>
  </si>
  <si>
    <t>F(4, 115)</t>
  </si>
  <si>
    <t>rho = 0.312908</t>
  </si>
  <si>
    <t>Model 26: Prais-Winsten, using observations 2015:01-2024:12 (T = 120)</t>
  </si>
  <si>
    <t>Dependent variable: WRZ_GSlt50kWh_No_CDM_AL</t>
  </si>
  <si>
    <t>rho = 0.46494</t>
  </si>
  <si>
    <t>Dependent variable: WRZ_GS50to2999kWh_No_CDM_AL</t>
  </si>
  <si>
    <t>Dependent variable: WRZ_GS3000to4999kWh_No_CDM_AL</t>
  </si>
  <si>
    <t>F(3, 116)</t>
  </si>
  <si>
    <t>Customers / Devices - Year End</t>
  </si>
  <si>
    <t>Year-End</t>
  </si>
  <si>
    <t>Year-End Customers</t>
  </si>
  <si>
    <t>Latest Figures as of Aug 22, 2025</t>
  </si>
  <si>
    <t>rho = 0.45106</t>
  </si>
  <si>
    <t>rho = 0.466848</t>
  </si>
  <si>
    <t>rho = 0.285875</t>
  </si>
  <si>
    <t>rho = 0.809402</t>
  </si>
  <si>
    <t>Model 6: Prais-Winsten, using observations 2015:01-2024:12 (T = 120)</t>
  </si>
  <si>
    <t>Model 7: Prais-Winsten, using observations 2015:01-2024:12 (T = 120)</t>
  </si>
  <si>
    <t>Model 8: Prais-Winsten, using observations 2015:01-2024:12 (T = 120)</t>
  </si>
  <si>
    <t>Model 9: Prais-Winsten, using observations 2015:01-2024:12 (T = 120)</t>
  </si>
  <si>
    <t>Model 10: Prais-Winsten, using observations 2015:01-2024:12 (T = 120)</t>
  </si>
  <si>
    <t>VRZ Residential Seasonal</t>
  </si>
  <si>
    <t>VRZ GS &lt; 50 kWh</t>
  </si>
  <si>
    <t>VRZ GS 50-2,999 kWh</t>
  </si>
  <si>
    <t>VRZ GS 3,000-4,999 kWh</t>
  </si>
  <si>
    <t>VRZ Large User</t>
  </si>
  <si>
    <t>WRZ Residential kWh</t>
  </si>
  <si>
    <t>WRZ GS &lt; 50 kWh</t>
  </si>
  <si>
    <t>WRZ GS 50-2,999 kWh</t>
  </si>
  <si>
    <t>WRZ GS 3,000-4,999 kWh</t>
  </si>
  <si>
    <t>VRZ Residential kWh</t>
  </si>
  <si>
    <t>VRZ Seasonal Residential kWh</t>
  </si>
  <si>
    <t>VRZ GS&lt;50 kWh</t>
  </si>
  <si>
    <t>VRZ Large Use kWh</t>
  </si>
  <si>
    <t>WRZ GS&lt;50 kWh</t>
  </si>
  <si>
    <t>Connections</t>
  </si>
  <si>
    <t>Average per Connection</t>
  </si>
  <si>
    <t>HDD</t>
  </si>
  <si>
    <t>CDD</t>
  </si>
  <si>
    <t>Normal Predicted 
No CDM with Additional Loads</t>
  </si>
  <si>
    <t>I = D + G</t>
  </si>
  <si>
    <t>Source</t>
  </si>
  <si>
    <t>https://www.belleville.ca/en/do-business/resources/Documents/PLOPA20240090/City-of-Belleville-OP-BL---2021-180-with-Tracked-Changes.pdf
https://opencouncil.ca/wp-content/uploads/2024/08/Belleville-Asset-Management-Plan-Current-Levels-of-Service-June-2024.pdf</t>
  </si>
  <si>
    <t>https://www.porthope.ca/en/business-and-development/resources/Official%20Plan/Official%20Plan%202017%20(9).pdf</t>
  </si>
  <si>
    <t>49 Census Divisions MOF Population Projections</t>
  </si>
  <si>
    <t>I = E + G</t>
  </si>
  <si>
    <t>Cumulative Large Load and Customer Additions</t>
  </si>
  <si>
    <t>2024-2031 Forecasted kWh Savings by Rate Class</t>
  </si>
  <si>
    <t>2025-2031 kW Forcasted Savings by Rate Class</t>
  </si>
  <si>
    <t>M</t>
  </si>
  <si>
    <t>N</t>
  </si>
  <si>
    <t>O = M * N</t>
  </si>
  <si>
    <t>S</t>
  </si>
  <si>
    <t>T</t>
  </si>
  <si>
    <t>U = S * T</t>
  </si>
  <si>
    <t>V</t>
  </si>
  <si>
    <t>W</t>
  </si>
  <si>
    <t>X = V * W</t>
  </si>
  <si>
    <t>R = P * Q</t>
  </si>
  <si>
    <t>H = G / F</t>
  </si>
  <si>
    <t>J = H * I</t>
  </si>
  <si>
    <t>L</t>
  </si>
  <si>
    <t>O</t>
  </si>
  <si>
    <t>U</t>
  </si>
  <si>
    <t>X</t>
  </si>
  <si>
    <t>Y</t>
  </si>
  <si>
    <t>Z</t>
  </si>
  <si>
    <t>AA</t>
  </si>
  <si>
    <t>AC</t>
  </si>
  <si>
    <t>AD</t>
  </si>
  <si>
    <t>AE</t>
  </si>
  <si>
    <t>AF</t>
  </si>
  <si>
    <t>AH</t>
  </si>
  <si>
    <t>AI</t>
  </si>
  <si>
    <t>M = L / K</t>
  </si>
  <si>
    <t>R = Q / P</t>
  </si>
  <si>
    <t>T = R * S</t>
  </si>
  <si>
    <t>W = V / U</t>
  </si>
  <si>
    <t>Y = W * X</t>
  </si>
  <si>
    <t>AB = AA / Z</t>
  </si>
  <si>
    <t>AD = AB * AC</t>
  </si>
  <si>
    <t>AG = AF / AE</t>
  </si>
  <si>
    <t>AI = AG * AH</t>
  </si>
  <si>
    <t>C + F</t>
  </si>
  <si>
    <t>C + D + I</t>
  </si>
  <si>
    <t>C + D + G + L</t>
  </si>
  <si>
    <t>C + D + G + J + M + R</t>
  </si>
  <si>
    <t>C + D + G + J + O</t>
  </si>
  <si>
    <t>C + D + G + J + M + P + U</t>
  </si>
  <si>
    <t>C + D + G + J + M + P + S + X</t>
  </si>
  <si>
    <t>Half of 2024 + Half of Current Year + Full Any Year Between 2024 and Current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</si>
</sst>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7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??_);_(@_)"/>
    <numFmt numFmtId="167" formatCode="0.0%"/>
    <numFmt numFmtId="168" formatCode="_(* #,##0.0_);_(* \(#,##0.0\);_(* &quot;-&quot;??_);_(@_)"/>
    <numFmt numFmtId="169" formatCode="d\-mmm\-yyyy"/>
    <numFmt numFmtId="170" formatCode="0.0"/>
    <numFmt numFmtId="171" formatCode="&quot;$&quot;#,##0.00"/>
    <numFmt numFmtId="172" formatCode="0.0000"/>
    <numFmt numFmtId="173" formatCode="#,##0.0_);\(#,##0.0\)"/>
    <numFmt numFmtId="174" formatCode="&quot;$&quot;_(#,##0.00_);&quot;$&quot;\(#,##0.00\)"/>
    <numFmt numFmtId="175" formatCode="_(&quot;$&quot;* #,##0.00000000000000000_);_(&quot;$&quot;* \(#,##0.00000000000000000\);_(&quot;$&quot;* &quot;-&quot;??_);_(@_)"/>
    <numFmt numFmtId="176" formatCode="_-&quot;£&quot;* #,##0.00_-;\-&quot;£&quot;* #,##0.00_-;_-&quot;£&quot;* &quot;-&quot;??_-;_-@_-"/>
    <numFmt numFmtId="177" formatCode="#,##0.0_)\x;\(#,##0.0\)\x"/>
    <numFmt numFmtId="178" formatCode="_(&quot;$&quot;* #,##0.00000000_);_(&quot;$&quot;* \(#,##0.00000000\);_(&quot;$&quot;* &quot;-&quot;??_);_(@_)"/>
    <numFmt numFmtId="179" formatCode="_(&quot;$&quot;* #,##0.00000000000_);_(&quot;$&quot;* \(#,##0.00000000000\);_(&quot;$&quot;* &quot;-&quot;??_);_(@_)"/>
    <numFmt numFmtId="180" formatCode="_(&quot;$&quot;* #,##0.000000000000_);_(&quot;$&quot;* \(#,##0.000000000000\);_(&quot;$&quot;* &quot;-&quot;??_);_(@_)"/>
    <numFmt numFmtId="181" formatCode="_-&quot;£&quot;* #,##0_-;\-&quot;£&quot;* #,##0_-;_-&quot;£&quot;* &quot;-&quot;_-;_-@_-"/>
    <numFmt numFmtId="182" formatCode="#,##0.0_)_x;\(#,##0.0\)_x"/>
    <numFmt numFmtId="183" formatCode="_(* #,##0.0_);_(* \(#,##0.0\);_(* &quot;-&quot;?_);_(@_)"/>
    <numFmt numFmtId="184" formatCode="#,##0.0_)_x;\(#,##0.0\)_x;0.0_)_x;@_)_x"/>
    <numFmt numFmtId="185" formatCode="_(&quot;$&quot;* #,##0.00000000000000_);_(&quot;$&quot;* \(#,##0.00000000000000\);_(&quot;$&quot;* &quot;-&quot;??_);_(@_)"/>
    <numFmt numFmtId="186" formatCode="0.0_)\%;\(0.0\)\%"/>
    <numFmt numFmtId="187" formatCode="_(&quot;$&quot;* #,##0.000000000000000_);_(&quot;$&quot;* \(#,##0.000000000000000\);_(&quot;$&quot;* &quot;-&quot;??_);_(@_)"/>
    <numFmt numFmtId="188" formatCode="#,##0.0_)_%;\(#,##0.0\)_%"/>
    <numFmt numFmtId="189" formatCode="_(* #,##0.000_);_(* \(#,##0.000\);_(* &quot;-&quot;??_);_(@_)"/>
    <numFmt numFmtId="190" formatCode="#,##0.0_);\(#,##0.0\);0_._0_)"/>
    <numFmt numFmtId="191" formatCode="0.000000"/>
    <numFmt numFmtId="192" formatCode="[&gt;1]&quot;10Q: &quot;0&quot; qtrs&quot;;&quot;10Q: &quot;0&quot; qtr&quot;"/>
    <numFmt numFmtId="193" formatCode="0.0%;[Red]\(0.0%\)"/>
    <numFmt numFmtId="194" formatCode="#,##0.0\ \ \ _);\(#,##0.0\)\ \ "/>
    <numFmt numFmtId="195" formatCode="_-* #,##0.00\ _F_-;\-* #,##0.00\ _F_-;_-* &quot;-&quot;??\ _F_-;_-@_-"/>
    <numFmt numFmtId="196" formatCode="m\-d\-yy"/>
    <numFmt numFmtId="197" formatCode="&quot;£&quot;#,##0.00_);[Red]\(&quot;£&quot;#,##0.00\)"/>
    <numFmt numFmtId="198" formatCode="0.0_)"/>
    <numFmt numFmtId="199" formatCode="#,###.0#"/>
    <numFmt numFmtId="200" formatCode="#,###.#"/>
    <numFmt numFmtId="201" formatCode="0000\ \-\ 0000"/>
    <numFmt numFmtId="202" formatCode="[Red][&gt;0.0000001]\+#,##0.?#;[Red][&lt;-0.0000001]\-#,##0.?#;[Green]&quot;=  &quot;"/>
    <numFmt numFmtId="203" formatCode="#.#######\x"/>
    <numFmt numFmtId="204" formatCode="0.00000E+00"/>
    <numFmt numFmtId="205" formatCode="_(* #,##0.0_);_(* \(#,##0.0\);_(* &quot;-&quot;_);_(@_)"/>
    <numFmt numFmtId="206" formatCode="_-* #,##0.00\ _D_M_-;\-* #,##0.00\ _D_M_-;_-* &quot;-&quot;??\ _D_M_-;_-@_-"/>
    <numFmt numFmtId="207" formatCode="#,##0.00_%_);\(#,##0.00\)_%;**;@_%_)"/>
    <numFmt numFmtId="208" formatCode="0.000\x"/>
    <numFmt numFmtId="209" formatCode="_(&quot;$&quot;* #,##0.0_);_(&quot;$&quot;* \(#,##0.0\);_(&quot;$&quot;* &quot;-&quot;_);_(@_)"/>
    <numFmt numFmtId="210" formatCode="_(&quot;$&quot;* #,##0_);_(&quot;$&quot;* \(#,##0\);_(&quot;$&quot;* &quot;-&quot;??_);_(@_)"/>
    <numFmt numFmtId="211" formatCode="&quot;$&quot;#,##0.00_%_);\(&quot;$&quot;#,##0.00\)_%;**;@_%_)"/>
    <numFmt numFmtId="212" formatCode="&quot;$&quot;#,##0.00_%_);\(&quot;$&quot;#,##0.00\)_%;&quot;$&quot;###0.00_%_);@_%_)"/>
    <numFmt numFmtId="213" formatCode="&quot;$&quot;#,##0.00_);[Red]\(&quot;$&quot;#,##0.00\);&quot;--  &quot;;_(@_)"/>
    <numFmt numFmtId="214" formatCode="_(\§\ #,##0_)\ ;[Red]\(\§\ #,##0\)\ ;&quot; - &quot;;_(@\ _)"/>
    <numFmt numFmtId="215" formatCode="_(\§\ #,##0.00_);[Red]\(\§\ #,##0.00\);&quot; - &quot;_0_0;_(@_)"/>
    <numFmt numFmtId="216" formatCode="###0.00_)"/>
    <numFmt numFmtId="217" formatCode="m/d/yy_%_)"/>
    <numFmt numFmtId="218" formatCode="mmm\-d\-yyyy"/>
    <numFmt numFmtId="219" formatCode="mmm\-dd\-yyyy"/>
    <numFmt numFmtId="220" formatCode="mmm\-yyyy"/>
    <numFmt numFmtId="221" formatCode="m/d/yy_%_);;**"/>
    <numFmt numFmtId="222" formatCode="#,##0.0_);[Red]\(#,##0.0\)"/>
    <numFmt numFmtId="223" formatCode="_([$€-2]* #,##0.00_);_([$€-2]* \(#,##0.00\);_([$€-2]* &quot;-&quot;??_)"/>
    <numFmt numFmtId="224" formatCode="&quot;$&quot;#,##0.000_);[Red]\(&quot;$&quot;#,##0.000\)"/>
    <numFmt numFmtId="225" formatCode="0.0000000000000"/>
    <numFmt numFmtId="226" formatCode="0_)"/>
    <numFmt numFmtId="227" formatCode="[$-409]d\-mmm\-yy;@"/>
    <numFmt numFmtId="228" formatCode="#,##0.00_);[Red]\(#,##0.00\);\-\-\ \ \ "/>
    <numFmt numFmtId="229" formatCode="General_)"/>
    <numFmt numFmtId="230" formatCode="&quot;&quot;"/>
    <numFmt numFmtId="231" formatCode="#,##0.0\ ;\(#,##0.0\ \)"/>
    <numFmt numFmtId="232" formatCode="0.0%;0.0%;\-\ "/>
    <numFmt numFmtId="233" formatCode="0.0%\ ;\(0.0%\)"/>
    <numFmt numFmtId="234" formatCode="_ * #,##0.00_)\ _$_ ;_ * \(#,##0.00\)\ _$_ ;_ * &quot;-&quot;??_)\ _$_ ;_ @_ "/>
    <numFmt numFmtId="235" formatCode="#,##0.00000\ ;\(#,##0.00000\ \)"/>
    <numFmt numFmtId="236" formatCode="0.000000000000"/>
    <numFmt numFmtId="237" formatCode="_ * #,##0.00_)\ &quot;$&quot;_ ;_ * \(#,##0.00\)\ &quot;$&quot;_ ;_ * &quot;-&quot;??_)\ &quot;$&quot;_ ;_ @_ "/>
    <numFmt numFmtId="238" formatCode="#,##0.0000\ ;\(#,##0.0000\ \)"/>
    <numFmt numFmtId="239" formatCode="0.000%\ ;\(0.000%\)"/>
    <numFmt numFmtId="240" formatCode="#,##0.0\x_)_);\(#,##0.0\x\)_);#,##0.0\x_)_);@_%_)"/>
    <numFmt numFmtId="241" formatCode="_(* #,##0.00000_);_(* \(#,##0.00000\);_(* &quot;-&quot;?_);_(@_)"/>
    <numFmt numFmtId="242" formatCode="0.00_)"/>
    <numFmt numFmtId="243" formatCode="#,##0.000_);[Red]\(#,##0.000\)"/>
    <numFmt numFmtId="244" formatCode="0_);\(0\)"/>
    <numFmt numFmtId="245" formatCode="[$-1009]d\-mmm\-yy;@"/>
    <numFmt numFmtId="246" formatCode="#,##0.0_);[Red]\(#,##0.0\);&quot;--  &quot;"/>
    <numFmt numFmtId="247" formatCode="#,##0.00&quot;x&quot;_);[Red]\(#,##0.00&quot;x&quot;\)"/>
    <numFmt numFmtId="248" formatCode="#,##0_);\(#,##0\);&quot;-  &quot;"/>
    <numFmt numFmtId="249" formatCode="#,##0.0_);\(#,##0.0\);&quot;-  &quot;"/>
    <numFmt numFmtId="250" formatCode="#,##0.0_);\(#,##0.0\);\-_)"/>
    <numFmt numFmtId="251" formatCode="0.00000000"/>
    <numFmt numFmtId="252" formatCode="#,##0.0%_);[Red]\(#,##0.0%\)"/>
    <numFmt numFmtId="253" formatCode="#,##0.00%_);[Red]\(#,##0.00%\)"/>
    <numFmt numFmtId="254" formatCode="0.0%_);\(0.0%\);&quot;-  &quot;"/>
    <numFmt numFmtId="255" formatCode="#,##0.0\%_);\(#,##0.0\%\);#,##0.0\%_);@_%_)"/>
    <numFmt numFmtId="256" formatCode="mm/dd/yy"/>
    <numFmt numFmtId="257" formatCode="0.00\ ;\-0.00\ ;&quot;- &quot;"/>
    <numFmt numFmtId="258" formatCode="#,##0.0000"/>
    <numFmt numFmtId="259" formatCode="#,##0\ ;[Red]\(#,##0\);\ \-\ "/>
    <numFmt numFmtId="260" formatCode="#,##0.00_);\(#,##0.00\);#,##0.00_);@_)"/>
    <numFmt numFmtId="261" formatCode="[White]General"/>
    <numFmt numFmtId="262" formatCode="#,###.##"/>
    <numFmt numFmtId="263" formatCode="&quot;$&quot;#,##0.000000_);[Red]\(&quot;$&quot;#,##0.000000\)"/>
    <numFmt numFmtId="264" formatCode="&quot;Table &quot;0"/>
    <numFmt numFmtId="265" formatCode="_(General_)"/>
    <numFmt numFmtId="266" formatCode="0.00\ "/>
    <numFmt numFmtId="267" formatCode="_-&quot;L.&quot;\ * #,##0.00_-;\-&quot;L.&quot;\ * #,##0.00_-;_-&quot;L.&quot;\ * &quot;-&quot;??_-;_-@_-"/>
    <numFmt numFmtId="268" formatCode="0_%_);\(0\)_%;0_%_);@_%_)"/>
    <numFmt numFmtId="269" formatCode="0,000\x"/>
    <numFmt numFmtId="270" formatCode="yyyy&quot;A&quot;"/>
    <numFmt numFmtId="271" formatCode="_-* #,##0\ _D_M_-;\-* #,##0\ _D_M_-;_-* &quot;-&quot;\ _D_M_-;_-@_-"/>
    <numFmt numFmtId="272" formatCode="&quot;@ &quot;0.00"/>
    <numFmt numFmtId="273" formatCode="&quot;Yes&quot;_%_);&quot;Error&quot;_%_);&quot;No&quot;_%_);&quot;--&quot;_%_)"/>
    <numFmt numFmtId="274" formatCode="0.000"/>
    <numFmt numFmtId="275" formatCode="0.000%"/>
    <numFmt numFmtId="276" formatCode="_(* #,##0_);_(* \(#,##0\);_(* &quot;-&quot;?_);_(@_)"/>
    <numFmt numFmtId="277" formatCode="#,##0.000"/>
    <numFmt numFmtId="278" formatCode="_-* #,##0.000_-;\-* #,##0.000_-;_-* &quot;-&quot;??_-;_-@_-"/>
    <numFmt numFmtId="279" formatCode="_-* #,##0.000000_-;\-* #,##0.000000_-;_-* &quot;-&quot;??_-;_-@_-"/>
    <numFmt numFmtId="280" formatCode="#,##0.0"/>
    <numFmt numFmtId="281" formatCode="_-* #,##0.0000_-;\-* #,##0.0000_-;_-* &quot;-&quot;??_-;_-@_-"/>
    <numFmt numFmtId="282" formatCode="0.0000%"/>
    <numFmt numFmtId="283" formatCode="_-* #,##0.0_-;\-* #,##0.0_-;_-* &quot;-&quot;??_-;_-@_-"/>
  </numFmts>
  <fonts count="21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Times New Roman"/>
      <family val="1"/>
    </font>
    <font>
      <sz val="11"/>
      <color indexed="8"/>
      <name val="Calibri"/>
      <family val="2"/>
    </font>
    <font>
      <b/>
      <sz val="10"/>
      <name val="Times New Roman"/>
      <family val="1"/>
    </font>
    <font>
      <sz val="10"/>
      <name val="Arial"/>
      <family val="2"/>
    </font>
    <font>
      <sz val="10"/>
      <color rgb="FFC00000"/>
      <name val="Times New Roman"/>
      <family val="1"/>
    </font>
    <font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5"/>
      <name val="Aptos Narrow"/>
      <family val="2"/>
      <scheme val="minor"/>
    </font>
    <font>
      <sz val="11"/>
      <color rgb="FFC00000"/>
      <name val="Aptos Narrow"/>
      <family val="2"/>
      <scheme val="minor"/>
    </font>
    <font>
      <sz val="10"/>
      <name val="Aptos Narrow"/>
      <family val="2"/>
      <scheme val="minor"/>
    </font>
    <font>
      <sz val="12"/>
      <color rgb="FF505050"/>
      <name val="Aptos Narrow"/>
      <family val="2"/>
      <scheme val="minor"/>
    </font>
    <font>
      <sz val="12"/>
      <color rgb="FF00000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9C6500"/>
      <name val="Aptos Narrow"/>
      <family val="2"/>
      <scheme val="minor"/>
    </font>
    <font>
      <sz val="10"/>
      <name val="Verdana"/>
      <family val="2"/>
    </font>
    <font>
      <sz val="10"/>
      <name val="Helv"/>
      <charset val="204"/>
    </font>
    <font>
      <sz val="10"/>
      <name val="Frutiger 45 Light"/>
    </font>
    <font>
      <sz val="8"/>
      <color indexed="12"/>
      <name val="Arial"/>
      <family val="2"/>
    </font>
    <font>
      <sz val="10"/>
      <name val="Book Antiqua"/>
      <family val="1"/>
    </font>
    <font>
      <sz val="10"/>
      <name val="Geneva"/>
      <family val="2"/>
    </font>
    <font>
      <sz val="12"/>
      <name val="Times New Roman"/>
      <family val="1"/>
    </font>
    <font>
      <b/>
      <sz val="8"/>
      <name val="Arial"/>
      <family val="2"/>
    </font>
    <font>
      <sz val="12"/>
      <color theme="1"/>
      <name val="Times New Roman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2"/>
      <name val="Arial"/>
      <family val="2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12"/>
      <color theme="1"/>
      <name val="Calibri"/>
      <family val="2"/>
    </font>
    <font>
      <sz val="8"/>
      <name val="Palatino"/>
      <family val="1"/>
    </font>
    <font>
      <sz val="12"/>
      <color indexed="8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u/>
      <sz val="8"/>
      <color rgb="FF800080"/>
      <name val="Aptos Narrow"/>
      <family val="2"/>
      <scheme val="minor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8"/>
      <color rgb="FF0000FF"/>
      <name val="Aptos Narrow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color rgb="FF000000"/>
      <name val="Aptos Narrow"/>
      <family val="2"/>
      <scheme val="minor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sz val="11"/>
      <name val="돋움"/>
      <family val="3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2"/>
      <name val="Helv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8"/>
      <color indexed="12"/>
      <name val="Times New Roman"/>
      <family val="1"/>
    </font>
    <font>
      <sz val="8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0"/>
      <color theme="0"/>
      <name val="Arial"/>
      <family val="2"/>
    </font>
    <font>
      <sz val="10"/>
      <color rgb="FFFF0000"/>
      <name val="Times New Roman"/>
      <family val="1"/>
    </font>
    <font>
      <b/>
      <sz val="11"/>
      <color rgb="FF000000"/>
      <name val="Arial"/>
      <family val="2"/>
    </font>
    <font>
      <sz val="11"/>
      <color theme="4"/>
      <name val="Aptos Narrow"/>
      <family val="2"/>
      <scheme val="minor"/>
    </font>
    <font>
      <sz val="10"/>
      <color theme="0"/>
      <name val="Arial"/>
      <family val="2"/>
    </font>
    <font>
      <sz val="10"/>
      <color rgb="FFC00000"/>
      <name val="Arial"/>
      <family val="2"/>
    </font>
    <font>
      <b/>
      <sz val="10"/>
      <color theme="0"/>
      <name val="Times New Roman"/>
      <family val="1"/>
    </font>
    <font>
      <b/>
      <i/>
      <sz val="10"/>
      <color theme="0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8"/>
      <color theme="3"/>
      <name val="Aptos Display"/>
      <family val="2"/>
      <scheme val="major"/>
    </font>
    <font>
      <sz val="11"/>
      <color rgb="FF9C5700"/>
      <name val="Aptos Narrow"/>
      <family val="2"/>
      <scheme val="minor"/>
    </font>
    <font>
      <b/>
      <i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vertAlign val="superscript"/>
      <sz val="10"/>
      <name val="Arial"/>
      <family val="2"/>
    </font>
    <font>
      <b/>
      <u/>
      <sz val="10"/>
      <name val="Arial"/>
      <family val="2"/>
    </font>
    <font>
      <b/>
      <vertAlign val="subscript"/>
      <sz val="10"/>
      <name val="Arial"/>
      <family val="2"/>
    </font>
    <font>
      <b/>
      <i/>
      <vertAlign val="subscript"/>
      <sz val="10"/>
      <name val="Arial"/>
      <family val="2"/>
    </font>
    <font>
      <b/>
      <sz val="18"/>
      <color theme="3"/>
      <name val="Aptos Display"/>
      <family val="2"/>
      <scheme val="major"/>
    </font>
    <font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i/>
      <sz val="10"/>
      <name val="Arial"/>
      <family val="2"/>
    </font>
  </fonts>
  <fills count="9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5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9" fillId="0" borderId="0"/>
    <xf numFmtId="9" fontId="1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9" fillId="0" borderId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4" borderId="0" applyNumberFormat="0" applyBorder="0" applyAlignment="0" applyProtection="0"/>
    <xf numFmtId="0" fontId="33" fillId="38" borderId="0" applyNumberFormat="0" applyBorder="0" applyAlignment="0" applyProtection="0"/>
    <xf numFmtId="0" fontId="34" fillId="55" borderId="21" applyNumberFormat="0" applyAlignment="0" applyProtection="0"/>
    <xf numFmtId="0" fontId="35" fillId="56" borderId="2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9" borderId="0" applyNumberFormat="0" applyBorder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42" fillId="42" borderId="21" applyNumberFormat="0" applyAlignment="0" applyProtection="0"/>
    <xf numFmtId="0" fontId="43" fillId="0" borderId="26" applyNumberFormat="0" applyFill="0" applyAlignment="0" applyProtection="0"/>
    <xf numFmtId="0" fontId="44" fillId="57" borderId="0" applyNumberFormat="0" applyBorder="0" applyAlignment="0" applyProtection="0"/>
    <xf numFmtId="0" fontId="36" fillId="0" borderId="0"/>
    <xf numFmtId="0" fontId="36" fillId="0" borderId="0"/>
    <xf numFmtId="0" fontId="1" fillId="0" borderId="0"/>
    <xf numFmtId="0" fontId="19" fillId="0" borderId="0"/>
    <xf numFmtId="0" fontId="1" fillId="0" borderId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9" fontId="1" fillId="0" borderId="0" applyFont="0" applyFill="0" applyBorder="0" applyAlignment="0" applyProtection="0"/>
    <xf numFmtId="0" fontId="19" fillId="59" borderId="18" applyNumberFormat="0" applyProtection="0">
      <alignment horizontal="left" vertical="center"/>
    </xf>
    <xf numFmtId="0" fontId="19" fillId="59" borderId="18" applyNumberFormat="0" applyProtection="0">
      <alignment horizontal="left" vertical="center"/>
    </xf>
    <xf numFmtId="0" fontId="46" fillId="0" borderId="0" applyNumberFormat="0" applyFill="0" applyBorder="0" applyAlignment="0" applyProtection="0"/>
    <xf numFmtId="0" fontId="47" fillId="0" borderId="29" applyNumberFormat="0" applyFill="0" applyAlignment="0" applyProtection="0"/>
    <xf numFmtId="0" fontId="48" fillId="0" borderId="0" applyNumberFormat="0" applyFill="0" applyBorder="0" applyAlignment="0" applyProtection="0"/>
    <xf numFmtId="0" fontId="34" fillId="55" borderId="21" applyNumberFormat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59" borderId="18" applyNumberFormat="0" applyProtection="0">
      <alignment horizontal="left" vertical="center"/>
    </xf>
    <xf numFmtId="0" fontId="19" fillId="59" borderId="18" applyNumberFormat="0" applyProtection="0">
      <alignment horizontal="left" vertical="center"/>
    </xf>
    <xf numFmtId="0" fontId="34" fillId="55" borderId="21" applyNumberFormat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0" fontId="34" fillId="55" borderId="21" applyNumberFormat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59" borderId="18" applyNumberFormat="0" applyProtection="0">
      <alignment horizontal="left" vertical="center"/>
    </xf>
    <xf numFmtId="0" fontId="19" fillId="59" borderId="18" applyNumberFormat="0" applyProtection="0">
      <alignment horizontal="left" vertical="center"/>
    </xf>
    <xf numFmtId="43" fontId="1" fillId="0" borderId="0" applyFont="0" applyFill="0" applyBorder="0" applyAlignment="0" applyProtection="0"/>
    <xf numFmtId="0" fontId="63" fillId="0" borderId="0"/>
    <xf numFmtId="0" fontId="29" fillId="0" borderId="0"/>
    <xf numFmtId="43" fontId="63" fillId="0" borderId="0" applyFont="0" applyFill="0" applyBorder="0" applyAlignment="0" applyProtection="0"/>
    <xf numFmtId="0" fontId="29" fillId="0" borderId="0"/>
    <xf numFmtId="0" fontId="1" fillId="0" borderId="0"/>
    <xf numFmtId="0" fontId="19" fillId="0" borderId="0"/>
    <xf numFmtId="0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17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75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39" fontId="19" fillId="0" borderId="0" applyFont="0" applyFill="0" applyBorder="0" applyAlignment="0" applyProtection="0"/>
    <xf numFmtId="0" fontId="64" fillId="0" borderId="0"/>
    <xf numFmtId="0" fontId="19" fillId="0" borderId="0">
      <alignment vertical="top"/>
    </xf>
    <xf numFmtId="0" fontId="65" fillId="0" borderId="0" applyNumberFormat="0" applyFill="0">
      <alignment horizontal="left" vertical="center" wrapText="1"/>
    </xf>
    <xf numFmtId="177" fontId="19" fillId="0" borderId="0" applyFont="0" applyFill="0" applyBorder="0" applyAlignment="0" applyProtection="0"/>
    <xf numFmtId="178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Protection="0">
      <alignment horizontal="right"/>
    </xf>
    <xf numFmtId="18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86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87" fontId="16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0" fontId="19" fillId="0" borderId="0"/>
    <xf numFmtId="9" fontId="66" fillId="0" borderId="0">
      <alignment horizontal="right"/>
    </xf>
    <xf numFmtId="9" fontId="65" fillId="0" borderId="0">
      <alignment horizontal="right"/>
    </xf>
    <xf numFmtId="0" fontId="19" fillId="60" borderId="21" applyNumberFormat="0">
      <alignment horizontal="centerContinuous" vertical="center" wrapText="1"/>
    </xf>
    <xf numFmtId="0" fontId="19" fillId="61" borderId="21" applyNumberFormat="0">
      <alignment horizontal="left" vertical="center"/>
    </xf>
    <xf numFmtId="43" fontId="67" fillId="0" borderId="0" applyFont="0" applyFill="0" applyBorder="0" applyAlignment="0" applyProtection="0"/>
    <xf numFmtId="0" fontId="19" fillId="0" borderId="0"/>
    <xf numFmtId="9" fontId="68" fillId="0" borderId="0" applyFont="0" applyFill="0" applyBorder="0" applyAlignment="0" applyProtection="0"/>
    <xf numFmtId="10" fontId="6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/>
    <xf numFmtId="191" fontId="65" fillId="0" borderId="0" applyNumberFormat="0" applyFill="0">
      <alignment horizontal="left" vertical="center" wrapText="1"/>
    </xf>
    <xf numFmtId="5" fontId="68" fillId="0" borderId="0" applyFont="0" applyFill="0" applyBorder="0" applyAlignment="0" applyProtection="0"/>
    <xf numFmtId="8" fontId="68" fillId="0" borderId="0" applyFont="0" applyFill="0" applyBorder="0" applyAlignment="0" applyProtection="0"/>
    <xf numFmtId="173" fontId="19" fillId="0" borderId="0"/>
    <xf numFmtId="192" fontId="70" fillId="0" borderId="0" applyFill="0" applyBorder="0" applyAlignment="0" applyProtection="0">
      <alignment horizontal="right"/>
    </xf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" fillId="11" borderId="0" applyNumberFormat="0" applyBorder="0" applyAlignment="0" applyProtection="0"/>
    <xf numFmtId="0" fontId="5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3" fillId="11" borderId="0" applyNumberFormat="0" applyBorder="0" applyAlignment="0" applyProtection="0"/>
    <xf numFmtId="0" fontId="1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7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5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3" fillId="15" borderId="0" applyNumberFormat="0" applyBorder="0" applyAlignment="0" applyProtection="0"/>
    <xf numFmtId="0" fontId="1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7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5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7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5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3" fillId="23" borderId="0" applyNumberFormat="0" applyBorder="0" applyAlignment="0" applyProtection="0"/>
    <xf numFmtId="0" fontId="1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7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5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3" fillId="27" borderId="0" applyNumberFormat="0" applyBorder="0" applyAlignment="0" applyProtection="0"/>
    <xf numFmtId="0" fontId="1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7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3" fillId="31" borderId="0" applyNumberFormat="0" applyBorder="0" applyAlignment="0" applyProtection="0"/>
    <xf numFmtId="0" fontId="1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7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1" fillId="12" borderId="0" applyNumberFormat="0" applyBorder="0" applyAlignment="0" applyProtection="0"/>
    <xf numFmtId="0" fontId="53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3" fillId="12" borderId="0" applyNumberFormat="0" applyBorder="0" applyAlignment="0" applyProtection="0"/>
    <xf numFmtId="0" fontId="1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7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5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3" fillId="16" borderId="0" applyNumberFormat="0" applyBorder="0" applyAlignment="0" applyProtection="0"/>
    <xf numFmtId="0" fontId="1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7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5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3" fillId="20" borderId="0" applyNumberFormat="0" applyBorder="0" applyAlignment="0" applyProtection="0"/>
    <xf numFmtId="0" fontId="1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7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5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3" fillId="24" borderId="0" applyNumberFormat="0" applyBorder="0" applyAlignment="0" applyProtection="0"/>
    <xf numFmtId="0" fontId="1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7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3" fillId="28" borderId="0" applyNumberFormat="0" applyBorder="0" applyAlignment="0" applyProtection="0"/>
    <xf numFmtId="0" fontId="1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7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3" fillId="32" borderId="0" applyNumberFormat="0" applyBorder="0" applyAlignment="0" applyProtection="0"/>
    <xf numFmtId="0" fontId="1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7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47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193" fontId="19" fillId="0" borderId="20">
      <alignment horizontal="right"/>
    </xf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42" fontId="72" fillId="0" borderId="0" applyFont="0"/>
    <xf numFmtId="42" fontId="72" fillId="0" borderId="32" applyFont="0"/>
    <xf numFmtId="41" fontId="72" fillId="0" borderId="0" applyFont="0"/>
    <xf numFmtId="194" fontId="73" fillId="0" borderId="20">
      <alignment horizontal="right"/>
    </xf>
    <xf numFmtId="194" fontId="73" fillId="0" borderId="20" applyFill="0">
      <alignment horizontal="right"/>
    </xf>
    <xf numFmtId="3" fontId="19" fillId="0" borderId="20" applyFill="0">
      <alignment horizontal="right"/>
    </xf>
    <xf numFmtId="195" fontId="73" fillId="0" borderId="20" applyFill="0">
      <alignment horizontal="right"/>
    </xf>
    <xf numFmtId="196" fontId="31" fillId="62" borderId="33">
      <alignment horizontal="center" vertical="center"/>
    </xf>
    <xf numFmtId="0" fontId="19" fillId="0" borderId="0"/>
    <xf numFmtId="173" fontId="74" fillId="0" borderId="0"/>
    <xf numFmtId="0" fontId="19" fillId="0" borderId="0"/>
    <xf numFmtId="197" fontId="19" fillId="0" borderId="20">
      <alignment horizontal="right"/>
      <protection locked="0"/>
    </xf>
    <xf numFmtId="6" fontId="73" fillId="0" borderId="20" applyNumberFormat="0" applyFont="0" applyBorder="0" applyProtection="0">
      <alignment horizontal="right"/>
    </xf>
    <xf numFmtId="198" fontId="75" fillId="63" borderId="34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1" fontId="79" fillId="64" borderId="13" applyNumberFormat="0" applyBorder="0" applyAlignment="0">
      <alignment horizontal="center" vertical="top" wrapText="1"/>
      <protection hidden="1"/>
    </xf>
    <xf numFmtId="0" fontId="80" fillId="65" borderId="0"/>
    <xf numFmtId="0" fontId="81" fillId="0" borderId="0" applyAlignment="0"/>
    <xf numFmtId="0" fontId="82" fillId="0" borderId="16" applyNumberFormat="0" applyFill="0" applyAlignment="0" applyProtection="0"/>
    <xf numFmtId="0" fontId="83" fillId="0" borderId="35" applyNumberFormat="0" applyFont="0" applyFill="0" applyAlignment="0" applyProtection="0"/>
    <xf numFmtId="0" fontId="84" fillId="0" borderId="36" applyNumberFormat="0" applyFont="0" applyFill="0" applyAlignment="0" applyProtection="0">
      <alignment horizontal="centerContinuous"/>
    </xf>
    <xf numFmtId="0" fontId="68" fillId="0" borderId="16" applyNumberFormat="0" applyFont="0" applyFill="0" applyAlignment="0" applyProtection="0"/>
    <xf numFmtId="0" fontId="68" fillId="0" borderId="13" applyNumberFormat="0" applyFont="0" applyFill="0" applyAlignment="0" applyProtection="0"/>
    <xf numFmtId="0" fontId="68" fillId="0" borderId="14" applyNumberFormat="0" applyFont="0" applyFill="0" applyAlignment="0" applyProtection="0"/>
    <xf numFmtId="0" fontId="68" fillId="0" borderId="12" applyNumberFormat="0" applyFont="0" applyFill="0" applyAlignment="0" applyProtection="0"/>
    <xf numFmtId="0" fontId="16" fillId="0" borderId="0">
      <alignment horizontal="right"/>
    </xf>
    <xf numFmtId="0" fontId="69" fillId="0" borderId="0" applyFont="0" applyFill="0" applyBorder="0" applyAlignment="0" applyProtection="0"/>
    <xf numFmtId="199" fontId="16" fillId="0" borderId="0" applyFill="0" applyBorder="0" applyAlignment="0"/>
    <xf numFmtId="200" fontId="16" fillId="0" borderId="0" applyFill="0" applyBorder="0" applyAlignment="0"/>
    <xf numFmtId="171" fontId="16" fillId="0" borderId="0" applyFill="0" applyBorder="0" applyAlignment="0"/>
    <xf numFmtId="201" fontId="16" fillId="0" borderId="0" applyFill="0" applyBorder="0" applyAlignment="0"/>
    <xf numFmtId="171" fontId="19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0" fontId="34" fillId="55" borderId="21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85" fillId="7" borderId="4" applyNumberFormat="0" applyAlignment="0" applyProtection="0"/>
    <xf numFmtId="0" fontId="9" fillId="7" borderId="4" applyNumberFormat="0" applyAlignment="0" applyProtection="0"/>
    <xf numFmtId="0" fontId="9" fillId="7" borderId="4" applyNumberFormat="0" applyAlignment="0" applyProtection="0"/>
    <xf numFmtId="173" fontId="83" fillId="66" borderId="0" applyNumberFormat="0" applyFont="0" applyBorder="0" applyAlignment="0">
      <alignment horizontal="left"/>
    </xf>
    <xf numFmtId="0" fontId="43" fillId="0" borderId="26" applyNumberFormat="0" applyFill="0" applyAlignment="0" applyProtection="0"/>
    <xf numFmtId="202" fontId="19" fillId="0" borderId="0" applyFont="0" applyFill="0" applyBorder="0" applyProtection="0">
      <alignment horizontal="center" vertical="center"/>
    </xf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58" fillId="8" borderId="7" applyNumberFormat="0" applyAlignment="0" applyProtection="0"/>
    <xf numFmtId="0" fontId="11" fillId="8" borderId="7" applyNumberFormat="0" applyAlignment="0" applyProtection="0"/>
    <xf numFmtId="0" fontId="11" fillId="8" borderId="7" applyNumberFormat="0" applyAlignment="0" applyProtection="0"/>
    <xf numFmtId="203" fontId="19" fillId="0" borderId="0" applyNumberFormat="0" applyFont="0" applyFill="0" applyAlignment="0" applyProtection="0"/>
    <xf numFmtId="0" fontId="82" fillId="0" borderId="16" applyNumberFormat="0" applyFill="0" applyProtection="0">
      <alignment horizontal="left" vertical="center"/>
    </xf>
    <xf numFmtId="0" fontId="86" fillId="0" borderId="0">
      <alignment horizontal="center" wrapText="1"/>
      <protection hidden="1"/>
    </xf>
    <xf numFmtId="0" fontId="87" fillId="0" borderId="0">
      <alignment horizontal="right"/>
    </xf>
    <xf numFmtId="170" fontId="70" fillId="0" borderId="0" applyBorder="0">
      <alignment horizontal="right"/>
    </xf>
    <xf numFmtId="170" fontId="70" fillId="0" borderId="35" applyAlignment="0">
      <alignment horizontal="right"/>
    </xf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204" fontId="16" fillId="0" borderId="0"/>
    <xf numFmtId="41" fontId="88" fillId="0" borderId="0" applyFont="0" applyBorder="0">
      <alignment horizontal="right"/>
    </xf>
    <xf numFmtId="199" fontId="16" fillId="0" borderId="0" applyFont="0" applyFill="0" applyBorder="0" applyAlignment="0" applyProtection="0"/>
    <xf numFmtId="205" fontId="19" fillId="0" borderId="0" applyFont="0"/>
    <xf numFmtId="0" fontId="89" fillId="0" borderId="0" applyFont="0" applyFill="0" applyBorder="0" applyProtection="0">
      <alignment horizontal="right"/>
    </xf>
    <xf numFmtId="0" fontId="89" fillId="0" borderId="0" applyFont="0" applyFill="0" applyBorder="0" applyProtection="0">
      <alignment horizontal="right"/>
    </xf>
    <xf numFmtId="172" fontId="19" fillId="0" borderId="0" applyFont="0" applyFill="0" applyBorder="0" applyAlignment="0" applyProtection="0">
      <alignment horizontal="right"/>
    </xf>
    <xf numFmtId="20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166" fontId="19" fillId="0" borderId="0" applyFont="0" applyFill="0" applyBorder="0" applyAlignment="0" applyProtection="0">
      <alignment horizontal="right"/>
    </xf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9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4" fillId="0" borderId="0" applyFont="0" applyFill="0" applyBorder="0" applyAlignment="0" applyProtection="0"/>
    <xf numFmtId="173" fontId="95" fillId="0" borderId="0"/>
    <xf numFmtId="0" fontId="96" fillId="0" borderId="0"/>
    <xf numFmtId="0" fontId="19" fillId="58" borderId="27" applyNumberFormat="0" applyFont="0" applyAlignment="0" applyProtection="0"/>
    <xf numFmtId="0" fontId="97" fillId="67" borderId="0">
      <alignment horizontal="center" vertical="center" wrapText="1"/>
    </xf>
    <xf numFmtId="208" fontId="19" fillId="0" borderId="0" applyFill="0" applyBorder="0">
      <alignment horizontal="right"/>
      <protection locked="0"/>
    </xf>
    <xf numFmtId="200" fontId="16" fillId="0" borderId="0" applyFont="0" applyFill="0" applyBorder="0" applyAlignment="0" applyProtection="0"/>
    <xf numFmtId="209" fontId="52" fillId="0" borderId="0">
      <alignment horizontal="right"/>
    </xf>
    <xf numFmtId="8" fontId="98" fillId="0" borderId="37">
      <protection locked="0"/>
    </xf>
    <xf numFmtId="0" fontId="89" fillId="0" borderId="0" applyFont="0" applyFill="0" applyBorder="0" applyProtection="0">
      <alignment horizontal="right"/>
    </xf>
    <xf numFmtId="182" fontId="19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6" fillId="0" borderId="0" applyFont="0" applyFill="0" applyBorder="0" applyAlignment="0" applyProtection="0"/>
    <xf numFmtId="1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19" fillId="0" borderId="0" applyFont="0" applyFill="0" applyBorder="0" applyAlignment="0" applyProtection="0"/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210" fontId="19" fillId="0" borderId="0" applyFont="0" applyFill="0" applyBorder="0" applyAlignment="0" applyProtection="0">
      <alignment horizontal="right"/>
    </xf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11" fontId="9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2" fontId="16" fillId="0" borderId="0" applyFont="0" applyFill="0" applyBorder="0" applyProtection="0">
      <alignment horizontal="right"/>
    </xf>
    <xf numFmtId="213" fontId="93" fillId="0" borderId="38" applyFont="0" applyFill="0" applyBorder="0" applyAlignment="0" applyProtection="0"/>
    <xf numFmtId="214" fontId="73" fillId="0" borderId="0" applyFont="0" applyFill="0" applyBorder="0" applyAlignment="0" applyProtection="0">
      <alignment vertical="center"/>
    </xf>
    <xf numFmtId="215" fontId="73" fillId="0" borderId="0" applyFont="0" applyFill="0" applyBorder="0" applyAlignment="0" applyProtection="0">
      <alignment vertical="center"/>
    </xf>
    <xf numFmtId="0" fontId="86" fillId="0" borderId="0" applyFont="0" applyFill="0" applyBorder="0" applyAlignment="0">
      <protection locked="0"/>
    </xf>
    <xf numFmtId="0" fontId="69" fillId="0" borderId="0" applyFont="0" applyFill="0" applyBorder="0" applyAlignment="0" applyProtection="0"/>
    <xf numFmtId="216" fontId="64" fillId="0" borderId="39" applyNumberFormat="0" applyFill="0">
      <alignment horizontal="right"/>
    </xf>
    <xf numFmtId="216" fontId="64" fillId="0" borderId="39" applyNumberFormat="0" applyFill="0">
      <alignment horizontal="right"/>
    </xf>
    <xf numFmtId="1" fontId="100" fillId="0" borderId="0"/>
    <xf numFmtId="217" fontId="83" fillId="0" borderId="0" applyFont="0" applyFill="0" applyBorder="0" applyProtection="0">
      <alignment horizontal="right"/>
    </xf>
    <xf numFmtId="218" fontId="66" fillId="65" borderId="19" applyFont="0" applyFill="0" applyBorder="0" applyAlignment="0" applyProtection="0"/>
    <xf numFmtId="219" fontId="93" fillId="0" borderId="0" applyFont="0" applyFill="0" applyBorder="0" applyAlignment="0" applyProtection="0"/>
    <xf numFmtId="219" fontId="93" fillId="0" borderId="0" applyFont="0" applyFill="0" applyBorder="0" applyAlignment="0" applyProtection="0"/>
    <xf numFmtId="220" fontId="70" fillId="0" borderId="16" applyFont="0" applyFill="0" applyBorder="0" applyAlignment="0" applyProtection="0"/>
    <xf numFmtId="174" fontId="19" fillId="0" borderId="0" applyFont="0" applyFill="0" applyBorder="0" applyAlignment="0" applyProtection="0"/>
    <xf numFmtId="221" fontId="91" fillId="0" borderId="0" applyFont="0" applyFill="0" applyBorder="0" applyAlignment="0" applyProtection="0"/>
    <xf numFmtId="14" fontId="36" fillId="0" borderId="0" applyFill="0" applyBorder="0" applyAlignment="0"/>
    <xf numFmtId="0" fontId="19" fillId="0" borderId="0">
      <alignment horizontal="left" vertical="top"/>
    </xf>
    <xf numFmtId="42" fontId="101" fillId="0" borderId="0"/>
    <xf numFmtId="0" fontId="93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0" borderId="0">
      <protection locked="0"/>
    </xf>
    <xf numFmtId="0" fontId="19" fillId="0" borderId="0"/>
    <xf numFmtId="42" fontId="16" fillId="0" borderId="0"/>
    <xf numFmtId="170" fontId="19" fillId="0" borderId="40" applyNumberFormat="0" applyFont="0" applyFill="0" applyAlignment="0" applyProtection="0"/>
    <xf numFmtId="170" fontId="19" fillId="0" borderId="40" applyNumberFormat="0" applyFont="0" applyFill="0" applyAlignment="0" applyProtection="0"/>
    <xf numFmtId="170" fontId="19" fillId="0" borderId="40" applyNumberFormat="0" applyFont="0" applyFill="0" applyAlignment="0" applyProtection="0"/>
    <xf numFmtId="42" fontId="103" fillId="0" borderId="0" applyFill="0" applyBorder="0" applyAlignment="0" applyProtection="0"/>
    <xf numFmtId="1" fontId="83" fillId="0" borderId="0"/>
    <xf numFmtId="222" fontId="104" fillId="0" borderId="0">
      <protection locked="0"/>
    </xf>
    <xf numFmtId="222" fontId="104" fillId="0" borderId="0">
      <protection locked="0"/>
    </xf>
    <xf numFmtId="199" fontId="16" fillId="0" borderId="0" applyFill="0" applyBorder="0" applyAlignment="0"/>
    <xf numFmtId="200" fontId="16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0" fontId="42" fillId="42" borderId="21" applyNumberFormat="0" applyAlignment="0" applyProtection="0"/>
    <xf numFmtId="223" fontId="6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224" fontId="86" fillId="68" borderId="13">
      <alignment horizontal="left"/>
    </xf>
    <xf numFmtId="1" fontId="106" fillId="69" borderId="11" applyNumberFormat="0" applyBorder="0" applyAlignment="0">
      <alignment horizontal="centerContinuous" vertical="center"/>
      <protection locked="0"/>
    </xf>
    <xf numFmtId="225" fontId="19" fillId="0" borderId="0">
      <protection locked="0"/>
    </xf>
    <xf numFmtId="203" fontId="19" fillId="0" borderId="0">
      <protection locked="0"/>
    </xf>
    <xf numFmtId="2" fontId="94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Fill="0" applyBorder="0" applyProtection="0">
      <alignment horizontal="left"/>
    </xf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38" fontId="93" fillId="70" borderId="0" applyNumberFormat="0" applyBorder="0" applyAlignment="0" applyProtection="0"/>
    <xf numFmtId="0" fontId="110" fillId="0" borderId="0" applyNumberFormat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71" borderId="18" applyNumberFormat="0" applyFont="0" applyBorder="0" applyAlignment="0" applyProtection="0"/>
    <xf numFmtId="177" fontId="19" fillId="0" borderId="0" applyFont="0" applyFill="0" applyBorder="0" applyAlignment="0" applyProtection="0">
      <alignment horizontal="right"/>
    </xf>
    <xf numFmtId="173" fontId="111" fillId="71" borderId="0" applyNumberFormat="0" applyFont="0" applyAlignment="0"/>
    <xf numFmtId="0" fontId="112" fillId="0" borderId="0" applyProtection="0">
      <alignment horizontal="right"/>
    </xf>
    <xf numFmtId="0" fontId="56" fillId="0" borderId="41" applyNumberFormat="0" applyAlignment="0" applyProtection="0">
      <alignment horizontal="left" vertical="center"/>
    </xf>
    <xf numFmtId="0" fontId="56" fillId="0" borderId="30">
      <alignment horizontal="left" vertical="center"/>
    </xf>
    <xf numFmtId="49" fontId="113" fillId="0" borderId="0">
      <alignment horizontal="centerContinuous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114" fillId="0" borderId="0" applyNumberFormat="0" applyFill="0" applyBorder="0" applyAlignment="0" applyProtection="0"/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3" fillId="0" borderId="2" applyNumberFormat="0" applyFill="0" applyAlignment="0" applyProtection="0"/>
    <xf numFmtId="0" fontId="115" fillId="0" borderId="0" applyProtection="0">
      <alignment horizontal="left"/>
    </xf>
    <xf numFmtId="0" fontId="116" fillId="0" borderId="0" applyProtection="0">
      <alignment horizontal="left"/>
    </xf>
    <xf numFmtId="0" fontId="116" fillId="0" borderId="0" applyProtection="0">
      <alignment horizontal="left"/>
    </xf>
    <xf numFmtId="0" fontId="116" fillId="0" borderId="0" applyProtection="0">
      <alignment horizontal="left"/>
    </xf>
    <xf numFmtId="0" fontId="116" fillId="0" borderId="0" applyProtection="0">
      <alignment horizontal="left"/>
    </xf>
    <xf numFmtId="0" fontId="117" fillId="0" borderId="3" applyNumberFormat="0" applyFill="0" applyAlignment="0" applyProtection="0"/>
    <xf numFmtId="0" fontId="4" fillId="0" borderId="3" applyNumberFormat="0" applyFill="0" applyAlignment="0" applyProtection="0"/>
    <xf numFmtId="0" fontId="116" fillId="0" borderId="0" applyProtection="0">
      <alignment horizontal="lef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8" fillId="0" borderId="0"/>
    <xf numFmtId="0" fontId="77" fillId="0" borderId="0"/>
    <xf numFmtId="226" fontId="72" fillId="0" borderId="0">
      <alignment horizontal="centerContinuous"/>
    </xf>
    <xf numFmtId="0" fontId="119" fillId="0" borderId="42" applyNumberFormat="0" applyFill="0" applyBorder="0" applyAlignment="0" applyProtection="0">
      <alignment horizontal="left"/>
    </xf>
    <xf numFmtId="226" fontId="72" fillId="0" borderId="43">
      <alignment horizontal="center"/>
    </xf>
    <xf numFmtId="0" fontId="19" fillId="0" borderId="0" applyNumberFormat="0" applyFill="0" applyBorder="0" applyProtection="0">
      <alignment wrapText="1"/>
    </xf>
    <xf numFmtId="0" fontId="19" fillId="0" borderId="0" applyNumberFormat="0" applyFill="0" applyBorder="0" applyProtection="0">
      <alignment horizontal="justify" vertical="top" wrapText="1"/>
    </xf>
    <xf numFmtId="0" fontId="120" fillId="0" borderId="31">
      <alignment horizontal="left" vertical="center"/>
    </xf>
    <xf numFmtId="0" fontId="120" fillId="72" borderId="0">
      <alignment horizontal="centerContinuous" wrapText="1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27" fontId="12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>
      <alignment horizontal="right"/>
    </xf>
    <xf numFmtId="10" fontId="93" fillId="65" borderId="18" applyNumberFormat="0" applyBorder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127" fillId="6" borderId="4" applyNumberFormat="0" applyAlignment="0" applyProtection="0"/>
    <xf numFmtId="0" fontId="7" fillId="6" borderId="4" applyNumberFormat="0" applyAlignment="0" applyProtection="0"/>
    <xf numFmtId="228" fontId="86" fillId="0" borderId="0" applyNumberFormat="0" applyFill="0" applyBorder="0" applyAlignment="0" applyProtection="0"/>
    <xf numFmtId="0" fontId="19" fillId="0" borderId="0" applyNumberFormat="0" applyFill="0" applyBorder="0" applyAlignment="0">
      <protection locked="0"/>
    </xf>
    <xf numFmtId="0" fontId="128" fillId="65" borderId="0" applyNumberFormat="0" applyFont="0" applyBorder="0" applyAlignment="0">
      <alignment horizontal="right"/>
      <protection locked="0"/>
    </xf>
    <xf numFmtId="0" fontId="129" fillId="57" borderId="0" applyNumberFormat="0" applyFont="0" applyBorder="0" applyAlignment="0">
      <alignment horizontal="right" vertical="top"/>
      <protection locked="0"/>
    </xf>
    <xf numFmtId="229" fontId="19" fillId="65" borderId="44" applyNumberFormat="0" applyFont="0" applyBorder="0" applyAlignment="0">
      <alignment horizontal="right" vertical="center"/>
      <protection locked="0"/>
    </xf>
    <xf numFmtId="0" fontId="129" fillId="57" borderId="0" applyNumberFormat="0" applyFont="0" applyBorder="0" applyAlignment="0">
      <alignment horizontal="right" vertical="top"/>
      <protection locked="0"/>
    </xf>
    <xf numFmtId="0" fontId="86" fillId="0" borderId="0" applyFill="0" applyBorder="0">
      <alignment horizontal="right"/>
      <protection locked="0"/>
    </xf>
    <xf numFmtId="230" fontId="130" fillId="0" borderId="45" applyFont="0" applyFill="0" applyBorder="0" applyAlignment="0" applyProtection="0"/>
    <xf numFmtId="231" fontId="19" fillId="0" borderId="0" applyFill="0" applyBorder="0">
      <alignment horizontal="right"/>
      <protection locked="0"/>
    </xf>
    <xf numFmtId="0" fontId="131" fillId="0" borderId="0" applyFill="0" applyBorder="0"/>
    <xf numFmtId="0" fontId="132" fillId="73" borderId="46">
      <alignment horizontal="left" vertical="center" wrapText="1"/>
    </xf>
    <xf numFmtId="0" fontId="69" fillId="0" borderId="0" applyNumberFormat="0" applyFill="0" applyBorder="0" applyProtection="0">
      <alignment horizontal="left"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6" fillId="74" borderId="0" applyNumberFormat="0" applyFont="0" applyBorder="0" applyProtection="0"/>
    <xf numFmtId="2" fontId="134" fillId="0" borderId="16"/>
    <xf numFmtId="199" fontId="16" fillId="0" borderId="0" applyFill="0" applyBorder="0" applyAlignment="0"/>
    <xf numFmtId="200" fontId="16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14" fontId="70" fillId="0" borderId="16" applyFont="0" applyFill="0" applyBorder="0" applyAlignment="0" applyProtection="0"/>
    <xf numFmtId="3" fontId="19" fillId="0" borderId="0"/>
    <xf numFmtId="1" fontId="136" fillId="0" borderId="0"/>
    <xf numFmtId="232" fontId="137" fillId="75" borderId="0" applyBorder="0" applyAlignment="0">
      <alignment horizontal="right"/>
    </xf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3" fontId="19" fillId="0" borderId="0" applyFont="0" applyFill="0" applyBorder="0" applyAlignment="0" applyProtection="0"/>
    <xf numFmtId="234" fontId="1" fillId="0" borderId="0" applyFont="0" applyFill="0" applyBorder="0" applyAlignment="0" applyProtection="0"/>
    <xf numFmtId="235" fontId="19" fillId="0" borderId="0" applyFont="0" applyFill="0" applyBorder="0" applyAlignment="0" applyProtection="0"/>
    <xf numFmtId="14" fontId="68" fillId="0" borderId="0" applyFont="0" applyFill="0" applyBorder="0" applyAlignment="0" applyProtection="0"/>
    <xf numFmtId="3" fontId="69" fillId="0" borderId="0"/>
    <xf numFmtId="3" fontId="69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237" fontId="1" fillId="0" borderId="0" applyFont="0" applyFill="0" applyBorder="0" applyAlignment="0" applyProtection="0"/>
    <xf numFmtId="238" fontId="19" fillId="0" borderId="0" applyFont="0" applyFill="0" applyBorder="0" applyAlignment="0" applyProtection="0"/>
    <xf numFmtId="239" fontId="19" fillId="0" borderId="0">
      <protection locked="0"/>
    </xf>
    <xf numFmtId="220" fontId="93" fillId="65" borderId="0">
      <alignment horizontal="center"/>
    </xf>
    <xf numFmtId="240" fontId="91" fillId="0" borderId="0" applyFont="0" applyFill="0" applyBorder="0" applyProtection="0">
      <alignment horizontal="right"/>
    </xf>
    <xf numFmtId="2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9" fillId="0" borderId="0" applyFont="0" applyFill="0" applyBorder="0" applyProtection="0">
      <alignment horizontal="right"/>
    </xf>
    <xf numFmtId="0" fontId="89" fillId="0" borderId="0" applyFont="0" applyFill="0" applyBorder="0" applyProtection="0">
      <alignment horizontal="right"/>
    </xf>
    <xf numFmtId="0" fontId="89" fillId="0" borderId="0" applyFont="0" applyFill="0" applyBorder="0" applyProtection="0">
      <alignment horizontal="right"/>
    </xf>
    <xf numFmtId="0" fontId="19" fillId="0" borderId="0" applyFont="0" applyFill="0" applyBorder="0" applyProtection="0">
      <alignment horizontal="right"/>
    </xf>
    <xf numFmtId="170" fontId="19" fillId="0" borderId="0" applyFont="0" applyFill="0" applyBorder="0" applyProtection="0">
      <alignment horizontal="right"/>
    </xf>
    <xf numFmtId="0" fontId="19" fillId="0" borderId="47" applyBorder="0" applyAlignment="0" applyProtection="0">
      <alignment horizontal="center"/>
    </xf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62" fillId="5" borderId="0" applyNumberFormat="0" applyBorder="0" applyAlignment="0" applyProtection="0"/>
    <xf numFmtId="0" fontId="62" fillId="5" borderId="0" applyNumberFormat="0" applyBorder="0" applyAlignment="0" applyProtection="0"/>
    <xf numFmtId="0" fontId="81" fillId="0" borderId="0"/>
    <xf numFmtId="229" fontId="73" fillId="0" borderId="0" applyNumberFormat="0" applyFont="0" applyFill="0" applyBorder="0" applyAlignment="0" applyProtection="0">
      <alignment vertical="center"/>
    </xf>
    <xf numFmtId="37" fontId="139" fillId="0" borderId="0"/>
    <xf numFmtId="0" fontId="140" fillId="0" borderId="0"/>
    <xf numFmtId="0" fontId="52" fillId="76" borderId="0" applyNumberFormat="0" applyBorder="0" applyAlignment="0">
      <alignment horizontal="right"/>
      <protection hidden="1"/>
    </xf>
    <xf numFmtId="229" fontId="141" fillId="0" borderId="0" applyNumberFormat="0" applyFill="0" applyBorder="0" applyAlignment="0" applyProtection="0">
      <alignment vertical="center"/>
    </xf>
    <xf numFmtId="1" fontId="69" fillId="0" borderId="0"/>
    <xf numFmtId="242" fontId="142" fillId="0" borderId="0"/>
    <xf numFmtId="37" fontId="66" fillId="77" borderId="0" applyFont="0" applyFill="0" applyBorder="0" applyAlignment="0" applyProtection="0"/>
    <xf numFmtId="222" fontId="19" fillId="0" borderId="0" applyFont="0" applyFill="0" applyBorder="0" applyAlignment="0"/>
    <xf numFmtId="243" fontId="93" fillId="0" borderId="0" applyFont="0" applyFill="0" applyBorder="0" applyAlignment="0"/>
    <xf numFmtId="244" fontId="93" fillId="0" borderId="0" applyFont="0" applyFill="0" applyBorder="0" applyAlignment="0"/>
    <xf numFmtId="243" fontId="93" fillId="0" borderId="0" applyFont="0" applyFill="0" applyBorder="0" applyAlignment="0"/>
    <xf numFmtId="245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9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18"/>
    <xf numFmtId="0" fontId="36" fillId="0" borderId="0">
      <alignment vertical="top"/>
    </xf>
    <xf numFmtId="0" fontId="36" fillId="0" borderId="0">
      <alignment vertical="top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50" fillId="0" borderId="0"/>
    <xf numFmtId="0" fontId="19" fillId="0" borderId="0"/>
    <xf numFmtId="0" fontId="50" fillId="0" borderId="0"/>
    <xf numFmtId="0" fontId="86" fillId="0" borderId="0"/>
    <xf numFmtId="0" fontId="19" fillId="0" borderId="0"/>
    <xf numFmtId="227" fontId="19" fillId="0" borderId="0"/>
    <xf numFmtId="0" fontId="86" fillId="0" borderId="0"/>
    <xf numFmtId="0" fontId="86" fillId="0" borderId="0"/>
    <xf numFmtId="227" fontId="19" fillId="0" borderId="0"/>
    <xf numFmtId="0" fontId="50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7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7" fillId="0" borderId="0"/>
    <xf numFmtId="0" fontId="110" fillId="0" borderId="0"/>
    <xf numFmtId="0" fontId="19" fillId="0" borderId="0"/>
    <xf numFmtId="227" fontId="19" fillId="0" borderId="0"/>
    <xf numFmtId="227" fontId="19" fillId="0" borderId="0"/>
    <xf numFmtId="0" fontId="19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27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86" fillId="0" borderId="0"/>
    <xf numFmtId="0" fontId="63" fillId="0" borderId="0"/>
    <xf numFmtId="0" fontId="86" fillId="0" borderId="0"/>
    <xf numFmtId="0" fontId="8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" fillId="0" borderId="0"/>
    <xf numFmtId="0" fontId="86" fillId="0" borderId="0"/>
    <xf numFmtId="0" fontId="63" fillId="0" borderId="0"/>
    <xf numFmtId="0" fontId="63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0"/>
    <xf numFmtId="0" fontId="1" fillId="0" borderId="0"/>
    <xf numFmtId="0" fontId="86" fillId="0" borderId="0"/>
    <xf numFmtId="0" fontId="19" fillId="0" borderId="0"/>
    <xf numFmtId="0" fontId="63" fillId="0" borderId="0"/>
    <xf numFmtId="0" fontId="19" fillId="0" borderId="0"/>
    <xf numFmtId="0" fontId="19" fillId="0" borderId="0"/>
    <xf numFmtId="0" fontId="6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0"/>
    <xf numFmtId="0" fontId="19" fillId="0" borderId="0"/>
    <xf numFmtId="0" fontId="86" fillId="0" borderId="0"/>
    <xf numFmtId="0" fontId="63" fillId="0" borderId="0"/>
    <xf numFmtId="0" fontId="19" fillId="0" borderId="0"/>
    <xf numFmtId="0" fontId="19" fillId="0" borderId="0"/>
    <xf numFmtId="0" fontId="7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227" fontId="19" fillId="0" borderId="0"/>
    <xf numFmtId="227" fontId="19" fillId="0" borderId="0"/>
    <xf numFmtId="0" fontId="7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45" fontId="1" fillId="0" borderId="0"/>
    <xf numFmtId="0" fontId="1" fillId="0" borderId="0"/>
    <xf numFmtId="0" fontId="92" fillId="0" borderId="0"/>
    <xf numFmtId="227" fontId="19" fillId="0" borderId="0"/>
    <xf numFmtId="0" fontId="19" fillId="0" borderId="0"/>
    <xf numFmtId="227" fontId="19" fillId="0" borderId="0"/>
    <xf numFmtId="0" fontId="63" fillId="0" borderId="0"/>
    <xf numFmtId="0" fontId="1" fillId="0" borderId="0"/>
    <xf numFmtId="0" fontId="63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27" fontId="19" fillId="0" borderId="0"/>
    <xf numFmtId="0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227" fontId="19" fillId="0" borderId="0"/>
    <xf numFmtId="227" fontId="19" fillId="0" borderId="0"/>
    <xf numFmtId="0" fontId="19" fillId="0" borderId="0">
      <alignment wrapText="1"/>
    </xf>
    <xf numFmtId="0" fontId="19" fillId="0" borderId="0">
      <alignment wrapText="1"/>
    </xf>
    <xf numFmtId="0" fontId="7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0" fontId="19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/>
    <xf numFmtId="227" fontId="19" fillId="0" borderId="0"/>
    <xf numFmtId="227" fontId="19" fillId="0" borderId="0"/>
    <xf numFmtId="227" fontId="19" fillId="0" borderId="0"/>
    <xf numFmtId="0" fontId="53" fillId="0" borderId="0"/>
    <xf numFmtId="0" fontId="53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53" fillId="0" borderId="0"/>
    <xf numFmtId="0" fontId="53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227" fontId="19" fillId="0" borderId="0"/>
    <xf numFmtId="0" fontId="86" fillId="0" borderId="0"/>
    <xf numFmtId="0" fontId="19" fillId="0" borderId="0">
      <alignment wrapText="1"/>
    </xf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9" fillId="0" borderId="0">
      <alignment wrapText="1"/>
    </xf>
    <xf numFmtId="0" fontId="86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227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5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50" fillId="0" borderId="0"/>
    <xf numFmtId="0" fontId="3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36" fillId="0" borderId="0"/>
    <xf numFmtId="227" fontId="19" fillId="0" borderId="0"/>
    <xf numFmtId="0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245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1" fillId="0" borderId="0"/>
    <xf numFmtId="0" fontId="19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45" fontId="1" fillId="0" borderId="0"/>
    <xf numFmtId="0" fontId="36" fillId="0" borderId="0"/>
    <xf numFmtId="0" fontId="19" fillId="0" borderId="0"/>
    <xf numFmtId="0" fontId="19" fillId="0" borderId="0"/>
    <xf numFmtId="0" fontId="93" fillId="0" borderId="0"/>
    <xf numFmtId="0" fontId="1" fillId="0" borderId="0"/>
    <xf numFmtId="0" fontId="86" fillId="0" borderId="0"/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246" fontId="93" fillId="0" borderId="0" applyFont="0" applyFill="0" applyBorder="0" applyAlignment="0" applyProtection="0">
      <alignment horizontal="right"/>
    </xf>
    <xf numFmtId="0" fontId="144" fillId="0" borderId="0"/>
    <xf numFmtId="0" fontId="19" fillId="0" borderId="0"/>
    <xf numFmtId="0" fontId="145" fillId="0" borderId="0"/>
    <xf numFmtId="247" fontId="93" fillId="0" borderId="0" applyFont="0" applyFill="0" applyBorder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53" fillId="9" borderId="8" applyNumberFormat="0" applyFont="0" applyAlignment="0" applyProtection="0"/>
    <xf numFmtId="0" fontId="1" fillId="9" borderId="8" applyNumberFormat="0" applyFont="0" applyAlignment="0" applyProtection="0"/>
    <xf numFmtId="0" fontId="53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146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7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248" fontId="147" fillId="0" borderId="0" applyBorder="0" applyProtection="0">
      <alignment horizontal="right"/>
    </xf>
    <xf numFmtId="248" fontId="148" fillId="78" borderId="0" applyBorder="0" applyProtection="0">
      <alignment horizontal="right"/>
    </xf>
    <xf numFmtId="248" fontId="149" fillId="0" borderId="30" applyBorder="0"/>
    <xf numFmtId="248" fontId="147" fillId="0" borderId="0" applyBorder="0" applyProtection="0">
      <alignment horizontal="right"/>
    </xf>
    <xf numFmtId="249" fontId="147" fillId="0" borderId="0" applyBorder="0" applyProtection="0">
      <alignment horizontal="right"/>
    </xf>
    <xf numFmtId="249" fontId="150" fillId="78" borderId="0" applyProtection="0">
      <alignment horizontal="right"/>
    </xf>
    <xf numFmtId="37" fontId="65" fillId="0" borderId="0" applyFill="0" applyBorder="0" applyProtection="0">
      <alignment horizontal="right"/>
    </xf>
    <xf numFmtId="183" fontId="66" fillId="0" borderId="0" applyFont="0" applyFill="0" applyBorder="0" applyProtection="0">
      <alignment horizontal="right"/>
    </xf>
    <xf numFmtId="250" fontId="147" fillId="0" borderId="0" applyFill="0" applyBorder="0" applyProtection="0"/>
    <xf numFmtId="0" fontId="80" fillId="65" borderId="0">
      <alignment horizontal="right"/>
    </xf>
    <xf numFmtId="0" fontId="19" fillId="0" borderId="0">
      <alignment horizontal="right"/>
    </xf>
    <xf numFmtId="0" fontId="151" fillId="7" borderId="5" applyNumberFormat="0" applyAlignment="0" applyProtection="0"/>
    <xf numFmtId="0" fontId="151" fillId="7" borderId="5" applyNumberFormat="0" applyAlignment="0" applyProtection="0"/>
    <xf numFmtId="0" fontId="151" fillId="7" borderId="5" applyNumberFormat="0" applyAlignment="0" applyProtection="0"/>
    <xf numFmtId="0" fontId="151" fillId="7" borderId="5" applyNumberFormat="0" applyAlignment="0" applyProtection="0"/>
    <xf numFmtId="0" fontId="151" fillId="7" borderId="5" applyNumberFormat="0" applyAlignment="0" applyProtection="0"/>
    <xf numFmtId="0" fontId="8" fillId="7" borderId="5" applyNumberFormat="0" applyAlignment="0" applyProtection="0"/>
    <xf numFmtId="0" fontId="8" fillId="7" borderId="5" applyNumberFormat="0" applyAlignment="0" applyProtection="0"/>
    <xf numFmtId="0" fontId="152" fillId="0" borderId="0" applyProtection="0">
      <alignment horizontal="left"/>
    </xf>
    <xf numFmtId="0" fontId="152" fillId="0" borderId="0" applyFill="0" applyBorder="0" applyProtection="0">
      <alignment horizontal="left"/>
    </xf>
    <xf numFmtId="0" fontId="153" fillId="0" borderId="0" applyFill="0" applyBorder="0" applyProtection="0">
      <alignment horizontal="left"/>
    </xf>
    <xf numFmtId="1" fontId="154" fillId="0" borderId="0" applyProtection="0">
      <alignment horizontal="right" vertical="center"/>
    </xf>
    <xf numFmtId="229" fontId="155" fillId="0" borderId="16">
      <alignment vertical="center"/>
    </xf>
    <xf numFmtId="2" fontId="83" fillId="0" borderId="0"/>
    <xf numFmtId="167" fontId="156" fillId="0" borderId="0" applyFill="0" applyBorder="0" applyAlignment="0" applyProtection="0"/>
    <xf numFmtId="171" fontId="19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57" fillId="65" borderId="18" applyFill="0" applyBorder="0" applyAlignment="0" applyProtection="0">
      <alignment horizontal="right"/>
      <protection locked="0"/>
    </xf>
    <xf numFmtId="253" fontId="157" fillId="70" borderId="0" applyFill="0" applyBorder="0" applyAlignment="0" applyProtection="0">
      <protection hidden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254" fontId="147" fillId="0" borderId="0" applyBorder="0" applyProtection="0">
      <alignment horizontal="right"/>
    </xf>
    <xf numFmtId="254" fontId="148" fillId="78" borderId="0" applyProtection="0">
      <alignment horizontal="right"/>
    </xf>
    <xf numFmtId="254" fontId="147" fillId="0" borderId="0" applyFont="0" applyBorder="0" applyProtection="0">
      <alignment horizontal="right"/>
    </xf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5" fontId="83" fillId="0" borderId="0" applyFont="0" applyFill="0" applyBorder="0" applyProtection="0">
      <alignment horizontal="right"/>
    </xf>
    <xf numFmtId="9" fontId="19" fillId="0" borderId="0"/>
    <xf numFmtId="256" fontId="19" fillId="0" borderId="0" applyFill="0" applyBorder="0">
      <alignment horizontal="right"/>
      <protection locked="0"/>
    </xf>
    <xf numFmtId="1" fontId="69" fillId="0" borderId="0"/>
    <xf numFmtId="239" fontId="19" fillId="0" borderId="0">
      <protection locked="0"/>
    </xf>
    <xf numFmtId="167" fontId="19" fillId="0" borderId="0" applyFont="0" applyFill="0" applyBorder="0" applyAlignment="0" applyProtection="0"/>
    <xf numFmtId="199" fontId="16" fillId="0" borderId="0" applyFill="0" applyBorder="0" applyAlignment="0"/>
    <xf numFmtId="200" fontId="16" fillId="0" borderId="0" applyFill="0" applyBorder="0" applyAlignment="0"/>
    <xf numFmtId="199" fontId="16" fillId="0" borderId="0" applyFill="0" applyBorder="0" applyAlignment="0"/>
    <xf numFmtId="201" fontId="19" fillId="0" borderId="0" applyFill="0" applyBorder="0" applyAlignment="0"/>
    <xf numFmtId="200" fontId="16" fillId="0" borderId="0" applyFill="0" applyBorder="0" applyAlignment="0"/>
    <xf numFmtId="10" fontId="83" fillId="0" borderId="0"/>
    <xf numFmtId="10" fontId="83" fillId="73" borderId="0"/>
    <xf numFmtId="9" fontId="83" fillId="0" borderId="0" applyFont="0" applyFill="0" applyBorder="0" applyAlignment="0" applyProtection="0"/>
    <xf numFmtId="170" fontId="36" fillId="0" borderId="0"/>
    <xf numFmtId="257" fontId="158" fillId="70" borderId="0" applyBorder="0" applyAlignment="0">
      <protection hidden="1"/>
    </xf>
    <xf numFmtId="1" fontId="158" fillId="70" borderId="0">
      <alignment horizontal="center"/>
    </xf>
    <xf numFmtId="0" fontId="86" fillId="0" borderId="0" applyNumberFormat="0" applyFont="0" applyFill="0" applyBorder="0" applyAlignment="0" applyProtection="0">
      <alignment horizontal="left"/>
    </xf>
    <xf numFmtId="15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0" fontId="132" fillId="0" borderId="35">
      <alignment horizontal="center"/>
    </xf>
    <xf numFmtId="3" fontId="86" fillId="0" borderId="0" applyFont="0" applyFill="0" applyBorder="0" applyAlignment="0" applyProtection="0"/>
    <xf numFmtId="0" fontId="86" fillId="79" borderId="0" applyNumberFormat="0" applyFont="0" applyBorder="0" applyAlignment="0" applyProtection="0"/>
    <xf numFmtId="0" fontId="86" fillId="0" borderId="0">
      <alignment horizontal="right"/>
      <protection locked="0"/>
    </xf>
    <xf numFmtId="222" fontId="159" fillId="0" borderId="0" applyNumberFormat="0" applyFill="0" applyBorder="0" applyAlignment="0" applyProtection="0">
      <alignment horizontal="left"/>
    </xf>
    <xf numFmtId="0" fontId="160" fillId="68" borderId="0"/>
    <xf numFmtId="0" fontId="69" fillId="0" borderId="0" applyNumberFormat="0" applyFill="0" applyBorder="0" applyProtection="0">
      <alignment horizontal="right" vertical="center"/>
    </xf>
    <xf numFmtId="0" fontId="161" fillId="0" borderId="48">
      <alignment vertical="center"/>
    </xf>
    <xf numFmtId="258" fontId="19" fillId="0" borderId="0" applyFill="0" applyBorder="0">
      <alignment horizontal="right"/>
      <protection hidden="1"/>
    </xf>
    <xf numFmtId="0" fontId="162" fillId="67" borderId="18">
      <alignment horizontal="center" vertical="center" wrapText="1"/>
      <protection hidden="1"/>
    </xf>
    <xf numFmtId="0" fontId="86" fillId="80" borderId="49"/>
    <xf numFmtId="0" fontId="16" fillId="81" borderId="0" applyNumberFormat="0" applyFont="0" applyBorder="0" applyAlignment="0" applyProtection="0"/>
    <xf numFmtId="42" fontId="163" fillId="0" borderId="0" applyFill="0" applyBorder="0" applyAlignment="0" applyProtection="0"/>
    <xf numFmtId="41" fontId="164" fillId="0" borderId="0"/>
    <xf numFmtId="0" fontId="93" fillId="0" borderId="0"/>
    <xf numFmtId="0" fontId="165" fillId="0" borderId="0">
      <alignment horizontal="right"/>
    </xf>
    <xf numFmtId="0" fontId="100" fillId="0" borderId="0">
      <alignment horizontal="left"/>
    </xf>
    <xf numFmtId="167" fontId="166" fillId="0" borderId="43"/>
    <xf numFmtId="259" fontId="73" fillId="75" borderId="0" applyFont="0" applyBorder="0"/>
    <xf numFmtId="0" fontId="167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9" fillId="0" borderId="0">
      <alignment vertical="top"/>
    </xf>
    <xf numFmtId="41" fontId="19" fillId="0" borderId="0" applyFont="0" applyFill="0" applyBorder="0" applyAlignment="0" applyProtection="0"/>
    <xf numFmtId="0" fontId="52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4" fontId="19" fillId="0" borderId="0" applyFont="0" applyFill="0" applyBorder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68" fillId="81" borderId="18" applyNumberFormat="0" applyProtection="0">
      <alignment horizontal="center" vertical="center"/>
    </xf>
    <xf numFmtId="0" fontId="16" fillId="0" borderId="0">
      <alignment vertical="top"/>
    </xf>
    <xf numFmtId="0" fontId="31" fillId="81" borderId="18" applyNumberFormat="0" applyProtection="0">
      <alignment horizontal="center" vertical="center" wrapText="1"/>
    </xf>
    <xf numFmtId="0" fontId="31" fillId="81" borderId="18" applyNumberFormat="0" applyProtection="0">
      <alignment horizontal="center" vertical="center"/>
    </xf>
    <xf numFmtId="0" fontId="31" fillId="81" borderId="18" applyNumberFormat="0" applyProtection="0">
      <alignment horizontal="center" vertical="center" wrapText="1"/>
    </xf>
    <xf numFmtId="0" fontId="169" fillId="0" borderId="0" applyNumberFormat="0" applyFill="0" applyBorder="0" applyAlignment="0" applyProtection="0"/>
    <xf numFmtId="0" fontId="31" fillId="60" borderId="18" applyNumberFormat="0" applyProtection="0">
      <alignment horizontal="left" vertical="center" wrapText="1"/>
    </xf>
    <xf numFmtId="0" fontId="16" fillId="0" borderId="0">
      <alignment vertical="top"/>
    </xf>
    <xf numFmtId="0" fontId="16" fillId="0" borderId="0">
      <alignment vertical="top"/>
    </xf>
    <xf numFmtId="0" fontId="56" fillId="0" borderId="0" applyNumberFormat="0" applyFill="0" applyBorder="0" applyAlignment="0" applyProtection="0"/>
    <xf numFmtId="245" fontId="31" fillId="82" borderId="18" applyNumberFormat="0" applyProtection="0">
      <alignment horizontal="center" vertical="center" wrapText="1"/>
    </xf>
    <xf numFmtId="0" fontId="19" fillId="59" borderId="18" applyNumberFormat="0" applyProtection="0">
      <alignment horizontal="left" vertical="center" wrapText="1"/>
    </xf>
    <xf numFmtId="0" fontId="16" fillId="0" borderId="0">
      <alignment vertical="top"/>
    </xf>
    <xf numFmtId="0" fontId="31" fillId="60" borderId="18" applyNumberFormat="0" applyProtection="0">
      <alignment horizontal="left" vertical="center" wrapText="1"/>
    </xf>
    <xf numFmtId="0" fontId="16" fillId="0" borderId="0">
      <alignment vertical="top"/>
    </xf>
    <xf numFmtId="0" fontId="16" fillId="0" borderId="0">
      <alignment vertical="top"/>
    </xf>
    <xf numFmtId="0" fontId="170" fillId="83" borderId="0" applyNumberFormat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43" fontId="65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176" fontId="19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44" fontId="19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260" fontId="83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260" fontId="83" fillId="0" borderId="0" applyFon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6" fillId="0" borderId="0" applyNumberFormat="0" applyBorder="0" applyAlignment="0"/>
    <xf numFmtId="0" fontId="171" fillId="0" borderId="0" applyNumberFormat="0" applyBorder="0" applyAlignment="0"/>
    <xf numFmtId="0" fontId="172" fillId="0" borderId="0" applyNumberFormat="0" applyBorder="0" applyAlignment="0"/>
    <xf numFmtId="0" fontId="82" fillId="0" borderId="0" applyNumberFormat="0" applyFill="0" applyBorder="0" applyProtection="0">
      <alignment horizontal="left" vertical="center"/>
    </xf>
    <xf numFmtId="0" fontId="82" fillId="0" borderId="30" applyNumberFormat="0" applyFill="0" applyProtection="0">
      <alignment horizontal="left" vertical="center"/>
    </xf>
    <xf numFmtId="261" fontId="73" fillId="84" borderId="0" applyNumberFormat="0" applyFont="0" applyBorder="0">
      <alignment horizontal="center" vertical="center"/>
      <protection locked="0"/>
    </xf>
    <xf numFmtId="9" fontId="19" fillId="0" borderId="0"/>
    <xf numFmtId="0" fontId="84" fillId="0" borderId="0" applyFill="0" applyBorder="0" applyProtection="0">
      <alignment horizontal="center" vertical="center"/>
    </xf>
    <xf numFmtId="0" fontId="173" fillId="0" borderId="0" applyBorder="0" applyProtection="0">
      <alignment vertical="center"/>
    </xf>
    <xf numFmtId="170" fontId="19" fillId="0" borderId="16" applyBorder="0" applyProtection="0">
      <alignment horizontal="right" vertical="center"/>
    </xf>
    <xf numFmtId="0" fontId="174" fillId="85" borderId="0" applyBorder="0" applyProtection="0">
      <alignment horizontal="centerContinuous" vertical="center"/>
    </xf>
    <xf numFmtId="0" fontId="174" fillId="83" borderId="16" applyBorder="0" applyProtection="0">
      <alignment horizontal="centerContinuous" vertical="center"/>
    </xf>
    <xf numFmtId="0" fontId="175" fillId="0" borderId="0"/>
    <xf numFmtId="0" fontId="84" fillId="0" borderId="0" applyFill="0" applyBorder="0" applyProtection="0"/>
    <xf numFmtId="0" fontId="145" fillId="0" borderId="0"/>
    <xf numFmtId="0" fontId="176" fillId="0" borderId="0" applyFill="0" applyBorder="0" applyProtection="0">
      <alignment horizontal="left"/>
    </xf>
    <xf numFmtId="0" fontId="177" fillId="0" borderId="0" applyFill="0" applyBorder="0" applyProtection="0">
      <alignment horizontal="left" vertical="top"/>
    </xf>
    <xf numFmtId="0" fontId="18" fillId="0" borderId="0">
      <alignment horizontal="centerContinuous"/>
    </xf>
    <xf numFmtId="229" fontId="19" fillId="59" borderId="50" applyNumberFormat="0" applyAlignment="0">
      <alignment vertical="center"/>
    </xf>
    <xf numFmtId="229" fontId="178" fillId="86" borderId="51" applyNumberFormat="0" applyBorder="0" applyAlignment="0" applyProtection="0">
      <alignment vertical="center"/>
    </xf>
    <xf numFmtId="229" fontId="19" fillId="59" borderId="50" applyNumberFormat="0" applyProtection="0">
      <alignment horizontal="centerContinuous" vertical="center"/>
    </xf>
    <xf numFmtId="229" fontId="179" fillId="87" borderId="0" applyNumberFormat="0" applyBorder="0" applyAlignment="0" applyProtection="0">
      <alignment vertical="center"/>
    </xf>
    <xf numFmtId="229" fontId="19" fillId="86" borderId="0" applyBorder="0" applyAlignment="0" applyProtection="0">
      <alignment vertical="center"/>
    </xf>
    <xf numFmtId="49" fontId="65" fillId="0" borderId="16">
      <alignment vertical="center"/>
    </xf>
    <xf numFmtId="0" fontId="180" fillId="0" borderId="0"/>
    <xf numFmtId="0" fontId="181" fillId="0" borderId="0"/>
    <xf numFmtId="49" fontId="36" fillId="0" borderId="0" applyFill="0" applyBorder="0" applyAlignment="0"/>
    <xf numFmtId="262" fontId="16" fillId="0" borderId="0" applyFill="0" applyBorder="0" applyAlignment="0"/>
    <xf numFmtId="263" fontId="16" fillId="0" borderId="0" applyFill="0" applyBorder="0" applyAlignment="0"/>
    <xf numFmtId="0" fontId="68" fillId="0" borderId="0" applyNumberFormat="0" applyFont="0" applyFill="0" applyBorder="0" applyProtection="0">
      <alignment horizontal="left" vertical="top" wrapText="1"/>
    </xf>
    <xf numFmtId="18" fontId="93" fillId="0" borderId="0" applyFill="0" applyBorder="0" applyAlignment="0" applyProtection="0"/>
    <xf numFmtId="0" fontId="1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40" fontId="182" fillId="0" borderId="0"/>
    <xf numFmtId="0" fontId="183" fillId="0" borderId="0" applyNumberFormat="0" applyBorder="0" applyAlignment="0" applyProtection="0"/>
    <xf numFmtId="0" fontId="183" fillId="0" borderId="0" applyNumberFormat="0" applyBorder="0" applyAlignment="0" applyProtection="0"/>
    <xf numFmtId="0" fontId="184" fillId="0" borderId="0">
      <alignment horizontal="left"/>
    </xf>
    <xf numFmtId="264" fontId="185" fillId="83" borderId="0" applyNumberFormat="0" applyProtection="0">
      <alignment horizontal="left" vertical="center"/>
    </xf>
    <xf numFmtId="0" fontId="186" fillId="0" borderId="0" applyNumberFormat="0" applyProtection="0">
      <alignment horizontal="left" vertical="center"/>
    </xf>
    <xf numFmtId="0" fontId="86" fillId="0" borderId="0" applyBorder="0"/>
    <xf numFmtId="1" fontId="16" fillId="72" borderId="0" applyNumberFormat="0" applyFont="0" applyBorder="0" applyProtection="0">
      <alignment horizontal="left"/>
    </xf>
    <xf numFmtId="265" fontId="19" fillId="0" borderId="0" applyNumberFormat="0" applyFill="0" applyBorder="0" applyProtection="0">
      <alignment vertical="top"/>
    </xf>
    <xf numFmtId="0" fontId="1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187" fillId="0" borderId="9" applyNumberFormat="0" applyFill="0" applyAlignment="0" applyProtection="0"/>
    <xf numFmtId="39" fontId="19" fillId="0" borderId="32">
      <protection locked="0"/>
    </xf>
    <xf numFmtId="6" fontId="18" fillId="0" borderId="32" applyFill="0" applyAlignment="0" applyProtection="0"/>
    <xf numFmtId="170" fontId="70" fillId="0" borderId="52"/>
    <xf numFmtId="0" fontId="188" fillId="0" borderId="0">
      <alignment horizontal="fill"/>
    </xf>
    <xf numFmtId="266" fontId="158" fillId="70" borderId="13" applyBorder="0">
      <alignment horizontal="right" vertical="center"/>
      <protection locked="0"/>
    </xf>
    <xf numFmtId="42" fontId="19" fillId="0" borderId="0" applyFont="0" applyFill="0" applyBorder="0" applyAlignment="0" applyProtection="0"/>
    <xf numFmtId="267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65" fontId="189" fillId="86" borderId="0" applyNumberFormat="0" applyBorder="0" applyProtection="0">
      <alignment horizontal="centerContinuous"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90" fillId="0" borderId="0"/>
    <xf numFmtId="1" fontId="190" fillId="0" borderId="0"/>
    <xf numFmtId="268" fontId="83" fillId="0" borderId="0" applyFont="0" applyFill="0" applyBorder="0" applyProtection="0">
      <alignment horizontal="right"/>
    </xf>
    <xf numFmtId="269" fontId="19" fillId="0" borderId="0"/>
    <xf numFmtId="270" fontId="147" fillId="0" borderId="0" applyFill="0" applyBorder="0" applyProtection="0"/>
    <xf numFmtId="0" fontId="19" fillId="0" borderId="0">
      <alignment horizontal="center"/>
    </xf>
    <xf numFmtId="271" fontId="65" fillId="0" borderId="16">
      <alignment horizontal="right"/>
    </xf>
    <xf numFmtId="272" fontId="19" fillId="0" borderId="0" applyFont="0" applyFill="0" applyBorder="0" applyAlignment="0" applyProtection="0"/>
    <xf numFmtId="273" fontId="75" fillId="0" borderId="0" applyFont="0" applyFill="0" applyBorder="0" applyProtection="0">
      <alignment horizontal="right"/>
    </xf>
    <xf numFmtId="0" fontId="19" fillId="0" borderId="0"/>
    <xf numFmtId="43" fontId="19" fillId="0" borderId="0" applyFont="0" applyFill="0" applyBorder="0" applyAlignment="0" applyProtection="0"/>
    <xf numFmtId="245" fontId="19" fillId="0" borderId="0"/>
    <xf numFmtId="0" fontId="55" fillId="0" borderId="0"/>
    <xf numFmtId="0" fontId="29" fillId="0" borderId="0"/>
    <xf numFmtId="193" fontId="19" fillId="0" borderId="55">
      <alignment horizontal="right"/>
    </xf>
    <xf numFmtId="194" fontId="73" fillId="0" borderId="55">
      <alignment horizontal="right"/>
    </xf>
    <xf numFmtId="194" fontId="73" fillId="0" borderId="55" applyFill="0">
      <alignment horizontal="right"/>
    </xf>
    <xf numFmtId="3" fontId="19" fillId="0" borderId="55" applyFill="0">
      <alignment horizontal="right"/>
    </xf>
    <xf numFmtId="195" fontId="73" fillId="0" borderId="55" applyFill="0">
      <alignment horizontal="right"/>
    </xf>
    <xf numFmtId="197" fontId="19" fillId="0" borderId="55">
      <alignment horizontal="right"/>
      <protection locked="0"/>
    </xf>
    <xf numFmtId="6" fontId="73" fillId="0" borderId="55" applyNumberFormat="0" applyFont="0" applyBorder="0" applyProtection="0">
      <alignment horizontal="right"/>
    </xf>
    <xf numFmtId="1" fontId="79" fillId="64" borderId="56" applyNumberFormat="0" applyBorder="0" applyAlignment="0">
      <alignment horizontal="center" vertical="top" wrapText="1"/>
      <protection hidden="1"/>
    </xf>
    <xf numFmtId="0" fontId="82" fillId="0" borderId="53" applyNumberFormat="0" applyFill="0" applyAlignment="0" applyProtection="0"/>
    <xf numFmtId="0" fontId="68" fillId="0" borderId="53" applyNumberFormat="0" applyFont="0" applyFill="0" applyAlignment="0" applyProtection="0"/>
    <xf numFmtId="0" fontId="68" fillId="0" borderId="56" applyNumberFormat="0" applyFont="0" applyFill="0" applyAlignment="0" applyProtection="0"/>
    <xf numFmtId="218" fontId="66" fillId="65" borderId="54" applyFont="0" applyFill="0" applyBorder="0" applyAlignment="0" applyProtection="0"/>
    <xf numFmtId="220" fontId="70" fillId="0" borderId="53" applyFont="0" applyFill="0" applyBorder="0" applyAlignment="0" applyProtection="0"/>
    <xf numFmtId="224" fontId="86" fillId="68" borderId="56">
      <alignment horizontal="left"/>
    </xf>
    <xf numFmtId="2" fontId="134" fillId="0" borderId="53"/>
    <xf numFmtId="14" fontId="70" fillId="0" borderId="53" applyFont="0" applyFill="0" applyBorder="0" applyAlignment="0" applyProtection="0"/>
    <xf numFmtId="170" fontId="19" fillId="0" borderId="53" applyBorder="0" applyProtection="0">
      <alignment horizontal="right" vertical="center"/>
    </xf>
    <xf numFmtId="43" fontId="1" fillId="0" borderId="0" applyFont="0" applyFill="0" applyBorder="0" applyAlignment="0" applyProtection="0"/>
    <xf numFmtId="0" fontId="174" fillId="83" borderId="53" applyBorder="0" applyProtection="0">
      <alignment horizontal="centerContinuous" vertical="center"/>
    </xf>
    <xf numFmtId="49" fontId="65" fillId="0" borderId="53">
      <alignment vertical="center"/>
    </xf>
    <xf numFmtId="266" fontId="158" fillId="70" borderId="56" applyBorder="0">
      <alignment horizontal="right" vertical="center"/>
      <protection locked="0"/>
    </xf>
    <xf numFmtId="271" fontId="65" fillId="0" borderId="53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2" fillId="73" borderId="57">
      <alignment horizontal="left" vertical="center" wrapText="1"/>
    </xf>
    <xf numFmtId="8" fontId="98" fillId="0" borderId="37">
      <protection locked="0"/>
    </xf>
    <xf numFmtId="198" fontId="75" fillId="63" borderId="34"/>
    <xf numFmtId="229" fontId="178" fillId="86" borderId="51" applyNumberFormat="0" applyBorder="0" applyAlignment="0" applyProtection="0">
      <alignment vertical="center"/>
    </xf>
    <xf numFmtId="170" fontId="70" fillId="0" borderId="52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6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4" fillId="55" borderId="60" applyNumberFormat="0" applyAlignment="0" applyProtection="0"/>
    <xf numFmtId="0" fontId="41" fillId="0" borderId="25" applyNumberFormat="0" applyFill="0" applyAlignment="0" applyProtection="0"/>
    <xf numFmtId="0" fontId="42" fillId="42" borderId="60" applyNumberFormat="0" applyAlignment="0" applyProtection="0"/>
    <xf numFmtId="0" fontId="19" fillId="58" borderId="61" applyNumberFormat="0" applyFont="0" applyAlignment="0" applyProtection="0"/>
    <xf numFmtId="0" fontId="19" fillId="58" borderId="61" applyNumberFormat="0" applyFont="0" applyAlignment="0" applyProtection="0"/>
    <xf numFmtId="0" fontId="45" fillId="55" borderId="62" applyNumberFormat="0" applyAlignment="0" applyProtection="0"/>
    <xf numFmtId="0" fontId="47" fillId="0" borderId="63" applyNumberFormat="0" applyFill="0" applyAlignment="0" applyProtection="0"/>
    <xf numFmtId="0" fontId="34" fillId="55" borderId="60" applyNumberFormat="0" applyAlignment="0" applyProtection="0"/>
    <xf numFmtId="0" fontId="42" fillId="42" borderId="60" applyNumberFormat="0" applyAlignment="0" applyProtection="0"/>
    <xf numFmtId="0" fontId="19" fillId="58" borderId="61" applyNumberFormat="0" applyFont="0" applyAlignment="0" applyProtection="0"/>
    <xf numFmtId="0" fontId="19" fillId="58" borderId="61" applyNumberFormat="0" applyFont="0" applyAlignment="0" applyProtection="0"/>
    <xf numFmtId="0" fontId="45" fillId="55" borderId="62" applyNumberFormat="0" applyAlignment="0" applyProtection="0"/>
    <xf numFmtId="0" fontId="47" fillId="0" borderId="63" applyNumberFormat="0" applyFill="0" applyAlignment="0" applyProtection="0"/>
    <xf numFmtId="0" fontId="19" fillId="59" borderId="58" applyNumberFormat="0" applyProtection="0">
      <alignment horizontal="left" vertical="center"/>
    </xf>
    <xf numFmtId="0" fontId="19" fillId="59" borderId="58" applyNumberFormat="0" applyProtection="0">
      <alignment horizontal="left" vertical="center"/>
    </xf>
    <xf numFmtId="0" fontId="34" fillId="55" borderId="60" applyNumberFormat="0" applyAlignment="0" applyProtection="0"/>
    <xf numFmtId="0" fontId="42" fillId="42" borderId="60" applyNumberFormat="0" applyAlignment="0" applyProtection="0"/>
    <xf numFmtId="0" fontId="19" fillId="58" borderId="61" applyNumberFormat="0" applyFont="0" applyAlignment="0" applyProtection="0"/>
    <xf numFmtId="0" fontId="19" fillId="58" borderId="61" applyNumberFormat="0" applyFont="0" applyAlignment="0" applyProtection="0"/>
    <xf numFmtId="0" fontId="45" fillId="55" borderId="62" applyNumberFormat="0" applyAlignment="0" applyProtection="0"/>
    <xf numFmtId="0" fontId="47" fillId="0" borderId="63" applyNumberFormat="0" applyFill="0" applyAlignment="0" applyProtection="0"/>
    <xf numFmtId="0" fontId="34" fillId="55" borderId="60" applyNumberFormat="0" applyAlignment="0" applyProtection="0"/>
    <xf numFmtId="0" fontId="42" fillId="42" borderId="60" applyNumberFormat="0" applyAlignment="0" applyProtection="0"/>
    <xf numFmtId="0" fontId="19" fillId="58" borderId="61" applyNumberFormat="0" applyFont="0" applyAlignment="0" applyProtection="0"/>
    <xf numFmtId="0" fontId="19" fillId="58" borderId="61" applyNumberFormat="0" applyFont="0" applyAlignment="0" applyProtection="0"/>
    <xf numFmtId="0" fontId="45" fillId="55" borderId="62" applyNumberFormat="0" applyAlignment="0" applyProtection="0"/>
    <xf numFmtId="0" fontId="47" fillId="0" borderId="63" applyNumberFormat="0" applyFill="0" applyAlignment="0" applyProtection="0"/>
    <xf numFmtId="0" fontId="29" fillId="0" borderId="0"/>
    <xf numFmtId="0" fontId="29" fillId="0" borderId="0"/>
    <xf numFmtId="3" fontId="56" fillId="36" borderId="56">
      <alignment horizontal="center" vertical="center"/>
      <protection locked="0"/>
    </xf>
    <xf numFmtId="9" fontId="1" fillId="0" borderId="0" applyFon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204" fillId="5" borderId="0" applyNumberFormat="0" applyBorder="0" applyAlignment="0" applyProtection="0"/>
    <xf numFmtId="0" fontId="7" fillId="6" borderId="4" applyNumberFormat="0" applyAlignment="0" applyProtection="0"/>
    <xf numFmtId="0" fontId="8" fillId="7" borderId="5" applyNumberFormat="0" applyAlignment="0" applyProtection="0"/>
    <xf numFmtId="0" fontId="9" fillId="7" borderId="4" applyNumberFormat="0" applyAlignment="0" applyProtection="0"/>
    <xf numFmtId="0" fontId="10" fillId="0" borderId="6" applyNumberFormat="0" applyFill="0" applyAlignment="0" applyProtection="0"/>
    <xf numFmtId="0" fontId="11" fillId="8" borderId="7" applyNumberFormat="0" applyAlignment="0" applyProtection="0"/>
    <xf numFmtId="0" fontId="12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2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111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59" borderId="58" applyNumberFormat="0" applyProtection="0">
      <alignment horizontal="left" vertical="center"/>
    </xf>
    <xf numFmtId="0" fontId="19" fillId="59" borderId="5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5" fontId="68" fillId="0" borderId="0" applyFont="0" applyFill="0" applyBorder="0" applyAlignment="0" applyProtection="0"/>
    <xf numFmtId="8" fontId="68" fillId="0" borderId="0" applyFont="0" applyFill="0" applyBorder="0" applyAlignment="0" applyProtection="0"/>
    <xf numFmtId="42" fontId="72" fillId="0" borderId="0" applyFont="0"/>
    <xf numFmtId="42" fontId="72" fillId="0" borderId="112" applyFont="0"/>
    <xf numFmtId="41" fontId="72" fillId="0" borderId="0" applyFont="0"/>
    <xf numFmtId="6" fontId="73" fillId="0" borderId="55" applyNumberFormat="0" applyFont="0" applyBorder="0" applyProtection="0">
      <alignment horizontal="right"/>
    </xf>
    <xf numFmtId="198" fontId="75" fillId="63" borderId="113"/>
    <xf numFmtId="0" fontId="83" fillId="0" borderId="114" applyNumberFormat="0" applyFont="0" applyFill="0" applyAlignment="0" applyProtection="0"/>
    <xf numFmtId="0" fontId="84" fillId="0" borderId="115" applyNumberFormat="0" applyFont="0" applyFill="0" applyAlignment="0" applyProtection="0">
      <alignment horizontal="centerContinuous"/>
    </xf>
    <xf numFmtId="0" fontId="68" fillId="0" borderId="70" applyNumberFormat="0" applyFont="0" applyFill="0" applyAlignment="0" applyProtection="0"/>
    <xf numFmtId="170" fontId="70" fillId="0" borderId="114" applyAlignment="0">
      <alignment horizontal="right"/>
    </xf>
    <xf numFmtId="41" fontId="88" fillId="0" borderId="0" applyFont="0" applyBorder="0">
      <alignment horizontal="right"/>
    </xf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8" fontId="98" fillId="0" borderId="116"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3" fontId="93" fillId="0" borderId="117" applyFont="0" applyFill="0" applyBorder="0" applyAlignment="0" applyProtection="0"/>
    <xf numFmtId="216" fontId="64" fillId="0" borderId="118" applyNumberFormat="0" applyFill="0">
      <alignment horizontal="right"/>
    </xf>
    <xf numFmtId="216" fontId="64" fillId="0" borderId="118" applyNumberFormat="0" applyFill="0">
      <alignment horizontal="right"/>
    </xf>
    <xf numFmtId="42" fontId="101" fillId="0" borderId="0"/>
    <xf numFmtId="42" fontId="16" fillId="0" borderId="0"/>
    <xf numFmtId="42" fontId="103" fillId="0" borderId="0" applyFill="0" applyBorder="0" applyAlignment="0" applyProtection="0"/>
    <xf numFmtId="1" fontId="106" fillId="69" borderId="71" applyNumberFormat="0" applyBorder="0" applyAlignment="0">
      <alignment horizontal="centerContinuous" vertical="center"/>
      <protection locked="0"/>
    </xf>
    <xf numFmtId="167" fontId="19" fillId="71" borderId="58" applyNumberFormat="0" applyFont="0" applyBorder="0" applyAlignment="0" applyProtection="0"/>
    <xf numFmtId="0" fontId="56" fillId="0" borderId="65">
      <alignment horizontal="left" vertical="center"/>
    </xf>
    <xf numFmtId="226" fontId="72" fillId="0" borderId="119">
      <alignment horizontal="center"/>
    </xf>
    <xf numFmtId="10" fontId="93" fillId="65" borderId="58" applyNumberFormat="0" applyBorder="0" applyAlignment="0" applyProtection="0"/>
    <xf numFmtId="0" fontId="132" fillId="73" borderId="120">
      <alignment horizontal="left" vertical="center" wrapText="1"/>
    </xf>
    <xf numFmtId="0" fontId="19" fillId="0" borderId="58"/>
    <xf numFmtId="248" fontId="149" fillId="0" borderId="65" applyBorder="0"/>
    <xf numFmtId="252" fontId="157" fillId="65" borderId="58" applyFill="0" applyBorder="0" applyAlignment="0" applyProtection="0">
      <alignment horizontal="right"/>
      <protection locked="0"/>
    </xf>
    <xf numFmtId="0" fontId="132" fillId="0" borderId="114">
      <alignment horizontal="center"/>
    </xf>
    <xf numFmtId="0" fontId="162" fillId="67" borderId="58">
      <alignment horizontal="center" vertical="center" wrapText="1"/>
      <protection hidden="1"/>
    </xf>
    <xf numFmtId="42" fontId="163" fillId="0" borderId="0" applyFill="0" applyBorder="0" applyAlignment="0" applyProtection="0"/>
    <xf numFmtId="41" fontId="164" fillId="0" borderId="0"/>
    <xf numFmtId="167" fontId="166" fillId="0" borderId="119"/>
    <xf numFmtId="4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68" fillId="81" borderId="58" applyNumberFormat="0" applyProtection="0">
      <alignment horizontal="center" vertical="center"/>
    </xf>
    <xf numFmtId="0" fontId="31" fillId="81" borderId="58" applyNumberFormat="0" applyProtection="0">
      <alignment horizontal="center" vertical="center" wrapText="1"/>
    </xf>
    <xf numFmtId="0" fontId="31" fillId="81" borderId="58" applyNumberFormat="0" applyProtection="0">
      <alignment horizontal="center" vertical="center"/>
    </xf>
    <xf numFmtId="0" fontId="31" fillId="81" borderId="58" applyNumberFormat="0" applyProtection="0">
      <alignment horizontal="center" vertical="center" wrapText="1"/>
    </xf>
    <xf numFmtId="0" fontId="31" fillId="60" borderId="58" applyNumberFormat="0" applyProtection="0">
      <alignment horizontal="left" vertical="center" wrapText="1"/>
    </xf>
    <xf numFmtId="245" fontId="31" fillId="82" borderId="58" applyNumberFormat="0" applyProtection="0">
      <alignment horizontal="center" vertical="center" wrapText="1"/>
    </xf>
    <xf numFmtId="0" fontId="19" fillId="59" borderId="58" applyNumberFormat="0" applyProtection="0">
      <alignment horizontal="left" vertical="center" wrapText="1"/>
    </xf>
    <xf numFmtId="0" fontId="31" fillId="60" borderId="58" applyNumberFormat="0" applyProtection="0">
      <alignment horizontal="left" vertical="center" wrapText="1"/>
    </xf>
    <xf numFmtId="43" fontId="65" fillId="0" borderId="0" applyFont="0" applyFill="0" applyBorder="0" applyAlignment="0" applyProtection="0"/>
    <xf numFmtId="44" fontId="19" fillId="0" borderId="0" applyFont="0" applyFill="0" applyBorder="0" applyAlignment="0" applyProtection="0"/>
    <xf numFmtId="229" fontId="19" fillId="59" borderId="121" applyNumberFormat="0" applyAlignment="0">
      <alignment vertical="center"/>
    </xf>
    <xf numFmtId="229" fontId="178" fillId="86" borderId="122" applyNumberFormat="0" applyBorder="0" applyAlignment="0" applyProtection="0">
      <alignment vertical="center"/>
    </xf>
    <xf numFmtId="229" fontId="19" fillId="59" borderId="121" applyNumberFormat="0" applyProtection="0">
      <alignment horizontal="centerContinuous" vertical="center"/>
    </xf>
    <xf numFmtId="39" fontId="19" fillId="0" borderId="112">
      <protection locked="0"/>
    </xf>
    <xf numFmtId="6" fontId="18" fillId="0" borderId="112" applyFill="0" applyAlignment="0" applyProtection="0"/>
    <xf numFmtId="170" fontId="70" fillId="0" borderId="123"/>
    <xf numFmtId="43" fontId="19" fillId="0" borderId="0" applyFont="0" applyFill="0" applyBorder="0" applyAlignment="0" applyProtection="0"/>
    <xf numFmtId="6" fontId="73" fillId="0" borderId="55" applyNumberFormat="0" applyFont="0" applyBorder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2" fillId="73" borderId="120">
      <alignment horizontal="left" vertical="center" wrapText="1"/>
    </xf>
    <xf numFmtId="8" fontId="98" fillId="0" borderId="116">
      <protection locked="0"/>
    </xf>
    <xf numFmtId="198" fontId="75" fillId="63" borderId="113"/>
    <xf numFmtId="229" fontId="178" fillId="86" borderId="122" applyNumberFormat="0" applyBorder="0" applyAlignment="0" applyProtection="0">
      <alignment vertical="center"/>
    </xf>
    <xf numFmtId="170" fontId="70" fillId="0" borderId="123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4" fillId="55" borderId="21" applyNumberFormat="0" applyAlignment="0" applyProtection="0"/>
    <xf numFmtId="0" fontId="41" fillId="0" borderId="111" applyNumberFormat="0" applyFill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0" fontId="34" fillId="55" borderId="21" applyNumberFormat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0" fontId="34" fillId="55" borderId="21" applyNumberFormat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0" fontId="34" fillId="55" borderId="21" applyNumberFormat="0" applyAlignment="0" applyProtection="0"/>
    <xf numFmtId="0" fontId="42" fillId="42" borderId="21" applyNumberFormat="0" applyAlignment="0" applyProtection="0"/>
    <xf numFmtId="0" fontId="19" fillId="58" borderId="27" applyNumberFormat="0" applyFont="0" applyAlignment="0" applyProtection="0"/>
    <xf numFmtId="0" fontId="19" fillId="58" borderId="27" applyNumberFormat="0" applyFont="0" applyAlignment="0" applyProtection="0"/>
    <xf numFmtId="0" fontId="45" fillId="55" borderId="28" applyNumberFormat="0" applyAlignment="0" applyProtection="0"/>
    <xf numFmtId="0" fontId="47" fillId="0" borderId="29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55" borderId="131" applyNumberFormat="0" applyAlignment="0" applyProtection="0"/>
    <xf numFmtId="0" fontId="42" fillId="42" borderId="131" applyNumberFormat="0" applyAlignment="0" applyProtection="0"/>
    <xf numFmtId="0" fontId="19" fillId="58" borderId="132" applyNumberFormat="0" applyFont="0" applyAlignment="0" applyProtection="0"/>
    <xf numFmtId="0" fontId="19" fillId="58" borderId="132" applyNumberFormat="0" applyFont="0" applyAlignment="0" applyProtection="0"/>
    <xf numFmtId="0" fontId="45" fillId="55" borderId="133" applyNumberFormat="0" applyAlignment="0" applyProtection="0"/>
    <xf numFmtId="0" fontId="47" fillId="0" borderId="134" applyNumberFormat="0" applyFill="0" applyAlignment="0" applyProtection="0"/>
    <xf numFmtId="0" fontId="34" fillId="55" borderId="131" applyNumberFormat="0" applyAlignment="0" applyProtection="0"/>
    <xf numFmtId="0" fontId="42" fillId="42" borderId="131" applyNumberFormat="0" applyAlignment="0" applyProtection="0"/>
    <xf numFmtId="0" fontId="19" fillId="58" borderId="132" applyNumberFormat="0" applyFont="0" applyAlignment="0" applyProtection="0"/>
    <xf numFmtId="0" fontId="19" fillId="58" borderId="132" applyNumberFormat="0" applyFont="0" applyAlignment="0" applyProtection="0"/>
    <xf numFmtId="0" fontId="45" fillId="55" borderId="133" applyNumberFormat="0" applyAlignment="0" applyProtection="0"/>
    <xf numFmtId="0" fontId="47" fillId="0" borderId="134" applyNumberFormat="0" applyFill="0" applyAlignment="0" applyProtection="0"/>
    <xf numFmtId="0" fontId="34" fillId="55" borderId="131" applyNumberFormat="0" applyAlignment="0" applyProtection="0"/>
    <xf numFmtId="0" fontId="42" fillId="42" borderId="131" applyNumberFormat="0" applyAlignment="0" applyProtection="0"/>
    <xf numFmtId="0" fontId="19" fillId="58" borderId="132" applyNumberFormat="0" applyFont="0" applyAlignment="0" applyProtection="0"/>
    <xf numFmtId="0" fontId="19" fillId="58" borderId="132" applyNumberFormat="0" applyFont="0" applyAlignment="0" applyProtection="0"/>
    <xf numFmtId="0" fontId="45" fillId="55" borderId="133" applyNumberFormat="0" applyAlignment="0" applyProtection="0"/>
    <xf numFmtId="0" fontId="47" fillId="0" borderId="134" applyNumberFormat="0" applyFill="0" applyAlignment="0" applyProtection="0"/>
    <xf numFmtId="0" fontId="34" fillId="55" borderId="131" applyNumberFormat="0" applyAlignment="0" applyProtection="0"/>
    <xf numFmtId="0" fontId="42" fillId="42" borderId="131" applyNumberFormat="0" applyAlignment="0" applyProtection="0"/>
    <xf numFmtId="0" fontId="19" fillId="58" borderId="132" applyNumberFormat="0" applyFont="0" applyAlignment="0" applyProtection="0"/>
    <xf numFmtId="0" fontId="19" fillId="58" borderId="132" applyNumberFormat="0" applyFont="0" applyAlignment="0" applyProtection="0"/>
    <xf numFmtId="0" fontId="45" fillId="55" borderId="133" applyNumberFormat="0" applyAlignment="0" applyProtection="0"/>
    <xf numFmtId="0" fontId="47" fillId="0" borderId="134" applyNumberFormat="0" applyFill="0" applyAlignment="0" applyProtection="0"/>
    <xf numFmtId="0" fontId="19" fillId="60" borderId="131" applyNumberFormat="0">
      <alignment horizontal="centerContinuous" vertical="center" wrapText="1"/>
    </xf>
    <xf numFmtId="0" fontId="19" fillId="61" borderId="131" applyNumberFormat="0">
      <alignment horizontal="left" vertical="center"/>
    </xf>
    <xf numFmtId="42" fontId="72" fillId="0" borderId="135" applyFont="0"/>
    <xf numFmtId="198" fontId="75" fillId="63" borderId="136"/>
    <xf numFmtId="0" fontId="68" fillId="0" borderId="125" applyNumberFormat="0" applyFont="0" applyFill="0" applyAlignment="0" applyProtection="0"/>
    <xf numFmtId="0" fontId="34" fillId="55" borderId="131" applyNumberFormat="0" applyAlignment="0" applyProtection="0"/>
    <xf numFmtId="0" fontId="19" fillId="58" borderId="132" applyNumberFormat="0" applyFont="0" applyAlignment="0" applyProtection="0"/>
    <xf numFmtId="8" fontId="98" fillId="0" borderId="137">
      <protection locked="0"/>
    </xf>
    <xf numFmtId="0" fontId="42" fillId="42" borderId="131" applyNumberFormat="0" applyAlignment="0" applyProtection="0"/>
    <xf numFmtId="1" fontId="106" fillId="69" borderId="126" applyNumberFormat="0" applyBorder="0" applyAlignment="0">
      <alignment horizontal="centerContinuous" vertical="center"/>
      <protection locked="0"/>
    </xf>
    <xf numFmtId="0" fontId="56" fillId="0" borderId="67" applyNumberFormat="0" applyAlignment="0" applyProtection="0">
      <alignment horizontal="left" vertical="center"/>
    </xf>
    <xf numFmtId="0" fontId="56" fillId="0" borderId="124">
      <alignment horizontal="left" vertical="center"/>
    </xf>
    <xf numFmtId="229" fontId="19" fillId="65" borderId="44" applyNumberFormat="0" applyFont="0" applyBorder="0" applyAlignment="0">
      <alignment horizontal="right" vertical="center"/>
      <protection locked="0"/>
    </xf>
    <xf numFmtId="0" fontId="132" fillId="73" borderId="138">
      <alignment horizontal="left" vertical="center" wrapText="1"/>
    </xf>
    <xf numFmtId="248" fontId="149" fillId="0" borderId="124" applyBorder="0"/>
    <xf numFmtId="0" fontId="161" fillId="0" borderId="48">
      <alignment vertical="center"/>
    </xf>
    <xf numFmtId="0" fontId="86" fillId="80" borderId="49"/>
    <xf numFmtId="39" fontId="19" fillId="0" borderId="135">
      <protection locked="0"/>
    </xf>
    <xf numFmtId="6" fontId="18" fillId="0" borderId="135" applyFill="0" applyAlignment="0" applyProtection="0"/>
    <xf numFmtId="8" fontId="98" fillId="0" borderId="137">
      <protection locked="0"/>
    </xf>
    <xf numFmtId="198" fontId="75" fillId="63" borderId="136"/>
    <xf numFmtId="44" fontId="1" fillId="0" borderId="0" applyFont="0" applyFill="0" applyBorder="0" applyAlignment="0" applyProtection="0"/>
  </cellStyleXfs>
  <cellXfs count="899">
    <xf numFmtId="0" fontId="0" fillId="0" borderId="0" xfId="0"/>
    <xf numFmtId="0" fontId="0" fillId="0" borderId="0" xfId="0" applyAlignment="1">
      <alignment wrapText="1"/>
    </xf>
    <xf numFmtId="17" fontId="0" fillId="0" borderId="0" xfId="0" applyNumberFormat="1"/>
    <xf numFmtId="164" fontId="0" fillId="0" borderId="0" xfId="1" applyNumberFormat="1" applyFont="1"/>
    <xf numFmtId="17" fontId="0" fillId="0" borderId="0" xfId="0" applyNumberFormat="1" applyAlignment="1">
      <alignment wrapText="1"/>
    </xf>
    <xf numFmtId="164" fontId="0" fillId="0" borderId="0" xfId="1" applyNumberFormat="1" applyFont="1" applyAlignment="1">
      <alignment wrapText="1"/>
    </xf>
    <xf numFmtId="0" fontId="0" fillId="0" borderId="0" xfId="1" applyNumberFormat="1" applyFont="1" applyAlignment="1">
      <alignment wrapText="1"/>
    </xf>
    <xf numFmtId="164" fontId="0" fillId="2" borderId="0" xfId="1" applyNumberFormat="1" applyFont="1" applyFill="1" applyAlignment="1">
      <alignment wrapText="1"/>
    </xf>
    <xf numFmtId="2" fontId="0" fillId="0" borderId="0" xfId="0" applyNumberFormat="1"/>
    <xf numFmtId="0" fontId="16" fillId="0" borderId="0" xfId="3"/>
    <xf numFmtId="3" fontId="16" fillId="0" borderId="0" xfId="3" applyNumberFormat="1"/>
    <xf numFmtId="0" fontId="20" fillId="0" borderId="0" xfId="3" applyFont="1"/>
    <xf numFmtId="0" fontId="21" fillId="0" borderId="0" xfId="3" applyFont="1"/>
    <xf numFmtId="165" fontId="0" fillId="0" borderId="0" xfId="5" applyFont="1" applyAlignment="1">
      <alignment horizontal="center"/>
    </xf>
    <xf numFmtId="165" fontId="0" fillId="0" borderId="0" xfId="5" applyFont="1"/>
    <xf numFmtId="165" fontId="21" fillId="0" borderId="0" xfId="5" applyFont="1"/>
    <xf numFmtId="0" fontId="0" fillId="0" borderId="0" xfId="0" applyAlignment="1">
      <alignment horizontal="center"/>
    </xf>
    <xf numFmtId="167" fontId="0" fillId="0" borderId="0" xfId="0" applyNumberFormat="1"/>
    <xf numFmtId="167" fontId="0" fillId="0" borderId="0" xfId="2" applyNumberFormat="1" applyFont="1"/>
    <xf numFmtId="17" fontId="21" fillId="0" borderId="0" xfId="0" applyNumberFormat="1" applyFont="1"/>
    <xf numFmtId="165" fontId="23" fillId="0" borderId="0" xfId="5" applyFont="1"/>
    <xf numFmtId="17" fontId="23" fillId="0" borderId="0" xfId="0" applyNumberFormat="1" applyFont="1"/>
    <xf numFmtId="0" fontId="23" fillId="0" borderId="0" xfId="0" applyFont="1"/>
    <xf numFmtId="165" fontId="24" fillId="0" borderId="0" xfId="5" applyFont="1"/>
    <xf numFmtId="165" fontId="0" fillId="0" borderId="0" xfId="5" applyFont="1" applyAlignment="1"/>
    <xf numFmtId="166" fontId="0" fillId="0" borderId="0" xfId="5" applyNumberFormat="1" applyFont="1"/>
    <xf numFmtId="10" fontId="0" fillId="0" borderId="0" xfId="2" applyNumberFormat="1" applyFont="1"/>
    <xf numFmtId="166" fontId="23" fillId="0" borderId="0" xfId="5" applyNumberFormat="1" applyFont="1"/>
    <xf numFmtId="17" fontId="24" fillId="0" borderId="0" xfId="0" applyNumberFormat="1" applyFont="1"/>
    <xf numFmtId="0" fontId="24" fillId="0" borderId="0" xfId="0" applyFont="1"/>
    <xf numFmtId="166" fontId="24" fillId="0" borderId="0" xfId="5" applyNumberFormat="1" applyFont="1"/>
    <xf numFmtId="0" fontId="0" fillId="0" borderId="14" xfId="0" applyBorder="1"/>
    <xf numFmtId="0" fontId="21" fillId="0" borderId="0" xfId="0" applyFont="1" applyAlignment="1">
      <alignment horizontal="center"/>
    </xf>
    <xf numFmtId="167" fontId="0" fillId="0" borderId="0" xfId="7" applyNumberFormat="1" applyFont="1" applyBorder="1"/>
    <xf numFmtId="0" fontId="25" fillId="0" borderId="0" xfId="6" applyFont="1"/>
    <xf numFmtId="167" fontId="0" fillId="0" borderId="0" xfId="7" applyNumberFormat="1" applyFont="1" applyFill="1" applyBorder="1"/>
    <xf numFmtId="0" fontId="27" fillId="0" borderId="0" xfId="0" applyFont="1" applyAlignment="1">
      <alignment horizontal="right" vertical="center"/>
    </xf>
    <xf numFmtId="0" fontId="22" fillId="0" borderId="0" xfId="8"/>
    <xf numFmtId="10" fontId="0" fillId="0" borderId="0" xfId="0" applyNumberFormat="1"/>
    <xf numFmtId="10" fontId="0" fillId="0" borderId="14" xfId="0" applyNumberFormat="1" applyBorder="1"/>
    <xf numFmtId="17" fontId="27" fillId="0" borderId="0" xfId="0" applyNumberFormat="1" applyFont="1" applyAlignment="1">
      <alignment horizontal="left" vertical="center" wrapText="1"/>
    </xf>
    <xf numFmtId="4" fontId="27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horizontal="left" vertical="center"/>
    </xf>
    <xf numFmtId="169" fontId="25" fillId="0" borderId="0" xfId="6" applyNumberFormat="1" applyFont="1"/>
    <xf numFmtId="10" fontId="25" fillId="0" borderId="0" xfId="6" applyNumberFormat="1" applyFont="1"/>
    <xf numFmtId="17" fontId="0" fillId="35" borderId="0" xfId="0" applyNumberFormat="1" applyFill="1" applyAlignment="1">
      <alignment wrapText="1"/>
    </xf>
    <xf numFmtId="164" fontId="0" fillId="35" borderId="0" xfId="1" applyNumberFormat="1" applyFont="1" applyFill="1" applyAlignment="1">
      <alignment wrapText="1"/>
    </xf>
    <xf numFmtId="164" fontId="0" fillId="0" borderId="0" xfId="0" applyNumberFormat="1"/>
    <xf numFmtId="164" fontId="0" fillId="0" borderId="0" xfId="1" applyNumberFormat="1" applyFont="1" applyBorder="1"/>
    <xf numFmtId="0" fontId="14" fillId="0" borderId="56" xfId="1851" applyFont="1" applyBorder="1"/>
    <xf numFmtId="0" fontId="14" fillId="0" borderId="71" xfId="1851" applyFont="1" applyBorder="1"/>
    <xf numFmtId="15" fontId="0" fillId="0" borderId="0" xfId="0" applyNumberFormat="1"/>
    <xf numFmtId="0" fontId="58" fillId="90" borderId="75" xfId="1851" applyFont="1" applyFill="1" applyBorder="1" applyAlignment="1">
      <alignment horizontal="center"/>
    </xf>
    <xf numFmtId="166" fontId="53" fillId="0" borderId="72" xfId="1851" applyNumberFormat="1" applyFont="1" applyBorder="1" applyAlignment="1">
      <alignment vertical="top"/>
    </xf>
    <xf numFmtId="3" fontId="200" fillId="90" borderId="98" xfId="6" applyNumberFormat="1" applyFont="1" applyFill="1" applyBorder="1"/>
    <xf numFmtId="3" fontId="19" fillId="36" borderId="0" xfId="6" applyNumberFormat="1" applyFill="1"/>
    <xf numFmtId="167" fontId="19" fillId="36" borderId="0" xfId="7" applyNumberFormat="1" applyFont="1" applyFill="1"/>
    <xf numFmtId="0" fontId="193" fillId="90" borderId="92" xfId="6" applyFont="1" applyFill="1" applyBorder="1" applyAlignment="1">
      <alignment horizontal="center" vertical="center" wrapText="1"/>
    </xf>
    <xf numFmtId="0" fontId="193" fillId="90" borderId="91" xfId="6" applyFont="1" applyFill="1" applyBorder="1" applyAlignment="1">
      <alignment horizontal="center" vertical="center" wrapText="1"/>
    </xf>
    <xf numFmtId="0" fontId="193" fillId="90" borderId="90" xfId="6" applyFont="1" applyFill="1" applyBorder="1" applyAlignment="1">
      <alignment horizontal="center" vertical="center"/>
    </xf>
    <xf numFmtId="3" fontId="193" fillId="90" borderId="98" xfId="6" applyNumberFormat="1" applyFont="1" applyFill="1" applyBorder="1"/>
    <xf numFmtId="3" fontId="200" fillId="90" borderId="97" xfId="6" applyNumberFormat="1" applyFont="1" applyFill="1" applyBorder="1"/>
    <xf numFmtId="3" fontId="193" fillId="90" borderId="97" xfId="6" applyNumberFormat="1" applyFont="1" applyFill="1" applyBorder="1"/>
    <xf numFmtId="0" fontId="193" fillId="90" borderId="101" xfId="6" applyFont="1" applyFill="1" applyBorder="1" applyAlignment="1">
      <alignment horizontal="center"/>
    </xf>
    <xf numFmtId="0" fontId="31" fillId="36" borderId="100" xfId="6" applyFont="1" applyFill="1" applyBorder="1" applyAlignment="1">
      <alignment horizontal="center"/>
    </xf>
    <xf numFmtId="3" fontId="19" fillId="36" borderId="93" xfId="6" applyNumberFormat="1" applyFill="1" applyBorder="1"/>
    <xf numFmtId="0" fontId="31" fillId="36" borderId="79" xfId="6" applyFont="1" applyFill="1" applyBorder="1" applyAlignment="1">
      <alignment horizontal="center"/>
    </xf>
    <xf numFmtId="0" fontId="193" fillId="90" borderId="92" xfId="6" applyFont="1" applyFill="1" applyBorder="1" applyAlignment="1">
      <alignment vertical="center"/>
    </xf>
    <xf numFmtId="0" fontId="200" fillId="90" borderId="91" xfId="6" applyFont="1" applyFill="1" applyBorder="1" applyAlignment="1">
      <alignment vertical="center"/>
    </xf>
    <xf numFmtId="0" fontId="193" fillId="90" borderId="91" xfId="6" applyFont="1" applyFill="1" applyBorder="1" applyAlignment="1">
      <alignment vertical="center"/>
    </xf>
    <xf numFmtId="0" fontId="193" fillId="90" borderId="90" xfId="6" applyFont="1" applyFill="1" applyBorder="1" applyAlignment="1">
      <alignment horizontal="center"/>
    </xf>
    <xf numFmtId="0" fontId="56" fillId="36" borderId="0" xfId="6" applyFont="1" applyFill="1"/>
    <xf numFmtId="9" fontId="19" fillId="0" borderId="0" xfId="4568" applyFont="1"/>
    <xf numFmtId="166" fontId="19" fillId="0" borderId="0" xfId="4" applyNumberFormat="1" applyFont="1" applyAlignment="1">
      <alignment horizontal="center"/>
    </xf>
    <xf numFmtId="166" fontId="51" fillId="0" borderId="0" xfId="4" applyNumberFormat="1" applyFont="1" applyFill="1"/>
    <xf numFmtId="279" fontId="51" fillId="0" borderId="0" xfId="4569" applyNumberFormat="1" applyFont="1"/>
    <xf numFmtId="166" fontId="61" fillId="0" borderId="0" xfId="4" applyNumberFormat="1" applyFont="1" applyFill="1"/>
    <xf numFmtId="279" fontId="61" fillId="0" borderId="0" xfId="4569" applyNumberFormat="1" applyFont="1" applyFill="1"/>
    <xf numFmtId="279" fontId="51" fillId="0" borderId="0" xfId="4569" applyNumberFormat="1" applyFont="1" applyFill="1"/>
    <xf numFmtId="279" fontId="61" fillId="0" borderId="0" xfId="4569" applyNumberFormat="1" applyFont="1"/>
    <xf numFmtId="166" fontId="51" fillId="0" borderId="0" xfId="4" applyNumberFormat="1" applyFont="1"/>
    <xf numFmtId="164" fontId="31" fillId="0" borderId="0" xfId="4569" applyNumberFormat="1" applyFont="1" applyAlignment="1">
      <alignment horizontal="center"/>
    </xf>
    <xf numFmtId="191" fontId="31" fillId="0" borderId="0" xfId="6" applyNumberFormat="1" applyFont="1" applyAlignment="1">
      <alignment horizontal="center"/>
    </xf>
    <xf numFmtId="0" fontId="31" fillId="0" borderId="0" xfId="6" applyFont="1" applyAlignment="1">
      <alignment horizontal="center"/>
    </xf>
    <xf numFmtId="0" fontId="51" fillId="0" borderId="0" xfId="6" applyFont="1"/>
    <xf numFmtId="3" fontId="51" fillId="0" borderId="0" xfId="6" applyNumberFormat="1" applyFont="1"/>
    <xf numFmtId="0" fontId="197" fillId="0" borderId="0" xfId="6" applyFont="1" applyAlignment="1">
      <alignment horizontal="right"/>
    </xf>
    <xf numFmtId="0" fontId="197" fillId="0" borderId="0" xfId="6" applyFont="1" applyAlignment="1">
      <alignment horizontal="center" vertical="center" wrapText="1"/>
    </xf>
    <xf numFmtId="0" fontId="193" fillId="0" borderId="0" xfId="6" applyFont="1"/>
    <xf numFmtId="0" fontId="197" fillId="36" borderId="0" xfId="6" applyFont="1" applyFill="1" applyAlignment="1">
      <alignment horizontal="center" vertical="center" wrapText="1"/>
    </xf>
    <xf numFmtId="0" fontId="193" fillId="36" borderId="0" xfId="6" applyFont="1" applyFill="1" applyAlignment="1">
      <alignment horizontal="center"/>
    </xf>
    <xf numFmtId="0" fontId="53" fillId="36" borderId="0" xfId="1851" applyFont="1" applyFill="1"/>
    <xf numFmtId="0" fontId="19" fillId="36" borderId="0" xfId="6" applyFill="1"/>
    <xf numFmtId="0" fontId="193" fillId="90" borderId="0" xfId="6" applyFont="1" applyFill="1" applyAlignment="1">
      <alignment horizontal="center" vertical="center" wrapText="1"/>
    </xf>
    <xf numFmtId="0" fontId="193" fillId="90" borderId="0" xfId="6" applyFont="1" applyFill="1" applyAlignment="1">
      <alignment horizontal="center" vertical="center"/>
    </xf>
    <xf numFmtId="0" fontId="197" fillId="90" borderId="0" xfId="6" applyFont="1" applyFill="1" applyAlignment="1">
      <alignment horizontal="center" vertical="center" wrapText="1"/>
    </xf>
    <xf numFmtId="170" fontId="24" fillId="0" borderId="0" xfId="0" applyNumberFormat="1" applyFont="1"/>
    <xf numFmtId="164" fontId="24" fillId="0" borderId="0" xfId="1" applyNumberFormat="1" applyFont="1"/>
    <xf numFmtId="164" fontId="196" fillId="0" borderId="0" xfId="1" applyNumberFormat="1" applyFont="1"/>
    <xf numFmtId="167" fontId="53" fillId="0" borderId="0" xfId="59" applyNumberFormat="1" applyFont="1"/>
    <xf numFmtId="0" fontId="53" fillId="0" borderId="0" xfId="59" applyFont="1"/>
    <xf numFmtId="167" fontId="19" fillId="0" borderId="0" xfId="4570" applyNumberFormat="1" applyFont="1"/>
    <xf numFmtId="3" fontId="53" fillId="0" borderId="0" xfId="59" applyNumberFormat="1" applyFont="1"/>
    <xf numFmtId="0" fontId="53" fillId="0" borderId="0" xfId="59" applyFont="1" applyAlignment="1">
      <alignment horizontal="right"/>
    </xf>
    <xf numFmtId="0" fontId="59" fillId="90" borderId="0" xfId="59" applyFont="1" applyFill="1" applyAlignment="1">
      <alignment horizontal="right"/>
    </xf>
    <xf numFmtId="0" fontId="59" fillId="90" borderId="0" xfId="59" applyFont="1" applyFill="1"/>
    <xf numFmtId="0" fontId="19" fillId="0" borderId="0" xfId="3" applyFont="1"/>
    <xf numFmtId="172" fontId="0" fillId="0" borderId="0" xfId="0" applyNumberFormat="1"/>
    <xf numFmtId="278" fontId="0" fillId="0" borderId="0" xfId="1" applyNumberFormat="1" applyFont="1"/>
    <xf numFmtId="0" fontId="59" fillId="90" borderId="83" xfId="1851" applyFont="1" applyFill="1" applyBorder="1" applyAlignment="1">
      <alignment horizontal="center" vertical="center"/>
    </xf>
    <xf numFmtId="166" fontId="58" fillId="90" borderId="87" xfId="5" applyNumberFormat="1" applyFont="1" applyFill="1" applyBorder="1"/>
    <xf numFmtId="166" fontId="53" fillId="0" borderId="64" xfId="5" applyNumberFormat="1" applyFont="1" applyFill="1" applyBorder="1" applyAlignment="1">
      <alignment horizontal="right" vertical="center"/>
    </xf>
    <xf numFmtId="0" fontId="58" fillId="90" borderId="64" xfId="1851" applyFont="1" applyFill="1" applyBorder="1" applyAlignment="1">
      <alignment horizontal="center"/>
    </xf>
    <xf numFmtId="0" fontId="58" fillId="90" borderId="64" xfId="1851" applyFont="1" applyFill="1" applyBorder="1" applyAlignment="1">
      <alignment horizontal="center" vertical="center"/>
    </xf>
    <xf numFmtId="170" fontId="55" fillId="0" borderId="58" xfId="6" applyNumberFormat="1" applyFont="1" applyBorder="1" applyAlignment="1">
      <alignment horizontal="right" vertical="center"/>
    </xf>
    <xf numFmtId="166" fontId="55" fillId="0" borderId="58" xfId="6" applyNumberFormat="1" applyFont="1" applyBorder="1"/>
    <xf numFmtId="0" fontId="55" fillId="0" borderId="0" xfId="6" applyFont="1"/>
    <xf numFmtId="166" fontId="58" fillId="90" borderId="82" xfId="5" applyNumberFormat="1" applyFont="1" applyFill="1" applyBorder="1"/>
    <xf numFmtId="166" fontId="58" fillId="90" borderId="80" xfId="5" applyNumberFormat="1" applyFont="1" applyFill="1" applyBorder="1"/>
    <xf numFmtId="166" fontId="58" fillId="90" borderId="89" xfId="5" applyNumberFormat="1" applyFont="1" applyFill="1" applyBorder="1"/>
    <xf numFmtId="0" fontId="58" fillId="90" borderId="81" xfId="6" applyFont="1" applyFill="1" applyBorder="1"/>
    <xf numFmtId="0" fontId="55" fillId="0" borderId="58" xfId="6" applyFont="1" applyBorder="1" applyAlignment="1">
      <alignment horizontal="right" vertical="center"/>
    </xf>
    <xf numFmtId="166" fontId="58" fillId="90" borderId="87" xfId="1851" applyNumberFormat="1" applyFont="1" applyFill="1" applyBorder="1"/>
    <xf numFmtId="166" fontId="58" fillId="90" borderId="81" xfId="5" applyNumberFormat="1" applyFont="1" applyFill="1" applyBorder="1"/>
    <xf numFmtId="167" fontId="58" fillId="90" borderId="81" xfId="4572" applyNumberFormat="1" applyFont="1" applyFill="1" applyBorder="1"/>
    <xf numFmtId="166" fontId="58" fillId="90" borderId="81" xfId="1851" applyNumberFormat="1" applyFont="1" applyFill="1" applyBorder="1"/>
    <xf numFmtId="166" fontId="58" fillId="90" borderId="80" xfId="1851" applyNumberFormat="1" applyFont="1" applyFill="1" applyBorder="1"/>
    <xf numFmtId="0" fontId="58" fillId="90" borderId="86" xfId="1851" applyFont="1" applyFill="1" applyBorder="1" applyAlignment="1">
      <alignment wrapText="1"/>
    </xf>
    <xf numFmtId="166" fontId="53" fillId="0" borderId="85" xfId="1851" applyNumberFormat="1" applyFont="1" applyBorder="1" applyAlignment="1">
      <alignment vertical="top"/>
    </xf>
    <xf numFmtId="166" fontId="53" fillId="0" borderId="79" xfId="1851" applyNumberFormat="1" applyFont="1" applyBorder="1" applyAlignment="1">
      <alignment vertical="top"/>
    </xf>
    <xf numFmtId="0" fontId="53" fillId="0" borderId="84" xfId="1851" applyFont="1" applyBorder="1" applyAlignment="1">
      <alignment vertical="center" wrapText="1"/>
    </xf>
    <xf numFmtId="166" fontId="53" fillId="0" borderId="64" xfId="1851" applyNumberFormat="1" applyFont="1" applyBorder="1" applyAlignment="1">
      <alignment vertical="top"/>
    </xf>
    <xf numFmtId="166" fontId="53" fillId="0" borderId="78" xfId="1851" applyNumberFormat="1" applyFont="1" applyBorder="1" applyAlignment="1">
      <alignment vertical="top"/>
    </xf>
    <xf numFmtId="166" fontId="53" fillId="0" borderId="58" xfId="1851" applyNumberFormat="1" applyFont="1" applyBorder="1" applyAlignment="1">
      <alignment vertical="top"/>
    </xf>
    <xf numFmtId="167" fontId="53" fillId="0" borderId="58" xfId="4572" applyNumberFormat="1" applyFont="1" applyBorder="1" applyAlignment="1">
      <alignment vertical="top"/>
    </xf>
    <xf numFmtId="166" fontId="53" fillId="0" borderId="77" xfId="1851" applyNumberFormat="1" applyFont="1" applyBorder="1" applyAlignment="1">
      <alignment vertical="top"/>
    </xf>
    <xf numFmtId="0" fontId="53" fillId="0" borderId="83" xfId="1851" applyFont="1" applyBorder="1" applyAlignment="1">
      <alignment vertical="center" wrapText="1"/>
    </xf>
    <xf numFmtId="0" fontId="58" fillId="90" borderId="64" xfId="1851" applyFont="1" applyFill="1" applyBorder="1" applyAlignment="1">
      <alignment horizontal="center" vertical="center" wrapText="1"/>
    </xf>
    <xf numFmtId="0" fontId="58" fillId="90" borderId="78" xfId="1851" applyFont="1" applyFill="1" applyBorder="1" applyAlignment="1">
      <alignment horizontal="center" vertical="center" wrapText="1"/>
    </xf>
    <xf numFmtId="0" fontId="58" fillId="90" borderId="77" xfId="1851" applyFont="1" applyFill="1" applyBorder="1" applyAlignment="1">
      <alignment horizontal="center" vertical="center" wrapText="1"/>
    </xf>
    <xf numFmtId="0" fontId="59" fillId="90" borderId="83" xfId="1851" applyFont="1" applyFill="1" applyBorder="1" applyAlignment="1">
      <alignment vertical="center" wrapText="1"/>
    </xf>
    <xf numFmtId="164" fontId="58" fillId="90" borderId="82" xfId="4573" applyNumberFormat="1" applyFont="1" applyFill="1" applyBorder="1"/>
    <xf numFmtId="164" fontId="58" fillId="90" borderId="81" xfId="4573" applyNumberFormat="1" applyFont="1" applyFill="1" applyBorder="1"/>
    <xf numFmtId="166" fontId="53" fillId="0" borderId="78" xfId="1851" applyNumberFormat="1" applyFont="1" applyBorder="1"/>
    <xf numFmtId="166" fontId="53" fillId="0" borderId="58" xfId="1851" applyNumberFormat="1" applyFont="1" applyBorder="1"/>
    <xf numFmtId="164" fontId="53" fillId="0" borderId="58" xfId="4573" applyNumberFormat="1" applyFont="1" applyBorder="1"/>
    <xf numFmtId="164" fontId="30" fillId="0" borderId="0" xfId="1" applyNumberFormat="1" applyFont="1" applyFill="1" applyBorder="1"/>
    <xf numFmtId="164" fontId="54" fillId="0" borderId="0" xfId="1" applyNumberFormat="1" applyFont="1" applyBorder="1"/>
    <xf numFmtId="164" fontId="55" fillId="0" borderId="0" xfId="1" applyNumberFormat="1" applyFont="1" applyBorder="1"/>
    <xf numFmtId="164" fontId="57" fillId="0" borderId="0" xfId="1" applyNumberFormat="1" applyFont="1" applyBorder="1" applyAlignment="1">
      <alignment horizontal="right" vertical="center"/>
    </xf>
    <xf numFmtId="0" fontId="54" fillId="0" borderId="73" xfId="1851" applyFont="1" applyBorder="1"/>
    <xf numFmtId="0" fontId="54" fillId="0" borderId="88" xfId="1851" applyFont="1" applyBorder="1"/>
    <xf numFmtId="164" fontId="53" fillId="0" borderId="69" xfId="1" applyNumberFormat="1" applyFont="1" applyBorder="1"/>
    <xf numFmtId="10" fontId="53" fillId="0" borderId="98" xfId="2" applyNumberFormat="1" applyFont="1" applyBorder="1"/>
    <xf numFmtId="10" fontId="53" fillId="0" borderId="97" xfId="2" applyNumberFormat="1" applyFont="1" applyBorder="1"/>
    <xf numFmtId="0" fontId="53" fillId="0" borderId="96" xfId="1851" applyFont="1" applyBorder="1"/>
    <xf numFmtId="10" fontId="53" fillId="0" borderId="93" xfId="2" applyNumberFormat="1" applyFont="1" applyBorder="1"/>
    <xf numFmtId="164" fontId="53" fillId="0" borderId="93" xfId="1851" applyNumberFormat="1" applyFont="1" applyBorder="1"/>
    <xf numFmtId="0" fontId="53" fillId="0" borderId="93" xfId="1851" applyFont="1" applyBorder="1"/>
    <xf numFmtId="0" fontId="53" fillId="0" borderId="88" xfId="1851" applyFont="1" applyBorder="1"/>
    <xf numFmtId="0" fontId="53" fillId="0" borderId="74" xfId="1851" applyFont="1" applyBorder="1"/>
    <xf numFmtId="0" fontId="53" fillId="0" borderId="69" xfId="1851" applyFont="1" applyBorder="1" applyAlignment="1">
      <alignment horizontal="center"/>
    </xf>
    <xf numFmtId="0" fontId="53" fillId="0" borderId="73" xfId="1851" applyFont="1" applyBorder="1"/>
    <xf numFmtId="164" fontId="53" fillId="0" borderId="0" xfId="1" applyNumberFormat="1" applyFont="1" applyBorder="1"/>
    <xf numFmtId="166" fontId="53" fillId="0" borderId="78" xfId="5" applyNumberFormat="1" applyFont="1" applyBorder="1" applyAlignment="1">
      <alignment horizontal="right" vertical="center"/>
    </xf>
    <xf numFmtId="166" fontId="53" fillId="0" borderId="77" xfId="5" applyNumberFormat="1" applyFont="1" applyFill="1" applyBorder="1" applyAlignment="1">
      <alignment horizontal="right" vertical="center"/>
    </xf>
    <xf numFmtId="0" fontId="58" fillId="90" borderId="77" xfId="1851" applyFont="1" applyFill="1" applyBorder="1" applyAlignment="1">
      <alignment horizontal="center"/>
    </xf>
    <xf numFmtId="0" fontId="58" fillId="90" borderId="77" xfId="1851" applyFont="1" applyFill="1" applyBorder="1" applyAlignment="1">
      <alignment horizontal="center" vertical="center"/>
    </xf>
    <xf numFmtId="166" fontId="53" fillId="0" borderId="59" xfId="5" applyNumberFormat="1" applyFont="1" applyBorder="1" applyAlignment="1">
      <alignment horizontal="right" vertical="center"/>
    </xf>
    <xf numFmtId="0" fontId="58" fillId="90" borderId="59" xfId="1851" applyFont="1" applyFill="1" applyBorder="1" applyAlignment="1">
      <alignment horizontal="center"/>
    </xf>
    <xf numFmtId="0" fontId="58" fillId="90" borderId="59" xfId="1851" applyFont="1" applyFill="1" applyBorder="1" applyAlignment="1">
      <alignment horizontal="center" vertical="center"/>
    </xf>
    <xf numFmtId="3" fontId="195" fillId="0" borderId="0" xfId="1851" applyNumberFormat="1" applyFont="1" applyAlignment="1">
      <alignment horizontal="right" vertical="center"/>
    </xf>
    <xf numFmtId="3" fontId="54" fillId="0" borderId="0" xfId="1851" applyNumberFormat="1" applyFont="1"/>
    <xf numFmtId="0" fontId="55" fillId="0" borderId="0" xfId="1851" applyFont="1"/>
    <xf numFmtId="166" fontId="55" fillId="88" borderId="0" xfId="4575" applyNumberFormat="1" applyFont="1" applyFill="1" applyBorder="1"/>
    <xf numFmtId="0" fontId="55" fillId="88" borderId="56" xfId="1851" applyFont="1" applyFill="1" applyBorder="1"/>
    <xf numFmtId="166" fontId="55" fillId="0" borderId="0" xfId="4575" applyNumberFormat="1" applyFont="1" applyBorder="1"/>
    <xf numFmtId="170" fontId="53" fillId="0" borderId="0" xfId="1851" applyNumberFormat="1" applyFont="1" applyAlignment="1">
      <alignment horizontal="center"/>
    </xf>
    <xf numFmtId="0" fontId="54" fillId="0" borderId="70" xfId="1851" applyFont="1" applyBorder="1"/>
    <xf numFmtId="0" fontId="55" fillId="0" borderId="70" xfId="1851" applyFont="1" applyBorder="1" applyAlignment="1">
      <alignment horizontal="center"/>
    </xf>
    <xf numFmtId="0" fontId="55" fillId="0" borderId="17" xfId="1851" applyFont="1" applyBorder="1"/>
    <xf numFmtId="0" fontId="55" fillId="0" borderId="53" xfId="1851" applyFont="1" applyBorder="1"/>
    <xf numFmtId="0" fontId="55" fillId="0" borderId="15" xfId="1851" applyFont="1" applyBorder="1"/>
    <xf numFmtId="166" fontId="30" fillId="0" borderId="53" xfId="1851" applyNumberFormat="1" applyFont="1" applyBorder="1"/>
    <xf numFmtId="0" fontId="30" fillId="0" borderId="53" xfId="1851" applyFont="1" applyBorder="1"/>
    <xf numFmtId="10" fontId="30" fillId="0" borderId="0" xfId="4574" applyNumberFormat="1" applyFont="1" applyFill="1" applyBorder="1"/>
    <xf numFmtId="10" fontId="30" fillId="0" borderId="14" xfId="4572" applyNumberFormat="1" applyFont="1" applyBorder="1" applyAlignment="1">
      <alignment horizontal="right" vertical="center"/>
    </xf>
    <xf numFmtId="10" fontId="30" fillId="0" borderId="56" xfId="4574" applyNumberFormat="1" applyFont="1" applyBorder="1"/>
    <xf numFmtId="166" fontId="30" fillId="0" borderId="0" xfId="1851" applyNumberFormat="1" applyFont="1"/>
    <xf numFmtId="0" fontId="30" fillId="0" borderId="0" xfId="1851" applyFont="1"/>
    <xf numFmtId="166" fontId="30" fillId="0" borderId="56" xfId="1851" applyNumberFormat="1" applyFont="1" applyBorder="1"/>
    <xf numFmtId="10" fontId="55" fillId="0" borderId="0" xfId="4572" applyNumberFormat="1" applyFont="1"/>
    <xf numFmtId="0" fontId="55" fillId="0" borderId="56" xfId="1851" applyFont="1" applyBorder="1" applyAlignment="1">
      <alignment horizontal="center"/>
    </xf>
    <xf numFmtId="0" fontId="55" fillId="0" borderId="14" xfId="1851" applyFont="1" applyBorder="1"/>
    <xf numFmtId="0" fontId="30" fillId="0" borderId="14" xfId="1851" applyFont="1" applyBorder="1"/>
    <xf numFmtId="10" fontId="30" fillId="0" borderId="0" xfId="4574" applyNumberFormat="1" applyFont="1"/>
    <xf numFmtId="10" fontId="30" fillId="0" borderId="14" xfId="4574" applyNumberFormat="1" applyFont="1" applyBorder="1"/>
    <xf numFmtId="10" fontId="55" fillId="0" borderId="0" xfId="4574" applyNumberFormat="1" applyFont="1" applyBorder="1"/>
    <xf numFmtId="0" fontId="55" fillId="0" borderId="56" xfId="1851" applyFont="1" applyBorder="1" applyAlignment="1">
      <alignment horizontal="right"/>
    </xf>
    <xf numFmtId="166" fontId="30" fillId="0" borderId="14" xfId="1851" applyNumberFormat="1" applyFont="1" applyBorder="1"/>
    <xf numFmtId="166" fontId="55" fillId="0" borderId="0" xfId="4575" applyNumberFormat="1" applyFont="1" applyBorder="1" applyAlignment="1">
      <alignment vertical="top" wrapText="1"/>
    </xf>
    <xf numFmtId="0" fontId="55" fillId="0" borderId="56" xfId="1851" applyFont="1" applyBorder="1"/>
    <xf numFmtId="0" fontId="55" fillId="0" borderId="0" xfId="1851" applyFont="1" applyAlignment="1">
      <alignment horizontal="center"/>
    </xf>
    <xf numFmtId="0" fontId="30" fillId="0" borderId="14" xfId="1851" applyFont="1" applyBorder="1" applyAlignment="1">
      <alignment horizontal="center"/>
    </xf>
    <xf numFmtId="0" fontId="30" fillId="0" borderId="0" xfId="4575" applyNumberFormat="1" applyFont="1" applyBorder="1"/>
    <xf numFmtId="0" fontId="30" fillId="0" borderId="56" xfId="1851" applyFont="1" applyBorder="1"/>
    <xf numFmtId="0" fontId="55" fillId="0" borderId="72" xfId="1851" applyFont="1" applyBorder="1"/>
    <xf numFmtId="0" fontId="55" fillId="0" borderId="70" xfId="1851" applyFont="1" applyBorder="1"/>
    <xf numFmtId="0" fontId="55" fillId="0" borderId="71" xfId="1851" applyFont="1" applyBorder="1"/>
    <xf numFmtId="189" fontId="30" fillId="0" borderId="0" xfId="5" applyNumberFormat="1" applyFont="1"/>
    <xf numFmtId="0" fontId="55" fillId="88" borderId="0" xfId="1851" applyFont="1" applyFill="1"/>
    <xf numFmtId="10" fontId="55" fillId="0" borderId="0" xfId="1851" applyNumberFormat="1" applyFont="1"/>
    <xf numFmtId="10" fontId="55" fillId="0" borderId="0" xfId="1851" applyNumberFormat="1" applyFont="1" applyAlignment="1">
      <alignment horizontal="center"/>
    </xf>
    <xf numFmtId="0" fontId="54" fillId="0" borderId="0" xfId="1851" applyFont="1" applyAlignment="1">
      <alignment horizontal="center"/>
    </xf>
    <xf numFmtId="166" fontId="1" fillId="0" borderId="0" xfId="1851" applyNumberFormat="1"/>
    <xf numFmtId="0" fontId="30" fillId="0" borderId="0" xfId="0" applyFont="1"/>
    <xf numFmtId="170" fontId="12" fillId="0" borderId="0" xfId="0" applyNumberFormat="1" applyFont="1"/>
    <xf numFmtId="0" fontId="194" fillId="0" borderId="0" xfId="0" applyFont="1"/>
    <xf numFmtId="0" fontId="193" fillId="90" borderId="0" xfId="6" applyFont="1" applyFill="1" applyAlignment="1">
      <alignment horizontal="center"/>
    </xf>
    <xf numFmtId="10" fontId="20" fillId="0" borderId="0" xfId="7" applyNumberFormat="1" applyFont="1"/>
    <xf numFmtId="168" fontId="20" fillId="0" borderId="0" xfId="4" applyNumberFormat="1" applyFont="1"/>
    <xf numFmtId="165" fontId="16" fillId="0" borderId="0" xfId="3" applyNumberFormat="1"/>
    <xf numFmtId="0" fontId="193" fillId="90" borderId="64" xfId="6" applyFont="1" applyFill="1" applyBorder="1" applyAlignment="1">
      <alignment horizontal="center" vertical="center"/>
    </xf>
    <xf numFmtId="0" fontId="193" fillId="90" borderId="65" xfId="6" applyFont="1" applyFill="1" applyBorder="1" applyAlignment="1">
      <alignment horizontal="center" vertical="center"/>
    </xf>
    <xf numFmtId="0" fontId="193" fillId="90" borderId="59" xfId="6" applyFont="1" applyFill="1" applyBorder="1" applyAlignment="1">
      <alignment horizontal="center" vertical="center"/>
    </xf>
    <xf numFmtId="166" fontId="0" fillId="0" borderId="72" xfId="4573" applyNumberFormat="1" applyFont="1" applyBorder="1"/>
    <xf numFmtId="10" fontId="1" fillId="0" borderId="14" xfId="1851" applyNumberFormat="1" applyBorder="1"/>
    <xf numFmtId="10" fontId="1" fillId="0" borderId="0" xfId="1851" applyNumberFormat="1"/>
    <xf numFmtId="10" fontId="1" fillId="0" borderId="0" xfId="2" applyNumberFormat="1" applyBorder="1"/>
    <xf numFmtId="167" fontId="1" fillId="0" borderId="72" xfId="1851" applyNumberFormat="1" applyBorder="1"/>
    <xf numFmtId="167" fontId="1" fillId="0" borderId="70" xfId="1851" applyNumberFormat="1" applyBorder="1"/>
    <xf numFmtId="167" fontId="1" fillId="0" borderId="17" xfId="1851" applyNumberFormat="1" applyBorder="1"/>
    <xf numFmtId="167" fontId="1" fillId="0" borderId="53" xfId="1851" applyNumberFormat="1" applyBorder="1"/>
    <xf numFmtId="167" fontId="0" fillId="89" borderId="14" xfId="4572" applyNumberFormat="1" applyFont="1" applyFill="1" applyBorder="1"/>
    <xf numFmtId="167" fontId="0" fillId="89" borderId="0" xfId="4572" applyNumberFormat="1" applyFont="1" applyFill="1" applyBorder="1"/>
    <xf numFmtId="167" fontId="1" fillId="0" borderId="14" xfId="1851" applyNumberFormat="1" applyBorder="1"/>
    <xf numFmtId="167" fontId="1" fillId="0" borderId="0" xfId="1851" applyNumberFormat="1"/>
    <xf numFmtId="167" fontId="0" fillId="89" borderId="72" xfId="4572" applyNumberFormat="1" applyFont="1" applyFill="1" applyBorder="1"/>
    <xf numFmtId="167" fontId="0" fillId="89" borderId="70" xfId="4572" applyNumberFormat="1" applyFont="1" applyFill="1" applyBorder="1"/>
    <xf numFmtId="0" fontId="14" fillId="0" borderId="70" xfId="1851" applyFont="1" applyBorder="1"/>
    <xf numFmtId="0" fontId="14" fillId="0" borderId="53" xfId="1851" applyFont="1" applyBorder="1"/>
    <xf numFmtId="0" fontId="14" fillId="0" borderId="0" xfId="1851" applyFont="1"/>
    <xf numFmtId="168" fontId="1" fillId="0" borderId="0" xfId="1851" applyNumberFormat="1"/>
    <xf numFmtId="166" fontId="0" fillId="0" borderId="17" xfId="4573" applyNumberFormat="1" applyFont="1" applyBorder="1"/>
    <xf numFmtId="43" fontId="1" fillId="0" borderId="0" xfId="1851" applyNumberFormat="1"/>
    <xf numFmtId="166" fontId="0" fillId="89" borderId="14" xfId="4573" applyNumberFormat="1" applyFont="1" applyFill="1" applyBorder="1"/>
    <xf numFmtId="166" fontId="0" fillId="89" borderId="0" xfId="4573" applyNumberFormat="1" applyFont="1" applyFill="1" applyBorder="1"/>
    <xf numFmtId="0" fontId="14" fillId="0" borderId="0" xfId="1851" applyFont="1" applyAlignment="1">
      <alignment vertical="center"/>
    </xf>
    <xf numFmtId="0" fontId="1" fillId="0" borderId="0" xfId="1851"/>
    <xf numFmtId="0" fontId="1" fillId="0" borderId="70" xfId="1851" applyBorder="1" applyAlignment="1">
      <alignment horizontal="left"/>
    </xf>
    <xf numFmtId="0" fontId="0" fillId="0" borderId="56" xfId="0" applyBorder="1"/>
    <xf numFmtId="0" fontId="0" fillId="0" borderId="71" xfId="0" applyBorder="1"/>
    <xf numFmtId="0" fontId="0" fillId="0" borderId="72" xfId="0" applyBorder="1"/>
    <xf numFmtId="0" fontId="0" fillId="0" borderId="70" xfId="0" applyBorder="1"/>
    <xf numFmtId="0" fontId="54" fillId="36" borderId="56" xfId="1851" applyFont="1" applyFill="1" applyBorder="1"/>
    <xf numFmtId="166" fontId="53" fillId="36" borderId="0" xfId="1851" applyNumberFormat="1" applyFont="1" applyFill="1"/>
    <xf numFmtId="166" fontId="54" fillId="36" borderId="0" xfId="1851" applyNumberFormat="1" applyFont="1" applyFill="1"/>
    <xf numFmtId="166" fontId="54" fillId="36" borderId="17" xfId="1851" applyNumberFormat="1" applyFont="1" applyFill="1" applyBorder="1"/>
    <xf numFmtId="166" fontId="54" fillId="36" borderId="53" xfId="1851" applyNumberFormat="1" applyFont="1" applyFill="1" applyBorder="1"/>
    <xf numFmtId="166" fontId="54" fillId="36" borderId="15" xfId="1851" applyNumberFormat="1" applyFont="1" applyFill="1" applyBorder="1"/>
    <xf numFmtId="0" fontId="54" fillId="36" borderId="53" xfId="1851" applyFont="1" applyFill="1" applyBorder="1"/>
    <xf numFmtId="0" fontId="53" fillId="36" borderId="15" xfId="1851" applyFont="1" applyFill="1" applyBorder="1"/>
    <xf numFmtId="166" fontId="53" fillId="36" borderId="14" xfId="5" applyNumberFormat="1" applyFont="1" applyFill="1" applyBorder="1"/>
    <xf numFmtId="166" fontId="53" fillId="36" borderId="56" xfId="5" applyNumberFormat="1" applyFont="1" applyFill="1" applyBorder="1"/>
    <xf numFmtId="0" fontId="53" fillId="36" borderId="56" xfId="1851" applyFont="1" applyFill="1" applyBorder="1"/>
    <xf numFmtId="166" fontId="53" fillId="36" borderId="0" xfId="5" applyNumberFormat="1" applyFont="1" applyFill="1" applyBorder="1"/>
    <xf numFmtId="166" fontId="53" fillId="36" borderId="72" xfId="5" applyNumberFormat="1" applyFont="1" applyFill="1" applyBorder="1"/>
    <xf numFmtId="166" fontId="53" fillId="36" borderId="70" xfId="5" applyNumberFormat="1" applyFont="1" applyFill="1" applyBorder="1"/>
    <xf numFmtId="166" fontId="53" fillId="36" borderId="71" xfId="5" applyNumberFormat="1" applyFont="1" applyFill="1" applyBorder="1"/>
    <xf numFmtId="0" fontId="53" fillId="36" borderId="70" xfId="1851" applyFont="1" applyFill="1" applyBorder="1"/>
    <xf numFmtId="0" fontId="53" fillId="36" borderId="71" xfId="1851" applyFont="1" applyFill="1" applyBorder="1"/>
    <xf numFmtId="0" fontId="193" fillId="90" borderId="17" xfId="6" applyFont="1" applyFill="1" applyBorder="1" applyAlignment="1">
      <alignment horizontal="center" vertical="center"/>
    </xf>
    <xf numFmtId="0" fontId="193" fillId="90" borderId="53" xfId="6" applyFont="1" applyFill="1" applyBorder="1" applyAlignment="1">
      <alignment horizontal="center" vertical="center"/>
    </xf>
    <xf numFmtId="0" fontId="193" fillId="90" borderId="15" xfId="6" applyFont="1" applyFill="1" applyBorder="1" applyAlignment="1">
      <alignment horizontal="center" vertical="center"/>
    </xf>
    <xf numFmtId="9" fontId="0" fillId="89" borderId="0" xfId="4572" applyFont="1" applyFill="1"/>
    <xf numFmtId="10" fontId="1" fillId="89" borderId="0" xfId="1851" applyNumberFormat="1" applyFill="1"/>
    <xf numFmtId="3" fontId="1" fillId="0" borderId="0" xfId="1851" applyNumberFormat="1"/>
    <xf numFmtId="164" fontId="14" fillId="0" borderId="0" xfId="1851" applyNumberFormat="1" applyFont="1"/>
    <xf numFmtId="9" fontId="0" fillId="0" borderId="0" xfId="4572" applyFont="1" applyAlignment="1">
      <alignment horizontal="center"/>
    </xf>
    <xf numFmtId="164" fontId="1" fillId="0" borderId="0" xfId="1851" applyNumberFormat="1"/>
    <xf numFmtId="0" fontId="1" fillId="0" borderId="17" xfId="1851" applyBorder="1"/>
    <xf numFmtId="167" fontId="0" fillId="0" borderId="53" xfId="4572" applyNumberFormat="1" applyFont="1" applyBorder="1"/>
    <xf numFmtId="167" fontId="0" fillId="0" borderId="0" xfId="4572" applyNumberFormat="1" applyFont="1" applyBorder="1"/>
    <xf numFmtId="167" fontId="0" fillId="0" borderId="70" xfId="4572" applyNumberFormat="1" applyFont="1" applyBorder="1"/>
    <xf numFmtId="0" fontId="1" fillId="0" borderId="71" xfId="1851" applyBorder="1"/>
    <xf numFmtId="0" fontId="1" fillId="0" borderId="15" xfId="1851" applyBorder="1"/>
    <xf numFmtId="166" fontId="1" fillId="0" borderId="14" xfId="1851" applyNumberFormat="1" applyBorder="1"/>
    <xf numFmtId="0" fontId="1" fillId="0" borderId="14" xfId="1851" applyBorder="1"/>
    <xf numFmtId="0" fontId="1" fillId="0" borderId="56" xfId="1851" applyBorder="1"/>
    <xf numFmtId="165" fontId="1" fillId="0" borderId="0" xfId="1851" applyNumberFormat="1"/>
    <xf numFmtId="9" fontId="0" fillId="0" borderId="0" xfId="4572" applyFont="1"/>
    <xf numFmtId="166" fontId="14" fillId="0" borderId="0" xfId="1851" applyNumberFormat="1" applyFont="1"/>
    <xf numFmtId="0" fontId="1" fillId="0" borderId="0" xfId="1851" applyAlignment="1">
      <alignment horizontal="center"/>
    </xf>
    <xf numFmtId="275" fontId="0" fillId="0" borderId="0" xfId="4572" applyNumberFormat="1" applyFont="1" applyAlignment="1">
      <alignment horizontal="center"/>
    </xf>
    <xf numFmtId="167" fontId="0" fillId="0" borderId="0" xfId="4572" applyNumberFormat="1" applyFont="1"/>
    <xf numFmtId="165" fontId="1" fillId="0" borderId="70" xfId="1851" applyNumberFormat="1" applyBorder="1"/>
    <xf numFmtId="166" fontId="0" fillId="0" borderId="53" xfId="4573" applyNumberFormat="1" applyFont="1" applyBorder="1"/>
    <xf numFmtId="0" fontId="1" fillId="0" borderId="53" xfId="1851" applyBorder="1"/>
    <xf numFmtId="0" fontId="14" fillId="0" borderId="53" xfId="1851" applyFont="1" applyBorder="1" applyAlignment="1">
      <alignment vertical="center"/>
    </xf>
    <xf numFmtId="166" fontId="0" fillId="0" borderId="14" xfId="4573" applyNumberFormat="1" applyFont="1" applyBorder="1"/>
    <xf numFmtId="166" fontId="0" fillId="0" borderId="0" xfId="4573" applyNumberFormat="1" applyFont="1" applyFill="1" applyBorder="1"/>
    <xf numFmtId="166" fontId="0" fillId="0" borderId="0" xfId="4573" applyNumberFormat="1" applyFont="1" applyBorder="1"/>
    <xf numFmtId="166" fontId="1" fillId="91" borderId="72" xfId="1851" applyNumberFormat="1" applyFill="1" applyBorder="1"/>
    <xf numFmtId="166" fontId="1" fillId="91" borderId="70" xfId="1851" applyNumberFormat="1" applyFill="1" applyBorder="1"/>
    <xf numFmtId="166" fontId="0" fillId="0" borderId="70" xfId="4573" applyNumberFormat="1" applyFont="1" applyBorder="1"/>
    <xf numFmtId="0" fontId="1" fillId="0" borderId="70" xfId="1851" applyBorder="1"/>
    <xf numFmtId="0" fontId="14" fillId="0" borderId="70" xfId="1851" applyFont="1" applyBorder="1" applyAlignment="1">
      <alignment vertical="center"/>
    </xf>
    <xf numFmtId="0" fontId="1" fillId="0" borderId="58" xfId="1851" applyBorder="1"/>
    <xf numFmtId="9" fontId="1" fillId="0" borderId="0" xfId="1851" applyNumberFormat="1"/>
    <xf numFmtId="166" fontId="1" fillId="0" borderId="0" xfId="1851" applyNumberFormat="1" applyAlignment="1">
      <alignment horizontal="left"/>
    </xf>
    <xf numFmtId="166" fontId="0" fillId="0" borderId="0" xfId="4573" applyNumberFormat="1" applyFont="1"/>
    <xf numFmtId="164" fontId="19" fillId="0" borderId="0" xfId="1" applyNumberFormat="1" applyFont="1"/>
    <xf numFmtId="166" fontId="0" fillId="0" borderId="0" xfId="4" applyNumberFormat="1" applyFont="1" applyFill="1" applyAlignment="1">
      <alignment horizontal="right"/>
    </xf>
    <xf numFmtId="170" fontId="0" fillId="0" borderId="0" xfId="0" applyNumberFormat="1"/>
    <xf numFmtId="10" fontId="53" fillId="0" borderId="0" xfId="2" applyNumberFormat="1" applyFont="1" applyBorder="1"/>
    <xf numFmtId="167" fontId="53" fillId="0" borderId="0" xfId="1851" applyNumberFormat="1" applyFont="1"/>
    <xf numFmtId="167" fontId="21" fillId="0" borderId="0" xfId="2" applyNumberFormat="1" applyFont="1"/>
    <xf numFmtId="164" fontId="11" fillId="34" borderId="10" xfId="1" applyNumberFormat="1" applyFont="1" applyFill="1" applyBorder="1" applyAlignment="1" applyProtection="1">
      <alignment horizontal="center" vertical="center" wrapText="1"/>
      <protection locked="0"/>
    </xf>
    <xf numFmtId="164" fontId="21" fillId="0" borderId="0" xfId="1" applyNumberFormat="1" applyFont="1"/>
    <xf numFmtId="164" fontId="21" fillId="0" borderId="0" xfId="3" applyNumberFormat="1" applyFont="1"/>
    <xf numFmtId="0" fontId="21" fillId="0" borderId="0" xfId="3" applyFont="1" applyAlignment="1">
      <alignment horizontal="right"/>
    </xf>
    <xf numFmtId="166" fontId="21" fillId="0" borderId="0" xfId="3" applyNumberFormat="1" applyFont="1"/>
    <xf numFmtId="0" fontId="11" fillId="34" borderId="10" xfId="3" applyFont="1" applyFill="1" applyBorder="1" applyAlignment="1" applyProtection="1">
      <alignment horizontal="center" vertical="center" wrapText="1"/>
      <protection locked="0"/>
    </xf>
    <xf numFmtId="0" fontId="21" fillId="0" borderId="0" xfId="3" applyFont="1" applyAlignment="1">
      <alignment horizontal="center" vertical="center" wrapText="1"/>
    </xf>
    <xf numFmtId="10" fontId="21" fillId="0" borderId="0" xfId="2" applyNumberFormat="1" applyFont="1"/>
    <xf numFmtId="164" fontId="1" fillId="0" borderId="0" xfId="4" applyNumberFormat="1" applyFont="1"/>
    <xf numFmtId="164" fontId="1" fillId="0" borderId="0" xfId="1" applyNumberFormat="1" applyFont="1"/>
    <xf numFmtId="166" fontId="1" fillId="0" borderId="0" xfId="4" applyNumberFormat="1" applyFont="1"/>
    <xf numFmtId="0" fontId="11" fillId="34" borderId="10" xfId="0" applyFont="1" applyFill="1" applyBorder="1" applyAlignment="1" applyProtection="1">
      <alignment horizontal="center" vertical="center" wrapText="1"/>
      <protection locked="0"/>
    </xf>
    <xf numFmtId="164" fontId="16" fillId="0" borderId="0" xfId="1" applyNumberFormat="1" applyFont="1"/>
    <xf numFmtId="0" fontId="53" fillId="0" borderId="0" xfId="1851" applyFont="1"/>
    <xf numFmtId="166" fontId="53" fillId="0" borderId="0" xfId="1851" applyNumberFormat="1" applyFont="1"/>
    <xf numFmtId="0" fontId="58" fillId="90" borderId="78" xfId="1851" applyFont="1" applyFill="1" applyBorder="1" applyAlignment="1">
      <alignment horizontal="center"/>
    </xf>
    <xf numFmtId="0" fontId="58" fillId="90" borderId="58" xfId="1851" applyFont="1" applyFill="1" applyBorder="1" applyAlignment="1">
      <alignment horizontal="center"/>
    </xf>
    <xf numFmtId="0" fontId="58" fillId="90" borderId="78" xfId="1851" applyFont="1" applyFill="1" applyBorder="1" applyAlignment="1">
      <alignment horizontal="center" vertical="center"/>
    </xf>
    <xf numFmtId="0" fontId="58" fillId="90" borderId="58" xfId="1851" applyFont="1" applyFill="1" applyBorder="1" applyAlignment="1">
      <alignment horizontal="center" vertical="center" wrapText="1"/>
    </xf>
    <xf numFmtId="3" fontId="53" fillId="0" borderId="0" xfId="1851" applyNumberFormat="1" applyFont="1"/>
    <xf numFmtId="166" fontId="53" fillId="0" borderId="53" xfId="1851" applyNumberFormat="1" applyFont="1" applyBorder="1"/>
    <xf numFmtId="0" fontId="53" fillId="0" borderId="17" xfId="1851" applyFont="1" applyBorder="1"/>
    <xf numFmtId="0" fontId="53" fillId="0" borderId="53" xfId="1851" applyFont="1" applyBorder="1"/>
    <xf numFmtId="9" fontId="53" fillId="0" borderId="0" xfId="1851" applyNumberFormat="1" applyFont="1"/>
    <xf numFmtId="167" fontId="53" fillId="0" borderId="0" xfId="4572" applyNumberFormat="1" applyFont="1" applyFill="1" applyBorder="1"/>
    <xf numFmtId="0" fontId="53" fillId="0" borderId="72" xfId="1851" applyFont="1" applyBorder="1"/>
    <xf numFmtId="0" fontId="53" fillId="0" borderId="15" xfId="1851" applyFont="1" applyBorder="1"/>
    <xf numFmtId="0" fontId="54" fillId="0" borderId="0" xfId="1851" applyFont="1"/>
    <xf numFmtId="166" fontId="53" fillId="0" borderId="14" xfId="1851" applyNumberFormat="1" applyFont="1" applyBorder="1"/>
    <xf numFmtId="10" fontId="53" fillId="0" borderId="0" xfId="4572" applyNumberFormat="1" applyFont="1"/>
    <xf numFmtId="167" fontId="53" fillId="0" borderId="0" xfId="4572" applyNumberFormat="1" applyFont="1"/>
    <xf numFmtId="164" fontId="53" fillId="0" borderId="14" xfId="1851" applyNumberFormat="1" applyFont="1" applyBorder="1"/>
    <xf numFmtId="164" fontId="53" fillId="0" borderId="0" xfId="4573" applyNumberFormat="1" applyFont="1" applyBorder="1"/>
    <xf numFmtId="0" fontId="53" fillId="0" borderId="14" xfId="1851" applyFont="1" applyBorder="1"/>
    <xf numFmtId="0" fontId="53" fillId="0" borderId="56" xfId="1851" applyFont="1" applyBorder="1" applyAlignment="1">
      <alignment horizontal="right"/>
    </xf>
    <xf numFmtId="166" fontId="53" fillId="0" borderId="14" xfId="4575" applyNumberFormat="1" applyFont="1" applyBorder="1"/>
    <xf numFmtId="166" fontId="53" fillId="0" borderId="0" xfId="4575" applyNumberFormat="1" applyFont="1" applyBorder="1"/>
    <xf numFmtId="0" fontId="53" fillId="0" borderId="56" xfId="1851" applyFont="1" applyBorder="1"/>
    <xf numFmtId="166" fontId="53" fillId="0" borderId="70" xfId="4575" applyNumberFormat="1" applyFont="1" applyBorder="1"/>
    <xf numFmtId="0" fontId="53" fillId="0" borderId="70" xfId="1851" applyFont="1" applyBorder="1"/>
    <xf numFmtId="0" fontId="53" fillId="0" borderId="71" xfId="1851" applyFont="1" applyBorder="1"/>
    <xf numFmtId="166" fontId="53" fillId="0" borderId="0" xfId="4575" applyNumberFormat="1" applyFont="1"/>
    <xf numFmtId="10" fontId="53" fillId="0" borderId="0" xfId="1851" applyNumberFormat="1" applyFont="1"/>
    <xf numFmtId="43" fontId="0" fillId="0" borderId="0" xfId="1" applyFont="1"/>
    <xf numFmtId="166" fontId="0" fillId="0" borderId="0" xfId="0" applyNumberFormat="1"/>
    <xf numFmtId="0" fontId="0" fillId="36" borderId="0" xfId="0" applyFill="1"/>
    <xf numFmtId="280" fontId="19" fillId="36" borderId="0" xfId="6" applyNumberFormat="1" applyFill="1"/>
    <xf numFmtId="280" fontId="19" fillId="36" borderId="93" xfId="6" applyNumberFormat="1" applyFill="1" applyBorder="1"/>
    <xf numFmtId="167" fontId="19" fillId="36" borderId="0" xfId="2" applyNumberFormat="1" applyFont="1" applyFill="1" applyBorder="1"/>
    <xf numFmtId="167" fontId="19" fillId="36" borderId="93" xfId="2" applyNumberFormat="1" applyFont="1" applyFill="1" applyBorder="1"/>
    <xf numFmtId="17" fontId="0" fillId="91" borderId="0" xfId="0" applyNumberFormat="1" applyFill="1" applyAlignment="1">
      <alignment wrapText="1"/>
    </xf>
    <xf numFmtId="164" fontId="0" fillId="91" borderId="0" xfId="1" applyNumberFormat="1" applyFont="1" applyFill="1" applyAlignment="1">
      <alignment wrapText="1"/>
    </xf>
    <xf numFmtId="0" fontId="0" fillId="91" borderId="0" xfId="0" applyFill="1"/>
    <xf numFmtId="281" fontId="0" fillId="0" borderId="0" xfId="1" applyNumberFormat="1" applyFont="1"/>
    <xf numFmtId="10" fontId="53" fillId="36" borderId="0" xfId="2" applyNumberFormat="1" applyFont="1" applyFill="1"/>
    <xf numFmtId="167" fontId="19" fillId="36" borderId="0" xfId="2" applyNumberFormat="1" applyFont="1" applyFill="1"/>
    <xf numFmtId="0" fontId="0" fillId="0" borderId="88" xfId="0" applyBorder="1"/>
    <xf numFmtId="0" fontId="0" fillId="0" borderId="93" xfId="0" applyBorder="1"/>
    <xf numFmtId="164" fontId="0" fillId="0" borderId="93" xfId="0" applyNumberFormat="1" applyBorder="1"/>
    <xf numFmtId="17" fontId="0" fillId="0" borderId="0" xfId="0" applyNumberFormat="1" applyAlignment="1">
      <alignment horizontal="center"/>
    </xf>
    <xf numFmtId="167" fontId="0" fillId="0" borderId="0" xfId="2" applyNumberFormat="1" applyFont="1" applyBorder="1"/>
    <xf numFmtId="0" fontId="0" fillId="0" borderId="96" xfId="0" applyBorder="1"/>
    <xf numFmtId="0" fontId="0" fillId="0" borderId="98" xfId="0" applyBorder="1"/>
    <xf numFmtId="281" fontId="0" fillId="0" borderId="0" xfId="0" applyNumberFormat="1"/>
    <xf numFmtId="43" fontId="0" fillId="0" borderId="0" xfId="0" applyNumberFormat="1"/>
    <xf numFmtId="281" fontId="0" fillId="0" borderId="0" xfId="1" applyNumberFormat="1" applyFont="1" applyBorder="1"/>
    <xf numFmtId="1" fontId="0" fillId="0" borderId="0" xfId="0" applyNumberFormat="1"/>
    <xf numFmtId="167" fontId="0" fillId="0" borderId="97" xfId="2" applyNumberFormat="1" applyFont="1" applyBorder="1"/>
    <xf numFmtId="164" fontId="0" fillId="0" borderId="0" xfId="1" applyNumberFormat="1" applyFont="1" applyFill="1" applyBorder="1"/>
    <xf numFmtId="164" fontId="0" fillId="0" borderId="97" xfId="0" applyNumberFormat="1" applyBorder="1"/>
    <xf numFmtId="164" fontId="0" fillId="0" borderId="98" xfId="0" applyNumberFormat="1" applyBorder="1"/>
    <xf numFmtId="0" fontId="31" fillId="36" borderId="102" xfId="6" applyFont="1" applyFill="1" applyBorder="1" applyAlignment="1">
      <alignment horizontal="center"/>
    </xf>
    <xf numFmtId="3" fontId="19" fillId="36" borderId="69" xfId="6" applyNumberFormat="1" applyFill="1" applyBorder="1"/>
    <xf numFmtId="3" fontId="19" fillId="36" borderId="74" xfId="6" applyNumberFormat="1" applyFill="1" applyBorder="1"/>
    <xf numFmtId="164" fontId="0" fillId="89" borderId="0" xfId="1" applyNumberFormat="1" applyFont="1" applyFill="1"/>
    <xf numFmtId="0" fontId="0" fillId="0" borderId="105" xfId="0" applyBorder="1"/>
    <xf numFmtId="0" fontId="0" fillId="0" borderId="106" xfId="0" applyBorder="1"/>
    <xf numFmtId="0" fontId="0" fillId="0" borderId="104" xfId="0" applyBorder="1"/>
    <xf numFmtId="9" fontId="0" fillId="0" borderId="0" xfId="4606" applyFont="1" applyAlignment="1">
      <alignment horizontal="center"/>
    </xf>
    <xf numFmtId="0" fontId="1" fillId="0" borderId="103" xfId="1851" applyBorder="1"/>
    <xf numFmtId="167" fontId="0" fillId="0" borderId="53" xfId="4606" applyNumberFormat="1" applyFont="1" applyBorder="1"/>
    <xf numFmtId="0" fontId="1" fillId="0" borderId="107" xfId="1851" applyBorder="1"/>
    <xf numFmtId="167" fontId="0" fillId="0" borderId="0" xfId="4606" applyNumberFormat="1" applyFont="1" applyBorder="1"/>
    <xf numFmtId="167" fontId="0" fillId="0" borderId="70" xfId="4606" applyNumberFormat="1" applyFont="1" applyBorder="1"/>
    <xf numFmtId="9" fontId="0" fillId="0" borderId="0" xfId="4606" applyFont="1"/>
    <xf numFmtId="167" fontId="0" fillId="0" borderId="0" xfId="4606" applyNumberFormat="1" applyFont="1"/>
    <xf numFmtId="275" fontId="0" fillId="0" borderId="0" xfId="4606" applyNumberFormat="1" applyFont="1" applyAlignment="1">
      <alignment horizontal="center"/>
    </xf>
    <xf numFmtId="167" fontId="1" fillId="0" borderId="103" xfId="1851" applyNumberFormat="1" applyBorder="1"/>
    <xf numFmtId="167" fontId="0" fillId="89" borderId="14" xfId="4606" applyNumberFormat="1" applyFont="1" applyFill="1" applyBorder="1"/>
    <xf numFmtId="167" fontId="0" fillId="89" borderId="0" xfId="4606" applyNumberFormat="1" applyFont="1" applyFill="1" applyBorder="1"/>
    <xf numFmtId="166" fontId="0" fillId="0" borderId="103" xfId="4573" applyNumberFormat="1" applyFont="1" applyBorder="1"/>
    <xf numFmtId="10" fontId="1" fillId="0" borderId="0" xfId="4606" applyNumberFormat="1" applyBorder="1"/>
    <xf numFmtId="167" fontId="0" fillId="89" borderId="72" xfId="4606" applyNumberFormat="1" applyFont="1" applyFill="1" applyBorder="1"/>
    <xf numFmtId="167" fontId="0" fillId="89" borderId="70" xfId="4606" applyNumberFormat="1" applyFont="1" applyFill="1" applyBorder="1"/>
    <xf numFmtId="0" fontId="31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53" fillId="0" borderId="0" xfId="0" applyFont="1"/>
    <xf numFmtId="164" fontId="53" fillId="0" borderId="0" xfId="1" applyNumberFormat="1" applyFont="1"/>
    <xf numFmtId="0" fontId="51" fillId="0" borderId="0" xfId="0" applyFont="1"/>
    <xf numFmtId="170" fontId="60" fillId="0" borderId="0" xfId="0" applyNumberFormat="1" applyFont="1"/>
    <xf numFmtId="170" fontId="53" fillId="0" borderId="0" xfId="0" applyNumberFormat="1" applyFont="1"/>
    <xf numFmtId="279" fontId="61" fillId="89" borderId="0" xfId="4569" applyNumberFormat="1" applyFont="1" applyFill="1"/>
    <xf numFmtId="9" fontId="19" fillId="89" borderId="0" xfId="4568" applyFont="1" applyFill="1"/>
    <xf numFmtId="0" fontId="25" fillId="0" borderId="70" xfId="0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21" fillId="0" borderId="70" xfId="0" applyFont="1" applyBorder="1"/>
    <xf numFmtId="0" fontId="0" fillId="0" borderId="72" xfId="0" applyBorder="1" applyAlignment="1">
      <alignment horizontal="center"/>
    </xf>
    <xf numFmtId="15" fontId="201" fillId="0" borderId="0" xfId="0" applyNumberFormat="1" applyFont="1" applyAlignment="1">
      <alignment horizontal="right" vertical="center"/>
    </xf>
    <xf numFmtId="15" fontId="14" fillId="0" borderId="0" xfId="0" applyNumberFormat="1" applyFont="1" applyAlignment="1">
      <alignment horizontal="right" vertical="center"/>
    </xf>
    <xf numFmtId="15" fontId="0" fillId="0" borderId="0" xfId="0" applyNumberFormat="1" applyAlignment="1">
      <alignment horizontal="center"/>
    </xf>
    <xf numFmtId="0" fontId="0" fillId="0" borderId="107" xfId="0" applyBorder="1"/>
    <xf numFmtId="167" fontId="0" fillId="0" borderId="53" xfId="0" applyNumberFormat="1" applyBorder="1"/>
    <xf numFmtId="10" fontId="0" fillId="0" borderId="53" xfId="0" applyNumberFormat="1" applyBorder="1"/>
    <xf numFmtId="10" fontId="0" fillId="0" borderId="103" xfId="0" applyNumberFormat="1" applyBorder="1"/>
    <xf numFmtId="0" fontId="14" fillId="0" borderId="0" xfId="0" applyFont="1"/>
    <xf numFmtId="0" fontId="0" fillId="0" borderId="105" xfId="2" applyNumberFormat="1" applyFont="1" applyBorder="1"/>
    <xf numFmtId="10" fontId="0" fillId="0" borderId="0" xfId="2" applyNumberFormat="1" applyFont="1" applyBorder="1"/>
    <xf numFmtId="0" fontId="0" fillId="0" borderId="97" xfId="0" applyBorder="1"/>
    <xf numFmtId="164" fontId="14" fillId="0" borderId="0" xfId="1" applyNumberFormat="1" applyFont="1" applyBorder="1"/>
    <xf numFmtId="0" fontId="54" fillId="0" borderId="104" xfId="1851" applyFont="1" applyBorder="1"/>
    <xf numFmtId="0" fontId="53" fillId="0" borderId="105" xfId="1851" applyFont="1" applyBorder="1"/>
    <xf numFmtId="166" fontId="53" fillId="0" borderId="105" xfId="5" applyNumberFormat="1" applyFont="1" applyBorder="1"/>
    <xf numFmtId="10" fontId="53" fillId="0" borderId="105" xfId="4572" applyNumberFormat="1" applyFont="1" applyBorder="1"/>
    <xf numFmtId="0" fontId="53" fillId="0" borderId="106" xfId="1851" applyFont="1" applyBorder="1"/>
    <xf numFmtId="164" fontId="53" fillId="0" borderId="0" xfId="1851" applyNumberFormat="1" applyFont="1"/>
    <xf numFmtId="167" fontId="53" fillId="0" borderId="0" xfId="2" applyNumberFormat="1" applyFont="1"/>
    <xf numFmtId="9" fontId="53" fillId="0" borderId="14" xfId="4574" applyFont="1" applyBorder="1"/>
    <xf numFmtId="9" fontId="53" fillId="0" borderId="14" xfId="1851" applyNumberFormat="1" applyFont="1" applyBorder="1"/>
    <xf numFmtId="0" fontId="20" fillId="89" borderId="0" xfId="3" applyFont="1" applyFill="1"/>
    <xf numFmtId="164" fontId="16" fillId="89" borderId="0" xfId="1" applyNumberFormat="1" applyFont="1" applyFill="1"/>
    <xf numFmtId="3" fontId="0" fillId="36" borderId="0" xfId="0" applyNumberFormat="1" applyFill="1"/>
    <xf numFmtId="275" fontId="0" fillId="0" borderId="0" xfId="0" applyNumberFormat="1"/>
    <xf numFmtId="9" fontId="16" fillId="0" borderId="0" xfId="2" applyFont="1"/>
    <xf numFmtId="282" fontId="16" fillId="0" borderId="0" xfId="2" applyNumberFormat="1" applyFont="1"/>
    <xf numFmtId="10" fontId="53" fillId="0" borderId="0" xfId="2" applyNumberFormat="1" applyFont="1"/>
    <xf numFmtId="0" fontId="1" fillId="0" borderId="0" xfId="1851" applyAlignment="1">
      <alignment horizontal="center" vertical="center" wrapText="1"/>
    </xf>
    <xf numFmtId="167" fontId="0" fillId="89" borderId="0" xfId="4572" applyNumberFormat="1" applyFont="1" applyFill="1"/>
    <xf numFmtId="0" fontId="54" fillId="0" borderId="71" xfId="1851" applyFont="1" applyBorder="1" applyAlignment="1">
      <alignment horizontal="center"/>
    </xf>
    <xf numFmtId="0" fontId="54" fillId="0" borderId="70" xfId="1851" applyFont="1" applyBorder="1" applyAlignment="1">
      <alignment horizontal="center"/>
    </xf>
    <xf numFmtId="0" fontId="54" fillId="0" borderId="72" xfId="1851" applyFont="1" applyBorder="1" applyAlignment="1">
      <alignment horizontal="center"/>
    </xf>
    <xf numFmtId="164" fontId="55" fillId="0" borderId="56" xfId="1" applyNumberFormat="1" applyFont="1" applyBorder="1"/>
    <xf numFmtId="164" fontId="55" fillId="0" borderId="14" xfId="1" applyNumberFormat="1" applyFont="1" applyBorder="1"/>
    <xf numFmtId="164" fontId="55" fillId="88" borderId="56" xfId="1" applyNumberFormat="1" applyFont="1" applyFill="1" applyBorder="1"/>
    <xf numFmtId="164" fontId="55" fillId="88" borderId="0" xfId="1" applyNumberFormat="1" applyFont="1" applyFill="1" applyBorder="1"/>
    <xf numFmtId="164" fontId="55" fillId="88" borderId="14" xfId="1" applyNumberFormat="1" applyFont="1" applyFill="1" applyBorder="1"/>
    <xf numFmtId="164" fontId="30" fillId="0" borderId="107" xfId="1" applyNumberFormat="1" applyFont="1" applyBorder="1"/>
    <xf numFmtId="164" fontId="30" fillId="0" borderId="53" xfId="1" applyNumberFormat="1" applyFont="1" applyBorder="1"/>
    <xf numFmtId="164" fontId="30" fillId="0" borderId="103" xfId="1" applyNumberFormat="1" applyFont="1" applyBorder="1"/>
    <xf numFmtId="0" fontId="169" fillId="0" borderId="0" xfId="0" applyFont="1"/>
    <xf numFmtId="0" fontId="19" fillId="0" borderId="0" xfId="0" applyFont="1" applyAlignment="1">
      <alignment horizontal="left"/>
    </xf>
    <xf numFmtId="0" fontId="0" fillId="0" borderId="0" xfId="0" applyAlignment="1">
      <alignment horizontal="right"/>
    </xf>
    <xf numFmtId="0" fontId="56" fillId="0" borderId="0" xfId="0" applyFont="1"/>
    <xf numFmtId="0" fontId="76" fillId="0" borderId="0" xfId="0" applyFont="1"/>
    <xf numFmtId="0" fontId="56" fillId="0" borderId="0" xfId="0" applyFont="1" applyAlignment="1">
      <alignment horizontal="right"/>
    </xf>
    <xf numFmtId="0" fontId="31" fillId="0" borderId="97" xfId="0" applyFont="1" applyBorder="1"/>
    <xf numFmtId="0" fontId="31" fillId="0" borderId="0" xfId="0" applyFont="1"/>
    <xf numFmtId="0" fontId="31" fillId="0" borderId="0" xfId="0" applyFont="1" applyAlignment="1">
      <alignment horizontal="left"/>
    </xf>
    <xf numFmtId="280" fontId="31" fillId="0" borderId="0" xfId="0" applyNumberFormat="1" applyFont="1"/>
    <xf numFmtId="280" fontId="0" fillId="0" borderId="0" xfId="0" applyNumberFormat="1"/>
    <xf numFmtId="0" fontId="205" fillId="0" borderId="0" xfId="0" applyFont="1" applyAlignment="1">
      <alignment horizontal="left"/>
    </xf>
    <xf numFmtId="0" fontId="50" fillId="0" borderId="0" xfId="4648"/>
    <xf numFmtId="0" fontId="19" fillId="0" borderId="0" xfId="4648" applyFont="1" applyAlignment="1">
      <alignment horizontal="left"/>
    </xf>
    <xf numFmtId="0" fontId="50" fillId="0" borderId="0" xfId="4648" applyAlignment="1">
      <alignment horizontal="right"/>
    </xf>
    <xf numFmtId="0" fontId="76" fillId="0" borderId="0" xfId="4648" applyFont="1"/>
    <xf numFmtId="0" fontId="56" fillId="0" borderId="0" xfId="4648" applyFont="1" applyAlignment="1">
      <alignment horizontal="right"/>
    </xf>
    <xf numFmtId="0" fontId="31" fillId="0" borderId="97" xfId="4648" applyFont="1" applyBorder="1"/>
    <xf numFmtId="0" fontId="31" fillId="0" borderId="0" xfId="4648" applyFont="1" applyAlignment="1">
      <alignment horizontal="left"/>
    </xf>
    <xf numFmtId="280" fontId="31" fillId="0" borderId="0" xfId="4648" applyNumberFormat="1" applyFont="1"/>
    <xf numFmtId="280" fontId="50" fillId="0" borderId="0" xfId="4648" applyNumberFormat="1"/>
    <xf numFmtId="0" fontId="50" fillId="0" borderId="0" xfId="4648" applyAlignment="1">
      <alignment horizontal="left"/>
    </xf>
    <xf numFmtId="3" fontId="50" fillId="0" borderId="0" xfId="4648" applyNumberFormat="1"/>
    <xf numFmtId="170" fontId="50" fillId="0" borderId="0" xfId="4648" applyNumberFormat="1"/>
    <xf numFmtId="0" fontId="205" fillId="0" borderId="0" xfId="4648" applyFont="1" applyAlignment="1">
      <alignment horizontal="left"/>
    </xf>
    <xf numFmtId="9" fontId="0" fillId="0" borderId="0" xfId="2" applyFont="1"/>
    <xf numFmtId="280" fontId="14" fillId="0" borderId="0" xfId="0" applyNumberFormat="1" applyFont="1"/>
    <xf numFmtId="0" fontId="50" fillId="0" borderId="0" xfId="4650"/>
    <xf numFmtId="0" fontId="19" fillId="0" borderId="0" xfId="4650" applyFont="1" applyAlignment="1">
      <alignment horizontal="left"/>
    </xf>
    <xf numFmtId="0" fontId="169" fillId="0" borderId="0" xfId="4650" applyFont="1"/>
    <xf numFmtId="0" fontId="50" fillId="0" borderId="0" xfId="4650" applyAlignment="1">
      <alignment horizontal="right"/>
    </xf>
    <xf numFmtId="0" fontId="56" fillId="0" borderId="0" xfId="4650" applyFont="1"/>
    <xf numFmtId="0" fontId="76" fillId="0" borderId="0" xfId="4650" applyFont="1"/>
    <xf numFmtId="0" fontId="56" fillId="0" borderId="0" xfId="4650" applyFont="1" applyAlignment="1">
      <alignment horizontal="right"/>
    </xf>
    <xf numFmtId="0" fontId="31" fillId="0" borderId="97" xfId="4650" applyFont="1" applyBorder="1"/>
    <xf numFmtId="0" fontId="31" fillId="0" borderId="0" xfId="4650" applyFont="1"/>
    <xf numFmtId="0" fontId="31" fillId="0" borderId="0" xfId="4650" applyFont="1" applyAlignment="1">
      <alignment horizontal="left"/>
    </xf>
    <xf numFmtId="170" fontId="31" fillId="0" borderId="0" xfId="4650" applyNumberFormat="1" applyFont="1"/>
    <xf numFmtId="0" fontId="205" fillId="0" borderId="0" xfId="4650" applyFont="1" applyAlignment="1">
      <alignment horizontal="left" indent="1"/>
    </xf>
    <xf numFmtId="170" fontId="50" fillId="0" borderId="0" xfId="4650" applyNumberFormat="1"/>
    <xf numFmtId="0" fontId="19" fillId="0" borderId="0" xfId="4650" applyFont="1" applyAlignment="1">
      <alignment horizontal="left" indent="2"/>
    </xf>
    <xf numFmtId="0" fontId="50" fillId="0" borderId="0" xfId="4650" applyAlignment="1">
      <alignment horizontal="left" indent="2"/>
    </xf>
    <xf numFmtId="0" fontId="50" fillId="0" borderId="0" xfId="4650" applyAlignment="1">
      <alignment horizontal="left"/>
    </xf>
    <xf numFmtId="2" fontId="171" fillId="0" borderId="0" xfId="4650" applyNumberFormat="1" applyFont="1" applyAlignment="1">
      <alignment horizontal="left"/>
    </xf>
    <xf numFmtId="1" fontId="36" fillId="0" borderId="0" xfId="4650" applyNumberFormat="1" applyFont="1" applyAlignment="1">
      <alignment horizontal="left" indent="2"/>
    </xf>
    <xf numFmtId="2" fontId="31" fillId="0" borderId="0" xfId="4650" applyNumberFormat="1" applyFont="1"/>
    <xf numFmtId="0" fontId="56" fillId="0" borderId="0" xfId="4651" applyFont="1"/>
    <xf numFmtId="0" fontId="14" fillId="0" borderId="0" xfId="1851" applyFont="1" applyAlignment="1">
      <alignment horizontal="center"/>
    </xf>
    <xf numFmtId="164" fontId="209" fillId="0" borderId="0" xfId="1" applyNumberFormat="1" applyFont="1" applyAlignment="1">
      <alignment horizontal="left"/>
    </xf>
    <xf numFmtId="170" fontId="210" fillId="0" borderId="0" xfId="0" applyNumberFormat="1" applyFont="1" applyAlignment="1">
      <alignment horizontal="left"/>
    </xf>
    <xf numFmtId="0" fontId="193" fillId="90" borderId="107" xfId="6" applyFont="1" applyFill="1" applyBorder="1" applyAlignment="1">
      <alignment horizontal="center" vertical="center"/>
    </xf>
    <xf numFmtId="0" fontId="193" fillId="90" borderId="103" xfId="6" applyFont="1" applyFill="1" applyBorder="1" applyAlignment="1">
      <alignment horizontal="center" vertical="center"/>
    </xf>
    <xf numFmtId="166" fontId="54" fillId="36" borderId="107" xfId="1851" applyNumberFormat="1" applyFont="1" applyFill="1" applyBorder="1"/>
    <xf numFmtId="166" fontId="54" fillId="36" borderId="103" xfId="1851" applyNumberFormat="1" applyFont="1" applyFill="1" applyBorder="1"/>
    <xf numFmtId="0" fontId="19" fillId="0" borderId="0" xfId="0" applyFont="1"/>
    <xf numFmtId="0" fontId="169" fillId="0" borderId="0" xfId="0" applyFont="1" applyAlignment="1">
      <alignment vertical="center"/>
    </xf>
    <xf numFmtId="0" fontId="31" fillId="0" borderId="97" xfId="0" applyFont="1" applyBorder="1" applyAlignment="1">
      <alignment horizontal="right"/>
    </xf>
    <xf numFmtId="280" fontId="31" fillId="0" borderId="0" xfId="0" applyNumberFormat="1" applyFont="1" applyAlignment="1">
      <alignment horizontal="right"/>
    </xf>
    <xf numFmtId="280" fontId="0" fillId="0" borderId="0" xfId="0" applyNumberFormat="1" applyAlignment="1">
      <alignment horizontal="right"/>
    </xf>
    <xf numFmtId="170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4" fontId="31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2" fontId="31" fillId="0" borderId="0" xfId="0" applyNumberFormat="1" applyFont="1"/>
    <xf numFmtId="167" fontId="14" fillId="0" borderId="0" xfId="2" applyNumberFormat="1" applyFont="1" applyBorder="1"/>
    <xf numFmtId="164" fontId="14" fillId="0" borderId="0" xfId="0" applyNumberFormat="1" applyFont="1"/>
    <xf numFmtId="281" fontId="14" fillId="0" borderId="0" xfId="1" applyNumberFormat="1" applyFont="1"/>
    <xf numFmtId="16" fontId="0" fillId="0" borderId="0" xfId="0" applyNumberFormat="1"/>
    <xf numFmtId="9" fontId="14" fillId="0" borderId="0" xfId="2" applyFont="1"/>
    <xf numFmtId="0" fontId="54" fillId="0" borderId="56" xfId="1851" applyFont="1" applyBorder="1" applyAlignment="1">
      <alignment horizontal="center"/>
    </xf>
    <xf numFmtId="0" fontId="54" fillId="0" borderId="14" xfId="1851" applyFont="1" applyBorder="1" applyAlignment="1">
      <alignment horizontal="center"/>
    </xf>
    <xf numFmtId="1" fontId="53" fillId="0" borderId="56" xfId="5" applyNumberFormat="1" applyFont="1" applyBorder="1"/>
    <xf numFmtId="1" fontId="53" fillId="0" borderId="0" xfId="1851" applyNumberFormat="1" applyFont="1"/>
    <xf numFmtId="1" fontId="53" fillId="0" borderId="14" xfId="1851" applyNumberFormat="1" applyFont="1" applyBorder="1"/>
    <xf numFmtId="168" fontId="30" fillId="0" borderId="107" xfId="5" applyNumberFormat="1" applyFont="1" applyBorder="1"/>
    <xf numFmtId="168" fontId="30" fillId="0" borderId="53" xfId="5" applyNumberFormat="1" applyFont="1" applyBorder="1"/>
    <xf numFmtId="168" fontId="30" fillId="0" borderId="103" xfId="5" applyNumberFormat="1" applyFont="1" applyBorder="1"/>
    <xf numFmtId="1" fontId="53" fillId="0" borderId="56" xfId="1851" applyNumberFormat="1" applyFont="1" applyBorder="1"/>
    <xf numFmtId="0" fontId="54" fillId="0" borderId="85" xfId="1851" applyFont="1" applyBorder="1"/>
    <xf numFmtId="0" fontId="54" fillId="0" borderId="55" xfId="1851" applyFont="1" applyBorder="1" applyAlignment="1">
      <alignment horizontal="center"/>
    </xf>
    <xf numFmtId="164" fontId="55" fillId="0" borderId="55" xfId="1" applyNumberFormat="1" applyFont="1" applyBorder="1"/>
    <xf numFmtId="164" fontId="55" fillId="88" borderId="55" xfId="1" applyNumberFormat="1" applyFont="1" applyFill="1" applyBorder="1"/>
    <xf numFmtId="164" fontId="30" fillId="0" borderId="54" xfId="1" applyNumberFormat="1" applyFont="1" applyBorder="1"/>
    <xf numFmtId="0" fontId="54" fillId="0" borderId="71" xfId="1851" applyFont="1" applyBorder="1"/>
    <xf numFmtId="0" fontId="54" fillId="0" borderId="72" xfId="1851" applyFont="1" applyBorder="1"/>
    <xf numFmtId="0" fontId="53" fillId="0" borderId="104" xfId="1851" applyFont="1" applyBorder="1"/>
    <xf numFmtId="0" fontId="55" fillId="0" borderId="0" xfId="0" applyFont="1"/>
    <xf numFmtId="0" fontId="53" fillId="0" borderId="0" xfId="1851" applyFont="1" applyAlignment="1">
      <alignment horizontal="center"/>
    </xf>
    <xf numFmtId="0" fontId="202" fillId="0" borderId="0" xfId="1851" applyFont="1" applyAlignment="1">
      <alignment horizontal="center"/>
    </xf>
    <xf numFmtId="0" fontId="19" fillId="0" borderId="0" xfId="1851" applyFont="1"/>
    <xf numFmtId="1" fontId="19" fillId="0" borderId="0" xfId="1851" applyNumberFormat="1" applyFont="1"/>
    <xf numFmtId="168" fontId="53" fillId="0" borderId="0" xfId="4" applyNumberFormat="1" applyFont="1" applyFill="1" applyBorder="1"/>
    <xf numFmtId="166" fontId="53" fillId="0" borderId="0" xfId="4" applyNumberFormat="1" applyFont="1" applyFill="1" applyBorder="1"/>
    <xf numFmtId="167" fontId="53" fillId="0" borderId="0" xfId="7" applyNumberFormat="1" applyFont="1" applyFill="1" applyBorder="1"/>
    <xf numFmtId="0" fontId="31" fillId="0" borderId="0" xfId="1851" applyFont="1"/>
    <xf numFmtId="168" fontId="54" fillId="0" borderId="0" xfId="1851" applyNumberFormat="1" applyFont="1"/>
    <xf numFmtId="166" fontId="54" fillId="0" borderId="0" xfId="4" applyNumberFormat="1" applyFont="1" applyFill="1" applyBorder="1"/>
    <xf numFmtId="167" fontId="54" fillId="0" borderId="0" xfId="7" applyNumberFormat="1" applyFont="1" applyFill="1" applyBorder="1"/>
    <xf numFmtId="0" fontId="55" fillId="0" borderId="0" xfId="0" applyFont="1" applyAlignment="1">
      <alignment vertical="center"/>
    </xf>
    <xf numFmtId="0" fontId="53" fillId="0" borderId="0" xfId="1851" applyFont="1" applyAlignment="1">
      <alignment horizontal="right"/>
    </xf>
    <xf numFmtId="0" fontId="53" fillId="0" borderId="97" xfId="1851" applyFont="1" applyBorder="1"/>
    <xf numFmtId="0" fontId="53" fillId="0" borderId="98" xfId="1851" applyFont="1" applyBorder="1"/>
    <xf numFmtId="167" fontId="0" fillId="89" borderId="0" xfId="2" applyNumberFormat="1" applyFont="1" applyFill="1"/>
    <xf numFmtId="167" fontId="1" fillId="0" borderId="0" xfId="2" applyNumberFormat="1"/>
    <xf numFmtId="43" fontId="20" fillId="0" borderId="0" xfId="1" applyFont="1"/>
    <xf numFmtId="43" fontId="20" fillId="0" borderId="0" xfId="7" applyNumberFormat="1" applyFont="1"/>
    <xf numFmtId="167" fontId="0" fillId="0" borderId="0" xfId="2" applyNumberFormat="1" applyFont="1" applyFill="1"/>
    <xf numFmtId="166" fontId="21" fillId="0" borderId="0" xfId="5" applyNumberFormat="1" applyFont="1"/>
    <xf numFmtId="0" fontId="199" fillId="90" borderId="0" xfId="6" applyFont="1" applyFill="1" applyAlignment="1">
      <alignment horizontal="right"/>
    </xf>
    <xf numFmtId="3" fontId="16" fillId="0" borderId="0" xfId="6" applyNumberFormat="1" applyFont="1"/>
    <xf numFmtId="10" fontId="16" fillId="0" borderId="0" xfId="4571" applyNumberFormat="1" applyFont="1"/>
    <xf numFmtId="10" fontId="194" fillId="0" borderId="0" xfId="2" applyNumberFormat="1" applyFont="1"/>
    <xf numFmtId="0" fontId="16" fillId="0" borderId="0" xfId="6" applyFont="1"/>
    <xf numFmtId="3" fontId="194" fillId="0" borderId="0" xfId="6" applyNumberFormat="1" applyFont="1"/>
    <xf numFmtId="0" fontId="16" fillId="0" borderId="14" xfId="3" applyBorder="1"/>
    <xf numFmtId="10" fontId="194" fillId="89" borderId="0" xfId="4571" applyNumberFormat="1" applyFont="1" applyFill="1"/>
    <xf numFmtId="3" fontId="194" fillId="89" borderId="0" xfId="6" applyNumberFormat="1" applyFont="1" applyFill="1"/>
    <xf numFmtId="164" fontId="194" fillId="0" borderId="0" xfId="1" applyNumberFormat="1" applyFont="1"/>
    <xf numFmtId="0" fontId="194" fillId="0" borderId="0" xfId="6" applyFont="1"/>
    <xf numFmtId="0" fontId="21" fillId="0" borderId="0" xfId="0" applyFont="1"/>
    <xf numFmtId="0" fontId="199" fillId="90" borderId="0" xfId="6" applyFont="1" applyFill="1" applyAlignment="1">
      <alignment horizontal="center" wrapText="1"/>
    </xf>
    <xf numFmtId="0" fontId="16" fillId="89" borderId="0" xfId="3" applyFill="1"/>
    <xf numFmtId="166" fontId="217" fillId="89" borderId="0" xfId="4" applyNumberFormat="1" applyFont="1" applyFill="1"/>
    <xf numFmtId="10" fontId="217" fillId="89" borderId="0" xfId="7" applyNumberFormat="1" applyFont="1" applyFill="1"/>
    <xf numFmtId="0" fontId="194" fillId="0" borderId="14" xfId="3" applyFont="1" applyBorder="1"/>
    <xf numFmtId="277" fontId="216" fillId="0" borderId="0" xfId="6" applyNumberFormat="1" applyFont="1" applyAlignment="1">
      <alignment horizontal="center"/>
    </xf>
    <xf numFmtId="167" fontId="217" fillId="89" borderId="0" xfId="7" applyNumberFormat="1" applyFont="1" applyFill="1"/>
    <xf numFmtId="283" fontId="194" fillId="0" borderId="0" xfId="1" applyNumberFormat="1" applyFont="1"/>
    <xf numFmtId="166" fontId="217" fillId="0" borderId="0" xfId="4" applyNumberFormat="1" applyFont="1"/>
    <xf numFmtId="167" fontId="217" fillId="0" borderId="0" xfId="7" applyNumberFormat="1" applyFont="1"/>
    <xf numFmtId="0" fontId="194" fillId="0" borderId="88" xfId="3" applyFont="1" applyBorder="1"/>
    <xf numFmtId="9" fontId="16" fillId="0" borderId="0" xfId="3" applyNumberFormat="1"/>
    <xf numFmtId="10" fontId="194" fillId="0" borderId="0" xfId="4571" applyNumberFormat="1" applyFont="1"/>
    <xf numFmtId="10" fontId="217" fillId="0" borderId="0" xfId="7" applyNumberFormat="1" applyFont="1"/>
    <xf numFmtId="0" fontId="16" fillId="89" borderId="14" xfId="3" applyFill="1" applyBorder="1"/>
    <xf numFmtId="0" fontId="194" fillId="0" borderId="0" xfId="3" applyFont="1"/>
    <xf numFmtId="164" fontId="16" fillId="0" borderId="0" xfId="3" applyNumberFormat="1"/>
    <xf numFmtId="166" fontId="1" fillId="0" borderId="0" xfId="5" applyNumberFormat="1" applyFont="1" applyFill="1"/>
    <xf numFmtId="280" fontId="194" fillId="0" borderId="0" xfId="6" applyNumberFormat="1" applyFont="1"/>
    <xf numFmtId="276" fontId="1" fillId="0" borderId="0" xfId="1851" applyNumberFormat="1"/>
    <xf numFmtId="0" fontId="1" fillId="0" borderId="0" xfId="1851" quotePrefix="1"/>
    <xf numFmtId="166" fontId="0" fillId="0" borderId="0" xfId="5" applyNumberFormat="1" applyFont="1" applyFill="1"/>
    <xf numFmtId="0" fontId="22" fillId="0" borderId="0" xfId="8" applyFill="1"/>
    <xf numFmtId="9" fontId="0" fillId="0" borderId="0" xfId="4572" applyFont="1" applyFill="1"/>
    <xf numFmtId="183" fontId="192" fillId="0" borderId="0" xfId="1851" applyNumberFormat="1" applyFont="1"/>
    <xf numFmtId="164" fontId="0" fillId="0" borderId="0" xfId="1" applyNumberFormat="1" applyFont="1" applyFill="1"/>
    <xf numFmtId="167" fontId="14" fillId="0" borderId="0" xfId="1851" applyNumberFormat="1" applyFont="1"/>
    <xf numFmtId="168" fontId="14" fillId="0" borderId="0" xfId="5" applyNumberFormat="1" applyFont="1" applyFill="1"/>
    <xf numFmtId="10" fontId="0" fillId="0" borderId="0" xfId="4572" applyNumberFormat="1" applyFont="1" applyFill="1" applyAlignment="1">
      <alignment vertical="center"/>
    </xf>
    <xf numFmtId="170" fontId="1" fillId="0" borderId="0" xfId="1851" applyNumberFormat="1"/>
    <xf numFmtId="10" fontId="1" fillId="0" borderId="0" xfId="2" applyNumberFormat="1" applyFill="1"/>
    <xf numFmtId="11" fontId="0" fillId="0" borderId="0" xfId="1" applyNumberFormat="1" applyFont="1"/>
    <xf numFmtId="167" fontId="0" fillId="0" borderId="0" xfId="4572" applyNumberFormat="1" applyFont="1" applyFill="1"/>
    <xf numFmtId="11" fontId="0" fillId="0" borderId="0" xfId="0" applyNumberFormat="1"/>
    <xf numFmtId="164" fontId="1" fillId="0" borderId="0" xfId="1" applyNumberFormat="1" applyFill="1"/>
    <xf numFmtId="0" fontId="1" fillId="0" borderId="0" xfId="1851" applyAlignment="1">
      <alignment horizontal="center" wrapText="1"/>
    </xf>
    <xf numFmtId="166" fontId="14" fillId="0" borderId="0" xfId="5" applyNumberFormat="1" applyFont="1" applyFill="1"/>
    <xf numFmtId="0" fontId="49" fillId="0" borderId="0" xfId="1851" applyFont="1"/>
    <xf numFmtId="9" fontId="0" fillId="0" borderId="0" xfId="7" applyFont="1" applyFill="1"/>
    <xf numFmtId="0" fontId="53" fillId="0" borderId="53" xfId="0" applyFont="1" applyBorder="1" applyAlignment="1">
      <alignment wrapText="1"/>
    </xf>
    <xf numFmtId="0" fontId="53" fillId="0" borderId="144" xfId="0" applyFont="1" applyBorder="1" applyAlignment="1">
      <alignment wrapText="1"/>
    </xf>
    <xf numFmtId="3" fontId="53" fillId="0" borderId="88" xfId="1851" applyNumberFormat="1" applyFont="1" applyBorder="1"/>
    <xf numFmtId="3" fontId="53" fillId="0" borderId="96" xfId="1851" applyNumberFormat="1" applyFont="1" applyBorder="1"/>
    <xf numFmtId="0" fontId="15" fillId="90" borderId="104" xfId="0" applyFont="1" applyFill="1" applyBorder="1" applyAlignment="1">
      <alignment horizontal="center"/>
    </xf>
    <xf numFmtId="10" fontId="194" fillId="92" borderId="0" xfId="4571" applyNumberFormat="1" applyFont="1" applyFill="1"/>
    <xf numFmtId="3" fontId="194" fillId="92" borderId="0" xfId="6" applyNumberFormat="1" applyFont="1" applyFill="1"/>
    <xf numFmtId="0" fontId="11" fillId="90" borderId="106" xfId="0" applyFont="1" applyFill="1" applyBorder="1" applyAlignment="1">
      <alignment horizontal="center"/>
    </xf>
    <xf numFmtId="2" fontId="1" fillId="0" borderId="53" xfId="1851" applyNumberFormat="1" applyBorder="1"/>
    <xf numFmtId="164" fontId="53" fillId="0" borderId="106" xfId="1" applyNumberFormat="1" applyFont="1" applyBorder="1"/>
    <xf numFmtId="164" fontId="53" fillId="0" borderId="140" xfId="1" applyNumberFormat="1" applyFont="1" applyBorder="1"/>
    <xf numFmtId="164" fontId="53" fillId="0" borderId="105" xfId="1" applyNumberFormat="1" applyFont="1" applyBorder="1"/>
    <xf numFmtId="164" fontId="53" fillId="0" borderId="139" xfId="1" applyNumberFormat="1" applyFont="1" applyBorder="1"/>
    <xf numFmtId="164" fontId="53" fillId="0" borderId="104" xfId="1" applyNumberFormat="1" applyFont="1" applyBorder="1"/>
    <xf numFmtId="164" fontId="53" fillId="0" borderId="0" xfId="0" applyNumberFormat="1" applyFont="1"/>
    <xf numFmtId="164" fontId="53" fillId="0" borderId="98" xfId="1" applyNumberFormat="1" applyFont="1" applyBorder="1"/>
    <xf numFmtId="164" fontId="53" fillId="0" borderId="97" xfId="1" applyNumberFormat="1" applyFont="1" applyBorder="1"/>
    <xf numFmtId="164" fontId="53" fillId="0" borderId="129" xfId="1" applyNumberFormat="1" applyFont="1" applyBorder="1"/>
    <xf numFmtId="164" fontId="53" fillId="0" borderId="96" xfId="1" applyNumberFormat="1" applyFont="1" applyBorder="1"/>
    <xf numFmtId="164" fontId="53" fillId="0" borderId="93" xfId="1" applyNumberFormat="1" applyFont="1" applyBorder="1"/>
    <xf numFmtId="164" fontId="53" fillId="0" borderId="14" xfId="1" applyNumberFormat="1" applyFont="1" applyBorder="1"/>
    <xf numFmtId="164" fontId="53" fillId="0" borderId="56" xfId="1" applyNumberFormat="1" applyFont="1" applyBorder="1"/>
    <xf numFmtId="164" fontId="53" fillId="0" borderId="88" xfId="1" applyNumberFormat="1" applyFont="1" applyBorder="1"/>
    <xf numFmtId="0" fontId="53" fillId="0" borderId="0" xfId="0" applyFont="1" applyAlignment="1">
      <alignment wrapText="1"/>
    </xf>
    <xf numFmtId="0" fontId="53" fillId="0" borderId="128" xfId="0" applyFont="1" applyBorder="1" applyAlignment="1">
      <alignment wrapText="1"/>
    </xf>
    <xf numFmtId="0" fontId="53" fillId="0" borderId="145" xfId="0" applyFont="1" applyBorder="1" applyAlignment="1">
      <alignment wrapText="1"/>
    </xf>
    <xf numFmtId="166" fontId="1" fillId="0" borderId="70" xfId="1851" applyNumberFormat="1" applyBorder="1"/>
    <xf numFmtId="0" fontId="53" fillId="0" borderId="144" xfId="1851" applyFont="1" applyBorder="1"/>
    <xf numFmtId="164" fontId="53" fillId="0" borderId="130" xfId="1" applyNumberFormat="1" applyFont="1" applyBorder="1"/>
    <xf numFmtId="0" fontId="53" fillId="0" borderId="125" xfId="1851" applyFont="1" applyBorder="1"/>
    <xf numFmtId="17" fontId="53" fillId="0" borderId="100" xfId="1851" applyNumberFormat="1" applyFont="1" applyBorder="1"/>
    <xf numFmtId="1" fontId="53" fillId="0" borderId="143" xfId="1851" applyNumberFormat="1" applyFont="1" applyBorder="1"/>
    <xf numFmtId="17" fontId="53" fillId="0" borderId="142" xfId="1851" applyNumberFormat="1" applyFont="1" applyBorder="1"/>
    <xf numFmtId="17" fontId="53" fillId="0" borderId="101" xfId="1851" applyNumberFormat="1" applyFont="1" applyBorder="1"/>
    <xf numFmtId="17" fontId="53" fillId="0" borderId="55" xfId="1851" applyNumberFormat="1" applyFont="1" applyBorder="1"/>
    <xf numFmtId="1" fontId="53" fillId="0" borderId="141" xfId="1851" applyNumberFormat="1" applyFont="1" applyBorder="1"/>
    <xf numFmtId="1" fontId="53" fillId="0" borderId="109" xfId="1851" applyNumberFormat="1" applyFont="1" applyBorder="1"/>
    <xf numFmtId="17" fontId="53" fillId="0" borderId="108" xfId="1851" applyNumberFormat="1" applyFont="1" applyBorder="1"/>
    <xf numFmtId="17" fontId="53" fillId="0" borderId="102" xfId="1851" applyNumberFormat="1" applyFont="1" applyBorder="1"/>
    <xf numFmtId="0" fontId="53" fillId="0" borderId="0" xfId="1851" applyFont="1" applyAlignment="1">
      <alignment horizontal="center" vertical="center" wrapText="1"/>
    </xf>
    <xf numFmtId="1" fontId="53" fillId="0" borderId="58" xfId="1851" applyNumberFormat="1" applyFont="1" applyBorder="1"/>
    <xf numFmtId="17" fontId="53" fillId="0" borderId="58" xfId="1851" applyNumberFormat="1" applyFont="1" applyBorder="1"/>
    <xf numFmtId="0" fontId="53" fillId="0" borderId="0" xfId="1851" applyFont="1" applyAlignment="1">
      <alignment wrapText="1"/>
    </xf>
    <xf numFmtId="0" fontId="53" fillId="0" borderId="56" xfId="1851" applyFont="1" applyBorder="1" applyAlignment="1">
      <alignment wrapText="1"/>
    </xf>
    <xf numFmtId="0" fontId="205" fillId="36" borderId="100" xfId="6" applyFont="1" applyFill="1" applyBorder="1" applyAlignment="1">
      <alignment horizontal="center"/>
    </xf>
    <xf numFmtId="3" fontId="19" fillId="36" borderId="110" xfId="6" applyNumberFormat="1" applyFill="1" applyBorder="1"/>
    <xf numFmtId="3" fontId="19" fillId="36" borderId="106" xfId="6" applyNumberFormat="1" applyFill="1" applyBorder="1"/>
    <xf numFmtId="0" fontId="14" fillId="36" borderId="0" xfId="0" applyFont="1" applyFill="1"/>
    <xf numFmtId="0" fontId="193" fillId="90" borderId="94" xfId="6" applyFont="1" applyFill="1" applyBorder="1" applyAlignment="1">
      <alignment horizontal="center" vertical="center" wrapText="1"/>
    </xf>
    <xf numFmtId="0" fontId="193" fillId="90" borderId="95" xfId="6" applyFont="1" applyFill="1" applyBorder="1" applyAlignment="1">
      <alignment horizontal="center" vertical="center" wrapText="1"/>
    </xf>
    <xf numFmtId="0" fontId="193" fillId="90" borderId="99" xfId="6" applyFont="1" applyFill="1" applyBorder="1" applyAlignment="1">
      <alignment horizontal="center" vertical="center" wrapText="1"/>
    </xf>
    <xf numFmtId="167" fontId="0" fillId="36" borderId="0" xfId="2" applyNumberFormat="1" applyFont="1" applyFill="1"/>
    <xf numFmtId="0" fontId="0" fillId="0" borderId="150" xfId="0" applyBorder="1"/>
    <xf numFmtId="0" fontId="1" fillId="0" borderId="0" xfId="1851" applyAlignment="1">
      <alignment horizontal="center" vertical="center"/>
    </xf>
    <xf numFmtId="9" fontId="19" fillId="0" borderId="0" xfId="2" applyFont="1"/>
    <xf numFmtId="167" fontId="19" fillId="0" borderId="0" xfId="2" applyNumberFormat="1" applyFont="1"/>
    <xf numFmtId="9" fontId="1" fillId="0" borderId="0" xfId="2"/>
    <xf numFmtId="164" fontId="1" fillId="0" borderId="0" xfId="1" applyNumberFormat="1"/>
    <xf numFmtId="164" fontId="0" fillId="0" borderId="0" xfId="1" applyNumberFormat="1" applyFont="1" applyAlignment="1"/>
    <xf numFmtId="283" fontId="0" fillId="0" borderId="0" xfId="1" applyNumberFormat="1" applyFont="1"/>
    <xf numFmtId="0" fontId="15" fillId="90" borderId="151" xfId="0" applyFont="1" applyFill="1" applyBorder="1"/>
    <xf numFmtId="0" fontId="0" fillId="0" borderId="151" xfId="0" applyBorder="1"/>
    <xf numFmtId="164" fontId="0" fillId="0" borderId="151" xfId="1" applyNumberFormat="1" applyFont="1" applyBorder="1"/>
    <xf numFmtId="43" fontId="0" fillId="0" borderId="151" xfId="1" applyFont="1" applyBorder="1"/>
    <xf numFmtId="278" fontId="0" fillId="0" borderId="151" xfId="1" applyNumberFormat="1" applyFont="1" applyBorder="1"/>
    <xf numFmtId="11" fontId="0" fillId="0" borderId="151" xfId="0" applyNumberFormat="1" applyBorder="1"/>
    <xf numFmtId="172" fontId="0" fillId="0" borderId="151" xfId="0" applyNumberFormat="1" applyBorder="1"/>
    <xf numFmtId="0" fontId="0" fillId="0" borderId="157" xfId="0" applyBorder="1"/>
    <xf numFmtId="0" fontId="0" fillId="0" borderId="158" xfId="0" applyBorder="1"/>
    <xf numFmtId="0" fontId="0" fillId="0" borderId="159" xfId="0" applyBorder="1"/>
    <xf numFmtId="281" fontId="0" fillId="0" borderId="151" xfId="1" applyNumberFormat="1" applyFont="1" applyBorder="1"/>
    <xf numFmtId="11" fontId="0" fillId="0" borderId="151" xfId="1" applyNumberFormat="1" applyFont="1" applyBorder="1"/>
    <xf numFmtId="3" fontId="54" fillId="0" borderId="0" xfId="59" applyNumberFormat="1" applyFont="1"/>
    <xf numFmtId="167" fontId="31" fillId="0" borderId="0" xfId="4570" applyNumberFormat="1" applyFont="1"/>
    <xf numFmtId="0" fontId="54" fillId="0" borderId="0" xfId="59" applyFont="1"/>
    <xf numFmtId="0" fontId="31" fillId="0" borderId="0" xfId="3" applyFont="1"/>
    <xf numFmtId="0" fontId="193" fillId="90" borderId="0" xfId="6" applyFont="1" applyFill="1"/>
    <xf numFmtId="0" fontId="197" fillId="90" borderId="0" xfId="6" applyFont="1" applyFill="1" applyAlignment="1">
      <alignment horizontal="center"/>
    </xf>
    <xf numFmtId="0" fontId="197" fillId="36" borderId="0" xfId="6" applyFont="1" applyFill="1" applyAlignment="1">
      <alignment horizontal="center"/>
    </xf>
    <xf numFmtId="0" fontId="198" fillId="36" borderId="0" xfId="6" applyFont="1" applyFill="1" applyAlignment="1">
      <alignment horizontal="center"/>
    </xf>
    <xf numFmtId="3" fontId="198" fillId="36" borderId="0" xfId="6" applyNumberFormat="1" applyFont="1" applyFill="1" applyAlignment="1">
      <alignment horizontal="center"/>
    </xf>
    <xf numFmtId="0" fontId="19" fillId="36" borderId="0" xfId="3" applyFont="1" applyFill="1"/>
    <xf numFmtId="0" fontId="19" fillId="0" borderId="0" xfId="3" applyFont="1" applyAlignment="1">
      <alignment horizontal="center" vertical="center"/>
    </xf>
    <xf numFmtId="0" fontId="19" fillId="0" borderId="0" xfId="3" applyFont="1" applyAlignment="1">
      <alignment horizontal="center"/>
    </xf>
    <xf numFmtId="0" fontId="19" fillId="36" borderId="0" xfId="6" applyFill="1" applyAlignment="1">
      <alignment horizontal="center"/>
    </xf>
    <xf numFmtId="3" fontId="19" fillId="36" borderId="0" xfId="6" applyNumberFormat="1" applyFill="1" applyAlignment="1">
      <alignment horizontal="center"/>
    </xf>
    <xf numFmtId="3" fontId="19" fillId="0" borderId="0" xfId="6" applyNumberFormat="1" applyAlignment="1">
      <alignment horizontal="center"/>
    </xf>
    <xf numFmtId="0" fontId="198" fillId="0" borderId="0" xfId="3" applyFont="1"/>
    <xf numFmtId="0" fontId="198" fillId="0" borderId="0" xfId="3" applyFont="1" applyAlignment="1">
      <alignment horizontal="center"/>
    </xf>
    <xf numFmtId="3" fontId="198" fillId="0" borderId="0" xfId="3" applyNumberFormat="1" applyFont="1" applyAlignment="1">
      <alignment horizontal="center"/>
    </xf>
    <xf numFmtId="166" fontId="198" fillId="0" borderId="0" xfId="4" applyNumberFormat="1" applyFont="1" applyAlignment="1">
      <alignment horizontal="center"/>
    </xf>
    <xf numFmtId="166" fontId="198" fillId="0" borderId="0" xfId="4" applyNumberFormat="1" applyFont="1"/>
    <xf numFmtId="0" fontId="19" fillId="0" borderId="0" xfId="6"/>
    <xf numFmtId="3" fontId="19" fillId="0" borderId="0" xfId="6" applyNumberFormat="1"/>
    <xf numFmtId="3" fontId="19" fillId="0" borderId="0" xfId="3" applyNumberFormat="1" applyFont="1"/>
    <xf numFmtId="0" fontId="193" fillId="90" borderId="0" xfId="3" applyFont="1" applyFill="1"/>
    <xf numFmtId="0" fontId="19" fillId="0" borderId="0" xfId="6" applyAlignment="1">
      <alignment horizontal="center"/>
    </xf>
    <xf numFmtId="191" fontId="19" fillId="0" borderId="0" xfId="6" applyNumberFormat="1"/>
    <xf numFmtId="191" fontId="19" fillId="0" borderId="0" xfId="3" applyNumberFormat="1" applyFont="1"/>
    <xf numFmtId="164" fontId="53" fillId="0" borderId="0" xfId="4569" applyNumberFormat="1" applyFont="1"/>
    <xf numFmtId="0" fontId="31" fillId="0" borderId="0" xfId="3" applyFont="1" applyAlignment="1">
      <alignment horizontal="center"/>
    </xf>
    <xf numFmtId="43" fontId="19" fillId="0" borderId="0" xfId="3" applyNumberFormat="1" applyFont="1"/>
    <xf numFmtId="9" fontId="19" fillId="0" borderId="0" xfId="6" applyNumberFormat="1"/>
    <xf numFmtId="165" fontId="19" fillId="0" borderId="0" xfId="3" applyNumberFormat="1" applyFont="1"/>
    <xf numFmtId="166" fontId="30" fillId="0" borderId="107" xfId="5" applyNumberFormat="1" applyFont="1" applyBorder="1"/>
    <xf numFmtId="166" fontId="30" fillId="0" borderId="53" xfId="5" applyNumberFormat="1" applyFont="1" applyBorder="1"/>
    <xf numFmtId="166" fontId="30" fillId="0" borderId="103" xfId="5" applyNumberFormat="1" applyFont="1" applyBorder="1"/>
    <xf numFmtId="1" fontId="0" fillId="0" borderId="0" xfId="1" applyNumberFormat="1" applyFont="1"/>
    <xf numFmtId="43" fontId="53" fillId="0" borderId="0" xfId="1" applyFont="1"/>
    <xf numFmtId="43" fontId="30" fillId="0" borderId="0" xfId="1" applyFont="1"/>
    <xf numFmtId="0" fontId="58" fillId="90" borderId="94" xfId="1851" applyFont="1" applyFill="1" applyBorder="1" applyAlignment="1">
      <alignment horizontal="center" vertical="center"/>
    </xf>
    <xf numFmtId="0" fontId="58" fillId="90" borderId="95" xfId="1851" applyFont="1" applyFill="1" applyBorder="1" applyAlignment="1">
      <alignment horizontal="center" vertical="center"/>
    </xf>
    <xf numFmtId="0" fontId="58" fillId="90" borderId="99" xfId="1851" applyFont="1" applyFill="1" applyBorder="1" applyAlignment="1">
      <alignment horizontal="center" vertical="center"/>
    </xf>
    <xf numFmtId="164" fontId="0" fillId="36" borderId="0" xfId="1" applyNumberFormat="1" applyFont="1" applyFill="1"/>
    <xf numFmtId="3" fontId="19" fillId="0" borderId="0" xfId="3" applyNumberFormat="1" applyFont="1" applyAlignment="1">
      <alignment horizontal="center"/>
    </xf>
    <xf numFmtId="274" fontId="0" fillId="36" borderId="0" xfId="0" applyNumberFormat="1" applyFill="1"/>
    <xf numFmtId="0" fontId="53" fillId="0" borderId="147" xfId="1851" applyFont="1" applyBorder="1"/>
    <xf numFmtId="0" fontId="53" fillId="0" borderId="148" xfId="1851" applyFont="1" applyBorder="1"/>
    <xf numFmtId="166" fontId="53" fillId="0" borderId="148" xfId="4575" applyNumberFormat="1" applyFont="1" applyBorder="1"/>
    <xf numFmtId="166" fontId="53" fillId="0" borderId="149" xfId="4575" applyNumberFormat="1" applyFont="1" applyBorder="1"/>
    <xf numFmtId="0" fontId="53" fillId="0" borderId="150" xfId="1851" applyFont="1" applyBorder="1"/>
    <xf numFmtId="0" fontId="30" fillId="0" borderId="146" xfId="1851" applyFont="1" applyBorder="1"/>
    <xf numFmtId="166" fontId="30" fillId="0" borderId="146" xfId="1851" applyNumberFormat="1" applyFont="1" applyBorder="1"/>
    <xf numFmtId="166" fontId="30" fillId="0" borderId="145" xfId="1851" applyNumberFormat="1" applyFont="1" applyBorder="1"/>
    <xf numFmtId="166" fontId="217" fillId="0" borderId="0" xfId="4" applyNumberFormat="1" applyFont="1" applyFill="1"/>
    <xf numFmtId="10" fontId="217" fillId="0" borderId="0" xfId="7" applyNumberFormat="1" applyFont="1" applyFill="1"/>
    <xf numFmtId="164" fontId="16" fillId="0" borderId="0" xfId="1" applyNumberFormat="1" applyFont="1" applyFill="1"/>
    <xf numFmtId="167" fontId="217" fillId="0" borderId="0" xfId="7" applyNumberFormat="1" applyFont="1" applyFill="1"/>
    <xf numFmtId="43" fontId="194" fillId="0" borderId="0" xfId="1" applyFont="1"/>
    <xf numFmtId="3" fontId="218" fillId="0" borderId="0" xfId="6" applyNumberFormat="1" applyFont="1"/>
    <xf numFmtId="0" fontId="0" fillId="0" borderId="110" xfId="0" applyBorder="1"/>
    <xf numFmtId="0" fontId="22" fillId="0" borderId="0" xfId="8" applyBorder="1"/>
    <xf numFmtId="3" fontId="0" fillId="0" borderId="0" xfId="0" applyNumberFormat="1"/>
    <xf numFmtId="281" fontId="14" fillId="91" borderId="0" xfId="1" applyNumberFormat="1" applyFont="1" applyFill="1" applyBorder="1"/>
    <xf numFmtId="167" fontId="14" fillId="91" borderId="0" xfId="2" applyNumberFormat="1" applyFont="1" applyFill="1" applyBorder="1"/>
    <xf numFmtId="164" fontId="0" fillId="2" borderId="0" xfId="1" applyNumberFormat="1" applyFont="1" applyFill="1" applyBorder="1"/>
    <xf numFmtId="17" fontId="11" fillId="90" borderId="0" xfId="0" applyNumberFormat="1" applyFont="1" applyFill="1" applyAlignment="1">
      <alignment horizontal="center"/>
    </xf>
    <xf numFmtId="164" fontId="11" fillId="90" borderId="0" xfId="1" applyNumberFormat="1" applyFont="1" applyFill="1" applyAlignment="1">
      <alignment horizontal="center"/>
    </xf>
    <xf numFmtId="0" fontId="11" fillId="90" borderId="0" xfId="0" applyFont="1" applyFill="1" applyAlignment="1">
      <alignment horizontal="center"/>
    </xf>
    <xf numFmtId="164" fontId="0" fillId="0" borderId="0" xfId="1" applyNumberFormat="1" applyFont="1" applyFill="1" applyAlignment="1">
      <alignment wrapText="1"/>
    </xf>
    <xf numFmtId="0" fontId="19" fillId="93" borderId="0" xfId="0" applyFont="1" applyFill="1" applyAlignment="1">
      <alignment wrapText="1"/>
    </xf>
    <xf numFmtId="164" fontId="19" fillId="93" borderId="0" xfId="1" applyNumberFormat="1" applyFont="1" applyFill="1"/>
    <xf numFmtId="0" fontId="0" fillId="93" borderId="0" xfId="0" applyFill="1"/>
    <xf numFmtId="0" fontId="0" fillId="0" borderId="0" xfId="1" applyNumberFormat="1" applyFont="1" applyFill="1" applyAlignment="1">
      <alignment wrapText="1"/>
    </xf>
    <xf numFmtId="17" fontId="0" fillId="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0" fontId="0" fillId="2" borderId="0" xfId="0" applyFill="1"/>
    <xf numFmtId="164" fontId="0" fillId="2" borderId="0" xfId="1" applyNumberFormat="1" applyFont="1" applyFill="1"/>
    <xf numFmtId="164" fontId="0" fillId="2" borderId="0" xfId="0" applyNumberFormat="1" applyFill="1"/>
    <xf numFmtId="43" fontId="0" fillId="2" borderId="0" xfId="0" applyNumberFormat="1" applyFill="1"/>
    <xf numFmtId="167" fontId="0" fillId="2" borderId="0" xfId="2" applyNumberFormat="1" applyFont="1" applyFill="1"/>
    <xf numFmtId="17" fontId="0" fillId="94" borderId="0" xfId="0" applyNumberFormat="1" applyFill="1" applyAlignment="1">
      <alignment wrapText="1"/>
    </xf>
    <xf numFmtId="164" fontId="0" fillId="94" borderId="0" xfId="1" applyNumberFormat="1" applyFont="1" applyFill="1" applyAlignment="1">
      <alignment wrapText="1"/>
    </xf>
    <xf numFmtId="0" fontId="0" fillId="94" borderId="0" xfId="0" applyFill="1"/>
    <xf numFmtId="17" fontId="0" fillId="95" borderId="0" xfId="0" applyNumberFormat="1" applyFill="1" applyAlignment="1">
      <alignment wrapText="1"/>
    </xf>
    <xf numFmtId="164" fontId="0" fillId="95" borderId="0" xfId="1" applyNumberFormat="1" applyFont="1" applyFill="1" applyAlignment="1">
      <alignment wrapText="1"/>
    </xf>
    <xf numFmtId="0" fontId="0" fillId="95" borderId="0" xfId="0" applyFill="1"/>
    <xf numFmtId="3" fontId="0" fillId="95" borderId="0" xfId="0" applyNumberFormat="1" applyFill="1"/>
    <xf numFmtId="164" fontId="0" fillId="95" borderId="0" xfId="1" applyNumberFormat="1" applyFont="1" applyFill="1"/>
    <xf numFmtId="43" fontId="0" fillId="95" borderId="0" xfId="1" applyFont="1" applyFill="1"/>
    <xf numFmtId="17" fontId="0" fillId="96" borderId="0" xfId="0" applyNumberFormat="1" applyFill="1" applyAlignment="1">
      <alignment wrapText="1"/>
    </xf>
    <xf numFmtId="164" fontId="0" fillId="96" borderId="0" xfId="1" applyNumberFormat="1" applyFont="1" applyFill="1" applyAlignment="1">
      <alignment wrapText="1"/>
    </xf>
    <xf numFmtId="0" fontId="0" fillId="96" borderId="0" xfId="0" applyFill="1"/>
    <xf numFmtId="11" fontId="11" fillId="90" borderId="0" xfId="0" applyNumberFormat="1" applyFont="1" applyFill="1" applyAlignment="1">
      <alignment horizontal="center"/>
    </xf>
    <xf numFmtId="0" fontId="15" fillId="90" borderId="110" xfId="0" applyFont="1" applyFill="1" applyBorder="1" applyAlignment="1">
      <alignment horizontal="center"/>
    </xf>
    <xf numFmtId="0" fontId="11" fillId="90" borderId="139" xfId="0" applyFont="1" applyFill="1" applyBorder="1" applyAlignment="1">
      <alignment horizontal="center"/>
    </xf>
    <xf numFmtId="0" fontId="11" fillId="90" borderId="110" xfId="0" applyFont="1" applyFill="1" applyBorder="1" applyAlignment="1">
      <alignment horizontal="center"/>
    </xf>
    <xf numFmtId="164" fontId="0" fillId="0" borderId="150" xfId="0" applyNumberFormat="1" applyBorder="1"/>
    <xf numFmtId="0" fontId="15" fillId="90" borderId="160" xfId="0" applyFont="1" applyFill="1" applyBorder="1" applyAlignment="1">
      <alignment horizontal="center"/>
    </xf>
    <xf numFmtId="0" fontId="15" fillId="90" borderId="148" xfId="0" applyFont="1" applyFill="1" applyBorder="1" applyAlignment="1">
      <alignment horizontal="center"/>
    </xf>
    <xf numFmtId="0" fontId="11" fillId="90" borderId="147" xfId="0" applyFont="1" applyFill="1" applyBorder="1" applyAlignment="1">
      <alignment horizontal="center"/>
    </xf>
    <xf numFmtId="0" fontId="11" fillId="90" borderId="148" xfId="0" applyFont="1" applyFill="1" applyBorder="1" applyAlignment="1">
      <alignment horizontal="center"/>
    </xf>
    <xf numFmtId="0" fontId="11" fillId="90" borderId="161" xfId="0" applyFont="1" applyFill="1" applyBorder="1" applyAlignment="1">
      <alignment horizontal="center"/>
    </xf>
    <xf numFmtId="164" fontId="0" fillId="0" borderId="129" xfId="0" applyNumberFormat="1" applyBorder="1"/>
    <xf numFmtId="3" fontId="198" fillId="0" borderId="0" xfId="6" applyNumberFormat="1" applyFont="1" applyAlignment="1">
      <alignment horizontal="center"/>
    </xf>
    <xf numFmtId="0" fontId="58" fillId="90" borderId="152" xfId="1851" applyFont="1" applyFill="1" applyBorder="1" applyAlignment="1">
      <alignment horizontal="center" vertical="center"/>
    </xf>
    <xf numFmtId="0" fontId="58" fillId="90" borderId="151" xfId="1851" applyFont="1" applyFill="1" applyBorder="1" applyAlignment="1">
      <alignment horizontal="center" vertical="center" wrapText="1"/>
    </xf>
    <xf numFmtId="0" fontId="58" fillId="90" borderId="153" xfId="1851" applyFont="1" applyFill="1" applyBorder="1" applyAlignment="1">
      <alignment horizontal="center" vertical="center"/>
    </xf>
    <xf numFmtId="0" fontId="58" fillId="90" borderId="152" xfId="1851" applyFont="1" applyFill="1" applyBorder="1" applyAlignment="1">
      <alignment horizontal="center"/>
    </xf>
    <xf numFmtId="0" fontId="58" fillId="90" borderId="151" xfId="1851" applyFont="1" applyFill="1" applyBorder="1" applyAlignment="1">
      <alignment horizontal="center"/>
    </xf>
    <xf numFmtId="0" fontId="58" fillId="90" borderId="153" xfId="1851" applyFont="1" applyFill="1" applyBorder="1" applyAlignment="1">
      <alignment horizontal="center"/>
    </xf>
    <xf numFmtId="166" fontId="53" fillId="0" borderId="152" xfId="5" applyNumberFormat="1" applyFont="1" applyFill="1" applyBorder="1" applyAlignment="1">
      <alignment horizontal="right" vertical="center"/>
    </xf>
    <xf numFmtId="0" fontId="55" fillId="0" borderId="151" xfId="6" applyFont="1" applyBorder="1" applyAlignment="1">
      <alignment horizontal="right" vertical="center"/>
    </xf>
    <xf numFmtId="166" fontId="53" fillId="0" borderId="153" xfId="5" applyNumberFormat="1" applyFont="1" applyBorder="1" applyAlignment="1">
      <alignment horizontal="right" vertical="center"/>
    </xf>
    <xf numFmtId="170" fontId="55" fillId="0" borderId="151" xfId="6" applyNumberFormat="1" applyFont="1" applyBorder="1" applyAlignment="1">
      <alignment horizontal="right" vertical="center"/>
    </xf>
    <xf numFmtId="166" fontId="58" fillId="90" borderId="154" xfId="5" applyNumberFormat="1" applyFont="1" applyFill="1" applyBorder="1"/>
    <xf numFmtId="0" fontId="58" fillId="90" borderId="155" xfId="6" applyFont="1" applyFill="1" applyBorder="1"/>
    <xf numFmtId="166" fontId="58" fillId="90" borderId="156" xfId="5" applyNumberFormat="1" applyFont="1" applyFill="1" applyBorder="1"/>
    <xf numFmtId="164" fontId="53" fillId="0" borderId="152" xfId="4573" applyNumberFormat="1" applyFont="1" applyBorder="1"/>
    <xf numFmtId="164" fontId="53" fillId="0" borderId="151" xfId="4573" applyNumberFormat="1" applyFont="1" applyBorder="1"/>
    <xf numFmtId="166" fontId="53" fillId="0" borderId="151" xfId="1851" applyNumberFormat="1" applyFont="1" applyBorder="1"/>
    <xf numFmtId="166" fontId="53" fillId="0" borderId="153" xfId="1851" applyNumberFormat="1" applyFont="1" applyBorder="1"/>
    <xf numFmtId="164" fontId="58" fillId="90" borderId="154" xfId="4573" applyNumberFormat="1" applyFont="1" applyFill="1" applyBorder="1"/>
    <xf numFmtId="164" fontId="58" fillId="90" borderId="155" xfId="4573" applyNumberFormat="1" applyFont="1" applyFill="1" applyBorder="1"/>
    <xf numFmtId="164" fontId="58" fillId="90" borderId="156" xfId="4573" applyNumberFormat="1" applyFont="1" applyFill="1" applyBorder="1"/>
    <xf numFmtId="0" fontId="58" fillId="90" borderId="94" xfId="1851" applyFont="1" applyFill="1" applyBorder="1" applyAlignment="1">
      <alignment horizontal="center" vertical="center" wrapText="1"/>
    </xf>
    <xf numFmtId="0" fontId="58" fillId="90" borderId="95" xfId="1851" applyFont="1" applyFill="1" applyBorder="1" applyAlignment="1">
      <alignment horizontal="center" vertical="center" wrapText="1"/>
    </xf>
    <xf numFmtId="0" fontId="58" fillId="90" borderId="99" xfId="1851" applyFont="1" applyFill="1" applyBorder="1" applyAlignment="1">
      <alignment horizontal="center" vertical="center" wrapText="1"/>
    </xf>
    <xf numFmtId="0" fontId="53" fillId="0" borderId="0" xfId="1851" applyFont="1" applyAlignment="1">
      <alignment horizontal="left" vertical="center"/>
    </xf>
    <xf numFmtId="0" fontId="31" fillId="36" borderId="162" xfId="6" applyFont="1" applyFill="1" applyBorder="1" applyAlignment="1">
      <alignment horizontal="center"/>
    </xf>
    <xf numFmtId="0" fontId="14" fillId="36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0" fillId="0" borderId="0" xfId="5" applyFont="1" applyAlignment="1">
      <alignment horizontal="center"/>
    </xf>
    <xf numFmtId="165" fontId="26" fillId="0" borderId="0" xfId="5" applyFont="1" applyAlignment="1">
      <alignment horizontal="center"/>
    </xf>
    <xf numFmtId="0" fontId="26" fillId="0" borderId="0" xfId="0" applyFont="1" applyAlignment="1">
      <alignment horizontal="center"/>
    </xf>
    <xf numFmtId="0" fontId="53" fillId="0" borderId="0" xfId="59" applyFont="1"/>
    <xf numFmtId="0" fontId="59" fillId="90" borderId="0" xfId="59" applyFont="1" applyFill="1" applyAlignment="1">
      <alignment horizontal="center"/>
    </xf>
    <xf numFmtId="0" fontId="56" fillId="0" borderId="0" xfId="3" applyFont="1" applyAlignment="1">
      <alignment horizontal="center"/>
    </xf>
    <xf numFmtId="0" fontId="53" fillId="0" borderId="90" xfId="0" applyFont="1" applyBorder="1" applyAlignment="1">
      <alignment horizontal="center"/>
    </xf>
    <xf numFmtId="0" fontId="53" fillId="0" borderId="91" xfId="0" applyFont="1" applyBorder="1" applyAlignment="1">
      <alignment horizontal="center"/>
    </xf>
    <xf numFmtId="0" fontId="53" fillId="0" borderId="92" xfId="0" applyFont="1" applyBorder="1" applyAlignment="1">
      <alignment horizontal="center"/>
    </xf>
    <xf numFmtId="0" fontId="53" fillId="0" borderId="56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53" fillId="0" borderId="93" xfId="0" applyFont="1" applyBorder="1" applyAlignment="1">
      <alignment horizontal="center" wrapText="1"/>
    </xf>
    <xf numFmtId="0" fontId="53" fillId="0" borderId="88" xfId="0" applyFont="1" applyBorder="1" applyAlignment="1">
      <alignment horizontal="center" wrapText="1"/>
    </xf>
    <xf numFmtId="0" fontId="53" fillId="0" borderId="127" xfId="0" applyFont="1" applyBorder="1" applyAlignment="1">
      <alignment horizontal="center" wrapText="1"/>
    </xf>
    <xf numFmtId="0" fontId="53" fillId="0" borderId="14" xfId="0" applyFont="1" applyBorder="1" applyAlignment="1">
      <alignment horizontal="center" wrapText="1"/>
    </xf>
    <xf numFmtId="0" fontId="54" fillId="0" borderId="0" xfId="0" applyFont="1" applyAlignment="1">
      <alignment horizontal="center"/>
    </xf>
    <xf numFmtId="0" fontId="54" fillId="0" borderId="66" xfId="0" applyFont="1" applyBorder="1" applyAlignment="1">
      <alignment horizontal="center"/>
    </xf>
    <xf numFmtId="0" fontId="54" fillId="0" borderId="67" xfId="0" applyFont="1" applyBorder="1" applyAlignment="1">
      <alignment horizontal="center"/>
    </xf>
    <xf numFmtId="0" fontId="54" fillId="0" borderId="68" xfId="0" applyFont="1" applyBorder="1" applyAlignment="1">
      <alignment horizontal="center"/>
    </xf>
    <xf numFmtId="0" fontId="53" fillId="0" borderId="104" xfId="0" applyFont="1" applyBorder="1" applyAlignment="1">
      <alignment horizontal="center"/>
    </xf>
    <xf numFmtId="0" fontId="53" fillId="0" borderId="105" xfId="0" applyFont="1" applyBorder="1" applyAlignment="1">
      <alignment horizontal="center"/>
    </xf>
    <xf numFmtId="0" fontId="53" fillId="0" borderId="106" xfId="0" applyFont="1" applyBorder="1" applyAlignment="1">
      <alignment horizontal="center"/>
    </xf>
    <xf numFmtId="10" fontId="1" fillId="0" borderId="71" xfId="1851" applyNumberFormat="1" applyBorder="1" applyAlignment="1">
      <alignment horizontal="center" vertical="center"/>
    </xf>
    <xf numFmtId="10" fontId="1" fillId="0" borderId="56" xfId="1851" applyNumberFormat="1" applyBorder="1" applyAlignment="1">
      <alignment horizontal="center" vertical="center"/>
    </xf>
    <xf numFmtId="10" fontId="1" fillId="0" borderId="107" xfId="1851" applyNumberFormat="1" applyBorder="1" applyAlignment="1">
      <alignment horizontal="center" vertical="center"/>
    </xf>
    <xf numFmtId="0" fontId="1" fillId="0" borderId="56" xfId="1851" applyBorder="1" applyAlignment="1">
      <alignment horizontal="center"/>
    </xf>
    <xf numFmtId="0" fontId="1" fillId="0" borderId="71" xfId="1851" applyBorder="1" applyAlignment="1">
      <alignment horizontal="center" vertical="center" wrapText="1"/>
    </xf>
    <xf numFmtId="0" fontId="1" fillId="0" borderId="56" xfId="1851" applyBorder="1" applyAlignment="1">
      <alignment horizontal="center" vertical="center" wrapText="1"/>
    </xf>
    <xf numFmtId="0" fontId="1" fillId="0" borderId="107" xfId="1851" applyBorder="1" applyAlignment="1">
      <alignment horizontal="center" vertical="center" wrapText="1"/>
    </xf>
    <xf numFmtId="0" fontId="1" fillId="0" borderId="0" xfId="1851" applyAlignment="1">
      <alignment horizontal="center"/>
    </xf>
    <xf numFmtId="0" fontId="1" fillId="0" borderId="0" xfId="1851" applyAlignment="1">
      <alignment horizontal="center" vertical="center" wrapText="1"/>
    </xf>
    <xf numFmtId="10" fontId="1" fillId="0" borderId="0" xfId="1851" applyNumberFormat="1" applyAlignment="1">
      <alignment horizontal="center" vertical="center"/>
    </xf>
    <xf numFmtId="0" fontId="1" fillId="0" borderId="0" xfId="1851" applyAlignment="1">
      <alignment horizontal="center" vertical="center"/>
    </xf>
    <xf numFmtId="0" fontId="1" fillId="0" borderId="15" xfId="1851" applyBorder="1" applyAlignment="1">
      <alignment horizontal="center" vertical="center" wrapText="1"/>
    </xf>
    <xf numFmtId="10" fontId="1" fillId="0" borderId="15" xfId="1851" applyNumberFormat="1" applyBorder="1" applyAlignment="1">
      <alignment horizontal="center" vertical="center"/>
    </xf>
    <xf numFmtId="10" fontId="0" fillId="0" borderId="0" xfId="4572" applyNumberFormat="1" applyFont="1" applyFill="1" applyAlignment="1">
      <alignment horizontal="center" vertical="center"/>
    </xf>
    <xf numFmtId="0" fontId="29" fillId="0" borderId="0" xfId="1851" applyFont="1" applyAlignment="1">
      <alignment horizontal="center"/>
    </xf>
    <xf numFmtId="0" fontId="14" fillId="0" borderId="97" xfId="0" applyFont="1" applyBorder="1" applyAlignment="1">
      <alignment horizontal="center"/>
    </xf>
    <xf numFmtId="0" fontId="193" fillId="90" borderId="71" xfId="6" applyFont="1" applyFill="1" applyBorder="1" applyAlignment="1">
      <alignment horizontal="center" vertical="center"/>
    </xf>
    <xf numFmtId="0" fontId="193" fillId="90" borderId="70" xfId="6" applyFont="1" applyFill="1" applyBorder="1" applyAlignment="1">
      <alignment horizontal="center" vertical="center"/>
    </xf>
    <xf numFmtId="0" fontId="193" fillId="90" borderId="72" xfId="6" applyFont="1" applyFill="1" applyBorder="1" applyAlignment="1">
      <alignment horizontal="center" vertical="center"/>
    </xf>
    <xf numFmtId="0" fontId="193" fillId="90" borderId="59" xfId="6" applyFont="1" applyFill="1" applyBorder="1" applyAlignment="1">
      <alignment horizontal="center" vertical="center"/>
    </xf>
    <xf numFmtId="0" fontId="193" fillId="90" borderId="65" xfId="6" applyFont="1" applyFill="1" applyBorder="1" applyAlignment="1">
      <alignment horizontal="center" vertical="center"/>
    </xf>
    <xf numFmtId="0" fontId="193" fillId="90" borderId="64" xfId="6" applyFont="1" applyFill="1" applyBorder="1" applyAlignment="1">
      <alignment horizontal="center" vertical="center"/>
    </xf>
    <xf numFmtId="0" fontId="193" fillId="90" borderId="0" xfId="6" applyFont="1" applyFill="1" applyAlignment="1">
      <alignment horizontal="center"/>
    </xf>
    <xf numFmtId="0" fontId="53" fillId="0" borderId="0" xfId="1851" applyFont="1" applyAlignment="1">
      <alignment horizontal="center"/>
    </xf>
    <xf numFmtId="0" fontId="30" fillId="0" borderId="71" xfId="1851" applyFont="1" applyBorder="1" applyAlignment="1">
      <alignment horizontal="center"/>
    </xf>
    <xf numFmtId="0" fontId="30" fillId="0" borderId="70" xfId="1851" applyFont="1" applyBorder="1" applyAlignment="1">
      <alignment horizontal="center"/>
    </xf>
    <xf numFmtId="0" fontId="30" fillId="0" borderId="72" xfId="1851" applyFont="1" applyBorder="1" applyAlignment="1">
      <alignment horizontal="center"/>
    </xf>
    <xf numFmtId="0" fontId="53" fillId="0" borderId="71" xfId="1851" applyFont="1" applyBorder="1" applyAlignment="1">
      <alignment horizontal="center"/>
    </xf>
    <xf numFmtId="0" fontId="53" fillId="0" borderId="70" xfId="1851" applyFont="1" applyBorder="1" applyAlignment="1">
      <alignment horizontal="center"/>
    </xf>
    <xf numFmtId="0" fontId="53" fillId="0" borderId="72" xfId="1851" applyFont="1" applyBorder="1" applyAlignment="1">
      <alignment horizontal="center"/>
    </xf>
    <xf numFmtId="0" fontId="58" fillId="90" borderId="66" xfId="1851" applyFont="1" applyFill="1" applyBorder="1" applyAlignment="1">
      <alignment horizontal="center"/>
    </xf>
    <xf numFmtId="0" fontId="58" fillId="90" borderId="67" xfId="1851" applyFont="1" applyFill="1" applyBorder="1" applyAlignment="1">
      <alignment horizontal="center"/>
    </xf>
    <xf numFmtId="0" fontId="59" fillId="90" borderId="104" xfId="1851" applyFont="1" applyFill="1" applyBorder="1" applyAlignment="1">
      <alignment horizontal="center"/>
    </xf>
    <xf numFmtId="0" fontId="59" fillId="90" borderId="110" xfId="1851" applyFont="1" applyFill="1" applyBorder="1" applyAlignment="1">
      <alignment horizontal="center"/>
    </xf>
    <xf numFmtId="0" fontId="58" fillId="90" borderId="88" xfId="1851" applyFont="1" applyFill="1" applyBorder="1" applyAlignment="1">
      <alignment horizontal="center"/>
    </xf>
    <xf numFmtId="0" fontId="58" fillId="90" borderId="0" xfId="1851" applyFont="1" applyFill="1" applyAlignment="1">
      <alignment horizontal="center"/>
    </xf>
    <xf numFmtId="244" fontId="58" fillId="90" borderId="91" xfId="1851" applyNumberFormat="1" applyFont="1" applyFill="1" applyBorder="1" applyAlignment="1">
      <alignment horizontal="center" vertical="center" wrapText="1"/>
    </xf>
    <xf numFmtId="244" fontId="58" fillId="90" borderId="90" xfId="1851" applyNumberFormat="1" applyFont="1" applyFill="1" applyBorder="1" applyAlignment="1">
      <alignment horizontal="center" vertical="center" wrapText="1"/>
    </xf>
    <xf numFmtId="244" fontId="58" fillId="90" borderId="92" xfId="1851" applyNumberFormat="1" applyFont="1" applyFill="1" applyBorder="1" applyAlignment="1">
      <alignment horizontal="center" vertical="center" wrapText="1"/>
    </xf>
    <xf numFmtId="0" fontId="58" fillId="90" borderId="53" xfId="1851" applyFont="1" applyFill="1" applyBorder="1" applyAlignment="1">
      <alignment horizontal="center"/>
    </xf>
    <xf numFmtId="0" fontId="58" fillId="90" borderId="76" xfId="1851" applyFont="1" applyFill="1" applyBorder="1" applyAlignment="1">
      <alignment horizontal="center"/>
    </xf>
    <xf numFmtId="0" fontId="58" fillId="90" borderId="90" xfId="1851" applyFont="1" applyFill="1" applyBorder="1" applyAlignment="1">
      <alignment horizontal="center" vertical="center"/>
    </xf>
    <xf numFmtId="0" fontId="58" fillId="90" borderId="83" xfId="1851" applyFont="1" applyFill="1" applyBorder="1" applyAlignment="1">
      <alignment horizontal="center" vertical="center"/>
    </xf>
    <xf numFmtId="0" fontId="58" fillId="90" borderId="94" xfId="1851" applyFont="1" applyFill="1" applyBorder="1" applyAlignment="1">
      <alignment horizontal="center" vertical="center"/>
    </xf>
    <xf numFmtId="0" fontId="58" fillId="90" borderId="95" xfId="1851" applyFont="1" applyFill="1" applyBorder="1" applyAlignment="1">
      <alignment horizontal="center" vertical="center"/>
    </xf>
    <xf numFmtId="0" fontId="58" fillId="90" borderId="99" xfId="1851" applyFont="1" applyFill="1" applyBorder="1" applyAlignment="1">
      <alignment horizontal="center" vertical="center"/>
    </xf>
    <xf numFmtId="0" fontId="58" fillId="90" borderId="91" xfId="1851" applyFont="1" applyFill="1" applyBorder="1" applyAlignment="1">
      <alignment horizontal="center" vertical="center"/>
    </xf>
    <xf numFmtId="0" fontId="58" fillId="90" borderId="75" xfId="1851" applyFont="1" applyFill="1" applyBorder="1" applyAlignment="1">
      <alignment horizontal="center"/>
    </xf>
    <xf numFmtId="0" fontId="199" fillId="90" borderId="0" xfId="6" applyFont="1" applyFill="1" applyAlignment="1">
      <alignment horizontal="center" wrapText="1"/>
    </xf>
    <xf numFmtId="0" fontId="199" fillId="90" borderId="0" xfId="6" applyFont="1" applyFill="1" applyAlignment="1">
      <alignment horizontal="center"/>
    </xf>
    <xf numFmtId="0" fontId="18" fillId="0" borderId="0" xfId="3" applyFont="1" applyAlignment="1">
      <alignment horizontal="center"/>
    </xf>
  </cellXfs>
  <cellStyles count="5514">
    <cellStyle name="-" xfId="136" xr:uid="{8514AF00-345D-4AFF-BEF6-5D42FE309850}"/>
    <cellStyle name=" 3]_x000d__x000a_Zoomed=1_x000d__x000a_Row=0_x000d__x000a_Column=0_x000d__x000a_Height=300_x000d__x000a_Width=300_x000d__x000a_FontName=細明體_x000d__x000a_FontStyle=0_x000d__x000a_FontSize=9_x000d__x000a_PrtFontName=Co" xfId="104" xr:uid="{8627A226-90D8-43EA-A3AD-10F960B436CA}"/>
    <cellStyle name="$" xfId="147" xr:uid="{043F02A9-67AC-41E0-B3A1-2B2D9BDCDF92}"/>
    <cellStyle name="$ &amp; ¢" xfId="148" xr:uid="{27DE8ECB-84B3-4ED8-856C-6827D898F468}"/>
    <cellStyle name="$ &amp; ¢ 2" xfId="4676" xr:uid="{FFA58D6F-9647-4024-ACE4-2E6783A63F8E}"/>
    <cellStyle name="$ 2" xfId="4675" xr:uid="{B168B616-4EEB-460C-8004-F6076897A3EF}"/>
    <cellStyle name="%" xfId="142" xr:uid="{E358C829-9307-4985-8833-7C0F02F338F1}"/>
    <cellStyle name="%.00" xfId="143" xr:uid="{D2FD3620-AFB5-4943-9351-D68CD34DE62E}"/>
    <cellStyle name="(Heading)" xfId="138" xr:uid="{F300BF5E-4F74-40DC-9359-45DEEBC1FE28}"/>
    <cellStyle name="(Heading) 2" xfId="5492" xr:uid="{13C5757C-576D-4EA0-8082-07A4E3573AB6}"/>
    <cellStyle name="(Lefting)" xfId="139" xr:uid="{3BC24F6F-1897-480F-8882-D6CF6376097F}"/>
    <cellStyle name="(Lefting) 2" xfId="5493" xr:uid="{AB2756D2-BC98-444D-82B6-9984BE3A42ED}"/>
    <cellStyle name="(z*¯_x000f_°(”,¯?À(¢,¯?Ð(°,¯?à(Â,¯?ð(Ô,¯?" xfId="140" xr:uid="{9BD17B13-0435-4992-B7BA-B0B66252F494}"/>
    <cellStyle name="(z*¯_x000f_°(”,¯?À(¢,¯?Ð(°,¯?à(Â,¯?ð(Ô,¯? 2" xfId="4674" xr:uid="{CFB0FBB4-FB1E-42B9-9916-5C1CBEF78CD9}"/>
    <cellStyle name="******************************************" xfId="141" xr:uid="{39E77E8E-F99D-43DC-8EE0-95EA44C03110}"/>
    <cellStyle name="_CNMD_Valuation Model_20081212_v2" xfId="105" xr:uid="{12BD316C-596E-400D-BF96-B13DC31B7C15}"/>
    <cellStyle name="_Comma" xfId="106" xr:uid="{704B6787-4781-4F27-B967-DE48462AC85B}"/>
    <cellStyle name="_Comps 4" xfId="107" xr:uid="{DE91D700-2C29-4987-85C7-EBED38398172}"/>
    <cellStyle name="_Cont Analysis" xfId="108" xr:uid="{0D32D8A1-501A-4BA1-9673-48170E010410}"/>
    <cellStyle name="_Currency" xfId="109" xr:uid="{B7F0E912-1051-4F1C-8894-509B4DE271E1}"/>
    <cellStyle name="_Currency_Analysis" xfId="110" xr:uid="{35F5DAC3-3063-4903-A6EA-44789AC3B046}"/>
    <cellStyle name="_Currency_Smartportfolio model" xfId="111" xr:uid="{69357543-EE99-4FFF-9F63-29A83FC81D8A}"/>
    <cellStyle name="_Currency_Smartportfolio model_DB-merged files" xfId="112" xr:uid="{6BD90072-A021-47EB-B649-5E22F9425B94}"/>
    <cellStyle name="_CurrencySpace" xfId="113" xr:uid="{2BDB6D76-9B27-4557-A862-5CE64B25F5C8}"/>
    <cellStyle name="_Gamma Valuation - 8" xfId="114" xr:uid="{96FF6DE3-29F4-4A21-AD0D-2FDB6B40940F}"/>
    <cellStyle name="_ITRN" xfId="115" xr:uid="{89893122-0419-4FE6-A058-9D63FCEB770E}"/>
    <cellStyle name="-_Merger Model 17 Nov 04" xfId="137" xr:uid="{6040F9FC-3AB3-41C1-9EE1-AB6B6885877F}"/>
    <cellStyle name="_Merger Model_KN&amp;Fzio_v2.30 - Street" xfId="116" xr:uid="{3E8F3DDC-1407-4CCE-94CA-DAD1680889DD}"/>
    <cellStyle name="_Multiple" xfId="117" xr:uid="{499AB631-A70E-4795-B0C0-D419EB3FA71A}"/>
    <cellStyle name="_Multiple_Analysis" xfId="118" xr:uid="{611542D9-5B02-4C55-B9EC-2E16BE14D37B}"/>
    <cellStyle name="_Multiple_Analysis_DB-merged files" xfId="119" xr:uid="{A9729D50-7244-46EF-A115-C713C7D1CEFA}"/>
    <cellStyle name="_Multiple_Smartportfolio model" xfId="120" xr:uid="{0ACEDDC9-4148-4E2A-8FDE-24C4361AA707}"/>
    <cellStyle name="_Multiple_Smartportfolio model_DB-merged files" xfId="121" xr:uid="{6AAFE7E7-5564-454A-84E3-E8EE956243B8}"/>
    <cellStyle name="_MultipleSpace" xfId="122" xr:uid="{F478E62F-2912-4A62-98F0-3EFC5EA401D4}"/>
    <cellStyle name="_MultipleSpace_Analysis" xfId="123" xr:uid="{4C99DD2E-97ED-4CDE-970B-7FF80EF80B8C}"/>
    <cellStyle name="_MultipleSpace_csc" xfId="124" xr:uid="{3D101EB8-580C-4AA3-A4C5-3D1DF193DAD2}"/>
    <cellStyle name="_MultipleSpace_Smartportfolio model" xfId="125" xr:uid="{0731AA81-1242-49BC-8EAA-1BA5D5636E64}"/>
    <cellStyle name="_MultipleSpace_Smartportfolio model_DB-merged files" xfId="126" xr:uid="{E46B0666-784E-4C77-AA74-55CA984148A5}"/>
    <cellStyle name="_MultipleSpace_Smartportfolio model_DB-merged files 2" xfId="4673" xr:uid="{D9290DF3-7337-4167-861D-1D7E5F739840}"/>
    <cellStyle name="_Percent" xfId="127" xr:uid="{683D5C6F-A88E-4525-BEFE-A5A7F4BFE390}"/>
    <cellStyle name="_Percent_Analysis" xfId="128" xr:uid="{E556E2EB-887A-4703-86D8-3F76EC0663E4}"/>
    <cellStyle name="_Percent_Smartportfolio model" xfId="129" xr:uid="{2DC47153-3D71-4673-90DF-BC13CDC1050F}"/>
    <cellStyle name="_Percent_Smartportfolio model_DB-merged files" xfId="130" xr:uid="{A2ACEA60-2DCA-43A2-BF4E-00CA70D4228F}"/>
    <cellStyle name="_PercentSpace" xfId="131" xr:uid="{416FCF8D-76E8-4DEB-BABC-A6867147ED59}"/>
    <cellStyle name="_PercentSpace_Analysis" xfId="132" xr:uid="{ACD9E496-1744-4971-9CC0-98197C6B06C3}"/>
    <cellStyle name="_PercentSpace_Smartportfolio model" xfId="133" xr:uid="{E0232EC8-2E57-4E52-B12B-2F1D412F449F}"/>
    <cellStyle name="_Sepracor Riders_Clean" xfId="134" xr:uid="{0E932B4C-ED1B-4531-AD6A-DDBD10B3EE2A}"/>
    <cellStyle name="_SIAL_Model_5.22.09 v71" xfId="135" xr:uid="{21261F34-6983-4779-A575-0B0F8F80ED37}"/>
    <cellStyle name="&lt;9#_x000f_¾Èƒé1ƒÃ_x0002_;M_x0014_}$‹E_x0010_‹_x0004_ˆ…Àt_x001b_Pÿ_x0015_ x¦" xfId="144" xr:uid="{3DCCDF18-CCBD-47DC-A84C-0948000F7EB6}"/>
    <cellStyle name="=C:\WINNT\SYSTEM32\COMMAND.COM" xfId="145" xr:uid="{89F28961-05A8-4766-A11A-8BF11E73568B}"/>
    <cellStyle name="=C:\WINNT35\SYSTEM32\COMMAND.COM" xfId="146" xr:uid="{0AFBBEBA-EC3D-455B-8CBC-14302C595C9C}"/>
    <cellStyle name="1,comma" xfId="149" xr:uid="{0287EC6E-1393-44A5-9942-BC6F5274FBBC}"/>
    <cellStyle name="10Q" xfId="150" xr:uid="{D928BFCA-CFAA-4704-BA40-5D34F5A0AA65}"/>
    <cellStyle name="20 % - Accent1" xfId="151" xr:uid="{26CC5399-7959-4E68-9A5E-C30D992623D1}"/>
    <cellStyle name="20 % - Accent2" xfId="152" xr:uid="{387193E6-0C44-487C-A907-58BE3809BC92}"/>
    <cellStyle name="20 % - Accent3" xfId="153" xr:uid="{F3EFC7B5-8E36-4564-A25E-EEBCE2522584}"/>
    <cellStyle name="20 % - Accent4" xfId="154" xr:uid="{0D6993F0-D042-4518-9CD7-D044A5775FD8}"/>
    <cellStyle name="20 % - Accent5" xfId="155" xr:uid="{20EBC93E-6880-4C8C-97C5-6C7D6FF05195}"/>
    <cellStyle name="20 % - Accent6" xfId="156" xr:uid="{5DF4ED5E-B969-4A80-8A50-063CB254EE6C}"/>
    <cellStyle name="20% - Accent1" xfId="4625" builtinId="30" customBuiltin="1"/>
    <cellStyle name="20% - Accent1 2" xfId="18" xr:uid="{C33A3C86-913D-4B5D-8412-51186DE724F2}"/>
    <cellStyle name="20% - Accent1 2 10" xfId="157" xr:uid="{26F5A637-31D7-4B7E-BB6C-FD61095EFC2F}"/>
    <cellStyle name="20% - Accent1 2 2" xfId="158" xr:uid="{E8863876-2D2E-449C-9206-81522A02D963}"/>
    <cellStyle name="20% - Accent1 2 2 2" xfId="159" xr:uid="{9714BDDC-DBF6-4C69-82D3-2A5B8409DFCB}"/>
    <cellStyle name="20% - Accent1 2 2 3" xfId="160" xr:uid="{430C0B51-BF45-4F31-818F-0FC657CE8C32}"/>
    <cellStyle name="20% - Accent1 2 3" xfId="161" xr:uid="{056657C6-14EA-4FE1-9122-0F80E1EAF95D}"/>
    <cellStyle name="20% - Accent1 2 3 2" xfId="162" xr:uid="{751AB741-8CBB-412D-9E0E-4C9424F816AC}"/>
    <cellStyle name="20% - Accent1 2 4" xfId="163" xr:uid="{50339CB1-DF46-410E-B79B-1DC94FCE6CA3}"/>
    <cellStyle name="20% - Accent1 2 5" xfId="164" xr:uid="{19858DE1-8090-4412-A3FE-D086EDD2162A}"/>
    <cellStyle name="20% - Accent1 2 6" xfId="165" xr:uid="{084B3A55-35CC-48FE-99F6-99FA2BEAF9E6}"/>
    <cellStyle name="20% - Accent1 2 7" xfId="166" xr:uid="{6E0D8B8E-964D-4A5B-8373-70D3BD4FDEA0}"/>
    <cellStyle name="20% - Accent1 2 8" xfId="167" xr:uid="{DBF9A90E-E50C-41D7-BAD2-AD469D77F555}"/>
    <cellStyle name="20% - Accent1 2 9" xfId="168" xr:uid="{80E90B77-79DC-4A43-95E9-C6D199ADC5F2}"/>
    <cellStyle name="20% - Accent1 3" xfId="169" xr:uid="{E08569E7-57F8-4305-B8DA-01D14FEBBE8B}"/>
    <cellStyle name="20% - Accent1 3 2" xfId="170" xr:uid="{69F8DA42-C4A3-412D-B441-167EC7F10A33}"/>
    <cellStyle name="20% - Accent1 3 2 2" xfId="171" xr:uid="{5095DD82-6441-451A-8FAB-D45F864D2D07}"/>
    <cellStyle name="20% - Accent1 3 2 2 2" xfId="172" xr:uid="{BA7FD674-1068-4CCD-B762-FE0FF2E23C51}"/>
    <cellStyle name="20% - Accent1 3 2 2 2 2" xfId="173" xr:uid="{C1F7BFA5-60CB-4074-9642-EDED2C3F0B02}"/>
    <cellStyle name="20% - Accent1 3 2 2 3" xfId="174" xr:uid="{072CA48B-319E-454A-8EE3-B9A2C237BD99}"/>
    <cellStyle name="20% - Accent1 3 2 3" xfId="175" xr:uid="{4918723D-DA23-4D64-BF30-9F910875266C}"/>
    <cellStyle name="20% - Accent1 3 2 3 2" xfId="176" xr:uid="{3F2A8175-EF7B-4713-A55D-BBB92C66D757}"/>
    <cellStyle name="20% - Accent1 3 2 4" xfId="177" xr:uid="{EDF41390-105F-4967-9A73-528D1455DF5C}"/>
    <cellStyle name="20% - Accent1 3 3" xfId="178" xr:uid="{0C695798-1A9B-4B1A-A5FF-A44CF683B732}"/>
    <cellStyle name="20% - Accent1 3 3 2" xfId="179" xr:uid="{F4DDE7E9-16AF-49D4-9C94-4AA579A056C4}"/>
    <cellStyle name="20% - Accent1 3 3 2 2" xfId="180" xr:uid="{8804C0AE-3720-44A0-8939-9186E7AD0AD4}"/>
    <cellStyle name="20% - Accent1 3 3 2 2 2" xfId="181" xr:uid="{E11AAC08-94E4-4866-B328-99354C368AF0}"/>
    <cellStyle name="20% - Accent1 3 3 2 3" xfId="182" xr:uid="{822F5707-10CE-4825-AC3F-F1339D98EE96}"/>
    <cellStyle name="20% - Accent1 3 3 3" xfId="183" xr:uid="{78188845-D1A3-465F-A9F6-8E8AAA775031}"/>
    <cellStyle name="20% - Accent1 3 3 3 2" xfId="184" xr:uid="{AA70AB1E-9EE0-4329-AD20-EB5DF7E321B7}"/>
    <cellStyle name="20% - Accent1 3 3 4" xfId="185" xr:uid="{D4981984-BC51-4ECA-AF7D-528899B81B59}"/>
    <cellStyle name="20% - Accent1 3 4" xfId="186" xr:uid="{9DFB819E-91D1-4037-B35C-0B8FEB739229}"/>
    <cellStyle name="20% - Accent1 3 4 2" xfId="187" xr:uid="{F72D7ADF-497F-47A4-B7D2-F00A10A8B809}"/>
    <cellStyle name="20% - Accent1 3 4 2 2" xfId="188" xr:uid="{FDCBB335-7427-4D8E-9E6E-97AC3935BCAA}"/>
    <cellStyle name="20% - Accent1 3 4 3" xfId="189" xr:uid="{352FB33B-A252-4542-998F-664858D2733B}"/>
    <cellStyle name="20% - Accent1 3 5" xfId="190" xr:uid="{E116206D-A6FC-40C4-BE74-5B4296429493}"/>
    <cellStyle name="20% - Accent1 3 5 2" xfId="191" xr:uid="{3FB67A02-7A39-46A9-B5B0-5B33519A97F5}"/>
    <cellStyle name="20% - Accent1 3 6" xfId="192" xr:uid="{16E7AFE4-8D1D-4E64-8C65-1A89B20E25B4}"/>
    <cellStyle name="20% - Accent1 4" xfId="193" xr:uid="{91E18E36-B73F-4988-B44C-608DC4203A60}"/>
    <cellStyle name="20% - Accent1 5" xfId="194" xr:uid="{A1AFFA2B-18BE-4DD0-AB0B-BE0C05D7E6D4}"/>
    <cellStyle name="20% - Accent1 6" xfId="195" xr:uid="{D486BA1F-3EB0-44B4-BE9A-E34E54436198}"/>
    <cellStyle name="20% - Accent1 7" xfId="196" xr:uid="{2F73B03C-7A57-47F6-8FE6-CFE65F3556A3}"/>
    <cellStyle name="20% - Accent1 8" xfId="197" xr:uid="{75BD9343-15CE-461B-85E7-BB934D10A454}"/>
    <cellStyle name="20% - Accent1 9" xfId="198" xr:uid="{D5765053-F404-4E75-8AC1-08864E1A1041}"/>
    <cellStyle name="20% - Accent2" xfId="4629" builtinId="34" customBuiltin="1"/>
    <cellStyle name="20% - Accent2 2" xfId="19" xr:uid="{A85EADCA-AD17-47A4-BFDA-6942CD9A709D}"/>
    <cellStyle name="20% - Accent2 2 10" xfId="199" xr:uid="{E268DC5A-A3D5-47C5-9B6E-A4105CA3E6B0}"/>
    <cellStyle name="20% - Accent2 2 2" xfId="200" xr:uid="{9FD77E06-761A-47EB-A2B7-6D202D0E6F7E}"/>
    <cellStyle name="20% - Accent2 2 2 2" xfId="201" xr:uid="{E62856B7-88B2-4EF9-82FB-9118EFEA82AB}"/>
    <cellStyle name="20% - Accent2 2 2 3" xfId="202" xr:uid="{5846394A-F734-4F80-95FC-3E68F85DFCA0}"/>
    <cellStyle name="20% - Accent2 2 3" xfId="203" xr:uid="{BF66B27D-31C2-4D51-BAD6-D2EC9327D3FE}"/>
    <cellStyle name="20% - Accent2 2 3 2" xfId="204" xr:uid="{006F5643-2CCB-418C-99DF-39D384813EB1}"/>
    <cellStyle name="20% - Accent2 2 4" xfId="205" xr:uid="{B9E92B75-C625-4C17-B8B0-35F3ACD3E5D0}"/>
    <cellStyle name="20% - Accent2 2 5" xfId="206" xr:uid="{5514A7A5-24CE-4DCA-8A3C-FDE0A7DB1A5A}"/>
    <cellStyle name="20% - Accent2 2 6" xfId="207" xr:uid="{46C72102-38EC-428B-AE32-54B835683AC4}"/>
    <cellStyle name="20% - Accent2 2 7" xfId="208" xr:uid="{3F99C1BF-F7C1-4636-A774-CE811634DE19}"/>
    <cellStyle name="20% - Accent2 2 8" xfId="209" xr:uid="{83F9E269-763D-4881-AC18-70E0C85C0A14}"/>
    <cellStyle name="20% - Accent2 2 9" xfId="210" xr:uid="{5C68A094-E062-49E0-A66D-EB695B75CD4F}"/>
    <cellStyle name="20% - Accent2 3" xfId="211" xr:uid="{24AC4367-E9A3-4388-A6F1-9151EF78CC88}"/>
    <cellStyle name="20% - Accent2 3 2" xfId="212" xr:uid="{D0F07DAE-3FCF-4A7C-A8E2-57EC50880458}"/>
    <cellStyle name="20% - Accent2 3 2 2" xfId="213" xr:uid="{92C09179-9BEC-4BFF-91C1-69F68C9DE0D6}"/>
    <cellStyle name="20% - Accent2 3 2 2 2" xfId="214" xr:uid="{12F80DB1-115B-4673-88FB-9DA9491392BC}"/>
    <cellStyle name="20% - Accent2 3 2 2 2 2" xfId="215" xr:uid="{4ECA8D7C-A18A-43AF-A88B-015917BE068C}"/>
    <cellStyle name="20% - Accent2 3 2 2 3" xfId="216" xr:uid="{C461EB62-845A-4635-8D46-E4246CA37D5C}"/>
    <cellStyle name="20% - Accent2 3 2 3" xfId="217" xr:uid="{C9F8DDB8-3CFA-4BBC-B375-D51BFA53CF15}"/>
    <cellStyle name="20% - Accent2 3 2 3 2" xfId="218" xr:uid="{7673462C-E114-4148-B5D4-33E856C118E6}"/>
    <cellStyle name="20% - Accent2 3 2 4" xfId="219" xr:uid="{BCB45059-A8F8-471A-9090-B4976F70C650}"/>
    <cellStyle name="20% - Accent2 3 3" xfId="220" xr:uid="{D10EAE3C-DBD3-479A-9FEB-F5A13214957F}"/>
    <cellStyle name="20% - Accent2 3 3 2" xfId="221" xr:uid="{01F7D34C-2C2A-4139-AFF2-CC57275A734F}"/>
    <cellStyle name="20% - Accent2 3 3 2 2" xfId="222" xr:uid="{CFAE46E3-B109-4AB6-BCCB-2546C45DBDB7}"/>
    <cellStyle name="20% - Accent2 3 3 2 2 2" xfId="223" xr:uid="{884171D2-8FD4-4396-AAF8-B60196CE0286}"/>
    <cellStyle name="20% - Accent2 3 3 2 3" xfId="224" xr:uid="{DCB3C1F9-F89E-4C8A-8809-07EA2B2E6C82}"/>
    <cellStyle name="20% - Accent2 3 3 3" xfId="225" xr:uid="{12551501-19BE-4BF3-B0FB-5BC75C3F3C0B}"/>
    <cellStyle name="20% - Accent2 3 3 3 2" xfId="226" xr:uid="{811F72CB-58CA-42A5-B29F-650DA8C7B87E}"/>
    <cellStyle name="20% - Accent2 3 3 4" xfId="227" xr:uid="{39E243AE-383A-4D93-8781-DF7AB90F42E6}"/>
    <cellStyle name="20% - Accent2 3 4" xfId="228" xr:uid="{F6ED4ED7-3E08-40EA-8AD4-198DE66BC56D}"/>
    <cellStyle name="20% - Accent2 3 4 2" xfId="229" xr:uid="{AC06B51E-2A5A-4732-8BE8-FF8CF52B47BA}"/>
    <cellStyle name="20% - Accent2 3 4 2 2" xfId="230" xr:uid="{99AC829A-DC12-4DDC-87BB-DE0F59670A0C}"/>
    <cellStyle name="20% - Accent2 3 4 3" xfId="231" xr:uid="{9602E52D-1FDB-4408-925C-C9E2A900777A}"/>
    <cellStyle name="20% - Accent2 3 5" xfId="232" xr:uid="{0D1C5682-73E9-4202-840E-6B11E1D9546A}"/>
    <cellStyle name="20% - Accent2 3 5 2" xfId="233" xr:uid="{1AC7CC2E-DF88-4378-98A1-AFBA37D896DF}"/>
    <cellStyle name="20% - Accent2 3 6" xfId="234" xr:uid="{C082F21B-1E6F-49FB-9642-BD57B80C40C6}"/>
    <cellStyle name="20% - Accent2 4" xfId="235" xr:uid="{42FF0A60-D34A-4939-BB3B-8E3521B4C317}"/>
    <cellStyle name="20% - Accent2 5" xfId="236" xr:uid="{41C56FA3-7FAB-4D82-B700-E47484CA6557}"/>
    <cellStyle name="20% - Accent2 6" xfId="237" xr:uid="{99048AFC-9DAE-4BBF-B065-90C46BDCAB04}"/>
    <cellStyle name="20% - Accent2 7" xfId="238" xr:uid="{93121B73-1887-4DC2-8122-065BB1959B31}"/>
    <cellStyle name="20% - Accent2 8" xfId="239" xr:uid="{F0E46CE6-6B90-4F42-90E6-068900648118}"/>
    <cellStyle name="20% - Accent2 9" xfId="240" xr:uid="{4D6373D3-7944-4FFF-9DD3-428AA499C641}"/>
    <cellStyle name="20% - Accent3" xfId="4633" builtinId="38" customBuiltin="1"/>
    <cellStyle name="20% - Accent3 2" xfId="20" xr:uid="{A1AC19CE-678D-4F4A-B3E3-EFFB5843EE31}"/>
    <cellStyle name="20% - Accent3 2 10" xfId="241" xr:uid="{65D21317-3397-4BFE-A1C1-60A85C7E94C2}"/>
    <cellStyle name="20% - Accent3 2 2" xfId="242" xr:uid="{042BB75C-C9FC-4C8E-B05C-4784B817B3B0}"/>
    <cellStyle name="20% - Accent3 2 2 2" xfId="243" xr:uid="{44D89E3C-7CB8-4323-A623-42214AC24AC9}"/>
    <cellStyle name="20% - Accent3 2 2 3" xfId="244" xr:uid="{36439ADF-6578-47F1-878B-5B31B4263A77}"/>
    <cellStyle name="20% - Accent3 2 3" xfId="245" xr:uid="{889A89D1-6E85-485A-B288-5752E5339259}"/>
    <cellStyle name="20% - Accent3 2 3 2" xfId="246" xr:uid="{8849D927-6248-4B69-8F5E-7A23E1576867}"/>
    <cellStyle name="20% - Accent3 2 4" xfId="247" xr:uid="{BD0CD108-9EB2-4423-BBF4-0F3929EBCD37}"/>
    <cellStyle name="20% - Accent3 2 5" xfId="248" xr:uid="{61A017C1-C8AD-49D4-87A4-CF33BFDC0406}"/>
    <cellStyle name="20% - Accent3 2 6" xfId="249" xr:uid="{0CD3E3D1-6E87-41C2-8524-13A8BCC27745}"/>
    <cellStyle name="20% - Accent3 2 7" xfId="250" xr:uid="{9C052B15-9ABD-4950-BD08-E97A71C8A12D}"/>
    <cellStyle name="20% - Accent3 2 8" xfId="251" xr:uid="{6030E746-A2C1-4F66-9147-9C7D9D429EE2}"/>
    <cellStyle name="20% - Accent3 2 9" xfId="252" xr:uid="{A243A217-96A9-4979-9726-8B93FCEF85DA}"/>
    <cellStyle name="20% - Accent3 3" xfId="253" xr:uid="{FFB25CFE-5FD1-40AB-AA4B-BD3DC3ABDEFC}"/>
    <cellStyle name="20% - Accent3 3 2" xfId="254" xr:uid="{41B07B2F-016D-4F44-A68A-0010B7C23E09}"/>
    <cellStyle name="20% - Accent3 3 2 2" xfId="255" xr:uid="{94803197-E437-4BFD-BB3B-98E4D1FB447E}"/>
    <cellStyle name="20% - Accent3 3 2 2 2" xfId="256" xr:uid="{729C875A-9114-4BE7-A650-BD419B1FE614}"/>
    <cellStyle name="20% - Accent3 3 2 2 2 2" xfId="257" xr:uid="{B4AA69FE-75F2-4938-A039-6AAE3601170B}"/>
    <cellStyle name="20% - Accent3 3 2 2 3" xfId="258" xr:uid="{D0992E0E-F484-494B-909B-68ADAF71E80A}"/>
    <cellStyle name="20% - Accent3 3 2 3" xfId="259" xr:uid="{2E56F4AB-5F27-4F8A-9970-A092F3F48265}"/>
    <cellStyle name="20% - Accent3 3 2 3 2" xfId="260" xr:uid="{88C5CB21-3C62-45FE-B480-F37350375581}"/>
    <cellStyle name="20% - Accent3 3 2 4" xfId="261" xr:uid="{225DD005-CF5E-4AC0-A73E-91EE6CD07A6D}"/>
    <cellStyle name="20% - Accent3 3 3" xfId="262" xr:uid="{51047039-40A6-4A5E-ADB1-45D0B4D3B8EE}"/>
    <cellStyle name="20% - Accent3 3 3 2" xfId="263" xr:uid="{47F107B5-1568-48F8-A077-EC5B13C0E6EC}"/>
    <cellStyle name="20% - Accent3 3 3 2 2" xfId="264" xr:uid="{EADAF46E-2368-44EA-84B5-A040DBFE10E6}"/>
    <cellStyle name="20% - Accent3 3 3 2 2 2" xfId="265" xr:uid="{AB101AF5-9D6B-4B05-8BE2-007DF9D76623}"/>
    <cellStyle name="20% - Accent3 3 3 2 3" xfId="266" xr:uid="{77508F2D-0355-401F-BD5E-2D470629EFD1}"/>
    <cellStyle name="20% - Accent3 3 3 3" xfId="267" xr:uid="{7A28F9AB-D4EF-4375-84ED-1EEECB61E0CC}"/>
    <cellStyle name="20% - Accent3 3 3 3 2" xfId="268" xr:uid="{5B86658E-FE2B-4869-88D6-ED0B14C3191C}"/>
    <cellStyle name="20% - Accent3 3 3 4" xfId="269" xr:uid="{2183CEEA-5A72-40A9-B5A7-11C72827B821}"/>
    <cellStyle name="20% - Accent3 3 4" xfId="270" xr:uid="{3D14F2BF-0808-43B0-AB6A-58911BA07F5B}"/>
    <cellStyle name="20% - Accent3 3 4 2" xfId="271" xr:uid="{A4D746C0-149B-439A-89BB-868CC611E56F}"/>
    <cellStyle name="20% - Accent3 3 4 2 2" xfId="272" xr:uid="{22869A86-CC23-40A8-85E4-918BAB6CAFDD}"/>
    <cellStyle name="20% - Accent3 3 4 3" xfId="273" xr:uid="{EA21C6DD-CE9E-41D1-A0B1-0F9928DEB1F8}"/>
    <cellStyle name="20% - Accent3 3 5" xfId="274" xr:uid="{B2A5950E-AE1C-4BB4-A3EF-F8A184881EFB}"/>
    <cellStyle name="20% - Accent3 3 5 2" xfId="275" xr:uid="{7EB4820B-537D-4A04-8651-D2A1ED3CB7AB}"/>
    <cellStyle name="20% - Accent3 3 6" xfId="276" xr:uid="{F832901F-6015-4D5C-BC0E-53AF0D692CBF}"/>
    <cellStyle name="20% - Accent3 4" xfId="277" xr:uid="{B6AB356F-FC63-491B-A886-6FD780A9CECB}"/>
    <cellStyle name="20% - Accent3 5" xfId="278" xr:uid="{B9208186-D8BA-4E68-BBF5-426664FB8DC4}"/>
    <cellStyle name="20% - Accent3 6" xfId="279" xr:uid="{2934C204-F5BB-4B02-A65C-20E1A93CEC61}"/>
    <cellStyle name="20% - Accent3 7" xfId="280" xr:uid="{77F204F6-B348-4DCA-8E2D-2B9E967EA8E4}"/>
    <cellStyle name="20% - Accent3 8" xfId="281" xr:uid="{25896773-CC92-404D-81FD-6F60B506A3BB}"/>
    <cellStyle name="20% - Accent3 9" xfId="282" xr:uid="{C79DF2B3-8A33-49C4-8D0A-52EE068B3111}"/>
    <cellStyle name="20% - Accent4" xfId="4637" builtinId="42" customBuiltin="1"/>
    <cellStyle name="20% - Accent4 2" xfId="21" xr:uid="{64F3BB83-8AFE-443D-963D-D82EC5EDA125}"/>
    <cellStyle name="20% - Accent4 2 10" xfId="283" xr:uid="{C391883D-ADBC-4E89-8A51-86087C89FC58}"/>
    <cellStyle name="20% - Accent4 2 2" xfId="284" xr:uid="{74CD4825-DD36-4C10-A88B-6C4C0AF8E139}"/>
    <cellStyle name="20% - Accent4 2 2 2" xfId="285" xr:uid="{05BEBC4C-9B12-4A36-9613-AD89726C495E}"/>
    <cellStyle name="20% - Accent4 2 2 3" xfId="286" xr:uid="{F84319D5-DF8C-44F6-A12D-AF4D11FC6253}"/>
    <cellStyle name="20% - Accent4 2 3" xfId="287" xr:uid="{EB607E42-B123-4DEF-8910-B47C9518CDBB}"/>
    <cellStyle name="20% - Accent4 2 3 2" xfId="288" xr:uid="{BA897FB5-4DE8-4714-ACC7-CF3B268C0D43}"/>
    <cellStyle name="20% - Accent4 2 4" xfId="289" xr:uid="{A0944B9F-16C5-44E9-AD34-B660784BDFF5}"/>
    <cellStyle name="20% - Accent4 2 5" xfId="290" xr:uid="{B7C7B041-DA74-495F-8D41-F5C07AD35E0E}"/>
    <cellStyle name="20% - Accent4 2 6" xfId="291" xr:uid="{68A08446-5DDB-45CA-B416-7F7A440F609D}"/>
    <cellStyle name="20% - Accent4 2 7" xfId="292" xr:uid="{7AF88D0A-1D14-47A4-9C1A-20B29DB7E5BD}"/>
    <cellStyle name="20% - Accent4 2 8" xfId="293" xr:uid="{014D3B4C-022B-41F2-883F-97545CEA762E}"/>
    <cellStyle name="20% - Accent4 2 9" xfId="294" xr:uid="{8B2FA61E-5545-476F-8AA7-131D18AEC7C8}"/>
    <cellStyle name="20% - Accent4 3" xfId="295" xr:uid="{DC5A292F-BB98-4344-A6D4-4F1E48A0E08B}"/>
    <cellStyle name="20% - Accent4 3 2" xfId="296" xr:uid="{45ACC7B6-5C36-4ADA-A601-62BA224D1F5F}"/>
    <cellStyle name="20% - Accent4 3 2 2" xfId="297" xr:uid="{1607915F-1379-46F0-A982-2BB600356E14}"/>
    <cellStyle name="20% - Accent4 3 2 2 2" xfId="298" xr:uid="{5E7E419C-E5E2-4A99-B5BC-76CFE8F0A0C7}"/>
    <cellStyle name="20% - Accent4 3 2 2 2 2" xfId="299" xr:uid="{F45D6E4D-5D55-43E9-86A6-F5C0535DA26F}"/>
    <cellStyle name="20% - Accent4 3 2 2 3" xfId="300" xr:uid="{B33CD3A1-AA4C-4D57-8528-5C2C4D78D3F1}"/>
    <cellStyle name="20% - Accent4 3 2 3" xfId="301" xr:uid="{22492B32-25FE-4012-AB32-F92A10D45C5E}"/>
    <cellStyle name="20% - Accent4 3 2 3 2" xfId="302" xr:uid="{F7A17C12-3F45-48A8-A8F0-A59DF159C23C}"/>
    <cellStyle name="20% - Accent4 3 2 4" xfId="303" xr:uid="{95E5E722-2865-496B-BEE7-326C28F3BC36}"/>
    <cellStyle name="20% - Accent4 3 3" xfId="304" xr:uid="{D0F6F264-D13D-408A-914C-F9C2DCAA9DFE}"/>
    <cellStyle name="20% - Accent4 3 3 2" xfId="305" xr:uid="{8022C5A6-0A3F-4B19-9A08-7A039EBA3D44}"/>
    <cellStyle name="20% - Accent4 3 3 2 2" xfId="306" xr:uid="{6937145A-8D30-4038-ABB5-E3BF23CCF928}"/>
    <cellStyle name="20% - Accent4 3 3 2 2 2" xfId="307" xr:uid="{4EBAA94A-2A75-454B-9F23-AFAFDE863466}"/>
    <cellStyle name="20% - Accent4 3 3 2 3" xfId="308" xr:uid="{41128F9C-E279-4C86-B302-73AE904B6189}"/>
    <cellStyle name="20% - Accent4 3 3 3" xfId="309" xr:uid="{C3B52B6C-C75B-4622-B9EA-9B94F934386B}"/>
    <cellStyle name="20% - Accent4 3 3 3 2" xfId="310" xr:uid="{B5DFB49C-6CC4-43E0-96B2-FD9BD9C719B8}"/>
    <cellStyle name="20% - Accent4 3 3 4" xfId="311" xr:uid="{5CEDDF13-2744-4563-B5FA-7690ECA38533}"/>
    <cellStyle name="20% - Accent4 3 4" xfId="312" xr:uid="{844AFB5E-7C10-446A-9005-EEED42AA2230}"/>
    <cellStyle name="20% - Accent4 3 4 2" xfId="313" xr:uid="{D0B97003-003F-4D95-975F-7A9C660C9F23}"/>
    <cellStyle name="20% - Accent4 3 4 2 2" xfId="314" xr:uid="{D8F4363D-C30D-4970-81FC-79C4EB28636B}"/>
    <cellStyle name="20% - Accent4 3 4 3" xfId="315" xr:uid="{A258CA99-146F-42BF-9E3A-E5FCC2F31D11}"/>
    <cellStyle name="20% - Accent4 3 5" xfId="316" xr:uid="{9301633B-903B-4E94-87CB-49D004CA2D88}"/>
    <cellStyle name="20% - Accent4 3 5 2" xfId="317" xr:uid="{9C84D426-5084-452A-8C6D-6699DE807095}"/>
    <cellStyle name="20% - Accent4 3 6" xfId="318" xr:uid="{69AEB5AE-FE58-4724-889F-E5F8DB5009CD}"/>
    <cellStyle name="20% - Accent4 4" xfId="319" xr:uid="{1479A29D-E198-498D-9432-C7C1D2BEA38D}"/>
    <cellStyle name="20% - Accent4 5" xfId="320" xr:uid="{91D3508F-871D-47B8-92F4-5FA5176FBBC2}"/>
    <cellStyle name="20% - Accent4 6" xfId="321" xr:uid="{7D1CC92B-BC12-4A17-A2D2-8745D637BA20}"/>
    <cellStyle name="20% - Accent4 7" xfId="322" xr:uid="{CD7CC3FA-9281-491A-B564-B8FE34063AAF}"/>
    <cellStyle name="20% - Accent4 8" xfId="323" xr:uid="{ADD3C590-C4BC-4F80-AFFF-B6129578FD1B}"/>
    <cellStyle name="20% - Accent4 9" xfId="324" xr:uid="{5D4C092E-900F-4475-93E4-B4BD71EFCB83}"/>
    <cellStyle name="20% - Accent5" xfId="4641" builtinId="46" customBuiltin="1"/>
    <cellStyle name="20% - Accent5 2" xfId="22" xr:uid="{F7B142F0-31E4-4870-8C2F-EB126C7A5315}"/>
    <cellStyle name="20% - Accent5 2 10" xfId="325" xr:uid="{44759993-9D3A-431F-A3E3-ACAD7EE444AA}"/>
    <cellStyle name="20% - Accent5 2 2" xfId="326" xr:uid="{A5EACA06-1888-4359-84FC-FB9FBE5CEFA2}"/>
    <cellStyle name="20% - Accent5 2 2 2" xfId="327" xr:uid="{E69874DB-476F-43EE-A5FD-A0CB08D6DFE1}"/>
    <cellStyle name="20% - Accent5 2 2 3" xfId="328" xr:uid="{3B2C3E47-8ED2-4D18-A7A3-5D4BB19C63C4}"/>
    <cellStyle name="20% - Accent5 2 3" xfId="329" xr:uid="{9BBDF190-A474-462E-B73D-4B75A4433CCC}"/>
    <cellStyle name="20% - Accent5 2 3 2" xfId="330" xr:uid="{811E9A3D-B999-4078-A6A4-E56F9CC2A448}"/>
    <cellStyle name="20% - Accent5 2 4" xfId="331" xr:uid="{DD8148CA-3E3B-4D86-87D6-58031C3F278A}"/>
    <cellStyle name="20% - Accent5 2 5" xfId="332" xr:uid="{CA4057BA-A82C-4D5D-89D4-39B65E2F36DF}"/>
    <cellStyle name="20% - Accent5 2 6" xfId="333" xr:uid="{EBD837DD-0AAB-4F3C-BA46-247B35ADFCAF}"/>
    <cellStyle name="20% - Accent5 2 7" xfId="334" xr:uid="{7201EF50-F657-46AA-AE1D-74C81360C01D}"/>
    <cellStyle name="20% - Accent5 2 8" xfId="335" xr:uid="{80D75F3A-2B4C-4A7A-912A-22C6EA4366F4}"/>
    <cellStyle name="20% - Accent5 2 9" xfId="336" xr:uid="{D3FD39B6-707E-4F16-A20B-3F0289973817}"/>
    <cellStyle name="20% - Accent5 3" xfId="337" xr:uid="{837AB91C-6B66-46B1-B129-249F558D1A93}"/>
    <cellStyle name="20% - Accent5 3 2" xfId="338" xr:uid="{06F8A512-BE18-40BB-9EDE-AA49C2DAE41B}"/>
    <cellStyle name="20% - Accent5 3 2 2" xfId="339" xr:uid="{756BA9E7-24FC-4A20-BCEE-633AF919E53C}"/>
    <cellStyle name="20% - Accent5 3 2 2 2" xfId="340" xr:uid="{F6563582-B784-4C7D-865F-81FD4BD8585D}"/>
    <cellStyle name="20% - Accent5 3 2 2 2 2" xfId="341" xr:uid="{966DDFEB-CDBE-491B-8BD0-1B1F8F7F3FF0}"/>
    <cellStyle name="20% - Accent5 3 2 2 3" xfId="342" xr:uid="{814F39EF-302B-4E6A-ABED-D38997601F30}"/>
    <cellStyle name="20% - Accent5 3 2 3" xfId="343" xr:uid="{87DEFCFE-5D1A-4A98-92C5-3956AB6EC28A}"/>
    <cellStyle name="20% - Accent5 3 2 3 2" xfId="344" xr:uid="{131831AD-DE13-4FC9-93FC-06F0A940FFC7}"/>
    <cellStyle name="20% - Accent5 3 2 4" xfId="345" xr:uid="{24B55095-0CD5-488C-91E1-BC00491F6BFD}"/>
    <cellStyle name="20% - Accent5 3 3" xfId="346" xr:uid="{BC31FE91-BB0F-4130-A41E-F88850B7620A}"/>
    <cellStyle name="20% - Accent5 3 3 2" xfId="347" xr:uid="{6AB79870-030B-45DF-ADB6-197C4F6C3594}"/>
    <cellStyle name="20% - Accent5 3 3 2 2" xfId="348" xr:uid="{79D24772-60DA-4BA2-9E9F-3C63244CA78F}"/>
    <cellStyle name="20% - Accent5 3 3 2 2 2" xfId="349" xr:uid="{185589EB-BEFF-4650-94CE-2E4CB1362C8D}"/>
    <cellStyle name="20% - Accent5 3 3 2 3" xfId="350" xr:uid="{8E71B746-C0C9-464D-8B0F-753621E2B6B6}"/>
    <cellStyle name="20% - Accent5 3 3 3" xfId="351" xr:uid="{89B5B733-D011-46FD-BA03-C09AFE54EA5A}"/>
    <cellStyle name="20% - Accent5 3 3 3 2" xfId="352" xr:uid="{7269290F-8A26-4117-BF65-BA4237279890}"/>
    <cellStyle name="20% - Accent5 3 3 4" xfId="353" xr:uid="{2D7F3FAA-93AA-4FF5-A3D8-67E76C125B38}"/>
    <cellStyle name="20% - Accent5 3 4" xfId="354" xr:uid="{EA66D9C4-6B12-4035-88F5-CB3EDA45DDD6}"/>
    <cellStyle name="20% - Accent5 3 4 2" xfId="355" xr:uid="{FE9996CB-6D6D-48BE-8B6F-8C726537ADA8}"/>
    <cellStyle name="20% - Accent5 3 4 2 2" xfId="356" xr:uid="{512629D1-4D75-4407-828E-D3C590DE02D6}"/>
    <cellStyle name="20% - Accent5 3 4 3" xfId="357" xr:uid="{0A438477-06B9-4797-8479-FF78B6D527B9}"/>
    <cellStyle name="20% - Accent5 3 5" xfId="358" xr:uid="{D93F2D8C-C663-489B-A016-F8F3D6CB5918}"/>
    <cellStyle name="20% - Accent5 3 5 2" xfId="359" xr:uid="{BB61E607-485C-4C2A-9D46-1B70788BC93B}"/>
    <cellStyle name="20% - Accent5 3 6" xfId="360" xr:uid="{393481A2-5F02-41DA-9FD1-BB073ACD74E9}"/>
    <cellStyle name="20% - Accent5 4" xfId="361" xr:uid="{9FD2113E-8447-41B6-BBA9-669E31853663}"/>
    <cellStyle name="20% - Accent5 5" xfId="362" xr:uid="{C15D71AA-199A-49DF-AD60-A2E9A84F5964}"/>
    <cellStyle name="20% - Accent5 6" xfId="363" xr:uid="{9DC35990-D957-4366-9258-5D994232B086}"/>
    <cellStyle name="20% - Accent5 7" xfId="364" xr:uid="{B8EC2BB1-0000-49A5-944D-CFA513B91C24}"/>
    <cellStyle name="20% - Accent5 8" xfId="365" xr:uid="{5C06A952-B021-47E6-BE54-C4AF13114B69}"/>
    <cellStyle name="20% - Accent5 9" xfId="366" xr:uid="{F351FADD-E0AE-4369-8002-CD6925A5D238}"/>
    <cellStyle name="20% - Accent6" xfId="4645" builtinId="50" customBuiltin="1"/>
    <cellStyle name="20% - Accent6 2" xfId="23" xr:uid="{D00C90E7-7833-499B-B8EB-8407B2758DFF}"/>
    <cellStyle name="20% - Accent6 2 10" xfId="367" xr:uid="{C7F18ADF-27AA-4AA4-B8CF-F4FAA0646261}"/>
    <cellStyle name="20% - Accent6 2 2" xfId="368" xr:uid="{D9507513-265B-4E81-9E6E-224C977BFB03}"/>
    <cellStyle name="20% - Accent6 2 2 2" xfId="369" xr:uid="{B8E31DBC-735C-4399-9FB2-A0C47442E12E}"/>
    <cellStyle name="20% - Accent6 2 2 3" xfId="370" xr:uid="{4392F249-78A0-4E32-9158-0CEF355F70E6}"/>
    <cellStyle name="20% - Accent6 2 3" xfId="371" xr:uid="{E5BA55DC-DB17-4668-8F48-91C31C806864}"/>
    <cellStyle name="20% - Accent6 2 3 2" xfId="372" xr:uid="{95B62926-8CBB-4FE1-BAFF-1CB7BB6C6A12}"/>
    <cellStyle name="20% - Accent6 2 4" xfId="373" xr:uid="{5F0251F0-EDBA-4A66-BD7F-87E21EC2731E}"/>
    <cellStyle name="20% - Accent6 2 5" xfId="374" xr:uid="{C13AB25B-FE90-4FB2-8ECD-24B6CAE22031}"/>
    <cellStyle name="20% - Accent6 2 6" xfId="375" xr:uid="{D051A171-87CD-4537-BDE1-BBBCAEB624BA}"/>
    <cellStyle name="20% - Accent6 2 7" xfId="376" xr:uid="{56A76C39-E615-4C5C-A197-A5EA6EC04A82}"/>
    <cellStyle name="20% - Accent6 2 8" xfId="377" xr:uid="{A56F3472-F352-4EE6-8367-41DDFF602AB7}"/>
    <cellStyle name="20% - Accent6 2 9" xfId="378" xr:uid="{078EB7EB-4848-4321-8118-FAD07FAFA3D3}"/>
    <cellStyle name="20% - Accent6 3" xfId="379" xr:uid="{EB5345E1-D686-4B48-ACFA-D4B0974E1DFB}"/>
    <cellStyle name="20% - Accent6 3 2" xfId="380" xr:uid="{45AE598C-A65A-4F99-9A9E-7B17FD698D30}"/>
    <cellStyle name="20% - Accent6 3 2 2" xfId="381" xr:uid="{D47A2739-3FB5-4053-8966-C1E69B490579}"/>
    <cellStyle name="20% - Accent6 3 2 2 2" xfId="382" xr:uid="{33D0366D-2D84-4466-9AAA-32CCDC5C088E}"/>
    <cellStyle name="20% - Accent6 3 2 2 2 2" xfId="383" xr:uid="{73084340-2656-455B-9578-AFAC4960E494}"/>
    <cellStyle name="20% - Accent6 3 2 2 3" xfId="384" xr:uid="{37BAC430-40E6-4B8E-B3DC-3A4D2158BD44}"/>
    <cellStyle name="20% - Accent6 3 2 3" xfId="385" xr:uid="{8EA0959D-90E7-4458-AD6A-075993D98CFC}"/>
    <cellStyle name="20% - Accent6 3 2 3 2" xfId="386" xr:uid="{E668E83B-E255-4DE8-9362-CF3C1DCA247B}"/>
    <cellStyle name="20% - Accent6 3 2 4" xfId="387" xr:uid="{E77FF8BB-A1A2-473B-9DE4-A758C2BA2B71}"/>
    <cellStyle name="20% - Accent6 3 3" xfId="388" xr:uid="{4D79ABD9-34A2-4F8E-A48D-F485B520C1E2}"/>
    <cellStyle name="20% - Accent6 3 3 2" xfId="389" xr:uid="{56238C2F-D8F3-4F94-876E-722A6C519A81}"/>
    <cellStyle name="20% - Accent6 3 3 2 2" xfId="390" xr:uid="{CA269749-7290-4693-BB31-267D87B7F2DF}"/>
    <cellStyle name="20% - Accent6 3 3 2 2 2" xfId="391" xr:uid="{86E8E9BD-AA0F-4C52-AE8C-9FA69A2663EE}"/>
    <cellStyle name="20% - Accent6 3 3 2 3" xfId="392" xr:uid="{B0DE90E7-4607-476A-B902-27FDCB062C32}"/>
    <cellStyle name="20% - Accent6 3 3 3" xfId="393" xr:uid="{4C1E7CCF-EE51-4C36-B240-15436DD52F54}"/>
    <cellStyle name="20% - Accent6 3 3 3 2" xfId="394" xr:uid="{5AF28A09-DDBB-4555-81A2-0308DA7822E5}"/>
    <cellStyle name="20% - Accent6 3 3 4" xfId="395" xr:uid="{76FC39A9-01D6-4310-8392-BE73A7DD5A20}"/>
    <cellStyle name="20% - Accent6 3 4" xfId="396" xr:uid="{0C54AF7F-1386-4B84-98D5-A4BA8F5C282A}"/>
    <cellStyle name="20% - Accent6 3 4 2" xfId="397" xr:uid="{CE619382-0390-4282-B149-D9C1C5E8E67A}"/>
    <cellStyle name="20% - Accent6 3 4 2 2" xfId="398" xr:uid="{74C84BB0-C91E-4875-9C9F-EC45BD1BC904}"/>
    <cellStyle name="20% - Accent6 3 4 3" xfId="399" xr:uid="{A6B996F0-9367-4AA2-841E-1331733268BE}"/>
    <cellStyle name="20% - Accent6 3 5" xfId="400" xr:uid="{5639965D-4450-40C4-BB8D-E5E02196DB97}"/>
    <cellStyle name="20% - Accent6 3 5 2" xfId="401" xr:uid="{C312F4E2-BE10-46C2-9687-3A61AF919ADE}"/>
    <cellStyle name="20% - Accent6 3 6" xfId="402" xr:uid="{7405A4E6-246D-47AD-8EDB-0E22BED36994}"/>
    <cellStyle name="20% - Accent6 4" xfId="403" xr:uid="{3F7B6E2C-540B-4178-97CB-F7EF9334A886}"/>
    <cellStyle name="20% - Accent6 5" xfId="404" xr:uid="{78BD04C3-73F9-451A-A89E-3F5464F40B08}"/>
    <cellStyle name="20% - Accent6 6" xfId="405" xr:uid="{B02AB8F8-8BA5-4FD1-BD55-62952DCB99C2}"/>
    <cellStyle name="20% - Accent6 7" xfId="406" xr:uid="{7B8C2C0C-60CE-4577-9FF2-B9EB6DF2E709}"/>
    <cellStyle name="20% - Accent6 8" xfId="407" xr:uid="{CAD74178-749D-414C-9410-720208FC186B}"/>
    <cellStyle name="20% - Accent6 9" xfId="408" xr:uid="{29A12E7F-B389-4F69-AE11-9F54B2065245}"/>
    <cellStyle name="40 % - Accent1" xfId="409" xr:uid="{FEC69E21-CDCA-46C7-B155-513A2CC0E95C}"/>
    <cellStyle name="40 % - Accent2" xfId="410" xr:uid="{06D1F738-503A-4BB6-8F8A-A0AFAD977DF7}"/>
    <cellStyle name="40 % - Accent3" xfId="411" xr:uid="{98EC5EDA-BC0E-417B-813F-9A93356CBB0B}"/>
    <cellStyle name="40 % - Accent4" xfId="412" xr:uid="{88AEBD26-1095-4E12-9641-C1571A9C961F}"/>
    <cellStyle name="40 % - Accent5" xfId="413" xr:uid="{FCE2D8BA-B869-4F0C-AF12-B73FEB6867D8}"/>
    <cellStyle name="40 % - Accent6" xfId="414" xr:uid="{BF99B5A9-8892-4298-A283-DA6B7FF72E46}"/>
    <cellStyle name="40% - Accent1" xfId="4626" builtinId="31" customBuiltin="1"/>
    <cellStyle name="40% - Accent1 2" xfId="24" xr:uid="{B3D1F9F8-35AB-463B-A211-4EC3D7A66579}"/>
    <cellStyle name="40% - Accent1 2 10" xfId="415" xr:uid="{CE391CF6-C10A-4E64-AD5C-9D8ED3377AA8}"/>
    <cellStyle name="40% - Accent1 2 2" xfId="416" xr:uid="{60C11674-1BAD-4C94-ADEE-828A0F0C0334}"/>
    <cellStyle name="40% - Accent1 2 2 2" xfId="417" xr:uid="{5B9A941A-EE54-4F35-8B3B-4A366949AEBD}"/>
    <cellStyle name="40% - Accent1 2 2 3" xfId="418" xr:uid="{49AB0E94-B41E-4A09-AEA3-10385521CBE9}"/>
    <cellStyle name="40% - Accent1 2 3" xfId="419" xr:uid="{801D6303-EEDC-4B90-A1A4-3784C1868933}"/>
    <cellStyle name="40% - Accent1 2 3 2" xfId="420" xr:uid="{9AF7F003-C986-4FFC-9085-A5CB435385BD}"/>
    <cellStyle name="40% - Accent1 2 4" xfId="421" xr:uid="{C47252CB-2B48-4BCF-8911-61A5F5504992}"/>
    <cellStyle name="40% - Accent1 2 5" xfId="422" xr:uid="{5FC67DB8-B4EA-4E89-8E54-B1FEBE029C94}"/>
    <cellStyle name="40% - Accent1 2 6" xfId="423" xr:uid="{0F8CFBD3-9649-45DD-84E8-112B4EBDFBC5}"/>
    <cellStyle name="40% - Accent1 2 7" xfId="424" xr:uid="{EE57D631-2A59-4295-8AC0-CFE83A7582F0}"/>
    <cellStyle name="40% - Accent1 2 8" xfId="425" xr:uid="{DD89B456-68B5-4856-AE74-5017707410B9}"/>
    <cellStyle name="40% - Accent1 2 9" xfId="426" xr:uid="{CD35221E-B4CC-4BFC-8CD8-BC3112218550}"/>
    <cellStyle name="40% - Accent1 3" xfId="427" xr:uid="{9EDB6A15-BEBC-42BF-BD7C-B4522154C61B}"/>
    <cellStyle name="40% - Accent1 3 2" xfId="428" xr:uid="{61307A23-A2BC-4997-B16C-9C14A8C9F3C7}"/>
    <cellStyle name="40% - Accent1 3 2 2" xfId="429" xr:uid="{220F036A-82CA-440A-AFB5-7FA93CF1E511}"/>
    <cellStyle name="40% - Accent1 3 2 2 2" xfId="430" xr:uid="{991BD61F-3668-4B9C-B4F1-A1736B6DC50B}"/>
    <cellStyle name="40% - Accent1 3 2 2 2 2" xfId="431" xr:uid="{8DF0CE17-55E0-429B-936B-3829FC625743}"/>
    <cellStyle name="40% - Accent1 3 2 2 3" xfId="432" xr:uid="{9152F355-CB75-43F5-ACAB-7F2B3BEA12DF}"/>
    <cellStyle name="40% - Accent1 3 2 3" xfId="433" xr:uid="{47F0D016-ACF9-43CC-96EA-78C4CF48219C}"/>
    <cellStyle name="40% - Accent1 3 2 3 2" xfId="434" xr:uid="{DC3256C8-7A98-48FD-A961-47FB8856E21B}"/>
    <cellStyle name="40% - Accent1 3 2 4" xfId="435" xr:uid="{37F547C5-8F34-4CE4-8D46-B0158402CABA}"/>
    <cellStyle name="40% - Accent1 3 3" xfId="436" xr:uid="{87739464-8D96-4EBC-B182-D4159715A34B}"/>
    <cellStyle name="40% - Accent1 3 3 2" xfId="437" xr:uid="{2C4AC2A6-8C0A-4EA1-A7B4-25FB1C50868C}"/>
    <cellStyle name="40% - Accent1 3 3 2 2" xfId="438" xr:uid="{EFE43A7C-8B04-4E64-9BF0-C58BE04DB1B5}"/>
    <cellStyle name="40% - Accent1 3 3 2 2 2" xfId="439" xr:uid="{3F9BBAF1-D822-4EB0-BF6A-5E4EB66FE1E4}"/>
    <cellStyle name="40% - Accent1 3 3 2 3" xfId="440" xr:uid="{63A0710B-D509-45CB-8B73-3EE226502FAD}"/>
    <cellStyle name="40% - Accent1 3 3 3" xfId="441" xr:uid="{A055487B-C5DE-4641-8FA8-32AD4215C67A}"/>
    <cellStyle name="40% - Accent1 3 3 3 2" xfId="442" xr:uid="{51D2F277-69E6-4E71-B536-196143985783}"/>
    <cellStyle name="40% - Accent1 3 3 4" xfId="443" xr:uid="{EF3C993A-41A1-41CA-A476-BE01622BC14A}"/>
    <cellStyle name="40% - Accent1 3 4" xfId="444" xr:uid="{22A90252-4EE4-42D2-9094-F017A3D42ABA}"/>
    <cellStyle name="40% - Accent1 3 4 2" xfId="445" xr:uid="{380A78BC-D073-4282-A78F-AADAF6FCA2C6}"/>
    <cellStyle name="40% - Accent1 3 4 2 2" xfId="446" xr:uid="{526E07F9-EA2C-4A7C-8B51-B909516722E2}"/>
    <cellStyle name="40% - Accent1 3 4 3" xfId="447" xr:uid="{4D1D473B-59C9-4383-81E9-B0EED7A8E779}"/>
    <cellStyle name="40% - Accent1 3 5" xfId="448" xr:uid="{7D076B2A-BA00-4A47-9E50-D1F0C9BBB29F}"/>
    <cellStyle name="40% - Accent1 3 5 2" xfId="449" xr:uid="{A0FEE6E8-EB9E-4C7B-8654-0BA06F3B35A6}"/>
    <cellStyle name="40% - Accent1 3 6" xfId="450" xr:uid="{F4D9059F-7666-4C15-A277-265EF0A9920B}"/>
    <cellStyle name="40% - Accent1 4" xfId="451" xr:uid="{3E7CE196-D624-43D7-932D-6E25F9124080}"/>
    <cellStyle name="40% - Accent1 5" xfId="452" xr:uid="{50E8279C-82DD-4BE5-82C9-E9D8069D840E}"/>
    <cellStyle name="40% - Accent1 6" xfId="453" xr:uid="{3662720F-FFF3-4222-833F-F0BBD7CDC1E7}"/>
    <cellStyle name="40% - Accent1 7" xfId="454" xr:uid="{3DD50331-D811-4705-88D3-8B39F748D6A3}"/>
    <cellStyle name="40% - Accent1 8" xfId="455" xr:uid="{A216E7AE-AB9A-490D-9044-3ED14A4AAE73}"/>
    <cellStyle name="40% - Accent1 9" xfId="456" xr:uid="{7CE9E41E-1170-4740-8772-81EAE6A9D2E0}"/>
    <cellStyle name="40% - Accent2" xfId="4630" builtinId="35" customBuiltin="1"/>
    <cellStyle name="40% - Accent2 2" xfId="25" xr:uid="{1D6A3622-132B-49F9-8A80-FE264A52A5DE}"/>
    <cellStyle name="40% - Accent2 2 10" xfId="457" xr:uid="{969ED407-2540-4A34-A94E-8C6EE0FA6A74}"/>
    <cellStyle name="40% - Accent2 2 2" xfId="458" xr:uid="{B9788CCF-FCD4-469D-BF04-2D17C617F9EF}"/>
    <cellStyle name="40% - Accent2 2 2 2" xfId="459" xr:uid="{5B43165C-9E9D-4B45-873F-BF3A15120D99}"/>
    <cellStyle name="40% - Accent2 2 2 3" xfId="460" xr:uid="{47C86261-E4B1-4431-B93E-5340EF44118C}"/>
    <cellStyle name="40% - Accent2 2 3" xfId="461" xr:uid="{583563E0-CCA8-42F5-9E13-BE4CE7B1A55D}"/>
    <cellStyle name="40% - Accent2 2 3 2" xfId="462" xr:uid="{F1DD1982-BE02-4D2D-AB4C-F452626DE75F}"/>
    <cellStyle name="40% - Accent2 2 4" xfId="463" xr:uid="{FC297381-E705-4C95-85A0-9D7500A6394D}"/>
    <cellStyle name="40% - Accent2 2 5" xfId="464" xr:uid="{A7AF1763-8233-466F-AA99-828A76224B02}"/>
    <cellStyle name="40% - Accent2 2 6" xfId="465" xr:uid="{C2B07D0D-88CC-4AA0-8F2D-8C7E1255085B}"/>
    <cellStyle name="40% - Accent2 2 7" xfId="466" xr:uid="{EDAEAD85-D109-40F7-911D-27AA43F10FF3}"/>
    <cellStyle name="40% - Accent2 2 8" xfId="467" xr:uid="{9AB7E488-D84E-497E-BD8F-CAB49050FDEE}"/>
    <cellStyle name="40% - Accent2 2 9" xfId="468" xr:uid="{845219BE-629B-4982-94B8-7E2ED2693ECB}"/>
    <cellStyle name="40% - Accent2 3" xfId="469" xr:uid="{B668A458-77B1-45A5-9FEE-A9C1AF27B5EB}"/>
    <cellStyle name="40% - Accent2 3 2" xfId="470" xr:uid="{D3AA715F-8638-48E5-A06C-688E6462D778}"/>
    <cellStyle name="40% - Accent2 3 2 2" xfId="471" xr:uid="{231B069C-41F4-48C3-BACB-148D11B4F10E}"/>
    <cellStyle name="40% - Accent2 3 2 2 2" xfId="472" xr:uid="{D80F4C0E-259A-4A8A-94FD-F54544CAF274}"/>
    <cellStyle name="40% - Accent2 3 2 2 2 2" xfId="473" xr:uid="{4E1E0A77-9F05-4AE5-B48F-6890CB3A8E6A}"/>
    <cellStyle name="40% - Accent2 3 2 2 3" xfId="474" xr:uid="{6730D9B7-0D8E-48E4-AAAA-C2E3D63DD272}"/>
    <cellStyle name="40% - Accent2 3 2 3" xfId="475" xr:uid="{0EEAAF6E-C810-48A1-B131-B4507F985F77}"/>
    <cellStyle name="40% - Accent2 3 2 3 2" xfId="476" xr:uid="{A885F303-4360-4345-ABC3-ABD5CA73F2E6}"/>
    <cellStyle name="40% - Accent2 3 2 4" xfId="477" xr:uid="{60CBB7AF-95CC-4A9E-8ABE-540CE5427318}"/>
    <cellStyle name="40% - Accent2 3 3" xfId="478" xr:uid="{1BC6568F-5D2C-4F84-BAAA-18B8805439DF}"/>
    <cellStyle name="40% - Accent2 3 3 2" xfId="479" xr:uid="{C5855BC6-BBBA-4A21-AE24-00E9DAA0FC0A}"/>
    <cellStyle name="40% - Accent2 3 3 2 2" xfId="480" xr:uid="{7A4307DC-3B32-4A30-B38C-CAE552FD96BA}"/>
    <cellStyle name="40% - Accent2 3 3 2 2 2" xfId="481" xr:uid="{24DA36B3-94BA-4659-A03C-1AE507240716}"/>
    <cellStyle name="40% - Accent2 3 3 2 3" xfId="482" xr:uid="{FE32DFD1-DE7D-490E-8194-FBDBE6089643}"/>
    <cellStyle name="40% - Accent2 3 3 3" xfId="483" xr:uid="{342B1075-56AB-4520-A057-D4A35083A5AF}"/>
    <cellStyle name="40% - Accent2 3 3 3 2" xfId="484" xr:uid="{7D4F9995-4ACA-4567-A4EA-22EDB0978FD9}"/>
    <cellStyle name="40% - Accent2 3 3 4" xfId="485" xr:uid="{A9E5E33F-E0B4-41B2-AC49-A623B5012A6C}"/>
    <cellStyle name="40% - Accent2 3 4" xfId="486" xr:uid="{5CD4F224-D629-4A8B-8F15-A31947A9DA76}"/>
    <cellStyle name="40% - Accent2 3 4 2" xfId="487" xr:uid="{60775C94-F093-4027-AE96-968754140820}"/>
    <cellStyle name="40% - Accent2 3 4 2 2" xfId="488" xr:uid="{A193DBE5-5C1C-416F-A48B-7369D66E3616}"/>
    <cellStyle name="40% - Accent2 3 4 3" xfId="489" xr:uid="{4546300C-69A5-40F3-ACDB-64179CCE207C}"/>
    <cellStyle name="40% - Accent2 3 5" xfId="490" xr:uid="{5F9F614D-6E93-4306-9F83-CEC1AD3153B0}"/>
    <cellStyle name="40% - Accent2 3 5 2" xfId="491" xr:uid="{62F5F645-38C0-44F2-97C7-B6FC15A36927}"/>
    <cellStyle name="40% - Accent2 3 6" xfId="492" xr:uid="{96DEFEAB-09A6-491B-9981-22AE50A45611}"/>
    <cellStyle name="40% - Accent2 4" xfId="493" xr:uid="{069A3856-C001-4A14-A2CF-F2300C950B71}"/>
    <cellStyle name="40% - Accent2 5" xfId="494" xr:uid="{B6F285F7-62A8-459E-89AD-78F4BD220F6D}"/>
    <cellStyle name="40% - Accent2 6" xfId="495" xr:uid="{30A0FA73-1EB1-4C4D-9428-B3B73978E28E}"/>
    <cellStyle name="40% - Accent2 7" xfId="496" xr:uid="{68A35311-EFEE-4BD1-B56D-C1DD66321619}"/>
    <cellStyle name="40% - Accent2 8" xfId="497" xr:uid="{F065790B-3DDE-42A2-88E1-711F6C220449}"/>
    <cellStyle name="40% - Accent2 9" xfId="498" xr:uid="{469CF47C-7202-4BA1-B54F-5FA04C25BD1B}"/>
    <cellStyle name="40% - Accent3" xfId="4634" builtinId="39" customBuiltin="1"/>
    <cellStyle name="40% - Accent3 2" xfId="26" xr:uid="{D83CFA98-334E-4D44-B5B7-20E565B6159D}"/>
    <cellStyle name="40% - Accent3 2 10" xfId="499" xr:uid="{23B9E60B-BCFF-481C-B192-053CEAAB207D}"/>
    <cellStyle name="40% - Accent3 2 2" xfId="500" xr:uid="{1A81B734-A963-4A83-93F5-07E21E85007B}"/>
    <cellStyle name="40% - Accent3 2 2 2" xfId="501" xr:uid="{C43E7C8E-E62F-49A2-AD70-A1A4DD62075C}"/>
    <cellStyle name="40% - Accent3 2 2 3" xfId="502" xr:uid="{8F9DB390-4399-4E76-8150-77066C02D9D6}"/>
    <cellStyle name="40% - Accent3 2 3" xfId="503" xr:uid="{86C8D77C-DD62-413F-9B68-F62100B6E6BC}"/>
    <cellStyle name="40% - Accent3 2 3 2" xfId="504" xr:uid="{E2BE68CF-1036-40BA-9F32-1FC058357D66}"/>
    <cellStyle name="40% - Accent3 2 4" xfId="505" xr:uid="{70DD2531-9159-4B7B-BBC7-B4CAA4B2175A}"/>
    <cellStyle name="40% - Accent3 2 5" xfId="506" xr:uid="{0E9BFBFB-C067-42AE-BDE4-E91108FAC59A}"/>
    <cellStyle name="40% - Accent3 2 6" xfId="507" xr:uid="{8D09BAD0-E680-41D7-A49A-E7CDBBDB08CF}"/>
    <cellStyle name="40% - Accent3 2 7" xfId="508" xr:uid="{8921445B-5B91-469C-A104-41D412EBEC6F}"/>
    <cellStyle name="40% - Accent3 2 8" xfId="509" xr:uid="{2EDCE505-7F68-469F-AE63-E5296FBFF5D3}"/>
    <cellStyle name="40% - Accent3 2 9" xfId="510" xr:uid="{34898DC2-3299-462C-B5CD-BAC748F86B59}"/>
    <cellStyle name="40% - Accent3 3" xfId="511" xr:uid="{B745116A-FB2A-4693-9E38-FAE7DCDDB8B7}"/>
    <cellStyle name="40% - Accent3 3 2" xfId="512" xr:uid="{0FC14332-BEF0-4E24-AD3E-110F882ABB26}"/>
    <cellStyle name="40% - Accent3 3 2 2" xfId="513" xr:uid="{7AE0033D-6E34-43D6-A583-C152694F0127}"/>
    <cellStyle name="40% - Accent3 3 2 2 2" xfId="514" xr:uid="{FAB47E20-0DA8-4004-97E9-751F946E3DBC}"/>
    <cellStyle name="40% - Accent3 3 2 2 2 2" xfId="515" xr:uid="{F051E418-F1AC-4307-8F51-B63F6C8436FF}"/>
    <cellStyle name="40% - Accent3 3 2 2 3" xfId="516" xr:uid="{C58431BF-F3D0-4D0F-8595-EAA95FA5AF07}"/>
    <cellStyle name="40% - Accent3 3 2 3" xfId="517" xr:uid="{55656892-009E-4FBA-B2EC-4EEA7F5EDD8F}"/>
    <cellStyle name="40% - Accent3 3 2 3 2" xfId="518" xr:uid="{D9818CAE-3ECC-40B9-BB51-E63F4E87B5A6}"/>
    <cellStyle name="40% - Accent3 3 2 4" xfId="519" xr:uid="{3AEE0944-694D-42D9-89AF-467B3BEEF3E8}"/>
    <cellStyle name="40% - Accent3 3 3" xfId="520" xr:uid="{CDEBFE22-5CCC-419B-B0E1-C3058CD9B2BF}"/>
    <cellStyle name="40% - Accent3 3 3 2" xfId="521" xr:uid="{43BB93C7-F7B2-470C-99ED-BE4703A24FB2}"/>
    <cellStyle name="40% - Accent3 3 3 2 2" xfId="522" xr:uid="{9D9AC77F-AEF7-4B0C-80FA-6300E670D91D}"/>
    <cellStyle name="40% - Accent3 3 3 2 2 2" xfId="523" xr:uid="{DD3D3F74-81B7-442D-A691-C1E198B8FF4B}"/>
    <cellStyle name="40% - Accent3 3 3 2 3" xfId="524" xr:uid="{AD641F9E-C49D-4F0D-BA2A-4E082EAA49AB}"/>
    <cellStyle name="40% - Accent3 3 3 3" xfId="525" xr:uid="{9B82F965-02A6-4E1C-819C-BAB1D20A8D90}"/>
    <cellStyle name="40% - Accent3 3 3 3 2" xfId="526" xr:uid="{DE638EE8-B3A1-46EC-9329-AB07B16FF22B}"/>
    <cellStyle name="40% - Accent3 3 3 4" xfId="527" xr:uid="{A8EB6C26-B5AD-4D85-8B7B-80BCA4540723}"/>
    <cellStyle name="40% - Accent3 3 4" xfId="528" xr:uid="{DA8CDCFB-24B9-4996-9CC0-A3C27B51064C}"/>
    <cellStyle name="40% - Accent3 3 4 2" xfId="529" xr:uid="{93FA0226-4A44-47D8-A3DD-C33F7F55A8CD}"/>
    <cellStyle name="40% - Accent3 3 4 2 2" xfId="530" xr:uid="{F5A90DC8-FB4E-4C7F-8A12-7DBFA2728C0F}"/>
    <cellStyle name="40% - Accent3 3 4 3" xfId="531" xr:uid="{41DD2737-8765-45A3-B6FC-3123139B8D01}"/>
    <cellStyle name="40% - Accent3 3 5" xfId="532" xr:uid="{6F08380C-E453-42CA-AC35-B6FCFFE248DC}"/>
    <cellStyle name="40% - Accent3 3 5 2" xfId="533" xr:uid="{A9655755-90D3-4F38-A4BE-16C143C938FE}"/>
    <cellStyle name="40% - Accent3 3 6" xfId="534" xr:uid="{BDF9087C-82F3-46AE-9281-A5C138C6589E}"/>
    <cellStyle name="40% - Accent3 4" xfId="535" xr:uid="{EF530710-1699-4A5F-8131-B9DFBAB95C74}"/>
    <cellStyle name="40% - Accent3 5" xfId="536" xr:uid="{7AB160A5-75BC-4A06-B5DE-007FBA28D4AA}"/>
    <cellStyle name="40% - Accent3 6" xfId="537" xr:uid="{D195E62B-67C5-4F8A-8489-A5DCC21CC903}"/>
    <cellStyle name="40% - Accent3 7" xfId="538" xr:uid="{2001FC58-8862-4C48-BF47-522FD226E5D5}"/>
    <cellStyle name="40% - Accent3 8" xfId="539" xr:uid="{A0A95C0A-621F-4981-AAC7-5684BF8B340A}"/>
    <cellStyle name="40% - Accent3 9" xfId="540" xr:uid="{50562A67-77BA-4C28-9BD9-77AF65162A2F}"/>
    <cellStyle name="40% - Accent4" xfId="4638" builtinId="43" customBuiltin="1"/>
    <cellStyle name="40% - Accent4 2" xfId="27" xr:uid="{BEFAB2ED-6199-4A9D-BBCB-ECE3B1AFEF69}"/>
    <cellStyle name="40% - Accent4 2 10" xfId="541" xr:uid="{DD219927-2795-49C0-9CE9-5C6445DDC7C1}"/>
    <cellStyle name="40% - Accent4 2 2" xfId="542" xr:uid="{6D49FE0B-49DF-4A74-B470-C03F21C77A17}"/>
    <cellStyle name="40% - Accent4 2 2 2" xfId="543" xr:uid="{F0212AA5-8A49-4D27-B4D3-BF0E8AC29805}"/>
    <cellStyle name="40% - Accent4 2 2 3" xfId="544" xr:uid="{5378E179-CC40-4D84-BC9C-89A17827687A}"/>
    <cellStyle name="40% - Accent4 2 3" xfId="545" xr:uid="{C716568F-4EB7-4331-B75C-90E604B55E7F}"/>
    <cellStyle name="40% - Accent4 2 3 2" xfId="546" xr:uid="{84AB17C2-1BA5-4C79-9DE7-7A4B219BD4A0}"/>
    <cellStyle name="40% - Accent4 2 4" xfId="547" xr:uid="{20811856-2A37-42A3-86B8-799885CEA5E0}"/>
    <cellStyle name="40% - Accent4 2 5" xfId="548" xr:uid="{8992E6F2-EE6F-4062-A390-EE8EC641340D}"/>
    <cellStyle name="40% - Accent4 2 6" xfId="549" xr:uid="{56BBF5C5-1EDB-4E77-862D-196544157E2E}"/>
    <cellStyle name="40% - Accent4 2 7" xfId="550" xr:uid="{BB562227-743E-4A4C-95AB-C72FAC9B5438}"/>
    <cellStyle name="40% - Accent4 2 8" xfId="551" xr:uid="{552D72F5-3649-42F8-96BC-96CA3EBBCEBD}"/>
    <cellStyle name="40% - Accent4 2 9" xfId="552" xr:uid="{DFE278AA-CAEF-4ECB-B623-08742B3ADBA7}"/>
    <cellStyle name="40% - Accent4 3" xfId="553" xr:uid="{7259C3DD-1DF0-40AC-A805-9C28932F5531}"/>
    <cellStyle name="40% - Accent4 3 2" xfId="554" xr:uid="{EC775024-4178-48B8-A7E7-E08D67E32626}"/>
    <cellStyle name="40% - Accent4 3 2 2" xfId="555" xr:uid="{B0BF5024-630E-4A77-8EB5-4ABFF321B4EE}"/>
    <cellStyle name="40% - Accent4 3 2 2 2" xfId="556" xr:uid="{9B81AFED-B4C0-494B-B614-FEAACD65EEC0}"/>
    <cellStyle name="40% - Accent4 3 2 2 2 2" xfId="557" xr:uid="{2A2F5025-39B4-49A3-BF9D-2801B918CA46}"/>
    <cellStyle name="40% - Accent4 3 2 2 3" xfId="558" xr:uid="{1E9B54FD-F31E-42EA-9F3C-D777AABAF37E}"/>
    <cellStyle name="40% - Accent4 3 2 3" xfId="559" xr:uid="{347EF86F-EE50-4FD1-9664-51FA4462B95D}"/>
    <cellStyle name="40% - Accent4 3 2 3 2" xfId="560" xr:uid="{1942C9E1-3A4B-438C-B68C-B51A3C77162B}"/>
    <cellStyle name="40% - Accent4 3 2 4" xfId="561" xr:uid="{E928530C-822A-4BA0-AF28-A676D6143406}"/>
    <cellStyle name="40% - Accent4 3 3" xfId="562" xr:uid="{FC2059E6-0B3D-4C93-B003-D4758ED1448E}"/>
    <cellStyle name="40% - Accent4 3 3 2" xfId="563" xr:uid="{82F53FF1-46B3-49AD-9FDF-A4818C7EA83C}"/>
    <cellStyle name="40% - Accent4 3 3 2 2" xfId="564" xr:uid="{AD90C5C9-7FA9-439D-A0A6-994C5E8FE8D3}"/>
    <cellStyle name="40% - Accent4 3 3 2 2 2" xfId="565" xr:uid="{14A8615B-A40F-41BB-99A4-B152A04C8200}"/>
    <cellStyle name="40% - Accent4 3 3 2 3" xfId="566" xr:uid="{459AC365-9332-4528-981A-29E4A74BC905}"/>
    <cellStyle name="40% - Accent4 3 3 3" xfId="567" xr:uid="{E4EDE91E-A6B2-4996-B4DF-F25F5FFAF1DA}"/>
    <cellStyle name="40% - Accent4 3 3 3 2" xfId="568" xr:uid="{B56829B9-9B82-47DE-B07D-5E09468570FD}"/>
    <cellStyle name="40% - Accent4 3 3 4" xfId="569" xr:uid="{425AED79-E193-4A34-9C87-5AD2DCE50A25}"/>
    <cellStyle name="40% - Accent4 3 4" xfId="570" xr:uid="{E51FBCAA-3D66-4545-8A43-C07187BF339E}"/>
    <cellStyle name="40% - Accent4 3 4 2" xfId="571" xr:uid="{B7B6E972-78B2-4DE6-AED5-E76D7BBD5B74}"/>
    <cellStyle name="40% - Accent4 3 4 2 2" xfId="572" xr:uid="{5E728806-016F-4203-9048-6FDDDA692C51}"/>
    <cellStyle name="40% - Accent4 3 4 3" xfId="573" xr:uid="{F61A79D3-E372-463A-A77C-DBC08030B519}"/>
    <cellStyle name="40% - Accent4 3 5" xfId="574" xr:uid="{4CCEFB45-71D4-4B16-B58E-839257FA2BB9}"/>
    <cellStyle name="40% - Accent4 3 5 2" xfId="575" xr:uid="{2D39EF80-98A1-452B-A3BC-6F9AE948D8ED}"/>
    <cellStyle name="40% - Accent4 3 6" xfId="576" xr:uid="{C335E3A4-FFCF-460B-A2BD-996B38AFFD8A}"/>
    <cellStyle name="40% - Accent4 4" xfId="577" xr:uid="{EB58253C-7FDF-4F30-91ED-26ACE1885C7A}"/>
    <cellStyle name="40% - Accent4 5" xfId="578" xr:uid="{65FF9881-47D3-4C7E-9E11-04ED49F75DE4}"/>
    <cellStyle name="40% - Accent4 6" xfId="579" xr:uid="{16E43CAF-8F64-4E93-9B52-FD582BB2CA40}"/>
    <cellStyle name="40% - Accent4 7" xfId="580" xr:uid="{A00071E8-285B-42BA-AC72-794181AEC993}"/>
    <cellStyle name="40% - Accent4 8" xfId="581" xr:uid="{B9AC9507-0E82-4B07-AC01-4E8F6CC72CBD}"/>
    <cellStyle name="40% - Accent4 9" xfId="582" xr:uid="{8ACF2A00-D8AF-43A4-ACF2-DE4B09E24937}"/>
    <cellStyle name="40% - Accent5" xfId="4642" builtinId="47" customBuiltin="1"/>
    <cellStyle name="40% - Accent5 2" xfId="28" xr:uid="{0C29C782-6C53-4191-BEF7-BB55B3A96FFA}"/>
    <cellStyle name="40% - Accent5 2 10" xfId="583" xr:uid="{EDA74888-12DA-4031-BD2F-8A366F9686F9}"/>
    <cellStyle name="40% - Accent5 2 2" xfId="584" xr:uid="{C946B7AC-04A0-4832-9FE2-F67FD3212B35}"/>
    <cellStyle name="40% - Accent5 2 2 2" xfId="585" xr:uid="{380FCD0A-CC70-4AD5-82D8-EC84C5D24A44}"/>
    <cellStyle name="40% - Accent5 2 2 3" xfId="586" xr:uid="{F6D9DCDF-500F-40A6-AA4E-9162C5F04D7A}"/>
    <cellStyle name="40% - Accent5 2 3" xfId="587" xr:uid="{987FC0BD-A6B0-46DC-86C4-DC551CF7F8BB}"/>
    <cellStyle name="40% - Accent5 2 3 2" xfId="588" xr:uid="{6B932B96-5268-4A57-B4CC-7E30A33915E6}"/>
    <cellStyle name="40% - Accent5 2 4" xfId="589" xr:uid="{F1A5FA90-FE09-4D2B-93C5-14AD0522AFC6}"/>
    <cellStyle name="40% - Accent5 2 5" xfId="590" xr:uid="{D6FF1804-A6A3-4771-A6D7-6F6F825A5BBC}"/>
    <cellStyle name="40% - Accent5 2 6" xfId="591" xr:uid="{CC91B4F2-EC7F-4146-8F6C-6B8ECCA66D18}"/>
    <cellStyle name="40% - Accent5 2 7" xfId="592" xr:uid="{ED767F6A-A90A-4C88-AD1E-9B065A81A75D}"/>
    <cellStyle name="40% - Accent5 2 8" xfId="593" xr:uid="{7CD5F783-6AB0-477E-A197-4CCC0863F006}"/>
    <cellStyle name="40% - Accent5 2 9" xfId="594" xr:uid="{B8567923-F374-4094-ADFD-43171DBF2919}"/>
    <cellStyle name="40% - Accent5 3" xfId="595" xr:uid="{22C5117B-101B-4F8D-B86C-B2A1EFDF7B0B}"/>
    <cellStyle name="40% - Accent5 3 2" xfId="596" xr:uid="{45EF5650-A756-4E02-A836-98471F3D343C}"/>
    <cellStyle name="40% - Accent5 3 2 2" xfId="597" xr:uid="{52FA0FBE-1672-4D00-BA73-B29B16C54F2F}"/>
    <cellStyle name="40% - Accent5 3 2 2 2" xfId="598" xr:uid="{629B188D-8E22-4516-A497-0E319C3BB628}"/>
    <cellStyle name="40% - Accent5 3 2 2 2 2" xfId="599" xr:uid="{FF9E03D4-0A4C-4201-B66B-29BD1104B125}"/>
    <cellStyle name="40% - Accent5 3 2 2 3" xfId="600" xr:uid="{CC42ADC0-504C-49E9-B55B-6B2956C0C30D}"/>
    <cellStyle name="40% - Accent5 3 2 3" xfId="601" xr:uid="{E9423868-E494-428A-AF94-9D36453E2C0D}"/>
    <cellStyle name="40% - Accent5 3 2 3 2" xfId="602" xr:uid="{D56F9B9A-794F-4A43-89CF-DA58E7EFF667}"/>
    <cellStyle name="40% - Accent5 3 2 4" xfId="603" xr:uid="{96EA52E1-91B8-431A-9AD2-C66C58688DEF}"/>
    <cellStyle name="40% - Accent5 3 3" xfId="604" xr:uid="{B66E3EFB-64DA-4AFC-A698-F33B250E475C}"/>
    <cellStyle name="40% - Accent5 3 3 2" xfId="605" xr:uid="{4443A111-08C8-4818-A8A2-48D366677C95}"/>
    <cellStyle name="40% - Accent5 3 3 2 2" xfId="606" xr:uid="{720D2EE5-F9C9-47DC-9407-7DAC497F3A4E}"/>
    <cellStyle name="40% - Accent5 3 3 2 2 2" xfId="607" xr:uid="{D62DE3B4-182B-4E67-A325-4E259EF11FB8}"/>
    <cellStyle name="40% - Accent5 3 3 2 3" xfId="608" xr:uid="{3DC5CC5A-6315-4825-8F27-F99527B36748}"/>
    <cellStyle name="40% - Accent5 3 3 3" xfId="609" xr:uid="{AF546682-032F-446B-B752-84088B943542}"/>
    <cellStyle name="40% - Accent5 3 3 3 2" xfId="610" xr:uid="{6467F0CE-556C-4F71-85E4-30C1CFAC64B3}"/>
    <cellStyle name="40% - Accent5 3 3 4" xfId="611" xr:uid="{C9263FDC-EB9A-43D9-B8B8-FE4AACC925BB}"/>
    <cellStyle name="40% - Accent5 3 4" xfId="612" xr:uid="{B24BBEE0-98E5-4AD5-9DB9-6B57A254C681}"/>
    <cellStyle name="40% - Accent5 3 4 2" xfId="613" xr:uid="{BB073CA8-7CC3-46F5-8075-56A45DE3CCFC}"/>
    <cellStyle name="40% - Accent5 3 4 2 2" xfId="614" xr:uid="{A69EEF18-7FE4-40EB-BEA9-51AD940B725E}"/>
    <cellStyle name="40% - Accent5 3 4 3" xfId="615" xr:uid="{9ED1666A-6C1A-46FF-A7C4-48A1647DDA28}"/>
    <cellStyle name="40% - Accent5 3 5" xfId="616" xr:uid="{678F3A88-BF20-4C9F-B33F-CDEDB432C4CF}"/>
    <cellStyle name="40% - Accent5 3 5 2" xfId="617" xr:uid="{BE17476F-A2E6-4826-B39F-8C1FCA573091}"/>
    <cellStyle name="40% - Accent5 3 6" xfId="618" xr:uid="{59B93074-1082-4490-B364-64C594479413}"/>
    <cellStyle name="40% - Accent5 4" xfId="619" xr:uid="{13486BFF-0DC6-49F2-B909-53363E9540A3}"/>
    <cellStyle name="40% - Accent5 5" xfId="620" xr:uid="{C22C2B52-74AE-4BDE-B346-954F27312316}"/>
    <cellStyle name="40% - Accent5 6" xfId="621" xr:uid="{4713D5E2-C018-494C-A154-3E9E71F963FA}"/>
    <cellStyle name="40% - Accent5 7" xfId="622" xr:uid="{70A0BA7F-FE90-4266-8C18-F36D93041B76}"/>
    <cellStyle name="40% - Accent5 8" xfId="623" xr:uid="{D7BBB935-28F1-457D-9C85-8C18B21E2C4F}"/>
    <cellStyle name="40% - Accent5 9" xfId="624" xr:uid="{9D144452-1C05-48DC-AEA6-CF12F0119F7F}"/>
    <cellStyle name="40% - Accent6" xfId="4646" builtinId="51" customBuiltin="1"/>
    <cellStyle name="40% - Accent6 2" xfId="29" xr:uid="{9BB3FDFF-9D08-4171-86CB-35795027831A}"/>
    <cellStyle name="40% - Accent6 2 10" xfId="625" xr:uid="{1744020F-C49E-4DDF-847E-0C8E30627358}"/>
    <cellStyle name="40% - Accent6 2 2" xfId="626" xr:uid="{5F2893E2-D92B-43C3-B6CF-740770921789}"/>
    <cellStyle name="40% - Accent6 2 2 2" xfId="627" xr:uid="{91A5C0B8-E2BB-426B-8D6B-AB2BEBBE36FC}"/>
    <cellStyle name="40% - Accent6 2 2 3" xfId="628" xr:uid="{F8295364-1E52-4849-B5AC-30FCCC302368}"/>
    <cellStyle name="40% - Accent6 2 3" xfId="629" xr:uid="{7A3487DC-7AFF-442F-8EF0-29E5D6441B8E}"/>
    <cellStyle name="40% - Accent6 2 3 2" xfId="630" xr:uid="{BFBF28A0-58F6-4D29-B1A4-30BC1BC5A445}"/>
    <cellStyle name="40% - Accent6 2 4" xfId="631" xr:uid="{6944C8B2-E1A8-42E5-B272-BE5CEF9036F9}"/>
    <cellStyle name="40% - Accent6 2 5" xfId="632" xr:uid="{BDFF1994-DB31-4208-8295-7CA9C4B15376}"/>
    <cellStyle name="40% - Accent6 2 6" xfId="633" xr:uid="{8281BF27-8B7E-446E-BCB6-445C3A132B1E}"/>
    <cellStyle name="40% - Accent6 2 7" xfId="634" xr:uid="{EB63B23B-57C2-41D4-B46C-C0EB9DFA879A}"/>
    <cellStyle name="40% - Accent6 2 8" xfId="635" xr:uid="{5507CA7E-E308-4206-AB34-243B792221AA}"/>
    <cellStyle name="40% - Accent6 2 9" xfId="636" xr:uid="{3051CDAE-A497-4379-A354-1E7FAD1E2022}"/>
    <cellStyle name="40% - Accent6 3" xfId="637" xr:uid="{CE91D58A-AE3B-46E0-93CF-7B9B4E794D22}"/>
    <cellStyle name="40% - Accent6 3 2" xfId="638" xr:uid="{FC25F3D4-E419-4CB8-BAEC-60BCB83289E4}"/>
    <cellStyle name="40% - Accent6 3 2 2" xfId="639" xr:uid="{963684D9-73F4-4296-8F81-1ACEA6277BE8}"/>
    <cellStyle name="40% - Accent6 3 2 2 2" xfId="640" xr:uid="{12E96A6D-4095-43B3-A277-E3CDF6683F9D}"/>
    <cellStyle name="40% - Accent6 3 2 2 2 2" xfId="641" xr:uid="{8CB2C353-EC09-4D9E-B927-576A749C1DF6}"/>
    <cellStyle name="40% - Accent6 3 2 2 3" xfId="642" xr:uid="{7C4EFB12-67CA-4A70-AF34-C867F67B71DE}"/>
    <cellStyle name="40% - Accent6 3 2 3" xfId="643" xr:uid="{FDA6858E-C187-4AAA-8AD4-158A7A57F1DB}"/>
    <cellStyle name="40% - Accent6 3 2 3 2" xfId="644" xr:uid="{7088D8A0-9A36-4865-90E7-F3A310799E85}"/>
    <cellStyle name="40% - Accent6 3 2 4" xfId="645" xr:uid="{594130EF-278E-4CD6-BCA8-BD09A7D47988}"/>
    <cellStyle name="40% - Accent6 3 3" xfId="646" xr:uid="{B98B97C3-8280-460A-BF1F-8AEE921C4FB9}"/>
    <cellStyle name="40% - Accent6 3 3 2" xfId="647" xr:uid="{82CD6272-79FA-4E07-96B9-921118A38C2A}"/>
    <cellStyle name="40% - Accent6 3 3 2 2" xfId="648" xr:uid="{83368DAF-1B55-4978-9699-B12C43BD118E}"/>
    <cellStyle name="40% - Accent6 3 3 2 2 2" xfId="649" xr:uid="{111710B5-005E-4D86-A94A-1648A4D10ECC}"/>
    <cellStyle name="40% - Accent6 3 3 2 3" xfId="650" xr:uid="{7BF09036-4E97-41E4-9185-DFC032168069}"/>
    <cellStyle name="40% - Accent6 3 3 3" xfId="651" xr:uid="{1C898899-6DFD-495B-AF9A-A5A52978E3A8}"/>
    <cellStyle name="40% - Accent6 3 3 3 2" xfId="652" xr:uid="{FE07B869-89B5-4297-A0F2-8AB32857F5CE}"/>
    <cellStyle name="40% - Accent6 3 3 4" xfId="653" xr:uid="{6BF85262-F842-4BEC-A68F-FE28B5A3D1B6}"/>
    <cellStyle name="40% - Accent6 3 4" xfId="654" xr:uid="{62E4AFA1-4398-48DD-B4CA-0DB5D90A8A21}"/>
    <cellStyle name="40% - Accent6 3 4 2" xfId="655" xr:uid="{281760EB-EA56-4E31-9994-94C662549D18}"/>
    <cellStyle name="40% - Accent6 3 4 2 2" xfId="656" xr:uid="{ECFD381D-07F5-41CD-93ED-3A33A90144E4}"/>
    <cellStyle name="40% - Accent6 3 4 3" xfId="657" xr:uid="{8E221011-72E1-4B3E-A1AF-0918E87710A1}"/>
    <cellStyle name="40% - Accent6 3 5" xfId="658" xr:uid="{13431017-CB5F-494F-A8FF-F52A7F8ED5AB}"/>
    <cellStyle name="40% - Accent6 3 5 2" xfId="659" xr:uid="{A8D073DB-7B9C-49A1-BCA8-2D289955320C}"/>
    <cellStyle name="40% - Accent6 3 6" xfId="660" xr:uid="{967A5B12-B9A6-4F52-8B96-F0A36F12C25D}"/>
    <cellStyle name="40% - Accent6 4" xfId="661" xr:uid="{BD2A6875-25BF-4DD5-9C90-A6019633969F}"/>
    <cellStyle name="40% - Accent6 5" xfId="662" xr:uid="{801515F6-0CBE-4BD9-84E5-BACDBB11197A}"/>
    <cellStyle name="40% - Accent6 6" xfId="663" xr:uid="{6AEC4420-FDBE-4087-B0D4-8EA5BF3C5320}"/>
    <cellStyle name="40% - Accent6 7" xfId="664" xr:uid="{96276A76-1939-4248-91CD-24CB2412098C}"/>
    <cellStyle name="40% - Accent6 8" xfId="665" xr:uid="{F9346E5F-563C-4A79-A02D-EFA82AD0BF5C}"/>
    <cellStyle name="40% - Accent6 9" xfId="666" xr:uid="{67C08E09-CFD0-4EEA-9C9C-799BB2E8BF6C}"/>
    <cellStyle name="60 % - Accent1" xfId="667" xr:uid="{D21180D1-7362-42FA-A2B4-902334AE6558}"/>
    <cellStyle name="60 % - Accent2" xfId="668" xr:uid="{422CA254-A7C7-4E20-8B4B-5D13C2AB69A1}"/>
    <cellStyle name="60 % - Accent3" xfId="669" xr:uid="{ABE6B161-ACEE-4E3F-AB0B-E4CCE4CB4B59}"/>
    <cellStyle name="60 % - Accent4" xfId="670" xr:uid="{13D0D347-719B-47A1-AFE9-45110292742A}"/>
    <cellStyle name="60 % - Accent5" xfId="671" xr:uid="{2D6E176E-7596-45BB-AF38-410218485454}"/>
    <cellStyle name="60 % - Accent6" xfId="672" xr:uid="{0DDD1704-6115-41BC-AAAE-64B2E4B4AF0C}"/>
    <cellStyle name="60% - Accent1" xfId="4627" builtinId="32" customBuiltin="1"/>
    <cellStyle name="60% - Accent1 2" xfId="30" xr:uid="{F635546E-1786-48DE-8A80-FF0265590B2E}"/>
    <cellStyle name="60% - Accent1 2 2" xfId="673" xr:uid="{CE08E576-6A93-4A2C-8DFE-78DF2CEB16D4}"/>
    <cellStyle name="60% - Accent1 2 3" xfId="674" xr:uid="{354BD399-7E94-4BD7-BE28-9BB3011CD963}"/>
    <cellStyle name="60% - Accent1 2 4" xfId="675" xr:uid="{A80A1E93-504F-443A-A967-4C1BEDC458CB}"/>
    <cellStyle name="60% - Accent1 2 5" xfId="676" xr:uid="{AA48D3D2-4280-44C1-8589-D33A25A2DD5B}"/>
    <cellStyle name="60% - Accent1 2 6" xfId="677" xr:uid="{684EF20A-2ED5-441D-912A-E108C2B6206E}"/>
    <cellStyle name="60% - Accent1 2 7" xfId="678" xr:uid="{1119AA68-8044-4511-9989-9FC231B5895C}"/>
    <cellStyle name="60% - Accent1 2 8" xfId="679" xr:uid="{2CC54135-9AFE-425A-99FB-A9C94ECC3E40}"/>
    <cellStyle name="60% - Accent1 2 9" xfId="680" xr:uid="{D7D6F644-DE5F-4218-9EFD-D6F19A2038AD}"/>
    <cellStyle name="60% - Accent1 3" xfId="681" xr:uid="{917CCE4A-07A3-486D-874E-7A5536B5F988}"/>
    <cellStyle name="60% - Accent2" xfId="4631" builtinId="36" customBuiltin="1"/>
    <cellStyle name="60% - Accent2 2" xfId="31" xr:uid="{3310E8D2-B5AD-4751-AF1D-A44F49862E25}"/>
    <cellStyle name="60% - Accent2 2 2" xfId="682" xr:uid="{70201F00-9296-404E-99DD-41DE9E5EA13D}"/>
    <cellStyle name="60% - Accent2 2 3" xfId="683" xr:uid="{2F433140-61D7-41B5-9D15-FFF7DE1EFB60}"/>
    <cellStyle name="60% - Accent2 2 4" xfId="684" xr:uid="{6B9E0F9A-8F7E-4712-B5FE-A1CD2991E777}"/>
    <cellStyle name="60% - Accent2 2 5" xfId="685" xr:uid="{2527D1B4-E685-4301-BD4F-DAE139CA96C2}"/>
    <cellStyle name="60% - Accent2 2 6" xfId="686" xr:uid="{0959BF7C-BD15-4ACA-9682-DBA9F4055521}"/>
    <cellStyle name="60% - Accent2 2 7" xfId="687" xr:uid="{D4AD8E6B-30BB-40FC-8C8D-375953D242B3}"/>
    <cellStyle name="60% - Accent2 2 8" xfId="688" xr:uid="{CD1CD0FF-F5A2-4B35-B446-C7D019163178}"/>
    <cellStyle name="60% - Accent2 2 9" xfId="689" xr:uid="{24050FCD-3A26-4217-94FF-9A454B7C845D}"/>
    <cellStyle name="60% - Accent2 3" xfId="690" xr:uid="{CDD9CB98-BB0F-4313-ABC7-CE64A0C5ADB1}"/>
    <cellStyle name="60% - Accent3" xfId="4635" builtinId="40" customBuiltin="1"/>
    <cellStyle name="60% - Accent3 2" xfId="32" xr:uid="{F591985F-0FD7-40AE-8175-939ED256DDED}"/>
    <cellStyle name="60% - Accent3 2 2" xfId="691" xr:uid="{066C8080-1119-4C08-B764-2966D33A2E1B}"/>
    <cellStyle name="60% - Accent3 2 3" xfId="692" xr:uid="{D3F925BA-6AE2-4FF8-B5CD-F2242DBE8237}"/>
    <cellStyle name="60% - Accent3 2 4" xfId="693" xr:uid="{330560BE-C3E9-4934-9284-CDF51205EFC0}"/>
    <cellStyle name="60% - Accent3 2 5" xfId="694" xr:uid="{FAA6694E-32FB-4280-A825-866A76D5A7B0}"/>
    <cellStyle name="60% - Accent3 2 6" xfId="695" xr:uid="{4F16243F-506E-464B-80BB-F5ADCC4AA319}"/>
    <cellStyle name="60% - Accent3 2 7" xfId="696" xr:uid="{F23F5C2A-2B57-4F31-8380-9A10AEB1466C}"/>
    <cellStyle name="60% - Accent3 2 8" xfId="697" xr:uid="{73A198CD-9769-477A-9218-6AF605CA164F}"/>
    <cellStyle name="60% - Accent3 2 9" xfId="698" xr:uid="{B3778AB4-00B5-445B-8EDF-35601D8E4F50}"/>
    <cellStyle name="60% - Accent3 3" xfId="699" xr:uid="{9A7FCB96-FB80-485D-BB56-C45BDF9F1FC9}"/>
    <cellStyle name="60% - Accent4" xfId="4639" builtinId="44" customBuiltin="1"/>
    <cellStyle name="60% - Accent4 2" xfId="33" xr:uid="{9A16DB27-E9CB-4A50-8F9C-8B8585C60897}"/>
    <cellStyle name="60% - Accent4 2 2" xfId="700" xr:uid="{FECB0C8F-9AF3-4444-AD2F-F98D3044CB4D}"/>
    <cellStyle name="60% - Accent4 2 3" xfId="701" xr:uid="{8F309754-88AA-40A0-AE41-FFF6AF37B106}"/>
    <cellStyle name="60% - Accent4 2 4" xfId="702" xr:uid="{8D0E2EAC-7CC1-4B36-A971-87F96C88897A}"/>
    <cellStyle name="60% - Accent4 2 5" xfId="703" xr:uid="{9459027E-8936-487A-B29A-055BF720B90A}"/>
    <cellStyle name="60% - Accent4 2 6" xfId="704" xr:uid="{971441D2-2499-40A0-8222-CF379310F48A}"/>
    <cellStyle name="60% - Accent4 2 7" xfId="705" xr:uid="{3CA4AACA-5C81-4ADA-ACF7-4C030346CC35}"/>
    <cellStyle name="60% - Accent4 2 8" xfId="706" xr:uid="{37595C5F-2623-47F0-973C-CD6294054501}"/>
    <cellStyle name="60% - Accent4 2 9" xfId="707" xr:uid="{D2958D05-7608-4381-BDE9-5485ECC86DF0}"/>
    <cellStyle name="60% - Accent4 3" xfId="708" xr:uid="{D60C6168-DD7C-43ED-9BB7-B2730B24E92A}"/>
    <cellStyle name="60% - Accent5" xfId="4643" builtinId="48" customBuiltin="1"/>
    <cellStyle name="60% - Accent5 2" xfId="34" xr:uid="{2663B94C-A1C3-4E2D-A951-8586443C0E85}"/>
    <cellStyle name="60% - Accent5 2 2" xfId="709" xr:uid="{12EB6087-00E2-4F66-9B43-0573F4C2945E}"/>
    <cellStyle name="60% - Accent5 2 3" xfId="710" xr:uid="{09D7B8CE-A3E4-481A-8328-4B8CD13453DB}"/>
    <cellStyle name="60% - Accent5 2 4" xfId="711" xr:uid="{848209D3-EDE3-40CF-BD40-B6D26B9634DE}"/>
    <cellStyle name="60% - Accent5 2 5" xfId="712" xr:uid="{7FFD0881-794B-401A-BC49-B37A57DEF9D6}"/>
    <cellStyle name="60% - Accent5 2 6" xfId="713" xr:uid="{794D3B2B-5176-4752-86E6-2EB426CDE240}"/>
    <cellStyle name="60% - Accent5 2 7" xfId="714" xr:uid="{6A81F772-93D6-476B-BCD4-05B687355224}"/>
    <cellStyle name="60% - Accent5 2 8" xfId="715" xr:uid="{F0BAD884-99EF-4C92-80EF-CD0070004663}"/>
    <cellStyle name="60% - Accent5 2 9" xfId="716" xr:uid="{2923161F-6AD1-4D0B-9B40-61EEBBBFB210}"/>
    <cellStyle name="60% - Accent5 3" xfId="717" xr:uid="{46AD9284-0844-417F-BE68-D46310404380}"/>
    <cellStyle name="60% - Accent6" xfId="4647" builtinId="52" customBuiltin="1"/>
    <cellStyle name="60% - Accent6 2" xfId="35" xr:uid="{DF146A5B-BBBE-4312-8313-EA54CD94E6D0}"/>
    <cellStyle name="60% - Accent6 2 2" xfId="718" xr:uid="{088AFF91-62AD-495B-87C1-8F5E220B54F4}"/>
    <cellStyle name="60% - Accent6 2 3" xfId="719" xr:uid="{877A6CFF-4AF4-4568-B4C2-580218A6E258}"/>
    <cellStyle name="60% - Accent6 2 4" xfId="720" xr:uid="{741A6366-A113-45B2-A4D3-E4EA47197C00}"/>
    <cellStyle name="60% - Accent6 2 5" xfId="721" xr:uid="{33953D18-F601-47B5-A489-293F68F8DDB7}"/>
    <cellStyle name="60% - Accent6 2 6" xfId="722" xr:uid="{44BB398C-C970-4DC8-9FFF-F3C6363007DD}"/>
    <cellStyle name="60% - Accent6 2 7" xfId="723" xr:uid="{6925824C-3639-4585-A83F-CC73A9589DA5}"/>
    <cellStyle name="60% - Accent6 2 8" xfId="724" xr:uid="{E689D203-CFA8-44A4-9AEE-504499FE58E2}"/>
    <cellStyle name="60% - Accent6 2 9" xfId="725" xr:uid="{06C8BBB0-C86F-452A-BF7B-695FA6A58F30}"/>
    <cellStyle name="60% - Accent6 3" xfId="726" xr:uid="{44DFE998-D4BB-4E28-A104-3229D6164BE3}"/>
    <cellStyle name="A%" xfId="727" xr:uid="{2A48527B-DB6D-4A7A-9CA2-4C2017872B0B}"/>
    <cellStyle name="A% 2" xfId="4538" xr:uid="{507993EF-D150-4408-AB3B-710DB64BC956}"/>
    <cellStyle name="Accent1" xfId="4624" builtinId="29" customBuiltin="1"/>
    <cellStyle name="Accent1 2" xfId="36" xr:uid="{1EF805EC-ECD6-45CB-B76C-18A45ACB3EF2}"/>
    <cellStyle name="Accent1 2 2" xfId="728" xr:uid="{37E79EF3-5E95-4651-BF28-776C7C6D57AE}"/>
    <cellStyle name="Accent1 2 3" xfId="729" xr:uid="{90A9C207-71EE-41EC-BD43-6C7524E9032D}"/>
    <cellStyle name="Accent1 2 4" xfId="730" xr:uid="{DD450E14-F824-4E8B-9D0A-EDE76763B214}"/>
    <cellStyle name="Accent1 2 5" xfId="731" xr:uid="{D3882E9F-0183-4FBA-884F-48E49CF57755}"/>
    <cellStyle name="Accent1 2 6" xfId="732" xr:uid="{B8485A51-E5C6-474F-B4A2-CE534CF76759}"/>
    <cellStyle name="Accent1 2 7" xfId="733" xr:uid="{19E9CB45-77C1-4B59-85E4-F55E9121CFFB}"/>
    <cellStyle name="Accent1 2 8" xfId="734" xr:uid="{0915E710-F098-49A5-A784-E5391F5483B2}"/>
    <cellStyle name="Accent1 2 9" xfId="735" xr:uid="{18536B21-707B-4361-98EB-EAD9C31AD1E5}"/>
    <cellStyle name="Accent1 3" xfId="736" xr:uid="{24AE6A42-7A4B-4490-8839-EE63F3A73E1D}"/>
    <cellStyle name="Accent2" xfId="4628" builtinId="33" customBuiltin="1"/>
    <cellStyle name="Accent2 2" xfId="37" xr:uid="{B38E2418-52AC-436F-AA12-7B626907284D}"/>
    <cellStyle name="Accent2 2 2" xfId="737" xr:uid="{F6A0B69E-4A58-421E-B457-1E3D9D20616F}"/>
    <cellStyle name="Accent2 2 3" xfId="738" xr:uid="{526FB980-5543-427D-A945-B8611AD290AB}"/>
    <cellStyle name="Accent2 2 4" xfId="739" xr:uid="{456A8B62-12E9-4834-B40D-CE82851A762D}"/>
    <cellStyle name="Accent2 2 5" xfId="740" xr:uid="{F61CA31D-558E-400B-9632-A98D5B23D6D1}"/>
    <cellStyle name="Accent2 2 6" xfId="741" xr:uid="{E94713ED-CB20-4B7F-8617-87A70C5A9FEB}"/>
    <cellStyle name="Accent2 2 7" xfId="742" xr:uid="{41D33553-5A66-4D25-8D7A-8F9A968A6FCA}"/>
    <cellStyle name="Accent2 2 8" xfId="743" xr:uid="{3967CA87-C87C-4F9E-B864-6D7E1B1CEB68}"/>
    <cellStyle name="Accent2 2 9" xfId="744" xr:uid="{BBEA71C2-7D0E-4E3F-86DC-2BE02F12B08F}"/>
    <cellStyle name="Accent2 3" xfId="745" xr:uid="{415C4B1C-7BC3-4399-B6F6-0340F9ACAE56}"/>
    <cellStyle name="Accent3" xfId="4632" builtinId="37" customBuiltin="1"/>
    <cellStyle name="Accent3 2" xfId="38" xr:uid="{065EB785-DCD0-4701-A102-7D213071AF38}"/>
    <cellStyle name="Accent3 2 2" xfId="746" xr:uid="{D5DB45CF-908A-44E8-BFB3-DDBD244B00E8}"/>
    <cellStyle name="Accent3 2 3" xfId="747" xr:uid="{FDE9F82A-4F78-4ACB-B91B-7A98B39619C5}"/>
    <cellStyle name="Accent3 2 4" xfId="748" xr:uid="{D280512C-FC29-4F03-A4FA-263918F1EE01}"/>
    <cellStyle name="Accent3 2 5" xfId="749" xr:uid="{E4F81CF1-9587-49E3-A2D2-E2CDA9C097A9}"/>
    <cellStyle name="Accent3 2 6" xfId="750" xr:uid="{08F057B8-1D2F-451F-B8B5-213BC369FEA5}"/>
    <cellStyle name="Accent3 2 7" xfId="751" xr:uid="{25533618-50E0-4968-A21D-4C3A76C0A286}"/>
    <cellStyle name="Accent3 2 8" xfId="752" xr:uid="{E631632B-6C9C-4C99-BEF7-6DDA7F04634D}"/>
    <cellStyle name="Accent3 2 9" xfId="753" xr:uid="{9B032C28-E09E-48EF-A248-19FF6E770A2F}"/>
    <cellStyle name="Accent3 3" xfId="754" xr:uid="{5D7D1CB3-8B21-4508-98CD-C177E423B4E8}"/>
    <cellStyle name="Accent4" xfId="4636" builtinId="41" customBuiltin="1"/>
    <cellStyle name="Accent4 2" xfId="39" xr:uid="{034D9CEF-78B0-4273-BD7D-3BAF8D732DF2}"/>
    <cellStyle name="Accent4 2 2" xfId="755" xr:uid="{4FFCE8D5-0C99-494E-8E9F-B1B5841EC17E}"/>
    <cellStyle name="Accent4 2 3" xfId="756" xr:uid="{2F690BBB-93E7-4E13-A874-47B3214FF423}"/>
    <cellStyle name="Accent4 2 4" xfId="757" xr:uid="{AFD76C3D-2DE3-4797-935D-DC0E7E3F36A9}"/>
    <cellStyle name="Accent4 2 5" xfId="758" xr:uid="{3ED2BB0B-A48A-4190-AE2F-829A5DDF95BF}"/>
    <cellStyle name="Accent4 2 6" xfId="759" xr:uid="{6C3239BD-0911-4C1A-B709-9E4DD1D32F8D}"/>
    <cellStyle name="Accent4 2 7" xfId="760" xr:uid="{6E2AA6D0-9649-4856-937C-D8391C4D7814}"/>
    <cellStyle name="Accent4 2 8" xfId="761" xr:uid="{4B8C5073-C19B-40CC-9BCC-D6D66E77C643}"/>
    <cellStyle name="Accent4 2 9" xfId="762" xr:uid="{11267439-D14E-423F-B3EC-1943001D9118}"/>
    <cellStyle name="Accent4 3" xfId="763" xr:uid="{AC36C9CA-CF59-4E48-BD87-808B03261A16}"/>
    <cellStyle name="Accent5" xfId="4640" builtinId="45" customBuiltin="1"/>
    <cellStyle name="Accent5 2" xfId="40" xr:uid="{EA8CF8C2-B35E-4E2E-91C9-2AA1319CEEEC}"/>
    <cellStyle name="Accent5 2 2" xfId="764" xr:uid="{D1A85F73-5AD1-48C3-BAB0-840CF1C1252D}"/>
    <cellStyle name="Accent5 2 3" xfId="765" xr:uid="{D2CBD76D-B3DE-47BC-ACFB-92296879F3AF}"/>
    <cellStyle name="Accent5 2 4" xfId="766" xr:uid="{C86BFACA-E06D-4D5C-A8E6-B050A0BDB3E5}"/>
    <cellStyle name="Accent5 2 5" xfId="767" xr:uid="{C7533D3D-4CD1-43E7-8A31-C4F44361205B}"/>
    <cellStyle name="Accent5 2 6" xfId="768" xr:uid="{F283B425-8511-4E4F-AB26-860A455B7EF9}"/>
    <cellStyle name="Accent5 2 7" xfId="769" xr:uid="{D9F50338-C6E9-4681-BD3C-CB064731CD6A}"/>
    <cellStyle name="Accent5 2 8" xfId="770" xr:uid="{F49A951E-7E5D-4AD4-B893-3080B4F54583}"/>
    <cellStyle name="Accent5 2 9" xfId="771" xr:uid="{685E5DD6-FC4C-485A-8877-14A211E60178}"/>
    <cellStyle name="Accent5 3" xfId="772" xr:uid="{90E94EAC-BFC0-4620-BF05-F1E576B8BDE1}"/>
    <cellStyle name="Accent6" xfId="4644" builtinId="49" customBuiltin="1"/>
    <cellStyle name="Accent6 2" xfId="41" xr:uid="{58AA162D-B5C9-4F31-AD73-A51EA9592F70}"/>
    <cellStyle name="Accent6 2 2" xfId="773" xr:uid="{C71A6F63-7E84-4C73-BE7C-A61FED2634C2}"/>
    <cellStyle name="Accent6 2 3" xfId="774" xr:uid="{5C2C9888-4885-4AC0-A80F-35411532D14C}"/>
    <cellStyle name="Accent6 2 4" xfId="775" xr:uid="{18A11C7D-3B3C-4E8D-94F4-001ED50930A7}"/>
    <cellStyle name="Accent6 2 5" xfId="776" xr:uid="{83C248F9-EDE0-4C04-9E92-11CC1DAC75CF}"/>
    <cellStyle name="Accent6 2 6" xfId="777" xr:uid="{934844A7-90AC-4C72-8FA6-415609D5197E}"/>
    <cellStyle name="Accent6 2 7" xfId="778" xr:uid="{4492307A-FB57-4064-91D8-04E5BA6DD6AE}"/>
    <cellStyle name="Accent6 2 8" xfId="779" xr:uid="{2AC77810-97C4-48ED-8D87-DBE8250846F5}"/>
    <cellStyle name="Accent6 2 9" xfId="780" xr:uid="{8B72406B-F3E4-4EA6-81A2-68CF1C70C8B2}"/>
    <cellStyle name="Accent6 3" xfId="781" xr:uid="{D4405531-BC77-4D59-BEF3-47FDCBD87D08}"/>
    <cellStyle name="Accounting w/$" xfId="782" xr:uid="{405E331B-42C6-47A1-99B4-78AC64F60511}"/>
    <cellStyle name="Accounting w/$ 2" xfId="4677" xr:uid="{FBD79165-C5AF-415D-A5D4-8EAAD9670E36}"/>
    <cellStyle name="Accounting w/$ Total" xfId="783" xr:uid="{89FC31A4-5F7A-49E7-997D-A405F2C30738}"/>
    <cellStyle name="Accounting w/$ Total 2" xfId="5494" xr:uid="{FA5B4597-F310-40C1-B423-2EEF5E1C842B}"/>
    <cellStyle name="Accounting w/$ Total 3" xfId="4678" xr:uid="{C0C3CCD4-8A83-4FE6-9C74-539962D7C1EC}"/>
    <cellStyle name="Accounting w/o $" xfId="784" xr:uid="{9DDD8981-D2DE-42D0-AF00-BCF2ABB1E5E1}"/>
    <cellStyle name="Accounting w/o $ 2" xfId="4679" xr:uid="{6F181E78-F2A7-4CDA-8D85-503A64E22D52}"/>
    <cellStyle name="Acinput" xfId="785" xr:uid="{5C1FF746-9990-4DAF-9676-5D9852237716}"/>
    <cellStyle name="Acinput 2" xfId="4539" xr:uid="{6DFDF79A-E868-411A-8D6E-4BC2A245070D}"/>
    <cellStyle name="Acinput,," xfId="786" xr:uid="{6D805A49-3C8C-4A19-A6F8-C81E7CCD3E1F}"/>
    <cellStyle name="Acinput,, 2" xfId="4540" xr:uid="{7A3F899D-1F8A-4A9F-BA27-6928C0C39252}"/>
    <cellStyle name="Acoutput" xfId="787" xr:uid="{9B2EB7C0-00AD-4EF1-B1E9-ECD24BCB7958}"/>
    <cellStyle name="Acoutput 2" xfId="4541" xr:uid="{2227E2A2-D9E2-44B3-84AA-0AC50B5984E0}"/>
    <cellStyle name="Acoutput,," xfId="788" xr:uid="{4BEC59C8-EB69-48AB-B27B-321680C2D504}"/>
    <cellStyle name="Acoutput,, 2" xfId="4542" xr:uid="{B3A1B2BC-750F-423F-9B7A-B168EEE2E781}"/>
    <cellStyle name="Actual Date" xfId="789" xr:uid="{D9444F8D-1A1A-48EE-B278-0C9C8B40123E}"/>
    <cellStyle name="AFE" xfId="790" xr:uid="{ABDB5C54-1A02-492C-A477-5C263740211D}"/>
    <cellStyle name="al" xfId="791" xr:uid="{50E0FD02-48EE-4D50-9507-C188CED2C325}"/>
    <cellStyle name="Amount_EQU_RIGH.XLS_Equity market_Preferred Securities " xfId="792" xr:uid="{6148732F-5C86-4387-B825-3AE08A86D212}"/>
    <cellStyle name="Apershare" xfId="793" xr:uid="{27288515-6E5D-4124-9C03-5E178F7D2F43}"/>
    <cellStyle name="Apershare 2" xfId="4543" xr:uid="{983DB5CE-3BAB-4C20-8552-E680CF01880D}"/>
    <cellStyle name="Aprice" xfId="794" xr:uid="{A34D08E5-C456-4196-AA2A-215E1AF3C8EE}"/>
    <cellStyle name="Aprice 2" xfId="4544" xr:uid="{E6046BE5-47C5-4318-A55A-0CA1CB0ED80D}"/>
    <cellStyle name="Aprice 2 2" xfId="5428" xr:uid="{8B504F0F-B8B4-434C-8B6E-91B0092D2476}"/>
    <cellStyle name="Aprice 3" xfId="4680" xr:uid="{84CD6FD1-98A3-47D0-B31D-D60A1C1F9B72}"/>
    <cellStyle name="ar" xfId="795" xr:uid="{BC292EEA-88F6-4D59-8AEE-A92F1B1BCD61}"/>
    <cellStyle name="ar 2" xfId="4565" xr:uid="{C3CF555E-42ED-4E64-9627-50915D26E3FB}"/>
    <cellStyle name="ar 2 2" xfId="5512" xr:uid="{2EEFB5DB-0957-4CBA-A461-DB3B4BB89662}"/>
    <cellStyle name="ar 2 3" xfId="5435" xr:uid="{74D4B33B-E22E-4946-9190-A78E5C8FF22A}"/>
    <cellStyle name="ar 3" xfId="5495" xr:uid="{3B30246E-FF98-46FE-B263-B749C6E9AB36}"/>
    <cellStyle name="ar 4" xfId="4681" xr:uid="{F182BCD7-78A8-4C19-B993-9460722A960E}"/>
    <cellStyle name="Arial 10" xfId="796" xr:uid="{203513D9-85DA-4A07-8BA3-30653DB5797D}"/>
    <cellStyle name="Arial 12" xfId="797" xr:uid="{5F3FC04E-775F-43A3-88EF-BAEC60A83D44}"/>
    <cellStyle name="Availability" xfId="798" xr:uid="{11A8D1E6-EC72-44A7-A216-8D8BC20273FE}"/>
    <cellStyle name="Bad" xfId="4613" builtinId="27" customBuiltin="1"/>
    <cellStyle name="Bad 2" xfId="42" xr:uid="{8E0A2E30-D9B4-4CEE-A428-EDEB0CC3A8F6}"/>
    <cellStyle name="Bad 2 2" xfId="799" xr:uid="{20A783AC-3708-4CA7-BA24-E113D012F1C1}"/>
    <cellStyle name="Bad 2 3" xfId="800" xr:uid="{F14BFCFA-2EF3-47B6-B0D3-EA6A7ACF0DA1}"/>
    <cellStyle name="Bad 2 4" xfId="801" xr:uid="{FA2010BF-9B05-43A3-8615-99BE3A88DEE2}"/>
    <cellStyle name="Bad 2 5" xfId="802" xr:uid="{E0C4F743-AE8C-4E5E-BD87-EC7710E6AE94}"/>
    <cellStyle name="Bad 2 6" xfId="803" xr:uid="{03460C17-85D8-4BF7-9DD3-6BABE623CF07}"/>
    <cellStyle name="Bad 2 7" xfId="804" xr:uid="{E71681B7-8860-4904-A37B-F06446F68BE4}"/>
    <cellStyle name="Bad 2 8" xfId="805" xr:uid="{CF1BB8F9-AC64-4CDF-BEBA-A9AB9F2AAFFF}"/>
    <cellStyle name="Bad 2 9" xfId="806" xr:uid="{59172369-FCE0-49F2-9E7C-D0F23A08279C}"/>
    <cellStyle name="Bad 3" xfId="807" xr:uid="{19692084-337A-40CF-A51E-24043BE578B0}"/>
    <cellStyle name="Band 2" xfId="808" xr:uid="{4D952D98-61EF-4E4B-B4C2-420D7BB02EBA}"/>
    <cellStyle name="Band 2 2" xfId="4545" xr:uid="{1F325396-CE7D-41DF-BB88-DC8707A6E142}"/>
    <cellStyle name="Blank" xfId="809" xr:uid="{F4648FE6-E0A0-484A-859E-E66D5AAC3BE1}"/>
    <cellStyle name="Blue" xfId="810" xr:uid="{20373D04-8A71-4870-B4E1-70D38869AFFF}"/>
    <cellStyle name="Bold/Border" xfId="811" xr:uid="{0D7E9A43-8A20-4F15-8101-E9923F10D4CB}"/>
    <cellStyle name="Bold/Border 2" xfId="4546" xr:uid="{62DBD8CF-3FAC-410B-A30B-B7B5ED6F1180}"/>
    <cellStyle name="Border Heavy" xfId="812" xr:uid="{9E4E45B2-6401-40F4-BFE2-2644F21A8904}"/>
    <cellStyle name="Border Heavy 2" xfId="4682" xr:uid="{82D2EF39-3CF9-41E4-A33F-68FD7FC877CF}"/>
    <cellStyle name="Border Thin" xfId="813" xr:uid="{5E7EF84A-B5FE-4B6E-A30D-8AE9DF92B549}"/>
    <cellStyle name="Border Thin 2" xfId="4683" xr:uid="{C6650F1B-9942-47CE-896B-24ED268AE5FF}"/>
    <cellStyle name="Border, Bottom" xfId="814" xr:uid="{1DC42466-A729-4016-8711-A1CC1347CB0B}"/>
    <cellStyle name="Border, Bottom 2" xfId="4547" xr:uid="{CDD160FC-8CB7-487B-9E01-5A00291DC281}"/>
    <cellStyle name="Border, Left" xfId="815" xr:uid="{FE2968E8-D00F-44B3-ADD2-4420C2339CAA}"/>
    <cellStyle name="Border, Left 2" xfId="4548" xr:uid="{5FF38318-8AE4-4439-A8D9-50216BABDE0E}"/>
    <cellStyle name="Border, Right" xfId="816" xr:uid="{86A3F78A-856F-4A2E-9A5F-8E3EBA7E5044}"/>
    <cellStyle name="Border, Top" xfId="817" xr:uid="{A82FEA3F-E162-4927-AEF5-6676DFED6AD9}"/>
    <cellStyle name="Border, Top 2" xfId="5496" xr:uid="{E9C7135F-8062-4CB2-801C-8248872A60B7}"/>
    <cellStyle name="Border, Top 3" xfId="4684" xr:uid="{A8598BAF-D141-4ADA-9838-DF0DED70C5F0}"/>
    <cellStyle name="BritPound" xfId="818" xr:uid="{F950D170-E208-4B42-B938-4DDD48C4378D}"/>
    <cellStyle name="Bullet" xfId="819" xr:uid="{1F3F81DC-089F-47E3-809A-83F39C1C8EC3}"/>
    <cellStyle name="Calc Currency (0)" xfId="820" xr:uid="{F850A35E-11A4-45F3-A651-21B7C0DC3C37}"/>
    <cellStyle name="Calc Currency (2)" xfId="821" xr:uid="{CB1B81DA-68B6-4FB7-A422-647A5206E5B2}"/>
    <cellStyle name="Calc Percent (0)" xfId="822" xr:uid="{59EB49F8-F33D-4074-AD72-8CB7E2DD186F}"/>
    <cellStyle name="Calc Percent (1)" xfId="823" xr:uid="{6B6B3ADB-4106-4F8B-88EC-8686129DA671}"/>
    <cellStyle name="Calc Percent (2)" xfId="824" xr:uid="{D101B0FF-484E-4FE7-8BA5-561077013BC4}"/>
    <cellStyle name="Calc Units (0)" xfId="825" xr:uid="{DE915928-2A82-45D6-8472-4664642EBF13}"/>
    <cellStyle name="Calc Units (1)" xfId="826" xr:uid="{50D900FF-C660-4A55-8F23-A96F422A8F8F}"/>
    <cellStyle name="Calc Units (2)" xfId="827" xr:uid="{684FA0A7-6E9A-432C-971D-B10F43BC6059}"/>
    <cellStyle name="Calcul" xfId="828" xr:uid="{BAFE56F2-CAA1-4BCA-8703-8133CF63EC51}"/>
    <cellStyle name="Calcul 2" xfId="5497" xr:uid="{F5DFC886-890B-45EA-BA58-1059AA435EBB}"/>
    <cellStyle name="Calculation" xfId="4617" builtinId="22" customBuiltin="1"/>
    <cellStyle name="Calculation 2" xfId="43" xr:uid="{E24E84B9-33ED-4891-B683-0AD5E8C38ED3}"/>
    <cellStyle name="Calculation 2 10" xfId="4576" xr:uid="{C1BA1F51-4D28-4C87-ACC0-4759AA9FD30C}"/>
    <cellStyle name="Calculation 2 10 2" xfId="5441" xr:uid="{6A045B16-872C-4775-AC74-6D38ED3455C5}"/>
    <cellStyle name="Calculation 2 11" xfId="5468" xr:uid="{5656B4FC-9A49-4872-8DA5-029F90407A34}"/>
    <cellStyle name="Calculation 2 2" xfId="71" xr:uid="{B73B869B-6CC7-43BE-A177-E1DBCEB4EEA0}"/>
    <cellStyle name="Calculation 2 2 2" xfId="88" xr:uid="{0BEAD4F1-E918-4B25-A776-783E52C9011D}"/>
    <cellStyle name="Calculation 2 2 2 2" xfId="4597" xr:uid="{776162A6-666F-4853-805A-731A05F6A7BB}"/>
    <cellStyle name="Calculation 2 2 2 2 2" xfId="5460" xr:uid="{B39290E9-0003-476B-8AD3-49242935C47E}"/>
    <cellStyle name="Calculation 2 2 2 3" xfId="5486" xr:uid="{7D0FA09B-DBE7-4B55-A034-0DE166983626}"/>
    <cellStyle name="Calculation 2 2 3" xfId="4583" xr:uid="{413C6FB2-A981-4141-B4C2-4A81EF9F7F65}"/>
    <cellStyle name="Calculation 2 2 3 2" xfId="5448" xr:uid="{765382DC-586D-4981-BB01-1A1552533A0E}"/>
    <cellStyle name="Calculation 2 2 4" xfId="5474" xr:uid="{AC4972DE-049F-4638-BAC9-0CF44B2AA0E7}"/>
    <cellStyle name="Calculation 2 3" xfId="82" xr:uid="{BDEA3234-B8B6-4D69-B2C8-AFAC6F4ACB55}"/>
    <cellStyle name="Calculation 2 3 2" xfId="4591" xr:uid="{39A77A64-B252-47BD-95D6-E9107DB03BA0}"/>
    <cellStyle name="Calculation 2 3 2 2" xfId="5454" xr:uid="{7BDFF851-D505-4519-B7C5-F49CA1FC91EC}"/>
    <cellStyle name="Calculation 2 3 3" xfId="5480" xr:uid="{C57ECF9A-4C52-4EC6-8C75-8E278252D964}"/>
    <cellStyle name="Calculation 2 4" xfId="829" xr:uid="{8A5E01CA-794D-4BF9-882E-0225DBACAA0D}"/>
    <cellStyle name="Calculation 2 5" xfId="830" xr:uid="{3CC428DF-1A22-4E89-8A15-EB880E4B40F5}"/>
    <cellStyle name="Calculation 2 6" xfId="831" xr:uid="{F89ABEAB-FB23-4757-A3B7-5DD166C4E106}"/>
    <cellStyle name="Calculation 2 7" xfId="832" xr:uid="{AD553956-A717-430E-A7CB-A69C5FCA7F7D}"/>
    <cellStyle name="Calculation 2 8" xfId="833" xr:uid="{4F15B36D-EDA1-4D25-AE8E-0C3DBD158A1E}"/>
    <cellStyle name="Calculation 2 9" xfId="834" xr:uid="{DE10D49D-DD5E-4580-9860-2783DA35DCF6}"/>
    <cellStyle name="Calculation 3" xfId="835" xr:uid="{9789A696-D6AC-4563-A7C8-635732CEE4F1}"/>
    <cellStyle name="Case" xfId="836" xr:uid="{B24EB7D0-35D7-4360-8C54-636D14B428E1}"/>
    <cellStyle name="Cellule liée" xfId="837" xr:uid="{25237913-916B-44F6-8D02-AE58A3294BD2}"/>
    <cellStyle name="Check" xfId="838" xr:uid="{FC20D9BB-2C9C-41C9-A91F-0282640168FB}"/>
    <cellStyle name="Check Cell" xfId="4619" builtinId="23" customBuiltin="1"/>
    <cellStyle name="Check Cell 2" xfId="44" xr:uid="{EFF7A6AE-7CBF-42DA-B670-1C4D03FDAFE0}"/>
    <cellStyle name="Check Cell 2 2" xfId="839" xr:uid="{DF24A29A-6AE5-4CD8-BC02-4922A7C6732E}"/>
    <cellStyle name="Check Cell 2 3" xfId="840" xr:uid="{9FF2D8A0-4F17-46A8-8EF7-ADB915364D8C}"/>
    <cellStyle name="Check Cell 2 4" xfId="841" xr:uid="{0EE84BB7-86B0-48A1-B976-27DCE34EA1C9}"/>
    <cellStyle name="Check Cell 2 5" xfId="842" xr:uid="{C9AF611A-C9D5-403A-9364-82D36FF0BE7B}"/>
    <cellStyle name="Check Cell 2 6" xfId="843" xr:uid="{98456F87-530B-41AA-B395-443527503B43}"/>
    <cellStyle name="Check Cell 2 7" xfId="844" xr:uid="{D5C91B3C-72E9-49E1-8ECE-50391EF93B8B}"/>
    <cellStyle name="Check Cell 2 8" xfId="845" xr:uid="{1F384DCE-B4DB-43FB-B510-03B52D9395E6}"/>
    <cellStyle name="Check Cell 2 9" xfId="846" xr:uid="{326D7C02-FE23-40C0-9704-18B67113571B}"/>
    <cellStyle name="Check Cell 3" xfId="847" xr:uid="{A0C66003-ED2A-4C3F-B826-ADA254B3BCFB}"/>
    <cellStyle name="Chiffre" xfId="848" xr:uid="{C18FDEC1-32F5-48CB-AF9B-DEAEF3CB65C2}"/>
    <cellStyle name="Colhead_left" xfId="849" xr:uid="{E65F847B-BAF3-4191-B891-B0A04A9EF261}"/>
    <cellStyle name="ColHeading" xfId="850" xr:uid="{4E4F62CA-D1D2-49C4-9104-198769280AC1}"/>
    <cellStyle name="Column Title" xfId="851" xr:uid="{1B80D441-6CF4-43B1-AC41-F3947F054890}"/>
    <cellStyle name="ColumnHeadings" xfId="852" xr:uid="{30DFCE96-91B9-4D06-A8AF-80F35D78324F}"/>
    <cellStyle name="ColumnHeadings2" xfId="853" xr:uid="{6B6F270F-EB11-4D85-A3A8-3C34B46E0B34}"/>
    <cellStyle name="ColumnHeadings2 2" xfId="4685" xr:uid="{7B659C8F-5CFD-44CE-993C-E083500FC947}"/>
    <cellStyle name="Comma" xfId="1" builtinId="3"/>
    <cellStyle name="Comma  - Style1" xfId="854" xr:uid="{7A17AF32-C7C2-45B7-8782-BC4E2C22109F}"/>
    <cellStyle name="Comma  - Style2" xfId="855" xr:uid="{E2A7960E-7BA1-4ACB-96DB-D7A254BCEEF2}"/>
    <cellStyle name="Comma  - Style3" xfId="856" xr:uid="{DF49297C-B065-4B45-984B-33A08BCEADA5}"/>
    <cellStyle name="Comma  - Style4" xfId="857" xr:uid="{DEEEC332-A3EA-45A3-9B2D-C8310A8A2E8C}"/>
    <cellStyle name="Comma  - Style5" xfId="858" xr:uid="{129125A0-8FB3-49BC-A1F2-7F10AD2260AA}"/>
    <cellStyle name="Comma  - Style6" xfId="859" xr:uid="{ADE99F14-5983-424C-A86A-3B7C2CAB3EFF}"/>
    <cellStyle name="Comma  - Style7" xfId="860" xr:uid="{1958C8E9-9915-49BB-B5EC-7362ACEA4983}"/>
    <cellStyle name="Comma  - Style8" xfId="861" xr:uid="{2FE602F6-AE1A-4D24-BD5B-8D8BC34CB8B1}"/>
    <cellStyle name="Comma ," xfId="862" xr:uid="{F75879A5-2047-4844-AC85-F377FA86CA98}"/>
    <cellStyle name="Comma , 2" xfId="4686" xr:uid="{18EF2060-947F-4F0E-B268-427010896F35}"/>
    <cellStyle name="Comma [00]" xfId="863" xr:uid="{844A6156-C380-4777-B7E0-9452D0BD3A87}"/>
    <cellStyle name="Comma [1]" xfId="864" xr:uid="{6E7C6EDC-A053-4DED-9CD7-6519554E37B1}"/>
    <cellStyle name="Comma [2]" xfId="865" xr:uid="{F26F4C5E-3987-41D2-9116-DFC6E5134924}"/>
    <cellStyle name="Comma [3]" xfId="866" xr:uid="{532FA6AF-6630-40E0-9956-919E85F92066}"/>
    <cellStyle name="Comma 0" xfId="867" xr:uid="{CFF78AB3-678F-413A-A302-93975DABEFED}"/>
    <cellStyle name="Comma 0*" xfId="868" xr:uid="{CA9A4584-DA18-4AEB-8D7A-33425818CB56}"/>
    <cellStyle name="Comma 10" xfId="869" xr:uid="{85A0447A-8DCD-4614-9224-1FDBDF23CF32}"/>
    <cellStyle name="Comma 10 2" xfId="870" xr:uid="{75346A8D-9853-438E-8D3E-9741031FAB25}"/>
    <cellStyle name="Comma 10 2 2" xfId="4688" xr:uid="{D5312842-7BD9-41FA-9FF1-0580D9522E74}"/>
    <cellStyle name="Comma 10 3" xfId="871" xr:uid="{04939816-E4A4-4733-88FE-7AE480D041CD}"/>
    <cellStyle name="Comma 10 3 2" xfId="4689" xr:uid="{2E148D5B-FC1F-45D3-A01A-F5D59BB88E74}"/>
    <cellStyle name="Comma 10 4" xfId="872" xr:uid="{62310DA7-F8B2-45F5-8FAB-D8BCAF2572B5}"/>
    <cellStyle name="Comma 10 4 2" xfId="4690" xr:uid="{EA45E0F7-FE5A-4AF5-946E-81286E341061}"/>
    <cellStyle name="Comma 10 5" xfId="873" xr:uid="{6F042064-17D8-4349-9391-C82FDD5BF7C9}"/>
    <cellStyle name="Comma 10 5 2" xfId="4691" xr:uid="{A59E07B3-5B36-4840-BD1F-BDBEBB242A35}"/>
    <cellStyle name="Comma 10 6" xfId="4687" xr:uid="{9D2B1904-771C-441C-93C3-1A207AC012AB}"/>
    <cellStyle name="Comma 11" xfId="874" xr:uid="{0272E95B-9C1E-4230-AE2C-A543C98B307B}"/>
    <cellStyle name="Comma 11 2" xfId="4692" xr:uid="{34705000-5C59-494B-94D5-E426A2F9BC5E}"/>
    <cellStyle name="Comma 12" xfId="875" xr:uid="{7E525758-3172-4773-9A6E-5D82B83AE42A}"/>
    <cellStyle name="Comma 12 2" xfId="4693" xr:uid="{47B669B1-60FD-42A3-8685-C338BE15B661}"/>
    <cellStyle name="Comma 13" xfId="98" xr:uid="{2AB6CFCC-7408-45BC-90F1-2ED2FCB87796}"/>
    <cellStyle name="Comma 13 2" xfId="4671" xr:uid="{E922D08E-8C8C-42F4-B289-6DD3C342F707}"/>
    <cellStyle name="Comma 14" xfId="4555" xr:uid="{DCEFCAB0-44EB-495C-85CF-FA1A74011A8A}"/>
    <cellStyle name="Comma 14 2" xfId="5429" xr:uid="{94BD718A-71A1-46BE-959D-426BA3082C47}"/>
    <cellStyle name="Comma 15" xfId="4560" xr:uid="{01DE9760-73F0-4F96-82A1-80BBD95D959C}"/>
    <cellStyle name="Comma 15 2" xfId="5430" xr:uid="{57DC3FC0-E8D1-46F5-8C8E-92CD9A096918}"/>
    <cellStyle name="Comma 16" xfId="4562" xr:uid="{18958A87-412B-4177-868E-337C963A32E7}"/>
    <cellStyle name="Comma 16 2" xfId="5432" xr:uid="{A8CC13D0-2509-4776-9699-571628A2C83E}"/>
    <cellStyle name="Comma 17" xfId="4561" xr:uid="{42509738-72EC-4FD2-BC7E-884CD5AFBC74}"/>
    <cellStyle name="Comma 17 2" xfId="5431" xr:uid="{F9DC2F3D-8FCB-4DE3-BFA6-20235571CEA7}"/>
    <cellStyle name="Comma 18" xfId="4653" xr:uid="{8E7ABFF1-39DB-45B2-B97D-278E28447942}"/>
    <cellStyle name="Comma 19" xfId="4655" xr:uid="{BAD23CFE-8C4A-42B2-98C9-0EAD301A02E3}"/>
    <cellStyle name="Comma 2" xfId="4" xr:uid="{4B6498B4-4939-4F4A-98D0-DF2FED6E9C19}"/>
    <cellStyle name="Comma 2 10" xfId="876" xr:uid="{ECBC141D-7D97-4572-BA24-5060DBA503E1}"/>
    <cellStyle name="Comma 2 10 2" xfId="4694" xr:uid="{65F4B49F-A84B-4AD2-94AB-701BB26D1361}"/>
    <cellStyle name="Comma 2 11" xfId="877" xr:uid="{0DA2E158-E8BF-48E3-B027-5980B468B755}"/>
    <cellStyle name="Comma 2 11 2" xfId="878" xr:uid="{D4E4CE6C-8ABE-4F7E-8AFD-FC0A4A6991CC}"/>
    <cellStyle name="Comma 2 11 2 2" xfId="879" xr:uid="{4EC03710-ECB2-436D-9FCB-2DD607EC2DED}"/>
    <cellStyle name="Comma 2 11 2 2 2" xfId="4697" xr:uid="{58F94D20-11CB-451E-8AF5-980C531BCFF0}"/>
    <cellStyle name="Comma 2 11 2 3" xfId="4696" xr:uid="{EE138C54-AC71-4510-95CD-F3743345C867}"/>
    <cellStyle name="Comma 2 11 3" xfId="880" xr:uid="{00CFDDBC-B291-4635-9544-5C774FE9B95A}"/>
    <cellStyle name="Comma 2 11 3 2" xfId="4698" xr:uid="{BC653B10-1825-4322-9268-D6FE164E0CF3}"/>
    <cellStyle name="Comma 2 11 4" xfId="4695" xr:uid="{E032127A-903C-4E7A-8275-E314EB15BC78}"/>
    <cellStyle name="Comma 2 12" xfId="881" xr:uid="{1FB3C7A5-581A-41A3-B95B-92F71C82F59E}"/>
    <cellStyle name="Comma 2 12 2" xfId="882" xr:uid="{F17E91A1-12B0-415F-9BF1-9DE3EC2F46F0}"/>
    <cellStyle name="Comma 2 12 2 2" xfId="4700" xr:uid="{64898AD3-2C81-4D1A-99D3-D6C570831E83}"/>
    <cellStyle name="Comma 2 12 3" xfId="4699" xr:uid="{F2817533-BAD4-4F2C-A572-5FEDD78FC706}"/>
    <cellStyle name="Comma 2 13" xfId="883" xr:uid="{8099079D-3EB5-4623-A665-37006E3E47FE}"/>
    <cellStyle name="Comma 2 13 2" xfId="4701" xr:uid="{7B624CBA-1591-4939-81FD-6E16E962034F}"/>
    <cellStyle name="Comma 2 14" xfId="884" xr:uid="{4D3C2411-A65B-4E02-B359-A7005D2462C1}"/>
    <cellStyle name="Comma 2 14 2" xfId="4702" xr:uid="{2919F866-F86E-45D9-B886-D09275096520}"/>
    <cellStyle name="Comma 2 15" xfId="885" xr:uid="{26E16E16-8D6B-4032-A797-AAF3D7D29EA9}"/>
    <cellStyle name="Comma 2 15 2" xfId="4703" xr:uid="{93EE231C-60AF-4738-AF3A-1B871BB3643A}"/>
    <cellStyle name="Comma 2 16" xfId="886" xr:uid="{E08ADE78-9A97-457E-9B31-9D35676D048C}"/>
    <cellStyle name="Comma 2 16 2" xfId="4704" xr:uid="{19848A42-FEC7-44F5-9436-0D5B5F551E24}"/>
    <cellStyle name="Comma 2 17" xfId="887" xr:uid="{9EEF0AF8-7E05-42EA-9E5A-7542E91CAEA1}"/>
    <cellStyle name="Comma 2 17 2" xfId="4705" xr:uid="{5C0A6CC0-C9DB-466A-B876-5EF3E89957D2}"/>
    <cellStyle name="Comma 2 18" xfId="888" xr:uid="{F023559A-223F-4A40-924E-833E7A03DB29}"/>
    <cellStyle name="Comma 2 18 2" xfId="4706" xr:uid="{154889DC-0CE3-44FC-A10A-D79645F044E0}"/>
    <cellStyle name="Comma 2 19" xfId="889" xr:uid="{72B13C9B-3454-4990-99CA-5AAB5047C363}"/>
    <cellStyle name="Comma 2 19 2" xfId="4707" xr:uid="{8CA6A2DA-DBBC-4824-9516-03EAE4E9F67B}"/>
    <cellStyle name="Comma 2 2" xfId="10" xr:uid="{FB6B5636-FB5A-4DC1-B7A0-8B1B9397D8D6}"/>
    <cellStyle name="Comma 2 2 10" xfId="890" xr:uid="{23FAFA2D-6EF1-4983-B53D-18950A703164}"/>
    <cellStyle name="Comma 2 2 10 2" xfId="4708" xr:uid="{146F8C82-330C-42C0-AF32-18D04C070F1A}"/>
    <cellStyle name="Comma 2 2 11" xfId="891" xr:uid="{5199FDA9-54EC-42E3-ABEE-25838586C6EE}"/>
    <cellStyle name="Comma 2 2 11 2" xfId="4709" xr:uid="{ECE7419F-6E0E-44FD-85B2-FBFF10886FFD}"/>
    <cellStyle name="Comma 2 2 12" xfId="4659" xr:uid="{0E11639E-D4EC-4AD6-8CBE-5E12B8A30A32}"/>
    <cellStyle name="Comma 2 2 2" xfId="892" xr:uid="{1B6A6659-5BB3-4AC6-964C-51A44E926B36}"/>
    <cellStyle name="Comma 2 2 2 2" xfId="893" xr:uid="{429FCE40-8285-4DCB-A442-F243C3CBAD67}"/>
    <cellStyle name="Comma 2 2 2 2 2" xfId="4711" xr:uid="{0B42F2D5-A6B9-4AC1-9072-D33665DC957E}"/>
    <cellStyle name="Comma 2 2 2 3" xfId="4710" xr:uid="{8A0D42D3-6655-4609-9D24-77AC5C36CE9B}"/>
    <cellStyle name="Comma 2 2 3" xfId="894" xr:uid="{3439138E-D5C7-4DCD-B4ED-952D72554909}"/>
    <cellStyle name="Comma 2 2 3 2" xfId="4712" xr:uid="{1E44731B-2660-451E-81FC-25F38A76024C}"/>
    <cellStyle name="Comma 2 2 4" xfId="895" xr:uid="{F918287E-F376-4442-ABCC-16E9AE6F7F14}"/>
    <cellStyle name="Comma 2 2 5" xfId="896" xr:uid="{F6051B6E-B78C-4FF3-9595-0386B2DF0D52}"/>
    <cellStyle name="Comma 2 2 6" xfId="897" xr:uid="{ECF920C7-0189-41D2-8BFE-5A4179593CE2}"/>
    <cellStyle name="Comma 2 2 7" xfId="898" xr:uid="{3E729EE7-A53F-4790-8677-695CC8206C2F}"/>
    <cellStyle name="Comma 2 2 8" xfId="899" xr:uid="{35554DB0-A1BD-45A6-AB20-A9FAAE2F1CCE}"/>
    <cellStyle name="Comma 2 2 8 2" xfId="4713" xr:uid="{3B22DADB-B87A-47A4-A9C9-496C310151C7}"/>
    <cellStyle name="Comma 2 2 9" xfId="900" xr:uid="{EEFF9DA4-2F28-492A-AE2C-B54D9CE25C41}"/>
    <cellStyle name="Comma 2 2 9 2" xfId="4714" xr:uid="{87503969-DBBA-413C-83F8-244BF9D8A521}"/>
    <cellStyle name="Comma 2 20" xfId="9" xr:uid="{084DB556-853B-4FAF-92B7-F9525FCE380D}"/>
    <cellStyle name="Comma 2 20 2" xfId="4658" xr:uid="{0B3D903A-03CA-4CF8-A1D0-E5B2EBEFC7A4}"/>
    <cellStyle name="Comma 2 21" xfId="4656" xr:uid="{09F8A21D-3236-484F-9E6C-949AB40F7663}"/>
    <cellStyle name="Comma 2 3" xfId="5" xr:uid="{72B8D713-4C1E-471D-B735-3A2667BE7E0E}"/>
    <cellStyle name="Comma 2 3 10" xfId="4657" xr:uid="{72B87F2F-5C09-47EF-9F73-62F0394084F9}"/>
    <cellStyle name="Comma 2 3 2" xfId="901" xr:uid="{3DFF6D49-DC1B-44D0-B3CF-C0F6D790D825}"/>
    <cellStyle name="Comma 2 3 3" xfId="902" xr:uid="{1DA746EE-B7C4-4432-AC34-86ACF0BF8832}"/>
    <cellStyle name="Comma 2 3 4" xfId="903" xr:uid="{453DAAAC-C478-4533-B72A-926B01594064}"/>
    <cellStyle name="Comma 2 3 5" xfId="904" xr:uid="{C841ACE9-368B-4D21-815C-78F04FA7B94C}"/>
    <cellStyle name="Comma 2 3 6" xfId="905" xr:uid="{106BE542-B0EA-41AE-B513-AB9A7CB506C6}"/>
    <cellStyle name="Comma 2 3 6 2" xfId="4715" xr:uid="{EE276A52-E7BC-410D-BA0B-BA29EC16EAEC}"/>
    <cellStyle name="Comma 2 3 7" xfId="906" xr:uid="{106C02A9-9B08-4A23-B7F8-EFDA9ED00D6F}"/>
    <cellStyle name="Comma 2 3 7 2" xfId="4716" xr:uid="{0E9AD8B5-1F64-49FE-BE73-7C6358CE42BF}"/>
    <cellStyle name="Comma 2 3 8" xfId="907" xr:uid="{B424710D-62F8-4080-BE4A-8F6FA51643DE}"/>
    <cellStyle name="Comma 2 3 8 2" xfId="4717" xr:uid="{5BC3160C-5723-4BC3-97FE-029DFF08AFA7}"/>
    <cellStyle name="Comma 2 3 9" xfId="46" xr:uid="{5AE69A69-E382-42A6-8CB3-D1B701DA21A8}"/>
    <cellStyle name="Comma 2 3 9 2" xfId="4663" xr:uid="{A79F580B-EE89-4719-AD2A-21A4A001F464}"/>
    <cellStyle name="Comma 2 4" xfId="908" xr:uid="{AC18A5F1-843B-4791-BD2A-FDB023CBD80B}"/>
    <cellStyle name="Comma 2 4 2" xfId="909" xr:uid="{193B7716-BF8F-4647-8D26-C55F2F8D6330}"/>
    <cellStyle name="Comma 2 4 2 2" xfId="4719" xr:uid="{1C8FA466-0142-450C-B13D-1D67C2C201BD}"/>
    <cellStyle name="Comma 2 4 3" xfId="910" xr:uid="{9D9FDD4C-659B-4020-A4EB-66B938B81DA3}"/>
    <cellStyle name="Comma 2 4 3 2" xfId="4720" xr:uid="{30C85663-A5F7-4FFF-8AD5-E612507E0FC0}"/>
    <cellStyle name="Comma 2 4 4" xfId="4718" xr:uid="{3B0FF214-BE4D-497B-9361-F1C0E2FA2CBD}"/>
    <cellStyle name="Comma 2 5" xfId="911" xr:uid="{0701449E-653C-4CE1-82B7-EB2127EDBA79}"/>
    <cellStyle name="Comma 2 5 2" xfId="912" xr:uid="{BE6F1ADC-9A37-4864-B747-257A14BC6499}"/>
    <cellStyle name="Comma 2 5 2 2" xfId="913" xr:uid="{574BD4DA-10B5-41B5-98E3-858A6BB61E1E}"/>
    <cellStyle name="Comma 2 5 2 2 2" xfId="914" xr:uid="{B6EFF29B-B6A7-4FAC-BCD6-74535EA76FE4}"/>
    <cellStyle name="Comma 2 5 2 2 2 2" xfId="915" xr:uid="{55909285-317C-41B0-B89A-E2D9C5504781}"/>
    <cellStyle name="Comma 2 5 2 2 2 2 2" xfId="4725" xr:uid="{9508DC76-6189-4165-AA60-FE5A2C0A9793}"/>
    <cellStyle name="Comma 2 5 2 2 2 3" xfId="4724" xr:uid="{5DF54751-0EFD-4D66-A75F-4AFC4135CEE6}"/>
    <cellStyle name="Comma 2 5 2 2 3" xfId="916" xr:uid="{5E4C9194-8004-49C2-9825-0CFA9B5C6398}"/>
    <cellStyle name="Comma 2 5 2 2 3 2" xfId="4726" xr:uid="{D467C2D1-97A2-4F83-8664-DAACD2CB7005}"/>
    <cellStyle name="Comma 2 5 2 2 4" xfId="4723" xr:uid="{F6F456CC-B897-4994-BDD5-AB7E7D5AEEDA}"/>
    <cellStyle name="Comma 2 5 2 3" xfId="917" xr:uid="{195CB0C1-90EF-4CC0-A69B-1F135ABE4687}"/>
    <cellStyle name="Comma 2 5 2 3 2" xfId="918" xr:uid="{E725A080-7350-4065-AAA9-630DC3FF59C1}"/>
    <cellStyle name="Comma 2 5 2 3 2 2" xfId="4728" xr:uid="{639A1A6C-B6DC-4C82-B8AE-C4D1ECCB9743}"/>
    <cellStyle name="Comma 2 5 2 3 3" xfId="4727" xr:uid="{A650EC61-04F8-4B42-947F-9D61EB6991F5}"/>
    <cellStyle name="Comma 2 5 2 4" xfId="919" xr:uid="{F3DBD7A9-2E5F-4359-B0D5-C9B6E28D5B15}"/>
    <cellStyle name="Comma 2 5 2 4 2" xfId="4729" xr:uid="{81C02925-C695-42B8-96C7-AD51FFEF8A5E}"/>
    <cellStyle name="Comma 2 5 2 5" xfId="4722" xr:uid="{578F88DC-9817-4AC2-A5FA-E06150DDD7E9}"/>
    <cellStyle name="Comma 2 5 3" xfId="920" xr:uid="{F734620E-81A3-4DFD-8303-DB37B4338874}"/>
    <cellStyle name="Comma 2 5 3 2" xfId="921" xr:uid="{86CBC56B-A6D7-4FE4-B081-FCB33B7482C0}"/>
    <cellStyle name="Comma 2 5 3 2 2" xfId="922" xr:uid="{4B7F609E-5CE0-46CC-959D-8F8F366367FF}"/>
    <cellStyle name="Comma 2 5 3 2 2 2" xfId="923" xr:uid="{CC0828D4-3C9F-41A9-A47D-C7859002E57F}"/>
    <cellStyle name="Comma 2 5 3 2 2 2 2" xfId="4733" xr:uid="{7B58FE38-CA83-44F9-84B8-14167300CA32}"/>
    <cellStyle name="Comma 2 5 3 2 2 3" xfId="4732" xr:uid="{1CA10DF8-FA46-497B-9CA9-CE07FEEBBBE6}"/>
    <cellStyle name="Comma 2 5 3 2 3" xfId="924" xr:uid="{9E5AD203-AA56-4811-AA81-3AB214D4A150}"/>
    <cellStyle name="Comma 2 5 3 2 3 2" xfId="4734" xr:uid="{B545A368-4E95-4942-8B6E-6CDF240617E7}"/>
    <cellStyle name="Comma 2 5 3 2 4" xfId="4731" xr:uid="{0506A5D9-D086-4FF5-BACC-251AC6EAFB49}"/>
    <cellStyle name="Comma 2 5 3 3" xfId="925" xr:uid="{5B373419-9A0B-4116-AD4D-2AEBC79B80E2}"/>
    <cellStyle name="Comma 2 5 3 3 2" xfId="926" xr:uid="{5496A884-94CF-4BF9-A018-6B30A6532470}"/>
    <cellStyle name="Comma 2 5 3 3 2 2" xfId="4736" xr:uid="{123F52DB-FF11-45F9-9C1F-388B9D6F0BE1}"/>
    <cellStyle name="Comma 2 5 3 3 3" xfId="4735" xr:uid="{7F901BD0-18BA-419E-B26F-D17D933F574A}"/>
    <cellStyle name="Comma 2 5 3 4" xfId="927" xr:uid="{684E00E7-61B9-4DC5-A3B9-B3A6F572D5F6}"/>
    <cellStyle name="Comma 2 5 3 4 2" xfId="4737" xr:uid="{1057DA26-1C19-48BF-B128-83961CFAE244}"/>
    <cellStyle name="Comma 2 5 3 5" xfId="4730" xr:uid="{F0125B5E-6AA3-4488-914C-C07BC6EF3089}"/>
    <cellStyle name="Comma 2 5 4" xfId="928" xr:uid="{1B619FE7-BC9C-4001-90E8-F9D3F1E547A4}"/>
    <cellStyle name="Comma 2 5 4 2" xfId="929" xr:uid="{8B4DE2CD-4409-4572-904D-A008976EF717}"/>
    <cellStyle name="Comma 2 5 4 2 2" xfId="930" xr:uid="{6C73003A-589E-4375-AEF5-9C5658B130AB}"/>
    <cellStyle name="Comma 2 5 4 2 2 2" xfId="4740" xr:uid="{BB1C629E-7FF4-4AAF-B102-E28162DB290F}"/>
    <cellStyle name="Comma 2 5 4 2 3" xfId="4739" xr:uid="{1BD7FC29-D2A2-40E6-A7A1-6F64152E5951}"/>
    <cellStyle name="Comma 2 5 4 3" xfId="931" xr:uid="{B4F40504-6727-4010-8AAE-51FD7F0D391D}"/>
    <cellStyle name="Comma 2 5 4 3 2" xfId="4741" xr:uid="{DBD4A184-CBC5-41D8-9466-EB2627F242E1}"/>
    <cellStyle name="Comma 2 5 4 4" xfId="4738" xr:uid="{E8743585-BE12-4771-A8AA-76356B1C9BF1}"/>
    <cellStyle name="Comma 2 5 5" xfId="932" xr:uid="{6C6F8E47-286A-4593-80A6-319B283FB200}"/>
    <cellStyle name="Comma 2 5 5 2" xfId="933" xr:uid="{8F62A030-C2EF-46DC-8F76-76DA21427B29}"/>
    <cellStyle name="Comma 2 5 5 2 2" xfId="4743" xr:uid="{58319DBA-8175-48D7-A573-3B436EA3C63C}"/>
    <cellStyle name="Comma 2 5 5 3" xfId="4742" xr:uid="{26004874-78F1-4B0B-9769-BBD89766EBEF}"/>
    <cellStyle name="Comma 2 5 6" xfId="934" xr:uid="{056CC9ED-6062-4390-88D2-BE7D4E1B4791}"/>
    <cellStyle name="Comma 2 5 6 2" xfId="4744" xr:uid="{FEBF7C17-E362-4A21-B0A9-0CC9EB82E717}"/>
    <cellStyle name="Comma 2 5 7" xfId="4721" xr:uid="{A4EFDC06-D78F-4C70-8FE8-BD254EC8BA38}"/>
    <cellStyle name="Comma 2 6" xfId="935" xr:uid="{5F8AC86A-1EF3-416F-875C-CF98C30A23D2}"/>
    <cellStyle name="Comma 2 6 2" xfId="936" xr:uid="{DFAE818C-B971-4618-BDAC-4555ED2809D7}"/>
    <cellStyle name="Comma 2 6 2 2" xfId="937" xr:uid="{FE308103-1DC6-4E5C-930C-43C7D1690CD2}"/>
    <cellStyle name="Comma 2 6 2 2 2" xfId="938" xr:uid="{F2E0EA6A-C9BC-4245-8C57-A4F7FD7EEBAB}"/>
    <cellStyle name="Comma 2 6 2 2 2 2" xfId="4748" xr:uid="{9F7FB0F9-F154-405F-B11C-CBFFB2342674}"/>
    <cellStyle name="Comma 2 6 2 2 3" xfId="4747" xr:uid="{30345C91-71ED-447A-979F-5DA28D384CF0}"/>
    <cellStyle name="Comma 2 6 2 3" xfId="939" xr:uid="{CDF2BE55-DCEA-4595-BBF8-1EFCDABF4304}"/>
    <cellStyle name="Comma 2 6 2 3 2" xfId="4749" xr:uid="{FF2CB8C3-7769-435E-B1E3-ACC33C8EE666}"/>
    <cellStyle name="Comma 2 6 2 4" xfId="4746" xr:uid="{D939A9EC-F365-4C81-9061-2EF960B221BD}"/>
    <cellStyle name="Comma 2 6 3" xfId="940" xr:uid="{84DE7136-4567-44C2-9B6D-8A1ACF5B2042}"/>
    <cellStyle name="Comma 2 6 3 2" xfId="941" xr:uid="{C4343538-080B-464C-A5F4-820DFB95C180}"/>
    <cellStyle name="Comma 2 6 3 2 2" xfId="4751" xr:uid="{010452AD-95A7-428C-8043-DCFFD24CB4D3}"/>
    <cellStyle name="Comma 2 6 3 3" xfId="4750" xr:uid="{C052FC40-E2D9-427C-A12D-81E41546BA1E}"/>
    <cellStyle name="Comma 2 6 4" xfId="942" xr:uid="{294C9F06-0A6B-4CF9-89FF-5F266B16475B}"/>
    <cellStyle name="Comma 2 6 4 2" xfId="4752" xr:uid="{99413FCB-737F-496B-BF58-A16E3F48DD8A}"/>
    <cellStyle name="Comma 2 6 5" xfId="4745" xr:uid="{3C61EA58-3C3D-4B3C-95EB-0520A5D04E0B}"/>
    <cellStyle name="Comma 2 7" xfId="943" xr:uid="{21D1BE6B-AB34-4CB1-8254-975F46E50C64}"/>
    <cellStyle name="Comma 2 7 2" xfId="944" xr:uid="{1819C8B9-6BA8-4791-95B0-F3FF631D3EC4}"/>
    <cellStyle name="Comma 2 7 2 2" xfId="945" xr:uid="{5692433E-94C3-4AF0-BD68-61E1F5DFDE71}"/>
    <cellStyle name="Comma 2 7 2 2 2" xfId="946" xr:uid="{77100EAE-B0E2-4A5A-B2ED-B1B12F0A271D}"/>
    <cellStyle name="Comma 2 7 2 2 2 2" xfId="4756" xr:uid="{85571264-C207-40AF-B530-A36B7A3BEB04}"/>
    <cellStyle name="Comma 2 7 2 2 3" xfId="4755" xr:uid="{442F17F2-F59A-4222-9967-6FE41038E0F8}"/>
    <cellStyle name="Comma 2 7 2 3" xfId="947" xr:uid="{5A513B91-2E8A-4D38-BA16-CE7F8179D434}"/>
    <cellStyle name="Comma 2 7 2 3 2" xfId="4757" xr:uid="{777E08C1-10F5-4AA5-A761-E3C51468FDC9}"/>
    <cellStyle name="Comma 2 7 2 4" xfId="4754" xr:uid="{849630EE-57C5-42A2-AE31-AC1946534331}"/>
    <cellStyle name="Comma 2 7 3" xfId="948" xr:uid="{A26E27CD-59C3-4D64-B9F6-D1CA8121575E}"/>
    <cellStyle name="Comma 2 7 3 2" xfId="949" xr:uid="{9ADB0D17-3DB6-4617-A2E7-584806C713A2}"/>
    <cellStyle name="Comma 2 7 3 2 2" xfId="4759" xr:uid="{197F5B2E-5F31-4CCD-8852-FEE4DD52FE14}"/>
    <cellStyle name="Comma 2 7 3 3" xfId="4758" xr:uid="{E70483FE-AF15-4321-A366-44799FA65529}"/>
    <cellStyle name="Comma 2 7 4" xfId="950" xr:uid="{0D794C6C-21F2-428D-A944-D086064D2C8B}"/>
    <cellStyle name="Comma 2 7 4 2" xfId="4760" xr:uid="{74182144-2026-4E18-82D0-1473F6E2A92D}"/>
    <cellStyle name="Comma 2 7 5" xfId="4753" xr:uid="{A1091F22-67CD-4DC3-AC0F-F9F624A4C95B}"/>
    <cellStyle name="Comma 2 8" xfId="951" xr:uid="{CD1F14DB-D6AF-4C06-B621-6B5AC895151A}"/>
    <cellStyle name="Comma 2 8 2" xfId="4761" xr:uid="{6B920F61-46EC-4C5F-BD7E-2006998B8A1F}"/>
    <cellStyle name="Comma 2 9" xfId="952" xr:uid="{43C11D1B-E137-4B1C-813F-486980E8FEB7}"/>
    <cellStyle name="Comma 2 9 2" xfId="953" xr:uid="{B0F82F10-3601-4A65-98B5-D00398BAAAE4}"/>
    <cellStyle name="Comma 2 9 2 2" xfId="954" xr:uid="{7D239DF7-CEE1-4A32-A52A-9BF08238D6B7}"/>
    <cellStyle name="Comma 2 9 2 2 2" xfId="4764" xr:uid="{90AC871A-EC6C-4EF5-89CE-9361737EFEDD}"/>
    <cellStyle name="Comma 2 9 2 3" xfId="4763" xr:uid="{6922CBAF-2495-46E8-916E-0F379F5B3AD6}"/>
    <cellStyle name="Comma 2 9 3" xfId="955" xr:uid="{D788DAB9-8FF6-4B6B-9C5F-2D88C0CD03F0}"/>
    <cellStyle name="Comma 2 9 3 2" xfId="4765" xr:uid="{BF1609ED-9D37-4571-AE19-844B3CBE6E87}"/>
    <cellStyle name="Comma 2 9 4" xfId="4762" xr:uid="{B2B6243A-B1B6-4D95-A752-682F490B8B68}"/>
    <cellStyle name="Comma 2*" xfId="956" xr:uid="{921092B2-284B-4177-87D8-B0256C300DC4}"/>
    <cellStyle name="Comma 20" xfId="5467" xr:uid="{F0EC81E1-2F10-496B-B0A9-18CC1AB9D951}"/>
    <cellStyle name="Comma 21" xfId="4654" xr:uid="{93D4043F-5F82-49C4-98B4-6EA6FCF6C72A}"/>
    <cellStyle name="Comma 3" xfId="11" xr:uid="{32B0BA37-77A7-422D-B6EF-99B5F1D45809}"/>
    <cellStyle name="Comma 3 10" xfId="4660" xr:uid="{EDA3347F-58FB-428C-AED6-D5BB61CC37F1}"/>
    <cellStyle name="Comma 3 2" xfId="47" xr:uid="{3A3DACC3-A6B1-49E5-BDAB-BDFE475AA562}"/>
    <cellStyle name="Comma 3 2 2" xfId="957" xr:uid="{F06A520C-AECE-41F1-A1A3-86C0BFBDD901}"/>
    <cellStyle name="Comma 3 2 2 2" xfId="4766" xr:uid="{E105D679-3A98-46C6-B9C5-CE6C0026C2A0}"/>
    <cellStyle name="Comma 3 2 3" xfId="4664" xr:uid="{F29C4459-A2D1-4508-B556-5F174D6B193F}"/>
    <cellStyle name="Comma 3 3" xfId="958" xr:uid="{A9093E25-7496-4D11-878E-992ACACADFCD}"/>
    <cellStyle name="Comma 3 3 2" xfId="959" xr:uid="{6B5DE82E-BA54-485B-AC1A-8E02C07E2A60}"/>
    <cellStyle name="Comma 3 3 2 2" xfId="960" xr:uid="{F893B241-0158-4D12-A23D-F22A4D48E70C}"/>
    <cellStyle name="Comma 3 3 2 2 2" xfId="4769" xr:uid="{D32DDA30-1FDB-4128-8886-7B31DCCE288C}"/>
    <cellStyle name="Comma 3 3 2 3" xfId="4768" xr:uid="{24687D58-E54F-4D83-A776-099170AF9D8C}"/>
    <cellStyle name="Comma 3 3 3" xfId="961" xr:uid="{69CD6741-0D77-4FE0-B1BF-C754C10ABD3C}"/>
    <cellStyle name="Comma 3 3 3 2" xfId="4770" xr:uid="{FC935A26-D3F9-4696-86E6-B06AFBAC1E86}"/>
    <cellStyle name="Comma 3 3 4" xfId="962" xr:uid="{7706B1AE-48F2-496D-B015-B1DFCCF03ABB}"/>
    <cellStyle name="Comma 3 3 4 2" xfId="4771" xr:uid="{1E622132-6189-4603-AD4A-282A9BF9D301}"/>
    <cellStyle name="Comma 3 3 5" xfId="4767" xr:uid="{972624FF-2E4C-4FA1-88E4-A863CB2908B8}"/>
    <cellStyle name="Comma 3 4" xfId="963" xr:uid="{D80D5DE5-A7E6-40FA-BA28-6589E03BC504}"/>
    <cellStyle name="Comma 3 4 2" xfId="964" xr:uid="{1F2B56A8-E5E7-4096-8AD3-D9BEFF6C9EE4}"/>
    <cellStyle name="Comma 3 4 2 2" xfId="4773" xr:uid="{C4F4D4A6-F3C0-4503-95D3-82BCE89F2C9F}"/>
    <cellStyle name="Comma 3 4 3" xfId="965" xr:uid="{457CF3D6-35FA-498A-8754-424DE4AC2DC3}"/>
    <cellStyle name="Comma 3 4 3 2" xfId="4774" xr:uid="{2C3E0650-17E5-432C-89C0-0C67EAF9C722}"/>
    <cellStyle name="Comma 3 4 4" xfId="4772" xr:uid="{0BA21BCB-6B03-4C4A-8A86-93537CC4801C}"/>
    <cellStyle name="Comma 3 5" xfId="966" xr:uid="{89006FA2-A4FE-41A5-B748-2B204E317809}"/>
    <cellStyle name="Comma 3 5 2" xfId="4775" xr:uid="{C14280DD-3894-4C0E-9EFB-6CCA1072FE70}"/>
    <cellStyle name="Comma 3 6" xfId="967" xr:uid="{086EFAE0-0E20-47C1-9744-CA32371B10C5}"/>
    <cellStyle name="Comma 3 6 2" xfId="4776" xr:uid="{7307F840-ABE6-41FE-A775-CE59565DAA8F}"/>
    <cellStyle name="Comma 3 7" xfId="968" xr:uid="{80CE6A97-2695-4F1B-9A4B-101A597AC7A8}"/>
    <cellStyle name="Comma 3 7 2" xfId="4777" xr:uid="{5071231D-D040-4EB4-9AC7-FBE037EB87B0}"/>
    <cellStyle name="Comma 3 8" xfId="969" xr:uid="{F8892DF2-042A-409A-B3D3-AABA585D2FCE}"/>
    <cellStyle name="Comma 3 8 2" xfId="4778" xr:uid="{0684DFD1-F5A8-4232-86E7-07866F398444}"/>
    <cellStyle name="Comma 3 9" xfId="970" xr:uid="{16264485-C843-4DEB-9DA6-80C798A8C800}"/>
    <cellStyle name="Comma 3 9 2" xfId="4779" xr:uid="{B57FB84A-4984-404F-B8C8-9198C722B3E6}"/>
    <cellStyle name="Comma 4" xfId="45" xr:uid="{16D396C8-9B19-4C9D-B85F-F54A3CE224DB}"/>
    <cellStyle name="Comma 4 10" xfId="971" xr:uid="{6FAF88DD-52CD-4F6C-A2DD-D874F12EF187}"/>
    <cellStyle name="Comma 4 10 2" xfId="4780" xr:uid="{0528B8FC-EB24-457A-B3CB-A64DC9DD289F}"/>
    <cellStyle name="Comma 4 11" xfId="972" xr:uid="{830EEFA1-E966-4219-874A-ACFB85212153}"/>
    <cellStyle name="Comma 4 11 2" xfId="4781" xr:uid="{21054F6E-4C37-4A0D-98A2-8066FC75D247}"/>
    <cellStyle name="Comma 4 12" xfId="973" xr:uid="{D5DCB5CB-E602-4ED8-A321-A02370FC7975}"/>
    <cellStyle name="Comma 4 12 2" xfId="4782" xr:uid="{4868735F-9036-492D-9F8C-B0037C644D57}"/>
    <cellStyle name="Comma 4 13" xfId="974" xr:uid="{4504624A-4F03-4056-B3DC-2EA139A10703}"/>
    <cellStyle name="Comma 4 13 2" xfId="4783" xr:uid="{28679A9D-26EB-455B-92FD-77C8732ECB7A}"/>
    <cellStyle name="Comma 4 14" xfId="975" xr:uid="{79C9AE9D-0FF6-410B-A31E-29D04E37F352}"/>
    <cellStyle name="Comma 4 14 2" xfId="4784" xr:uid="{CA917614-F450-40F7-ABE0-72BB452DF6E7}"/>
    <cellStyle name="Comma 4 15" xfId="4662" xr:uid="{9D04E378-CBB1-4D20-BAED-BE523787C941}"/>
    <cellStyle name="Comma 4 2" xfId="976" xr:uid="{8E4A2FE3-4D64-4189-AD4F-DD5AC297ABE5}"/>
    <cellStyle name="Comma 4 2 2" xfId="977" xr:uid="{F285EDA3-1D39-4C3F-B84E-B1182E75467F}"/>
    <cellStyle name="Comma 4 2 2 2" xfId="978" xr:uid="{130DCF11-6922-420C-8704-185E20A58D13}"/>
    <cellStyle name="Comma 4 2 2 2 2" xfId="979" xr:uid="{98D0614C-0148-4487-9AFF-680BC128BD99}"/>
    <cellStyle name="Comma 4 2 2 2 2 2" xfId="4788" xr:uid="{5E99E178-A52D-47DF-9D52-B28A8F3683B0}"/>
    <cellStyle name="Comma 4 2 2 2 3" xfId="4787" xr:uid="{B7D18B35-6D49-40B6-9241-BA0355990095}"/>
    <cellStyle name="Comma 4 2 2 3" xfId="980" xr:uid="{128F91CD-2A1E-4AD1-A898-71FAF3B6E6E2}"/>
    <cellStyle name="Comma 4 2 2 3 2" xfId="4789" xr:uid="{4599AD41-6F8B-472D-87FE-4719FC7D642A}"/>
    <cellStyle name="Comma 4 2 2 4" xfId="4786" xr:uid="{C8D0E082-405D-4E15-871F-27BB1D11EAAC}"/>
    <cellStyle name="Comma 4 2 3" xfId="981" xr:uid="{DDFCEF53-1471-40EB-8C33-31F01482567E}"/>
    <cellStyle name="Comma 4 2 3 2" xfId="982" xr:uid="{DBD56DD4-27BD-4ECE-9F53-8F560412D0DB}"/>
    <cellStyle name="Comma 4 2 3 2 2" xfId="4791" xr:uid="{7A201F12-FBF9-4CFB-8B6D-2C1A63FEE30A}"/>
    <cellStyle name="Comma 4 2 3 3" xfId="4790" xr:uid="{8E9C88A2-0849-4763-91D4-16FA36E07B94}"/>
    <cellStyle name="Comma 4 2 4" xfId="983" xr:uid="{F751908D-2AC1-47D8-AD9F-A22AFA312CE7}"/>
    <cellStyle name="Comma 4 2 4 2" xfId="4792" xr:uid="{F5401B92-BCE0-4840-B67C-FF19357974FB}"/>
    <cellStyle name="Comma 4 2 5" xfId="984" xr:uid="{36B1EF26-2067-4606-A459-89B39B8B2B92}"/>
    <cellStyle name="Comma 4 2 5 2" xfId="4793" xr:uid="{5A32E2B9-F41C-4FAF-AD33-8B7895327C73}"/>
    <cellStyle name="Comma 4 2 6" xfId="4785" xr:uid="{E5F4FE26-4F30-438D-9625-B589550C8C63}"/>
    <cellStyle name="Comma 4 3" xfId="985" xr:uid="{34E00099-BA13-463D-99F5-4DB834C356D4}"/>
    <cellStyle name="Comma 4 3 2" xfId="986" xr:uid="{9B9F4B31-C798-47D8-B845-856729F228D1}"/>
    <cellStyle name="Comma 4 3 2 2" xfId="987" xr:uid="{6D5FD6A8-78D4-4DA5-8A22-A3A153FD68F4}"/>
    <cellStyle name="Comma 4 3 2 2 2" xfId="988" xr:uid="{75978518-3785-4825-A524-04D3F73C9C07}"/>
    <cellStyle name="Comma 4 3 2 2 2 2" xfId="4797" xr:uid="{E1BC1530-522C-459E-A7AA-4615AA8D5875}"/>
    <cellStyle name="Comma 4 3 2 2 3" xfId="4796" xr:uid="{BDC36DD6-80DF-4054-850E-AFFAC7C9575A}"/>
    <cellStyle name="Comma 4 3 2 3" xfId="989" xr:uid="{EAB536C9-E645-4C55-AAFD-E1DE2518D518}"/>
    <cellStyle name="Comma 4 3 2 3 2" xfId="4798" xr:uid="{5F2E76B9-D585-4AA3-8C88-314DC2F5F014}"/>
    <cellStyle name="Comma 4 3 2 4" xfId="4795" xr:uid="{2BC7F8E7-5135-45D9-97D3-BB771F797202}"/>
    <cellStyle name="Comma 4 3 3" xfId="990" xr:uid="{EF6004D3-E2BB-4AA4-9142-B36EF7699BAD}"/>
    <cellStyle name="Comma 4 3 3 2" xfId="991" xr:uid="{A7C90AC4-9948-4A9B-A55B-9A64BABA9F75}"/>
    <cellStyle name="Comma 4 3 3 2 2" xfId="4800" xr:uid="{1EB84948-D6A9-4399-B032-A000E6F404CC}"/>
    <cellStyle name="Comma 4 3 3 3" xfId="4799" xr:uid="{FFC48B31-6D1E-4BEA-946C-1AAB2D023BBF}"/>
    <cellStyle name="Comma 4 3 4" xfId="992" xr:uid="{2C07540D-F9CC-4E8C-A400-32C096141432}"/>
    <cellStyle name="Comma 4 3 4 2" xfId="4801" xr:uid="{FC03FD45-8AB1-4B57-AC76-B74A266A7084}"/>
    <cellStyle name="Comma 4 3 5" xfId="4794" xr:uid="{A8848557-6326-4644-96CE-7981A1FFF61D}"/>
    <cellStyle name="Comma 4 4" xfId="993" xr:uid="{3A7796EF-A10A-4FD1-806D-A33487A7489E}"/>
    <cellStyle name="Comma 4 4 2" xfId="994" xr:uid="{51D45214-AE1F-433D-A7BE-3686DB88F683}"/>
    <cellStyle name="Comma 4 4 2 2" xfId="995" xr:uid="{A90F2D06-8095-4BE4-96EF-F5EDF1052933}"/>
    <cellStyle name="Comma 4 4 2 2 2" xfId="996" xr:uid="{9299E2ED-0935-4E48-8A0F-13A74089207C}"/>
    <cellStyle name="Comma 4 4 2 2 2 2" xfId="4805" xr:uid="{641B7121-A0BF-4205-8D30-739D1FBB0695}"/>
    <cellStyle name="Comma 4 4 2 2 3" xfId="4804" xr:uid="{CE8C0E0E-3620-4E39-A3FF-3FBCBF70E928}"/>
    <cellStyle name="Comma 4 4 2 3" xfId="997" xr:uid="{C2BC8400-A9CC-4E44-8F36-006E9A4EBB57}"/>
    <cellStyle name="Comma 4 4 2 3 2" xfId="4806" xr:uid="{10EE5582-4C06-4ABD-8D25-143184D4559E}"/>
    <cellStyle name="Comma 4 4 2 4" xfId="4803" xr:uid="{E6000CA1-94A9-411B-8B41-AF627DCAC97B}"/>
    <cellStyle name="Comma 4 4 3" xfId="998" xr:uid="{BB1FCA67-FC2F-4C64-ACEF-C354EAD5A4B9}"/>
    <cellStyle name="Comma 4 4 3 2" xfId="999" xr:uid="{214F624E-5CA2-48A0-B6A9-26077A7C264F}"/>
    <cellStyle name="Comma 4 4 3 2 2" xfId="4808" xr:uid="{8B07326E-2B63-4FE6-A364-DD2A3AF69C91}"/>
    <cellStyle name="Comma 4 4 3 3" xfId="4807" xr:uid="{28EAF424-317A-4E0B-BEEC-D02328EDBA3F}"/>
    <cellStyle name="Comma 4 4 4" xfId="1000" xr:uid="{05299E22-5662-42A7-9DF9-FEED3E9A32B8}"/>
    <cellStyle name="Comma 4 4 4 2" xfId="4809" xr:uid="{0EB724BD-8E1B-4348-A2A1-741431E3F631}"/>
    <cellStyle name="Comma 4 4 5" xfId="4802" xr:uid="{64C71AE5-394B-47A6-B5BD-0820DA8CE829}"/>
    <cellStyle name="Comma 4 5" xfId="1001" xr:uid="{E25F9A22-83C2-4224-9BB2-6D22D3B3BBDF}"/>
    <cellStyle name="Comma 4 5 2" xfId="1002" xr:uid="{FD9D697F-AB5A-4600-8FF1-9CA7B29AC5E3}"/>
    <cellStyle name="Comma 4 5 2 2" xfId="1003" xr:uid="{55E4EDD6-ED6A-49F0-9937-C181FFC93926}"/>
    <cellStyle name="Comma 4 5 2 2 2" xfId="4812" xr:uid="{BCC78824-0B3D-4205-B51C-1FF3F337BC42}"/>
    <cellStyle name="Comma 4 5 2 3" xfId="4811" xr:uid="{9768516C-0C47-48A5-8870-0E955204E205}"/>
    <cellStyle name="Comma 4 5 3" xfId="1004" xr:uid="{9EFA4C7C-E0A3-413E-BDEF-E76EC4C0D53A}"/>
    <cellStyle name="Comma 4 5 3 2" xfId="4813" xr:uid="{C97FD968-AAF1-4F64-A6FB-8C4AF382D215}"/>
    <cellStyle name="Comma 4 5 4" xfId="4810" xr:uid="{F3C69E74-4CA6-472E-AA2C-BA5C07F26A0E}"/>
    <cellStyle name="Comma 4 6" xfId="1005" xr:uid="{E385302B-8835-4F84-ADAA-5FE4D1E7F0A0}"/>
    <cellStyle name="Comma 4 6 2" xfId="1006" xr:uid="{DF3CDA8C-1F05-415F-A62C-6BCA8B49EF5A}"/>
    <cellStyle name="Comma 4 6 2 2" xfId="1007" xr:uid="{A9918FD8-BB52-48FD-B578-0990E7CA966D}"/>
    <cellStyle name="Comma 4 6 2 2 2" xfId="4816" xr:uid="{39B65036-65CB-4CFD-BD55-57EBEED5A893}"/>
    <cellStyle name="Comma 4 6 2 3" xfId="4815" xr:uid="{58E2FAF0-959B-4DAD-8D0D-BB7594914039}"/>
    <cellStyle name="Comma 4 6 3" xfId="1008" xr:uid="{347E498D-D4EA-44B5-B903-E39F93FC6FD0}"/>
    <cellStyle name="Comma 4 6 3 2" xfId="4817" xr:uid="{EE1F7A42-C3F3-4867-9FC7-A3273AF4F82B}"/>
    <cellStyle name="Comma 4 6 4" xfId="4814" xr:uid="{9533D64B-A4A0-4426-A2F7-274E87780F11}"/>
    <cellStyle name="Comma 4 7" xfId="1009" xr:uid="{E030E531-8D08-4412-A18C-5CC2E78F9271}"/>
    <cellStyle name="Comma 4 7 2" xfId="1010" xr:uid="{0EA98EDC-874D-4D86-AA3A-1A4F70B5B3C4}"/>
    <cellStyle name="Comma 4 7 2 2" xfId="4819" xr:uid="{0133B71D-5E9D-46A7-8F2D-279B405D7A40}"/>
    <cellStyle name="Comma 4 7 3" xfId="4818" xr:uid="{D4E40119-FD99-46F8-BD0A-E06288FAC967}"/>
    <cellStyle name="Comma 4 8" xfId="1011" xr:uid="{FC5DB5BA-498B-4DFE-A36B-DD658D4B9F02}"/>
    <cellStyle name="Comma 4 8 2" xfId="4820" xr:uid="{AEFE79B5-9305-4309-8457-429ACECA167F}"/>
    <cellStyle name="Comma 4 9" xfId="1012" xr:uid="{8F07F55B-112C-4A82-BA1E-AF560499A33F}"/>
    <cellStyle name="Comma 4 9 2" xfId="4821" xr:uid="{C650971C-2163-448E-8E0B-C682A9BFF436}"/>
    <cellStyle name="Comma 44" xfId="4575" xr:uid="{CF9055AC-2106-4AE3-9DFF-A9BC5903025B}"/>
    <cellStyle name="Comma 44 2" xfId="5440" xr:uid="{1C7C9578-B21B-4962-846C-E485F386F9D4}"/>
    <cellStyle name="Comma 5" xfId="94" xr:uid="{5583AE9C-6430-4781-928B-3A0A8EA44F29}"/>
    <cellStyle name="Comma 5 10" xfId="1013" xr:uid="{ACE96AE4-04EC-49E1-9AE9-2B29C0BFFD2E}"/>
    <cellStyle name="Comma 5 10 2" xfId="4822" xr:uid="{29703FCF-07DE-4BD9-A231-35A3D7DA6A47}"/>
    <cellStyle name="Comma 5 11" xfId="1014" xr:uid="{51690CAE-9D7A-4923-8D9C-9EAA35DC09EA}"/>
    <cellStyle name="Comma 5 11 2" xfId="4823" xr:uid="{32322B02-BB3E-456D-81DD-69A7512EA94B}"/>
    <cellStyle name="Comma 5 12" xfId="1015" xr:uid="{B497AFA2-95A3-47E8-8FAB-6D031CD05FD0}"/>
    <cellStyle name="Comma 5 12 2" xfId="4824" xr:uid="{6AD01523-6195-457B-8349-20AC0F09C27A}"/>
    <cellStyle name="Comma 5 13" xfId="4667" xr:uid="{4D4B814D-C4F0-4C26-98A6-631E5D1DB202}"/>
    <cellStyle name="Comma 5 14" xfId="4569" xr:uid="{03989070-D247-4BAD-8452-E6D782B2AE8C}"/>
    <cellStyle name="Comma 5 14 2" xfId="5438" xr:uid="{4011DA3B-0451-4915-9227-82653502600B}"/>
    <cellStyle name="Comma 5 2" xfId="1016" xr:uid="{11F7DA0B-37D1-4894-A693-A5FAAF521CEC}"/>
    <cellStyle name="Comma 5 2 2" xfId="1017" xr:uid="{36049CF7-F9E8-4A05-A4E4-7FD7F23675DD}"/>
    <cellStyle name="Comma 5 2 2 2" xfId="1018" xr:uid="{2D6C47CB-1595-4568-A8A6-4BD00DFD9636}"/>
    <cellStyle name="Comma 5 2 2 2 2" xfId="1019" xr:uid="{4D8499B3-09C5-455A-879E-1D0BBBD27AC9}"/>
    <cellStyle name="Comma 5 2 2 2 2 2" xfId="4828" xr:uid="{43ADC66F-15E2-47D4-A54A-5C87D8CAFA96}"/>
    <cellStyle name="Comma 5 2 2 2 3" xfId="4827" xr:uid="{11D71A76-2C11-4F8F-B20F-58BE49E846B4}"/>
    <cellStyle name="Comma 5 2 2 3" xfId="1020" xr:uid="{1B515A3C-42C1-4AD8-A702-46E7555BAD5A}"/>
    <cellStyle name="Comma 5 2 2 3 2" xfId="4829" xr:uid="{4C718061-A73E-4BB6-80AE-3DBEB60E0A7B}"/>
    <cellStyle name="Comma 5 2 2 4" xfId="4826" xr:uid="{51CE9DC7-C278-4618-9AC1-B195EBF4F32D}"/>
    <cellStyle name="Comma 5 2 3" xfId="1021" xr:uid="{F4D16C59-5F93-4399-B278-36C197CC2042}"/>
    <cellStyle name="Comma 5 2 3 2" xfId="1022" xr:uid="{1ACDB970-6535-4ED8-98D6-B3FB0F76CB87}"/>
    <cellStyle name="Comma 5 2 3 2 2" xfId="4831" xr:uid="{C8895DC2-513F-42FB-A904-CE7132018CD6}"/>
    <cellStyle name="Comma 5 2 3 3" xfId="4830" xr:uid="{CC02E3D2-A901-4766-9D47-C8EC8B092D8A}"/>
    <cellStyle name="Comma 5 2 4" xfId="1023" xr:uid="{603298F8-50EA-4357-9527-3775DC2C13F9}"/>
    <cellStyle name="Comma 5 2 4 2" xfId="4832" xr:uid="{3B833F6B-1EA5-4395-AA67-48D16A349616}"/>
    <cellStyle name="Comma 5 2 5" xfId="4825" xr:uid="{2B8C553F-2122-4BBC-ADE7-E47704D70F5E}"/>
    <cellStyle name="Comma 5 3" xfId="1024" xr:uid="{1C51C699-534C-408D-BF36-C4B932AA6663}"/>
    <cellStyle name="Comma 5 3 2" xfId="1025" xr:uid="{08AF60B0-442C-4932-A404-515FE33F4F6D}"/>
    <cellStyle name="Comma 5 3 2 2" xfId="1026" xr:uid="{8B181C39-E660-4837-9E3B-B372D16BE47F}"/>
    <cellStyle name="Comma 5 3 2 2 2" xfId="1027" xr:uid="{53E81D7C-25C8-4588-A65E-A539A76B0232}"/>
    <cellStyle name="Comma 5 3 2 2 2 2" xfId="4836" xr:uid="{DB9D6730-D4DB-4A47-ABA7-BBED3D330B31}"/>
    <cellStyle name="Comma 5 3 2 2 3" xfId="4835" xr:uid="{6D6D700D-B6B5-4F2E-861F-AFBA8894FA0C}"/>
    <cellStyle name="Comma 5 3 2 3" xfId="1028" xr:uid="{5BFE0778-EA6A-472F-AE03-659D633AA309}"/>
    <cellStyle name="Comma 5 3 2 3 2" xfId="4837" xr:uid="{C65C7A63-A638-4828-80D9-E563BA3F634E}"/>
    <cellStyle name="Comma 5 3 2 4" xfId="4834" xr:uid="{409E6E81-251C-48B3-B607-553B1D29E789}"/>
    <cellStyle name="Comma 5 3 3" xfId="1029" xr:uid="{0FA4247B-E200-464C-914B-3DE8E48A79F9}"/>
    <cellStyle name="Comma 5 3 3 2" xfId="1030" xr:uid="{7572FECB-268F-4E48-9FA2-A04232FC0D5E}"/>
    <cellStyle name="Comma 5 3 3 2 2" xfId="4839" xr:uid="{19BB36B9-E37F-41B7-9C32-69845BD9A5D8}"/>
    <cellStyle name="Comma 5 3 3 3" xfId="4838" xr:uid="{9852454E-CEBA-419E-A069-773797F269BA}"/>
    <cellStyle name="Comma 5 3 4" xfId="1031" xr:uid="{6CB154DB-3E41-4773-BFFF-F1ACD6D84B3D}"/>
    <cellStyle name="Comma 5 3 4 2" xfId="4840" xr:uid="{915FC4CD-A77B-4B8B-9202-DEE7942D6DF0}"/>
    <cellStyle name="Comma 5 3 5" xfId="4833" xr:uid="{6A1AE339-5CD2-444F-9A18-46763EFC74A7}"/>
    <cellStyle name="Comma 5 4" xfId="1032" xr:uid="{0EB4AE27-A422-4913-8812-982981A63A50}"/>
    <cellStyle name="Comma 5 4 2" xfId="1033" xr:uid="{15C40B5F-E97D-4815-A114-B17874547282}"/>
    <cellStyle name="Comma 5 4 2 2" xfId="1034" xr:uid="{17F8DD65-0B6E-4360-9FD0-6A916FE3A537}"/>
    <cellStyle name="Comma 5 4 2 2 2" xfId="4843" xr:uid="{229BE8F1-B4E0-488B-ADCC-CC2356E37AFE}"/>
    <cellStyle name="Comma 5 4 2 3" xfId="4842" xr:uid="{F162D3BE-EBA1-4F59-8A58-DD0F8CDF1068}"/>
    <cellStyle name="Comma 5 4 3" xfId="1035" xr:uid="{0F26F70E-2691-4623-BEF4-C4A5F67658A5}"/>
    <cellStyle name="Comma 5 4 3 2" xfId="4844" xr:uid="{18C3FEA4-02E5-41D6-AAF1-380BA364B0A7}"/>
    <cellStyle name="Comma 5 4 4" xfId="4841" xr:uid="{49377E0C-2363-4112-B86B-E5A293BC6922}"/>
    <cellStyle name="Comma 5 5" xfId="1036" xr:uid="{E04EF8A0-D414-4C2F-9065-EC9EE657281B}"/>
    <cellStyle name="Comma 5 5 2" xfId="1037" xr:uid="{1C1FE72B-D294-4D26-8153-0250580BCFD8}"/>
    <cellStyle name="Comma 5 5 2 2" xfId="1038" xr:uid="{8090B36C-9615-4B32-B4D8-2E5B0E7D3643}"/>
    <cellStyle name="Comma 5 5 2 2 2" xfId="4847" xr:uid="{26AD4C30-82EC-4855-87BB-F39A0ED2CF92}"/>
    <cellStyle name="Comma 5 5 2 3" xfId="4846" xr:uid="{20EE220F-2899-4E25-9B19-2CD545352EC3}"/>
    <cellStyle name="Comma 5 5 3" xfId="1039" xr:uid="{4E1111D4-ADCC-4989-A863-46D7172FE4EA}"/>
    <cellStyle name="Comma 5 5 3 2" xfId="4848" xr:uid="{CBD60FE3-5330-486E-B669-7FF4CA65A90E}"/>
    <cellStyle name="Comma 5 5 4" xfId="4845" xr:uid="{635533AD-D25E-4578-A1CA-68F49EF50E9E}"/>
    <cellStyle name="Comma 5 6" xfId="1040" xr:uid="{E351910C-F509-4AA5-8AF3-0AC6F752E10A}"/>
    <cellStyle name="Comma 5 6 2" xfId="1041" xr:uid="{9F362D4C-7A0B-4AB2-9399-F9D0CF1064DB}"/>
    <cellStyle name="Comma 5 6 2 2" xfId="4850" xr:uid="{408A4F3B-4A35-4687-AD6C-EB7E5F2FDA5E}"/>
    <cellStyle name="Comma 5 6 3" xfId="4849" xr:uid="{6D1394B7-7BF5-45C2-8289-AA2C2120DFFE}"/>
    <cellStyle name="Comma 5 7" xfId="1042" xr:uid="{42AE22AF-AFF7-48D4-AE70-197A03ABF457}"/>
    <cellStyle name="Comma 5 7 2" xfId="4851" xr:uid="{FC3E1CAF-69FB-43E1-81D7-FFFDAC67E343}"/>
    <cellStyle name="Comma 5 8" xfId="1043" xr:uid="{8994FD43-67FB-4894-BDD8-D77DD45D6802}"/>
    <cellStyle name="Comma 5 8 2" xfId="4852" xr:uid="{D8D48DE6-CF6D-4EAB-BD30-D60A552010E0}"/>
    <cellStyle name="Comma 5 9" xfId="1044" xr:uid="{046F95F1-D26E-454B-A2EB-48E589F4EBCE}"/>
    <cellStyle name="Comma 5 9 2" xfId="4853" xr:uid="{8132D92D-1974-4660-8AF4-066415BD0C90}"/>
    <cellStyle name="Comma 6" xfId="95" xr:uid="{BFB6400E-B9C8-4F7B-9F04-EAD819F033FF}"/>
    <cellStyle name="Comma 6 2" xfId="1045" xr:uid="{F4E97AAE-8A24-4CBC-8B87-303ACFF63A47}"/>
    <cellStyle name="Comma 6 2 2" xfId="4854" xr:uid="{8B5609F1-DE5B-4B90-BB45-E3A3FC7ABF7A}"/>
    <cellStyle name="Comma 6 3" xfId="1046" xr:uid="{C6FC1ED6-9E37-4506-8382-6BF9700755C4}"/>
    <cellStyle name="Comma 6 3 2" xfId="4855" xr:uid="{41D279D7-106F-4705-8FA6-292333EB2D9D}"/>
    <cellStyle name="Comma 6 4" xfId="1047" xr:uid="{29668C48-B054-4E0A-94ED-56EFA7937DEC}"/>
    <cellStyle name="Comma 6 4 2" xfId="4856" xr:uid="{EF8F5CC7-2559-40F9-A022-BBB520BEF393}"/>
    <cellStyle name="Comma 6 5" xfId="1048" xr:uid="{748C091C-812A-4281-B53F-7767FADD17F1}"/>
    <cellStyle name="Comma 6 5 2" xfId="4857" xr:uid="{CE057436-964B-42A7-843B-524CD26439F2}"/>
    <cellStyle name="Comma 6 6" xfId="1049" xr:uid="{53D96DAA-9702-4DDB-BEA2-08798C9905BD}"/>
    <cellStyle name="Comma 6 6 2" xfId="4858" xr:uid="{5E9AE43E-7792-4040-A881-27607759BF3C}"/>
    <cellStyle name="Comma 6 7" xfId="101" xr:uid="{4AABFF6E-8ED4-4B31-8971-FA8957896F3D}"/>
    <cellStyle name="Comma 6 7 2" xfId="4672" xr:uid="{5CFA4BA5-9554-40BF-ACFC-16D414D1D46B}"/>
    <cellStyle name="Comma 6 8" xfId="4668" xr:uid="{845EA0B9-57BE-4954-AA48-70777187600D}"/>
    <cellStyle name="Comma 7" xfId="1050" xr:uid="{CC7900DE-4F06-40AA-9584-22543CE46D36}"/>
    <cellStyle name="Comma 7 2" xfId="1051" xr:uid="{425BB966-55AC-489E-B92E-70BF2C4640D7}"/>
    <cellStyle name="Comma 7 2 2" xfId="1052" xr:uid="{077C312D-FF6B-4D69-B617-B0FB9FF2E4A5}"/>
    <cellStyle name="Comma 7 2 2 2" xfId="1053" xr:uid="{3985E649-13FB-4CC1-A898-31AFFF4C5274}"/>
    <cellStyle name="Comma 7 2 2 2 2" xfId="4862" xr:uid="{B7EAC151-BB9D-4829-A754-63AC5A00FD59}"/>
    <cellStyle name="Comma 7 2 2 3" xfId="4861" xr:uid="{93B0654B-710B-44A7-9AB2-B876E25E3507}"/>
    <cellStyle name="Comma 7 2 3" xfId="1054" xr:uid="{6065C99C-5B15-4606-A95F-77D30C7A1ED5}"/>
    <cellStyle name="Comma 7 2 3 2" xfId="4863" xr:uid="{81654300-B1DB-4AD1-821A-01C97F38834A}"/>
    <cellStyle name="Comma 7 2 4" xfId="4860" xr:uid="{0D4BD750-49C8-40B9-BBB9-C87D67BCC22A}"/>
    <cellStyle name="Comma 7 3" xfId="1055" xr:uid="{52F6FDF6-3017-45AF-B15C-EED16A480827}"/>
    <cellStyle name="Comma 7 3 2" xfId="1056" xr:uid="{8DDCAA2F-32C4-41B2-B2E6-86F041A2C75A}"/>
    <cellStyle name="Comma 7 3 2 2" xfId="4865" xr:uid="{EEA09736-05F7-404C-BA1E-2BB0814D72F8}"/>
    <cellStyle name="Comma 7 3 3" xfId="4864" xr:uid="{55D519E5-0A21-43E9-8CB8-2B66527B8829}"/>
    <cellStyle name="Comma 7 4" xfId="1057" xr:uid="{3AA98786-2FA9-43FE-B1D2-5399A3180164}"/>
    <cellStyle name="Comma 7 4 2" xfId="4866" xr:uid="{9A41A984-A4FD-4C1C-8F24-45658E59FD6C}"/>
    <cellStyle name="Comma 7 5" xfId="1058" xr:uid="{8922C42E-BB12-4F67-B42A-1B804C9947C1}"/>
    <cellStyle name="Comma 7 5 2" xfId="4867" xr:uid="{6CA5D65A-4748-47A8-8BEC-78AB14E47294}"/>
    <cellStyle name="Comma 7 6" xfId="1059" xr:uid="{D520BB6F-FBBE-4644-B3A4-520B5D827C96}"/>
    <cellStyle name="Comma 7 6 2" xfId="4868" xr:uid="{8712AD7D-9C4E-4255-8763-4593F6FE78F1}"/>
    <cellStyle name="Comma 7 7" xfId="1060" xr:uid="{B0F0D81E-EF50-45E3-B305-9D173C7FCE70}"/>
    <cellStyle name="Comma 7 7 2" xfId="4869" xr:uid="{243F5071-33C0-495F-B825-B950C4BE1B76}"/>
    <cellStyle name="Comma 7 8" xfId="1061" xr:uid="{E2553093-4443-4FC8-8A26-B979001122D3}"/>
    <cellStyle name="Comma 7 8 2" xfId="4870" xr:uid="{3D8EAA9B-D036-4BCF-BA64-795FE4AAF62D}"/>
    <cellStyle name="Comma 7 9" xfId="4859" xr:uid="{B250FD79-6213-4FA0-9104-8FF657C6265E}"/>
    <cellStyle name="Comma 8" xfId="1062" xr:uid="{6FA18642-D467-40D1-8CE8-E3C58CFAD5E6}"/>
    <cellStyle name="Comma 8 2" xfId="1063" xr:uid="{DBA67465-5633-4574-B362-84A7BC55827D}"/>
    <cellStyle name="Comma 8 2 2" xfId="1064" xr:uid="{F4929292-1C98-4CA0-B3E4-EDE195FCD4D0}"/>
    <cellStyle name="Comma 8 2 2 2" xfId="4873" xr:uid="{8EA8EB32-16F6-439A-8E7D-62F034349D2C}"/>
    <cellStyle name="Comma 8 2 3" xfId="4872" xr:uid="{EA5F3074-7122-4CFB-957B-419910EB730C}"/>
    <cellStyle name="Comma 8 3" xfId="1065" xr:uid="{F8AD69FD-B95D-4170-A244-14EC8DDB4397}"/>
    <cellStyle name="Comma 8 3 2" xfId="4874" xr:uid="{41C81715-A66C-4D86-9C63-617D76259C42}"/>
    <cellStyle name="Comma 8 4" xfId="1066" xr:uid="{5C3CAEC8-9566-44F5-B98F-FA17073A789D}"/>
    <cellStyle name="Comma 8 4 2" xfId="4875" xr:uid="{7525D168-2EDA-482C-B6A9-A411FFE7693E}"/>
    <cellStyle name="Comma 8 5" xfId="1067" xr:uid="{9547E4C1-A7AD-42EF-8CF6-451BCA063DE5}"/>
    <cellStyle name="Comma 8 5 2" xfId="4876" xr:uid="{52BF87C7-7D4C-4B5A-9075-1387CDDE17EE}"/>
    <cellStyle name="Comma 8 6" xfId="1068" xr:uid="{7424885A-AE1D-47E6-A551-F25A988289E6}"/>
    <cellStyle name="Comma 8 6 2" xfId="4877" xr:uid="{62E7A5D7-1BB2-479F-9543-C9857F9697BA}"/>
    <cellStyle name="Comma 8 7" xfId="1069" xr:uid="{C3BD87F8-6269-4A67-AA8B-0E97D300E50A}"/>
    <cellStyle name="Comma 8 7 2" xfId="4878" xr:uid="{A1B427D8-B0E5-49B3-A846-AB7DAE3146FF}"/>
    <cellStyle name="Comma 8 8" xfId="4573" xr:uid="{E1CE924F-C705-4018-8995-A6F4FA39ECCE}"/>
    <cellStyle name="Comma 8 8 2" xfId="5439" xr:uid="{5D3EF769-F82C-4FD2-876A-0A56B96613C0}"/>
    <cellStyle name="Comma 8 9" xfId="4871" xr:uid="{3C6C2191-1696-4886-B263-D1C06C386DA5}"/>
    <cellStyle name="Comma 9" xfId="1070" xr:uid="{0CF79EA5-6F1B-48F5-9209-D90CB43711CF}"/>
    <cellStyle name="Comma 9 2" xfId="1071" xr:uid="{E34D9654-6A0D-4084-8991-694DEFF150BD}"/>
    <cellStyle name="Comma 9 2 2" xfId="4880" xr:uid="{296C11E5-CACE-4048-8C96-BACB15334F8E}"/>
    <cellStyle name="Comma 9 3" xfId="1072" xr:uid="{57F5CD72-827B-4C69-A0B5-F4F299EB87A0}"/>
    <cellStyle name="Comma 9 3 2" xfId="4881" xr:uid="{0993D1AE-41F7-4F30-AA81-FB28DE3E7508}"/>
    <cellStyle name="Comma 9 4" xfId="1073" xr:uid="{E66B34D0-44CF-4387-8059-EA331854ABE2}"/>
    <cellStyle name="Comma 9 4 2" xfId="4882" xr:uid="{8959A82E-070E-407E-947C-6D3548606277}"/>
    <cellStyle name="Comma 9 5" xfId="1074" xr:uid="{40F84E82-C7AD-492E-B161-0542C3154ACB}"/>
    <cellStyle name="Comma 9 5 2" xfId="4883" xr:uid="{FC2093A4-CF1A-436D-B52C-952A44B7B0FD}"/>
    <cellStyle name="Comma 9 6" xfId="4879" xr:uid="{840E57FD-D355-4BD0-B297-6C9DA435A646}"/>
    <cellStyle name="Comma0" xfId="1075" xr:uid="{2742FED0-54CB-4704-94E5-284373F813C4}"/>
    <cellStyle name="Comma2 (0)" xfId="1076" xr:uid="{23F715BE-C47D-4F9E-81D4-048B7DBB5983}"/>
    <cellStyle name="Comment" xfId="1077" xr:uid="{4C933B83-F413-4B0D-84A4-B5BF1E14E547}"/>
    <cellStyle name="Commentaire" xfId="1078" xr:uid="{67978737-460A-4E7F-B26B-9F1E7B4DE704}"/>
    <cellStyle name="Commentaire 2" xfId="5498" xr:uid="{F9D35311-74A3-4C56-A71A-E66B0513100D}"/>
    <cellStyle name="Company" xfId="1079" xr:uid="{068D4DBE-145B-4F96-A258-A76E02DCFA3C}"/>
    <cellStyle name="CurRatio" xfId="1080" xr:uid="{CCC07E80-3FF1-44E0-A823-F16230F13CCD}"/>
    <cellStyle name="Currency--" xfId="1602" xr:uid="{C1BCD7DC-EA38-4D1A-A674-A053511B3500}"/>
    <cellStyle name="Currency [00]" xfId="1081" xr:uid="{357EB9F9-BD96-452F-AED3-2F90A946415F}"/>
    <cellStyle name="Currency [1]" xfId="1082" xr:uid="{A31E34BA-E8DC-4C61-8003-567A2011AABC}"/>
    <cellStyle name="Currency [2]" xfId="1083" xr:uid="{C529452C-8E36-41F5-8DE8-749B8988F6A8}"/>
    <cellStyle name="Currency [2] 2" xfId="4564" xr:uid="{17F6FF26-D17A-407D-A677-A1DDDE4515B2}"/>
    <cellStyle name="Currency [2] 2 2" xfId="5511" xr:uid="{8F019C06-86F5-4EDE-A17A-059461A93043}"/>
    <cellStyle name="Currency [2] 2 3" xfId="5434" xr:uid="{B25FF0F3-5E1B-4DA4-AB36-CE0FFB4A6844}"/>
    <cellStyle name="Currency [2] 3" xfId="5499" xr:uid="{724543D1-122A-42D0-A73C-0516122A505C}"/>
    <cellStyle name="Currency [2] 4" xfId="4884" xr:uid="{FF0B8491-273B-4C03-BBD9-C2CC9CE5FDDE}"/>
    <cellStyle name="Currency [3]" xfId="1084" xr:uid="{26E4F162-37B4-4A5D-84E1-5C2FF53879CD}"/>
    <cellStyle name="Currency 0" xfId="1085" xr:uid="{2B38DA27-74A1-45FF-BE72-A5DDC8DA0330}"/>
    <cellStyle name="Currency 10" xfId="1086" xr:uid="{C75EA178-CEC2-49BD-AE4A-619BDB18E627}"/>
    <cellStyle name="Currency 10 2" xfId="1087" xr:uid="{0FB9C1DA-F8B3-434E-B23B-41DD88482E81}"/>
    <cellStyle name="Currency 10 2 2" xfId="1088" xr:uid="{0A2C0832-1C5E-4C68-B890-143686C5740E}"/>
    <cellStyle name="Currency 10 2 2 2" xfId="1089" xr:uid="{0AEA0C54-79CE-4C53-AC9E-BFA3789F9E90}"/>
    <cellStyle name="Currency 10 2 2 2 2" xfId="1090" xr:uid="{553410B9-0DE2-49ED-A4BF-4EECAABDA81D}"/>
    <cellStyle name="Currency 10 2 2 2 2 2" xfId="4889" xr:uid="{603E1E7C-B01D-417A-9FE1-E875D018BB4D}"/>
    <cellStyle name="Currency 10 2 2 2 3" xfId="4888" xr:uid="{51BDB5C4-6B07-4B94-BD6A-4DBD82EE7FE3}"/>
    <cellStyle name="Currency 10 2 2 3" xfId="1091" xr:uid="{1A856755-B05F-4DCE-B77A-061CC0652548}"/>
    <cellStyle name="Currency 10 2 2 3 2" xfId="4890" xr:uid="{CC22D5BE-B168-4419-B61F-647351D2A658}"/>
    <cellStyle name="Currency 10 2 2 4" xfId="4887" xr:uid="{820E2481-555E-40AC-9052-206B07EC3147}"/>
    <cellStyle name="Currency 10 2 3" xfId="1092" xr:uid="{AAB12CC0-7024-41A4-9496-17D101C356D2}"/>
    <cellStyle name="Currency 10 2 3 2" xfId="1093" xr:uid="{AD3F280A-188E-4DC0-9AFA-37DEACE2433C}"/>
    <cellStyle name="Currency 10 2 3 2 2" xfId="4892" xr:uid="{13AC2F5E-20AA-4CF5-84B1-30E7A3FA25ED}"/>
    <cellStyle name="Currency 10 2 3 3" xfId="4891" xr:uid="{A8C3F9E2-E7EE-4FBB-8EB1-A659AD62F8F8}"/>
    <cellStyle name="Currency 10 2 4" xfId="1094" xr:uid="{6602AA00-9698-43BB-8CC1-28CBFAB171F6}"/>
    <cellStyle name="Currency 10 2 4 2" xfId="4893" xr:uid="{0160858D-51FB-49A9-A90C-16461636D083}"/>
    <cellStyle name="Currency 10 2 5" xfId="4886" xr:uid="{E6584A28-38D5-49FB-BDB2-D12F43A3B099}"/>
    <cellStyle name="Currency 10 3" xfId="1095" xr:uid="{1BA7249B-855B-4F31-B522-56AA757113EF}"/>
    <cellStyle name="Currency 10 3 2" xfId="1096" xr:uid="{B6EE4573-D979-4C83-A3B4-9AA5F9C8A3CC}"/>
    <cellStyle name="Currency 10 3 2 2" xfId="1097" xr:uid="{733914EC-013D-4C0B-A5DC-FB5AA56BF5A3}"/>
    <cellStyle name="Currency 10 3 2 2 2" xfId="1098" xr:uid="{B164D575-20F1-4C6E-A487-123BA8F4C2BE}"/>
    <cellStyle name="Currency 10 3 2 2 2 2" xfId="4897" xr:uid="{A8BB31AE-7394-4003-8E91-B4FE50A0ACEE}"/>
    <cellStyle name="Currency 10 3 2 2 3" xfId="4896" xr:uid="{BE61A9A2-04D8-4301-AB68-7C13AD326C7E}"/>
    <cellStyle name="Currency 10 3 2 3" xfId="1099" xr:uid="{71C3C1DE-E542-4612-8167-A289B1AAF4B6}"/>
    <cellStyle name="Currency 10 3 2 3 2" xfId="4898" xr:uid="{DDE24CD9-8DDF-4783-AE9A-1FA93C581AFC}"/>
    <cellStyle name="Currency 10 3 2 4" xfId="4895" xr:uid="{8B02DAA3-5240-4ADD-8211-60C818185425}"/>
    <cellStyle name="Currency 10 3 3" xfId="1100" xr:uid="{A11060D9-B0AF-4850-BA47-2B8FAD5CCDEE}"/>
    <cellStyle name="Currency 10 3 3 2" xfId="1101" xr:uid="{6BBEB5C8-A2A6-4A00-81BD-ABD1D10CE5B5}"/>
    <cellStyle name="Currency 10 3 3 2 2" xfId="4900" xr:uid="{BC37EFE8-A3C3-4604-BB31-B5D6705ECCD6}"/>
    <cellStyle name="Currency 10 3 3 3" xfId="4899" xr:uid="{7E99D341-F504-4776-9DD0-AEBA4D9E4D42}"/>
    <cellStyle name="Currency 10 3 4" xfId="1102" xr:uid="{363C4687-DF80-4F60-9FD0-27A541E9C439}"/>
    <cellStyle name="Currency 10 3 4 2" xfId="4901" xr:uid="{7361FC0E-93E5-4E52-9481-9C4FCC10CABF}"/>
    <cellStyle name="Currency 10 3 5" xfId="4894" xr:uid="{FF75B91E-286C-48D7-A5B5-7E89DCF45653}"/>
    <cellStyle name="Currency 10 4" xfId="1103" xr:uid="{1F1EF8CD-5189-4221-A4F1-BA2F85F169D7}"/>
    <cellStyle name="Currency 10 4 2" xfId="1104" xr:uid="{A91892C0-2469-4246-808C-F35310E97DC4}"/>
    <cellStyle name="Currency 10 4 2 2" xfId="1105" xr:uid="{F55FE871-263B-414E-A039-AEB96723C245}"/>
    <cellStyle name="Currency 10 4 2 2 2" xfId="4904" xr:uid="{7FAAC9CA-8010-43B0-A706-958804C289BA}"/>
    <cellStyle name="Currency 10 4 2 3" xfId="4903" xr:uid="{E9257A29-0F01-4353-A401-339CB9DCEA68}"/>
    <cellStyle name="Currency 10 4 3" xfId="1106" xr:uid="{0C77867E-EF81-4687-B52C-06824DB8A437}"/>
    <cellStyle name="Currency 10 4 3 2" xfId="4905" xr:uid="{F77EF45C-1688-45A4-877C-BC83D1D054B9}"/>
    <cellStyle name="Currency 10 4 4" xfId="4902" xr:uid="{79C33B72-BB5C-4F83-99F6-4739AC964F9B}"/>
    <cellStyle name="Currency 10 5" xfId="1107" xr:uid="{3C78ED82-3EB5-4CE9-8551-AFFBC78DD3BB}"/>
    <cellStyle name="Currency 10 5 2" xfId="1108" xr:uid="{C6BB36BD-E3A3-4ECE-8866-2398FC9432B0}"/>
    <cellStyle name="Currency 10 5 2 2" xfId="4907" xr:uid="{733E50B3-B595-4B81-82D7-D84B287B761E}"/>
    <cellStyle name="Currency 10 5 3" xfId="4906" xr:uid="{AD488FEF-B260-4645-888F-EE016F6CF924}"/>
    <cellStyle name="Currency 10 6" xfId="1109" xr:uid="{64D9EE07-6519-4B7C-B5BC-A79690F6C977}"/>
    <cellStyle name="Currency 10 6 2" xfId="4908" xr:uid="{8C3F17CA-EB67-4A3C-AE86-79C9EE2FC60A}"/>
    <cellStyle name="Currency 10 7" xfId="4885" xr:uid="{EC8B8409-0C2D-495B-A426-ED64E792FB11}"/>
    <cellStyle name="Currency 11" xfId="1110" xr:uid="{CAF6DE66-EE31-4591-902C-3880C22D5A70}"/>
    <cellStyle name="Currency 11 2" xfId="1111" xr:uid="{CC124994-2793-45A7-B270-6FAC008A4F29}"/>
    <cellStyle name="Currency 11 2 2" xfId="1112" xr:uid="{9E051C97-DD74-4198-B112-BBEA396938C6}"/>
    <cellStyle name="Currency 11 2 2 2" xfId="1113" xr:uid="{5EC0675B-4984-456B-894B-D2FD86D51546}"/>
    <cellStyle name="Currency 11 2 2 2 2" xfId="1114" xr:uid="{13FA7218-AD05-4C7F-8D4B-B3E88FDE17E8}"/>
    <cellStyle name="Currency 11 2 2 2 2 2" xfId="4913" xr:uid="{AC7F1A38-AB4A-4208-891D-CD0A4BC40749}"/>
    <cellStyle name="Currency 11 2 2 2 3" xfId="4912" xr:uid="{74639B9B-F8F0-4B08-A3D0-2C4FF0278979}"/>
    <cellStyle name="Currency 11 2 2 3" xfId="1115" xr:uid="{E0DC9117-C6DD-477F-9C24-546F6CF28C08}"/>
    <cellStyle name="Currency 11 2 2 3 2" xfId="4914" xr:uid="{C5006206-A9FC-4E7A-B517-7DCBBB9EF975}"/>
    <cellStyle name="Currency 11 2 2 4" xfId="4911" xr:uid="{914B9625-D11E-4A99-8C1E-F79470710184}"/>
    <cellStyle name="Currency 11 2 3" xfId="1116" xr:uid="{35C0A835-D2DF-430B-9987-DE1B403F0C43}"/>
    <cellStyle name="Currency 11 2 3 2" xfId="1117" xr:uid="{880CB20B-863B-4204-BB53-E5F5B0384CB8}"/>
    <cellStyle name="Currency 11 2 3 2 2" xfId="4916" xr:uid="{43ADE07C-1EF3-4F5E-8181-7573B7A87706}"/>
    <cellStyle name="Currency 11 2 3 3" xfId="4915" xr:uid="{FDDFEC30-8D34-433B-AFA8-3CC5C0E46FF6}"/>
    <cellStyle name="Currency 11 2 4" xfId="1118" xr:uid="{AEBE23F0-490F-4B60-B5FD-D36AD34BB103}"/>
    <cellStyle name="Currency 11 2 4 2" xfId="4917" xr:uid="{54C07544-E74B-4F79-9E21-569956C759CC}"/>
    <cellStyle name="Currency 11 2 5" xfId="4910" xr:uid="{C1400BB6-F711-4A93-87B5-23218039EA75}"/>
    <cellStyle name="Currency 11 3" xfId="1119" xr:uid="{4D74C742-CC71-4B42-80C8-5AED5DC0A76B}"/>
    <cellStyle name="Currency 11 3 2" xfId="1120" xr:uid="{3445D4D1-1CF7-4407-ADF2-7F1E1F197CBD}"/>
    <cellStyle name="Currency 11 3 2 2" xfId="1121" xr:uid="{971260FE-629A-4DF9-A8EB-52348A268CC7}"/>
    <cellStyle name="Currency 11 3 2 2 2" xfId="1122" xr:uid="{FD0C4831-EECA-42BB-96A7-193A447FD55B}"/>
    <cellStyle name="Currency 11 3 2 2 2 2" xfId="4921" xr:uid="{96079CD4-68A5-43F3-ABF5-8CAF03B0F0AB}"/>
    <cellStyle name="Currency 11 3 2 2 3" xfId="4920" xr:uid="{ACBFA5D7-0A13-484E-9889-E0F2683EE878}"/>
    <cellStyle name="Currency 11 3 2 3" xfId="1123" xr:uid="{1EC5E6D7-44DE-4C04-8C23-F80FDD700FB6}"/>
    <cellStyle name="Currency 11 3 2 3 2" xfId="4922" xr:uid="{203D1BD7-85FF-46C4-8835-7A636BC7EA7B}"/>
    <cellStyle name="Currency 11 3 2 4" xfId="4919" xr:uid="{C33C37F5-2576-4609-AF43-9ADF334772ED}"/>
    <cellStyle name="Currency 11 3 3" xfId="1124" xr:uid="{1B4BC264-1E1A-40A1-8918-C01947914F64}"/>
    <cellStyle name="Currency 11 3 3 2" xfId="1125" xr:uid="{4CE77248-9C1D-4780-9F63-6F27DE8360F6}"/>
    <cellStyle name="Currency 11 3 3 2 2" xfId="4924" xr:uid="{678F2101-38F3-4691-ADA1-D669B6B9568F}"/>
    <cellStyle name="Currency 11 3 3 3" xfId="4923" xr:uid="{FC414FF8-76FA-443E-84F3-3B4EBA811BE3}"/>
    <cellStyle name="Currency 11 3 4" xfId="1126" xr:uid="{76A56029-98A9-4AC0-B8E3-C66C6B1E88AF}"/>
    <cellStyle name="Currency 11 3 4 2" xfId="4925" xr:uid="{55DD2537-E66E-4330-8669-EE232364AD9B}"/>
    <cellStyle name="Currency 11 3 5" xfId="4918" xr:uid="{2A4DB954-8AB6-4777-B9A7-FC85DCB5ECC0}"/>
    <cellStyle name="Currency 11 4" xfId="1127" xr:uid="{35605F2B-F8A9-406C-997F-866AF29CF9AD}"/>
    <cellStyle name="Currency 11 4 2" xfId="1128" xr:uid="{DE6B6568-C45A-4053-8B92-169DA3E32F26}"/>
    <cellStyle name="Currency 11 4 2 2" xfId="1129" xr:uid="{790C5599-2121-4B1B-AA4B-396030BB5B71}"/>
    <cellStyle name="Currency 11 4 2 2 2" xfId="4928" xr:uid="{41227667-2479-442B-A287-C764AAA82ACE}"/>
    <cellStyle name="Currency 11 4 2 3" xfId="4927" xr:uid="{D2F82CDE-345F-4560-9062-2BAB72B74CA7}"/>
    <cellStyle name="Currency 11 4 3" xfId="1130" xr:uid="{8C9821AB-D1A8-4C0C-9647-D2601DE5FAFE}"/>
    <cellStyle name="Currency 11 4 3 2" xfId="4929" xr:uid="{EECC8D25-80F0-48C9-B039-FEE091C26295}"/>
    <cellStyle name="Currency 11 4 4" xfId="4926" xr:uid="{8FB145F5-8807-4003-9464-49A5D3CEA8EE}"/>
    <cellStyle name="Currency 11 5" xfId="1131" xr:uid="{878ECEE2-21B1-4102-8734-F02A19AE4A9A}"/>
    <cellStyle name="Currency 11 5 2" xfId="1132" xr:uid="{2A834C67-D486-4414-9D01-3E40D43E222B}"/>
    <cellStyle name="Currency 11 5 2 2" xfId="4931" xr:uid="{00A86203-D738-4AF8-A572-E676A3325651}"/>
    <cellStyle name="Currency 11 5 3" xfId="4930" xr:uid="{413BF537-AF55-4ECD-BC7F-5DB3A3E545A9}"/>
    <cellStyle name="Currency 11 6" xfId="1133" xr:uid="{92AE3C7F-ED8C-41EE-9E12-BF277C68A0C8}"/>
    <cellStyle name="Currency 11 6 2" xfId="4932" xr:uid="{5FC32C05-F352-495E-95C3-CBEA839D2C2C}"/>
    <cellStyle name="Currency 11 7" xfId="4909" xr:uid="{21D419A6-1D0C-4C82-B170-7C1745447294}"/>
    <cellStyle name="Currency 12" xfId="1134" xr:uid="{2067DFA6-55E1-4200-82E8-ECE83782C841}"/>
    <cellStyle name="Currency 12 2" xfId="4933" xr:uid="{95BCFC46-0784-45D5-8B27-AC35CBD9A849}"/>
    <cellStyle name="Currency 13" xfId="1135" xr:uid="{0224930C-D8AC-4B78-B157-33891744DBA5}"/>
    <cellStyle name="Currency 13 2" xfId="4934" xr:uid="{E7B7FE25-A573-4E2A-B767-4CF03559675F}"/>
    <cellStyle name="Currency 14" xfId="1136" xr:uid="{7D48EB09-D3F4-4E4F-B00A-27783019B2E1}"/>
    <cellStyle name="Currency 14 2" xfId="1137" xr:uid="{9DA899EC-B3A2-49A6-A717-9AD978330D46}"/>
    <cellStyle name="Currency 14 2 2" xfId="1138" xr:uid="{AA883DB5-1F63-4B56-8031-DA33B078FDD4}"/>
    <cellStyle name="Currency 14 2 2 2" xfId="1139" xr:uid="{B2A38F78-47CF-456C-936F-C4C3AE1D667A}"/>
    <cellStyle name="Currency 14 2 2 2 2" xfId="1140" xr:uid="{12E7B975-7037-4D3D-A0BC-BC599503BB3D}"/>
    <cellStyle name="Currency 14 2 2 2 2 2" xfId="4939" xr:uid="{6AB7D6C9-1E69-41F7-8E90-E7D21C8DDCA4}"/>
    <cellStyle name="Currency 14 2 2 2 3" xfId="4938" xr:uid="{9E3590D2-B829-4618-BD18-251ACF48FC92}"/>
    <cellStyle name="Currency 14 2 2 3" xfId="1141" xr:uid="{AD89144A-07C7-47FE-A6D9-BE4829797DF1}"/>
    <cellStyle name="Currency 14 2 2 3 2" xfId="4940" xr:uid="{E568D4D0-F727-441B-B115-D38FB9150F1E}"/>
    <cellStyle name="Currency 14 2 2 4" xfId="4937" xr:uid="{F9B03000-107B-45CE-8C2B-FEE630D941B6}"/>
    <cellStyle name="Currency 14 2 3" xfId="1142" xr:uid="{F9C2C76F-2A09-4D91-A033-FB1FB7801E3A}"/>
    <cellStyle name="Currency 14 2 3 2" xfId="1143" xr:uid="{679F706E-AB8E-4F52-82E5-03E33E04D596}"/>
    <cellStyle name="Currency 14 2 3 2 2" xfId="4942" xr:uid="{930385FE-72F9-41E3-8CE3-F945B6AB8F28}"/>
    <cellStyle name="Currency 14 2 3 3" xfId="4941" xr:uid="{9C1B6467-DE1D-4F2F-B819-CB3CF4ABEC89}"/>
    <cellStyle name="Currency 14 2 4" xfId="1144" xr:uid="{F24AE3C2-ABDF-4917-8568-829462170AB4}"/>
    <cellStyle name="Currency 14 2 4 2" xfId="4943" xr:uid="{EC22C9A0-B8DE-4633-927A-41B7B7D2A93E}"/>
    <cellStyle name="Currency 14 2 5" xfId="4936" xr:uid="{F558FA78-A212-4590-B01C-E91098D3EEB6}"/>
    <cellStyle name="Currency 14 3" xfId="1145" xr:uid="{0FA04B48-C0E2-4D4D-9CDB-24EB2BFAA3C7}"/>
    <cellStyle name="Currency 14 3 2" xfId="1146" xr:uid="{BD80FDD7-DF16-446D-9F2D-5F82AE2227B2}"/>
    <cellStyle name="Currency 14 3 2 2" xfId="1147" xr:uid="{4E829AD5-4E29-4D5B-BE13-6614314B7A75}"/>
    <cellStyle name="Currency 14 3 2 2 2" xfId="1148" xr:uid="{9D5A2564-BBD4-4A40-8714-D74BDBE1EF44}"/>
    <cellStyle name="Currency 14 3 2 2 2 2" xfId="4947" xr:uid="{EBDECC25-4086-4723-8152-0F60C647EA16}"/>
    <cellStyle name="Currency 14 3 2 2 3" xfId="4946" xr:uid="{5EE7862B-158A-432E-A8EC-3F6AF1A2857F}"/>
    <cellStyle name="Currency 14 3 2 3" xfId="1149" xr:uid="{A88A8977-A44B-49A0-AFBD-099B383A40FD}"/>
    <cellStyle name="Currency 14 3 2 3 2" xfId="4948" xr:uid="{259F4501-AD1E-4F25-A4B9-4C5EF3436034}"/>
    <cellStyle name="Currency 14 3 2 4" xfId="4945" xr:uid="{434F2C8E-6229-4703-A270-ED2588FF67CC}"/>
    <cellStyle name="Currency 14 3 3" xfId="1150" xr:uid="{543D5379-C221-4F2A-92C3-5EE15DB2F18D}"/>
    <cellStyle name="Currency 14 3 3 2" xfId="1151" xr:uid="{3C7618DC-6499-4E58-9364-8BD0477A71E7}"/>
    <cellStyle name="Currency 14 3 3 2 2" xfId="4950" xr:uid="{6891F249-E9A4-454D-8777-C56A57979826}"/>
    <cellStyle name="Currency 14 3 3 3" xfId="4949" xr:uid="{49AADB0C-3F1F-4CE7-B422-439FCBB4E212}"/>
    <cellStyle name="Currency 14 3 4" xfId="1152" xr:uid="{F4B457AA-0840-43FF-AAF2-57ED3BAE565A}"/>
    <cellStyle name="Currency 14 3 4 2" xfId="4951" xr:uid="{2129DAE1-CA58-41CC-899E-3219746A8DBF}"/>
    <cellStyle name="Currency 14 3 5" xfId="4944" xr:uid="{EBD34DDA-165D-43FB-A412-5D66E694C00A}"/>
    <cellStyle name="Currency 14 4" xfId="1153" xr:uid="{F2ACBD16-CB4E-471A-AF22-C9659295C93C}"/>
    <cellStyle name="Currency 14 4 2" xfId="1154" xr:uid="{6924EA88-8600-4FA8-84DD-D74D9C329A06}"/>
    <cellStyle name="Currency 14 4 2 2" xfId="1155" xr:uid="{0874C65C-38DF-4300-984B-1CE1792D7A6F}"/>
    <cellStyle name="Currency 14 4 2 2 2" xfId="1156" xr:uid="{BBC29739-6806-4287-8B1E-26E73F237CA1}"/>
    <cellStyle name="Currency 14 4 2 2 2 2" xfId="4955" xr:uid="{8C1B55B3-CC45-4C81-BE82-B4243ACF2C4A}"/>
    <cellStyle name="Currency 14 4 2 2 3" xfId="4954" xr:uid="{962ACC5B-D5EA-4165-96D5-8422AF1F2AAD}"/>
    <cellStyle name="Currency 14 4 2 3" xfId="1157" xr:uid="{7A600412-6CAF-45EB-B404-120C3BE4477C}"/>
    <cellStyle name="Currency 14 4 2 3 2" xfId="4956" xr:uid="{8B0F0988-CC70-4C9F-BD45-0D2F5A6D9D82}"/>
    <cellStyle name="Currency 14 4 2 4" xfId="4953" xr:uid="{D8307A39-7246-4D4B-85CE-78FB88942979}"/>
    <cellStyle name="Currency 14 4 3" xfId="1158" xr:uid="{DA0BA087-7C0E-4B99-886D-8E305CD18DE9}"/>
    <cellStyle name="Currency 14 4 3 2" xfId="1159" xr:uid="{118AA74C-CBD5-41E5-B6D2-1249E0E9CA1D}"/>
    <cellStyle name="Currency 14 4 3 2 2" xfId="4958" xr:uid="{73C7C727-118C-4CE5-87F6-7E99A7053B99}"/>
    <cellStyle name="Currency 14 4 3 3" xfId="4957" xr:uid="{EC07C02A-F4D1-4317-8958-FE03AD3373F0}"/>
    <cellStyle name="Currency 14 4 4" xfId="1160" xr:uid="{2573D1B5-C743-4AB9-A43E-F674A3D2C71C}"/>
    <cellStyle name="Currency 14 4 4 2" xfId="4959" xr:uid="{9098B05D-6BED-415A-96DA-3AE2B1577A8C}"/>
    <cellStyle name="Currency 14 4 5" xfId="4952" xr:uid="{1C9F463D-9400-43C8-B078-5E8D92425EDF}"/>
    <cellStyle name="Currency 14 5" xfId="1161" xr:uid="{86545AB9-D884-4343-99B3-85C23DFAEAE6}"/>
    <cellStyle name="Currency 14 5 2" xfId="1162" xr:uid="{1D27E05F-DA6F-4D08-ABFA-78D4EAD2E963}"/>
    <cellStyle name="Currency 14 5 2 2" xfId="1163" xr:uid="{BB9CDEBE-580B-4BB2-9F3E-A5FAADE31C26}"/>
    <cellStyle name="Currency 14 5 2 2 2" xfId="4962" xr:uid="{AA4142C5-2359-4CD0-9894-A6143F115BF2}"/>
    <cellStyle name="Currency 14 5 2 3" xfId="4961" xr:uid="{EDE97028-0F54-4CE5-B45D-451ADAA2107E}"/>
    <cellStyle name="Currency 14 5 3" xfId="1164" xr:uid="{7502F647-EC29-40C9-8BBB-8BF3AE360403}"/>
    <cellStyle name="Currency 14 5 3 2" xfId="4963" xr:uid="{251035BA-60B5-48E9-9288-9AF5A0082A9E}"/>
    <cellStyle name="Currency 14 5 4" xfId="4960" xr:uid="{6E1F195D-303D-40AE-925C-12F9BD5F3685}"/>
    <cellStyle name="Currency 14 6" xfId="1165" xr:uid="{84D9F1BD-8DEC-4008-9D7B-40E0171E12DE}"/>
    <cellStyle name="Currency 14 6 2" xfId="1166" xr:uid="{FE403D25-69A6-4A39-9C62-1BC8FDE13176}"/>
    <cellStyle name="Currency 14 6 2 2" xfId="4965" xr:uid="{E818E2C3-9780-46C3-A940-06A65CCBC621}"/>
    <cellStyle name="Currency 14 6 3" xfId="4964" xr:uid="{E69FE275-8320-4E1A-A55C-9A6A3C728EBE}"/>
    <cellStyle name="Currency 14 7" xfId="1167" xr:uid="{FCC0C06D-5F74-4AE5-A6B9-47D7C6459C4B}"/>
    <cellStyle name="Currency 14 7 2" xfId="4966" xr:uid="{18F46E88-F37F-4F4A-86D2-74032CD7907D}"/>
    <cellStyle name="Currency 14 8" xfId="4935" xr:uid="{CD181D8F-5D97-46FB-AC57-8B24B0CF1CB4}"/>
    <cellStyle name="Currency 15" xfId="1168" xr:uid="{D58C6E41-CC82-40DF-819E-85978D1CC563}"/>
    <cellStyle name="Currency 15 2" xfId="1169" xr:uid="{485795A2-45F7-49D2-9E4F-C00E4B3CBB4F}"/>
    <cellStyle name="Currency 15 2 2" xfId="1170" xr:uid="{CCFAF7E7-1F5D-4134-9FD0-98B8D084D7B9}"/>
    <cellStyle name="Currency 15 2 2 2" xfId="1171" xr:uid="{9D2ECEB6-5E5D-4D65-BA94-67C881557EAC}"/>
    <cellStyle name="Currency 15 2 2 2 2" xfId="4970" xr:uid="{17739830-3D56-49A5-8237-C3C3C509C3D1}"/>
    <cellStyle name="Currency 15 2 2 3" xfId="4969" xr:uid="{8CC480AC-EF93-485D-9102-5D2C52F02A25}"/>
    <cellStyle name="Currency 15 2 3" xfId="1172" xr:uid="{60E60D35-3903-4BF1-991D-AB571B73B501}"/>
    <cellStyle name="Currency 15 2 3 2" xfId="4971" xr:uid="{E927753A-F118-45B7-9488-78B0C40814EC}"/>
    <cellStyle name="Currency 15 2 4" xfId="4968" xr:uid="{7198230B-612D-4DD0-A3F5-96FFB509EC01}"/>
    <cellStyle name="Currency 15 3" xfId="1173" xr:uid="{415B7F11-0613-4442-A163-F7E719CB9AE9}"/>
    <cellStyle name="Currency 15 3 2" xfId="1174" xr:uid="{BEB80E82-0322-4F80-93F0-C02FB8CF6DFA}"/>
    <cellStyle name="Currency 15 3 2 2" xfId="4973" xr:uid="{2158B670-2859-4087-9F28-F319BEE9D757}"/>
    <cellStyle name="Currency 15 3 3" xfId="4972" xr:uid="{15638FCF-E927-4C71-8B57-368CB2F7C6DE}"/>
    <cellStyle name="Currency 15 4" xfId="1175" xr:uid="{6F556EE4-E9F6-42E7-A222-865151505E08}"/>
    <cellStyle name="Currency 15 4 2" xfId="4974" xr:uid="{045931D6-DFCB-42CD-98D4-8B55FAEA2672}"/>
    <cellStyle name="Currency 15 5" xfId="4967" xr:uid="{86D043B6-0AFE-4D75-B6F2-35E908CBC7EE}"/>
    <cellStyle name="Currency 16" xfId="1176" xr:uid="{BF5794AC-88F1-4BC7-92A1-F640C2FFDD8E}"/>
    <cellStyle name="Currency 16 2" xfId="1177" xr:uid="{760A97B7-C7C0-4580-B4D1-B40E3883F55E}"/>
    <cellStyle name="Currency 16 2 2" xfId="4976" xr:uid="{9CE65D0F-1222-4BD7-A44F-6402626853E8}"/>
    <cellStyle name="Currency 16 3" xfId="4975" xr:uid="{3261247F-52B6-49A3-9F31-98DD762B8670}"/>
    <cellStyle name="Currency 17" xfId="1178" xr:uid="{9769CE8B-E28D-4EF3-AE31-9E1B3690589B}"/>
    <cellStyle name="Currency 17 2" xfId="4977" xr:uid="{9C4C3E87-F842-42F8-87D4-CD334DEF9820}"/>
    <cellStyle name="Currency 18" xfId="1179" xr:uid="{4E42CA2B-AE82-4185-A798-D87D82A0D4B5}"/>
    <cellStyle name="Currency 18 2" xfId="4978" xr:uid="{5F35CC20-0E43-4C76-94CF-B1BBAE181ACA}"/>
    <cellStyle name="Currency 19" xfId="1180" xr:uid="{F17C8272-F457-48C7-ADEA-77487DA4371D}"/>
    <cellStyle name="Currency 19 2" xfId="1181" xr:uid="{4D4BCEC5-5448-4CA6-B3D1-F7CC8E3C27EE}"/>
    <cellStyle name="Currency 19 2 2" xfId="1182" xr:uid="{C24D501C-E126-47AA-A05C-E7F8FF07D4FC}"/>
    <cellStyle name="Currency 19 2 2 2" xfId="1183" xr:uid="{FB8B632C-C681-491D-9492-340108C435CE}"/>
    <cellStyle name="Currency 19 2 2 2 2" xfId="1184" xr:uid="{3BB0CF69-ABF0-41E7-A4BE-406E7D640065}"/>
    <cellStyle name="Currency 19 2 2 2 2 2" xfId="4983" xr:uid="{DE387299-47E3-458F-A39F-9BF2CD7D18F7}"/>
    <cellStyle name="Currency 19 2 2 2 3" xfId="4982" xr:uid="{CA15989F-3DE8-48D8-A7C6-45C13A385FBE}"/>
    <cellStyle name="Currency 19 2 2 3" xfId="1185" xr:uid="{080F2B37-4839-4111-A204-0D6B883BE6F2}"/>
    <cellStyle name="Currency 19 2 2 3 2" xfId="4984" xr:uid="{E241B183-7C41-4D25-AB8D-72C4C2CF7A78}"/>
    <cellStyle name="Currency 19 2 2 4" xfId="4981" xr:uid="{B7AC74BE-94D8-4A1D-A03E-8E248FD1A10B}"/>
    <cellStyle name="Currency 19 2 3" xfId="1186" xr:uid="{8AD7C1C1-AB40-4C5A-9193-3EB983C01FB9}"/>
    <cellStyle name="Currency 19 2 3 2" xfId="1187" xr:uid="{13889D36-B6A3-4349-B932-4E527CA8631D}"/>
    <cellStyle name="Currency 19 2 3 2 2" xfId="4986" xr:uid="{565CBBC4-BE51-466A-8819-B546F0AF4701}"/>
    <cellStyle name="Currency 19 2 3 3" xfId="4985" xr:uid="{EBCD13E4-7A3D-485A-89C7-0B8214057E2E}"/>
    <cellStyle name="Currency 19 2 4" xfId="1188" xr:uid="{5E95317F-C89D-4696-85C1-D21E65C2AD75}"/>
    <cellStyle name="Currency 19 2 4 2" xfId="4987" xr:uid="{DACC01F0-CF57-43F6-AAD4-9DD8BEACB853}"/>
    <cellStyle name="Currency 19 2 5" xfId="4980" xr:uid="{ECC21004-3B6B-4803-8613-4EDE1C577633}"/>
    <cellStyle name="Currency 19 3" xfId="1189" xr:uid="{64C29A24-E8D5-4198-A7D9-09A8923089EC}"/>
    <cellStyle name="Currency 19 3 2" xfId="1190" xr:uid="{9A1F3D14-8D2F-4117-B691-2342B924A2E1}"/>
    <cellStyle name="Currency 19 3 2 2" xfId="1191" xr:uid="{43FC344B-8BF5-4E13-8D21-8CA17DB3CB76}"/>
    <cellStyle name="Currency 19 3 2 2 2" xfId="1192" xr:uid="{8761E603-A8C0-466D-B2B5-D4AC6501223D}"/>
    <cellStyle name="Currency 19 3 2 2 2 2" xfId="4991" xr:uid="{9B957370-6048-4C76-82EF-8DC8C4A22D7E}"/>
    <cellStyle name="Currency 19 3 2 2 3" xfId="4990" xr:uid="{0A4CDCC0-0DD6-4544-87F2-61681DB9FBF5}"/>
    <cellStyle name="Currency 19 3 2 3" xfId="1193" xr:uid="{C996CF8C-E50A-4306-BC71-24BD095B4B30}"/>
    <cellStyle name="Currency 19 3 2 3 2" xfId="4992" xr:uid="{35DC51D9-433B-4FCD-B3A1-52EE358FA010}"/>
    <cellStyle name="Currency 19 3 2 4" xfId="4989" xr:uid="{2D948CB2-8983-45DD-8ABF-3F3D744BC631}"/>
    <cellStyle name="Currency 19 3 3" xfId="1194" xr:uid="{E385A610-33E8-46E4-B881-173076F15EE9}"/>
    <cellStyle name="Currency 19 3 3 2" xfId="1195" xr:uid="{5CFA31C5-D759-4EEB-A738-2E05434E1F5D}"/>
    <cellStyle name="Currency 19 3 3 2 2" xfId="4994" xr:uid="{5A8E967B-3FA6-4B25-8C3F-289ECA36CD81}"/>
    <cellStyle name="Currency 19 3 3 3" xfId="4993" xr:uid="{4A46448F-E9D5-4038-B93B-1541A1F0BB45}"/>
    <cellStyle name="Currency 19 3 4" xfId="1196" xr:uid="{DF2787B5-B96C-40AB-9722-B65A068984D8}"/>
    <cellStyle name="Currency 19 3 4 2" xfId="4995" xr:uid="{B637392C-8353-47B2-AF93-0F6822AD8535}"/>
    <cellStyle name="Currency 19 3 5" xfId="4988" xr:uid="{D436789B-1B89-4719-ACDB-FA1C1C7F34A3}"/>
    <cellStyle name="Currency 19 4" xfId="1197" xr:uid="{BE14F1AD-2DBB-4F6E-9892-55F849A7F347}"/>
    <cellStyle name="Currency 19 4 2" xfId="1198" xr:uid="{CFCD3D42-7920-4804-9209-81F80DC1FFF9}"/>
    <cellStyle name="Currency 19 4 2 2" xfId="1199" xr:uid="{59AD5302-1744-4786-B748-19D281788E5C}"/>
    <cellStyle name="Currency 19 4 2 2 2" xfId="4998" xr:uid="{89C6F3FF-666E-43C7-9355-0684F7A8941A}"/>
    <cellStyle name="Currency 19 4 2 3" xfId="4997" xr:uid="{5F388F79-40BE-4505-9E8C-4ECD3FD2EF06}"/>
    <cellStyle name="Currency 19 4 3" xfId="1200" xr:uid="{7BB12900-47BE-4417-9EB5-5FA80BC27C1F}"/>
    <cellStyle name="Currency 19 4 3 2" xfId="4999" xr:uid="{EEE67CCD-0BEF-4245-AE91-5F286B1549DB}"/>
    <cellStyle name="Currency 19 4 4" xfId="4996" xr:uid="{6F419773-5A11-4D64-AEDB-446DB72D1ABB}"/>
    <cellStyle name="Currency 19 5" xfId="1201" xr:uid="{C3540AF2-284B-4266-A78E-97F306E132F5}"/>
    <cellStyle name="Currency 19 5 2" xfId="1202" xr:uid="{7161871A-98C9-47E5-BA2E-A2BBB42990D7}"/>
    <cellStyle name="Currency 19 5 2 2" xfId="5001" xr:uid="{27F20869-F7AC-420F-B7CA-DD6177ACCCC4}"/>
    <cellStyle name="Currency 19 5 3" xfId="5000" xr:uid="{2C8F554E-D387-446C-9786-210C4AE19E50}"/>
    <cellStyle name="Currency 19 6" xfId="1203" xr:uid="{77B6B51E-787A-4A8E-B135-1D72CC201E6A}"/>
    <cellStyle name="Currency 19 6 2" xfId="5002" xr:uid="{F9FD5738-0601-4CB3-9A24-5B376B9A943A}"/>
    <cellStyle name="Currency 19 7" xfId="4979" xr:uid="{0ED1AD8F-AD8D-4839-B199-FEFEC9206B16}"/>
    <cellStyle name="Currency 2" xfId="12" xr:uid="{B295F7FA-C06F-4A74-958B-5F0250228030}"/>
    <cellStyle name="Currency-- 2" xfId="5389" xr:uid="{EB166F73-8BBE-4AA8-9EFE-5A40E7294F4C}"/>
    <cellStyle name="Currency 2 10" xfId="1204" xr:uid="{A5D485E2-67EF-46E2-B4E9-8ACF6ECE238D}"/>
    <cellStyle name="Currency 2 10 2" xfId="1205" xr:uid="{72F97BD7-BAD9-4A23-A335-7B0B6906387C}"/>
    <cellStyle name="Currency 2 10 2 2" xfId="1206" xr:uid="{23271F48-63BF-4493-8793-551E346C140F}"/>
    <cellStyle name="Currency 2 10 2 2 2" xfId="5005" xr:uid="{838C0DB4-7DFD-4165-99B6-B83C868AEF54}"/>
    <cellStyle name="Currency 2 10 2 3" xfId="5004" xr:uid="{811DDD17-EA50-415E-8566-9D02F8FFB6F6}"/>
    <cellStyle name="Currency 2 10 3" xfId="1207" xr:uid="{A1D4FD66-B6FD-49F7-A4B6-48327E29A2D8}"/>
    <cellStyle name="Currency 2 10 3 2" xfId="5006" xr:uid="{C77D4DC7-ABB8-4B0D-AF98-862D63107E6F}"/>
    <cellStyle name="Currency 2 10 4" xfId="5003" xr:uid="{449C46F9-EE60-4923-AE6E-F637AE1834D7}"/>
    <cellStyle name="Currency 2 11" xfId="1208" xr:uid="{7F3555B0-37DD-49C2-B78D-39C6D506A5C1}"/>
    <cellStyle name="Currency 2 11 2" xfId="5007" xr:uid="{1F255E09-1F6D-4992-8F58-30D7C013223D}"/>
    <cellStyle name="Currency 2 12" xfId="1209" xr:uid="{01300CAB-AF28-4D39-813A-7B5654505656}"/>
    <cellStyle name="Currency 2 12 2" xfId="5008" xr:uid="{52CD8217-B004-4CF0-A06C-FF992DF3C0A4}"/>
    <cellStyle name="Currency 2 13" xfId="1210" xr:uid="{2274140A-ABF1-4517-994D-01AA359D2488}"/>
    <cellStyle name="Currency 2 13 2" xfId="5009" xr:uid="{44AF9F3C-46DA-4A28-BAB2-3DEAFA9E4E75}"/>
    <cellStyle name="Currency 2 14" xfId="1211" xr:uid="{8043F2CB-2C0C-4FAD-8DC7-ABD00A451E34}"/>
    <cellStyle name="Currency 2 14 2" xfId="5010" xr:uid="{43BCA6FC-AC9C-441C-97C0-B6347D7F4267}"/>
    <cellStyle name="Currency 2 15" xfId="1212" xr:uid="{AC1EB6F0-FF1C-4AE3-8355-002783C1F758}"/>
    <cellStyle name="Currency 2 15 2" xfId="5011" xr:uid="{0FE7FACD-4EEA-4553-A162-7D8B5774D24D}"/>
    <cellStyle name="Currency 2 16" xfId="1213" xr:uid="{80453FCB-A8C4-4468-A055-4B2216C02902}"/>
    <cellStyle name="Currency 2 16 2" xfId="5012" xr:uid="{4B26670C-88FF-4D03-AE76-9896B8F30E19}"/>
    <cellStyle name="Currency 2 17" xfId="1214" xr:uid="{78908B8C-420D-4905-8425-4420B74E688E}"/>
    <cellStyle name="Currency 2 17 2" xfId="5013" xr:uid="{3329044C-9374-4570-8557-0051A7817FA4}"/>
    <cellStyle name="Currency 2 18" xfId="1215" xr:uid="{0D7E40EA-C06F-4D41-BAFB-12AD2D74B00B}"/>
    <cellStyle name="Currency 2 18 2" xfId="5014" xr:uid="{D799E617-E7E7-4F5D-8864-9931D1935FEE}"/>
    <cellStyle name="Currency 2 19" xfId="4661" xr:uid="{8067F6E5-29F6-4338-B07D-A2113C597B8B}"/>
    <cellStyle name="Currency 2 2" xfId="1216" xr:uid="{CF133474-7B58-4063-8357-D82862D2CAA8}"/>
    <cellStyle name="Currency 2 2 10" xfId="1217" xr:uid="{59A50420-AF68-4AC4-B44E-58ED6672D0DA}"/>
    <cellStyle name="Currency 2 2 10 2" xfId="5015" xr:uid="{1D7A81FC-806D-4477-B78A-4227F628BBD9}"/>
    <cellStyle name="Currency 2 2 11" xfId="1218" xr:uid="{AEBCE4D7-1F47-4908-A743-F30CD4D12154}"/>
    <cellStyle name="Currency 2 2 11 2" xfId="5016" xr:uid="{A4B4218D-84D3-4906-BE5C-12A5B734F760}"/>
    <cellStyle name="Currency 2 2 2" xfId="1219" xr:uid="{73AC8F66-DD8C-4B01-AD41-DE1932845532}"/>
    <cellStyle name="Currency 2 2 2 2" xfId="5017" xr:uid="{85D22766-FF0C-46FB-A747-46E238230AE7}"/>
    <cellStyle name="Currency 2 2 3" xfId="1220" xr:uid="{1CB6E180-295D-45F5-AA57-47F50EF1D003}"/>
    <cellStyle name="Currency 2 2 3 2" xfId="5018" xr:uid="{F5813512-D8F4-4231-9C5F-815D0F36D812}"/>
    <cellStyle name="Currency 2 2 4" xfId="1221" xr:uid="{AC622984-BC60-454B-BCD1-3A1CFB9F6B2B}"/>
    <cellStyle name="Currency 2 2 5" xfId="1222" xr:uid="{93DD2FF4-7EAE-4E85-B57E-6842C1B05423}"/>
    <cellStyle name="Currency 2 2 6" xfId="1223" xr:uid="{D7D94F94-1FCD-4211-AD65-7F6FF6D7EDA5}"/>
    <cellStyle name="Currency 2 2 7" xfId="1224" xr:uid="{47AD1F04-E93D-4B20-BAD2-649DA088EF03}"/>
    <cellStyle name="Currency 2 2 8" xfId="1225" xr:uid="{692771E7-D407-4111-9DD5-1010B79BEA7D}"/>
    <cellStyle name="Currency 2 2 8 2" xfId="5019" xr:uid="{134E9A8D-D946-440B-99EB-F3E86CBD06ED}"/>
    <cellStyle name="Currency 2 2 9" xfId="1226" xr:uid="{26065C35-B12F-4B12-93FF-96BF984B6142}"/>
    <cellStyle name="Currency 2 2 9 2" xfId="5020" xr:uid="{19474FBA-3A72-421F-838A-68D7BEAA9E55}"/>
    <cellStyle name="Currency 2 3" xfId="1227" xr:uid="{60F89624-D0CE-4AF0-BAFE-A2EAA3832973}"/>
    <cellStyle name="Currency 2 3 2" xfId="1228" xr:uid="{51508197-5221-45AF-AA9D-B2716F5931BA}"/>
    <cellStyle name="Currency 2 3 3" xfId="1229" xr:uid="{6C829D73-163C-424D-80AF-B0E603194697}"/>
    <cellStyle name="Currency 2 3 4" xfId="1230" xr:uid="{817C3163-F560-4E26-BBDA-7F12A5819A51}"/>
    <cellStyle name="Currency 2 3 5" xfId="1231" xr:uid="{7C4383D2-ED4A-4EE8-B11B-02EBED88C315}"/>
    <cellStyle name="Currency 2 3 6" xfId="5021" xr:uid="{BBCB4E11-3F8D-4D72-B291-2CAB126D20D3}"/>
    <cellStyle name="Currency 2 4" xfId="1232" xr:uid="{ADC89DD4-DC85-4478-B562-DD5AE5CFBFB1}"/>
    <cellStyle name="Currency 2 4 2" xfId="5022" xr:uid="{B2CAC46D-AF6E-4F88-AB3C-354AC063BA0A}"/>
    <cellStyle name="Currency 2 5" xfId="1233" xr:uid="{C510E6A2-BEE9-4EF2-80CD-CAD9774AC4ED}"/>
    <cellStyle name="Currency 2 5 2" xfId="5023" xr:uid="{0CD42726-27EC-42C9-A070-6BB814FDA4D9}"/>
    <cellStyle name="Currency 2 6" xfId="1234" xr:uid="{53202E87-8423-427F-BB9B-5D98BB6E0B33}"/>
    <cellStyle name="Currency 2 6 2" xfId="5024" xr:uid="{336408C6-E583-4542-A42C-1808515FAC68}"/>
    <cellStyle name="Currency 2 7" xfId="1235" xr:uid="{C52F0678-1190-44BC-B0BF-AD1CDC044B97}"/>
    <cellStyle name="Currency 2 7 2" xfId="5025" xr:uid="{11745D4C-5795-4270-AD70-C19F6C878829}"/>
    <cellStyle name="Currency 2 8" xfId="1236" xr:uid="{0A1C10AE-517B-425B-AACC-EE93C779246C}"/>
    <cellStyle name="Currency 2 8 2" xfId="5026" xr:uid="{C24507D4-6FAE-428F-A05A-B5531AF55D95}"/>
    <cellStyle name="Currency 2 9" xfId="1237" xr:uid="{730D79A9-1A25-4766-9084-2A3D67B6466F}"/>
    <cellStyle name="Currency 2 9 2" xfId="5027" xr:uid="{1D3E4086-D7CD-461C-8FD4-7D765DCC8D26}"/>
    <cellStyle name="Currency 2*" xfId="1239" xr:uid="{0FE1426F-1232-4478-BBBF-BB16C5DBC740}"/>
    <cellStyle name="Currency 2_CLdcfmodel" xfId="1238" xr:uid="{2174154B-7B50-46E1-AF0A-A4AE8E268007}"/>
    <cellStyle name="Currency 20" xfId="1240" xr:uid="{9C6E8DA9-9531-49D3-B853-E61335E2C82E}"/>
    <cellStyle name="Currency 20 2" xfId="1241" xr:uid="{DF0990E3-231A-47A1-A259-D2658930C8E4}"/>
    <cellStyle name="Currency 20 2 2" xfId="1242" xr:uid="{0CB3EBC0-9977-47D4-9D1F-6F5A4EDA27D6}"/>
    <cellStyle name="Currency 20 2 2 2" xfId="1243" xr:uid="{552CC6AB-0043-4318-8331-3336EDFA341D}"/>
    <cellStyle name="Currency 20 2 2 2 2" xfId="1244" xr:uid="{4938EEAC-A619-47DB-A018-B5EB44440825}"/>
    <cellStyle name="Currency 20 2 2 2 2 2" xfId="5032" xr:uid="{97B0A3F1-6135-481E-BC12-FE35426291BD}"/>
    <cellStyle name="Currency 20 2 2 2 3" xfId="5031" xr:uid="{343E670E-548B-4532-BED4-872AC208A535}"/>
    <cellStyle name="Currency 20 2 2 3" xfId="1245" xr:uid="{1338A569-3CCA-42B8-8692-89FE927CAE11}"/>
    <cellStyle name="Currency 20 2 2 3 2" xfId="5033" xr:uid="{4B03412F-61B3-464E-B593-FE6D922ACD7D}"/>
    <cellStyle name="Currency 20 2 2 4" xfId="5030" xr:uid="{6C92D603-436A-4139-B448-0D5F84263115}"/>
    <cellStyle name="Currency 20 2 3" xfId="1246" xr:uid="{15F53D9B-368E-45BB-9901-0028CA0C3A5F}"/>
    <cellStyle name="Currency 20 2 3 2" xfId="1247" xr:uid="{B1AD6F86-F0DF-4375-855F-3DD7C1B830D8}"/>
    <cellStyle name="Currency 20 2 3 2 2" xfId="5035" xr:uid="{E972D257-5067-4DE7-A895-2ACEDCA6B7BE}"/>
    <cellStyle name="Currency 20 2 3 3" xfId="5034" xr:uid="{A9A43923-2C85-4A91-A044-F5E90E126770}"/>
    <cellStyle name="Currency 20 2 4" xfId="1248" xr:uid="{4068BBBA-C708-4F69-BCB6-8FB5E589ADC9}"/>
    <cellStyle name="Currency 20 2 4 2" xfId="5036" xr:uid="{4D6A34FD-1546-4A75-8601-39A8C8813912}"/>
    <cellStyle name="Currency 20 2 5" xfId="5029" xr:uid="{0D8F0832-BE8D-4ED4-B331-37F23F74C37A}"/>
    <cellStyle name="Currency 20 3" xfId="1249" xr:uid="{FFF0EF48-B392-436E-9C0C-A5413B4618A3}"/>
    <cellStyle name="Currency 20 3 2" xfId="1250" xr:uid="{6ADF6139-9AD0-43A4-8BFD-527C1F0E99E2}"/>
    <cellStyle name="Currency 20 3 2 2" xfId="1251" xr:uid="{CC380C44-367B-4DEF-AE03-8DEFBC9D0880}"/>
    <cellStyle name="Currency 20 3 2 2 2" xfId="1252" xr:uid="{A9BF74B7-5BF4-48C5-96DB-581D9532E2A0}"/>
    <cellStyle name="Currency 20 3 2 2 2 2" xfId="5040" xr:uid="{4D6187D1-FAA2-47D4-A4B5-76CCFA7AD9D4}"/>
    <cellStyle name="Currency 20 3 2 2 3" xfId="5039" xr:uid="{2DBCA7A1-311C-4B7C-B98B-1431031D42E5}"/>
    <cellStyle name="Currency 20 3 2 3" xfId="1253" xr:uid="{B4CDE881-231A-47B9-B926-858C51228199}"/>
    <cellStyle name="Currency 20 3 2 3 2" xfId="5041" xr:uid="{B2689D15-B978-4A0C-8861-E3F2028FC9D9}"/>
    <cellStyle name="Currency 20 3 2 4" xfId="5038" xr:uid="{18118CA3-CF51-4923-BAF2-A50F308A4C28}"/>
    <cellStyle name="Currency 20 3 3" xfId="1254" xr:uid="{D6053FD8-282C-4EE6-8BBA-5D5B649CF8C8}"/>
    <cellStyle name="Currency 20 3 3 2" xfId="1255" xr:uid="{01A95C7A-D097-4DFE-ADAE-34596FCF934A}"/>
    <cellStyle name="Currency 20 3 3 2 2" xfId="5043" xr:uid="{2D276B9C-C433-4ABC-A14E-BA465C97563A}"/>
    <cellStyle name="Currency 20 3 3 3" xfId="5042" xr:uid="{F3E730FE-1445-45CB-A4C4-A54FBC7BE5CD}"/>
    <cellStyle name="Currency 20 3 4" xfId="1256" xr:uid="{855B0C3C-9623-4978-828F-688E8317A40D}"/>
    <cellStyle name="Currency 20 3 4 2" xfId="5044" xr:uid="{50A2316F-7B91-4246-AEFC-16173B2882AF}"/>
    <cellStyle name="Currency 20 3 5" xfId="5037" xr:uid="{C857BE4B-17E4-426F-97B0-9A164D606F87}"/>
    <cellStyle name="Currency 20 4" xfId="1257" xr:uid="{DBD48A37-1897-42B7-82B9-3D44A4DF7EB8}"/>
    <cellStyle name="Currency 20 4 2" xfId="1258" xr:uid="{0D4930F9-54FB-4F0F-B2F5-B963490DF29B}"/>
    <cellStyle name="Currency 20 4 2 2" xfId="1259" xr:uid="{AC62DF88-2B4B-46BE-9BFC-2820A105146D}"/>
    <cellStyle name="Currency 20 4 2 2 2" xfId="5047" xr:uid="{96670A07-9BD0-4D95-A66F-42287F4E3EE3}"/>
    <cellStyle name="Currency 20 4 2 3" xfId="5046" xr:uid="{62F3F3FB-1C8E-4900-8698-D00CB48EF173}"/>
    <cellStyle name="Currency 20 4 3" xfId="1260" xr:uid="{71036230-FCB5-4873-ACCA-8B30510950B0}"/>
    <cellStyle name="Currency 20 4 3 2" xfId="5048" xr:uid="{F663299C-3D2C-49E7-ADFE-2BE3221C8C2C}"/>
    <cellStyle name="Currency 20 4 4" xfId="5045" xr:uid="{03B599B5-E2AE-4729-8770-2550D215A77F}"/>
    <cellStyle name="Currency 20 5" xfId="1261" xr:uid="{2C3FE5B1-F593-4408-821D-D40777FD06C1}"/>
    <cellStyle name="Currency 20 5 2" xfId="1262" xr:uid="{894D2720-3D3E-47C6-AB6F-656A901DEC8F}"/>
    <cellStyle name="Currency 20 5 2 2" xfId="5050" xr:uid="{F4A46F7B-0E89-41D5-BF70-6AF65B5E06D8}"/>
    <cellStyle name="Currency 20 5 3" xfId="5049" xr:uid="{B6657676-A196-4031-AA59-48DF252AF5EF}"/>
    <cellStyle name="Currency 20 6" xfId="1263" xr:uid="{FD64E92B-BBEC-4FE9-944A-907C64072F9C}"/>
    <cellStyle name="Currency 20 6 2" xfId="5051" xr:uid="{AA69610E-DBC3-48B3-A71A-D2D4B0895932}"/>
    <cellStyle name="Currency 20 7" xfId="5028" xr:uid="{971F38EB-F08F-4F22-84D1-A8D85D3D37A2}"/>
    <cellStyle name="Currency 21" xfId="1264" xr:uid="{7282B663-EB5F-4D61-B644-B3D424FE7547}"/>
    <cellStyle name="Currency 21 2" xfId="1265" xr:uid="{4AA79052-56B8-48A0-A7F9-AACC381EC38C}"/>
    <cellStyle name="Currency 21 2 2" xfId="1266" xr:uid="{32EA3A83-AA20-426A-BDF6-384838B2751B}"/>
    <cellStyle name="Currency 21 2 2 2" xfId="1267" xr:uid="{CEFBB3B1-76CF-4D04-8DF4-F6F06C7145A1}"/>
    <cellStyle name="Currency 21 2 2 2 2" xfId="1268" xr:uid="{8CDEFAB7-2921-497C-B114-AE6A84FFB4AF}"/>
    <cellStyle name="Currency 21 2 2 2 2 2" xfId="5056" xr:uid="{580409CA-5AD4-4962-84CA-4329EA4F198A}"/>
    <cellStyle name="Currency 21 2 2 2 3" xfId="5055" xr:uid="{E8C1D30D-4192-45A6-B26F-850AD023D7EA}"/>
    <cellStyle name="Currency 21 2 2 3" xfId="1269" xr:uid="{876BCE08-5741-4663-A58D-0BA95627D2E3}"/>
    <cellStyle name="Currency 21 2 2 3 2" xfId="5057" xr:uid="{F2ADA6F7-8412-4B1A-A70D-2D2B38EE718A}"/>
    <cellStyle name="Currency 21 2 2 4" xfId="5054" xr:uid="{B21683FC-004E-4D5A-9894-FBFF88D53B4D}"/>
    <cellStyle name="Currency 21 2 3" xfId="1270" xr:uid="{891AE799-0664-4F16-8532-725CA8F7F048}"/>
    <cellStyle name="Currency 21 2 3 2" xfId="1271" xr:uid="{6B0C69C5-50D6-4775-8928-75E5DF9D6E75}"/>
    <cellStyle name="Currency 21 2 3 2 2" xfId="5059" xr:uid="{05728F27-943F-48B0-AA3B-FB05AFC54753}"/>
    <cellStyle name="Currency 21 2 3 3" xfId="5058" xr:uid="{D1E7B267-25A0-4117-B29A-AE73181E8F6E}"/>
    <cellStyle name="Currency 21 2 4" xfId="1272" xr:uid="{2DCD58DD-116C-4834-8453-54C8151D31B2}"/>
    <cellStyle name="Currency 21 2 4 2" xfId="5060" xr:uid="{7093C138-E7DB-4D98-B7E0-9CA2F1271CB2}"/>
    <cellStyle name="Currency 21 2 5" xfId="5053" xr:uid="{5C4435D5-8268-4927-A81F-6358778CA5E3}"/>
    <cellStyle name="Currency 21 3" xfId="1273" xr:uid="{2934A27F-7A2F-4402-9BB9-76DC3F76B389}"/>
    <cellStyle name="Currency 21 3 2" xfId="1274" xr:uid="{ED491CBE-55E5-4C8E-8023-842B451EFCAC}"/>
    <cellStyle name="Currency 21 3 2 2" xfId="1275" xr:uid="{C8CCF209-0B60-4E4F-AAFE-102AC5A78827}"/>
    <cellStyle name="Currency 21 3 2 2 2" xfId="1276" xr:uid="{78EE006E-5AAF-49EB-A5DD-8BA996C8C81A}"/>
    <cellStyle name="Currency 21 3 2 2 2 2" xfId="5064" xr:uid="{67E397B7-1710-49EB-B1F1-00B5DFFF83EF}"/>
    <cellStyle name="Currency 21 3 2 2 3" xfId="5063" xr:uid="{D23A6CEF-9C0D-4E34-B4E4-7BD7122417A2}"/>
    <cellStyle name="Currency 21 3 2 3" xfId="1277" xr:uid="{31064884-2CB5-4C83-AC49-E448CFC1DA88}"/>
    <cellStyle name="Currency 21 3 2 3 2" xfId="5065" xr:uid="{C55D2EDC-C4C4-4D60-ACC9-894B75B9CAF6}"/>
    <cellStyle name="Currency 21 3 2 4" xfId="5062" xr:uid="{A3DFD69B-F214-4F60-859C-C582820988F6}"/>
    <cellStyle name="Currency 21 3 3" xfId="1278" xr:uid="{A1B3B0F5-C7C5-45A5-8D11-50D51F21AC25}"/>
    <cellStyle name="Currency 21 3 3 2" xfId="1279" xr:uid="{916EFD4A-3FC2-43C1-B99C-18372C3956CE}"/>
    <cellStyle name="Currency 21 3 3 2 2" xfId="5067" xr:uid="{30F9BA67-7E32-40CF-8008-E526DFAB57FF}"/>
    <cellStyle name="Currency 21 3 3 3" xfId="5066" xr:uid="{460A52BE-EC02-45AC-9135-EBDF77B12136}"/>
    <cellStyle name="Currency 21 3 4" xfId="1280" xr:uid="{7392ECC1-8579-4758-A019-56D6FC0B33BA}"/>
    <cellStyle name="Currency 21 3 4 2" xfId="5068" xr:uid="{FF5D4E8D-4FD7-41F1-9244-A5A147E73E59}"/>
    <cellStyle name="Currency 21 3 5" xfId="5061" xr:uid="{A0456158-22EC-4DA3-A922-BCD25C8F9FD0}"/>
    <cellStyle name="Currency 21 4" xfId="1281" xr:uid="{58A814C0-3025-4FE2-9885-3E7E17ABD870}"/>
    <cellStyle name="Currency 21 4 2" xfId="1282" xr:uid="{DBCF8709-3D15-4A59-8A4D-3DEC13C66BB5}"/>
    <cellStyle name="Currency 21 4 2 2" xfId="1283" xr:uid="{FC1788A0-B7FC-4CA3-9AA8-22856DD1A105}"/>
    <cellStyle name="Currency 21 4 2 2 2" xfId="5071" xr:uid="{34BB853F-678E-4BDD-8E57-4DBD8817BEAF}"/>
    <cellStyle name="Currency 21 4 2 3" xfId="5070" xr:uid="{2B40E502-637D-4CEC-A06E-9E38027104C6}"/>
    <cellStyle name="Currency 21 4 3" xfId="1284" xr:uid="{BC9DC620-AE4C-4A07-8B7A-61A02CECE577}"/>
    <cellStyle name="Currency 21 4 3 2" xfId="5072" xr:uid="{CF501827-F0E9-4211-B3B5-40B8BB890A34}"/>
    <cellStyle name="Currency 21 4 4" xfId="5069" xr:uid="{BEAA6BCA-0017-4410-8658-939F5810172B}"/>
    <cellStyle name="Currency 21 5" xfId="1285" xr:uid="{A02E2B80-BF62-4866-AF65-0542C85BCE62}"/>
    <cellStyle name="Currency 21 5 2" xfId="1286" xr:uid="{2D76CFFD-C7D6-4A98-833B-E899AB1F3470}"/>
    <cellStyle name="Currency 21 5 2 2" xfId="5074" xr:uid="{CF02091D-5B6B-4FB4-9AE7-1A0A9B2EAEB3}"/>
    <cellStyle name="Currency 21 5 3" xfId="5073" xr:uid="{D2F8B04E-17F6-4DAE-91A1-498585792750}"/>
    <cellStyle name="Currency 21 6" xfId="1287" xr:uid="{C99DB0CE-EA42-483C-93DC-2F38066EF130}"/>
    <cellStyle name="Currency 21 6 2" xfId="5075" xr:uid="{E88F9163-3450-4226-8F32-B92C30B8C019}"/>
    <cellStyle name="Currency 21 7" xfId="5052" xr:uid="{B9DE7AF7-B5E3-43B2-9846-251C76DC554D}"/>
    <cellStyle name="Currency 22" xfId="1288" xr:uid="{342F83DD-200F-4699-9488-1C5F464D99F1}"/>
    <cellStyle name="Currency 22 2" xfId="1289" xr:uid="{A08DF976-E01D-42A1-AF72-371DBE6D1115}"/>
    <cellStyle name="Currency 22 2 2" xfId="1290" xr:uid="{CF33EB86-7BC7-4771-8DCC-187F83A4BCC9}"/>
    <cellStyle name="Currency 22 2 2 2" xfId="1291" xr:uid="{AD1466B6-479F-4E03-85A7-F1AA38CD697E}"/>
    <cellStyle name="Currency 22 2 2 2 2" xfId="1292" xr:uid="{A001B321-9437-4D81-B795-0D9C81634ED3}"/>
    <cellStyle name="Currency 22 2 2 2 2 2" xfId="5080" xr:uid="{3078237A-844A-4D4C-90E0-B5CE99F44865}"/>
    <cellStyle name="Currency 22 2 2 2 3" xfId="5079" xr:uid="{37640ACE-D118-486E-894E-6A54BE4C53F1}"/>
    <cellStyle name="Currency 22 2 2 3" xfId="1293" xr:uid="{E4E3224B-8915-404D-A775-9E909E68EC6F}"/>
    <cellStyle name="Currency 22 2 2 3 2" xfId="5081" xr:uid="{D18FCE81-D154-449D-BD82-54CAD213C14D}"/>
    <cellStyle name="Currency 22 2 2 4" xfId="5078" xr:uid="{E428F339-F7A5-409E-94C9-96E09AA35E6B}"/>
    <cellStyle name="Currency 22 2 3" xfId="1294" xr:uid="{D2BF7BE8-CC23-452E-AEFD-58BFFD850563}"/>
    <cellStyle name="Currency 22 2 3 2" xfId="1295" xr:uid="{7D0039E2-5C2A-4BBC-8A0F-E0B8C6DFFC2D}"/>
    <cellStyle name="Currency 22 2 3 2 2" xfId="5083" xr:uid="{FBF1286B-8D8B-4026-801F-540E44E112EE}"/>
    <cellStyle name="Currency 22 2 3 3" xfId="5082" xr:uid="{9CC40D2B-4110-432B-AA76-F2E0BD73810F}"/>
    <cellStyle name="Currency 22 2 4" xfId="1296" xr:uid="{1EF9F4E6-EB75-4DDF-822F-8530EC2F9773}"/>
    <cellStyle name="Currency 22 2 4 2" xfId="5084" xr:uid="{A5EC4756-5D17-4019-8F8B-404918908420}"/>
    <cellStyle name="Currency 22 2 5" xfId="5077" xr:uid="{0F2D6871-A0F7-401E-AE54-6CC9ADA42972}"/>
    <cellStyle name="Currency 22 3" xfId="1297" xr:uid="{AD77B468-2375-4739-943D-753F4E09E283}"/>
    <cellStyle name="Currency 22 3 2" xfId="1298" xr:uid="{A21B5EDD-4F13-4A77-918C-94D5F4AC560F}"/>
    <cellStyle name="Currency 22 3 2 2" xfId="1299" xr:uid="{01EBB8BC-B586-4B4B-B60A-B6DC487D6949}"/>
    <cellStyle name="Currency 22 3 2 2 2" xfId="1300" xr:uid="{6FE7C975-B881-4823-9795-2317772AB298}"/>
    <cellStyle name="Currency 22 3 2 2 2 2" xfId="5088" xr:uid="{DA140409-AA16-4294-B8F5-8F9E3722A058}"/>
    <cellStyle name="Currency 22 3 2 2 3" xfId="5087" xr:uid="{E1755602-34BF-4F5D-A69B-2E2400AB4263}"/>
    <cellStyle name="Currency 22 3 2 3" xfId="1301" xr:uid="{D3FFFF5E-BAF9-4BA3-B1F1-03A4454CED03}"/>
    <cellStyle name="Currency 22 3 2 3 2" xfId="5089" xr:uid="{AB1EEE1B-D39C-4336-84D9-CFE25D425955}"/>
    <cellStyle name="Currency 22 3 2 4" xfId="5086" xr:uid="{ECCF4C13-EDB9-4A12-A3CE-AC62E6520A45}"/>
    <cellStyle name="Currency 22 3 3" xfId="1302" xr:uid="{A70838AB-6273-4673-87F2-79ADAC875F02}"/>
    <cellStyle name="Currency 22 3 3 2" xfId="1303" xr:uid="{BCC018FD-9F06-4C83-B735-340F1A017C28}"/>
    <cellStyle name="Currency 22 3 3 2 2" xfId="5091" xr:uid="{711ACE38-7826-4C94-A171-74118A6B7285}"/>
    <cellStyle name="Currency 22 3 3 3" xfId="5090" xr:uid="{200F77DC-A548-4012-A334-71844EA6FE00}"/>
    <cellStyle name="Currency 22 3 4" xfId="1304" xr:uid="{B9D6E6D6-A486-4281-9AF7-6C1D6C2D760D}"/>
    <cellStyle name="Currency 22 3 4 2" xfId="5092" xr:uid="{13CFD99C-0B93-4E21-B5CB-AA3D44546ED6}"/>
    <cellStyle name="Currency 22 3 5" xfId="5085" xr:uid="{BE3E6FF0-CF75-49B8-B5D3-16AB8F7F3C50}"/>
    <cellStyle name="Currency 22 4" xfId="1305" xr:uid="{BF9B3E6C-A213-4721-AFB0-75F8AD57D656}"/>
    <cellStyle name="Currency 22 4 2" xfId="1306" xr:uid="{FFFEBCBE-25DD-4302-9F1D-4611950EE3AA}"/>
    <cellStyle name="Currency 22 4 2 2" xfId="1307" xr:uid="{ADB7682D-3B55-4F7B-B73B-31A71DE4A460}"/>
    <cellStyle name="Currency 22 4 2 2 2" xfId="5095" xr:uid="{A293ADDB-D215-45A2-8F53-77CF7D54CCE2}"/>
    <cellStyle name="Currency 22 4 2 3" xfId="5094" xr:uid="{27041DF0-B4FE-4E61-8354-BACBE6EB8B7E}"/>
    <cellStyle name="Currency 22 4 3" xfId="1308" xr:uid="{3AA7C88D-34A8-474F-A424-A21C7B0083E3}"/>
    <cellStyle name="Currency 22 4 3 2" xfId="5096" xr:uid="{873DA422-3BF0-4C9F-9060-41CA6B7A2D9F}"/>
    <cellStyle name="Currency 22 4 4" xfId="5093" xr:uid="{4F0C5DB3-7AE1-4C7C-870A-71911781970F}"/>
    <cellStyle name="Currency 22 5" xfId="1309" xr:uid="{E43EF05F-EA0D-4E85-B87F-407118343813}"/>
    <cellStyle name="Currency 22 5 2" xfId="1310" xr:uid="{0A6C9624-389E-4B09-8868-F9678D849DA1}"/>
    <cellStyle name="Currency 22 5 2 2" xfId="5098" xr:uid="{BEE6FC66-F27B-4B90-966F-795D5F634553}"/>
    <cellStyle name="Currency 22 5 3" xfId="5097" xr:uid="{13475E43-7515-42C2-A81B-BBBB4E03A243}"/>
    <cellStyle name="Currency 22 6" xfId="1311" xr:uid="{013BE73B-56CB-4598-AED5-AC0EADCC7F1F}"/>
    <cellStyle name="Currency 22 6 2" xfId="5099" xr:uid="{FF879029-703E-47D2-9104-C32C1AF79E99}"/>
    <cellStyle name="Currency 22 7" xfId="5076" xr:uid="{D7D8C392-1068-46E6-B67F-924D8CCC1B86}"/>
    <cellStyle name="Currency 23" xfId="1312" xr:uid="{A0082DFD-1830-4FE2-853A-08C520952DEC}"/>
    <cellStyle name="Currency 23 2" xfId="1313" xr:uid="{15E73CFD-BF6E-47D1-934A-AB3EA02642A0}"/>
    <cellStyle name="Currency 23 2 2" xfId="1314" xr:uid="{429099DB-E93D-4B7A-A930-93E5E2C37A76}"/>
    <cellStyle name="Currency 23 2 2 2" xfId="1315" xr:uid="{BBD94DD5-1A62-426E-8885-A3E042AA6932}"/>
    <cellStyle name="Currency 23 2 2 2 2" xfId="1316" xr:uid="{65F514F2-D82B-425E-B652-A39D617796FE}"/>
    <cellStyle name="Currency 23 2 2 2 2 2" xfId="5104" xr:uid="{DE75EB7F-8404-4092-9E33-A61177123912}"/>
    <cellStyle name="Currency 23 2 2 2 3" xfId="5103" xr:uid="{C9354D78-4DA6-4E39-A61F-E3B1E5ACB4D9}"/>
    <cellStyle name="Currency 23 2 2 3" xfId="1317" xr:uid="{8ADADCB1-B485-4E50-BABE-986A56C19C99}"/>
    <cellStyle name="Currency 23 2 2 3 2" xfId="5105" xr:uid="{4AE3476D-06AA-47FD-959A-5FF3FB35C8A2}"/>
    <cellStyle name="Currency 23 2 2 4" xfId="5102" xr:uid="{F47C8172-AAF3-463A-9F3C-6B9CCFF01E0F}"/>
    <cellStyle name="Currency 23 2 3" xfId="1318" xr:uid="{DE5DC4CB-6B64-4D57-B5F0-D657EC0846E6}"/>
    <cellStyle name="Currency 23 2 3 2" xfId="1319" xr:uid="{9840C8CF-F8A1-4E5B-8437-114725B346EA}"/>
    <cellStyle name="Currency 23 2 3 2 2" xfId="5107" xr:uid="{DE8B9256-E1E7-4BAD-B7E8-E4ECAE1B5051}"/>
    <cellStyle name="Currency 23 2 3 3" xfId="5106" xr:uid="{44269F79-F9B8-421F-9415-082657E31E5C}"/>
    <cellStyle name="Currency 23 2 4" xfId="1320" xr:uid="{EE4B70E6-B068-4F82-8A4C-11BD77EC3309}"/>
    <cellStyle name="Currency 23 2 4 2" xfId="5108" xr:uid="{FB308291-8991-4575-A3B7-CD9B1B5727CB}"/>
    <cellStyle name="Currency 23 2 5" xfId="5101" xr:uid="{32F44855-BAB7-465F-BAC4-192CB93B5042}"/>
    <cellStyle name="Currency 23 3" xfId="1321" xr:uid="{B76117DE-BEBF-4701-917D-8C680C24E2F0}"/>
    <cellStyle name="Currency 23 3 2" xfId="1322" xr:uid="{2589FFB2-C6D7-44A3-B969-7F650C2DD39F}"/>
    <cellStyle name="Currency 23 3 2 2" xfId="1323" xr:uid="{5255A774-D403-4EA4-84C9-9A3076A2D66B}"/>
    <cellStyle name="Currency 23 3 2 2 2" xfId="1324" xr:uid="{342AD6E8-7B62-4F8E-A623-15C3247ADBCF}"/>
    <cellStyle name="Currency 23 3 2 2 2 2" xfId="5112" xr:uid="{CD37A2BD-42B0-47DB-A367-83975F2E0C35}"/>
    <cellStyle name="Currency 23 3 2 2 3" xfId="5111" xr:uid="{D479AE4B-C1A9-4AFC-8804-27E3A43A8122}"/>
    <cellStyle name="Currency 23 3 2 3" xfId="1325" xr:uid="{616CD3C2-79B5-4CE5-8878-16A4A0C2109C}"/>
    <cellStyle name="Currency 23 3 2 3 2" xfId="5113" xr:uid="{D7AF3621-5F7C-485B-A640-617A5E754F06}"/>
    <cellStyle name="Currency 23 3 2 4" xfId="5110" xr:uid="{ABEE758B-8DC9-4265-80EC-0A0A88921CAE}"/>
    <cellStyle name="Currency 23 3 3" xfId="1326" xr:uid="{8B4D3729-87BB-4040-8C22-14D02363C019}"/>
    <cellStyle name="Currency 23 3 3 2" xfId="1327" xr:uid="{CB0A4B78-8EBD-4006-B425-284432E7B11A}"/>
    <cellStyle name="Currency 23 3 3 2 2" xfId="5115" xr:uid="{6EC1D500-0EE1-4D9F-B89F-C3F67E7B39ED}"/>
    <cellStyle name="Currency 23 3 3 3" xfId="5114" xr:uid="{08607CCD-7069-4205-B10E-1E3DE60D1C95}"/>
    <cellStyle name="Currency 23 3 4" xfId="1328" xr:uid="{B3102656-8805-44BD-BD19-C1E3F9C764EF}"/>
    <cellStyle name="Currency 23 3 4 2" xfId="5116" xr:uid="{462059AB-06FB-45FF-9915-75EBF0E3804E}"/>
    <cellStyle name="Currency 23 3 5" xfId="5109" xr:uid="{C183C6F8-0C15-410C-861D-F78625A0F5A8}"/>
    <cellStyle name="Currency 23 4" xfId="1329" xr:uid="{378C1556-52AB-4505-BF37-5EC9A3151686}"/>
    <cellStyle name="Currency 23 4 2" xfId="1330" xr:uid="{E960BB63-B84B-4064-B26A-271786F49696}"/>
    <cellStyle name="Currency 23 4 2 2" xfId="1331" xr:uid="{84FD771E-AE9B-491F-9D8F-12CC596E05EE}"/>
    <cellStyle name="Currency 23 4 2 2 2" xfId="5119" xr:uid="{D684EFE9-CB08-4AD4-98E2-670C202DB388}"/>
    <cellStyle name="Currency 23 4 2 3" xfId="5118" xr:uid="{7DA47866-8656-4240-BCC9-C904C948277C}"/>
    <cellStyle name="Currency 23 4 3" xfId="1332" xr:uid="{5A23BBF6-19B5-46D7-8C07-371CC4EBFBF6}"/>
    <cellStyle name="Currency 23 4 3 2" xfId="5120" xr:uid="{B631737A-1B1A-461E-A232-EDB8CDB72A9F}"/>
    <cellStyle name="Currency 23 4 4" xfId="5117" xr:uid="{9C7F3BA1-7747-482A-8449-DEE46C940838}"/>
    <cellStyle name="Currency 23 5" xfId="1333" xr:uid="{A894215D-DA6D-417E-8628-6E67BF616F9E}"/>
    <cellStyle name="Currency 23 5 2" xfId="1334" xr:uid="{C6AC0B47-02E6-4BDC-AA78-B4618F23C356}"/>
    <cellStyle name="Currency 23 5 2 2" xfId="5122" xr:uid="{9515485B-C311-4394-8ADC-EBB050CDEC58}"/>
    <cellStyle name="Currency 23 5 3" xfId="5121" xr:uid="{FFDC8A93-2304-447C-A5F9-2E4A1F6C0B4D}"/>
    <cellStyle name="Currency 23 6" xfId="1335" xr:uid="{C375DB61-B63A-43B3-BC0D-1AF2F6FF766F}"/>
    <cellStyle name="Currency 23 6 2" xfId="5123" xr:uid="{E5D92D89-E7E0-48C7-BFD5-9C7A4EB42FD9}"/>
    <cellStyle name="Currency 23 7" xfId="5100" xr:uid="{09614D80-89B8-4BE3-AEE3-512D83E86285}"/>
    <cellStyle name="Currency 24" xfId="1336" xr:uid="{54DBEE2F-20AD-4B84-B6B4-377DB25012EB}"/>
    <cellStyle name="Currency 24 2" xfId="1337" xr:uid="{1ADA7F18-0593-4EF4-A1DC-741A7953274D}"/>
    <cellStyle name="Currency 24 2 2" xfId="1338" xr:uid="{6334845C-438C-4E3F-B958-A767973AC6F6}"/>
    <cellStyle name="Currency 24 2 2 2" xfId="1339" xr:uid="{2A9FEF71-A3E6-4947-906B-7A8FC934A968}"/>
    <cellStyle name="Currency 24 2 2 2 2" xfId="1340" xr:uid="{0304B336-72E5-4068-98CC-E1FCF81C7BC5}"/>
    <cellStyle name="Currency 24 2 2 2 2 2" xfId="5128" xr:uid="{3BCC4719-C144-4880-B2B7-0482604B6732}"/>
    <cellStyle name="Currency 24 2 2 2 3" xfId="5127" xr:uid="{42196BC2-8230-44D4-9128-5FE87D70C6AA}"/>
    <cellStyle name="Currency 24 2 2 3" xfId="1341" xr:uid="{EFA9BEAF-8C2B-4BDC-A47D-55AB32BF5CCB}"/>
    <cellStyle name="Currency 24 2 2 3 2" xfId="5129" xr:uid="{CF19433E-DA04-4431-8DCA-8CB90C85D467}"/>
    <cellStyle name="Currency 24 2 2 4" xfId="5126" xr:uid="{197820DE-4185-468F-AFD9-3A2268691F20}"/>
    <cellStyle name="Currency 24 2 3" xfId="1342" xr:uid="{C368E582-F50E-432A-AC53-214F7BEC2E8F}"/>
    <cellStyle name="Currency 24 2 3 2" xfId="1343" xr:uid="{A49BCB26-75BC-4E9D-9E5F-E6E41CBAB99A}"/>
    <cellStyle name="Currency 24 2 3 2 2" xfId="5131" xr:uid="{EED26CD8-0D4A-4006-B9A7-B92AEFB695CD}"/>
    <cellStyle name="Currency 24 2 3 3" xfId="5130" xr:uid="{C9DB5630-04C2-4382-A651-6776F732908B}"/>
    <cellStyle name="Currency 24 2 4" xfId="1344" xr:uid="{25D53D36-C2AD-4B40-B998-74B29C78D1E8}"/>
    <cellStyle name="Currency 24 2 4 2" xfId="5132" xr:uid="{E3BE4FCF-2CDD-4425-901D-19C514DE9786}"/>
    <cellStyle name="Currency 24 2 5" xfId="5125" xr:uid="{0693A4B2-C935-4821-BEE6-EF61AFF69F3B}"/>
    <cellStyle name="Currency 24 3" xfId="1345" xr:uid="{1879F1A7-2F48-442C-BE66-D67E12406458}"/>
    <cellStyle name="Currency 24 3 2" xfId="1346" xr:uid="{5F0047EF-6D4C-4884-BF34-DA76936E529E}"/>
    <cellStyle name="Currency 24 3 2 2" xfId="1347" xr:uid="{7B87581B-9530-4CD2-9559-815CD0CE10B9}"/>
    <cellStyle name="Currency 24 3 2 2 2" xfId="1348" xr:uid="{069D9513-DA51-4476-A915-9EAEEA2D2B0F}"/>
    <cellStyle name="Currency 24 3 2 2 2 2" xfId="5136" xr:uid="{5A873C98-BDE8-4A65-BFA8-DD8706D77884}"/>
    <cellStyle name="Currency 24 3 2 2 3" xfId="5135" xr:uid="{BE177F15-773A-4F6F-8DAD-B4D33A5186A7}"/>
    <cellStyle name="Currency 24 3 2 3" xfId="1349" xr:uid="{896A8A08-30C7-4505-8971-E312A2A5C520}"/>
    <cellStyle name="Currency 24 3 2 3 2" xfId="5137" xr:uid="{DBFDB13E-1607-4B26-9FE6-63E787941DC4}"/>
    <cellStyle name="Currency 24 3 2 4" xfId="5134" xr:uid="{D99413F9-F0D9-4A81-A671-F5A6B57F213F}"/>
    <cellStyle name="Currency 24 3 3" xfId="1350" xr:uid="{D999B018-174C-4E0D-BC35-E2A22642B4C3}"/>
    <cellStyle name="Currency 24 3 3 2" xfId="1351" xr:uid="{779A83A0-DE39-4D76-9696-FB6709CF6AC0}"/>
    <cellStyle name="Currency 24 3 3 2 2" xfId="5139" xr:uid="{26456C36-08C1-480B-B3F1-EF34029BFA20}"/>
    <cellStyle name="Currency 24 3 3 3" xfId="5138" xr:uid="{D18EA95A-081B-4AE8-992D-D28BFE0E1E24}"/>
    <cellStyle name="Currency 24 3 4" xfId="1352" xr:uid="{9329C9DD-C84E-4563-80AE-9E54DECEC123}"/>
    <cellStyle name="Currency 24 3 4 2" xfId="5140" xr:uid="{04242908-DF96-46FA-853A-5EC398D81C9D}"/>
    <cellStyle name="Currency 24 3 5" xfId="5133" xr:uid="{82D01E28-7F80-45F2-A2B3-62BBE481AAAD}"/>
    <cellStyle name="Currency 24 4" xfId="1353" xr:uid="{AF17AEE1-B95E-463F-A4C1-A61142BFD457}"/>
    <cellStyle name="Currency 24 4 2" xfId="1354" xr:uid="{01E7531C-CDC5-428F-93D5-D4AAD16E9268}"/>
    <cellStyle name="Currency 24 4 2 2" xfId="1355" xr:uid="{A3DCEF13-AA48-4766-AAFE-0B9B1F42D462}"/>
    <cellStyle name="Currency 24 4 2 2 2" xfId="5143" xr:uid="{82D655E8-1921-4850-968D-7A864DD0FC61}"/>
    <cellStyle name="Currency 24 4 2 3" xfId="5142" xr:uid="{2710079C-87A3-45B8-90D4-E1649B4B0E46}"/>
    <cellStyle name="Currency 24 4 3" xfId="1356" xr:uid="{DAD563B4-5687-4AF8-ACA4-51506CBCB482}"/>
    <cellStyle name="Currency 24 4 3 2" xfId="5144" xr:uid="{C139996E-F881-4826-AE99-0B422DEBCA3C}"/>
    <cellStyle name="Currency 24 4 4" xfId="5141" xr:uid="{0DA6693D-E0D4-4048-9E6B-73359046492F}"/>
    <cellStyle name="Currency 24 5" xfId="1357" xr:uid="{732B156C-EC94-4E67-9FBD-66D004105D7D}"/>
    <cellStyle name="Currency 24 5 2" xfId="1358" xr:uid="{ED9E618D-5A45-4E18-9DFC-4E85F9564BCD}"/>
    <cellStyle name="Currency 24 5 2 2" xfId="5146" xr:uid="{34240FE3-A823-4605-94F6-2831C23BF71C}"/>
    <cellStyle name="Currency 24 5 3" xfId="5145" xr:uid="{AC94BF91-DB5C-4A85-8DFD-EA01F2699DDF}"/>
    <cellStyle name="Currency 24 6" xfId="1359" xr:uid="{647EE076-E337-40E3-A2E1-B68FA643EA42}"/>
    <cellStyle name="Currency 24 6 2" xfId="5147" xr:uid="{87E40C06-CDFA-4DB4-9B0A-7BA8EDB06EA2}"/>
    <cellStyle name="Currency 24 7" xfId="5124" xr:uid="{F07BDC10-E8BD-4872-8268-1E1757B95F30}"/>
    <cellStyle name="Currency 25" xfId="1360" xr:uid="{7CCDB6D1-0C76-48BE-A641-E9C9F2CE3E79}"/>
    <cellStyle name="Currency 25 2" xfId="5148" xr:uid="{FA4C6CB5-C343-4F74-8B0B-F11C79AE815B}"/>
    <cellStyle name="Currency 26" xfId="1361" xr:uid="{C6CBA059-063B-4ADB-A6C8-3703705D19B6}"/>
    <cellStyle name="Currency 26 2" xfId="1362" xr:uid="{234488A8-A6CC-4B8B-8796-22A610705657}"/>
    <cellStyle name="Currency 26 2 2" xfId="1363" xr:uid="{6D8B4C91-358F-496B-B2F1-F57F1BCD2B5E}"/>
    <cellStyle name="Currency 26 2 2 2" xfId="1364" xr:uid="{98CAEE37-BAA6-43ED-B0C5-E232F0841B05}"/>
    <cellStyle name="Currency 26 2 2 2 2" xfId="1365" xr:uid="{10C33234-7079-4FE6-853D-F711D589778E}"/>
    <cellStyle name="Currency 26 2 2 2 2 2" xfId="5153" xr:uid="{E6A21DDF-570F-4EAC-BBCD-8D9D57EF2EB5}"/>
    <cellStyle name="Currency 26 2 2 2 3" xfId="5152" xr:uid="{C3539265-5127-47BB-928A-66A4251673C1}"/>
    <cellStyle name="Currency 26 2 2 3" xfId="1366" xr:uid="{96B6F9E5-A83C-4F84-B574-F583E687FC72}"/>
    <cellStyle name="Currency 26 2 2 3 2" xfId="5154" xr:uid="{3668459B-0DDA-458F-8EBC-6B54D8A8824E}"/>
    <cellStyle name="Currency 26 2 2 4" xfId="5151" xr:uid="{2A70569E-1DA9-48B7-AFDC-E44226F5BCAA}"/>
    <cellStyle name="Currency 26 2 3" xfId="1367" xr:uid="{6C0B8838-7A37-4637-BA42-35EBDFEA6D6A}"/>
    <cellStyle name="Currency 26 2 3 2" xfId="1368" xr:uid="{F1FE3E6D-B714-4577-8FE4-5DF209890E52}"/>
    <cellStyle name="Currency 26 2 3 2 2" xfId="5156" xr:uid="{960DC284-806A-4D9E-82CC-3764C1E64BD0}"/>
    <cellStyle name="Currency 26 2 3 3" xfId="5155" xr:uid="{8A38C3EB-9B1F-4F53-A3A2-6A46E783D0D4}"/>
    <cellStyle name="Currency 26 2 4" xfId="1369" xr:uid="{636B89B7-DF4F-4925-A2ED-6EB7456AB3FF}"/>
    <cellStyle name="Currency 26 2 4 2" xfId="5157" xr:uid="{1718C69A-91B1-4A3A-8A44-A18316C6B573}"/>
    <cellStyle name="Currency 26 2 5" xfId="5150" xr:uid="{815C04F3-493B-4775-A04D-76CD405414BD}"/>
    <cellStyle name="Currency 26 3" xfId="1370" xr:uid="{3554742E-6AE5-4DBD-8A6A-134DD7E8A8EB}"/>
    <cellStyle name="Currency 26 3 2" xfId="1371" xr:uid="{1ACDE7DE-7087-4B35-B4DD-D699D03B230B}"/>
    <cellStyle name="Currency 26 3 2 2" xfId="1372" xr:uid="{50797C7B-2678-496C-9EC3-1CFF266DAB28}"/>
    <cellStyle name="Currency 26 3 2 2 2" xfId="1373" xr:uid="{4900C9B2-0235-470E-ACCC-A1A330A73DDD}"/>
    <cellStyle name="Currency 26 3 2 2 2 2" xfId="5161" xr:uid="{28AC6BCE-F05F-40BE-B928-7CAF8B675DC7}"/>
    <cellStyle name="Currency 26 3 2 2 3" xfId="5160" xr:uid="{CC245E31-304C-4786-A851-A32C16C24875}"/>
    <cellStyle name="Currency 26 3 2 3" xfId="1374" xr:uid="{74AC3620-E55B-423A-87A8-971D3DA6B0EA}"/>
    <cellStyle name="Currency 26 3 2 3 2" xfId="5162" xr:uid="{32647DED-2C4E-4837-A928-3A825BC3AF54}"/>
    <cellStyle name="Currency 26 3 2 4" xfId="5159" xr:uid="{67AFF157-A9DA-44ED-8901-0B8E71F46E20}"/>
    <cellStyle name="Currency 26 3 3" xfId="1375" xr:uid="{C1C1E077-F86A-475A-BEF3-D4F9BE523784}"/>
    <cellStyle name="Currency 26 3 3 2" xfId="1376" xr:uid="{6ACCC942-6B7D-4A54-8986-A3259C0A0395}"/>
    <cellStyle name="Currency 26 3 3 2 2" xfId="5164" xr:uid="{8F0D02AE-258E-4DD7-871D-3A8838666024}"/>
    <cellStyle name="Currency 26 3 3 3" xfId="5163" xr:uid="{921E60C9-C9C5-4BD4-BC2E-7318E3149732}"/>
    <cellStyle name="Currency 26 3 4" xfId="1377" xr:uid="{3153A75A-12A0-4A29-90AD-9DF8B38367A1}"/>
    <cellStyle name="Currency 26 3 4 2" xfId="5165" xr:uid="{74C33037-378B-4623-8723-BDA863EB8277}"/>
    <cellStyle name="Currency 26 3 5" xfId="5158" xr:uid="{4A602BB9-7D42-45CE-9C29-F949A76B6FA8}"/>
    <cellStyle name="Currency 26 4" xfId="1378" xr:uid="{54783CAF-09CD-4FE8-98F7-E3F1D2AD79A3}"/>
    <cellStyle name="Currency 26 4 2" xfId="1379" xr:uid="{773D5970-E19A-4043-9EE3-A9D6A3D28F47}"/>
    <cellStyle name="Currency 26 4 2 2" xfId="1380" xr:uid="{296365D1-9259-4B7A-AF01-31932E554E2F}"/>
    <cellStyle name="Currency 26 4 2 2 2" xfId="5168" xr:uid="{882423CF-7A0D-4A19-AA4A-AE78E2BE5448}"/>
    <cellStyle name="Currency 26 4 2 3" xfId="5167" xr:uid="{8464E725-7A18-434A-A401-BE4F2640587B}"/>
    <cellStyle name="Currency 26 4 3" xfId="1381" xr:uid="{648D1A74-109F-4EF2-B019-1821D1DCAAF6}"/>
    <cellStyle name="Currency 26 4 3 2" xfId="5169" xr:uid="{02E33ADF-A3E9-4B34-9914-58B6376D73FF}"/>
    <cellStyle name="Currency 26 4 4" xfId="5166" xr:uid="{8EE7094F-26BA-4B9B-867A-EF31DF2E750E}"/>
    <cellStyle name="Currency 26 5" xfId="1382" xr:uid="{6677EA93-0F66-4333-8C8D-A3B957E36FDA}"/>
    <cellStyle name="Currency 26 5 2" xfId="1383" xr:uid="{410CB0B3-1722-4D13-B030-759E516BA7E0}"/>
    <cellStyle name="Currency 26 5 2 2" xfId="5171" xr:uid="{912D5576-9F54-4AEF-B865-437C98D0A260}"/>
    <cellStyle name="Currency 26 5 3" xfId="5170" xr:uid="{008DB418-9360-436F-8A0A-49501391E6B9}"/>
    <cellStyle name="Currency 26 6" xfId="1384" xr:uid="{1051F6CF-98DA-4E8B-BB5A-EE6D7BAB7DDA}"/>
    <cellStyle name="Currency 26 6 2" xfId="5172" xr:uid="{210517F1-EA8E-4000-B02C-9DED10E06950}"/>
    <cellStyle name="Currency 26 7" xfId="5149" xr:uid="{A0D1A735-E91E-401C-8815-F3907FCFD32A}"/>
    <cellStyle name="Currency 27" xfId="1385" xr:uid="{EF7A48D3-5A98-4AF7-BA33-C381FFECD346}"/>
    <cellStyle name="Currency 27 2" xfId="1386" xr:uid="{B60F72ED-35D4-4A9C-90DB-4D3E4A7A8615}"/>
    <cellStyle name="Currency 27 2 2" xfId="1387" xr:uid="{28332E60-0403-48A3-8CDC-FEFC1AB60844}"/>
    <cellStyle name="Currency 27 2 2 2" xfId="1388" xr:uid="{4ECD431B-602C-4590-890F-701E8E7BE1E3}"/>
    <cellStyle name="Currency 27 2 2 2 2" xfId="1389" xr:uid="{48D2B89C-1254-4075-A015-6D1B27F60B66}"/>
    <cellStyle name="Currency 27 2 2 2 2 2" xfId="5177" xr:uid="{60F39532-C1D4-4A23-98FC-6B1571810E93}"/>
    <cellStyle name="Currency 27 2 2 2 3" xfId="5176" xr:uid="{EEA96DFB-160A-4B58-A0D8-18528612C30A}"/>
    <cellStyle name="Currency 27 2 2 3" xfId="1390" xr:uid="{27AAEB57-E7C5-4FB6-B496-F8D1E30870D9}"/>
    <cellStyle name="Currency 27 2 2 3 2" xfId="5178" xr:uid="{33928871-B3C1-4695-B76B-AB3A25ED1025}"/>
    <cellStyle name="Currency 27 2 2 4" xfId="5175" xr:uid="{B2AADD07-21B3-4C47-BDF3-650C1EAFC52F}"/>
    <cellStyle name="Currency 27 2 3" xfId="1391" xr:uid="{A57CAF1C-B9BE-4CA8-A029-C8E996C75D12}"/>
    <cellStyle name="Currency 27 2 3 2" xfId="1392" xr:uid="{F6AA87FD-E986-4551-9232-BB7FD99C4459}"/>
    <cellStyle name="Currency 27 2 3 2 2" xfId="5180" xr:uid="{787C51F3-D3C3-4B53-9849-32E2E9C88261}"/>
    <cellStyle name="Currency 27 2 3 3" xfId="5179" xr:uid="{A40198F0-465D-493D-897B-94E1B7B3F3DE}"/>
    <cellStyle name="Currency 27 2 4" xfId="1393" xr:uid="{F9E5B7F9-E9C7-492E-98DA-DDA23471D1B0}"/>
    <cellStyle name="Currency 27 2 4 2" xfId="5181" xr:uid="{F970E2BB-725E-4F81-8296-30200381F1E6}"/>
    <cellStyle name="Currency 27 2 5" xfId="5174" xr:uid="{309DA782-5FD4-46A8-BBD0-85245B6CA569}"/>
    <cellStyle name="Currency 27 3" xfId="1394" xr:uid="{6723665F-4304-4054-BC8B-731ACF803DC7}"/>
    <cellStyle name="Currency 27 3 2" xfId="1395" xr:uid="{82C8886C-9FF5-417F-A3AB-E6E26B547891}"/>
    <cellStyle name="Currency 27 3 2 2" xfId="1396" xr:uid="{0912D63B-89A8-4F99-A876-C0D8540E89ED}"/>
    <cellStyle name="Currency 27 3 2 2 2" xfId="1397" xr:uid="{A64A8152-CC40-4D77-A512-EA8629F69B4E}"/>
    <cellStyle name="Currency 27 3 2 2 2 2" xfId="5185" xr:uid="{15D386B3-53B7-413B-8281-B2CBC9F66C8D}"/>
    <cellStyle name="Currency 27 3 2 2 3" xfId="5184" xr:uid="{A2F3639B-93DF-4CD0-A4FE-7E5F8EF30B4A}"/>
    <cellStyle name="Currency 27 3 2 3" xfId="1398" xr:uid="{1BE1D871-9E49-4EB8-B3EF-D13F0B3E8DBB}"/>
    <cellStyle name="Currency 27 3 2 3 2" xfId="5186" xr:uid="{0ADA51DB-CBC5-4A20-BA3A-6C1DBF3D1211}"/>
    <cellStyle name="Currency 27 3 2 4" xfId="5183" xr:uid="{65BAF2FF-22ED-4CEA-9DA9-C8A6199E48A1}"/>
    <cellStyle name="Currency 27 3 3" xfId="1399" xr:uid="{992D02FA-786A-4D21-A0F7-CDCB6DC062BB}"/>
    <cellStyle name="Currency 27 3 3 2" xfId="1400" xr:uid="{1CF2635C-3ADA-4925-8879-6C892DD8C42D}"/>
    <cellStyle name="Currency 27 3 3 2 2" xfId="5188" xr:uid="{3F3B87A5-D076-422F-B1DD-21B38FF5FB51}"/>
    <cellStyle name="Currency 27 3 3 3" xfId="5187" xr:uid="{CAE3CC48-90C3-44DB-841C-783F2E59EA5B}"/>
    <cellStyle name="Currency 27 3 4" xfId="1401" xr:uid="{94CEB173-E27B-49AE-9975-74494C2BADC9}"/>
    <cellStyle name="Currency 27 3 4 2" xfId="5189" xr:uid="{FA49ECC8-2ECA-4B53-B1C8-5252BF65D2FF}"/>
    <cellStyle name="Currency 27 3 5" xfId="5182" xr:uid="{6B25727B-93AB-47D7-9F3E-EC9669386DFB}"/>
    <cellStyle name="Currency 27 4" xfId="1402" xr:uid="{C92391B1-9954-43FD-B38F-017849B8E131}"/>
    <cellStyle name="Currency 27 4 2" xfId="1403" xr:uid="{04111A03-0E30-4DE0-ADFB-ECEEF53C5684}"/>
    <cellStyle name="Currency 27 4 2 2" xfId="1404" xr:uid="{7A406C5A-5DA7-4700-A444-B0A8778B0DAE}"/>
    <cellStyle name="Currency 27 4 2 2 2" xfId="5192" xr:uid="{66D9D12C-64D9-4478-8336-C241D15CF709}"/>
    <cellStyle name="Currency 27 4 2 3" xfId="5191" xr:uid="{099549DE-CA22-465B-874F-5DD6FB80F47F}"/>
    <cellStyle name="Currency 27 4 3" xfId="1405" xr:uid="{682C8881-5D39-44E7-8039-4B0D02CD27A2}"/>
    <cellStyle name="Currency 27 4 3 2" xfId="5193" xr:uid="{1C280254-F34C-403B-9F8C-BE3974BFD3E9}"/>
    <cellStyle name="Currency 27 4 4" xfId="5190" xr:uid="{7106DFB3-6010-4805-98E2-8FED25509DF2}"/>
    <cellStyle name="Currency 27 5" xfId="1406" xr:uid="{A10B8776-9C7F-4642-B644-C2B1D35E45BF}"/>
    <cellStyle name="Currency 27 5 2" xfId="1407" xr:uid="{2FE42AAD-F964-4192-8A61-D44A75FC4A7B}"/>
    <cellStyle name="Currency 27 5 2 2" xfId="5195" xr:uid="{A4BB9C31-EDF7-4101-9E6C-B537E5A0F1CA}"/>
    <cellStyle name="Currency 27 5 3" xfId="5194" xr:uid="{1FDBCF60-282C-491D-9AFC-53365244C004}"/>
    <cellStyle name="Currency 27 6" xfId="1408" xr:uid="{DB38537C-D208-471A-9B0B-63BE8AAD6E16}"/>
    <cellStyle name="Currency 27 6 2" xfId="5196" xr:uid="{50E22053-AC41-4092-BE2A-9371D2B72517}"/>
    <cellStyle name="Currency 27 7" xfId="5173" xr:uid="{080C80C0-2ADF-4C7F-88F2-31BBB9920E80}"/>
    <cellStyle name="Currency 28" xfId="1409" xr:uid="{55626800-4C08-4A3D-8BC0-DEAF8852454B}"/>
    <cellStyle name="Currency 28 2" xfId="1410" xr:uid="{4714BB51-DA29-4B33-A6A3-E6D71D8825EE}"/>
    <cellStyle name="Currency 28 2 2" xfId="1411" xr:uid="{CE6321EC-1B54-420B-92E6-AC6B15CE7DA3}"/>
    <cellStyle name="Currency 28 2 2 2" xfId="1412" xr:uid="{288C1245-F659-4EA0-BDBC-8B8AA87294CA}"/>
    <cellStyle name="Currency 28 2 2 2 2" xfId="1413" xr:uid="{01A44467-44D7-44A8-B6DE-151D9D086B63}"/>
    <cellStyle name="Currency 28 2 2 2 2 2" xfId="5201" xr:uid="{7C307517-A456-4115-9CC8-B116F32C88F7}"/>
    <cellStyle name="Currency 28 2 2 2 3" xfId="5200" xr:uid="{9A9B0804-DD4A-4C24-BB7E-A7332F351919}"/>
    <cellStyle name="Currency 28 2 2 3" xfId="1414" xr:uid="{8E3F4E03-C0EE-48C6-B67E-CBE2648A6422}"/>
    <cellStyle name="Currency 28 2 2 3 2" xfId="5202" xr:uid="{5D1F86CE-8111-4AFA-A2EC-9254BF1826CE}"/>
    <cellStyle name="Currency 28 2 2 4" xfId="5199" xr:uid="{F8E8DB9F-5D26-44F3-8D93-DDB139BD54DA}"/>
    <cellStyle name="Currency 28 2 3" xfId="1415" xr:uid="{09940485-A9B4-450F-A723-60D90FEA0743}"/>
    <cellStyle name="Currency 28 2 3 2" xfId="1416" xr:uid="{0502F045-3D11-4C8C-AB70-A10204348B4A}"/>
    <cellStyle name="Currency 28 2 3 2 2" xfId="5204" xr:uid="{9DE0280A-AD99-44E6-AE12-A7552C9B0326}"/>
    <cellStyle name="Currency 28 2 3 3" xfId="5203" xr:uid="{D19200C8-1CCC-4687-90B9-7EB4581BF0C5}"/>
    <cellStyle name="Currency 28 2 4" xfId="1417" xr:uid="{53D1D8DD-F52E-462C-8BF9-25D737CDB13B}"/>
    <cellStyle name="Currency 28 2 4 2" xfId="5205" xr:uid="{63CC1974-DA11-4056-88BA-660426530803}"/>
    <cellStyle name="Currency 28 2 5" xfId="5198" xr:uid="{33059E8D-FE5C-49B5-B6B5-390009383B24}"/>
    <cellStyle name="Currency 28 3" xfId="1418" xr:uid="{5BC76F18-70C0-4A2B-B3EB-992F388280B4}"/>
    <cellStyle name="Currency 28 3 2" xfId="1419" xr:uid="{C769DC0C-7109-4DD0-8DE1-57B8C736C556}"/>
    <cellStyle name="Currency 28 3 2 2" xfId="1420" xr:uid="{B9E80968-9277-4C35-BF6D-105B992551B8}"/>
    <cellStyle name="Currency 28 3 2 2 2" xfId="1421" xr:uid="{46B49525-ABA3-4C73-A558-9B9490399C40}"/>
    <cellStyle name="Currency 28 3 2 2 2 2" xfId="5209" xr:uid="{E2B6B35A-EC65-4D26-B444-C5A2631C48CE}"/>
    <cellStyle name="Currency 28 3 2 2 3" xfId="5208" xr:uid="{A2AE96C2-84AB-4F80-A79C-B422ACB59669}"/>
    <cellStyle name="Currency 28 3 2 3" xfId="1422" xr:uid="{EDE04733-DBF3-47F1-8D0D-FBF78ECADD35}"/>
    <cellStyle name="Currency 28 3 2 3 2" xfId="5210" xr:uid="{02933895-FE88-4CCE-9BC8-0231E73D12CE}"/>
    <cellStyle name="Currency 28 3 2 4" xfId="5207" xr:uid="{FF48B745-AB92-4632-B515-E41669998623}"/>
    <cellStyle name="Currency 28 3 3" xfId="1423" xr:uid="{138E65C5-E417-45D0-A93F-5E4B1D9E8C30}"/>
    <cellStyle name="Currency 28 3 3 2" xfId="1424" xr:uid="{89A07B43-CC54-4EF9-AB5B-401076AEDC3F}"/>
    <cellStyle name="Currency 28 3 3 2 2" xfId="5212" xr:uid="{A8FE8298-E473-4B96-A575-463A52E61D1C}"/>
    <cellStyle name="Currency 28 3 3 3" xfId="5211" xr:uid="{6A31D087-8787-4D02-A4C6-A44ED06CA0EC}"/>
    <cellStyle name="Currency 28 3 4" xfId="1425" xr:uid="{187F1127-11EC-4071-8B74-DBE5B6F60E2D}"/>
    <cellStyle name="Currency 28 3 4 2" xfId="5213" xr:uid="{27CE3CCB-4960-4241-89B8-57CBAF62151D}"/>
    <cellStyle name="Currency 28 3 5" xfId="5206" xr:uid="{EB6A898C-56D6-471A-ABC3-1A8AD734E340}"/>
    <cellStyle name="Currency 28 4" xfId="1426" xr:uid="{0C9593F2-B916-4497-A47B-B30488E2D205}"/>
    <cellStyle name="Currency 28 4 2" xfId="1427" xr:uid="{7DC6AF79-06E3-4CF9-AE86-F44FAC21ACC3}"/>
    <cellStyle name="Currency 28 4 2 2" xfId="1428" xr:uid="{BE0F8295-339E-4428-BE4C-A3B56960964E}"/>
    <cellStyle name="Currency 28 4 2 2 2" xfId="5216" xr:uid="{8E49E7BC-BB2D-4B77-8776-9CAEDC0AA793}"/>
    <cellStyle name="Currency 28 4 2 3" xfId="5215" xr:uid="{178393AA-9E45-4D31-8960-9BFD2F3717BE}"/>
    <cellStyle name="Currency 28 4 3" xfId="1429" xr:uid="{019B51DA-B903-42F8-8B50-7F83B9686A24}"/>
    <cellStyle name="Currency 28 4 3 2" xfId="5217" xr:uid="{F812E73F-48AA-45DD-BA48-A8ADE320D135}"/>
    <cellStyle name="Currency 28 4 4" xfId="5214" xr:uid="{EFCB8BA5-8346-4F5A-A03C-EE6162423E73}"/>
    <cellStyle name="Currency 28 5" xfId="1430" xr:uid="{0D1673B9-4A2C-4562-BC99-B2D4B975ED8B}"/>
    <cellStyle name="Currency 28 5 2" xfId="1431" xr:uid="{D5629C80-F5E4-4EE1-81FE-9F02A36DD7FA}"/>
    <cellStyle name="Currency 28 5 2 2" xfId="5219" xr:uid="{B375032E-FB67-440F-94BB-861207D47A01}"/>
    <cellStyle name="Currency 28 5 3" xfId="5218" xr:uid="{8EB6242B-2FC4-49E6-BED4-2B7C03F6B7D0}"/>
    <cellStyle name="Currency 28 6" xfId="1432" xr:uid="{6EDCCC78-0DC5-4F37-B9A6-963D621BEADA}"/>
    <cellStyle name="Currency 28 6 2" xfId="5220" xr:uid="{F18A1317-5B0F-4258-B9E3-131602086681}"/>
    <cellStyle name="Currency 28 7" xfId="5197" xr:uid="{55F3B7EA-C68B-4EF2-AB37-A11BD72AB0D0}"/>
    <cellStyle name="Currency 29" xfId="1433" xr:uid="{5A9AA492-63E6-48AF-B995-75FEFAC45F95}"/>
    <cellStyle name="Currency 29 2" xfId="1434" xr:uid="{ACDEA1E3-DE02-4855-839C-0016454E5C47}"/>
    <cellStyle name="Currency 29 2 2" xfId="1435" xr:uid="{9560C37E-07BF-46E7-9509-2A1E5B113807}"/>
    <cellStyle name="Currency 29 2 2 2" xfId="1436" xr:uid="{33D4E3E8-E87B-42DF-A59F-221F4B512E94}"/>
    <cellStyle name="Currency 29 2 2 2 2" xfId="1437" xr:uid="{62D59FE5-51E1-4D1C-BBC4-C23ED7BFFD39}"/>
    <cellStyle name="Currency 29 2 2 2 2 2" xfId="5225" xr:uid="{8DE2F0B0-B6F6-499E-92E7-300A69560285}"/>
    <cellStyle name="Currency 29 2 2 2 3" xfId="5224" xr:uid="{FF57C831-EB8E-421A-B5B3-B03F81CFEE91}"/>
    <cellStyle name="Currency 29 2 2 3" xfId="1438" xr:uid="{54C001F6-C2E0-4C3D-A4E3-C43B4198279A}"/>
    <cellStyle name="Currency 29 2 2 3 2" xfId="5226" xr:uid="{FD0B06BB-CC70-4AA8-9DBE-A03EB2A835B9}"/>
    <cellStyle name="Currency 29 2 2 4" xfId="5223" xr:uid="{DE53F47D-B6D6-42F9-89DD-7937A6FD3243}"/>
    <cellStyle name="Currency 29 2 3" xfId="1439" xr:uid="{1E742B3F-7538-46AC-B898-27DFB5F41DE6}"/>
    <cellStyle name="Currency 29 2 3 2" xfId="1440" xr:uid="{9658B471-1D68-4DE7-A21E-B4BCC5E4A337}"/>
    <cellStyle name="Currency 29 2 3 2 2" xfId="5228" xr:uid="{4B2F03A7-E096-41B6-B7CE-1A7862137FC7}"/>
    <cellStyle name="Currency 29 2 3 3" xfId="5227" xr:uid="{55D63C19-851E-4ED7-BBEB-E4FF88BF3F90}"/>
    <cellStyle name="Currency 29 2 4" xfId="1441" xr:uid="{21ABA79E-9193-4D70-B368-0E13BC68078E}"/>
    <cellStyle name="Currency 29 2 4 2" xfId="5229" xr:uid="{7D2C51AB-BFE6-40D5-B43C-AD79FF2E4397}"/>
    <cellStyle name="Currency 29 2 5" xfId="5222" xr:uid="{7EDDE905-8203-4A79-AEFF-0399628CBDB5}"/>
    <cellStyle name="Currency 29 3" xfId="1442" xr:uid="{34D6BA1C-74BC-4C48-BBE4-3ECD0E32709A}"/>
    <cellStyle name="Currency 29 3 2" xfId="1443" xr:uid="{F5C879C3-6853-4785-B612-80B4A5DA836F}"/>
    <cellStyle name="Currency 29 3 2 2" xfId="1444" xr:uid="{583E5D0D-D37B-4BD7-AD89-3518AF6BC2C8}"/>
    <cellStyle name="Currency 29 3 2 2 2" xfId="1445" xr:uid="{1DC908ED-E44F-4382-A093-792F1D08DE2E}"/>
    <cellStyle name="Currency 29 3 2 2 2 2" xfId="5233" xr:uid="{BD7B5DD7-FE29-4B49-9F7D-4854E3C70F84}"/>
    <cellStyle name="Currency 29 3 2 2 3" xfId="5232" xr:uid="{0465E065-5C77-4A8E-9F0F-0BB2F6A2709E}"/>
    <cellStyle name="Currency 29 3 2 3" xfId="1446" xr:uid="{5EE5AED8-AB7B-4B37-9EA5-B5E475E698E8}"/>
    <cellStyle name="Currency 29 3 2 3 2" xfId="5234" xr:uid="{66475E5E-FE32-4DE7-AB4B-2427290D5254}"/>
    <cellStyle name="Currency 29 3 2 4" xfId="5231" xr:uid="{9B79A2D4-AD18-41A2-A9EF-3111F24BA8B0}"/>
    <cellStyle name="Currency 29 3 3" xfId="1447" xr:uid="{BD0224FA-F14F-40D2-998E-3C4718906C82}"/>
    <cellStyle name="Currency 29 3 3 2" xfId="1448" xr:uid="{102A93C4-4822-49AE-8F10-36F092FC9DA6}"/>
    <cellStyle name="Currency 29 3 3 2 2" xfId="5236" xr:uid="{12FB7A5B-1D52-4C6A-AC51-F689B837F501}"/>
    <cellStyle name="Currency 29 3 3 3" xfId="5235" xr:uid="{18FBFE31-0CA3-4A5E-8A38-CF513AEBC141}"/>
    <cellStyle name="Currency 29 3 4" xfId="1449" xr:uid="{E67E2A92-68B3-4C36-BBA9-D9091B91F403}"/>
    <cellStyle name="Currency 29 3 4 2" xfId="5237" xr:uid="{CAA6260A-B0AA-4104-9E95-F7C295BED336}"/>
    <cellStyle name="Currency 29 3 5" xfId="5230" xr:uid="{940DACDB-9961-4A7D-98E1-D866B14FEF83}"/>
    <cellStyle name="Currency 29 4" xfId="1450" xr:uid="{CB5BB1FB-A213-4B71-A62B-164370116345}"/>
    <cellStyle name="Currency 29 4 2" xfId="1451" xr:uid="{794C0D78-6FEC-4E8C-B7D9-F8D241C55086}"/>
    <cellStyle name="Currency 29 4 2 2" xfId="1452" xr:uid="{C50DBA85-7C12-4897-8E0A-AE752AAAFCD4}"/>
    <cellStyle name="Currency 29 4 2 2 2" xfId="5240" xr:uid="{68151C60-FBD0-4B6C-A186-35494D1228C9}"/>
    <cellStyle name="Currency 29 4 2 3" xfId="5239" xr:uid="{B3C1A4DD-C6A3-4715-99D7-4D83D6CC0272}"/>
    <cellStyle name="Currency 29 4 3" xfId="1453" xr:uid="{1B04F26E-81B5-49D9-8E53-24173115ED84}"/>
    <cellStyle name="Currency 29 4 3 2" xfId="5241" xr:uid="{A72E521F-9F36-439F-B4A8-B89E5F9ABA5E}"/>
    <cellStyle name="Currency 29 4 4" xfId="5238" xr:uid="{BCF15773-029F-4E80-93DD-D64A0F9D1B2B}"/>
    <cellStyle name="Currency 29 5" xfId="1454" xr:uid="{1C9208BE-CB84-48A6-9920-61A898292812}"/>
    <cellStyle name="Currency 29 5 2" xfId="1455" xr:uid="{BD732132-F3CB-4644-80DE-EA8BE754CC9F}"/>
    <cellStyle name="Currency 29 5 2 2" xfId="5243" xr:uid="{FE38FC14-5437-4909-9E6A-79EB5440C99C}"/>
    <cellStyle name="Currency 29 5 3" xfId="5242" xr:uid="{C0C56AB5-0110-40FE-8222-774058864723}"/>
    <cellStyle name="Currency 29 6" xfId="1456" xr:uid="{4A9E81FE-90D3-41AD-B5E9-861009F6C2FC}"/>
    <cellStyle name="Currency 29 6 2" xfId="5244" xr:uid="{ABDA7770-0D4B-4AB8-9762-92150EB2D00A}"/>
    <cellStyle name="Currency 29 7" xfId="5221" xr:uid="{EB92E70B-4393-480F-8292-78B287074244}"/>
    <cellStyle name="Currency 3" xfId="1457" xr:uid="{42847998-ADD2-4D89-AEEF-3101F87D93E9}"/>
    <cellStyle name="Currency 3 2" xfId="1458" xr:uid="{7082413B-269F-45C9-A286-CEDBB0984D03}"/>
    <cellStyle name="Currency 3 2 2" xfId="1459" xr:uid="{46CAE4B7-61CB-4709-8716-E9F1DFFF9EFF}"/>
    <cellStyle name="Currency 3 2 2 2" xfId="1460" xr:uid="{62788551-9EF9-499A-A4F4-706F84A0447A}"/>
    <cellStyle name="Currency 3 2 2 2 2" xfId="5248" xr:uid="{C3475E46-7D7F-4FFD-A962-73F489CA3562}"/>
    <cellStyle name="Currency 3 2 2 3" xfId="5247" xr:uid="{20A33FEB-70F7-42CF-9E28-B092209EF1F7}"/>
    <cellStyle name="Currency 3 2 3" xfId="1461" xr:uid="{F394493E-A151-4AB1-A133-35F4F0B8510A}"/>
    <cellStyle name="Currency 3 2 3 2" xfId="5249" xr:uid="{CD415432-E52D-4F88-AE8F-4E782B06F444}"/>
    <cellStyle name="Currency 3 2 4" xfId="1462" xr:uid="{138BFF18-E86F-4F4E-8F2F-40B9C5E464D2}"/>
    <cellStyle name="Currency 3 2 4 2" xfId="5250" xr:uid="{C7C138B5-3FB1-4AAE-8CBC-8EA8335BEF1C}"/>
    <cellStyle name="Currency 3 2 5" xfId="1463" xr:uid="{67A4AE16-324F-4B43-97F8-B693D96BD472}"/>
    <cellStyle name="Currency 3 2 5 2" xfId="5251" xr:uid="{DD45334E-EEC8-47E4-9786-0EB9BC46CC9D}"/>
    <cellStyle name="Currency 3 2 6" xfId="5246" xr:uid="{A5296B85-815E-40C2-9277-D12FBA22EC89}"/>
    <cellStyle name="Currency 3 3" xfId="1464" xr:uid="{9CF1980F-3D9A-4188-B314-3AB3E0E1EFA2}"/>
    <cellStyle name="Currency 3 3 2" xfId="5252" xr:uid="{DF47E57B-8766-43E2-ADB8-E7EDBD34D6D7}"/>
    <cellStyle name="Currency 3 4" xfId="1465" xr:uid="{534D48D1-5ED2-49A4-89E1-AC65E6515AE9}"/>
    <cellStyle name="Currency 3 4 2" xfId="5253" xr:uid="{EF036B0A-0E7E-4FBF-B94D-B5DFDD586F6F}"/>
    <cellStyle name="Currency 3 5" xfId="1466" xr:uid="{9495F42C-BFE4-4F36-94B9-6BF7C744115C}"/>
    <cellStyle name="Currency 3 5 2" xfId="5254" xr:uid="{27BEB793-D53E-45C5-AD4E-378124771646}"/>
    <cellStyle name="Currency 3 6" xfId="1467" xr:uid="{EEFEC050-B274-4ED1-9CC6-C5056D8A4B83}"/>
    <cellStyle name="Currency 3 6 2" xfId="5255" xr:uid="{E0BBEBB7-0E5F-4725-B209-105588E068B7}"/>
    <cellStyle name="Currency 3 7" xfId="5245" xr:uid="{65546D5C-3890-4F98-97B0-B62030FDCCC0}"/>
    <cellStyle name="Currency 30" xfId="77" xr:uid="{79794426-7D25-4F8E-8B79-74A749EAC16C}"/>
    <cellStyle name="Currency 30 2" xfId="4666" xr:uid="{042F13B3-01D5-418E-8E22-1541C7BEB838}"/>
    <cellStyle name="Currency 31" xfId="5466" xr:uid="{C11E0384-F522-4086-928D-BAB33492C475}"/>
    <cellStyle name="Currency 32" xfId="5513" xr:uid="{6C90E0C3-26D8-40A9-A5E1-EB7B47C4E5DC}"/>
    <cellStyle name="Currency 4" xfId="1468" xr:uid="{BD331437-CB72-44A0-8CB4-0B9CF8F61DA2}"/>
    <cellStyle name="Currency 4 10" xfId="1469" xr:uid="{83D6C96A-A300-4C9C-B1C6-850BEC1AFF31}"/>
    <cellStyle name="Currency 4 10 2" xfId="5257" xr:uid="{70D3411C-045A-4DEC-A548-7AD340482725}"/>
    <cellStyle name="Currency 4 11" xfId="5256" xr:uid="{71AD8167-5233-4DB6-B8DF-9FECEE919E1E}"/>
    <cellStyle name="Currency 4 2" xfId="1470" xr:uid="{58865B57-A78D-4305-9EE3-493E3DB75488}"/>
    <cellStyle name="Currency 4 2 2" xfId="1471" xr:uid="{01DA74E9-C0CE-4F7E-B885-841E98427EA1}"/>
    <cellStyle name="Currency 4 2 2 2" xfId="1472" xr:uid="{04D5BFA3-904A-4745-BBF4-66B2ABB7B16D}"/>
    <cellStyle name="Currency 4 2 2 2 2" xfId="1473" xr:uid="{6575AC60-CA1E-4A21-8D80-CD3F32901A8F}"/>
    <cellStyle name="Currency 4 2 2 2 2 2" xfId="5261" xr:uid="{CCB88345-A6DF-40D1-AFCE-36F3060ADFA0}"/>
    <cellStyle name="Currency 4 2 2 2 3" xfId="5260" xr:uid="{EA888C66-76B5-40E3-A39B-CA1B5DA6F7AC}"/>
    <cellStyle name="Currency 4 2 2 3" xfId="1474" xr:uid="{6C19F0A9-8A75-4B5C-ACE6-CD9EA5FF5F41}"/>
    <cellStyle name="Currency 4 2 2 3 2" xfId="5262" xr:uid="{ED8A700C-DD45-4C31-B3AB-405925EC20E8}"/>
    <cellStyle name="Currency 4 2 2 4" xfId="5259" xr:uid="{E602E2F6-EFD1-4F2E-931D-B662E7FCC980}"/>
    <cellStyle name="Currency 4 2 3" xfId="1475" xr:uid="{AB3C4D98-7502-47A8-9F27-22E2FD413543}"/>
    <cellStyle name="Currency 4 2 3 2" xfId="1476" xr:uid="{ACDA48FD-FEF4-4728-95DE-795E4E580E07}"/>
    <cellStyle name="Currency 4 2 3 2 2" xfId="5264" xr:uid="{6B7C87C6-9695-4643-864E-B2344D9C66FB}"/>
    <cellStyle name="Currency 4 2 3 3" xfId="5263" xr:uid="{3470DA2B-59E4-44A1-AC7F-4DF68E2CFBC8}"/>
    <cellStyle name="Currency 4 2 4" xfId="1477" xr:uid="{E343F17B-39C1-4A81-9A86-7EC5724079B8}"/>
    <cellStyle name="Currency 4 2 4 2" xfId="5265" xr:uid="{04B55702-459E-44F9-A7D7-3736833BC2DC}"/>
    <cellStyle name="Currency 4 2 5" xfId="5258" xr:uid="{8752BBC8-72A7-418A-BBC9-2A8B665DAE5F}"/>
    <cellStyle name="Currency 4 3" xfId="1478" xr:uid="{4377F12B-0F34-427D-8BFA-614C3B5C17B2}"/>
    <cellStyle name="Currency 4 3 2" xfId="1479" xr:uid="{7029BD96-5314-4E9F-AF62-34CFFEB49D31}"/>
    <cellStyle name="Currency 4 3 2 2" xfId="1480" xr:uid="{8C2D947E-EEAB-44E6-A24B-A5BEC0AFC636}"/>
    <cellStyle name="Currency 4 3 2 2 2" xfId="1481" xr:uid="{15E4674F-03D2-4F76-BB3A-80AB074011FD}"/>
    <cellStyle name="Currency 4 3 2 2 2 2" xfId="5269" xr:uid="{5BCC59BE-C1EB-456D-B41F-9C408CE8791F}"/>
    <cellStyle name="Currency 4 3 2 2 3" xfId="5268" xr:uid="{FD0C571C-70D0-43D8-9968-CE2C1BFA0DB8}"/>
    <cellStyle name="Currency 4 3 2 3" xfId="1482" xr:uid="{E7C56A18-43C7-4FA0-8B01-203EAB0F3A8C}"/>
    <cellStyle name="Currency 4 3 2 3 2" xfId="5270" xr:uid="{29C578CF-7703-4D41-921C-E5DCE7A870CA}"/>
    <cellStyle name="Currency 4 3 2 4" xfId="5267" xr:uid="{9FE7C29D-7774-4B7F-898E-EA396EAF2004}"/>
    <cellStyle name="Currency 4 3 3" xfId="1483" xr:uid="{D696A9A1-77AD-427D-B916-EEF92DE55170}"/>
    <cellStyle name="Currency 4 3 3 2" xfId="1484" xr:uid="{54B18035-5B58-4B45-AD8F-2A8CE64DDC04}"/>
    <cellStyle name="Currency 4 3 3 2 2" xfId="5272" xr:uid="{9E81A274-C51A-4012-9C3D-50A0B7E29ED2}"/>
    <cellStyle name="Currency 4 3 3 3" xfId="5271" xr:uid="{1D67E61D-775C-4E59-A35B-295B0A695B6E}"/>
    <cellStyle name="Currency 4 3 4" xfId="1485" xr:uid="{58304BFA-F199-478C-86A2-802B4FAFE061}"/>
    <cellStyle name="Currency 4 3 4 2" xfId="5273" xr:uid="{19273DB7-935E-461C-8DE7-E739B3E50649}"/>
    <cellStyle name="Currency 4 3 5" xfId="5266" xr:uid="{A9079819-3973-4699-B6D6-F28DE2A94E10}"/>
    <cellStyle name="Currency 4 4" xfId="1486" xr:uid="{740A08F0-B871-46A3-82C5-614377429D8A}"/>
    <cellStyle name="Currency 4 4 2" xfId="1487" xr:uid="{4444202E-283B-4C35-8803-4810690012FA}"/>
    <cellStyle name="Currency 4 4 2 2" xfId="1488" xr:uid="{BDE55FC6-593A-4A4F-8097-A2B19F0D8742}"/>
    <cellStyle name="Currency 4 4 2 2 2" xfId="5276" xr:uid="{F5DF5235-27A0-47E0-A9D3-415F582C5A81}"/>
    <cellStyle name="Currency 4 4 2 3" xfId="5275" xr:uid="{71D5A4A3-DA40-476F-83F3-F2D8E391670A}"/>
    <cellStyle name="Currency 4 4 3" xfId="1489" xr:uid="{914B1E2D-0B25-4A41-B1C2-6395A8AE8A72}"/>
    <cellStyle name="Currency 4 4 3 2" xfId="5277" xr:uid="{BAEA49C9-344B-47DE-89BD-57FBBF13165C}"/>
    <cellStyle name="Currency 4 4 4" xfId="5274" xr:uid="{6BA2B832-5437-47E1-97C6-7FDC3CE4899B}"/>
    <cellStyle name="Currency 4 5" xfId="1490" xr:uid="{ADBDFC73-4A34-432B-9A25-9CB4BB45B8E5}"/>
    <cellStyle name="Currency 4 5 2" xfId="1491" xr:uid="{5E85ABAF-E294-46AC-9E91-3409DB8B06E9}"/>
    <cellStyle name="Currency 4 5 2 2" xfId="1492" xr:uid="{74A8D142-78A7-42A3-827B-AE3D350245F9}"/>
    <cellStyle name="Currency 4 5 2 2 2" xfId="5280" xr:uid="{C7F36424-4FF2-4AD2-9791-B99DE3A214A4}"/>
    <cellStyle name="Currency 4 5 2 3" xfId="5279" xr:uid="{D27E5FDF-7D88-4C02-9AE7-C7A2D3907732}"/>
    <cellStyle name="Currency 4 5 3" xfId="1493" xr:uid="{330ADAF1-4FB0-4E2B-A823-687ED112BA0A}"/>
    <cellStyle name="Currency 4 5 3 2" xfId="5281" xr:uid="{696AD13D-E1BB-4F0B-B280-70178441E074}"/>
    <cellStyle name="Currency 4 5 4" xfId="5278" xr:uid="{A82B4A94-4CB3-4DBD-8CBF-27495854AC2E}"/>
    <cellStyle name="Currency 4 6" xfId="1494" xr:uid="{4A901495-BA57-45DB-AA3D-A875F9FF5F42}"/>
    <cellStyle name="Currency 4 6 2" xfId="1495" xr:uid="{90FF8A8F-A2F3-45C6-A3AF-6D7F1B583EB7}"/>
    <cellStyle name="Currency 4 6 2 2" xfId="1496" xr:uid="{FAE12A2D-5696-4E26-9419-8C09525D9E0C}"/>
    <cellStyle name="Currency 4 6 2 2 2" xfId="5284" xr:uid="{29619C37-8C13-4BC3-B4FC-2170CF751CBD}"/>
    <cellStyle name="Currency 4 6 2 3" xfId="5283" xr:uid="{CF9F4C63-5B8D-4754-994A-176402307B27}"/>
    <cellStyle name="Currency 4 6 3" xfId="1497" xr:uid="{30D46DE1-D51F-4CE9-9CD4-5D93430E6179}"/>
    <cellStyle name="Currency 4 6 3 2" xfId="5285" xr:uid="{7F9B5D9C-94CC-4121-B290-EACA0CDF33B1}"/>
    <cellStyle name="Currency 4 6 4" xfId="5282" xr:uid="{639CC379-CC1C-4E7E-B75F-41F976CD9A20}"/>
    <cellStyle name="Currency 4 7" xfId="1498" xr:uid="{33B1CC34-C003-4A25-A9F1-429A79C27202}"/>
    <cellStyle name="Currency 4 7 2" xfId="1499" xr:uid="{8B84C49D-AD41-411D-BEA4-B65D078543B9}"/>
    <cellStyle name="Currency 4 7 2 2" xfId="5287" xr:uid="{58F42F92-DAF6-4ADA-908A-5B877384AD93}"/>
    <cellStyle name="Currency 4 7 3" xfId="5286" xr:uid="{61E89939-0B6B-42E1-B176-B10B84872085}"/>
    <cellStyle name="Currency 4 8" xfId="1500" xr:uid="{3009CE1F-6AD8-4E59-ACC2-2B77B855A443}"/>
    <cellStyle name="Currency 4 8 2" xfId="5288" xr:uid="{45C40A7A-2CAA-4018-8735-E452CA2CF1F1}"/>
    <cellStyle name="Currency 4 9" xfId="1501" xr:uid="{202A8F61-636D-44A8-A14C-EEA94A1428EF}"/>
    <cellStyle name="Currency 4 9 2" xfId="5289" xr:uid="{48163CC9-9427-4C76-818D-3792783EB581}"/>
    <cellStyle name="Currency 5" xfId="1502" xr:uid="{1B2B3093-4087-4306-AF4B-FD1C684F4E3C}"/>
    <cellStyle name="Currency 5 2" xfId="1503" xr:uid="{DCE1790E-7E31-4577-BED2-A6C025DD25AB}"/>
    <cellStyle name="Currency 5 2 2" xfId="1504" xr:uid="{BB8B74A9-1061-4E9F-AC37-35E932A9E3F0}"/>
    <cellStyle name="Currency 5 2 2 2" xfId="1505" xr:uid="{9725E3AC-BC69-43BB-9FE0-85B596802FFC}"/>
    <cellStyle name="Currency 5 2 2 2 2" xfId="1506" xr:uid="{B4DA165A-1C28-4297-9135-ECCD69C0D1D8}"/>
    <cellStyle name="Currency 5 2 2 2 2 2" xfId="5294" xr:uid="{DA05DA4B-FE50-4D70-961D-495F60D8D789}"/>
    <cellStyle name="Currency 5 2 2 2 3" xfId="5293" xr:uid="{8C268BD6-5141-461A-AA8C-57244EFCAFF7}"/>
    <cellStyle name="Currency 5 2 2 3" xfId="1507" xr:uid="{09EB1794-803F-4955-922E-9B743EBBBDE2}"/>
    <cellStyle name="Currency 5 2 2 3 2" xfId="5295" xr:uid="{E53BED84-33B0-4C4D-86FC-F32339FF4E7D}"/>
    <cellStyle name="Currency 5 2 2 4" xfId="5292" xr:uid="{6C2BEBD7-DEEB-4FB8-8FFF-42AD475D48A9}"/>
    <cellStyle name="Currency 5 2 3" xfId="1508" xr:uid="{3900FA03-95A4-410C-A19F-52ED4257CCBD}"/>
    <cellStyle name="Currency 5 2 3 2" xfId="1509" xr:uid="{C79036A7-6D47-41C7-9BF0-153980A79FB0}"/>
    <cellStyle name="Currency 5 2 3 2 2" xfId="5297" xr:uid="{842FEFF4-E113-45B8-9FA8-259F7C1AFA72}"/>
    <cellStyle name="Currency 5 2 3 3" xfId="5296" xr:uid="{5B6D0F41-21FE-4912-A01D-FE8F166FE37F}"/>
    <cellStyle name="Currency 5 2 4" xfId="1510" xr:uid="{92313A13-5A1A-4B48-8B0D-03F16D0A987B}"/>
    <cellStyle name="Currency 5 2 4 2" xfId="5298" xr:uid="{45481735-71E5-446A-B001-0450963E0D5D}"/>
    <cellStyle name="Currency 5 2 5" xfId="5291" xr:uid="{DA88DBBA-075D-4331-8F77-3DCA37DEE988}"/>
    <cellStyle name="Currency 5 3" xfId="1511" xr:uid="{53867F65-A3E3-4B98-A7B2-076B722D0704}"/>
    <cellStyle name="Currency 5 3 2" xfId="1512" xr:uid="{AB96DABC-6BAD-455D-A105-FC935B85A353}"/>
    <cellStyle name="Currency 5 3 2 2" xfId="1513" xr:uid="{D8A628BF-78E9-4C99-8583-622A8C8FBB0C}"/>
    <cellStyle name="Currency 5 3 2 2 2" xfId="1514" xr:uid="{E8B48983-F1D5-4FB0-8789-E83DFF66450C}"/>
    <cellStyle name="Currency 5 3 2 2 2 2" xfId="5302" xr:uid="{08B175A0-351B-471A-8B06-E08EE6294C70}"/>
    <cellStyle name="Currency 5 3 2 2 3" xfId="5301" xr:uid="{EE6C1B99-1506-4C90-8A61-A9083A1DEDC9}"/>
    <cellStyle name="Currency 5 3 2 3" xfId="1515" xr:uid="{D9CD927A-7E5C-4AE4-947B-83C5F0F1892B}"/>
    <cellStyle name="Currency 5 3 2 3 2" xfId="5303" xr:uid="{99BC831A-A285-4CCB-97F4-B6144AC1C1AA}"/>
    <cellStyle name="Currency 5 3 2 4" xfId="5300" xr:uid="{AADC9C63-BC44-4E00-89EE-44224EC9C991}"/>
    <cellStyle name="Currency 5 3 3" xfId="1516" xr:uid="{ED587D9E-3F70-4558-AADA-51D2A7225D28}"/>
    <cellStyle name="Currency 5 3 3 2" xfId="1517" xr:uid="{6B4A6AA7-650C-43B5-A553-68386C9C76EC}"/>
    <cellStyle name="Currency 5 3 3 2 2" xfId="5305" xr:uid="{F7D03F0F-3B5F-4AF7-8F64-D449563724A3}"/>
    <cellStyle name="Currency 5 3 3 3" xfId="5304" xr:uid="{454A1A1D-378F-4B91-B4C7-FE46ADF4815A}"/>
    <cellStyle name="Currency 5 3 4" xfId="1518" xr:uid="{BFC42C87-A7AE-4464-83AA-A3D36C4AFC10}"/>
    <cellStyle name="Currency 5 3 4 2" xfId="5306" xr:uid="{84052BC3-CC66-4A1F-A44E-412E8A00F535}"/>
    <cellStyle name="Currency 5 3 5" xfId="5299" xr:uid="{EC741839-6FB0-40C2-952F-A51D4C8106D9}"/>
    <cellStyle name="Currency 5 4" xfId="1519" xr:uid="{75D458F3-080D-43BC-A221-6CB521BE5FEA}"/>
    <cellStyle name="Currency 5 4 2" xfId="1520" xr:uid="{DCF7BF55-9571-4290-9B42-BADF4E1D2A28}"/>
    <cellStyle name="Currency 5 4 2 2" xfId="1521" xr:uid="{BEE14BBD-92B4-4BBC-A3CA-E860AD6A24A0}"/>
    <cellStyle name="Currency 5 4 2 2 2" xfId="5309" xr:uid="{0DA82B57-E00C-4CB7-822A-4F71243EA1BA}"/>
    <cellStyle name="Currency 5 4 2 3" xfId="5308" xr:uid="{9CAFAED4-F5DC-44BC-83E8-BB0DE850F7BC}"/>
    <cellStyle name="Currency 5 4 3" xfId="1522" xr:uid="{F730B742-8E44-4E0C-9E7F-2BD124B62E1D}"/>
    <cellStyle name="Currency 5 4 3 2" xfId="5310" xr:uid="{90C875EB-3984-41BF-97D7-E38E753388CD}"/>
    <cellStyle name="Currency 5 4 4" xfId="5307" xr:uid="{9097F415-95AC-4DD7-A327-50B6A329638B}"/>
    <cellStyle name="Currency 5 5" xfId="1523" xr:uid="{910D7914-F578-487A-99A9-4BD555C31BBC}"/>
    <cellStyle name="Currency 5 5 2" xfId="1524" xr:uid="{86BD6B22-602C-4664-8AF6-F08B8646AE4A}"/>
    <cellStyle name="Currency 5 5 2 2" xfId="5312" xr:uid="{525369B3-490A-4263-BB95-60BC24B7C672}"/>
    <cellStyle name="Currency 5 5 3" xfId="5311" xr:uid="{1F063020-9CEE-4035-987B-96B070FF94A6}"/>
    <cellStyle name="Currency 5 6" xfId="1525" xr:uid="{AB5C0EE3-D8DA-4554-9469-9A38506E97D7}"/>
    <cellStyle name="Currency 5 6 2" xfId="5313" xr:uid="{9FCC86B9-4374-4102-BE38-C321CBFBA875}"/>
    <cellStyle name="Currency 5 7" xfId="5290" xr:uid="{DECBACC8-265F-4D14-B0C5-7240206A8092}"/>
    <cellStyle name="Currency 6" xfId="1526" xr:uid="{4B874F8F-0566-416C-9C93-69FE6836DFAF}"/>
    <cellStyle name="Currency 6 2" xfId="1527" xr:uid="{2AC43E5A-93F0-40E0-9D8D-62073E2A9C85}"/>
    <cellStyle name="Currency 6 2 2" xfId="1528" xr:uid="{5DE83E54-8340-4B82-A56D-AFF7453B38E1}"/>
    <cellStyle name="Currency 6 2 2 2" xfId="1529" xr:uid="{1231FE39-C181-4CF7-81DC-B5397DD904B1}"/>
    <cellStyle name="Currency 6 2 2 2 2" xfId="1530" xr:uid="{F7EC0061-945B-43D1-92C2-D95F1B0C899A}"/>
    <cellStyle name="Currency 6 2 2 2 2 2" xfId="5318" xr:uid="{FE3540B6-821A-4C7C-B802-682C52A88FD2}"/>
    <cellStyle name="Currency 6 2 2 2 3" xfId="5317" xr:uid="{8BEC7E59-7DA3-4A3C-BD04-EC39A973C90A}"/>
    <cellStyle name="Currency 6 2 2 3" xfId="1531" xr:uid="{2E4FD551-AE98-439E-95D6-D81BE16BFA4B}"/>
    <cellStyle name="Currency 6 2 2 3 2" xfId="5319" xr:uid="{2CA7C4BF-65DF-4EFB-A0E0-D817695C8CBF}"/>
    <cellStyle name="Currency 6 2 2 4" xfId="5316" xr:uid="{4CA6855D-19C5-4595-B470-05BABE8A26D3}"/>
    <cellStyle name="Currency 6 2 3" xfId="1532" xr:uid="{68E89D38-B951-43CD-A2BE-8A1D7D199244}"/>
    <cellStyle name="Currency 6 2 3 2" xfId="1533" xr:uid="{A8ED3FA0-DE6C-4EB0-8DD9-3CC4FFA1A9EA}"/>
    <cellStyle name="Currency 6 2 3 2 2" xfId="5321" xr:uid="{D777314C-7EAB-4317-AAF6-F6B66E2D0E11}"/>
    <cellStyle name="Currency 6 2 3 3" xfId="5320" xr:uid="{A945CF8E-DF3E-4167-9F5F-F04715FF6FF2}"/>
    <cellStyle name="Currency 6 2 4" xfId="1534" xr:uid="{905DFEE5-67E1-4B1F-88E7-2E339A8F70A1}"/>
    <cellStyle name="Currency 6 2 4 2" xfId="5322" xr:uid="{D0892782-C5EA-4A81-B93F-0BAADA8F9216}"/>
    <cellStyle name="Currency 6 2 5" xfId="5315" xr:uid="{12DDC504-0FED-46F0-B94F-F22144E68DEF}"/>
    <cellStyle name="Currency 6 3" xfId="1535" xr:uid="{4FDD893A-D878-4B4C-84D6-7A892BDD9E53}"/>
    <cellStyle name="Currency 6 3 2" xfId="1536" xr:uid="{D97AA9A4-A39E-4612-A644-28A2A03B7CA8}"/>
    <cellStyle name="Currency 6 3 2 2" xfId="1537" xr:uid="{D86E0309-FDF7-4292-A950-3FA14FAFD784}"/>
    <cellStyle name="Currency 6 3 2 2 2" xfId="1538" xr:uid="{3BA9B0EE-318F-4E73-A8C5-B615CB874645}"/>
    <cellStyle name="Currency 6 3 2 2 2 2" xfId="5326" xr:uid="{70CFBEA2-A8C4-41C5-B816-A8DFC01FD0EB}"/>
    <cellStyle name="Currency 6 3 2 2 3" xfId="5325" xr:uid="{F04AC2C8-63CA-4C7A-A979-42AA60C6B031}"/>
    <cellStyle name="Currency 6 3 2 3" xfId="1539" xr:uid="{676D37A9-C2AB-4933-ABBC-970A7C9BB264}"/>
    <cellStyle name="Currency 6 3 2 3 2" xfId="5327" xr:uid="{8081E9AE-63B8-4A23-87B9-D99380CE37F6}"/>
    <cellStyle name="Currency 6 3 2 4" xfId="5324" xr:uid="{B17BD372-C4C5-493D-A17A-441E82787837}"/>
    <cellStyle name="Currency 6 3 3" xfId="1540" xr:uid="{4B70D591-0F0B-4D71-8ACC-AE6327127A88}"/>
    <cellStyle name="Currency 6 3 3 2" xfId="1541" xr:uid="{41A86307-D927-48AF-A154-204E636FAD7D}"/>
    <cellStyle name="Currency 6 3 3 2 2" xfId="5329" xr:uid="{6A63E449-6D02-4F27-9030-14D4C9D2D323}"/>
    <cellStyle name="Currency 6 3 3 3" xfId="5328" xr:uid="{D525CD48-7076-42D1-A812-C3E6911CEDEA}"/>
    <cellStyle name="Currency 6 3 4" xfId="1542" xr:uid="{56A20129-DF94-480E-A28F-7456ECE78C3A}"/>
    <cellStyle name="Currency 6 3 4 2" xfId="5330" xr:uid="{47D36E8D-58AF-49E2-9995-C50B9F72A018}"/>
    <cellStyle name="Currency 6 3 5" xfId="5323" xr:uid="{06A2E863-F102-4468-9DD4-47C2740670FC}"/>
    <cellStyle name="Currency 6 4" xfId="1543" xr:uid="{0EFCA22D-571C-41CD-9FFB-F1ECA6E194EB}"/>
    <cellStyle name="Currency 6 4 2" xfId="1544" xr:uid="{4F08D915-B516-417D-97AE-497A56076787}"/>
    <cellStyle name="Currency 6 4 2 2" xfId="1545" xr:uid="{F85FA973-B47B-40CA-9FAA-4E501E0D3B32}"/>
    <cellStyle name="Currency 6 4 2 2 2" xfId="5333" xr:uid="{2DB234E4-3071-4283-B618-152F944BAD57}"/>
    <cellStyle name="Currency 6 4 2 3" xfId="5332" xr:uid="{4A279BF0-C4C9-4A77-B074-B143EE46CD30}"/>
    <cellStyle name="Currency 6 4 3" xfId="1546" xr:uid="{5FEAAEAF-D104-4F18-A084-FF76712EA1E2}"/>
    <cellStyle name="Currency 6 4 3 2" xfId="5334" xr:uid="{B7C42DB9-59CE-45A3-B86F-28CD89D58CCD}"/>
    <cellStyle name="Currency 6 4 4" xfId="5331" xr:uid="{1E65BACA-7A0D-491D-A84F-0966605AF198}"/>
    <cellStyle name="Currency 6 5" xfId="1547" xr:uid="{CF5DAAFA-DB63-45CD-A2DD-A127E90E0960}"/>
    <cellStyle name="Currency 6 5 2" xfId="1548" xr:uid="{685EB677-C9A2-4E89-BED7-F400AB363F1E}"/>
    <cellStyle name="Currency 6 5 2 2" xfId="5336" xr:uid="{7161695C-4C94-40B3-B759-23F7F5EC2FB9}"/>
    <cellStyle name="Currency 6 5 3" xfId="5335" xr:uid="{FB9D63C9-7086-4C42-895E-0DC7D61A73A4}"/>
    <cellStyle name="Currency 6 6" xfId="1549" xr:uid="{E115EEFB-EF28-40DB-B8DB-D267B275F65C}"/>
    <cellStyle name="Currency 6 6 2" xfId="5337" xr:uid="{1C17AA78-5CCE-4392-A77B-E02E500762D3}"/>
    <cellStyle name="Currency 6 7" xfId="5314" xr:uid="{7ACD0862-532B-4E99-BB03-EA1F55BA24ED}"/>
    <cellStyle name="Currency 7" xfId="1550" xr:uid="{F6210B73-4500-4800-B55D-773D492D6AB9}"/>
    <cellStyle name="Currency 7 2" xfId="1551" xr:uid="{7091E3E8-A045-4807-B5AE-241BB0E2B404}"/>
    <cellStyle name="Currency 7 2 2" xfId="5339" xr:uid="{4D52DB55-EBA7-4340-8CAE-83D5A9B08DC0}"/>
    <cellStyle name="Currency 7 3" xfId="5338" xr:uid="{0F25C180-9EBA-4B84-9DB7-9591463FFCBB}"/>
    <cellStyle name="Currency 8" xfId="1552" xr:uid="{D02CA1A6-93D8-428B-8DA1-5DC46315FF88}"/>
    <cellStyle name="Currency 8 2" xfId="1553" xr:uid="{8DD8B5C0-FA7B-43FD-8197-3A1AF2622335}"/>
    <cellStyle name="Currency 8 2 2" xfId="1554" xr:uid="{2496CA15-0FED-4359-8359-F80E2AD07F92}"/>
    <cellStyle name="Currency 8 2 2 2" xfId="1555" xr:uid="{87B01AD8-BDF6-4848-A7F3-59FA313F11D8}"/>
    <cellStyle name="Currency 8 2 2 2 2" xfId="1556" xr:uid="{467936E8-4A2A-4E0A-B370-B8B1FFEE76D6}"/>
    <cellStyle name="Currency 8 2 2 2 2 2" xfId="5344" xr:uid="{D1DAA1C4-B38D-429E-9D66-93AB88F27175}"/>
    <cellStyle name="Currency 8 2 2 2 3" xfId="5343" xr:uid="{05A63219-E01D-4C41-A6AF-D5CB8CDE1014}"/>
    <cellStyle name="Currency 8 2 2 3" xfId="1557" xr:uid="{5791AFE6-3093-48B3-B628-0801460C3490}"/>
    <cellStyle name="Currency 8 2 2 3 2" xfId="5345" xr:uid="{74FFCFC2-46A6-48F2-B6FF-EDCF478F6394}"/>
    <cellStyle name="Currency 8 2 2 4" xfId="5342" xr:uid="{FF3BB647-17C6-4D39-8087-B6860CA0C964}"/>
    <cellStyle name="Currency 8 2 3" xfId="1558" xr:uid="{5F409C43-15BD-4765-A1ED-21D4ACFCB9AD}"/>
    <cellStyle name="Currency 8 2 3 2" xfId="1559" xr:uid="{DCA9978B-BCF5-458D-9B37-6FC859924288}"/>
    <cellStyle name="Currency 8 2 3 2 2" xfId="5347" xr:uid="{EE8737A2-EF7C-4622-845F-319754A9E937}"/>
    <cellStyle name="Currency 8 2 3 3" xfId="5346" xr:uid="{4515C097-1E9C-49C9-B7A4-36AED953129C}"/>
    <cellStyle name="Currency 8 2 4" xfId="1560" xr:uid="{BECC5711-7536-484B-A017-BF1CB4171D39}"/>
    <cellStyle name="Currency 8 2 4 2" xfId="5348" xr:uid="{096E7CCD-D932-4824-A16B-AE23B8FFED67}"/>
    <cellStyle name="Currency 8 2 5" xfId="5341" xr:uid="{AFF83EF1-8020-4CB6-9F70-3E571A9450BE}"/>
    <cellStyle name="Currency 8 3" xfId="1561" xr:uid="{FA114175-B5F8-4FC9-8AF6-BEBADA83A48F}"/>
    <cellStyle name="Currency 8 3 2" xfId="1562" xr:uid="{37180819-CD90-468B-B453-0768B37F212A}"/>
    <cellStyle name="Currency 8 3 2 2" xfId="1563" xr:uid="{C624DAD2-6008-42EC-9959-DC975A677EAC}"/>
    <cellStyle name="Currency 8 3 2 2 2" xfId="1564" xr:uid="{F43258B7-EE4E-46FD-9CA3-764D366852DC}"/>
    <cellStyle name="Currency 8 3 2 2 2 2" xfId="5352" xr:uid="{AFD78903-D8D8-4A17-A3C1-DEEF96EE5467}"/>
    <cellStyle name="Currency 8 3 2 2 3" xfId="5351" xr:uid="{9F123FC5-F18B-4A90-98B2-5D014AE8196E}"/>
    <cellStyle name="Currency 8 3 2 3" xfId="1565" xr:uid="{9D77A758-FBF5-4700-8F58-BE53476A9CBD}"/>
    <cellStyle name="Currency 8 3 2 3 2" xfId="5353" xr:uid="{506896FA-0226-4A88-A263-6294A19FEE47}"/>
    <cellStyle name="Currency 8 3 2 4" xfId="5350" xr:uid="{F708BF70-E1A3-4C31-9794-528BB87C0933}"/>
    <cellStyle name="Currency 8 3 3" xfId="1566" xr:uid="{B234F5CC-39E8-4B3C-93F9-5A55675FB764}"/>
    <cellStyle name="Currency 8 3 3 2" xfId="1567" xr:uid="{67445F5B-B085-4463-BBBF-9AA47ABD82A2}"/>
    <cellStyle name="Currency 8 3 3 2 2" xfId="5355" xr:uid="{CF5DA6F8-226F-4C93-8DFB-AC345DB3877A}"/>
    <cellStyle name="Currency 8 3 3 3" xfId="5354" xr:uid="{4A900F49-3826-4ED7-A432-ABB738B95EF7}"/>
    <cellStyle name="Currency 8 3 4" xfId="1568" xr:uid="{3E699330-9476-431D-9DAB-EE1B41B79FC2}"/>
    <cellStyle name="Currency 8 3 4 2" xfId="5356" xr:uid="{570F78B8-3AB2-4605-A944-8DC56A1A1818}"/>
    <cellStyle name="Currency 8 3 5" xfId="5349" xr:uid="{45FD9C02-E3B9-4E8F-81E9-FEF9757A31F1}"/>
    <cellStyle name="Currency 8 4" xfId="1569" xr:uid="{4EFB31DA-77CE-49EC-924C-3C12194EFCA3}"/>
    <cellStyle name="Currency 8 4 2" xfId="1570" xr:uid="{6E30AFFE-36E6-4B36-A9C3-830DB1AB8F44}"/>
    <cellStyle name="Currency 8 4 2 2" xfId="1571" xr:uid="{6D4437CE-E05F-460C-BA38-76E65ECA9C98}"/>
    <cellStyle name="Currency 8 4 2 2 2" xfId="5359" xr:uid="{5670D2A0-F9F6-42BA-B2C8-33E180FA4657}"/>
    <cellStyle name="Currency 8 4 2 3" xfId="5358" xr:uid="{B6C53032-9432-4C97-89E7-610DA40F8FF2}"/>
    <cellStyle name="Currency 8 4 3" xfId="1572" xr:uid="{52D7DD8C-F162-4228-9FA8-E2E29F8032A8}"/>
    <cellStyle name="Currency 8 4 3 2" xfId="5360" xr:uid="{058794F3-5C15-4A11-B9DE-72C3C5C66FF0}"/>
    <cellStyle name="Currency 8 4 4" xfId="5357" xr:uid="{A0970C53-882B-4D53-85FE-909A559B7A61}"/>
    <cellStyle name="Currency 8 5" xfId="1573" xr:uid="{C5AB7FC5-8596-428D-B1BA-33370D28994C}"/>
    <cellStyle name="Currency 8 5 2" xfId="1574" xr:uid="{C1496D68-356C-46DA-AE7A-BD863B8B60C0}"/>
    <cellStyle name="Currency 8 5 2 2" xfId="5362" xr:uid="{84DF5327-C4D3-49AA-9658-F7BA8943B617}"/>
    <cellStyle name="Currency 8 5 3" xfId="5361" xr:uid="{3DCB09FC-C8C7-4705-9165-5946F1547279}"/>
    <cellStyle name="Currency 8 6" xfId="1575" xr:uid="{EF9CC054-53D6-4465-8EF5-F069EDAE682E}"/>
    <cellStyle name="Currency 8 6 2" xfId="5363" xr:uid="{432B7E70-B286-4701-8CD2-CF2824191BC8}"/>
    <cellStyle name="Currency 8 7" xfId="1576" xr:uid="{B2EAB8F5-0EB3-4353-ADB5-71B8664F2F59}"/>
    <cellStyle name="Currency 8 7 2" xfId="5364" xr:uid="{F5927C9D-46BE-4737-A178-70C5E4805BC6}"/>
    <cellStyle name="Currency 8 8" xfId="5340" xr:uid="{10B6AC28-FD4B-4D1F-9415-C479835552F4}"/>
    <cellStyle name="Currency 9" xfId="1577" xr:uid="{A7A8EEC6-A016-43A7-B50E-4710D64E3D16}"/>
    <cellStyle name="Currency 9 2" xfId="1578" xr:uid="{EEB7CC23-1D6F-4A6D-9324-72129AD49FA0}"/>
    <cellStyle name="Currency 9 2 2" xfId="1579" xr:uid="{FDECDAD7-5638-437B-982F-7B1B6BF3D089}"/>
    <cellStyle name="Currency 9 2 2 2" xfId="1580" xr:uid="{C09997A2-7DC5-4C7C-A681-83CFEFD37EFC}"/>
    <cellStyle name="Currency 9 2 2 2 2" xfId="1581" xr:uid="{E3786594-88C2-4DE6-BFDD-E33B37359B6C}"/>
    <cellStyle name="Currency 9 2 2 2 2 2" xfId="5369" xr:uid="{42D52D6B-C45B-447F-AC27-1AAE843982E1}"/>
    <cellStyle name="Currency 9 2 2 2 3" xfId="5368" xr:uid="{31D0D41E-91D3-4D95-B509-F343C0A557A4}"/>
    <cellStyle name="Currency 9 2 2 3" xfId="1582" xr:uid="{1D170FA1-1A02-4548-A234-CC0F988EA55D}"/>
    <cellStyle name="Currency 9 2 2 3 2" xfId="5370" xr:uid="{4C100A9D-EB84-41EA-B75B-CDEBEC39DF6D}"/>
    <cellStyle name="Currency 9 2 2 4" xfId="5367" xr:uid="{C43CDEEC-DAEA-461D-A872-6C960AE3E8DC}"/>
    <cellStyle name="Currency 9 2 3" xfId="1583" xr:uid="{F4149A13-7B9B-4AAC-9EB5-7D7D47854005}"/>
    <cellStyle name="Currency 9 2 3 2" xfId="1584" xr:uid="{68527157-C958-4F4A-B5C6-9E8684C6AAE2}"/>
    <cellStyle name="Currency 9 2 3 2 2" xfId="5372" xr:uid="{07DB03E2-3C29-4CCA-B74D-05611334EBEC}"/>
    <cellStyle name="Currency 9 2 3 3" xfId="5371" xr:uid="{CE388E0F-B6E6-485C-9A3A-BBC306CFEE04}"/>
    <cellStyle name="Currency 9 2 4" xfId="1585" xr:uid="{4CCCC7BC-84DF-4B2B-8885-C0300F4CD68A}"/>
    <cellStyle name="Currency 9 2 4 2" xfId="5373" xr:uid="{24D18840-B5D7-4C1D-998B-1FC634A3501C}"/>
    <cellStyle name="Currency 9 2 5" xfId="5366" xr:uid="{B775E30C-0845-4B09-BA48-0FFE1D7CA0DF}"/>
    <cellStyle name="Currency 9 3" xfId="1586" xr:uid="{17131D22-7057-4D35-94BA-EBBAF6E81F6E}"/>
    <cellStyle name="Currency 9 3 2" xfId="1587" xr:uid="{FDA45DBE-54A2-45D7-96EE-71156081759D}"/>
    <cellStyle name="Currency 9 3 2 2" xfId="1588" xr:uid="{10D783A7-E6C9-415E-9753-D94ED1F0A08E}"/>
    <cellStyle name="Currency 9 3 2 2 2" xfId="1589" xr:uid="{D1930826-0D96-443E-9C18-3BEFF9CAEA23}"/>
    <cellStyle name="Currency 9 3 2 2 2 2" xfId="5377" xr:uid="{7C818879-7617-49EB-9EBC-56A504A48D6A}"/>
    <cellStyle name="Currency 9 3 2 2 3" xfId="5376" xr:uid="{73BA843C-A0B5-4F70-98F1-3CD8543DF4B9}"/>
    <cellStyle name="Currency 9 3 2 3" xfId="1590" xr:uid="{1B120F38-6BD9-4552-9A9B-6B01FE409288}"/>
    <cellStyle name="Currency 9 3 2 3 2" xfId="5378" xr:uid="{F6778416-99FB-4A98-A119-EAE3AD03467A}"/>
    <cellStyle name="Currency 9 3 2 4" xfId="5375" xr:uid="{14CCF8E8-C88F-4FED-B4AF-7AD6CA7CB6A9}"/>
    <cellStyle name="Currency 9 3 3" xfId="1591" xr:uid="{898BC81A-FC93-4193-99D6-20B1AEC128DF}"/>
    <cellStyle name="Currency 9 3 3 2" xfId="1592" xr:uid="{E729EA5A-9F26-4964-A46A-19E6F9CC851A}"/>
    <cellStyle name="Currency 9 3 3 2 2" xfId="5380" xr:uid="{C1C52212-2AEA-4A0B-83C6-3979E81B98E6}"/>
    <cellStyle name="Currency 9 3 3 3" xfId="5379" xr:uid="{37C54ABC-FE24-4A17-9BF5-015AEF56B6B2}"/>
    <cellStyle name="Currency 9 3 4" xfId="1593" xr:uid="{B43364E5-F447-4E14-8717-B5AD9C313927}"/>
    <cellStyle name="Currency 9 3 4 2" xfId="5381" xr:uid="{53AA3182-8014-4D6E-8AF9-486DCF7A0F60}"/>
    <cellStyle name="Currency 9 3 5" xfId="5374" xr:uid="{093889E9-9684-4008-8E2F-E41DB38DB3CF}"/>
    <cellStyle name="Currency 9 4" xfId="1594" xr:uid="{69A6698E-40DC-4614-8BF3-AF566E091645}"/>
    <cellStyle name="Currency 9 4 2" xfId="1595" xr:uid="{8BB096C7-D7D4-473F-B021-473ACEF51905}"/>
    <cellStyle name="Currency 9 4 2 2" xfId="1596" xr:uid="{F8BB1234-0F5F-4944-BC8F-083C7A6CEA20}"/>
    <cellStyle name="Currency 9 4 2 2 2" xfId="5384" xr:uid="{B672E270-CEFA-406D-9BD9-4506B7CBEE1C}"/>
    <cellStyle name="Currency 9 4 2 3" xfId="5383" xr:uid="{1D0386A3-D447-457E-AC2A-3B36DBF68AD7}"/>
    <cellStyle name="Currency 9 4 3" xfId="1597" xr:uid="{A8C8A51B-2CC4-4508-A73C-2A8D9BB1E372}"/>
    <cellStyle name="Currency 9 4 3 2" xfId="5385" xr:uid="{08F96799-FA9E-418A-A621-A71B680580B1}"/>
    <cellStyle name="Currency 9 4 4" xfId="5382" xr:uid="{D19902B7-CA37-4CD6-8EFB-23774D83D681}"/>
    <cellStyle name="Currency 9 5" xfId="1598" xr:uid="{FBEB57A0-46DA-4727-812F-1984FD08D65B}"/>
    <cellStyle name="Currency 9 5 2" xfId="1599" xr:uid="{F2BC8936-28B3-4906-9C8A-46EB5FA2F484}"/>
    <cellStyle name="Currency 9 5 2 2" xfId="5387" xr:uid="{39DAEC5D-0C37-412F-A400-C9877F3C3525}"/>
    <cellStyle name="Currency 9 5 3" xfId="5386" xr:uid="{81D7AF9C-8E17-4314-89BE-C36A6DE8869C}"/>
    <cellStyle name="Currency 9 6" xfId="1600" xr:uid="{34C4BD31-DA10-4ACC-8741-4BF8CCCF2BD9}"/>
    <cellStyle name="Currency 9 6 2" xfId="5388" xr:uid="{AF39281F-3AEC-452E-A6A1-06A07E9A2C77}"/>
    <cellStyle name="Currency 9 7" xfId="5365" xr:uid="{AC7FE3E2-5541-4FCA-8CC0-836AEB745D54}"/>
    <cellStyle name="Currency Per Share" xfId="1601" xr:uid="{F7FF205A-8DE8-450E-BC12-09E83FAF5EBB}"/>
    <cellStyle name="Currency0" xfId="1603" xr:uid="{592484FE-7436-48F0-9548-3934E843F253}"/>
    <cellStyle name="Currency2" xfId="1604" xr:uid="{52CAB664-A077-4101-93CA-4D16364DFECD}"/>
    <cellStyle name="CUS.Work.Area" xfId="1605" xr:uid="{67D2C221-7286-4F66-A277-61B11AB0DA1C}"/>
    <cellStyle name="Dash" xfId="1606" xr:uid="{B4E7617D-3B17-48C7-A7F9-8FA53AF53882}"/>
    <cellStyle name="Data" xfId="1607" xr:uid="{175A5286-5373-4322-8FA4-C10A0B7425FF}"/>
    <cellStyle name="Data 2" xfId="1608" xr:uid="{098733C7-D035-4554-A7F2-FEDD16C3B972}"/>
    <cellStyle name="Data 2 2" xfId="5391" xr:uid="{E3ACA829-0876-4614-9307-A3FE142E2618}"/>
    <cellStyle name="Data 3" xfId="1609" xr:uid="{F5F20689-CB90-4922-A31F-DCC2867499AA}"/>
    <cellStyle name="Data 4" xfId="5390" xr:uid="{4794BFD8-4834-4EB3-B7F4-BCD9FF7B66C9}"/>
    <cellStyle name="Date" xfId="1610" xr:uid="{2A177CF7-C6B5-4542-8139-95A536E5CD36}"/>
    <cellStyle name="Date [mm-dd-yyyy]" xfId="1612" xr:uid="{FFBCA780-E2C4-4690-8D2C-D78031BAA869}"/>
    <cellStyle name="Date [mm-dd-yyyy] 2" xfId="1613" xr:uid="{66D089F8-DE80-488B-BC1A-3544AD942F48}"/>
    <cellStyle name="Date [mm-d-yyyy]" xfId="1611" xr:uid="{4081D9A8-22E3-4234-AC8B-E05FBF8FE770}"/>
    <cellStyle name="Date [mm-d-yyyy] 2" xfId="4549" xr:uid="{822766F4-50F7-4F6A-9072-2F0748DDDC70}"/>
    <cellStyle name="Date [mmm-yyyy]" xfId="1614" xr:uid="{63D01CDA-D669-461F-9492-BA961F5BC845}"/>
    <cellStyle name="Date [mmm-yyyy] 2" xfId="4550" xr:uid="{60AE34FC-76AA-496F-BAA3-4076A8575DCB}"/>
    <cellStyle name="Date Aligned" xfId="1615" xr:uid="{7758EF60-D499-4029-96AF-B4B690C59585}"/>
    <cellStyle name="Date Aligned*" xfId="1616" xr:uid="{D4DE3267-FCE5-45A0-A866-939D30B5BC3B}"/>
    <cellStyle name="Date Short" xfId="1617" xr:uid="{31C84B5F-F5C0-4EA3-A24D-79CDBB93CC46}"/>
    <cellStyle name="date_ Pies " xfId="1618" xr:uid="{9F1BA756-EEEE-4704-B04B-8643A205567B}"/>
    <cellStyle name="DblLineDollarAcct" xfId="1619" xr:uid="{29D60690-3903-4961-B243-08247C28BB64}"/>
    <cellStyle name="DblLineDollarAcct 2" xfId="5392" xr:uid="{FC4E9345-64BA-4952-A9F8-DA76D0C22AEA}"/>
    <cellStyle name="DblLinePercent" xfId="1620" xr:uid="{0E91D38B-D6B5-4917-970B-C3A1FA581DD0}"/>
    <cellStyle name="Dezimal [0]_A17 - 31.03.1998" xfId="1621" xr:uid="{84A3414D-82D0-46AC-A913-16ED76136E41}"/>
    <cellStyle name="Dezimal_A17 - 31.03.1998" xfId="1622" xr:uid="{14153C5B-D86B-4FB5-9370-D13958E178FF}"/>
    <cellStyle name="Dia" xfId="1623" xr:uid="{C43D0C12-33BF-44E9-9090-22F6305A9F18}"/>
    <cellStyle name="Dollar_ Pies " xfId="1624" xr:uid="{04DBD1A8-66B6-45E4-ADCD-EE5AEA8EB86D}"/>
    <cellStyle name="DollarAccounting" xfId="1625" xr:uid="{D2E29ECA-84C8-442C-AC7C-E37CB887FC96}"/>
    <cellStyle name="DollarAccounting 2" xfId="5393" xr:uid="{ED65688A-A761-4522-92AC-634D2C63B3C3}"/>
    <cellStyle name="Dotted Line" xfId="1626" xr:uid="{8C217928-F962-4174-B92E-F6AD63974742}"/>
    <cellStyle name="Dotted Line 2" xfId="1627" xr:uid="{515FA688-9FD9-4833-A30D-5EA9DD54FB79}"/>
    <cellStyle name="Dotted Line 3" xfId="1628" xr:uid="{F2CDE185-5977-454E-BA5C-AE24199323FA}"/>
    <cellStyle name="Double Accounting" xfId="1629" xr:uid="{FAE70770-BAB9-4BEA-95F5-89E871FD2BCD}"/>
    <cellStyle name="Double Accounting 2" xfId="5394" xr:uid="{9BAD516B-9986-4FBC-8E7F-98555C329293}"/>
    <cellStyle name="Duizenden" xfId="1630" xr:uid="{9CD4EDFD-A6FE-417A-A5E0-74F9051EC8AD}"/>
    <cellStyle name="Encabez1" xfId="1631" xr:uid="{E412AA6E-3243-47C2-919D-776CB57C6F7F}"/>
    <cellStyle name="Encabez2" xfId="1632" xr:uid="{3383039F-8CBE-48F9-A070-3F45F840CFEF}"/>
    <cellStyle name="Enter Currency (0)" xfId="1633" xr:uid="{D32333E6-A17E-4794-9C54-C9FD774FA545}"/>
    <cellStyle name="Enter Currency (2)" xfId="1634" xr:uid="{7471617F-350F-44C7-A799-B0EE6BD668FB}"/>
    <cellStyle name="Enter Units (0)" xfId="1635" xr:uid="{F9B34E47-100A-43D8-83F4-DA6D7C1EB3F3}"/>
    <cellStyle name="Enter Units (1)" xfId="1636" xr:uid="{BC681786-FC26-4763-AD29-35EB4430FE6A}"/>
    <cellStyle name="Enter Units (2)" xfId="1637" xr:uid="{53AE4EC8-D250-41F5-AB62-6E681E20B655}"/>
    <cellStyle name="Entrée" xfId="1638" xr:uid="{34D29AE5-67EC-4F0D-9B13-C7C8DFE5657D}"/>
    <cellStyle name="Entrée 2" xfId="5500" xr:uid="{2C4B3576-ABD7-4A5C-9979-729CFFE6061A}"/>
    <cellStyle name="Euro" xfId="1639" xr:uid="{AFF18259-AC5F-4942-91B1-1EBA55B38D38}"/>
    <cellStyle name="Explanatory Text" xfId="4622" builtinId="53" customBuiltin="1"/>
    <cellStyle name="Explanatory Text 2" xfId="48" xr:uid="{CC56DC62-127A-4608-931E-0EC956FF9A82}"/>
    <cellStyle name="Explanatory Text 2 2" xfId="1640" xr:uid="{46F2532C-19BB-43F6-84CF-C933062AB08F}"/>
    <cellStyle name="Explanatory Text 2 3" xfId="1641" xr:uid="{F6D95404-D53B-4885-9D0D-4D104DE11FED}"/>
    <cellStyle name="Explanatory Text 2 4" xfId="1642" xr:uid="{E7EF0F39-7718-4FB8-B50F-D1E8A18B7FEC}"/>
    <cellStyle name="Explanatory Text 2 5" xfId="1643" xr:uid="{DEC1149E-A459-4391-B69F-E03DE2B3DF87}"/>
    <cellStyle name="Explanatory Text 2 6" xfId="1644" xr:uid="{2CC0C57A-F9A1-4F41-ADBD-97C2E614671E}"/>
    <cellStyle name="Explanatory Text 2 7" xfId="1645" xr:uid="{420BB8FC-CFC7-4D6D-978F-ACA52B98C024}"/>
    <cellStyle name="Explanatory Text 2 8" xfId="1646" xr:uid="{CD90C510-A753-466F-8F9F-50E0BEE872A7}"/>
    <cellStyle name="Explanatory Text 2 9" xfId="1647" xr:uid="{95B1B78F-3AFE-4DA9-B93D-F7642829E321}"/>
    <cellStyle name="Explanatory Text 3" xfId="1648" xr:uid="{942582E8-17BA-460F-949E-439A9852FDD6}"/>
    <cellStyle name="fact" xfId="1649" xr:uid="{F871452D-63A6-4201-A475-A6B270ECA364}"/>
    <cellStyle name="fact 2" xfId="4551" xr:uid="{DDB880A2-5368-4878-A9CC-476F5F82A0AD}"/>
    <cellStyle name="FieldName" xfId="1650" xr:uid="{00251D68-3911-409B-8B6A-9E8B401762CD}"/>
    <cellStyle name="FieldName 2" xfId="5501" xr:uid="{75EDEBA7-31BD-4EAB-856E-7AD022F4E1FE}"/>
    <cellStyle name="FieldName 3" xfId="5395" xr:uid="{966A47E5-5BFA-4F7B-9423-18CEB26EAE31}"/>
    <cellStyle name="Fijo" xfId="1651" xr:uid="{EA8FBD4B-BF62-49A6-B8DD-C9D952D2156A}"/>
    <cellStyle name="Financiero" xfId="1652" xr:uid="{57CB048C-ED7D-455C-9B1A-88E8310484AA}"/>
    <cellStyle name="Fixed" xfId="1653" xr:uid="{4EED1234-2E6C-4E24-837E-37EBAE5D525F}"/>
    <cellStyle name="Followed Hyperlink 2" xfId="1654" xr:uid="{7943215B-93E6-4D60-A7FE-CE38F66D6B6B}"/>
    <cellStyle name="Footnote" xfId="1655" xr:uid="{D9114013-EE75-4A47-A123-65873089B072}"/>
    <cellStyle name="Good" xfId="4612" builtinId="26" customBuiltin="1"/>
    <cellStyle name="Good 2" xfId="49" xr:uid="{AA7A5B40-440E-4CA5-A7F8-704296A2CA4B}"/>
    <cellStyle name="Good 2 2" xfId="1656" xr:uid="{79902B6C-3FBD-49C1-97C6-28D0B85F3346}"/>
    <cellStyle name="Good 2 3" xfId="1657" xr:uid="{81CE24F5-371A-4BA7-901D-ADFBDB41016F}"/>
    <cellStyle name="Good 2 4" xfId="1658" xr:uid="{CD56106C-DD52-455A-B618-84D9B03C41C3}"/>
    <cellStyle name="Good 2 5" xfId="1659" xr:uid="{D94F6052-C2FC-472E-91B9-B378EC87A70A}"/>
    <cellStyle name="Good 2 6" xfId="1660" xr:uid="{326F994D-C5BB-40CB-AB7F-0A1F88E1EE0A}"/>
    <cellStyle name="Good 2 7" xfId="1661" xr:uid="{9E4C5BC8-95A4-4A6B-B3DA-7DA1A8089E20}"/>
    <cellStyle name="Good 2 8" xfId="1662" xr:uid="{DB0F6418-4762-4310-984C-B83E603F28AB}"/>
    <cellStyle name="Good 2 9" xfId="1663" xr:uid="{E2BD42DB-CFB7-48D0-85CC-35F95A521E05}"/>
    <cellStyle name="Good 3" xfId="1664" xr:uid="{94A6AB6E-68AE-4917-8346-078F85689EA9}"/>
    <cellStyle name="Grey" xfId="1665" xr:uid="{39E22CF6-7176-4441-A635-77ADBB040481}"/>
    <cellStyle name="GWN Table Body" xfId="1666" xr:uid="{918E966F-2DF2-44D1-88CA-569BF66EFF43}"/>
    <cellStyle name="GWN Table Header" xfId="1667" xr:uid="{DAFFDA65-B70F-4D22-9085-774DF8FE1B19}"/>
    <cellStyle name="GWN Table Left Header" xfId="1668" xr:uid="{5DB742FA-37D4-4EA1-85BA-C311F20CF0C0}"/>
    <cellStyle name="GWN Table Note" xfId="1669" xr:uid="{731A2FCB-EB66-429A-802C-399E547585E2}"/>
    <cellStyle name="GWN Table Title" xfId="1670" xr:uid="{0C37F415-7259-4F8F-A97F-DC230294EFE3}"/>
    <cellStyle name="hard no" xfId="1671" xr:uid="{B4BCB75B-573F-4F84-B93F-2FA4EEBF0367}"/>
    <cellStyle name="hard no 2" xfId="5396" xr:uid="{DA4D247E-0E7B-4940-A02D-098DC98DBF1D}"/>
    <cellStyle name="Hard Percent" xfId="1672" xr:uid="{9CA02632-101F-4621-82AD-16115E4D6659}"/>
    <cellStyle name="hardno" xfId="1673" xr:uid="{1D6D75E5-6D41-476C-A758-64C07BCCF68E}"/>
    <cellStyle name="Header" xfId="1674" xr:uid="{38BD748F-8DB4-4544-964D-9527464AD8D1}"/>
    <cellStyle name="Header1" xfId="1675" xr:uid="{91B7CFD1-C51E-490D-9A23-B563ED42E1E2}"/>
    <cellStyle name="Header1 2" xfId="5502" xr:uid="{D667E220-725A-42F8-84F9-1893CD406AD5}"/>
    <cellStyle name="Header2" xfId="1676" xr:uid="{840E7C4B-A07C-45A3-AF14-76C94DBF28AC}"/>
    <cellStyle name="Header2 2" xfId="5503" xr:uid="{00AB5EF7-F42B-4426-901C-A122B14BB962}"/>
    <cellStyle name="Header2 3" xfId="5397" xr:uid="{8978C48C-1236-46C6-AD76-234CFEE7BBF3}"/>
    <cellStyle name="Heading" xfId="1677" xr:uid="{AFFE794D-44D7-493A-A8E7-FECA9A375549}"/>
    <cellStyle name="Heading 1" xfId="4608" builtinId="16" customBuiltin="1"/>
    <cellStyle name="Heading 1 2" xfId="50" xr:uid="{CCCB9B65-60B2-4C08-A9F2-926A407E3B6D}"/>
    <cellStyle name="Heading 1 2 2" xfId="1678" xr:uid="{C55E57CC-A804-4429-9D81-B2458C3C3522}"/>
    <cellStyle name="Heading 1 2 3" xfId="1679" xr:uid="{94C176B1-87D6-4C1A-AE7F-8BECDB976255}"/>
    <cellStyle name="Heading 1 2 4" xfId="1680" xr:uid="{39A15052-48DD-473E-8925-BAC82CCE0041}"/>
    <cellStyle name="Heading 1 2 5" xfId="1681" xr:uid="{CCC9C418-0A80-4BDA-8960-15769B5928EB}"/>
    <cellStyle name="Heading 1 2 6" xfId="1682" xr:uid="{C92E029B-AA8E-4CD5-8EC9-2BFCF230C940}"/>
    <cellStyle name="Heading 1 3" xfId="1683" xr:uid="{03C718F3-569F-4AFA-9C85-E4147CE58B97}"/>
    <cellStyle name="Heading 2" xfId="4609" builtinId="17" customBuiltin="1"/>
    <cellStyle name="Heading 2 2" xfId="51" xr:uid="{149021F4-4529-40F0-A662-8EF14674B901}"/>
    <cellStyle name="Heading 2 2 2" xfId="1684" xr:uid="{455A38FC-0CD3-4EF5-9E7F-8CB161AA6BAD}"/>
    <cellStyle name="Heading 2 2 3" xfId="1685" xr:uid="{28D16F9D-65C2-4AFD-A99A-CCA5E6DFEE96}"/>
    <cellStyle name="Heading 2 2 4" xfId="1686" xr:uid="{600576FA-37E2-4C56-9E66-E55FFD9391A9}"/>
    <cellStyle name="Heading 2 2 5" xfId="1687" xr:uid="{75DDC686-B0A3-4F1C-9207-8AD00007D548}"/>
    <cellStyle name="Heading 2 2 6" xfId="1688" xr:uid="{16A2C229-143F-40DF-98F0-5DE7332B378E}"/>
    <cellStyle name="Heading 2 3" xfId="1689" xr:uid="{B8CF54D0-BB8A-4941-9694-8F03EB189CED}"/>
    <cellStyle name="Heading 3" xfId="4610" builtinId="18" customBuiltin="1"/>
    <cellStyle name="Heading 3 2" xfId="52" xr:uid="{D6E04422-1882-4493-9FD8-3A9584ED2DA5}"/>
    <cellStyle name="Heading 3 2 2" xfId="1690" xr:uid="{EED41863-5C09-44D2-9EF9-830AE844AD01}"/>
    <cellStyle name="Heading 3 2 3" xfId="1691" xr:uid="{5F2B346C-A1D7-472A-86D0-7FCC28044C88}"/>
    <cellStyle name="Heading 3 2 4" xfId="1692" xr:uid="{ED63F35F-1B45-4504-9C6E-8AB19934F1C9}"/>
    <cellStyle name="Heading 3 2 5" xfId="1693" xr:uid="{F80510E5-D27E-45FC-994D-A11DDAFA6DBF}"/>
    <cellStyle name="Heading 3 2 6" xfId="1694" xr:uid="{99D1341A-AD4F-4683-83F9-355B54FE0C10}"/>
    <cellStyle name="Heading 3 2 7" xfId="1695" xr:uid="{E1629796-8BF0-46FD-B3A6-AB86C3D42800}"/>
    <cellStyle name="Heading 3 2 8" xfId="4577" xr:uid="{A9FA8657-B132-415C-AF5B-8239E65BF24B}"/>
    <cellStyle name="Heading 3 2 8 2" xfId="5442" xr:uid="{EACC04FB-1F6D-49D1-9BF7-E01B1DDC4502}"/>
    <cellStyle name="Heading 3 2 9" xfId="4665" xr:uid="{DAB418D9-88BA-4C0F-AF4D-F1C49307F0D1}"/>
    <cellStyle name="Heading 3 3" xfId="1696" xr:uid="{A929C39C-FE8D-4340-8917-B2502F990E6C}"/>
    <cellStyle name="Heading 4" xfId="4611" builtinId="19" customBuiltin="1"/>
    <cellStyle name="Heading 4 2" xfId="53" xr:uid="{2EBF462D-2DF4-4E50-BD68-BCBC1D5CE3E9}"/>
    <cellStyle name="Heading 4 2 2" xfId="1697" xr:uid="{EDDE33BC-7BC7-453C-95ED-4197D2B0EB23}"/>
    <cellStyle name="Heading 4 3" xfId="1698" xr:uid="{EE0BCD03-8771-4E17-B96B-C24A7CDB5C4F}"/>
    <cellStyle name="Heading2" xfId="1699" xr:uid="{C24981D8-514F-4D68-81C9-DC4C0549AA4E}"/>
    <cellStyle name="Heading3" xfId="1700" xr:uid="{E6CE8ABD-6EFE-4B2A-8898-1002A438BD2B}"/>
    <cellStyle name="HeadingColumn" xfId="1701" xr:uid="{C3DADAF7-D79F-45B1-BBC0-B5B1DF428AC5}"/>
    <cellStyle name="HeadingS" xfId="1702" xr:uid="{A918B8EC-7A45-41A3-B556-0E5CB8968082}"/>
    <cellStyle name="HeadingYear" xfId="1703" xr:uid="{91DFFF05-0D1B-4F35-A056-85514F0E3E66}"/>
    <cellStyle name="HeadingYear 2" xfId="5398" xr:uid="{E86E313F-15F1-4EFC-A47A-F6399F7D15A7}"/>
    <cellStyle name="HeadlineStyle" xfId="1704" xr:uid="{B4223B37-394B-424B-AB63-7D932E9E7D48}"/>
    <cellStyle name="HeadlineStyleJustified" xfId="1705" xr:uid="{544A0B1E-1CCD-483E-916A-0E3BD4F39F07}"/>
    <cellStyle name="Hed Side_Sheet1" xfId="1706" xr:uid="{EFF584F1-EFF3-4743-A55D-D639498F50D0}"/>
    <cellStyle name="Hed Top" xfId="1707" xr:uid="{E5F72891-E3A5-4310-8163-56FA3C92D8D6}"/>
    <cellStyle name="Hyperlink" xfId="8" builtinId="8"/>
    <cellStyle name="Hyperlink 2" xfId="1708" xr:uid="{66AC6897-CA12-4DA6-8449-AA5BEF1F43CF}"/>
    <cellStyle name="Hyperlink 2 10" xfId="1709" xr:uid="{371C77A2-BB9F-40DF-915C-5A12964C26DC}"/>
    <cellStyle name="Hyperlink 2 11" xfId="1710" xr:uid="{AED69C0E-D4FF-421D-BAFD-FDAF891B6BB9}"/>
    <cellStyle name="Hyperlink 2 12" xfId="1711" xr:uid="{AEDB6A1E-C54F-46ED-88EB-C759D7013C05}"/>
    <cellStyle name="Hyperlink 2 13" xfId="1712" xr:uid="{FFF41AD5-B535-4F0E-A633-E7DEA2A86A8C}"/>
    <cellStyle name="Hyperlink 2 2" xfId="1713" xr:uid="{21B76305-7269-4D23-82E2-7D1973B960C4}"/>
    <cellStyle name="Hyperlink 2 2 2" xfId="1714" xr:uid="{A7EDA07C-B94B-422F-B5F6-EA81DC945AB9}"/>
    <cellStyle name="Hyperlink 2 3" xfId="1715" xr:uid="{9D354FF0-BA64-4A98-95AB-FA39EB0B3A8C}"/>
    <cellStyle name="Hyperlink 2 3 2" xfId="1716" xr:uid="{9C204449-584F-44EC-879D-28A7AA2C8F7F}"/>
    <cellStyle name="Hyperlink 2 4" xfId="1717" xr:uid="{75793B92-C023-4730-996D-BB1A382BD410}"/>
    <cellStyle name="Hyperlink 2 5" xfId="1718" xr:uid="{57F8764E-7031-493A-9773-2AE110A8FA08}"/>
    <cellStyle name="Hyperlink 2 6" xfId="1719" xr:uid="{A62578BE-C3EC-4F07-A78A-EFB93AB04C55}"/>
    <cellStyle name="Hyperlink 2 7" xfId="1720" xr:uid="{F617FEEF-2C88-45FC-82A2-E8924A78132F}"/>
    <cellStyle name="Hyperlink 2 8" xfId="1721" xr:uid="{EBB0E235-157C-4D45-AF6A-07C997A41320}"/>
    <cellStyle name="Hyperlink 2 9" xfId="1722" xr:uid="{B9A85B6E-C064-4CBC-8C9E-4BB89BE7DD1C}"/>
    <cellStyle name="Hyperlink 3" xfId="1723" xr:uid="{F0E6540D-EEC8-4250-892D-BD93720F03F5}"/>
    <cellStyle name="Hyperlink 3 10" xfId="1724" xr:uid="{6D8DEA26-B9C0-4FE4-9002-4597A35A846D}"/>
    <cellStyle name="Hyperlink 3 11" xfId="1725" xr:uid="{32C44725-A7DC-416B-8106-16E7567BCDE1}"/>
    <cellStyle name="Hyperlink 3 12" xfId="1726" xr:uid="{B5ADB59E-4DA5-4CDC-9CF6-BEB9CD5C95A9}"/>
    <cellStyle name="Hyperlink 3 2" xfId="1727" xr:uid="{EF719641-F8EE-4030-8D68-CBC786E1F2E5}"/>
    <cellStyle name="Hyperlink 3 3" xfId="1728" xr:uid="{FD8EF4C3-708C-421B-80B9-58192BBC776C}"/>
    <cellStyle name="Hyperlink 3 4" xfId="1729" xr:uid="{424C84AB-9011-4A2A-A53E-3DB360CF0490}"/>
    <cellStyle name="Hyperlink 3 5" xfId="1730" xr:uid="{061E1B88-56DC-4BCA-87FE-3BE4520E39D6}"/>
    <cellStyle name="Hyperlink 3 6" xfId="1731" xr:uid="{05E61F40-CAE9-404C-991C-18E7C290BD7F}"/>
    <cellStyle name="Hyperlink 3 7" xfId="1732" xr:uid="{6080A48B-CD0E-45BC-A129-83046622BF4D}"/>
    <cellStyle name="Hyperlink 3 8" xfId="1733" xr:uid="{67DE6B5B-8A18-436B-8904-FC0600073F20}"/>
    <cellStyle name="Hyperlink 3 9" xfId="1734" xr:uid="{EDB34FC3-1F0E-4491-B8B1-A7C848AB75DF}"/>
    <cellStyle name="Hyperlink 4" xfId="1735" xr:uid="{F83B4305-9CC5-44F8-B17A-873057A54ADE}"/>
    <cellStyle name="Hyperlink 5" xfId="1736" xr:uid="{90B7B39D-DC91-404E-A8DD-A129B0F9ED7A}"/>
    <cellStyle name="InLink_Acquis_CapitalCost " xfId="1737" xr:uid="{AA650807-EF25-4344-A4B7-9B95767FCB04}"/>
    <cellStyle name="Input" xfId="4615" builtinId="20" customBuiltin="1"/>
    <cellStyle name="Input (1dp#)_ Pies " xfId="1738" xr:uid="{FBD448F7-AE4D-4DCE-82DA-A51B87BC8240}"/>
    <cellStyle name="Input [yellow]" xfId="1739" xr:uid="{2E366AF6-E1EB-4BAC-82D1-EF49A5CCE187}"/>
    <cellStyle name="Input [yellow] 2" xfId="5399" xr:uid="{E367FDCE-F7F8-470E-814A-6B3D78D139DB}"/>
    <cellStyle name="Input 2" xfId="54" xr:uid="{71A8B699-7DD4-4AEB-8624-BBFDBC8814D5}"/>
    <cellStyle name="Input 2 10" xfId="4578" xr:uid="{31EB2EBD-5432-403C-B209-149E808B3599}"/>
    <cellStyle name="Input 2 10 2" xfId="5443" xr:uid="{AA010A85-776D-45F5-B69D-84B1DF266A25}"/>
    <cellStyle name="Input 2 11" xfId="5469" xr:uid="{6A91C931-D290-4811-8D23-14B99D4DE122}"/>
    <cellStyle name="Input 2 2" xfId="72" xr:uid="{22B0BFBF-EF51-40EC-BFAA-5576F69B68A0}"/>
    <cellStyle name="Input 2 2 2" xfId="89" xr:uid="{7973505B-4690-491E-828B-063A78898089}"/>
    <cellStyle name="Input 2 2 2 2" xfId="4598" xr:uid="{9031CEAC-66D6-4DC9-ABFD-515AE9FE8D7D}"/>
    <cellStyle name="Input 2 2 2 2 2" xfId="5461" xr:uid="{4C3944CB-1C2A-446F-A655-7FE57056CCA0}"/>
    <cellStyle name="Input 2 2 2 3" xfId="5487" xr:uid="{B1FD8B6F-32F0-4F86-9750-83D93EE3D427}"/>
    <cellStyle name="Input 2 2 3" xfId="4584" xr:uid="{0136F2B0-4370-4AD4-9A69-B052DBBC691F}"/>
    <cellStyle name="Input 2 2 3 2" xfId="5449" xr:uid="{C8A3E1BB-B795-49D3-86B5-D32E144BD510}"/>
    <cellStyle name="Input 2 2 4" xfId="5475" xr:uid="{559EABD8-4084-4906-ABEC-FF6C2C28DDBF}"/>
    <cellStyle name="Input 2 3" xfId="83" xr:uid="{284E1F17-63A1-4961-84A8-776E68A8B485}"/>
    <cellStyle name="Input 2 3 2" xfId="4592" xr:uid="{454FE63F-B326-437E-B48C-610401238C40}"/>
    <cellStyle name="Input 2 3 2 2" xfId="5455" xr:uid="{9AECC515-DEAF-4B9F-81C4-219C3F6C2B71}"/>
    <cellStyle name="Input 2 3 3" xfId="5481" xr:uid="{EDB82C31-C955-4592-8F9B-7D54B150CA02}"/>
    <cellStyle name="Input 2 4" xfId="1740" xr:uid="{D6D30F25-9A20-4C62-8B0F-604CB9B8B039}"/>
    <cellStyle name="Input 2 5" xfId="1741" xr:uid="{A08B7ADB-C858-4940-9694-7BACC8D9C465}"/>
    <cellStyle name="Input 2 6" xfId="1742" xr:uid="{D1436332-8821-4474-AD38-943E3FA3CE41}"/>
    <cellStyle name="Input 2 7" xfId="1743" xr:uid="{829A3B3E-D753-478D-B99D-266BFCC38E63}"/>
    <cellStyle name="Input 2 8" xfId="1744" xr:uid="{F4C9B2D9-1769-4EF6-8DD6-8A2C77180557}"/>
    <cellStyle name="Input 2 9" xfId="1745" xr:uid="{8981A3D2-CBA9-4A4D-B597-EA7A5830E61F}"/>
    <cellStyle name="Input 3" xfId="1746" xr:uid="{F083DC68-7327-4E07-A9AA-412C3EC09208}"/>
    <cellStyle name="InputBlueFont" xfId="1747" xr:uid="{015C3A94-1856-4925-8D46-A17D840B5790}"/>
    <cellStyle name="InputGen" xfId="1748" xr:uid="{57230B91-BC67-4E94-8776-B357D0BA4E22}"/>
    <cellStyle name="InputKeepColour" xfId="1749" xr:uid="{434A1D08-3C86-4F8D-8214-2CFFB5F93C1F}"/>
    <cellStyle name="InputKeepPale" xfId="1750" xr:uid="{464F7FD8-3C3C-4717-8A8D-F9002DBBA989}"/>
    <cellStyle name="InputKeepPale 2" xfId="5504" xr:uid="{DA301718-FB42-4266-B2F5-A923601EF649}"/>
    <cellStyle name="InputVariColour" xfId="1751" xr:uid="{50D361D9-31A3-4D86-A4AB-4FE975C3E83F}"/>
    <cellStyle name="Integer" xfId="1752" xr:uid="{6F8F861A-0EC2-4D6B-8C28-4502152A7769}"/>
    <cellStyle name="Invisible" xfId="1753" xr:uid="{8382B996-D084-440B-87B1-2E92AB58DEFC}"/>
    <cellStyle name="Item" xfId="1754" xr:uid="{1127F93E-9BCE-4D01-9444-09260A221217}"/>
    <cellStyle name="Items_Obligatory" xfId="1755" xr:uid="{ED95C1FF-CA8A-423E-B83B-8D16A6EB4040}"/>
    <cellStyle name="ItemTypeClass" xfId="1756" xr:uid="{6F8D425C-554F-4B91-8136-9D76C92ECD9B}"/>
    <cellStyle name="ItemTypeClass 2" xfId="4563" xr:uid="{24B02CAC-D0F8-4273-B27A-66261740C172}"/>
    <cellStyle name="ItemTypeClass 2 2" xfId="5433" xr:uid="{C5F0D130-75A7-4BD8-8089-9D6011CD6D0C}"/>
    <cellStyle name="ItemTypeClass 3" xfId="5505" xr:uid="{DBDBF2F9-5A2C-4941-95FA-B6A96BDDCE14}"/>
    <cellStyle name="ItemTypeClass 4" xfId="5400" xr:uid="{F94CD174-F3E5-4302-AAAC-B2218B2D2205}"/>
    <cellStyle name="KP_Normal" xfId="1757" xr:uid="{9CEDE2A9-1F58-495C-8C96-94A6E7F6C0D4}"/>
    <cellStyle name="Lien hypertexte visité_index" xfId="1758" xr:uid="{A4155B1F-31E6-42B7-880B-1CC2794081FF}"/>
    <cellStyle name="Lien hypertexte_index" xfId="1759" xr:uid="{2785E369-55E4-465D-B317-D5F3796E8BD7}"/>
    <cellStyle name="ligne_detail" xfId="1760" xr:uid="{16593708-617A-417E-BED1-C9DE81BCEF78}"/>
    <cellStyle name="Line" xfId="1761" xr:uid="{14A7E66E-B182-4241-8790-9519359B4371}"/>
    <cellStyle name="Line 2" xfId="4552" xr:uid="{0307E32E-8958-455D-84DA-3EE549496EB8}"/>
    <cellStyle name="Link Currency (0)" xfId="1762" xr:uid="{6B8B0560-5C30-4702-B007-9D54B023F9C3}"/>
    <cellStyle name="Link Currency (2)" xfId="1763" xr:uid="{8AD7AF67-D114-4769-8577-F5C77759AEAE}"/>
    <cellStyle name="Link Units (0)" xfId="1764" xr:uid="{148341E0-1D37-4B08-9664-2981B160A4B7}"/>
    <cellStyle name="Link Units (1)" xfId="1765" xr:uid="{EEBB8A7B-73B7-45A4-84D1-A452D3B80D5C}"/>
    <cellStyle name="Link Units (2)" xfId="1766" xr:uid="{40CF9873-D77C-4EDC-8075-A6A37208139F}"/>
    <cellStyle name="Linked Cell" xfId="4618" builtinId="24" customBuiltin="1"/>
    <cellStyle name="Linked Cell 2" xfId="55" xr:uid="{479BBD7A-6D39-4246-9EFE-35C2D8419D5D}"/>
    <cellStyle name="Linked Cell 2 2" xfId="1767" xr:uid="{B12EAA00-F687-469A-8299-3659704153CB}"/>
    <cellStyle name="Linked Cell 2 3" xfId="1768" xr:uid="{C01794F5-1DC3-406F-9317-3D7F256176EC}"/>
    <cellStyle name="Linked Cell 2 4" xfId="1769" xr:uid="{1DA30086-3AF2-4E9D-8178-8872D1CCFBFA}"/>
    <cellStyle name="Linked Cell 2 5" xfId="1770" xr:uid="{893C967B-7C7A-45A8-B1F9-6F98C69AB93D}"/>
    <cellStyle name="Linked Cell 2 6" xfId="1771" xr:uid="{1BF76199-36AD-4576-8E7D-5EE2F49B97BD}"/>
    <cellStyle name="Linked Cell 2 7" xfId="1772" xr:uid="{60F71620-CC0B-4708-B71B-DA28F7FC489E}"/>
    <cellStyle name="Linked Cell 2 8" xfId="1773" xr:uid="{76DC2029-311A-497F-A1E1-F2806B915BB7}"/>
    <cellStyle name="Linked Cell 2 9" xfId="1774" xr:uid="{C65E5366-23E1-4839-AFF8-A733052190A6}"/>
    <cellStyle name="Linked Cell 3" xfId="1775" xr:uid="{3EE1D76C-7CB9-4108-A6E8-CA6B64DFC730}"/>
    <cellStyle name="m/d/yy" xfId="1776" xr:uid="{077389F5-D2A2-471E-B4B3-710109CFF18D}"/>
    <cellStyle name="m/d/yy 2" xfId="4553" xr:uid="{2CCEEE08-96B0-4E28-8135-75AD5E54D27E}"/>
    <cellStyle name="m1" xfId="1777" xr:uid="{BB926CC6-2A74-4BC5-8AD1-6CB0754D3484}"/>
    <cellStyle name="Major item" xfId="1778" xr:uid="{29391CFA-1392-4AC8-A4F7-DF4D98A8176F}"/>
    <cellStyle name="Margin" xfId="1779" xr:uid="{A764DE97-D6BE-4D08-AE53-1D3C915CA61A}"/>
    <cellStyle name="Migliaia (0)_Sheet1" xfId="1780" xr:uid="{768A94AC-790A-422B-883D-5D794B4D69C4}"/>
    <cellStyle name="Migliaia_piv_polio" xfId="1781" xr:uid="{5B18B969-932C-4AD3-895B-A6B57D2860EB}"/>
    <cellStyle name="Millares [0]_Asset Mgmt " xfId="1782" xr:uid="{547770D2-7690-43B7-93B4-44B085506812}"/>
    <cellStyle name="Millares_2AV_M_M " xfId="1783" xr:uid="{47C58438-F49D-4C9D-BB8B-ED0EEF4CDB64}"/>
    <cellStyle name="Milliers [0]_CANADA1" xfId="1784" xr:uid="{F7442FBE-B43A-475C-9378-357577B35F4B}"/>
    <cellStyle name="Milliers 2" xfId="1785" xr:uid="{95B2EB70-F8D0-4494-8D3E-2F5F10537077}"/>
    <cellStyle name="Milliers_CANADA1" xfId="1786" xr:uid="{929C83D6-8FA8-4CF3-B61D-2A7D9060FB4A}"/>
    <cellStyle name="mm/dd/yy" xfId="1787" xr:uid="{6E1A749E-77CC-4D35-9317-D1D98F9D9417}"/>
    <cellStyle name="mod1" xfId="1788" xr:uid="{DA859E9D-41D3-4F32-AA13-016C5C29BE88}"/>
    <cellStyle name="modelo1" xfId="1789" xr:uid="{821437E6-FEC0-4394-9A7E-D6F18C013BE3}"/>
    <cellStyle name="Moneda [0]_2AV_M_M " xfId="1790" xr:uid="{816E67A7-A80E-4BE2-8CEC-D38F6B8C0FC1}"/>
    <cellStyle name="Moneda_2AV_M_M " xfId="1791" xr:uid="{8CB42325-6CC4-4E2B-ADED-AEEB7F0D9F0E}"/>
    <cellStyle name="Monétaire [0]_CANADA1" xfId="1792" xr:uid="{506BDB79-068D-460C-9B10-3326F7A4138A}"/>
    <cellStyle name="Monétaire 2" xfId="1793" xr:uid="{E737C84B-915F-48A8-B690-FE09D6C4141A}"/>
    <cellStyle name="Monétaire_CANADA1" xfId="1794" xr:uid="{1596D4C6-A118-4225-82AE-E946C27BD428}"/>
    <cellStyle name="Monetario" xfId="1795" xr:uid="{AC1CA11D-DE9D-4D53-91BA-BC522C6A3E5C}"/>
    <cellStyle name="MonthYears" xfId="1796" xr:uid="{5C8C4F33-3AA0-45AE-B4E0-3A0487BB3476}"/>
    <cellStyle name="Multiple" xfId="1797" xr:uid="{06662FF4-9DC9-4C57-A81C-63F7713DB08E}"/>
    <cellStyle name="Multiple (no x)" xfId="1798" xr:uid="{6CE40D4E-2E25-43B6-939D-1DB893ED6279}"/>
    <cellStyle name="Multiple (x)" xfId="1799" xr:uid="{23B2D583-5768-4FA7-843E-1F3DD8098765}"/>
    <cellStyle name="Multiple [0]" xfId="1800" xr:uid="{99FAD842-6591-4A7A-94B7-CDA0AF89A261}"/>
    <cellStyle name="Multiple [1]" xfId="1801" xr:uid="{7814590C-2A7B-467F-9937-F35F2B013EA6}"/>
    <cellStyle name="Multiple [2]" xfId="1802" xr:uid="{2F6880D8-E0AA-46F9-BB91-AC4ACD6FC533}"/>
    <cellStyle name="Multiple [3]" xfId="1803" xr:uid="{21E91CE8-3CA9-4E5A-AEC1-3669CC92BEED}"/>
    <cellStyle name="Multiple_1030171N" xfId="1804" xr:uid="{0509BA09-279E-475E-B044-51D1024ED4E7}"/>
    <cellStyle name="neg0.0_CapitalCost " xfId="1805" xr:uid="{05D2133A-619A-4A89-A3B6-C6C1B4837EDC}"/>
    <cellStyle name="Neutral" xfId="4614" builtinId="28" customBuiltin="1"/>
    <cellStyle name="Neutral 2" xfId="56" xr:uid="{4B83E71A-D84F-4AB5-BEF3-FDA7044892D9}"/>
    <cellStyle name="Neutral 2 2" xfId="1806" xr:uid="{F71F4EA6-9BDB-44A6-93D3-62BE04E423B6}"/>
    <cellStyle name="Neutral 2 3" xfId="1807" xr:uid="{6924C4CA-04EE-4F9F-9DC1-255FC8F602B3}"/>
    <cellStyle name="Neutral 2 4" xfId="1808" xr:uid="{F63648D0-92DC-4A26-908F-F28297656E9D}"/>
    <cellStyle name="Neutral 2 5" xfId="1809" xr:uid="{BAC7211B-F4E0-4ABF-A8D9-D747E1351F72}"/>
    <cellStyle name="Neutral 2 6" xfId="1810" xr:uid="{2BCA8DE4-3BBB-4673-9ED7-C4D136402531}"/>
    <cellStyle name="Neutral 2 7" xfId="1811" xr:uid="{EE88C945-3A06-4B69-B9F5-F17011D83767}"/>
    <cellStyle name="Neutral 2 8" xfId="1812" xr:uid="{B5127E36-0FA0-4A04-960D-5D1558C35098}"/>
    <cellStyle name="Neutral 2 9" xfId="1813" xr:uid="{E8F1D9A3-F5D5-42DC-B887-16D069CCB9F0}"/>
    <cellStyle name="Neutral 3" xfId="1814" xr:uid="{E739AE1A-6771-4929-9832-E6FC053ED6D3}"/>
    <cellStyle name="New" xfId="1815" xr:uid="{9C4486FE-2351-4E3D-AED0-CD4C3F4ECACD}"/>
    <cellStyle name="Nil" xfId="1816" xr:uid="{FC6B37CD-C8F4-4908-BD20-0A07BD714A3C}"/>
    <cellStyle name="no dec" xfId="1817" xr:uid="{3F2D3EAA-3D2E-404B-9838-9F3637CED142}"/>
    <cellStyle name="No-definido" xfId="1818" xr:uid="{09DAFE14-6CE4-4937-B528-9A10C944DDC4}"/>
    <cellStyle name="Non_Input_Cell_Figures" xfId="1819" xr:uid="{B7482AB5-126A-4624-AEBF-82CDAC57E29E}"/>
    <cellStyle name="NonPrintingArea" xfId="1820" xr:uid="{4F0B4BF9-D41A-4F8E-8CDB-9860A99BB114}"/>
    <cellStyle name="NORAYAS" xfId="1821" xr:uid="{EC6871B9-7F61-428E-9BE2-BA5281F1FD5D}"/>
    <cellStyle name="Normal" xfId="0" builtinId="0"/>
    <cellStyle name="Normal--" xfId="3969" xr:uid="{FEEC4ED6-0422-4EE5-888E-DB6F6B35D653}"/>
    <cellStyle name="Normal - Style1" xfId="1822" xr:uid="{E660AB11-4798-46B3-A3E8-6FC7053FA9D6}"/>
    <cellStyle name="Normal [0]" xfId="1823" xr:uid="{0F98691F-AE0D-4DB0-AFFB-60535A8D8F10}"/>
    <cellStyle name="Normal [1]" xfId="1824" xr:uid="{ADAD41DC-004D-4CF1-B399-966809FD2470}"/>
    <cellStyle name="Normal [3]" xfId="1825" xr:uid="{EA467345-7BC7-4B74-8AF8-0A87DB7E0F20}"/>
    <cellStyle name="Normal [3] 2" xfId="1826" xr:uid="{007BDEF2-4492-4C6B-A71C-A50BA9A3210F}"/>
    <cellStyle name="Normal [3] 3" xfId="1827" xr:uid="{893A1B0A-C546-41EA-93F4-A074BF161C39}"/>
    <cellStyle name="Normal 10" xfId="1828" xr:uid="{14B6B8A4-AFD7-4136-8779-5BD62BCE6D54}"/>
    <cellStyle name="Normal 10 2" xfId="1829" xr:uid="{A853F18B-FCAE-4896-A4C7-46C9D0C54136}"/>
    <cellStyle name="Normal 10 3" xfId="1830" xr:uid="{248B1EDA-93A9-4F06-9D09-0DA55793C55E}"/>
    <cellStyle name="Normal 10 4" xfId="1831" xr:uid="{B7517ABE-BB4D-463C-87B7-44DCABFFEA1B}"/>
    <cellStyle name="Normal 10 5" xfId="1832" xr:uid="{86AE86C6-13B5-48FF-99AA-86D605192335}"/>
    <cellStyle name="Normal 10 6" xfId="1833" xr:uid="{F64E2B45-2423-4C71-ACF3-40A4558506BA}"/>
    <cellStyle name="Normal 10 7" xfId="103" xr:uid="{A0824702-65AB-4BB8-BE69-0888E303D8D7}"/>
    <cellStyle name="Normal 11" xfId="1834" xr:uid="{19D884F0-EAD3-41C0-B3FC-553110B86A3C}"/>
    <cellStyle name="Normal 11 2" xfId="1835" xr:uid="{5DECB7CD-5F16-4209-A10A-CD6CE9448CB1}"/>
    <cellStyle name="Normal 11 2 2" xfId="1836" xr:uid="{6EEDF505-0D0F-4AE0-B5F1-31957DB149AF}"/>
    <cellStyle name="Normal 11 3" xfId="1837" xr:uid="{8712BED8-0B5F-4823-8199-B0F0F13691D0}"/>
    <cellStyle name="Normal 11 4" xfId="1838" xr:uid="{5CB1E21C-63FB-4C67-BDD7-46F0636F5B8C}"/>
    <cellStyle name="Normal 11 5" xfId="1839" xr:uid="{8C37A0AC-1BA0-41E0-8B42-4A68CCED885B}"/>
    <cellStyle name="Normal 11 6" xfId="1840" xr:uid="{CFDD0B90-5BAA-48A5-94A7-CA48E07E2012}"/>
    <cellStyle name="Normal 11 7" xfId="1841" xr:uid="{EE20A382-327A-4D35-9DA5-2A25B0C5B356}"/>
    <cellStyle name="Normal 12" xfId="1842" xr:uid="{4A0F7C29-AF5B-40C9-8518-43776E340052}"/>
    <cellStyle name="Normal 12 2" xfId="1843" xr:uid="{31EB9E6D-4B6C-4B9C-A12B-888F8B49A3B7}"/>
    <cellStyle name="Normal 12 3" xfId="1844" xr:uid="{82A285B8-6872-4D2D-A6E6-155D75450E27}"/>
    <cellStyle name="Normal 12 4" xfId="1845" xr:uid="{B0812EAD-93C0-4073-98F4-11EFB252C714}"/>
    <cellStyle name="Normal 12 5" xfId="1846" xr:uid="{65DD6395-6CEA-4C4C-959C-D5C7107E9A8C}"/>
    <cellStyle name="Normal 13" xfId="1847" xr:uid="{526527C1-B2EB-49AA-9A7C-88992AA018D6}"/>
    <cellStyle name="Normal 13 2" xfId="1848" xr:uid="{306E3C69-62FD-4586-AC76-F41DD4D50D83}"/>
    <cellStyle name="Normal 13 3" xfId="1849" xr:uid="{0CB72182-D33E-4B45-98EB-C8BC1D44F891}"/>
    <cellStyle name="Normal 13 4" xfId="5401" xr:uid="{6E4B7F62-8AA3-4AD6-B9B6-FDD521C73F31}"/>
    <cellStyle name="Normal 14" xfId="1850" xr:uid="{D82075D3-D389-4255-B44F-0EE23C04D605}"/>
    <cellStyle name="Normal 14 2" xfId="1851" xr:uid="{5131FEF2-7D01-4CD9-89B3-263FE78E1DF2}"/>
    <cellStyle name="Normal 14 3" xfId="1852" xr:uid="{B8774A3F-35B3-48F7-A6BB-1122491A8E32}"/>
    <cellStyle name="Normal 15" xfId="1853" xr:uid="{C5DE7007-3A40-4D54-8A28-606472C99795}"/>
    <cellStyle name="Normal 15 2" xfId="1854" xr:uid="{79E42F7C-EDAC-457F-B24E-CA557B74AA76}"/>
    <cellStyle name="Normal 15 2 2" xfId="1855" xr:uid="{0A2C0E80-836A-4D1D-AC9A-302C0FA852ED}"/>
    <cellStyle name="Normal 15 3" xfId="1856" xr:uid="{6B2C3F79-E825-46C2-92AE-F288EC89E12A}"/>
    <cellStyle name="Normal 15 4" xfId="1857" xr:uid="{79BC3667-263A-4CE2-8D57-220FBB010E13}"/>
    <cellStyle name="Normal 16" xfId="1858" xr:uid="{015715E9-2497-4D7A-BF36-F2BCD777ECEF}"/>
    <cellStyle name="Normal 16 2" xfId="1859" xr:uid="{EFFB6821-E917-4D2B-BFC2-AEACA54EDB9B}"/>
    <cellStyle name="Normal 16 3" xfId="1860" xr:uid="{E7524972-9BA0-4656-9B96-C6E117D643B8}"/>
    <cellStyle name="Normal 17" xfId="1861" xr:uid="{BC74B457-D2D9-4271-92A9-FEFB24E8545E}"/>
    <cellStyle name="Normal 18" xfId="1862" xr:uid="{4DD3025D-A6A5-479A-8775-064CBBC96FA9}"/>
    <cellStyle name="Normal 18 2" xfId="1863" xr:uid="{E2B38C81-B59F-4408-BC85-2C9D0B9515A4}"/>
    <cellStyle name="Normal 19" xfId="1864" xr:uid="{9F256676-4E7B-4B78-8870-7641D26EB365}"/>
    <cellStyle name="Normal 2" xfId="3" xr:uid="{8D6F723C-4EB2-4B91-A2F8-4BC89AAE8DA1}"/>
    <cellStyle name="Normal-- 2" xfId="3970" xr:uid="{FD1DFB5A-C2EA-457E-A743-F29D309A7F38}"/>
    <cellStyle name="Normal 2 10" xfId="1865" xr:uid="{D482E6B1-E8F9-4C2D-8982-A8A8A49B6F56}"/>
    <cellStyle name="Normal 2 10 2" xfId="1866" xr:uid="{68E29BE3-1720-4C1C-8522-D2275F5009DB}"/>
    <cellStyle name="Normal 2 11" xfId="1867" xr:uid="{0A8581BC-83B7-4E31-88A6-643B1D9B7C34}"/>
    <cellStyle name="Normal 2 11 2" xfId="1868" xr:uid="{190AFCB7-CD8A-483A-81D7-BBCF84EC33D9}"/>
    <cellStyle name="Normal 2 12" xfId="1869" xr:uid="{D32E5F57-0CD9-40F7-80EF-029BDF9BD849}"/>
    <cellStyle name="Normal 2 12 2" xfId="1870" xr:uid="{48D358EC-684F-49A0-8A77-EEC9975BC6DD}"/>
    <cellStyle name="Normal 2 13" xfId="1871" xr:uid="{5B7F3CDD-5192-4756-80E2-D04FF34DC4ED}"/>
    <cellStyle name="Normal 2 13 2" xfId="1872" xr:uid="{83B79C21-0237-472E-B202-D702C0897FD4}"/>
    <cellStyle name="Normal 2 14" xfId="1873" xr:uid="{19B3DE6D-D655-4DBA-BD7D-3756CDD078A6}"/>
    <cellStyle name="Normal 2 14 2" xfId="1874" xr:uid="{AC497742-AC17-4209-9A38-3C77EA7E51A0}"/>
    <cellStyle name="Normal 2 15" xfId="1875" xr:uid="{0684E31B-775A-4CC9-B402-7FC7C1A57AB7}"/>
    <cellStyle name="Normal 2 15 2" xfId="1876" xr:uid="{0A8A8102-234E-4547-A08C-D694B836BE9C}"/>
    <cellStyle name="Normal 2 16" xfId="1877" xr:uid="{11D0BA80-AC97-49E7-A248-EFF14B11E336}"/>
    <cellStyle name="Normal 2 16 2" xfId="1878" xr:uid="{CA75DD6C-D788-41B6-82C7-260C0261FEF7}"/>
    <cellStyle name="Normal 2 17" xfId="1879" xr:uid="{10740347-9924-4D63-B700-B8A38C9F8878}"/>
    <cellStyle name="Normal 2 17 2" xfId="1880" xr:uid="{3A0A4399-069F-49C5-97EC-75C7BB66954B}"/>
    <cellStyle name="Normal 2 18" xfId="1881" xr:uid="{AAA7F113-6A07-4EE8-AF50-3C81209E82BB}"/>
    <cellStyle name="Normal 2 18 2" xfId="1882" xr:uid="{AD4B9AD9-83ED-4290-BA95-8A0312517316}"/>
    <cellStyle name="Normal 2 19" xfId="1883" xr:uid="{B46A2ECF-8BB5-4883-B0EC-63C9ADDC8A15}"/>
    <cellStyle name="Normal 2 19 2" xfId="1884" xr:uid="{74816F0D-5644-4B17-B91C-C9D5355F3F20}"/>
    <cellStyle name="Normal 2 2" xfId="13" xr:uid="{9D721EFD-76F5-475E-BD0F-E4BD5BAFAA10}"/>
    <cellStyle name="Normal 2 2 2" xfId="58" xr:uid="{35EDA930-F10F-41B4-B570-4B8BD91ED62F}"/>
    <cellStyle name="Normal 2 2 2 2" xfId="1885" xr:uid="{45F700EE-176A-4603-B02A-9A000712FBA0}"/>
    <cellStyle name="Normal 2 2 2 2 2" xfId="6" xr:uid="{10FEF823-0D87-4FEF-BDEB-5EA9EC328337}"/>
    <cellStyle name="Normal 2 2 2 3" xfId="1886" xr:uid="{6A9ABAB9-1EBB-4AA0-8E29-AD8A77BEF46F}"/>
    <cellStyle name="Normal 2 2 2 4" xfId="1887" xr:uid="{62DF6590-9EB8-447D-B4F9-719EA412FC48}"/>
    <cellStyle name="Normal 2 2 2 5" xfId="1888" xr:uid="{4C826FC6-1B9F-4A3A-8E30-978222C596D8}"/>
    <cellStyle name="Normal 2 2 2 6" xfId="1889" xr:uid="{1D0C2397-D0D7-4F32-AEA0-01904FDB04CD}"/>
    <cellStyle name="Normal 2 2 3" xfId="1890" xr:uid="{94C577EE-D9DA-4533-813E-9D3AC28D9218}"/>
    <cellStyle name="Normal 2 2 4" xfId="1891" xr:uid="{B1C88B60-565F-4004-A546-5B1581444D62}"/>
    <cellStyle name="Normal 2 2 4 2" xfId="1892" xr:uid="{9A8F6DC7-5D13-4F8B-8F1D-7265B1DE9378}"/>
    <cellStyle name="Normal 2 2 4 3" xfId="1893" xr:uid="{86ACC824-31A6-4D11-92EB-478ACCC80510}"/>
    <cellStyle name="Normal 2 2 5" xfId="1894" xr:uid="{7D1FA2F6-1F0A-4D84-B8E0-E161E52E07D0}"/>
    <cellStyle name="Normal 2 2 6" xfId="1895" xr:uid="{810884DB-FD2D-47AB-9A9A-3827A1591B26}"/>
    <cellStyle name="Normal 2 20" xfId="1896" xr:uid="{8ECC6AB5-E91F-4C32-922B-4164C9046ADB}"/>
    <cellStyle name="Normal 2 20 2" xfId="1897" xr:uid="{E1800357-0568-4B74-AE52-6D45FBACA995}"/>
    <cellStyle name="Normal 2 21" xfId="1898" xr:uid="{87CF7F56-F53B-4E84-9000-CD1CACCD174F}"/>
    <cellStyle name="Normal 2 21 2" xfId="1899" xr:uid="{9BBAF9ED-B854-4446-89A7-4808D1A0CDFE}"/>
    <cellStyle name="Normal 2 22" xfId="1900" xr:uid="{7E0820AD-7910-449B-B7C1-772C52DC5B71}"/>
    <cellStyle name="Normal 2 22 2" xfId="1901" xr:uid="{7417A227-2E5C-4C7D-A3F8-879B8B0C9E92}"/>
    <cellStyle name="Normal 2 23" xfId="1902" xr:uid="{5413C4C9-2FC0-491D-8032-7E2ACCDC9AAA}"/>
    <cellStyle name="Normal 2 23 2" xfId="1903" xr:uid="{8884D358-5CAD-4777-AAFE-33A784E901AC}"/>
    <cellStyle name="Normal 2 24" xfId="1904" xr:uid="{A0F18D3A-BC5C-4322-86D6-38B18A33842C}"/>
    <cellStyle name="Normal 2 24 2" xfId="1905" xr:uid="{9E0BBE10-2501-41D6-B228-2050A6A85FB3}"/>
    <cellStyle name="Normal 2 24 2 2" xfId="1906" xr:uid="{B68C9785-0944-4530-BE0D-913AD2B24BFF}"/>
    <cellStyle name="Normal 2 24 3" xfId="1907" xr:uid="{59E6FC88-D1D7-42CE-9804-B3F0A2860066}"/>
    <cellStyle name="Normal 2 24 4" xfId="1908" xr:uid="{4300E641-8C7B-4A44-A98E-3F5FEB82C86B}"/>
    <cellStyle name="Normal 2 25" xfId="1909" xr:uid="{8C44D8A5-8B6F-45AE-993C-06F871F96954}"/>
    <cellStyle name="Normal 2 25 2" xfId="1910" xr:uid="{4C05E725-FF02-41A9-88A0-4A1BCF7E3439}"/>
    <cellStyle name="Normal 2 26" xfId="1911" xr:uid="{3C73E89A-F50E-4524-BF61-6E6112445A2D}"/>
    <cellStyle name="Normal 2 26 2" xfId="1912" xr:uid="{061B41B3-2902-4C06-ACA9-5AB8BB73E618}"/>
    <cellStyle name="Normal 2 27" xfId="1913" xr:uid="{147A1F5E-722E-4F16-90F0-817A49502CA1}"/>
    <cellStyle name="Normal 2 27 2" xfId="1914" xr:uid="{01E047A0-1135-445E-956A-E305DDCACE16}"/>
    <cellStyle name="Normal 2 28" xfId="1915" xr:uid="{CC83BF77-C0AF-4713-8F85-BA3916481DF8}"/>
    <cellStyle name="Normal 2 28 2" xfId="1916" xr:uid="{1F560B92-48CE-4481-9843-5D3041D03C97}"/>
    <cellStyle name="Normal 2 29" xfId="1917" xr:uid="{B67B60CE-AFE9-4855-B9DE-802779DB2AD1}"/>
    <cellStyle name="Normal 2 29 2" xfId="1918" xr:uid="{8BCD5EF9-69C3-46DA-BEEA-EBDC12352A81}"/>
    <cellStyle name="Normal 2 3" xfId="57" xr:uid="{7F31EA90-4A4E-4023-BA44-BA2AB9BDAFCB}"/>
    <cellStyle name="Normal 2 3 2" xfId="1919" xr:uid="{3B3BAB2B-495A-4E92-9751-417C59DC7582}"/>
    <cellStyle name="Normal 2 3 3" xfId="1920" xr:uid="{EB4FBE20-1EAA-4F5F-8F33-97AA4869042C}"/>
    <cellStyle name="Normal 2 30" xfId="1921" xr:uid="{B302B665-D5B3-452C-8EE4-A0645FA61B6F}"/>
    <cellStyle name="Normal 2 30 2" xfId="1922" xr:uid="{F089F7D0-1D8D-4819-BB19-1AA621928C57}"/>
    <cellStyle name="Normal 2 31" xfId="1923" xr:uid="{778574B4-6A1A-4A82-A5E3-14490BCEAEA1}"/>
    <cellStyle name="Normal 2 31 2" xfId="1924" xr:uid="{86793EE7-4618-4474-AB8A-11009D1B3764}"/>
    <cellStyle name="Normal 2 32" xfId="1925" xr:uid="{1D97119F-BEB1-4F70-92BB-21F561719445}"/>
    <cellStyle name="Normal 2 33" xfId="1926" xr:uid="{18DB50BA-CF26-4C5A-95EB-64E2A9C84AE4}"/>
    <cellStyle name="Normal 2 34" xfId="1927" xr:uid="{592AE875-77FA-4FFE-82CC-CC93D7FF2488}"/>
    <cellStyle name="Normal 2 35" xfId="1928" xr:uid="{B307E2F3-3A02-4E20-8CBE-ECF09BC4C196}"/>
    <cellStyle name="Normal 2 36" xfId="1929" xr:uid="{4FB1BBD1-83E9-430E-9AF0-2CAD506F4C2E}"/>
    <cellStyle name="Normal 2 37" xfId="1930" xr:uid="{37EA8E5F-92E9-4EC5-8A8C-FA054F4F9CEA}"/>
    <cellStyle name="Normal 2 38" xfId="1931" xr:uid="{F2908ECC-38AA-403F-B154-1D6BAE2FE4CF}"/>
    <cellStyle name="Normal 2 38 2" xfId="1932" xr:uid="{1F2DB4CE-30B8-4142-8336-AAD1A928ADEA}"/>
    <cellStyle name="Normal 2 39" xfId="1933" xr:uid="{FAC53708-A22C-459F-809B-44714EF16BDB}"/>
    <cellStyle name="Normal 2 4" xfId="100" xr:uid="{1A2C10F0-DF37-46C8-B3AF-C104E03C2681}"/>
    <cellStyle name="Normal 2 4 2" xfId="1934" xr:uid="{A270ABC9-EB34-482B-9A15-4764EDBABA0E}"/>
    <cellStyle name="Normal 2 4 3" xfId="1935" xr:uid="{4D445111-824C-4A5B-8952-32D389BB4495}"/>
    <cellStyle name="Normal 2 4 4" xfId="1936" xr:uid="{2E02131D-857A-4B7C-8EC0-CB0609FA721B}"/>
    <cellStyle name="Normal 2 40" xfId="1937" xr:uid="{F3F0A851-48FF-4C67-A3B3-7B5FF72EFDC6}"/>
    <cellStyle name="Normal 2 41" xfId="1938" xr:uid="{C61B02B6-1D15-4BF4-9B9C-65819FC78B1B}"/>
    <cellStyle name="Normal 2 42" xfId="1939" xr:uid="{F4B30EC2-9419-4B39-B2AA-361E57D5EAD4}"/>
    <cellStyle name="Normal 2 43" xfId="1940" xr:uid="{AAA5B949-688C-4A2D-9C31-9BDD4F34015D}"/>
    <cellStyle name="Normal 2 44" xfId="1941" xr:uid="{E0474A8C-9BB6-4DEF-8702-9036936AD116}"/>
    <cellStyle name="Normal 2 45" xfId="1942" xr:uid="{6093F42D-C5F9-479C-9278-38C77E3DDA87}"/>
    <cellStyle name="Normal 2 46" xfId="1943" xr:uid="{E30AC43F-223C-4CCA-96E3-AF8E754BFFFA}"/>
    <cellStyle name="Normal 2 47" xfId="1944" xr:uid="{2F76727B-A76D-4711-8709-17729969E16C}"/>
    <cellStyle name="Normal 2 48" xfId="4537" xr:uid="{6D07D771-6ABC-4D8C-A22B-7A2753C0618D}"/>
    <cellStyle name="Normal 2 48 2" xfId="4604" xr:uid="{D98902BC-A5A8-4887-8DA2-2BB23C828DE8}"/>
    <cellStyle name="Normal 2 5" xfId="102" xr:uid="{C8BF57C0-9130-4161-8398-87634869AFFE}"/>
    <cellStyle name="Normal 2 5 2" xfId="1945" xr:uid="{0FC60033-E108-442B-A7A1-17BDE67BB2D6}"/>
    <cellStyle name="Normal 2 5 3" xfId="1946" xr:uid="{8DCA713A-C889-4FDA-B32D-7305F5437360}"/>
    <cellStyle name="Normal 2 59 2" xfId="4603" xr:uid="{3B576F28-A9AD-492E-BC84-8D3C2670C341}"/>
    <cellStyle name="Normal 2 6" xfId="1947" xr:uid="{DB141B98-EDFE-4DE2-865A-7C5105AADCE2}"/>
    <cellStyle name="Normal 2 6 2" xfId="1948" xr:uid="{5B3A680C-75AC-4660-BC8A-D6F18EFC46D3}"/>
    <cellStyle name="Normal 2 7" xfId="1949" xr:uid="{F0DC541E-BD2A-4807-9A7E-584239B673A2}"/>
    <cellStyle name="Normal 2 7 2" xfId="1950" xr:uid="{2DAC5B9C-563C-4C00-A48C-BCA04528D651}"/>
    <cellStyle name="Normal 2 8" xfId="1951" xr:uid="{09256DFF-7309-4312-99B8-AE1935844D0C}"/>
    <cellStyle name="Normal 2 8 2" xfId="1952" xr:uid="{9107AB34-C8D1-48CD-ACAA-5074E30A73B3}"/>
    <cellStyle name="Normal 2 9" xfId="1953" xr:uid="{956B5020-33F1-432C-A797-93E7621B12E4}"/>
    <cellStyle name="Normal 2 9 2" xfId="1954" xr:uid="{5152FC57-2B43-4827-9267-7A0694D751BA}"/>
    <cellStyle name="Normal 20" xfId="1955" xr:uid="{123E3B87-0FE2-4F1A-B10C-D03E01CF04BB}"/>
    <cellStyle name="Normal 21" xfId="1956" xr:uid="{6D13A214-581D-4F7C-A8AA-D8CE0B46D014}"/>
    <cellStyle name="Normal 22" xfId="1957" xr:uid="{8CA33A2F-E648-420A-9299-7333D1D9393A}"/>
    <cellStyle name="Normal 23" xfId="1958" xr:uid="{19A9C05F-4DC3-43A8-97E5-5697BD5849AF}"/>
    <cellStyle name="Normal 24" xfId="1959" xr:uid="{F73991E3-EC38-47CC-A537-7816255A951D}"/>
    <cellStyle name="Normal 25" xfId="1960" xr:uid="{004628F2-0EC4-41B5-ACF4-5E2E6833F34C}"/>
    <cellStyle name="Normal 25 10" xfId="1961" xr:uid="{683BEEF1-9D7F-46E8-BFAC-9A391C7D2D21}"/>
    <cellStyle name="Normal 25 100" xfId="1962" xr:uid="{FF5A728D-2BBF-49D9-A2E2-63F9C90969BB}"/>
    <cellStyle name="Normal 25 101" xfId="1963" xr:uid="{F71D1239-AE46-4222-BA4B-E57B5819CA4E}"/>
    <cellStyle name="Normal 25 102" xfId="1964" xr:uid="{F62468B1-70DB-4C1A-A4A5-252C507184AA}"/>
    <cellStyle name="Normal 25 103" xfId="1965" xr:uid="{C1FD05A5-41E8-4F90-8C74-49341C77EBB8}"/>
    <cellStyle name="Normal 25 104" xfId="1966" xr:uid="{402D1561-C65C-496B-885E-6BF1836C7AC1}"/>
    <cellStyle name="Normal 25 105" xfId="1967" xr:uid="{278CDB2F-FDC8-44EA-917F-CC28DE8B99ED}"/>
    <cellStyle name="Normal 25 106" xfId="1968" xr:uid="{99DF9697-B329-430A-AEF5-1EA53E1D3411}"/>
    <cellStyle name="Normal 25 107" xfId="1969" xr:uid="{18363D05-0E3C-49FA-94FD-57A60AAF9F93}"/>
    <cellStyle name="Normal 25 108" xfId="1970" xr:uid="{7058D45F-6784-4ECA-98D9-2045204AE41B}"/>
    <cellStyle name="Normal 25 109" xfId="1971" xr:uid="{154D2165-D85B-4947-9AE3-8B34A722B853}"/>
    <cellStyle name="Normal 25 11" xfId="1972" xr:uid="{2AFF61EB-E16B-4BFA-BD68-4E7714F2D62C}"/>
    <cellStyle name="Normal 25 12" xfId="1973" xr:uid="{2EB1EC10-7363-4D2C-995E-3453D5222DE4}"/>
    <cellStyle name="Normal 25 13" xfId="1974" xr:uid="{495B01ED-F81F-4819-8452-FFD764E70141}"/>
    <cellStyle name="Normal 25 14" xfId="1975" xr:uid="{36EE11F0-F729-445E-B256-77E53E0A4660}"/>
    <cellStyle name="Normal 25 15" xfId="1976" xr:uid="{3F340943-4295-44FA-94CE-72443E28BE06}"/>
    <cellStyle name="Normal 25 16" xfId="1977" xr:uid="{11D40F65-F9D1-48D0-A550-21A5AECBD997}"/>
    <cellStyle name="Normal 25 17" xfId="1978" xr:uid="{C073BA7C-E974-48D3-9C6C-2C312F990706}"/>
    <cellStyle name="Normal 25 18" xfId="1979" xr:uid="{6A272B6B-B704-4B07-85FA-8C8340B09F90}"/>
    <cellStyle name="Normal 25 19" xfId="1980" xr:uid="{10C272A5-2949-4D44-AA74-21BDA9A7843B}"/>
    <cellStyle name="Normal 25 2" xfId="1981" xr:uid="{6B3A8A71-B3D3-4765-A2F1-B99884003C1E}"/>
    <cellStyle name="Normal 25 20" xfId="1982" xr:uid="{20ECC733-EEF0-49DB-A126-9AA3314D20BD}"/>
    <cellStyle name="Normal 25 21" xfId="1983" xr:uid="{D014902E-C288-4C81-9A96-19C74D5D7414}"/>
    <cellStyle name="Normal 25 22" xfId="1984" xr:uid="{FF97B489-3085-408D-99B2-AE1DD8221A2A}"/>
    <cellStyle name="Normal 25 23" xfId="1985" xr:uid="{74D09CB9-4E6E-4715-9589-C1ED35751857}"/>
    <cellStyle name="Normal 25 24" xfId="1986" xr:uid="{DFD7C0C3-09CB-4567-AA5A-52378BC99ED0}"/>
    <cellStyle name="Normal 25 25" xfId="1987" xr:uid="{5267B418-5109-4863-A3FD-8600E3678472}"/>
    <cellStyle name="Normal 25 26" xfId="1988" xr:uid="{3D651601-767A-40D5-AF3F-5B0B1B980CBA}"/>
    <cellStyle name="Normal 25 27" xfId="1989" xr:uid="{9FD9A9A3-125F-4FD5-B1E2-A4F9E9D1451A}"/>
    <cellStyle name="Normal 25 28" xfId="1990" xr:uid="{A352CB8A-C15D-44C2-8965-83F0E4D75168}"/>
    <cellStyle name="Normal 25 29" xfId="1991" xr:uid="{45C33A67-FE8F-49EC-981A-7A82C39B7C75}"/>
    <cellStyle name="Normal 25 3" xfId="1992" xr:uid="{4A1CB6C5-6DC5-4961-8F49-838303AE2112}"/>
    <cellStyle name="Normal 25 30" xfId="1993" xr:uid="{C3CD3EBF-1FF4-4461-B98A-0139AF62243D}"/>
    <cellStyle name="Normal 25 31" xfId="1994" xr:uid="{25D99B97-5752-4864-9299-EA78CA5FC6C7}"/>
    <cellStyle name="Normal 25 32" xfId="1995" xr:uid="{0BC5D4FB-C325-49FE-8A2E-CB334B159132}"/>
    <cellStyle name="Normal 25 33" xfId="1996" xr:uid="{D1182906-27AD-4DEA-83CF-CFE3AE3A48B5}"/>
    <cellStyle name="Normal 25 34" xfId="1997" xr:uid="{C8CB6E07-3D07-4DA8-92D1-BC65FE6141C4}"/>
    <cellStyle name="Normal 25 35" xfId="1998" xr:uid="{B4B89290-3BCE-49E5-B9A7-22D698B9F0DD}"/>
    <cellStyle name="Normal 25 36" xfId="1999" xr:uid="{D6CF0D10-B017-4546-A727-99D1D3A6188E}"/>
    <cellStyle name="Normal 25 37" xfId="2000" xr:uid="{72827AD7-1117-4A66-A5C3-7993E8C38DAC}"/>
    <cellStyle name="Normal 25 38" xfId="2001" xr:uid="{C7C136E2-AE2E-457D-AE76-A0BD0D7369E1}"/>
    <cellStyle name="Normal 25 39" xfId="2002" xr:uid="{F174F98A-9B95-4CB7-AA0E-7087C2D58177}"/>
    <cellStyle name="Normal 25 4" xfId="2003" xr:uid="{1E78116D-63BC-4364-BCC5-8677A452AE0D}"/>
    <cellStyle name="Normal 25 40" xfId="2004" xr:uid="{27206682-A7EC-40F0-87A6-504B1EF73F44}"/>
    <cellStyle name="Normal 25 41" xfId="2005" xr:uid="{0BB5E159-49F3-4477-96C8-E410EBAA7A9D}"/>
    <cellStyle name="Normal 25 42" xfId="2006" xr:uid="{A42AB0FC-8BC9-4EED-A9DF-6E118AD3B2C2}"/>
    <cellStyle name="Normal 25 43" xfId="2007" xr:uid="{CE3A77FA-4605-4D22-8769-065A28F34458}"/>
    <cellStyle name="Normal 25 44" xfId="2008" xr:uid="{AD6CCC46-FEE8-45D3-806A-A8AD59A4F188}"/>
    <cellStyle name="Normal 25 45" xfId="2009" xr:uid="{3FF88C6E-1B63-4C8E-9BFA-31DB5889A8BA}"/>
    <cellStyle name="Normal 25 46" xfId="2010" xr:uid="{AE711531-EF68-47DC-B9F9-89D0F9BAA379}"/>
    <cellStyle name="Normal 25 47" xfId="2011" xr:uid="{356C209D-9FEB-42E3-87EF-2E49670123D8}"/>
    <cellStyle name="Normal 25 48" xfId="2012" xr:uid="{A8762600-24DB-4B57-80F9-A88322614115}"/>
    <cellStyle name="Normal 25 49" xfId="2013" xr:uid="{EA9A60AA-D3E1-46CD-B203-0DD256576B88}"/>
    <cellStyle name="Normal 25 5" xfId="2014" xr:uid="{C050D64C-EBCA-404C-936F-69A0279FF047}"/>
    <cellStyle name="Normal 25 50" xfId="2015" xr:uid="{028E3FFB-2B7D-405B-926D-ADFAA78DB66A}"/>
    <cellStyle name="Normal 25 51" xfId="2016" xr:uid="{09732740-C540-473C-A1B4-3FDAFB416380}"/>
    <cellStyle name="Normal 25 52" xfId="2017" xr:uid="{D7895525-332C-4ECE-A6AB-2C27395D26D2}"/>
    <cellStyle name="Normal 25 53" xfId="2018" xr:uid="{FA9C628B-36A0-4113-AEA6-A68D9D66C9D9}"/>
    <cellStyle name="Normal 25 54" xfId="2019" xr:uid="{BFF1E827-832F-416A-9C13-CAFCF8F43DBA}"/>
    <cellStyle name="Normal 25 55" xfId="2020" xr:uid="{1A3D80CC-63FF-4C9A-AC5B-96486F2CBD8B}"/>
    <cellStyle name="Normal 25 56" xfId="2021" xr:uid="{8AF7C5AF-D3F2-4728-A480-38259394AC33}"/>
    <cellStyle name="Normal 25 57" xfId="2022" xr:uid="{A1D10AC1-F46E-42E3-B36F-A7965B59CF50}"/>
    <cellStyle name="Normal 25 58" xfId="2023" xr:uid="{9CEBF28F-C876-4B83-A0E7-A8036B247004}"/>
    <cellStyle name="Normal 25 59" xfId="2024" xr:uid="{884E6473-A87B-41DA-8DCF-C4111C42E7D5}"/>
    <cellStyle name="Normal 25 6" xfId="2025" xr:uid="{CFB256E7-C82D-44FC-A33B-730F8BFBE036}"/>
    <cellStyle name="Normal 25 60" xfId="2026" xr:uid="{DD076106-548A-48C2-9124-D52DBCEE7B87}"/>
    <cellStyle name="Normal 25 61" xfId="2027" xr:uid="{8AB42A37-F055-4130-837F-8C9F53AD5554}"/>
    <cellStyle name="Normal 25 62" xfId="2028" xr:uid="{8A0F700C-A83B-4D10-A922-F7E31E601D95}"/>
    <cellStyle name="Normal 25 63" xfId="2029" xr:uid="{1BEC9A82-9540-4423-8447-01B8336D7C0B}"/>
    <cellStyle name="Normal 25 64" xfId="2030" xr:uid="{88D7C9C1-D7E6-438D-B241-9C28581037CD}"/>
    <cellStyle name="Normal 25 65" xfId="2031" xr:uid="{3A0C9555-5FB4-4695-A39B-3FB6AA443011}"/>
    <cellStyle name="Normal 25 66" xfId="2032" xr:uid="{E5961C26-2C53-441D-BF94-EF6BE0A81F13}"/>
    <cellStyle name="Normal 25 67" xfId="2033" xr:uid="{05695473-30D3-4613-8F94-0A25CD97994A}"/>
    <cellStyle name="Normal 25 68" xfId="2034" xr:uid="{5942C589-A8F9-42CC-85E8-4D471E0747DA}"/>
    <cellStyle name="Normal 25 69" xfId="2035" xr:uid="{839BE953-68F9-49BE-8000-DE53D72B94C2}"/>
    <cellStyle name="Normal 25 7" xfId="2036" xr:uid="{2BB04D6F-C943-456B-975D-2BD9760C1A62}"/>
    <cellStyle name="Normal 25 70" xfId="2037" xr:uid="{3C5B768E-A636-4136-88FC-DD4A35F1673C}"/>
    <cellStyle name="Normal 25 71" xfId="2038" xr:uid="{60BF05AD-E277-439A-BDEB-14B127C581E7}"/>
    <cellStyle name="Normal 25 72" xfId="2039" xr:uid="{28E84C63-90C8-44D8-B916-BB88E612C898}"/>
    <cellStyle name="Normal 25 73" xfId="2040" xr:uid="{04909191-BE8B-4124-98C3-D157081E9B01}"/>
    <cellStyle name="Normal 25 74" xfId="2041" xr:uid="{20A47950-2920-4B26-A69B-6102FD33B281}"/>
    <cellStyle name="Normal 25 75" xfId="2042" xr:uid="{F1AC56C9-0597-4457-8444-BCAC5A5C04A0}"/>
    <cellStyle name="Normal 25 76" xfId="2043" xr:uid="{E82FD68F-00C4-4D6B-94F6-C48A0F0D0298}"/>
    <cellStyle name="Normal 25 77" xfId="2044" xr:uid="{CDC4E353-CED1-4F5B-AF48-85D73D313ED6}"/>
    <cellStyle name="Normal 25 78" xfId="2045" xr:uid="{F8B9DFEC-A617-4A80-BD78-C0A8B24DD194}"/>
    <cellStyle name="Normal 25 79" xfId="2046" xr:uid="{08C16502-355D-4936-9103-8E13536B01C0}"/>
    <cellStyle name="Normal 25 8" xfId="2047" xr:uid="{054E3421-9CEF-48B6-AEE6-D6E79CAED2A7}"/>
    <cellStyle name="Normal 25 80" xfId="2048" xr:uid="{F69EF532-F20F-4946-AA92-F1EE6921E6E2}"/>
    <cellStyle name="Normal 25 81" xfId="2049" xr:uid="{D925FD30-750D-4D1F-AFE6-7433823E69A9}"/>
    <cellStyle name="Normal 25 82" xfId="2050" xr:uid="{C288EE68-4272-480D-9D08-735FA8D9DCBF}"/>
    <cellStyle name="Normal 25 83" xfId="2051" xr:uid="{65A34A65-E73B-4D3F-B7F3-636243A05BB7}"/>
    <cellStyle name="Normal 25 84" xfId="2052" xr:uid="{FCD5303A-E5BF-4A9C-8568-31C23CF48CB2}"/>
    <cellStyle name="Normal 25 85" xfId="2053" xr:uid="{4A62577C-6E7D-49F6-AADC-A0F83D91A083}"/>
    <cellStyle name="Normal 25 86" xfId="2054" xr:uid="{1EC892E9-F62B-4BA4-BEC7-D8DC5F05196B}"/>
    <cellStyle name="Normal 25 87" xfId="2055" xr:uid="{5059D24E-1545-47D0-9F02-7C46003BDBDF}"/>
    <cellStyle name="Normal 25 88" xfId="2056" xr:uid="{48351A8A-4D4A-4E22-A8C1-EA939754E7B2}"/>
    <cellStyle name="Normal 25 89" xfId="2057" xr:uid="{3C2D1DAC-299A-487B-9010-534B87E7F55A}"/>
    <cellStyle name="Normal 25 9" xfId="2058" xr:uid="{CADD7E3F-1C06-440D-AEB3-FC70C4BE7388}"/>
    <cellStyle name="Normal 25 90" xfId="2059" xr:uid="{E4E3DF7D-B494-4DA3-AED1-6598A7FE0CF0}"/>
    <cellStyle name="Normal 25 91" xfId="2060" xr:uid="{428863D0-0C02-42FE-BCF4-7AD39BE02855}"/>
    <cellStyle name="Normal 25 92" xfId="2061" xr:uid="{6C5F0036-4C35-461A-8A8D-D5957F6A70F8}"/>
    <cellStyle name="Normal 25 93" xfId="2062" xr:uid="{9D0F8F4F-55AF-46FC-8857-37F9AA5D706F}"/>
    <cellStyle name="Normal 25 94" xfId="2063" xr:uid="{BBBB3C81-A6FA-4177-9E41-B72FDB017050}"/>
    <cellStyle name="Normal 25 95" xfId="2064" xr:uid="{F2FAA4DE-E160-47D0-8912-D9C1DE784FF4}"/>
    <cellStyle name="Normal 25 96" xfId="2065" xr:uid="{46A3448D-13F1-4CF8-9FD5-5547A331E831}"/>
    <cellStyle name="Normal 25 97" xfId="2066" xr:uid="{3FF944DA-FAC8-4F34-A6AD-0A7BA9A21118}"/>
    <cellStyle name="Normal 25 98" xfId="2067" xr:uid="{1FE9B739-9B68-460C-BE97-96298ABD29E1}"/>
    <cellStyle name="Normal 25 99" xfId="2068" xr:uid="{A8E731ED-24E8-496A-AF09-1DC2A23D72E2}"/>
    <cellStyle name="Normal 26" xfId="2069" xr:uid="{104CA953-5BF6-48F7-9AB7-C5107627D4EF}"/>
    <cellStyle name="Normal 26 10" xfId="2070" xr:uid="{1F23D6CB-8A29-4F54-B3F3-381228014C37}"/>
    <cellStyle name="Normal 26 100" xfId="2071" xr:uid="{A87EEF77-23CC-4BCA-91BE-93E83A438BF3}"/>
    <cellStyle name="Normal 26 101" xfId="2072" xr:uid="{D892DD26-5842-4265-A07B-E5B3EC61BDE0}"/>
    <cellStyle name="Normal 26 102" xfId="2073" xr:uid="{7452EB34-00C3-4399-8D41-61A3C2DA11C1}"/>
    <cellStyle name="Normal 26 103" xfId="2074" xr:uid="{18F98C49-4CAE-407F-BCAD-9CBE27984294}"/>
    <cellStyle name="Normal 26 104" xfId="2075" xr:uid="{E2C4EF66-1769-4387-97F3-ED06F52CAE9D}"/>
    <cellStyle name="Normal 26 105" xfId="2076" xr:uid="{0EE6B04D-35D4-4787-87EA-6241A4DB5CA5}"/>
    <cellStyle name="Normal 26 106" xfId="2077" xr:uid="{2C18598C-483F-4610-9C87-761FEBAF316C}"/>
    <cellStyle name="Normal 26 107" xfId="2078" xr:uid="{1591AD59-16D7-4F15-A053-E6D55DA89F38}"/>
    <cellStyle name="Normal 26 108" xfId="2079" xr:uid="{D4BCD061-CF8F-443B-B0C0-19CB95BB4454}"/>
    <cellStyle name="Normal 26 109" xfId="2080" xr:uid="{4B8E0A74-68EF-4F11-A05F-FCBFAA140FDF}"/>
    <cellStyle name="Normal 26 11" xfId="2081" xr:uid="{FF380C60-5A7D-4DF8-9D18-182F97CA47AA}"/>
    <cellStyle name="Normal 26 12" xfId="2082" xr:uid="{71FE9763-DEDA-4598-9D38-5377C2C02EEE}"/>
    <cellStyle name="Normal 26 13" xfId="2083" xr:uid="{9360A9FC-03E7-495A-987E-89485B9ECF68}"/>
    <cellStyle name="Normal 26 14" xfId="2084" xr:uid="{6A29A946-27D4-434C-8055-6BF2FD2E7688}"/>
    <cellStyle name="Normal 26 15" xfId="2085" xr:uid="{399CE079-D5B7-45C4-A5BA-E558712424DA}"/>
    <cellStyle name="Normal 26 16" xfId="2086" xr:uid="{ECBB082A-D19D-4B57-A4F1-E478B8C9536C}"/>
    <cellStyle name="Normal 26 17" xfId="2087" xr:uid="{FF849789-E35C-42A3-AA52-3FABF609D74C}"/>
    <cellStyle name="Normal 26 18" xfId="2088" xr:uid="{81A10F31-A9B7-4C58-88A0-F5D1862B6160}"/>
    <cellStyle name="Normal 26 19" xfId="2089" xr:uid="{C807D047-0C62-4EC0-9CF7-F8D1FFC60098}"/>
    <cellStyle name="Normal 26 2" xfId="2090" xr:uid="{4642491A-B3D4-45E8-A33D-16F55889DA48}"/>
    <cellStyle name="Normal 26 20" xfId="2091" xr:uid="{50503F83-0ADC-4E92-90B7-6E7872647466}"/>
    <cellStyle name="Normal 26 21" xfId="2092" xr:uid="{CE4E9FD5-7B68-4B7F-AB76-20532B63713B}"/>
    <cellStyle name="Normal 26 22" xfId="2093" xr:uid="{8793EE25-BAB9-4EC0-B05C-4F4BAA26F6DF}"/>
    <cellStyle name="Normal 26 23" xfId="2094" xr:uid="{E13DE66F-3773-4B83-8A66-6178F09BB1DD}"/>
    <cellStyle name="Normal 26 24" xfId="2095" xr:uid="{FD5B22F0-D8DD-4934-A60A-9552DA837BA1}"/>
    <cellStyle name="Normal 26 25" xfId="2096" xr:uid="{D8AF7C15-9FE9-43C9-A819-8F7D4A429FE9}"/>
    <cellStyle name="Normal 26 26" xfId="2097" xr:uid="{5DAC43F2-D2E3-471D-9434-2678D2B78C17}"/>
    <cellStyle name="Normal 26 27" xfId="2098" xr:uid="{0F05D123-7476-4823-9489-C04568E0D89E}"/>
    <cellStyle name="Normal 26 28" xfId="2099" xr:uid="{F19A5356-B611-432B-B129-6CB7B659DF85}"/>
    <cellStyle name="Normal 26 29" xfId="2100" xr:uid="{66C88855-8F6F-48E1-BAE6-442A8331A0BF}"/>
    <cellStyle name="Normal 26 3" xfId="2101" xr:uid="{14DA697F-7E3F-4183-9358-27ADBA957C52}"/>
    <cellStyle name="Normal 26 30" xfId="2102" xr:uid="{D770F6B1-3657-4002-B875-FC150C28381E}"/>
    <cellStyle name="Normal 26 31" xfId="2103" xr:uid="{BCBC14D2-37D3-4776-A5DB-D3486E91FE6C}"/>
    <cellStyle name="Normal 26 32" xfId="2104" xr:uid="{C2E5C114-8CD5-42CC-8E2B-4CDFD2FBF060}"/>
    <cellStyle name="Normal 26 33" xfId="2105" xr:uid="{262FC55D-63EB-4CAE-9854-B44DE2943F96}"/>
    <cellStyle name="Normal 26 34" xfId="2106" xr:uid="{2507FF94-6CA6-4700-8AF9-91CB5E77BF78}"/>
    <cellStyle name="Normal 26 35" xfId="2107" xr:uid="{B68E29CF-5C63-42F5-9ABF-8500FF2E6D42}"/>
    <cellStyle name="Normal 26 36" xfId="2108" xr:uid="{AE1BCAA3-8E3A-4261-8629-DBD5E9257BBD}"/>
    <cellStyle name="Normal 26 37" xfId="2109" xr:uid="{BE9002C1-F521-4245-B56E-51E6CA3CC5D2}"/>
    <cellStyle name="Normal 26 38" xfId="2110" xr:uid="{998BBBD5-9F5F-47DA-9422-F3E21A65C090}"/>
    <cellStyle name="Normal 26 39" xfId="2111" xr:uid="{75A6504D-AEE7-454F-9588-688DBB6FEA58}"/>
    <cellStyle name="Normal 26 4" xfId="2112" xr:uid="{F53CA82E-A5AA-4473-8F48-2CC74B22E68C}"/>
    <cellStyle name="Normal 26 40" xfId="2113" xr:uid="{D41DD382-74C1-4367-AA28-EB70727938A5}"/>
    <cellStyle name="Normal 26 41" xfId="2114" xr:uid="{5CC113F7-9415-4B1E-9CE3-73CB5248F6CB}"/>
    <cellStyle name="Normal 26 42" xfId="2115" xr:uid="{119C10AF-7C6C-41D4-87D4-DB46C1B9B83E}"/>
    <cellStyle name="Normal 26 43" xfId="2116" xr:uid="{C89B3420-FE04-4FC1-9E85-329E6465FD59}"/>
    <cellStyle name="Normal 26 44" xfId="2117" xr:uid="{5B0DF4DD-8B96-403B-B88A-6A083C38564C}"/>
    <cellStyle name="Normal 26 45" xfId="2118" xr:uid="{2CA6E9E2-8FCD-471E-93C0-3F753544D4C0}"/>
    <cellStyle name="Normal 26 46" xfId="2119" xr:uid="{4F7C3CDF-4281-4A85-B07D-8097929BB66E}"/>
    <cellStyle name="Normal 26 47" xfId="2120" xr:uid="{859BB856-F1FE-4BF0-801C-FC248BEB4CA3}"/>
    <cellStyle name="Normal 26 48" xfId="2121" xr:uid="{75C595FC-EBEB-4836-B44B-67EE20526705}"/>
    <cellStyle name="Normal 26 49" xfId="2122" xr:uid="{6E3D9A31-DE89-4444-83C2-121A71E34D5D}"/>
    <cellStyle name="Normal 26 5" xfId="2123" xr:uid="{7794CB0F-E716-4A8D-8753-164602E91684}"/>
    <cellStyle name="Normal 26 50" xfId="2124" xr:uid="{00846A41-03B4-450F-A031-D2E363E36CDB}"/>
    <cellStyle name="Normal 26 51" xfId="2125" xr:uid="{03D1B414-E92D-4984-9699-15F301B7DC48}"/>
    <cellStyle name="Normal 26 52" xfId="2126" xr:uid="{CFFF36D6-5AE4-4C56-8043-9511D7B87B41}"/>
    <cellStyle name="Normal 26 53" xfId="2127" xr:uid="{3D6255AB-B32B-4B77-BCA0-4E7F26BFB911}"/>
    <cellStyle name="Normal 26 54" xfId="2128" xr:uid="{C3465E00-3F8F-453A-88DA-65B38DF60AB6}"/>
    <cellStyle name="Normal 26 55" xfId="2129" xr:uid="{5A810CC7-E088-4ADC-9FDA-BAABD1038612}"/>
    <cellStyle name="Normal 26 56" xfId="2130" xr:uid="{8E51706B-FD9E-4810-9141-B4B938260F7C}"/>
    <cellStyle name="Normal 26 57" xfId="2131" xr:uid="{9F05B172-57B2-4E72-86F2-A785011F8EF0}"/>
    <cellStyle name="Normal 26 58" xfId="2132" xr:uid="{862DAC68-46A3-453B-AF85-D822DE896C78}"/>
    <cellStyle name="Normal 26 59" xfId="2133" xr:uid="{9A819C78-FFCE-45DB-89BB-961B4DE0763D}"/>
    <cellStyle name="Normal 26 6" xfId="2134" xr:uid="{41A2BCEA-3F76-441D-98CE-0BC9D50BD566}"/>
    <cellStyle name="Normal 26 60" xfId="2135" xr:uid="{D60609D8-980A-45E3-BEA0-9623AB7F3757}"/>
    <cellStyle name="Normal 26 61" xfId="2136" xr:uid="{1D686F64-23E1-408B-BB39-6EDF2E2D55E0}"/>
    <cellStyle name="Normal 26 62" xfId="2137" xr:uid="{EAEE45A2-77C9-4B2C-A1EA-B2A730590B2B}"/>
    <cellStyle name="Normal 26 63" xfId="2138" xr:uid="{70BFF31D-B90E-48EA-9BCC-22AD8567DDEA}"/>
    <cellStyle name="Normal 26 64" xfId="2139" xr:uid="{04816503-2EAE-414F-9FCA-3A149FD2F1AE}"/>
    <cellStyle name="Normal 26 65" xfId="2140" xr:uid="{720F151D-BD70-4988-AC7A-81674B82461B}"/>
    <cellStyle name="Normal 26 66" xfId="2141" xr:uid="{5FC0477D-7754-4560-BA9F-3956F5C0DFBF}"/>
    <cellStyle name="Normal 26 67" xfId="2142" xr:uid="{C010EFB7-42EC-4105-B335-EF6AFC65BCC7}"/>
    <cellStyle name="Normal 26 68" xfId="2143" xr:uid="{733263C8-BF4E-4495-B8BB-349E35C43E29}"/>
    <cellStyle name="Normal 26 69" xfId="2144" xr:uid="{96E96018-9D6B-4DDC-A2C8-36014F579A34}"/>
    <cellStyle name="Normal 26 7" xfId="2145" xr:uid="{124C4AF5-E219-4850-AFBC-681CED7953FC}"/>
    <cellStyle name="Normal 26 70" xfId="2146" xr:uid="{EBED3856-DD04-40B6-9580-9812DB1CEF3B}"/>
    <cellStyle name="Normal 26 71" xfId="2147" xr:uid="{8266AA49-26AA-4162-B045-0DEAD4A69BCA}"/>
    <cellStyle name="Normal 26 72" xfId="2148" xr:uid="{CFA73D46-839A-420E-BF2C-CF6D46836EAC}"/>
    <cellStyle name="Normal 26 73" xfId="2149" xr:uid="{E121F50F-E876-4C0E-8E0C-8EAFB8F8DC04}"/>
    <cellStyle name="Normal 26 74" xfId="2150" xr:uid="{22DBE972-3870-44BB-98D4-69E09BBCCECA}"/>
    <cellStyle name="Normal 26 75" xfId="2151" xr:uid="{B8157312-6582-430F-8191-1CFFF66F71BD}"/>
    <cellStyle name="Normal 26 76" xfId="2152" xr:uid="{F7155F6C-F9E5-44E8-8DB0-78C67B457E45}"/>
    <cellStyle name="Normal 26 77" xfId="2153" xr:uid="{8902E565-07AD-44BC-95AA-FB6B461E60F5}"/>
    <cellStyle name="Normal 26 78" xfId="2154" xr:uid="{F474902F-C61B-43E1-A993-E8A094DBD005}"/>
    <cellStyle name="Normal 26 79" xfId="2155" xr:uid="{E3B8EF00-D917-45A8-8E41-696343054F99}"/>
    <cellStyle name="Normal 26 8" xfId="2156" xr:uid="{CC6FBEC7-A26D-44BC-AB17-EA5E54C7AC4C}"/>
    <cellStyle name="Normal 26 80" xfId="2157" xr:uid="{6CE12F0F-1B5C-4AA7-A49C-8551F16C6467}"/>
    <cellStyle name="Normal 26 81" xfId="2158" xr:uid="{1F59F548-A791-4153-AA66-617E50FA2711}"/>
    <cellStyle name="Normal 26 82" xfId="2159" xr:uid="{B6661EE6-42BA-4E33-A39A-44171F237A60}"/>
    <cellStyle name="Normal 26 83" xfId="2160" xr:uid="{F0FC9D42-164B-46BE-A035-AF9A039B4661}"/>
    <cellStyle name="Normal 26 84" xfId="2161" xr:uid="{5A048D2C-0652-4845-AC2F-E5355F47107F}"/>
    <cellStyle name="Normal 26 85" xfId="2162" xr:uid="{D00AAFDE-0633-446E-B8A0-3D071685924F}"/>
    <cellStyle name="Normal 26 86" xfId="2163" xr:uid="{D01C9B3A-8ED3-42B0-86A6-A2A3C273E7B7}"/>
    <cellStyle name="Normal 26 87" xfId="2164" xr:uid="{43F6F06E-F7BE-4802-A8D3-31D3616E666B}"/>
    <cellStyle name="Normal 26 88" xfId="2165" xr:uid="{C8D78B3A-A769-4C83-9565-BD45D1E86DCF}"/>
    <cellStyle name="Normal 26 89" xfId="2166" xr:uid="{E186E6DD-9945-439D-BDE5-4D24161C32EC}"/>
    <cellStyle name="Normal 26 9" xfId="2167" xr:uid="{EBEC4D0A-C049-4E88-96AD-A1B8B6DC304F}"/>
    <cellStyle name="Normal 26 90" xfId="2168" xr:uid="{61C9D723-D191-4049-B881-E3F5159B919E}"/>
    <cellStyle name="Normal 26 91" xfId="2169" xr:uid="{39D9A319-C4EC-47BA-BFD8-B574B1041FAA}"/>
    <cellStyle name="Normal 26 92" xfId="2170" xr:uid="{89F238A7-9A0D-46D1-840F-7D9C25043C63}"/>
    <cellStyle name="Normal 26 93" xfId="2171" xr:uid="{848F155E-6E96-42F8-8D0A-5EE5717FB4C9}"/>
    <cellStyle name="Normal 26 94" xfId="2172" xr:uid="{7F88D71B-A37C-43CC-9745-3C3DEE56D701}"/>
    <cellStyle name="Normal 26 95" xfId="2173" xr:uid="{B5CFD4A1-72EC-4E29-9218-F3A4A996212D}"/>
    <cellStyle name="Normal 26 96" xfId="2174" xr:uid="{FF27688C-CD40-43B1-B185-D36E8B774213}"/>
    <cellStyle name="Normal 26 97" xfId="2175" xr:uid="{527A5D2D-5554-4E42-8F4B-D62255F884A8}"/>
    <cellStyle name="Normal 26 98" xfId="2176" xr:uid="{737F25DC-2727-41D7-BDF1-19DB1E22A5E2}"/>
    <cellStyle name="Normal 26 99" xfId="2177" xr:uid="{99762F03-101A-463D-B406-D22BB92BBBB6}"/>
    <cellStyle name="Normal 27" xfId="2178" xr:uid="{0B218990-923B-445A-BDE5-BB29A334C691}"/>
    <cellStyle name="Normal 27 10" xfId="2179" xr:uid="{2098C7D3-7855-4EC9-ACE7-2B9CEB89DA39}"/>
    <cellStyle name="Normal 27 100" xfId="2180" xr:uid="{AF08B287-AC9F-43E8-AABC-FCC58779B8DD}"/>
    <cellStyle name="Normal 27 101" xfId="2181" xr:uid="{BA9CAA19-D05E-458B-A681-173124A66027}"/>
    <cellStyle name="Normal 27 102" xfId="2182" xr:uid="{388C3CF4-E822-43D6-B052-1FCA962E0172}"/>
    <cellStyle name="Normal 27 103" xfId="2183" xr:uid="{8E9055A3-8AC4-4B65-B52A-92AE9849597D}"/>
    <cellStyle name="Normal 27 104" xfId="2184" xr:uid="{ABCE655C-E981-47CB-AEA6-790EA3EE14C2}"/>
    <cellStyle name="Normal 27 105" xfId="2185" xr:uid="{0031CD85-8AA3-4D91-8918-4EF53A8E426F}"/>
    <cellStyle name="Normal 27 106" xfId="2186" xr:uid="{74980C03-AE12-42CC-B615-CD66EB5A084A}"/>
    <cellStyle name="Normal 27 107" xfId="2187" xr:uid="{72B5283C-C875-411B-85F2-48930AEBF6AC}"/>
    <cellStyle name="Normal 27 108" xfId="2188" xr:uid="{168FD236-CA18-423C-A999-4A797CE35501}"/>
    <cellStyle name="Normal 27 109" xfId="2189" xr:uid="{B4A5370B-8FEF-4F61-A2BE-9E3296062C2E}"/>
    <cellStyle name="Normal 27 11" xfId="2190" xr:uid="{DA0104D5-BF2B-4C6A-B508-32BC81F5082E}"/>
    <cellStyle name="Normal 27 12" xfId="2191" xr:uid="{21142538-34B5-4D36-9B22-00748B285B4D}"/>
    <cellStyle name="Normal 27 13" xfId="2192" xr:uid="{DF856937-44A1-482E-BDE3-5EA6B648F0DE}"/>
    <cellStyle name="Normal 27 14" xfId="2193" xr:uid="{700535F7-822F-407F-8A8F-23B9B6169966}"/>
    <cellStyle name="Normal 27 15" xfId="2194" xr:uid="{5F703009-9A0A-4FF3-AF8F-86D94ADBF19C}"/>
    <cellStyle name="Normal 27 16" xfId="2195" xr:uid="{4AA0FB59-4E63-4586-A1D7-AAB9096EC8D9}"/>
    <cellStyle name="Normal 27 17" xfId="2196" xr:uid="{0BC778F2-D2F9-49FE-A7C2-DA90026DA9C3}"/>
    <cellStyle name="Normal 27 18" xfId="2197" xr:uid="{F16BD766-AA00-4B47-8B02-1415484F261D}"/>
    <cellStyle name="Normal 27 19" xfId="2198" xr:uid="{E16D7D55-3CD4-43D0-9997-78AB4B7798D7}"/>
    <cellStyle name="Normal 27 2" xfId="2199" xr:uid="{5FE571E3-3F6F-4D0E-81F4-D8E60E0A38FB}"/>
    <cellStyle name="Normal 27 20" xfId="2200" xr:uid="{D2E4B7C6-FD32-4813-8EE3-6732B9D2ED90}"/>
    <cellStyle name="Normal 27 21" xfId="2201" xr:uid="{A5F11683-3FDB-428B-9640-0B9938954AC5}"/>
    <cellStyle name="Normal 27 22" xfId="2202" xr:uid="{31F192BB-0AED-42D7-A1D1-C28BE92B5C30}"/>
    <cellStyle name="Normal 27 23" xfId="2203" xr:uid="{78BED489-EB04-4913-AD02-AE6B50BEEAD7}"/>
    <cellStyle name="Normal 27 24" xfId="2204" xr:uid="{9F71AA2F-248B-49E1-9AB5-99E5B39252AE}"/>
    <cellStyle name="Normal 27 25" xfId="2205" xr:uid="{BFBEF306-EE21-4A76-B80B-AC5785AE9056}"/>
    <cellStyle name="Normal 27 26" xfId="2206" xr:uid="{15986A98-C499-435E-8D74-6850F7AABD91}"/>
    <cellStyle name="Normal 27 27" xfId="2207" xr:uid="{E88EE3A5-5668-40C5-8944-A752D96F1C33}"/>
    <cellStyle name="Normal 27 28" xfId="2208" xr:uid="{0A9A3D8F-3C96-455E-BBF3-B52BD0A2731B}"/>
    <cellStyle name="Normal 27 29" xfId="2209" xr:uid="{4B895A09-000E-43A0-8749-0E93E2956F1A}"/>
    <cellStyle name="Normal 27 3" xfId="2210" xr:uid="{3B1B3AD3-C90C-43CA-A395-EF19EB3F0C08}"/>
    <cellStyle name="Normal 27 30" xfId="2211" xr:uid="{C4668539-5A6B-4EA9-962D-081A1C63B2D0}"/>
    <cellStyle name="Normal 27 31" xfId="2212" xr:uid="{A8229BE5-AB3B-4905-899D-C42C8650E672}"/>
    <cellStyle name="Normal 27 32" xfId="2213" xr:uid="{678BB424-6DCC-402C-A5A6-676FCDF6DD42}"/>
    <cellStyle name="Normal 27 33" xfId="2214" xr:uid="{B2E94362-556C-4EC4-9394-C3CFD0304E1A}"/>
    <cellStyle name="Normal 27 34" xfId="2215" xr:uid="{9931615C-B228-45C1-9D6B-4FD3E0848130}"/>
    <cellStyle name="Normal 27 35" xfId="2216" xr:uid="{FCA11079-D0FD-4D3E-8B41-FA88E7AEF95A}"/>
    <cellStyle name="Normal 27 36" xfId="2217" xr:uid="{950457A6-5AA3-4AA9-BFCF-77BB6BC3D6BD}"/>
    <cellStyle name="Normal 27 37" xfId="2218" xr:uid="{26069348-C386-4DB4-87AC-0B6AE2A5479D}"/>
    <cellStyle name="Normal 27 38" xfId="2219" xr:uid="{B516D551-F320-46E5-A67D-34E0731CA526}"/>
    <cellStyle name="Normal 27 39" xfId="2220" xr:uid="{48819C3A-0E04-4762-9F48-CFE2623838E8}"/>
    <cellStyle name="Normal 27 4" xfId="2221" xr:uid="{D316F0D7-E8DD-497C-A0FF-20DD75DD8599}"/>
    <cellStyle name="Normal 27 40" xfId="2222" xr:uid="{D44D8DBB-D868-407B-B523-A06ACB5618FA}"/>
    <cellStyle name="Normal 27 41" xfId="2223" xr:uid="{D0E616EF-AF98-472A-A699-DF86918B2EDA}"/>
    <cellStyle name="Normal 27 42" xfId="2224" xr:uid="{8431C90E-24F5-462B-921D-12EDDA497C0F}"/>
    <cellStyle name="Normal 27 43" xfId="2225" xr:uid="{C0924D4B-7F45-4A7F-A0FE-C2E9C948901F}"/>
    <cellStyle name="Normal 27 44" xfId="2226" xr:uid="{B49CDB4E-DB14-4B54-B3CC-026E96BA96C8}"/>
    <cellStyle name="Normal 27 45" xfId="2227" xr:uid="{AAE74328-B09C-429D-A25E-AE71B0E84DC7}"/>
    <cellStyle name="Normal 27 46" xfId="2228" xr:uid="{F2DCBEEB-AAEF-4B8A-936F-2133E0931AFA}"/>
    <cellStyle name="Normal 27 47" xfId="2229" xr:uid="{BD4DC1CA-54C7-47DE-B099-26CE2E602844}"/>
    <cellStyle name="Normal 27 48" xfId="2230" xr:uid="{CC251597-E031-4147-8844-E1079FB71C39}"/>
    <cellStyle name="Normal 27 49" xfId="2231" xr:uid="{10200E05-B60F-45E4-A80F-AB32016ECE83}"/>
    <cellStyle name="Normal 27 5" xfId="2232" xr:uid="{089B3EE0-197A-4748-B1BB-9152E265C30D}"/>
    <cellStyle name="Normal 27 50" xfId="2233" xr:uid="{294C707D-E4F5-41E5-BC4E-2565458E6E01}"/>
    <cellStyle name="Normal 27 51" xfId="2234" xr:uid="{E445EF2D-253B-44F6-8722-DAA7E717169E}"/>
    <cellStyle name="Normal 27 52" xfId="2235" xr:uid="{21AD8781-961B-443E-B494-83A1FC52AAE6}"/>
    <cellStyle name="Normal 27 53" xfId="2236" xr:uid="{F8CC340E-35F5-4E69-AE8D-A44AA67E3313}"/>
    <cellStyle name="Normal 27 54" xfId="2237" xr:uid="{26E42E74-1940-43FE-B8EA-5833D3BC45A9}"/>
    <cellStyle name="Normal 27 55" xfId="2238" xr:uid="{6858C31E-181C-47CB-8F8E-8FF80A1EBAED}"/>
    <cellStyle name="Normal 27 56" xfId="2239" xr:uid="{6D0A651A-594F-4F87-B5CF-63D70FD9B19B}"/>
    <cellStyle name="Normal 27 57" xfId="2240" xr:uid="{C9717288-3CB6-478C-B42A-C3054C183CD3}"/>
    <cellStyle name="Normal 27 58" xfId="2241" xr:uid="{F71FFBF1-C054-4774-9113-069D6EA5E60E}"/>
    <cellStyle name="Normal 27 59" xfId="2242" xr:uid="{4105282A-6E9B-4834-B430-FB8A47BA464B}"/>
    <cellStyle name="Normal 27 6" xfId="2243" xr:uid="{DFC1CA90-1801-42A9-B237-9CA53EC123BE}"/>
    <cellStyle name="Normal 27 60" xfId="2244" xr:uid="{FD5E4FC2-8D45-47D6-8DFC-B2B364CADA8B}"/>
    <cellStyle name="Normal 27 61" xfId="2245" xr:uid="{885C982B-063D-420F-84AA-1BEC7C8CF5E0}"/>
    <cellStyle name="Normal 27 62" xfId="2246" xr:uid="{6CB0F3C1-22DC-4276-935A-27FCF85EDB8A}"/>
    <cellStyle name="Normal 27 63" xfId="2247" xr:uid="{AAF65668-7778-4C1A-8638-3F3DBAD432E6}"/>
    <cellStyle name="Normal 27 64" xfId="2248" xr:uid="{426889F6-745D-4679-8505-E3F026D7CE7F}"/>
    <cellStyle name="Normal 27 65" xfId="2249" xr:uid="{C4BE9AD8-EA44-4E5A-93A7-88538CAF8915}"/>
    <cellStyle name="Normal 27 66" xfId="2250" xr:uid="{7935C9A5-DBE7-434F-8017-624722E4DD83}"/>
    <cellStyle name="Normal 27 67" xfId="2251" xr:uid="{B59F25EE-D567-465D-B990-62149FB60CED}"/>
    <cellStyle name="Normal 27 68" xfId="2252" xr:uid="{360EB87C-26A5-4EE8-A60B-CAAFDAA8A5B7}"/>
    <cellStyle name="Normal 27 69" xfId="2253" xr:uid="{7981A68D-C768-499D-A522-29A304F53339}"/>
    <cellStyle name="Normal 27 7" xfId="2254" xr:uid="{74E3665E-380C-439B-A2BD-F8D44B1C57E3}"/>
    <cellStyle name="Normal 27 70" xfId="2255" xr:uid="{AE931A0C-BF42-4DBB-B226-D454A19E1B6D}"/>
    <cellStyle name="Normal 27 71" xfId="2256" xr:uid="{4E8E3515-5A28-424F-89F1-BD09F0E12263}"/>
    <cellStyle name="Normal 27 72" xfId="2257" xr:uid="{D18F038E-5AD0-4897-AB5B-A8D8A55FB606}"/>
    <cellStyle name="Normal 27 73" xfId="2258" xr:uid="{CB7FE33B-E539-416F-8F04-62DD804CEDFB}"/>
    <cellStyle name="Normal 27 74" xfId="2259" xr:uid="{FDFBDBAC-C8DF-4C2A-86A8-71E3076F2083}"/>
    <cellStyle name="Normal 27 75" xfId="2260" xr:uid="{634783C3-81DC-44A2-98D8-B1DC479879F8}"/>
    <cellStyle name="Normal 27 76" xfId="2261" xr:uid="{01E3FABD-64E4-4595-9754-3245AB026455}"/>
    <cellStyle name="Normal 27 77" xfId="2262" xr:uid="{154DD5E1-EBE3-44EC-A7E1-8E6F6F391A9F}"/>
    <cellStyle name="Normal 27 78" xfId="2263" xr:uid="{74AB1A73-6715-417E-8106-E7A9AB0A8910}"/>
    <cellStyle name="Normal 27 79" xfId="2264" xr:uid="{D0D665BD-FED1-4DD8-9E31-3D3574700A3C}"/>
    <cellStyle name="Normal 27 8" xfId="2265" xr:uid="{8D49D14C-9929-446F-BDE7-B61513038645}"/>
    <cellStyle name="Normal 27 80" xfId="2266" xr:uid="{4CC4BBB8-F17A-4B96-8092-A4FA944FACB2}"/>
    <cellStyle name="Normal 27 81" xfId="2267" xr:uid="{672954E4-8D29-4920-915B-6327DE473FA5}"/>
    <cellStyle name="Normal 27 82" xfId="2268" xr:uid="{62C0C87C-1B10-4486-A2B3-CF66BD5A1507}"/>
    <cellStyle name="Normal 27 83" xfId="2269" xr:uid="{C2E4357A-63A0-4E7F-A3E1-9877872EE1FC}"/>
    <cellStyle name="Normal 27 84" xfId="2270" xr:uid="{B3F64307-5C95-480F-AD1E-D1676FA07D21}"/>
    <cellStyle name="Normal 27 85" xfId="2271" xr:uid="{9F8B7625-0729-4481-86F4-8C53EB6C7B7A}"/>
    <cellStyle name="Normal 27 86" xfId="2272" xr:uid="{5DCD9B15-0DF8-438A-BF86-654D6ABA6DCD}"/>
    <cellStyle name="Normal 27 87" xfId="2273" xr:uid="{E203E748-A864-4A3F-A51F-EDE8758906FA}"/>
    <cellStyle name="Normal 27 88" xfId="2274" xr:uid="{86A97301-EA71-4810-B6BD-FC8323E1195B}"/>
    <cellStyle name="Normal 27 89" xfId="2275" xr:uid="{4D23ABEA-53DE-49FA-B357-13AF8E97DA8B}"/>
    <cellStyle name="Normal 27 9" xfId="2276" xr:uid="{208723E7-D431-423B-9A5D-1BEFE1E0923B}"/>
    <cellStyle name="Normal 27 90" xfId="2277" xr:uid="{72AD6250-A0A6-42EF-AD70-9E4B070B421F}"/>
    <cellStyle name="Normal 27 91" xfId="2278" xr:uid="{7EF08EED-CF76-442B-93E7-C86F0E1F70C6}"/>
    <cellStyle name="Normal 27 92" xfId="2279" xr:uid="{2A0647FE-6576-43AF-BB9A-D60E8EB87C90}"/>
    <cellStyle name="Normal 27 93" xfId="2280" xr:uid="{5933A8C1-EF75-4E1D-862A-16FB182CBFD2}"/>
    <cellStyle name="Normal 27 94" xfId="2281" xr:uid="{23B469A3-4ECB-4E38-8ADC-307055F0A37D}"/>
    <cellStyle name="Normal 27 95" xfId="2282" xr:uid="{F635BC86-09CA-48EC-9F47-E06ED64E75B2}"/>
    <cellStyle name="Normal 27 96" xfId="2283" xr:uid="{1A7E9E3C-7FF8-4A8A-BA60-E24EB350763A}"/>
    <cellStyle name="Normal 27 97" xfId="2284" xr:uid="{70178BBD-EA3A-491B-8ACB-9D519CAD6877}"/>
    <cellStyle name="Normal 27 98" xfId="2285" xr:uid="{FD70C9E5-70A8-466E-B73B-9CA32AFC0FF1}"/>
    <cellStyle name="Normal 27 99" xfId="2286" xr:uid="{6CC0EAD8-F5BA-4A74-8EF4-5225E820A0BE}"/>
    <cellStyle name="Normal 28" xfId="2287" xr:uid="{76D5F53A-EE67-45CB-9938-EF7C52A33995}"/>
    <cellStyle name="Normal 28 10" xfId="2288" xr:uid="{9FAA4995-09B4-4428-ADF4-5B71141E9D77}"/>
    <cellStyle name="Normal 28 100" xfId="2289" xr:uid="{62B53307-A10C-4A3F-BAD8-C0859253B066}"/>
    <cellStyle name="Normal 28 101" xfId="2290" xr:uid="{309C493A-8B9F-4508-AF85-15D462F726F4}"/>
    <cellStyle name="Normal 28 102" xfId="2291" xr:uid="{5994FDBE-6C07-4CFB-AAC7-F2C58A52058C}"/>
    <cellStyle name="Normal 28 103" xfId="2292" xr:uid="{97EC3972-13CE-4667-957E-93A8D78484B9}"/>
    <cellStyle name="Normal 28 104" xfId="2293" xr:uid="{DA107225-A401-476B-AAFA-604B89713654}"/>
    <cellStyle name="Normal 28 105" xfId="2294" xr:uid="{4D5258DE-E435-4BAE-800E-FFC3CA010005}"/>
    <cellStyle name="Normal 28 106" xfId="2295" xr:uid="{D9DECEB8-BC36-47A6-888D-AF4F8652465B}"/>
    <cellStyle name="Normal 28 107" xfId="2296" xr:uid="{C2F1ED20-B5F5-457F-A01A-6D47AED24DFD}"/>
    <cellStyle name="Normal 28 108" xfId="2297" xr:uid="{A8D17E51-51E3-4E96-A558-3FB7ED55DAA4}"/>
    <cellStyle name="Normal 28 109" xfId="2298" xr:uid="{F96674E6-42F7-4DC6-A955-885EF9B4FF07}"/>
    <cellStyle name="Normal 28 11" xfId="2299" xr:uid="{48057F3A-745E-4828-BD94-3F442D912E7D}"/>
    <cellStyle name="Normal 28 12" xfId="2300" xr:uid="{CA8899E5-0EA0-48EF-8326-9DCDD6D55505}"/>
    <cellStyle name="Normal 28 13" xfId="2301" xr:uid="{47FD2A33-44F8-4BC2-B5D8-15EA5F8003BA}"/>
    <cellStyle name="Normal 28 14" xfId="2302" xr:uid="{29CEDAE8-85C8-4F86-A67D-A5F87A4E3F28}"/>
    <cellStyle name="Normal 28 15" xfId="2303" xr:uid="{FB94630D-53B7-4335-ACD3-CB6E825F1F88}"/>
    <cellStyle name="Normal 28 16" xfId="2304" xr:uid="{1A48A347-7AF8-4E4F-A504-17CA863EAFD8}"/>
    <cellStyle name="Normal 28 17" xfId="2305" xr:uid="{3A4EB181-8375-4C18-951A-2AC57B567353}"/>
    <cellStyle name="Normal 28 18" xfId="2306" xr:uid="{1CDC1938-9ACA-4751-86BF-67C2250C678E}"/>
    <cellStyle name="Normal 28 19" xfId="2307" xr:uid="{8B36ABD8-0147-4A14-9DF1-CADDA4E5B294}"/>
    <cellStyle name="Normal 28 2" xfId="2308" xr:uid="{EFC1E60C-3C2C-46CC-80CE-93342A63B266}"/>
    <cellStyle name="Normal 28 20" xfId="2309" xr:uid="{DC43073A-1785-44F3-959E-F3D10E50B0EF}"/>
    <cellStyle name="Normal 28 21" xfId="2310" xr:uid="{FACC9170-8817-4374-907D-E2CC9EC2E52C}"/>
    <cellStyle name="Normal 28 22" xfId="2311" xr:uid="{2D8D033B-C772-4AEA-A70A-4F369FAF9F23}"/>
    <cellStyle name="Normal 28 23" xfId="2312" xr:uid="{F498C096-6837-47A6-9269-B25327F895E5}"/>
    <cellStyle name="Normal 28 24" xfId="2313" xr:uid="{A10CD864-A054-4F02-9E5E-D14282FA8C99}"/>
    <cellStyle name="Normal 28 25" xfId="2314" xr:uid="{CEA42ED9-63CF-4BE2-B4C6-30BF74466374}"/>
    <cellStyle name="Normal 28 26" xfId="2315" xr:uid="{191A5974-9338-442F-A761-C3EEB5A1E902}"/>
    <cellStyle name="Normal 28 27" xfId="2316" xr:uid="{F3922AD8-1477-471B-A4B9-B20D10FC7CE8}"/>
    <cellStyle name="Normal 28 28" xfId="2317" xr:uid="{2CF8A35E-EF00-49B1-972E-466782B15330}"/>
    <cellStyle name="Normal 28 29" xfId="2318" xr:uid="{728C7872-4ECC-42A4-85DE-D3CE850DA15F}"/>
    <cellStyle name="Normal 28 3" xfId="2319" xr:uid="{7B75E78F-32C0-45D2-B7A9-4CA7F7FA6BAD}"/>
    <cellStyle name="Normal 28 30" xfId="2320" xr:uid="{B4868828-A6A4-4C2C-8B5B-B3F465BC1548}"/>
    <cellStyle name="Normal 28 31" xfId="2321" xr:uid="{946947A6-4357-4C46-868F-21C162C9D42D}"/>
    <cellStyle name="Normal 28 32" xfId="2322" xr:uid="{8AC062C5-DE4B-42BF-A8CC-8B500E40D98B}"/>
    <cellStyle name="Normal 28 33" xfId="2323" xr:uid="{C4937570-78BC-4809-A8C0-D9D8CE6456D1}"/>
    <cellStyle name="Normal 28 34" xfId="2324" xr:uid="{08191389-5B96-4694-9470-80C06DA11459}"/>
    <cellStyle name="Normal 28 35" xfId="2325" xr:uid="{362FC468-9A68-4730-BAFA-A4CD6B43FDE3}"/>
    <cellStyle name="Normal 28 36" xfId="2326" xr:uid="{A45E9C53-2DF1-4738-84DB-1149DD0DAB45}"/>
    <cellStyle name="Normal 28 37" xfId="2327" xr:uid="{30E6212D-6BC8-4335-A9A9-5D670CD2D5F6}"/>
    <cellStyle name="Normal 28 38" xfId="2328" xr:uid="{8C8D7EE1-26F2-4D02-ACE4-6FE5DC14B5CA}"/>
    <cellStyle name="Normal 28 39" xfId="2329" xr:uid="{E827DF70-D88E-4ED0-B370-747A88378751}"/>
    <cellStyle name="Normal 28 4" xfId="2330" xr:uid="{334E8C43-D7A2-4CFA-AEAE-34D4222C957E}"/>
    <cellStyle name="Normal 28 40" xfId="2331" xr:uid="{2E852412-C110-4CA2-8BB2-EF401529439C}"/>
    <cellStyle name="Normal 28 41" xfId="2332" xr:uid="{022C6E73-D77F-45E3-AE53-38823EA34F9C}"/>
    <cellStyle name="Normal 28 42" xfId="2333" xr:uid="{450748D6-3B1E-4671-A18C-65B3665A8F6B}"/>
    <cellStyle name="Normal 28 43" xfId="2334" xr:uid="{57FC21AD-EE11-4F6E-90C2-58298BA4B57A}"/>
    <cellStyle name="Normal 28 44" xfId="2335" xr:uid="{18782B64-245D-4E81-BB9D-DAA4E2E245DA}"/>
    <cellStyle name="Normal 28 45" xfId="2336" xr:uid="{1EBB4680-3E0B-41EB-82FC-1F8CB778A313}"/>
    <cellStyle name="Normal 28 46" xfId="2337" xr:uid="{D75A31AE-5A3B-4B0F-B183-DE0F9B0168B8}"/>
    <cellStyle name="Normal 28 47" xfId="2338" xr:uid="{B6E8389C-BED3-4C59-B74C-18066E51BB74}"/>
    <cellStyle name="Normal 28 48" xfId="2339" xr:uid="{D0D386CA-8D74-4747-8677-C5938B154F62}"/>
    <cellStyle name="Normal 28 49" xfId="2340" xr:uid="{CFE05B2C-3721-43B4-9D62-A20E148203A6}"/>
    <cellStyle name="Normal 28 5" xfId="2341" xr:uid="{19631F53-910C-448D-BC97-21F073F5D019}"/>
    <cellStyle name="Normal 28 50" xfId="2342" xr:uid="{3C6C38C5-4660-49AE-A288-82561D44BD1C}"/>
    <cellStyle name="Normal 28 51" xfId="2343" xr:uid="{83F6BEB7-BAD0-47E9-AF59-28A863E31C7A}"/>
    <cellStyle name="Normal 28 52" xfId="2344" xr:uid="{A6FCBE15-6561-419B-A997-300DF1ECA83F}"/>
    <cellStyle name="Normal 28 53" xfId="2345" xr:uid="{E11ADCA7-148D-4BF9-A155-7B268E5C4692}"/>
    <cellStyle name="Normal 28 54" xfId="2346" xr:uid="{08392083-F22F-465C-97AA-100A3489E2E0}"/>
    <cellStyle name="Normal 28 55" xfId="2347" xr:uid="{C10D9D68-0E9E-4655-8602-B90B51446CF0}"/>
    <cellStyle name="Normal 28 56" xfId="2348" xr:uid="{B2E6D277-3758-40AE-BF7D-793FF7264EA7}"/>
    <cellStyle name="Normal 28 57" xfId="2349" xr:uid="{45EE3992-E37B-424B-95B6-F237884E5108}"/>
    <cellStyle name="Normal 28 58" xfId="2350" xr:uid="{32DF752A-A165-47E5-8E30-AEA652B4FBBB}"/>
    <cellStyle name="Normal 28 59" xfId="2351" xr:uid="{F3A0AED2-42BB-4C1B-9394-DD6913B12E93}"/>
    <cellStyle name="Normal 28 6" xfId="2352" xr:uid="{5775CE92-EE52-4820-A42B-F14A33564F89}"/>
    <cellStyle name="Normal 28 60" xfId="2353" xr:uid="{53BFA86F-50D3-4CBF-BC11-869048F55DD1}"/>
    <cellStyle name="Normal 28 61" xfId="2354" xr:uid="{8BFD90C4-1CDF-4D35-A75E-7D35F1714D90}"/>
    <cellStyle name="Normal 28 62" xfId="2355" xr:uid="{D0E73FCC-01E6-4D2E-BFF5-8A42E93980D6}"/>
    <cellStyle name="Normal 28 63" xfId="2356" xr:uid="{594EAC8E-D17E-49A1-B949-43D99A1DD652}"/>
    <cellStyle name="Normal 28 64" xfId="2357" xr:uid="{0257E3F1-0E8D-43B9-AC09-65128F4E0FC8}"/>
    <cellStyle name="Normal 28 65" xfId="2358" xr:uid="{D9EE0836-AEF5-4148-BB02-BAD55CF5AB38}"/>
    <cellStyle name="Normal 28 66" xfId="2359" xr:uid="{FE2A3D97-6A70-455A-8667-F74C0B58792C}"/>
    <cellStyle name="Normal 28 67" xfId="2360" xr:uid="{2C672BDC-C4C5-4871-88C3-BEFC0B591CC3}"/>
    <cellStyle name="Normal 28 68" xfId="2361" xr:uid="{601FCC1C-77AD-47C6-B92F-E0C570F91D45}"/>
    <cellStyle name="Normal 28 69" xfId="2362" xr:uid="{5306A825-36B4-4D00-BA34-388A09FF4FB9}"/>
    <cellStyle name="Normal 28 7" xfId="2363" xr:uid="{27987FD9-6C9F-459F-A93D-FD97C2A780F0}"/>
    <cellStyle name="Normal 28 70" xfId="2364" xr:uid="{7B9966A4-DBB8-4C32-87B4-7ACB4BF44D29}"/>
    <cellStyle name="Normal 28 71" xfId="2365" xr:uid="{406845E9-8DB0-4CF8-925E-4C9EC879C35B}"/>
    <cellStyle name="Normal 28 72" xfId="2366" xr:uid="{126CEFC9-53A2-4618-ADC5-8D6D96579869}"/>
    <cellStyle name="Normal 28 73" xfId="2367" xr:uid="{C6699DB4-A3CF-4C74-8DFC-E04927C0E335}"/>
    <cellStyle name="Normal 28 74" xfId="2368" xr:uid="{BB0EA052-DC6A-465A-9380-53D70742F32A}"/>
    <cellStyle name="Normal 28 75" xfId="2369" xr:uid="{474B1E00-37EC-4C44-A122-72C9C9D305C0}"/>
    <cellStyle name="Normal 28 76" xfId="2370" xr:uid="{9DD33C2A-F1EA-48AE-A9E0-7A377B1D1C38}"/>
    <cellStyle name="Normal 28 77" xfId="2371" xr:uid="{089D8E69-6D63-4CED-A817-3986797D87EC}"/>
    <cellStyle name="Normal 28 78" xfId="2372" xr:uid="{4CD6E886-F229-4EA0-BDBE-F31859CB4FA4}"/>
    <cellStyle name="Normal 28 79" xfId="2373" xr:uid="{C340BDFB-6AA1-4F99-9871-90554641F921}"/>
    <cellStyle name="Normal 28 8" xfId="2374" xr:uid="{0AA8B1E5-D1F9-4F81-8712-41451DE40549}"/>
    <cellStyle name="Normal 28 80" xfId="2375" xr:uid="{F3EE86B5-6FFF-42EE-A6EF-AD68E87216DD}"/>
    <cellStyle name="Normal 28 81" xfId="2376" xr:uid="{D3C55DE1-D46B-4444-A8C2-979AEC823F5F}"/>
    <cellStyle name="Normal 28 82" xfId="2377" xr:uid="{F781306F-3F9A-4306-990A-D607B5409A25}"/>
    <cellStyle name="Normal 28 83" xfId="2378" xr:uid="{C3C6C3A7-92CE-4E33-A7EB-5E5FF94C7933}"/>
    <cellStyle name="Normal 28 84" xfId="2379" xr:uid="{224757A2-4DFF-4EFE-9AA1-ADAB439A4B3B}"/>
    <cellStyle name="Normal 28 85" xfId="2380" xr:uid="{C8551120-484D-4E81-A265-DA8642CEF57E}"/>
    <cellStyle name="Normal 28 86" xfId="2381" xr:uid="{9A2FB011-7705-4415-9D6F-B04D3CC60F13}"/>
    <cellStyle name="Normal 28 87" xfId="2382" xr:uid="{DC26C424-4020-42BC-8E09-FC414A055AEC}"/>
    <cellStyle name="Normal 28 88" xfId="2383" xr:uid="{FF8BEFBB-3D26-407D-90DB-9AA75DFA87A3}"/>
    <cellStyle name="Normal 28 89" xfId="2384" xr:uid="{D001FD7D-E49B-456D-97F5-BE5D01B42F45}"/>
    <cellStyle name="Normal 28 9" xfId="2385" xr:uid="{061DF025-A5A1-4CE5-8F30-4FAF26762A06}"/>
    <cellStyle name="Normal 28 90" xfId="2386" xr:uid="{B0A9C66A-3BE1-47DF-A9B9-EBDF63B4D586}"/>
    <cellStyle name="Normal 28 91" xfId="2387" xr:uid="{1787DEB7-27DC-4C51-AD14-C23605D0CC7E}"/>
    <cellStyle name="Normal 28 92" xfId="2388" xr:uid="{C3502825-7578-452D-82D8-4CBCCBDC4067}"/>
    <cellStyle name="Normal 28 93" xfId="2389" xr:uid="{5FA96B55-218E-40B0-BE28-E0C97D7608F4}"/>
    <cellStyle name="Normal 28 94" xfId="2390" xr:uid="{3A2F6293-BEEC-477D-B1F9-02995B84AF74}"/>
    <cellStyle name="Normal 28 95" xfId="2391" xr:uid="{7F4E3F19-A2F2-4F2F-B54F-D198BD1DAA85}"/>
    <cellStyle name="Normal 28 96" xfId="2392" xr:uid="{AE2EC7F4-5AC4-4C0F-8863-AAC58189A327}"/>
    <cellStyle name="Normal 28 97" xfId="2393" xr:uid="{19273A4A-5677-4E30-88EC-08B702069D3E}"/>
    <cellStyle name="Normal 28 98" xfId="2394" xr:uid="{576C6FCD-8BF2-4033-8F42-2F328476919A}"/>
    <cellStyle name="Normal 28 99" xfId="2395" xr:uid="{D3D39018-38DA-437D-A621-827649AAC1E5}"/>
    <cellStyle name="Normal 29" xfId="2396" xr:uid="{8F4B64EF-FBE9-4E1C-9B68-8EB9FC278A4B}"/>
    <cellStyle name="Normal 29 10" xfId="2397" xr:uid="{60DA79FF-28EE-4662-B2CB-B35457F6D02A}"/>
    <cellStyle name="Normal 29 100" xfId="2398" xr:uid="{43B7D6EC-EB08-48FF-8C7A-40E3391604BE}"/>
    <cellStyle name="Normal 29 101" xfId="2399" xr:uid="{9C0E77A3-9FC4-412E-83BA-82FA2054D725}"/>
    <cellStyle name="Normal 29 102" xfId="2400" xr:uid="{5225FDC3-6B9A-4237-8B45-B33D71CC7C07}"/>
    <cellStyle name="Normal 29 103" xfId="2401" xr:uid="{14BCD611-4377-478B-ADDE-ACED1B546779}"/>
    <cellStyle name="Normal 29 104" xfId="2402" xr:uid="{64C31A2A-8C10-4383-A4B9-E3FF92973A21}"/>
    <cellStyle name="Normal 29 105" xfId="2403" xr:uid="{5F654773-5AF9-41CF-839F-D8BBC6F85327}"/>
    <cellStyle name="Normal 29 106" xfId="2404" xr:uid="{F00ED3B1-BDAB-46C3-978E-9F99323E7499}"/>
    <cellStyle name="Normal 29 107" xfId="2405" xr:uid="{261CF9CF-6EFF-42C0-9DEF-A42749C3658D}"/>
    <cellStyle name="Normal 29 108" xfId="2406" xr:uid="{DB52124E-C273-4E62-8F0B-F1BC6AE95711}"/>
    <cellStyle name="Normal 29 109" xfId="2407" xr:uid="{259F6F35-118D-4684-B482-7FE617A0661B}"/>
    <cellStyle name="Normal 29 11" xfId="2408" xr:uid="{9E2C6AF1-230E-483D-B679-8C5DE3AE3CBF}"/>
    <cellStyle name="Normal 29 12" xfId="2409" xr:uid="{880D1CCE-CC51-4A9D-B4FC-9FBE4D66AA50}"/>
    <cellStyle name="Normal 29 13" xfId="2410" xr:uid="{52259C22-3FE5-42E7-9E97-F8A84C8D1D12}"/>
    <cellStyle name="Normal 29 14" xfId="2411" xr:uid="{88416260-7C5B-4A74-9602-9BFA61D3FEA1}"/>
    <cellStyle name="Normal 29 15" xfId="2412" xr:uid="{D66C05DA-B41F-48ED-9BF9-FC19105F4623}"/>
    <cellStyle name="Normal 29 16" xfId="2413" xr:uid="{509C649B-2F22-4DB3-BEE7-8741ECFAA76F}"/>
    <cellStyle name="Normal 29 17" xfId="2414" xr:uid="{B845624F-2A52-4E14-864B-AAFDFF3EF29A}"/>
    <cellStyle name="Normal 29 18" xfId="2415" xr:uid="{46FDEA07-9AA8-4A52-9555-C8360930F11D}"/>
    <cellStyle name="Normal 29 19" xfId="2416" xr:uid="{8EE2A8B6-0EEC-4980-8BE2-810971462CE6}"/>
    <cellStyle name="Normal 29 2" xfId="2417" xr:uid="{7CD8AED2-9A4A-4686-9F13-15E060B2C396}"/>
    <cellStyle name="Normal 29 20" xfId="2418" xr:uid="{4BA78A0D-D00A-4573-AC34-D831D1AB183C}"/>
    <cellStyle name="Normal 29 21" xfId="2419" xr:uid="{5B4CDC91-51FC-4F11-A29B-003E2962B5D1}"/>
    <cellStyle name="Normal 29 22" xfId="2420" xr:uid="{CE6D81F0-1953-4248-B168-8DB000FF2BBC}"/>
    <cellStyle name="Normal 29 23" xfId="2421" xr:uid="{6D0916D8-68A8-4551-A0BE-40B8B969BCC2}"/>
    <cellStyle name="Normal 29 24" xfId="2422" xr:uid="{DD6271B8-D426-4703-9339-DF659DE3726E}"/>
    <cellStyle name="Normal 29 25" xfId="2423" xr:uid="{39A7DCCF-D6BA-4236-8DEF-AD5AE37F32AA}"/>
    <cellStyle name="Normal 29 26" xfId="2424" xr:uid="{8958D60E-BC90-4DBD-9794-E2DE0F8B465C}"/>
    <cellStyle name="Normal 29 27" xfId="2425" xr:uid="{047BECD5-BCC6-4DB8-9150-DFA57C4CCD95}"/>
    <cellStyle name="Normal 29 28" xfId="2426" xr:uid="{17E55E9D-9D31-4D28-8747-E9A8E1988692}"/>
    <cellStyle name="Normal 29 29" xfId="2427" xr:uid="{A86B645C-30C5-470C-B001-D7E1624418EE}"/>
    <cellStyle name="Normal 29 3" xfId="2428" xr:uid="{B5F302F0-1A02-48ED-8B08-31B498E7911A}"/>
    <cellStyle name="Normal 29 30" xfId="2429" xr:uid="{7960FCA7-E2D1-404E-99EA-3A8614979C07}"/>
    <cellStyle name="Normal 29 31" xfId="2430" xr:uid="{657AEB51-9A9B-42C5-A67D-29C3147DBC39}"/>
    <cellStyle name="Normal 29 32" xfId="2431" xr:uid="{EFF1FEE6-AF3C-4CC5-B9AD-7C8F8B1FD69A}"/>
    <cellStyle name="Normal 29 33" xfId="2432" xr:uid="{5AE33C93-163A-4A3F-9518-E4A84FB7C2F3}"/>
    <cellStyle name="Normal 29 34" xfId="2433" xr:uid="{20ABB4C4-0149-4F4E-8E72-C818901A7F79}"/>
    <cellStyle name="Normal 29 35" xfId="2434" xr:uid="{480CAB90-A9B5-4330-B2AB-68DE824917B0}"/>
    <cellStyle name="Normal 29 36" xfId="2435" xr:uid="{FF130281-AFA8-4A48-9FAD-DF18BC4F9B13}"/>
    <cellStyle name="Normal 29 37" xfId="2436" xr:uid="{32A719E3-0D40-44F2-B3D2-EC07EDEA1045}"/>
    <cellStyle name="Normal 29 38" xfId="2437" xr:uid="{34121849-493E-46FD-8DD0-EEC844A389ED}"/>
    <cellStyle name="Normal 29 39" xfId="2438" xr:uid="{AC76EDF9-5B78-462E-85D5-0806033D13B3}"/>
    <cellStyle name="Normal 29 4" xfId="2439" xr:uid="{6BF12AD4-A95C-4B34-A684-A5B67EA2B597}"/>
    <cellStyle name="Normal 29 40" xfId="2440" xr:uid="{33374FD3-BDC0-4C92-BB6F-F7EC7F219F7D}"/>
    <cellStyle name="Normal 29 41" xfId="2441" xr:uid="{6F0F7A3C-78B1-45B9-B3E3-EEE81540B36C}"/>
    <cellStyle name="Normal 29 42" xfId="2442" xr:uid="{78D1A299-794E-4A69-85BE-5DD3656BAB47}"/>
    <cellStyle name="Normal 29 43" xfId="2443" xr:uid="{45504FE1-8BCD-46E3-99E5-ADEDCA48526B}"/>
    <cellStyle name="Normal 29 44" xfId="2444" xr:uid="{B8A6EC17-B217-46CF-A8D5-30EAE4224B12}"/>
    <cellStyle name="Normal 29 45" xfId="2445" xr:uid="{704465DF-4719-4F09-AFB4-385D03767971}"/>
    <cellStyle name="Normal 29 46" xfId="2446" xr:uid="{C995A97D-B06F-4D03-AFD5-EAAA6488B912}"/>
    <cellStyle name="Normal 29 47" xfId="2447" xr:uid="{AA590BFD-9C18-462C-A838-7F1B0700DAD0}"/>
    <cellStyle name="Normal 29 48" xfId="2448" xr:uid="{7DC2D390-24F5-4759-9DED-DCAA35E9B002}"/>
    <cellStyle name="Normal 29 49" xfId="2449" xr:uid="{6A849847-852D-48C8-A01B-E2F09DBD988E}"/>
    <cellStyle name="Normal 29 5" xfId="2450" xr:uid="{C91E66D7-9E2E-4B87-9BCC-D2C9A16F374E}"/>
    <cellStyle name="Normal 29 50" xfId="2451" xr:uid="{3E38BBD7-C268-4220-9346-B594BD1C4DDD}"/>
    <cellStyle name="Normal 29 51" xfId="2452" xr:uid="{369457A1-455B-414C-81C7-0C2D7C0AB672}"/>
    <cellStyle name="Normal 29 52" xfId="2453" xr:uid="{7A5AEA43-786D-44CB-BD28-7E1CA93313A1}"/>
    <cellStyle name="Normal 29 53" xfId="2454" xr:uid="{C9184263-2A0B-437A-9B2A-C6EA39542055}"/>
    <cellStyle name="Normal 29 54" xfId="2455" xr:uid="{C8F72933-FE60-425E-ACFA-BA1E47124B89}"/>
    <cellStyle name="Normal 29 55" xfId="2456" xr:uid="{96C2DECC-702D-4092-8723-D0FFEC8BE017}"/>
    <cellStyle name="Normal 29 56" xfId="2457" xr:uid="{B72DF47E-F2F6-470F-9ED2-F05AF652AE79}"/>
    <cellStyle name="Normal 29 57" xfId="2458" xr:uid="{C31FC8E1-61D1-4836-8F23-037D703F1221}"/>
    <cellStyle name="Normal 29 58" xfId="2459" xr:uid="{95112594-26BC-450F-89D0-AAECCDB8CDAF}"/>
    <cellStyle name="Normal 29 59" xfId="2460" xr:uid="{7AE852C7-99BD-4228-81BB-09D3B10C5302}"/>
    <cellStyle name="Normal 29 6" xfId="2461" xr:uid="{1EC4DCC7-F46E-40B9-BE26-34DB9679AB6F}"/>
    <cellStyle name="Normal 29 60" xfId="2462" xr:uid="{7931F656-E9D7-44D1-8E01-D0E319E16853}"/>
    <cellStyle name="Normal 29 61" xfId="2463" xr:uid="{B391B5CB-6E64-426E-8875-68873AA42A3F}"/>
    <cellStyle name="Normal 29 62" xfId="2464" xr:uid="{6A0811F2-92DB-41A8-9A1A-C51A3F9D0618}"/>
    <cellStyle name="Normal 29 63" xfId="2465" xr:uid="{6F5EE3AF-1DC5-4342-A3E2-36C91770DE0D}"/>
    <cellStyle name="Normal 29 64" xfId="2466" xr:uid="{5A8C85AA-9842-46B3-8789-4D796F16F9EC}"/>
    <cellStyle name="Normal 29 65" xfId="2467" xr:uid="{DCA27997-7212-4F50-BD7B-E3D570F1F332}"/>
    <cellStyle name="Normal 29 66" xfId="2468" xr:uid="{A570479D-19F7-497D-A688-8A16BAAB6C58}"/>
    <cellStyle name="Normal 29 67" xfId="2469" xr:uid="{8F76E3EB-7972-4B64-A265-B1953B0D0A23}"/>
    <cellStyle name="Normal 29 68" xfId="2470" xr:uid="{8EA99D7F-0559-4215-8680-84F7C42F9BAB}"/>
    <cellStyle name="Normal 29 69" xfId="2471" xr:uid="{A7A0B9D4-F255-4704-AAEE-E34F21CBC537}"/>
    <cellStyle name="Normal 29 7" xfId="2472" xr:uid="{497E88C4-FF7D-4AE1-B4C2-617D6D9671D5}"/>
    <cellStyle name="Normal 29 70" xfId="2473" xr:uid="{F56DA392-B439-4356-9798-4557A1AAD1CB}"/>
    <cellStyle name="Normal 29 71" xfId="2474" xr:uid="{1DFF3590-AE4D-499C-ABF1-13AD409C1129}"/>
    <cellStyle name="Normal 29 72" xfId="2475" xr:uid="{64D08157-B770-40B6-A1AF-3206B467287E}"/>
    <cellStyle name="Normal 29 73" xfId="2476" xr:uid="{04344F46-4D4E-4AD1-9EA7-C6D5EB3A6B89}"/>
    <cellStyle name="Normal 29 74" xfId="2477" xr:uid="{61250087-9495-44AC-9354-0566482EEC76}"/>
    <cellStyle name="Normal 29 75" xfId="2478" xr:uid="{29B08073-0EB2-41D7-A7C4-45E782F02FB5}"/>
    <cellStyle name="Normal 29 76" xfId="2479" xr:uid="{7C9DD171-A7A4-41FF-AC5E-2417499F5263}"/>
    <cellStyle name="Normal 29 77" xfId="2480" xr:uid="{8D45CB97-D225-4938-9882-983FC5BFBC11}"/>
    <cellStyle name="Normal 29 78" xfId="2481" xr:uid="{B1E3EAEE-F37A-46F4-B623-F141A0D6D614}"/>
    <cellStyle name="Normal 29 79" xfId="2482" xr:uid="{4A8FF96D-1E62-4C0F-AA90-B4FF6F4970C9}"/>
    <cellStyle name="Normal 29 8" xfId="2483" xr:uid="{F0D7C20A-D926-4B50-BE63-DD67CAFE41BD}"/>
    <cellStyle name="Normal 29 80" xfId="2484" xr:uid="{B847B1EB-DD4A-4AFD-BCE7-BB71F46D76E7}"/>
    <cellStyle name="Normal 29 81" xfId="2485" xr:uid="{35E06C05-ADDF-4A85-BFD6-7057029A18EE}"/>
    <cellStyle name="Normal 29 82" xfId="2486" xr:uid="{14DA51BF-C413-41A3-8480-86C3C2E7B02B}"/>
    <cellStyle name="Normal 29 83" xfId="2487" xr:uid="{D9679496-543B-477A-88D2-814DA08280EF}"/>
    <cellStyle name="Normal 29 84" xfId="2488" xr:uid="{8193B717-BC37-471C-A84D-C18391D508E2}"/>
    <cellStyle name="Normal 29 85" xfId="2489" xr:uid="{9BE22BE4-E2B4-470F-A394-0B48C4661F03}"/>
    <cellStyle name="Normal 29 86" xfId="2490" xr:uid="{63D8FD2F-57AF-4F4E-BAE2-6A08EBDFAF4D}"/>
    <cellStyle name="Normal 29 87" xfId="2491" xr:uid="{F3A0FA7B-4C7B-4EE4-A196-90B6B2CB1F9C}"/>
    <cellStyle name="Normal 29 88" xfId="2492" xr:uid="{ED2B81F7-908E-4C43-A329-B6A7FDC3F0BA}"/>
    <cellStyle name="Normal 29 89" xfId="2493" xr:uid="{A28849ED-8B69-431E-967E-57228835A75E}"/>
    <cellStyle name="Normal 29 9" xfId="2494" xr:uid="{1316AC65-7420-4649-AADF-389EF07A46C7}"/>
    <cellStyle name="Normal 29 90" xfId="2495" xr:uid="{5C75D290-BBFD-442E-8578-358555349903}"/>
    <cellStyle name="Normal 29 91" xfId="2496" xr:uid="{F5E41DEF-D29A-4FE5-AC6F-9E3A3647B94E}"/>
    <cellStyle name="Normal 29 92" xfId="2497" xr:uid="{C6970AB5-21E1-4BE0-82FA-F5429766373C}"/>
    <cellStyle name="Normal 29 93" xfId="2498" xr:uid="{32654D26-C37A-432D-94BE-8DC10AF7071C}"/>
    <cellStyle name="Normal 29 94" xfId="2499" xr:uid="{DD3C311F-6449-4A36-98A1-E4013D93C07B}"/>
    <cellStyle name="Normal 29 95" xfId="2500" xr:uid="{CA351033-C788-450B-A862-20FFBC41D447}"/>
    <cellStyle name="Normal 29 96" xfId="2501" xr:uid="{651F3604-F2E2-42C4-B061-AC1295B7FD1E}"/>
    <cellStyle name="Normal 29 97" xfId="2502" xr:uid="{17368AAD-F746-4EC8-87A0-8C082C9E6B93}"/>
    <cellStyle name="Normal 29 98" xfId="2503" xr:uid="{4516BFD2-CA56-4DC3-857F-42132AEF3214}"/>
    <cellStyle name="Normal 29 99" xfId="2504" xr:uid="{8E5DFD4C-6EB2-4B0B-81B3-40F49048388E}"/>
    <cellStyle name="Normal 3" xfId="14" xr:uid="{A9DCB5AA-6FB1-445A-B863-1392C48B4F18}"/>
    <cellStyle name="Normal-- 3" xfId="3971" xr:uid="{25D5A35A-A65B-4D58-84AD-CEA0A662D026}"/>
    <cellStyle name="Normal 3 10" xfId="2505" xr:uid="{4283D120-9FF9-450F-B95F-7AE32D0D6654}"/>
    <cellStyle name="Normal 3 11" xfId="2506" xr:uid="{AA982226-5A38-4929-AA2E-12460A924261}"/>
    <cellStyle name="Normal 3 12" xfId="2507" xr:uid="{2E926D90-77C2-40BC-B5A2-2A4B71A55A02}"/>
    <cellStyle name="Normal 3 13" xfId="2508" xr:uid="{E578987B-5E91-40D5-89C2-BBF0F599A38E}"/>
    <cellStyle name="Normal 3 14" xfId="2509" xr:uid="{DBC08E8E-7FA1-4004-A87B-9E11C4ACB3E4}"/>
    <cellStyle name="Normal 3 15" xfId="2510" xr:uid="{856072CA-1743-4564-BEFA-5CFF70410AC2}"/>
    <cellStyle name="Normal 3 16" xfId="2511" xr:uid="{0F725113-93E5-445C-8A72-5198F6640DD0}"/>
    <cellStyle name="Normal 3 17" xfId="2512" xr:uid="{85EABF3C-5346-4440-BF81-5E5323362021}"/>
    <cellStyle name="Normal 3 18" xfId="2513" xr:uid="{10D369B2-0D03-4437-BFBE-E81D57BDFEF5}"/>
    <cellStyle name="Normal 3 19" xfId="2514" xr:uid="{1205CBE3-3371-4AE9-9A2D-23CC68B567A8}"/>
    <cellStyle name="Normal 3 2" xfId="59" xr:uid="{4D7E6590-8F96-467E-8CBB-58247D3C27B7}"/>
    <cellStyle name="Normal 3 2 2" xfId="2515" xr:uid="{0CD357BC-1CAA-4A67-8634-6B38015DE0C1}"/>
    <cellStyle name="Normal 3 2 2 2" xfId="2516" xr:uid="{649F7A55-387B-43E9-96A8-1BA664050006}"/>
    <cellStyle name="Normal 3 2 3" xfId="2517" xr:uid="{27F30E64-837C-41C3-9CEB-96851817AA72}"/>
    <cellStyle name="Normal 3 2 4" xfId="2518" xr:uid="{C02EC2CC-5054-4FA3-9358-8746D1B8204B}"/>
    <cellStyle name="Normal 3 20" xfId="2519" xr:uid="{F91DF566-E99A-46DC-B456-F1EEEF60D3FB}"/>
    <cellStyle name="Normal 3 21" xfId="2520" xr:uid="{0E75AF15-2EAE-4191-8ABB-BAD20043EFB8}"/>
    <cellStyle name="Normal 3 22" xfId="2521" xr:uid="{76C1342C-1C0B-4812-ADD3-91288E789BF3}"/>
    <cellStyle name="Normal 3 22 2" xfId="2522" xr:uid="{8ECA74E4-7C20-429D-9A02-1B16C608530E}"/>
    <cellStyle name="Normal 3 22 2 2" xfId="2523" xr:uid="{19F096EC-2383-4097-B891-A967E7E91FF0}"/>
    <cellStyle name="Normal 3 22 2 2 2" xfId="2524" xr:uid="{820DF506-8071-4D25-9662-A40919893E6B}"/>
    <cellStyle name="Normal 3 22 2 3" xfId="2525" xr:uid="{3540A766-66F5-431E-A8A5-3BD604208A92}"/>
    <cellStyle name="Normal 3 22 3" xfId="2526" xr:uid="{ACE5B86A-79AB-48A9-B81B-64BF3FCCC79C}"/>
    <cellStyle name="Normal 3 22 3 2" xfId="2527" xr:uid="{FF42872F-E519-4DC0-A742-8569C7DEC28F}"/>
    <cellStyle name="Normal 3 22 4" xfId="2528" xr:uid="{CBDBEF55-9893-4276-B008-AEB6316D66FB}"/>
    <cellStyle name="Normal 3 23" xfId="2529" xr:uid="{25826586-685E-44D8-9734-A5FFBD790F9C}"/>
    <cellStyle name="Normal 3 24" xfId="2530" xr:uid="{70F8E003-BC30-45DD-B06B-F862D0E2B5A4}"/>
    <cellStyle name="Normal 3 24 2" xfId="2531" xr:uid="{24D70A31-A832-4DC9-A724-3A6551FC9AD7}"/>
    <cellStyle name="Normal 3 24 2 2" xfId="2532" xr:uid="{6A922B83-6A47-4CB2-A541-883DD4AA7A17}"/>
    <cellStyle name="Normal 3 24 3" xfId="2533" xr:uid="{2FEA1E31-1111-4CD1-80CA-C75358F05A6B}"/>
    <cellStyle name="Normal 3 25" xfId="2534" xr:uid="{E62C2956-EFB9-4CD6-9F3F-4AF5E4C07D05}"/>
    <cellStyle name="Normal 3 26" xfId="2535" xr:uid="{2B0D1B49-056A-4D6A-ACB2-E9608DA25C28}"/>
    <cellStyle name="Normal 3 27" xfId="2536" xr:uid="{9A47CA6A-437E-4C0F-80D0-4EC4E318C5BD}"/>
    <cellStyle name="Normal 3 28" xfId="2537" xr:uid="{04B1A933-877E-477A-8A6A-E59C3434169F}"/>
    <cellStyle name="Normal 3 29" xfId="2538" xr:uid="{A1FFD6FA-DCBB-491B-941D-3606E57981DA}"/>
    <cellStyle name="Normal 3 3" xfId="2539" xr:uid="{DA795785-DBB4-404F-8521-A0747CF56251}"/>
    <cellStyle name="Normal 3 3 2" xfId="2540" xr:uid="{8058F203-D49B-4ECC-B934-30E178E33477}"/>
    <cellStyle name="Normal 3 3 3" xfId="2541" xr:uid="{CEA09E7C-7A75-429D-812B-C9B8ADDF5002}"/>
    <cellStyle name="Normal 3 3 4" xfId="2542" xr:uid="{3D551FE0-A90A-4D83-A413-6497384DFA6B}"/>
    <cellStyle name="Normal 3 30" xfId="2543" xr:uid="{10152408-336A-40FA-A060-464C69CAAFE5}"/>
    <cellStyle name="Normal 3 31" xfId="2544" xr:uid="{9693A81F-6663-4C80-B641-4686A9301DDF}"/>
    <cellStyle name="Normal 3 32" xfId="2545" xr:uid="{B38D80C9-4673-45B2-9019-38DD6E6CDF13}"/>
    <cellStyle name="Normal 3 33" xfId="2546" xr:uid="{4DC2A9BC-C4F4-4356-B3FA-229FE4072AEE}"/>
    <cellStyle name="Normal 3 34" xfId="2547" xr:uid="{9166A0EC-EDBF-4F42-B149-F514057A1AF3}"/>
    <cellStyle name="Normal 3 35" xfId="2548" xr:uid="{B1E55D03-EE4D-4CD9-AE38-D7E79977BEEE}"/>
    <cellStyle name="Normal 3 36" xfId="2549" xr:uid="{B16BCB41-80A1-4388-A5EA-CB29FD2CEB69}"/>
    <cellStyle name="Normal 3 37" xfId="2550" xr:uid="{E505D129-E5CB-43F2-9242-30525A7F55A7}"/>
    <cellStyle name="Normal 3 38" xfId="2551" xr:uid="{CD0F1ECE-AF7A-4F17-A945-09A7CE3721BD}"/>
    <cellStyle name="Normal 3 39" xfId="2552" xr:uid="{C3DBF47D-B42B-488A-BA00-4AA5C6A88642}"/>
    <cellStyle name="Normal 3 39 2" xfId="2553" xr:uid="{4EAA47BF-6A07-44C8-BAF2-75856E461FBB}"/>
    <cellStyle name="Normal 3 4" xfId="2554" xr:uid="{15CC0905-367B-480E-8871-11627F7C8AFF}"/>
    <cellStyle name="Normal 3 4 2" xfId="2555" xr:uid="{4E7276D1-1894-4839-956C-7571F5FCDDA3}"/>
    <cellStyle name="Normal 3 4 3" xfId="2556" xr:uid="{CE06774A-52F3-4F94-AA98-C790573FD6B9}"/>
    <cellStyle name="Normal 3 40" xfId="2557" xr:uid="{C62BD8E2-3EC1-4B6B-98D6-82E0D841C9A8}"/>
    <cellStyle name="Normal 3 41" xfId="2558" xr:uid="{90190CAA-C481-4659-8FA8-E843E29C0889}"/>
    <cellStyle name="Normal 3 42" xfId="2559" xr:uid="{E20C826D-8099-4C24-A46E-EBB1FBF6F58D}"/>
    <cellStyle name="Normal 3 43" xfId="2560" xr:uid="{F90A1B4A-5B51-4F69-9A37-FBA9D128F087}"/>
    <cellStyle name="Normal 3 44" xfId="2561" xr:uid="{B9C07F8C-9D2E-45BE-ABCE-5B7BDD147188}"/>
    <cellStyle name="Normal 3 45" xfId="2562" xr:uid="{44669CB0-939C-44AB-9F44-50413CDF164E}"/>
    <cellStyle name="Normal 3 46" xfId="2563" xr:uid="{B6F0DD08-A34A-45D5-A2C2-1069192FF792}"/>
    <cellStyle name="Normal 3 47" xfId="2564" xr:uid="{C9C6920A-EC57-42C9-B812-08CC01F811F3}"/>
    <cellStyle name="Normal 3 48" xfId="2565" xr:uid="{34E17B27-1CDB-4308-AA85-963853387764}"/>
    <cellStyle name="Normal 3 49" xfId="2566" xr:uid="{0DFE2EE5-CD72-4428-9C39-CE4A808C6E99}"/>
    <cellStyle name="Normal 3 5" xfId="2567" xr:uid="{AC2CD713-7E4E-4E49-ADD3-63B56F24E1E5}"/>
    <cellStyle name="Normal 3 5 2" xfId="2568" xr:uid="{60267A3C-44A4-4459-AD47-AED07B7D38F8}"/>
    <cellStyle name="Normal 3 50" xfId="2569" xr:uid="{D7E8B74E-06C6-475F-9F03-3B4FEF98DFC8}"/>
    <cellStyle name="Normal 3 51" xfId="2570" xr:uid="{0DEC2439-2CA6-4A88-A10E-74A673A9AC91}"/>
    <cellStyle name="Normal 3 52" xfId="2571" xr:uid="{42F22BD5-FD29-484C-8CC3-62C6F8E5CA8F}"/>
    <cellStyle name="Normal 3 53" xfId="2572" xr:uid="{55115EC1-DEF9-4CC0-BCB6-038FDF7BF2FE}"/>
    <cellStyle name="Normal 3 6" xfId="2573" xr:uid="{3CC7B9BE-13A0-4176-8F5E-3C8D0F5D6CEF}"/>
    <cellStyle name="Normal 3 7" xfId="2574" xr:uid="{CF098E64-0915-4D3E-A20C-4277EEAEAA06}"/>
    <cellStyle name="Normal 3 8" xfId="2575" xr:uid="{2778C2F0-B1A8-43FD-817F-0A29AF9F5AD0}"/>
    <cellStyle name="Normal 3 9" xfId="2576" xr:uid="{49AFFE8C-7E27-4A09-8DD0-06C56E7C260D}"/>
    <cellStyle name="Normal 30" xfId="2577" xr:uid="{1CC2FA74-4518-4016-ACD8-1B7FE3DEB643}"/>
    <cellStyle name="Normal 30 10" xfId="2578" xr:uid="{AA0F89ED-6632-496F-9915-69B9BAEEA694}"/>
    <cellStyle name="Normal 30 100" xfId="2579" xr:uid="{AF1DEB12-B776-48F9-AA9A-115097E49EEF}"/>
    <cellStyle name="Normal 30 101" xfId="2580" xr:uid="{72696D75-46DC-4335-A259-0C5515006BA6}"/>
    <cellStyle name="Normal 30 102" xfId="2581" xr:uid="{16C36E38-7698-4946-879C-D04DCEF7E850}"/>
    <cellStyle name="Normal 30 103" xfId="2582" xr:uid="{C64F9EDE-1897-4629-AF6B-22C48F58D870}"/>
    <cellStyle name="Normal 30 104" xfId="2583" xr:uid="{4999BDFD-8F00-4266-86EA-E22E72EFC765}"/>
    <cellStyle name="Normal 30 105" xfId="2584" xr:uid="{9C964C05-DF2B-4FC7-A5DD-42B023D9795F}"/>
    <cellStyle name="Normal 30 106" xfId="2585" xr:uid="{9D15BE0A-DA07-4D0B-9E90-B97D5E6D1951}"/>
    <cellStyle name="Normal 30 107" xfId="2586" xr:uid="{55616377-D078-49A3-86DB-E2973B197ADB}"/>
    <cellStyle name="Normal 30 108" xfId="2587" xr:uid="{47960AE9-A56A-4D56-B883-228C5E09A1C7}"/>
    <cellStyle name="Normal 30 109" xfId="2588" xr:uid="{AC316AC2-EC4E-48FA-ADA4-D9736BDDB305}"/>
    <cellStyle name="Normal 30 11" xfId="2589" xr:uid="{D73A81F7-EB7F-432F-8902-B8F8150B481C}"/>
    <cellStyle name="Normal 30 12" xfId="2590" xr:uid="{FE73D61C-D81D-44AF-B938-B38BA5E6092F}"/>
    <cellStyle name="Normal 30 13" xfId="2591" xr:uid="{BCB6C6E3-03C8-4D2B-A206-D66EEF4CD075}"/>
    <cellStyle name="Normal 30 14" xfId="2592" xr:uid="{1A9E539D-FB5D-4449-AB8E-F2AAFE02C7B8}"/>
    <cellStyle name="Normal 30 15" xfId="2593" xr:uid="{D1596A5D-1FD7-47DE-BB86-80F3DF488CD2}"/>
    <cellStyle name="Normal 30 16" xfId="2594" xr:uid="{DC87B814-7AE0-4E94-9695-97323F0A3514}"/>
    <cellStyle name="Normal 30 17" xfId="2595" xr:uid="{F3807571-8979-4E55-B11B-41F654D7DEF1}"/>
    <cellStyle name="Normal 30 18" xfId="2596" xr:uid="{F0C197D6-E6F7-4543-B653-ABF5FF8568DA}"/>
    <cellStyle name="Normal 30 19" xfId="2597" xr:uid="{BA6C8804-9CF1-4F7E-AE6B-FF14972B85C7}"/>
    <cellStyle name="Normal 30 2" xfId="2598" xr:uid="{943B790E-9284-4996-8389-5554D4522C2D}"/>
    <cellStyle name="Normal 30 20" xfId="2599" xr:uid="{F33EF82A-F92A-45AB-BEC3-40E0E06CFEC9}"/>
    <cellStyle name="Normal 30 21" xfId="2600" xr:uid="{122B7A35-DF69-4826-B857-414D0895DD82}"/>
    <cellStyle name="Normal 30 22" xfId="2601" xr:uid="{1B6B03DC-834A-4BD8-ABBE-A476C383A351}"/>
    <cellStyle name="Normal 30 23" xfId="2602" xr:uid="{FD7EADFF-353B-40C2-9547-2833CE6A5AC4}"/>
    <cellStyle name="Normal 30 24" xfId="2603" xr:uid="{B07B1FD0-6099-4070-96A9-B72DBA4F79C3}"/>
    <cellStyle name="Normal 30 25" xfId="2604" xr:uid="{45310F8F-E137-4E52-9D8D-207A7862A56E}"/>
    <cellStyle name="Normal 30 26" xfId="2605" xr:uid="{538468C8-05CA-4AC6-9949-F16BB01D54DD}"/>
    <cellStyle name="Normal 30 27" xfId="2606" xr:uid="{D239A039-FA07-41E9-AFA6-AAA61F3B8AAC}"/>
    <cellStyle name="Normal 30 28" xfId="2607" xr:uid="{BEEBBB12-0C1B-4F4A-A239-A9E13B49BFD0}"/>
    <cellStyle name="Normal 30 29" xfId="2608" xr:uid="{E1A5DD8E-2DF5-4064-9FDB-B8C73549248E}"/>
    <cellStyle name="Normal 30 3" xfId="2609" xr:uid="{AFD32EEF-121A-4D6A-BB2D-838EAC3E9610}"/>
    <cellStyle name="Normal 30 30" xfId="2610" xr:uid="{587275DE-E77C-4492-BD26-610FA3CE58F5}"/>
    <cellStyle name="Normal 30 31" xfId="2611" xr:uid="{32B11690-ED89-4F93-8440-FFB3ED7F5C3E}"/>
    <cellStyle name="Normal 30 32" xfId="2612" xr:uid="{9288142B-97E5-4433-84DC-C1E2DF6A0BEC}"/>
    <cellStyle name="Normal 30 33" xfId="2613" xr:uid="{D573F74B-F0DD-4C18-B0D2-CB75E702F77E}"/>
    <cellStyle name="Normal 30 34" xfId="2614" xr:uid="{58DC1514-D9F0-4BDA-9550-B4EE5F7BC5DA}"/>
    <cellStyle name="Normal 30 35" xfId="2615" xr:uid="{0DA51232-626C-4F88-84E8-CC3C463826E4}"/>
    <cellStyle name="Normal 30 36" xfId="2616" xr:uid="{9DC7EA23-E82F-41FC-890B-EE44DB7F238C}"/>
    <cellStyle name="Normal 30 37" xfId="2617" xr:uid="{9548B0C7-BBF6-49D1-8B4F-D7BE13A28091}"/>
    <cellStyle name="Normal 30 38" xfId="2618" xr:uid="{840EE546-418B-4EC8-A4C9-C43DCD679139}"/>
    <cellStyle name="Normal 30 39" xfId="2619" xr:uid="{6588B299-6C3D-4720-9DD4-39E971939975}"/>
    <cellStyle name="Normal 30 4" xfId="2620" xr:uid="{BF332959-7341-44E5-88A0-7984DC6C15BF}"/>
    <cellStyle name="Normal 30 40" xfId="2621" xr:uid="{32C27175-6833-47D0-A2FE-C180729D9EB4}"/>
    <cellStyle name="Normal 30 41" xfId="2622" xr:uid="{D7734F11-8CBD-409D-8630-ABD02AD13848}"/>
    <cellStyle name="Normal 30 42" xfId="2623" xr:uid="{A2A92398-FF4C-45A0-AA9E-950C5E4D3B24}"/>
    <cellStyle name="Normal 30 43" xfId="2624" xr:uid="{67CBA803-5C9D-4D3E-B0BD-692345168F48}"/>
    <cellStyle name="Normal 30 44" xfId="2625" xr:uid="{AE978CB4-2C34-4F86-A42E-D05004BEDFD4}"/>
    <cellStyle name="Normal 30 45" xfId="2626" xr:uid="{E03101D7-8838-4FF7-9120-D98FD5587009}"/>
    <cellStyle name="Normal 30 46" xfId="2627" xr:uid="{844CBBC3-0003-426C-8337-1D12635BCA2A}"/>
    <cellStyle name="Normal 30 47" xfId="2628" xr:uid="{E221CB1F-F689-4874-BA9E-D4956A4C037A}"/>
    <cellStyle name="Normal 30 48" xfId="2629" xr:uid="{44DA5C53-FF33-4CC2-BAAA-773F9B8C7C8D}"/>
    <cellStyle name="Normal 30 49" xfId="2630" xr:uid="{F09A1453-C37A-4A24-BD00-EF3B696D74E4}"/>
    <cellStyle name="Normal 30 5" xfId="2631" xr:uid="{B142FF58-CB22-4A62-9DD2-6CC17129EA8E}"/>
    <cellStyle name="Normal 30 50" xfId="2632" xr:uid="{5CA06ACC-BB1C-4E68-880F-0D8EE5441A11}"/>
    <cellStyle name="Normal 30 51" xfId="2633" xr:uid="{5786A0AB-39DC-4A8D-8384-7F70575D98AE}"/>
    <cellStyle name="Normal 30 52" xfId="2634" xr:uid="{6F0B956B-AD7C-41B4-8094-893910304AF3}"/>
    <cellStyle name="Normal 30 53" xfId="2635" xr:uid="{12AAC558-2473-4324-B7BA-88500B2E84E5}"/>
    <cellStyle name="Normal 30 54" xfId="2636" xr:uid="{55D6ED3A-3BB0-455E-8FEE-967B34A1352D}"/>
    <cellStyle name="Normal 30 55" xfId="2637" xr:uid="{5EBDCCE1-F58C-429E-AC0B-672B3C3B1139}"/>
    <cellStyle name="Normal 30 56" xfId="2638" xr:uid="{F652FD72-0DBA-45D3-AFA1-BF608A34263C}"/>
    <cellStyle name="Normal 30 57" xfId="2639" xr:uid="{4528B9ED-7B42-4717-B90C-A5A13D67B35C}"/>
    <cellStyle name="Normal 30 58" xfId="2640" xr:uid="{4E9B49FE-D26F-44C3-B40E-DE8FFE90D34A}"/>
    <cellStyle name="Normal 30 59" xfId="2641" xr:uid="{73A84F04-6C03-4BF1-9169-F6507422AEB9}"/>
    <cellStyle name="Normal 30 6" xfId="2642" xr:uid="{4A9D7F26-550D-48D5-B605-0E4C2CFCE50F}"/>
    <cellStyle name="Normal 30 60" xfId="2643" xr:uid="{02CF3DC8-0A3B-4315-B627-68DB6BB509BB}"/>
    <cellStyle name="Normal 30 61" xfId="2644" xr:uid="{52ADE87C-5A6F-4028-BE6D-5CE303CFE10D}"/>
    <cellStyle name="Normal 30 62" xfId="2645" xr:uid="{DF6E8931-B347-4D2A-8EE9-065A6CBA0C4D}"/>
    <cellStyle name="Normal 30 63" xfId="2646" xr:uid="{CDF67DD0-1399-4A8A-B868-05DFD1DE01A0}"/>
    <cellStyle name="Normal 30 64" xfId="2647" xr:uid="{B71F37E2-1AFC-4A8F-9C29-743EEE1752B5}"/>
    <cellStyle name="Normal 30 65" xfId="2648" xr:uid="{FDC7978E-97F1-4589-B982-1CAE41002747}"/>
    <cellStyle name="Normal 30 66" xfId="2649" xr:uid="{98B05D81-785E-4B2E-A600-8EBEFE5901D9}"/>
    <cellStyle name="Normal 30 67" xfId="2650" xr:uid="{0EBF59D1-1F78-44E6-A45B-AB0E9EF1039E}"/>
    <cellStyle name="Normal 30 68" xfId="2651" xr:uid="{EF53BB25-1F7A-438D-A5D5-3D86A10B018F}"/>
    <cellStyle name="Normal 30 69" xfId="2652" xr:uid="{B18D466D-5041-4DC6-9158-D9BB597F794C}"/>
    <cellStyle name="Normal 30 7" xfId="2653" xr:uid="{44295AED-377A-4FBA-A9E7-E8198815EF1A}"/>
    <cellStyle name="Normal 30 70" xfId="2654" xr:uid="{26F4B295-CAF8-4315-A30E-1DFCA31CF466}"/>
    <cellStyle name="Normal 30 71" xfId="2655" xr:uid="{56497CED-3D23-4D38-8A93-60C86BB3F139}"/>
    <cellStyle name="Normal 30 72" xfId="2656" xr:uid="{90E6F99E-1CD5-4F87-A458-4E4C2A0C234D}"/>
    <cellStyle name="Normal 30 73" xfId="2657" xr:uid="{17DC6D3F-B67A-4629-AFB5-045C28626DAD}"/>
    <cellStyle name="Normal 30 74" xfId="2658" xr:uid="{FA4581EF-457A-4F21-A29C-2A197022C0B7}"/>
    <cellStyle name="Normal 30 75" xfId="2659" xr:uid="{35CBC03D-A4B0-4FA9-A91E-CF5541ADBE5E}"/>
    <cellStyle name="Normal 30 76" xfId="2660" xr:uid="{ECD62DE6-AEE8-4CE1-9284-1EC7201364A1}"/>
    <cellStyle name="Normal 30 77" xfId="2661" xr:uid="{2561BA07-5CE6-4185-BB02-C78B5ADD68BA}"/>
    <cellStyle name="Normal 30 78" xfId="2662" xr:uid="{2C61D1D0-95AA-403A-A157-606ABFAE5BB6}"/>
    <cellStyle name="Normal 30 79" xfId="2663" xr:uid="{9E301F05-56B7-4399-920A-B3C05DF6FCA1}"/>
    <cellStyle name="Normal 30 8" xfId="2664" xr:uid="{5A63C117-D1F8-48D3-9962-D3568AD5202E}"/>
    <cellStyle name="Normal 30 80" xfId="2665" xr:uid="{592EE7CA-B8C9-40D5-ABFE-12B21C10F618}"/>
    <cellStyle name="Normal 30 81" xfId="2666" xr:uid="{C0F0162C-C3CB-4A02-97A5-D295C032979A}"/>
    <cellStyle name="Normal 30 82" xfId="2667" xr:uid="{D103C864-D386-47B4-A7FC-DC6630D59252}"/>
    <cellStyle name="Normal 30 83" xfId="2668" xr:uid="{D21A1AEB-19AD-48C5-9270-CBEDF2C6A6FD}"/>
    <cellStyle name="Normal 30 84" xfId="2669" xr:uid="{3A4CABA6-226F-47E0-A523-4DA1745C5595}"/>
    <cellStyle name="Normal 30 85" xfId="2670" xr:uid="{23C5F110-ED9E-407C-B3C7-BDABF9059BC6}"/>
    <cellStyle name="Normal 30 86" xfId="2671" xr:uid="{B2A7BB20-105A-495F-A034-1607D01748A1}"/>
    <cellStyle name="Normal 30 87" xfId="2672" xr:uid="{F09C885D-04D2-4B35-9D90-B2D77C0EBA46}"/>
    <cellStyle name="Normal 30 88" xfId="2673" xr:uid="{E498E44E-19B6-442B-AEFE-AB0471A908D3}"/>
    <cellStyle name="Normal 30 89" xfId="2674" xr:uid="{51C196CF-AF8B-40EE-AA61-51922B692ADE}"/>
    <cellStyle name="Normal 30 9" xfId="2675" xr:uid="{234D3733-ADC3-4569-985F-F1D0FCE747EC}"/>
    <cellStyle name="Normal 30 90" xfId="2676" xr:uid="{9798EBA1-31E3-47DE-8E78-FD52267AE9C4}"/>
    <cellStyle name="Normal 30 91" xfId="2677" xr:uid="{AC0BF460-7C39-474A-86B5-EFF4D2E580CA}"/>
    <cellStyle name="Normal 30 92" xfId="2678" xr:uid="{5209CABC-A481-4B30-88D3-2320B84CF308}"/>
    <cellStyle name="Normal 30 93" xfId="2679" xr:uid="{EF34010F-B99E-4019-A0FB-16E1CA5AA007}"/>
    <cellStyle name="Normal 30 94" xfId="2680" xr:uid="{B729E5C4-A61F-4BE4-AA1B-A3B17F0DCE31}"/>
    <cellStyle name="Normal 30 95" xfId="2681" xr:uid="{F9C69F0C-33F0-4336-AF2F-86C07F8C1EC9}"/>
    <cellStyle name="Normal 30 96" xfId="2682" xr:uid="{EF69745B-20D4-4466-BCA3-592151C6D7C1}"/>
    <cellStyle name="Normal 30 97" xfId="2683" xr:uid="{BAF5A8CD-AA1A-4B1C-87C8-201DFCDA6E1E}"/>
    <cellStyle name="Normal 30 98" xfId="2684" xr:uid="{C2E8F164-28BD-4BC8-93E0-792A4B6AD0E4}"/>
    <cellStyle name="Normal 30 99" xfId="2685" xr:uid="{43424C79-9A20-4709-BA3A-4559C162AD4F}"/>
    <cellStyle name="Normal 31" xfId="2686" xr:uid="{80610901-F332-43A5-A92E-40880BBC7E4B}"/>
    <cellStyle name="Normal 31 10" xfId="2687" xr:uid="{AF4A733D-AF47-4576-A09A-9E2A31BE4E47}"/>
    <cellStyle name="Normal 31 100" xfId="2688" xr:uid="{AF165286-3ACF-4B4C-92DD-AEC78400A40A}"/>
    <cellStyle name="Normal 31 101" xfId="2689" xr:uid="{80F83918-1075-48D7-B9AD-3F342F903F57}"/>
    <cellStyle name="Normal 31 102" xfId="2690" xr:uid="{7835798B-D974-4995-A752-88479D30EC7B}"/>
    <cellStyle name="Normal 31 103" xfId="2691" xr:uid="{1EC344D1-DEFE-4A23-B9F4-BF3C599491C8}"/>
    <cellStyle name="Normal 31 104" xfId="2692" xr:uid="{B9DE72F3-0109-4F3C-8110-711FB6CA8758}"/>
    <cellStyle name="Normal 31 105" xfId="2693" xr:uid="{CB765876-AA54-408C-A632-B4120EEBC35B}"/>
    <cellStyle name="Normal 31 106" xfId="2694" xr:uid="{6602CAB5-257C-4E38-BFD1-02B7B1FEAEB8}"/>
    <cellStyle name="Normal 31 107" xfId="2695" xr:uid="{4D217385-FDFF-463A-B185-E8DBC8F27B8D}"/>
    <cellStyle name="Normal 31 108" xfId="2696" xr:uid="{E8400899-6D4C-4752-8F11-4FF84FD2E507}"/>
    <cellStyle name="Normal 31 109" xfId="2697" xr:uid="{309A83B8-C673-4EA8-A997-16A26ECA279A}"/>
    <cellStyle name="Normal 31 11" xfId="2698" xr:uid="{6935C0FC-CA47-4152-9318-1C5C1506FE51}"/>
    <cellStyle name="Normal 31 12" xfId="2699" xr:uid="{8C48A784-7421-4898-A0B6-BF9531CFC07D}"/>
    <cellStyle name="Normal 31 13" xfId="2700" xr:uid="{39122BD8-2FEE-4E21-8B57-B71179DC46C9}"/>
    <cellStyle name="Normal 31 14" xfId="2701" xr:uid="{831371C2-C0FC-43B8-9BE3-4533AFA39B94}"/>
    <cellStyle name="Normal 31 15" xfId="2702" xr:uid="{DA0CE08D-AD95-4FA4-9137-EC432BB4C10D}"/>
    <cellStyle name="Normal 31 16" xfId="2703" xr:uid="{0B89B046-0FDF-4392-BCCA-97AAF6565DF4}"/>
    <cellStyle name="Normal 31 17" xfId="2704" xr:uid="{AF6193C8-9925-495D-8954-B0E47E12BE9A}"/>
    <cellStyle name="Normal 31 18" xfId="2705" xr:uid="{3F70CE7C-A2A9-40A6-B5C3-67A1F9B8C1A9}"/>
    <cellStyle name="Normal 31 19" xfId="2706" xr:uid="{2F8ABE85-CEE0-465F-9100-92FD4667DEA9}"/>
    <cellStyle name="Normal 31 2" xfId="2707" xr:uid="{C6A13497-931D-49FA-A890-EB7D811B3CE4}"/>
    <cellStyle name="Normal 31 20" xfId="2708" xr:uid="{BB882E93-AF17-477C-8491-8AD4583CB4C2}"/>
    <cellStyle name="Normal 31 21" xfId="2709" xr:uid="{3EDCE521-50AC-4D8B-9324-0FC9CAF596EA}"/>
    <cellStyle name="Normal 31 22" xfId="2710" xr:uid="{50B09345-4F9F-4A87-901E-81810E2594E2}"/>
    <cellStyle name="Normal 31 23" xfId="2711" xr:uid="{749CCBE1-9F27-4813-8003-9ED91AB0DADD}"/>
    <cellStyle name="Normal 31 24" xfId="2712" xr:uid="{8820FBF1-9AF0-4114-86DD-F65FB7FA171A}"/>
    <cellStyle name="Normal 31 25" xfId="2713" xr:uid="{04F8955D-1B86-4797-A042-9412AB4EB7AF}"/>
    <cellStyle name="Normal 31 26" xfId="2714" xr:uid="{26902E8D-10B7-4F67-A1C7-27D82224CFBD}"/>
    <cellStyle name="Normal 31 27" xfId="2715" xr:uid="{E5C52B35-39F4-42FE-AB4D-A7796E38CB5E}"/>
    <cellStyle name="Normal 31 28" xfId="2716" xr:uid="{7217C49D-417E-471F-B0C7-DD4150BEFF44}"/>
    <cellStyle name="Normal 31 29" xfId="2717" xr:uid="{4A463944-A034-439A-9329-1A381487CC6E}"/>
    <cellStyle name="Normal 31 3" xfId="2718" xr:uid="{33AF8CFD-1451-4BDC-A0C7-904D032C0C54}"/>
    <cellStyle name="Normal 31 30" xfId="2719" xr:uid="{0AA9F05C-CACD-464D-9748-6A8D60675FBE}"/>
    <cellStyle name="Normal 31 31" xfId="2720" xr:uid="{4AF967E3-AA37-4931-91A1-3BA27C4EEF2A}"/>
    <cellStyle name="Normal 31 32" xfId="2721" xr:uid="{087CF9DD-916E-4DD2-A0F3-6F08AEF9663B}"/>
    <cellStyle name="Normal 31 33" xfId="2722" xr:uid="{63651794-E435-4DD6-9B85-DC8327D89CCF}"/>
    <cellStyle name="Normal 31 34" xfId="2723" xr:uid="{406CD0D9-E0C9-46DD-9D43-C59E097CD13C}"/>
    <cellStyle name="Normal 31 35" xfId="2724" xr:uid="{6E59F645-7130-48A5-AF4F-1D9B2C1B175D}"/>
    <cellStyle name="Normal 31 36" xfId="2725" xr:uid="{88B3B823-7FB8-4F90-9368-59C7094D4D59}"/>
    <cellStyle name="Normal 31 37" xfId="2726" xr:uid="{5852FC6B-E541-4D20-BFDD-227F954CFC12}"/>
    <cellStyle name="Normal 31 38" xfId="2727" xr:uid="{2EBB964B-08CA-463C-9001-6D53E58FBBBB}"/>
    <cellStyle name="Normal 31 39" xfId="2728" xr:uid="{2587D4CD-6C3E-4B25-BE99-4A1C2671652E}"/>
    <cellStyle name="Normal 31 4" xfId="2729" xr:uid="{F2053BBF-5607-4253-BD34-48DB5B67ECB5}"/>
    <cellStyle name="Normal 31 40" xfId="2730" xr:uid="{0C4430AC-A1F6-40FC-8D55-016BD0BEC791}"/>
    <cellStyle name="Normal 31 41" xfId="2731" xr:uid="{2324137B-E060-47A3-BD4F-45B89B629B99}"/>
    <cellStyle name="Normal 31 42" xfId="2732" xr:uid="{532D9B58-CFBA-49B9-A504-757F7F3FE52A}"/>
    <cellStyle name="Normal 31 43" xfId="2733" xr:uid="{47079FB4-BE2A-4964-B8BE-F068847AF795}"/>
    <cellStyle name="Normal 31 44" xfId="2734" xr:uid="{C76B3FD8-1B9A-446E-8121-71AD804EE2F1}"/>
    <cellStyle name="Normal 31 45" xfId="2735" xr:uid="{11FFDD76-D8D1-4B04-B6F9-7F2D69E0F802}"/>
    <cellStyle name="Normal 31 46" xfId="2736" xr:uid="{3EB9CF69-8F12-42A4-B5C4-5FB65106959A}"/>
    <cellStyle name="Normal 31 47" xfId="2737" xr:uid="{26A8D1AD-2DC8-4308-BDDE-5DB98EDBFD79}"/>
    <cellStyle name="Normal 31 48" xfId="2738" xr:uid="{F8605764-C838-44E4-96BD-46F5BC34A6A8}"/>
    <cellStyle name="Normal 31 49" xfId="2739" xr:uid="{27466B66-B794-4E17-A8EE-95A823101574}"/>
    <cellStyle name="Normal 31 5" xfId="2740" xr:uid="{89AB1701-F213-48D2-8673-6CDD9F3C5EFD}"/>
    <cellStyle name="Normal 31 50" xfId="2741" xr:uid="{2F94ECA4-C126-46C6-AE00-5A63C092BB8A}"/>
    <cellStyle name="Normal 31 51" xfId="2742" xr:uid="{B2FF4BED-ACED-4F27-A491-C202BB49B6D9}"/>
    <cellStyle name="Normal 31 52" xfId="2743" xr:uid="{CA2EA1BB-0056-4099-96E1-203845E91618}"/>
    <cellStyle name="Normal 31 53" xfId="2744" xr:uid="{6AFE0D8B-F220-414F-9381-E0C43CE9908C}"/>
    <cellStyle name="Normal 31 54" xfId="2745" xr:uid="{051DEEE4-1387-4EE7-A3F1-A5834AF8384B}"/>
    <cellStyle name="Normal 31 55" xfId="2746" xr:uid="{DA5166DB-C39D-4ED1-A959-4789F2442258}"/>
    <cellStyle name="Normal 31 56" xfId="2747" xr:uid="{0BE58747-ADCB-4C4C-B9D7-FA9FAB6BE97F}"/>
    <cellStyle name="Normal 31 57" xfId="2748" xr:uid="{663537C2-6479-4DE2-86FF-BDFDC9D34874}"/>
    <cellStyle name="Normal 31 58" xfId="2749" xr:uid="{0EEE143C-0381-4006-B9DE-F6A3DCC7CAEC}"/>
    <cellStyle name="Normal 31 59" xfId="2750" xr:uid="{66DFEC51-0DDD-4B5B-90E8-9A08EF31D147}"/>
    <cellStyle name="Normal 31 6" xfId="2751" xr:uid="{48C71A24-046B-4E53-8154-4D5854BF5324}"/>
    <cellStyle name="Normal 31 60" xfId="2752" xr:uid="{DA6D365C-01D6-4B42-8407-9246CAD0088F}"/>
    <cellStyle name="Normal 31 61" xfId="2753" xr:uid="{563713F8-7BAC-4B11-B2A6-6FDCB278378F}"/>
    <cellStyle name="Normal 31 62" xfId="2754" xr:uid="{36D92953-C437-4961-BA7A-7517469685DA}"/>
    <cellStyle name="Normal 31 63" xfId="2755" xr:uid="{80133655-2242-4BB1-9A5D-9EDF76883E91}"/>
    <cellStyle name="Normal 31 64" xfId="2756" xr:uid="{DBC36549-FF2A-4746-ABDD-BF9674DD2B85}"/>
    <cellStyle name="Normal 31 65" xfId="2757" xr:uid="{D1C27409-B2AA-4AE6-9E28-D1D8A3A45795}"/>
    <cellStyle name="Normal 31 66" xfId="2758" xr:uid="{8F760A87-96BD-46BA-B0C6-7948E7E6C99E}"/>
    <cellStyle name="Normal 31 67" xfId="2759" xr:uid="{07AE714D-1F06-4F06-A779-97908F6F0497}"/>
    <cellStyle name="Normal 31 68" xfId="2760" xr:uid="{AFAECD6F-7D97-41AF-909F-989A3DA5D28C}"/>
    <cellStyle name="Normal 31 69" xfId="2761" xr:uid="{547A3DAF-3ABF-4539-AE06-2FF6688C6492}"/>
    <cellStyle name="Normal 31 7" xfId="2762" xr:uid="{EC03E2C6-D869-4432-A419-19AE59DFAAB8}"/>
    <cellStyle name="Normal 31 70" xfId="2763" xr:uid="{44FE5760-24B2-4208-9B2C-C361ACF3F712}"/>
    <cellStyle name="Normal 31 71" xfId="2764" xr:uid="{07252D5E-BA89-4C2C-9EE0-61F7F08BB31E}"/>
    <cellStyle name="Normal 31 72" xfId="2765" xr:uid="{8211C17A-978B-4C1A-96F3-64ACEBE2F0F2}"/>
    <cellStyle name="Normal 31 73" xfId="2766" xr:uid="{BDA3723C-9C53-4F24-B8F5-27C51024DBCA}"/>
    <cellStyle name="Normal 31 74" xfId="2767" xr:uid="{712B2818-AA73-4C6B-9F69-C86E899B87E7}"/>
    <cellStyle name="Normal 31 75" xfId="2768" xr:uid="{861FDE26-E1EE-421D-9CE3-F76393A690B7}"/>
    <cellStyle name="Normal 31 76" xfId="2769" xr:uid="{F9B5E037-3E42-4974-8174-BBBE81307515}"/>
    <cellStyle name="Normal 31 77" xfId="2770" xr:uid="{6CED4D56-C6FA-4461-A8BA-C1C5291DEA79}"/>
    <cellStyle name="Normal 31 78" xfId="2771" xr:uid="{119ED4B6-016B-4305-BFB4-CC55ECDA299F}"/>
    <cellStyle name="Normal 31 79" xfId="2772" xr:uid="{F600A541-0455-4533-926B-17E46010943D}"/>
    <cellStyle name="Normal 31 8" xfId="2773" xr:uid="{A0403CB8-C19F-45C9-A44E-ADB55D059FED}"/>
    <cellStyle name="Normal 31 80" xfId="2774" xr:uid="{D7B87A21-66BB-46C2-9355-1B0C7886C370}"/>
    <cellStyle name="Normal 31 81" xfId="2775" xr:uid="{8D5D34F1-656C-48BB-9523-849C0953909C}"/>
    <cellStyle name="Normal 31 82" xfId="2776" xr:uid="{21A52416-C89E-42EA-9B44-3B6ED0CC3B3A}"/>
    <cellStyle name="Normal 31 83" xfId="2777" xr:uid="{65943F66-9A23-43BB-A469-6D8DC25896A1}"/>
    <cellStyle name="Normal 31 84" xfId="2778" xr:uid="{92D710E8-9D47-46CD-8FA3-BEAAAD6AE8F0}"/>
    <cellStyle name="Normal 31 85" xfId="2779" xr:uid="{949F8EBD-B34D-4B6D-92D1-18ED40E5F052}"/>
    <cellStyle name="Normal 31 86" xfId="2780" xr:uid="{CD409059-7E73-4FCF-A82D-47161869B1C9}"/>
    <cellStyle name="Normal 31 87" xfId="2781" xr:uid="{FBB123E4-6619-4DE4-8C77-5659AEB535CE}"/>
    <cellStyle name="Normal 31 88" xfId="2782" xr:uid="{9A8456D3-3B90-4A10-AA70-C7C24A5D79C7}"/>
    <cellStyle name="Normal 31 89" xfId="2783" xr:uid="{1CECCE0E-9D8C-4C9F-B051-1F615CB8CF5D}"/>
    <cellStyle name="Normal 31 9" xfId="2784" xr:uid="{580EF701-ACE4-4EBD-AADF-6FA9B0928321}"/>
    <cellStyle name="Normal 31 90" xfId="2785" xr:uid="{50A0B8A9-E45B-4740-A0F5-98D5DDA7348B}"/>
    <cellStyle name="Normal 31 91" xfId="2786" xr:uid="{C33C7383-8DAC-42B4-9EB3-8A57183C323F}"/>
    <cellStyle name="Normal 31 92" xfId="2787" xr:uid="{39038115-1676-4EC0-8122-F2D2E516BCED}"/>
    <cellStyle name="Normal 31 93" xfId="2788" xr:uid="{A40959D3-EBA3-494D-817D-24E022900221}"/>
    <cellStyle name="Normal 31 94" xfId="2789" xr:uid="{00ABD276-82F6-4F1B-9FCF-11D1DF8A351D}"/>
    <cellStyle name="Normal 31 95" xfId="2790" xr:uid="{4BABFCA2-A641-4B97-8788-DB3BA6BC1005}"/>
    <cellStyle name="Normal 31 96" xfId="2791" xr:uid="{16887A29-6EFD-406D-A22F-89864158DCA5}"/>
    <cellStyle name="Normal 31 97" xfId="2792" xr:uid="{BC405151-0446-457E-95C2-DB89A6562075}"/>
    <cellStyle name="Normal 31 98" xfId="2793" xr:uid="{4E6738D1-BC6B-4A98-A657-B6D5315C4E55}"/>
    <cellStyle name="Normal 31 99" xfId="2794" xr:uid="{DE396578-47A2-4E16-BDCA-DDE6005C3187}"/>
    <cellStyle name="Normal 32" xfId="2795" xr:uid="{E8C8B788-F88D-4EB2-9E39-B792422776B0}"/>
    <cellStyle name="Normal 32 2" xfId="2796" xr:uid="{C518E628-A430-42CF-9E20-E031207D50B9}"/>
    <cellStyle name="Normal 33" xfId="2797" xr:uid="{50917898-C0AC-42E9-9103-D5A33323DCE1}"/>
    <cellStyle name="Normal 33 2" xfId="2798" xr:uid="{5FBE38EB-61FE-458E-980C-4925D259D6C0}"/>
    <cellStyle name="Normal 34" xfId="2799" xr:uid="{EE15F52A-4E53-4705-BA46-E24CABC31314}"/>
    <cellStyle name="Normal 35" xfId="2800" xr:uid="{86972FA8-784C-4CF8-BEDE-FFC60EB5CA9E}"/>
    <cellStyle name="Normal 35 10" xfId="2801" xr:uid="{92CBC215-EBA1-4ADC-BCFD-B566ACF912A5}"/>
    <cellStyle name="Normal 35 100" xfId="2802" xr:uid="{AC675359-801B-4A65-81BB-DD6C94A41C63}"/>
    <cellStyle name="Normal 35 101" xfId="2803" xr:uid="{130504E8-B13D-43FC-8DDE-81C44A1B40FF}"/>
    <cellStyle name="Normal 35 102" xfId="2804" xr:uid="{D323A072-E3F2-4055-85CF-50CC8C2A0729}"/>
    <cellStyle name="Normal 35 103" xfId="2805" xr:uid="{5BF32EA4-6C3F-45FC-A485-BDA221DC4DAB}"/>
    <cellStyle name="Normal 35 104" xfId="2806" xr:uid="{E17E66EC-274A-497A-B7FB-6A8F9698EB91}"/>
    <cellStyle name="Normal 35 105" xfId="2807" xr:uid="{D003F63B-C821-4F5D-987F-6C33E452380D}"/>
    <cellStyle name="Normal 35 106" xfId="2808" xr:uid="{AD87DE5A-6A76-466A-BED7-4E666F2F5178}"/>
    <cellStyle name="Normal 35 107" xfId="2809" xr:uid="{CF98ED13-002C-4D00-935F-A85CAEB67FC4}"/>
    <cellStyle name="Normal 35 108" xfId="2810" xr:uid="{B6A0DC53-D3D9-4F43-A4FD-9498E9AB1100}"/>
    <cellStyle name="Normal 35 109" xfId="2811" xr:uid="{C012F07E-D505-45A8-B550-2C05C7B0E1F5}"/>
    <cellStyle name="Normal 35 11" xfId="2812" xr:uid="{127E064B-C754-426F-90D9-FA264FE2C24A}"/>
    <cellStyle name="Normal 35 12" xfId="2813" xr:uid="{0A05420C-5D45-48A2-B8C6-82573DACF56C}"/>
    <cellStyle name="Normal 35 13" xfId="2814" xr:uid="{0E4E4715-E067-40C5-84B8-609F042EF975}"/>
    <cellStyle name="Normal 35 14" xfId="2815" xr:uid="{CD10F910-02DA-43E9-ACF0-5CF99CFEAC1B}"/>
    <cellStyle name="Normal 35 15" xfId="2816" xr:uid="{14E39344-7D8E-4454-B8FB-BD08B5B827E6}"/>
    <cellStyle name="Normal 35 16" xfId="2817" xr:uid="{ED762456-57B1-4BE3-BD14-36A780C04916}"/>
    <cellStyle name="Normal 35 17" xfId="2818" xr:uid="{90E02288-7FC7-409D-B1E2-7ED7AE4204BD}"/>
    <cellStyle name="Normal 35 18" xfId="2819" xr:uid="{4857D67C-108E-460A-9F53-878C37A84AD6}"/>
    <cellStyle name="Normal 35 19" xfId="2820" xr:uid="{57D1C1C3-B15B-49B3-88F1-DF502248D755}"/>
    <cellStyle name="Normal 35 2" xfId="2821" xr:uid="{93D8CE57-65A3-4F4F-AEAB-86D60654B8B8}"/>
    <cellStyle name="Normal 35 20" xfId="2822" xr:uid="{A0B13E5E-AC6C-44A8-BAFB-320417BB619E}"/>
    <cellStyle name="Normal 35 21" xfId="2823" xr:uid="{4FB18A3B-06EF-4664-8260-990B43D6F13A}"/>
    <cellStyle name="Normal 35 22" xfId="2824" xr:uid="{0DF7A66A-660A-4946-A438-015E49A2507A}"/>
    <cellStyle name="Normal 35 23" xfId="2825" xr:uid="{BD68A779-6C19-4EBD-8346-2762E49668CB}"/>
    <cellStyle name="Normal 35 24" xfId="2826" xr:uid="{ED8B4308-B085-4C9F-A204-68DF9293BFB0}"/>
    <cellStyle name="Normal 35 25" xfId="2827" xr:uid="{9740ACB5-39A2-4110-8E23-D6D5C420F2FC}"/>
    <cellStyle name="Normal 35 26" xfId="2828" xr:uid="{B5912611-43A9-4AFA-937C-2EA8673FDBA0}"/>
    <cellStyle name="Normal 35 27" xfId="2829" xr:uid="{FFD390E9-E5DC-492A-873C-9778378C92EE}"/>
    <cellStyle name="Normal 35 28" xfId="2830" xr:uid="{7B8F26B9-5717-4971-B225-80A826CBBBC1}"/>
    <cellStyle name="Normal 35 29" xfId="2831" xr:uid="{603953A3-83EC-450A-9AEB-203694F02B58}"/>
    <cellStyle name="Normal 35 3" xfId="2832" xr:uid="{0DA08954-AD5A-44BF-BF94-BC2CB961435C}"/>
    <cellStyle name="Normal 35 30" xfId="2833" xr:uid="{BDF594AD-7D48-41D1-9C06-1FD513975769}"/>
    <cellStyle name="Normal 35 31" xfId="2834" xr:uid="{25423B69-118F-42FF-94F3-00D7E40DA253}"/>
    <cellStyle name="Normal 35 32" xfId="2835" xr:uid="{B404C948-30F6-4B36-8DCB-92E94EF4929C}"/>
    <cellStyle name="Normal 35 33" xfId="2836" xr:uid="{C08549F2-A026-4A44-849D-00F1CECD3A32}"/>
    <cellStyle name="Normal 35 34" xfId="2837" xr:uid="{3AD3515A-39D5-4ACF-AD09-8915D26349F4}"/>
    <cellStyle name="Normal 35 35" xfId="2838" xr:uid="{0E45073D-5683-4D68-B9C2-0DC7344EBDD5}"/>
    <cellStyle name="Normal 35 36" xfId="2839" xr:uid="{0DB36561-0C86-42A3-8DDF-B4EAB6D2826E}"/>
    <cellStyle name="Normal 35 37" xfId="2840" xr:uid="{0644F44B-1E21-4944-9371-927E6B1078F1}"/>
    <cellStyle name="Normal 35 38" xfId="2841" xr:uid="{0360677B-D652-4B9A-BE8F-020658BA728C}"/>
    <cellStyle name="Normal 35 39" xfId="2842" xr:uid="{CA187479-6325-4697-8DA8-9966EBCE7BCF}"/>
    <cellStyle name="Normal 35 4" xfId="2843" xr:uid="{220148E7-A437-4760-B3D9-DAD7960E4FAB}"/>
    <cellStyle name="Normal 35 40" xfId="2844" xr:uid="{11A9BFF1-AB7C-4B8E-A4C6-4644623BB88E}"/>
    <cellStyle name="Normal 35 41" xfId="2845" xr:uid="{0778787F-2C63-43AC-AAB6-7CF2A0FF3B12}"/>
    <cellStyle name="Normal 35 42" xfId="2846" xr:uid="{4D011B7B-070F-4C21-B4CE-715D4E430E18}"/>
    <cellStyle name="Normal 35 43" xfId="2847" xr:uid="{2D0AE1BE-CEE7-4FA8-B300-346DB6C6FA90}"/>
    <cellStyle name="Normal 35 44" xfId="2848" xr:uid="{7FBAABF3-ABA9-40BF-89FC-7C6205C48B8B}"/>
    <cellStyle name="Normal 35 45" xfId="2849" xr:uid="{20379159-6080-453B-985A-F1C32821C664}"/>
    <cellStyle name="Normal 35 46" xfId="2850" xr:uid="{8FF45386-2498-41E4-8513-D08B71F46ED1}"/>
    <cellStyle name="Normal 35 47" xfId="2851" xr:uid="{3CBBFBBC-537A-4F76-8AB3-DC5D3A98D854}"/>
    <cellStyle name="Normal 35 48" xfId="2852" xr:uid="{87239979-2C54-41E8-A6DC-ED81924EFFAA}"/>
    <cellStyle name="Normal 35 49" xfId="2853" xr:uid="{E7E1562B-722A-4F4B-A8F6-B141B5FEEF54}"/>
    <cellStyle name="Normal 35 5" xfId="2854" xr:uid="{C8205A34-70B9-4BFD-A22E-4BBC599E3952}"/>
    <cellStyle name="Normal 35 50" xfId="2855" xr:uid="{C93276E8-F3C1-420B-8956-FA857EE0645E}"/>
    <cellStyle name="Normal 35 51" xfId="2856" xr:uid="{6E7E1D0F-1385-4660-BFDB-6B81D251BAF4}"/>
    <cellStyle name="Normal 35 52" xfId="2857" xr:uid="{74FB8783-4FF9-403F-9D1F-1631FF8E1B4A}"/>
    <cellStyle name="Normal 35 53" xfId="2858" xr:uid="{7D42E0DE-A779-4151-A45C-E01C1A276662}"/>
    <cellStyle name="Normal 35 54" xfId="2859" xr:uid="{F61BC818-DADB-4555-A151-687CF6EA06E1}"/>
    <cellStyle name="Normal 35 55" xfId="2860" xr:uid="{2353E8FE-6DBA-4628-8A75-4D20CE426618}"/>
    <cellStyle name="Normal 35 56" xfId="2861" xr:uid="{C4171446-589A-4ECA-A747-97A33496B220}"/>
    <cellStyle name="Normal 35 57" xfId="2862" xr:uid="{72042BD0-B03E-4263-BD9D-D6BC711357F1}"/>
    <cellStyle name="Normal 35 58" xfId="2863" xr:uid="{79B88CAE-0342-44FC-A8C2-24281F0ADB4A}"/>
    <cellStyle name="Normal 35 59" xfId="2864" xr:uid="{E0DD0C8B-5147-409F-9026-AF196F0466F1}"/>
    <cellStyle name="Normal 35 6" xfId="2865" xr:uid="{1BC91A8E-D46B-48DB-805D-32C975BF5A69}"/>
    <cellStyle name="Normal 35 60" xfId="2866" xr:uid="{A2A0540B-F5BD-4B32-87D6-0DA586CAC916}"/>
    <cellStyle name="Normal 35 61" xfId="2867" xr:uid="{78015F5F-D4C4-4480-AB0A-CBA02D4F70DE}"/>
    <cellStyle name="Normal 35 62" xfId="2868" xr:uid="{3D9F9581-6199-4519-B3D5-994425860E99}"/>
    <cellStyle name="Normal 35 63" xfId="2869" xr:uid="{F404C97F-6DD0-43D8-8A14-D9B2F108C995}"/>
    <cellStyle name="Normal 35 64" xfId="2870" xr:uid="{8999173A-0A87-492F-B55E-7F30CDCD1C91}"/>
    <cellStyle name="Normal 35 65" xfId="2871" xr:uid="{63D59F2A-8027-423C-8E61-D7E94EF5572A}"/>
    <cellStyle name="Normal 35 66" xfId="2872" xr:uid="{3A7F1D80-A160-4CEC-9F6C-4EE71F164574}"/>
    <cellStyle name="Normal 35 67" xfId="2873" xr:uid="{1B60AB84-FB28-442C-84E7-41242B934825}"/>
    <cellStyle name="Normal 35 68" xfId="2874" xr:uid="{AF0CC610-3B36-4377-B70E-386D8CF6C34B}"/>
    <cellStyle name="Normal 35 69" xfId="2875" xr:uid="{442470FA-F415-40F9-A859-89AED50B4313}"/>
    <cellStyle name="Normal 35 7" xfId="2876" xr:uid="{9D0CEBD0-28AD-4302-85AB-8F65FF957DB9}"/>
    <cellStyle name="Normal 35 70" xfId="2877" xr:uid="{BD7BBB28-B977-4F3E-B03B-30A1CDA56FC1}"/>
    <cellStyle name="Normal 35 71" xfId="2878" xr:uid="{6B66E8C9-04A9-4381-8F12-73DD2FDB7C06}"/>
    <cellStyle name="Normal 35 72" xfId="2879" xr:uid="{761175AC-E20E-487B-A0FB-104EF892A921}"/>
    <cellStyle name="Normal 35 73" xfId="2880" xr:uid="{B87C1FF8-4F32-4B6B-B55F-D1384B9AB704}"/>
    <cellStyle name="Normal 35 74" xfId="2881" xr:uid="{952A8E7E-4592-4A72-A3B8-58C3E0140358}"/>
    <cellStyle name="Normal 35 75" xfId="2882" xr:uid="{A81A1B10-3133-4928-BD74-5C926B24B290}"/>
    <cellStyle name="Normal 35 76" xfId="2883" xr:uid="{BDB7D7D3-9677-49D6-9E2F-A10DAFD18842}"/>
    <cellStyle name="Normal 35 77" xfId="2884" xr:uid="{16C9E917-F8BA-40B5-B39B-22094F1D330A}"/>
    <cellStyle name="Normal 35 78" xfId="2885" xr:uid="{467D5757-13BE-4322-9B88-E60C3780E144}"/>
    <cellStyle name="Normal 35 79" xfId="2886" xr:uid="{B22547EE-4A66-491F-8F3B-AC7D09F04A67}"/>
    <cellStyle name="Normal 35 8" xfId="2887" xr:uid="{B728FF6C-F643-47E2-AAEA-539F8E5D28C5}"/>
    <cellStyle name="Normal 35 80" xfId="2888" xr:uid="{71690BF9-6292-4920-B7D7-5FF7C0032D90}"/>
    <cellStyle name="Normal 35 81" xfId="2889" xr:uid="{EC6CBEB8-9B5D-4C76-AE84-D4A7CC29CF27}"/>
    <cellStyle name="Normal 35 82" xfId="2890" xr:uid="{6DDDEE83-0DBA-4406-AC19-487F07637AB1}"/>
    <cellStyle name="Normal 35 83" xfId="2891" xr:uid="{8B33FEDD-6330-4A88-8081-9B6990F80A3F}"/>
    <cellStyle name="Normal 35 84" xfId="2892" xr:uid="{F5132827-12F9-40E5-9AF5-27E5FF9C2543}"/>
    <cellStyle name="Normal 35 85" xfId="2893" xr:uid="{B16BB431-4ECB-41AD-8A4E-4BDD51C4768F}"/>
    <cellStyle name="Normal 35 86" xfId="2894" xr:uid="{8482D1FF-DEA8-404A-8D86-219F76F77945}"/>
    <cellStyle name="Normal 35 87" xfId="2895" xr:uid="{18170D9B-F49E-44FA-A04B-E72E7D803E56}"/>
    <cellStyle name="Normal 35 88" xfId="2896" xr:uid="{4B372FB1-7255-411C-906F-8A3180670653}"/>
    <cellStyle name="Normal 35 89" xfId="2897" xr:uid="{B0A0F89D-AECE-4F6D-BD66-EDE501A38F00}"/>
    <cellStyle name="Normal 35 9" xfId="2898" xr:uid="{1FA3DA0A-933E-4D1B-9261-05E8543EF16D}"/>
    <cellStyle name="Normal 35 90" xfId="2899" xr:uid="{892CAD75-2BB1-4CDE-826B-89CFFF1B7911}"/>
    <cellStyle name="Normal 35 91" xfId="2900" xr:uid="{3E296E36-0EB9-4644-98BD-A96B0BAD2CFF}"/>
    <cellStyle name="Normal 35 92" xfId="2901" xr:uid="{207BC99E-F664-4008-8189-4284692103C5}"/>
    <cellStyle name="Normal 35 93" xfId="2902" xr:uid="{6B2EFC1C-3E92-424F-940F-F76A5264F65F}"/>
    <cellStyle name="Normal 35 94" xfId="2903" xr:uid="{68D3181D-2BC6-4325-B942-79B318158F9B}"/>
    <cellStyle name="Normal 35 95" xfId="2904" xr:uid="{3F0A9BFC-CB2C-43A7-AB51-7BB61B122E51}"/>
    <cellStyle name="Normal 35 96" xfId="2905" xr:uid="{C33501E2-4634-41D2-B62D-F14ADFBFF121}"/>
    <cellStyle name="Normal 35 97" xfId="2906" xr:uid="{67D9D123-E631-48ED-90EA-C9013D3D3131}"/>
    <cellStyle name="Normal 35 98" xfId="2907" xr:uid="{A2C9DF18-212D-426C-9324-8520B2CDFC72}"/>
    <cellStyle name="Normal 35 99" xfId="2908" xr:uid="{16F70919-714E-42F1-A743-84FD6A0C9AD4}"/>
    <cellStyle name="Normal 36" xfId="2909" xr:uid="{55C838FC-96E3-43E3-A34C-1AD203772913}"/>
    <cellStyle name="Normal 36 10" xfId="2910" xr:uid="{45706D36-EF63-48C9-8F7A-938014DB0678}"/>
    <cellStyle name="Normal 36 100" xfId="2911" xr:uid="{2B64D5FA-6C01-4E47-B892-006D6A50EBE0}"/>
    <cellStyle name="Normal 36 101" xfId="2912" xr:uid="{C4441A03-B3B4-4615-B65D-F4F053B8CA63}"/>
    <cellStyle name="Normal 36 102" xfId="2913" xr:uid="{1B1F0716-1CD0-433E-B427-49AC26AEAEA0}"/>
    <cellStyle name="Normal 36 103" xfId="2914" xr:uid="{E99A3BB2-73C6-4CDA-A850-ACD40DE4CBBD}"/>
    <cellStyle name="Normal 36 104" xfId="2915" xr:uid="{E677932D-AFD7-487B-ADCF-FCFB24981D78}"/>
    <cellStyle name="Normal 36 105" xfId="2916" xr:uid="{AF271BCE-8A69-417B-8B4D-A7E3AEC6582C}"/>
    <cellStyle name="Normal 36 106" xfId="2917" xr:uid="{E85D803B-9AF5-49F2-B3E4-5E994B37A929}"/>
    <cellStyle name="Normal 36 107" xfId="2918" xr:uid="{5DEA8E73-E412-4A5A-A27D-22568BD83E02}"/>
    <cellStyle name="Normal 36 108" xfId="2919" xr:uid="{C0F30A9D-8C29-4FE9-A53D-146D42B101C9}"/>
    <cellStyle name="Normal 36 109" xfId="2920" xr:uid="{E3D7814A-0882-41E6-8770-1434D420767D}"/>
    <cellStyle name="Normal 36 11" xfId="2921" xr:uid="{2B70C270-3792-4A34-ACAF-77DB34660142}"/>
    <cellStyle name="Normal 36 12" xfId="2922" xr:uid="{5EC1D371-A01C-43B7-BD58-F6C7218C2423}"/>
    <cellStyle name="Normal 36 13" xfId="2923" xr:uid="{17EC008D-4B7C-4507-B962-D3397C0F6772}"/>
    <cellStyle name="Normal 36 14" xfId="2924" xr:uid="{701FB92A-F3BC-49B6-996F-AE52C0AB238E}"/>
    <cellStyle name="Normal 36 15" xfId="2925" xr:uid="{889056D7-FC21-4938-8134-BD0DDCAF9E57}"/>
    <cellStyle name="Normal 36 16" xfId="2926" xr:uid="{442A7F84-AB55-459D-805F-682107E32CFC}"/>
    <cellStyle name="Normal 36 17" xfId="2927" xr:uid="{D0309B0A-BFEA-4CBC-8B83-6E3BBD6E9B7B}"/>
    <cellStyle name="Normal 36 18" xfId="2928" xr:uid="{3286A2EE-890E-4CC6-BA8B-D6C65C106BBD}"/>
    <cellStyle name="Normal 36 19" xfId="2929" xr:uid="{273E0510-4517-41A3-9B2F-C3F7B70D89F6}"/>
    <cellStyle name="Normal 36 2" xfId="2930" xr:uid="{7887FE24-1CC0-4DF0-A2FC-AB520CA51C5B}"/>
    <cellStyle name="Normal 36 20" xfId="2931" xr:uid="{5F0B38B7-0F56-4F9B-B9F5-602E44F8F444}"/>
    <cellStyle name="Normal 36 21" xfId="2932" xr:uid="{9B417704-74C4-4B3D-83C3-848BC2E88118}"/>
    <cellStyle name="Normal 36 22" xfId="2933" xr:uid="{820EED08-8A9B-4252-8B4F-74AFDB5E408E}"/>
    <cellStyle name="Normal 36 23" xfId="2934" xr:uid="{3EDBED34-8260-40F5-AE7E-918F52C0165E}"/>
    <cellStyle name="Normal 36 24" xfId="2935" xr:uid="{125F7F8F-9D27-4279-9F74-E615A816F7CC}"/>
    <cellStyle name="Normal 36 25" xfId="2936" xr:uid="{6C8363C1-1EE2-4D1B-A3AE-221FF033E988}"/>
    <cellStyle name="Normal 36 26" xfId="2937" xr:uid="{3B3E2E73-3860-47FC-94A5-7F6DF44E75E0}"/>
    <cellStyle name="Normal 36 27" xfId="2938" xr:uid="{F33551C9-321B-43A3-AB5C-86258D237CC4}"/>
    <cellStyle name="Normal 36 28" xfId="2939" xr:uid="{F9805954-08D9-4CF4-BA1A-D8B7A6F6DC30}"/>
    <cellStyle name="Normal 36 29" xfId="2940" xr:uid="{BE294869-DCB6-48A9-A4FB-37007A4EA970}"/>
    <cellStyle name="Normal 36 3" xfId="2941" xr:uid="{5CE12C1E-9CEC-46FE-95C1-B8E1310054D6}"/>
    <cellStyle name="Normal 36 30" xfId="2942" xr:uid="{B5EBF78B-A8C7-4FB1-BD33-5ADD82F08EC3}"/>
    <cellStyle name="Normal 36 31" xfId="2943" xr:uid="{3AB81872-2FE0-4CEE-8A51-0EAF01A0DAB8}"/>
    <cellStyle name="Normal 36 32" xfId="2944" xr:uid="{F9FEB03D-78B2-438D-816D-802DA683773A}"/>
    <cellStyle name="Normal 36 33" xfId="2945" xr:uid="{F594019E-43AF-4EFB-A949-3EDC11C0B53C}"/>
    <cellStyle name="Normal 36 34" xfId="2946" xr:uid="{AFD89A3D-FD48-4B29-94E3-A6435C9C31BC}"/>
    <cellStyle name="Normal 36 35" xfId="2947" xr:uid="{6570F07A-5864-437F-9B05-A6A2BBB1682C}"/>
    <cellStyle name="Normal 36 36" xfId="2948" xr:uid="{1261B7BC-D07B-4881-A1D7-0C8E213E9E3E}"/>
    <cellStyle name="Normal 36 37" xfId="2949" xr:uid="{C4EA7799-D695-445B-B1BD-4A39CAFA9C95}"/>
    <cellStyle name="Normal 36 38" xfId="2950" xr:uid="{3E061FDF-66FA-497E-8984-7B9AA4442481}"/>
    <cellStyle name="Normal 36 39" xfId="2951" xr:uid="{05CFA79F-F575-439A-BF42-21830CDA2737}"/>
    <cellStyle name="Normal 36 4" xfId="2952" xr:uid="{63038727-D7E2-484B-A3D1-3B8743F093B9}"/>
    <cellStyle name="Normal 36 40" xfId="2953" xr:uid="{C64D9E87-CF9C-42AD-A52A-B43FA6C6BA6E}"/>
    <cellStyle name="Normal 36 41" xfId="2954" xr:uid="{3FB5E217-94A9-4297-B883-B7D964D768C9}"/>
    <cellStyle name="Normal 36 42" xfId="2955" xr:uid="{C7BF7197-8B20-4211-B85E-67E531286708}"/>
    <cellStyle name="Normal 36 43" xfId="2956" xr:uid="{44678AC4-5034-4DB6-BF7E-F8B46F5B61FE}"/>
    <cellStyle name="Normal 36 44" xfId="2957" xr:uid="{18FD717D-A7A9-4562-996A-7C89D75D574E}"/>
    <cellStyle name="Normal 36 45" xfId="2958" xr:uid="{78742E6C-2EA2-4B13-A1CC-07709B82F286}"/>
    <cellStyle name="Normal 36 46" xfId="2959" xr:uid="{51F82A61-7AD4-478B-88A0-3DF66959D7EE}"/>
    <cellStyle name="Normal 36 47" xfId="2960" xr:uid="{81C46724-34DA-4E1E-8440-5B7250B564A8}"/>
    <cellStyle name="Normal 36 48" xfId="2961" xr:uid="{BECF7A26-632B-41F5-B498-181F9C194CD1}"/>
    <cellStyle name="Normal 36 49" xfId="2962" xr:uid="{895A560C-770F-44AA-8D4F-B440E90B6161}"/>
    <cellStyle name="Normal 36 5" xfId="2963" xr:uid="{7F63920D-C300-4575-9075-97E6606ADC33}"/>
    <cellStyle name="Normal 36 50" xfId="2964" xr:uid="{B7C6AB34-1F1E-4E59-BA3B-935D1C6E4AAB}"/>
    <cellStyle name="Normal 36 51" xfId="2965" xr:uid="{762B228C-A12F-4F10-BD23-235EED7B587B}"/>
    <cellStyle name="Normal 36 52" xfId="2966" xr:uid="{00EE5A07-4883-424B-8094-DBBBB646DDEF}"/>
    <cellStyle name="Normal 36 53" xfId="2967" xr:uid="{3F500453-E7EF-4D2D-8280-43C912A6F1A6}"/>
    <cellStyle name="Normal 36 54" xfId="2968" xr:uid="{D973D5CE-1B11-400B-BDC2-B12DC5B8B6CD}"/>
    <cellStyle name="Normal 36 55" xfId="2969" xr:uid="{454FFD02-0440-447E-BE1B-AF463F4AEF6A}"/>
    <cellStyle name="Normal 36 56" xfId="2970" xr:uid="{B2542CA7-19C6-4F9D-BB4E-9F4907B590AE}"/>
    <cellStyle name="Normal 36 57" xfId="2971" xr:uid="{FA0C1CCB-1E4A-4D28-93AF-4477BE7A9CE2}"/>
    <cellStyle name="Normal 36 58" xfId="2972" xr:uid="{612194C1-3DA7-4C2F-8B79-551CC540B56B}"/>
    <cellStyle name="Normal 36 59" xfId="2973" xr:uid="{37B8953E-5ED0-4465-912A-84D0D99DFD77}"/>
    <cellStyle name="Normal 36 6" xfId="2974" xr:uid="{FC93322E-B386-4757-AD97-FFC17F242010}"/>
    <cellStyle name="Normal 36 60" xfId="2975" xr:uid="{3D08FC3D-8C51-4308-8527-2966B915C5C5}"/>
    <cellStyle name="Normal 36 61" xfId="2976" xr:uid="{62C398BF-7E4F-4C7E-9A4A-8E9D0AFDF9EF}"/>
    <cellStyle name="Normal 36 62" xfId="2977" xr:uid="{D3AE053F-C040-423E-869A-97C16EB447B1}"/>
    <cellStyle name="Normal 36 63" xfId="2978" xr:uid="{A9FA5D4E-72D7-4285-A073-484A5FAD3CDD}"/>
    <cellStyle name="Normal 36 64" xfId="2979" xr:uid="{8835C5AB-8897-4D0F-8C9B-0F9B457654FE}"/>
    <cellStyle name="Normal 36 65" xfId="2980" xr:uid="{807C6320-E5D4-4962-A5BF-6E37DF151DBF}"/>
    <cellStyle name="Normal 36 66" xfId="2981" xr:uid="{3290EA5E-C509-4B48-89A0-BF04E647180A}"/>
    <cellStyle name="Normal 36 67" xfId="2982" xr:uid="{F30C4F9E-E6D2-4C49-BFCC-56398EB3C639}"/>
    <cellStyle name="Normal 36 68" xfId="2983" xr:uid="{58BCFC59-4E88-4858-8949-4F58ECE041E2}"/>
    <cellStyle name="Normal 36 69" xfId="2984" xr:uid="{0A543889-D474-4B4A-B7BF-80084A9818ED}"/>
    <cellStyle name="Normal 36 7" xfId="2985" xr:uid="{DDF719C4-E766-4356-9D95-16E4A0F20854}"/>
    <cellStyle name="Normal 36 70" xfId="2986" xr:uid="{64FD4C27-0871-4B58-8C70-60B8B06A68E0}"/>
    <cellStyle name="Normal 36 71" xfId="2987" xr:uid="{5E95A1F9-6FF5-4E5A-85BF-D9597533892C}"/>
    <cellStyle name="Normal 36 72" xfId="2988" xr:uid="{1C0CCD1A-55A3-4DD1-AE06-729B157982D5}"/>
    <cellStyle name="Normal 36 73" xfId="2989" xr:uid="{70791949-DA0F-4818-AC09-681642777EB6}"/>
    <cellStyle name="Normal 36 74" xfId="2990" xr:uid="{25BA386A-154E-4D41-A5F2-7F9FCDA3760B}"/>
    <cellStyle name="Normal 36 75" xfId="2991" xr:uid="{12CAD6B8-43EE-42E3-A86E-836CA523568D}"/>
    <cellStyle name="Normal 36 76" xfId="2992" xr:uid="{68F20651-0332-4977-A66B-4866A51565EA}"/>
    <cellStyle name="Normal 36 77" xfId="2993" xr:uid="{46941F86-42A7-4254-AB24-89785D791FE2}"/>
    <cellStyle name="Normal 36 78" xfId="2994" xr:uid="{BC35D74D-0EF9-4EC3-AB73-8B732E581550}"/>
    <cellStyle name="Normal 36 79" xfId="2995" xr:uid="{C9827F91-F001-4EDA-9D71-CBF5406FA6AE}"/>
    <cellStyle name="Normal 36 8" xfId="2996" xr:uid="{451B573C-7646-4B49-89DA-ED441686E9EB}"/>
    <cellStyle name="Normal 36 80" xfId="2997" xr:uid="{7FEBB9E7-C769-4510-80EB-3896F611D0F7}"/>
    <cellStyle name="Normal 36 81" xfId="2998" xr:uid="{AE16BC6B-BA69-46A8-AC73-BB4C2BC4C3B8}"/>
    <cellStyle name="Normal 36 82" xfId="2999" xr:uid="{9491DFC7-1D1D-40B3-BCD8-E046776DC837}"/>
    <cellStyle name="Normal 36 83" xfId="3000" xr:uid="{AC3C4908-D962-43E5-A38C-C8A546ADCBF7}"/>
    <cellStyle name="Normal 36 84" xfId="3001" xr:uid="{DAFBDB46-4559-4058-BFD3-2C89DEF55A50}"/>
    <cellStyle name="Normal 36 85" xfId="3002" xr:uid="{90242991-B774-4758-8EB1-9C928AD46BE9}"/>
    <cellStyle name="Normal 36 86" xfId="3003" xr:uid="{F8624447-3763-49AA-899E-EA5B44A3CFAC}"/>
    <cellStyle name="Normal 36 87" xfId="3004" xr:uid="{87ACB20B-AA81-4C86-B0F5-0A3AA708D1A8}"/>
    <cellStyle name="Normal 36 88" xfId="3005" xr:uid="{DAD11EF7-701C-4C5E-8449-941990CDD903}"/>
    <cellStyle name="Normal 36 89" xfId="3006" xr:uid="{99A4AC1C-29D7-41DF-9F36-80F5176C865B}"/>
    <cellStyle name="Normal 36 9" xfId="3007" xr:uid="{97B4B43E-D3F1-40B2-99BA-2B460F13A220}"/>
    <cellStyle name="Normal 36 90" xfId="3008" xr:uid="{012954E5-6F5D-4B39-80F5-EE73042D56FF}"/>
    <cellStyle name="Normal 36 91" xfId="3009" xr:uid="{5A182BA4-1A46-4912-9A07-231B4AA507A7}"/>
    <cellStyle name="Normal 36 92" xfId="3010" xr:uid="{4950D648-BE68-4961-BB33-C0847B40EF52}"/>
    <cellStyle name="Normal 36 93" xfId="3011" xr:uid="{04764A59-760A-4370-934E-D6E16526E282}"/>
    <cellStyle name="Normal 36 94" xfId="3012" xr:uid="{252811E2-A944-4B69-999C-142BE66A8939}"/>
    <cellStyle name="Normal 36 95" xfId="3013" xr:uid="{4B5A0880-6273-4A1E-8260-A4E9A59E7E85}"/>
    <cellStyle name="Normal 36 96" xfId="3014" xr:uid="{0453741C-C9E7-4816-99CC-D5A25DE96903}"/>
    <cellStyle name="Normal 36 97" xfId="3015" xr:uid="{727D72B8-EC9E-4DE0-B86F-397798EC5969}"/>
    <cellStyle name="Normal 36 98" xfId="3016" xr:uid="{91BD95D2-586F-48FA-8162-4CFEB5FEF0F1}"/>
    <cellStyle name="Normal 36 99" xfId="3017" xr:uid="{7F319A16-999B-4263-A494-09BF4B7E69AE}"/>
    <cellStyle name="Normal 37" xfId="3018" xr:uid="{2B46CD35-84C7-47C1-A2F5-D49756B40EF5}"/>
    <cellStyle name="Normal 38" xfId="3019" xr:uid="{9C882480-5D30-484A-A6CB-1C0154EE9842}"/>
    <cellStyle name="Normal 39" xfId="3020" xr:uid="{719013B1-DDA1-4D5A-8B88-1D04D2341BE2}"/>
    <cellStyle name="Normal 4" xfId="60" xr:uid="{E0E8CB46-ABCB-497A-8827-821804E01B9C}"/>
    <cellStyle name="Normal-- 4" xfId="3972" xr:uid="{F323C5AD-AB18-4BA3-9E3F-3E5C2BD3DD82}"/>
    <cellStyle name="Normal 4 10" xfId="3021" xr:uid="{79A1B091-5683-4D00-84E0-F5D7440FEADA}"/>
    <cellStyle name="Normal 4 10 2" xfId="3022" xr:uid="{E47753C9-C1D9-4626-A82C-95506745D7B4}"/>
    <cellStyle name="Normal 4 100" xfId="3023" xr:uid="{ECFA609C-E844-41CD-9FAD-D7E8C1BA641C}"/>
    <cellStyle name="Normal 4 101" xfId="3024" xr:uid="{E545DB91-A81F-4EC8-A05B-68C82DF2B080}"/>
    <cellStyle name="Normal 4 102" xfId="3025" xr:uid="{7C53C0D7-7EEF-43A9-92A2-8AF0FF83BDBA}"/>
    <cellStyle name="Normal 4 103" xfId="3026" xr:uid="{7125D7AA-D2DE-4519-A9D7-5D55E342EEAC}"/>
    <cellStyle name="Normal 4 104" xfId="3027" xr:uid="{BDE6ACE4-04E9-448C-B5F6-85CBC4A95F68}"/>
    <cellStyle name="Normal 4 105" xfId="3028" xr:uid="{E95AD15E-AFFA-43E7-BEC4-A30E545EB79F}"/>
    <cellStyle name="Normal 4 106" xfId="3029" xr:uid="{994EF53F-0269-4E9A-B7B0-50D07AFE5C19}"/>
    <cellStyle name="Normal 4 107" xfId="3030" xr:uid="{B0B9F3B4-CF90-48FC-ACED-7001ECF8D84D}"/>
    <cellStyle name="Normal 4 108" xfId="3031" xr:uid="{6447AA2D-E8F2-4713-B314-152AF9A6D190}"/>
    <cellStyle name="Normal 4 109" xfId="3032" xr:uid="{54FFCBB1-AD0A-4C72-914C-44BAF0F02CBA}"/>
    <cellStyle name="Normal 4 11" xfId="3033" xr:uid="{E5393A25-0F2A-44FB-A85C-E55F4DCFA35B}"/>
    <cellStyle name="Normal 4 11 2" xfId="3034" xr:uid="{F94783D8-22B0-4893-AC56-EA5438790EEE}"/>
    <cellStyle name="Normal 4 110" xfId="3035" xr:uid="{B9F798C8-D512-49E3-8FC1-3DC4BE70CFAB}"/>
    <cellStyle name="Normal 4 111" xfId="3036" xr:uid="{06FD3CDC-750E-4395-B80E-FF68D63BCA08}"/>
    <cellStyle name="Normal 4 112" xfId="3037" xr:uid="{D9B97205-6D1C-40F4-AA4B-941877987B04}"/>
    <cellStyle name="Normal 4 113" xfId="3038" xr:uid="{C245745B-3C13-41C8-8C4D-ACF2C3B0DAD6}"/>
    <cellStyle name="Normal 4 114" xfId="3039" xr:uid="{331A4012-9F9C-4ACB-80F6-8DB663A48B51}"/>
    <cellStyle name="Normal 4 115" xfId="3040" xr:uid="{6D20340C-3295-44D2-9718-EC7FED932344}"/>
    <cellStyle name="Normal 4 116" xfId="3041" xr:uid="{94137E36-5AF9-4E6A-B246-26FF7083E84D}"/>
    <cellStyle name="Normal 4 117" xfId="3042" xr:uid="{09281C8E-178B-4B7F-B07A-BD347B7216AC}"/>
    <cellStyle name="Normal 4 118" xfId="3043" xr:uid="{B7D9BDD9-46C7-4E38-9B61-2FA6AE8E363E}"/>
    <cellStyle name="Normal 4 119" xfId="3044" xr:uid="{FA5377A7-B971-44CD-85D9-70862BD0C559}"/>
    <cellStyle name="Normal 4 12" xfId="3045" xr:uid="{B178241C-2498-466F-8723-5B0766B91FC3}"/>
    <cellStyle name="Normal 4 12 2" xfId="3046" xr:uid="{1CF2ABEA-A1E7-49F3-BEB0-B92D025A9888}"/>
    <cellStyle name="Normal 4 120" xfId="3047" xr:uid="{D9662711-AC9D-480C-8AD0-4AED3B70B887}"/>
    <cellStyle name="Normal 4 13" xfId="3048" xr:uid="{F4BBE6F0-44E6-4145-9C05-94C0294E4498}"/>
    <cellStyle name="Normal 4 13 2" xfId="3049" xr:uid="{3FD2F7E3-3BAB-4FD5-AF9E-6DEA5F7E9188}"/>
    <cellStyle name="Normal 4 14" xfId="3050" xr:uid="{94208A13-5B82-4C46-9EA6-BAFE714DA7F6}"/>
    <cellStyle name="Normal 4 14 2" xfId="3051" xr:uid="{1AA510DC-B370-4199-9E3C-35B305C5497C}"/>
    <cellStyle name="Normal 4 15" xfId="3052" xr:uid="{6097CCE1-44BB-4590-8024-9CE68164C04D}"/>
    <cellStyle name="Normal 4 15 2" xfId="3053" xr:uid="{0C61D234-F0F2-4A35-96F6-2BA61177BEF2}"/>
    <cellStyle name="Normal 4 16" xfId="3054" xr:uid="{8C991F29-056E-4276-9FA4-E843719753E3}"/>
    <cellStyle name="Normal 4 16 2" xfId="3055" xr:uid="{B63AA6D7-ED3A-430D-8813-55D3221292BD}"/>
    <cellStyle name="Normal 4 17" xfId="3056" xr:uid="{1AC88527-EFF0-4B7F-ACC4-58CCA794F57C}"/>
    <cellStyle name="Normal 4 17 2" xfId="3057" xr:uid="{BFFDBBFA-1712-49BC-ABBA-9371E6F27C01}"/>
    <cellStyle name="Normal 4 18" xfId="3058" xr:uid="{845212F1-F1BB-4244-9A79-533165BD1F1F}"/>
    <cellStyle name="Normal 4 18 2" xfId="3059" xr:uid="{BDD57CCC-7B63-4182-9A52-85A5BF57249D}"/>
    <cellStyle name="Normal 4 19" xfId="3060" xr:uid="{5D16060D-8898-41A0-B418-D30DFD9473A8}"/>
    <cellStyle name="Normal 4 19 2" xfId="3061" xr:uid="{9AA8F8A3-4664-4E94-AC8C-43A9E331AB1F}"/>
    <cellStyle name="Normal 4 2" xfId="3062" xr:uid="{090EFBE6-39B9-4A99-A227-DD16B4D70863}"/>
    <cellStyle name="Normal 4 2 2" xfId="3063" xr:uid="{1C55CBF3-D693-4583-875F-0D852C540934}"/>
    <cellStyle name="Normal 4 2 3" xfId="3064" xr:uid="{33270777-ABAA-466D-8615-FAE3202AA0E5}"/>
    <cellStyle name="Normal 4 2 4" xfId="3065" xr:uid="{207E2D69-B8C4-4B29-9FFD-3EF1A222C01E}"/>
    <cellStyle name="Normal 4 2 5" xfId="3066" xr:uid="{F96D57D6-2F07-4466-A8F4-6F8795A67D0D}"/>
    <cellStyle name="Normal 4 2 6" xfId="3067" xr:uid="{53D10D92-B8F5-47A9-9C46-C3E671123ABB}"/>
    <cellStyle name="Normal 4 2 7" xfId="3068" xr:uid="{734EE394-4A1D-438A-94FE-D65F5B32F399}"/>
    <cellStyle name="Normal 4 2 8" xfId="3069" xr:uid="{28F678F6-406A-49B0-9261-324136D25722}"/>
    <cellStyle name="Normal 4 2 9" xfId="3070" xr:uid="{9277D011-B92F-4597-A55C-CDA71928CB13}"/>
    <cellStyle name="Normal 4 20" xfId="3071" xr:uid="{8E42BBB3-C28B-4E10-AC97-B871CE4D0065}"/>
    <cellStyle name="Normal 4 20 2" xfId="3072" xr:uid="{3847A2B2-E928-4CCE-B31B-ECF1EBE316CC}"/>
    <cellStyle name="Normal 4 21" xfId="3073" xr:uid="{007F86A9-64CA-4809-820D-DB7965A25E94}"/>
    <cellStyle name="Normal 4 21 2" xfId="3074" xr:uid="{9D5164A5-2756-435E-83FC-545872872974}"/>
    <cellStyle name="Normal 4 21 2 2" xfId="3075" xr:uid="{726B3F95-F890-487A-B61C-B03C6D72A3CA}"/>
    <cellStyle name="Normal 4 21 2 2 2" xfId="3076" xr:uid="{F3B0543E-B091-4836-AAD7-4C730B86FBE7}"/>
    <cellStyle name="Normal 4 21 2 2 2 2" xfId="3077" xr:uid="{3D35C161-A3AE-46BE-ADC7-CE3B6A6E93A3}"/>
    <cellStyle name="Normal 4 21 2 2 3" xfId="3078" xr:uid="{9F0370F7-D39C-4972-9527-EE266858EF49}"/>
    <cellStyle name="Normal 4 21 2 3" xfId="3079" xr:uid="{6B457629-8C51-462B-B843-40812B8A5D5B}"/>
    <cellStyle name="Normal 4 21 2 3 2" xfId="3080" xr:uid="{A0F10C49-A59C-4CB6-BCCF-8B9932729817}"/>
    <cellStyle name="Normal 4 21 2 4" xfId="3081" xr:uid="{AC1B2145-1DFF-4D83-89B5-40D6D8107CCF}"/>
    <cellStyle name="Normal 4 21 3" xfId="3082" xr:uid="{D7BECA7A-F215-49A0-82C0-2DD1E3C9340D}"/>
    <cellStyle name="Normal 4 21 3 2" xfId="3083" xr:uid="{2CCBAE07-4606-4722-AA62-850DD6F8C60D}"/>
    <cellStyle name="Normal 4 21 3 2 2" xfId="3084" xr:uid="{CC06FA24-FF01-4680-BCC6-F56D5B159C27}"/>
    <cellStyle name="Normal 4 21 3 2 2 2" xfId="3085" xr:uid="{FB594C60-BD47-4FF6-8B63-47333A68741B}"/>
    <cellStyle name="Normal 4 21 3 2 3" xfId="3086" xr:uid="{5C118470-AE0E-432C-9454-03A06C8A5D1A}"/>
    <cellStyle name="Normal 4 21 3 3" xfId="3087" xr:uid="{CDC04856-7343-4D42-9E83-AF06FEBBB4BA}"/>
    <cellStyle name="Normal 4 21 3 3 2" xfId="3088" xr:uid="{CA7D5FDC-954A-4043-A572-5E515BDF5AFB}"/>
    <cellStyle name="Normal 4 21 3 4" xfId="3089" xr:uid="{8723E309-5F97-4BE5-A80A-62A686156639}"/>
    <cellStyle name="Normal 4 21 4" xfId="3090" xr:uid="{EEDBE8C7-6DDF-4D3A-A8C4-8C58811A4F98}"/>
    <cellStyle name="Normal 4 21 4 2" xfId="3091" xr:uid="{871C9429-9933-40E3-957B-84D623A49D39}"/>
    <cellStyle name="Normal 4 21 4 2 2" xfId="3092" xr:uid="{4F56AD14-E32E-4704-BEA9-E8197658C8A9}"/>
    <cellStyle name="Normal 4 21 4 2 2 2" xfId="3093" xr:uid="{DBFFD3D6-2FEC-42FC-B5C8-E45208DA221B}"/>
    <cellStyle name="Normal 4 21 4 2 3" xfId="3094" xr:uid="{AC1F4D71-8D9C-466B-9598-2EC40EDC42FC}"/>
    <cellStyle name="Normal 4 21 4 3" xfId="3095" xr:uid="{C457634B-BE7E-414F-979A-E355600C4CB8}"/>
    <cellStyle name="Normal 4 21 4 3 2" xfId="3096" xr:uid="{6BE94F1C-5054-4FD1-9DB6-E24D75AD4E3D}"/>
    <cellStyle name="Normal 4 21 4 4" xfId="3097" xr:uid="{2F66E43A-B415-4AE4-B829-D495A68B976A}"/>
    <cellStyle name="Normal 4 21 5" xfId="3098" xr:uid="{DD51A4BC-EC8D-4A91-9601-F1B9CBED7AF8}"/>
    <cellStyle name="Normal 4 21 5 2" xfId="3099" xr:uid="{C9A10DDE-DEA3-461A-9AF0-9A374EFA7820}"/>
    <cellStyle name="Normal 4 21 5 2 2" xfId="3100" xr:uid="{A61F010A-242F-40C9-95ED-7BE97DFD9643}"/>
    <cellStyle name="Normal 4 21 5 3" xfId="3101" xr:uid="{4236629A-DBEF-4CA4-80A5-2E8826A9670D}"/>
    <cellStyle name="Normal 4 21 6" xfId="3102" xr:uid="{03C76DCF-CF80-4315-BCC0-1C72BF560D96}"/>
    <cellStyle name="Normal 4 21 6 2" xfId="3103" xr:uid="{E671584F-127D-4D1F-A583-5E8A04D28B27}"/>
    <cellStyle name="Normal 4 21 7" xfId="3104" xr:uid="{06A5D817-5EFB-40C1-B5A9-DE0B473638E2}"/>
    <cellStyle name="Normal 4 21 8" xfId="3105" xr:uid="{F44A66F5-F6BE-42E5-BE7B-54A3FA7AE7F2}"/>
    <cellStyle name="Normal 4 22" xfId="3106" xr:uid="{9BE06C1D-5964-4E0E-8C21-07E4F628DDC5}"/>
    <cellStyle name="Normal 4 22 2" xfId="3107" xr:uid="{99216B02-51D4-40ED-B4EF-9A69AE8A9550}"/>
    <cellStyle name="Normal 4 22 2 2" xfId="3108" xr:uid="{CEBD45DF-D608-4CD5-8BF9-360209E194CA}"/>
    <cellStyle name="Normal 4 22 2 2 2" xfId="3109" xr:uid="{277F6FC4-153C-46AA-982C-DBCA1F2C3EFC}"/>
    <cellStyle name="Normal 4 22 2 3" xfId="3110" xr:uid="{75BE9285-8732-4783-B5EE-E1CBDE55F539}"/>
    <cellStyle name="Normal 4 22 3" xfId="3111" xr:uid="{B7E01D32-4788-4EB9-B45C-A6F3D644AB81}"/>
    <cellStyle name="Normal 4 22 3 2" xfId="3112" xr:uid="{1EE9069E-B7C6-4938-8DDD-55C906B58803}"/>
    <cellStyle name="Normal 4 22 4" xfId="3113" xr:uid="{077F5847-6161-4D22-A378-D838E5744997}"/>
    <cellStyle name="Normal 4 22 5" xfId="3114" xr:uid="{99C5EA05-0CDC-4C2C-8F61-C5DECAB418A4}"/>
    <cellStyle name="Normal 4 23" xfId="3115" xr:uid="{484B0D60-2CA8-456F-9232-934B2772E770}"/>
    <cellStyle name="Normal 4 23 2" xfId="3116" xr:uid="{7E20C086-1EF0-49AD-AA56-780B3A8A5EF6}"/>
    <cellStyle name="Normal 4 23 2 2" xfId="3117" xr:uid="{FFCF3016-F02A-4A7A-B2BB-BE11FFBE112A}"/>
    <cellStyle name="Normal 4 23 2 2 2" xfId="3118" xr:uid="{3D10209D-3297-47AA-A772-9A1247F6154D}"/>
    <cellStyle name="Normal 4 23 2 3" xfId="3119" xr:uid="{5A177F81-7783-4CAC-B9A6-1CE349CF71C8}"/>
    <cellStyle name="Normal 4 23 3" xfId="3120" xr:uid="{E5925440-E363-4E09-BAE0-00CD4DC96073}"/>
    <cellStyle name="Normal 4 23 3 2" xfId="3121" xr:uid="{415CEE6A-DA81-4556-8E90-5E8FCBE9C2A8}"/>
    <cellStyle name="Normal 4 23 4" xfId="3122" xr:uid="{BFE77DAD-D680-4F94-98F5-4B667AC99328}"/>
    <cellStyle name="Normal 4 23 5" xfId="3123" xr:uid="{86937147-237F-4D86-9882-3624F0AA6D58}"/>
    <cellStyle name="Normal 4 24" xfId="3124" xr:uid="{51E5BFDE-ABB1-461D-8552-76B71435E299}"/>
    <cellStyle name="Normal 4 24 2" xfId="3125" xr:uid="{CEFF616A-84C0-4B14-958C-F9EAD68729B0}"/>
    <cellStyle name="Normal 4 24 2 2" xfId="3126" xr:uid="{41A5C2F1-A17B-4EB2-B5CB-E417ABDDA853}"/>
    <cellStyle name="Normal 4 24 2 2 2" xfId="3127" xr:uid="{15FB14F2-6539-425F-A590-F6624A12273A}"/>
    <cellStyle name="Normal 4 24 2 3" xfId="3128" xr:uid="{0FE15A1E-5B05-493D-99AC-096E93CCEE17}"/>
    <cellStyle name="Normal 4 24 3" xfId="3129" xr:uid="{C5462650-0977-4D0D-92E1-5001FF947DBB}"/>
    <cellStyle name="Normal 4 24 3 2" xfId="3130" xr:uid="{EF6CD47A-4891-496B-B38D-C8E92CFC4121}"/>
    <cellStyle name="Normal 4 24 4" xfId="3131" xr:uid="{C44B4CB1-9E71-41E9-ACB5-C4813E4731B2}"/>
    <cellStyle name="Normal 4 24 5" xfId="3132" xr:uid="{233B30C1-D4E6-41D2-BA4C-756AE2F37DAC}"/>
    <cellStyle name="Normal 4 25" xfId="3133" xr:uid="{0ECA691F-D072-422B-9CE8-3EAAFBAC15D4}"/>
    <cellStyle name="Normal 4 25 2" xfId="3134" xr:uid="{EBCFB946-E3B4-4EE6-9269-2D37F075F018}"/>
    <cellStyle name="Normal 4 25 2 2" xfId="3135" xr:uid="{E5CAAFFF-7EDE-46F6-9EC1-02DCF3823FB6}"/>
    <cellStyle name="Normal 4 25 3" xfId="3136" xr:uid="{1C54AC44-93AB-40F1-BC65-3C1044EDFE8E}"/>
    <cellStyle name="Normal 4 25 4" xfId="3137" xr:uid="{0DAA0FA4-B40B-41F4-BCFB-8DEC9622824A}"/>
    <cellStyle name="Normal 4 26" xfId="3138" xr:uid="{329A5ED9-9EB7-4D6C-824C-5B0B593B05BA}"/>
    <cellStyle name="Normal 4 26 2" xfId="3139" xr:uid="{ED2C8096-1F6F-4DDE-865C-AD49086E2955}"/>
    <cellStyle name="Normal 4 27" xfId="3140" xr:uid="{528C093E-59AB-4A81-83F7-E8DF2A3BC6EF}"/>
    <cellStyle name="Normal 4 27 2" xfId="3141" xr:uid="{49947A72-9419-4D1C-9563-16B967B09A2B}"/>
    <cellStyle name="Normal 4 27 2 2" xfId="3142" xr:uid="{6782C965-BC6A-4429-AD81-95A09CDE75B5}"/>
    <cellStyle name="Normal 4 27 3" xfId="3143" xr:uid="{92E314C5-F939-456D-9926-A8587CBCF31B}"/>
    <cellStyle name="Normal 4 27 4" xfId="3144" xr:uid="{06246B6E-A4C9-44BF-A495-32905D48ADBD}"/>
    <cellStyle name="Normal 4 28" xfId="3145" xr:uid="{544409AE-1848-4223-AFDE-629EDBF8AC6C}"/>
    <cellStyle name="Normal 4 28 2" xfId="3146" xr:uid="{097E3396-FB54-4CA2-AF42-ECB973762DFB}"/>
    <cellStyle name="Normal 4 28 3" xfId="3147" xr:uid="{65250E36-A7C9-42EF-B318-115628CD3962}"/>
    <cellStyle name="Normal 4 29" xfId="3148" xr:uid="{3608422B-978F-4032-8A10-D75BE9C069B9}"/>
    <cellStyle name="Normal 4 29 2" xfId="3149" xr:uid="{BFFE11E0-7E2D-41EA-93D5-8FDAC19F4382}"/>
    <cellStyle name="Normal 4 3" xfId="3150" xr:uid="{5884C0FB-FDFB-43CE-8AD8-2585DF6F4E4A}"/>
    <cellStyle name="Normal 4 3 2" xfId="3151" xr:uid="{15984DC8-119D-4A18-BA1A-FFA130ED4DB0}"/>
    <cellStyle name="Normal 4 3 2 2" xfId="3152" xr:uid="{52DD5203-6A54-4422-8FB8-15CCE7586471}"/>
    <cellStyle name="Normal 4 3 2 2 2" xfId="3153" xr:uid="{073FF470-EDBA-499F-81E1-228A48BEF1B6}"/>
    <cellStyle name="Normal 4 3 2 3" xfId="3154" xr:uid="{81FE78E7-C31B-4125-BB5A-C74E904D70E3}"/>
    <cellStyle name="Normal 4 3 2 4" xfId="3155" xr:uid="{7D75B08D-E5C3-44C3-BD14-40898EC87B1F}"/>
    <cellStyle name="Normal 4 3 3" xfId="3156" xr:uid="{F6F456FB-E06F-4E68-A5B6-1527BA6810BC}"/>
    <cellStyle name="Normal 4 3 4" xfId="3157" xr:uid="{5A4ED28E-268B-41F6-A83C-AE106642076E}"/>
    <cellStyle name="Normal 4 30" xfId="3158" xr:uid="{1E51392C-DBF9-4D63-97D7-E387614D3CD5}"/>
    <cellStyle name="Normal 4 30 2" xfId="3159" xr:uid="{80BE2C76-BD39-4DD8-A6E3-4B580A6A061E}"/>
    <cellStyle name="Normal 4 31" xfId="3160" xr:uid="{C5E12CB7-8185-4214-9821-90607B3031ED}"/>
    <cellStyle name="Normal 4 31 2" xfId="3161" xr:uid="{EFC19C07-733E-4D7A-985A-01CADE920B61}"/>
    <cellStyle name="Normal 4 32" xfId="3162" xr:uid="{5E440FCF-FE7B-40EA-AAA2-D9FDB11F0B6B}"/>
    <cellStyle name="Normal 4 32 2" xfId="3163" xr:uid="{2DEC9970-3F42-456A-9178-27F803C0F703}"/>
    <cellStyle name="Normal 4 33" xfId="3164" xr:uid="{B1BD9E60-AB89-44B0-8087-A5EEE1C3C2CC}"/>
    <cellStyle name="Normal 4 33 2" xfId="3165" xr:uid="{C7AD019F-9E2E-4707-A731-795D92A98C99}"/>
    <cellStyle name="Normal 4 34" xfId="3166" xr:uid="{FA22ADC7-99B4-4513-94AD-C7FC6270552B}"/>
    <cellStyle name="Normal 4 35" xfId="3167" xr:uid="{8F9F8B3C-FD95-40E9-B4C2-47BF326D9359}"/>
    <cellStyle name="Normal 4 36" xfId="3168" xr:uid="{177EE5FD-01DC-4BC1-9DFD-DFC8A74175E6}"/>
    <cellStyle name="Normal 4 37" xfId="3169" xr:uid="{FF09629F-8A2A-43BC-9267-247E5B6F69C9}"/>
    <cellStyle name="Normal 4 38" xfId="3170" xr:uid="{30B6BB27-443C-40BF-AFF7-4F4864799016}"/>
    <cellStyle name="Normal 4 39" xfId="3171" xr:uid="{EAF25B93-DB68-41D1-98F2-EFE998403372}"/>
    <cellStyle name="Normal 4 4" xfId="3172" xr:uid="{FA724A2A-9D80-4371-8976-4954DE4CB1D8}"/>
    <cellStyle name="Normal 4 4 2" xfId="3173" xr:uid="{1E3B536F-8338-42CD-B705-C413462B3E30}"/>
    <cellStyle name="Normal 4 4 3" xfId="3174" xr:uid="{41920133-200C-4667-9D88-D2E4DD2BE8AF}"/>
    <cellStyle name="Normal 4 4 4" xfId="3175" xr:uid="{CA7BC679-3288-4F1A-9712-5DC26550136A}"/>
    <cellStyle name="Normal 4 40" xfId="3176" xr:uid="{83FDFB9C-6292-4709-B8AB-B84CCCAAD3D0}"/>
    <cellStyle name="Normal 4 41" xfId="3177" xr:uid="{F5AECC31-13E0-4201-B412-FD5F202063D3}"/>
    <cellStyle name="Normal 4 42" xfId="3178" xr:uid="{BF4D7222-159C-42AC-BDB4-4E2FAC4E4C98}"/>
    <cellStyle name="Normal 4 43" xfId="3179" xr:uid="{846CBB10-0A69-4B33-9682-AAA9873C7F4A}"/>
    <cellStyle name="Normal 4 44" xfId="3180" xr:uid="{5F157734-286F-4890-B33E-A02845A3419B}"/>
    <cellStyle name="Normal 4 45" xfId="3181" xr:uid="{40E3A2B9-AB53-4C1E-9796-75DDC07840AB}"/>
    <cellStyle name="Normal 4 46" xfId="3182" xr:uid="{D09C0F0A-9308-4917-933E-84A38CBC35AE}"/>
    <cellStyle name="Normal 4 47" xfId="3183" xr:uid="{5F2E0C53-39D4-4238-AB87-29B19FE12FDD}"/>
    <cellStyle name="Normal 4 48" xfId="3184" xr:uid="{D5108238-954C-45AE-B3B9-25E34B4CEC97}"/>
    <cellStyle name="Normal 4 49" xfId="3185" xr:uid="{541C77D8-9381-4659-81A5-399F971BD9A4}"/>
    <cellStyle name="Normal 4 5" xfId="3186" xr:uid="{57E26233-E2E8-4BC3-B0CA-0E4CE0EC3835}"/>
    <cellStyle name="Normal 4 5 2" xfId="3187" xr:uid="{C24AF2E7-BCC5-4714-8619-E5752CC4245B}"/>
    <cellStyle name="Normal 4 50" xfId="3188" xr:uid="{C0E38961-BF68-4408-96B3-D5CC10FE3F1C}"/>
    <cellStyle name="Normal 4 51" xfId="3189" xr:uid="{76573C46-5554-48BD-9C83-9EF49C708690}"/>
    <cellStyle name="Normal 4 52" xfId="3190" xr:uid="{80A63774-0E5C-4573-A123-569A8396BB3B}"/>
    <cellStyle name="Normal 4 53" xfId="3191" xr:uid="{B960F310-7A96-4D61-874E-2A14898296EE}"/>
    <cellStyle name="Normal 4 54" xfId="3192" xr:uid="{CB26326B-05B4-4350-9F37-72303D2CB231}"/>
    <cellStyle name="Normal 4 55" xfId="3193" xr:uid="{82625A85-65C5-4E73-9654-F967EDCDE80B}"/>
    <cellStyle name="Normal 4 56" xfId="3194" xr:uid="{2AF8E483-7DCD-4F47-A090-A36F8BA83162}"/>
    <cellStyle name="Normal 4 57" xfId="3195" xr:uid="{BF3FBFB3-3FE2-4FF4-B063-F5145854F335}"/>
    <cellStyle name="Normal 4 58" xfId="3196" xr:uid="{F1DB225F-FDD6-4075-9CFD-D3E6D5BBCA31}"/>
    <cellStyle name="Normal 4 59" xfId="3197" xr:uid="{66C3517F-1AA3-4385-A7B5-E8EC3DB3D5B6}"/>
    <cellStyle name="Normal 4 6" xfId="3198" xr:uid="{0E0A39DE-695C-413D-AAEB-FDEBF835B8C5}"/>
    <cellStyle name="Normal 4 6 2" xfId="3199" xr:uid="{33C1428D-4996-40E5-9F38-DD9415FD420F}"/>
    <cellStyle name="Normal 4 60" xfId="3200" xr:uid="{AF36880A-E9F4-47C5-8EF4-0E0369C91297}"/>
    <cellStyle name="Normal 4 61" xfId="3201" xr:uid="{7D4FC917-545A-4135-B1F2-95A69A769509}"/>
    <cellStyle name="Normal 4 62" xfId="3202" xr:uid="{C2DB7484-2C7F-407D-8224-05ED8EDA2AF8}"/>
    <cellStyle name="Normal 4 63" xfId="3203" xr:uid="{C575EEAD-E01B-4159-AE93-64E663727148}"/>
    <cellStyle name="Normal 4 64" xfId="3204" xr:uid="{A05EA092-92EE-4182-A37C-888D27561F3E}"/>
    <cellStyle name="Normal 4 65" xfId="3205" xr:uid="{9324B190-403E-46B7-A542-1134B675BE6C}"/>
    <cellStyle name="Normal 4 66" xfId="3206" xr:uid="{3307AC8F-18D2-4937-A293-E4D4F8010DB5}"/>
    <cellStyle name="Normal 4 67" xfId="3207" xr:uid="{426F1C3A-5D33-4345-ABFE-00EABBA2A530}"/>
    <cellStyle name="Normal 4 68" xfId="3208" xr:uid="{0D32DDE2-CD50-42AF-ADAF-15139BBC5470}"/>
    <cellStyle name="Normal 4 69" xfId="3209" xr:uid="{B84528F2-2A0D-43FB-B021-75F6F3DE20DB}"/>
    <cellStyle name="Normal 4 7" xfId="3210" xr:uid="{D4C32353-5ED9-4F3D-BDC0-31C51BE3BA42}"/>
    <cellStyle name="Normal 4 7 2" xfId="3211" xr:uid="{D3542155-EE3B-40BD-AD4D-AAD6D166168F}"/>
    <cellStyle name="Normal 4 70" xfId="3212" xr:uid="{A1EE4C0A-A2C2-4556-BFB9-4354A3453B36}"/>
    <cellStyle name="Normal 4 71" xfId="3213" xr:uid="{A21EA610-E20F-4C37-BDF3-610397AA44EC}"/>
    <cellStyle name="Normal 4 72" xfId="3214" xr:uid="{D93EF730-BF48-4ED6-9264-FFA2BAF96833}"/>
    <cellStyle name="Normal 4 73" xfId="3215" xr:uid="{8875868E-1FCA-44DF-AC51-C88DFCCE82CF}"/>
    <cellStyle name="Normal 4 74" xfId="3216" xr:uid="{E486FF96-D165-4F30-AB17-5B531D6CA983}"/>
    <cellStyle name="Normal 4 75" xfId="3217" xr:uid="{CA9D29DC-010A-4A33-88F8-F389F1CAA324}"/>
    <cellStyle name="Normal 4 76" xfId="3218" xr:uid="{4E4710EF-17F3-409F-A73D-20441DE9E39F}"/>
    <cellStyle name="Normal 4 77" xfId="3219" xr:uid="{A8573CE3-391D-4C89-8CA2-894078A3D045}"/>
    <cellStyle name="Normal 4 78" xfId="3220" xr:uid="{5F2CCE87-53A0-4FBE-9D50-0402EE0A04AB}"/>
    <cellStyle name="Normal 4 79" xfId="3221" xr:uid="{1DC43DF1-7736-4BE7-8A02-B98A402C854F}"/>
    <cellStyle name="Normal 4 8" xfId="3222" xr:uid="{7697C260-0794-40EB-8412-3D2A6690894B}"/>
    <cellStyle name="Normal 4 8 2" xfId="3223" xr:uid="{6169D269-2FAD-4D3A-B26B-62F780D79889}"/>
    <cellStyle name="Normal 4 80" xfId="3224" xr:uid="{112157FC-8E49-4E8F-92B2-CB819BB111DA}"/>
    <cellStyle name="Normal 4 81" xfId="3225" xr:uid="{7AC290EF-6B3E-4A58-B81F-2828DBAA6E2A}"/>
    <cellStyle name="Normal 4 82" xfId="3226" xr:uid="{263787C1-5F8B-46B4-A21A-D26FB0C43C54}"/>
    <cellStyle name="Normal 4 83" xfId="3227" xr:uid="{1B48D803-EE70-4600-8174-87845009F96B}"/>
    <cellStyle name="Normal 4 84" xfId="3228" xr:uid="{9CA8B6B7-5AB3-42BD-9561-5AF3C09B3F8C}"/>
    <cellStyle name="Normal 4 85" xfId="3229" xr:uid="{DD7E035D-4108-4EE8-AB41-B5B0DD234CB9}"/>
    <cellStyle name="Normal 4 86" xfId="3230" xr:uid="{ADBA751B-AF6C-4C8E-B8AA-37F965D6FAE4}"/>
    <cellStyle name="Normal 4 87" xfId="3231" xr:uid="{FC0CD18E-CC0F-457D-B873-2EFF6364E611}"/>
    <cellStyle name="Normal 4 88" xfId="3232" xr:uid="{55F65661-F748-445B-921E-2919A0695B10}"/>
    <cellStyle name="Normal 4 89" xfId="3233" xr:uid="{AC07199F-BB5A-4FCC-8047-23B2E66EBE80}"/>
    <cellStyle name="Normal 4 9" xfId="3234" xr:uid="{4D4A26D0-1764-42D5-8490-C059D8545941}"/>
    <cellStyle name="Normal 4 9 2" xfId="3235" xr:uid="{7B0D2630-4D29-499E-9C6B-8618691B7731}"/>
    <cellStyle name="Normal 4 90" xfId="3236" xr:uid="{2C026F3F-39B7-4D91-9D9C-9CF14F0FD34E}"/>
    <cellStyle name="Normal 4 91" xfId="3237" xr:uid="{F5C18172-D289-4A8F-98F8-4AD4FE46D283}"/>
    <cellStyle name="Normal 4 92" xfId="3238" xr:uid="{A1FEA938-71FB-46AB-AB21-48B9DA60FC84}"/>
    <cellStyle name="Normal 4 93" xfId="3239" xr:uid="{DEADC250-F0A1-4725-99D2-2797AA1C2FEA}"/>
    <cellStyle name="Normal 4 94" xfId="3240" xr:uid="{63437B64-95BF-45EB-912E-B0ADC1C58E7E}"/>
    <cellStyle name="Normal 4 95" xfId="3241" xr:uid="{EEA2B005-9F9E-4AB0-AE23-E1E1EB919AA4}"/>
    <cellStyle name="Normal 4 96" xfId="3242" xr:uid="{78135965-B475-4D7F-B22B-11788974304E}"/>
    <cellStyle name="Normal 4 97" xfId="3243" xr:uid="{B93D9AD5-FDE6-4622-A5C3-F0867200D140}"/>
    <cellStyle name="Normal 4 98" xfId="3244" xr:uid="{419370AB-AA06-4D5F-94C7-F4F90B5A1F51}"/>
    <cellStyle name="Normal 4 99" xfId="3245" xr:uid="{3FDC26CA-FB4B-4A94-9481-D0CD547369E5}"/>
    <cellStyle name="Normal 40" xfId="3246" xr:uid="{A4A2E47A-3CEA-4B0C-B087-AF9C1FE26308}"/>
    <cellStyle name="Normal 41" xfId="3247" xr:uid="{517691CA-2C76-45D6-948C-EEBA89EE523B}"/>
    <cellStyle name="Normal 42" xfId="3248" xr:uid="{D50F006B-EE2E-47A5-9B0C-52BE907F222E}"/>
    <cellStyle name="Normal 43" xfId="3249" xr:uid="{10634890-F454-44F6-BA00-29FDA1B77951}"/>
    <cellStyle name="Normal 44" xfId="3250" xr:uid="{051FC0D6-192F-4799-A76D-96D3BF958004}"/>
    <cellStyle name="Normal 45" xfId="3251" xr:uid="{CF7423FE-D5E8-468F-87FB-DC0985A42280}"/>
    <cellStyle name="Normal 46" xfId="3252" xr:uid="{A84A754A-9A1D-4B0A-AA9C-F1A47FDECADC}"/>
    <cellStyle name="Normal 47" xfId="3253" xr:uid="{259CA805-D56D-49FB-97C3-399F5EA6731B}"/>
    <cellStyle name="Normal 47 10" xfId="3254" xr:uid="{8D9185AC-5CC7-4233-9804-93E70FA4BE04}"/>
    <cellStyle name="Normal 47 11" xfId="3255" xr:uid="{BA848E74-BF5C-4C15-AD45-AD5CFA0BF2D8}"/>
    <cellStyle name="Normal 47 11 2" xfId="3256" xr:uid="{67B0414D-FFB0-434F-8A87-66732C077EF9}"/>
    <cellStyle name="Normal 47 11 3" xfId="3257" xr:uid="{0D798BFD-8C17-43A5-A9D7-E651FCD76FDC}"/>
    <cellStyle name="Normal 47 11 4" xfId="3258" xr:uid="{48A2C4F4-C7AA-4E7A-AD94-1E9F35B26BF3}"/>
    <cellStyle name="Normal 47 11 5" xfId="3259" xr:uid="{AFE3975F-11B6-4B11-A576-F4982292B61E}"/>
    <cellStyle name="Normal 47 11 6" xfId="3260" xr:uid="{8E88C5CD-31DF-4EFE-8542-5325739CAE90}"/>
    <cellStyle name="Normal 47 11 7" xfId="3261" xr:uid="{B3D2D664-A439-44C4-86EC-BC06388C2118}"/>
    <cellStyle name="Normal 47 11 8" xfId="3262" xr:uid="{A2389061-3141-48A5-938D-5A73E5376B04}"/>
    <cellStyle name="Normal 47 12" xfId="3263" xr:uid="{4B5A0FA3-781C-4407-AA51-158907C1A9FF}"/>
    <cellStyle name="Normal 47 13" xfId="3264" xr:uid="{2BBFD0A5-A99A-4004-8665-E8D25AD3E927}"/>
    <cellStyle name="Normal 47 14" xfId="3265" xr:uid="{DF3FBDE2-E27A-4A18-8E09-58E57636BF91}"/>
    <cellStyle name="Normal 47 15" xfId="3266" xr:uid="{21E6C0B9-E986-463E-B4F1-C98966A8C6C9}"/>
    <cellStyle name="Normal 47 16" xfId="3267" xr:uid="{277940FA-0A7D-48E3-A023-3730B67E43E1}"/>
    <cellStyle name="Normal 47 17" xfId="3268" xr:uid="{29F6EA37-1E17-4212-B645-B3CBAE29F5AE}"/>
    <cellStyle name="Normal 47 2" xfId="3269" xr:uid="{C9D0DD54-8D57-40BD-8F28-B0CB9E6E27EC}"/>
    <cellStyle name="Normal 47 3" xfId="3270" xr:uid="{04A52FE6-E4CA-46AE-8737-7BC1B86F4722}"/>
    <cellStyle name="Normal 47 3 2" xfId="3271" xr:uid="{7288CB28-1CB4-47BC-A52D-917A8B69F9F3}"/>
    <cellStyle name="Normal 47 3 3" xfId="3272" xr:uid="{01D7E0EF-F80F-41BF-9A29-A99142626A0F}"/>
    <cellStyle name="Normal 47 3 4" xfId="3273" xr:uid="{4446FDA2-BE6A-44F2-ACFE-D94C5CBF8C56}"/>
    <cellStyle name="Normal 47 3 5" xfId="3274" xr:uid="{151FAF11-9BE8-46BA-80F9-BC12E856B46F}"/>
    <cellStyle name="Normal 47 3 6" xfId="3275" xr:uid="{BBB4B593-BBA8-4734-B29B-482154A7CFDE}"/>
    <cellStyle name="Normal 47 3 7" xfId="3276" xr:uid="{2ED53E69-CFAF-43F1-A901-2E23C3FCAB60}"/>
    <cellStyle name="Normal 47 3 8" xfId="3277" xr:uid="{F9F53ABA-F22D-4BBE-9C6A-D6C1DDEA150F}"/>
    <cellStyle name="Normal 47 4" xfId="3278" xr:uid="{733A4F72-3FA7-44F4-A832-C704691030F7}"/>
    <cellStyle name="Normal 47 4 2" xfId="3279" xr:uid="{C3E98366-04D3-4FB9-BFF3-6E298356E1E4}"/>
    <cellStyle name="Normal 47 4 3" xfId="3280" xr:uid="{E89174F1-86F2-4AFC-8A7F-31BB9BDFDCCB}"/>
    <cellStyle name="Normal 47 4 4" xfId="3281" xr:uid="{909AC8FD-DAD0-4773-A44F-EEE3411AB6C1}"/>
    <cellStyle name="Normal 47 4 5" xfId="3282" xr:uid="{CCC43040-9AC6-4A0D-8024-8CE93DF94E11}"/>
    <cellStyle name="Normal 47 4 6" xfId="3283" xr:uid="{93F5623F-D57A-47ED-BF25-E9046330610F}"/>
    <cellStyle name="Normal 47 4 7" xfId="3284" xr:uid="{2B930CBC-42DC-4346-81CA-D77A382D2DC3}"/>
    <cellStyle name="Normal 47 4 8" xfId="3285" xr:uid="{36BE6DDE-AE29-4091-BE1A-EB4EDA8BF4F9}"/>
    <cellStyle name="Normal 47 5" xfId="3286" xr:uid="{9D550F06-D16D-4223-B2B8-B2C36B0056C1}"/>
    <cellStyle name="Normal 47 5 2" xfId="3287" xr:uid="{21FAAB7C-B809-413B-849A-D83D41B93E4C}"/>
    <cellStyle name="Normal 47 5 3" xfId="3288" xr:uid="{E0B3D4EF-F00D-4540-88B1-543F998EFB19}"/>
    <cellStyle name="Normal 47 5 4" xfId="3289" xr:uid="{9DFF56B2-7304-4293-B988-5874AD646201}"/>
    <cellStyle name="Normal 47 5 5" xfId="3290" xr:uid="{67A49750-3AC0-44E5-89CC-C107C3E4C1A2}"/>
    <cellStyle name="Normal 47 5 6" xfId="3291" xr:uid="{562E2E46-6C22-4B0C-8837-3F13D892DE3F}"/>
    <cellStyle name="Normal 47 5 7" xfId="3292" xr:uid="{81CAD338-343E-4369-A43B-06161F81BA8E}"/>
    <cellStyle name="Normal 47 5 8" xfId="3293" xr:uid="{0BAD8A40-C240-4B5B-ACDE-2D421A116BFD}"/>
    <cellStyle name="Normal 47 6" xfId="3294" xr:uid="{301BD8C9-ED13-4993-8D18-1D6C2A97E298}"/>
    <cellStyle name="Normal 47 6 2" xfId="3295" xr:uid="{6E8E6F2B-FE85-465C-AEC1-13279620EDA4}"/>
    <cellStyle name="Normal 47 6 3" xfId="3296" xr:uid="{936D9AF4-4945-4510-B116-FC2D02A5D289}"/>
    <cellStyle name="Normal 47 6 4" xfId="3297" xr:uid="{B97E86EF-B2A8-44CB-914A-26009D4F39EE}"/>
    <cellStyle name="Normal 47 6 5" xfId="3298" xr:uid="{D12E4CE4-F0F1-4EDA-9477-E6A32025A7D1}"/>
    <cellStyle name="Normal 47 6 6" xfId="3299" xr:uid="{15BED64E-DF2B-4780-9E44-193DCFB251CF}"/>
    <cellStyle name="Normal 47 6 7" xfId="3300" xr:uid="{1A2E8F86-171A-4685-97C3-1295130F00C9}"/>
    <cellStyle name="Normal 47 6 8" xfId="3301" xr:uid="{366ABE72-BF0C-45A8-BDD2-FA3C90454215}"/>
    <cellStyle name="Normal 47 7" xfId="3302" xr:uid="{D1294A57-35EE-4DBA-8F12-B57E6DB5E5FC}"/>
    <cellStyle name="Normal 47 7 2" xfId="3303" xr:uid="{89496D07-D650-4C7F-AE2F-03435073DE92}"/>
    <cellStyle name="Normal 47 7 3" xfId="3304" xr:uid="{74503DEA-2E17-4412-B478-4A5F6217C677}"/>
    <cellStyle name="Normal 47 7 4" xfId="3305" xr:uid="{EA11B7F6-B1B2-419F-A687-4CFD810908F3}"/>
    <cellStyle name="Normal 47 7 5" xfId="3306" xr:uid="{77966A33-FF20-465F-8748-67825CCC145E}"/>
    <cellStyle name="Normal 47 7 6" xfId="3307" xr:uid="{3F1327EF-1CA8-48DE-9FAD-1FE3921C81B2}"/>
    <cellStyle name="Normal 47 7 7" xfId="3308" xr:uid="{5D6D19D2-0A29-4FCA-9613-5CB0D7C1AB8B}"/>
    <cellStyle name="Normal 47 7 8" xfId="3309" xr:uid="{E9FAA32C-482A-4E4E-844F-845918717607}"/>
    <cellStyle name="Normal 47 8" xfId="3310" xr:uid="{BB2F8A9B-402E-429C-B126-53AAF4292198}"/>
    <cellStyle name="Normal 47 8 2" xfId="3311" xr:uid="{02893DD5-85FD-4ADA-AAC6-1FC01D16F80F}"/>
    <cellStyle name="Normal 47 8 3" xfId="3312" xr:uid="{D231659A-E062-4D8C-A30B-08C3FB6F0B1A}"/>
    <cellStyle name="Normal 47 8 4" xfId="3313" xr:uid="{1B7BD9AB-2660-49FB-B4AF-976A8C516638}"/>
    <cellStyle name="Normal 47 8 5" xfId="3314" xr:uid="{99AC8DC0-0AA8-491B-9438-45DD0554A906}"/>
    <cellStyle name="Normal 47 8 6" xfId="3315" xr:uid="{6071C190-B111-4760-87EB-12B9F7B9D53C}"/>
    <cellStyle name="Normal 47 8 7" xfId="3316" xr:uid="{3A8263AC-F5B7-41E6-8A2A-F7C7D175722B}"/>
    <cellStyle name="Normal 47 8 8" xfId="3317" xr:uid="{BB44EF4F-37A5-476E-AB60-8506718CD6A3}"/>
    <cellStyle name="Normal 47 9" xfId="3318" xr:uid="{B04292F1-6394-4F46-9F0C-6F23225CF657}"/>
    <cellStyle name="Normal 48" xfId="3319" xr:uid="{F7AA7D81-24F7-41ED-8F1E-43AE644F3ED7}"/>
    <cellStyle name="Normal 49" xfId="3320" xr:uid="{8F63BB1F-B709-4C77-A48F-D2777E146FC6}"/>
    <cellStyle name="Normal 49 2" xfId="3321" xr:uid="{E18BD54D-7C3B-4620-ABAB-082428950E9B}"/>
    <cellStyle name="Normal 49 2 2" xfId="3322" xr:uid="{8C8CE05D-2EEF-4829-BB45-BAE1D5DD3A89}"/>
    <cellStyle name="Normal 49 2 2 2" xfId="3323" xr:uid="{32E33480-B4F4-4B07-861D-28846C1B6FA3}"/>
    <cellStyle name="Normal 49 2 2 2 2" xfId="3324" xr:uid="{9C00DF45-5DF4-4E39-B5EC-CB199EB16CFB}"/>
    <cellStyle name="Normal 49 2 2 3" xfId="3325" xr:uid="{B227924F-DE8C-42C3-A34D-D2CD1D8C8AF9}"/>
    <cellStyle name="Normal 49 2 3" xfId="3326" xr:uid="{C06A82F1-7440-400D-9C2B-388670CCD62B}"/>
    <cellStyle name="Normal 49 2 3 2" xfId="3327" xr:uid="{B1769341-DAED-435B-B873-7F857FA8F61C}"/>
    <cellStyle name="Normal 49 2 4" xfId="3328" xr:uid="{28BD6426-AF75-48A1-A477-B7D1DAFEAE97}"/>
    <cellStyle name="Normal 49 3" xfId="3329" xr:uid="{EF8801CC-3C93-480E-ADC5-6FF6735C77E6}"/>
    <cellStyle name="Normal 49 3 2" xfId="3330" xr:uid="{B3F4F276-9375-4CFD-B03F-53A436E46FF2}"/>
    <cellStyle name="Normal 49 3 2 2" xfId="3331" xr:uid="{87F4BEF2-7BD9-4C20-B621-46433D5E9D18}"/>
    <cellStyle name="Normal 49 3 2 2 2" xfId="3332" xr:uid="{62B64217-D50D-4F48-B153-E5FB8ADACC68}"/>
    <cellStyle name="Normal 49 3 2 3" xfId="3333" xr:uid="{B8CD5BDF-96A2-45EA-BE56-CC704529B242}"/>
    <cellStyle name="Normal 49 3 3" xfId="3334" xr:uid="{7DAF6AAE-A1FD-4355-99BA-9799CF1E85CA}"/>
    <cellStyle name="Normal 49 3 3 2" xfId="3335" xr:uid="{21C9E996-C692-472E-98F8-936224F95B23}"/>
    <cellStyle name="Normal 49 3 4" xfId="3336" xr:uid="{A1C8D720-8FAF-4704-B836-CB2B6B02F1E6}"/>
    <cellStyle name="Normal 49 4" xfId="3337" xr:uid="{A6A7E16D-917F-4189-90E0-D298EA48AE4F}"/>
    <cellStyle name="Normal 49 4 2" xfId="3338" xr:uid="{A1D75603-F261-4F2E-8D65-851C25E285D4}"/>
    <cellStyle name="Normal 49 4 2 2" xfId="3339" xr:uid="{2093E37D-835B-47BC-8382-9488BE6D65DF}"/>
    <cellStyle name="Normal 49 4 2 2 2" xfId="3340" xr:uid="{4EF1667F-5A47-42B3-89B1-4184A07985CE}"/>
    <cellStyle name="Normal 49 4 2 3" xfId="3341" xr:uid="{6D7A16B4-AA67-49CE-8122-90DEBAC8BF4B}"/>
    <cellStyle name="Normal 49 4 3" xfId="3342" xr:uid="{1B87B724-C3DF-4EC5-ABB5-C0F1A80C0DE1}"/>
    <cellStyle name="Normal 49 4 3 2" xfId="3343" xr:uid="{F6F410F4-260C-4086-967D-27E3977486EB}"/>
    <cellStyle name="Normal 49 4 4" xfId="3344" xr:uid="{2D8E17A2-8C5A-4C4F-98D3-72ECFA599378}"/>
    <cellStyle name="Normal 49 5" xfId="3345" xr:uid="{184EFFE8-9953-4ADE-9637-231D2278B1A9}"/>
    <cellStyle name="Normal 49 5 2" xfId="3346" xr:uid="{03EAEFFC-DE0B-4A29-BF65-732E57D41E83}"/>
    <cellStyle name="Normal 49 5 2 2" xfId="3347" xr:uid="{AFF95104-4F58-41AD-A3BE-6132A9A8DCAB}"/>
    <cellStyle name="Normal 49 5 3" xfId="3348" xr:uid="{10B56EB3-AACE-442C-B064-0275A95FE408}"/>
    <cellStyle name="Normal 49 6" xfId="3349" xr:uid="{F05ED914-9E66-4612-8C03-F694B2420087}"/>
    <cellStyle name="Normal 49 6 2" xfId="3350" xr:uid="{3212A70B-844B-4278-9BF2-2E82225883A6}"/>
    <cellStyle name="Normal 49 7" xfId="3351" xr:uid="{D16A318C-C47E-4F61-801B-C15DB48BE1E4}"/>
    <cellStyle name="Normal 49 8" xfId="3352" xr:uid="{B483B042-B2E5-4631-86CE-084681E157DF}"/>
    <cellStyle name="Normal 5" xfId="61" xr:uid="{6E3C9089-F478-4AA9-A63D-13E97D9EEE9D}"/>
    <cellStyle name="Normal-- 5" xfId="3973" xr:uid="{CCD2CB86-8787-4392-9093-9B5D833EF82C}"/>
    <cellStyle name="Normal 5 10" xfId="3353" xr:uid="{65D1F2EC-9BDD-4178-8542-D03A9CAB49D8}"/>
    <cellStyle name="Normal 5 10 2" xfId="3354" xr:uid="{AF241CC8-4A16-4691-A26A-AC759C7E721E}"/>
    <cellStyle name="Normal 5 100" xfId="3355" xr:uid="{EAD3AD6B-7FBC-4168-A722-18EAC58D4B8A}"/>
    <cellStyle name="Normal 5 101" xfId="3356" xr:uid="{121C2169-7D4C-4F95-B4C1-3179453CC70C}"/>
    <cellStyle name="Normal 5 102" xfId="3357" xr:uid="{8C371795-7B21-4715-B52D-EB9461F316A6}"/>
    <cellStyle name="Normal 5 103" xfId="3358" xr:uid="{7DF9F912-95B1-447B-A0E4-F275ADAC8C35}"/>
    <cellStyle name="Normal 5 104" xfId="3359" xr:uid="{33D7D2B3-4FE8-45A8-901C-09C4D9C55E4D}"/>
    <cellStyle name="Normal 5 105" xfId="3360" xr:uid="{11263F4E-5202-43E2-BA59-B6F928C20CEE}"/>
    <cellStyle name="Normal 5 106" xfId="3361" xr:uid="{F13B09A9-8689-4C61-B10C-9A5CFF9A76F8}"/>
    <cellStyle name="Normal 5 107" xfId="3362" xr:uid="{0F469978-90EA-406A-9F5C-36349F230BFF}"/>
    <cellStyle name="Normal 5 108" xfId="3363" xr:uid="{B020D100-F36A-489B-BFB4-3271EA7D295F}"/>
    <cellStyle name="Normal 5 109" xfId="3364" xr:uid="{C0D22FBF-B4C6-4534-8942-9BDB759725E8}"/>
    <cellStyle name="Normal 5 11" xfId="3365" xr:uid="{87BDADBE-74B5-4BC7-96FF-72B7ECEF1800}"/>
    <cellStyle name="Normal 5 11 2" xfId="3366" xr:uid="{E5E5F000-B848-4873-B1F7-5B5D9144CD0B}"/>
    <cellStyle name="Normal 5 110" xfId="3367" xr:uid="{65C2A21F-B11F-4A44-BB09-E7E29603A79A}"/>
    <cellStyle name="Normal 5 111" xfId="3368" xr:uid="{E238F164-7F96-49DA-AC4C-C8F29252013D}"/>
    <cellStyle name="Normal 5 112" xfId="3369" xr:uid="{B707E752-A5AD-4729-AA0D-F90A9E3782E7}"/>
    <cellStyle name="Normal 5 113" xfId="3370" xr:uid="{7314504D-6EB1-4018-A9EE-E89E55BDF08F}"/>
    <cellStyle name="Normal 5 12" xfId="3371" xr:uid="{8FDEA55E-3FE1-4425-9CA4-77C3AED71207}"/>
    <cellStyle name="Normal 5 12 2" xfId="3372" xr:uid="{750D9FED-02EA-4EB0-894B-B8CD36647AC8}"/>
    <cellStyle name="Normal 5 13" xfId="3373" xr:uid="{A461220C-0094-43CB-AE3A-59B6AB70EC41}"/>
    <cellStyle name="Normal 5 13 2" xfId="3374" xr:uid="{B22D38E6-4FF8-41D1-A301-6EA1414CA493}"/>
    <cellStyle name="Normal 5 14" xfId="3375" xr:uid="{3820C032-B058-4117-9993-A678DF6656B4}"/>
    <cellStyle name="Normal 5 14 2" xfId="3376" xr:uid="{CD19BACF-49FE-432D-A901-837875EAA838}"/>
    <cellStyle name="Normal 5 15" xfId="3377" xr:uid="{F668AAF4-D1DD-4D96-BD0F-587402E9CFB2}"/>
    <cellStyle name="Normal 5 15 2" xfId="3378" xr:uid="{6FA609AE-CC28-476E-A9CE-AE825847DB8C}"/>
    <cellStyle name="Normal 5 16" xfId="3379" xr:uid="{0F0FE986-D922-4BAE-8BE6-22212D13E651}"/>
    <cellStyle name="Normal 5 16 2" xfId="3380" xr:uid="{D0CEADC9-918F-4773-8C4B-EE27CB9F328B}"/>
    <cellStyle name="Normal 5 17" xfId="3381" xr:uid="{D44AEA65-317F-4908-8E88-C2A4797DF742}"/>
    <cellStyle name="Normal 5 17 2" xfId="3382" xr:uid="{99D27DE8-6045-4755-ACC6-C70D55B788C7}"/>
    <cellStyle name="Normal 5 18" xfId="3383" xr:uid="{3390479A-CB84-42BB-9C5C-30672E171936}"/>
    <cellStyle name="Normal 5 18 2" xfId="3384" xr:uid="{EC3CE02E-0E7F-4006-98AD-F40CE04F61DE}"/>
    <cellStyle name="Normal 5 19" xfId="3385" xr:uid="{CB1186BF-2A18-4F7F-976A-D42F95850616}"/>
    <cellStyle name="Normal 5 19 2" xfId="3386" xr:uid="{E2553F86-89E8-46C4-90E7-E9F747DD77B0}"/>
    <cellStyle name="Normal 5 2" xfId="78" xr:uid="{C87CDE24-4238-4B28-BCA7-9B7FBF183412}"/>
    <cellStyle name="Normal 5 2 2" xfId="3387" xr:uid="{E0201798-6F5D-4735-B2E4-8B5782C8586D}"/>
    <cellStyle name="Normal 5 2 3" xfId="3388" xr:uid="{DAE76A50-CE94-4D6B-AAE7-78333C6BFBE8}"/>
    <cellStyle name="Normal 5 2 4" xfId="3389" xr:uid="{944E85CF-6D81-4AF0-959D-1C72894B0A29}"/>
    <cellStyle name="Normal 5 2 5" xfId="3390" xr:uid="{9FD5326D-112A-4C25-94D4-CFEFB0B94470}"/>
    <cellStyle name="Normal 5 20" xfId="3391" xr:uid="{0C3757AD-5226-4F21-9AA8-6E57319F791C}"/>
    <cellStyle name="Normal 5 20 2" xfId="3392" xr:uid="{FD747E48-E25E-4935-B0CF-0E21EEB1C38A}"/>
    <cellStyle name="Normal 5 21" xfId="3393" xr:uid="{FB4FB4B7-F0C6-4115-8C72-42476768BE2B}"/>
    <cellStyle name="Normal 5 21 2" xfId="3394" xr:uid="{F0D58D9E-2206-4C43-9CA7-7FECADB9108A}"/>
    <cellStyle name="Normal 5 22" xfId="3395" xr:uid="{1BD7A222-E42D-464D-A585-C8E2F150FB90}"/>
    <cellStyle name="Normal 5 22 2" xfId="3396" xr:uid="{6ED53875-9441-49EA-8F9B-EA6DC9B2A3E0}"/>
    <cellStyle name="Normal 5 22 2 2" xfId="3397" xr:uid="{D7DFC3A8-CF97-4962-9003-492F480B2190}"/>
    <cellStyle name="Normal 5 22 3" xfId="3398" xr:uid="{0643414B-9153-45F7-95F1-72C163C3D871}"/>
    <cellStyle name="Normal 5 22 4" xfId="3399" xr:uid="{9643C047-1AC9-49B5-BAED-D37AA810542A}"/>
    <cellStyle name="Normal 5 23" xfId="3400" xr:uid="{54AC2C45-4423-4433-91AE-986275FB0C7B}"/>
    <cellStyle name="Normal 5 23 2" xfId="3401" xr:uid="{F2876747-D82D-4CE7-8489-7679DFCB08F5}"/>
    <cellStyle name="Normal 5 24" xfId="3402" xr:uid="{DE419A19-56CD-4209-B712-52EF90375050}"/>
    <cellStyle name="Normal 5 24 2" xfId="3403" xr:uid="{7CD0A9F7-6CAC-4927-8E87-0A62F49EF591}"/>
    <cellStyle name="Normal 5 25" xfId="3404" xr:uid="{B194D0EE-3852-4620-91D2-C08693C3A461}"/>
    <cellStyle name="Normal 5 25 2" xfId="3405" xr:uid="{3411788A-41D5-4149-B9E6-B01E17CC36C4}"/>
    <cellStyle name="Normal 5 26" xfId="3406" xr:uid="{C59A6048-EC8E-4FBC-897D-2A7547FAB4E1}"/>
    <cellStyle name="Normal 5 26 2" xfId="3407" xr:uid="{35401084-A839-48EA-B176-BFDB020A06F3}"/>
    <cellStyle name="Normal 5 27" xfId="3408" xr:uid="{891326CD-F38B-4970-91AE-7717EA849ED6}"/>
    <cellStyle name="Normal 5 27 2" xfId="3409" xr:uid="{7841B549-33C3-447A-9C5C-2C984F5C52C1}"/>
    <cellStyle name="Normal 5 28" xfId="3410" xr:uid="{013232D3-FB83-4E4E-8C84-769DA26FB41B}"/>
    <cellStyle name="Normal 5 28 2" xfId="3411" xr:uid="{551211F0-0632-411A-AC47-0A2E57779F7E}"/>
    <cellStyle name="Normal 5 29" xfId="3412" xr:uid="{D2C705E9-5FCE-43EE-B73C-0377B798210A}"/>
    <cellStyle name="Normal 5 29 2" xfId="3413" xr:uid="{92224143-4B94-4B55-A5DA-26BCCA0E2A41}"/>
    <cellStyle name="Normal 5 3" xfId="3414" xr:uid="{051C4D8D-D01F-495E-B732-38DCE727707D}"/>
    <cellStyle name="Normal 5 3 2" xfId="3415" xr:uid="{682ABFAD-4499-4538-B029-3BBBD69180D7}"/>
    <cellStyle name="Normal 5 30" xfId="3416" xr:uid="{937EF2DD-C5BD-4FC0-A437-283B0A9B3841}"/>
    <cellStyle name="Normal 5 30 2" xfId="3417" xr:uid="{0D9438FA-BB15-4344-A0BA-05914494D3B4}"/>
    <cellStyle name="Normal 5 31" xfId="3418" xr:uid="{74D5EC8B-991E-4B7F-999D-2635AA1FC036}"/>
    <cellStyle name="Normal 5 31 2" xfId="3419" xr:uid="{0442B1F2-1A5C-40A9-8949-4A2431D44066}"/>
    <cellStyle name="Normal 5 32" xfId="3420" xr:uid="{B80FDFD2-9AC8-4D33-A8FE-8CF99F64C0E1}"/>
    <cellStyle name="Normal 5 32 2" xfId="3421" xr:uid="{D5E7F6F6-5698-49E2-B186-6878437E231F}"/>
    <cellStyle name="Normal 5 33" xfId="3422" xr:uid="{0F01E86B-ABEA-47B2-9B47-098198A86EDA}"/>
    <cellStyle name="Normal 5 33 2" xfId="3423" xr:uid="{ADF277ED-9E18-42F0-A7A6-666A74FE26DA}"/>
    <cellStyle name="Normal 5 34" xfId="3424" xr:uid="{7C3AFD80-DC8A-4D1B-AF48-CD6E94BB6D53}"/>
    <cellStyle name="Normal 5 34 2" xfId="3425" xr:uid="{46C99021-C1D2-41BC-9058-8E7910054FAD}"/>
    <cellStyle name="Normal 5 35" xfId="3426" xr:uid="{9B4B1CDE-28B0-4BCD-B02C-ACCC6A3BB08D}"/>
    <cellStyle name="Normal 5 35 2" xfId="3427" xr:uid="{D0FCDB68-F331-44E1-AEB9-C0CCDF447AA5}"/>
    <cellStyle name="Normal 5 36" xfId="3428" xr:uid="{ACD1C6F2-7B3D-4CBB-B1F9-0D7CA5FCC0F0}"/>
    <cellStyle name="Normal 5 36 2" xfId="3429" xr:uid="{AF037F9A-AD1C-496B-B48E-CB5552BFC362}"/>
    <cellStyle name="Normal 5 37" xfId="3430" xr:uid="{D8A4C470-CC99-49D2-8717-6FFB3E60E98C}"/>
    <cellStyle name="Normal 5 37 2" xfId="3431" xr:uid="{783EF924-39FB-4B8A-9A80-260AE926BC8C}"/>
    <cellStyle name="Normal 5 38" xfId="3432" xr:uid="{39E70BCD-FC10-4346-97B6-671539BA1D97}"/>
    <cellStyle name="Normal 5 39" xfId="3433" xr:uid="{8CD579D1-7768-4E4B-8B83-7520A2C4394C}"/>
    <cellStyle name="Normal 5 4" xfId="3434" xr:uid="{0A0FB1B6-E78C-4B14-9802-84B5E76A3023}"/>
    <cellStyle name="Normal 5 4 2" xfId="3435" xr:uid="{1540F84B-4F9B-4D6F-810F-4133AE31647A}"/>
    <cellStyle name="Normal 5 40" xfId="3436" xr:uid="{3F895BA1-26C8-4171-B451-5EFE2B4744D3}"/>
    <cellStyle name="Normal 5 41" xfId="3437" xr:uid="{6D19FCB3-F60B-4D0E-8825-BFEBBE626386}"/>
    <cellStyle name="Normal 5 42" xfId="3438" xr:uid="{24A35F10-B08B-4867-BFAD-B51BA05C7BEB}"/>
    <cellStyle name="Normal 5 43" xfId="3439" xr:uid="{C0EA26E1-4F68-44A9-8EC2-FCE59AD3515B}"/>
    <cellStyle name="Normal 5 44" xfId="3440" xr:uid="{A21D2F78-EE1C-4AE3-A2D9-B7B9445495A8}"/>
    <cellStyle name="Normal 5 45" xfId="3441" xr:uid="{FA6AFDD0-3716-4C37-907D-7FC104A53ED6}"/>
    <cellStyle name="Normal 5 46" xfId="3442" xr:uid="{D349B307-C85E-45A7-9DB6-87F95E00D6D7}"/>
    <cellStyle name="Normal 5 47" xfId="3443" xr:uid="{A85C2784-8A60-4EB4-9A85-9712FC109E55}"/>
    <cellStyle name="Normal 5 48" xfId="3444" xr:uid="{91F355D8-5BEA-41BF-AFD6-DAE4AB819B43}"/>
    <cellStyle name="Normal 5 49" xfId="3445" xr:uid="{3285BA7F-96A9-45FD-8D91-CCF7D226A749}"/>
    <cellStyle name="Normal 5 5" xfId="3446" xr:uid="{2ADE2511-5AA0-4B1E-880F-61628BA2A003}"/>
    <cellStyle name="Normal 5 5 2" xfId="3447" xr:uid="{6A1B81F0-BE4D-41F3-9EC8-630885708BFE}"/>
    <cellStyle name="Normal 5 50" xfId="3448" xr:uid="{DC5334FA-581F-47CB-B43C-F846CC343D86}"/>
    <cellStyle name="Normal 5 51" xfId="3449" xr:uid="{528CE5E3-FDBC-4396-BDB7-EB846C9E9EB7}"/>
    <cellStyle name="Normal 5 52" xfId="3450" xr:uid="{0EFC271D-66F3-444B-ABA7-19D284AFC0F6}"/>
    <cellStyle name="Normal 5 53" xfId="3451" xr:uid="{A1FAD562-8B24-414E-802F-8717106F9E10}"/>
    <cellStyle name="Normal 5 54" xfId="3452" xr:uid="{B8C97A4C-1494-4FFB-AEB7-E02BAA4F9A28}"/>
    <cellStyle name="Normal 5 55" xfId="3453" xr:uid="{9C0A57E9-D449-47E2-9BE3-B9CEF494B75E}"/>
    <cellStyle name="Normal 5 56" xfId="3454" xr:uid="{650DB3E8-7E30-4F6A-B2C7-7D937AE62B7B}"/>
    <cellStyle name="Normal 5 57" xfId="3455" xr:uid="{3CA1164E-1C2D-485D-9649-AC7EC75CA5F3}"/>
    <cellStyle name="Normal 5 58" xfId="3456" xr:uid="{C18F8C87-93D8-47A1-97FF-2B6E8C5E2912}"/>
    <cellStyle name="Normal 5 59" xfId="3457" xr:uid="{B7CE6E77-AD56-4729-A0BD-2C2D36F6B50A}"/>
    <cellStyle name="Normal 5 6" xfId="3458" xr:uid="{597DA534-1E9C-4E46-88B3-AF59E31BACA7}"/>
    <cellStyle name="Normal 5 6 2" xfId="3459" xr:uid="{A28F802B-1149-4D94-931C-08D121A5D851}"/>
    <cellStyle name="Normal 5 60" xfId="3460" xr:uid="{47B3ED29-7A6E-4D54-95E8-4BB268717EDF}"/>
    <cellStyle name="Normal 5 61" xfId="3461" xr:uid="{B5531F63-A7F3-413E-971A-56A2FF29DB91}"/>
    <cellStyle name="Normal 5 62" xfId="3462" xr:uid="{1FDC0326-6ECE-4EDA-B627-99B1677392CF}"/>
    <cellStyle name="Normal 5 63" xfId="3463" xr:uid="{D026B21C-D5E2-4E46-917A-CC354761DABE}"/>
    <cellStyle name="Normal 5 64" xfId="3464" xr:uid="{7C870B04-E5FC-4377-973E-4349DEC100D1}"/>
    <cellStyle name="Normal 5 65" xfId="3465" xr:uid="{43F23B4C-099A-4E35-A8A9-B501D626FF61}"/>
    <cellStyle name="Normal 5 66" xfId="3466" xr:uid="{25FBD3FE-BD75-40BC-B28B-E2A7B3D6E3D6}"/>
    <cellStyle name="Normal 5 67" xfId="3467" xr:uid="{1353051B-A940-4400-B441-06CE9DA119A2}"/>
    <cellStyle name="Normal 5 68" xfId="3468" xr:uid="{72D88B01-DE12-4725-9502-2697F4B816D9}"/>
    <cellStyle name="Normal 5 69" xfId="3469" xr:uid="{0C9811B3-D4B6-48F5-9ADE-DB13540424C4}"/>
    <cellStyle name="Normal 5 7" xfId="3470" xr:uid="{C1759591-7D3C-40FD-A7F0-9124C7CCE7BD}"/>
    <cellStyle name="Normal 5 7 2" xfId="3471" xr:uid="{12DB289A-9F10-4DDC-BD34-60B3765456BB}"/>
    <cellStyle name="Normal 5 70" xfId="3472" xr:uid="{F7FC0D61-E628-45E7-B93C-9407C5512734}"/>
    <cellStyle name="Normal 5 71" xfId="3473" xr:uid="{578ADDDC-C452-49E5-B577-684B3DE76C85}"/>
    <cellStyle name="Normal 5 72" xfId="3474" xr:uid="{E21AEDEB-E986-45A1-BB9D-022D3CF2E0AC}"/>
    <cellStyle name="Normal 5 73" xfId="3475" xr:uid="{F9EE5BE2-F3C3-4BDA-81A8-870E7D0D63D1}"/>
    <cellStyle name="Normal 5 74" xfId="3476" xr:uid="{B18E58FA-1A15-4CC4-9B74-E140063DC4F8}"/>
    <cellStyle name="Normal 5 75" xfId="3477" xr:uid="{A55C1D65-270E-4EB0-8AE1-A4BD5AD863E1}"/>
    <cellStyle name="Normal 5 76" xfId="3478" xr:uid="{2AB5E2A0-11B8-4D78-AC09-15EACD4C8D58}"/>
    <cellStyle name="Normal 5 77" xfId="3479" xr:uid="{E57559DD-58DD-4061-9550-F9D4C7773725}"/>
    <cellStyle name="Normal 5 78" xfId="3480" xr:uid="{5702E255-A5E8-46E1-B24D-B67AE2708660}"/>
    <cellStyle name="Normal 5 79" xfId="3481" xr:uid="{D6D00747-2100-4032-A478-890396203086}"/>
    <cellStyle name="Normal 5 8" xfId="3482" xr:uid="{8497BB97-633A-4058-83D9-01E1D0A84DAA}"/>
    <cellStyle name="Normal 5 8 2" xfId="3483" xr:uid="{83FD232C-B2FC-45F9-A1C9-061F3A56D574}"/>
    <cellStyle name="Normal 5 80" xfId="3484" xr:uid="{7CF696AF-3043-4023-9AFC-3C9065FD7CE9}"/>
    <cellStyle name="Normal 5 81" xfId="3485" xr:uid="{CA39D93E-D510-412E-8E49-3C91AA5A54E2}"/>
    <cellStyle name="Normal 5 82" xfId="3486" xr:uid="{B67A0621-4BFD-48D9-8CBF-45B794BB34EC}"/>
    <cellStyle name="Normal 5 83" xfId="3487" xr:uid="{89EE3D6C-C96B-44EB-B9F0-DDF06AC9702C}"/>
    <cellStyle name="Normal 5 84" xfId="3488" xr:uid="{764C305D-892F-4B63-B652-69E4C3BFF10C}"/>
    <cellStyle name="Normal 5 85" xfId="3489" xr:uid="{74009E8F-F0A9-46B9-874B-1E2E9ECBA556}"/>
    <cellStyle name="Normal 5 86" xfId="3490" xr:uid="{8BAC6795-8E73-42CD-884C-C15369C989B8}"/>
    <cellStyle name="Normal 5 87" xfId="3491" xr:uid="{640F05BD-6CDE-4485-B8DD-A4CC19779436}"/>
    <cellStyle name="Normal 5 88" xfId="3492" xr:uid="{717FE5DF-4644-4B73-A7D5-F951BA999E18}"/>
    <cellStyle name="Normal 5 89" xfId="3493" xr:uid="{64F2D727-34C2-466F-BD95-22AE767CB8FD}"/>
    <cellStyle name="Normal 5 9" xfId="3494" xr:uid="{BF7080C2-6892-479F-825A-D55EA2956320}"/>
    <cellStyle name="Normal 5 9 2" xfId="3495" xr:uid="{D620AB9D-EF1E-4312-8D8B-719038E481FE}"/>
    <cellStyle name="Normal 5 90" xfId="3496" xr:uid="{BFE6044B-5B89-4D62-A47C-69911E16842A}"/>
    <cellStyle name="Normal 5 91" xfId="3497" xr:uid="{204400E8-1B4D-4A81-840B-AE927B40B852}"/>
    <cellStyle name="Normal 5 92" xfId="3498" xr:uid="{08B0C787-FE10-4462-BD51-92068FAC82ED}"/>
    <cellStyle name="Normal 5 93" xfId="3499" xr:uid="{8642F545-5217-4A0A-BE94-63EE01710A45}"/>
    <cellStyle name="Normal 5 94" xfId="3500" xr:uid="{6CCF5BF1-F1C5-4DB9-BE97-50490F2C7E28}"/>
    <cellStyle name="Normal 5 95" xfId="3501" xr:uid="{54A0696C-2EB2-4B57-BC9A-A51896EE818C}"/>
    <cellStyle name="Normal 5 96" xfId="3502" xr:uid="{6396DD0D-CCAC-4804-B17B-0C6C8659CD0C}"/>
    <cellStyle name="Normal 5 97" xfId="3503" xr:uid="{DDB0168D-BD71-4049-ABB8-FE4E4D769449}"/>
    <cellStyle name="Normal 5 98" xfId="3504" xr:uid="{F5C8A747-0EE6-45EB-9AC4-01A7A32C7D9E}"/>
    <cellStyle name="Normal 5 99" xfId="3505" xr:uid="{7717446E-1F63-4632-A523-C65A841EDAA4}"/>
    <cellStyle name="Normal 50" xfId="3506" xr:uid="{D6A75D7B-7F43-42C3-B600-B68396DD870A}"/>
    <cellStyle name="Normal 50 2" xfId="3507" xr:uid="{ADA322C4-3EC7-48C6-A43F-A9D3E7767BC6}"/>
    <cellStyle name="Normal 50 3" xfId="3508" xr:uid="{CF6CA642-72D3-48BD-80BC-A7515F3E39B5}"/>
    <cellStyle name="Normal 50 4" xfId="3509" xr:uid="{EEFA9C18-8011-4D1F-94A1-5D5A922E0900}"/>
    <cellStyle name="Normal 50 5" xfId="3510" xr:uid="{5D526BAC-5D56-4EC8-A147-95DBCFA985D0}"/>
    <cellStyle name="Normal 50 6" xfId="3511" xr:uid="{CB33485B-2F97-4A59-BE0F-1AA60EB9F05A}"/>
    <cellStyle name="Normal 50 7" xfId="3512" xr:uid="{4B847B11-D40A-4900-AAB9-C87510457F45}"/>
    <cellStyle name="Normal 50 8" xfId="3513" xr:uid="{DCBEC734-A9F5-4FB8-B124-1DCA28C6A10F}"/>
    <cellStyle name="Normal 51" xfId="3514" xr:uid="{51227863-E7CA-4671-8A04-AC205F12EB2C}"/>
    <cellStyle name="Normal 51 2" xfId="3515" xr:uid="{171D16A0-0DFB-47BD-8F46-CE9BAFC62E35}"/>
    <cellStyle name="Normal 51 2 2" xfId="3516" xr:uid="{CF84795E-5501-4468-8B37-0D058CF9A79E}"/>
    <cellStyle name="Normal 51 2 2 2" xfId="3517" xr:uid="{1FC9FC4B-B29B-4C9C-9041-1F614F341FB8}"/>
    <cellStyle name="Normal 51 2 2 2 2" xfId="3518" xr:uid="{F86A6BBF-B1B8-40D5-AF68-E06FB5BE3A35}"/>
    <cellStyle name="Normal 51 2 2 3" xfId="3519" xr:uid="{845AC994-D62D-40EC-BBB7-C8D5DEB86DBA}"/>
    <cellStyle name="Normal 51 2 3" xfId="3520" xr:uid="{7445A728-F7FE-4F25-AD77-1E9EA212D326}"/>
    <cellStyle name="Normal 51 2 3 2" xfId="3521" xr:uid="{F5C98681-4F33-4CFB-83A7-40B609973378}"/>
    <cellStyle name="Normal 51 2 4" xfId="3522" xr:uid="{14D29641-2E03-453D-816F-2164AAB1AE6B}"/>
    <cellStyle name="Normal 51 3" xfId="3523" xr:uid="{08841798-02E7-426F-B530-C19C8DDCEC67}"/>
    <cellStyle name="Normal 51 3 2" xfId="3524" xr:uid="{856E9883-9B72-4086-ACEC-757E9D6B49B7}"/>
    <cellStyle name="Normal 51 3 2 2" xfId="3525" xr:uid="{381281C7-39D2-4406-AC04-80FA5A275695}"/>
    <cellStyle name="Normal 51 3 3" xfId="3526" xr:uid="{C5FF8A83-EF85-4397-8C21-E56D3880A6A4}"/>
    <cellStyle name="Normal 51 4" xfId="3527" xr:uid="{6045DDCF-7F52-4042-8EA5-51E1653EDAAA}"/>
    <cellStyle name="Normal 51 4 2" xfId="3528" xr:uid="{4C25684C-BDCA-44E1-BF36-137394C03889}"/>
    <cellStyle name="Normal 51 5" xfId="3529" xr:uid="{24D2D102-C558-456A-A686-4EE714F40C3A}"/>
    <cellStyle name="Normal 51 6" xfId="3530" xr:uid="{94B8ECDF-7CB7-4DCC-99C7-CCC3C9126903}"/>
    <cellStyle name="Normal 51 7" xfId="3531" xr:uid="{38CABAE0-6721-4FC1-BFEB-FDA1A3AB9544}"/>
    <cellStyle name="Normal 51 8" xfId="3532" xr:uid="{A8E8B09F-7334-4207-B90C-06E2139CF96B}"/>
    <cellStyle name="Normal 52" xfId="3533" xr:uid="{01C50BF1-583C-4171-BFBF-F21469578111}"/>
    <cellStyle name="Normal 52 2" xfId="3534" xr:uid="{755CED05-C53B-4401-8DF5-2F22B3D2FB14}"/>
    <cellStyle name="Normal 52 2 2" xfId="3535" xr:uid="{12C013CA-63DD-47FC-A9C5-C31F1A028E34}"/>
    <cellStyle name="Normal 52 3" xfId="3536" xr:uid="{CCA9331D-9AC8-45FC-969C-7EB035CAD1E4}"/>
    <cellStyle name="Normal 52 4" xfId="3537" xr:uid="{84634E78-7F07-436C-AD74-3BBCA12A1486}"/>
    <cellStyle name="Normal 52 5" xfId="3538" xr:uid="{E57E3839-2B6C-4105-B5B9-715F342C3F63}"/>
    <cellStyle name="Normal 52 6" xfId="3539" xr:uid="{F4C1B681-068C-4125-B724-F9E26B95F6D2}"/>
    <cellStyle name="Normal 52 7" xfId="3540" xr:uid="{E9DF8EB3-0639-4A7E-B837-1ABC6FA08447}"/>
    <cellStyle name="Normal 52 8" xfId="3541" xr:uid="{9D07F276-BB3D-4103-84D5-893CAD8868F6}"/>
    <cellStyle name="Normal 53" xfId="3542" xr:uid="{4F6DED13-9530-486A-AB78-C85DE9BCE12E}"/>
    <cellStyle name="Normal 53 2" xfId="3543" xr:uid="{4ED76253-AE38-43C3-B788-3D26594C6FC7}"/>
    <cellStyle name="Normal 53 2 2" xfId="3544" xr:uid="{C5E04926-268E-452A-BB3B-C8F2F59F50CF}"/>
    <cellStyle name="Normal 53 2 2 2" xfId="3545" xr:uid="{AD5929CD-ED31-47A8-B66C-31F21A740D9E}"/>
    <cellStyle name="Normal 53 2 3" xfId="3546" xr:uid="{32931488-7FEC-450C-B038-CE62F25F546B}"/>
    <cellStyle name="Normal 53 3" xfId="3547" xr:uid="{3AE22979-152C-4FB4-A640-0E9BF006B547}"/>
    <cellStyle name="Normal 53 3 2" xfId="3548" xr:uid="{76F28A05-A548-4C71-832A-6F4A1DE4FD00}"/>
    <cellStyle name="Normal 53 4" xfId="3549" xr:uid="{181D5775-F280-445C-9ADA-65ECC5F2CBCE}"/>
    <cellStyle name="Normal 53 5" xfId="3550" xr:uid="{0AE43DE9-B7F0-4C16-A367-EBD8B8DEA36E}"/>
    <cellStyle name="Normal 53 6" xfId="3551" xr:uid="{B0977B3B-D236-482B-8706-638C70F138C5}"/>
    <cellStyle name="Normal 53 7" xfId="3552" xr:uid="{C4BF9AD1-FDB6-497B-8BC1-D71F46CB72E9}"/>
    <cellStyle name="Normal 53 8" xfId="3553" xr:uid="{C13B2F31-B279-4A1A-AD8C-7BBC7ADC0A08}"/>
    <cellStyle name="Normal 54" xfId="3554" xr:uid="{1400636A-6D64-4E88-AED5-E7D262DEC0B5}"/>
    <cellStyle name="Normal 54 2" xfId="3555" xr:uid="{C699A5CB-8C63-4BF2-BF4D-CD9EC452D32C}"/>
    <cellStyle name="Normal 54 3" xfId="3556" xr:uid="{EBC192EA-7EFE-49D9-B218-8DA58C0D0FDA}"/>
    <cellStyle name="Normal 54 4" xfId="3557" xr:uid="{02F684BC-69FA-492C-B7C2-5CDF902C17C4}"/>
    <cellStyle name="Normal 54 5" xfId="3558" xr:uid="{FB0CD47B-81D1-4A01-9B79-97EB75ECAA01}"/>
    <cellStyle name="Normal 54 6" xfId="3559" xr:uid="{C70EA736-CD4B-4B27-89C6-D922BE6C9147}"/>
    <cellStyle name="Normal 54 7" xfId="3560" xr:uid="{F0F0E882-BC6E-4F61-A37A-25A4812D7470}"/>
    <cellStyle name="Normal 54 8" xfId="3561" xr:uid="{1F868C57-4678-4F97-B76C-6F1C3F866C36}"/>
    <cellStyle name="Normal 55" xfId="3562" xr:uid="{0D03FC9C-CF73-4553-81F1-A37336DF4B8C}"/>
    <cellStyle name="Normal 55 2" xfId="3563" xr:uid="{454F127C-A999-43AC-8EC8-6F0FEFE8C2F1}"/>
    <cellStyle name="Normal 55 3" xfId="3564" xr:uid="{370C3D83-C540-4BF4-B1E5-7818817558E1}"/>
    <cellStyle name="Normal 55 4" xfId="3565" xr:uid="{815BC6DC-8085-4964-9C11-F40557B402AF}"/>
    <cellStyle name="Normal 55 5" xfId="3566" xr:uid="{40B0411B-EF2F-4F2C-9AE6-C2158FEA71B4}"/>
    <cellStyle name="Normal 55 6" xfId="3567" xr:uid="{688178AD-3803-4780-BC76-DAA0EEA87609}"/>
    <cellStyle name="Normal 55 7" xfId="3568" xr:uid="{918602BC-755D-4D03-A8C7-4B6275085ED8}"/>
    <cellStyle name="Normal 55 8" xfId="3569" xr:uid="{59EB1EA2-00B5-4000-9DC5-B585EDA8B287}"/>
    <cellStyle name="Normal 56" xfId="3570" xr:uid="{331B9678-2C3A-4F77-9651-8909B6CB6039}"/>
    <cellStyle name="Normal 56 2" xfId="3571" xr:uid="{F7356B92-5E9F-4F86-8184-CCB29CC26021}"/>
    <cellStyle name="Normal 56 3" xfId="3572" xr:uid="{EDF196EF-14BD-425E-9D63-1670D28B97CA}"/>
    <cellStyle name="Normal 56 4" xfId="3573" xr:uid="{DC684A93-832D-43DA-A474-3BE06CCE26A7}"/>
    <cellStyle name="Normal 56 5" xfId="3574" xr:uid="{3C546523-13C1-4F95-B75B-CB637AAE682F}"/>
    <cellStyle name="Normal 56 6" xfId="3575" xr:uid="{BA0773C5-F367-46E1-82CA-6A7A8D71EE4D}"/>
    <cellStyle name="Normal 56 7" xfId="3576" xr:uid="{46A74F7C-D98C-4C16-9093-49F008CC16E1}"/>
    <cellStyle name="Normal 56 8" xfId="3577" xr:uid="{B8906EF8-C555-4EEC-AAEC-E445BF5238F9}"/>
    <cellStyle name="Normal 57" xfId="3578" xr:uid="{01005351-1408-433E-AB5B-D9AB3DDD46E0}"/>
    <cellStyle name="Normal 57 2" xfId="3579" xr:uid="{E07428D3-D162-4FBB-B998-456952083A58}"/>
    <cellStyle name="Normal 57 3" xfId="3580" xr:uid="{109AE42C-FACE-4975-8023-3896407F9E1F}"/>
    <cellStyle name="Normal 57 4" xfId="3581" xr:uid="{13F2B032-CABF-45DE-9704-0FDD1A08E3FD}"/>
    <cellStyle name="Normal 57 5" xfId="3582" xr:uid="{15E98EEE-2695-4BEB-AFBC-E8673CF1FA6D}"/>
    <cellStyle name="Normal 57 6" xfId="3583" xr:uid="{2AE640AB-11F4-4464-A8DE-5662FEAF6012}"/>
    <cellStyle name="Normal 57 7" xfId="3584" xr:uid="{E51ADAA1-AB01-408A-B2D0-744EB37E0DD9}"/>
    <cellStyle name="Normal 57 8" xfId="3585" xr:uid="{7D108540-15EA-4AC8-B21C-DB6AA8EB5341}"/>
    <cellStyle name="Normal 58" xfId="3586" xr:uid="{654C8B51-9EC4-4451-94B6-A2D9EF3D6728}"/>
    <cellStyle name="Normal 58 2" xfId="3587" xr:uid="{A3C4491C-E9A2-40C1-8963-1499437808C4}"/>
    <cellStyle name="Normal 58 3" xfId="3588" xr:uid="{9A1F52C2-B36A-4A50-8769-00D4E3C4937E}"/>
    <cellStyle name="Normal 58 4" xfId="3589" xr:uid="{858F9C20-E86E-4F8D-918F-6BAAFA057CDC}"/>
    <cellStyle name="Normal 58 5" xfId="3590" xr:uid="{5EECB4CA-93F4-4FB0-B7CD-D4E933EF1DED}"/>
    <cellStyle name="Normal 58 6" xfId="3591" xr:uid="{AAD5495E-DFF5-41BF-8A7E-AB8B5E23E8CC}"/>
    <cellStyle name="Normal 58 7" xfId="3592" xr:uid="{A84FDB3B-A539-4B54-8797-C6A1A8FE9815}"/>
    <cellStyle name="Normal 58 8" xfId="3593" xr:uid="{8560DD61-6EBB-42C3-BD52-879E6A7C77A6}"/>
    <cellStyle name="Normal 59" xfId="3594" xr:uid="{D351D271-E87F-49EC-BDF3-7654A96C4DB9}"/>
    <cellStyle name="Normal 59 2" xfId="3595" xr:uid="{AEFF1B93-9D1F-4D51-90B8-02C3E6F3EB57}"/>
    <cellStyle name="Normal 59 3" xfId="3596" xr:uid="{4993A5D4-2730-46BF-81A2-9161F517F3B7}"/>
    <cellStyle name="Normal 59 4" xfId="3597" xr:uid="{F1BE124B-C931-4AEA-AD6C-D35F7526EF06}"/>
    <cellStyle name="Normal 59 5" xfId="3598" xr:uid="{7E2D5F72-3500-4331-9B7E-32806AC04372}"/>
    <cellStyle name="Normal 59 6" xfId="3599" xr:uid="{24815E84-429B-4840-BEAB-0110D7F31CE2}"/>
    <cellStyle name="Normal 59 7" xfId="3600" xr:uid="{0B8581FF-22F5-4872-97A7-47ECBE02B180}"/>
    <cellStyle name="Normal 59 8" xfId="3601" xr:uid="{0E9434A7-35E8-4C84-9345-7A6FC53D9D25}"/>
    <cellStyle name="Normal 6" xfId="99" xr:uid="{C46FD660-0500-4B6D-932C-A0E4990E949B}"/>
    <cellStyle name="Normal-- 6" xfId="3974" xr:uid="{E7C8EC2E-B271-4D91-A21F-F2BB01EEA68B}"/>
    <cellStyle name="Normal 6 10" xfId="3602" xr:uid="{225502CC-273A-4CC7-8CFF-CACC357528E3}"/>
    <cellStyle name="Normal 6 10 2" xfId="3603" xr:uid="{346B9F17-FFF3-4179-9562-2DA020E596DE}"/>
    <cellStyle name="Normal 6 100" xfId="3604" xr:uid="{2137D95C-2992-4DA1-8692-BE5ADA4C7F39}"/>
    <cellStyle name="Normal 6 101" xfId="3605" xr:uid="{91F6B493-E73C-4E67-B370-476FF7845633}"/>
    <cellStyle name="Normal 6 102" xfId="3606" xr:uid="{B0D596B6-ECA9-417B-88E5-5C9E5B7D1A26}"/>
    <cellStyle name="Normal 6 103" xfId="3607" xr:uid="{61A20587-AF9A-4C48-98AD-8DB5303C6AA0}"/>
    <cellStyle name="Normal 6 104" xfId="3608" xr:uid="{E803C1E4-4C3B-4BD8-82E1-CB8ABF262DDA}"/>
    <cellStyle name="Normal 6 105" xfId="3609" xr:uid="{9FB0CCF9-7A68-4D33-9167-9EE3E9A0E56A}"/>
    <cellStyle name="Normal 6 106" xfId="3610" xr:uid="{12E4CB98-878D-4981-91D8-C6D1DD05B73E}"/>
    <cellStyle name="Normal 6 107" xfId="3611" xr:uid="{F4420A77-A0AA-4F55-AF08-4025E0CE57FA}"/>
    <cellStyle name="Normal 6 108" xfId="3612" xr:uid="{254E34A3-7774-4540-9696-41FE5F6E1AD3}"/>
    <cellStyle name="Normal 6 109" xfId="3613" xr:uid="{5C0F15AB-F613-40B3-9224-78540395D0A3}"/>
    <cellStyle name="Normal 6 11" xfId="3614" xr:uid="{FE9983B2-F88B-444F-8650-ED35E9CC6BF5}"/>
    <cellStyle name="Normal 6 11 2" xfId="3615" xr:uid="{10BE6109-8408-4A25-990E-1DA21E689D47}"/>
    <cellStyle name="Normal 6 110" xfId="3616" xr:uid="{AA2D99B3-FECF-411C-BC82-8116A8CC0F19}"/>
    <cellStyle name="Normal 6 111" xfId="3617" xr:uid="{3763B560-6974-4880-8ADC-39D31088B33B}"/>
    <cellStyle name="Normal 6 112" xfId="3618" xr:uid="{FFEA8E85-7960-4BDA-9D9B-ADC2A3B17F2C}"/>
    <cellStyle name="Normal 6 113" xfId="3619" xr:uid="{C3CC7DDE-EE49-4847-A7A6-EB7B41CBE742}"/>
    <cellStyle name="Normal 6 114" xfId="3620" xr:uid="{43EFEA31-F4E7-4B3D-A051-9C0D7342FC52}"/>
    <cellStyle name="Normal 6 115" xfId="3621" xr:uid="{2863DA13-A0E7-4A84-A3B7-0A2F16EF5222}"/>
    <cellStyle name="Normal 6 116" xfId="3622" xr:uid="{9E47AB29-1499-44D5-AAD0-A7ACBDBF5D93}"/>
    <cellStyle name="Normal 6 117" xfId="3623" xr:uid="{015E09DC-B6AF-4F67-B778-9BF140360C1B}"/>
    <cellStyle name="Normal 6 12" xfId="3624" xr:uid="{95939572-22E9-419C-9D0C-69A9E40069B3}"/>
    <cellStyle name="Normal 6 12 2" xfId="3625" xr:uid="{36FA5771-C0B3-485A-85F2-B8979A12DC00}"/>
    <cellStyle name="Normal 6 13" xfId="3626" xr:uid="{AC21C17A-079F-4226-A402-0DAB012D7C89}"/>
    <cellStyle name="Normal 6 13 2" xfId="3627" xr:uid="{12F82379-52F3-4F30-9509-BF8281F0E047}"/>
    <cellStyle name="Normal 6 14" xfId="3628" xr:uid="{0B456399-834D-4970-A5FB-547CAF9F7081}"/>
    <cellStyle name="Normal 6 14 2" xfId="3629" xr:uid="{E6C8A306-A0F5-4B20-8632-384678FA3FFB}"/>
    <cellStyle name="Normal 6 15" xfId="3630" xr:uid="{E7925EC8-9ECF-4788-8D27-9A55299A0CE2}"/>
    <cellStyle name="Normal 6 15 2" xfId="3631" xr:uid="{F94AE9E9-EBB1-46B9-B111-25C69C615D9E}"/>
    <cellStyle name="Normal 6 16" xfId="3632" xr:uid="{A42A5CE5-10EF-4082-AD01-CEB9C573B32F}"/>
    <cellStyle name="Normal 6 16 2" xfId="3633" xr:uid="{B81EBA7C-69AA-4DF1-90A1-91439BE59C21}"/>
    <cellStyle name="Normal 6 17" xfId="3634" xr:uid="{D070DA9B-7DDF-43C7-AF2D-9664EC9A8EC4}"/>
    <cellStyle name="Normal 6 17 2" xfId="3635" xr:uid="{3E5821DC-C06A-4B6F-A00E-6F8AC3807998}"/>
    <cellStyle name="Normal 6 18" xfId="3636" xr:uid="{B6FFBE4B-895D-4942-806B-BE1D9B660C8C}"/>
    <cellStyle name="Normal 6 18 2" xfId="3637" xr:uid="{CEB8B9A9-FA16-427D-9870-810116792DED}"/>
    <cellStyle name="Normal 6 19" xfId="3638" xr:uid="{61309FD1-BC66-4D33-BA8C-4707DF9522B4}"/>
    <cellStyle name="Normal 6 19 2" xfId="3639" xr:uid="{4DF8AAB4-F3F8-4766-B7FE-A51ABBBB7777}"/>
    <cellStyle name="Normal 6 2" xfId="3640" xr:uid="{E01A1D2C-5DB1-4F2F-AA97-9D3F1405F14B}"/>
    <cellStyle name="Normal 6 2 2" xfId="3641" xr:uid="{F3E6F7DC-F065-410A-9209-EDD379FB8417}"/>
    <cellStyle name="Normal 6 2 3" xfId="3642" xr:uid="{3A9D648B-A518-4ADD-A9C9-6C52816AD7CF}"/>
    <cellStyle name="Normal 6 2 4" xfId="3643" xr:uid="{D572766A-76FF-4DA6-9949-91E5E1FB92C3}"/>
    <cellStyle name="Normal 6 2 5" xfId="3644" xr:uid="{85B63EB1-0C5F-4B1E-BD37-BDBDC6265344}"/>
    <cellStyle name="Normal 6 20" xfId="3645" xr:uid="{8474ACE0-BCA5-487A-9655-326259D90B72}"/>
    <cellStyle name="Normal 6 20 2" xfId="3646" xr:uid="{085652C3-68D4-489A-943E-9D78F338E384}"/>
    <cellStyle name="Normal 6 21" xfId="3647" xr:uid="{BE48F5C3-755B-4348-B14C-29977A098A7A}"/>
    <cellStyle name="Normal 6 21 2" xfId="3648" xr:uid="{0528557A-B5F3-4FF7-BB71-2A92A307D4A9}"/>
    <cellStyle name="Normal 6 21 2 2" xfId="3649" xr:uid="{4BBC9BFB-5007-4ADF-BB63-6E36AE47EB6A}"/>
    <cellStyle name="Normal 6 21 3" xfId="3650" xr:uid="{D16D1882-3251-4B10-A04A-7B8B4905E7AC}"/>
    <cellStyle name="Normal 6 21 4" xfId="3651" xr:uid="{198CA43A-B96E-4EBC-A408-A84EDD4C92C6}"/>
    <cellStyle name="Normal 6 22" xfId="3652" xr:uid="{13572460-A9FD-4E33-85B5-D7A8CCCB773E}"/>
    <cellStyle name="Normal 6 22 2" xfId="3653" xr:uid="{4DBED4ED-F046-4BF6-A2BB-9E46219407F6}"/>
    <cellStyle name="Normal 6 22 2 2" xfId="3654" xr:uid="{92C48A85-D0BA-4C90-959E-DEB4E33065C9}"/>
    <cellStyle name="Normal 6 22 3" xfId="3655" xr:uid="{E91D1DD0-1AFA-4A0D-A354-FDF72760E0DB}"/>
    <cellStyle name="Normal 6 22 4" xfId="3656" xr:uid="{E46C8503-AA70-4B00-836E-680433BA63CC}"/>
    <cellStyle name="Normal 6 23" xfId="3657" xr:uid="{C9FCC34E-6C40-4F2D-82A1-B04054C1A5B9}"/>
    <cellStyle name="Normal 6 23 2" xfId="3658" xr:uid="{BC48C02D-481F-4474-B6CC-15A9CF2FC915}"/>
    <cellStyle name="Normal 6 24" xfId="3659" xr:uid="{A84C7F29-EEFD-449E-9A22-03B6E95F96D6}"/>
    <cellStyle name="Normal 6 24 2" xfId="3660" xr:uid="{6FBD85CD-1522-4C3D-9A1E-3544710DE4A3}"/>
    <cellStyle name="Normal 6 25" xfId="3661" xr:uid="{ED74A06E-C9C0-4FA3-AB74-A37A01A5691B}"/>
    <cellStyle name="Normal 6 25 2" xfId="3662" xr:uid="{9A49AE25-2E39-406A-9492-6DA035CA14A1}"/>
    <cellStyle name="Normal 6 26" xfId="3663" xr:uid="{C22C252F-61F1-49EC-832A-01B347CA8675}"/>
    <cellStyle name="Normal 6 26 2" xfId="3664" xr:uid="{1893824A-C4E3-4F6B-8D47-F18FB35C0FD0}"/>
    <cellStyle name="Normal 6 27" xfId="3665" xr:uid="{EA59FB95-8E0B-4FA2-93BC-38BC93D7B90A}"/>
    <cellStyle name="Normal 6 27 2" xfId="3666" xr:uid="{2B116A6E-402E-41B9-8D9B-0F4AB1B6A155}"/>
    <cellStyle name="Normal 6 28" xfId="3667" xr:uid="{52FB4680-8A7F-447E-8A21-D7C6C430067F}"/>
    <cellStyle name="Normal 6 28 2" xfId="3668" xr:uid="{69E957E0-2D96-4C60-BADD-63CAAB34F766}"/>
    <cellStyle name="Normal 6 29" xfId="3669" xr:uid="{78E3AEB0-2771-4331-ABD3-231615E208A5}"/>
    <cellStyle name="Normal 6 29 2" xfId="3670" xr:uid="{62AEFA9A-F9FD-439D-B82A-6A7867D24E33}"/>
    <cellStyle name="Normal 6 3" xfId="3671" xr:uid="{BCE3486F-2AAB-47EF-A176-ED3F6FB24527}"/>
    <cellStyle name="Normal 6 3 2" xfId="3672" xr:uid="{FDE4C21C-42C3-4721-9162-404A00CC7BB7}"/>
    <cellStyle name="Normal 6 3 3" xfId="3673" xr:uid="{B1E45284-10D2-4869-A1EC-8CB1191970C4}"/>
    <cellStyle name="Normal 6 3 4" xfId="3674" xr:uid="{A03CC331-B2E0-4FF4-A37C-D3A2012C24AA}"/>
    <cellStyle name="Normal 6 30" xfId="3675" xr:uid="{562A079E-2F89-4BC6-9AA7-461EB38D025C}"/>
    <cellStyle name="Normal 6 31" xfId="3676" xr:uid="{BD5A37F2-1768-4749-B475-4E8135B7EF6D}"/>
    <cellStyle name="Normal 6 32" xfId="3677" xr:uid="{BAB88571-4E2A-4EC5-A44E-97D4F8B0F6D3}"/>
    <cellStyle name="Normal 6 33" xfId="3678" xr:uid="{CFCAE59B-72FF-439B-8BB9-F6BD250A8810}"/>
    <cellStyle name="Normal 6 34" xfId="3679" xr:uid="{8837FD1E-A027-4F48-9B93-25E970A09C71}"/>
    <cellStyle name="Normal 6 35" xfId="3680" xr:uid="{20E05DE6-13C3-4F40-B768-DE010FD8CF95}"/>
    <cellStyle name="Normal 6 36" xfId="3681" xr:uid="{E764224E-8DED-43C8-9754-8176D691F305}"/>
    <cellStyle name="Normal 6 37" xfId="3682" xr:uid="{40449F95-7495-49DE-A1BF-633E5A13333B}"/>
    <cellStyle name="Normal 6 38" xfId="3683" xr:uid="{E8251524-9931-4E4C-9075-250CF8A658A2}"/>
    <cellStyle name="Normal 6 39" xfId="3684" xr:uid="{CFC3D7EE-01CE-4D6C-A0EE-A126B3F1C393}"/>
    <cellStyle name="Normal 6 4" xfId="3685" xr:uid="{DE07713C-7699-4FDB-A108-896607D2699D}"/>
    <cellStyle name="Normal 6 4 2" xfId="3686" xr:uid="{8AEF737D-E0B9-429E-BCE9-6645232F1FDF}"/>
    <cellStyle name="Normal 6 40" xfId="3687" xr:uid="{E083F067-E126-45DA-A442-0174318B2D0B}"/>
    <cellStyle name="Normal 6 41" xfId="3688" xr:uid="{2162817D-39DA-44ED-8397-CBE2A19C884E}"/>
    <cellStyle name="Normal 6 42" xfId="3689" xr:uid="{50C6BB49-8C0B-48A1-9406-04B1F09A7240}"/>
    <cellStyle name="Normal 6 43" xfId="3690" xr:uid="{1471E402-D495-40A5-8AE6-D183EC9DA392}"/>
    <cellStyle name="Normal 6 44" xfId="3691" xr:uid="{5A92472F-AE59-43AF-BF38-BF3D385C5312}"/>
    <cellStyle name="Normal 6 45" xfId="3692" xr:uid="{58696670-CCF3-45BB-AFEC-9B35117B9704}"/>
    <cellStyle name="Normal 6 46" xfId="3693" xr:uid="{300710BB-641C-4B51-ADCC-3C362246BC59}"/>
    <cellStyle name="Normal 6 47" xfId="3694" xr:uid="{F5038D26-7809-4F6D-A823-FFF89B0622F5}"/>
    <cellStyle name="Normal 6 48" xfId="3695" xr:uid="{420B8C02-F119-4F22-ADE0-D9D641D07C4E}"/>
    <cellStyle name="Normal 6 49" xfId="3696" xr:uid="{2134590D-5143-4553-A2E8-BE8214F90F50}"/>
    <cellStyle name="Normal 6 5" xfId="3697" xr:uid="{42E353A0-7BDF-4172-B23B-D72DD9EF7E08}"/>
    <cellStyle name="Normal 6 5 2" xfId="3698" xr:uid="{13B4EE4D-9B06-4A10-BA38-07D59D68FB75}"/>
    <cellStyle name="Normal 6 50" xfId="3699" xr:uid="{52E9194A-7B27-43AC-AC5F-7CB8747F2595}"/>
    <cellStyle name="Normal 6 51" xfId="3700" xr:uid="{E6A516E1-B274-471E-AE12-22062E7B6AA7}"/>
    <cellStyle name="Normal 6 52" xfId="3701" xr:uid="{5AF1A787-C8DD-424B-88E3-ADF7282C9F46}"/>
    <cellStyle name="Normal 6 53" xfId="3702" xr:uid="{6CA6B85D-CBAD-4EBA-9CE8-FEDAC7E0B48B}"/>
    <cellStyle name="Normal 6 54" xfId="3703" xr:uid="{004772AC-E551-4FBB-903A-1971E0EDAEF6}"/>
    <cellStyle name="Normal 6 55" xfId="3704" xr:uid="{883761D2-415F-441E-BBE6-9D4AB34A7298}"/>
    <cellStyle name="Normal 6 56" xfId="3705" xr:uid="{22C8992A-BB1E-49DE-8B5C-3B99D490069E}"/>
    <cellStyle name="Normal 6 57" xfId="3706" xr:uid="{CFB80702-E853-4719-9B63-33D7736AD360}"/>
    <cellStyle name="Normal 6 58" xfId="3707" xr:uid="{61CEBB58-376E-469D-B85E-E074BADCADC5}"/>
    <cellStyle name="Normal 6 59" xfId="3708" xr:uid="{37FD0E62-B9F6-40A3-BECB-851816CEB041}"/>
    <cellStyle name="Normal 6 6" xfId="3709" xr:uid="{6F74A7C8-D537-4697-B45E-DDBDAFCA5501}"/>
    <cellStyle name="Normal 6 6 2" xfId="3710" xr:uid="{5FFBFD70-E02B-4E82-BACB-B5288F5E1701}"/>
    <cellStyle name="Normal 6 60" xfId="3711" xr:uid="{07A3C551-B5AD-402F-BD1C-49FA7FB45E56}"/>
    <cellStyle name="Normal 6 61" xfId="3712" xr:uid="{FA20F0C1-3B21-4FBF-A092-93FC7F4059B1}"/>
    <cellStyle name="Normal 6 62" xfId="3713" xr:uid="{17DDFCDF-0DDB-475C-92A9-00B65CCFC3CC}"/>
    <cellStyle name="Normal 6 63" xfId="3714" xr:uid="{26B0B7B6-6E03-4524-B8EF-F474CB723AB8}"/>
    <cellStyle name="Normal 6 64" xfId="3715" xr:uid="{1D9C2946-58E0-471B-AB16-10174D45750E}"/>
    <cellStyle name="Normal 6 65" xfId="3716" xr:uid="{4B0713BC-B7BD-430E-BEEA-0C3DA124E4A4}"/>
    <cellStyle name="Normal 6 66" xfId="3717" xr:uid="{5BEDBC81-E5B7-49DA-AD20-9F5B03271FD6}"/>
    <cellStyle name="Normal 6 67" xfId="3718" xr:uid="{8EDE662A-4ED4-4C97-AD4E-D687FB7D7359}"/>
    <cellStyle name="Normal 6 68" xfId="3719" xr:uid="{D57C38D2-7476-4DBA-8C69-531B058FDEDB}"/>
    <cellStyle name="Normal 6 69" xfId="3720" xr:uid="{46451BE0-692B-476F-956A-429C9E08A0A2}"/>
    <cellStyle name="Normal 6 7" xfId="3721" xr:uid="{4456B800-EF73-4283-8395-320AC621039E}"/>
    <cellStyle name="Normal 6 7 2" xfId="3722" xr:uid="{CD62AB26-F23A-4FE2-840D-134529A1FD8D}"/>
    <cellStyle name="Normal 6 70" xfId="3723" xr:uid="{7EB1C1E8-F22D-4C8E-93CF-1AE0364427CA}"/>
    <cellStyle name="Normal 6 71" xfId="3724" xr:uid="{76B9EC22-AC9D-4B29-AB40-00F2A095BB9D}"/>
    <cellStyle name="Normal 6 72" xfId="3725" xr:uid="{5017195B-2BB8-4E72-AEEC-D42363FD2DDA}"/>
    <cellStyle name="Normal 6 73" xfId="3726" xr:uid="{F1EE73AA-0AA5-4702-AB14-8B19D30E0C5F}"/>
    <cellStyle name="Normal 6 74" xfId="3727" xr:uid="{81A7F828-2E80-4CCB-8307-D2E72BA90288}"/>
    <cellStyle name="Normal 6 75" xfId="3728" xr:uid="{76406C07-177D-45A5-9E84-02111D68E475}"/>
    <cellStyle name="Normal 6 76" xfId="3729" xr:uid="{8233455D-2096-43C0-9A48-64ED1B133A52}"/>
    <cellStyle name="Normal 6 77" xfId="3730" xr:uid="{ADF08B92-A33B-4D9C-8BF2-A39D9CE1CA94}"/>
    <cellStyle name="Normal 6 78" xfId="3731" xr:uid="{1DF8E59C-1AB2-42B2-8A1E-44FC77E10BD2}"/>
    <cellStyle name="Normal 6 79" xfId="3732" xr:uid="{A7542267-44CE-47B4-A55C-680665064D37}"/>
    <cellStyle name="Normal 6 8" xfId="3733" xr:uid="{DA2B78FD-46D7-4254-895F-0FC78BDBE693}"/>
    <cellStyle name="Normal 6 8 2" xfId="3734" xr:uid="{868878B1-FA7C-4F1C-9F82-13D8AC85ABCC}"/>
    <cellStyle name="Normal 6 80" xfId="3735" xr:uid="{FA05A03F-7949-4413-A837-D94942BF3DF6}"/>
    <cellStyle name="Normal 6 81" xfId="3736" xr:uid="{AFDDC5B8-D461-4B92-87F5-C121D81371E0}"/>
    <cellStyle name="Normal 6 82" xfId="3737" xr:uid="{1E21DEAF-EF2A-41B6-8958-777ED991B29A}"/>
    <cellStyle name="Normal 6 83" xfId="3738" xr:uid="{55C62DF3-A6CA-4E51-98A9-4893F6ABC80C}"/>
    <cellStyle name="Normal 6 84" xfId="3739" xr:uid="{4B0BE9A0-56BB-483C-90BB-2387C9DBD10B}"/>
    <cellStyle name="Normal 6 85" xfId="3740" xr:uid="{6E05F250-6219-44E8-9AE1-CC3E26B436AE}"/>
    <cellStyle name="Normal 6 86" xfId="3741" xr:uid="{5E33F845-DC59-4585-A274-0C8BAE7F0EC5}"/>
    <cellStyle name="Normal 6 87" xfId="3742" xr:uid="{C1A244DE-809C-452A-A8DF-0DCC1317C4FD}"/>
    <cellStyle name="Normal 6 88" xfId="3743" xr:uid="{CE0A9778-FE61-4B70-985B-27D98C32DFCB}"/>
    <cellStyle name="Normal 6 89" xfId="3744" xr:uid="{1CC89CB1-AD6B-44C4-8B92-ECB30CEB3BCF}"/>
    <cellStyle name="Normal 6 9" xfId="3745" xr:uid="{1A3F7DDF-5F09-4D06-940A-B0C662B16734}"/>
    <cellStyle name="Normal 6 9 2" xfId="3746" xr:uid="{4E916F34-1A3C-46F5-883F-1EBD0F4C5468}"/>
    <cellStyle name="Normal 6 90" xfId="3747" xr:uid="{F88D6EC9-4580-4FF9-992C-378DE02AAA4C}"/>
    <cellStyle name="Normal 6 91" xfId="3748" xr:uid="{2E76339C-95A0-4343-8B40-A856B8C14F09}"/>
    <cellStyle name="Normal 6 92" xfId="3749" xr:uid="{7CA348D1-F064-4CA0-A4F2-4424F1C19B5E}"/>
    <cellStyle name="Normal 6 93" xfId="3750" xr:uid="{9299B31A-E731-4987-8659-05E7FF4400CE}"/>
    <cellStyle name="Normal 6 94" xfId="3751" xr:uid="{4513A569-B35C-4640-A4B9-23C998D27F6A}"/>
    <cellStyle name="Normal 6 95" xfId="3752" xr:uid="{11122FA0-E3BD-44FE-8B1F-2844CB91650A}"/>
    <cellStyle name="Normal 6 96" xfId="3753" xr:uid="{59B7556D-2425-4B7A-938E-F85675B9D8EF}"/>
    <cellStyle name="Normal 6 97" xfId="3754" xr:uid="{24520CD0-15A3-497D-8403-1C230FC34AA3}"/>
    <cellStyle name="Normal 6 98" xfId="3755" xr:uid="{D430A303-1EFD-46C7-A6AB-C4D67FEFD974}"/>
    <cellStyle name="Normal 6 99" xfId="3756" xr:uid="{9AD9B345-02D0-4896-AAD6-484E4802F399}"/>
    <cellStyle name="Normal 60" xfId="4648" xr:uid="{8B6A52BC-A391-4F3E-8E73-206C6698A0EB}"/>
    <cellStyle name="Normal 60 2" xfId="3757" xr:uid="{14815FBC-E8CB-4D4D-A8AE-375C11E08B70}"/>
    <cellStyle name="Normal 60 3" xfId="3758" xr:uid="{B0FD6069-77B8-4DE8-AC01-74189D02354F}"/>
    <cellStyle name="Normal 60 4" xfId="3759" xr:uid="{DBCEE2D0-06F1-47FB-B2B0-252698A2A609}"/>
    <cellStyle name="Normal 60 5" xfId="3760" xr:uid="{530E17B2-AA69-41E1-AA5B-08C6903EBC33}"/>
    <cellStyle name="Normal 60 6" xfId="3761" xr:uid="{2539D5A9-E06F-41EC-BDDE-802DDF8C774C}"/>
    <cellStyle name="Normal 60 7" xfId="3762" xr:uid="{D621C6F3-4919-44A5-944B-C3ED21F77C45}"/>
    <cellStyle name="Normal 60 8" xfId="3763" xr:uid="{78BDB7C2-38FB-4E4E-9B66-919B3EC30598}"/>
    <cellStyle name="Normal 61" xfId="4649" xr:uid="{E6CCAE8A-B25C-42EF-BB13-F1E59AE507B7}"/>
    <cellStyle name="Normal 61 2" xfId="3764" xr:uid="{5EBA9326-2260-4287-B4A1-A6C655EFFFEA}"/>
    <cellStyle name="Normal 61 3" xfId="3765" xr:uid="{91C4C309-7865-4789-9F25-94D392A82F3E}"/>
    <cellStyle name="Normal 61 4" xfId="3766" xr:uid="{725CD4F4-2762-45F1-B1B9-6ED7F5BC3233}"/>
    <cellStyle name="Normal 61 5" xfId="3767" xr:uid="{2C5ADD55-572A-4C67-AFB7-189A6C523BCB}"/>
    <cellStyle name="Normal 61 6" xfId="3768" xr:uid="{4A0739BD-BCE1-47A9-BCE4-46362CE89A9D}"/>
    <cellStyle name="Normal 61 7" xfId="3769" xr:uid="{B1B258AF-03B4-456E-ABAA-7C3D9458BE49}"/>
    <cellStyle name="Normal 61 8" xfId="3770" xr:uid="{854953A0-6486-4307-B981-56E21B634649}"/>
    <cellStyle name="Normal 62" xfId="4650" xr:uid="{3120F2C3-D1E1-48F5-815C-EB0B2C142D6E}"/>
    <cellStyle name="Normal 62 2" xfId="3771" xr:uid="{9773EB0D-EF88-4228-9DA8-E475ECC6A3FE}"/>
    <cellStyle name="Normal 62 3" xfId="3772" xr:uid="{9F0F0AEA-7738-4B80-9B6D-188F1E329B79}"/>
    <cellStyle name="Normal 62 4" xfId="3773" xr:uid="{330C68A5-4C84-41BD-89F3-AC2F45BFBE8B}"/>
    <cellStyle name="Normal 62 5" xfId="3774" xr:uid="{06964F24-6D9C-44D5-BECD-5809732974D6}"/>
    <cellStyle name="Normal 62 6" xfId="3775" xr:uid="{913BC137-5540-474A-8F3F-0B2D62F1E35E}"/>
    <cellStyle name="Normal 62 7" xfId="3776" xr:uid="{D2C3EAD8-C275-4B3F-88E7-333CD9C084FA}"/>
    <cellStyle name="Normal 62 8" xfId="3777" xr:uid="{3009C049-F57C-4F5A-8142-434BE276181D}"/>
    <cellStyle name="Normal 63" xfId="4651" xr:uid="{6B4AB520-5E72-47A5-820D-698BD097ECD1}"/>
    <cellStyle name="Normal 63 2" xfId="3778" xr:uid="{896CECDA-2514-4A17-8211-EE024D0FA84A}"/>
    <cellStyle name="Normal 63 3" xfId="3779" xr:uid="{AB995BD6-828B-453C-8C6A-9D050314FADC}"/>
    <cellStyle name="Normal 63 4" xfId="3780" xr:uid="{AF865557-E2AE-4AE2-B48E-930D2E3358A8}"/>
    <cellStyle name="Normal 63 5" xfId="3781" xr:uid="{AA7A29DC-D5BB-4D93-AB90-20AA0AF47C56}"/>
    <cellStyle name="Normal 63 6" xfId="3782" xr:uid="{7F412D62-3D1D-4FE9-98ED-5DB6561513DC}"/>
    <cellStyle name="Normal 63 7" xfId="3783" xr:uid="{EB961EBF-D67E-40BE-9A21-C515C2DA4C7B}"/>
    <cellStyle name="Normal 63 8" xfId="3784" xr:uid="{746AFD8D-5FE7-44E6-980D-4F0F56223A92}"/>
    <cellStyle name="Normal 64 2" xfId="3785" xr:uid="{E4759C11-0408-411B-A200-40B6AE698360}"/>
    <cellStyle name="Normal 64 3" xfId="3786" xr:uid="{0D979E44-64A3-45F3-91DF-AACBE0098119}"/>
    <cellStyle name="Normal 64 4" xfId="3787" xr:uid="{CA0F1F0D-8269-4787-A68F-E798E7B0B760}"/>
    <cellStyle name="Normal 64 5" xfId="3788" xr:uid="{0E36DEC0-068F-4DDF-AF3C-63A547CB5E8A}"/>
    <cellStyle name="Normal 64 6" xfId="3789" xr:uid="{A4CC95E7-5B6F-4481-9D70-2099803225E0}"/>
    <cellStyle name="Normal 64 7" xfId="3790" xr:uid="{9B23AB9F-A954-4049-94E2-E79E21EF74D4}"/>
    <cellStyle name="Normal 64 8" xfId="3791" xr:uid="{8FF66747-8409-4358-AD8A-7362CF226428}"/>
    <cellStyle name="Normal 65" xfId="3792" xr:uid="{A238571E-7C4A-4F89-91DF-ABE816263668}"/>
    <cellStyle name="Normal 65 2" xfId="3793" xr:uid="{6326CB84-801A-4723-B132-2BF338635C8F}"/>
    <cellStyle name="Normal 65 3" xfId="3794" xr:uid="{B2DDD589-21CB-4379-B3E7-2C1EC583A461}"/>
    <cellStyle name="Normal 65 4" xfId="3795" xr:uid="{C664D5DE-E357-4600-A52A-512765B189B5}"/>
    <cellStyle name="Normal 65 5" xfId="3796" xr:uid="{89959772-9909-40BC-B081-D257A3307105}"/>
    <cellStyle name="Normal 65 6" xfId="3797" xr:uid="{979C9829-5C5B-4930-A038-BBCFF3C4ECDF}"/>
    <cellStyle name="Normal 65 7" xfId="3798" xr:uid="{C4D5B5D4-F0E3-499A-9BDF-47F71F5042D0}"/>
    <cellStyle name="Normal 65 8" xfId="3799" xr:uid="{1ED3BAD6-BC6F-4CE0-98C6-DDAAAA93DCA4}"/>
    <cellStyle name="Normal 67 2" xfId="3800" xr:uid="{D353E319-49CC-4A4F-9D8D-E49BC9E1F4E1}"/>
    <cellStyle name="Normal 67 3" xfId="3801" xr:uid="{91DAC3A1-966B-49FF-B1AC-F8F6D7C78370}"/>
    <cellStyle name="Normal 67 4" xfId="3802" xr:uid="{DBA7714A-8C4E-4911-82FC-969313003734}"/>
    <cellStyle name="Normal 67 5" xfId="3803" xr:uid="{98B747CF-4E63-4AE2-93E3-00AE660A028D}"/>
    <cellStyle name="Normal 67 6" xfId="3804" xr:uid="{59C22B9B-BBD8-474C-A99F-26916DB33528}"/>
    <cellStyle name="Normal 67 7" xfId="3805" xr:uid="{E3A2F4CA-73FC-4C0B-ACA2-BB4E45BE1FA8}"/>
    <cellStyle name="Normal 67 8" xfId="3806" xr:uid="{D9BE0CED-F8F2-443F-89C8-7778BEF351B0}"/>
    <cellStyle name="Normal 69 2" xfId="3807" xr:uid="{51701CE2-691C-476F-B9CF-06FCB510744D}"/>
    <cellStyle name="Normal 69 3" xfId="3808" xr:uid="{8437F95B-26FE-47F0-80E1-E6194EA2A4EB}"/>
    <cellStyle name="Normal 69 4" xfId="3809" xr:uid="{CEBF6682-6EB1-4605-B338-E3BC410D2CAE}"/>
    <cellStyle name="Normal 69 5" xfId="3810" xr:uid="{CA865EFC-FEDF-4098-A122-291259F5D1F0}"/>
    <cellStyle name="Normal 69 6" xfId="3811" xr:uid="{A9A44287-3D5D-4912-92F3-6E9985EBEF38}"/>
    <cellStyle name="Normal 69 7" xfId="3812" xr:uid="{FD48ACEB-A7B6-498E-BA15-73BC4618A69A}"/>
    <cellStyle name="Normal 69 8" xfId="3813" xr:uid="{78707697-FCB0-45C6-B79F-051D38B1186B}"/>
    <cellStyle name="Normal 7" xfId="3814" xr:uid="{49DAC54E-41CC-4A77-ABE4-F4F573B5D105}"/>
    <cellStyle name="Normal-- 7" xfId="3975" xr:uid="{7D8ED03D-7E8F-4D34-93BA-5AAAD8134A19}"/>
    <cellStyle name="Normal 7 10" xfId="3815" xr:uid="{ABCD7608-28A5-4610-9D28-AF9F61E737C8}"/>
    <cellStyle name="Normal 7 11" xfId="3816" xr:uid="{49F0B643-272E-44BE-A9F0-E5F73EDB6802}"/>
    <cellStyle name="Normal 7 12" xfId="3817" xr:uid="{60EFE8EE-F157-4A51-893E-AAA841505BCB}"/>
    <cellStyle name="Normal 7 13" xfId="3818" xr:uid="{65A5C5D3-12A8-41CF-85D5-242700A84DDA}"/>
    <cellStyle name="Normal 7 14" xfId="3819" xr:uid="{B4105E54-BEF0-4405-A31D-6E58D13D4EDA}"/>
    <cellStyle name="Normal 7 15" xfId="3820" xr:uid="{9EC426D3-8C8C-46F2-BD10-36721699E2C1}"/>
    <cellStyle name="Normal 7 16" xfId="3821" xr:uid="{22BC64C6-3467-4A1D-9DEB-AB3AC0886ABF}"/>
    <cellStyle name="Normal 7 17" xfId="3822" xr:uid="{F2A640C3-E0DD-479A-8F18-195591C61772}"/>
    <cellStyle name="Normal 7 18" xfId="3823" xr:uid="{D8570F56-4A31-46FB-8D76-1C305A560E68}"/>
    <cellStyle name="Normal 7 19" xfId="3824" xr:uid="{75F948FD-4289-48E0-9023-71B6E398C558}"/>
    <cellStyle name="Normal 7 2" xfId="3825" xr:uid="{FFD4190E-1953-445A-81D9-E776CCC556A4}"/>
    <cellStyle name="Normal 7 2 2" xfId="3826" xr:uid="{B294E438-0CCF-42A6-B970-D8BC97AE1189}"/>
    <cellStyle name="Normal 7 2 3" xfId="3827" xr:uid="{75740860-0684-4F2C-AFE6-B7F3BE633CE3}"/>
    <cellStyle name="Normal 7 2 4" xfId="3828" xr:uid="{78D24098-132D-40CA-8A4E-C2175BDFDE28}"/>
    <cellStyle name="Normal 7 20" xfId="3829" xr:uid="{7D824DFA-503F-4A85-BA86-06C3BD80DD0A}"/>
    <cellStyle name="Normal 7 21" xfId="3830" xr:uid="{F39DC2D3-F4B2-40A2-8A2E-1CB29628B3EE}"/>
    <cellStyle name="Normal 7 22" xfId="3831" xr:uid="{7A1F0CC4-550E-4115-8A65-3A1C27DB62FA}"/>
    <cellStyle name="Normal 7 23" xfId="3832" xr:uid="{3F29288B-25CD-49DB-9529-0726C8D2427A}"/>
    <cellStyle name="Normal 7 24" xfId="3833" xr:uid="{7F7D258F-DF39-4B89-9A09-81A091A0DF65}"/>
    <cellStyle name="Normal 7 25" xfId="3834" xr:uid="{4C0A923B-C5D0-45B2-B931-03B40853B43C}"/>
    <cellStyle name="Normal 7 26" xfId="3835" xr:uid="{E93B7F36-5805-49BC-B2A9-12D386BC3044}"/>
    <cellStyle name="Normal 7 27" xfId="3836" xr:uid="{4F414E3C-B13E-4BA3-9FE8-9F2E1B003DF9}"/>
    <cellStyle name="Normal 7 28" xfId="3837" xr:uid="{6C0C7E1D-22E1-43F9-A3F8-7275CF420E6D}"/>
    <cellStyle name="Normal 7 29" xfId="3838" xr:uid="{3039C197-0D15-4691-8A46-3EE68ED04DA4}"/>
    <cellStyle name="Normal 7 3" xfId="3839" xr:uid="{31044950-61E9-42F1-8F1E-EE48830AC55F}"/>
    <cellStyle name="Normal 7 30" xfId="3840" xr:uid="{99C701AD-824F-412A-B732-D44CF4204EAF}"/>
    <cellStyle name="Normal 7 31" xfId="3841" xr:uid="{17D3D1C2-CE8C-466D-B693-F803D57F7676}"/>
    <cellStyle name="Normal 7 32" xfId="3842" xr:uid="{591DF8E5-4037-4124-A6C8-956B424C2C1E}"/>
    <cellStyle name="Normal 7 33" xfId="3843" xr:uid="{6FA8E526-A05E-4CC5-960F-7A0FAD35BBA9}"/>
    <cellStyle name="Normal 7 34" xfId="3844" xr:uid="{0C013927-C818-4190-B3A6-3215967A3EA9}"/>
    <cellStyle name="Normal 7 35" xfId="3845" xr:uid="{47FAC447-CF42-4D44-922C-EF2F2E8DABE7}"/>
    <cellStyle name="Normal 7 36" xfId="3846" xr:uid="{2A421128-EB0F-4F4D-BF59-F8AF47D06E1E}"/>
    <cellStyle name="Normal 7 37" xfId="3847" xr:uid="{1E4589F2-121B-4623-A9B0-DB0895C41957}"/>
    <cellStyle name="Normal 7 38" xfId="3848" xr:uid="{E601CE16-23D7-49A2-9076-09389F26251A}"/>
    <cellStyle name="Normal 7 4" xfId="3849" xr:uid="{7F50A142-6084-4DBE-BD6F-0C6A89EE7F74}"/>
    <cellStyle name="Normal 7 5" xfId="3850" xr:uid="{E43FEF1B-F448-401F-9731-330BE28137ED}"/>
    <cellStyle name="Normal 7 6" xfId="3851" xr:uid="{32634A10-7E7D-4138-83C6-351E0594BBC8}"/>
    <cellStyle name="Normal 7 7" xfId="3852" xr:uid="{35F4F2C1-F76F-4BCA-BC89-8BF10DB469B7}"/>
    <cellStyle name="Normal 7 8" xfId="3853" xr:uid="{B8D1D933-E113-4DF8-B112-C4AF28634C5E}"/>
    <cellStyle name="Normal 7 9" xfId="3854" xr:uid="{E3E38F67-AA37-4BE3-B773-90F9E7018866}"/>
    <cellStyle name="Normal 70 2" xfId="3855" xr:uid="{D10BA978-857C-4280-998F-F4EFEF3DE233}"/>
    <cellStyle name="Normal 70 3" xfId="3856" xr:uid="{0D31B595-3FFC-42F6-A795-E143D89CCCC8}"/>
    <cellStyle name="Normal 70 4" xfId="3857" xr:uid="{A60F9F6F-B128-47B5-A2C0-407069415BA7}"/>
    <cellStyle name="Normal 70 5" xfId="3858" xr:uid="{3049C117-73C2-494F-900E-F5B30BD5D49A}"/>
    <cellStyle name="Normal 70 6" xfId="3859" xr:uid="{8A074538-C638-40E1-AACD-EC17BF5F166F}"/>
    <cellStyle name="Normal 70 7" xfId="3860" xr:uid="{54ADE493-DDF0-428B-83F4-3B99A2EAF2DA}"/>
    <cellStyle name="Normal 70 8" xfId="3861" xr:uid="{743BE9CB-B8A6-4928-8528-48293E5A370D}"/>
    <cellStyle name="Normal 71 2" xfId="3862" xr:uid="{2B3E823F-CBBE-4CFF-ACFE-BBC78E212705}"/>
    <cellStyle name="Normal 71 3" xfId="3863" xr:uid="{A0A07695-53C9-4A39-A2C7-E12C2DA42C46}"/>
    <cellStyle name="Normal 71 4" xfId="3864" xr:uid="{0182B775-FDAD-4B54-A514-633F4E0DFE90}"/>
    <cellStyle name="Normal 71 5" xfId="3865" xr:uid="{C33BF030-5490-46FA-BE85-88D80E6BBBFE}"/>
    <cellStyle name="Normal 71 6" xfId="3866" xr:uid="{F977A836-5A9C-4DCF-9C03-4218B7CFF071}"/>
    <cellStyle name="Normal 71 7" xfId="3867" xr:uid="{EC33078B-22CF-4FA5-AE56-EE148E642D96}"/>
    <cellStyle name="Normal 71 8" xfId="3868" xr:uid="{1579967F-F506-44DA-8C6A-BDD82E789734}"/>
    <cellStyle name="Normal 72 2" xfId="3869" xr:uid="{86AFFB2D-C1EB-4024-B249-8F0DC78A9A3D}"/>
    <cellStyle name="Normal 72 3" xfId="3870" xr:uid="{05F78AC2-D355-40E9-98B0-D58CB1126266}"/>
    <cellStyle name="Normal 72 4" xfId="3871" xr:uid="{ACDDA199-B063-4751-A9CA-7A4CB54DC09B}"/>
    <cellStyle name="Normal 72 5" xfId="3872" xr:uid="{17EF9161-9551-4FA2-A134-AA1B5052193D}"/>
    <cellStyle name="Normal 72 6" xfId="3873" xr:uid="{CB6B20FE-61C2-42DF-B1B4-0F4F6BF68D16}"/>
    <cellStyle name="Normal 72 7" xfId="3874" xr:uid="{8861711B-8BAC-45BF-975F-64CAAC4334A7}"/>
    <cellStyle name="Normal 72 8" xfId="3875" xr:uid="{EB3F684E-F266-4987-A1F4-C408FE646056}"/>
    <cellStyle name="Normal 73 2" xfId="3876" xr:uid="{14D17F5C-B60E-449D-A91A-8F9AF8A88D2B}"/>
    <cellStyle name="Normal 73 3" xfId="3877" xr:uid="{F5BDAA20-F4E3-4EB3-BCBC-14C91543640A}"/>
    <cellStyle name="Normal 73 4" xfId="3878" xr:uid="{D151F918-AA4C-4038-8AF1-7013D27F1BAB}"/>
    <cellStyle name="Normal 73 5" xfId="3879" xr:uid="{8B0D3054-EE24-428B-A520-F5E1B49140A9}"/>
    <cellStyle name="Normal 73 6" xfId="3880" xr:uid="{5FD45295-583D-4858-A000-0CEFAEDD121B}"/>
    <cellStyle name="Normal 73 7" xfId="3881" xr:uid="{A185EE51-BB8E-437C-B2AA-4527F401435B}"/>
    <cellStyle name="Normal 73 8" xfId="3882" xr:uid="{A5081FCB-38F2-4306-8919-E04E95B13DC8}"/>
    <cellStyle name="Normal 74 2" xfId="3883" xr:uid="{53211A31-33A9-4ACD-8D1A-E9FAAD9B57AE}"/>
    <cellStyle name="Normal 74 3" xfId="3884" xr:uid="{B6EFCDA9-64BE-46F1-84AA-1A351628B13C}"/>
    <cellStyle name="Normal 74 4" xfId="3885" xr:uid="{AF0A73D0-29F6-40A3-9A7D-60D9ED8EB47E}"/>
    <cellStyle name="Normal 74 5" xfId="3886" xr:uid="{12293D10-B34E-4A4E-86B7-5EEAD8153EEF}"/>
    <cellStyle name="Normal 74 6" xfId="3887" xr:uid="{02B038D3-E24E-4D9D-944E-8449357FE21E}"/>
    <cellStyle name="Normal 74 7" xfId="3888" xr:uid="{3B258BCE-3D36-4047-8F6C-85E65F0C922B}"/>
    <cellStyle name="Normal 74 8" xfId="3889" xr:uid="{4E3D1CC7-3BE7-4C6F-B73A-DDC9E48B02D6}"/>
    <cellStyle name="Normal 75 2" xfId="3890" xr:uid="{A3DE3125-5FE5-4EC8-8C98-429AB7356620}"/>
    <cellStyle name="Normal 75 3" xfId="3891" xr:uid="{8ECE2B01-6052-477A-984E-C850074BCCC7}"/>
    <cellStyle name="Normal 75 4" xfId="3892" xr:uid="{C8106581-35B7-4E1D-8622-0971F8DD993E}"/>
    <cellStyle name="Normal 75 5" xfId="3893" xr:uid="{B0A55F62-4410-455D-9B2F-88E4E4636699}"/>
    <cellStyle name="Normal 75 6" xfId="3894" xr:uid="{C6A672A5-E80B-4076-8A8B-D209166BB011}"/>
    <cellStyle name="Normal 75 7" xfId="3895" xr:uid="{6113AFA3-81EA-4E74-8479-680B6AA90649}"/>
    <cellStyle name="Normal 75 8" xfId="3896" xr:uid="{3ADA3C7C-A845-408B-A658-721F10129C07}"/>
    <cellStyle name="Normal 76" xfId="3897" xr:uid="{AB6B6C9C-E7C3-49A2-95B6-26D9EA76DD9B}"/>
    <cellStyle name="Normal 77" xfId="3898" xr:uid="{1D79C7B2-2B0A-4750-B19A-816617C5161E}"/>
    <cellStyle name="Normal 8" xfId="3899" xr:uid="{42B97243-3E9C-484D-8EF5-6B28BAB80291}"/>
    <cellStyle name="Normal-- 8" xfId="3976" xr:uid="{4E5D89A8-5878-447D-A740-40354BEFA146}"/>
    <cellStyle name="Normal 8 10" xfId="3900" xr:uid="{CF196B38-6A5C-40B4-9DDC-FBCFE72B40CA}"/>
    <cellStyle name="Normal 8 11" xfId="3901" xr:uid="{575E02A7-1B2B-4305-A626-B29E0125FDAB}"/>
    <cellStyle name="Normal 8 12" xfId="3902" xr:uid="{43B30561-99EA-4DDB-A323-784F648827B9}"/>
    <cellStyle name="Normal 8 13" xfId="3903" xr:uid="{D05D2A74-53FD-43E2-B489-B6159544EE4D}"/>
    <cellStyle name="Normal 8 14" xfId="3904" xr:uid="{F7B8FACD-20A2-4790-9063-96760EBA3CBA}"/>
    <cellStyle name="Normal 8 15" xfId="3905" xr:uid="{F4148E3F-2BC6-4229-9B61-0D5C6F4CFD6C}"/>
    <cellStyle name="Normal 8 16" xfId="3906" xr:uid="{4D50193A-B49E-42B7-AD93-8AB6EB772FE1}"/>
    <cellStyle name="Normal 8 17" xfId="3907" xr:uid="{353F9D16-A200-4A26-9CF7-102EA3693F5B}"/>
    <cellStyle name="Normal 8 18" xfId="3908" xr:uid="{D6421DEA-44DB-4784-A60F-50354D798234}"/>
    <cellStyle name="Normal 8 19" xfId="3909" xr:uid="{C412112E-16B1-4A6D-93E1-BEEDC79441A9}"/>
    <cellStyle name="Normal 8 2" xfId="3910" xr:uid="{6BB46500-9304-4D21-8BB1-80BE74EF7395}"/>
    <cellStyle name="Normal 8 2 2" xfId="3911" xr:uid="{644DA7F6-A492-495E-9238-FF0151F808CC}"/>
    <cellStyle name="Normal 8 2 3" xfId="3912" xr:uid="{5E3D23C0-2CC3-4D7B-8D08-9611D395E1C9}"/>
    <cellStyle name="Normal 8 20" xfId="3913" xr:uid="{2527DE92-2B3E-421C-9C51-267B56BF6C02}"/>
    <cellStyle name="Normal 8 21" xfId="3914" xr:uid="{1E62FEAE-6FF5-4E6C-B5ED-2CF880E39DE0}"/>
    <cellStyle name="Normal 8 21 2" xfId="3915" xr:uid="{1454AD58-DA95-4257-9518-2E22EDE4BF2F}"/>
    <cellStyle name="Normal 8 21 2 2" xfId="3916" xr:uid="{DCE3B052-2C5D-4D80-9293-BF0D00E1AA5A}"/>
    <cellStyle name="Normal 8 21 2 2 2" xfId="3917" xr:uid="{46697763-0935-4F01-BD1D-5B01FCB03705}"/>
    <cellStyle name="Normal 8 21 2 3" xfId="3918" xr:uid="{5424D08F-5FD8-4384-9BB2-55F00E4D408F}"/>
    <cellStyle name="Normal 8 21 3" xfId="3919" xr:uid="{8FB20F13-8DD3-47C6-B7AF-7FB7ABFE4D7E}"/>
    <cellStyle name="Normal 8 21 3 2" xfId="3920" xr:uid="{14E872A6-53B9-4B55-95C0-C0E97B105AAF}"/>
    <cellStyle name="Normal 8 21 4" xfId="3921" xr:uid="{35BCD413-79ED-4EDF-AF71-014BDFFB8EF2}"/>
    <cellStyle name="Normal 8 22" xfId="3922" xr:uid="{DB7F97F4-884D-4EFC-9CE5-F64D51B251D5}"/>
    <cellStyle name="Normal 8 22 2" xfId="3923" xr:uid="{00D7FD7C-68C1-4ADA-8E05-822F78781A3A}"/>
    <cellStyle name="Normal 8 22 2 2" xfId="3924" xr:uid="{3BFC68AE-466D-4FE4-8E83-F95719E590C9}"/>
    <cellStyle name="Normal 8 22 2 2 2" xfId="3925" xr:uid="{8A542B71-615F-4F3E-AEED-1DA68F92DBF6}"/>
    <cellStyle name="Normal 8 22 2 3" xfId="3926" xr:uid="{3D3C1346-B1A5-473B-A0D4-E75BABE64D13}"/>
    <cellStyle name="Normal 8 22 3" xfId="3927" xr:uid="{F234F894-A9E8-445A-97DE-5D9BCA7E079C}"/>
    <cellStyle name="Normal 8 22 3 2" xfId="3928" xr:uid="{97E45806-6D96-4820-B3FC-6A9AB2CF0809}"/>
    <cellStyle name="Normal 8 22 4" xfId="3929" xr:uid="{C58F3F43-8DC4-4EDD-BDA1-EC05BC922407}"/>
    <cellStyle name="Normal 8 23" xfId="3930" xr:uid="{E2C7B3BD-A61B-4DD1-9359-DD73C4A87AFF}"/>
    <cellStyle name="Normal 8 23 2" xfId="3931" xr:uid="{9268C726-35C2-439F-A0C5-32137DCE6D9B}"/>
    <cellStyle name="Normal 8 23 2 2" xfId="3932" xr:uid="{08B263D0-411D-4217-A1E4-47E751248AFA}"/>
    <cellStyle name="Normal 8 23 3" xfId="3933" xr:uid="{07124813-3082-4FEE-891D-095FCB9C430D}"/>
    <cellStyle name="Normal 8 24" xfId="3934" xr:uid="{0DBC1252-5EB9-4EF5-8CD3-9620A78C6221}"/>
    <cellStyle name="Normal 8 24 2" xfId="3935" xr:uid="{DA15EC21-23C7-4BAA-99A4-013306820BB5}"/>
    <cellStyle name="Normal 8 25" xfId="3936" xr:uid="{AA650C65-3212-4EB0-B6B4-E96820F5D8C0}"/>
    <cellStyle name="Normal 8 26" xfId="3937" xr:uid="{99149769-1B35-455D-B0D8-C8DE166AB6BE}"/>
    <cellStyle name="Normal 8 27" xfId="3938" xr:uid="{393E986D-8F1F-4ACB-A352-813CC1FB1937}"/>
    <cellStyle name="Normal 8 28" xfId="3939" xr:uid="{1BC74A98-7860-4214-8245-7B5B7DA4B986}"/>
    <cellStyle name="Normal 8 29" xfId="3940" xr:uid="{36D5C55B-1151-4DD9-831D-BEA151EE0A66}"/>
    <cellStyle name="Normal 8 3" xfId="3941" xr:uid="{3C554BD0-2305-4A90-9F4C-5A2CCA86EC00}"/>
    <cellStyle name="Normal 8 3 2" xfId="3942" xr:uid="{AB511A46-8B95-471D-9255-38CFF1A3D7D3}"/>
    <cellStyle name="Normal 8 30" xfId="3943" xr:uid="{A2056A61-D0CD-4ADF-822B-4A65272DF963}"/>
    <cellStyle name="Normal 8 31" xfId="3944" xr:uid="{6CAFC72C-A3D5-4395-98D6-042B3CAA9C4F}"/>
    <cellStyle name="Normal 8 32" xfId="3945" xr:uid="{F3FFFCAC-6C29-494D-8E42-ACCEA07CA54C}"/>
    <cellStyle name="Normal 8 33" xfId="3946" xr:uid="{945B7E2A-44B4-414A-9E04-8809717D5DF5}"/>
    <cellStyle name="Normal 8 34" xfId="3947" xr:uid="{D261000E-70D3-4FFF-AA57-58F137D60E24}"/>
    <cellStyle name="Normal 8 35" xfId="3948" xr:uid="{9398FA2D-8C90-4D14-925C-F7878F5D4E8F}"/>
    <cellStyle name="Normal 8 36" xfId="3949" xr:uid="{E559E98F-E105-47E3-AC28-57B052BBD929}"/>
    <cellStyle name="Normal 8 37" xfId="3950" xr:uid="{BFD8EF2E-FAF4-4360-AA3B-53301FD392E5}"/>
    <cellStyle name="Normal 8 38" xfId="3951" xr:uid="{CC9B5614-6E80-42D6-897E-92DA7118EAE0}"/>
    <cellStyle name="Normal 8 39" xfId="3952" xr:uid="{621AB744-9840-4051-AC54-206C4B108E10}"/>
    <cellStyle name="Normal 8 4" xfId="3953" xr:uid="{57F7256E-0025-466F-8FA5-BF462A601A4B}"/>
    <cellStyle name="Normal 8 40" xfId="3954" xr:uid="{DBF56436-7C82-4AEA-9E50-03F3473343BB}"/>
    <cellStyle name="Normal 8 41" xfId="3955" xr:uid="{92D7E1D2-EF76-4925-93A7-0E98A96FCD26}"/>
    <cellStyle name="Normal 8 42" xfId="3956" xr:uid="{C2FAF861-A1CA-48E6-B201-30EE93898F9F}"/>
    <cellStyle name="Normal 8 5" xfId="3957" xr:uid="{F845A586-7DCB-418B-A058-1E1D2AB2432B}"/>
    <cellStyle name="Normal 8 6" xfId="3958" xr:uid="{9DD1973F-52DD-43BC-8214-DA7AFF4AD0A7}"/>
    <cellStyle name="Normal 8 7" xfId="3959" xr:uid="{0D9397E7-5181-483A-956E-E91B0CC42FAD}"/>
    <cellStyle name="Normal 8 8" xfId="3960" xr:uid="{7A708AE0-8470-410A-AD7B-89BEF8AFD063}"/>
    <cellStyle name="Normal 8 9" xfId="3961" xr:uid="{6C6A2A19-093F-4624-B793-9FE55A1B4778}"/>
    <cellStyle name="Normal 9" xfId="3962" xr:uid="{6492FB79-5088-4F1E-B010-C68A699ABBB4}"/>
    <cellStyle name="Normal 9 2" xfId="3963" xr:uid="{814406D1-35D7-4E62-98EC-AAA600E4FD78}"/>
    <cellStyle name="Normal 9 2 2" xfId="3964" xr:uid="{51F704AE-3C4C-4D45-97FB-6607D397B343}"/>
    <cellStyle name="Normal 9 3" xfId="3965" xr:uid="{2B6BE0D8-BC82-43C2-B64B-2958DBB6C704}"/>
    <cellStyle name="Normal 9 4" xfId="3966" xr:uid="{0BF0DAEA-0A22-460B-88D3-CD8F67451CF4}"/>
    <cellStyle name="Normal 9 5" xfId="3967" xr:uid="{9AE72832-63ED-43B7-B48A-8B23757425D2}"/>
    <cellStyle name="Normal 9 6" xfId="3968" xr:uid="{A9334609-B394-4EDB-B4EB-D95B29D9E471}"/>
    <cellStyle name="Normal2" xfId="3977" xr:uid="{CDBDD32D-CAD3-42AB-B885-21D4A439903B}"/>
    <cellStyle name="Normale_97.98.us" xfId="3978" xr:uid="{5DF638ED-C1EE-4939-8A4B-A4934396EC98}"/>
    <cellStyle name="NormalGB" xfId="3979" xr:uid="{8C6C70F1-F0FC-48DE-975A-26DD301CCE12}"/>
    <cellStyle name="Normalx" xfId="3980" xr:uid="{43B92803-9F7C-4BCC-A9DB-FF1349A924FC}"/>
    <cellStyle name="Note" xfId="4621" builtinId="10" customBuiltin="1"/>
    <cellStyle name="Note 2" xfId="63" xr:uid="{A6C74A04-4E16-4F6E-9159-C48CD6AD6143}"/>
    <cellStyle name="Note 2 10" xfId="3981" xr:uid="{C06C2BB6-B35C-4DF7-9015-B55B24F21ABF}"/>
    <cellStyle name="Note 2 11" xfId="3982" xr:uid="{8BEBCD68-9C4B-4ABF-BC9B-B2A160474F48}"/>
    <cellStyle name="Note 2 12" xfId="4580" xr:uid="{5995CF60-06E9-4CC3-A660-31375DA5262E}"/>
    <cellStyle name="Note 2 12 2" xfId="5445" xr:uid="{81B95E66-08DC-462D-AA69-153CEEA5E3F8}"/>
    <cellStyle name="Note 2 13" xfId="5471" xr:uid="{EE4DB1D3-BC30-43EC-9DC6-3883E3B55049}"/>
    <cellStyle name="Note 2 2" xfId="74" xr:uid="{652D3411-FD82-48E0-AEDC-6316E238BC82}"/>
    <cellStyle name="Note 2 2 2" xfId="91" xr:uid="{F4A49E40-66C7-41A3-9B38-80CF8A185A74}"/>
    <cellStyle name="Note 2 2 2 2" xfId="3983" xr:uid="{3F7113D1-39CF-490A-8A53-7E3F223453FD}"/>
    <cellStyle name="Note 2 2 2 3" xfId="3984" xr:uid="{5F089D2C-F09A-4AF9-8FD0-950FB3E23218}"/>
    <cellStyle name="Note 2 2 2 4" xfId="4600" xr:uid="{151DAAFD-6585-4F0A-A4CE-E1A86DFD8ECE}"/>
    <cellStyle name="Note 2 2 2 4 2" xfId="5463" xr:uid="{11741C9E-718C-4C07-B99D-EE5BCC5373B0}"/>
    <cellStyle name="Note 2 2 2 5" xfId="5489" xr:uid="{29E0F82C-0B72-439F-B4D8-BC75D5C30CBE}"/>
    <cellStyle name="Note 2 2 3" xfId="3985" xr:uid="{A72C3491-E3AF-4370-BB48-324F2CAB02F6}"/>
    <cellStyle name="Note 2 2 4" xfId="3986" xr:uid="{B66CB24E-7CCE-4DDA-B0FD-D0C39399C32D}"/>
    <cellStyle name="Note 2 2 5" xfId="4586" xr:uid="{0496CD05-F965-47F8-A582-A303B3713EDD}"/>
    <cellStyle name="Note 2 2 5 2" xfId="5451" xr:uid="{EDC577DA-F540-4927-9C71-D60A404A0C93}"/>
    <cellStyle name="Note 2 2 6" xfId="5477" xr:uid="{BC62C7E6-6CEB-4CF3-95A2-594B171862A6}"/>
    <cellStyle name="Note 2 3" xfId="85" xr:uid="{F14CE6AA-14D0-4E5D-8A0A-88B4645D9A3D}"/>
    <cellStyle name="Note 2 3 2" xfId="3987" xr:uid="{423227CA-6DEA-491D-8D32-577195EE9AFB}"/>
    <cellStyle name="Note 2 3 3" xfId="4594" xr:uid="{6B1EACAB-7976-483D-820E-F33617FB72F2}"/>
    <cellStyle name="Note 2 3 3 2" xfId="5457" xr:uid="{A148E4B5-B482-403A-B20B-DBA9BF21B42E}"/>
    <cellStyle name="Note 2 3 4" xfId="5483" xr:uid="{AE93FF5F-DEFA-4C18-9EF2-CBE3CCAF6002}"/>
    <cellStyle name="Note 2 4" xfId="3988" xr:uid="{1A700BBA-761D-40EF-819A-8FE207B8D1DA}"/>
    <cellStyle name="Note 2 5" xfId="3989" xr:uid="{CDCDC872-085D-4569-9850-C105AE9E27D1}"/>
    <cellStyle name="Note 2 6" xfId="3990" xr:uid="{64411AA7-54D4-46B3-93EE-EA9C8C5DA79F}"/>
    <cellStyle name="Note 2 7" xfId="3991" xr:uid="{9F7BA4F2-3E11-4510-AD8A-38231127BB16}"/>
    <cellStyle name="Note 2 8" xfId="3992" xr:uid="{5AEC4A08-C69E-4ACC-A4E0-A00E5DFD5DE2}"/>
    <cellStyle name="Note 2 9" xfId="3993" xr:uid="{5D6A3D87-3E93-40FC-BE3A-BA092CEE966F}"/>
    <cellStyle name="Note 3" xfId="62" xr:uid="{63A6FC5A-DBE4-4094-B47B-65354D647E1E}"/>
    <cellStyle name="Note 3 2" xfId="73" xr:uid="{DC26CFD9-3F3D-4335-ADD3-31E83095A5F0}"/>
    <cellStyle name="Note 3 2 2" xfId="90" xr:uid="{B3BF96CE-BA67-4913-B70D-8AAD245AF793}"/>
    <cellStyle name="Note 3 2 2 2" xfId="4599" xr:uid="{11B4E043-EE5F-40D7-BFF4-381C4D3D1F17}"/>
    <cellStyle name="Note 3 2 2 2 2" xfId="5462" xr:uid="{EA938923-3822-4334-9B4B-650F59AE03B7}"/>
    <cellStyle name="Note 3 2 2 3" xfId="5488" xr:uid="{AD833E86-E5BC-4186-8716-96AE747555B8}"/>
    <cellStyle name="Note 3 2 3" xfId="4585" xr:uid="{C3D5E623-09C1-42A9-8B0B-64CF652BD5F2}"/>
    <cellStyle name="Note 3 2 3 2" xfId="5450" xr:uid="{D54889DB-8367-4DF6-A9C8-B766E396C872}"/>
    <cellStyle name="Note 3 2 4" xfId="5476" xr:uid="{ED4CFB51-68DA-4B6F-96EC-B3F64B81F5ED}"/>
    <cellStyle name="Note 3 3" xfId="84" xr:uid="{F10256DC-5963-450B-A9E2-88550D844F95}"/>
    <cellStyle name="Note 3 3 2" xfId="4593" xr:uid="{FFA6FC4A-0BD1-4CCB-936E-1B3B1AD3F8C6}"/>
    <cellStyle name="Note 3 3 2 2" xfId="5456" xr:uid="{B819D0E1-3F58-48CA-94DF-085FA4FF73F3}"/>
    <cellStyle name="Note 3 3 3" xfId="5482" xr:uid="{CECAE744-E161-4E26-A5B0-E01F7453219E}"/>
    <cellStyle name="Note 3 4" xfId="4579" xr:uid="{B19EC4AE-DBD8-4DD8-B37C-559743907547}"/>
    <cellStyle name="Note 3 4 2" xfId="5444" xr:uid="{380B4432-4388-44D6-A67C-AD4968CAF0B0}"/>
    <cellStyle name="Note 3 5" xfId="5470" xr:uid="{BA00C8A5-FCE2-4872-94B0-F50228D1ABF1}"/>
    <cellStyle name="Note 4" xfId="3994" xr:uid="{E6E1F752-8513-4942-A8BE-4B415481BF5A}"/>
    <cellStyle name="Note 4 2" xfId="3995" xr:uid="{B91916E3-296C-4260-BF11-893A1454770E}"/>
    <cellStyle name="Note 5" xfId="3996" xr:uid="{F8138CD1-FF42-4C10-8800-EE9FED7EBF18}"/>
    <cellStyle name="Note 5 2" xfId="3997" xr:uid="{49F1FCED-262C-45F1-98D2-42D68FD54FB7}"/>
    <cellStyle name="Note 6" xfId="3998" xr:uid="{3F2986AD-E9C1-4E04-B56C-9063CDB0EC75}"/>
    <cellStyle name="Note 6 2" xfId="3999" xr:uid="{ED8221F8-EB04-42F3-A49A-4A6E3CBCAB48}"/>
    <cellStyle name="Note 7" xfId="4000" xr:uid="{EED77126-A1C8-4959-8410-7B8CA123E6B8}"/>
    <cellStyle name="Note 7 2" xfId="4001" xr:uid="{53EF0CBE-154B-4289-AE1F-DB5524593EF4}"/>
    <cellStyle name="Note 8" xfId="4002" xr:uid="{BF4F2B6A-59A7-42C9-A171-AA1328745D38}"/>
    <cellStyle name="Note 8 2" xfId="4003" xr:uid="{38C98F14-1DA4-49AC-A36B-1FA380BFA9D7}"/>
    <cellStyle name="Note 8 2 2" xfId="4004" xr:uid="{2376A741-E749-4976-B4EE-87F164585AC9}"/>
    <cellStyle name="Note 8 2 2 2" xfId="4005" xr:uid="{18B3D633-23BF-447B-A488-430D8DB265D3}"/>
    <cellStyle name="Note 8 2 2 2 2" xfId="4006" xr:uid="{07D624EA-C13B-4269-B38B-8D529338C107}"/>
    <cellStyle name="Note 8 2 2 3" xfId="4007" xr:uid="{E2C64549-A51F-4862-9FB4-AB726AD4C685}"/>
    <cellStyle name="Note 8 2 3" xfId="4008" xr:uid="{3B198E39-B1EE-44D5-A0B4-FB707D21E686}"/>
    <cellStyle name="Note 8 2 3 2" xfId="4009" xr:uid="{91D7D9C8-7EA7-48EA-BCB2-D296A19BBFE2}"/>
    <cellStyle name="Note 8 2 4" xfId="4010" xr:uid="{DC018EFB-0632-401D-B387-5D3D066191D5}"/>
    <cellStyle name="Note 8 3" xfId="4011" xr:uid="{BACBED0A-7405-473C-964B-2B64E9347CC0}"/>
    <cellStyle name="Note 8 3 2" xfId="4012" xr:uid="{81F1A71F-5AFE-4518-9603-DB376491DF18}"/>
    <cellStyle name="Note 8 3 2 2" xfId="4013" xr:uid="{E4A44BD0-96B2-4628-AD80-705F370474F0}"/>
    <cellStyle name="Note 8 3 2 2 2" xfId="4014" xr:uid="{63DE2A12-4E5B-4273-B52C-0338FB5FD898}"/>
    <cellStyle name="Note 8 3 2 3" xfId="4015" xr:uid="{B4289794-3402-4122-BCA6-24329AAEB1C5}"/>
    <cellStyle name="Note 8 3 3" xfId="4016" xr:uid="{AF2253A3-0C8A-4CE2-8458-D397DC41A052}"/>
    <cellStyle name="Note 8 3 3 2" xfId="4017" xr:uid="{064B6565-C4F3-4D8C-B804-91B226FB85A4}"/>
    <cellStyle name="Note 8 3 4" xfId="4018" xr:uid="{0B300FEA-2413-4685-BF33-2F1E3F3BB146}"/>
    <cellStyle name="Note 8 4" xfId="4019" xr:uid="{A736968C-5F1F-462B-9C98-78F39DEBDEF4}"/>
    <cellStyle name="Note 8 4 2" xfId="4020" xr:uid="{5D0EAB4F-9B59-4A1E-B0B1-81EDEA8A369F}"/>
    <cellStyle name="Note 8 4 2 2" xfId="4021" xr:uid="{2BB97A5B-8430-4E01-BAF8-BC20FDE674B3}"/>
    <cellStyle name="Note 8 4 3" xfId="4022" xr:uid="{7B90911A-A686-48E8-8317-AE4EDDE43970}"/>
    <cellStyle name="Note 8 5" xfId="4023" xr:uid="{A29A2EBF-514E-44FA-A161-3CF2C1F484EA}"/>
    <cellStyle name="Note 8 5 2" xfId="4024" xr:uid="{89B36689-C22A-490C-B132-8755B6D8755D}"/>
    <cellStyle name="Note 8 6" xfId="4025" xr:uid="{DBE14253-429C-42E9-A9AB-48C6EF9268BD}"/>
    <cellStyle name="Nr 0 dec" xfId="4026" xr:uid="{6C34987F-9CAF-48BF-8130-D5CB170D92AA}"/>
    <cellStyle name="Nr 0 dec - Input" xfId="4027" xr:uid="{01AD22CA-2C8C-410C-AEE8-2F1EF1F46D70}"/>
    <cellStyle name="Nr 0 dec - Subtotal" xfId="4028" xr:uid="{D6E5FABB-90B2-4AA7-88FA-8447924F9612}"/>
    <cellStyle name="Nr 0 dec - Subtotal 2" xfId="5506" xr:uid="{6ED9A283-098D-4EF7-98BA-E96B0489972A}"/>
    <cellStyle name="Nr 0 dec - Subtotal 3" xfId="5402" xr:uid="{37B84C5C-8168-48F1-BBD8-3B2228093305}"/>
    <cellStyle name="Nr 0 dec_Data" xfId="4029" xr:uid="{077AE867-B447-4FBE-B11B-2379DC4C44A0}"/>
    <cellStyle name="Nr 1 dec" xfId="4030" xr:uid="{E98348AA-4078-4FCD-A958-4002236AD793}"/>
    <cellStyle name="Nr 1 dec - Input" xfId="4031" xr:uid="{E59D617E-9110-4FCA-B10E-898003AA62A9}"/>
    <cellStyle name="Nr, 0 dec" xfId="4032" xr:uid="{184AA8E7-B4F3-47E9-BEE2-51965D3F323C}"/>
    <cellStyle name="number" xfId="4033" xr:uid="{1BA4F7CA-B0FB-47BB-A98F-BD542F5C3363}"/>
    <cellStyle name="Number, 1 dec" xfId="4034" xr:uid="{E9C6787A-4980-4611-9E26-A6E977E23D5A}"/>
    <cellStyle name="Output" xfId="4616" builtinId="21" customBuiltin="1"/>
    <cellStyle name="Output (1dp#)" xfId="4035" xr:uid="{016BAB55-5951-44D8-AA0D-2D07E7EEAEC2}"/>
    <cellStyle name="Output (1dpx)_ Pies " xfId="4036" xr:uid="{A0279F24-4C33-461B-8241-6D63E820D680}"/>
    <cellStyle name="Output 2" xfId="64" xr:uid="{A0E9C228-68E0-43E6-A54C-45291D48FCF7}"/>
    <cellStyle name="Output 2 10" xfId="4581" xr:uid="{180CC1E5-2339-4404-B432-21C33B4BEBE7}"/>
    <cellStyle name="Output 2 10 2" xfId="5446" xr:uid="{C4906D9A-9649-495B-A165-FE112F91A558}"/>
    <cellStyle name="Output 2 11" xfId="5472" xr:uid="{66C16F12-AD39-4269-8317-914EDEFC2B88}"/>
    <cellStyle name="Output 2 2" xfId="75" xr:uid="{58AB60B4-415D-4F69-B7CB-6AEA7856C74E}"/>
    <cellStyle name="Output 2 2 2" xfId="92" xr:uid="{C50E172A-9F59-403A-B67B-C9F730623607}"/>
    <cellStyle name="Output 2 2 2 2" xfId="4601" xr:uid="{DE6A5046-A507-46D1-8A82-C6499A642D91}"/>
    <cellStyle name="Output 2 2 2 2 2" xfId="5464" xr:uid="{0058FF5A-53D9-477B-967A-F2D172332678}"/>
    <cellStyle name="Output 2 2 2 3" xfId="5490" xr:uid="{C8399BB7-25D1-4D82-8ADC-472426F17E69}"/>
    <cellStyle name="Output 2 2 3" xfId="4587" xr:uid="{82E7ABFA-85D5-4E69-82B7-10DB05DAF0CE}"/>
    <cellStyle name="Output 2 2 3 2" xfId="5452" xr:uid="{5C4F56E1-6F7C-44B5-B7C9-80761509BEC4}"/>
    <cellStyle name="Output 2 2 4" xfId="5478" xr:uid="{46CAA2B4-A296-4891-87D2-B44E69C3DC4F}"/>
    <cellStyle name="Output 2 3" xfId="86" xr:uid="{6C3DAF16-4DAA-4C7A-8176-FF1FA16D7612}"/>
    <cellStyle name="Output 2 3 2" xfId="4595" xr:uid="{4C1DD413-60BB-4211-A10E-5C549DC2AFBA}"/>
    <cellStyle name="Output 2 3 2 2" xfId="5458" xr:uid="{FCE29350-9E2B-4F73-B134-BB3EA29C87DD}"/>
    <cellStyle name="Output 2 3 3" xfId="5484" xr:uid="{AC36BF89-D3B3-40C0-8B8F-F6C5B3352D30}"/>
    <cellStyle name="Output 2 4" xfId="4037" xr:uid="{BAF89CA8-2A7A-414E-B232-E933AC49F4D7}"/>
    <cellStyle name="Output 2 5" xfId="4038" xr:uid="{7CA546F1-4FA7-4803-AF8C-ED864504E404}"/>
    <cellStyle name="Output 2 6" xfId="4039" xr:uid="{777D2764-1676-4D66-AC5A-67AF05FF465D}"/>
    <cellStyle name="Output 2 7" xfId="4040" xr:uid="{EBB2E2FE-184A-4CA4-A422-82D8F60D3868}"/>
    <cellStyle name="Output 2 8" xfId="4041" xr:uid="{775A46DF-4594-4CFC-BFB2-20B044DED1B9}"/>
    <cellStyle name="Output 2 9" xfId="4042" xr:uid="{AA59B65D-45A1-4943-AA04-12DEE81F9776}"/>
    <cellStyle name="Output 3" xfId="4043" xr:uid="{4D726A75-9082-407C-9BB9-48BA2DEEB37A}"/>
    <cellStyle name="Page Heading" xfId="4044" xr:uid="{07B5353C-32C8-4961-8FA4-24ACD0E4C047}"/>
    <cellStyle name="Page Heading Large" xfId="4045" xr:uid="{5D777E49-9069-4B75-85B3-3AC79C58E288}"/>
    <cellStyle name="Page Heading Small" xfId="4046" xr:uid="{083C6322-A542-4C23-BCC4-46327A4ADFF6}"/>
    <cellStyle name="Page Number" xfId="4047" xr:uid="{066B55FA-D0F5-4280-8A84-EAFBAA0F20CB}"/>
    <cellStyle name="pb_page_heading_LS" xfId="4048" xr:uid="{2C08B78F-7F3B-49B8-80F4-0F7F87839BF1}"/>
    <cellStyle name="Per aandeel" xfId="4049" xr:uid="{F2A5A819-A517-4B5D-8F6D-8BB9B1AAD855}"/>
    <cellStyle name="Percent" xfId="2" builtinId="5"/>
    <cellStyle name="Percent (1)" xfId="4050" xr:uid="{A5AECEF3-8370-40A6-B278-EA50A8AF92B8}"/>
    <cellStyle name="Percent [0]" xfId="4051" xr:uid="{B72F8C8B-1621-4C00-B5F1-67B9BD8F968E}"/>
    <cellStyle name="Percent [00]" xfId="4052" xr:uid="{67F17D8F-B492-4C59-8175-0032E0CA7219}"/>
    <cellStyle name="Percent [1]" xfId="4053" xr:uid="{A2232AEC-CF36-41B4-B7BB-E72A5D25CCAD}"/>
    <cellStyle name="Percent [1] 2" xfId="5403" xr:uid="{522E0D79-C055-44E4-90BE-6B8A498904D1}"/>
    <cellStyle name="Percent [2]" xfId="4054" xr:uid="{F716F238-AB05-4012-BD60-2CDC6955FD5B}"/>
    <cellStyle name="Percent [2] 2" xfId="4055" xr:uid="{209F9DB9-4735-4229-BC91-F0AB68541EEA}"/>
    <cellStyle name="Percent [2] 3" xfId="4056" xr:uid="{A2CAD2B4-78DD-44A2-8C11-F5B1F9BCADAF}"/>
    <cellStyle name="Percent 1 dec" xfId="4057" xr:uid="{0DA48ADF-37E4-4BFA-AF4E-C59642F4AA6F}"/>
    <cellStyle name="Percent 1 dec - Input" xfId="4058" xr:uid="{7BA7489C-1ADF-4F9D-AB37-CB5FAF860C88}"/>
    <cellStyle name="Percent 1 dec_Data" xfId="4059" xr:uid="{77B82D26-AE18-47FA-B753-274786FFEBC5}"/>
    <cellStyle name="Percent 10" xfId="4060" xr:uid="{AF3D3118-6892-42C1-A84A-620109623813}"/>
    <cellStyle name="Percent 10 2" xfId="4574" xr:uid="{0159B36B-D137-4FB8-AA06-2679243FDD09}"/>
    <cellStyle name="Percent 10 3" xfId="4568" xr:uid="{813CC1C8-8CBB-4373-80A4-D7E5232EFE49}"/>
    <cellStyle name="Percent 2" xfId="7" xr:uid="{AE630E8E-4ACB-4E0E-B399-89FAD5573A6C}"/>
    <cellStyle name="Percent 2 10" xfId="4061" xr:uid="{4165FA65-AC2A-4F23-B924-75005BF920F3}"/>
    <cellStyle name="Percent 2 10 2" xfId="4062" xr:uid="{FAA92DAA-D8C1-4746-BE48-D6E759F1F5CF}"/>
    <cellStyle name="Percent 2 10 2 2" xfId="4063" xr:uid="{7407B8D6-A8B2-47EC-B87C-4F457584CB3D}"/>
    <cellStyle name="Percent 2 10 3" xfId="4064" xr:uid="{70A75B18-4EBF-40A6-ABF2-E37D36FE98D9}"/>
    <cellStyle name="Percent 2 11" xfId="4065" xr:uid="{ED0EABCC-2F59-4076-847C-902B0BC54AA5}"/>
    <cellStyle name="Percent 2 12" xfId="4066" xr:uid="{61AE4286-0FD2-4AE2-8B8D-2C7AAD26B8E0}"/>
    <cellStyle name="Percent 2 12 2" xfId="4067" xr:uid="{4D7B880A-5E39-4CC9-BC41-7DA9E35D26FD}"/>
    <cellStyle name="Percent 2 12 2 2" xfId="4068" xr:uid="{30E18CDA-8878-4823-99CD-B6E1DEDFEE87}"/>
    <cellStyle name="Percent 2 12 3" xfId="4069" xr:uid="{18A2ADDB-4C96-4B54-9E76-1F10CE075D26}"/>
    <cellStyle name="Percent 2 13" xfId="4070" xr:uid="{D34255BF-54D4-4143-9E71-5AF810ED227D}"/>
    <cellStyle name="Percent 2 13 2" xfId="4071" xr:uid="{4F0BA749-8F6D-4E8D-BBE1-3A1767E2733B}"/>
    <cellStyle name="Percent 2 14" xfId="4072" xr:uid="{92BFE6CF-4951-4839-B65D-E266738010B9}"/>
    <cellStyle name="Percent 2 15" xfId="4073" xr:uid="{DC432163-EE7E-4FDE-8EDD-D6BB5838D28A}"/>
    <cellStyle name="Percent 2 16" xfId="4074" xr:uid="{F21A37B9-DEFF-4C6E-B243-C9D1B53E2B20}"/>
    <cellStyle name="Percent 2 17" xfId="4075" xr:uid="{B63EEF8B-B255-46C8-A429-36D7B27273A3}"/>
    <cellStyle name="Percent 2 18" xfId="4076" xr:uid="{E532B4AF-501D-4A0C-9F93-BDC3526B265A}"/>
    <cellStyle name="Percent 2 19" xfId="4077" xr:uid="{AEF7F6D9-921C-4C3D-B846-B8C6300BEA81}"/>
    <cellStyle name="Percent 2 2" xfId="16" xr:uid="{5A62949C-4D31-4E5C-8570-A5589FC7CC4B}"/>
    <cellStyle name="Percent 2 2 2" xfId="4078" xr:uid="{97AF18B2-0B4A-4E38-846F-E08CDEDA0CA8}"/>
    <cellStyle name="Percent 2 2 3" xfId="4079" xr:uid="{797E1E42-2AFA-4C15-8FD3-258843400569}"/>
    <cellStyle name="Percent 2 2 4" xfId="4080" xr:uid="{7E352E7D-2175-49F0-8B4C-3A93B2E013FC}"/>
    <cellStyle name="Percent 2 2 4 2" xfId="4081" xr:uid="{D95782E9-09F3-42FB-B22D-6E55D97A678D}"/>
    <cellStyle name="Percent 2 2 4 2 2" xfId="4082" xr:uid="{6BF5ED44-6923-406E-B0D4-C2964DCBBE6A}"/>
    <cellStyle name="Percent 2 2 4 2 2 2" xfId="4083" xr:uid="{BDC395F3-471F-4735-A939-8E4F13EFB6F3}"/>
    <cellStyle name="Percent 2 2 4 2 3" xfId="4084" xr:uid="{1511DA9E-BEC8-4948-973F-CC2961836092}"/>
    <cellStyle name="Percent 2 2 4 3" xfId="4085" xr:uid="{F70F2109-3C00-40BA-B656-1439A024D3CD}"/>
    <cellStyle name="Percent 2 2 4 3 2" xfId="4086" xr:uid="{2B98B694-C500-40E5-BAF7-8D05508C6297}"/>
    <cellStyle name="Percent 2 2 4 4" xfId="4087" xr:uid="{BA596A3D-881F-439D-85E0-90BC6829FC73}"/>
    <cellStyle name="Percent 2 2 5" xfId="4088" xr:uid="{27459DBA-A379-4772-8F71-635D724D85B1}"/>
    <cellStyle name="Percent 2 2 6" xfId="4089" xr:uid="{2D56E486-0175-44D2-B0A4-B57E9F0CDEE7}"/>
    <cellStyle name="Percent 2 20" xfId="15" xr:uid="{C5DB6553-01BA-4BE0-B039-7BDCC9109D9C}"/>
    <cellStyle name="Percent 2 3" xfId="17" xr:uid="{ADD43B24-8F52-4541-A6CD-9DA9211A302A}"/>
    <cellStyle name="Percent 2 4" xfId="4090" xr:uid="{ED86B7DA-0ABA-4571-B3F8-813CB93458D0}"/>
    <cellStyle name="Percent 2 5" xfId="4091" xr:uid="{EF93397E-D8A7-4903-99A7-27AFC7EB951C}"/>
    <cellStyle name="Percent 2 5 2" xfId="4092" xr:uid="{BC679AE4-FF0F-4A2C-BBB9-AC20ACB45FF7}"/>
    <cellStyle name="Percent 2 5 2 2" xfId="4093" xr:uid="{5A239478-FCE5-424F-808E-34B69C8E3B6B}"/>
    <cellStyle name="Percent 2 5 2 2 2" xfId="4094" xr:uid="{D2881FA0-1375-438C-8CB8-B25AE095F7E8}"/>
    <cellStyle name="Percent 2 5 2 2 2 2" xfId="4095" xr:uid="{4452C970-B4EE-4481-985C-8120B0365D0B}"/>
    <cellStyle name="Percent 2 5 2 2 3" xfId="4096" xr:uid="{850B143B-9DC9-4BA5-AEDF-39624CA54824}"/>
    <cellStyle name="Percent 2 5 2 3" xfId="4097" xr:uid="{0AE015B5-268F-402D-98A4-F2C0BF843C63}"/>
    <cellStyle name="Percent 2 5 2 3 2" xfId="4098" xr:uid="{958E28B3-B634-46FB-89C5-74ABAFE13023}"/>
    <cellStyle name="Percent 2 5 2 4" xfId="4099" xr:uid="{891E987D-D125-483C-B0D0-6BFCFD02F7C3}"/>
    <cellStyle name="Percent 2 5 3" xfId="4100" xr:uid="{1BD1A03F-A2F4-450A-94C6-C3D9DE8DC408}"/>
    <cellStyle name="Percent 2 5 3 2" xfId="4101" xr:uid="{BF6B48A3-2E26-4261-A62C-B7D8C7AF1B63}"/>
    <cellStyle name="Percent 2 5 3 2 2" xfId="4102" xr:uid="{4E23A77A-E4F4-42EE-BEF2-ED476FF813F5}"/>
    <cellStyle name="Percent 2 5 3 2 2 2" xfId="4103" xr:uid="{4798CFE5-E009-4580-B24C-03B826B36CE3}"/>
    <cellStyle name="Percent 2 5 3 2 3" xfId="4104" xr:uid="{D856FDFB-43A3-49C6-AAAC-EE6700908B3E}"/>
    <cellStyle name="Percent 2 5 3 3" xfId="4105" xr:uid="{8F2B162E-3BD5-4811-810A-402AD66F6E67}"/>
    <cellStyle name="Percent 2 5 3 3 2" xfId="4106" xr:uid="{08A42E3E-F28F-4AB4-99F4-50410DD0DB65}"/>
    <cellStyle name="Percent 2 5 3 4" xfId="4107" xr:uid="{3B8CF0F3-C933-478A-8704-5ED9718E95FA}"/>
    <cellStyle name="Percent 2 5 4" xfId="4108" xr:uid="{8F51FC8D-4C0A-408F-830A-ABE907C365DC}"/>
    <cellStyle name="Percent 2 5 4 2" xfId="4109" xr:uid="{119A6964-804C-4A58-8EA3-BA6578941792}"/>
    <cellStyle name="Percent 2 5 4 2 2" xfId="4110" xr:uid="{55CD4CCD-E6AD-49D0-83C8-6DD95BAF4494}"/>
    <cellStyle name="Percent 2 5 4 3" xfId="4111" xr:uid="{5EFFAEB5-7B3A-43D3-8BD4-217E9E282051}"/>
    <cellStyle name="Percent 2 5 5" xfId="4112" xr:uid="{7983E232-E85B-4C9F-ACC2-26DDBFD107CE}"/>
    <cellStyle name="Percent 2 5 5 2" xfId="4113" xr:uid="{852B172B-2C27-4306-967A-862EC2D1641B}"/>
    <cellStyle name="Percent 2 5 6" xfId="4114" xr:uid="{C98BEB18-F13F-4DB0-9307-54C36D4E2EE4}"/>
    <cellStyle name="Percent 2 6" xfId="4115" xr:uid="{4EE675EC-C0A8-4680-BC2A-D63D2F03C371}"/>
    <cellStyle name="Percent 2 6 2" xfId="4116" xr:uid="{AA9EACCF-11C2-4305-8E5F-0D9C28CFD44B}"/>
    <cellStyle name="Percent 2 6 2 2" xfId="4117" xr:uid="{2FDD113A-8860-4BAC-9DC8-FC0DC9EB235E}"/>
    <cellStyle name="Percent 2 6 2 2 2" xfId="4118" xr:uid="{4D79C795-486F-450A-93D9-622CC9E6A956}"/>
    <cellStyle name="Percent 2 6 2 2 2 2" xfId="4119" xr:uid="{DF51B77C-1131-4C31-A94C-1CC40B465BA8}"/>
    <cellStyle name="Percent 2 6 2 2 3" xfId="4120" xr:uid="{3731CDB1-89F5-48CE-9127-3686FDA1DC38}"/>
    <cellStyle name="Percent 2 6 2 3" xfId="4121" xr:uid="{5C40629B-B3F2-4994-9C00-4A7DA93E3E04}"/>
    <cellStyle name="Percent 2 6 2 3 2" xfId="4122" xr:uid="{8B0288CF-BD34-456A-851B-2C10489EA139}"/>
    <cellStyle name="Percent 2 6 2 4" xfId="4123" xr:uid="{1EE8AB00-1819-4907-B7C3-C3F30D920C7D}"/>
    <cellStyle name="Percent 2 6 3" xfId="4124" xr:uid="{062F1135-4FDE-41E2-B7EA-7C899FA5B1D7}"/>
    <cellStyle name="Percent 2 6 3 2" xfId="4125" xr:uid="{2C146D30-76E8-49E2-859F-59B59234F8C4}"/>
    <cellStyle name="Percent 2 6 3 2 2" xfId="4126" xr:uid="{6F4CF437-AB14-46C6-B905-0B4E3FDD7B61}"/>
    <cellStyle name="Percent 2 6 3 2 2 2" xfId="4127" xr:uid="{41A27669-DFB0-461B-8E99-8D44B986A924}"/>
    <cellStyle name="Percent 2 6 3 2 3" xfId="4128" xr:uid="{75FED1F1-7194-4BA0-B9EC-EE483F640357}"/>
    <cellStyle name="Percent 2 6 3 3" xfId="4129" xr:uid="{1D3A82F1-44EF-418C-8C4A-AF472F37583C}"/>
    <cellStyle name="Percent 2 6 3 3 2" xfId="4130" xr:uid="{284ECA8E-E8E0-4BC5-9BE5-79E6D0DEE362}"/>
    <cellStyle name="Percent 2 6 3 4" xfId="4131" xr:uid="{9033E65F-C0AD-4937-921E-245C9B0C2AA5}"/>
    <cellStyle name="Percent 2 6 4" xfId="4132" xr:uid="{FAB5F9DC-5F1A-4629-AB62-A2EE1D93B2C8}"/>
    <cellStyle name="Percent 2 6 4 2" xfId="4133" xr:uid="{CEEE0F9E-59DE-4F23-A57D-C4F4BC7D5831}"/>
    <cellStyle name="Percent 2 6 4 2 2" xfId="4134" xr:uid="{8C50EDAE-3100-46BA-94ED-A135038C7445}"/>
    <cellStyle name="Percent 2 6 4 3" xfId="4135" xr:uid="{791C6A92-58D1-4A33-A170-FF514474692A}"/>
    <cellStyle name="Percent 2 6 5" xfId="4136" xr:uid="{76EA41C4-BBF9-4C7D-BB45-CC0D1C8BCDB4}"/>
    <cellStyle name="Percent 2 6 5 2" xfId="4137" xr:uid="{F7AB4796-0BB6-45BE-AE55-3D12C63A0D72}"/>
    <cellStyle name="Percent 2 6 6" xfId="4138" xr:uid="{CD33CE5A-FD37-4E2B-B5D4-73C6A0CACE31}"/>
    <cellStyle name="Percent 2 7" xfId="4139" xr:uid="{B6FDC0A5-49B1-4294-BA89-26A2A2CF8446}"/>
    <cellStyle name="Percent 2 7 2" xfId="4140" xr:uid="{F5033FE7-838F-4B18-8407-391D57ABDBB3}"/>
    <cellStyle name="Percent 2 7 3" xfId="4141" xr:uid="{A45B53E8-E9F9-48CD-9880-E4999AE9FC9C}"/>
    <cellStyle name="Percent 2 7 4" xfId="4142" xr:uid="{D853552D-DBB1-48A1-A2BF-EB9C1376913A}"/>
    <cellStyle name="Percent 2 7 4 2" xfId="4143" xr:uid="{B13115C8-5A94-4EFD-8C34-0633CB02CC00}"/>
    <cellStyle name="Percent 2 7 4 2 2" xfId="4144" xr:uid="{5BE959A8-A002-4462-914C-2924F0D74C9B}"/>
    <cellStyle name="Percent 2 7 4 3" xfId="4145" xr:uid="{A6D33FAD-9483-4788-8171-C0E100F89AEC}"/>
    <cellStyle name="Percent 2 7 5" xfId="4146" xr:uid="{EDAB110B-3C66-4100-8BED-0FB6755A12CA}"/>
    <cellStyle name="Percent 2 7 5 2" xfId="4147" xr:uid="{339523F2-E86A-404A-9C00-AE04AEA2D698}"/>
    <cellStyle name="Percent 2 7 6" xfId="4148" xr:uid="{90FDEB3A-4A3A-4099-9530-EBECF2D5D06E}"/>
    <cellStyle name="Percent 2 8" xfId="4149" xr:uid="{1756EA99-E6D3-43B5-BA2F-59BDCB3F6FC4}"/>
    <cellStyle name="Percent 2 8 2" xfId="4150" xr:uid="{4695D6C3-8256-4893-A70D-585647EB0338}"/>
    <cellStyle name="Percent 2 8 2 2" xfId="4151" xr:uid="{78A3B261-449A-4A2D-BD8E-F8EBBEEEFD33}"/>
    <cellStyle name="Percent 2 8 2 2 2" xfId="4152" xr:uid="{90D8D334-B616-4260-8DFA-B032454D8CAB}"/>
    <cellStyle name="Percent 2 8 2 3" xfId="4153" xr:uid="{CA5A4B41-E9E1-4F1C-B625-741DFCD204AC}"/>
    <cellStyle name="Percent 2 8 3" xfId="4154" xr:uid="{C08CA67E-F1A6-43B7-BB82-1EC317B1D6A7}"/>
    <cellStyle name="Percent 2 8 3 2" xfId="4155" xr:uid="{8314E7E2-00F7-4BED-AF16-B771DBA4B590}"/>
    <cellStyle name="Percent 2 8 4" xfId="4156" xr:uid="{E4135F75-F337-4500-AEA3-E3FC74CB186D}"/>
    <cellStyle name="Percent 2 9" xfId="4157" xr:uid="{25F5C7B3-D8AA-45CD-B4F7-27E2BC8C0270}"/>
    <cellStyle name="Percent 3" xfId="65" xr:uid="{1EF7B4C4-64A0-4124-BA27-73D7B4C1AF3C}"/>
    <cellStyle name="Percent 3 2" xfId="79" xr:uid="{2B4FF6CC-4DE7-4561-9E21-413AB2FB923C}"/>
    <cellStyle name="Percent 3 2 2" xfId="4158" xr:uid="{0F65D946-35B6-4D05-884F-000BD01C6AD6}"/>
    <cellStyle name="Percent 3 2 2 2" xfId="4159" xr:uid="{239974C2-5D07-4DB2-B33E-A04C3CF99FE6}"/>
    <cellStyle name="Percent 3 2 3" xfId="4160" xr:uid="{92A904B6-E3B7-41DD-9F6D-34103DCDCC5E}"/>
    <cellStyle name="Percent 3 2 4" xfId="4161" xr:uid="{54517031-E918-4154-B4CA-E65CF1D7C0BF}"/>
    <cellStyle name="Percent 3 3" xfId="4162" xr:uid="{82264919-6CAD-47FD-A0AF-062DD5137154}"/>
    <cellStyle name="Percent 3 4" xfId="4163" xr:uid="{6EFB9130-C49B-4D3B-9396-F1970123052B}"/>
    <cellStyle name="Percent 3 5" xfId="4570" xr:uid="{82E11ACE-0A03-439B-A829-CD3F996C078D}"/>
    <cellStyle name="Percent 4" xfId="4164" xr:uid="{6EE5FAF2-55CD-4D05-9EE8-DFFAF88C63E6}"/>
    <cellStyle name="Percent 4 2" xfId="4165" xr:uid="{558EBC0B-8389-46DE-85B7-23DCF7752B18}"/>
    <cellStyle name="Percent 4 2 2" xfId="4166" xr:uid="{09C098F1-4098-47D3-9013-1FD3F1849D34}"/>
    <cellStyle name="Percent 4 2 3" xfId="4167" xr:uid="{8FBC631A-FD52-41E1-BF38-568461E8AFF3}"/>
    <cellStyle name="Percent 4 3" xfId="4168" xr:uid="{A7DBE143-7CEF-4ECD-9D51-D1C900D559BA}"/>
    <cellStyle name="Percent 4 3 2" xfId="4169" xr:uid="{75ADB541-01FC-4C95-BE16-105A22E6D655}"/>
    <cellStyle name="Percent 4 3 2 2" xfId="4170" xr:uid="{7694BD90-46FA-41C1-BF98-15C5FCD3A60C}"/>
    <cellStyle name="Percent 4 3 3" xfId="4171" xr:uid="{95A40D75-DD15-4F59-ABF7-39A299489330}"/>
    <cellStyle name="Percent 4 4" xfId="4172" xr:uid="{667832B6-16C0-49B7-BCD6-D4E25426D147}"/>
    <cellStyle name="Percent 43" xfId="4572" xr:uid="{EF48381B-0CE2-477C-B2DC-357E03D2CF36}"/>
    <cellStyle name="Percent 43 2" xfId="4606" xr:uid="{0236A56C-01FB-4A3D-B6D1-5B84583D5468}"/>
    <cellStyle name="Percent 5" xfId="4173" xr:uid="{562154FD-AECE-4181-95A3-00E00702B2CF}"/>
    <cellStyle name="Percent 5 2" xfId="4174" xr:uid="{2DED0EAF-39F2-4C7D-AE98-09E42CD25889}"/>
    <cellStyle name="Percent 5 2 2" xfId="4175" xr:uid="{AF529F84-10B1-4FF4-9E68-44A678FBFC87}"/>
    <cellStyle name="Percent 5 2 2 2" xfId="4176" xr:uid="{B4731D29-F8BD-43BA-8887-BD4EC87C6E77}"/>
    <cellStyle name="Percent 5 2 3" xfId="4177" xr:uid="{A6182DEC-8952-4AB8-BBAF-C686F0D82666}"/>
    <cellStyle name="Percent 5 3" xfId="4571" xr:uid="{5CFD7601-F1DE-4226-B2FE-D473471FBF1F}"/>
    <cellStyle name="Percent 6" xfId="4178" xr:uid="{9422E548-0888-4598-942D-6D65C106C551}"/>
    <cellStyle name="Percent 6 2" xfId="4179" xr:uid="{39AEFBCB-F855-473C-A695-B5E2DFAE8195}"/>
    <cellStyle name="Percent 6 2 2" xfId="4180" xr:uid="{7AA2B2B3-B3A0-47B8-8875-02008D2F157B}"/>
    <cellStyle name="Percent 6 2 2 2" xfId="4181" xr:uid="{A25AB373-AFFD-4283-ACC1-F16255FE3F1E}"/>
    <cellStyle name="Percent 6 2 3" xfId="4182" xr:uid="{458B0BA2-F26A-49C5-B6D8-52EE6ACD9620}"/>
    <cellStyle name="Percent 6 3" xfId="4183" xr:uid="{A2D28116-0593-44EF-A1DE-1CA8E701D01E}"/>
    <cellStyle name="Percent 6 3 2" xfId="4184" xr:uid="{BB5BD867-C20A-45C1-AAE4-91001B004E86}"/>
    <cellStyle name="Percent 6 3 2 2" xfId="4185" xr:uid="{352B0BEB-1A39-452A-A2C2-54093E5C45F3}"/>
    <cellStyle name="Percent 6 3 3" xfId="4186" xr:uid="{4610A398-DC0E-42F8-B88C-5A5225DAB94F}"/>
    <cellStyle name="Percent 7" xfId="4187" xr:uid="{D44F5C33-1B08-4A33-964D-FC2BC11BCB0E}"/>
    <cellStyle name="Percent 7 2" xfId="4188" xr:uid="{016CF1AD-BE55-49FC-A0F8-BBB46A9ABF4D}"/>
    <cellStyle name="Percent 7 2 2" xfId="4189" xr:uid="{D60CB352-6BFF-4689-9316-29C9F030EF63}"/>
    <cellStyle name="Percent 7 2 2 2" xfId="4190" xr:uid="{A332675B-C8DA-4C50-AD52-CAC11A294053}"/>
    <cellStyle name="Percent 7 2 3" xfId="4191" xr:uid="{06C69DC5-3BD9-4F0E-B4C0-A6F8B31D6CBD}"/>
    <cellStyle name="Percent 7 3" xfId="4192" xr:uid="{511A23C2-EED3-4FAA-81D0-933FA352FDAB}"/>
    <cellStyle name="Percent 7 3 2" xfId="4193" xr:uid="{E567C600-8EB5-456B-9458-31827EA8FFB8}"/>
    <cellStyle name="Percent 7 4" xfId="4194" xr:uid="{3BFA7870-A2A6-4D97-91D5-A8C88644DDAD}"/>
    <cellStyle name="Percent 8" xfId="4195" xr:uid="{D15570F9-09B5-423D-9DF0-0745295A7006}"/>
    <cellStyle name="Percent 9" xfId="4196" xr:uid="{08237AF9-F4EC-43A4-BD5B-8B9DA5D90038}"/>
    <cellStyle name="Percent Hard" xfId="4197" xr:uid="{B969CF6F-31EF-4A0D-8D15-BD3BD0D393BD}"/>
    <cellStyle name="percentage" xfId="4198" xr:uid="{325DC945-062B-4231-98E2-5D5152263921}"/>
    <cellStyle name="PercentChange" xfId="4199" xr:uid="{27483493-E222-465E-B4AC-87AE24EC567F}"/>
    <cellStyle name="PLAN1" xfId="4200" xr:uid="{79F34F92-2667-43F7-A1AC-EC46EC89AD61}"/>
    <cellStyle name="Porcentaje" xfId="4201" xr:uid="{78A5A207-FDBC-4D82-BF78-7C2C4BE8CBFA}"/>
    <cellStyle name="Pourcentage_Profit &amp; Loss" xfId="4202" xr:uid="{09E7DD76-AA51-4F56-ADB5-2AF52E6F8B84}"/>
    <cellStyle name="PrePop Currency (0)" xfId="4203" xr:uid="{C2736E97-1EB8-4CE2-8F88-E44C2580ED27}"/>
    <cellStyle name="PrePop Currency (2)" xfId="4204" xr:uid="{0DDDA2D8-F557-4B3B-8EDF-E6760E60D1C8}"/>
    <cellStyle name="PrePop Units (0)" xfId="4205" xr:uid="{F64749C4-189A-499B-A9BD-BC5AF32FB8BD}"/>
    <cellStyle name="PrePop Units (1)" xfId="4206" xr:uid="{EBD9D49D-6C7F-4BDD-9A1A-3FCF62503B0A}"/>
    <cellStyle name="PrePop Units (2)" xfId="4207" xr:uid="{7C5D4FEB-3B33-4553-B245-832E95D39C2F}"/>
    <cellStyle name="Procenten" xfId="4208" xr:uid="{68CB7E17-B0AB-4419-8BF8-BB840C58CCCE}"/>
    <cellStyle name="Procenten estimate" xfId="4209" xr:uid="{77A31FCA-8726-4A3D-8219-0F6446CE3B57}"/>
    <cellStyle name="Procenten_EMI" xfId="4210" xr:uid="{B28FCDC4-898E-4BD9-8C23-31EEA7A7606A}"/>
    <cellStyle name="Profit figure" xfId="4211" xr:uid="{992F3652-1EBE-4563-AE59-B7C62E0D38E0}"/>
    <cellStyle name="Protected" xfId="4212" xr:uid="{0D4F9531-70E3-4720-84C8-78E074E112FB}"/>
    <cellStyle name="ProtectedDates" xfId="4213" xr:uid="{B2FA565A-1875-415B-AF27-41E903F78ABA}"/>
    <cellStyle name="PSChar" xfId="4214" xr:uid="{6E328C88-8566-4CA0-B3D2-79D7CAA48E1B}"/>
    <cellStyle name="PSDate" xfId="4215" xr:uid="{6D5E79C8-8D9F-40A5-AA1D-0397A0F548B1}"/>
    <cellStyle name="PSDec" xfId="4216" xr:uid="{13A0D6AE-9261-4DEB-B3B0-60E8180274B2}"/>
    <cellStyle name="PSHeading" xfId="4217" xr:uid="{92EC7095-C29D-4188-A63B-A9776D3EE299}"/>
    <cellStyle name="PSHeading 2" xfId="5404" xr:uid="{1977DC7F-D3BC-48DF-8FA2-CBBEE3423D47}"/>
    <cellStyle name="PSInt" xfId="4218" xr:uid="{40E2D926-4976-4611-ADEC-416BEA1F0E55}"/>
    <cellStyle name="PSSpacer" xfId="4219" xr:uid="{322E99EC-4057-49EA-A674-EAAA73E08A12}"/>
    <cellStyle name="RatioX" xfId="4220" xr:uid="{E4BADD50-F813-4DB0-93B4-EBD461471CA8}"/>
    <cellStyle name="Red font" xfId="4221" xr:uid="{7AC9A783-DA0D-4A8A-9A79-0D184FCB3726}"/>
    <cellStyle name="ref" xfId="4222" xr:uid="{9373FA74-3AF2-4E33-8094-440977441815}"/>
    <cellStyle name="Right" xfId="4223" xr:uid="{32A83B7E-0951-4B6A-98D9-6F23F72D6DA3}"/>
    <cellStyle name="RZ_head" xfId="4605" xr:uid="{6B1FE29B-110D-44FE-B367-ACB347F47AD0}"/>
    <cellStyle name="Salomon Logo" xfId="4224" xr:uid="{63703685-48D4-4325-9689-AE8A6B00DCBC}"/>
    <cellStyle name="Salomon Logo 2" xfId="5507" xr:uid="{8E197B98-F7F5-4D55-9DC2-713F0D27AB76}"/>
    <cellStyle name="ScripFactor" xfId="4225" xr:uid="{616C9C75-9BD0-4F3F-A7AC-FC753B488C77}"/>
    <cellStyle name="SectionHeading" xfId="4226" xr:uid="{2849F5A4-E717-4444-BC29-D2EAEF6EB3C3}"/>
    <cellStyle name="SectionHeading 2" xfId="5405" xr:uid="{F5B5DE2F-C441-415F-99DD-F2E4BAD1922A}"/>
    <cellStyle name="Shade" xfId="4227" xr:uid="{55DC28AB-D682-4226-9F2C-B1A5DE912540}"/>
    <cellStyle name="Shade 2" xfId="5508" xr:uid="{B922F7C8-F7D2-409C-A5BE-D6AB48CDA8AB}"/>
    <cellStyle name="Shaded" xfId="4228" xr:uid="{7F9ADA7C-1179-4CB5-B0E8-BC2A2021FA4E}"/>
    <cellStyle name="Single Accounting" xfId="4229" xr:uid="{EAE139D4-AA08-49C4-858C-9DB9D60663F9}"/>
    <cellStyle name="Single Accounting 2" xfId="5406" xr:uid="{ACFFDFFB-73C9-4E6C-B8B5-964E6176F081}"/>
    <cellStyle name="SingleLineAcctgn" xfId="4230" xr:uid="{EA61491F-0C01-477A-A46B-948A4A973DCD}"/>
    <cellStyle name="SingleLineAcctgn 2" xfId="5407" xr:uid="{F4BC6C29-80BC-48F8-BD2D-E9B04CE47787}"/>
    <cellStyle name="SingleLinePercent" xfId="4231" xr:uid="{8444E77C-FBC1-419C-8F16-A8C336655013}"/>
    <cellStyle name="Source Superscript" xfId="4232" xr:uid="{608DF418-9482-4F1F-8293-93536C67AAAE}"/>
    <cellStyle name="Source Text" xfId="4233" xr:uid="{C17A97E7-1817-4842-941C-3EF0E234AD46}"/>
    <cellStyle name="ssp " xfId="4234" xr:uid="{738B4405-86DF-4414-8AA6-AFF0410FA18A}"/>
    <cellStyle name="ssp  2" xfId="5408" xr:uid="{DB88D05E-ED46-43AC-9B15-A5FE573F971E}"/>
    <cellStyle name="Standard" xfId="4235" xr:uid="{834CB40B-A939-42FA-992B-5703948088D7}"/>
    <cellStyle name="Style 1" xfId="4236" xr:uid="{B96020EC-A78D-4707-9669-B0670B35E64C}"/>
    <cellStyle name="Style 10" xfId="4237" xr:uid="{26AB95B3-5E73-4A61-9BA5-236E28EEDC5E}"/>
    <cellStyle name="Style 100" xfId="4238" xr:uid="{1F1798FF-F73E-49E3-9CFC-18B072DE09A2}"/>
    <cellStyle name="Style 101" xfId="4239" xr:uid="{E463A884-857F-48E8-B097-1A5AD194354A}"/>
    <cellStyle name="Style 102" xfId="4240" xr:uid="{AF642207-BB23-46BF-A436-BC99A4053EB1}"/>
    <cellStyle name="Style 103" xfId="4241" xr:uid="{358F7CC6-FF16-4D44-9427-3C506AFE3EA1}"/>
    <cellStyle name="Style 104" xfId="4242" xr:uid="{91040E28-4061-46B8-ABC6-1B9F59A9D919}"/>
    <cellStyle name="Style 105" xfId="4243" xr:uid="{E41470B7-F88F-4BD3-800F-1668DEEA565F}"/>
    <cellStyle name="Style 106" xfId="4244" xr:uid="{6E5985FE-8B23-43FA-A65A-98196839C31E}"/>
    <cellStyle name="Style 107" xfId="4245" xr:uid="{E379A8DC-9ECB-4DE3-8109-44E9EEF17696}"/>
    <cellStyle name="Style 108" xfId="4246" xr:uid="{C021E91C-0683-43BA-9711-453B80A42C20}"/>
    <cellStyle name="Style 109" xfId="4247" xr:uid="{8848022B-8A2A-4055-A9BA-FD1B2C52B77D}"/>
    <cellStyle name="Style 11" xfId="4248" xr:uid="{CB6B7DA9-67B9-4B8B-B261-82E82F7174F6}"/>
    <cellStyle name="Style 110" xfId="4249" xr:uid="{DC2D569B-6EA4-4D1D-8F3C-E85EA75F53DE}"/>
    <cellStyle name="Style 111" xfId="4250" xr:uid="{C3EEED84-557E-44F5-9198-4AD1AE07A9CD}"/>
    <cellStyle name="Style 112" xfId="4251" xr:uid="{AA7000F9-F799-4F38-9056-2C0E4DE61020}"/>
    <cellStyle name="Style 113" xfId="4252" xr:uid="{83395454-1744-45E8-BB55-5A7299B6CBC5}"/>
    <cellStyle name="Style 114" xfId="4253" xr:uid="{CC5A5757-3B83-44A8-BD1C-D2F6302AC982}"/>
    <cellStyle name="Style 115" xfId="4254" xr:uid="{7EBD6EAA-CE25-48F6-B2D8-AA9091CE2D7E}"/>
    <cellStyle name="Style 116" xfId="4255" xr:uid="{57F8B763-F450-4533-A1DC-C15451AD3DF5}"/>
    <cellStyle name="Style 117" xfId="4256" xr:uid="{D5D4917D-BCC4-400B-AD37-1D7D89F0B9BE}"/>
    <cellStyle name="Style 118" xfId="4257" xr:uid="{F4F8E28D-610B-4A61-8F8F-965F6B1D881F}"/>
    <cellStyle name="Style 119" xfId="4258" xr:uid="{1FF96BFC-4DBA-4C73-A5CD-DD7D6B959D96}"/>
    <cellStyle name="Style 12" xfId="4259" xr:uid="{BA4E7F27-F3E0-4412-A03E-031461568B79}"/>
    <cellStyle name="Style 120" xfId="4260" xr:uid="{7139BC56-7687-4738-811C-328A2039A674}"/>
    <cellStyle name="Style 121" xfId="4261" xr:uid="{2E75E3E4-6F2A-4BBD-AB4E-F91D02AC87FF}"/>
    <cellStyle name="Style 122" xfId="4262" xr:uid="{83708429-EB9F-4ADA-9B82-5A27B6F57FDF}"/>
    <cellStyle name="Style 123" xfId="4263" xr:uid="{07DA4BC0-44B3-4153-BF5A-36B7ADA1169B}"/>
    <cellStyle name="Style 124" xfId="4264" xr:uid="{9E89FF6F-8744-46DA-B0A5-B79F2F3B4F44}"/>
    <cellStyle name="Style 125" xfId="4265" xr:uid="{21920429-B9BD-423A-B203-9EF8702666CE}"/>
    <cellStyle name="Style 126" xfId="4266" xr:uid="{CE9D8025-BE4A-43E4-B59B-BD4B028C18EB}"/>
    <cellStyle name="Style 127" xfId="4267" xr:uid="{5BD0ACE9-C12D-48E4-9A35-C64E2CDB2682}"/>
    <cellStyle name="Style 128" xfId="4268" xr:uid="{6E795EF0-039D-4FEC-BDB9-265C4C54F8F0}"/>
    <cellStyle name="Style 129" xfId="4269" xr:uid="{8F614581-F9EF-4C3C-B46E-C05948323463}"/>
    <cellStyle name="Style 13" xfId="4270" xr:uid="{96C56508-A0C6-46F9-97F8-9DE38299DF68}"/>
    <cellStyle name="Style 130" xfId="4271" xr:uid="{A920CFF9-6219-4ABB-A53C-ECEF98CD505A}"/>
    <cellStyle name="Style 131" xfId="4272" xr:uid="{68879E4C-8A9A-4D4C-895B-5197738717CF}"/>
    <cellStyle name="Style 132" xfId="4273" xr:uid="{69A85214-A1FC-4B57-BBC1-98B238CF9714}"/>
    <cellStyle name="Style 133" xfId="4274" xr:uid="{14E7AD73-460C-4AA2-ABE6-BF523A7A23F3}"/>
    <cellStyle name="Style 134" xfId="4275" xr:uid="{7C1778DB-12CB-4C97-8EB7-F149969B7496}"/>
    <cellStyle name="Style 135" xfId="4276" xr:uid="{444E5B71-0703-4894-8721-F70CDF43BE7E}"/>
    <cellStyle name="Style 136" xfId="4277" xr:uid="{38EBA2C5-8E6F-413E-B69F-AD2016A518C4}"/>
    <cellStyle name="Style 137" xfId="4278" xr:uid="{816D6A65-0AB2-46C2-8598-015D5E126310}"/>
    <cellStyle name="Style 138" xfId="4279" xr:uid="{7BDBB2F7-177F-45B4-B54E-B5984C8B6604}"/>
    <cellStyle name="Style 139" xfId="4280" xr:uid="{4680B5A9-5EA1-4BDF-BC47-031D1B0B85EB}"/>
    <cellStyle name="Style 14" xfId="4281" xr:uid="{AE99A134-8460-4BEB-8C08-D05AF6A67E60}"/>
    <cellStyle name="Style 140" xfId="4282" xr:uid="{61EFE626-79D9-421A-B181-6BA45283B5D7}"/>
    <cellStyle name="Style 141" xfId="4283" xr:uid="{FA399E20-B116-45EF-80AC-A8EFCA98560F}"/>
    <cellStyle name="Style 142" xfId="4284" xr:uid="{7FD2D7C6-6A74-441E-98E8-3EA2FD583E60}"/>
    <cellStyle name="Style 143" xfId="4285" xr:uid="{046226F5-66B4-4E84-BE8C-95A83FD9E151}"/>
    <cellStyle name="Style 144" xfId="4286" xr:uid="{1DFD4698-A6F4-472B-A03B-14C9F2C2B137}"/>
    <cellStyle name="Style 145" xfId="4287" xr:uid="{F9204039-2A52-4934-B66F-9C35F3E6A52C}"/>
    <cellStyle name="Style 146" xfId="4288" xr:uid="{A2144F20-9A2A-4106-9CB1-3CD0754024D1}"/>
    <cellStyle name="Style 147" xfId="4289" xr:uid="{32E0393D-33DB-4162-88BC-9EBE6B414724}"/>
    <cellStyle name="Style 148" xfId="4290" xr:uid="{7CF27CF3-24C5-44D7-B902-C93B12A3360A}"/>
    <cellStyle name="Style 149" xfId="4291" xr:uid="{C4311CF2-EC4B-4FD9-92B3-2E38FE687C49}"/>
    <cellStyle name="Style 15" xfId="4292" xr:uid="{9E34FA59-8042-4109-BECF-7D32EB6A99DB}"/>
    <cellStyle name="Style 150" xfId="4293" xr:uid="{625267C1-E701-4338-B019-9213C8CA816A}"/>
    <cellStyle name="Style 151" xfId="4294" xr:uid="{30D0B331-C720-4E5F-8F70-CE576C91FE34}"/>
    <cellStyle name="Style 152" xfId="4295" xr:uid="{8455AC03-557D-4A91-B6F4-3B3332D7C07D}"/>
    <cellStyle name="Style 153" xfId="4296" xr:uid="{A33985A8-0E0F-4D64-A307-E16FEF1E3FC8}"/>
    <cellStyle name="Style 154" xfId="4297" xr:uid="{A07C233A-5250-433E-A842-4A2013F471DD}"/>
    <cellStyle name="Style 155" xfId="4298" xr:uid="{193F8902-F3DF-47BF-A00A-1476699C0D44}"/>
    <cellStyle name="Style 156" xfId="4299" xr:uid="{E810C40A-4A0A-41F5-B712-744B07C221E4}"/>
    <cellStyle name="Style 157" xfId="4300" xr:uid="{5B2347BD-DB8A-4722-BD0A-9AA39A9CA645}"/>
    <cellStyle name="Style 158" xfId="4301" xr:uid="{DB3A9913-1499-4EC9-82BA-8246474F83D5}"/>
    <cellStyle name="Style 159" xfId="4302" xr:uid="{0AF2A193-D5FE-45C8-9673-A371B1E7DA3E}"/>
    <cellStyle name="Style 16" xfId="4303" xr:uid="{82C973EE-A694-4970-8D47-FB5FDD351EB2}"/>
    <cellStyle name="Style 160" xfId="4304" xr:uid="{71B97CCF-C2F5-4280-8A7F-334AF7B5ECE9}"/>
    <cellStyle name="Style 161" xfId="4305" xr:uid="{64571A3F-40F1-45C7-B728-644B969C1624}"/>
    <cellStyle name="Style 162" xfId="4306" xr:uid="{8285E57B-0B4A-48C6-BA54-82E4565C1BBA}"/>
    <cellStyle name="Style 163" xfId="4307" xr:uid="{A22DFB63-7C33-45BD-97B8-7F6C4154F393}"/>
    <cellStyle name="Style 164" xfId="4308" xr:uid="{1394E811-FDA9-49D8-91D5-CC0F02827B62}"/>
    <cellStyle name="Style 165" xfId="4309" xr:uid="{1D954F57-9F0A-470F-9759-714FB6DDCFDB}"/>
    <cellStyle name="Style 166" xfId="4310" xr:uid="{15A1C123-3891-43D5-810E-178D4C7C570C}"/>
    <cellStyle name="Style 167" xfId="4311" xr:uid="{4935490E-ECE8-49EB-A880-B944D01934C1}"/>
    <cellStyle name="Style 168" xfId="4312" xr:uid="{EDAF034B-DF5C-4252-B288-DEFA2C9AF718}"/>
    <cellStyle name="Style 168 2" xfId="5409" xr:uid="{3C8BDD6C-D7D3-4850-B597-50E11FC00DA9}"/>
    <cellStyle name="Style 169" xfId="4313" xr:uid="{10BCFF8D-E391-4D32-855B-E50C78A60AB5}"/>
    <cellStyle name="Style 17" xfId="4314" xr:uid="{3BBF0188-AF1D-4EBB-B538-D162B009E196}"/>
    <cellStyle name="Style 170" xfId="4315" xr:uid="{3BA4BB84-D59B-44C6-8850-0A1FB9D3E64B}"/>
    <cellStyle name="Style 171" xfId="4316" xr:uid="{E8B33448-6BEC-4582-9AA8-519362E8ED03}"/>
    <cellStyle name="Style 172" xfId="4317" xr:uid="{EFD6B754-D9D5-4817-92BA-78B8981A2008}"/>
    <cellStyle name="Style 173" xfId="4318" xr:uid="{87F00E25-2989-40F4-AE80-051ECECF9BBE}"/>
    <cellStyle name="Style 174" xfId="4319" xr:uid="{72501044-48EF-4A12-968F-68DABB6097AF}"/>
    <cellStyle name="Style 175" xfId="4320" xr:uid="{B8D6A11C-459F-447C-99BE-074C58D28ABC}"/>
    <cellStyle name="Style 176" xfId="4321" xr:uid="{82CAAE71-5786-46EC-A4EC-4C684E4B894D}"/>
    <cellStyle name="Style 177" xfId="4322" xr:uid="{61A12F53-1EA3-4AC9-9D97-3F06F7472418}"/>
    <cellStyle name="Style 178" xfId="4323" xr:uid="{4FAB7DB1-7A9E-4E9C-8A06-C6E2A1811062}"/>
    <cellStyle name="Style 179" xfId="4324" xr:uid="{7696409C-B347-47DC-A592-0A67D3D8E770}"/>
    <cellStyle name="Style 18" xfId="4325" xr:uid="{0A1B6CB5-AAD4-4E15-AD72-A74612FD6AFD}"/>
    <cellStyle name="Style 180" xfId="4326" xr:uid="{DDD851D0-3224-452D-9009-EFD01F86461E}"/>
    <cellStyle name="Style 181" xfId="4327" xr:uid="{531DF997-260E-4F13-8810-A99EAD71745A}"/>
    <cellStyle name="Style 182" xfId="4328" xr:uid="{51DB97C9-9310-401F-9579-A24DF5B37542}"/>
    <cellStyle name="Style 183" xfId="4329" xr:uid="{F544B633-7485-442C-9E77-97156F5DE414}"/>
    <cellStyle name="Style 184" xfId="4330" xr:uid="{33BEC7ED-CA96-41A8-82BC-C65D789A649A}"/>
    <cellStyle name="Style 185" xfId="4331" xr:uid="{30EC5DCF-B9E3-4695-BDDB-756E4B00210C}"/>
    <cellStyle name="Style 186" xfId="4332" xr:uid="{0A63F684-4F11-4C21-8883-7C580D45F9E3}"/>
    <cellStyle name="Style 187" xfId="4333" xr:uid="{FA2E7F0D-F9AD-4021-BC0D-A9CA84BF1484}"/>
    <cellStyle name="Style 188" xfId="4334" xr:uid="{8A57B9CE-6A66-4530-B552-05BE0CABEB3E}"/>
    <cellStyle name="Style 189" xfId="4335" xr:uid="{42336600-64EE-4714-8822-9EA099A95AE8}"/>
    <cellStyle name="Style 19" xfId="4336" xr:uid="{333F6DD2-6936-4887-9A6D-6A563428438D}"/>
    <cellStyle name="Style 190" xfId="4337" xr:uid="{36921BCF-E87B-4A0C-9EBB-AC4DFAE9D01F}"/>
    <cellStyle name="Style 191" xfId="4338" xr:uid="{B8E950CC-9311-489E-9030-C6DC5B8D232C}"/>
    <cellStyle name="Style 192" xfId="4339" xr:uid="{AFDD998E-9DCE-4A44-A58A-C645939BD15F}"/>
    <cellStyle name="Style 193" xfId="4340" xr:uid="{043F4FF2-8311-4918-AEB1-601F33A0483C}"/>
    <cellStyle name="Style 194" xfId="4341" xr:uid="{9B4630E9-04D8-4229-A499-1598DFCCD3A6}"/>
    <cellStyle name="Style 195" xfId="4342" xr:uid="{D0D46688-70B2-47E0-A87B-7900E5B53DCB}"/>
    <cellStyle name="Style 196" xfId="4343" xr:uid="{63BCC664-41B8-43D2-811A-6DA29BF7319C}"/>
    <cellStyle name="Style 197" xfId="4344" xr:uid="{3C64A322-C007-4880-8DA4-DA6E8162F177}"/>
    <cellStyle name="Style 198" xfId="4345" xr:uid="{B8D44B5E-8EE0-43FA-9D68-24C627E2B787}"/>
    <cellStyle name="Style 199" xfId="4346" xr:uid="{2576EB79-D221-4188-A4F6-F166E60D8A73}"/>
    <cellStyle name="Style 2" xfId="4347" xr:uid="{575EFD32-3640-40AC-B5B1-6EFDAECB5DB3}"/>
    <cellStyle name="Style 2 2" xfId="5410" xr:uid="{541E2E0D-151C-4FAD-B250-EC569A7BA08B}"/>
    <cellStyle name="Style 20" xfId="4348" xr:uid="{81DDB8C4-5E49-45B5-AA3F-3150E69B74EE}"/>
    <cellStyle name="Style 200" xfId="4349" xr:uid="{D0A9210B-092A-4B3B-B668-3F268CE7270F}"/>
    <cellStyle name="Style 201" xfId="4350" xr:uid="{183AAB04-756F-434D-9740-2977C4AD79D8}"/>
    <cellStyle name="Style 202" xfId="4351" xr:uid="{21B8AC51-2F58-4055-96F4-A5F81A51C80D}"/>
    <cellStyle name="Style 203" xfId="4352" xr:uid="{38305352-2345-4314-A34C-384AAF4CC65E}"/>
    <cellStyle name="Style 204" xfId="4353" xr:uid="{6C42CD12-30C5-4D95-9E92-057F4D7A0A5F}"/>
    <cellStyle name="Style 205" xfId="4354" xr:uid="{70317148-6955-4DD0-ADBE-D9EA7447B964}"/>
    <cellStyle name="Style 206" xfId="4355" xr:uid="{6CFEE85F-F246-456F-B324-A1F2E246CD1B}"/>
    <cellStyle name="Style 207" xfId="4356" xr:uid="{AC128BA1-FB2B-4211-97DF-CDB156CEC96E}"/>
    <cellStyle name="Style 208" xfId="4357" xr:uid="{7E849B81-D540-44D1-9CEF-FC74F35394A3}"/>
    <cellStyle name="Style 209" xfId="4358" xr:uid="{900A3C05-B316-4792-BBB4-A2550F5FDCFD}"/>
    <cellStyle name="Style 21" xfId="4359" xr:uid="{696B0CCA-C23C-4986-957E-50B7C04FE868}"/>
    <cellStyle name="Style 21 2" xfId="4360" xr:uid="{E82394BB-EC24-49AB-822A-8D3717BD1B0F}"/>
    <cellStyle name="Style 21 3" xfId="5411" xr:uid="{84E216B7-76D2-4351-8B19-CC811093AD48}"/>
    <cellStyle name="Style 22" xfId="4361" xr:uid="{33D60912-6532-4A42-8ED6-33BB8EC938BA}"/>
    <cellStyle name="Style 22 2" xfId="4362" xr:uid="{2C9AD7FD-848C-47C9-871A-BC3F9C52A3D1}"/>
    <cellStyle name="Style 22 2 2" xfId="5413" xr:uid="{6A0020DD-109F-40EA-83C7-AD2CE0B37938}"/>
    <cellStyle name="Style 22 3" xfId="4363" xr:uid="{3CFF9989-1624-4764-8D19-E94C404F5FC3}"/>
    <cellStyle name="Style 22 3 2" xfId="5414" xr:uid="{6A32CB7B-7125-4823-96E1-1FDE67E2A861}"/>
    <cellStyle name="Style 22 4" xfId="4364" xr:uid="{9E69617E-5FFE-48F3-BE70-A9056335E314}"/>
    <cellStyle name="Style 22 5" xfId="5412" xr:uid="{7ACA6842-3A9D-432D-8F3D-65D90A50627B}"/>
    <cellStyle name="Style 23" xfId="66" xr:uid="{97D44AD7-6F6D-4136-9540-BD08BBD5A35F}"/>
    <cellStyle name="Style 23 2" xfId="67" xr:uid="{12040DAA-4EAF-490E-9774-53D7DD357EC7}"/>
    <cellStyle name="Style 23 2 2" xfId="80" xr:uid="{86769CA1-FF3D-4973-8B35-7DC67CAE9A6F}"/>
    <cellStyle name="Style 23 2 2 2" xfId="97" xr:uid="{E1F4C635-D702-4873-B316-EA540006C1A5}"/>
    <cellStyle name="Style 23 2 2 2 2" xfId="4670" xr:uid="{85EF8053-9AEF-41F9-806C-2860FBD87C5E}"/>
    <cellStyle name="Style 23 2 2 3" xfId="4589" xr:uid="{153985F2-347A-4B15-BFDE-629C6119CDA1}"/>
    <cellStyle name="Style 23 3" xfId="81" xr:uid="{14AEACEC-0EEB-44B9-BA33-C804DD698F72}"/>
    <cellStyle name="Style 23 3 2" xfId="96" xr:uid="{35B86A75-1218-43ED-9159-5502D3AA0C8F}"/>
    <cellStyle name="Style 23 3 2 2" xfId="4669" xr:uid="{637B8905-2481-45D5-9118-F524CD8AF431}"/>
    <cellStyle name="Style 23 3 3" xfId="4590" xr:uid="{36742599-82FA-4C48-B98E-2237D8D02568}"/>
    <cellStyle name="Style 24" xfId="4365" xr:uid="{35ABB096-B3D1-4667-89BA-EDA027E494CE}"/>
    <cellStyle name="Style 24 2" xfId="4366" xr:uid="{DB425FE9-5310-4603-8EB9-DE623A444AAE}"/>
    <cellStyle name="Style 24 3" xfId="4367" xr:uid="{7A7865AC-4CB1-47D8-9804-10E4E2FA6F81}"/>
    <cellStyle name="Style 24 4" xfId="4368" xr:uid="{9E8975B5-4C9C-4867-A3DB-8EF5DAADDCC1}"/>
    <cellStyle name="Style 24 5" xfId="5415" xr:uid="{ABBEA463-B49B-4A6A-A968-92C447874172}"/>
    <cellStyle name="Style 25" xfId="4369" xr:uid="{361F8A9F-6823-44A9-9106-C7C55BE6F15F}"/>
    <cellStyle name="Style 25 2" xfId="4370" xr:uid="{CA234DAD-75B2-4B97-AA04-07F208E48D53}"/>
    <cellStyle name="Style 25 2 2" xfId="5417" xr:uid="{189A6D94-0E07-4C13-8247-9703CAECC058}"/>
    <cellStyle name="Style 25 3" xfId="4371" xr:uid="{54037110-66B7-48CA-9A8D-BCDDEB851A21}"/>
    <cellStyle name="Style 25 4" xfId="5416" xr:uid="{C9F17E8D-B8D9-4EBF-99A8-8DEF7AF9A21B}"/>
    <cellStyle name="Style 26" xfId="4372" xr:uid="{2B45848E-1212-4355-8D99-4F1B1A3743DB}"/>
    <cellStyle name="Style 26 2" xfId="4373" xr:uid="{C18AD104-5D93-4B05-826A-1EC9FAC63CC9}"/>
    <cellStyle name="Style 26 3" xfId="4374" xr:uid="{E3E44FE8-EB03-41A6-8EE2-1DEB8BDA363B}"/>
    <cellStyle name="Style 26 4" xfId="4375" xr:uid="{CCE355B6-EEF7-4592-95AB-62E630DB7DED}"/>
    <cellStyle name="Style 26 5" xfId="5418" xr:uid="{82E6F05C-879B-4EEF-B69A-9396B3B8C43A}"/>
    <cellStyle name="Style 27" xfId="4376" xr:uid="{5E577918-33B8-49B1-8DE2-B617988530EF}"/>
    <cellStyle name="Style 28" xfId="4377" xr:uid="{972DD3F9-33E8-432D-AFA5-9F6256FECBB7}"/>
    <cellStyle name="Style 29" xfId="4378" xr:uid="{6800DE4C-4C34-490C-90B6-DA00112B90ED}"/>
    <cellStyle name="Style 3" xfId="4379" xr:uid="{873D9FA7-BBE1-4849-B7F4-997F08A6379E}"/>
    <cellStyle name="Style 3 2" xfId="5419" xr:uid="{0FE8B1A3-5A81-460E-BFCD-8BDC92F5FB9F}"/>
    <cellStyle name="Style 30" xfId="4380" xr:uid="{9C3A99B4-8EC2-4AE9-8C6E-961C45A5BE39}"/>
    <cellStyle name="Style 31" xfId="4381" xr:uid="{6FFF1685-3FF0-46A1-81EE-77CC02557020}"/>
    <cellStyle name="Style 32" xfId="4382" xr:uid="{71BA0473-894C-4A80-BA41-617BC248E461}"/>
    <cellStyle name="Style 33" xfId="4383" xr:uid="{30E72FE6-637E-45E1-AB70-B8F81D0AFE0D}"/>
    <cellStyle name="Style 34" xfId="4384" xr:uid="{C34EB1D1-52BE-44E1-960A-960266B76C5E}"/>
    <cellStyle name="Style 35" xfId="4385" xr:uid="{E3947363-163F-43CF-B115-3253DBFC9AD0}"/>
    <cellStyle name="Style 36" xfId="4386" xr:uid="{1FC6CE36-E36C-444A-92DD-9246FDA5E8F6}"/>
    <cellStyle name="Style 37" xfId="4387" xr:uid="{4163705B-5B5C-4EB3-A625-12A2B1B990F9}"/>
    <cellStyle name="Style 38" xfId="4388" xr:uid="{4F97AD4E-5151-41E5-8E8E-AE5E873126F9}"/>
    <cellStyle name="Style 39" xfId="4389" xr:uid="{7974E2F7-18B2-463C-9F5E-6164A2331A8F}"/>
    <cellStyle name="Style 4" xfId="4390" xr:uid="{4F5A9962-0ADA-410D-8CA3-9B35B4232B20}"/>
    <cellStyle name="Style 40" xfId="4391" xr:uid="{3090E2AB-3EFD-4E2F-894B-838FEFFF7103}"/>
    <cellStyle name="Style 41" xfId="4392" xr:uid="{B817CD6A-EA13-40C6-A1CD-F86F541B4938}"/>
    <cellStyle name="Style 42" xfId="4393" xr:uid="{040987CF-1C6A-4D55-9433-572F5B261D90}"/>
    <cellStyle name="Style 43" xfId="4394" xr:uid="{547DCB77-9C31-42D0-A354-3817ADF77589}"/>
    <cellStyle name="Style 44" xfId="4395" xr:uid="{B7C8BA52-401F-41C4-8A43-2990EC08F99D}"/>
    <cellStyle name="Style 45" xfId="4396" xr:uid="{D77FEB98-B149-4D93-A3D2-2F7C441DCFB3}"/>
    <cellStyle name="Style 46" xfId="4397" xr:uid="{9460692B-9D4F-4C37-A7A7-EC33B994A317}"/>
    <cellStyle name="Style 47" xfId="4398" xr:uid="{1F5D8640-D82D-4EBC-A41A-A7666B4F4F31}"/>
    <cellStyle name="Style 48" xfId="4399" xr:uid="{94724FDE-EB04-48FA-A086-DDE6F15E4754}"/>
    <cellStyle name="Style 49" xfId="4400" xr:uid="{79869C42-76BE-416C-BFA7-97AB18E3D7F3}"/>
    <cellStyle name="Style 5" xfId="4401" xr:uid="{E23FA980-3804-46B9-9421-090EAEDE44BF}"/>
    <cellStyle name="Style 5 2" xfId="5420" xr:uid="{F5971E22-3C5A-420C-BA8E-E7C30872F9D1}"/>
    <cellStyle name="Style 50" xfId="4402" xr:uid="{E689B9A4-0D44-4AF1-8398-D38A736C5854}"/>
    <cellStyle name="Style 51" xfId="4403" xr:uid="{FB37FA26-1B8D-4893-B4B4-8269EB707767}"/>
    <cellStyle name="Style 52" xfId="4404" xr:uid="{28754D99-13B4-47CD-97DD-FCB16FE040F1}"/>
    <cellStyle name="Style 53" xfId="4405" xr:uid="{1BF2ECB7-E239-48F7-A9D2-1EC533C74AFE}"/>
    <cellStyle name="Style 54" xfId="4406" xr:uid="{23A94051-455B-487D-BABA-1F076D653D50}"/>
    <cellStyle name="Style 55" xfId="4407" xr:uid="{8BA01491-7689-4E9A-AA2C-BEAAE15F0C4D}"/>
    <cellStyle name="Style 56" xfId="4408" xr:uid="{A500DC8D-51BB-4FFD-85AC-7A9FF4E477E8}"/>
    <cellStyle name="Style 57" xfId="4409" xr:uid="{F6DFDDB6-246C-411E-8122-C6251F4D5987}"/>
    <cellStyle name="Style 58" xfId="4410" xr:uid="{617E3018-6E1D-4AD7-AB57-A4859131CCD5}"/>
    <cellStyle name="Style 59" xfId="4411" xr:uid="{9D0F0062-FDD7-449A-A24A-EC0A028A97EE}"/>
    <cellStyle name="Style 6" xfId="4412" xr:uid="{0EE456F0-11E9-4666-88FE-194C4408C6A1}"/>
    <cellStyle name="Style 60" xfId="4413" xr:uid="{6DC5C65C-E525-4B02-BE1C-3A3BCBD4EBEE}"/>
    <cellStyle name="Style 61" xfId="4414" xr:uid="{F18CD4EE-DF05-4044-92A9-B742859F985B}"/>
    <cellStyle name="Style 62" xfId="4415" xr:uid="{84C0B984-2D07-45F8-9A43-B2A0B789EAF0}"/>
    <cellStyle name="Style 63" xfId="4416" xr:uid="{D8BFE7B7-1D76-4024-AA96-3D353B507F92}"/>
    <cellStyle name="Style 64" xfId="4417" xr:uid="{093E8BB6-72CF-4BCD-B17B-33C311B0E53B}"/>
    <cellStyle name="Style 65" xfId="4418" xr:uid="{37384E27-331E-4136-8A71-937DA4BD7073}"/>
    <cellStyle name="Style 66" xfId="4419" xr:uid="{C735DE71-B145-47D6-9AD6-F204D37CEEEB}"/>
    <cellStyle name="Style 67" xfId="4420" xr:uid="{BC1629F1-07A6-4D84-A887-525AE06359DA}"/>
    <cellStyle name="Style 68" xfId="4421" xr:uid="{32EF3F5E-1F64-4F85-8BB5-D7C77D0F7A41}"/>
    <cellStyle name="Style 69" xfId="4422" xr:uid="{530BECE0-A6EB-4D9A-85D4-5431B9921512}"/>
    <cellStyle name="Style 7" xfId="4423" xr:uid="{8B7A81DD-5A3A-40CE-ABDE-275D69B42AAC}"/>
    <cellStyle name="Style 70" xfId="4424" xr:uid="{920CFAE2-8942-43C6-89B1-4A328AFD2AAE}"/>
    <cellStyle name="Style 71" xfId="4425" xr:uid="{0AD7E0EE-DC72-45E7-83AD-ABB8B4E1519A}"/>
    <cellStyle name="Style 72" xfId="4426" xr:uid="{9C5A5E41-0150-4B87-9092-465936E1F434}"/>
    <cellStyle name="Style 73" xfId="4427" xr:uid="{ACD59D8E-372F-464F-B83D-F9E2E38ADD0D}"/>
    <cellStyle name="Style 74" xfId="4428" xr:uid="{EC18747E-568B-4B5A-8942-0AB428EA43B8}"/>
    <cellStyle name="Style 75" xfId="4429" xr:uid="{CEF91E2D-E5F9-42D8-964B-46D4D5A8839B}"/>
    <cellStyle name="Style 76" xfId="4430" xr:uid="{089D83F4-1101-400A-871E-A8905702C025}"/>
    <cellStyle name="Style 77" xfId="4431" xr:uid="{B12C35A0-0675-4F27-87D8-3BDC26DA240C}"/>
    <cellStyle name="Style 78" xfId="4432" xr:uid="{4DC4EEE6-C00B-4443-A2AA-2DE41E055680}"/>
    <cellStyle name="Style 79" xfId="4433" xr:uid="{7B3A7975-DCCC-43B6-BA9A-D6B3F9122CB9}"/>
    <cellStyle name="Style 8" xfId="4434" xr:uid="{F6A3F3F3-7806-4523-81D5-878F4A1045D9}"/>
    <cellStyle name="Style 80" xfId="4435" xr:uid="{F2C899A6-1536-4BBF-ADBB-C8561EED7959}"/>
    <cellStyle name="Style 81" xfId="4436" xr:uid="{A6DC31A1-4520-40B8-AD78-01F6167FD483}"/>
    <cellStyle name="Style 82" xfId="4437" xr:uid="{BA93D3DA-E27A-44A4-8988-F07AA3CD4290}"/>
    <cellStyle name="Style 83" xfId="4438" xr:uid="{7076D69C-074B-4ADF-B6AE-F481554A9A89}"/>
    <cellStyle name="Style 84" xfId="4439" xr:uid="{59A36085-C284-457C-AE3F-F016C7F0D9A5}"/>
    <cellStyle name="Style 85" xfId="4440" xr:uid="{28662A78-4E45-4569-A103-2B36070A4D32}"/>
    <cellStyle name="Style 86" xfId="4441" xr:uid="{F73106B9-5C85-4D10-AFB5-8328A36A9607}"/>
    <cellStyle name="Style 87" xfId="4442" xr:uid="{22A849E5-0143-4B8E-BBC2-1FF9458DE6BB}"/>
    <cellStyle name="Style 88" xfId="4443" xr:uid="{87805764-360A-406E-9E66-48BC31F514C4}"/>
    <cellStyle name="Style 89" xfId="4444" xr:uid="{1D499D33-F2F1-4C53-B2FD-73043E930070}"/>
    <cellStyle name="Style 9" xfId="4445" xr:uid="{855A3B27-3D49-4EB3-8244-9D5646C79067}"/>
    <cellStyle name="Style 90" xfId="4446" xr:uid="{D57C2A40-DF47-4A85-9BAD-60F764E3C76E}"/>
    <cellStyle name="Style 91" xfId="4447" xr:uid="{59771AAD-D2B1-4647-AB97-C24B3ED4C844}"/>
    <cellStyle name="Style 92" xfId="4448" xr:uid="{55B6A87A-C2AF-4A6C-BD6E-2D958D7994B4}"/>
    <cellStyle name="Style 93" xfId="4449" xr:uid="{AAA9AEBD-E4A0-466A-8679-D0B5F625C297}"/>
    <cellStyle name="Style 94" xfId="4450" xr:uid="{9ABBD59A-0E76-4D0B-B6B1-B3CD866128B6}"/>
    <cellStyle name="Style 95" xfId="4451" xr:uid="{5A27CEBA-888F-4726-9D9C-16B0CCFA3796}"/>
    <cellStyle name="Style 96" xfId="4452" xr:uid="{3966D16B-DF9D-43BE-8664-AE48E8073D1F}"/>
    <cellStyle name="Style 97" xfId="4453" xr:uid="{FC5782F1-3C8A-4207-8B86-15E20244C0DD}"/>
    <cellStyle name="Style 98" xfId="4454" xr:uid="{5DF9B3E5-8CD5-45A5-B0C0-DC458C1B34A7}"/>
    <cellStyle name="Style 99" xfId="4455" xr:uid="{9C7AF2AF-BEBD-4C39-B733-D83D0E77CA2A}"/>
    <cellStyle name="STYLE1" xfId="4456" xr:uid="{64B8E299-DE4A-4C4C-8B29-0BF9D6E637A5}"/>
    <cellStyle name="STYLE2" xfId="4457" xr:uid="{E4795AA0-91B4-4F85-B46A-83BBF699CFE8}"/>
    <cellStyle name="STYLE3" xfId="4458" xr:uid="{B2206960-24B5-4556-87EC-D08983606855}"/>
    <cellStyle name="Subhead" xfId="4459" xr:uid="{FCCEE798-D9B7-45BB-A01D-A3672094BC6F}"/>
    <cellStyle name="Subtotal_left" xfId="4460" xr:uid="{BA695E5D-F68A-4EA5-9404-865374EB2728}"/>
    <cellStyle name="SwitchCell" xfId="4461" xr:uid="{C9F35457-C222-45FA-B70A-4C62C5DDC246}"/>
    <cellStyle name="t" xfId="4462" xr:uid="{6DFA92D4-90D2-445D-BCDD-B49A23076E75}"/>
    <cellStyle name="Table Col Head" xfId="4463" xr:uid="{4A7802C0-D7DC-495D-AF68-975CCD6555EF}"/>
    <cellStyle name="Table Head" xfId="4464" xr:uid="{895C5D79-AC3E-4E6C-93D1-D2123386786D}"/>
    <cellStyle name="Table Head Aligned" xfId="4465" xr:uid="{3129DD96-9690-4EF8-8455-9A6C4F165DE8}"/>
    <cellStyle name="Table Head Aligned 2" xfId="4554" xr:uid="{33FE5B01-262F-4B29-8C66-07C37462D711}"/>
    <cellStyle name="Table Head Blue" xfId="4466" xr:uid="{030D4590-21AE-4C55-BD3E-09559FF625F8}"/>
    <cellStyle name="Table Head Green" xfId="4467" xr:uid="{B5939079-DC13-440C-98D3-E5E428D86C7D}"/>
    <cellStyle name="Table Head Green 2" xfId="4556" xr:uid="{108EFD4F-86A8-4FA8-B580-809A29C4FC3D}"/>
    <cellStyle name="Table Head_Val_Sum_Graph" xfId="4468" xr:uid="{3E148B41-A282-4BC9-98B2-365C58F47914}"/>
    <cellStyle name="Table Sub Head" xfId="4469" xr:uid="{D62A4172-4AFD-4031-A1ED-59E369BF0647}"/>
    <cellStyle name="Table Text" xfId="4470" xr:uid="{8386A4B2-8406-4740-A880-D22F637BDCD1}"/>
    <cellStyle name="Table Title" xfId="4471" xr:uid="{9BB1DB04-33D9-4D72-B04F-AB2DAF7516CD}"/>
    <cellStyle name="Table Units" xfId="4472" xr:uid="{B4805D2F-BBA4-4EA6-A9C4-80A4C96A9431}"/>
    <cellStyle name="Table_Header" xfId="4473" xr:uid="{5A378381-8650-41DC-B2E3-98CE65712F54}"/>
    <cellStyle name="TableBorder" xfId="4474" xr:uid="{3A8C54D0-FB5C-41A7-A804-AEEE74F7AFDF}"/>
    <cellStyle name="TableBorder 2" xfId="5421" xr:uid="{740DC0BD-8399-4FE3-85DA-74515F9203B6}"/>
    <cellStyle name="TableColumnHeader" xfId="4475" xr:uid="{F35BE6DE-9B57-469B-8F77-603835DEA780}"/>
    <cellStyle name="TableColumnHeader 2" xfId="4566" xr:uid="{7BA472C8-BF35-4046-9860-2ACDAC481133}"/>
    <cellStyle name="TableColumnHeader 2 2" xfId="5436" xr:uid="{4E8A6CF3-BEB9-48D7-A705-5F48BEB5ED96}"/>
    <cellStyle name="TableColumnHeader 3" xfId="5422" xr:uid="{3D24EFEA-DF12-4491-AFBF-028CD674C27A}"/>
    <cellStyle name="TableHeading" xfId="4476" xr:uid="{59E85D56-5C8B-47B2-A5D8-FB07EA3092E2}"/>
    <cellStyle name="TableHeading 2" xfId="5423" xr:uid="{DB0A83A1-3CC9-4B48-A582-EFAACE898AAD}"/>
    <cellStyle name="TableHighlight" xfId="4477" xr:uid="{AD007B5C-B1F9-46CD-B370-22F20F46CA8B}"/>
    <cellStyle name="TableNote" xfId="4478" xr:uid="{DAB17E46-9B63-4C79-941E-0420D44DE946}"/>
    <cellStyle name="test a style" xfId="4479" xr:uid="{128BEB48-38EA-4C2A-8FDE-37F9C54EE97E}"/>
    <cellStyle name="test a style 2" xfId="4557" xr:uid="{C73581A0-407F-4991-97E8-9B6BCFDD69D1}"/>
    <cellStyle name="Text 1" xfId="4480" xr:uid="{32AAB80B-0423-4B5B-8E71-30CEB7DA28C7}"/>
    <cellStyle name="Text Head 1" xfId="4481" xr:uid="{3742D384-E506-44AC-9F29-EED0DC28D959}"/>
    <cellStyle name="Text Indent A" xfId="4482" xr:uid="{707CE990-9BA3-4E7A-8A87-6623850C3CB6}"/>
    <cellStyle name="Text Indent B" xfId="4483" xr:uid="{54D8D33E-DE98-417D-8A6D-89830FDF67D9}"/>
    <cellStyle name="Text Indent C" xfId="4484" xr:uid="{C3D99236-9F43-48EB-A80A-83DA1EE8C721}"/>
    <cellStyle name="Text Wrap" xfId="4485" xr:uid="{BC43602D-3881-42EB-B587-88BC9BD446F0}"/>
    <cellStyle name="Time" xfId="4486" xr:uid="{E63B60BD-88E0-41D5-93D0-E562D99DD0B4}"/>
    <cellStyle name="Times 10" xfId="4487" xr:uid="{E57A0FB4-FC1B-4CF9-8A27-34F5007D1E44}"/>
    <cellStyle name="Times 12" xfId="4488" xr:uid="{9B6C2856-7781-40BA-BB2C-DFD85FCDCC04}"/>
    <cellStyle name="Times New Roman" xfId="4489" xr:uid="{344B74F0-4D7F-4699-A0F8-8E03E8088A6A}"/>
    <cellStyle name="Title" xfId="4607" builtinId="15" customBuiltin="1"/>
    <cellStyle name="Title 2" xfId="68" xr:uid="{F711D16A-B931-4FB0-82DE-D65A578FE0BB}"/>
    <cellStyle name="Title 2 2" xfId="4490" xr:uid="{3AF5E42E-0254-4B18-A228-8255746C9B5C}"/>
    <cellStyle name="Title 3" xfId="4491" xr:uid="{9652FBA4-26A2-4591-A366-96ADA08A8224}"/>
    <cellStyle name="Title 4" xfId="4652" xr:uid="{CD9F9569-D20B-4691-BD61-3FADE781D861}"/>
    <cellStyle name="title1" xfId="4493" xr:uid="{E4B08EEF-2CFE-419D-86A6-1F2245DDF28B}"/>
    <cellStyle name="title2" xfId="4494" xr:uid="{DA4255E4-EFE5-4205-85F8-9AF489B7D09E}"/>
    <cellStyle name="Title-2" xfId="4492" xr:uid="{1B87602C-07C7-4E14-8F9E-6C4FF1ADEA76}"/>
    <cellStyle name="Titles" xfId="4495" xr:uid="{5E9B88DA-CB58-40CF-B859-3CA09F892FC9}"/>
    <cellStyle name="titre_col" xfId="4496" xr:uid="{5F70BB96-8FAD-4B22-B617-3CC1E92EEF4E}"/>
    <cellStyle name="TOC" xfId="4497" xr:uid="{0417D328-D248-4CFC-902F-B93958ACBB3E}"/>
    <cellStyle name="Total" xfId="4623" builtinId="25" customBuiltin="1"/>
    <cellStyle name="Total 2" xfId="69" xr:uid="{88D57756-AC4C-4339-8B03-48A3E246E25B}"/>
    <cellStyle name="Total 2 10" xfId="4498" xr:uid="{6FE548C1-46CC-4601-B007-1103643C5183}"/>
    <cellStyle name="Total 2 11" xfId="4582" xr:uid="{86C30EB3-730D-4137-BB94-2363B113AF20}"/>
    <cellStyle name="Total 2 11 2" xfId="5447" xr:uid="{B7B62844-9993-475B-B63D-914E3BB4AD95}"/>
    <cellStyle name="Total 2 12" xfId="5473" xr:uid="{89538B4F-209F-4E7E-A611-4B7D3282E457}"/>
    <cellStyle name="Total 2 2" xfId="76" xr:uid="{9AF418D7-A9A9-417A-A886-40A1A6407855}"/>
    <cellStyle name="Total 2 2 2" xfId="93" xr:uid="{FB956A2B-C59D-49CA-A9A2-0650463D94EA}"/>
    <cellStyle name="Total 2 2 2 2" xfId="4602" xr:uid="{6AE56742-46C7-4398-B4FD-C38498962F32}"/>
    <cellStyle name="Total 2 2 2 2 2" xfId="5465" xr:uid="{69353CEF-8E2D-4490-ABDB-71ABFFC72972}"/>
    <cellStyle name="Total 2 2 2 3" xfId="5491" xr:uid="{1D67CFDF-6D1F-4EC4-829D-6EDA899A7EAE}"/>
    <cellStyle name="Total 2 2 3" xfId="4588" xr:uid="{0AE767ED-3756-4A3E-8D6F-47368A440621}"/>
    <cellStyle name="Total 2 2 3 2" xfId="5453" xr:uid="{BDE88C57-9E58-4D3D-86F6-390182A748F3}"/>
    <cellStyle name="Total 2 2 4" xfId="5479" xr:uid="{6AD533BC-4327-45BC-8FCD-4566DBBE8781}"/>
    <cellStyle name="Total 2 3" xfId="87" xr:uid="{380FE874-B480-48F5-BA73-26288A6862EA}"/>
    <cellStyle name="Total 2 3 2" xfId="4596" xr:uid="{A64DD215-D12E-444B-9C73-22EFBBFB7F9D}"/>
    <cellStyle name="Total 2 3 2 2" xfId="5459" xr:uid="{DCFCE8D8-D83A-40FD-9C38-950315D9AF22}"/>
    <cellStyle name="Total 2 3 3" xfId="5485" xr:uid="{66917570-8D54-4AA9-A6EA-E06A4614C944}"/>
    <cellStyle name="Total 2 4" xfId="4499" xr:uid="{B5327D1F-2465-42D3-98C6-86B8E17E7D66}"/>
    <cellStyle name="Total 2 5" xfId="4500" xr:uid="{88460BC0-1C23-47F8-A572-06B703F17BC0}"/>
    <cellStyle name="Total 2 6" xfId="4501" xr:uid="{429D8C80-56CB-47C8-B953-C2BFC7D62B59}"/>
    <cellStyle name="Total 2 7" xfId="4502" xr:uid="{EC3247E4-7C03-4A50-A9C4-282E817C0F04}"/>
    <cellStyle name="Total 2 8" xfId="4503" xr:uid="{B7F565E0-471E-404E-AEC6-A88764E868BC}"/>
    <cellStyle name="Total 2 9" xfId="4504" xr:uid="{C7A89578-FC75-4088-B3C2-DED3EE66A968}"/>
    <cellStyle name="Total 3" xfId="4505" xr:uid="{912B52F1-3930-48AB-9FDC-CE1FD2A4A7AB}"/>
    <cellStyle name="Total 3 2" xfId="5509" xr:uid="{F77EEE98-880F-4BE2-A09D-51D10759378B}"/>
    <cellStyle name="Total 3 3" xfId="5424" xr:uid="{D4C70E3C-6F10-471E-AD75-7140AD3FF27C}"/>
    <cellStyle name="Total Bold" xfId="4506" xr:uid="{45570C03-9691-4504-A7AA-A76EC00B933F}"/>
    <cellStyle name="Total Bold 2" xfId="5510" xr:uid="{1C0E211C-57EE-4156-8F35-E75E089D2DF7}"/>
    <cellStyle name="Total Bold 3" xfId="5425" xr:uid="{CBECF46E-84DE-4457-90F4-70FD050695BD}"/>
    <cellStyle name="Totals" xfId="4507" xr:uid="{E9BE16B0-F6FC-4F85-BA41-F836E91AA6C4}"/>
    <cellStyle name="Totals 2" xfId="4567" xr:uid="{9ED4B7DF-3AF7-4241-904D-8645A739B173}"/>
    <cellStyle name="Totals 2 2" xfId="5437" xr:uid="{FA589D9F-3516-4EFB-A3BD-9D2C64B37CC0}"/>
    <cellStyle name="Totals 3" xfId="5426" xr:uid="{A25322E5-3CFD-4E4C-AE56-45374A30AE67}"/>
    <cellStyle name="Underline_Single" xfId="4508" xr:uid="{2E876AA0-5B49-4AD1-8EA1-F6FE927F05DD}"/>
    <cellStyle name="UnProtectedCalc" xfId="4509" xr:uid="{0D660742-F04D-413D-A9F4-F2F47ACF31F7}"/>
    <cellStyle name="UnProtectedCalc 2" xfId="4558" xr:uid="{0EE5C1B9-F8F6-480E-81BE-3F268530A0E4}"/>
    <cellStyle name="Valuta (0)_Sheet1" xfId="4510" xr:uid="{288735FE-5E54-4E47-A248-A5F84A51C2D8}"/>
    <cellStyle name="Valuta_piv_polio" xfId="4511" xr:uid="{A66FF2A6-AE2C-40AD-A8E1-365469B0108F}"/>
    <cellStyle name="Währung [0]_A17 - 31.03.1998" xfId="4512" xr:uid="{E29A8A55-292A-4944-904D-0BE32B75F44A}"/>
    <cellStyle name="Währung_A17 - 31.03.1998" xfId="4513" xr:uid="{CFA14042-B40E-42AD-AD67-96F9F8CC2D76}"/>
    <cellStyle name="Warburg" xfId="4514" xr:uid="{C6E89C8A-AEF8-4215-ABB8-A495A6449AB2}"/>
    <cellStyle name="Warning Text" xfId="4620" builtinId="11" customBuiltin="1"/>
    <cellStyle name="Warning Text 2" xfId="70" xr:uid="{2CF71194-A27A-40D0-902A-E36067B5589D}"/>
    <cellStyle name="Warning Text 2 2" xfId="4515" xr:uid="{A8A67A65-A564-4167-8D69-B9BE8560BAEA}"/>
    <cellStyle name="Warning Text 2 3" xfId="4516" xr:uid="{E6930CF6-7AA5-419D-8F00-5438B9C216FB}"/>
    <cellStyle name="Warning Text 2 4" xfId="4517" xr:uid="{F60896D7-66AF-4690-B6FB-47D6714D6566}"/>
    <cellStyle name="Warning Text 2 5" xfId="4518" xr:uid="{8B6D3799-4A16-47CC-BDFC-0A784AD81EAE}"/>
    <cellStyle name="Warning Text 2 6" xfId="4519" xr:uid="{62DFAE2D-B6BE-439C-B725-90159BFD20A1}"/>
    <cellStyle name="Warning Text 2 7" xfId="4520" xr:uid="{5E94ED3B-0D7E-43C1-8982-7DB945CFC070}"/>
    <cellStyle name="Warning Text 2 8" xfId="4521" xr:uid="{68099F86-13E7-4478-A452-58D1C9CADC99}"/>
    <cellStyle name="Warning Text 2 9" xfId="4522" xr:uid="{70FB0AEC-077D-4820-AC31-DE13BAFD83DC}"/>
    <cellStyle name="Warning Text 3" xfId="4523" xr:uid="{720D5C2C-C41A-4F03-8207-41B2B3F39EB8}"/>
    <cellStyle name="wild guess" xfId="4524" xr:uid="{DC404245-76A8-4185-8DEE-B8E411A577EF}"/>
    <cellStyle name="Wildguess" xfId="4525" xr:uid="{56AAD5B9-354C-47B9-BDBC-8C0D4E5AAA44}"/>
    <cellStyle name="Year" xfId="4526" xr:uid="{1F20743E-5B1F-4530-9652-BAC748C1389D}"/>
    <cellStyle name="Year Estimate" xfId="4527" xr:uid="{1559D599-3749-4685-8322-64F57821B8D5}"/>
    <cellStyle name="Year, Actual" xfId="4528" xr:uid="{0344B0FA-D7FF-4CE9-BFAA-9906788CD033}"/>
    <cellStyle name="YearE_ Pies " xfId="4529" xr:uid="{CF87C3EF-5016-43FE-89F5-C190F7062856}"/>
    <cellStyle name="YearFormat" xfId="4530" xr:uid="{F9430554-3141-40E3-95E3-576BC1A935D7}"/>
    <cellStyle name="YearFormat 2" xfId="4559" xr:uid="{B5B830D9-3712-4174-868B-6F30C5A3345D}"/>
    <cellStyle name="Yen" xfId="4531" xr:uid="{BC858D39-7286-48D5-A1A1-799220A968DC}"/>
    <cellStyle name="YesNo" xfId="4532" xr:uid="{B8323583-B55B-4FAD-8A92-5B283974CE33}"/>
    <cellStyle name="쬞\?1@" xfId="4533" xr:uid="{89E4934E-8DA2-4290-9EA4-8FF572572053}"/>
    <cellStyle name="千位分隔 2" xfId="4534" xr:uid="{00C23D25-A54B-4734-9F79-0204CC813C10}"/>
    <cellStyle name="千位分隔 2 2" xfId="5427" xr:uid="{C26A9581-804C-485B-A4CF-9B3FD0E08A4D}"/>
    <cellStyle name="常规 2" xfId="4535" xr:uid="{22CBF7A1-A860-4D94-A4EC-0FD0F9EDA2CA}"/>
    <cellStyle name="標準_car_JP" xfId="4536" xr:uid="{F8F5462E-E365-42ED-ACE3-E5FDA3E3C8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Weather!$S$1</c:f>
              <c:strCache>
                <c:ptCount val="1"/>
                <c:pt idx="0">
                  <c:v> VRZ_ResidentialkWh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Weather!$Q$15:$Q$133</c:f>
              <c:numCache>
                <c:formatCode>0</c:formatCode>
                <c:ptCount val="119"/>
                <c:pt idx="0">
                  <c:v>-12.92336956521739</c:v>
                </c:pt>
                <c:pt idx="1">
                  <c:v>-2.5741935483870972</c:v>
                </c:pt>
                <c:pt idx="2">
                  <c:v>6.4416540404040381</c:v>
                </c:pt>
                <c:pt idx="3">
                  <c:v>14.880745341614906</c:v>
                </c:pt>
                <c:pt idx="4">
                  <c:v>16.987083333333334</c:v>
                </c:pt>
                <c:pt idx="5">
                  <c:v>20.63024193548387</c:v>
                </c:pt>
                <c:pt idx="6">
                  <c:v>19.41747311827957</c:v>
                </c:pt>
                <c:pt idx="7">
                  <c:v>18.297420634920634</c:v>
                </c:pt>
                <c:pt idx="8">
                  <c:v>9.0649193548387093</c:v>
                </c:pt>
                <c:pt idx="9">
                  <c:v>5.6076388888888893</c:v>
                </c:pt>
                <c:pt idx="10">
                  <c:v>3.8830352968676944</c:v>
                </c:pt>
                <c:pt idx="11">
                  <c:v>-3.8025537634408595</c:v>
                </c:pt>
                <c:pt idx="12">
                  <c:v>-2.8175287356321834</c:v>
                </c:pt>
                <c:pt idx="13">
                  <c:v>1.3845371669004212</c:v>
                </c:pt>
                <c:pt idx="14">
                  <c:v>4.4672222222222224</c:v>
                </c:pt>
                <c:pt idx="15">
                  <c:v>13.718055555555555</c:v>
                </c:pt>
                <c:pt idx="16">
                  <c:v>18.773472222222221</c:v>
                </c:pt>
                <c:pt idx="17">
                  <c:v>22.104166666666661</c:v>
                </c:pt>
                <c:pt idx="18">
                  <c:v>22.581451612903233</c:v>
                </c:pt>
                <c:pt idx="19">
                  <c:v>17.858055555555556</c:v>
                </c:pt>
                <c:pt idx="20">
                  <c:v>10.864650537634409</c:v>
                </c:pt>
                <c:pt idx="21">
                  <c:v>5.4221626984126994</c:v>
                </c:pt>
                <c:pt idx="22">
                  <c:v>-1.8926075268817202</c:v>
                </c:pt>
                <c:pt idx="23">
                  <c:v>-2.0069892473118278</c:v>
                </c:pt>
                <c:pt idx="24">
                  <c:v>-0.93154761904761851</c:v>
                </c:pt>
                <c:pt idx="25">
                  <c:v>-1.3444892473118288</c:v>
                </c:pt>
                <c:pt idx="26">
                  <c:v>8.3870833333333312</c:v>
                </c:pt>
                <c:pt idx="27">
                  <c:v>12.072311827956989</c:v>
                </c:pt>
                <c:pt idx="28">
                  <c:v>17.620722222222227</c:v>
                </c:pt>
                <c:pt idx="29">
                  <c:v>20.392473118279565</c:v>
                </c:pt>
                <c:pt idx="30">
                  <c:v>19.013680458158017</c:v>
                </c:pt>
                <c:pt idx="31">
                  <c:v>17.194861111111109</c:v>
                </c:pt>
                <c:pt idx="32">
                  <c:v>12.306989247311826</c:v>
                </c:pt>
                <c:pt idx="33">
                  <c:v>3.2462752525252521</c:v>
                </c:pt>
                <c:pt idx="34">
                  <c:v>-5.7520161290322589</c:v>
                </c:pt>
                <c:pt idx="35">
                  <c:v>-6.2108870967741945</c:v>
                </c:pt>
                <c:pt idx="36">
                  <c:v>-2.5891369047619053</c:v>
                </c:pt>
                <c:pt idx="37">
                  <c:v>-0.29932795698924713</c:v>
                </c:pt>
                <c:pt idx="38">
                  <c:v>2.9161111111111113</c:v>
                </c:pt>
                <c:pt idx="39">
                  <c:v>15.888323907275522</c:v>
                </c:pt>
                <c:pt idx="40">
                  <c:v>18.606464646464644</c:v>
                </c:pt>
                <c:pt idx="41">
                  <c:v>22.270923040260342</c:v>
                </c:pt>
                <c:pt idx="42">
                  <c:v>22.136962365591401</c:v>
                </c:pt>
                <c:pt idx="43">
                  <c:v>18.045555555555556</c:v>
                </c:pt>
                <c:pt idx="44">
                  <c:v>8.2325268817204318</c:v>
                </c:pt>
                <c:pt idx="45">
                  <c:v>1.2158333333333335</c:v>
                </c:pt>
                <c:pt idx="46">
                  <c:v>-0.86827956989247324</c:v>
                </c:pt>
                <c:pt idx="47">
                  <c:v>-7.1591397849462366</c:v>
                </c:pt>
                <c:pt idx="48">
                  <c:v>-4.8322916666666682</c:v>
                </c:pt>
                <c:pt idx="49">
                  <c:v>-1.7244623655913986</c:v>
                </c:pt>
                <c:pt idx="50">
                  <c:v>5.778194444444444</c:v>
                </c:pt>
                <c:pt idx="51">
                  <c:v>11.369850028296549</c:v>
                </c:pt>
                <c:pt idx="52">
                  <c:v>17.658055555555553</c:v>
                </c:pt>
                <c:pt idx="53">
                  <c:v>22.374193548387098</c:v>
                </c:pt>
                <c:pt idx="54">
                  <c:v>20.13131720430108</c:v>
                </c:pt>
                <c:pt idx="55">
                  <c:v>16.383888888888887</c:v>
                </c:pt>
                <c:pt idx="56">
                  <c:v>10.194623655913977</c:v>
                </c:pt>
                <c:pt idx="57">
                  <c:v>0.34250000000000014</c:v>
                </c:pt>
                <c:pt idx="58">
                  <c:v>-1.8202956989247305</c:v>
                </c:pt>
                <c:pt idx="59">
                  <c:v>-2.2845430107526878</c:v>
                </c:pt>
                <c:pt idx="60">
                  <c:v>-3.3931034482758609</c:v>
                </c:pt>
                <c:pt idx="61">
                  <c:v>2.4654569892473122</c:v>
                </c:pt>
                <c:pt idx="62">
                  <c:v>5.3441666666666672</c:v>
                </c:pt>
                <c:pt idx="63">
                  <c:v>11.704857910906297</c:v>
                </c:pt>
                <c:pt idx="64">
                  <c:v>19.417874396135264</c:v>
                </c:pt>
                <c:pt idx="65">
                  <c:v>23.964112903225804</c:v>
                </c:pt>
                <c:pt idx="66">
                  <c:v>20.997776148582602</c:v>
                </c:pt>
                <c:pt idx="67">
                  <c:v>15.728182367149758</c:v>
                </c:pt>
                <c:pt idx="68">
                  <c:v>8.7150537634408618</c:v>
                </c:pt>
                <c:pt idx="69">
                  <c:v>5.7899758454106278</c:v>
                </c:pt>
                <c:pt idx="70">
                  <c:v>-0.80336021505376376</c:v>
                </c:pt>
                <c:pt idx="71">
                  <c:v>-3.0807795698924729</c:v>
                </c:pt>
                <c:pt idx="72">
                  <c:v>-5.3376488095238086</c:v>
                </c:pt>
                <c:pt idx="73">
                  <c:v>2.1097942964001866</c:v>
                </c:pt>
                <c:pt idx="74">
                  <c:v>7.3401388888888865</c:v>
                </c:pt>
                <c:pt idx="75">
                  <c:v>13.049417562724015</c:v>
                </c:pt>
                <c:pt idx="76">
                  <c:v>20.055833333333332</c:v>
                </c:pt>
                <c:pt idx="77">
                  <c:v>20.221774193548388</c:v>
                </c:pt>
                <c:pt idx="78">
                  <c:v>22.58266129032258</c:v>
                </c:pt>
                <c:pt idx="79">
                  <c:v>16.975833333333334</c:v>
                </c:pt>
                <c:pt idx="80">
                  <c:v>13.09072580645161</c:v>
                </c:pt>
                <c:pt idx="81">
                  <c:v>3.122913216011042</c:v>
                </c:pt>
                <c:pt idx="82">
                  <c:v>0.80497311827956974</c:v>
                </c:pt>
                <c:pt idx="83">
                  <c:v>-8.6287634408602152</c:v>
                </c:pt>
                <c:pt idx="84">
                  <c:v>-4.7446428571428587</c:v>
                </c:pt>
                <c:pt idx="85">
                  <c:v>0.42836021505376332</c:v>
                </c:pt>
                <c:pt idx="86">
                  <c:v>6.1888888888888882</c:v>
                </c:pt>
                <c:pt idx="87">
                  <c:v>15.065725806451612</c:v>
                </c:pt>
                <c:pt idx="88">
                  <c:v>18.03075013875014</c:v>
                </c:pt>
                <c:pt idx="89">
                  <c:v>21.15659155778647</c:v>
                </c:pt>
                <c:pt idx="90">
                  <c:v>21.363978494623655</c:v>
                </c:pt>
                <c:pt idx="91">
                  <c:v>16.37402777777778</c:v>
                </c:pt>
                <c:pt idx="92">
                  <c:v>9.3272381954184187</c:v>
                </c:pt>
                <c:pt idx="93">
                  <c:v>4.2722222222222213</c:v>
                </c:pt>
                <c:pt idx="94">
                  <c:v>-0.87486559139784936</c:v>
                </c:pt>
                <c:pt idx="95">
                  <c:v>-1.4861559139784948</c:v>
                </c:pt>
                <c:pt idx="96">
                  <c:v>-2.4797619047619048</c:v>
                </c:pt>
                <c:pt idx="97">
                  <c:v>0.22473118279569884</c:v>
                </c:pt>
                <c:pt idx="98">
                  <c:v>7.9533333333333323</c:v>
                </c:pt>
                <c:pt idx="99">
                  <c:v>12.986102150537635</c:v>
                </c:pt>
                <c:pt idx="100">
                  <c:v>18.851388888888884</c:v>
                </c:pt>
                <c:pt idx="101">
                  <c:v>21.218817204301072</c:v>
                </c:pt>
                <c:pt idx="102">
                  <c:v>19.348544880785411</c:v>
                </c:pt>
                <c:pt idx="103">
                  <c:v>17.433055555555555</c:v>
                </c:pt>
                <c:pt idx="104">
                  <c:v>11.553225806451612</c:v>
                </c:pt>
                <c:pt idx="105">
                  <c:v>2.9802294685990343</c:v>
                </c:pt>
                <c:pt idx="106">
                  <c:v>2.2038978494623653</c:v>
                </c:pt>
                <c:pt idx="107">
                  <c:v>-2.5482526881720431</c:v>
                </c:pt>
                <c:pt idx="108">
                  <c:v>-0.72298850574712648</c:v>
                </c:pt>
                <c:pt idx="109">
                  <c:v>3.1576612903225802</c:v>
                </c:pt>
                <c:pt idx="110">
                  <c:v>7.7234027777777765</c:v>
                </c:pt>
                <c:pt idx="111">
                  <c:v>15.455779569892472</c:v>
                </c:pt>
                <c:pt idx="112">
                  <c:v>18.805138888888891</c:v>
                </c:pt>
                <c:pt idx="113">
                  <c:v>21.778763440860214</c:v>
                </c:pt>
                <c:pt idx="114">
                  <c:v>20.479569892473116</c:v>
                </c:pt>
                <c:pt idx="115">
                  <c:v>17.709999999999997</c:v>
                </c:pt>
                <c:pt idx="116">
                  <c:v>10.453494623655915</c:v>
                </c:pt>
                <c:pt idx="117">
                  <c:v>5.790277777777777</c:v>
                </c:pt>
                <c:pt idx="118">
                  <c:v>-1.3088709677419357</c:v>
                </c:pt>
              </c:numCache>
            </c:numRef>
          </c:xVal>
          <c:yVal>
            <c:numRef>
              <c:f>Weather!$S$15:$S$133</c:f>
              <c:numCache>
                <c:formatCode>_-* #,##0_-;\-* #,##0_-;_-* "-"??_-;_-@_-</c:formatCode>
                <c:ptCount val="119"/>
                <c:pt idx="0">
                  <c:v>83265450.286840394</c:v>
                </c:pt>
                <c:pt idx="1">
                  <c:v>76468818.650069907</c:v>
                </c:pt>
                <c:pt idx="2">
                  <c:v>62068290.857111</c:v>
                </c:pt>
                <c:pt idx="3">
                  <c:v>59619576.282069899</c:v>
                </c:pt>
                <c:pt idx="4">
                  <c:v>62711905.860890299</c:v>
                </c:pt>
                <c:pt idx="5">
                  <c:v>85181893.357939899</c:v>
                </c:pt>
                <c:pt idx="6">
                  <c:v>78690913.346860304</c:v>
                </c:pt>
                <c:pt idx="7">
                  <c:v>73014212.072839707</c:v>
                </c:pt>
                <c:pt idx="8">
                  <c:v>61945597.962299503</c:v>
                </c:pt>
                <c:pt idx="9">
                  <c:v>64329731.947440699</c:v>
                </c:pt>
                <c:pt idx="10">
                  <c:v>74468220.542759702</c:v>
                </c:pt>
                <c:pt idx="11">
                  <c:v>88417142.515439898</c:v>
                </c:pt>
                <c:pt idx="12">
                  <c:v>79983170.206210807</c:v>
                </c:pt>
                <c:pt idx="13">
                  <c:v>76355905.372309387</c:v>
                </c:pt>
                <c:pt idx="14">
                  <c:v>67336166.686170697</c:v>
                </c:pt>
                <c:pt idx="15">
                  <c:v>67040814.563070007</c:v>
                </c:pt>
                <c:pt idx="16">
                  <c:v>76928534.813409895</c:v>
                </c:pt>
                <c:pt idx="17">
                  <c:v>101238961.112638</c:v>
                </c:pt>
                <c:pt idx="18">
                  <c:v>107677061.45640899</c:v>
                </c:pt>
                <c:pt idx="19">
                  <c:v>74880248.752480209</c:v>
                </c:pt>
                <c:pt idx="20">
                  <c:v>64921187.7292106</c:v>
                </c:pt>
                <c:pt idx="21">
                  <c:v>67863588.85773921</c:v>
                </c:pt>
                <c:pt idx="22">
                  <c:v>86578607.069630504</c:v>
                </c:pt>
                <c:pt idx="23">
                  <c:v>84308414.787390903</c:v>
                </c:pt>
                <c:pt idx="24">
                  <c:v>72696234.229539901</c:v>
                </c:pt>
                <c:pt idx="25">
                  <c:v>79348479.056229696</c:v>
                </c:pt>
                <c:pt idx="26">
                  <c:v>63587547.178330302</c:v>
                </c:pt>
                <c:pt idx="27">
                  <c:v>62824196.251159802</c:v>
                </c:pt>
                <c:pt idx="28">
                  <c:v>70056804.195859596</c:v>
                </c:pt>
                <c:pt idx="29">
                  <c:v>87121005.357809603</c:v>
                </c:pt>
                <c:pt idx="30">
                  <c:v>80813037.9476697</c:v>
                </c:pt>
                <c:pt idx="31">
                  <c:v>74005450.480450496</c:v>
                </c:pt>
                <c:pt idx="32">
                  <c:v>63690616.818190597</c:v>
                </c:pt>
                <c:pt idx="33">
                  <c:v>71874134.928140312</c:v>
                </c:pt>
                <c:pt idx="34">
                  <c:v>91645822.887368903</c:v>
                </c:pt>
                <c:pt idx="35">
                  <c:v>92647212.240520403</c:v>
                </c:pt>
                <c:pt idx="36">
                  <c:v>75788112.29992041</c:v>
                </c:pt>
                <c:pt idx="37">
                  <c:v>77574339.804849297</c:v>
                </c:pt>
                <c:pt idx="38">
                  <c:v>71453134.588280007</c:v>
                </c:pt>
                <c:pt idx="39">
                  <c:v>65635997.683669604</c:v>
                </c:pt>
                <c:pt idx="40">
                  <c:v>75302537.506399795</c:v>
                </c:pt>
                <c:pt idx="41">
                  <c:v>105593928.35262999</c:v>
                </c:pt>
                <c:pt idx="42">
                  <c:v>102916891.02043</c:v>
                </c:pt>
                <c:pt idx="43">
                  <c:v>81047969.233560294</c:v>
                </c:pt>
                <c:pt idx="44">
                  <c:v>68357604.438541189</c:v>
                </c:pt>
                <c:pt idx="45">
                  <c:v>76196203.675051197</c:v>
                </c:pt>
                <c:pt idx="46">
                  <c:v>87186092.695300102</c:v>
                </c:pt>
                <c:pt idx="47">
                  <c:v>93869856.192049995</c:v>
                </c:pt>
                <c:pt idx="48">
                  <c:v>81233251.752229691</c:v>
                </c:pt>
                <c:pt idx="49">
                  <c:v>82243137.610608697</c:v>
                </c:pt>
                <c:pt idx="50">
                  <c:v>68498819.614160195</c:v>
                </c:pt>
                <c:pt idx="51">
                  <c:v>63431446.939519897</c:v>
                </c:pt>
                <c:pt idx="52">
                  <c:v>70623856.390441298</c:v>
                </c:pt>
                <c:pt idx="53">
                  <c:v>108301764.009371</c:v>
                </c:pt>
                <c:pt idx="54">
                  <c:v>90507033.205380812</c:v>
                </c:pt>
                <c:pt idx="55">
                  <c:v>66249670.998059496</c:v>
                </c:pt>
                <c:pt idx="56">
                  <c:v>65112708.9208197</c:v>
                </c:pt>
                <c:pt idx="57">
                  <c:v>76919126.331799701</c:v>
                </c:pt>
                <c:pt idx="58">
                  <c:v>88768938.471709996</c:v>
                </c:pt>
                <c:pt idx="59">
                  <c:v>86693129.758341104</c:v>
                </c:pt>
                <c:pt idx="60">
                  <c:v>80469886.712630197</c:v>
                </c:pt>
                <c:pt idx="61">
                  <c:v>80071104.757969111</c:v>
                </c:pt>
                <c:pt idx="62">
                  <c:v>74360940.880131409</c:v>
                </c:pt>
                <c:pt idx="63">
                  <c:v>76660224.034160897</c:v>
                </c:pt>
                <c:pt idx="64">
                  <c:v>91676340.201578692</c:v>
                </c:pt>
                <c:pt idx="65">
                  <c:v>128705525.09886</c:v>
                </c:pt>
                <c:pt idx="66">
                  <c:v>105712174.93870001</c:v>
                </c:pt>
                <c:pt idx="67">
                  <c:v>71769234.842220306</c:v>
                </c:pt>
                <c:pt idx="68">
                  <c:v>70852401.622689798</c:v>
                </c:pt>
                <c:pt idx="69">
                  <c:v>74784670.431370392</c:v>
                </c:pt>
                <c:pt idx="70">
                  <c:v>92392387.981232002</c:v>
                </c:pt>
                <c:pt idx="71">
                  <c:v>93690437.657649398</c:v>
                </c:pt>
                <c:pt idx="72">
                  <c:v>86622305.799620301</c:v>
                </c:pt>
                <c:pt idx="73">
                  <c:v>82002172.769920394</c:v>
                </c:pt>
                <c:pt idx="74">
                  <c:v>70735782.267010897</c:v>
                </c:pt>
                <c:pt idx="75">
                  <c:v>74465208.395140395</c:v>
                </c:pt>
                <c:pt idx="76">
                  <c:v>92271395.157950997</c:v>
                </c:pt>
                <c:pt idx="77">
                  <c:v>98243556.1504094</c:v>
                </c:pt>
                <c:pt idx="78">
                  <c:v>117678432.39711</c:v>
                </c:pt>
                <c:pt idx="79">
                  <c:v>75046710.733019903</c:v>
                </c:pt>
                <c:pt idx="80">
                  <c:v>70038457.550959796</c:v>
                </c:pt>
                <c:pt idx="81">
                  <c:v>75996650.6820914</c:v>
                </c:pt>
                <c:pt idx="82">
                  <c:v>89448908.011650696</c:v>
                </c:pt>
                <c:pt idx="83">
                  <c:v>102401228.86625101</c:v>
                </c:pt>
                <c:pt idx="84">
                  <c:v>86015626.173900694</c:v>
                </c:pt>
                <c:pt idx="85">
                  <c:v>85096252.480660394</c:v>
                </c:pt>
                <c:pt idx="86">
                  <c:v>71751446.942620203</c:v>
                </c:pt>
                <c:pt idx="87">
                  <c:v>71175228.628490701</c:v>
                </c:pt>
                <c:pt idx="88">
                  <c:v>80728784.847711101</c:v>
                </c:pt>
                <c:pt idx="89">
                  <c:v>103253476.02421001</c:v>
                </c:pt>
                <c:pt idx="90">
                  <c:v>106491071.87694</c:v>
                </c:pt>
                <c:pt idx="91">
                  <c:v>76063744.821371093</c:v>
                </c:pt>
                <c:pt idx="92">
                  <c:v>68731222.298929602</c:v>
                </c:pt>
                <c:pt idx="93">
                  <c:v>74754980.219990104</c:v>
                </c:pt>
                <c:pt idx="94">
                  <c:v>91246327.644578993</c:v>
                </c:pt>
                <c:pt idx="95">
                  <c:v>89730575.557299003</c:v>
                </c:pt>
                <c:pt idx="96">
                  <c:v>81729218.794429809</c:v>
                </c:pt>
                <c:pt idx="97">
                  <c:v>83825168.552348897</c:v>
                </c:pt>
                <c:pt idx="98">
                  <c:v>70735646.642241701</c:v>
                </c:pt>
                <c:pt idx="99">
                  <c:v>69187439.516359895</c:v>
                </c:pt>
                <c:pt idx="100">
                  <c:v>84004642.685399607</c:v>
                </c:pt>
                <c:pt idx="101">
                  <c:v>107257787.27367</c:v>
                </c:pt>
                <c:pt idx="102">
                  <c:v>92215289.093660206</c:v>
                </c:pt>
                <c:pt idx="103">
                  <c:v>80438758.020239592</c:v>
                </c:pt>
                <c:pt idx="104">
                  <c:v>74930981.172800392</c:v>
                </c:pt>
                <c:pt idx="105">
                  <c:v>83452552.551058397</c:v>
                </c:pt>
                <c:pt idx="106">
                  <c:v>91116920.138020605</c:v>
                </c:pt>
                <c:pt idx="107">
                  <c:v>97300828.217391953</c:v>
                </c:pt>
                <c:pt idx="108">
                  <c:v>83956969.445356518</c:v>
                </c:pt>
                <c:pt idx="109">
                  <c:v>83197430.367285669</c:v>
                </c:pt>
                <c:pt idx="110">
                  <c:v>72744099.262740344</c:v>
                </c:pt>
                <c:pt idx="111">
                  <c:v>73385195.572191358</c:v>
                </c:pt>
                <c:pt idx="112">
                  <c:v>90228784.63827379</c:v>
                </c:pt>
                <c:pt idx="113">
                  <c:v>115596722.94164799</c:v>
                </c:pt>
                <c:pt idx="114">
                  <c:v>106004929.9763329</c:v>
                </c:pt>
                <c:pt idx="115">
                  <c:v>82633298.018076941</c:v>
                </c:pt>
                <c:pt idx="116">
                  <c:v>72908134.109043688</c:v>
                </c:pt>
                <c:pt idx="117">
                  <c:v>77429583.459883168</c:v>
                </c:pt>
                <c:pt idx="118">
                  <c:v>97582800.254233494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C5-4ACA-B13F-C265865E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Weather!$X$1</c:f>
              <c:strCache>
                <c:ptCount val="1"/>
                <c:pt idx="0">
                  <c:v> VRZ_LargeUsekWh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Weather!$Q$15:$Q$133</c:f>
              <c:numCache>
                <c:formatCode>0</c:formatCode>
                <c:ptCount val="119"/>
                <c:pt idx="0">
                  <c:v>-12.92336956521739</c:v>
                </c:pt>
                <c:pt idx="1">
                  <c:v>-2.5741935483870972</c:v>
                </c:pt>
                <c:pt idx="2">
                  <c:v>6.4416540404040381</c:v>
                </c:pt>
                <c:pt idx="3">
                  <c:v>14.880745341614906</c:v>
                </c:pt>
                <c:pt idx="4">
                  <c:v>16.987083333333334</c:v>
                </c:pt>
                <c:pt idx="5">
                  <c:v>20.63024193548387</c:v>
                </c:pt>
                <c:pt idx="6">
                  <c:v>19.41747311827957</c:v>
                </c:pt>
                <c:pt idx="7">
                  <c:v>18.297420634920634</c:v>
                </c:pt>
                <c:pt idx="8">
                  <c:v>9.0649193548387093</c:v>
                </c:pt>
                <c:pt idx="9">
                  <c:v>5.6076388888888893</c:v>
                </c:pt>
                <c:pt idx="10">
                  <c:v>3.8830352968676944</c:v>
                </c:pt>
                <c:pt idx="11">
                  <c:v>-3.8025537634408595</c:v>
                </c:pt>
                <c:pt idx="12">
                  <c:v>-2.8175287356321834</c:v>
                </c:pt>
                <c:pt idx="13">
                  <c:v>1.3845371669004212</c:v>
                </c:pt>
                <c:pt idx="14">
                  <c:v>4.4672222222222224</c:v>
                </c:pt>
                <c:pt idx="15">
                  <c:v>13.718055555555555</c:v>
                </c:pt>
                <c:pt idx="16">
                  <c:v>18.773472222222221</c:v>
                </c:pt>
                <c:pt idx="17">
                  <c:v>22.104166666666661</c:v>
                </c:pt>
                <c:pt idx="18">
                  <c:v>22.581451612903233</c:v>
                </c:pt>
                <c:pt idx="19">
                  <c:v>17.858055555555556</c:v>
                </c:pt>
                <c:pt idx="20">
                  <c:v>10.864650537634409</c:v>
                </c:pt>
                <c:pt idx="21">
                  <c:v>5.4221626984126994</c:v>
                </c:pt>
                <c:pt idx="22">
                  <c:v>-1.8926075268817202</c:v>
                </c:pt>
                <c:pt idx="23">
                  <c:v>-2.0069892473118278</c:v>
                </c:pt>
                <c:pt idx="24">
                  <c:v>-0.93154761904761851</c:v>
                </c:pt>
                <c:pt idx="25">
                  <c:v>-1.3444892473118288</c:v>
                </c:pt>
                <c:pt idx="26">
                  <c:v>8.3870833333333312</c:v>
                </c:pt>
                <c:pt idx="27">
                  <c:v>12.072311827956989</c:v>
                </c:pt>
                <c:pt idx="28">
                  <c:v>17.620722222222227</c:v>
                </c:pt>
                <c:pt idx="29">
                  <c:v>20.392473118279565</c:v>
                </c:pt>
                <c:pt idx="30">
                  <c:v>19.013680458158017</c:v>
                </c:pt>
                <c:pt idx="31">
                  <c:v>17.194861111111109</c:v>
                </c:pt>
                <c:pt idx="32">
                  <c:v>12.306989247311826</c:v>
                </c:pt>
                <c:pt idx="33">
                  <c:v>3.2462752525252521</c:v>
                </c:pt>
                <c:pt idx="34">
                  <c:v>-5.7520161290322589</c:v>
                </c:pt>
                <c:pt idx="35">
                  <c:v>-6.2108870967741945</c:v>
                </c:pt>
                <c:pt idx="36">
                  <c:v>-2.5891369047619053</c:v>
                </c:pt>
                <c:pt idx="37">
                  <c:v>-0.29932795698924713</c:v>
                </c:pt>
                <c:pt idx="38">
                  <c:v>2.9161111111111113</c:v>
                </c:pt>
                <c:pt idx="39">
                  <c:v>15.888323907275522</c:v>
                </c:pt>
                <c:pt idx="40">
                  <c:v>18.606464646464644</c:v>
                </c:pt>
                <c:pt idx="41">
                  <c:v>22.270923040260342</c:v>
                </c:pt>
                <c:pt idx="42">
                  <c:v>22.136962365591401</c:v>
                </c:pt>
                <c:pt idx="43">
                  <c:v>18.045555555555556</c:v>
                </c:pt>
                <c:pt idx="44">
                  <c:v>8.2325268817204318</c:v>
                </c:pt>
                <c:pt idx="45">
                  <c:v>1.2158333333333335</c:v>
                </c:pt>
                <c:pt idx="46">
                  <c:v>-0.86827956989247324</c:v>
                </c:pt>
                <c:pt idx="47">
                  <c:v>-7.1591397849462366</c:v>
                </c:pt>
                <c:pt idx="48">
                  <c:v>-4.8322916666666682</c:v>
                </c:pt>
                <c:pt idx="49">
                  <c:v>-1.7244623655913986</c:v>
                </c:pt>
                <c:pt idx="50">
                  <c:v>5.778194444444444</c:v>
                </c:pt>
                <c:pt idx="51">
                  <c:v>11.369850028296549</c:v>
                </c:pt>
                <c:pt idx="52">
                  <c:v>17.658055555555553</c:v>
                </c:pt>
                <c:pt idx="53">
                  <c:v>22.374193548387098</c:v>
                </c:pt>
                <c:pt idx="54">
                  <c:v>20.13131720430108</c:v>
                </c:pt>
                <c:pt idx="55">
                  <c:v>16.383888888888887</c:v>
                </c:pt>
                <c:pt idx="56">
                  <c:v>10.194623655913977</c:v>
                </c:pt>
                <c:pt idx="57">
                  <c:v>0.34250000000000014</c:v>
                </c:pt>
                <c:pt idx="58">
                  <c:v>-1.8202956989247305</c:v>
                </c:pt>
                <c:pt idx="59">
                  <c:v>-2.2845430107526878</c:v>
                </c:pt>
                <c:pt idx="60">
                  <c:v>-3.3931034482758609</c:v>
                </c:pt>
                <c:pt idx="61">
                  <c:v>2.4654569892473122</c:v>
                </c:pt>
                <c:pt idx="62">
                  <c:v>5.3441666666666672</c:v>
                </c:pt>
                <c:pt idx="63">
                  <c:v>11.704857910906297</c:v>
                </c:pt>
                <c:pt idx="64">
                  <c:v>19.417874396135264</c:v>
                </c:pt>
                <c:pt idx="65">
                  <c:v>23.964112903225804</c:v>
                </c:pt>
                <c:pt idx="66">
                  <c:v>20.997776148582602</c:v>
                </c:pt>
                <c:pt idx="67">
                  <c:v>15.728182367149758</c:v>
                </c:pt>
                <c:pt idx="68">
                  <c:v>8.7150537634408618</c:v>
                </c:pt>
                <c:pt idx="69">
                  <c:v>5.7899758454106278</c:v>
                </c:pt>
                <c:pt idx="70">
                  <c:v>-0.80336021505376376</c:v>
                </c:pt>
                <c:pt idx="71">
                  <c:v>-3.0807795698924729</c:v>
                </c:pt>
                <c:pt idx="72">
                  <c:v>-5.3376488095238086</c:v>
                </c:pt>
                <c:pt idx="73">
                  <c:v>2.1097942964001866</c:v>
                </c:pt>
                <c:pt idx="74">
                  <c:v>7.3401388888888865</c:v>
                </c:pt>
                <c:pt idx="75">
                  <c:v>13.049417562724015</c:v>
                </c:pt>
                <c:pt idx="76">
                  <c:v>20.055833333333332</c:v>
                </c:pt>
                <c:pt idx="77">
                  <c:v>20.221774193548388</c:v>
                </c:pt>
                <c:pt idx="78">
                  <c:v>22.58266129032258</c:v>
                </c:pt>
                <c:pt idx="79">
                  <c:v>16.975833333333334</c:v>
                </c:pt>
                <c:pt idx="80">
                  <c:v>13.09072580645161</c:v>
                </c:pt>
                <c:pt idx="81">
                  <c:v>3.122913216011042</c:v>
                </c:pt>
                <c:pt idx="82">
                  <c:v>0.80497311827956974</c:v>
                </c:pt>
                <c:pt idx="83">
                  <c:v>-8.6287634408602152</c:v>
                </c:pt>
                <c:pt idx="84">
                  <c:v>-4.7446428571428587</c:v>
                </c:pt>
                <c:pt idx="85">
                  <c:v>0.42836021505376332</c:v>
                </c:pt>
                <c:pt idx="86">
                  <c:v>6.1888888888888882</c:v>
                </c:pt>
                <c:pt idx="87">
                  <c:v>15.065725806451612</c:v>
                </c:pt>
                <c:pt idx="88">
                  <c:v>18.03075013875014</c:v>
                </c:pt>
                <c:pt idx="89">
                  <c:v>21.15659155778647</c:v>
                </c:pt>
                <c:pt idx="90">
                  <c:v>21.363978494623655</c:v>
                </c:pt>
                <c:pt idx="91">
                  <c:v>16.37402777777778</c:v>
                </c:pt>
                <c:pt idx="92">
                  <c:v>9.3272381954184187</c:v>
                </c:pt>
                <c:pt idx="93">
                  <c:v>4.2722222222222213</c:v>
                </c:pt>
                <c:pt idx="94">
                  <c:v>-0.87486559139784936</c:v>
                </c:pt>
                <c:pt idx="95">
                  <c:v>-1.4861559139784948</c:v>
                </c:pt>
                <c:pt idx="96">
                  <c:v>-2.4797619047619048</c:v>
                </c:pt>
                <c:pt idx="97">
                  <c:v>0.22473118279569884</c:v>
                </c:pt>
                <c:pt idx="98">
                  <c:v>7.9533333333333323</c:v>
                </c:pt>
                <c:pt idx="99">
                  <c:v>12.986102150537635</c:v>
                </c:pt>
                <c:pt idx="100">
                  <c:v>18.851388888888884</c:v>
                </c:pt>
                <c:pt idx="101">
                  <c:v>21.218817204301072</c:v>
                </c:pt>
                <c:pt idx="102">
                  <c:v>19.348544880785411</c:v>
                </c:pt>
                <c:pt idx="103">
                  <c:v>17.433055555555555</c:v>
                </c:pt>
                <c:pt idx="104">
                  <c:v>11.553225806451612</c:v>
                </c:pt>
                <c:pt idx="105">
                  <c:v>2.9802294685990343</c:v>
                </c:pt>
                <c:pt idx="106">
                  <c:v>2.2038978494623653</c:v>
                </c:pt>
                <c:pt idx="107">
                  <c:v>-2.5482526881720431</c:v>
                </c:pt>
                <c:pt idx="108">
                  <c:v>-0.72298850574712648</c:v>
                </c:pt>
                <c:pt idx="109">
                  <c:v>3.1576612903225802</c:v>
                </c:pt>
                <c:pt idx="110">
                  <c:v>7.7234027777777765</c:v>
                </c:pt>
                <c:pt idx="111">
                  <c:v>15.455779569892472</c:v>
                </c:pt>
                <c:pt idx="112">
                  <c:v>18.805138888888891</c:v>
                </c:pt>
                <c:pt idx="113">
                  <c:v>21.778763440860214</c:v>
                </c:pt>
                <c:pt idx="114">
                  <c:v>20.479569892473116</c:v>
                </c:pt>
                <c:pt idx="115">
                  <c:v>17.709999999999997</c:v>
                </c:pt>
                <c:pt idx="116">
                  <c:v>10.453494623655915</c:v>
                </c:pt>
                <c:pt idx="117">
                  <c:v>5.790277777777777</c:v>
                </c:pt>
                <c:pt idx="118">
                  <c:v>-1.3088709677419357</c:v>
                </c:pt>
              </c:numCache>
            </c:numRef>
          </c:xVal>
          <c:yVal>
            <c:numRef>
              <c:f>Weather!$X$15:$X$133</c:f>
              <c:numCache>
                <c:formatCode>_-* #,##0_-;\-* #,##0_-;_-* "-"??_-;_-@_-</c:formatCode>
                <c:ptCount val="119"/>
                <c:pt idx="0">
                  <c:v>14863490.869999999</c:v>
                </c:pt>
                <c:pt idx="1">
                  <c:v>19187596.68</c:v>
                </c:pt>
                <c:pt idx="2">
                  <c:v>17533197.91</c:v>
                </c:pt>
                <c:pt idx="3">
                  <c:v>19684631.280000001</c:v>
                </c:pt>
                <c:pt idx="4">
                  <c:v>15955353.99</c:v>
                </c:pt>
                <c:pt idx="5">
                  <c:v>16465696.24</c:v>
                </c:pt>
                <c:pt idx="6">
                  <c:v>16025808.970000001</c:v>
                </c:pt>
                <c:pt idx="7">
                  <c:v>17151862.620000001</c:v>
                </c:pt>
                <c:pt idx="8">
                  <c:v>21423639.010000002</c:v>
                </c:pt>
                <c:pt idx="9">
                  <c:v>19236085.850000001</c:v>
                </c:pt>
                <c:pt idx="10">
                  <c:v>17144215.57</c:v>
                </c:pt>
                <c:pt idx="11">
                  <c:v>17490710.600000001</c:v>
                </c:pt>
                <c:pt idx="12">
                  <c:v>18519183.879999999</c:v>
                </c:pt>
                <c:pt idx="13">
                  <c:v>19099924.41</c:v>
                </c:pt>
                <c:pt idx="14">
                  <c:v>19023460.219999999</c:v>
                </c:pt>
                <c:pt idx="15">
                  <c:v>17973558.655000001</c:v>
                </c:pt>
                <c:pt idx="16">
                  <c:v>15841997.175000001</c:v>
                </c:pt>
                <c:pt idx="17">
                  <c:v>17655129.93</c:v>
                </c:pt>
                <c:pt idx="18">
                  <c:v>19003702.379999999</c:v>
                </c:pt>
                <c:pt idx="19">
                  <c:v>17477708.690000001</c:v>
                </c:pt>
                <c:pt idx="20">
                  <c:v>17590250.260000002</c:v>
                </c:pt>
                <c:pt idx="21">
                  <c:v>17917428.109999999</c:v>
                </c:pt>
                <c:pt idx="22">
                  <c:v>18207464.780000001</c:v>
                </c:pt>
                <c:pt idx="23">
                  <c:v>18270562.609999999</c:v>
                </c:pt>
                <c:pt idx="24">
                  <c:v>16672724.49</c:v>
                </c:pt>
                <c:pt idx="25">
                  <c:v>19850014.969999999</c:v>
                </c:pt>
                <c:pt idx="26">
                  <c:v>16922642.52</c:v>
                </c:pt>
                <c:pt idx="27">
                  <c:v>21192923.600000001</c:v>
                </c:pt>
                <c:pt idx="28">
                  <c:v>19298915.719999999</c:v>
                </c:pt>
                <c:pt idx="29">
                  <c:v>17881555.149999999</c:v>
                </c:pt>
                <c:pt idx="30">
                  <c:v>18134834.859999999</c:v>
                </c:pt>
                <c:pt idx="31">
                  <c:v>17150440.91</c:v>
                </c:pt>
                <c:pt idx="32">
                  <c:v>18364591.350000001</c:v>
                </c:pt>
                <c:pt idx="33">
                  <c:v>20626641.460000001</c:v>
                </c:pt>
                <c:pt idx="34">
                  <c:v>19493763.489999998</c:v>
                </c:pt>
                <c:pt idx="35">
                  <c:v>21572042.25</c:v>
                </c:pt>
                <c:pt idx="36">
                  <c:v>19725451.09</c:v>
                </c:pt>
                <c:pt idx="37">
                  <c:v>22735788.82</c:v>
                </c:pt>
                <c:pt idx="38">
                  <c:v>21800508.280000001</c:v>
                </c:pt>
                <c:pt idx="39">
                  <c:v>21315121.09</c:v>
                </c:pt>
                <c:pt idx="40">
                  <c:v>18717671.82</c:v>
                </c:pt>
                <c:pt idx="41">
                  <c:v>19660221.77</c:v>
                </c:pt>
                <c:pt idx="42">
                  <c:v>20602666.219999999</c:v>
                </c:pt>
                <c:pt idx="43">
                  <c:v>19924705.140000001</c:v>
                </c:pt>
                <c:pt idx="44">
                  <c:v>22412679.629999999</c:v>
                </c:pt>
                <c:pt idx="45">
                  <c:v>20805660.75</c:v>
                </c:pt>
                <c:pt idx="46">
                  <c:v>20948568.609999999</c:v>
                </c:pt>
                <c:pt idx="47">
                  <c:v>21780539.02</c:v>
                </c:pt>
                <c:pt idx="48">
                  <c:v>19965323.850000001</c:v>
                </c:pt>
                <c:pt idx="49">
                  <c:v>20924316.300000001</c:v>
                </c:pt>
                <c:pt idx="50">
                  <c:v>21160766.530000001</c:v>
                </c:pt>
                <c:pt idx="51">
                  <c:v>22039904.699999999</c:v>
                </c:pt>
                <c:pt idx="52">
                  <c:v>22716840.379999999</c:v>
                </c:pt>
                <c:pt idx="53">
                  <c:v>22748010.800000001</c:v>
                </c:pt>
                <c:pt idx="54">
                  <c:v>19108256.09</c:v>
                </c:pt>
                <c:pt idx="55">
                  <c:v>21212391.57</c:v>
                </c:pt>
                <c:pt idx="56">
                  <c:v>23448041.050000001</c:v>
                </c:pt>
                <c:pt idx="57">
                  <c:v>22063342.010000002</c:v>
                </c:pt>
                <c:pt idx="58">
                  <c:v>22424651.760000002</c:v>
                </c:pt>
                <c:pt idx="59">
                  <c:v>23260771.809999999</c:v>
                </c:pt>
                <c:pt idx="60">
                  <c:v>21400935.870000001</c:v>
                </c:pt>
                <c:pt idx="61">
                  <c:v>23276678.73</c:v>
                </c:pt>
                <c:pt idx="62">
                  <c:v>19404320.359999999</c:v>
                </c:pt>
                <c:pt idx="63">
                  <c:v>20699805.870000001</c:v>
                </c:pt>
                <c:pt idx="64">
                  <c:v>22662289.079999998</c:v>
                </c:pt>
                <c:pt idx="65">
                  <c:v>23358904.350000001</c:v>
                </c:pt>
                <c:pt idx="66">
                  <c:v>21029264.780000001</c:v>
                </c:pt>
                <c:pt idx="67">
                  <c:v>21615569.670000002</c:v>
                </c:pt>
                <c:pt idx="68">
                  <c:v>22624518.030000001</c:v>
                </c:pt>
                <c:pt idx="69">
                  <c:v>22443866.800000001</c:v>
                </c:pt>
                <c:pt idx="70">
                  <c:v>22465660.68</c:v>
                </c:pt>
                <c:pt idx="71">
                  <c:v>24681052.510000002</c:v>
                </c:pt>
                <c:pt idx="72">
                  <c:v>22611355.539999999</c:v>
                </c:pt>
                <c:pt idx="73">
                  <c:v>24711431.16</c:v>
                </c:pt>
                <c:pt idx="74">
                  <c:v>22718466.719999999</c:v>
                </c:pt>
                <c:pt idx="75">
                  <c:v>25678242.699999999</c:v>
                </c:pt>
                <c:pt idx="76">
                  <c:v>24949691.079999998</c:v>
                </c:pt>
                <c:pt idx="77">
                  <c:v>25225725.5</c:v>
                </c:pt>
                <c:pt idx="78">
                  <c:v>22056990.309999999</c:v>
                </c:pt>
                <c:pt idx="79">
                  <c:v>22987362.239999998</c:v>
                </c:pt>
                <c:pt idx="80">
                  <c:v>23400593.960000001</c:v>
                </c:pt>
                <c:pt idx="81">
                  <c:v>23304214.739999998</c:v>
                </c:pt>
                <c:pt idx="82">
                  <c:v>22484304.260000002</c:v>
                </c:pt>
                <c:pt idx="83">
                  <c:v>24151967.609999999</c:v>
                </c:pt>
                <c:pt idx="84">
                  <c:v>23061499.289999999</c:v>
                </c:pt>
                <c:pt idx="85">
                  <c:v>26284903.649999999</c:v>
                </c:pt>
                <c:pt idx="86">
                  <c:v>24655612.199999999</c:v>
                </c:pt>
                <c:pt idx="87">
                  <c:v>25631932.109999999</c:v>
                </c:pt>
                <c:pt idx="88">
                  <c:v>25283969.98</c:v>
                </c:pt>
                <c:pt idx="89">
                  <c:v>25012881.399999999</c:v>
                </c:pt>
                <c:pt idx="90">
                  <c:v>19387385.440000001</c:v>
                </c:pt>
                <c:pt idx="91">
                  <c:v>23873440.449999999</c:v>
                </c:pt>
                <c:pt idx="92">
                  <c:v>24354873.039999999</c:v>
                </c:pt>
                <c:pt idx="93">
                  <c:v>23528730.280000001</c:v>
                </c:pt>
                <c:pt idx="94">
                  <c:v>23975705.100000001</c:v>
                </c:pt>
                <c:pt idx="95">
                  <c:v>25033186.609999999</c:v>
                </c:pt>
                <c:pt idx="96">
                  <c:v>23147220.68</c:v>
                </c:pt>
                <c:pt idx="97">
                  <c:v>26288669.43</c:v>
                </c:pt>
                <c:pt idx="98">
                  <c:v>24443821.32</c:v>
                </c:pt>
                <c:pt idx="99">
                  <c:v>23355474</c:v>
                </c:pt>
                <c:pt idx="100">
                  <c:v>25273589</c:v>
                </c:pt>
                <c:pt idx="101">
                  <c:v>23680673</c:v>
                </c:pt>
                <c:pt idx="102">
                  <c:v>25764198</c:v>
                </c:pt>
                <c:pt idx="103">
                  <c:v>26383893</c:v>
                </c:pt>
                <c:pt idx="104">
                  <c:v>28152430</c:v>
                </c:pt>
                <c:pt idx="105">
                  <c:v>26531763</c:v>
                </c:pt>
                <c:pt idx="106">
                  <c:v>25855840.906323999</c:v>
                </c:pt>
                <c:pt idx="107">
                  <c:v>26723715.10444</c:v>
                </c:pt>
                <c:pt idx="108">
                  <c:v>26826146.523446001</c:v>
                </c:pt>
                <c:pt idx="109">
                  <c:v>27579024.226606</c:v>
                </c:pt>
                <c:pt idx="110">
                  <c:v>22522379.847692002</c:v>
                </c:pt>
                <c:pt idx="111">
                  <c:v>27263354.987860002</c:v>
                </c:pt>
                <c:pt idx="112">
                  <c:v>27124452.394136</c:v>
                </c:pt>
                <c:pt idx="113">
                  <c:v>28255686.430792</c:v>
                </c:pt>
                <c:pt idx="114">
                  <c:v>27451687.519016001</c:v>
                </c:pt>
                <c:pt idx="115">
                  <c:v>27475494.365572002</c:v>
                </c:pt>
                <c:pt idx="116">
                  <c:v>27216137.946850002</c:v>
                </c:pt>
                <c:pt idx="117">
                  <c:v>26972176.637614001</c:v>
                </c:pt>
                <c:pt idx="118">
                  <c:v>26482785.545357998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6B-4A29-9DD5-00417E535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Summary'!$B$131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Summary'!$C$131:$S$131</c:f>
              <c:numCache>
                <c:formatCode>#,##0</c:formatCode>
                <c:ptCount val="17"/>
                <c:pt idx="0">
                  <c:v>81808.160000000003</c:v>
                </c:pt>
                <c:pt idx="1">
                  <c:v>73706.880000000005</c:v>
                </c:pt>
                <c:pt idx="2">
                  <c:v>67629.86</c:v>
                </c:pt>
                <c:pt idx="3">
                  <c:v>52906.29</c:v>
                </c:pt>
                <c:pt idx="4">
                  <c:v>45671.590000000004</c:v>
                </c:pt>
                <c:pt idx="5">
                  <c:v>40981.380000000005</c:v>
                </c:pt>
                <c:pt idx="6">
                  <c:v>40484.25</c:v>
                </c:pt>
                <c:pt idx="7">
                  <c:v>40597.899999999994</c:v>
                </c:pt>
                <c:pt idx="8">
                  <c:v>41371.47</c:v>
                </c:pt>
                <c:pt idx="9">
                  <c:v>42059.850000000006</c:v>
                </c:pt>
                <c:pt idx="10">
                  <c:v>42681.496016865494</c:v>
                </c:pt>
                <c:pt idx="11">
                  <c:v>43182.682512826126</c:v>
                </c:pt>
                <c:pt idx="12">
                  <c:v>43690.053531874008</c:v>
                </c:pt>
                <c:pt idx="13">
                  <c:v>44203.689722153795</c:v>
                </c:pt>
                <c:pt idx="14">
                  <c:v>44723.672843158871</c:v>
                </c:pt>
                <c:pt idx="15">
                  <c:v>45250.085781823676</c:v>
                </c:pt>
                <c:pt idx="16">
                  <c:v>45783.012568858583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F-4C05-8465-AB2F2307CD2F}"/>
            </c:ext>
          </c:extLst>
        </c:ser>
        <c:ser>
          <c:idx val="3"/>
          <c:order val="1"/>
          <c:tx>
            <c:strRef>
              <c:f>'Overall Load Summary'!$B$132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Summary'!$C$132:$S$132</c:f>
              <c:numCache>
                <c:formatCode>#,##0</c:formatCode>
                <c:ptCount val="17"/>
                <c:pt idx="0">
                  <c:v>1109</c:v>
                </c:pt>
                <c:pt idx="1">
                  <c:v>1106</c:v>
                </c:pt>
                <c:pt idx="2">
                  <c:v>1055</c:v>
                </c:pt>
                <c:pt idx="3">
                  <c:v>807</c:v>
                </c:pt>
                <c:pt idx="4">
                  <c:v>715</c:v>
                </c:pt>
                <c:pt idx="5">
                  <c:v>714</c:v>
                </c:pt>
                <c:pt idx="6">
                  <c:v>703</c:v>
                </c:pt>
                <c:pt idx="7">
                  <c:v>696</c:v>
                </c:pt>
                <c:pt idx="8">
                  <c:v>700</c:v>
                </c:pt>
                <c:pt idx="9">
                  <c:v>685</c:v>
                </c:pt>
                <c:pt idx="10">
                  <c:v>682.64486386916087</c:v>
                </c:pt>
                <c:pt idx="11">
                  <c:v>673.8607818591048</c:v>
                </c:pt>
                <c:pt idx="12">
                  <c:v>665.26201250981296</c:v>
                </c:pt>
                <c:pt idx="13">
                  <c:v>656.8459069771659</c:v>
                </c:pt>
                <c:pt idx="14">
                  <c:v>648.60986768890109</c:v>
                </c:pt>
                <c:pt idx="15">
                  <c:v>640.55134756270672</c:v>
                </c:pt>
                <c:pt idx="16">
                  <c:v>632.66784923867954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F-4C05-8465-AB2F2307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Summary'!$B$134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Summary'!$C$134:$S$134</c:f>
              <c:numCache>
                <c:formatCode>#,##0</c:formatCode>
                <c:ptCount val="17"/>
                <c:pt idx="0">
                  <c:v>146334.95833333337</c:v>
                </c:pt>
                <c:pt idx="1">
                  <c:v>146881.16666666669</c:v>
                </c:pt>
                <c:pt idx="2">
                  <c:v>148116.33333333331</c:v>
                </c:pt>
                <c:pt idx="3">
                  <c:v>149566.66666666669</c:v>
                </c:pt>
                <c:pt idx="4">
                  <c:v>151863.91666666669</c:v>
                </c:pt>
                <c:pt idx="5">
                  <c:v>154099</c:v>
                </c:pt>
                <c:pt idx="6">
                  <c:v>155957.16666666663</c:v>
                </c:pt>
                <c:pt idx="7">
                  <c:v>158174.37500000006</c:v>
                </c:pt>
                <c:pt idx="8">
                  <c:v>160634.54166666669</c:v>
                </c:pt>
                <c:pt idx="9">
                  <c:v>162977</c:v>
                </c:pt>
                <c:pt idx="10">
                  <c:v>166094.64558236155</c:v>
                </c:pt>
                <c:pt idx="11">
                  <c:v>169425.69234166847</c:v>
                </c:pt>
                <c:pt idx="12">
                  <c:v>172853.6910780537</c:v>
                </c:pt>
                <c:pt idx="13">
                  <c:v>176219.21825803563</c:v>
                </c:pt>
                <c:pt idx="14">
                  <c:v>179670.93706239245</c:v>
                </c:pt>
                <c:pt idx="15">
                  <c:v>183243.56946706519</c:v>
                </c:pt>
                <c:pt idx="16">
                  <c:v>186876.61816728028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3-4C20-9D63-6C1A690C153A}"/>
            </c:ext>
          </c:extLst>
        </c:ser>
        <c:ser>
          <c:idx val="2"/>
          <c:order val="1"/>
          <c:tx>
            <c:strRef>
              <c:f>'Overall Load Summary'!$B$136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Summary'!$C$136:$S$136</c:f>
              <c:numCache>
                <c:formatCode>#,##0</c:formatCode>
                <c:ptCount val="17"/>
                <c:pt idx="0">
                  <c:v>11061.416666666662</c:v>
                </c:pt>
                <c:pt idx="1">
                  <c:v>11154.625000000002</c:v>
                </c:pt>
                <c:pt idx="2">
                  <c:v>11245.125</c:v>
                </c:pt>
                <c:pt idx="3">
                  <c:v>11336.291666666668</c:v>
                </c:pt>
                <c:pt idx="4">
                  <c:v>11468.083333333338</c:v>
                </c:pt>
                <c:pt idx="5">
                  <c:v>11562.083333333332</c:v>
                </c:pt>
                <c:pt idx="6">
                  <c:v>11641.33333333333</c:v>
                </c:pt>
                <c:pt idx="7">
                  <c:v>11796.791666666662</c:v>
                </c:pt>
                <c:pt idx="8">
                  <c:v>11922.666666666668</c:v>
                </c:pt>
                <c:pt idx="9">
                  <c:v>11966.625</c:v>
                </c:pt>
                <c:pt idx="10">
                  <c:v>12043.826041873806</c:v>
                </c:pt>
                <c:pt idx="11">
                  <c:v>12149.904951038121</c:v>
                </c:pt>
                <c:pt idx="12">
                  <c:v>12257.011125236808</c:v>
                </c:pt>
                <c:pt idx="13">
                  <c:v>12365.15562209135</c:v>
                </c:pt>
                <c:pt idx="14">
                  <c:v>12474.349630296862</c:v>
                </c:pt>
                <c:pt idx="15">
                  <c:v>12584.604471293493</c:v>
                </c:pt>
                <c:pt idx="16">
                  <c:v>12695.93160096017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3-4C20-9D63-6C1A690C153A}"/>
            </c:ext>
          </c:extLst>
        </c:ser>
        <c:ser>
          <c:idx val="6"/>
          <c:order val="2"/>
          <c:tx>
            <c:strRef>
              <c:f>'Overall Load Summary'!$B$140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Summary'!$C$140:$S$140</c:f>
              <c:numCache>
                <c:formatCode>#,##0</c:formatCode>
                <c:ptCount val="17"/>
                <c:pt idx="0">
                  <c:v>41667.666666666672</c:v>
                </c:pt>
                <c:pt idx="1">
                  <c:v>41888.125</c:v>
                </c:pt>
                <c:pt idx="2">
                  <c:v>42302.75</c:v>
                </c:pt>
                <c:pt idx="3">
                  <c:v>42951.291666666672</c:v>
                </c:pt>
                <c:pt idx="4">
                  <c:v>43551.458333333328</c:v>
                </c:pt>
                <c:pt idx="5">
                  <c:v>44122.708333333328</c:v>
                </c:pt>
                <c:pt idx="6">
                  <c:v>44702.958333333328</c:v>
                </c:pt>
                <c:pt idx="7">
                  <c:v>45137.958333333328</c:v>
                </c:pt>
                <c:pt idx="8">
                  <c:v>45686.999999999985</c:v>
                </c:pt>
                <c:pt idx="9">
                  <c:v>46425.416666666657</c:v>
                </c:pt>
                <c:pt idx="10">
                  <c:v>46988.362756918141</c:v>
                </c:pt>
                <c:pt idx="11">
                  <c:v>47558.513044562351</c:v>
                </c:pt>
                <c:pt idx="12">
                  <c:v>48135.965022122771</c:v>
                </c:pt>
                <c:pt idx="13">
                  <c:v>48720.817571824547</c:v>
                </c:pt>
                <c:pt idx="14">
                  <c:v>49313.170986287565</c:v>
                </c:pt>
                <c:pt idx="15">
                  <c:v>49913.126989538141</c:v>
                </c:pt>
                <c:pt idx="16">
                  <c:v>50520.788758344446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3-4C20-9D63-6C1A690C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Summary'!$B$135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Summary'!$C$135:$S$135</c:f>
              <c:numCache>
                <c:formatCode>#,##0</c:formatCode>
                <c:ptCount val="17"/>
                <c:pt idx="0">
                  <c:v>1592.011639210438</c:v>
                </c:pt>
                <c:pt idx="1">
                  <c:v>1585.75</c:v>
                </c:pt>
                <c:pt idx="2">
                  <c:v>1577.0416666666661</c:v>
                </c:pt>
                <c:pt idx="3">
                  <c:v>1570.9166666666661</c:v>
                </c:pt>
                <c:pt idx="4">
                  <c:v>1565.125</c:v>
                </c:pt>
                <c:pt idx="5">
                  <c:v>1561</c:v>
                </c:pt>
                <c:pt idx="6">
                  <c:v>1558.8333333333339</c:v>
                </c:pt>
                <c:pt idx="7">
                  <c:v>1559.1666666666661</c:v>
                </c:pt>
                <c:pt idx="8">
                  <c:v>1562.625</c:v>
                </c:pt>
                <c:pt idx="9">
                  <c:v>1561.8333333333339</c:v>
                </c:pt>
                <c:pt idx="10">
                  <c:v>1558.5157008672784</c:v>
                </c:pt>
                <c:pt idx="11">
                  <c:v>1555.2051156865798</c:v>
                </c:pt>
                <c:pt idx="12">
                  <c:v>1551.9015628214572</c:v>
                </c:pt>
                <c:pt idx="13">
                  <c:v>1548.6050273339283</c:v>
                </c:pt>
                <c:pt idx="14">
                  <c:v>1545.3154943177424</c:v>
                </c:pt>
                <c:pt idx="15">
                  <c:v>1542.0329488983118</c:v>
                </c:pt>
                <c:pt idx="16">
                  <c:v>1538.757376232646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2-4872-A2D9-7D332684058D}"/>
            </c:ext>
          </c:extLst>
        </c:ser>
        <c:ser>
          <c:idx val="3"/>
          <c:order val="1"/>
          <c:tx>
            <c:strRef>
              <c:f>'Overall Load Summary'!$B$137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Summary'!$C$137:$S$137</c:f>
              <c:numCache>
                <c:formatCode>#,##0</c:formatCode>
                <c:ptCount val="17"/>
                <c:pt idx="0">
                  <c:v>1420.2083333333335</c:v>
                </c:pt>
                <c:pt idx="1">
                  <c:v>1423.1249999999998</c:v>
                </c:pt>
                <c:pt idx="2">
                  <c:v>1436.3333333333337</c:v>
                </c:pt>
                <c:pt idx="3">
                  <c:v>1433.125</c:v>
                </c:pt>
                <c:pt idx="4">
                  <c:v>1406.0833333333337</c:v>
                </c:pt>
                <c:pt idx="5">
                  <c:v>1413.875</c:v>
                </c:pt>
                <c:pt idx="6">
                  <c:v>1443.0833333333337</c:v>
                </c:pt>
                <c:pt idx="7">
                  <c:v>1423.5833333333335</c:v>
                </c:pt>
                <c:pt idx="8">
                  <c:v>1413.791666666667</c:v>
                </c:pt>
                <c:pt idx="9">
                  <c:v>1448.0416666666663</c:v>
                </c:pt>
                <c:pt idx="10">
                  <c:v>1474.3913548963119</c:v>
                </c:pt>
                <c:pt idx="11">
                  <c:v>1490.9058039913718</c:v>
                </c:pt>
                <c:pt idx="12">
                  <c:v>1501.4974014309801</c:v>
                </c:pt>
                <c:pt idx="13">
                  <c:v>1507.9687572098201</c:v>
                </c:pt>
                <c:pt idx="14">
                  <c:v>1512.7324820413444</c:v>
                </c:pt>
                <c:pt idx="15">
                  <c:v>1516.7761873624795</c:v>
                </c:pt>
                <c:pt idx="16">
                  <c:v>1520.96248533836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2-4872-A2D9-7D332684058D}"/>
            </c:ext>
          </c:extLst>
        </c:ser>
        <c:ser>
          <c:idx val="4"/>
          <c:order val="2"/>
          <c:tx>
            <c:strRef>
              <c:f>'Overall Load Summary'!$B$23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Summary'!$C$23:$S$23</c:f>
              <c:numCache>
                <c:formatCode>#,##0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4.4583333333333348</c:v>
                </c:pt>
                <c:pt idx="4">
                  <c:v>4</c:v>
                </c:pt>
                <c:pt idx="5">
                  <c:v>4.5416666666666652</c:v>
                </c:pt>
                <c:pt idx="6">
                  <c:v>5.5416666666666643</c:v>
                </c:pt>
                <c:pt idx="7">
                  <c:v>5.4583333333333357</c:v>
                </c:pt>
                <c:pt idx="8">
                  <c:v>5</c:v>
                </c:pt>
                <c:pt idx="9">
                  <c:v>5</c:v>
                </c:pt>
                <c:pt idx="10">
                  <c:v>6.8</c:v>
                </c:pt>
                <c:pt idx="11">
                  <c:v>10.234999999999999</c:v>
                </c:pt>
                <c:pt idx="12">
                  <c:v>12.05</c:v>
                </c:pt>
                <c:pt idx="13">
                  <c:v>12.175000000000001</c:v>
                </c:pt>
                <c:pt idx="14">
                  <c:v>12.120000000000001</c:v>
                </c:pt>
                <c:pt idx="15">
                  <c:v>12.120000000000001</c:v>
                </c:pt>
                <c:pt idx="16">
                  <c:v>12.120000000000001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2-4872-A2D9-7D332684058D}"/>
            </c:ext>
          </c:extLst>
        </c:ser>
        <c:ser>
          <c:idx val="5"/>
          <c:order val="3"/>
          <c:tx>
            <c:strRef>
              <c:f>'Overall Load Summary'!$B$139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Summary'!$C$139:$S$139</c:f>
              <c:numCache>
                <c:formatCode>#,##0</c:formatCode>
                <c:ptCount val="17"/>
                <c:pt idx="0">
                  <c:v>2.5416666666666674</c:v>
                </c:pt>
                <c:pt idx="1">
                  <c:v>3</c:v>
                </c:pt>
                <c:pt idx="2">
                  <c:v>3</c:v>
                </c:pt>
                <c:pt idx="3">
                  <c:v>3.5416666666666674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4.5416666666666652</c:v>
                </c:pt>
                <c:pt idx="9">
                  <c:v>5</c:v>
                </c:pt>
                <c:pt idx="10">
                  <c:v>5.4124999999999996</c:v>
                </c:pt>
                <c:pt idx="11">
                  <c:v>6.0975000000000001</c:v>
                </c:pt>
                <c:pt idx="12">
                  <c:v>7.1275000000000004</c:v>
                </c:pt>
                <c:pt idx="13">
                  <c:v>8.3025000000000002</c:v>
                </c:pt>
                <c:pt idx="14">
                  <c:v>8.7799999999999994</c:v>
                </c:pt>
                <c:pt idx="15">
                  <c:v>8.8849999999999998</c:v>
                </c:pt>
                <c:pt idx="16">
                  <c:v>8.9450000000000003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2-4872-A2D9-7D332684058D}"/>
            </c:ext>
          </c:extLst>
        </c:ser>
        <c:ser>
          <c:idx val="7"/>
          <c:order val="4"/>
          <c:tx>
            <c:strRef>
              <c:f>'Overall Load Summary'!$B$141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Summary'!$C$141:$S$141</c:f>
              <c:numCache>
                <c:formatCode>#,##0</c:formatCode>
                <c:ptCount val="17"/>
                <c:pt idx="0">
                  <c:v>483.04166666666657</c:v>
                </c:pt>
                <c:pt idx="1">
                  <c:v>478</c:v>
                </c:pt>
                <c:pt idx="2">
                  <c:v>477.45833333333331</c:v>
                </c:pt>
                <c:pt idx="3">
                  <c:v>476.45833333333331</c:v>
                </c:pt>
                <c:pt idx="4">
                  <c:v>379.04166666666652</c:v>
                </c:pt>
                <c:pt idx="5">
                  <c:v>292.125</c:v>
                </c:pt>
                <c:pt idx="6">
                  <c:v>291.24999999999994</c:v>
                </c:pt>
                <c:pt idx="7">
                  <c:v>292.37500000000006</c:v>
                </c:pt>
                <c:pt idx="8">
                  <c:v>288.83333333333326</c:v>
                </c:pt>
                <c:pt idx="9">
                  <c:v>283.75000000000006</c:v>
                </c:pt>
                <c:pt idx="10">
                  <c:v>280.32108747654399</c:v>
                </c:pt>
                <c:pt idx="11">
                  <c:v>276.96838967660676</c:v>
                </c:pt>
                <c:pt idx="12">
                  <c:v>273.69085843414712</c:v>
                </c:pt>
                <c:pt idx="13">
                  <c:v>270.48746651923324</c:v>
                </c:pt>
                <c:pt idx="14">
                  <c:v>267.35720732626959</c:v>
                </c:pt>
                <c:pt idx="15">
                  <c:v>264.29909456806155</c:v>
                </c:pt>
                <c:pt idx="16">
                  <c:v>261.3121619756277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12-4872-A2D9-7D332684058D}"/>
            </c:ext>
          </c:extLst>
        </c:ser>
        <c:ser>
          <c:idx val="8"/>
          <c:order val="5"/>
          <c:tx>
            <c:strRef>
              <c:f>'Overall Load Summary'!$B$142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Summary'!$C$142:$S$142</c:f>
              <c:numCache>
                <c:formatCode>#,##0</c:formatCode>
                <c:ptCount val="17"/>
                <c:pt idx="0">
                  <c:v>1250.7916666666665</c:v>
                </c:pt>
                <c:pt idx="1">
                  <c:v>1209.6250000000005</c:v>
                </c:pt>
                <c:pt idx="2">
                  <c:v>1196.208333333333</c:v>
                </c:pt>
                <c:pt idx="3">
                  <c:v>1194.625</c:v>
                </c:pt>
                <c:pt idx="4">
                  <c:v>1193.291666666667</c:v>
                </c:pt>
                <c:pt idx="5">
                  <c:v>1190.9999999999995</c:v>
                </c:pt>
                <c:pt idx="6">
                  <c:v>1193.1666666666665</c:v>
                </c:pt>
                <c:pt idx="7">
                  <c:v>1193.9166666666665</c:v>
                </c:pt>
                <c:pt idx="8">
                  <c:v>1198.416666666667</c:v>
                </c:pt>
                <c:pt idx="9">
                  <c:v>1166.166666666667</c:v>
                </c:pt>
                <c:pt idx="10">
                  <c:v>1130.4886290248251</c:v>
                </c:pt>
                <c:pt idx="11">
                  <c:v>1122.2662581262366</c:v>
                </c:pt>
                <c:pt idx="12">
                  <c:v>1114.1955009201774</c:v>
                </c:pt>
                <c:pt idx="13">
                  <c:v>1106.2744618900422</c:v>
                </c:pt>
                <c:pt idx="14">
                  <c:v>1098.5012726984244</c:v>
                </c:pt>
                <c:pt idx="15">
                  <c:v>1090.8740918172587</c:v>
                </c:pt>
                <c:pt idx="16">
                  <c:v>1083.3911041630913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2-4872-A2D9-7D332684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Weather!$EU$14:$EU$133</c:f>
              <c:numCache>
                <c:formatCode>_-* #,##0_-;\-* #,##0_-;_-* "-"??_-;_-@_-</c:formatCode>
                <c:ptCount val="120"/>
                <c:pt idx="0">
                  <c:v>828.55848008068415</c:v>
                </c:pt>
                <c:pt idx="1">
                  <c:v>779.43578328932824</c:v>
                </c:pt>
                <c:pt idx="2">
                  <c:v>716.86049550744997</c:v>
                </c:pt>
                <c:pt idx="3">
                  <c:v>583.39065793165946</c:v>
                </c:pt>
                <c:pt idx="4">
                  <c:v>561.17214278691881</c:v>
                </c:pt>
                <c:pt idx="5">
                  <c:v>590.59868225257151</c:v>
                </c:pt>
                <c:pt idx="6">
                  <c:v>800.83673423700839</c:v>
                </c:pt>
                <c:pt idx="7">
                  <c:v>740.96458445353414</c:v>
                </c:pt>
                <c:pt idx="8">
                  <c:v>688.63535605597303</c:v>
                </c:pt>
                <c:pt idx="9">
                  <c:v>585.87146064848378</c:v>
                </c:pt>
                <c:pt idx="10">
                  <c:v>608.76585994918855</c:v>
                </c:pt>
                <c:pt idx="11">
                  <c:v>704.21342687061428</c:v>
                </c:pt>
                <c:pt idx="12">
                  <c:v>835.94507937352205</c:v>
                </c:pt>
                <c:pt idx="13">
                  <c:v>757.01445839587734</c:v>
                </c:pt>
                <c:pt idx="14">
                  <c:v>723.06053400886969</c:v>
                </c:pt>
                <c:pt idx="15">
                  <c:v>638.87546481222</c:v>
                </c:pt>
                <c:pt idx="16">
                  <c:v>636.10941328325362</c:v>
                </c:pt>
                <c:pt idx="17">
                  <c:v>728.15631431225245</c:v>
                </c:pt>
                <c:pt idx="18">
                  <c:v>954.24109682809467</c:v>
                </c:pt>
                <c:pt idx="19">
                  <c:v>1013.8356830811805</c:v>
                </c:pt>
                <c:pt idx="20">
                  <c:v>708.882832474363</c:v>
                </c:pt>
                <c:pt idx="21">
                  <c:v>616.37542858273196</c:v>
                </c:pt>
                <c:pt idx="22">
                  <c:v>643.66907433031531</c:v>
                </c:pt>
                <c:pt idx="23">
                  <c:v>817.09921014867905</c:v>
                </c:pt>
                <c:pt idx="24">
                  <c:v>800.63838458728867</c:v>
                </c:pt>
                <c:pt idx="25">
                  <c:v>693.63272463339001</c:v>
                </c:pt>
                <c:pt idx="26">
                  <c:v>755.70454451720241</c:v>
                </c:pt>
                <c:pt idx="27">
                  <c:v>610.5217013685284</c:v>
                </c:pt>
                <c:pt idx="28">
                  <c:v>604.0668179205602</c:v>
                </c:pt>
                <c:pt idx="29">
                  <c:v>671.43225885667516</c:v>
                </c:pt>
                <c:pt idx="30">
                  <c:v>829.40576856734708</c:v>
                </c:pt>
                <c:pt idx="31">
                  <c:v>771.7037234437895</c:v>
                </c:pt>
                <c:pt idx="32">
                  <c:v>709.47474981113976</c:v>
                </c:pt>
                <c:pt idx="33">
                  <c:v>615.03708076983366</c:v>
                </c:pt>
                <c:pt idx="34">
                  <c:v>690.92283146218824</c:v>
                </c:pt>
                <c:pt idx="35">
                  <c:v>873.25884960089036</c:v>
                </c:pt>
                <c:pt idx="36">
                  <c:v>880.16519963951214</c:v>
                </c:pt>
                <c:pt idx="37">
                  <c:v>725.07982286684194</c:v>
                </c:pt>
                <c:pt idx="38">
                  <c:v>741.22820226970305</c:v>
                </c:pt>
                <c:pt idx="39">
                  <c:v>684.92915487499477</c:v>
                </c:pt>
                <c:pt idx="40">
                  <c:v>631.52472672029103</c:v>
                </c:pt>
                <c:pt idx="41">
                  <c:v>719.74048132943574</c:v>
                </c:pt>
                <c:pt idx="42">
                  <c:v>996.09251387859024</c:v>
                </c:pt>
                <c:pt idx="43">
                  <c:v>971.17897850576378</c:v>
                </c:pt>
                <c:pt idx="44">
                  <c:v>771.43569567251313</c:v>
                </c:pt>
                <c:pt idx="45">
                  <c:v>655.64370020320428</c:v>
                </c:pt>
                <c:pt idx="46">
                  <c:v>726.77290494793999</c:v>
                </c:pt>
                <c:pt idx="47">
                  <c:v>826.38994027538331</c:v>
                </c:pt>
                <c:pt idx="48">
                  <c:v>882.76729269768009</c:v>
                </c:pt>
                <c:pt idx="49">
                  <c:v>767.53325726095261</c:v>
                </c:pt>
                <c:pt idx="50">
                  <c:v>775.90982433965632</c:v>
                </c:pt>
                <c:pt idx="51">
                  <c:v>651.25629200809635</c:v>
                </c:pt>
                <c:pt idx="52">
                  <c:v>605.11142418882037</c:v>
                </c:pt>
                <c:pt idx="53">
                  <c:v>669.63302778105492</c:v>
                </c:pt>
                <c:pt idx="54">
                  <c:v>1008.3753998693594</c:v>
                </c:pt>
                <c:pt idx="55">
                  <c:v>847.19117280863986</c:v>
                </c:pt>
                <c:pt idx="56">
                  <c:v>628.25025012086212</c:v>
                </c:pt>
                <c:pt idx="57">
                  <c:v>617.10710312925505</c:v>
                </c:pt>
                <c:pt idx="58">
                  <c:v>721.82023872054549</c:v>
                </c:pt>
                <c:pt idx="59">
                  <c:v>827.00454241285138</c:v>
                </c:pt>
                <c:pt idx="60">
                  <c:v>803.41968918648331</c:v>
                </c:pt>
                <c:pt idx="61">
                  <c:v>747.25700916221786</c:v>
                </c:pt>
                <c:pt idx="62">
                  <c:v>744.13362389402255</c:v>
                </c:pt>
                <c:pt idx="63">
                  <c:v>693.33785463815593</c:v>
                </c:pt>
                <c:pt idx="64">
                  <c:v>714.52485189084132</c:v>
                </c:pt>
                <c:pt idx="65">
                  <c:v>849.1585519789412</c:v>
                </c:pt>
                <c:pt idx="66">
                  <c:v>1178.6080238951481</c:v>
                </c:pt>
                <c:pt idx="67">
                  <c:v>973.04749421723659</c:v>
                </c:pt>
                <c:pt idx="68">
                  <c:v>669.81035476764873</c:v>
                </c:pt>
                <c:pt idx="69">
                  <c:v>659.72013689841151</c:v>
                </c:pt>
                <c:pt idx="70">
                  <c:v>693.60464481661677</c:v>
                </c:pt>
                <c:pt idx="71">
                  <c:v>847.8630678256344</c:v>
                </c:pt>
                <c:pt idx="72">
                  <c:v>854.05400384695224</c:v>
                </c:pt>
                <c:pt idx="73">
                  <c:v>790.8224277734073</c:v>
                </c:pt>
                <c:pt idx="74">
                  <c:v>751.53943390131315</c:v>
                </c:pt>
                <c:pt idx="75">
                  <c:v>653.59430688454165</c:v>
                </c:pt>
                <c:pt idx="76">
                  <c:v>688.14694960291081</c:v>
                </c:pt>
                <c:pt idx="77">
                  <c:v>847.38283110518387</c:v>
                </c:pt>
                <c:pt idx="78">
                  <c:v>899.76046812161428</c:v>
                </c:pt>
                <c:pt idx="79">
                  <c:v>1070.998123884292</c:v>
                </c:pt>
                <c:pt idx="80">
                  <c:v>693.16881147843367</c:v>
                </c:pt>
                <c:pt idx="81">
                  <c:v>647.03733668670316</c:v>
                </c:pt>
                <c:pt idx="82">
                  <c:v>695.21019109812687</c:v>
                </c:pt>
                <c:pt idx="83">
                  <c:v>812.19187017326601</c:v>
                </c:pt>
                <c:pt idx="84">
                  <c:v>915.94876636520985</c:v>
                </c:pt>
                <c:pt idx="85">
                  <c:v>774.38876302756046</c:v>
                </c:pt>
                <c:pt idx="86">
                  <c:v>767.16236466884413</c:v>
                </c:pt>
                <c:pt idx="87">
                  <c:v>652.77938308436842</c:v>
                </c:pt>
                <c:pt idx="88">
                  <c:v>651.72349882944582</c:v>
                </c:pt>
                <c:pt idx="89">
                  <c:v>736.05686052253452</c:v>
                </c:pt>
                <c:pt idx="90">
                  <c:v>933.03697010691792</c:v>
                </c:pt>
                <c:pt idx="91">
                  <c:v>960.22406947178138</c:v>
                </c:pt>
                <c:pt idx="92">
                  <c:v>691.82119720019318</c:v>
                </c:pt>
                <c:pt idx="93">
                  <c:v>623.04935379406106</c:v>
                </c:pt>
                <c:pt idx="94">
                  <c:v>671.9519217867072</c:v>
                </c:pt>
                <c:pt idx="95">
                  <c:v>811.3437946905924</c:v>
                </c:pt>
                <c:pt idx="96">
                  <c:v>792.07546735825497</c:v>
                </c:pt>
                <c:pt idx="97">
                  <c:v>722.18617698221135</c:v>
                </c:pt>
                <c:pt idx="98">
                  <c:v>739.88699818127122</c:v>
                </c:pt>
                <c:pt idx="99">
                  <c:v>631.9552511047516</c:v>
                </c:pt>
                <c:pt idx="100">
                  <c:v>621.24089977572237</c:v>
                </c:pt>
                <c:pt idx="101">
                  <c:v>752.21024585663645</c:v>
                </c:pt>
                <c:pt idx="102">
                  <c:v>952.53402961207667</c:v>
                </c:pt>
                <c:pt idx="103">
                  <c:v>821.14059719904185</c:v>
                </c:pt>
                <c:pt idx="104">
                  <c:v>717.43170181343885</c:v>
                </c:pt>
                <c:pt idx="105">
                  <c:v>664.71891055073058</c:v>
                </c:pt>
                <c:pt idx="106">
                  <c:v>730.53543783272789</c:v>
                </c:pt>
                <c:pt idx="107">
                  <c:v>794.23464620930747</c:v>
                </c:pt>
                <c:pt idx="108">
                  <c:v>837.67873421718718</c:v>
                </c:pt>
                <c:pt idx="109">
                  <c:v>725.32225329261269</c:v>
                </c:pt>
                <c:pt idx="110">
                  <c:v>720.52397836872842</c:v>
                </c:pt>
                <c:pt idx="111">
                  <c:v>635.28156440674024</c:v>
                </c:pt>
                <c:pt idx="112">
                  <c:v>647.18688755083281</c:v>
                </c:pt>
                <c:pt idx="113">
                  <c:v>791.63469005071556</c:v>
                </c:pt>
                <c:pt idx="114">
                  <c:v>1007.3198987578456</c:v>
                </c:pt>
                <c:pt idx="115">
                  <c:v>924.05880274094272</c:v>
                </c:pt>
                <c:pt idx="116">
                  <c:v>723.63906930494272</c:v>
                </c:pt>
                <c:pt idx="117">
                  <c:v>633.19693591295982</c:v>
                </c:pt>
                <c:pt idx="118">
                  <c:v>666.0036520839717</c:v>
                </c:pt>
                <c:pt idx="119">
                  <c:v>827.47853338487562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AC-4949-8F58-471EA0084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Seasonal 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Weather!$EV$14:$EV$133</c:f>
              <c:numCache>
                <c:formatCode>_-* #,##0_-;\-* #,##0_-;_-* "-"??_-;_-@_-</c:formatCode>
                <c:ptCount val="120"/>
                <c:pt idx="0">
                  <c:v>700.63355549578364</c:v>
                </c:pt>
                <c:pt idx="1">
                  <c:v>743.40897129224209</c:v>
                </c:pt>
                <c:pt idx="2">
                  <c:v>598.67472616456098</c:v>
                </c:pt>
                <c:pt idx="3">
                  <c:v>415.06347585067948</c:v>
                </c:pt>
                <c:pt idx="4">
                  <c:v>399.14261077021592</c:v>
                </c:pt>
                <c:pt idx="5">
                  <c:v>394.32081311603224</c:v>
                </c:pt>
                <c:pt idx="6">
                  <c:v>571.21276391206868</c:v>
                </c:pt>
                <c:pt idx="7">
                  <c:v>589.61809365932334</c:v>
                </c:pt>
                <c:pt idx="8">
                  <c:v>406.78433455623752</c:v>
                </c:pt>
                <c:pt idx="9">
                  <c:v>469.2071225561283</c:v>
                </c:pt>
                <c:pt idx="10">
                  <c:v>327.89542264357902</c:v>
                </c:pt>
                <c:pt idx="11">
                  <c:v>413.8429689227238</c:v>
                </c:pt>
                <c:pt idx="12">
                  <c:v>617.61752789201603</c:v>
                </c:pt>
                <c:pt idx="13">
                  <c:v>591.85135176377753</c:v>
                </c:pt>
                <c:pt idx="14">
                  <c:v>517.33329079388398</c:v>
                </c:pt>
                <c:pt idx="15">
                  <c:v>434.07089095129237</c:v>
                </c:pt>
                <c:pt idx="16">
                  <c:v>424.03541749392519</c:v>
                </c:pt>
                <c:pt idx="17">
                  <c:v>413.26171344169268</c:v>
                </c:pt>
                <c:pt idx="18">
                  <c:v>629.67636600626668</c:v>
                </c:pt>
                <c:pt idx="19">
                  <c:v>620.87268219390853</c:v>
                </c:pt>
                <c:pt idx="20">
                  <c:v>422.77321451672969</c:v>
                </c:pt>
                <c:pt idx="21">
                  <c:v>471.15269744707598</c:v>
                </c:pt>
                <c:pt idx="22">
                  <c:v>387.2444615223111</c:v>
                </c:pt>
                <c:pt idx="23">
                  <c:v>566.17022817750592</c:v>
                </c:pt>
                <c:pt idx="24">
                  <c:v>597.24682002794918</c:v>
                </c:pt>
                <c:pt idx="25">
                  <c:v>545.56688999944879</c:v>
                </c:pt>
                <c:pt idx="26">
                  <c:v>600.00166022825738</c:v>
                </c:pt>
                <c:pt idx="27">
                  <c:v>412.28159744656762</c:v>
                </c:pt>
                <c:pt idx="28">
                  <c:v>473.78097280746931</c:v>
                </c:pt>
                <c:pt idx="29">
                  <c:v>433.63031816192245</c:v>
                </c:pt>
                <c:pt idx="30">
                  <c:v>649.06684927871959</c:v>
                </c:pt>
                <c:pt idx="31">
                  <c:v>661.31835974418436</c:v>
                </c:pt>
                <c:pt idx="32">
                  <c:v>485.18730619791177</c:v>
                </c:pt>
                <c:pt idx="33">
                  <c:v>440.22188471464807</c:v>
                </c:pt>
                <c:pt idx="34">
                  <c:v>499.08039925084876</c:v>
                </c:pt>
                <c:pt idx="35">
                  <c:v>728.50218421748741</c:v>
                </c:pt>
                <c:pt idx="36">
                  <c:v>767.01564823494164</c:v>
                </c:pt>
                <c:pt idx="37">
                  <c:v>624.61045651176289</c:v>
                </c:pt>
                <c:pt idx="38">
                  <c:v>602.76326396310515</c:v>
                </c:pt>
                <c:pt idx="39">
                  <c:v>525.44597580295988</c:v>
                </c:pt>
                <c:pt idx="40">
                  <c:v>434.50504999602083</c:v>
                </c:pt>
                <c:pt idx="41">
                  <c:v>457.29537267925764</c:v>
                </c:pt>
                <c:pt idx="42">
                  <c:v>667.58927051850026</c:v>
                </c:pt>
                <c:pt idx="43">
                  <c:v>673.66481197995051</c:v>
                </c:pt>
                <c:pt idx="44">
                  <c:v>483.62512778746066</c:v>
                </c:pt>
                <c:pt idx="45">
                  <c:v>573.14548877769369</c:v>
                </c:pt>
                <c:pt idx="46">
                  <c:v>545.24980367961075</c:v>
                </c:pt>
                <c:pt idx="47">
                  <c:v>652.15270334477748</c:v>
                </c:pt>
                <c:pt idx="48">
                  <c:v>787.37842578213827</c:v>
                </c:pt>
                <c:pt idx="49">
                  <c:v>691.99210269519881</c:v>
                </c:pt>
                <c:pt idx="50">
                  <c:v>680.02418287113278</c:v>
                </c:pt>
                <c:pt idx="51">
                  <c:v>504.81621276006217</c:v>
                </c:pt>
                <c:pt idx="52">
                  <c:v>513.79421763052926</c:v>
                </c:pt>
                <c:pt idx="53">
                  <c:v>489.7299264085687</c:v>
                </c:pt>
                <c:pt idx="54">
                  <c:v>651.66412470452997</c:v>
                </c:pt>
                <c:pt idx="55">
                  <c:v>649.16979932878087</c:v>
                </c:pt>
                <c:pt idx="56">
                  <c:v>464.9639902632415</c:v>
                </c:pt>
                <c:pt idx="57">
                  <c:v>550.55785945459922</c:v>
                </c:pt>
                <c:pt idx="58">
                  <c:v>599.14976880845927</c:v>
                </c:pt>
                <c:pt idx="59">
                  <c:v>689.19396101563677</c:v>
                </c:pt>
                <c:pt idx="60">
                  <c:v>707.99683023400769</c:v>
                </c:pt>
                <c:pt idx="61">
                  <c:v>686.09700974186762</c:v>
                </c:pt>
                <c:pt idx="62">
                  <c:v>650.68920925613452</c:v>
                </c:pt>
                <c:pt idx="63">
                  <c:v>629.75002135848467</c:v>
                </c:pt>
                <c:pt idx="64">
                  <c:v>652.42860196179561</c:v>
                </c:pt>
                <c:pt idx="65">
                  <c:v>600.20312790783692</c:v>
                </c:pt>
                <c:pt idx="66">
                  <c:v>770.80243730038615</c:v>
                </c:pt>
                <c:pt idx="67">
                  <c:v>736.72256365642045</c:v>
                </c:pt>
                <c:pt idx="68">
                  <c:v>640.24623607267324</c:v>
                </c:pt>
                <c:pt idx="69">
                  <c:v>749.36383354978307</c:v>
                </c:pt>
                <c:pt idx="70">
                  <c:v>610.93815952785508</c:v>
                </c:pt>
                <c:pt idx="71">
                  <c:v>832.67049899087147</c:v>
                </c:pt>
                <c:pt idx="72">
                  <c:v>908.95728808696833</c:v>
                </c:pt>
                <c:pt idx="73">
                  <c:v>890.59046795633481</c:v>
                </c:pt>
                <c:pt idx="74">
                  <c:v>754.59106385983364</c:v>
                </c:pt>
                <c:pt idx="75">
                  <c:v>632.80506762437301</c:v>
                </c:pt>
                <c:pt idx="76">
                  <c:v>642.89932055041868</c:v>
                </c:pt>
                <c:pt idx="77">
                  <c:v>560.78010269516199</c:v>
                </c:pt>
                <c:pt idx="78">
                  <c:v>729.74878150463871</c:v>
                </c:pt>
                <c:pt idx="79">
                  <c:v>766.26217696815127</c:v>
                </c:pt>
                <c:pt idx="80">
                  <c:v>558.11106072026644</c:v>
                </c:pt>
                <c:pt idx="81">
                  <c:v>562.0855783002238</c:v>
                </c:pt>
                <c:pt idx="82">
                  <c:v>619.39069312657477</c:v>
                </c:pt>
                <c:pt idx="83">
                  <c:v>791.26401200551902</c:v>
                </c:pt>
                <c:pt idx="84">
                  <c:v>1057.70901084754</c:v>
                </c:pt>
                <c:pt idx="85">
                  <c:v>882.03581356279392</c:v>
                </c:pt>
                <c:pt idx="86">
                  <c:v>826.06145929785328</c:v>
                </c:pt>
                <c:pt idx="87">
                  <c:v>638.62408189676921</c:v>
                </c:pt>
                <c:pt idx="88">
                  <c:v>532.64742580124596</c:v>
                </c:pt>
                <c:pt idx="89">
                  <c:v>523.95926420480134</c:v>
                </c:pt>
                <c:pt idx="90">
                  <c:v>705.9434652405057</c:v>
                </c:pt>
                <c:pt idx="91">
                  <c:v>692.74090670962084</c:v>
                </c:pt>
                <c:pt idx="92">
                  <c:v>547.26809043879246</c:v>
                </c:pt>
                <c:pt idx="93">
                  <c:v>656.38326529219728</c:v>
                </c:pt>
                <c:pt idx="94">
                  <c:v>587.85307525672965</c:v>
                </c:pt>
                <c:pt idx="95">
                  <c:v>770.09925059176464</c:v>
                </c:pt>
                <c:pt idx="96">
                  <c:v>822.70485578222849</c:v>
                </c:pt>
                <c:pt idx="97">
                  <c:v>792.82576232368115</c:v>
                </c:pt>
                <c:pt idx="98">
                  <c:v>768.92059700134621</c:v>
                </c:pt>
                <c:pt idx="99">
                  <c:v>582.91023860773089</c:v>
                </c:pt>
                <c:pt idx="100">
                  <c:v>591.7287530636587</c:v>
                </c:pt>
                <c:pt idx="101">
                  <c:v>528.22016270215988</c:v>
                </c:pt>
                <c:pt idx="102">
                  <c:v>735.70855521391707</c:v>
                </c:pt>
                <c:pt idx="103">
                  <c:v>700.49271093984214</c:v>
                </c:pt>
                <c:pt idx="104">
                  <c:v>544.57064466169652</c:v>
                </c:pt>
                <c:pt idx="105">
                  <c:v>598.42230988539893</c:v>
                </c:pt>
                <c:pt idx="106">
                  <c:v>676.89996575811051</c:v>
                </c:pt>
                <c:pt idx="107">
                  <c:v>785.17774846078623</c:v>
                </c:pt>
                <c:pt idx="108">
                  <c:v>874.4210198620915</c:v>
                </c:pt>
                <c:pt idx="109">
                  <c:v>815.71070892504031</c:v>
                </c:pt>
                <c:pt idx="110">
                  <c:v>764.69202734234159</c:v>
                </c:pt>
                <c:pt idx="111">
                  <c:v>595.35837849068389</c:v>
                </c:pt>
                <c:pt idx="112">
                  <c:v>574.47217898719589</c:v>
                </c:pt>
                <c:pt idx="113">
                  <c:v>527.19716604201756</c:v>
                </c:pt>
                <c:pt idx="114">
                  <c:v>732.7788961372562</c:v>
                </c:pt>
                <c:pt idx="115">
                  <c:v>751.28779551407229</c:v>
                </c:pt>
                <c:pt idx="116">
                  <c:v>553.92318039382246</c:v>
                </c:pt>
                <c:pt idx="117">
                  <c:v>625.32956550991355</c:v>
                </c:pt>
                <c:pt idx="118">
                  <c:v>611.63402842635992</c:v>
                </c:pt>
                <c:pt idx="119">
                  <c:v>757.36129203153746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21-4F23-B9E9-D5C7CD4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Weather!$EW$14:$EW$133</c:f>
              <c:numCache>
                <c:formatCode>_-* #,##0_-;\-* #,##0_-;_-* "-"??_-;_-@_-</c:formatCode>
                <c:ptCount val="120"/>
                <c:pt idx="0">
                  <c:v>3039.564358915246</c:v>
                </c:pt>
                <c:pt idx="1">
                  <c:v>2863.8143708292278</c:v>
                </c:pt>
                <c:pt idx="2">
                  <c:v>2800.6530855282513</c:v>
                </c:pt>
                <c:pt idx="3">
                  <c:v>2389.2119588712631</c:v>
                </c:pt>
                <c:pt idx="4">
                  <c:v>2314.8091968369372</c:v>
                </c:pt>
                <c:pt idx="5">
                  <c:v>2333.919580213586</c:v>
                </c:pt>
                <c:pt idx="6">
                  <c:v>2644.591223142234</c:v>
                </c:pt>
                <c:pt idx="7">
                  <c:v>2558.0583527983304</c:v>
                </c:pt>
                <c:pt idx="8">
                  <c:v>2449.7745956767644</c:v>
                </c:pt>
                <c:pt idx="9">
                  <c:v>2302.722049291428</c:v>
                </c:pt>
                <c:pt idx="10">
                  <c:v>2378.3211483110763</c:v>
                </c:pt>
                <c:pt idx="11">
                  <c:v>2543.1073230996776</c:v>
                </c:pt>
                <c:pt idx="12">
                  <c:v>3006.6681536678616</c:v>
                </c:pt>
                <c:pt idx="13">
                  <c:v>2798.9729526964825</c:v>
                </c:pt>
                <c:pt idx="14">
                  <c:v>2756.3967835600147</c:v>
                </c:pt>
                <c:pt idx="15">
                  <c:v>2523.9609993206032</c:v>
                </c:pt>
                <c:pt idx="16">
                  <c:v>2483.404384731522</c:v>
                </c:pt>
                <c:pt idx="17">
                  <c:v>2601.9143791751462</c:v>
                </c:pt>
                <c:pt idx="18">
                  <c:v>2886.1321069876249</c:v>
                </c:pt>
                <c:pt idx="19">
                  <c:v>3015.4228741076677</c:v>
                </c:pt>
                <c:pt idx="20">
                  <c:v>2554.4532626058485</c:v>
                </c:pt>
                <c:pt idx="21">
                  <c:v>2416.8198665563609</c:v>
                </c:pt>
                <c:pt idx="22">
                  <c:v>2516.5867691366002</c:v>
                </c:pt>
                <c:pt idx="23">
                  <c:v>2871.9166108401841</c:v>
                </c:pt>
                <c:pt idx="24">
                  <c:v>2921.6051363095548</c:v>
                </c:pt>
                <c:pt idx="25">
                  <c:v>2612.6627252825842</c:v>
                </c:pt>
                <c:pt idx="26">
                  <c:v>2879.9016243161768</c:v>
                </c:pt>
                <c:pt idx="27">
                  <c:v>2374.1136473700949</c:v>
                </c:pt>
                <c:pt idx="28">
                  <c:v>2406.9392352950904</c:v>
                </c:pt>
                <c:pt idx="29">
                  <c:v>2462.7418624679435</c:v>
                </c:pt>
                <c:pt idx="30">
                  <c:v>2679.2781322409578</c:v>
                </c:pt>
                <c:pt idx="31">
                  <c:v>2649.4901796889972</c:v>
                </c:pt>
                <c:pt idx="32">
                  <c:v>2483.6332236958938</c:v>
                </c:pt>
                <c:pt idx="33">
                  <c:v>2362.0594805686751</c:v>
                </c:pt>
                <c:pt idx="34">
                  <c:v>2565.4107250684106</c:v>
                </c:pt>
                <c:pt idx="35">
                  <c:v>2922.4421126919015</c:v>
                </c:pt>
                <c:pt idx="36">
                  <c:v>3134.2501960722007</c:v>
                </c:pt>
                <c:pt idx="37">
                  <c:v>2677.241298589458</c:v>
                </c:pt>
                <c:pt idx="38">
                  <c:v>2779.7727562548835</c:v>
                </c:pt>
                <c:pt idx="39">
                  <c:v>2556.058560783064</c:v>
                </c:pt>
                <c:pt idx="40">
                  <c:v>2458.2294897393563</c:v>
                </c:pt>
                <c:pt idx="41">
                  <c:v>2509.6993541491206</c:v>
                </c:pt>
                <c:pt idx="42">
                  <c:v>2894.3721432255238</c:v>
                </c:pt>
                <c:pt idx="43">
                  <c:v>2878.8025166295615</c:v>
                </c:pt>
                <c:pt idx="44">
                  <c:v>2504.3480146908528</c:v>
                </c:pt>
                <c:pt idx="45">
                  <c:v>2424.3192286486269</c:v>
                </c:pt>
                <c:pt idx="46">
                  <c:v>2644.8504663640047</c:v>
                </c:pt>
                <c:pt idx="47">
                  <c:v>2773.885732564077</c:v>
                </c:pt>
                <c:pt idx="48">
                  <c:v>3083.2645955663083</c:v>
                </c:pt>
                <c:pt idx="49">
                  <c:v>2762.2607418850134</c:v>
                </c:pt>
                <c:pt idx="50">
                  <c:v>2903.6393374642821</c:v>
                </c:pt>
                <c:pt idx="51">
                  <c:v>2645.6100399988231</c:v>
                </c:pt>
                <c:pt idx="52">
                  <c:v>2501.527345174914</c:v>
                </c:pt>
                <c:pt idx="53">
                  <c:v>2549.6308853049582</c:v>
                </c:pt>
                <c:pt idx="54">
                  <c:v>3117.5433850037466</c:v>
                </c:pt>
                <c:pt idx="55">
                  <c:v>2888.3770031297481</c:v>
                </c:pt>
                <c:pt idx="56">
                  <c:v>2467.4282902677442</c:v>
                </c:pt>
                <c:pt idx="57">
                  <c:v>2478.1606705812246</c:v>
                </c:pt>
                <c:pt idx="58">
                  <c:v>2737.4644154127477</c:v>
                </c:pt>
                <c:pt idx="59">
                  <c:v>2928.0952037242805</c:v>
                </c:pt>
                <c:pt idx="60">
                  <c:v>3007.9891758703884</c:v>
                </c:pt>
                <c:pt idx="61">
                  <c:v>2828.1627710338221</c:v>
                </c:pt>
                <c:pt idx="62">
                  <c:v>2616.776939120869</c:v>
                </c:pt>
                <c:pt idx="63">
                  <c:v>2095.7987409361936</c:v>
                </c:pt>
                <c:pt idx="64">
                  <c:v>2127.0754766940922</c:v>
                </c:pt>
                <c:pt idx="65">
                  <c:v>2376.8232495224697</c:v>
                </c:pt>
                <c:pt idx="66">
                  <c:v>2927.7982670252568</c:v>
                </c:pt>
                <c:pt idx="67">
                  <c:v>2718.0083497152737</c:v>
                </c:pt>
                <c:pt idx="68">
                  <c:v>2321.5800566461921</c:v>
                </c:pt>
                <c:pt idx="69">
                  <c:v>2315.9112372784157</c:v>
                </c:pt>
                <c:pt idx="70">
                  <c:v>2447.288648650916</c:v>
                </c:pt>
                <c:pt idx="71">
                  <c:v>2705.7639220195269</c:v>
                </c:pt>
                <c:pt idx="72">
                  <c:v>2656.8280610672277</c:v>
                </c:pt>
                <c:pt idx="73">
                  <c:v>2573.721499851406</c:v>
                </c:pt>
                <c:pt idx="74">
                  <c:v>2652.8717590315518</c:v>
                </c:pt>
                <c:pt idx="75">
                  <c:v>2215.5827296226512</c:v>
                </c:pt>
                <c:pt idx="76">
                  <c:v>2211.0451351547154</c:v>
                </c:pt>
                <c:pt idx="77">
                  <c:v>2456.050137840537</c:v>
                </c:pt>
                <c:pt idx="78">
                  <c:v>2653.1833017105428</c:v>
                </c:pt>
                <c:pt idx="79">
                  <c:v>2957.8517365999824</c:v>
                </c:pt>
                <c:pt idx="80">
                  <c:v>2416.851622275522</c:v>
                </c:pt>
                <c:pt idx="81">
                  <c:v>2353.4118380973473</c:v>
                </c:pt>
                <c:pt idx="82">
                  <c:v>2490.1731619415168</c:v>
                </c:pt>
                <c:pt idx="83">
                  <c:v>2705.1947985792781</c:v>
                </c:pt>
                <c:pt idx="84">
                  <c:v>2983.6024665928358</c:v>
                </c:pt>
                <c:pt idx="85">
                  <c:v>2709.4589342911195</c:v>
                </c:pt>
                <c:pt idx="86">
                  <c:v>2777.986905352102</c:v>
                </c:pt>
                <c:pt idx="87">
                  <c:v>2407.1666617992478</c:v>
                </c:pt>
                <c:pt idx="88">
                  <c:v>2410.2101779478071</c:v>
                </c:pt>
                <c:pt idx="89">
                  <c:v>2514.3579908097622</c:v>
                </c:pt>
                <c:pt idx="90">
                  <c:v>2854.9135329611322</c:v>
                </c:pt>
                <c:pt idx="91">
                  <c:v>2866.6419720406038</c:v>
                </c:pt>
                <c:pt idx="92">
                  <c:v>2414.5279793358309</c:v>
                </c:pt>
                <c:pt idx="93">
                  <c:v>2326.1261221182849</c:v>
                </c:pt>
                <c:pt idx="94">
                  <c:v>2490.2275193003657</c:v>
                </c:pt>
                <c:pt idx="95">
                  <c:v>2791.940042688404</c:v>
                </c:pt>
                <c:pt idx="96">
                  <c:v>2863.2032839901385</c:v>
                </c:pt>
                <c:pt idx="97">
                  <c:v>2644.1657419694238</c:v>
                </c:pt>
                <c:pt idx="98">
                  <c:v>2815.6455635713505</c:v>
                </c:pt>
                <c:pt idx="99">
                  <c:v>2407.7266454858259</c:v>
                </c:pt>
                <c:pt idx="100">
                  <c:v>2414.8519848255146</c:v>
                </c:pt>
                <c:pt idx="101">
                  <c:v>2546.0479033579522</c:v>
                </c:pt>
                <c:pt idx="102">
                  <c:v>2858.7384838317744</c:v>
                </c:pt>
                <c:pt idx="103">
                  <c:v>2598.9188236921336</c:v>
                </c:pt>
                <c:pt idx="104">
                  <c:v>2503.0107834888054</c:v>
                </c:pt>
                <c:pt idx="105">
                  <c:v>2405.2804624997398</c:v>
                </c:pt>
                <c:pt idx="106">
                  <c:v>2551.9352091554088</c:v>
                </c:pt>
                <c:pt idx="107">
                  <c:v>2506.777054440814</c:v>
                </c:pt>
                <c:pt idx="108">
                  <c:v>2700.1189226292513</c:v>
                </c:pt>
                <c:pt idx="109">
                  <c:v>2447.1690422657202</c:v>
                </c:pt>
                <c:pt idx="110">
                  <c:v>2442.5873039813719</c:v>
                </c:pt>
                <c:pt idx="111">
                  <c:v>2243.2473140021962</c:v>
                </c:pt>
                <c:pt idx="112">
                  <c:v>2280.9337480506774</c:v>
                </c:pt>
                <c:pt idx="113">
                  <c:v>2384.5497325564911</c:v>
                </c:pt>
                <c:pt idx="114">
                  <c:v>2720.2207285292075</c:v>
                </c:pt>
                <c:pt idx="115">
                  <c:v>2591.4223494665935</c:v>
                </c:pt>
                <c:pt idx="116">
                  <c:v>2314.0183003412217</c:v>
                </c:pt>
                <c:pt idx="117">
                  <c:v>2228.8395455465507</c:v>
                </c:pt>
                <c:pt idx="118">
                  <c:v>2287.9165488634712</c:v>
                </c:pt>
                <c:pt idx="119">
                  <c:v>2623.2780159748422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61-4C3B-AACA-B8F0B9416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50 to 2,999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Weather!$EX$14:$EX$133</c:f>
              <c:numCache>
                <c:formatCode>_-* #,##0_-;\-* #,##0_-;_-* "-"??_-;_-@_-</c:formatCode>
                <c:ptCount val="120"/>
                <c:pt idx="0">
                  <c:v>68333.448148702329</c:v>
                </c:pt>
                <c:pt idx="1">
                  <c:v>73192.91788960484</c:v>
                </c:pt>
                <c:pt idx="2">
                  <c:v>81984.905739599431</c:v>
                </c:pt>
                <c:pt idx="3">
                  <c:v>74906.380929070234</c:v>
                </c:pt>
                <c:pt idx="4">
                  <c:v>76771.405870734641</c:v>
                </c:pt>
                <c:pt idx="5">
                  <c:v>77826.791501074273</c:v>
                </c:pt>
                <c:pt idx="6">
                  <c:v>80407.967983105686</c:v>
                </c:pt>
                <c:pt idx="7">
                  <c:v>79874.138859601022</c:v>
                </c:pt>
                <c:pt idx="8">
                  <c:v>79237.363397912457</c:v>
                </c:pt>
                <c:pt idx="9">
                  <c:v>74986.160435171056</c:v>
                </c:pt>
                <c:pt idx="10">
                  <c:v>74542.33731107958</c:v>
                </c:pt>
                <c:pt idx="11">
                  <c:v>73637.650730653142</c:v>
                </c:pt>
                <c:pt idx="12">
                  <c:v>80507.601640181107</c:v>
                </c:pt>
                <c:pt idx="13">
                  <c:v>76580.343685633532</c:v>
                </c:pt>
                <c:pt idx="14">
                  <c:v>78683.934829111298</c:v>
                </c:pt>
                <c:pt idx="15">
                  <c:v>74728.351982443914</c:v>
                </c:pt>
                <c:pt idx="16">
                  <c:v>76107.049127688675</c:v>
                </c:pt>
                <c:pt idx="17">
                  <c:v>78911.338172065429</c:v>
                </c:pt>
                <c:pt idx="18">
                  <c:v>81188.63998023601</c:v>
                </c:pt>
                <c:pt idx="19">
                  <c:v>85105.757891423316</c:v>
                </c:pt>
                <c:pt idx="20">
                  <c:v>77554.784284543872</c:v>
                </c:pt>
                <c:pt idx="21">
                  <c:v>75259.98481575599</c:v>
                </c:pt>
                <c:pt idx="22">
                  <c:v>75430.299219398323</c:v>
                </c:pt>
                <c:pt idx="23">
                  <c:v>76313.580267258818</c:v>
                </c:pt>
                <c:pt idx="24">
                  <c:v>80049.599174113289</c:v>
                </c:pt>
                <c:pt idx="25">
                  <c:v>72378.620890408172</c:v>
                </c:pt>
                <c:pt idx="26">
                  <c:v>80269.924008194794</c:v>
                </c:pt>
                <c:pt idx="27">
                  <c:v>71359.918711574966</c:v>
                </c:pt>
                <c:pt idx="28">
                  <c:v>74712.493895614665</c:v>
                </c:pt>
                <c:pt idx="29">
                  <c:v>75198.786660740065</c:v>
                </c:pt>
                <c:pt idx="30">
                  <c:v>76910.900496528615</c:v>
                </c:pt>
                <c:pt idx="31">
                  <c:v>79554.680965399966</c:v>
                </c:pt>
                <c:pt idx="32">
                  <c:v>76440.268083107934</c:v>
                </c:pt>
                <c:pt idx="33">
                  <c:v>74312.629650589079</c:v>
                </c:pt>
                <c:pt idx="34">
                  <c:v>75284.141944673189</c:v>
                </c:pt>
                <c:pt idx="35">
                  <c:v>76795.22830255999</c:v>
                </c:pt>
                <c:pt idx="36">
                  <c:v>82648.817436571437</c:v>
                </c:pt>
                <c:pt idx="37">
                  <c:v>73615.870044348034</c:v>
                </c:pt>
                <c:pt idx="38">
                  <c:v>78704.341783364231</c:v>
                </c:pt>
                <c:pt idx="39">
                  <c:v>75207.870409352458</c:v>
                </c:pt>
                <c:pt idx="40">
                  <c:v>76825.111931053412</c:v>
                </c:pt>
                <c:pt idx="41">
                  <c:v>78181.146786701545</c:v>
                </c:pt>
                <c:pt idx="42">
                  <c:v>83813.610961187223</c:v>
                </c:pt>
                <c:pt idx="43">
                  <c:v>86057.618803181336</c:v>
                </c:pt>
                <c:pt idx="44">
                  <c:v>80378.64596509363</c:v>
                </c:pt>
                <c:pt idx="45">
                  <c:v>78930.345111866016</c:v>
                </c:pt>
                <c:pt idx="46">
                  <c:v>79557.835521469809</c:v>
                </c:pt>
                <c:pt idx="47">
                  <c:v>77912.814233539728</c:v>
                </c:pt>
                <c:pt idx="48">
                  <c:v>86596.205911467434</c:v>
                </c:pt>
                <c:pt idx="49">
                  <c:v>78625.811757783085</c:v>
                </c:pt>
                <c:pt idx="50">
                  <c:v>83989.105398822503</c:v>
                </c:pt>
                <c:pt idx="51">
                  <c:v>76774.613386863377</c:v>
                </c:pt>
                <c:pt idx="52">
                  <c:v>77543.957365170252</c:v>
                </c:pt>
                <c:pt idx="53">
                  <c:v>78354.595788060105</c:v>
                </c:pt>
                <c:pt idx="54">
                  <c:v>87509.372733450145</c:v>
                </c:pt>
                <c:pt idx="55">
                  <c:v>84562.083438632078</c:v>
                </c:pt>
                <c:pt idx="56">
                  <c:v>78341.000891091375</c:v>
                </c:pt>
                <c:pt idx="57">
                  <c:v>77346.895752930432</c:v>
                </c:pt>
                <c:pt idx="58">
                  <c:v>79481.164212640593</c:v>
                </c:pt>
                <c:pt idx="59">
                  <c:v>79634.743428993504</c:v>
                </c:pt>
                <c:pt idx="60">
                  <c:v>83821.656222581209</c:v>
                </c:pt>
                <c:pt idx="61">
                  <c:v>79558.331802424116</c:v>
                </c:pt>
                <c:pt idx="62">
                  <c:v>77731.447516589556</c:v>
                </c:pt>
                <c:pt idx="63">
                  <c:v>65222.219596035764</c:v>
                </c:pt>
                <c:pt idx="64">
                  <c:v>68146.480734454017</c:v>
                </c:pt>
                <c:pt idx="65">
                  <c:v>75781.429744304172</c:v>
                </c:pt>
                <c:pt idx="66">
                  <c:v>86195.050287514096</c:v>
                </c:pt>
                <c:pt idx="67">
                  <c:v>82264.961331040075</c:v>
                </c:pt>
                <c:pt idx="68">
                  <c:v>75923.105813163842</c:v>
                </c:pt>
                <c:pt idx="69">
                  <c:v>75429.599373316029</c:v>
                </c:pt>
                <c:pt idx="70">
                  <c:v>75152.123332852818</c:v>
                </c:pt>
                <c:pt idx="71">
                  <c:v>77514.820182285926</c:v>
                </c:pt>
                <c:pt idx="72">
                  <c:v>79701.146010683078</c:v>
                </c:pt>
                <c:pt idx="73">
                  <c:v>75146.419554961976</c:v>
                </c:pt>
                <c:pt idx="74">
                  <c:v>80190.06216898658</c:v>
                </c:pt>
                <c:pt idx="75">
                  <c:v>71892.532430112522</c:v>
                </c:pt>
                <c:pt idx="76">
                  <c:v>74057.746160099821</c:v>
                </c:pt>
                <c:pt idx="77">
                  <c:v>78991.318290244046</c:v>
                </c:pt>
                <c:pt idx="78">
                  <c:v>80127.891245681138</c:v>
                </c:pt>
                <c:pt idx="79">
                  <c:v>85811.313417014127</c:v>
                </c:pt>
                <c:pt idx="80">
                  <c:v>76677.646988313558</c:v>
                </c:pt>
                <c:pt idx="81">
                  <c:v>75841.640567383438</c:v>
                </c:pt>
                <c:pt idx="82">
                  <c:v>76234.058526388093</c:v>
                </c:pt>
                <c:pt idx="83">
                  <c:v>77033.005522294843</c:v>
                </c:pt>
                <c:pt idx="84">
                  <c:v>83071.820007131915</c:v>
                </c:pt>
                <c:pt idx="85">
                  <c:v>77537.217107215547</c:v>
                </c:pt>
                <c:pt idx="86">
                  <c:v>83029.546269900951</c:v>
                </c:pt>
                <c:pt idx="87">
                  <c:v>75692.828094286946</c:v>
                </c:pt>
                <c:pt idx="88">
                  <c:v>78260.473000467347</c:v>
                </c:pt>
                <c:pt idx="89">
                  <c:v>80238.788363186046</c:v>
                </c:pt>
                <c:pt idx="90">
                  <c:v>84817.771304406953</c:v>
                </c:pt>
                <c:pt idx="91">
                  <c:v>87294.812783019835</c:v>
                </c:pt>
                <c:pt idx="92">
                  <c:v>79195.698967855686</c:v>
                </c:pt>
                <c:pt idx="93">
                  <c:v>77889.812677856229</c:v>
                </c:pt>
                <c:pt idx="94">
                  <c:v>80400.627157284121</c:v>
                </c:pt>
                <c:pt idx="95">
                  <c:v>81846.456588928122</c:v>
                </c:pt>
                <c:pt idx="96">
                  <c:v>85644.941389637082</c:v>
                </c:pt>
                <c:pt idx="97">
                  <c:v>78996.620739038204</c:v>
                </c:pt>
                <c:pt idx="98">
                  <c:v>84708.305391648726</c:v>
                </c:pt>
                <c:pt idx="99">
                  <c:v>76012.633257289795</c:v>
                </c:pt>
                <c:pt idx="100">
                  <c:v>78643.720834080043</c:v>
                </c:pt>
                <c:pt idx="101">
                  <c:v>81496.011746750781</c:v>
                </c:pt>
                <c:pt idx="102">
                  <c:v>86210.401082142445</c:v>
                </c:pt>
                <c:pt idx="103">
                  <c:v>85164.365350644774</c:v>
                </c:pt>
                <c:pt idx="104">
                  <c:v>80501.821832271846</c:v>
                </c:pt>
                <c:pt idx="105">
                  <c:v>79324.710501095236</c:v>
                </c:pt>
                <c:pt idx="106">
                  <c:v>79921.869356881012</c:v>
                </c:pt>
                <c:pt idx="107">
                  <c:v>79569.289961997114</c:v>
                </c:pt>
                <c:pt idx="108">
                  <c:v>88208.275282553877</c:v>
                </c:pt>
                <c:pt idx="109">
                  <c:v>81474.453217159666</c:v>
                </c:pt>
                <c:pt idx="110">
                  <c:v>82917.091695608455</c:v>
                </c:pt>
                <c:pt idx="111">
                  <c:v>79256.334179677258</c:v>
                </c:pt>
                <c:pt idx="112">
                  <c:v>81827.82800579656</c:v>
                </c:pt>
                <c:pt idx="113">
                  <c:v>82738.382964386547</c:v>
                </c:pt>
                <c:pt idx="114">
                  <c:v>89819.692460484119</c:v>
                </c:pt>
                <c:pt idx="115">
                  <c:v>86928.180533980762</c:v>
                </c:pt>
                <c:pt idx="116">
                  <c:v>81828.073470414281</c:v>
                </c:pt>
                <c:pt idx="117">
                  <c:v>78883.252724511956</c:v>
                </c:pt>
                <c:pt idx="118">
                  <c:v>76850.917104346416</c:v>
                </c:pt>
                <c:pt idx="119">
                  <c:v>80195.890568017334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2A-4553-B289-D20FB985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3,000 to 4,999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Weather!$EY$14:$EY$133</c:f>
              <c:numCache>
                <c:formatCode>_-* #,##0_-;\-* #,##0_-;_-* "-"??_-;_-@_-</c:formatCode>
                <c:ptCount val="120"/>
                <c:pt idx="0">
                  <c:v>1467514.762265095</c:v>
                </c:pt>
                <c:pt idx="1">
                  <c:v>1381739.0570571166</c:v>
                </c:pt>
                <c:pt idx="2">
                  <c:v>1476652.136713889</c:v>
                </c:pt>
                <c:pt idx="3">
                  <c:v>1440873.8823706608</c:v>
                </c:pt>
                <c:pt idx="4">
                  <c:v>1469176.8080274328</c:v>
                </c:pt>
                <c:pt idx="5">
                  <c:v>1506780.7256842048</c:v>
                </c:pt>
                <c:pt idx="6">
                  <c:v>1338386.8973409766</c:v>
                </c:pt>
                <c:pt idx="7">
                  <c:v>1367596.3049977487</c:v>
                </c:pt>
                <c:pt idx="8">
                  <c:v>1258458.4186545208</c:v>
                </c:pt>
                <c:pt idx="9">
                  <c:v>1313129.5903112928</c:v>
                </c:pt>
                <c:pt idx="10">
                  <c:v>1378930.2259680647</c:v>
                </c:pt>
                <c:pt idx="11">
                  <c:v>1242735.5856248366</c:v>
                </c:pt>
                <c:pt idx="12">
                  <c:v>1416425.2528175362</c:v>
                </c:pt>
                <c:pt idx="13">
                  <c:v>1288176.3408581954</c:v>
                </c:pt>
                <c:pt idx="14">
                  <c:v>1311951.426898855</c:v>
                </c:pt>
                <c:pt idx="15">
                  <c:v>1345379.9209395144</c:v>
                </c:pt>
                <c:pt idx="16">
                  <c:v>1184246.5089801739</c:v>
                </c:pt>
                <c:pt idx="17">
                  <c:v>1317883.0540208332</c:v>
                </c:pt>
                <c:pt idx="18">
                  <c:v>1299890.3990614926</c:v>
                </c:pt>
                <c:pt idx="19">
                  <c:v>1519725.245102152</c:v>
                </c:pt>
                <c:pt idx="20">
                  <c:v>1412947.6291428113</c:v>
                </c:pt>
                <c:pt idx="21">
                  <c:v>1364275.6091834707</c:v>
                </c:pt>
                <c:pt idx="22">
                  <c:v>1494576.6432241299</c:v>
                </c:pt>
                <c:pt idx="23">
                  <c:v>1399893.6572647896</c:v>
                </c:pt>
                <c:pt idx="24">
                  <c:v>1461379.9134998699</c:v>
                </c:pt>
                <c:pt idx="25">
                  <c:v>1403617.8892943643</c:v>
                </c:pt>
                <c:pt idx="26">
                  <c:v>1682375.0630888585</c:v>
                </c:pt>
                <c:pt idx="27">
                  <c:v>1523704.3248833527</c:v>
                </c:pt>
                <c:pt idx="28">
                  <c:v>1539860.210677847</c:v>
                </c:pt>
                <c:pt idx="29">
                  <c:v>1517220.0964723413</c:v>
                </c:pt>
                <c:pt idx="30">
                  <c:v>1433476.4402668355</c:v>
                </c:pt>
                <c:pt idx="31">
                  <c:v>1590476.79606133</c:v>
                </c:pt>
                <c:pt idx="32">
                  <c:v>1504322.543855824</c:v>
                </c:pt>
                <c:pt idx="33">
                  <c:v>1612546.6776503182</c:v>
                </c:pt>
                <c:pt idx="34">
                  <c:v>1641650.1094448126</c:v>
                </c:pt>
                <c:pt idx="35">
                  <c:v>1474231.1432393068</c:v>
                </c:pt>
                <c:pt idx="36">
                  <c:v>1575048.0710188425</c:v>
                </c:pt>
                <c:pt idx="37">
                  <c:v>1500919.3367213199</c:v>
                </c:pt>
                <c:pt idx="38">
                  <c:v>1579773.5457817789</c:v>
                </c:pt>
                <c:pt idx="39">
                  <c:v>1567422.6544515402</c:v>
                </c:pt>
                <c:pt idx="40">
                  <c:v>1562509.9168911108</c:v>
                </c:pt>
                <c:pt idx="41">
                  <c:v>1617094.6860877026</c:v>
                </c:pt>
                <c:pt idx="42">
                  <c:v>1467056.4563860528</c:v>
                </c:pt>
                <c:pt idx="43">
                  <c:v>1540674.1178497239</c:v>
                </c:pt>
                <c:pt idx="44">
                  <c:v>1454174.9840766764</c:v>
                </c:pt>
                <c:pt idx="45">
                  <c:v>1665873.874552707</c:v>
                </c:pt>
                <c:pt idx="46">
                  <c:v>1900583.1981093914</c:v>
                </c:pt>
                <c:pt idx="47">
                  <c:v>1889363.029314273</c:v>
                </c:pt>
                <c:pt idx="48">
                  <c:v>1988744.1549929937</c:v>
                </c:pt>
                <c:pt idx="49">
                  <c:v>1978927.7545515082</c:v>
                </c:pt>
                <c:pt idx="50">
                  <c:v>2151326.311610023</c:v>
                </c:pt>
                <c:pt idx="51">
                  <c:v>2037349.8461685376</c:v>
                </c:pt>
                <c:pt idx="52">
                  <c:v>2214902.2157270522</c:v>
                </c:pt>
                <c:pt idx="53">
                  <c:v>2055450.3702855669</c:v>
                </c:pt>
                <c:pt idx="54">
                  <c:v>1942506.1873440815</c:v>
                </c:pt>
                <c:pt idx="55">
                  <c:v>1931321.9269025964</c:v>
                </c:pt>
                <c:pt idx="56">
                  <c:v>1869834.7339611109</c:v>
                </c:pt>
                <c:pt idx="57">
                  <c:v>1978446.5535196254</c:v>
                </c:pt>
                <c:pt idx="58">
                  <c:v>1966534.5205781402</c:v>
                </c:pt>
                <c:pt idx="59">
                  <c:v>1832384.4251366549</c:v>
                </c:pt>
                <c:pt idx="60">
                  <c:v>1927518.7512007814</c:v>
                </c:pt>
                <c:pt idx="61">
                  <c:v>1926794.3181653707</c:v>
                </c:pt>
                <c:pt idx="62">
                  <c:v>1954657.8801509566</c:v>
                </c:pt>
                <c:pt idx="63">
                  <c:v>1634418.586675558</c:v>
                </c:pt>
                <c:pt idx="64">
                  <c:v>1642568.5208784766</c:v>
                </c:pt>
                <c:pt idx="65">
                  <c:v>1701349.0034442497</c:v>
                </c:pt>
                <c:pt idx="66">
                  <c:v>1739223.2459167221</c:v>
                </c:pt>
                <c:pt idx="67">
                  <c:v>1652311.9968723205</c:v>
                </c:pt>
                <c:pt idx="68">
                  <c:v>1603910.1221803541</c:v>
                </c:pt>
                <c:pt idx="69">
                  <c:v>1627783.3162708692</c:v>
                </c:pt>
                <c:pt idx="70">
                  <c:v>1541495.6712396722</c:v>
                </c:pt>
                <c:pt idx="71">
                  <c:v>1439438.0590428472</c:v>
                </c:pt>
                <c:pt idx="72">
                  <c:v>1490198.9719826856</c:v>
                </c:pt>
                <c:pt idx="73">
                  <c:v>1546300.0137576733</c:v>
                </c:pt>
                <c:pt idx="74">
                  <c:v>1679279.7519842484</c:v>
                </c:pt>
                <c:pt idx="75">
                  <c:v>1524253.1902662429</c:v>
                </c:pt>
                <c:pt idx="76">
                  <c:v>1614915.217524176</c:v>
                </c:pt>
                <c:pt idx="77">
                  <c:v>1564684.7924409602</c:v>
                </c:pt>
                <c:pt idx="78">
                  <c:v>1443905.5430318697</c:v>
                </c:pt>
                <c:pt idx="79">
                  <c:v>1491250.7468406935</c:v>
                </c:pt>
                <c:pt idx="80">
                  <c:v>1492591.9511188273</c:v>
                </c:pt>
                <c:pt idx="81">
                  <c:v>1429952.2352747284</c:v>
                </c:pt>
                <c:pt idx="82">
                  <c:v>1542481.4517079284</c:v>
                </c:pt>
                <c:pt idx="83">
                  <c:v>1436612.7049068713</c:v>
                </c:pt>
                <c:pt idx="84">
                  <c:v>1439970.4000570395</c:v>
                </c:pt>
                <c:pt idx="85">
                  <c:v>1523332.3053948646</c:v>
                </c:pt>
                <c:pt idx="86">
                  <c:v>1752837.3326265397</c:v>
                </c:pt>
                <c:pt idx="87">
                  <c:v>1675930.0041885586</c:v>
                </c:pt>
                <c:pt idx="88">
                  <c:v>1747947.9614688465</c:v>
                </c:pt>
                <c:pt idx="89">
                  <c:v>1797725.8920000521</c:v>
                </c:pt>
                <c:pt idx="90">
                  <c:v>1764432.6874706794</c:v>
                </c:pt>
                <c:pt idx="91">
                  <c:v>1836148.672799764</c:v>
                </c:pt>
                <c:pt idx="92">
                  <c:v>1736005.9275043751</c:v>
                </c:pt>
                <c:pt idx="93">
                  <c:v>1736931.4136510703</c:v>
                </c:pt>
                <c:pt idx="94">
                  <c:v>1778593.2049173291</c:v>
                </c:pt>
                <c:pt idx="95">
                  <c:v>1800847.3525591318</c:v>
                </c:pt>
                <c:pt idx="96">
                  <c:v>2016786.3229819827</c:v>
                </c:pt>
                <c:pt idx="97">
                  <c:v>1852283.9125822491</c:v>
                </c:pt>
                <c:pt idx="98">
                  <c:v>2041058.0041825161</c:v>
                </c:pt>
                <c:pt idx="99">
                  <c:v>1828993.9337827829</c:v>
                </c:pt>
                <c:pt idx="100">
                  <c:v>1928645.25938305</c:v>
                </c:pt>
                <c:pt idx="101">
                  <c:v>1985940.424983317</c:v>
                </c:pt>
                <c:pt idx="102">
                  <c:v>1965526.0385835834</c:v>
                </c:pt>
                <c:pt idx="103">
                  <c:v>2008145.0281838507</c:v>
                </c:pt>
                <c:pt idx="104">
                  <c:v>1597394.0597841174</c:v>
                </c:pt>
                <c:pt idx="105">
                  <c:v>1844140.7573843841</c:v>
                </c:pt>
                <c:pt idx="106">
                  <c:v>1810375.8889846511</c:v>
                </c:pt>
                <c:pt idx="107">
                  <c:v>1789764.8485849178</c:v>
                </c:pt>
                <c:pt idx="108">
                  <c:v>1803622.5766215839</c:v>
                </c:pt>
                <c:pt idx="109">
                  <c:v>1675720.4630000016</c:v>
                </c:pt>
                <c:pt idx="110">
                  <c:v>1796658.9853784193</c:v>
                </c:pt>
                <c:pt idx="111">
                  <c:v>1759566.0037568368</c:v>
                </c:pt>
                <c:pt idx="112">
                  <c:v>1751490.8521352552</c:v>
                </c:pt>
                <c:pt idx="113">
                  <c:v>1702016.1685136729</c:v>
                </c:pt>
                <c:pt idx="114">
                  <c:v>1706342.6108920905</c:v>
                </c:pt>
                <c:pt idx="115">
                  <c:v>1580383.0592705084</c:v>
                </c:pt>
                <c:pt idx="116">
                  <c:v>1609371.5236489261</c:v>
                </c:pt>
                <c:pt idx="117">
                  <c:v>1707858.282027344</c:v>
                </c:pt>
                <c:pt idx="118">
                  <c:v>1687516.6704057618</c:v>
                </c:pt>
                <c:pt idx="119">
                  <c:v>1702749.7067841794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E3-4B89-919A-5A5E14C94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Weather!$EZ$14:$EZ$133</c:f>
              <c:numCache>
                <c:formatCode>_-* #,##0_-;\-* #,##0_-;_-* "-"??_-;_-@_-</c:formatCode>
                <c:ptCount val="120"/>
                <c:pt idx="0">
                  <c:v>7695159.1032567192</c:v>
                </c:pt>
                <c:pt idx="1">
                  <c:v>6981939.9196904646</c:v>
                </c:pt>
                <c:pt idx="2">
                  <c:v>8654825.3135820292</c:v>
                </c:pt>
                <c:pt idx="3">
                  <c:v>7646002.6450527692</c:v>
                </c:pt>
                <c:pt idx="4">
                  <c:v>8281581.0460772496</c:v>
                </c:pt>
                <c:pt idx="5">
                  <c:v>6522503.2897001002</c:v>
                </c:pt>
                <c:pt idx="6">
                  <c:v>6518057.4685730878</c:v>
                </c:pt>
                <c:pt idx="7">
                  <c:v>6157553.4412665144</c:v>
                </c:pt>
                <c:pt idx="8">
                  <c:v>6388331.2047057934</c:v>
                </c:pt>
                <c:pt idx="9">
                  <c:v>7715788.890295702</c:v>
                </c:pt>
                <c:pt idx="10">
                  <c:v>6752764.576709046</c:v>
                </c:pt>
                <c:pt idx="11">
                  <c:v>5875135.907210541</c:v>
                </c:pt>
                <c:pt idx="12">
                  <c:v>5995498.3873720244</c:v>
                </c:pt>
                <c:pt idx="13">
                  <c:v>6344279.3918794626</c:v>
                </c:pt>
                <c:pt idx="14">
                  <c:v>6543816.1463869018</c:v>
                </c:pt>
                <c:pt idx="15">
                  <c:v>6524284.660894339</c:v>
                </c:pt>
                <c:pt idx="16">
                  <c:v>6180274.0504017798</c:v>
                </c:pt>
                <c:pt idx="17">
                  <c:v>5475710.1349092172</c:v>
                </c:pt>
                <c:pt idx="18">
                  <c:v>6086044.2977499887</c:v>
                </c:pt>
                <c:pt idx="19">
                  <c:v>6541525.0255907616</c:v>
                </c:pt>
                <c:pt idx="20">
                  <c:v>6038817.0400982006</c:v>
                </c:pt>
                <c:pt idx="21">
                  <c:v>6082287.4746056395</c:v>
                </c:pt>
                <c:pt idx="22">
                  <c:v>6197303.3357797442</c:v>
                </c:pt>
                <c:pt idx="23">
                  <c:v>6299938.8036205163</c:v>
                </c:pt>
                <c:pt idx="24">
                  <c:v>6331912.3924570614</c:v>
                </c:pt>
                <c:pt idx="25">
                  <c:v>5805126.6400518343</c:v>
                </c:pt>
                <c:pt idx="26">
                  <c:v>6870050.4209799394</c:v>
                </c:pt>
                <c:pt idx="27">
                  <c:v>5900086.558574711</c:v>
                </c:pt>
                <c:pt idx="28">
                  <c:v>7329340.5395028181</c:v>
                </c:pt>
                <c:pt idx="29">
                  <c:v>6703831.5337642552</c:v>
                </c:pt>
                <c:pt idx="30">
                  <c:v>6237204.9646923617</c:v>
                </c:pt>
                <c:pt idx="31">
                  <c:v>6327458.4889537999</c:v>
                </c:pt>
                <c:pt idx="32">
                  <c:v>6005154.1265485734</c:v>
                </c:pt>
                <c:pt idx="33">
                  <c:v>6415697.8941433458</c:v>
                </c:pt>
                <c:pt idx="34">
                  <c:v>7175541.5517381178</c:v>
                </c:pt>
                <c:pt idx="35">
                  <c:v>6803742.5159995556</c:v>
                </c:pt>
                <c:pt idx="36">
                  <c:v>7362343.3121277234</c:v>
                </c:pt>
                <c:pt idx="37">
                  <c:v>6598397.994778771</c:v>
                </c:pt>
                <c:pt idx="38">
                  <c:v>7368069.0188323297</c:v>
                </c:pt>
                <c:pt idx="39">
                  <c:v>6915571.0106832096</c:v>
                </c:pt>
                <c:pt idx="40">
                  <c:v>6616822.1785413641</c:v>
                </c:pt>
                <c:pt idx="41">
                  <c:v>5728853.1726919878</c:v>
                </c:pt>
                <c:pt idx="42">
                  <c:v>5870091.8099053726</c:v>
                </c:pt>
                <c:pt idx="43">
                  <c:v>6004881.7363363309</c:v>
                </c:pt>
                <c:pt idx="44">
                  <c:v>5701572.8580370247</c:v>
                </c:pt>
                <c:pt idx="45">
                  <c:v>6237347.5579246441</c:v>
                </c:pt>
                <c:pt idx="46">
                  <c:v>5704793.1122851316</c:v>
                </c:pt>
                <c:pt idx="47">
                  <c:v>5631910.1202139342</c:v>
                </c:pt>
                <c:pt idx="48">
                  <c:v>5813671.9333070749</c:v>
                </c:pt>
                <c:pt idx="49">
                  <c:v>5363879.9618049711</c:v>
                </c:pt>
                <c:pt idx="50">
                  <c:v>5607639.8953028657</c:v>
                </c:pt>
                <c:pt idx="51">
                  <c:v>5670764.2738007614</c:v>
                </c:pt>
                <c:pt idx="52">
                  <c:v>5894560.6372986557</c:v>
                </c:pt>
                <c:pt idx="53">
                  <c:v>6067806.3782965513</c:v>
                </c:pt>
                <c:pt idx="54">
                  <c:v>6079610.8042944474</c:v>
                </c:pt>
                <c:pt idx="55">
                  <c:v>5173683.9477923419</c:v>
                </c:pt>
                <c:pt idx="56">
                  <c:v>5703729.6387902377</c:v>
                </c:pt>
                <c:pt idx="57">
                  <c:v>6266653.8297881326</c:v>
                </c:pt>
                <c:pt idx="58">
                  <c:v>5924490.8907860285</c:v>
                </c:pt>
                <c:pt idx="59">
                  <c:v>6018830.1492839241</c:v>
                </c:pt>
                <c:pt idx="60">
                  <c:v>6215230.1455665613</c:v>
                </c:pt>
                <c:pt idx="61">
                  <c:v>5751529.16046937</c:v>
                </c:pt>
                <c:pt idx="62">
                  <c:v>6221722.8753721779</c:v>
                </c:pt>
                <c:pt idx="63">
                  <c:v>5254891.2827749858</c:v>
                </c:pt>
                <c:pt idx="64">
                  <c:v>5580020.6601777943</c:v>
                </c:pt>
                <c:pt idx="65">
                  <c:v>6071899.4625806026</c:v>
                </c:pt>
                <c:pt idx="66">
                  <c:v>6247311.2799834115</c:v>
                </c:pt>
                <c:pt idx="67">
                  <c:v>5666159.3873862196</c:v>
                </c:pt>
                <c:pt idx="68">
                  <c:v>5813993.6097890278</c:v>
                </c:pt>
                <c:pt idx="69">
                  <c:v>6067488.6996918358</c:v>
                </c:pt>
                <c:pt idx="70">
                  <c:v>6023583.8920946438</c:v>
                </c:pt>
                <c:pt idx="71">
                  <c:v>6030290.3619974516</c:v>
                </c:pt>
                <c:pt idx="72">
                  <c:v>6590993.0992395971</c:v>
                </c:pt>
                <c:pt idx="73">
                  <c:v>6075405.3606339414</c:v>
                </c:pt>
                <c:pt idx="74">
                  <c:v>6602260.7695282875</c:v>
                </c:pt>
                <c:pt idx="75">
                  <c:v>6105856.163422632</c:v>
                </c:pt>
                <c:pt idx="76">
                  <c:v>6847636.662316977</c:v>
                </c:pt>
                <c:pt idx="77">
                  <c:v>6667335.2612113226</c:v>
                </c:pt>
                <c:pt idx="78">
                  <c:v>6738180.370105668</c:v>
                </c:pt>
                <c:pt idx="79">
                  <c:v>5947833.0765000135</c:v>
                </c:pt>
                <c:pt idx="80">
                  <c:v>6182262.5628943583</c:v>
                </c:pt>
                <c:pt idx="81">
                  <c:v>6287406.9967887048</c:v>
                </c:pt>
                <c:pt idx="82">
                  <c:v>6265148.695683049</c:v>
                </c:pt>
                <c:pt idx="83">
                  <c:v>6062007.5795773948</c:v>
                </c:pt>
                <c:pt idx="84">
                  <c:v>6472296.2577988198</c:v>
                </c:pt>
                <c:pt idx="85">
                  <c:v>6200142.3260841956</c:v>
                </c:pt>
                <c:pt idx="86">
                  <c:v>7006456.5643695723</c:v>
                </c:pt>
                <c:pt idx="87">
                  <c:v>6599596.8501549494</c:v>
                </c:pt>
                <c:pt idx="88">
                  <c:v>6844139.9759403253</c:v>
                </c:pt>
                <c:pt idx="89">
                  <c:v>6757612.5917257024</c:v>
                </c:pt>
                <c:pt idx="90">
                  <c:v>6690303.5950110788</c:v>
                </c:pt>
                <c:pt idx="91">
                  <c:v>5284392.7532964554</c:v>
                </c:pt>
                <c:pt idx="92">
                  <c:v>6406369.6540818317</c:v>
                </c:pt>
                <c:pt idx="93">
                  <c:v>6527190.9498672085</c:v>
                </c:pt>
                <c:pt idx="94">
                  <c:v>6321118.4081525858</c:v>
                </c:pt>
                <c:pt idx="95">
                  <c:v>6433325.2614379618</c:v>
                </c:pt>
                <c:pt idx="96">
                  <c:v>6575141.4075742261</c:v>
                </c:pt>
                <c:pt idx="97">
                  <c:v>5993179.5814212868</c:v>
                </c:pt>
                <c:pt idx="98">
                  <c:v>6616960.8888429729</c:v>
                </c:pt>
                <c:pt idx="99">
                  <c:v>6066066.7167484397</c:v>
                </c:pt>
                <c:pt idx="100">
                  <c:v>5707244.201714078</c:v>
                </c:pt>
                <c:pt idx="101">
                  <c:v>6029814.1472365437</c:v>
                </c:pt>
                <c:pt idx="102">
                  <c:v>5574611.1492854664</c:v>
                </c:pt>
                <c:pt idx="103">
                  <c:v>5923474.1869754987</c:v>
                </c:pt>
                <c:pt idx="104">
                  <c:v>5951921.6794834239</c:v>
                </c:pt>
                <c:pt idx="105">
                  <c:v>6217079.6722496981</c:v>
                </c:pt>
                <c:pt idx="106">
                  <c:v>5783919.6313628769</c:v>
                </c:pt>
                <c:pt idx="107">
                  <c:v>5554147.2397704115</c:v>
                </c:pt>
                <c:pt idx="108">
                  <c:v>5740664.4989995109</c:v>
                </c:pt>
                <c:pt idx="109">
                  <c:v>5764204.2763694962</c:v>
                </c:pt>
                <c:pt idx="110">
                  <c:v>5917833.3105702829</c:v>
                </c:pt>
                <c:pt idx="111">
                  <c:v>4909557.9283562694</c:v>
                </c:pt>
                <c:pt idx="112">
                  <c:v>5860806.4499586551</c:v>
                </c:pt>
                <c:pt idx="113">
                  <c:v>5836079.4247826403</c:v>
                </c:pt>
                <c:pt idx="114">
                  <c:v>6065379.7256826265</c:v>
                </c:pt>
                <c:pt idx="115">
                  <c:v>5907633.4368962133</c:v>
                </c:pt>
                <c:pt idx="116">
                  <c:v>5915448.2997761993</c:v>
                </c:pt>
                <c:pt idx="117">
                  <c:v>5866630.5096005853</c:v>
                </c:pt>
                <c:pt idx="118">
                  <c:v>5820891.7413221709</c:v>
                </c:pt>
                <c:pt idx="119">
                  <c:v>5726067.0164397564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C5-497A-A106-7EA913EE9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Weather!$FA$14:$FA$133</c:f>
              <c:numCache>
                <c:formatCode>_-* #,##0_-;\-* #,##0_-;_-* "-"??_-;_-@_-</c:formatCode>
                <c:ptCount val="120"/>
                <c:pt idx="0">
                  <c:v>808.39489300442199</c:v>
                </c:pt>
                <c:pt idx="1">
                  <c:v>731.64247378778566</c:v>
                </c:pt>
                <c:pt idx="2">
                  <c:v>696.48724531951905</c:v>
                </c:pt>
                <c:pt idx="3">
                  <c:v>595.28855159193131</c:v>
                </c:pt>
                <c:pt idx="4">
                  <c:v>634.1791883957568</c:v>
                </c:pt>
                <c:pt idx="5">
                  <c:v>688.86182594095385</c:v>
                </c:pt>
                <c:pt idx="6">
                  <c:v>947.50740205886132</c:v>
                </c:pt>
                <c:pt idx="7">
                  <c:v>864.20943828468705</c:v>
                </c:pt>
                <c:pt idx="8">
                  <c:v>804.27627650396221</c:v>
                </c:pt>
                <c:pt idx="9">
                  <c:v>621.10309036581009</c:v>
                </c:pt>
                <c:pt idx="10">
                  <c:v>624.79421130682624</c:v>
                </c:pt>
                <c:pt idx="11">
                  <c:v>721.33895400128642</c:v>
                </c:pt>
                <c:pt idx="12">
                  <c:v>796.83798394862481</c:v>
                </c:pt>
                <c:pt idx="13">
                  <c:v>715.07711769178752</c:v>
                </c:pt>
                <c:pt idx="14">
                  <c:v>698.70998800230711</c:v>
                </c:pt>
                <c:pt idx="15">
                  <c:v>633.71602026856613</c:v>
                </c:pt>
                <c:pt idx="16">
                  <c:v>698.67860046683268</c:v>
                </c:pt>
                <c:pt idx="17">
                  <c:v>850.62506961959116</c:v>
                </c:pt>
                <c:pt idx="18">
                  <c:v>1107.3352412829745</c:v>
                </c:pt>
                <c:pt idx="19">
                  <c:v>1172.4672454582378</c:v>
                </c:pt>
                <c:pt idx="20">
                  <c:v>816.81519529263176</c:v>
                </c:pt>
                <c:pt idx="21">
                  <c:v>654.2271939343899</c:v>
                </c:pt>
                <c:pt idx="22">
                  <c:v>648.16938687617187</c:v>
                </c:pt>
                <c:pt idx="23">
                  <c:v>796.88562858500165</c:v>
                </c:pt>
                <c:pt idx="24">
                  <c:v>769.57888933599929</c:v>
                </c:pt>
                <c:pt idx="25">
                  <c:v>665.8166163784399</c:v>
                </c:pt>
                <c:pt idx="26">
                  <c:v>720.74850036497025</c:v>
                </c:pt>
                <c:pt idx="27">
                  <c:v>619.17674730103477</c:v>
                </c:pt>
                <c:pt idx="28">
                  <c:v>643.46752429054789</c:v>
                </c:pt>
                <c:pt idx="29">
                  <c:v>769.7274756262841</c:v>
                </c:pt>
                <c:pt idx="30">
                  <c:v>955.45178819242733</c:v>
                </c:pt>
                <c:pt idx="31">
                  <c:v>883.56420016094387</c:v>
                </c:pt>
                <c:pt idx="32">
                  <c:v>818.29960449709563</c:v>
                </c:pt>
                <c:pt idx="33">
                  <c:v>664.37025067382797</c:v>
                </c:pt>
                <c:pt idx="34">
                  <c:v>691.08097875840656</c:v>
                </c:pt>
                <c:pt idx="35">
                  <c:v>842.28189130774638</c:v>
                </c:pt>
                <c:pt idx="36">
                  <c:v>817.11900232443566</c:v>
                </c:pt>
                <c:pt idx="37">
                  <c:v>689.62425486656173</c:v>
                </c:pt>
                <c:pt idx="38">
                  <c:v>714.53330488923336</c:v>
                </c:pt>
                <c:pt idx="39">
                  <c:v>673.95532540807301</c:v>
                </c:pt>
                <c:pt idx="40">
                  <c:v>700.21262189561264</c:v>
                </c:pt>
                <c:pt idx="41">
                  <c:v>831.3199649390632</c:v>
                </c:pt>
                <c:pt idx="42">
                  <c:v>1131.2691704563454</c:v>
                </c:pt>
                <c:pt idx="43">
                  <c:v>1106.1970092572251</c:v>
                </c:pt>
                <c:pt idx="44">
                  <c:v>878.09797543256741</c:v>
                </c:pt>
                <c:pt idx="45">
                  <c:v>682.20441352110606</c:v>
                </c:pt>
                <c:pt idx="46">
                  <c:v>708.74598973055265</c:v>
                </c:pt>
                <c:pt idx="47">
                  <c:v>803.19173670938687</c:v>
                </c:pt>
                <c:pt idx="48">
                  <c:v>815.68764723666493</c:v>
                </c:pt>
                <c:pt idx="49">
                  <c:v>711.51275544437567</c:v>
                </c:pt>
                <c:pt idx="50">
                  <c:v>728.43725903066093</c:v>
                </c:pt>
                <c:pt idx="51">
                  <c:v>638.21519782169435</c:v>
                </c:pt>
                <c:pt idx="52">
                  <c:v>631.61093166453998</c:v>
                </c:pt>
                <c:pt idx="53">
                  <c:v>757.14648148690821</c:v>
                </c:pt>
                <c:pt idx="54">
                  <c:v>1133.1736268658151</c:v>
                </c:pt>
                <c:pt idx="55">
                  <c:v>954.98428942876285</c:v>
                </c:pt>
                <c:pt idx="56">
                  <c:v>696.63016585428454</c:v>
                </c:pt>
                <c:pt idx="57">
                  <c:v>639.34463545164476</c:v>
                </c:pt>
                <c:pt idx="58">
                  <c:v>696.68981507452941</c:v>
                </c:pt>
                <c:pt idx="59">
                  <c:v>793.59427949032715</c:v>
                </c:pt>
                <c:pt idx="60">
                  <c:v>759.18516343828219</c:v>
                </c:pt>
                <c:pt idx="61">
                  <c:v>704.13350524097268</c:v>
                </c:pt>
                <c:pt idx="62">
                  <c:v>718.30222795330872</c:v>
                </c:pt>
                <c:pt idx="63">
                  <c:v>689.34112799122033</c:v>
                </c:pt>
                <c:pt idx="64">
                  <c:v>766.05988780388884</c:v>
                </c:pt>
                <c:pt idx="65">
                  <c:v>963.86297917607533</c:v>
                </c:pt>
                <c:pt idx="66">
                  <c:v>1316.9158827799461</c:v>
                </c:pt>
                <c:pt idx="67">
                  <c:v>1089.898729939727</c:v>
                </c:pt>
                <c:pt idx="68">
                  <c:v>742.41003469073496</c:v>
                </c:pt>
                <c:pt idx="69">
                  <c:v>682.07315250864053</c:v>
                </c:pt>
                <c:pt idx="70">
                  <c:v>694.24590213739293</c:v>
                </c:pt>
                <c:pt idx="71">
                  <c:v>827.74463745114349</c:v>
                </c:pt>
                <c:pt idx="72">
                  <c:v>814.07948501675457</c:v>
                </c:pt>
                <c:pt idx="73">
                  <c:v>745.21600626867166</c:v>
                </c:pt>
                <c:pt idx="74">
                  <c:v>727.14228451141605</c:v>
                </c:pt>
                <c:pt idx="75">
                  <c:v>657.24552370670949</c:v>
                </c:pt>
                <c:pt idx="76">
                  <c:v>734.88244600841938</c:v>
                </c:pt>
                <c:pt idx="77">
                  <c:v>944.31293731640756</c:v>
                </c:pt>
                <c:pt idx="78">
                  <c:v>989.92130864737442</c:v>
                </c:pt>
                <c:pt idx="79">
                  <c:v>1169.6587548901061</c:v>
                </c:pt>
                <c:pt idx="80">
                  <c:v>760.93873785577307</c:v>
                </c:pt>
                <c:pt idx="81">
                  <c:v>676.97006769333245</c:v>
                </c:pt>
                <c:pt idx="82">
                  <c:v>679.58616194014814</c:v>
                </c:pt>
                <c:pt idx="83">
                  <c:v>782.79907110066165</c:v>
                </c:pt>
                <c:pt idx="84">
                  <c:v>850.21558076250244</c:v>
                </c:pt>
                <c:pt idx="85">
                  <c:v>722.25812034716432</c:v>
                </c:pt>
                <c:pt idx="86">
                  <c:v>729.7219230543617</c:v>
                </c:pt>
                <c:pt idx="87">
                  <c:v>644.19987549462235</c:v>
                </c:pt>
                <c:pt idx="88">
                  <c:v>699.23777705247926</c:v>
                </c:pt>
                <c:pt idx="89">
                  <c:v>819.22040086877723</c:v>
                </c:pt>
                <c:pt idx="90">
                  <c:v>1032.6563388769443</c:v>
                </c:pt>
                <c:pt idx="91">
                  <c:v>1056.5828669904672</c:v>
                </c:pt>
                <c:pt idx="92">
                  <c:v>760.59439429232782</c:v>
                </c:pt>
                <c:pt idx="93">
                  <c:v>641.39518126823975</c:v>
                </c:pt>
                <c:pt idx="94">
                  <c:v>665.2319241773049</c:v>
                </c:pt>
                <c:pt idx="95">
                  <c:v>784.9521089239164</c:v>
                </c:pt>
                <c:pt idx="96">
                  <c:v>758.85767159493025</c:v>
                </c:pt>
                <c:pt idx="97">
                  <c:v>685.95162954058037</c:v>
                </c:pt>
                <c:pt idx="98">
                  <c:v>709.69116774681243</c:v>
                </c:pt>
                <c:pt idx="99">
                  <c:v>633.04832363515288</c:v>
                </c:pt>
                <c:pt idx="100">
                  <c:v>666.26919406307047</c:v>
                </c:pt>
                <c:pt idx="101">
                  <c:v>847.11467338222906</c:v>
                </c:pt>
                <c:pt idx="102">
                  <c:v>1050.8197571374474</c:v>
                </c:pt>
                <c:pt idx="103">
                  <c:v>910.04958562599791</c:v>
                </c:pt>
                <c:pt idx="104">
                  <c:v>789.61680446480625</c:v>
                </c:pt>
                <c:pt idx="105">
                  <c:v>683.50841659030789</c:v>
                </c:pt>
                <c:pt idx="106">
                  <c:v>685.51102977124128</c:v>
                </c:pt>
                <c:pt idx="107">
                  <c:v>766.78388251286833</c:v>
                </c:pt>
                <c:pt idx="108">
                  <c:v>790.17364039093786</c:v>
                </c:pt>
                <c:pt idx="109">
                  <c:v>697.89121023719213</c:v>
                </c:pt>
                <c:pt idx="110">
                  <c:v>703.29144346875455</c:v>
                </c:pt>
                <c:pt idx="111">
                  <c:v>639.63948670336049</c:v>
                </c:pt>
                <c:pt idx="112">
                  <c:v>699.66991002456484</c:v>
                </c:pt>
                <c:pt idx="113">
                  <c:v>882.60925045827264</c:v>
                </c:pt>
                <c:pt idx="114">
                  <c:v>1110.4715683241668</c:v>
                </c:pt>
                <c:pt idx="115">
                  <c:v>1008.2084755753009</c:v>
                </c:pt>
                <c:pt idx="116">
                  <c:v>808.47715713056789</c:v>
                </c:pt>
                <c:pt idx="117">
                  <c:v>659.78350031941977</c:v>
                </c:pt>
                <c:pt idx="118">
                  <c:v>676.33802342509011</c:v>
                </c:pt>
                <c:pt idx="119">
                  <c:v>814.27801422919913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A3-4B85-9536-0D923CEB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</a:t>
            </a:r>
            <a:r>
              <a:rPr lang="en-CA" b="1" baseline="0"/>
              <a:t> Service &lt; 50 kW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Weather!$FB$14:$FB$133</c:f>
              <c:numCache>
                <c:formatCode>_-* #,##0_-;\-* #,##0_-;_-* "-"??_-;_-@_-</c:formatCode>
                <c:ptCount val="120"/>
                <c:pt idx="0">
                  <c:v>3594.3895364502805</c:v>
                </c:pt>
                <c:pt idx="1">
                  <c:v>3436.3037422373641</c:v>
                </c:pt>
                <c:pt idx="2">
                  <c:v>3327.2263375627776</c:v>
                </c:pt>
                <c:pt idx="3">
                  <c:v>2828.9380058713659</c:v>
                </c:pt>
                <c:pt idx="4">
                  <c:v>2822.7324190730806</c:v>
                </c:pt>
                <c:pt idx="5">
                  <c:v>2900.6546738815809</c:v>
                </c:pt>
                <c:pt idx="6">
                  <c:v>3313.0811598981259</c:v>
                </c:pt>
                <c:pt idx="7">
                  <c:v>3197.2817300597194</c:v>
                </c:pt>
                <c:pt idx="8">
                  <c:v>3090.5829033476812</c:v>
                </c:pt>
                <c:pt idx="9">
                  <c:v>2802.0566083492472</c:v>
                </c:pt>
                <c:pt idx="10">
                  <c:v>2888.9325035567581</c:v>
                </c:pt>
                <c:pt idx="11">
                  <c:v>3071.8980220800104</c:v>
                </c:pt>
                <c:pt idx="12">
                  <c:v>3675.9423481826507</c:v>
                </c:pt>
                <c:pt idx="13">
                  <c:v>3441.0557009775894</c:v>
                </c:pt>
                <c:pt idx="14">
                  <c:v>3394.8481384160868</c:v>
                </c:pt>
                <c:pt idx="15">
                  <c:v>3157.3618188376358</c:v>
                </c:pt>
                <c:pt idx="16">
                  <c:v>3160.567826658923</c:v>
                </c:pt>
                <c:pt idx="17">
                  <c:v>3403.8082123160402</c:v>
                </c:pt>
                <c:pt idx="18">
                  <c:v>3754.1617864814184</c:v>
                </c:pt>
                <c:pt idx="19">
                  <c:v>3909.8338092341378</c:v>
                </c:pt>
                <c:pt idx="20">
                  <c:v>3373.0872996134553</c:v>
                </c:pt>
                <c:pt idx="21">
                  <c:v>3107.9452881172087</c:v>
                </c:pt>
                <c:pt idx="22">
                  <c:v>3181.5530636619346</c:v>
                </c:pt>
                <c:pt idx="23">
                  <c:v>3602.3904215281796</c:v>
                </c:pt>
                <c:pt idx="24">
                  <c:v>3666.292981100999</c:v>
                </c:pt>
                <c:pt idx="25">
                  <c:v>3281.4151435210006</c:v>
                </c:pt>
                <c:pt idx="26">
                  <c:v>3579.1506266524975</c:v>
                </c:pt>
                <c:pt idx="27">
                  <c:v>2971.5074975560583</c:v>
                </c:pt>
                <c:pt idx="28">
                  <c:v>3052.643250272095</c:v>
                </c:pt>
                <c:pt idx="29">
                  <c:v>3174.6848019122467</c:v>
                </c:pt>
                <c:pt idx="30">
                  <c:v>3445.2637837407319</c:v>
                </c:pt>
                <c:pt idx="31">
                  <c:v>3407.2978330981214</c:v>
                </c:pt>
                <c:pt idx="32">
                  <c:v>3248.307605957606</c:v>
                </c:pt>
                <c:pt idx="33">
                  <c:v>3037.5037376544105</c:v>
                </c:pt>
                <c:pt idx="34">
                  <c:v>3240.4847114325612</c:v>
                </c:pt>
                <c:pt idx="35">
                  <c:v>3668.6828335568448</c:v>
                </c:pt>
                <c:pt idx="36">
                  <c:v>3922.8579687124088</c:v>
                </c:pt>
                <c:pt idx="37">
                  <c:v>3345.7478529974228</c:v>
                </c:pt>
                <c:pt idx="38">
                  <c:v>3507.5842444004616</c:v>
                </c:pt>
                <c:pt idx="39">
                  <c:v>3197.8584542669059</c:v>
                </c:pt>
                <c:pt idx="40">
                  <c:v>3149.4469808115559</c:v>
                </c:pt>
                <c:pt idx="41">
                  <c:v>3247.8097913333022</c:v>
                </c:pt>
                <c:pt idx="42">
                  <c:v>3714.8731593744569</c:v>
                </c:pt>
                <c:pt idx="43">
                  <c:v>3751.4108393197976</c:v>
                </c:pt>
                <c:pt idx="44">
                  <c:v>3271.449402130394</c:v>
                </c:pt>
                <c:pt idx="45">
                  <c:v>3111.6562941188686</c:v>
                </c:pt>
                <c:pt idx="46">
                  <c:v>3363.1389705471502</c:v>
                </c:pt>
                <c:pt idx="47">
                  <c:v>3511.7019724454981</c:v>
                </c:pt>
                <c:pt idx="48">
                  <c:v>3923.8067467874134</c:v>
                </c:pt>
                <c:pt idx="49">
                  <c:v>3493.5480849339688</c:v>
                </c:pt>
                <c:pt idx="50">
                  <c:v>3618.5109938771539</c:v>
                </c:pt>
                <c:pt idx="51">
                  <c:v>3131.949991847921</c:v>
                </c:pt>
                <c:pt idx="52">
                  <c:v>3026.65865834127</c:v>
                </c:pt>
                <c:pt idx="53">
                  <c:v>3138.1149964924812</c:v>
                </c:pt>
                <c:pt idx="54">
                  <c:v>3800.239255370614</c:v>
                </c:pt>
                <c:pt idx="55">
                  <c:v>3536.8973657922675</c:v>
                </c:pt>
                <c:pt idx="56">
                  <c:v>3041.3889560964381</c:v>
                </c:pt>
                <c:pt idx="57">
                  <c:v>2989.4787162384341</c:v>
                </c:pt>
                <c:pt idx="58">
                  <c:v>3304.5216018850392</c:v>
                </c:pt>
                <c:pt idx="59">
                  <c:v>3552.4580559617843</c:v>
                </c:pt>
                <c:pt idx="60">
                  <c:v>3625.6393131082527</c:v>
                </c:pt>
                <c:pt idx="61">
                  <c:v>3403.2697802860348</c:v>
                </c:pt>
                <c:pt idx="62">
                  <c:v>3116.8803238953592</c:v>
                </c:pt>
                <c:pt idx="63">
                  <c:v>2461.6549546073061</c:v>
                </c:pt>
                <c:pt idx="64">
                  <c:v>2550.569290922027</c:v>
                </c:pt>
                <c:pt idx="65">
                  <c:v>2917.7255121891581</c:v>
                </c:pt>
                <c:pt idx="66">
                  <c:v>3624.8871642393774</c:v>
                </c:pt>
                <c:pt idx="67">
                  <c:v>3342.067920241127</c:v>
                </c:pt>
                <c:pt idx="68">
                  <c:v>2846.9097199492503</c:v>
                </c:pt>
                <c:pt idx="69">
                  <c:v>2823.6682459391213</c:v>
                </c:pt>
                <c:pt idx="70">
                  <c:v>2927.1499921531417</c:v>
                </c:pt>
                <c:pt idx="71">
                  <c:v>3259.5983988515072</c:v>
                </c:pt>
                <c:pt idx="72">
                  <c:v>3239.0126987610111</c:v>
                </c:pt>
                <c:pt idx="73">
                  <c:v>3106.8842462822427</c:v>
                </c:pt>
                <c:pt idx="74">
                  <c:v>3147.9739915480882</c:v>
                </c:pt>
                <c:pt idx="75">
                  <c:v>2639.3476856633338</c:v>
                </c:pt>
                <c:pt idx="76">
                  <c:v>2660.594997875784</c:v>
                </c:pt>
                <c:pt idx="77">
                  <c:v>3002.3468765352955</c:v>
                </c:pt>
                <c:pt idx="78">
                  <c:v>3228.9456498985687</c:v>
                </c:pt>
                <c:pt idx="79">
                  <c:v>3601.2554017600851</c:v>
                </c:pt>
                <c:pt idx="80">
                  <c:v>2936.7737290239716</c:v>
                </c:pt>
                <c:pt idx="81">
                  <c:v>2857.803616748351</c:v>
                </c:pt>
                <c:pt idx="82">
                  <c:v>3003.8798007892028</c:v>
                </c:pt>
                <c:pt idx="83">
                  <c:v>3252.823487257991</c:v>
                </c:pt>
                <c:pt idx="84">
                  <c:v>3577.5621021740399</c:v>
                </c:pt>
                <c:pt idx="85">
                  <c:v>3262.7081250697961</c:v>
                </c:pt>
                <c:pt idx="86">
                  <c:v>3374.0953542081074</c:v>
                </c:pt>
                <c:pt idx="87">
                  <c:v>2902.8641533628252</c:v>
                </c:pt>
                <c:pt idx="88">
                  <c:v>2869.2160726713423</c:v>
                </c:pt>
                <c:pt idx="89">
                  <c:v>3078.7709018722671</c:v>
                </c:pt>
                <c:pt idx="90">
                  <c:v>3416.9119474823151</c:v>
                </c:pt>
                <c:pt idx="91">
                  <c:v>3506.3147830249136</c:v>
                </c:pt>
                <c:pt idx="92">
                  <c:v>2952.3382465664199</c:v>
                </c:pt>
                <c:pt idx="93">
                  <c:v>2809.0200168782585</c:v>
                </c:pt>
                <c:pt idx="94">
                  <c:v>2992.9689717064475</c:v>
                </c:pt>
                <c:pt idx="95">
                  <c:v>3295.8883313287761</c:v>
                </c:pt>
                <c:pt idx="96">
                  <c:v>3340.6495648464556</c:v>
                </c:pt>
                <c:pt idx="97">
                  <c:v>3082.9874171819747</c:v>
                </c:pt>
                <c:pt idx="98">
                  <c:v>3220.01157252231</c:v>
                </c:pt>
                <c:pt idx="99">
                  <c:v>2767.4376320514361</c:v>
                </c:pt>
                <c:pt idx="100">
                  <c:v>2832.1479048732003</c:v>
                </c:pt>
                <c:pt idx="101">
                  <c:v>2984.8421562504759</c:v>
                </c:pt>
                <c:pt idx="102">
                  <c:v>3218.7649736602762</c:v>
                </c:pt>
                <c:pt idx="103">
                  <c:v>3100.958767212614</c:v>
                </c:pt>
                <c:pt idx="104">
                  <c:v>3646.4400696829739</c:v>
                </c:pt>
                <c:pt idx="105">
                  <c:v>3578.0674475842552</c:v>
                </c:pt>
                <c:pt idx="106">
                  <c:v>2970.5712112509123</c:v>
                </c:pt>
                <c:pt idx="107">
                  <c:v>3103.5653459632267</c:v>
                </c:pt>
                <c:pt idx="108">
                  <c:v>3539.9669123757049</c:v>
                </c:pt>
                <c:pt idx="109">
                  <c:v>3026.6831708451746</c:v>
                </c:pt>
                <c:pt idx="110">
                  <c:v>3019.2480776351977</c:v>
                </c:pt>
                <c:pt idx="111">
                  <c:v>2777.1301402128829</c:v>
                </c:pt>
                <c:pt idx="112">
                  <c:v>2952.6555303448931</c:v>
                </c:pt>
                <c:pt idx="113">
                  <c:v>3145.3083143657477</c:v>
                </c:pt>
                <c:pt idx="114">
                  <c:v>3850.8451864705271</c:v>
                </c:pt>
                <c:pt idx="115">
                  <c:v>3280.7795134237631</c:v>
                </c:pt>
                <c:pt idx="116">
                  <c:v>2948.8099102002011</c:v>
                </c:pt>
                <c:pt idx="117">
                  <c:v>2817.4512730147267</c:v>
                </c:pt>
                <c:pt idx="118">
                  <c:v>2841.2700922720041</c:v>
                </c:pt>
                <c:pt idx="119">
                  <c:v>3243.6776960026805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D3-4111-BF4C-49803900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</a:t>
            </a:r>
            <a:r>
              <a:rPr lang="en-CA" b="1" baseline="0"/>
              <a:t> Service 50 to 2,999 kW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Weather!$FC$14:$FC$133</c:f>
              <c:numCache>
                <c:formatCode>_-* #,##0_-;\-* #,##0_-;_-* "-"??_-;_-@_-</c:formatCode>
                <c:ptCount val="120"/>
                <c:pt idx="0">
                  <c:v>84380.292922166525</c:v>
                </c:pt>
                <c:pt idx="1">
                  <c:v>82736.9201462973</c:v>
                </c:pt>
                <c:pt idx="2">
                  <c:v>80335.849706834604</c:v>
                </c:pt>
                <c:pt idx="3">
                  <c:v>77005.588587496095</c:v>
                </c:pt>
                <c:pt idx="4">
                  <c:v>76364.594460465436</c:v>
                </c:pt>
                <c:pt idx="5">
                  <c:v>79177.182232595878</c:v>
                </c:pt>
                <c:pt idx="6">
                  <c:v>84128.889639637768</c:v>
                </c:pt>
                <c:pt idx="7">
                  <c:v>84264.798387629184</c:v>
                </c:pt>
                <c:pt idx="8">
                  <c:v>82786.694962127076</c:v>
                </c:pt>
                <c:pt idx="9">
                  <c:v>80467.229122685283</c:v>
                </c:pt>
                <c:pt idx="10">
                  <c:v>80111.90181916907</c:v>
                </c:pt>
                <c:pt idx="11">
                  <c:v>80466.298938556589</c:v>
                </c:pt>
                <c:pt idx="12">
                  <c:v>87642.09451791941</c:v>
                </c:pt>
                <c:pt idx="13">
                  <c:v>85872.05414338944</c:v>
                </c:pt>
                <c:pt idx="14">
                  <c:v>83322.412168472496</c:v>
                </c:pt>
                <c:pt idx="15">
                  <c:v>79817.895695350948</c:v>
                </c:pt>
                <c:pt idx="16">
                  <c:v>79089.801263549802</c:v>
                </c:pt>
                <c:pt idx="17">
                  <c:v>81919.656826691265</c:v>
                </c:pt>
                <c:pt idx="18">
                  <c:v>83564.617695721841</c:v>
                </c:pt>
                <c:pt idx="19">
                  <c:v>89188.301749081787</c:v>
                </c:pt>
                <c:pt idx="20">
                  <c:v>83504.344873595139</c:v>
                </c:pt>
                <c:pt idx="21">
                  <c:v>80292.315764994724</c:v>
                </c:pt>
                <c:pt idx="22">
                  <c:v>77953.280638368553</c:v>
                </c:pt>
                <c:pt idx="23">
                  <c:v>79109.316866023786</c:v>
                </c:pt>
                <c:pt idx="24">
                  <c:v>84461.536282652334</c:v>
                </c:pt>
                <c:pt idx="25">
                  <c:v>77106.056001497229</c:v>
                </c:pt>
                <c:pt idx="26">
                  <c:v>80455.085367081265</c:v>
                </c:pt>
                <c:pt idx="27">
                  <c:v>76081.153292447911</c:v>
                </c:pt>
                <c:pt idx="28">
                  <c:v>75724.914369988459</c:v>
                </c:pt>
                <c:pt idx="29">
                  <c:v>79763.896996442068</c:v>
                </c:pt>
                <c:pt idx="30">
                  <c:v>78202.148726156534</c:v>
                </c:pt>
                <c:pt idx="31">
                  <c:v>80813.70216782752</c:v>
                </c:pt>
                <c:pt idx="32">
                  <c:v>82544.922511672426</c:v>
                </c:pt>
                <c:pt idx="33">
                  <c:v>76894.142773995583</c:v>
                </c:pt>
                <c:pt idx="34">
                  <c:v>81509.546405883972</c:v>
                </c:pt>
                <c:pt idx="35">
                  <c:v>83057.437429076701</c:v>
                </c:pt>
                <c:pt idx="36">
                  <c:v>92522.484879427924</c:v>
                </c:pt>
                <c:pt idx="37">
                  <c:v>80040.399798285522</c:v>
                </c:pt>
                <c:pt idx="38">
                  <c:v>80563.239707343571</c:v>
                </c:pt>
                <c:pt idx="39">
                  <c:v>77303.501395745043</c:v>
                </c:pt>
                <c:pt idx="40">
                  <c:v>76938.688537992901</c:v>
                </c:pt>
                <c:pt idx="41">
                  <c:v>78482.527490406224</c:v>
                </c:pt>
                <c:pt idx="42">
                  <c:v>82518.436560894217</c:v>
                </c:pt>
                <c:pt idx="43">
                  <c:v>85960.823723345515</c:v>
                </c:pt>
                <c:pt idx="44">
                  <c:v>84780.000396821022</c:v>
                </c:pt>
                <c:pt idx="45">
                  <c:v>78160.580199430449</c:v>
                </c:pt>
                <c:pt idx="46">
                  <c:v>78053.215763624146</c:v>
                </c:pt>
                <c:pt idx="47">
                  <c:v>78948.993043079681</c:v>
                </c:pt>
                <c:pt idx="48">
                  <c:v>84302.223722144423</c:v>
                </c:pt>
                <c:pt idx="49">
                  <c:v>82463.776765463059</c:v>
                </c:pt>
                <c:pt idx="50">
                  <c:v>80411.732169524388</c:v>
                </c:pt>
                <c:pt idx="51">
                  <c:v>76668.170836185192</c:v>
                </c:pt>
                <c:pt idx="52">
                  <c:v>73753.41764608206</c:v>
                </c:pt>
                <c:pt idx="53">
                  <c:v>75069.656365793242</c:v>
                </c:pt>
                <c:pt idx="54">
                  <c:v>83316.597419721948</c:v>
                </c:pt>
                <c:pt idx="55">
                  <c:v>84390.310595666582</c:v>
                </c:pt>
                <c:pt idx="56">
                  <c:v>77153.982657552842</c:v>
                </c:pt>
                <c:pt idx="57">
                  <c:v>74835.36967965131</c:v>
                </c:pt>
                <c:pt idx="58">
                  <c:v>77590.375879468615</c:v>
                </c:pt>
                <c:pt idx="59">
                  <c:v>79994.376455943711</c:v>
                </c:pt>
                <c:pt idx="60">
                  <c:v>84325.570785537566</c:v>
                </c:pt>
                <c:pt idx="61">
                  <c:v>78750.684811076469</c:v>
                </c:pt>
                <c:pt idx="62">
                  <c:v>75867.755669737817</c:v>
                </c:pt>
                <c:pt idx="63">
                  <c:v>68291.398248693949</c:v>
                </c:pt>
                <c:pt idx="64">
                  <c:v>66480.641762992309</c:v>
                </c:pt>
                <c:pt idx="65">
                  <c:v>78708.777216290822</c:v>
                </c:pt>
                <c:pt idx="66">
                  <c:v>80302.417330989076</c:v>
                </c:pt>
                <c:pt idx="67">
                  <c:v>77657.223424350406</c:v>
                </c:pt>
                <c:pt idx="68">
                  <c:v>71172.041715392377</c:v>
                </c:pt>
                <c:pt idx="69">
                  <c:v>70903.850702308075</c:v>
                </c:pt>
                <c:pt idx="70">
                  <c:v>71904.083249300675</c:v>
                </c:pt>
                <c:pt idx="71">
                  <c:v>79456.891680178</c:v>
                </c:pt>
                <c:pt idx="72">
                  <c:v>77911.260255990594</c:v>
                </c:pt>
                <c:pt idx="73">
                  <c:v>73351.301525210947</c:v>
                </c:pt>
                <c:pt idx="74">
                  <c:v>74998.459647222466</c:v>
                </c:pt>
                <c:pt idx="75">
                  <c:v>65819.953766192804</c:v>
                </c:pt>
                <c:pt idx="76">
                  <c:v>66045.342712158774</c:v>
                </c:pt>
                <c:pt idx="77">
                  <c:v>72537.62335231436</c:v>
                </c:pt>
                <c:pt idx="78">
                  <c:v>75057.548360622735</c:v>
                </c:pt>
                <c:pt idx="79">
                  <c:v>80901.574472215609</c:v>
                </c:pt>
                <c:pt idx="80">
                  <c:v>70746.14113335048</c:v>
                </c:pt>
                <c:pt idx="81">
                  <c:v>71020.574427289146</c:v>
                </c:pt>
                <c:pt idx="82">
                  <c:v>72659.061367541304</c:v>
                </c:pt>
                <c:pt idx="83">
                  <c:v>76627.575192830482</c:v>
                </c:pt>
                <c:pt idx="84">
                  <c:v>80918.347242142554</c:v>
                </c:pt>
                <c:pt idx="85">
                  <c:v>75047.961400451924</c:v>
                </c:pt>
                <c:pt idx="86">
                  <c:v>79519.462969900676</c:v>
                </c:pt>
                <c:pt idx="87">
                  <c:v>71732.861077035981</c:v>
                </c:pt>
                <c:pt idx="88">
                  <c:v>72239.399025250314</c:v>
                </c:pt>
                <c:pt idx="89">
                  <c:v>74153.469474399812</c:v>
                </c:pt>
                <c:pt idx="90">
                  <c:v>80693.286849731827</c:v>
                </c:pt>
                <c:pt idx="91">
                  <c:v>84728.608924979446</c:v>
                </c:pt>
                <c:pt idx="92">
                  <c:v>75971.715331473344</c:v>
                </c:pt>
                <c:pt idx="93">
                  <c:v>73868.200027270243</c:v>
                </c:pt>
                <c:pt idx="94">
                  <c:v>76939.566316026292</c:v>
                </c:pt>
                <c:pt idx="95">
                  <c:v>82104.144478405986</c:v>
                </c:pt>
                <c:pt idx="96">
                  <c:v>83714.73142387945</c:v>
                </c:pt>
                <c:pt idx="97">
                  <c:v>78603.681758437611</c:v>
                </c:pt>
                <c:pt idx="98">
                  <c:v>82175.750604510875</c:v>
                </c:pt>
                <c:pt idx="99">
                  <c:v>72229.46414457167</c:v>
                </c:pt>
                <c:pt idx="100">
                  <c:v>73963.797070717701</c:v>
                </c:pt>
                <c:pt idx="101">
                  <c:v>77458.726879627342</c:v>
                </c:pt>
                <c:pt idx="102">
                  <c:v>82595.387566698904</c:v>
                </c:pt>
                <c:pt idx="103">
                  <c:v>81594.454565350447</c:v>
                </c:pt>
                <c:pt idx="104">
                  <c:v>77880.772647989346</c:v>
                </c:pt>
                <c:pt idx="105">
                  <c:v>76049.389872952728</c:v>
                </c:pt>
                <c:pt idx="106">
                  <c:v>77910.46257772643</c:v>
                </c:pt>
                <c:pt idx="107">
                  <c:v>79652.657090580207</c:v>
                </c:pt>
                <c:pt idx="108">
                  <c:v>85606.691976875343</c:v>
                </c:pt>
                <c:pt idx="109">
                  <c:v>77411.521977137279</c:v>
                </c:pt>
                <c:pt idx="110">
                  <c:v>78305.865181783156</c:v>
                </c:pt>
                <c:pt idx="111">
                  <c:v>73581.692712196251</c:v>
                </c:pt>
                <c:pt idx="112">
                  <c:v>75374.88450850705</c:v>
                </c:pt>
                <c:pt idx="113">
                  <c:v>78217.107743947447</c:v>
                </c:pt>
                <c:pt idx="114">
                  <c:v>85518.006190660599</c:v>
                </c:pt>
                <c:pt idx="115">
                  <c:v>84731.612428573353</c:v>
                </c:pt>
                <c:pt idx="116">
                  <c:v>79494.76008429224</c:v>
                </c:pt>
                <c:pt idx="117">
                  <c:v>77996.613481146283</c:v>
                </c:pt>
                <c:pt idx="118">
                  <c:v>78216.149862738181</c:v>
                </c:pt>
                <c:pt idx="119">
                  <c:v>85456.530197686981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F2-47D3-B074-40B4158CF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Weather!$Y$1</c:f>
              <c:strCache>
                <c:ptCount val="1"/>
                <c:pt idx="0">
                  <c:v> WRZ_ResidentialkWh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Weather!$Q$2:$Q$133</c:f>
              <c:numCache>
                <c:formatCode>0</c:formatCode>
                <c:ptCount val="132"/>
                <c:pt idx="0">
                  <c:v>-8.5400537634408611</c:v>
                </c:pt>
                <c:pt idx="1">
                  <c:v>-8.3101190476190503</c:v>
                </c:pt>
                <c:pt idx="2">
                  <c:v>-4.4275537634408613</c:v>
                </c:pt>
                <c:pt idx="3">
                  <c:v>5.4854166666666657</c:v>
                </c:pt>
                <c:pt idx="4">
                  <c:v>13.659269412214714</c:v>
                </c:pt>
                <c:pt idx="5">
                  <c:v>18.632361111111106</c:v>
                </c:pt>
                <c:pt idx="6">
                  <c:v>19.213037634408604</c:v>
                </c:pt>
                <c:pt idx="7">
                  <c:v>19.015188172043011</c:v>
                </c:pt>
                <c:pt idx="8">
                  <c:v>15.643611111111113</c:v>
                </c:pt>
                <c:pt idx="9">
                  <c:v>10.223521505376343</c:v>
                </c:pt>
                <c:pt idx="10">
                  <c:v>1.9330934343434341</c:v>
                </c:pt>
                <c:pt idx="11">
                  <c:v>-0.5170698924731183</c:v>
                </c:pt>
                <c:pt idx="12">
                  <c:v>-7.7384467040673215</c:v>
                </c:pt>
                <c:pt idx="13">
                  <c:v>-12.92336956521739</c:v>
                </c:pt>
                <c:pt idx="14">
                  <c:v>-2.5741935483870972</c:v>
                </c:pt>
                <c:pt idx="15">
                  <c:v>6.4416540404040381</c:v>
                </c:pt>
                <c:pt idx="16">
                  <c:v>14.880745341614906</c:v>
                </c:pt>
                <c:pt idx="17">
                  <c:v>16.987083333333334</c:v>
                </c:pt>
                <c:pt idx="18">
                  <c:v>20.63024193548387</c:v>
                </c:pt>
                <c:pt idx="19">
                  <c:v>19.41747311827957</c:v>
                </c:pt>
                <c:pt idx="20">
                  <c:v>18.297420634920634</c:v>
                </c:pt>
                <c:pt idx="21">
                  <c:v>9.0649193548387093</c:v>
                </c:pt>
                <c:pt idx="22">
                  <c:v>5.6076388888888893</c:v>
                </c:pt>
                <c:pt idx="23">
                  <c:v>3.8830352968676944</c:v>
                </c:pt>
                <c:pt idx="24">
                  <c:v>-3.8025537634408595</c:v>
                </c:pt>
                <c:pt idx="25">
                  <c:v>-2.8175287356321834</c:v>
                </c:pt>
                <c:pt idx="26">
                  <c:v>1.3845371669004212</c:v>
                </c:pt>
                <c:pt idx="27">
                  <c:v>4.4672222222222224</c:v>
                </c:pt>
                <c:pt idx="28">
                  <c:v>13.718055555555555</c:v>
                </c:pt>
                <c:pt idx="29">
                  <c:v>18.773472222222221</c:v>
                </c:pt>
                <c:pt idx="30">
                  <c:v>22.104166666666661</c:v>
                </c:pt>
                <c:pt idx="31">
                  <c:v>22.581451612903233</c:v>
                </c:pt>
                <c:pt idx="32">
                  <c:v>17.858055555555556</c:v>
                </c:pt>
                <c:pt idx="33">
                  <c:v>10.864650537634409</c:v>
                </c:pt>
                <c:pt idx="34">
                  <c:v>5.4221626984126994</c:v>
                </c:pt>
                <c:pt idx="35">
                  <c:v>-1.8926075268817202</c:v>
                </c:pt>
                <c:pt idx="36">
                  <c:v>-2.0069892473118278</c:v>
                </c:pt>
                <c:pt idx="37">
                  <c:v>-0.93154761904761851</c:v>
                </c:pt>
                <c:pt idx="38">
                  <c:v>-1.3444892473118288</c:v>
                </c:pt>
                <c:pt idx="39">
                  <c:v>8.3870833333333312</c:v>
                </c:pt>
                <c:pt idx="40">
                  <c:v>12.072311827956989</c:v>
                </c:pt>
                <c:pt idx="41">
                  <c:v>17.620722222222227</c:v>
                </c:pt>
                <c:pt idx="42">
                  <c:v>20.392473118279565</c:v>
                </c:pt>
                <c:pt idx="43">
                  <c:v>19.013680458158017</c:v>
                </c:pt>
                <c:pt idx="44">
                  <c:v>17.194861111111109</c:v>
                </c:pt>
                <c:pt idx="45">
                  <c:v>12.306989247311826</c:v>
                </c:pt>
                <c:pt idx="46">
                  <c:v>3.2462752525252521</c:v>
                </c:pt>
                <c:pt idx="47">
                  <c:v>-5.7520161290322589</c:v>
                </c:pt>
                <c:pt idx="48">
                  <c:v>-6.2108870967741945</c:v>
                </c:pt>
                <c:pt idx="49">
                  <c:v>-2.5891369047619053</c:v>
                </c:pt>
                <c:pt idx="50">
                  <c:v>-0.29932795698924713</c:v>
                </c:pt>
                <c:pt idx="51">
                  <c:v>2.9161111111111113</c:v>
                </c:pt>
                <c:pt idx="52">
                  <c:v>15.888323907275522</c:v>
                </c:pt>
                <c:pt idx="53">
                  <c:v>18.606464646464644</c:v>
                </c:pt>
                <c:pt idx="54">
                  <c:v>22.270923040260342</c:v>
                </c:pt>
                <c:pt idx="55">
                  <c:v>22.136962365591401</c:v>
                </c:pt>
                <c:pt idx="56">
                  <c:v>18.045555555555556</c:v>
                </c:pt>
                <c:pt idx="57">
                  <c:v>8.2325268817204318</c:v>
                </c:pt>
                <c:pt idx="58">
                  <c:v>1.2158333333333335</c:v>
                </c:pt>
                <c:pt idx="59">
                  <c:v>-0.86827956989247324</c:v>
                </c:pt>
                <c:pt idx="60">
                  <c:v>-7.1591397849462366</c:v>
                </c:pt>
                <c:pt idx="61">
                  <c:v>-4.8322916666666682</c:v>
                </c:pt>
                <c:pt idx="62">
                  <c:v>-1.7244623655913986</c:v>
                </c:pt>
                <c:pt idx="63">
                  <c:v>5.778194444444444</c:v>
                </c:pt>
                <c:pt idx="64">
                  <c:v>11.369850028296549</c:v>
                </c:pt>
                <c:pt idx="65">
                  <c:v>17.658055555555553</c:v>
                </c:pt>
                <c:pt idx="66">
                  <c:v>22.374193548387098</c:v>
                </c:pt>
                <c:pt idx="67">
                  <c:v>20.13131720430108</c:v>
                </c:pt>
                <c:pt idx="68">
                  <c:v>16.383888888888887</c:v>
                </c:pt>
                <c:pt idx="69">
                  <c:v>10.194623655913977</c:v>
                </c:pt>
                <c:pt idx="70">
                  <c:v>0.34250000000000014</c:v>
                </c:pt>
                <c:pt idx="71">
                  <c:v>-1.8202956989247305</c:v>
                </c:pt>
                <c:pt idx="72">
                  <c:v>-2.2845430107526878</c:v>
                </c:pt>
                <c:pt idx="73">
                  <c:v>-3.3931034482758609</c:v>
                </c:pt>
                <c:pt idx="74">
                  <c:v>2.4654569892473122</c:v>
                </c:pt>
                <c:pt idx="75">
                  <c:v>5.3441666666666672</c:v>
                </c:pt>
                <c:pt idx="76">
                  <c:v>11.704857910906297</c:v>
                </c:pt>
                <c:pt idx="77">
                  <c:v>19.417874396135264</c:v>
                </c:pt>
                <c:pt idx="78">
                  <c:v>23.964112903225804</c:v>
                </c:pt>
                <c:pt idx="79">
                  <c:v>20.997776148582602</c:v>
                </c:pt>
                <c:pt idx="80">
                  <c:v>15.728182367149758</c:v>
                </c:pt>
                <c:pt idx="81">
                  <c:v>8.7150537634408618</c:v>
                </c:pt>
                <c:pt idx="82">
                  <c:v>5.7899758454106278</c:v>
                </c:pt>
                <c:pt idx="83">
                  <c:v>-0.80336021505376376</c:v>
                </c:pt>
                <c:pt idx="84">
                  <c:v>-3.0807795698924729</c:v>
                </c:pt>
                <c:pt idx="85">
                  <c:v>-5.3376488095238086</c:v>
                </c:pt>
                <c:pt idx="86">
                  <c:v>2.1097942964001866</c:v>
                </c:pt>
                <c:pt idx="87">
                  <c:v>7.3401388888888865</c:v>
                </c:pt>
                <c:pt idx="88">
                  <c:v>13.049417562724015</c:v>
                </c:pt>
                <c:pt idx="89">
                  <c:v>20.055833333333332</c:v>
                </c:pt>
                <c:pt idx="90">
                  <c:v>20.221774193548388</c:v>
                </c:pt>
                <c:pt idx="91">
                  <c:v>22.58266129032258</c:v>
                </c:pt>
                <c:pt idx="92">
                  <c:v>16.975833333333334</c:v>
                </c:pt>
                <c:pt idx="93">
                  <c:v>13.09072580645161</c:v>
                </c:pt>
                <c:pt idx="94">
                  <c:v>3.122913216011042</c:v>
                </c:pt>
                <c:pt idx="95">
                  <c:v>0.80497311827956974</c:v>
                </c:pt>
                <c:pt idx="96">
                  <c:v>-8.6287634408602152</c:v>
                </c:pt>
                <c:pt idx="97">
                  <c:v>-4.7446428571428587</c:v>
                </c:pt>
                <c:pt idx="98">
                  <c:v>0.42836021505376332</c:v>
                </c:pt>
                <c:pt idx="99">
                  <c:v>6.1888888888888882</c:v>
                </c:pt>
                <c:pt idx="100">
                  <c:v>15.065725806451612</c:v>
                </c:pt>
                <c:pt idx="101">
                  <c:v>18.03075013875014</c:v>
                </c:pt>
                <c:pt idx="102">
                  <c:v>21.15659155778647</c:v>
                </c:pt>
                <c:pt idx="103">
                  <c:v>21.363978494623655</c:v>
                </c:pt>
                <c:pt idx="104">
                  <c:v>16.37402777777778</c:v>
                </c:pt>
                <c:pt idx="105">
                  <c:v>9.3272381954184187</c:v>
                </c:pt>
                <c:pt idx="106">
                  <c:v>4.2722222222222213</c:v>
                </c:pt>
                <c:pt idx="107">
                  <c:v>-0.87486559139784936</c:v>
                </c:pt>
                <c:pt idx="108">
                  <c:v>-1.4861559139784948</c:v>
                </c:pt>
                <c:pt idx="109">
                  <c:v>-2.4797619047619048</c:v>
                </c:pt>
                <c:pt idx="110">
                  <c:v>0.22473118279569884</c:v>
                </c:pt>
                <c:pt idx="111">
                  <c:v>7.9533333333333323</c:v>
                </c:pt>
                <c:pt idx="112">
                  <c:v>12.986102150537635</c:v>
                </c:pt>
                <c:pt idx="113">
                  <c:v>18.851388888888884</c:v>
                </c:pt>
                <c:pt idx="114">
                  <c:v>21.218817204301072</c:v>
                </c:pt>
                <c:pt idx="115">
                  <c:v>19.348544880785411</c:v>
                </c:pt>
                <c:pt idx="116">
                  <c:v>17.433055555555555</c:v>
                </c:pt>
                <c:pt idx="117">
                  <c:v>11.553225806451612</c:v>
                </c:pt>
                <c:pt idx="118">
                  <c:v>2.9802294685990343</c:v>
                </c:pt>
                <c:pt idx="119">
                  <c:v>2.2038978494623653</c:v>
                </c:pt>
                <c:pt idx="120">
                  <c:v>-2.5482526881720431</c:v>
                </c:pt>
                <c:pt idx="121">
                  <c:v>-0.72298850574712648</c:v>
                </c:pt>
                <c:pt idx="122">
                  <c:v>3.1576612903225802</c:v>
                </c:pt>
                <c:pt idx="123">
                  <c:v>7.7234027777777765</c:v>
                </c:pt>
                <c:pt idx="124">
                  <c:v>15.455779569892472</c:v>
                </c:pt>
                <c:pt idx="125">
                  <c:v>18.805138888888891</c:v>
                </c:pt>
                <c:pt idx="126">
                  <c:v>21.778763440860214</c:v>
                </c:pt>
                <c:pt idx="127">
                  <c:v>20.479569892473116</c:v>
                </c:pt>
                <c:pt idx="128">
                  <c:v>17.709999999999997</c:v>
                </c:pt>
                <c:pt idx="129">
                  <c:v>10.453494623655915</c:v>
                </c:pt>
                <c:pt idx="130">
                  <c:v>5.790277777777777</c:v>
                </c:pt>
                <c:pt idx="131">
                  <c:v>-1.3088709677419357</c:v>
                </c:pt>
              </c:numCache>
            </c:numRef>
          </c:xVal>
          <c:yVal>
            <c:numRef>
              <c:f>Weather!$Y$2:$Y$133</c:f>
              <c:numCache>
                <c:formatCode>_-* #,##0_-;\-* #,##0_-;_-* "-"??_-;_-@_-</c:formatCode>
                <c:ptCount val="132"/>
                <c:pt idx="12">
                  <c:v>31332022.23248991</c:v>
                </c:pt>
                <c:pt idx="13">
                  <c:v>28343639.346179899</c:v>
                </c:pt>
                <c:pt idx="14">
                  <c:v>26975318.684610099</c:v>
                </c:pt>
                <c:pt idx="15">
                  <c:v>23025718.862509999</c:v>
                </c:pt>
                <c:pt idx="16">
                  <c:v>24546372.808270201</c:v>
                </c:pt>
                <c:pt idx="17">
                  <c:v>26686471.277589802</c:v>
                </c:pt>
                <c:pt idx="18">
                  <c:v>36810468.262800299</c:v>
                </c:pt>
                <c:pt idx="19">
                  <c:v>33558080.931189999</c:v>
                </c:pt>
                <c:pt idx="20">
                  <c:v>31217104.874619901</c:v>
                </c:pt>
                <c:pt idx="21">
                  <c:v>24041873.3514001</c:v>
                </c:pt>
                <c:pt idx="22">
                  <c:v>24187975.689040199</c:v>
                </c:pt>
                <c:pt idx="23">
                  <c:v>27978852.707929902</c:v>
                </c:pt>
                <c:pt idx="24">
                  <c:v>30812903.189879999</c:v>
                </c:pt>
                <c:pt idx="25">
                  <c:v>27591290.8776301</c:v>
                </c:pt>
                <c:pt idx="26">
                  <c:v>26937365.306369901</c:v>
                </c:pt>
                <c:pt idx="27">
                  <c:v>24368406.0131099</c:v>
                </c:pt>
                <c:pt idx="28">
                  <c:v>26914968.7534802</c:v>
                </c:pt>
                <c:pt idx="29">
                  <c:v>32894041.6360799</c:v>
                </c:pt>
                <c:pt idx="30">
                  <c:v>43014323.7304601</c:v>
                </c:pt>
                <c:pt idx="31">
                  <c:v>45586348.4991102</c:v>
                </c:pt>
                <c:pt idx="32">
                  <c:v>31539483.428660002</c:v>
                </c:pt>
                <c:pt idx="33">
                  <c:v>25104818.368170101</c:v>
                </c:pt>
                <c:pt idx="34">
                  <c:v>24853342.723930001</c:v>
                </c:pt>
                <c:pt idx="35">
                  <c:v>30728721.87545</c:v>
                </c:pt>
                <c:pt idx="36">
                  <c:v>29385840.094060197</c:v>
                </c:pt>
                <c:pt idx="37">
                  <c:v>25232598.623130199</c:v>
                </c:pt>
                <c:pt idx="38">
                  <c:v>27368500.1450799</c:v>
                </c:pt>
                <c:pt idx="39">
                  <c:v>23295745.888840001</c:v>
                </c:pt>
                <c:pt idx="40">
                  <c:v>24216362.729150202</c:v>
                </c:pt>
                <c:pt idx="41">
                  <c:v>29190355.224580098</c:v>
                </c:pt>
                <c:pt idx="42">
                  <c:v>36535253.574919999</c:v>
                </c:pt>
                <c:pt idx="43">
                  <c:v>33639294.2654799</c:v>
                </c:pt>
                <c:pt idx="44">
                  <c:v>31003407.743730098</c:v>
                </c:pt>
                <c:pt idx="45">
                  <c:v>24831861.827180002</c:v>
                </c:pt>
                <c:pt idx="46">
                  <c:v>25853754.8917301</c:v>
                </c:pt>
                <c:pt idx="47">
                  <c:v>31842905.854559802</c:v>
                </c:pt>
                <c:pt idx="48">
                  <c:v>30971191.922729999</c:v>
                </c:pt>
                <c:pt idx="49">
                  <c:v>25873717.042549901</c:v>
                </c:pt>
                <c:pt idx="50">
                  <c:v>26862067.040940002</c:v>
                </c:pt>
                <c:pt idx="51">
                  <c:v>25231386.626850203</c:v>
                </c:pt>
                <c:pt idx="52">
                  <c:v>26274819.8545499</c:v>
                </c:pt>
                <c:pt idx="53">
                  <c:v>31522419.512800101</c:v>
                </c:pt>
                <c:pt idx="54">
                  <c:v>43551091.827659801</c:v>
                </c:pt>
                <c:pt idx="55">
                  <c:v>42550986.482229695</c:v>
                </c:pt>
                <c:pt idx="56">
                  <c:v>33392375.72783</c:v>
                </c:pt>
                <c:pt idx="57">
                  <c:v>25514171.018119901</c:v>
                </c:pt>
                <c:pt idx="58">
                  <c:v>26574321.448809803</c:v>
                </c:pt>
                <c:pt idx="59">
                  <c:v>30370798.458409801</c:v>
                </c:pt>
                <c:pt idx="60">
                  <c:v>31054548.051879998</c:v>
                </c:pt>
                <c:pt idx="61">
                  <c:v>26909979.644359902</c:v>
                </c:pt>
                <c:pt idx="62">
                  <c:v>27657368.994940098</c:v>
                </c:pt>
                <c:pt idx="63">
                  <c:v>24051429.4798701</c:v>
                </c:pt>
                <c:pt idx="64">
                  <c:v>23836017.161589999</c:v>
                </c:pt>
                <c:pt idx="65">
                  <c:v>29017828.626899801</c:v>
                </c:pt>
                <c:pt idx="66">
                  <c:v>44482042.361199997</c:v>
                </c:pt>
                <c:pt idx="67">
                  <c:v>37269420.368609898</c:v>
                </c:pt>
                <c:pt idx="68">
                  <c:v>26723759.6971201</c:v>
                </c:pt>
                <c:pt idx="69">
                  <c:v>24420573.743390199</c:v>
                </c:pt>
                <c:pt idx="70">
                  <c:v>26845088.8490698</c:v>
                </c:pt>
                <c:pt idx="71">
                  <c:v>30919956.561090101</c:v>
                </c:pt>
                <c:pt idx="72">
                  <c:v>29590579.813260101</c:v>
                </c:pt>
                <c:pt idx="73">
                  <c:v>27353640.339829899</c:v>
                </c:pt>
                <c:pt idx="74">
                  <c:v>27991644.1118</c:v>
                </c:pt>
                <c:pt idx="75">
                  <c:v>26832637.010670099</c:v>
                </c:pt>
                <c:pt idx="76">
                  <c:v>30084796.321030099</c:v>
                </c:pt>
                <c:pt idx="77">
                  <c:v>38414383.222709902</c:v>
                </c:pt>
                <c:pt idx="78">
                  <c:v>53278227.313599996</c:v>
                </c:pt>
                <c:pt idx="79">
                  <c:v>43837181.946139805</c:v>
                </c:pt>
                <c:pt idx="80">
                  <c:v>29299169.7896</c:v>
                </c:pt>
                <c:pt idx="81">
                  <c:v>26808416.2166299</c:v>
                </c:pt>
                <c:pt idx="82">
                  <c:v>27368444.87867</c:v>
                </c:pt>
                <c:pt idx="83">
                  <c:v>33056885.972139701</c:v>
                </c:pt>
                <c:pt idx="84">
                  <c:v>32688403.838419698</c:v>
                </c:pt>
                <c:pt idx="85">
                  <c:v>29862393.369889703</c:v>
                </c:pt>
                <c:pt idx="86">
                  <c:v>29184000.801219899</c:v>
                </c:pt>
                <c:pt idx="87">
                  <c:v>26291734.234090202</c:v>
                </c:pt>
                <c:pt idx="88">
                  <c:v>29692691.126080099</c:v>
                </c:pt>
                <c:pt idx="89">
                  <c:v>38756138.051790103</c:v>
                </c:pt>
                <c:pt idx="90">
                  <c:v>40825237.957350306</c:v>
                </c:pt>
                <c:pt idx="91">
                  <c:v>48677065.674900204</c:v>
                </c:pt>
                <c:pt idx="92">
                  <c:v>31175541.399359901</c:v>
                </c:pt>
                <c:pt idx="93">
                  <c:v>27636679.788909998</c:v>
                </c:pt>
                <c:pt idx="94">
                  <c:v>27834012.871320099</c:v>
                </c:pt>
                <c:pt idx="95">
                  <c:v>32401888.869009897</c:v>
                </c:pt>
                <c:pt idx="96">
                  <c:v>35309214.798329897</c:v>
                </c:pt>
                <c:pt idx="97">
                  <c:v>29802671.721710101</c:v>
                </c:pt>
                <c:pt idx="98">
                  <c:v>30192206.9659</c:v>
                </c:pt>
                <c:pt idx="99">
                  <c:v>26510896.747310098</c:v>
                </c:pt>
                <c:pt idx="100">
                  <c:v>28982490.0885498</c:v>
                </c:pt>
                <c:pt idx="101">
                  <c:v>34319366.238789797</c:v>
                </c:pt>
                <c:pt idx="102">
                  <c:v>43794706.505709901</c:v>
                </c:pt>
                <c:pt idx="103">
                  <c:v>44941627.830970101</c:v>
                </c:pt>
                <c:pt idx="104">
                  <c:v>31941724.0457801</c:v>
                </c:pt>
                <c:pt idx="105">
                  <c:v>26725301.060379799</c:v>
                </c:pt>
                <c:pt idx="106">
                  <c:v>27840094.030280098</c:v>
                </c:pt>
                <c:pt idx="107">
                  <c:v>33225707.634610001</c:v>
                </c:pt>
                <c:pt idx="108">
                  <c:v>32115647.812479898</c:v>
                </c:pt>
                <c:pt idx="109">
                  <c:v>28913306.741340101</c:v>
                </c:pt>
                <c:pt idx="110">
                  <c:v>30021421.281169999</c:v>
                </c:pt>
                <c:pt idx="111">
                  <c:v>26638350.0997799</c:v>
                </c:pt>
                <c:pt idx="112">
                  <c:v>28171254.7515199</c:v>
                </c:pt>
                <c:pt idx="113">
                  <c:v>36338701.619670004</c:v>
                </c:pt>
                <c:pt idx="114">
                  <c:v>45559266.0797396</c:v>
                </c:pt>
                <c:pt idx="115">
                  <c:v>39289722.990249805</c:v>
                </c:pt>
                <c:pt idx="116">
                  <c:v>33918372.749609694</c:v>
                </c:pt>
                <c:pt idx="117">
                  <c:v>29177709.73928</c:v>
                </c:pt>
                <c:pt idx="118">
                  <c:v>29315020.512149997</c:v>
                </c:pt>
                <c:pt idx="119">
                  <c:v>33045451.315950099</c:v>
                </c:pt>
                <c:pt idx="120">
                  <c:v>34091728.292207852</c:v>
                </c:pt>
                <c:pt idx="121">
                  <c:v>29922138.284269691</c:v>
                </c:pt>
                <c:pt idx="122">
                  <c:v>30183198.926285144</c:v>
                </c:pt>
                <c:pt idx="123">
                  <c:v>27306509.507999428</c:v>
                </c:pt>
                <c:pt idx="124">
                  <c:v>30050456.301362485</c:v>
                </c:pt>
                <c:pt idx="125">
                  <c:v>38391066.662999503</c:v>
                </c:pt>
                <c:pt idx="126">
                  <c:v>48788346.324340433</c:v>
                </c:pt>
                <c:pt idx="127">
                  <c:v>44156917.195840098</c:v>
                </c:pt>
                <c:pt idx="128">
                  <c:v>35075115.564343274</c:v>
                </c:pt>
                <c:pt idx="129">
                  <c:v>28309900.056605309</c:v>
                </c:pt>
                <c:pt idx="130">
                  <c:v>29080383.421047464</c:v>
                </c:pt>
                <c:pt idx="131">
                  <c:v>35397606.196876086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94-4479-AC1D-2B67C407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</a:t>
            </a:r>
            <a:r>
              <a:rPr lang="en-CA" b="1" baseline="0"/>
              <a:t> Service 3,000 to 4,999 kW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Weather!$FD$14:$FD$133</c:f>
              <c:numCache>
                <c:formatCode>_-* #,##0_-;\-* #,##0_-;_-* "-"??_-;_-@_-</c:formatCode>
                <c:ptCount val="120"/>
                <c:pt idx="0">
                  <c:v>509363.96</c:v>
                </c:pt>
                <c:pt idx="1">
                  <c:v>419733.05499999999</c:v>
                </c:pt>
                <c:pt idx="2">
                  <c:v>397966.92499999999</c:v>
                </c:pt>
                <c:pt idx="3">
                  <c:v>360890.375</c:v>
                </c:pt>
                <c:pt idx="4">
                  <c:v>331175.27500000002</c:v>
                </c:pt>
                <c:pt idx="5">
                  <c:v>296287.78999999998</c:v>
                </c:pt>
                <c:pt idx="6">
                  <c:v>314459.05</c:v>
                </c:pt>
                <c:pt idx="7">
                  <c:v>356201.4</c:v>
                </c:pt>
                <c:pt idx="8">
                  <c:v>372975.565</c:v>
                </c:pt>
                <c:pt idx="9">
                  <c:v>415372.45</c:v>
                </c:pt>
                <c:pt idx="10">
                  <c:v>417787.005</c:v>
                </c:pt>
                <c:pt idx="11">
                  <c:v>444766.45</c:v>
                </c:pt>
                <c:pt idx="12">
                  <c:v>416438.65500000003</c:v>
                </c:pt>
                <c:pt idx="13">
                  <c:v>346882.69</c:v>
                </c:pt>
                <c:pt idx="14">
                  <c:v>313994.16499999998</c:v>
                </c:pt>
                <c:pt idx="15">
                  <c:v>271818.21500000003</c:v>
                </c:pt>
                <c:pt idx="16">
                  <c:v>220340.01500000001</c:v>
                </c:pt>
                <c:pt idx="17">
                  <c:v>178735.17499999999</c:v>
                </c:pt>
                <c:pt idx="18">
                  <c:v>180190.49</c:v>
                </c:pt>
                <c:pt idx="19">
                  <c:v>203839.95499999999</c:v>
                </c:pt>
                <c:pt idx="20">
                  <c:v>219529.29500000001</c:v>
                </c:pt>
                <c:pt idx="21">
                  <c:v>263879.685</c:v>
                </c:pt>
                <c:pt idx="22">
                  <c:v>268975.565</c:v>
                </c:pt>
                <c:pt idx="23">
                  <c:v>272699.36</c:v>
                </c:pt>
                <c:pt idx="24">
                  <c:v>263765.125</c:v>
                </c:pt>
                <c:pt idx="25">
                  <c:v>218702.11</c:v>
                </c:pt>
                <c:pt idx="26">
                  <c:v>207545.255</c:v>
                </c:pt>
                <c:pt idx="27">
                  <c:v>188083.245</c:v>
                </c:pt>
                <c:pt idx="28">
                  <c:v>172693.20499999999</c:v>
                </c:pt>
                <c:pt idx="29">
                  <c:v>154482.94</c:v>
                </c:pt>
                <c:pt idx="30">
                  <c:v>164022.6</c:v>
                </c:pt>
                <c:pt idx="31">
                  <c:v>185857.73499999999</c:v>
                </c:pt>
                <c:pt idx="32">
                  <c:v>200939.94</c:v>
                </c:pt>
                <c:pt idx="33">
                  <c:v>233774.185</c:v>
                </c:pt>
                <c:pt idx="34">
                  <c:v>248221.45</c:v>
                </c:pt>
                <c:pt idx="35">
                  <c:v>256451.91</c:v>
                </c:pt>
                <c:pt idx="36">
                  <c:v>224195.63519999999</c:v>
                </c:pt>
                <c:pt idx="37">
                  <c:v>170089.94307692305</c:v>
                </c:pt>
                <c:pt idx="38">
                  <c:v>144135.72888888887</c:v>
                </c:pt>
                <c:pt idx="39">
                  <c:v>121446.47571428568</c:v>
                </c:pt>
                <c:pt idx="40">
                  <c:v>105832.46482758618</c:v>
                </c:pt>
                <c:pt idx="41">
                  <c:v>91516.823999999964</c:v>
                </c:pt>
                <c:pt idx="42">
                  <c:v>94012.738064516088</c:v>
                </c:pt>
                <c:pt idx="43">
                  <c:v>103802.19749999995</c:v>
                </c:pt>
                <c:pt idx="44">
                  <c:v>108841.19272727269</c:v>
                </c:pt>
                <c:pt idx="45">
                  <c:v>118813.76470588229</c:v>
                </c:pt>
                <c:pt idx="46">
                  <c:v>122689.00457142849</c:v>
                </c:pt>
                <c:pt idx="47">
                  <c:v>123904.29333333333</c:v>
                </c:pt>
                <c:pt idx="48">
                  <c:v>121895.03333333333</c:v>
                </c:pt>
                <c:pt idx="49">
                  <c:v>102230.44666666667</c:v>
                </c:pt>
                <c:pt idx="50">
                  <c:v>96917.786666666667</c:v>
                </c:pt>
                <c:pt idx="51">
                  <c:v>86053.356666666674</c:v>
                </c:pt>
                <c:pt idx="52">
                  <c:v>78852.173333333325</c:v>
                </c:pt>
                <c:pt idx="53">
                  <c:v>70571.816666666666</c:v>
                </c:pt>
                <c:pt idx="54">
                  <c:v>75254.843333333338</c:v>
                </c:pt>
                <c:pt idx="55">
                  <c:v>86212.326666666675</c:v>
                </c:pt>
                <c:pt idx="56">
                  <c:v>93178.486666666679</c:v>
                </c:pt>
                <c:pt idx="57">
                  <c:v>108595.46999999999</c:v>
                </c:pt>
                <c:pt idx="58">
                  <c:v>116999.49666666666</c:v>
                </c:pt>
                <c:pt idx="59">
                  <c:v>128280.91333333333</c:v>
                </c:pt>
                <c:pt idx="60">
                  <c:v>123618.24333333333</c:v>
                </c:pt>
                <c:pt idx="61">
                  <c:v>66749.5</c:v>
                </c:pt>
                <c:pt idx="62">
                  <c:v>103035.00666666667</c:v>
                </c:pt>
                <c:pt idx="63">
                  <c:v>86645.680000000008</c:v>
                </c:pt>
                <c:pt idx="64">
                  <c:v>78982.990000000005</c:v>
                </c:pt>
                <c:pt idx="65">
                  <c:v>71614.916666666672</c:v>
                </c:pt>
                <c:pt idx="66">
                  <c:v>73651.650000000009</c:v>
                </c:pt>
                <c:pt idx="67">
                  <c:v>83295.876666666663</c:v>
                </c:pt>
                <c:pt idx="68">
                  <c:v>91911.360000000001</c:v>
                </c:pt>
                <c:pt idx="69">
                  <c:v>107363.12333333334</c:v>
                </c:pt>
                <c:pt idx="70">
                  <c:v>114556.18666666666</c:v>
                </c:pt>
                <c:pt idx="71">
                  <c:v>123744.41666666667</c:v>
                </c:pt>
                <c:pt idx="72">
                  <c:v>121017.52666666667</c:v>
                </c:pt>
                <c:pt idx="73">
                  <c:v>100608.04</c:v>
                </c:pt>
                <c:pt idx="74">
                  <c:v>100293.88</c:v>
                </c:pt>
                <c:pt idx="75">
                  <c:v>84511.81</c:v>
                </c:pt>
                <c:pt idx="76">
                  <c:v>67381.759999999995</c:v>
                </c:pt>
                <c:pt idx="77">
                  <c:v>54312.96333333334</c:v>
                </c:pt>
                <c:pt idx="78">
                  <c:v>60738.78666666666</c:v>
                </c:pt>
                <c:pt idx="79">
                  <c:v>79687.89</c:v>
                </c:pt>
                <c:pt idx="80">
                  <c:v>81894.546666666676</c:v>
                </c:pt>
                <c:pt idx="81">
                  <c:v>96401.266666666663</c:v>
                </c:pt>
                <c:pt idx="82">
                  <c:v>110225.19333333334</c:v>
                </c:pt>
                <c:pt idx="83">
                  <c:v>127769.41666666667</c:v>
                </c:pt>
                <c:pt idx="84">
                  <c:v>124266.5</c:v>
                </c:pt>
                <c:pt idx="85">
                  <c:v>103832.55666666666</c:v>
                </c:pt>
                <c:pt idx="86">
                  <c:v>103567.57</c:v>
                </c:pt>
                <c:pt idx="87">
                  <c:v>87467.643333333326</c:v>
                </c:pt>
                <c:pt idx="88">
                  <c:v>79626.723333333342</c:v>
                </c:pt>
                <c:pt idx="89">
                  <c:v>71558.676666666666</c:v>
                </c:pt>
                <c:pt idx="90">
                  <c:v>77079.433333333334</c:v>
                </c:pt>
                <c:pt idx="91">
                  <c:v>87414.606666666674</c:v>
                </c:pt>
                <c:pt idx="92">
                  <c:v>96479.966666666674</c:v>
                </c:pt>
                <c:pt idx="93">
                  <c:v>112714.68</c:v>
                </c:pt>
                <c:pt idx="94">
                  <c:v>120460.74666666666</c:v>
                </c:pt>
                <c:pt idx="95">
                  <c:v>130333.15333333334</c:v>
                </c:pt>
                <c:pt idx="96">
                  <c:v>128043.38</c:v>
                </c:pt>
                <c:pt idx="97">
                  <c:v>106668.43333333333</c:v>
                </c:pt>
                <c:pt idx="98">
                  <c:v>105143.19666666667</c:v>
                </c:pt>
                <c:pt idx="99">
                  <c:v>89746.19666666667</c:v>
                </c:pt>
                <c:pt idx="100">
                  <c:v>81697.66</c:v>
                </c:pt>
                <c:pt idx="101">
                  <c:v>73507.3</c:v>
                </c:pt>
                <c:pt idx="102">
                  <c:v>78941.986666666664</c:v>
                </c:pt>
                <c:pt idx="103">
                  <c:v>89203.633333333346</c:v>
                </c:pt>
                <c:pt idx="104">
                  <c:v>98653.353333333333</c:v>
                </c:pt>
                <c:pt idx="105">
                  <c:v>115238.62333333334</c:v>
                </c:pt>
                <c:pt idx="106">
                  <c:v>122959.59999999999</c:v>
                </c:pt>
                <c:pt idx="107">
                  <c:v>133004.5</c:v>
                </c:pt>
                <c:pt idx="108">
                  <c:v>130048.80666666666</c:v>
                </c:pt>
                <c:pt idx="109">
                  <c:v>111685.65666666666</c:v>
                </c:pt>
                <c:pt idx="110">
                  <c:v>106106.70666666667</c:v>
                </c:pt>
                <c:pt idx="111">
                  <c:v>90212.443333333344</c:v>
                </c:pt>
                <c:pt idx="112">
                  <c:v>82325.94666666667</c:v>
                </c:pt>
                <c:pt idx="113">
                  <c:v>73928.25</c:v>
                </c:pt>
                <c:pt idx="114">
                  <c:v>79359.103333333333</c:v>
                </c:pt>
                <c:pt idx="115">
                  <c:v>89613.083333333328</c:v>
                </c:pt>
                <c:pt idx="116">
                  <c:v>98920.276666666672</c:v>
                </c:pt>
                <c:pt idx="117">
                  <c:v>115672.11666666665</c:v>
                </c:pt>
                <c:pt idx="118">
                  <c:v>123825.19</c:v>
                </c:pt>
                <c:pt idx="119">
                  <c:v>134336.68666666668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6D-4B30-B1C5-7683508D2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707583"/>
        <c:axId val="1685702783"/>
      </c:scatterChart>
      <c:valAx>
        <c:axId val="168570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2783"/>
        <c:crosses val="autoZero"/>
        <c:crossBetween val="midCat"/>
      </c:valAx>
      <c:valAx>
        <c:axId val="16857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Average</a:t>
                </a:r>
                <a:r>
                  <a:rPr lang="en-CA" b="1" baseline="0"/>
                  <a:t> Monthly</a:t>
                </a:r>
                <a:r>
                  <a:rPr lang="en-CA" b="1"/>
                  <a:t>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707583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Residential'!$D$1</c:f>
              <c:strCache>
                <c:ptCount val="1"/>
                <c:pt idx="0">
                  <c:v>VRZ_ResidentialkWh_No_CDM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Residential'!$A$2:$A$121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Residential'!$D$2:$D$121</c:f>
              <c:numCache>
                <c:formatCode>_-* #,##0_-;\-* #,##0_-;_-* "-"??_-;_-@_-</c:formatCode>
                <c:ptCount val="120"/>
                <c:pt idx="0">
                  <c:v>89085710.173255071</c:v>
                </c:pt>
                <c:pt idx="1">
                  <c:v>83761157.109440491</c:v>
                </c:pt>
                <c:pt idx="2">
                  <c:v>76997089.746835828</c:v>
                </c:pt>
                <c:pt idx="3">
                  <c:v>62629126.228042737</c:v>
                </c:pt>
                <c:pt idx="4">
                  <c:v>60212975.927167453</c:v>
                </c:pt>
                <c:pt idx="5">
                  <c:v>63337869.780153669</c:v>
                </c:pt>
                <c:pt idx="6">
                  <c:v>85840421.551369086</c:v>
                </c:pt>
                <c:pt idx="7">
                  <c:v>79382005.814455315</c:v>
                </c:pt>
                <c:pt idx="8">
                  <c:v>73737868.814600527</c:v>
                </c:pt>
                <c:pt idx="9">
                  <c:v>62701818.978226148</c:v>
                </c:pt>
                <c:pt idx="10">
                  <c:v>65118517.23753316</c:v>
                </c:pt>
                <c:pt idx="11">
                  <c:v>75289570.107017979</c:v>
                </c:pt>
                <c:pt idx="12">
                  <c:v>89442152.753839836</c:v>
                </c:pt>
                <c:pt idx="13">
                  <c:v>81059215.66888456</c:v>
                </c:pt>
                <c:pt idx="14">
                  <c:v>77482986.059256971</c:v>
                </c:pt>
                <c:pt idx="15">
                  <c:v>68514282.597392097</c:v>
                </c:pt>
                <c:pt idx="16">
                  <c:v>68269965.69856523</c:v>
                </c:pt>
                <c:pt idx="17">
                  <c:v>78208721.173178941</c:v>
                </c:pt>
                <c:pt idx="18">
                  <c:v>102570182.69668086</c:v>
                </c:pt>
                <c:pt idx="19">
                  <c:v>109059318.26472567</c:v>
                </c:pt>
                <c:pt idx="20">
                  <c:v>76313540.785070717</c:v>
                </c:pt>
                <c:pt idx="21">
                  <c:v>66405514.986074924</c:v>
                </c:pt>
                <c:pt idx="22">
                  <c:v>69398951.33887735</c:v>
                </c:pt>
                <c:pt idx="23">
                  <c:v>88165004.775042474</c:v>
                </c:pt>
                <c:pt idx="24">
                  <c:v>86449266.718781069</c:v>
                </c:pt>
                <c:pt idx="25">
                  <c:v>74948439.222194627</c:v>
                </c:pt>
                <c:pt idx="26">
                  <c:v>81712037.110148981</c:v>
                </c:pt>
                <c:pt idx="27">
                  <c:v>66062458.293514147</c:v>
                </c:pt>
                <c:pt idx="28">
                  <c:v>65410460.427608207</c:v>
                </c:pt>
                <c:pt idx="29">
                  <c:v>72754421.433572561</c:v>
                </c:pt>
                <c:pt idx="30">
                  <c:v>89929975.656787142</c:v>
                </c:pt>
                <c:pt idx="31">
                  <c:v>83733361.307911798</c:v>
                </c:pt>
                <c:pt idx="32">
                  <c:v>77037126.901957154</c:v>
                </c:pt>
                <c:pt idx="33">
                  <c:v>66833646.300961815</c:v>
                </c:pt>
                <c:pt idx="34">
                  <c:v>75128517.47217609</c:v>
                </c:pt>
                <c:pt idx="35">
                  <c:v>95011558.49266924</c:v>
                </c:pt>
                <c:pt idx="36">
                  <c:v>95870065.827220172</c:v>
                </c:pt>
                <c:pt idx="37">
                  <c:v>79073573.86240077</c:v>
                </c:pt>
                <c:pt idx="38">
                  <c:v>80922409.343110263</c:v>
                </c:pt>
                <c:pt idx="39">
                  <c:v>74863812.10232158</c:v>
                </c:pt>
                <c:pt idx="40">
                  <c:v>69109283.173491776</c:v>
                </c:pt>
                <c:pt idx="41">
                  <c:v>78838430.972002566</c:v>
                </c:pt>
                <c:pt idx="42">
                  <c:v>109192429.79401337</c:v>
                </c:pt>
                <c:pt idx="43">
                  <c:v>106578000.43759398</c:v>
                </c:pt>
                <c:pt idx="44">
                  <c:v>84771686.626504868</c:v>
                </c:pt>
                <c:pt idx="45">
                  <c:v>72143929.807266369</c:v>
                </c:pt>
                <c:pt idx="46">
                  <c:v>80045137.019556984</c:v>
                </c:pt>
                <c:pt idx="47">
                  <c:v>91097634.01558648</c:v>
                </c:pt>
                <c:pt idx="48">
                  <c:v>97582725.053261355</c:v>
                </c:pt>
                <c:pt idx="49">
                  <c:v>84965543.467803493</c:v>
                </c:pt>
                <c:pt idx="50">
                  <c:v>85994852.180544943</c:v>
                </c:pt>
                <c:pt idx="51">
                  <c:v>72269957.038458869</c:v>
                </c:pt>
                <c:pt idx="52">
                  <c:v>67222007.218181014</c:v>
                </c:pt>
                <c:pt idx="53">
                  <c:v>74433839.523464859</c:v>
                </c:pt>
                <c:pt idx="54">
                  <c:v>112131169.99675699</c:v>
                </c:pt>
                <c:pt idx="55">
                  <c:v>94355862.047129244</c:v>
                </c:pt>
                <c:pt idx="56">
                  <c:v>70117922.694170371</c:v>
                </c:pt>
                <c:pt idx="57">
                  <c:v>69000383.471293017</c:v>
                </c:pt>
                <c:pt idx="58">
                  <c:v>80826223.736635447</c:v>
                </c:pt>
                <c:pt idx="59">
                  <c:v>92695458.730908185</c:v>
                </c:pt>
                <c:pt idx="60">
                  <c:v>90519632.411834493</c:v>
                </c:pt>
                <c:pt idx="61">
                  <c:v>84297297.111895412</c:v>
                </c:pt>
                <c:pt idx="62">
                  <c:v>83899422.903006136</c:v>
                </c:pt>
                <c:pt idx="63">
                  <c:v>78190166.770940244</c:v>
                </c:pt>
                <c:pt idx="64">
                  <c:v>80490357.670741558</c:v>
                </c:pt>
                <c:pt idx="65">
                  <c:v>95507381.583931163</c:v>
                </c:pt>
                <c:pt idx="66">
                  <c:v>132537474.22698428</c:v>
                </c:pt>
                <c:pt idx="67">
                  <c:v>109545031.81259611</c:v>
                </c:pt>
                <c:pt idx="68">
                  <c:v>75602999.461888224</c:v>
                </c:pt>
                <c:pt idx="69">
                  <c:v>74687073.988129541</c:v>
                </c:pt>
                <c:pt idx="70">
                  <c:v>78620250.542581946</c:v>
                </c:pt>
                <c:pt idx="71">
                  <c:v>96228875.838215366</c:v>
                </c:pt>
                <c:pt idx="72">
                  <c:v>97528980.617651656</c:v>
                </c:pt>
                <c:pt idx="73">
                  <c:v>90461788.453591064</c:v>
                </c:pt>
                <c:pt idx="74">
                  <c:v>85842595.117859676</c:v>
                </c:pt>
                <c:pt idx="75">
                  <c:v>74577144.3089187</c:v>
                </c:pt>
                <c:pt idx="76">
                  <c:v>78307510.131016716</c:v>
                </c:pt>
                <c:pt idx="77">
                  <c:v>96114636.587795839</c:v>
                </c:pt>
                <c:pt idx="78">
                  <c:v>102087737.27422275</c:v>
                </c:pt>
                <c:pt idx="79">
                  <c:v>121523553.21489187</c:v>
                </c:pt>
                <c:pt idx="80">
                  <c:v>78892771.244770288</c:v>
                </c:pt>
                <c:pt idx="81">
                  <c:v>73885457.7566787</c:v>
                </c:pt>
                <c:pt idx="82">
                  <c:v>79844590.581778824</c:v>
                </c:pt>
                <c:pt idx="83">
                  <c:v>93297787.605306625</c:v>
                </c:pt>
                <c:pt idx="84">
                  <c:v>106247354.43479422</c:v>
                </c:pt>
                <c:pt idx="85">
                  <c:v>89862073.648005784</c:v>
                </c:pt>
                <c:pt idx="86">
                  <c:v>88943021.860327378</c:v>
                </c:pt>
                <c:pt idx="87">
                  <c:v>75598538.227849066</c:v>
                </c:pt>
                <c:pt idx="88">
                  <c:v>75022641.819281444</c:v>
                </c:pt>
                <c:pt idx="89">
                  <c:v>84576519.944063723</c:v>
                </c:pt>
                <c:pt idx="90">
                  <c:v>107101533.02612452</c:v>
                </c:pt>
                <c:pt idx="91">
                  <c:v>110339450.78441639</c:v>
                </c:pt>
                <c:pt idx="92">
                  <c:v>79912445.634409368</c:v>
                </c:pt>
                <c:pt idx="93">
                  <c:v>72580245.017529756</c:v>
                </c:pt>
                <c:pt idx="94">
                  <c:v>78604324.844152153</c:v>
                </c:pt>
                <c:pt idx="95">
                  <c:v>95095994.174302921</c:v>
                </c:pt>
                <c:pt idx="96">
                  <c:v>93579093.204758495</c:v>
                </c:pt>
                <c:pt idx="97">
                  <c:v>85577819.321666092</c:v>
                </c:pt>
                <c:pt idx="98">
                  <c:v>87673851.95936197</c:v>
                </c:pt>
                <c:pt idx="99">
                  <c:v>74584412.929031551</c:v>
                </c:pt>
                <c:pt idx="100">
                  <c:v>73036288.682926536</c:v>
                </c:pt>
                <c:pt idx="101">
                  <c:v>87853574.731743038</c:v>
                </c:pt>
                <c:pt idx="102">
                  <c:v>111106802.19979022</c:v>
                </c:pt>
                <c:pt idx="103">
                  <c:v>96064386.899557218</c:v>
                </c:pt>
                <c:pt idx="104">
                  <c:v>84287938.705913395</c:v>
                </c:pt>
                <c:pt idx="105">
                  <c:v>78780244.738250986</c:v>
                </c:pt>
                <c:pt idx="106">
                  <c:v>87301898.996285781</c:v>
                </c:pt>
                <c:pt idx="107">
                  <c:v>94966349.46302478</c:v>
                </c:pt>
                <c:pt idx="108">
                  <c:v>101247045.04837896</c:v>
                </c:pt>
                <c:pt idx="109">
                  <c:v>87916152.055644214</c:v>
                </c:pt>
                <c:pt idx="110">
                  <c:v>87169578.756874055</c:v>
                </c:pt>
                <c:pt idx="111">
                  <c:v>76729213.431629419</c:v>
                </c:pt>
                <c:pt idx="112">
                  <c:v>77383275.520381123</c:v>
                </c:pt>
                <c:pt idx="113">
                  <c:v>94239830.365764245</c:v>
                </c:pt>
                <c:pt idx="114">
                  <c:v>119620734.44843914</c:v>
                </c:pt>
                <c:pt idx="115">
                  <c:v>110041907.26242474</c:v>
                </c:pt>
                <c:pt idx="116">
                  <c:v>86683241.083469465</c:v>
                </c:pt>
                <c:pt idx="117">
                  <c:v>76971042.953736901</c:v>
                </c:pt>
                <c:pt idx="118">
                  <c:v>81505458.083877072</c:v>
                </c:pt>
                <c:pt idx="119">
                  <c:v>101671640.65752809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D-4C23-910E-1DDB30133357}"/>
            </c:ext>
          </c:extLst>
        </c:ser>
        <c:ser>
          <c:idx val="1"/>
          <c:order val="1"/>
          <c:tx>
            <c:strRef>
              <c:f>'VRZ Residential'!$U$1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Residential'!$A$2:$A$121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Residential'!$W$2:$W$121</c:f>
              <c:numCache>
                <c:formatCode>_-* #,##0_-;\-* #,##0_-;_-* "-"??_-;_-@_-</c:formatCode>
                <c:ptCount val="120"/>
                <c:pt idx="0">
                  <c:v>90309577.899380431</c:v>
                </c:pt>
                <c:pt idx="1">
                  <c:v>87471474.112130433</c:v>
                </c:pt>
                <c:pt idx="2">
                  <c:v>79952619.728000015</c:v>
                </c:pt>
                <c:pt idx="3">
                  <c:v>64360953.296992421</c:v>
                </c:pt>
                <c:pt idx="4">
                  <c:v>63775488.59066873</c:v>
                </c:pt>
                <c:pt idx="5">
                  <c:v>66036742.538249999</c:v>
                </c:pt>
                <c:pt idx="6">
                  <c:v>91463952.709249988</c:v>
                </c:pt>
                <c:pt idx="7">
                  <c:v>82049095.062916666</c:v>
                </c:pt>
                <c:pt idx="8">
                  <c:v>73759521.261309519</c:v>
                </c:pt>
                <c:pt idx="9">
                  <c:v>64217975.004250005</c:v>
                </c:pt>
                <c:pt idx="10">
                  <c:v>66473886.664583325</c:v>
                </c:pt>
                <c:pt idx="11">
                  <c:v>74861107.073568836</c:v>
                </c:pt>
                <c:pt idx="12">
                  <c:v>86186024.934416682</c:v>
                </c:pt>
                <c:pt idx="13">
                  <c:v>78820510.685833335</c:v>
                </c:pt>
                <c:pt idx="14">
                  <c:v>75795812.755630434</c:v>
                </c:pt>
                <c:pt idx="15">
                  <c:v>68750663.712333336</c:v>
                </c:pt>
                <c:pt idx="16">
                  <c:v>69802699.734527782</c:v>
                </c:pt>
                <c:pt idx="17">
                  <c:v>79707720.751333341</c:v>
                </c:pt>
                <c:pt idx="18">
                  <c:v>104842152.74525</c:v>
                </c:pt>
                <c:pt idx="19">
                  <c:v>108827874.01341668</c:v>
                </c:pt>
                <c:pt idx="20">
                  <c:v>70991284.805416659</c:v>
                </c:pt>
                <c:pt idx="21">
                  <c:v>64926824.738416664</c:v>
                </c:pt>
                <c:pt idx="22">
                  <c:v>68342733.549869061</c:v>
                </c:pt>
                <c:pt idx="23">
                  <c:v>84878488.898583338</c:v>
                </c:pt>
                <c:pt idx="24">
                  <c:v>85182136.416981295</c:v>
                </c:pt>
                <c:pt idx="25">
                  <c:v>74921274.752962604</c:v>
                </c:pt>
                <c:pt idx="26">
                  <c:v>81386444.734360561</c:v>
                </c:pt>
                <c:pt idx="27">
                  <c:v>65493004.059175201</c:v>
                </c:pt>
                <c:pt idx="28">
                  <c:v>65790537.853239834</c:v>
                </c:pt>
                <c:pt idx="29">
                  <c:v>74848897.296754465</c:v>
                </c:pt>
                <c:pt idx="30">
                  <c:v>92127821.994285747</c:v>
                </c:pt>
                <c:pt idx="31">
                  <c:v>83010647.541158363</c:v>
                </c:pt>
                <c:pt idx="32">
                  <c:v>74033076.791498363</c:v>
                </c:pt>
                <c:pt idx="33">
                  <c:v>65298387.523812994</c:v>
                </c:pt>
                <c:pt idx="34">
                  <c:v>73050853.438226119</c:v>
                </c:pt>
                <c:pt idx="35">
                  <c:v>92143321.001525611</c:v>
                </c:pt>
                <c:pt idx="36">
                  <c:v>92956447.212715581</c:v>
                </c:pt>
                <c:pt idx="37">
                  <c:v>78759068.643924281</c:v>
                </c:pt>
                <c:pt idx="38">
                  <c:v>81527077.39463298</c:v>
                </c:pt>
                <c:pt idx="39">
                  <c:v>74223637.704258338</c:v>
                </c:pt>
                <c:pt idx="40">
                  <c:v>72635071.986869603</c:v>
                </c:pt>
                <c:pt idx="41">
                  <c:v>80154394.291516587</c:v>
                </c:pt>
                <c:pt idx="42">
                  <c:v>109398423.60704921</c:v>
                </c:pt>
                <c:pt idx="43">
                  <c:v>108503135.38517642</c:v>
                </c:pt>
                <c:pt idx="44">
                  <c:v>81256768.480718419</c:v>
                </c:pt>
                <c:pt idx="45">
                  <c:v>72326445.722343773</c:v>
                </c:pt>
                <c:pt idx="46">
                  <c:v>77612327.440719128</c:v>
                </c:pt>
                <c:pt idx="47">
                  <c:v>86737184.091261163</c:v>
                </c:pt>
                <c:pt idx="48">
                  <c:v>96190046.613499254</c:v>
                </c:pt>
                <c:pt idx="49">
                  <c:v>83531870.09863171</c:v>
                </c:pt>
                <c:pt idx="50">
                  <c:v>85415868.381228283</c:v>
                </c:pt>
                <c:pt idx="51">
                  <c:v>71954439.003731921</c:v>
                </c:pt>
                <c:pt idx="52">
                  <c:v>67210980.486009896</c:v>
                </c:pt>
                <c:pt idx="53">
                  <c:v>78757347.21367088</c:v>
                </c:pt>
                <c:pt idx="54">
                  <c:v>111775948.47931193</c:v>
                </c:pt>
                <c:pt idx="55">
                  <c:v>93622565.104517326</c:v>
                </c:pt>
                <c:pt idx="56">
                  <c:v>66835424.259863913</c:v>
                </c:pt>
                <c:pt idx="57">
                  <c:v>70007602.071787059</c:v>
                </c:pt>
                <c:pt idx="58">
                  <c:v>80611308.439592183</c:v>
                </c:pt>
                <c:pt idx="59">
                  <c:v>89903958.971757963</c:v>
                </c:pt>
                <c:pt idx="60">
                  <c:v>91110347.740493968</c:v>
                </c:pt>
                <c:pt idx="61">
                  <c:v>86737259.406431854</c:v>
                </c:pt>
                <c:pt idx="62">
                  <c:v>83497810.148049504</c:v>
                </c:pt>
                <c:pt idx="63">
                  <c:v>78103682.889880478</c:v>
                </c:pt>
                <c:pt idx="64">
                  <c:v>80380346.264315411</c:v>
                </c:pt>
                <c:pt idx="65">
                  <c:v>93868551.385607883</c:v>
                </c:pt>
                <c:pt idx="66">
                  <c:v>132045240.58795564</c:v>
                </c:pt>
                <c:pt idx="67">
                  <c:v>105984711.59769772</c:v>
                </c:pt>
                <c:pt idx="68">
                  <c:v>72264206.150460199</c:v>
                </c:pt>
                <c:pt idx="69">
                  <c:v>74479912.198900446</c:v>
                </c:pt>
                <c:pt idx="70">
                  <c:v>76560983.702053457</c:v>
                </c:pt>
                <c:pt idx="71">
                  <c:v>93111757.576151878</c:v>
                </c:pt>
                <c:pt idx="72">
                  <c:v>97402446.020419508</c:v>
                </c:pt>
                <c:pt idx="73">
                  <c:v>91354028.566810563</c:v>
                </c:pt>
                <c:pt idx="74">
                  <c:v>86113678.867397517</c:v>
                </c:pt>
                <c:pt idx="75">
                  <c:v>75160557.95813708</c:v>
                </c:pt>
                <c:pt idx="76">
                  <c:v>79435933.538308203</c:v>
                </c:pt>
                <c:pt idx="77">
                  <c:v>97425562.187713027</c:v>
                </c:pt>
                <c:pt idx="78">
                  <c:v>100952061.85722561</c:v>
                </c:pt>
                <c:pt idx="79">
                  <c:v>121655387.22265196</c:v>
                </c:pt>
                <c:pt idx="80">
                  <c:v>75342376.593008399</c:v>
                </c:pt>
                <c:pt idx="81">
                  <c:v>74598839.639264673</c:v>
                </c:pt>
                <c:pt idx="82">
                  <c:v>82761131.980131686</c:v>
                </c:pt>
                <c:pt idx="83">
                  <c:v>92638449.481328771</c:v>
                </c:pt>
                <c:pt idx="84">
                  <c:v>106959354.57287464</c:v>
                </c:pt>
                <c:pt idx="85">
                  <c:v>91261279.76430361</c:v>
                </c:pt>
                <c:pt idx="86">
                  <c:v>89762152.743457288</c:v>
                </c:pt>
                <c:pt idx="87">
                  <c:v>78092345.976476908</c:v>
                </c:pt>
                <c:pt idx="88">
                  <c:v>79040044.12850666</c:v>
                </c:pt>
                <c:pt idx="89">
                  <c:v>83343627.779872254</c:v>
                </c:pt>
                <c:pt idx="90">
                  <c:v>108604917.45393552</c:v>
                </c:pt>
                <c:pt idx="91">
                  <c:v>110518057.77431692</c:v>
                </c:pt>
                <c:pt idx="92">
                  <c:v>79459311.269357637</c:v>
                </c:pt>
                <c:pt idx="93">
                  <c:v>76697886.800864264</c:v>
                </c:pt>
                <c:pt idx="94">
                  <c:v>82128371.291965157</c:v>
                </c:pt>
                <c:pt idx="95">
                  <c:v>96336668.64870593</c:v>
                </c:pt>
                <c:pt idx="96">
                  <c:v>96608032.383121297</c:v>
                </c:pt>
                <c:pt idx="97">
                  <c:v>89070881.036390871</c:v>
                </c:pt>
                <c:pt idx="98">
                  <c:v>91169411.332978785</c:v>
                </c:pt>
                <c:pt idx="99">
                  <c:v>77265728.035769537</c:v>
                </c:pt>
                <c:pt idx="100">
                  <c:v>77180837.871418506</c:v>
                </c:pt>
                <c:pt idx="101">
                  <c:v>89710664.491675794</c:v>
                </c:pt>
                <c:pt idx="102">
                  <c:v>109314056.0457962</c:v>
                </c:pt>
                <c:pt idx="103">
                  <c:v>95152949.724156156</c:v>
                </c:pt>
                <c:pt idx="104">
                  <c:v>80326914.771421</c:v>
                </c:pt>
                <c:pt idx="105">
                  <c:v>80130199.718361229</c:v>
                </c:pt>
                <c:pt idx="106">
                  <c:v>85371834.328010947</c:v>
                </c:pt>
                <c:pt idx="107">
                  <c:v>92648484.622244865</c:v>
                </c:pt>
                <c:pt idx="108">
                  <c:v>100793456.18642183</c:v>
                </c:pt>
                <c:pt idx="109">
                  <c:v>92058112.876005232</c:v>
                </c:pt>
                <c:pt idx="110">
                  <c:v>89006093.232563034</c:v>
                </c:pt>
                <c:pt idx="111">
                  <c:v>79380903.013267234</c:v>
                </c:pt>
                <c:pt idx="112">
                  <c:v>77592611.095315084</c:v>
                </c:pt>
                <c:pt idx="113">
                  <c:v>93283044.67972967</c:v>
                </c:pt>
                <c:pt idx="114">
                  <c:v>116001112.40185982</c:v>
                </c:pt>
                <c:pt idx="115">
                  <c:v>106599217.26634319</c:v>
                </c:pt>
                <c:pt idx="116">
                  <c:v>82186120.04884319</c:v>
                </c:pt>
                <c:pt idx="117">
                  <c:v>79479592.695437118</c:v>
                </c:pt>
                <c:pt idx="118">
                  <c:v>83910350.556178182</c:v>
                </c:pt>
                <c:pt idx="119">
                  <c:v>100658585.7816633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D-4C23-910E-1DDB3013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</a:t>
                </a:r>
                <a:r>
                  <a:rPr lang="en-CA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Seasonal 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Seasonal'!$D$1</c:f>
              <c:strCache>
                <c:ptCount val="1"/>
                <c:pt idx="0">
                  <c:v>VRZ_SeasonalReskWh_No_CDM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Seasonal'!$A$2:$A$121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Seasonal'!$D$2:$D$121</c:f>
              <c:numCache>
                <c:formatCode>_-* #,##0_-;\-* #,##0_-;_-* "-"??_-;_-@_-</c:formatCode>
                <c:ptCount val="120"/>
                <c:pt idx="0">
                  <c:v>1117526.8306585595</c:v>
                </c:pt>
                <c:pt idx="1">
                  <c:v>1185347.5455785273</c:v>
                </c:pt>
                <c:pt idx="2">
                  <c:v>954244.49087849434</c:v>
                </c:pt>
                <c:pt idx="3">
                  <c:v>661354.07612846431</c:v>
                </c:pt>
                <c:pt idx="4">
                  <c:v>635767.52028843039</c:v>
                </c:pt>
                <c:pt idx="5">
                  <c:v>627871.28333839925</c:v>
                </c:pt>
                <c:pt idx="6">
                  <c:v>909220.97890836827</c:v>
                </c:pt>
                <c:pt idx="7">
                  <c:v>938194.58134833619</c:v>
                </c:pt>
                <c:pt idx="8">
                  <c:v>647048.53723830229</c:v>
                </c:pt>
                <c:pt idx="9">
                  <c:v>746083.96594827226</c:v>
                </c:pt>
                <c:pt idx="10">
                  <c:v>521205.37252823921</c:v>
                </c:pt>
                <c:pt idx="11">
                  <c:v>657596.47761820816</c:v>
                </c:pt>
                <c:pt idx="12">
                  <c:v>981085.44305646745</c:v>
                </c:pt>
                <c:pt idx="13">
                  <c:v>939859.94660087873</c:v>
                </c:pt>
                <c:pt idx="14">
                  <c:v>821266.59913529083</c:v>
                </c:pt>
                <c:pt idx="15">
                  <c:v>688870.50393970101</c:v>
                </c:pt>
                <c:pt idx="16">
                  <c:v>672732.18985411234</c:v>
                </c:pt>
                <c:pt idx="17">
                  <c:v>655433.0775185246</c:v>
                </c:pt>
                <c:pt idx="18">
                  <c:v>998351.87830293574</c:v>
                </c:pt>
                <c:pt idx="19">
                  <c:v>984083.20127734495</c:v>
                </c:pt>
                <c:pt idx="20">
                  <c:v>669884.15840175818</c:v>
                </c:pt>
                <c:pt idx="21">
                  <c:v>746305.87275616836</c:v>
                </c:pt>
                <c:pt idx="22">
                  <c:v>613201.60482057964</c:v>
                </c:pt>
                <c:pt idx="23">
                  <c:v>896247.4712049918</c:v>
                </c:pt>
                <c:pt idx="24">
                  <c:v>944894.23985255114</c:v>
                </c:pt>
                <c:pt idx="25">
                  <c:v>862632.18090412836</c:v>
                </c:pt>
                <c:pt idx="26">
                  <c:v>948152.62357570359</c:v>
                </c:pt>
                <c:pt idx="27">
                  <c:v>651130.06956727896</c:v>
                </c:pt>
                <c:pt idx="28">
                  <c:v>747823.78382885619</c:v>
                </c:pt>
                <c:pt idx="29">
                  <c:v>684051.82690043247</c:v>
                </c:pt>
                <c:pt idx="30">
                  <c:v>1023307.9767920077</c:v>
                </c:pt>
                <c:pt idx="31">
                  <c:v>1042017.2955035861</c:v>
                </c:pt>
                <c:pt idx="32">
                  <c:v>764048.71043516125</c:v>
                </c:pt>
                <c:pt idx="33">
                  <c:v>692835.87622673658</c:v>
                </c:pt>
                <c:pt idx="34">
                  <c:v>785011.87798831379</c:v>
                </c:pt>
                <c:pt idx="35">
                  <c:v>1145205.4335898901</c:v>
                </c:pt>
                <c:pt idx="36">
                  <c:v>1205620.7630839557</c:v>
                </c:pt>
                <c:pt idx="37">
                  <c:v>981679.43415098719</c:v>
                </c:pt>
                <c:pt idx="38">
                  <c:v>947242.46931801958</c:v>
                </c:pt>
                <c:pt idx="39">
                  <c:v>825650.77664505085</c:v>
                </c:pt>
                <c:pt idx="40">
                  <c:v>682679.85105208121</c:v>
                </c:pt>
                <c:pt idx="41">
                  <c:v>718411.03047911357</c:v>
                </c:pt>
                <c:pt idx="42">
                  <c:v>1048671.4791061438</c:v>
                </c:pt>
                <c:pt idx="43">
                  <c:v>1058102.8646831752</c:v>
                </c:pt>
                <c:pt idx="44">
                  <c:v>759533.26319020661</c:v>
                </c:pt>
                <c:pt idx="45">
                  <c:v>900029.46587723796</c:v>
                </c:pt>
                <c:pt idx="46">
                  <c:v>856133.06674426829</c:v>
                </c:pt>
                <c:pt idx="47">
                  <c:v>1023879.7442513007</c:v>
                </c:pt>
                <c:pt idx="48">
                  <c:v>1235593.5946586204</c:v>
                </c:pt>
                <c:pt idx="49">
                  <c:v>1085389.6130774193</c:v>
                </c:pt>
                <c:pt idx="50">
                  <c:v>1066107.9126962184</c:v>
                </c:pt>
                <c:pt idx="51">
                  <c:v>791047.00539501745</c:v>
                </c:pt>
                <c:pt idx="52">
                  <c:v>804730.19336381648</c:v>
                </c:pt>
                <c:pt idx="53">
                  <c:v>766672.19979261432</c:v>
                </c:pt>
                <c:pt idx="54">
                  <c:v>1019691.4391314134</c:v>
                </c:pt>
                <c:pt idx="55">
                  <c:v>1015301.5661502132</c:v>
                </c:pt>
                <c:pt idx="56">
                  <c:v>726854.95777901227</c:v>
                </c:pt>
                <c:pt idx="57">
                  <c:v>860246.65539781121</c:v>
                </c:pt>
                <c:pt idx="58">
                  <c:v>935722.1514366112</c:v>
                </c:pt>
                <c:pt idx="59">
                  <c:v>1075831.7731454091</c:v>
                </c:pt>
                <c:pt idx="60">
                  <c:v>1105183.051995286</c:v>
                </c:pt>
                <c:pt idx="61">
                  <c:v>1070997.4322070554</c:v>
                </c:pt>
                <c:pt idx="62">
                  <c:v>1015725.855648826</c:v>
                </c:pt>
                <c:pt idx="63">
                  <c:v>983039.7833405945</c:v>
                </c:pt>
                <c:pt idx="64">
                  <c:v>1018441.0476623629</c:v>
                </c:pt>
                <c:pt idx="65">
                  <c:v>936917.0826641334</c:v>
                </c:pt>
                <c:pt idx="66">
                  <c:v>1203222.6046259028</c:v>
                </c:pt>
                <c:pt idx="67">
                  <c:v>1150023.9218676724</c:v>
                </c:pt>
                <c:pt idx="68">
                  <c:v>999424.37450944295</c:v>
                </c:pt>
                <c:pt idx="69">
                  <c:v>1169756.9441712114</c:v>
                </c:pt>
                <c:pt idx="70">
                  <c:v>953674.46702298184</c:v>
                </c:pt>
                <c:pt idx="71">
                  <c:v>1299798.6489247503</c:v>
                </c:pt>
                <c:pt idx="72">
                  <c:v>1418579.340941062</c:v>
                </c:pt>
                <c:pt idx="73">
                  <c:v>1389617.9935012013</c:v>
                </c:pt>
                <c:pt idx="74">
                  <c:v>1177162.0596213406</c:v>
                </c:pt>
                <c:pt idx="75">
                  <c:v>986964.97047148063</c:v>
                </c:pt>
                <c:pt idx="76">
                  <c:v>1002494.3405116198</c:v>
                </c:pt>
                <c:pt idx="77">
                  <c:v>874256.18010175787</c:v>
                </c:pt>
                <c:pt idx="78">
                  <c:v>1137435.1007718972</c:v>
                </c:pt>
                <c:pt idx="79">
                  <c:v>1194091.8924420362</c:v>
                </c:pt>
                <c:pt idx="80">
                  <c:v>869537.03260217549</c:v>
                </c:pt>
                <c:pt idx="81">
                  <c:v>875541.96913231572</c:v>
                </c:pt>
                <c:pt idx="82">
                  <c:v>964597.77276245295</c:v>
                </c:pt>
                <c:pt idx="83">
                  <c:v>1231998.066692593</c:v>
                </c:pt>
                <c:pt idx="84">
                  <c:v>1647205.4995599021</c:v>
                </c:pt>
                <c:pt idx="85">
                  <c:v>1373917.7855929786</c:v>
                </c:pt>
                <c:pt idx="86">
                  <c:v>1287003.7535860552</c:v>
                </c:pt>
                <c:pt idx="87">
                  <c:v>995189.19428913179</c:v>
                </c:pt>
                <c:pt idx="88">
                  <c:v>830219.78768220847</c:v>
                </c:pt>
                <c:pt idx="89">
                  <c:v>816852.49289528502</c:v>
                </c:pt>
                <c:pt idx="90">
                  <c:v>1100801.1767983616</c:v>
                </c:pt>
                <c:pt idx="91">
                  <c:v>1080444.9008314381</c:v>
                </c:pt>
                <c:pt idx="92">
                  <c:v>853738.2210845158</c:v>
                </c:pt>
                <c:pt idx="93">
                  <c:v>1024176.6882775914</c:v>
                </c:pt>
                <c:pt idx="94">
                  <c:v>917442.699450669</c:v>
                </c:pt>
                <c:pt idx="95">
                  <c:v>1202124.9301737447</c:v>
                </c:pt>
                <c:pt idx="96">
                  <c:v>1284447.9560900042</c:v>
                </c:pt>
                <c:pt idx="97">
                  <c:v>1237997.4278684282</c:v>
                </c:pt>
                <c:pt idx="98">
                  <c:v>1200861.7423668525</c:v>
                </c:pt>
                <c:pt idx="99">
                  <c:v>910505.79270527558</c:v>
                </c:pt>
                <c:pt idx="100">
                  <c:v>924428.24447370076</c:v>
                </c:pt>
                <c:pt idx="101">
                  <c:v>825344.00422212481</c:v>
                </c:pt>
                <c:pt idx="102">
                  <c:v>1149728.5446605489</c:v>
                </c:pt>
                <c:pt idx="103">
                  <c:v>1094870.1071989732</c:v>
                </c:pt>
                <c:pt idx="104">
                  <c:v>851300.06026739709</c:v>
                </c:pt>
                <c:pt idx="105">
                  <c:v>935633.28150582127</c:v>
                </c:pt>
                <c:pt idx="106">
                  <c:v>1058502.3214542454</c:v>
                </c:pt>
                <c:pt idx="107">
                  <c:v>1228017.9985926696</c:v>
                </c:pt>
                <c:pt idx="108">
                  <c:v>1367303.0013910239</c:v>
                </c:pt>
                <c:pt idx="109">
                  <c:v>1275227.7416194798</c:v>
                </c:pt>
                <c:pt idx="110">
                  <c:v>1195213.6387360801</c:v>
                </c:pt>
                <c:pt idx="111">
                  <c:v>930346.69278810883</c:v>
                </c:pt>
                <c:pt idx="112">
                  <c:v>897517.03430432919</c:v>
                </c:pt>
                <c:pt idx="113">
                  <c:v>823481.97335763171</c:v>
                </c:pt>
                <c:pt idx="114">
                  <c:v>1144356.3761343488</c:v>
                </c:pt>
                <c:pt idx="115">
                  <c:v>1173010.6780626387</c:v>
                </c:pt>
                <c:pt idx="116">
                  <c:v>864674.0845947573</c:v>
                </c:pt>
                <c:pt idx="117">
                  <c:v>975931.00857247226</c:v>
                </c:pt>
                <c:pt idx="118">
                  <c:v>954352.9623545974</c:v>
                </c:pt>
                <c:pt idx="119">
                  <c:v>1181483.6155691985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1-475F-8538-F26A0A63A551}"/>
            </c:ext>
          </c:extLst>
        </c:ser>
        <c:ser>
          <c:idx val="1"/>
          <c:order val="1"/>
          <c:tx>
            <c:strRef>
              <c:f>'VRZ Seasonal'!$S$1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Seasonal'!$A$2:$A$121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Seasonal'!$S$2:$S$121</c:f>
              <c:numCache>
                <c:formatCode>_-* #,##0_-;\-* #,##0_-;_-* "-"??_-;_-@_-</c:formatCode>
                <c:ptCount val="120"/>
                <c:pt idx="0">
                  <c:v>1074006.5655366301</c:v>
                </c:pt>
                <c:pt idx="1">
                  <c:v>1019599.8600091304</c:v>
                </c:pt>
                <c:pt idx="2">
                  <c:v>889782.13931999996</c:v>
                </c:pt>
                <c:pt idx="3">
                  <c:v>611764.5588967423</c:v>
                </c:pt>
                <c:pt idx="4">
                  <c:v>578143.36831978778</c:v>
                </c:pt>
                <c:pt idx="5">
                  <c:v>611029.03514499997</c:v>
                </c:pt>
                <c:pt idx="6">
                  <c:v>837321.97300999996</c:v>
                </c:pt>
                <c:pt idx="7">
                  <c:v>768181.4913750001</c:v>
                </c:pt>
                <c:pt idx="8">
                  <c:v>639109.83305619052</c:v>
                </c:pt>
                <c:pt idx="9">
                  <c:v>616145.29149916663</c:v>
                </c:pt>
                <c:pt idx="10">
                  <c:v>651841.75600000005</c:v>
                </c:pt>
                <c:pt idx="11">
                  <c:v>802848.0934498189</c:v>
                </c:pt>
                <c:pt idx="12">
                  <c:v>1004242.1893891668</c:v>
                </c:pt>
                <c:pt idx="13">
                  <c:v>870870.8146083334</c:v>
                </c:pt>
                <c:pt idx="14">
                  <c:v>819427.2449741303</c:v>
                </c:pt>
                <c:pt idx="15">
                  <c:v>694830.26791000017</c:v>
                </c:pt>
                <c:pt idx="16">
                  <c:v>656207.18317194446</c:v>
                </c:pt>
                <c:pt idx="17">
                  <c:v>733082.10626500007</c:v>
                </c:pt>
                <c:pt idx="18">
                  <c:v>956279.3943591665</c:v>
                </c:pt>
                <c:pt idx="19">
                  <c:v>987857.93951416679</c:v>
                </c:pt>
                <c:pt idx="20">
                  <c:v>641381.45655500004</c:v>
                </c:pt>
                <c:pt idx="21">
                  <c:v>642893.1505325</c:v>
                </c:pt>
                <c:pt idx="22">
                  <c:v>687951.95839654771</c:v>
                </c:pt>
                <c:pt idx="23">
                  <c:v>984195.68808083329</c:v>
                </c:pt>
                <c:pt idx="24">
                  <c:v>989820.45953666663</c:v>
                </c:pt>
                <c:pt idx="25">
                  <c:v>803546.1142833333</c:v>
                </c:pt>
                <c:pt idx="26">
                  <c:v>921998.23110916675</c:v>
                </c:pt>
                <c:pt idx="27">
                  <c:v>638593.99024333339</c:v>
                </c:pt>
                <c:pt idx="28">
                  <c:v>640766.51764666662</c:v>
                </c:pt>
                <c:pt idx="29">
                  <c:v>711333.72865716671</c:v>
                </c:pt>
                <c:pt idx="30">
                  <c:v>883139.26816749992</c:v>
                </c:pt>
                <c:pt idx="31">
                  <c:v>814478.79693851457</c:v>
                </c:pt>
                <c:pt idx="32">
                  <c:v>678227.91005083325</c:v>
                </c:pt>
                <c:pt idx="33">
                  <c:v>649200.61720416672</c:v>
                </c:pt>
                <c:pt idx="34">
                  <c:v>774405.47878901521</c:v>
                </c:pt>
                <c:pt idx="35">
                  <c:v>1115995.0584625001</c:v>
                </c:pt>
                <c:pt idx="36">
                  <c:v>1130527.3164275</c:v>
                </c:pt>
                <c:pt idx="37">
                  <c:v>874265.080685833</c:v>
                </c:pt>
                <c:pt idx="38">
                  <c:v>926979.73854916659</c:v>
                </c:pt>
                <c:pt idx="39">
                  <c:v>796003.14015666675</c:v>
                </c:pt>
                <c:pt idx="40">
                  <c:v>698625.46386055194</c:v>
                </c:pt>
                <c:pt idx="41">
                  <c:v>779898.69312181813</c:v>
                </c:pt>
                <c:pt idx="42">
                  <c:v>1029331.0691546495</c:v>
                </c:pt>
                <c:pt idx="43">
                  <c:v>1024350.5849925001</c:v>
                </c:pt>
                <c:pt idx="44">
                  <c:v>749207.36392500007</c:v>
                </c:pt>
                <c:pt idx="45">
                  <c:v>757493.11820249993</c:v>
                </c:pt>
                <c:pt idx="46">
                  <c:v>857219.51838500006</c:v>
                </c:pt>
                <c:pt idx="47">
                  <c:v>1021722.2127166666</c:v>
                </c:pt>
                <c:pt idx="48">
                  <c:v>1187052.6913733333</c:v>
                </c:pt>
                <c:pt idx="49">
                  <c:v>958659.80183416628</c:v>
                </c:pt>
                <c:pt idx="50">
                  <c:v>995835.88295833336</c:v>
                </c:pt>
                <c:pt idx="51">
                  <c:v>756391.60842416668</c:v>
                </c:pt>
                <c:pt idx="52">
                  <c:v>684825.23280421039</c:v>
                </c:pt>
                <c:pt idx="53">
                  <c:v>786110.19839416665</c:v>
                </c:pt>
                <c:pt idx="54">
                  <c:v>1067521.6496000001</c:v>
                </c:pt>
                <c:pt idx="55">
                  <c:v>936128.42357500002</c:v>
                </c:pt>
                <c:pt idx="56">
                  <c:v>667425.50268416665</c:v>
                </c:pt>
                <c:pt idx="57">
                  <c:v>722373.50931583322</c:v>
                </c:pt>
                <c:pt idx="58">
                  <c:v>911079.25066500006</c:v>
                </c:pt>
                <c:pt idx="59">
                  <c:v>1078344.8992591666</c:v>
                </c:pt>
                <c:pt idx="60">
                  <c:v>1093016.1737908332</c:v>
                </c:pt>
                <c:pt idx="61">
                  <c:v>1012818.6357600001</c:v>
                </c:pt>
                <c:pt idx="62">
                  <c:v>1057605.8898125002</c:v>
                </c:pt>
                <c:pt idx="63">
                  <c:v>1017021.6575550002</c:v>
                </c:pt>
                <c:pt idx="64">
                  <c:v>923597.99839392852</c:v>
                </c:pt>
                <c:pt idx="65">
                  <c:v>906518.84192608704</c:v>
                </c:pt>
                <c:pt idx="66">
                  <c:v>1197307.0337625002</c:v>
                </c:pt>
                <c:pt idx="67">
                  <c:v>1021455.405076894</c:v>
                </c:pt>
                <c:pt idx="68">
                  <c:v>741630.07417663035</c:v>
                </c:pt>
                <c:pt idx="69">
                  <c:v>866915.60872083332</c:v>
                </c:pt>
                <c:pt idx="70">
                  <c:v>911819.59872826096</c:v>
                </c:pt>
                <c:pt idx="71">
                  <c:v>1251218.9358125001</c:v>
                </c:pt>
                <c:pt idx="72">
                  <c:v>1333019.9048125001</c:v>
                </c:pt>
                <c:pt idx="73">
                  <c:v>1221869.6750624997</c:v>
                </c:pt>
                <c:pt idx="74">
                  <c:v>1101970.4738586955</c:v>
                </c:pt>
                <c:pt idx="75">
                  <c:v>880386.17947916663</c:v>
                </c:pt>
                <c:pt idx="76">
                  <c:v>856744.15888749994</c:v>
                </c:pt>
                <c:pt idx="77">
                  <c:v>952332.2014875001</c:v>
                </c:pt>
                <c:pt idx="78">
                  <c:v>1005163.1991874999</c:v>
                </c:pt>
                <c:pt idx="79">
                  <c:v>1147797.4085625</c:v>
                </c:pt>
                <c:pt idx="80">
                  <c:v>768093.18977916671</c:v>
                </c:pt>
                <c:pt idx="81">
                  <c:v>828933.51881249994</c:v>
                </c:pt>
                <c:pt idx="82">
                  <c:v>1033509.2414701086</c:v>
                </c:pt>
                <c:pt idx="83">
                  <c:v>1227340.3044375</c:v>
                </c:pt>
                <c:pt idx="84">
                  <c:v>1439437.2878733331</c:v>
                </c:pt>
                <c:pt idx="85">
                  <c:v>1143948.2873199997</c:v>
                </c:pt>
                <c:pt idx="86">
                  <c:v>1114295.4801566666</c:v>
                </c:pt>
                <c:pt idx="87">
                  <c:v>892940.86986666662</c:v>
                </c:pt>
                <c:pt idx="88">
                  <c:v>837771.63811416668</c:v>
                </c:pt>
                <c:pt idx="89">
                  <c:v>883189.79236570571</c:v>
                </c:pt>
                <c:pt idx="90">
                  <c:v>1089265.7215103605</c:v>
                </c:pt>
                <c:pt idx="91">
                  <c:v>1104825.5611066667</c:v>
                </c:pt>
                <c:pt idx="92">
                  <c:v>816314.79926583334</c:v>
                </c:pt>
                <c:pt idx="93">
                  <c:v>868113.69186061597</c:v>
                </c:pt>
                <c:pt idx="94">
                  <c:v>972396.13125833357</c:v>
                </c:pt>
                <c:pt idx="95">
                  <c:v>1233817.0090366665</c:v>
                </c:pt>
                <c:pt idx="96">
                  <c:v>1168391.1976408334</c:v>
                </c:pt>
                <c:pt idx="97">
                  <c:v>1031742.2912733331</c:v>
                </c:pt>
                <c:pt idx="98">
                  <c:v>1073460.7387133334</c:v>
                </c:pt>
                <c:pt idx="99">
                  <c:v>853232.58004333335</c:v>
                </c:pt>
                <c:pt idx="100">
                  <c:v>829695.89608233329</c:v>
                </c:pt>
                <c:pt idx="101">
                  <c:v>946569.05026000016</c:v>
                </c:pt>
                <c:pt idx="102">
                  <c:v>1124596.2940416667</c:v>
                </c:pt>
                <c:pt idx="103">
                  <c:v>1019874.9073540218</c:v>
                </c:pt>
                <c:pt idx="104">
                  <c:v>840621.75346166664</c:v>
                </c:pt>
                <c:pt idx="105">
                  <c:v>875397.75879083341</c:v>
                </c:pt>
                <c:pt idx="106">
                  <c:v>973100.70565137686</c:v>
                </c:pt>
                <c:pt idx="107">
                  <c:v>1102316.3111091666</c:v>
                </c:pt>
                <c:pt idx="108">
                  <c:v>1227860.2483858333</c:v>
                </c:pt>
                <c:pt idx="109">
                  <c:v>1076256.8508866667</c:v>
                </c:pt>
                <c:pt idx="110">
                  <c:v>1029630.0541825</c:v>
                </c:pt>
                <c:pt idx="111">
                  <c:v>867748.33531291666</c:v>
                </c:pt>
                <c:pt idx="112">
                  <c:v>846264.32980749989</c:v>
                </c:pt>
                <c:pt idx="113">
                  <c:v>989148.48387833347</c:v>
                </c:pt>
                <c:pt idx="114">
                  <c:v>1191209.2642775001</c:v>
                </c:pt>
                <c:pt idx="115">
                  <c:v>1120569.7199266667</c:v>
                </c:pt>
                <c:pt idx="116">
                  <c:v>874314.15153416665</c:v>
                </c:pt>
                <c:pt idx="117">
                  <c:v>883697.38313083316</c:v>
                </c:pt>
                <c:pt idx="118">
                  <c:v>945710.69193749991</c:v>
                </c:pt>
                <c:pt idx="119">
                  <c:v>1225152.5883549999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1-475F-8538-F26A0A63A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sz="10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Monthly Consumption (kWh</a:t>
                </a:r>
                <a:r>
                  <a:rPr lang="en-CA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sz="1400" b="1"/>
              <a:t>VRZ General Service &lt; 50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37045454545454"/>
          <c:y val="0.13195138888888888"/>
          <c:w val="0.85519772727272725"/>
          <c:h val="0.6457180555555555"/>
        </c:manualLayout>
      </c:layout>
      <c:lineChart>
        <c:grouping val="standard"/>
        <c:varyColors val="0"/>
        <c:ser>
          <c:idx val="0"/>
          <c:order val="0"/>
          <c:tx>
            <c:strRef>
              <c:f>'VRZ GS &lt; 50'!$D$1</c:f>
              <c:strCache>
                <c:ptCount val="1"/>
                <c:pt idx="0">
                  <c:v>VRZ_GSlt50kWh_No_CDM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&lt; 50'!$A$2:$A$121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GS &lt; 50'!$D$2:$D$121</c:f>
              <c:numCache>
                <c:formatCode>_-* #,##0_-;\-* #,##0_-;_-* "-"??_-;_-@_-</c:formatCode>
                <c:ptCount val="120"/>
                <c:pt idx="0">
                  <c:v>26981959.517060727</c:v>
                </c:pt>
                <c:pt idx="1">
                  <c:v>25430194.3105684</c:v>
                </c:pt>
                <c:pt idx="2">
                  <c:v>24877501.19547607</c:v>
                </c:pt>
                <c:pt idx="3">
                  <c:v>21229741.062543746</c:v>
                </c:pt>
                <c:pt idx="4">
                  <c:v>20575374.446851514</c:v>
                </c:pt>
                <c:pt idx="5">
                  <c:v>20752045.947469089</c:v>
                </c:pt>
                <c:pt idx="6">
                  <c:v>23522096.251636662</c:v>
                </c:pt>
                <c:pt idx="7">
                  <c:v>22759897.850964334</c:v>
                </c:pt>
                <c:pt idx="8">
                  <c:v>21803606.345172107</c:v>
                </c:pt>
                <c:pt idx="9">
                  <c:v>20501518.191849783</c:v>
                </c:pt>
                <c:pt idx="10">
                  <c:v>21181526.340287454</c:v>
                </c:pt>
                <c:pt idx="11">
                  <c:v>22656543.141495027</c:v>
                </c:pt>
                <c:pt idx="12">
                  <c:v>26806952.146743711</c:v>
                </c:pt>
                <c:pt idx="13">
                  <c:v>24974302.665926483</c:v>
                </c:pt>
                <c:pt idx="14">
                  <c:v>24613245.078799155</c:v>
                </c:pt>
                <c:pt idx="15">
                  <c:v>22554956.810262024</c:v>
                </c:pt>
                <c:pt idx="16">
                  <c:v>22209499.313384797</c:v>
                </c:pt>
                <c:pt idx="17">
                  <c:v>23287133.693617567</c:v>
                </c:pt>
                <c:pt idx="18">
                  <c:v>25850604.260270339</c:v>
                </c:pt>
                <c:pt idx="19">
                  <c:v>27029245.50254311</c:v>
                </c:pt>
                <c:pt idx="20">
                  <c:v>22914722.99220578</c:v>
                </c:pt>
                <c:pt idx="21">
                  <c:v>21696597.548698653</c:v>
                </c:pt>
                <c:pt idx="22">
                  <c:v>22609434.965051424</c:v>
                </c:pt>
                <c:pt idx="23">
                  <c:v>25821402.248064097</c:v>
                </c:pt>
                <c:pt idx="24">
                  <c:v>26279107.799820367</c:v>
                </c:pt>
                <c:pt idx="25">
                  <c:v>23510045.533455335</c:v>
                </c:pt>
                <c:pt idx="26">
                  <c:v>25925594.397500303</c:v>
                </c:pt>
                <c:pt idx="27">
                  <c:v>21381267.508215073</c:v>
                </c:pt>
                <c:pt idx="28">
                  <c:v>21685920.775199942</c:v>
                </c:pt>
                <c:pt idx="29">
                  <c:v>22197923.77735481</c:v>
                </c:pt>
                <c:pt idx="30">
                  <c:v>24159720.737949777</c:v>
                </c:pt>
                <c:pt idx="31">
                  <c:v>23901050.910974443</c:v>
                </c:pt>
                <c:pt idx="32">
                  <c:v>22414168.935549516</c:v>
                </c:pt>
                <c:pt idx="33">
                  <c:v>21325854.020314284</c:v>
                </c:pt>
                <c:pt idx="34">
                  <c:v>23171431.02149915</c:v>
                </c:pt>
                <c:pt idx="35">
                  <c:v>26407186.930284023</c:v>
                </c:pt>
                <c:pt idx="36">
                  <c:v>28346942.335826002</c:v>
                </c:pt>
                <c:pt idx="37">
                  <c:v>24235726.85548107</c:v>
                </c:pt>
                <c:pt idx="38">
                  <c:v>25186826.001236435</c:v>
                </c:pt>
                <c:pt idx="39">
                  <c:v>23180895.087741606</c:v>
                </c:pt>
                <c:pt idx="40">
                  <c:v>22313963.63573657</c:v>
                </c:pt>
                <c:pt idx="41">
                  <c:v>22801873.482121836</c:v>
                </c:pt>
                <c:pt idx="42">
                  <c:v>26320696.677457105</c:v>
                </c:pt>
                <c:pt idx="43">
                  <c:v>26202860.506362271</c:v>
                </c:pt>
                <c:pt idx="44">
                  <c:v>22815236.500837341</c:v>
                </c:pt>
                <c:pt idx="45">
                  <c:v>22106154.886432506</c:v>
                </c:pt>
                <c:pt idx="46">
                  <c:v>24138888.993887678</c:v>
                </c:pt>
                <c:pt idx="47">
                  <c:v>25339446.166972842</c:v>
                </c:pt>
                <c:pt idx="48">
                  <c:v>28199794.929765757</c:v>
                </c:pt>
                <c:pt idx="49">
                  <c:v>25294481.990231387</c:v>
                </c:pt>
                <c:pt idx="50">
                  <c:v>26621291.355706912</c:v>
                </c:pt>
                <c:pt idx="51">
                  <c:v>24284936.427162535</c:v>
                </c:pt>
                <c:pt idx="52">
                  <c:v>22990078.605217956</c:v>
                </c:pt>
                <c:pt idx="53">
                  <c:v>23460428.591133583</c:v>
                </c:pt>
                <c:pt idx="54">
                  <c:v>28720628.229629111</c:v>
                </c:pt>
                <c:pt idx="55">
                  <c:v>26641426.684534434</c:v>
                </c:pt>
                <c:pt idx="56">
                  <c:v>22786083.403550062</c:v>
                </c:pt>
                <c:pt idx="57">
                  <c:v>22912660.533415586</c:v>
                </c:pt>
                <c:pt idx="58">
                  <c:v>25340479.971441206</c:v>
                </c:pt>
                <c:pt idx="59">
                  <c:v>27137586.348116633</c:v>
                </c:pt>
                <c:pt idx="60">
                  <c:v>27882555.665730566</c:v>
                </c:pt>
                <c:pt idx="61">
                  <c:v>26219897.050254565</c:v>
                </c:pt>
                <c:pt idx="62">
                  <c:v>24264064.167998258</c:v>
                </c:pt>
                <c:pt idx="63">
                  <c:v>19436437.523442257</c:v>
                </c:pt>
                <c:pt idx="64">
                  <c:v>19729688.584076051</c:v>
                </c:pt>
                <c:pt idx="65">
                  <c:v>22049789.285819951</c:v>
                </c:pt>
                <c:pt idx="66">
                  <c:v>27165576.220593844</c:v>
                </c:pt>
                <c:pt idx="67">
                  <c:v>25223117.485357739</c:v>
                </c:pt>
                <c:pt idx="68">
                  <c:v>21547745.295761634</c:v>
                </c:pt>
                <c:pt idx="69">
                  <c:v>21498604.015655532</c:v>
                </c:pt>
                <c:pt idx="70">
                  <c:v>22721851.45839943</c:v>
                </c:pt>
                <c:pt idx="71">
                  <c:v>25125723.779873326</c:v>
                </c:pt>
                <c:pt idx="72">
                  <c:v>24683039.699006654</c:v>
                </c:pt>
                <c:pt idx="73">
                  <c:v>23922312.387535505</c:v>
                </c:pt>
                <c:pt idx="74">
                  <c:v>24669717.705174152</c:v>
                </c:pt>
                <c:pt idx="75">
                  <c:v>20613043.1888326</c:v>
                </c:pt>
                <c:pt idx="76">
                  <c:v>20580592.371781345</c:v>
                </c:pt>
                <c:pt idx="77">
                  <c:v>22871966.90863999</c:v>
                </c:pt>
                <c:pt idx="78">
                  <c:v>24719487.723428641</c:v>
                </c:pt>
                <c:pt idx="79">
                  <c:v>27571121.987427287</c:v>
                </c:pt>
                <c:pt idx="80">
                  <c:v>22538954.016435936</c:v>
                </c:pt>
                <c:pt idx="81">
                  <c:v>21957724.684754584</c:v>
                </c:pt>
                <c:pt idx="82">
                  <c:v>23244728.894573234</c:v>
                </c:pt>
                <c:pt idx="83">
                  <c:v>25263814.223931879</c:v>
                </c:pt>
                <c:pt idx="84">
                  <c:v>27897926.230337426</c:v>
                </c:pt>
                <c:pt idx="85">
                  <c:v>25365502.966344409</c:v>
                </c:pt>
                <c:pt idx="86">
                  <c:v>26038765.760591585</c:v>
                </c:pt>
                <c:pt idx="87">
                  <c:v>22590456.732098669</c:v>
                </c:pt>
                <c:pt idx="88">
                  <c:v>22646535.682845749</c:v>
                </c:pt>
                <c:pt idx="89">
                  <c:v>23653822.798542827</c:v>
                </c:pt>
                <c:pt idx="90">
                  <c:v>26890192.657499813</c:v>
                </c:pt>
                <c:pt idx="91">
                  <c:v>27033389.343666892</c:v>
                </c:pt>
                <c:pt idx="92">
                  <c:v>22797369.54889407</c:v>
                </c:pt>
                <c:pt idx="93">
                  <c:v>21989257.920071155</c:v>
                </c:pt>
                <c:pt idx="94">
                  <c:v>23568965.875378236</c:v>
                </c:pt>
                <c:pt idx="95">
                  <c:v>26456423.844515316</c:v>
                </c:pt>
                <c:pt idx="96">
                  <c:v>27136724.924837537</c:v>
                </c:pt>
                <c:pt idx="97">
                  <c:v>25065369.150999155</c:v>
                </c:pt>
                <c:pt idx="98">
                  <c:v>26695839.499610867</c:v>
                </c:pt>
                <c:pt idx="99">
                  <c:v>22832471.779142085</c:v>
                </c:pt>
                <c:pt idx="100">
                  <c:v>22904267.3630738</c:v>
                </c:pt>
                <c:pt idx="101">
                  <c:v>24153083.435205214</c:v>
                </c:pt>
                <c:pt idx="102">
                  <c:v>27124425.419216834</c:v>
                </c:pt>
                <c:pt idx="103">
                  <c:v>24663739.636838347</c:v>
                </c:pt>
                <c:pt idx="104">
                  <c:v>23757952.604179867</c:v>
                </c:pt>
                <c:pt idx="105">
                  <c:v>22834530.070741281</c:v>
                </c:pt>
                <c:pt idx="106">
                  <c:v>24231262.794732895</c:v>
                </c:pt>
                <c:pt idx="107">
                  <c:v>23806861.686024413</c:v>
                </c:pt>
                <c:pt idx="108">
                  <c:v>25645054.497401971</c:v>
                </c:pt>
                <c:pt idx="109">
                  <c:v>23244435.147960942</c:v>
                </c:pt>
                <c:pt idx="110">
                  <c:v>23202747.447345048</c:v>
                </c:pt>
                <c:pt idx="111">
                  <c:v>21310849.483020864</c:v>
                </c:pt>
                <c:pt idx="112">
                  <c:v>21670581.306792475</c:v>
                </c:pt>
                <c:pt idx="113">
                  <c:v>22656799.283885501</c:v>
                </c:pt>
                <c:pt idx="114">
                  <c:v>25848217.417666662</c:v>
                </c:pt>
                <c:pt idx="115">
                  <c:v>24626286.586981039</c:v>
                </c:pt>
                <c:pt idx="116">
                  <c:v>21991851.421867885</c:v>
                </c:pt>
                <c:pt idx="117">
                  <c:v>21184005.460647192</c:v>
                </c:pt>
                <c:pt idx="118">
                  <c:v>21747218.776084509</c:v>
                </c:pt>
                <c:pt idx="119">
                  <c:v>24936880.819856849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B-42E4-AA7B-D1EB1875FE81}"/>
            </c:ext>
          </c:extLst>
        </c:ser>
        <c:ser>
          <c:idx val="1"/>
          <c:order val="1"/>
          <c:tx>
            <c:strRef>
              <c:f>'VRZ GS &lt; 50'!$Q$1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&lt; 50'!$A$2:$A$121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GS &lt; 50'!$S$2:$S$121</c:f>
              <c:numCache>
                <c:formatCode>_-* #,##0_-;\-* #,##0_-;_-* "-"??_-;_-@_-</c:formatCode>
                <c:ptCount val="120"/>
                <c:pt idx="0">
                  <c:v>27194628.601826087</c:v>
                </c:pt>
                <c:pt idx="1">
                  <c:v>26459855.501826089</c:v>
                </c:pt>
                <c:pt idx="2">
                  <c:v>25417874.638</c:v>
                </c:pt>
                <c:pt idx="3">
                  <c:v>21681071.689878788</c:v>
                </c:pt>
                <c:pt idx="4">
                  <c:v>21577369.107201606</c:v>
                </c:pt>
                <c:pt idx="5">
                  <c:v>21503615.711999997</c:v>
                </c:pt>
                <c:pt idx="6">
                  <c:v>25042368.817874998</c:v>
                </c:pt>
                <c:pt idx="7">
                  <c:v>23907034.123083334</c:v>
                </c:pt>
                <c:pt idx="8">
                  <c:v>22714877.611244045</c:v>
                </c:pt>
                <c:pt idx="9">
                  <c:v>21574067.507916667</c:v>
                </c:pt>
                <c:pt idx="10">
                  <c:v>21981650.525874998</c:v>
                </c:pt>
                <c:pt idx="11">
                  <c:v>23215123.265797101</c:v>
                </c:pt>
                <c:pt idx="12">
                  <c:v>25885212.322666667</c:v>
                </c:pt>
                <c:pt idx="13">
                  <c:v>24099599.68333333</c:v>
                </c:pt>
                <c:pt idx="14">
                  <c:v>24118989.159826089</c:v>
                </c:pt>
                <c:pt idx="15">
                  <c:v>22433222.659000002</c:v>
                </c:pt>
                <c:pt idx="16">
                  <c:v>22269695.348986112</c:v>
                </c:pt>
                <c:pt idx="17">
                  <c:v>22951519.019291665</c:v>
                </c:pt>
                <c:pt idx="18">
                  <c:v>26490944.621124998</c:v>
                </c:pt>
                <c:pt idx="19">
                  <c:v>26946898.099916667</c:v>
                </c:pt>
                <c:pt idx="20">
                  <c:v>22293960.163041666</c:v>
                </c:pt>
                <c:pt idx="21">
                  <c:v>21733161.574874997</c:v>
                </c:pt>
                <c:pt idx="22">
                  <c:v>22135730.896476191</c:v>
                </c:pt>
                <c:pt idx="23">
                  <c:v>25317904.919333331</c:v>
                </c:pt>
                <c:pt idx="24">
                  <c:v>25382624.831025641</c:v>
                </c:pt>
                <c:pt idx="25">
                  <c:v>22900020.876051281</c:v>
                </c:pt>
                <c:pt idx="26">
                  <c:v>25191464.343743589</c:v>
                </c:pt>
                <c:pt idx="27">
                  <c:v>21424980.233935896</c:v>
                </c:pt>
                <c:pt idx="28">
                  <c:v>21573271.756003208</c:v>
                </c:pt>
                <c:pt idx="29">
                  <c:v>22224156.143953845</c:v>
                </c:pt>
                <c:pt idx="30">
                  <c:v>24890629.052846152</c:v>
                </c:pt>
                <c:pt idx="31">
                  <c:v>23791866.107598245</c:v>
                </c:pt>
                <c:pt idx="32">
                  <c:v>22460234.366855767</c:v>
                </c:pt>
                <c:pt idx="33">
                  <c:v>21626482.85863141</c:v>
                </c:pt>
                <c:pt idx="34">
                  <c:v>23093612.488191143</c:v>
                </c:pt>
                <c:pt idx="35">
                  <c:v>26881316.986307696</c:v>
                </c:pt>
                <c:pt idx="36">
                  <c:v>27039448.873692308</c:v>
                </c:pt>
                <c:pt idx="37">
                  <c:v>23592367.85005128</c:v>
                </c:pt>
                <c:pt idx="38">
                  <c:v>24987467.600410257</c:v>
                </c:pt>
                <c:pt idx="39">
                  <c:v>23222798.993435897</c:v>
                </c:pt>
                <c:pt idx="40">
                  <c:v>22352099.861311108</c:v>
                </c:pt>
                <c:pt idx="41">
                  <c:v>23130619.068347026</c:v>
                </c:pt>
                <c:pt idx="42">
                  <c:v>26958736.467898641</c:v>
                </c:pt>
                <c:pt idx="43">
                  <c:v>26850167.376830131</c:v>
                </c:pt>
                <c:pt idx="44">
                  <c:v>23290617.927355766</c:v>
                </c:pt>
                <c:pt idx="45">
                  <c:v>22664906.56263141</c:v>
                </c:pt>
                <c:pt idx="46">
                  <c:v>23893403.503948718</c:v>
                </c:pt>
                <c:pt idx="47">
                  <c:v>25307167.557641026</c:v>
                </c:pt>
                <c:pt idx="48">
                  <c:v>27529936.94292967</c:v>
                </c:pt>
                <c:pt idx="49">
                  <c:v>24482720.751985431</c:v>
                </c:pt>
                <c:pt idx="50">
                  <c:v>25680888.424404304</c:v>
                </c:pt>
                <c:pt idx="51">
                  <c:v>22462035.549492132</c:v>
                </c:pt>
                <c:pt idx="52">
                  <c:v>21560272.958218802</c:v>
                </c:pt>
                <c:pt idx="53">
                  <c:v>22732130.427405644</c:v>
                </c:pt>
                <c:pt idx="54">
                  <c:v>27186687.811384618</c:v>
                </c:pt>
                <c:pt idx="55">
                  <c:v>25001423.931871828</c:v>
                </c:pt>
                <c:pt idx="56">
                  <c:v>21675299.791538808</c:v>
                </c:pt>
                <c:pt idx="57">
                  <c:v>21911245.79060417</c:v>
                </c:pt>
                <c:pt idx="58">
                  <c:v>24388650.552701693</c:v>
                </c:pt>
                <c:pt idx="59">
                  <c:v>25852303.878823385</c:v>
                </c:pt>
                <c:pt idx="60">
                  <c:v>26134472.535167195</c:v>
                </c:pt>
                <c:pt idx="61">
                  <c:v>25051509.739395522</c:v>
                </c:pt>
                <c:pt idx="62">
                  <c:v>23091467.136278328</c:v>
                </c:pt>
                <c:pt idx="63">
                  <c:v>19816993.7174627</c:v>
                </c:pt>
                <c:pt idx="64">
                  <c:v>19680634.457512714</c:v>
                </c:pt>
                <c:pt idx="65">
                  <c:v>21911356.646193236</c:v>
                </c:pt>
                <c:pt idx="66">
                  <c:v>26918535.402041666</c:v>
                </c:pt>
                <c:pt idx="67">
                  <c:v>24202984.916334528</c:v>
                </c:pt>
                <c:pt idx="68">
                  <c:v>20289759.601102684</c:v>
                </c:pt>
                <c:pt idx="69">
                  <c:v>20866132.497547466</c:v>
                </c:pt>
                <c:pt idx="70">
                  <c:v>21208445.215703767</c:v>
                </c:pt>
                <c:pt idx="71">
                  <c:v>24183787.261011887</c:v>
                </c:pt>
                <c:pt idx="72">
                  <c:v>25045020.516743489</c:v>
                </c:pt>
                <c:pt idx="73">
                  <c:v>23523155.328584276</c:v>
                </c:pt>
                <c:pt idx="74">
                  <c:v>23196344.779728044</c:v>
                </c:pt>
                <c:pt idx="75">
                  <c:v>20874979.430092849</c:v>
                </c:pt>
                <c:pt idx="76">
                  <c:v>21262460.372919936</c:v>
                </c:pt>
                <c:pt idx="77">
                  <c:v>23054504.518323105</c:v>
                </c:pt>
                <c:pt idx="78">
                  <c:v>23866251.813059881</c:v>
                </c:pt>
                <c:pt idx="79">
                  <c:v>26295130.85365225</c:v>
                </c:pt>
                <c:pt idx="80">
                  <c:v>20954260.655171353</c:v>
                </c:pt>
                <c:pt idx="81">
                  <c:v>21126770.816576928</c:v>
                </c:pt>
                <c:pt idx="82">
                  <c:v>22544299.568498638</c:v>
                </c:pt>
                <c:pt idx="83">
                  <c:v>24098850.723930355</c:v>
                </c:pt>
                <c:pt idx="84">
                  <c:v>28216227.570496783</c:v>
                </c:pt>
                <c:pt idx="85">
                  <c:v>24540581.199699875</c:v>
                </c:pt>
                <c:pt idx="86">
                  <c:v>24974797.704156745</c:v>
                </c:pt>
                <c:pt idx="87">
                  <c:v>22329376.689097289</c:v>
                </c:pt>
                <c:pt idx="88">
                  <c:v>22345531.438443296</c:v>
                </c:pt>
                <c:pt idx="89">
                  <c:v>22585485.030681308</c:v>
                </c:pt>
                <c:pt idx="90">
                  <c:v>25792478.36899823</c:v>
                </c:pt>
                <c:pt idx="91">
                  <c:v>25993300.31675034</c:v>
                </c:pt>
                <c:pt idx="92">
                  <c:v>22076421.834736589</c:v>
                </c:pt>
                <c:pt idx="93">
                  <c:v>21945799.629197825</c:v>
                </c:pt>
                <c:pt idx="94">
                  <c:v>23133991.691518899</c:v>
                </c:pt>
                <c:pt idx="95">
                  <c:v>25621180.035294488</c:v>
                </c:pt>
                <c:pt idx="96">
                  <c:v>26619806.976255532</c:v>
                </c:pt>
                <c:pt idx="97">
                  <c:v>24801860.314752825</c:v>
                </c:pt>
                <c:pt idx="98">
                  <c:v>26068511.021851178</c:v>
                </c:pt>
                <c:pt idx="99">
                  <c:v>23033976.443463895</c:v>
                </c:pt>
                <c:pt idx="100">
                  <c:v>22720633.346603677</c:v>
                </c:pt>
                <c:pt idx="101">
                  <c:v>24080616.690449893</c:v>
                </c:pt>
                <c:pt idx="102">
                  <c:v>26726015.954468343</c:v>
                </c:pt>
                <c:pt idx="103">
                  <c:v>25034967.063922685</c:v>
                </c:pt>
                <c:pt idx="104">
                  <c:v>23214213.861690324</c:v>
                </c:pt>
                <c:pt idx="105">
                  <c:v>23258309.525422748</c:v>
                </c:pt>
                <c:pt idx="106">
                  <c:v>24527643.707024183</c:v>
                </c:pt>
                <c:pt idx="107">
                  <c:v>25486662.22470513</c:v>
                </c:pt>
                <c:pt idx="108">
                  <c:v>27378003.897023942</c:v>
                </c:pt>
                <c:pt idx="109">
                  <c:v>25246099.281451844</c:v>
                </c:pt>
                <c:pt idx="110">
                  <c:v>25265600.710781243</c:v>
                </c:pt>
                <c:pt idx="111">
                  <c:v>22952051.863499496</c:v>
                </c:pt>
                <c:pt idx="112">
                  <c:v>22842596.34616274</c:v>
                </c:pt>
                <c:pt idx="113">
                  <c:v>24382662.34196721</c:v>
                </c:pt>
                <c:pt idx="114">
                  <c:v>27502039.244929712</c:v>
                </c:pt>
                <c:pt idx="115">
                  <c:v>26367120.799512919</c:v>
                </c:pt>
                <c:pt idx="116">
                  <c:v>23394304.602897383</c:v>
                </c:pt>
                <c:pt idx="117">
                  <c:v>23083244.920994822</c:v>
                </c:pt>
                <c:pt idx="118">
                  <c:v>23963722.523654561</c:v>
                </c:pt>
                <c:pt idx="119">
                  <c:v>27089065.321748141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B-42E4-AA7B-D1EB1875F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>
        <a:defRPr lang="en-US" sz="10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50 to 2,999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9739898989899"/>
          <c:y val="0.12106277777777778"/>
          <c:w val="0.84718005050505052"/>
          <c:h val="0.6495508333333333"/>
        </c:manualLayout>
      </c:layout>
      <c:lineChart>
        <c:grouping val="standard"/>
        <c:varyColors val="0"/>
        <c:ser>
          <c:idx val="0"/>
          <c:order val="0"/>
          <c:tx>
            <c:strRef>
              <c:f>'VRZ GS 50-2,999'!$D$1</c:f>
              <c:strCache>
                <c:ptCount val="1"/>
                <c:pt idx="0">
                  <c:v>VRZ_GS50to2999kWh_No_CDM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50-2,999'!$A$2:$A$121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GS 50-2,999'!$D$2:$D$121</c:f>
              <c:numCache>
                <c:formatCode>_-* #,##0_-;\-* #,##0_-;_-* "-"??_-;_-@_-</c:formatCode>
                <c:ptCount val="120"/>
                <c:pt idx="0">
                  <c:v>71442620.039468288</c:v>
                </c:pt>
                <c:pt idx="1">
                  <c:v>76632985.030416265</c:v>
                </c:pt>
                <c:pt idx="2">
                  <c:v>85961173.667970002</c:v>
                </c:pt>
                <c:pt idx="3">
                  <c:v>78651699.97552374</c:v>
                </c:pt>
                <c:pt idx="4">
                  <c:v>80725133.273077473</c:v>
                </c:pt>
                <c:pt idx="5">
                  <c:v>81951611.450631216</c:v>
                </c:pt>
                <c:pt idx="6">
                  <c:v>84790202.238184944</c:v>
                </c:pt>
                <c:pt idx="7">
                  <c:v>84347090.635738686</c:v>
                </c:pt>
                <c:pt idx="8">
                  <c:v>83793511.793292418</c:v>
                </c:pt>
                <c:pt idx="9">
                  <c:v>79410343.900846153</c:v>
                </c:pt>
                <c:pt idx="10">
                  <c:v>79052148.718399897</c:v>
                </c:pt>
                <c:pt idx="11">
                  <c:v>78203185.075953633</c:v>
                </c:pt>
                <c:pt idx="12">
                  <c:v>85425274.307035491</c:v>
                </c:pt>
                <c:pt idx="13">
                  <c:v>81187927.697385803</c:v>
                </c:pt>
                <c:pt idx="14">
                  <c:v>83345957.967736125</c:v>
                </c:pt>
                <c:pt idx="15">
                  <c:v>79087505.848086447</c:v>
                </c:pt>
                <c:pt idx="16">
                  <c:v>80476862.198436767</c:v>
                </c:pt>
                <c:pt idx="17">
                  <c:v>83369828.778787091</c:v>
                </c:pt>
                <c:pt idx="18">
                  <c:v>85701375.219137415</c:v>
                </c:pt>
                <c:pt idx="19">
                  <c:v>89758205.989487737</c:v>
                </c:pt>
                <c:pt idx="20">
                  <c:v>81723353.939838052</c:v>
                </c:pt>
                <c:pt idx="21">
                  <c:v>79236220.680188373</c:v>
                </c:pt>
                <c:pt idx="22">
                  <c:v>79346388.920538694</c:v>
                </c:pt>
                <c:pt idx="23">
                  <c:v>80205572.860889018</c:v>
                </c:pt>
                <c:pt idx="24">
                  <c:v>84345594.329790711</c:v>
                </c:pt>
                <c:pt idx="25">
                  <c:v>76455949.867234513</c:v>
                </c:pt>
                <c:pt idx="26">
                  <c:v>85005849.524678305</c:v>
                </c:pt>
                <c:pt idx="27">
                  <c:v>75760447.032122105</c:v>
                </c:pt>
                <c:pt idx="28">
                  <c:v>79518997.669565901</c:v>
                </c:pt>
                <c:pt idx="29">
                  <c:v>80237105.367009684</c:v>
                </c:pt>
                <c:pt idx="30">
                  <c:v>82269026.564453483</c:v>
                </c:pt>
                <c:pt idx="31">
                  <c:v>85309136.221897274</c:v>
                </c:pt>
                <c:pt idx="32">
                  <c:v>82173288.189341083</c:v>
                </c:pt>
                <c:pt idx="33">
                  <c:v>80084243.886784881</c:v>
                </c:pt>
                <c:pt idx="34">
                  <c:v>81331968.014228672</c:v>
                </c:pt>
                <c:pt idx="35">
                  <c:v>83169232.251672462</c:v>
                </c:pt>
                <c:pt idx="36">
                  <c:v>89219398.42277886</c:v>
                </c:pt>
                <c:pt idx="37">
                  <c:v>79210676.167718485</c:v>
                </c:pt>
                <c:pt idx="38">
                  <c:v>84410406.562658131</c:v>
                </c:pt>
                <c:pt idx="39">
                  <c:v>80397213.467597783</c:v>
                </c:pt>
                <c:pt idx="40">
                  <c:v>81857156.762537405</c:v>
                </c:pt>
                <c:pt idx="41">
                  <c:v>83028377.88747704</c:v>
                </c:pt>
                <c:pt idx="42">
                  <c:v>88716707.202416673</c:v>
                </c:pt>
                <c:pt idx="43">
                  <c:v>90790787.837356314</c:v>
                </c:pt>
                <c:pt idx="44">
                  <c:v>84518146.232295945</c:v>
                </c:pt>
                <c:pt idx="45">
                  <c:v>82719001.677235588</c:v>
                </c:pt>
                <c:pt idx="46">
                  <c:v>83098159.202175215</c:v>
                </c:pt>
                <c:pt idx="47">
                  <c:v>81107239.617114857</c:v>
                </c:pt>
                <c:pt idx="48">
                  <c:v>89987890.642999917</c:v>
                </c:pt>
                <c:pt idx="49">
                  <c:v>81561175.396740332</c:v>
                </c:pt>
                <c:pt idx="50">
                  <c:v>86970718.640480727</c:v>
                </c:pt>
                <c:pt idx="51">
                  <c:v>79359358.704221129</c:v>
                </c:pt>
                <c:pt idx="52">
                  <c:v>80012440.007961541</c:v>
                </c:pt>
                <c:pt idx="53">
                  <c:v>80705233.661701947</c:v>
                </c:pt>
                <c:pt idx="54">
                  <c:v>89974220.065442368</c:v>
                </c:pt>
                <c:pt idx="55">
                  <c:v>86788884.969182774</c:v>
                </c:pt>
                <c:pt idx="56">
                  <c:v>80260355.412923172</c:v>
                </c:pt>
                <c:pt idx="57">
                  <c:v>79100092.056663573</c:v>
                </c:pt>
                <c:pt idx="58">
                  <c:v>81137021.800403982</c:v>
                </c:pt>
                <c:pt idx="59">
                  <c:v>81147803.554144382</c:v>
                </c:pt>
                <c:pt idx="60">
                  <c:v>85581911.003255412</c:v>
                </c:pt>
                <c:pt idx="61">
                  <c:v>81388173.433879867</c:v>
                </c:pt>
                <c:pt idx="62">
                  <c:v>79674733.704504296</c:v>
                </c:pt>
                <c:pt idx="63">
                  <c:v>66983219.52512873</c:v>
                </c:pt>
                <c:pt idx="64">
                  <c:v>70122728.675753176</c:v>
                </c:pt>
                <c:pt idx="65">
                  <c:v>78130654.066377595</c:v>
                </c:pt>
                <c:pt idx="66">
                  <c:v>89039486.947002053</c:v>
                </c:pt>
                <c:pt idx="67">
                  <c:v>85144234.977626473</c:v>
                </c:pt>
                <c:pt idx="68">
                  <c:v>78732260.728250906</c:v>
                </c:pt>
                <c:pt idx="69">
                  <c:v>78371353.74887535</c:v>
                </c:pt>
                <c:pt idx="70">
                  <c:v>78233360.389499784</c:v>
                </c:pt>
                <c:pt idx="71">
                  <c:v>80847957.450124219</c:v>
                </c:pt>
                <c:pt idx="72">
                  <c:v>83241205.245990917</c:v>
                </c:pt>
                <c:pt idx="73">
                  <c:v>78590630.451231077</c:v>
                </c:pt>
                <c:pt idx="74">
                  <c:v>83979042.606471211</c:v>
                </c:pt>
                <c:pt idx="75">
                  <c:v>75391302.341711357</c:v>
                </c:pt>
                <c:pt idx="76">
                  <c:v>77766804.946951509</c:v>
                </c:pt>
                <c:pt idx="77">
                  <c:v>83059371.182191655</c:v>
                </c:pt>
                <c:pt idx="78">
                  <c:v>84367992.157431811</c:v>
                </c:pt>
                <c:pt idx="79">
                  <c:v>90473728.112671942</c:v>
                </c:pt>
                <c:pt idx="80">
                  <c:v>80952425.807912096</c:v>
                </c:pt>
                <c:pt idx="81">
                  <c:v>80177254.353152245</c:v>
                </c:pt>
                <c:pt idx="82">
                  <c:v>80700103.788392395</c:v>
                </c:pt>
                <c:pt idx="83">
                  <c:v>81654985.85363254</c:v>
                </c:pt>
                <c:pt idx="84">
                  <c:v>87765377.837534875</c:v>
                </c:pt>
                <c:pt idx="85">
                  <c:v>81646689.613897964</c:v>
                </c:pt>
                <c:pt idx="86">
                  <c:v>87139508.810261041</c:v>
                </c:pt>
                <c:pt idx="87">
                  <c:v>79174698.18662414</c:v>
                </c:pt>
                <c:pt idx="88">
                  <c:v>81586543.102987215</c:v>
                </c:pt>
                <c:pt idx="89">
                  <c:v>83368101.109350309</c:v>
                </c:pt>
                <c:pt idx="90">
                  <c:v>87828802.185713395</c:v>
                </c:pt>
                <c:pt idx="91">
                  <c:v>90088246.792076468</c:v>
                </c:pt>
                <c:pt idx="92">
                  <c:v>81452776.388439566</c:v>
                </c:pt>
                <c:pt idx="93">
                  <c:v>79837057.994802639</c:v>
                </c:pt>
                <c:pt idx="94">
                  <c:v>82129240.641165733</c:v>
                </c:pt>
                <c:pt idx="95">
                  <c:v>83319692.807528824</c:v>
                </c:pt>
                <c:pt idx="96">
                  <c:v>87350703.138980687</c:v>
                </c:pt>
                <c:pt idx="97">
                  <c:v>80721380.291840538</c:v>
                </c:pt>
                <c:pt idx="98">
                  <c:v>86720127.644700378</c:v>
                </c:pt>
                <c:pt idx="99">
                  <c:v>77963624.177560225</c:v>
                </c:pt>
                <c:pt idx="100">
                  <c:v>80812976.800420076</c:v>
                </c:pt>
                <c:pt idx="101">
                  <c:v>83900144.093279928</c:v>
                </c:pt>
                <c:pt idx="102">
                  <c:v>88918844.516139761</c:v>
                </c:pt>
                <c:pt idx="103">
                  <c:v>88003177.528999612</c:v>
                </c:pt>
                <c:pt idx="104">
                  <c:v>83339511.051859453</c:v>
                </c:pt>
                <c:pt idx="105">
                  <c:v>82272945.574719295</c:v>
                </c:pt>
                <c:pt idx="106">
                  <c:v>83045482.417579144</c:v>
                </c:pt>
                <c:pt idx="107">
                  <c:v>82831630.850438997</c:v>
                </c:pt>
                <c:pt idx="108">
                  <c:v>92074738.015772477</c:v>
                </c:pt>
                <c:pt idx="109">
                  <c:v>85276594.367293775</c:v>
                </c:pt>
                <c:pt idx="110">
                  <c:v>87021487.734541059</c:v>
                </c:pt>
                <c:pt idx="111">
                  <c:v>83404082.335080341</c:v>
                </c:pt>
                <c:pt idx="112">
                  <c:v>86341996.517449632</c:v>
                </c:pt>
                <c:pt idx="113">
                  <c:v>87537209.176320925</c:v>
                </c:pt>
                <c:pt idx="114">
                  <c:v>95283723.75183019</c:v>
                </c:pt>
                <c:pt idx="115">
                  <c:v>92462608.027977481</c:v>
                </c:pt>
                <c:pt idx="116">
                  <c:v>87269640.356196776</c:v>
                </c:pt>
                <c:pt idx="117">
                  <c:v>84352491.580078065</c:v>
                </c:pt>
                <c:pt idx="118">
                  <c:v>82396991.622043356</c:v>
                </c:pt>
                <c:pt idx="119">
                  <c:v>86210582.360618636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D-4A3B-BDD3-80BE0408E8AE}"/>
            </c:ext>
          </c:extLst>
        </c:ser>
        <c:ser>
          <c:idx val="1"/>
          <c:order val="1"/>
          <c:tx>
            <c:strRef>
              <c:f>'VRZ GS 50-2,999'!$S$1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50-2,999'!$A$2:$A$121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GS 50-2,999'!$U$2:$U$121</c:f>
              <c:numCache>
                <c:formatCode>_-* #,##0_-;\-* #,##0_-;_-* "-"??_-;_-@_-</c:formatCode>
                <c:ptCount val="120"/>
                <c:pt idx="0">
                  <c:v>83281589.971658483</c:v>
                </c:pt>
                <c:pt idx="1">
                  <c:v>80332005.20203349</c:v>
                </c:pt>
                <c:pt idx="2">
                  <c:v>81822662.796489984</c:v>
                </c:pt>
                <c:pt idx="3">
                  <c:v>75782535.405122265</c:v>
                </c:pt>
                <c:pt idx="4">
                  <c:v>78638014.9076318</c:v>
                </c:pt>
                <c:pt idx="5">
                  <c:v>77112321.607144997</c:v>
                </c:pt>
                <c:pt idx="6">
                  <c:v>84534057.522944987</c:v>
                </c:pt>
                <c:pt idx="7">
                  <c:v>82534798.961694986</c:v>
                </c:pt>
                <c:pt idx="8">
                  <c:v>80992179.212284282</c:v>
                </c:pt>
                <c:pt idx="9">
                  <c:v>77408841.435055003</c:v>
                </c:pt>
                <c:pt idx="10">
                  <c:v>77051827.712054998</c:v>
                </c:pt>
                <c:pt idx="11">
                  <c:v>77753018.18452239</c:v>
                </c:pt>
                <c:pt idx="12">
                  <c:v>82392177.201364994</c:v>
                </c:pt>
                <c:pt idx="13">
                  <c:v>78317670.679739997</c:v>
                </c:pt>
                <c:pt idx="14">
                  <c:v>80920707.618783474</c:v>
                </c:pt>
                <c:pt idx="15">
                  <c:v>77494968.41189</c:v>
                </c:pt>
                <c:pt idx="16">
                  <c:v>79578747.741098344</c:v>
                </c:pt>
                <c:pt idx="17">
                  <c:v>80129563.064889997</c:v>
                </c:pt>
                <c:pt idx="18">
                  <c:v>87373890.881994978</c:v>
                </c:pt>
                <c:pt idx="19">
                  <c:v>88063715.416494995</c:v>
                </c:pt>
                <c:pt idx="20">
                  <c:v>80803983.485245004</c:v>
                </c:pt>
                <c:pt idx="21">
                  <c:v>78363878.600975007</c:v>
                </c:pt>
                <c:pt idx="22">
                  <c:v>76744641.083546415</c:v>
                </c:pt>
                <c:pt idx="23">
                  <c:v>80646690.989224985</c:v>
                </c:pt>
                <c:pt idx="24">
                  <c:v>81655440.187886164</c:v>
                </c:pt>
                <c:pt idx="25">
                  <c:v>75905213.553732306</c:v>
                </c:pt>
                <c:pt idx="26">
                  <c:v>82669221.118953481</c:v>
                </c:pt>
                <c:pt idx="27">
                  <c:v>77152765.413639605</c:v>
                </c:pt>
                <c:pt idx="28">
                  <c:v>79032620.853360772</c:v>
                </c:pt>
                <c:pt idx="29">
                  <c:v>79812770.404456943</c:v>
                </c:pt>
                <c:pt idx="30">
                  <c:v>85118301.106998071</c:v>
                </c:pt>
                <c:pt idx="31">
                  <c:v>83140569.449605107</c:v>
                </c:pt>
                <c:pt idx="32">
                  <c:v>80984675.849065363</c:v>
                </c:pt>
                <c:pt idx="33">
                  <c:v>79375242.19927153</c:v>
                </c:pt>
                <c:pt idx="34">
                  <c:v>79222982.15528816</c:v>
                </c:pt>
                <c:pt idx="35">
                  <c:v>84165072.357338846</c:v>
                </c:pt>
                <c:pt idx="36">
                  <c:v>85062881.483631939</c:v>
                </c:pt>
                <c:pt idx="37">
                  <c:v>77826410.898458838</c:v>
                </c:pt>
                <c:pt idx="38">
                  <c:v>83194452.245035768</c:v>
                </c:pt>
                <c:pt idx="39">
                  <c:v>80216383.387727708</c:v>
                </c:pt>
                <c:pt idx="40">
                  <c:v>82232144.659353316</c:v>
                </c:pt>
                <c:pt idx="41">
                  <c:v>82003356.64721109</c:v>
                </c:pt>
                <c:pt idx="42">
                  <c:v>89985956.042900905</c:v>
                </c:pt>
                <c:pt idx="43">
                  <c:v>89706197.943040371</c:v>
                </c:pt>
                <c:pt idx="44">
                  <c:v>83802218.410117313</c:v>
                </c:pt>
                <c:pt idx="45">
                  <c:v>81240778.253159225</c:v>
                </c:pt>
                <c:pt idx="46">
                  <c:v>81895046.885236159</c:v>
                </c:pt>
                <c:pt idx="47">
                  <c:v>83076146.599063054</c:v>
                </c:pt>
                <c:pt idx="48">
                  <c:v>86572236.500052497</c:v>
                </c:pt>
                <c:pt idx="49">
                  <c:v>79923485.557693869</c:v>
                </c:pt>
                <c:pt idx="50">
                  <c:v>84960469.681859359</c:v>
                </c:pt>
                <c:pt idx="51">
                  <c:v>79762759.560224861</c:v>
                </c:pt>
                <c:pt idx="52">
                  <c:v>79724344.421715021</c:v>
                </c:pt>
                <c:pt idx="53">
                  <c:v>81902080.747854158</c:v>
                </c:pt>
                <c:pt idx="54">
                  <c:v>90606630.423016936</c:v>
                </c:pt>
                <c:pt idx="55">
                  <c:v>86833732.100219429</c:v>
                </c:pt>
                <c:pt idx="56">
                  <c:v>81710070.810930744</c:v>
                </c:pt>
                <c:pt idx="57">
                  <c:v>79771542.731808245</c:v>
                </c:pt>
                <c:pt idx="58">
                  <c:v>82477194.793576479</c:v>
                </c:pt>
                <c:pt idx="59">
                  <c:v>83719141.807837665</c:v>
                </c:pt>
                <c:pt idx="60">
                  <c:v>82925920.12630032</c:v>
                </c:pt>
                <c:pt idx="61">
                  <c:v>79980115.833652377</c:v>
                </c:pt>
                <c:pt idx="62">
                  <c:v>81678391.266138926</c:v>
                </c:pt>
                <c:pt idx="63">
                  <c:v>69940210.554779902</c:v>
                </c:pt>
                <c:pt idx="64">
                  <c:v>72559482.441425055</c:v>
                </c:pt>
                <c:pt idx="65">
                  <c:v>74202331.39954184</c:v>
                </c:pt>
                <c:pt idx="66">
                  <c:v>89468369.87330769</c:v>
                </c:pt>
                <c:pt idx="67">
                  <c:v>84429553.606985226</c:v>
                </c:pt>
                <c:pt idx="68">
                  <c:v>77449616.324384347</c:v>
                </c:pt>
                <c:pt idx="69">
                  <c:v>77869510.019203261</c:v>
                </c:pt>
                <c:pt idx="70">
                  <c:v>77343683.454962179</c:v>
                </c:pt>
                <c:pt idx="71">
                  <c:v>80838859.419273406</c:v>
                </c:pt>
                <c:pt idx="72">
                  <c:v>83228603.6204568</c:v>
                </c:pt>
                <c:pt idx="73">
                  <c:v>79074614.733864382</c:v>
                </c:pt>
                <c:pt idx="74">
                  <c:v>81740600.670207858</c:v>
                </c:pt>
                <c:pt idx="75">
                  <c:v>77277549.156298891</c:v>
                </c:pt>
                <c:pt idx="76">
                  <c:v>79861099.684911117</c:v>
                </c:pt>
                <c:pt idx="77">
                  <c:v>82740194.190361738</c:v>
                </c:pt>
                <c:pt idx="78">
                  <c:v>86100844.142522976</c:v>
                </c:pt>
                <c:pt idx="79">
                  <c:v>89943632.883981571</c:v>
                </c:pt>
                <c:pt idx="80">
                  <c:v>81282962.888032243</c:v>
                </c:pt>
                <c:pt idx="81">
                  <c:v>82267394.098445773</c:v>
                </c:pt>
                <c:pt idx="82">
                  <c:v>81598516.844168261</c:v>
                </c:pt>
                <c:pt idx="83">
                  <c:v>82891945.777403653</c:v>
                </c:pt>
                <c:pt idx="84">
                  <c:v>88747398.231998011</c:v>
                </c:pt>
                <c:pt idx="85">
                  <c:v>81197411.6935523</c:v>
                </c:pt>
                <c:pt idx="86">
                  <c:v>85070173.505866379</c:v>
                </c:pt>
                <c:pt idx="87">
                  <c:v>80914645.705900535</c:v>
                </c:pt>
                <c:pt idx="88">
                  <c:v>83748756.231102169</c:v>
                </c:pt>
                <c:pt idx="89">
                  <c:v>83435270.522534922</c:v>
                </c:pt>
                <c:pt idx="90">
                  <c:v>89553901.007910848</c:v>
                </c:pt>
                <c:pt idx="91">
                  <c:v>89817317.30947873</c:v>
                </c:pt>
                <c:pt idx="92">
                  <c:v>83137231.974052757</c:v>
                </c:pt>
                <c:pt idx="93">
                  <c:v>80833428.400701538</c:v>
                </c:pt>
                <c:pt idx="94">
                  <c:v>81681481.894797683</c:v>
                </c:pt>
                <c:pt idx="95">
                  <c:v>84162683.290740237</c:v>
                </c:pt>
                <c:pt idx="96">
                  <c:v>85268886.148638204</c:v>
                </c:pt>
                <c:pt idx="97">
                  <c:v>80562050.753932685</c:v>
                </c:pt>
                <c:pt idx="98">
                  <c:v>85688877.431767717</c:v>
                </c:pt>
                <c:pt idx="99">
                  <c:v>81481729.368354037</c:v>
                </c:pt>
                <c:pt idx="100">
                  <c:v>82765616.182363153</c:v>
                </c:pt>
                <c:pt idx="101">
                  <c:v>84811123.940450966</c:v>
                </c:pt>
                <c:pt idx="102">
                  <c:v>90021910.110381842</c:v>
                </c:pt>
                <c:pt idx="103">
                  <c:v>87040777.539561212</c:v>
                </c:pt>
                <c:pt idx="104">
                  <c:v>84567997.044683933</c:v>
                </c:pt>
                <c:pt idx="105">
                  <c:v>82740721.580414593</c:v>
                </c:pt>
                <c:pt idx="106">
                  <c:v>82689124.863003105</c:v>
                </c:pt>
                <c:pt idx="107">
                  <c:v>83137358.712742701</c:v>
                </c:pt>
                <c:pt idx="108">
                  <c:v>86164719.17337279</c:v>
                </c:pt>
                <c:pt idx="109">
                  <c:v>81658324.579229876</c:v>
                </c:pt>
                <c:pt idx="110">
                  <c:v>84324582.968575045</c:v>
                </c:pt>
                <c:pt idx="111">
                  <c:v>80458126.601969048</c:v>
                </c:pt>
                <c:pt idx="112">
                  <c:v>83826980.927150458</c:v>
                </c:pt>
                <c:pt idx="113">
                  <c:v>84826058.018741667</c:v>
                </c:pt>
                <c:pt idx="114">
                  <c:v>90871529.595547274</c:v>
                </c:pt>
                <c:pt idx="115">
                  <c:v>88851394.131070241</c:v>
                </c:pt>
                <c:pt idx="116">
                  <c:v>84464358.865677878</c:v>
                </c:pt>
                <c:pt idx="117">
                  <c:v>82046110.042422652</c:v>
                </c:pt>
                <c:pt idx="118">
                  <c:v>81773695.405551672</c:v>
                </c:pt>
                <c:pt idx="119">
                  <c:v>85196628.584529594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D-4A3B-BDD3-80BE0408E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General Service 3,000 to 4,999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401616161616162"/>
          <c:y val="0.1287375"/>
          <c:w val="0.85359419191919195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3,000-4,999'!$D$1</c:f>
              <c:strCache>
                <c:ptCount val="1"/>
                <c:pt idx="0">
                  <c:v>VRZ_GS3000to4999kWh_No_CDM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GS 3,000-4,999'!$D$2:$D$121</c:f>
              <c:numCache>
                <c:formatCode>_-* #,##0_-;\-* #,##0_-;_-* "-"??_-;_-@_-</c:formatCode>
                <c:ptCount val="120"/>
                <c:pt idx="0">
                  <c:v>7337573.8113254756</c:v>
                </c:pt>
                <c:pt idx="1">
                  <c:v>6908695.2852855837</c:v>
                </c:pt>
                <c:pt idx="2">
                  <c:v>7383260.6835694443</c:v>
                </c:pt>
                <c:pt idx="3">
                  <c:v>7204369.4118533041</c:v>
                </c:pt>
                <c:pt idx="4">
                  <c:v>7345884.0401371643</c:v>
                </c:pt>
                <c:pt idx="5">
                  <c:v>7533903.6284210244</c:v>
                </c:pt>
                <c:pt idx="6">
                  <c:v>6691934.4867048832</c:v>
                </c:pt>
                <c:pt idx="7">
                  <c:v>6837981.5249887435</c:v>
                </c:pt>
                <c:pt idx="8">
                  <c:v>6292292.093272604</c:v>
                </c:pt>
                <c:pt idx="9">
                  <c:v>6565647.9515564637</c:v>
                </c:pt>
                <c:pt idx="10">
                  <c:v>6894651.1298403237</c:v>
                </c:pt>
                <c:pt idx="11">
                  <c:v>6213677.9281241829</c:v>
                </c:pt>
                <c:pt idx="12">
                  <c:v>7082126.2640876807</c:v>
                </c:pt>
                <c:pt idx="13">
                  <c:v>6440881.7042909777</c:v>
                </c:pt>
                <c:pt idx="14">
                  <c:v>6559757.1344942749</c:v>
                </c:pt>
                <c:pt idx="15">
                  <c:v>6726899.6046975721</c:v>
                </c:pt>
                <c:pt idx="16">
                  <c:v>5921232.544900869</c:v>
                </c:pt>
                <c:pt idx="17">
                  <c:v>6589415.2701041661</c:v>
                </c:pt>
                <c:pt idx="18">
                  <c:v>6499451.9953074632</c:v>
                </c:pt>
                <c:pt idx="19">
                  <c:v>7598626.2255107602</c:v>
                </c:pt>
                <c:pt idx="20">
                  <c:v>7064738.1457140567</c:v>
                </c:pt>
                <c:pt idx="21">
                  <c:v>6821378.0459173536</c:v>
                </c:pt>
                <c:pt idx="22">
                  <c:v>7472883.2161206501</c:v>
                </c:pt>
                <c:pt idx="23">
                  <c:v>6999468.2863239478</c:v>
                </c:pt>
                <c:pt idx="24">
                  <c:v>7306899.5674993498</c:v>
                </c:pt>
                <c:pt idx="25">
                  <c:v>7018089.4464718215</c:v>
                </c:pt>
                <c:pt idx="26">
                  <c:v>8411875.3154442925</c:v>
                </c:pt>
                <c:pt idx="27">
                  <c:v>7618521.6244167639</c:v>
                </c:pt>
                <c:pt idx="28">
                  <c:v>7699301.0533892354</c:v>
                </c:pt>
                <c:pt idx="29">
                  <c:v>7586100.4823617069</c:v>
                </c:pt>
                <c:pt idx="30">
                  <c:v>7167382.2013341775</c:v>
                </c:pt>
                <c:pt idx="31">
                  <c:v>7952383.9803066496</c:v>
                </c:pt>
                <c:pt idx="32">
                  <c:v>7521612.7192791207</c:v>
                </c:pt>
                <c:pt idx="33">
                  <c:v>8062733.3882515915</c:v>
                </c:pt>
                <c:pt idx="34">
                  <c:v>8208250.5472240634</c:v>
                </c:pt>
                <c:pt idx="35">
                  <c:v>7371155.7161965342</c:v>
                </c:pt>
                <c:pt idx="36">
                  <c:v>7743986.3491759766</c:v>
                </c:pt>
                <c:pt idx="37">
                  <c:v>7254443.4608197138</c:v>
                </c:pt>
                <c:pt idx="38">
                  <c:v>7503924.3424634514</c:v>
                </c:pt>
                <c:pt idx="39">
                  <c:v>7314639.0541071892</c:v>
                </c:pt>
                <c:pt idx="40">
                  <c:v>7161503.7857509274</c:v>
                </c:pt>
                <c:pt idx="41">
                  <c:v>7276926.087394665</c:v>
                </c:pt>
                <c:pt idx="42">
                  <c:v>6479499.3490384025</c:v>
                </c:pt>
                <c:pt idx="43">
                  <c:v>6676254.5106821405</c:v>
                </c:pt>
                <c:pt idx="44">
                  <c:v>6180243.6823258791</c:v>
                </c:pt>
                <c:pt idx="45">
                  <c:v>6941141.1439696169</c:v>
                </c:pt>
                <c:pt idx="46">
                  <c:v>7760714.7256133547</c:v>
                </c:pt>
                <c:pt idx="47">
                  <c:v>7557452.1172570921</c:v>
                </c:pt>
                <c:pt idx="48">
                  <c:v>7954976.6199719748</c:v>
                </c:pt>
                <c:pt idx="49">
                  <c:v>7915711.0182060329</c:v>
                </c:pt>
                <c:pt idx="50">
                  <c:v>8605305.2464400921</c:v>
                </c:pt>
                <c:pt idx="51">
                  <c:v>8149399.3846741505</c:v>
                </c:pt>
                <c:pt idx="52">
                  <c:v>8859608.8629082087</c:v>
                </c:pt>
                <c:pt idx="53">
                  <c:v>8221801.4811422676</c:v>
                </c:pt>
                <c:pt idx="54">
                  <c:v>7770024.7493763259</c:v>
                </c:pt>
                <c:pt idx="55">
                  <c:v>7725287.7076103855</c:v>
                </c:pt>
                <c:pt idx="56">
                  <c:v>7479338.9358444437</c:v>
                </c:pt>
                <c:pt idx="57">
                  <c:v>7913786.2140785018</c:v>
                </c:pt>
                <c:pt idx="58">
                  <c:v>7866138.0823125606</c:v>
                </c:pt>
                <c:pt idx="59">
                  <c:v>7329537.7005466195</c:v>
                </c:pt>
                <c:pt idx="60">
                  <c:v>7870701.5674031908</c:v>
                </c:pt>
                <c:pt idx="61">
                  <c:v>8028309.6590223769</c:v>
                </c:pt>
                <c:pt idx="62">
                  <c:v>8307295.9906415632</c:v>
                </c:pt>
                <c:pt idx="63">
                  <c:v>7082480.5422607493</c:v>
                </c:pt>
                <c:pt idx="64">
                  <c:v>7254677.6338799354</c:v>
                </c:pt>
                <c:pt idx="65">
                  <c:v>7656070.5154991206</c:v>
                </c:pt>
                <c:pt idx="66">
                  <c:v>7971439.8771183062</c:v>
                </c:pt>
                <c:pt idx="67">
                  <c:v>7710789.318737492</c:v>
                </c:pt>
                <c:pt idx="68">
                  <c:v>7618573.080356678</c:v>
                </c:pt>
                <c:pt idx="69">
                  <c:v>7867619.3619758636</c:v>
                </c:pt>
                <c:pt idx="70">
                  <c:v>7579020.3835950503</c:v>
                </c:pt>
                <c:pt idx="71">
                  <c:v>7197190.2952142358</c:v>
                </c:pt>
                <c:pt idx="72">
                  <c:v>7575178.107578652</c:v>
                </c:pt>
                <c:pt idx="73">
                  <c:v>7989216.7377479775</c:v>
                </c:pt>
                <c:pt idx="74">
                  <c:v>8816218.6979173031</c:v>
                </c:pt>
                <c:pt idx="75">
                  <c:v>8129350.3480866272</c:v>
                </c:pt>
                <c:pt idx="76">
                  <c:v>8747457.428255951</c:v>
                </c:pt>
                <c:pt idx="77">
                  <c:v>8605766.3584252782</c:v>
                </c:pt>
                <c:pt idx="78">
                  <c:v>8061805.9485946028</c:v>
                </c:pt>
                <c:pt idx="79">
                  <c:v>8450420.8987639267</c:v>
                </c:pt>
                <c:pt idx="80">
                  <c:v>8582403.7189332526</c:v>
                </c:pt>
                <c:pt idx="81">
                  <c:v>8341388.0391025776</c:v>
                </c:pt>
                <c:pt idx="82">
                  <c:v>9126348.5892719049</c:v>
                </c:pt>
                <c:pt idx="83">
                  <c:v>8619676.2294412274</c:v>
                </c:pt>
                <c:pt idx="84">
                  <c:v>8519824.8670041505</c:v>
                </c:pt>
                <c:pt idx="85">
                  <c:v>8886105.1148033775</c:v>
                </c:pt>
                <c:pt idx="86">
                  <c:v>10078814.662602605</c:v>
                </c:pt>
                <c:pt idx="87">
                  <c:v>9496936.6904018335</c:v>
                </c:pt>
                <c:pt idx="88">
                  <c:v>9759376.1182010621</c:v>
                </c:pt>
                <c:pt idx="89">
                  <c:v>9887492.4060002901</c:v>
                </c:pt>
                <c:pt idx="90">
                  <c:v>9557343.7237995174</c:v>
                </c:pt>
                <c:pt idx="91">
                  <c:v>9792792.9215987455</c:v>
                </c:pt>
                <c:pt idx="92">
                  <c:v>9114031.1193979736</c:v>
                </c:pt>
                <c:pt idx="93">
                  <c:v>8974145.6371972021</c:v>
                </c:pt>
                <c:pt idx="94">
                  <c:v>9041182.1249964293</c:v>
                </c:pt>
                <c:pt idx="95">
                  <c:v>9004236.7627956588</c:v>
                </c:pt>
                <c:pt idx="96">
                  <c:v>10083931.614909913</c:v>
                </c:pt>
                <c:pt idx="97">
                  <c:v>9261419.562911246</c:v>
                </c:pt>
                <c:pt idx="98">
                  <c:v>10205290.02091258</c:v>
                </c:pt>
                <c:pt idx="99">
                  <c:v>9144969.6689139139</c:v>
                </c:pt>
                <c:pt idx="100">
                  <c:v>9643226.2969152499</c:v>
                </c:pt>
                <c:pt idx="101">
                  <c:v>9929702.1249165852</c:v>
                </c:pt>
                <c:pt idx="102">
                  <c:v>9827630.1929179169</c:v>
                </c:pt>
                <c:pt idx="103">
                  <c:v>10040725.140919253</c:v>
                </c:pt>
                <c:pt idx="104">
                  <c:v>7986970.2989205867</c:v>
                </c:pt>
                <c:pt idx="105">
                  <c:v>9220703.7869219203</c:v>
                </c:pt>
                <c:pt idx="106">
                  <c:v>9051879.4449232556</c:v>
                </c:pt>
                <c:pt idx="107">
                  <c:v>8948824.2429245897</c:v>
                </c:pt>
                <c:pt idx="108">
                  <c:v>9018112.8831079192</c:v>
                </c:pt>
                <c:pt idx="109">
                  <c:v>8378602.3150000079</c:v>
                </c:pt>
                <c:pt idx="110">
                  <c:v>8983294.9268920962</c:v>
                </c:pt>
                <c:pt idx="111">
                  <c:v>8797830.018784184</c:v>
                </c:pt>
                <c:pt idx="112">
                  <c:v>8757454.2606762759</c:v>
                </c:pt>
                <c:pt idx="113">
                  <c:v>8510080.842568364</c:v>
                </c:pt>
                <c:pt idx="114">
                  <c:v>8531713.0544604529</c:v>
                </c:pt>
                <c:pt idx="115">
                  <c:v>7901915.296352542</c:v>
                </c:pt>
                <c:pt idx="116">
                  <c:v>8046857.6182446303</c:v>
                </c:pt>
                <c:pt idx="117">
                  <c:v>8539291.4101367202</c:v>
                </c:pt>
                <c:pt idx="118">
                  <c:v>8437583.3520288095</c:v>
                </c:pt>
                <c:pt idx="119">
                  <c:v>8513748.5339208972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E-43C7-9728-9137E985FB47}"/>
            </c:ext>
          </c:extLst>
        </c:ser>
        <c:ser>
          <c:idx val="1"/>
          <c:order val="1"/>
          <c:tx>
            <c:strRef>
              <c:f>'VRZ GS 3,000-4,999'!$K$1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GS 3,000-4,999'!$M$2:$M$121</c:f>
              <c:numCache>
                <c:formatCode>_-* #,##0_-;\-* #,##0_-;_-* "-"??_-;_-@_-</c:formatCode>
                <c:ptCount val="120"/>
                <c:pt idx="0">
                  <c:v>7004734.39047</c:v>
                </c:pt>
                <c:pt idx="1">
                  <c:v>6669666.39047</c:v>
                </c:pt>
                <c:pt idx="2">
                  <c:v>7172268.39047</c:v>
                </c:pt>
                <c:pt idx="3">
                  <c:v>6899926.0480599999</c:v>
                </c:pt>
                <c:pt idx="4">
                  <c:v>6899926.0480599999</c:v>
                </c:pt>
                <c:pt idx="5">
                  <c:v>7234994.0480599999</c:v>
                </c:pt>
                <c:pt idx="6">
                  <c:v>7315735.481209999</c:v>
                </c:pt>
                <c:pt idx="7">
                  <c:v>6980667.481209999</c:v>
                </c:pt>
                <c:pt idx="8">
                  <c:v>7148201.481209999</c:v>
                </c:pt>
                <c:pt idx="9">
                  <c:v>7239049.3250399996</c:v>
                </c:pt>
                <c:pt idx="10">
                  <c:v>7239049.3250399996</c:v>
                </c:pt>
                <c:pt idx="11">
                  <c:v>7239049.3250399996</c:v>
                </c:pt>
                <c:pt idx="12">
                  <c:v>7138683.8974699993</c:v>
                </c:pt>
                <c:pt idx="13">
                  <c:v>7138683.8974699993</c:v>
                </c:pt>
                <c:pt idx="14">
                  <c:v>7306217.8974699993</c:v>
                </c:pt>
                <c:pt idx="15">
                  <c:v>7273811.4719200004</c:v>
                </c:pt>
                <c:pt idx="16">
                  <c:v>7273811.4719200004</c:v>
                </c:pt>
                <c:pt idx="17">
                  <c:v>7441345.4719200004</c:v>
                </c:pt>
                <c:pt idx="18">
                  <c:v>7179194.9808600005</c:v>
                </c:pt>
                <c:pt idx="19">
                  <c:v>7514262.9808600005</c:v>
                </c:pt>
                <c:pt idx="20">
                  <c:v>7346728.9808600005</c:v>
                </c:pt>
                <c:pt idx="21">
                  <c:v>7164230.6578000002</c:v>
                </c:pt>
                <c:pt idx="22">
                  <c:v>7499298.6578000002</c:v>
                </c:pt>
                <c:pt idx="23">
                  <c:v>7164230.6578000002</c:v>
                </c:pt>
                <c:pt idx="24">
                  <c:v>7637521.32487641</c:v>
                </c:pt>
                <c:pt idx="25">
                  <c:v>7134947.8111328203</c:v>
                </c:pt>
                <c:pt idx="26">
                  <c:v>7805112.2973892307</c:v>
                </c:pt>
                <c:pt idx="27">
                  <c:v>7231943.3266656417</c:v>
                </c:pt>
                <c:pt idx="28">
                  <c:v>7734573.8129220512</c:v>
                </c:pt>
                <c:pt idx="29">
                  <c:v>7734602.2991784615</c:v>
                </c:pt>
                <c:pt idx="30">
                  <c:v>7404640.4023948722</c:v>
                </c:pt>
                <c:pt idx="31">
                  <c:v>7739736.8886512825</c:v>
                </c:pt>
                <c:pt idx="32">
                  <c:v>7404697.3749076929</c:v>
                </c:pt>
                <c:pt idx="33">
                  <c:v>7650291.6044941032</c:v>
                </c:pt>
                <c:pt idx="34">
                  <c:v>7817854.0907505136</c:v>
                </c:pt>
                <c:pt idx="35">
                  <c:v>7315280.577006924</c:v>
                </c:pt>
                <c:pt idx="36">
                  <c:v>7915702.5606361544</c:v>
                </c:pt>
                <c:pt idx="37">
                  <c:v>7413172.3431489747</c:v>
                </c:pt>
                <c:pt idx="38">
                  <c:v>7748312.125661795</c:v>
                </c:pt>
                <c:pt idx="39">
                  <c:v>7814746.8971446157</c:v>
                </c:pt>
                <c:pt idx="40">
                  <c:v>7982352.679657436</c:v>
                </c:pt>
                <c:pt idx="41">
                  <c:v>7814890.4621702572</c:v>
                </c:pt>
                <c:pt idx="42">
                  <c:v>7927792.7523230761</c:v>
                </c:pt>
                <c:pt idx="43">
                  <c:v>8095398.5348358965</c:v>
                </c:pt>
                <c:pt idx="44">
                  <c:v>7592868.3173487168</c:v>
                </c:pt>
                <c:pt idx="45">
                  <c:v>8162576.4083815375</c:v>
                </c:pt>
                <c:pt idx="46">
                  <c:v>8162648.1908943588</c:v>
                </c:pt>
                <c:pt idx="47">
                  <c:v>7660117.9734071791</c:v>
                </c:pt>
                <c:pt idx="48">
                  <c:v>8176146.0012092311</c:v>
                </c:pt>
                <c:pt idx="49">
                  <c:v>7673569.5019784626</c:v>
                </c:pt>
                <c:pt idx="50">
                  <c:v>8176197.0027476931</c:v>
                </c:pt>
                <c:pt idx="51">
                  <c:v>8080776.0173769221</c:v>
                </c:pt>
                <c:pt idx="52">
                  <c:v>7913267.5181461526</c:v>
                </c:pt>
                <c:pt idx="53">
                  <c:v>8248361.0189153841</c:v>
                </c:pt>
                <c:pt idx="54">
                  <c:v>8293755.5154546145</c:v>
                </c:pt>
                <c:pt idx="55">
                  <c:v>7958713.0162238451</c:v>
                </c:pt>
                <c:pt idx="56">
                  <c:v>8126272.5169930756</c:v>
                </c:pt>
                <c:pt idx="57">
                  <c:v>8139114.1182623077</c:v>
                </c:pt>
                <c:pt idx="58">
                  <c:v>8139139.6190315383</c:v>
                </c:pt>
                <c:pt idx="59">
                  <c:v>8139165.1198007688</c:v>
                </c:pt>
                <c:pt idx="60">
                  <c:v>8169183.1653548712</c:v>
                </c:pt>
                <c:pt idx="61">
                  <c:v>7666611.3946497431</c:v>
                </c:pt>
                <c:pt idx="62">
                  <c:v>8169243.623944615</c:v>
                </c:pt>
                <c:pt idx="63">
                  <c:v>6859434.7127694869</c:v>
                </c:pt>
                <c:pt idx="64">
                  <c:v>6691930.9420643589</c:v>
                </c:pt>
                <c:pt idx="65">
                  <c:v>7027029.1713592308</c:v>
                </c:pt>
                <c:pt idx="66">
                  <c:v>7889839.2863141019</c:v>
                </c:pt>
                <c:pt idx="67">
                  <c:v>7554801.5156089738</c:v>
                </c:pt>
                <c:pt idx="68">
                  <c:v>7722365.7449038457</c:v>
                </c:pt>
                <c:pt idx="69">
                  <c:v>7950083.1539387181</c:v>
                </c:pt>
                <c:pt idx="70">
                  <c:v>7950113.3832335901</c:v>
                </c:pt>
                <c:pt idx="71">
                  <c:v>7950143.612528462</c:v>
                </c:pt>
                <c:pt idx="72">
                  <c:v>7937777.843283589</c:v>
                </c:pt>
                <c:pt idx="73">
                  <c:v>7770307.0286938446</c:v>
                </c:pt>
                <c:pt idx="74">
                  <c:v>8440506.2141041011</c:v>
                </c:pt>
                <c:pt idx="75">
                  <c:v>8031460.9560543587</c:v>
                </c:pt>
                <c:pt idx="76">
                  <c:v>7863990.1414646152</c:v>
                </c:pt>
                <c:pt idx="77">
                  <c:v>8199121.3268748717</c:v>
                </c:pt>
                <c:pt idx="78">
                  <c:v>8239710.7495451272</c:v>
                </c:pt>
                <c:pt idx="79">
                  <c:v>8072239.9349553837</c:v>
                </c:pt>
                <c:pt idx="80">
                  <c:v>8072303.1203656401</c:v>
                </c:pt>
                <c:pt idx="81">
                  <c:v>8302238.3255058965</c:v>
                </c:pt>
                <c:pt idx="82">
                  <c:v>8637369.510916153</c:v>
                </c:pt>
                <c:pt idx="83">
                  <c:v>8469898.6963264085</c:v>
                </c:pt>
                <c:pt idx="84">
                  <c:v>8385834.7492979486</c:v>
                </c:pt>
                <c:pt idx="85">
                  <c:v>8218451.7868492305</c:v>
                </c:pt>
                <c:pt idx="86">
                  <c:v>8888738.8244005125</c:v>
                </c:pt>
                <c:pt idx="87">
                  <c:v>8464441.6633817945</c:v>
                </c:pt>
                <c:pt idx="88">
                  <c:v>8632126.7009330764</c:v>
                </c:pt>
                <c:pt idx="89">
                  <c:v>8799811.7384843584</c:v>
                </c:pt>
                <c:pt idx="90">
                  <c:v>8481470.2660156414</c:v>
                </c:pt>
                <c:pt idx="91">
                  <c:v>8816689.3035669234</c:v>
                </c:pt>
                <c:pt idx="92">
                  <c:v>8481772.3411182053</c:v>
                </c:pt>
                <c:pt idx="93">
                  <c:v>8470327.8591694869</c:v>
                </c:pt>
                <c:pt idx="94">
                  <c:v>8805546.8967207689</c:v>
                </c:pt>
                <c:pt idx="95">
                  <c:v>8470629.9342720509</c:v>
                </c:pt>
                <c:pt idx="96">
                  <c:v>8743851.9590184614</c:v>
                </c:pt>
                <c:pt idx="97">
                  <c:v>8408997.0117235892</c:v>
                </c:pt>
                <c:pt idx="98">
                  <c:v>9079346.0644287169</c:v>
                </c:pt>
                <c:pt idx="99">
                  <c:v>8468560.266583845</c:v>
                </c:pt>
                <c:pt idx="100">
                  <c:v>8971375.3192889728</c:v>
                </c:pt>
                <c:pt idx="101">
                  <c:v>8971588.3719941024</c:v>
                </c:pt>
                <c:pt idx="102">
                  <c:v>8663561.7950792313</c:v>
                </c:pt>
                <c:pt idx="103">
                  <c:v>8998842.847784359</c:v>
                </c:pt>
                <c:pt idx="104">
                  <c:v>8663987.9004894868</c:v>
                </c:pt>
                <c:pt idx="105">
                  <c:v>8854620.8469446152</c:v>
                </c:pt>
                <c:pt idx="106">
                  <c:v>9022367.899649743</c:v>
                </c:pt>
                <c:pt idx="107">
                  <c:v>8519978.9523548707</c:v>
                </c:pt>
                <c:pt idx="108">
                  <c:v>9072984.0405987184</c:v>
                </c:pt>
                <c:pt idx="109">
                  <c:v>8738196.5190474372</c:v>
                </c:pt>
                <c:pt idx="110">
                  <c:v>8738476.9974961542</c:v>
                </c:pt>
                <c:pt idx="111">
                  <c:v>9100373.1126948725</c:v>
                </c:pt>
                <c:pt idx="112">
                  <c:v>9100653.5911435895</c:v>
                </c:pt>
                <c:pt idx="113">
                  <c:v>8765866.0695923083</c:v>
                </c:pt>
                <c:pt idx="114">
                  <c:v>9112346.246761024</c:v>
                </c:pt>
                <c:pt idx="115">
                  <c:v>8945092.7252097428</c:v>
                </c:pt>
                <c:pt idx="116">
                  <c:v>8777839.2036584597</c:v>
                </c:pt>
                <c:pt idx="117">
                  <c:v>9155541.8428071793</c:v>
                </c:pt>
                <c:pt idx="118">
                  <c:v>8988288.3212558981</c:v>
                </c:pt>
                <c:pt idx="119">
                  <c:v>8821034.799704615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E-43C7-9728-9137E985F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VRZ Large Use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3037045454545454"/>
          <c:y val="0.11815416666666667"/>
          <c:w val="0.85359419191919195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Large Use'!$D$1</c:f>
              <c:strCache>
                <c:ptCount val="1"/>
                <c:pt idx="0">
                  <c:v>VRZ_LargeUsekWh_No_CDM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Large Use'!$A$2:$A$121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Large Use'!$D$2:$D$121</c:f>
              <c:numCache>
                <c:formatCode>_-* #,##0_-;\-* #,##0_-;_-* "-"??_-;_-@_-</c:formatCode>
                <c:ptCount val="120"/>
                <c:pt idx="0">
                  <c:v>16031581.465118166</c:v>
                </c:pt>
                <c:pt idx="1">
                  <c:v>15127536.492662676</c:v>
                </c:pt>
                <c:pt idx="2">
                  <c:v>19473356.95555957</c:v>
                </c:pt>
                <c:pt idx="3">
                  <c:v>17840672.838456467</c:v>
                </c:pt>
                <c:pt idx="4">
                  <c:v>20013820.86135336</c:v>
                </c:pt>
                <c:pt idx="5">
                  <c:v>16306258.224250255</c:v>
                </c:pt>
                <c:pt idx="6">
                  <c:v>16838315.127147149</c:v>
                </c:pt>
                <c:pt idx="7">
                  <c:v>16420142.510044046</c:v>
                </c:pt>
                <c:pt idx="8">
                  <c:v>17567910.81294094</c:v>
                </c:pt>
                <c:pt idx="9">
                  <c:v>21861401.855837833</c:v>
                </c:pt>
                <c:pt idx="10">
                  <c:v>19695563.348734729</c:v>
                </c:pt>
                <c:pt idx="11">
                  <c:v>17625407.721631624</c:v>
                </c:pt>
                <c:pt idx="12">
                  <c:v>17986495.162116073</c:v>
                </c:pt>
                <c:pt idx="13">
                  <c:v>19032838.175638389</c:v>
                </c:pt>
                <c:pt idx="14">
                  <c:v>19631448.439160705</c:v>
                </c:pt>
                <c:pt idx="15">
                  <c:v>19572853.982683018</c:v>
                </c:pt>
                <c:pt idx="16">
                  <c:v>18540822.151205339</c:v>
                </c:pt>
                <c:pt idx="17">
                  <c:v>16427130.404727653</c:v>
                </c:pt>
                <c:pt idx="18">
                  <c:v>18258132.893249966</c:v>
                </c:pt>
                <c:pt idx="19">
                  <c:v>19624575.076772284</c:v>
                </c:pt>
                <c:pt idx="20">
                  <c:v>18116451.120294601</c:v>
                </c:pt>
                <c:pt idx="21">
                  <c:v>18246862.423816919</c:v>
                </c:pt>
                <c:pt idx="22">
                  <c:v>18591910.007339232</c:v>
                </c:pt>
                <c:pt idx="23">
                  <c:v>18899816.410861548</c:v>
                </c:pt>
                <c:pt idx="24">
                  <c:v>18995737.177371185</c:v>
                </c:pt>
                <c:pt idx="25">
                  <c:v>17415379.920155503</c:v>
                </c:pt>
                <c:pt idx="26">
                  <c:v>20610151.262939818</c:v>
                </c:pt>
                <c:pt idx="27">
                  <c:v>17700259.675724134</c:v>
                </c:pt>
                <c:pt idx="28">
                  <c:v>21988021.618508454</c:v>
                </c:pt>
                <c:pt idx="29">
                  <c:v>20111494.601292767</c:v>
                </c:pt>
                <c:pt idx="30">
                  <c:v>18711614.894077085</c:v>
                </c:pt>
                <c:pt idx="31">
                  <c:v>18982375.466861401</c:v>
                </c:pt>
                <c:pt idx="32">
                  <c:v>18015462.37964572</c:v>
                </c:pt>
                <c:pt idx="33">
                  <c:v>19247093.682430036</c:v>
                </c:pt>
                <c:pt idx="34">
                  <c:v>21526624.655214354</c:v>
                </c:pt>
                <c:pt idx="35">
                  <c:v>20411227.547998667</c:v>
                </c:pt>
                <c:pt idx="36">
                  <c:v>22700558.545727149</c:v>
                </c:pt>
                <c:pt idx="37">
                  <c:v>20894926.983466111</c:v>
                </c:pt>
                <c:pt idx="38">
                  <c:v>23946224.311205074</c:v>
                </c:pt>
                <c:pt idx="39">
                  <c:v>23051903.368944038</c:v>
                </c:pt>
                <c:pt idx="40">
                  <c:v>22607475.776682999</c:v>
                </c:pt>
                <c:pt idx="41">
                  <c:v>20050986.104421962</c:v>
                </c:pt>
                <c:pt idx="42">
                  <c:v>21034495.652160924</c:v>
                </c:pt>
                <c:pt idx="43">
                  <c:v>22017899.699899886</c:v>
                </c:pt>
                <c:pt idx="44">
                  <c:v>21380898.21763885</c:v>
                </c:pt>
                <c:pt idx="45">
                  <c:v>23909832.305377811</c:v>
                </c:pt>
                <c:pt idx="46">
                  <c:v>22343773.023116775</c:v>
                </c:pt>
                <c:pt idx="47">
                  <c:v>22527640.480855737</c:v>
                </c:pt>
                <c:pt idx="48">
                  <c:v>23254687.7332283</c:v>
                </c:pt>
                <c:pt idx="49">
                  <c:v>21455519.847219884</c:v>
                </c:pt>
                <c:pt idx="50">
                  <c:v>22430559.581211463</c:v>
                </c:pt>
                <c:pt idx="51">
                  <c:v>22683057.095203046</c:v>
                </c:pt>
                <c:pt idx="52">
                  <c:v>23578242.549194623</c:v>
                </c:pt>
                <c:pt idx="53">
                  <c:v>24271225.513186205</c:v>
                </c:pt>
                <c:pt idx="54">
                  <c:v>24318443.21717779</c:v>
                </c:pt>
                <c:pt idx="55">
                  <c:v>20694735.791169368</c:v>
                </c:pt>
                <c:pt idx="56">
                  <c:v>22814918.555160951</c:v>
                </c:pt>
                <c:pt idx="57">
                  <c:v>25066615.31915253</c:v>
                </c:pt>
                <c:pt idx="58">
                  <c:v>23697963.563144114</c:v>
                </c:pt>
                <c:pt idx="59">
                  <c:v>24075320.597135697</c:v>
                </c:pt>
                <c:pt idx="60">
                  <c:v>24860920.582266245</c:v>
                </c:pt>
                <c:pt idx="61">
                  <c:v>23006116.64187748</c:v>
                </c:pt>
                <c:pt idx="62">
                  <c:v>24886891.501488712</c:v>
                </c:pt>
                <c:pt idx="63">
                  <c:v>21019565.131099943</c:v>
                </c:pt>
                <c:pt idx="64">
                  <c:v>22320082.640711177</c:v>
                </c:pt>
                <c:pt idx="65">
                  <c:v>24287597.85032241</c:v>
                </c:pt>
                <c:pt idx="66">
                  <c:v>24989245.119933646</c:v>
                </c:pt>
                <c:pt idx="67">
                  <c:v>22664637.549544878</c:v>
                </c:pt>
                <c:pt idx="68">
                  <c:v>23255974.439156111</c:v>
                </c:pt>
                <c:pt idx="69">
                  <c:v>24269954.798767343</c:v>
                </c:pt>
                <c:pt idx="70">
                  <c:v>24094335.568378575</c:v>
                </c:pt>
                <c:pt idx="71">
                  <c:v>24121161.447989807</c:v>
                </c:pt>
                <c:pt idx="72">
                  <c:v>26363972.396958388</c:v>
                </c:pt>
                <c:pt idx="73">
                  <c:v>24301621.442535765</c:v>
                </c:pt>
                <c:pt idx="74">
                  <c:v>26409043.07811315</c:v>
                </c:pt>
                <c:pt idx="75">
                  <c:v>24423424.653690528</c:v>
                </c:pt>
                <c:pt idx="76">
                  <c:v>27390546.649267908</c:v>
                </c:pt>
                <c:pt idx="77">
                  <c:v>26669341.04484529</c:v>
                </c:pt>
                <c:pt idx="78">
                  <c:v>26952721.480422672</c:v>
                </c:pt>
                <c:pt idx="79">
                  <c:v>23791332.306000054</c:v>
                </c:pt>
                <c:pt idx="80">
                  <c:v>24729050.251577433</c:v>
                </c:pt>
                <c:pt idx="81">
                  <c:v>25149627.987154819</c:v>
                </c:pt>
                <c:pt idx="82">
                  <c:v>25060594.782732196</c:v>
                </c:pt>
                <c:pt idx="83">
                  <c:v>24248030.318309579</c:v>
                </c:pt>
                <c:pt idx="84">
                  <c:v>25889185.031195279</c:v>
                </c:pt>
                <c:pt idx="85">
                  <c:v>24800569.304336783</c:v>
                </c:pt>
                <c:pt idx="86">
                  <c:v>28025826.257478289</c:v>
                </c:pt>
                <c:pt idx="87">
                  <c:v>26398387.400619797</c:v>
                </c:pt>
                <c:pt idx="88">
                  <c:v>27376559.903761301</c:v>
                </c:pt>
                <c:pt idx="89">
                  <c:v>27030450.36690281</c:v>
                </c:pt>
                <c:pt idx="90">
                  <c:v>26761214.380044315</c:v>
                </c:pt>
                <c:pt idx="91">
                  <c:v>21137571.013185821</c:v>
                </c:pt>
                <c:pt idx="92">
                  <c:v>25625478.616327327</c:v>
                </c:pt>
                <c:pt idx="93">
                  <c:v>26108763.799468834</c:v>
                </c:pt>
                <c:pt idx="94">
                  <c:v>25284473.632610343</c:v>
                </c:pt>
                <c:pt idx="95">
                  <c:v>25733301.045751847</c:v>
                </c:pt>
                <c:pt idx="96">
                  <c:v>26848494.080928087</c:v>
                </c:pt>
                <c:pt idx="97">
                  <c:v>24971581.589255359</c:v>
                </c:pt>
                <c:pt idx="98">
                  <c:v>28122083.777582631</c:v>
                </c:pt>
                <c:pt idx="99">
                  <c:v>26286289.105909899</c:v>
                </c:pt>
                <c:pt idx="100">
                  <c:v>25206995.22423717</c:v>
                </c:pt>
                <c:pt idx="101">
                  <c:v>27134163.662564438</c:v>
                </c:pt>
                <c:pt idx="102">
                  <c:v>25550301.100891709</c:v>
                </c:pt>
                <c:pt idx="103">
                  <c:v>27642879.539218981</c:v>
                </c:pt>
                <c:pt idx="104">
                  <c:v>28271627.977546249</c:v>
                </c:pt>
                <c:pt idx="105">
                  <c:v>30049218.41587352</c:v>
                </c:pt>
                <c:pt idx="106">
                  <c:v>28437604.854200792</c:v>
                </c:pt>
                <c:pt idx="107">
                  <c:v>27770736.198852059</c:v>
                </c:pt>
                <c:pt idx="108">
                  <c:v>28703322.494997554</c:v>
                </c:pt>
                <c:pt idx="109">
                  <c:v>28821021.381847482</c:v>
                </c:pt>
                <c:pt idx="110">
                  <c:v>29589166.552851412</c:v>
                </c:pt>
                <c:pt idx="111">
                  <c:v>24547789.641781345</c:v>
                </c:pt>
                <c:pt idx="112">
                  <c:v>29304032.249793276</c:v>
                </c:pt>
                <c:pt idx="113">
                  <c:v>29180397.123913202</c:v>
                </c:pt>
                <c:pt idx="114">
                  <c:v>30326898.628413133</c:v>
                </c:pt>
                <c:pt idx="115">
                  <c:v>29538167.184481066</c:v>
                </c:pt>
                <c:pt idx="116">
                  <c:v>29577241.498880997</c:v>
                </c:pt>
                <c:pt idx="117">
                  <c:v>29333152.548002928</c:v>
                </c:pt>
                <c:pt idx="118">
                  <c:v>29104458.706610855</c:v>
                </c:pt>
                <c:pt idx="119">
                  <c:v>28630335.082198784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442-BA07-A4897466B059}"/>
            </c:ext>
          </c:extLst>
        </c:ser>
        <c:ser>
          <c:idx val="1"/>
          <c:order val="1"/>
          <c:tx>
            <c:strRef>
              <c:f>'VRZ Large Use'!$O$1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Large Use'!$A$2:$A$121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'VRZ Large Use'!$Q$2:$Q$121</c:f>
              <c:numCache>
                <c:formatCode>_-* #,##0_-;\-* #,##0_-;_-* "-"??_-;_-@_-</c:formatCode>
                <c:ptCount val="120"/>
                <c:pt idx="0">
                  <c:v>17674311.210170005</c:v>
                </c:pt>
                <c:pt idx="1">
                  <c:v>16977832.610170003</c:v>
                </c:pt>
                <c:pt idx="2">
                  <c:v>18816005.210170005</c:v>
                </c:pt>
                <c:pt idx="3">
                  <c:v>18458232.498660002</c:v>
                </c:pt>
                <c:pt idx="4">
                  <c:v>18458232.498660002</c:v>
                </c:pt>
                <c:pt idx="5">
                  <c:v>18361256.398660004</c:v>
                </c:pt>
                <c:pt idx="6">
                  <c:v>18797243.838310003</c:v>
                </c:pt>
                <c:pt idx="7">
                  <c:v>18100765.238310002</c:v>
                </c:pt>
                <c:pt idx="8">
                  <c:v>18449004.538310003</c:v>
                </c:pt>
                <c:pt idx="9">
                  <c:v>18939564.555440005</c:v>
                </c:pt>
                <c:pt idx="10">
                  <c:v>18939564.555440005</c:v>
                </c:pt>
                <c:pt idx="11">
                  <c:v>18939564.555440005</c:v>
                </c:pt>
                <c:pt idx="12">
                  <c:v>18954021.987170003</c:v>
                </c:pt>
                <c:pt idx="13">
                  <c:v>18954021.987170003</c:v>
                </c:pt>
                <c:pt idx="14">
                  <c:v>20095715.987170003</c:v>
                </c:pt>
                <c:pt idx="15">
                  <c:v>19920727.831120007</c:v>
                </c:pt>
                <c:pt idx="16">
                  <c:v>19920727.831120007</c:v>
                </c:pt>
                <c:pt idx="17">
                  <c:v>19475512.431120008</c:v>
                </c:pt>
                <c:pt idx="18">
                  <c:v>19172773.659460001</c:v>
                </c:pt>
                <c:pt idx="19">
                  <c:v>19869252.259460002</c:v>
                </c:pt>
                <c:pt idx="20">
                  <c:v>19521012.959460001</c:v>
                </c:pt>
                <c:pt idx="21">
                  <c:v>19091969.335800007</c:v>
                </c:pt>
                <c:pt idx="22">
                  <c:v>19788447.935800008</c:v>
                </c:pt>
                <c:pt idx="23">
                  <c:v>19091969.335800007</c:v>
                </c:pt>
                <c:pt idx="24">
                  <c:v>20534668.614820004</c:v>
                </c:pt>
                <c:pt idx="25">
                  <c:v>19489950.714820001</c:v>
                </c:pt>
                <c:pt idx="26">
                  <c:v>21676362.61482</c:v>
                </c:pt>
                <c:pt idx="27">
                  <c:v>20806853.978040002</c:v>
                </c:pt>
                <c:pt idx="28">
                  <c:v>21851571.878040005</c:v>
                </c:pt>
                <c:pt idx="29">
                  <c:v>21058117.178040005</c:v>
                </c:pt>
                <c:pt idx="30">
                  <c:v>20389056.684600003</c:v>
                </c:pt>
                <c:pt idx="31">
                  <c:v>21085535.284600005</c:v>
                </c:pt>
                <c:pt idx="32">
                  <c:v>20389056.684600003</c:v>
                </c:pt>
                <c:pt idx="33">
                  <c:v>21158651.646230008</c:v>
                </c:pt>
                <c:pt idx="34">
                  <c:v>21506890.946230009</c:v>
                </c:pt>
                <c:pt idx="35">
                  <c:v>20462173.046230007</c:v>
                </c:pt>
                <c:pt idx="36">
                  <c:v>22034557.679690003</c:v>
                </c:pt>
                <c:pt idx="37">
                  <c:v>20989839.779690001</c:v>
                </c:pt>
                <c:pt idx="38">
                  <c:v>22479773.079690002</c:v>
                </c:pt>
                <c:pt idx="39">
                  <c:v>22838119.823360004</c:v>
                </c:pt>
                <c:pt idx="40">
                  <c:v>23186359.123360004</c:v>
                </c:pt>
                <c:pt idx="41">
                  <c:v>22044665.123360004</c:v>
                </c:pt>
                <c:pt idx="42">
                  <c:v>22653927.087400008</c:v>
                </c:pt>
                <c:pt idx="43">
                  <c:v>23002166.387400009</c:v>
                </c:pt>
                <c:pt idx="44">
                  <c:v>21957448.487400007</c:v>
                </c:pt>
                <c:pt idx="45">
                  <c:v>23364138.121120006</c:v>
                </c:pt>
                <c:pt idx="46">
                  <c:v>23364138.121120006</c:v>
                </c:pt>
                <c:pt idx="47">
                  <c:v>22319420.221120004</c:v>
                </c:pt>
                <c:pt idx="48">
                  <c:v>23436110.650840007</c:v>
                </c:pt>
                <c:pt idx="49">
                  <c:v>22391392.750840005</c:v>
                </c:pt>
                <c:pt idx="50">
                  <c:v>24229565.350840006</c:v>
                </c:pt>
                <c:pt idx="51">
                  <c:v>24270584.073300004</c:v>
                </c:pt>
                <c:pt idx="52">
                  <c:v>23922344.773300003</c:v>
                </c:pt>
                <c:pt idx="53">
                  <c:v>23825368.673300005</c:v>
                </c:pt>
                <c:pt idx="54">
                  <c:v>24070352.091770008</c:v>
                </c:pt>
                <c:pt idx="55">
                  <c:v>23373873.491770007</c:v>
                </c:pt>
                <c:pt idx="56">
                  <c:v>23722112.791770007</c:v>
                </c:pt>
                <c:pt idx="57">
                  <c:v>23791317.147270005</c:v>
                </c:pt>
                <c:pt idx="58">
                  <c:v>23791317.147270005</c:v>
                </c:pt>
                <c:pt idx="59">
                  <c:v>23791317.147270005</c:v>
                </c:pt>
                <c:pt idx="60">
                  <c:v>23396697.122660004</c:v>
                </c:pt>
                <c:pt idx="61">
                  <c:v>22351979.222660001</c:v>
                </c:pt>
                <c:pt idx="62">
                  <c:v>25944509.322660003</c:v>
                </c:pt>
                <c:pt idx="63">
                  <c:v>21182410.362490006</c:v>
                </c:pt>
                <c:pt idx="64">
                  <c:v>20834171.062490005</c:v>
                </c:pt>
                <c:pt idx="65">
                  <c:v>18982837.462490007</c:v>
                </c:pt>
                <c:pt idx="66">
                  <c:v>23641674.674750008</c:v>
                </c:pt>
                <c:pt idx="67">
                  <c:v>22945196.074750006</c:v>
                </c:pt>
                <c:pt idx="68">
                  <c:v>23293435.374750007</c:v>
                </c:pt>
                <c:pt idx="69">
                  <c:v>24522900.181890007</c:v>
                </c:pt>
                <c:pt idx="70">
                  <c:v>24522900.181890007</c:v>
                </c:pt>
                <c:pt idx="71">
                  <c:v>24522900.181890007</c:v>
                </c:pt>
                <c:pt idx="72">
                  <c:v>25012033.583440006</c:v>
                </c:pt>
                <c:pt idx="73">
                  <c:v>24663794.283440005</c:v>
                </c:pt>
                <c:pt idx="74">
                  <c:v>26850206.183440004</c:v>
                </c:pt>
                <c:pt idx="75">
                  <c:v>25753924.135380007</c:v>
                </c:pt>
                <c:pt idx="76">
                  <c:v>25405684.835380007</c:v>
                </c:pt>
                <c:pt idx="77">
                  <c:v>25308708.735380009</c:v>
                </c:pt>
                <c:pt idx="78">
                  <c:v>26083952.715240005</c:v>
                </c:pt>
                <c:pt idx="79">
                  <c:v>25735713.415240005</c:v>
                </c:pt>
                <c:pt idx="80">
                  <c:v>25735713.415240005</c:v>
                </c:pt>
                <c:pt idx="81">
                  <c:v>26976975.917270005</c:v>
                </c:pt>
                <c:pt idx="82">
                  <c:v>27673454.517270006</c:v>
                </c:pt>
                <c:pt idx="83">
                  <c:v>27325215.217270005</c:v>
                </c:pt>
                <c:pt idx="84">
                  <c:v>26549375.303918462</c:v>
                </c:pt>
                <c:pt idx="85">
                  <c:v>26201149.465456925</c:v>
                </c:pt>
                <c:pt idx="86">
                  <c:v>28387574.826995384</c:v>
                </c:pt>
                <c:pt idx="87">
                  <c:v>27764885.13926385</c:v>
                </c:pt>
                <c:pt idx="88">
                  <c:v>28113137.900802311</c:v>
                </c:pt>
                <c:pt idx="89">
                  <c:v>27667935.962340772</c:v>
                </c:pt>
                <c:pt idx="90">
                  <c:v>27060975.123659238</c:v>
                </c:pt>
                <c:pt idx="91">
                  <c:v>27757467.1851977</c:v>
                </c:pt>
                <c:pt idx="92">
                  <c:v>27061002.046736158</c:v>
                </c:pt>
                <c:pt idx="93">
                  <c:v>26998402.04377462</c:v>
                </c:pt>
                <c:pt idx="94">
                  <c:v>27694894.105313081</c:v>
                </c:pt>
                <c:pt idx="95">
                  <c:v>26998428.966851544</c:v>
                </c:pt>
                <c:pt idx="96">
                  <c:v>27038271.347395387</c:v>
                </c:pt>
                <c:pt idx="97">
                  <c:v>26341833.132010769</c:v>
                </c:pt>
                <c:pt idx="98">
                  <c:v>28528285.416626152</c:v>
                </c:pt>
                <c:pt idx="99">
                  <c:v>27454697.270191547</c:v>
                </c:pt>
                <c:pt idx="100">
                  <c:v>28499455.554806933</c:v>
                </c:pt>
                <c:pt idx="101">
                  <c:v>27706041.239422318</c:v>
                </c:pt>
                <c:pt idx="102">
                  <c:v>27154470.808217701</c:v>
                </c:pt>
                <c:pt idx="103">
                  <c:v>27850989.792833086</c:v>
                </c:pt>
                <c:pt idx="104">
                  <c:v>27154551.577448469</c:v>
                </c:pt>
                <c:pt idx="105">
                  <c:v>27626410.468313854</c:v>
                </c:pt>
                <c:pt idx="106">
                  <c:v>27974690.152929239</c:v>
                </c:pt>
                <c:pt idx="107">
                  <c:v>26930012.637544621</c:v>
                </c:pt>
                <c:pt idx="108">
                  <c:v>28244360.916688468</c:v>
                </c:pt>
                <c:pt idx="109">
                  <c:v>27547970.778226931</c:v>
                </c:pt>
                <c:pt idx="110">
                  <c:v>28341513.93976539</c:v>
                </c:pt>
                <c:pt idx="111">
                  <c:v>29181432.880553853</c:v>
                </c:pt>
                <c:pt idx="112">
                  <c:v>29181521.342092313</c:v>
                </c:pt>
                <c:pt idx="113">
                  <c:v>27691676.503630772</c:v>
                </c:pt>
                <c:pt idx="114">
                  <c:v>28448352.49108924</c:v>
                </c:pt>
                <c:pt idx="115">
                  <c:v>28100201.652627699</c:v>
                </c:pt>
                <c:pt idx="116">
                  <c:v>27752050.814166158</c:v>
                </c:pt>
                <c:pt idx="117">
                  <c:v>28677321.793404624</c:v>
                </c:pt>
                <c:pt idx="118">
                  <c:v>28329170.954943083</c:v>
                </c:pt>
                <c:pt idx="119">
                  <c:v>27981020.116481546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442-BA07-A4897466B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3055555555558"/>
          <c:y val="0.12029722222222224"/>
          <c:w val="0.84641287878787874"/>
          <c:h val="0.65958833333333333"/>
        </c:manualLayout>
      </c:layout>
      <c:lineChart>
        <c:grouping val="standard"/>
        <c:varyColors val="0"/>
        <c:ser>
          <c:idx val="0"/>
          <c:order val="0"/>
          <c:tx>
            <c:strRef>
              <c:f>'WRZ Residential'!$D$1</c:f>
              <c:strCache>
                <c:ptCount val="1"/>
                <c:pt idx="0">
                  <c:v>WRZ_ResidentialkWh_No_CDM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Residential'!$A$2:$A$121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Residential'!$D$2:$D$121</c:f>
              <c:numCache>
                <c:formatCode>_-* #,##0_-;\-* #,##0_-;_-* "-"??_-;_-@_-</c:formatCode>
                <c:ptCount val="120"/>
                <c:pt idx="0">
                  <c:v>31516891.693563402</c:v>
                </c:pt>
                <c:pt idx="1">
                  <c:v>28542104.544935308</c:v>
                </c:pt>
                <c:pt idx="2">
                  <c:v>27187379.621047426</c:v>
                </c:pt>
                <c:pt idx="3">
                  <c:v>23251375.536629245</c:v>
                </c:pt>
                <c:pt idx="4">
                  <c:v>24785625.220071364</c:v>
                </c:pt>
                <c:pt idx="5">
                  <c:v>26939319.427072883</c:v>
                </c:pt>
                <c:pt idx="6">
                  <c:v>37076912.149965301</c:v>
                </c:pt>
                <c:pt idx="7">
                  <c:v>33838120.556036919</c:v>
                </c:pt>
                <c:pt idx="8">
                  <c:v>31510740.237148736</c:v>
                </c:pt>
                <c:pt idx="9">
                  <c:v>24349104.451610852</c:v>
                </c:pt>
                <c:pt idx="10">
                  <c:v>24508802.526932873</c:v>
                </c:pt>
                <c:pt idx="11">
                  <c:v>28313275.283504494</c:v>
                </c:pt>
                <c:pt idx="12">
                  <c:v>31299065.574683364</c:v>
                </c:pt>
                <c:pt idx="13">
                  <c:v>28107655.444630712</c:v>
                </c:pt>
                <c:pt idx="14">
                  <c:v>27483932.055567756</c:v>
                </c:pt>
                <c:pt idx="15">
                  <c:v>24945174.944504999</c:v>
                </c:pt>
                <c:pt idx="16">
                  <c:v>27521939.867072541</c:v>
                </c:pt>
                <c:pt idx="17">
                  <c:v>33531214.931869484</c:v>
                </c:pt>
                <c:pt idx="18">
                  <c:v>43681699.208446927</c:v>
                </c:pt>
                <c:pt idx="19">
                  <c:v>46283926.15929427</c:v>
                </c:pt>
                <c:pt idx="20">
                  <c:v>32267263.271041319</c:v>
                </c:pt>
                <c:pt idx="21">
                  <c:v>25862800.392748661</c:v>
                </c:pt>
                <c:pt idx="22">
                  <c:v>25641526.930705804</c:v>
                </c:pt>
                <c:pt idx="23">
                  <c:v>31547108.264423046</c:v>
                </c:pt>
                <c:pt idx="24">
                  <c:v>30485456.806415159</c:v>
                </c:pt>
                <c:pt idx="25">
                  <c:v>26391860.978880726</c:v>
                </c:pt>
                <c:pt idx="26">
                  <c:v>28587408.144225992</c:v>
                </c:pt>
                <c:pt idx="27">
                  <c:v>24574299.531381663</c:v>
                </c:pt>
                <c:pt idx="28">
                  <c:v>25554562.015087429</c:v>
                </c:pt>
                <c:pt idx="29">
                  <c:v>30588200.153912894</c:v>
                </c:pt>
                <c:pt idx="30">
                  <c:v>37992744.147648364</c:v>
                </c:pt>
                <c:pt idx="31">
                  <c:v>35156430.481603831</c:v>
                </c:pt>
                <c:pt idx="32">
                  <c:v>32580189.603249595</c:v>
                </c:pt>
                <c:pt idx="33">
                  <c:v>26468289.330095068</c:v>
                </c:pt>
                <c:pt idx="34">
                  <c:v>27549828.038040731</c:v>
                </c:pt>
                <c:pt idx="35">
                  <c:v>33598624.644266002</c:v>
                </c:pt>
                <c:pt idx="36">
                  <c:v>32620888.624295734</c:v>
                </c:pt>
                <c:pt idx="37">
                  <c:v>27553017.604186989</c:v>
                </c:pt>
                <c:pt idx="38">
                  <c:v>28570971.462648444</c:v>
                </c:pt>
                <c:pt idx="39">
                  <c:v>26969894.908629999</c:v>
                </c:pt>
                <c:pt idx="40">
                  <c:v>28042931.996401049</c:v>
                </c:pt>
                <c:pt idx="41">
                  <c:v>33320135.514722604</c:v>
                </c:pt>
                <c:pt idx="42">
                  <c:v>45378411.689653657</c:v>
                </c:pt>
                <c:pt idx="43">
                  <c:v>44407910.204294905</c:v>
                </c:pt>
                <c:pt idx="44">
                  <c:v>35278903.309966564</c:v>
                </c:pt>
                <c:pt idx="45">
                  <c:v>27430302.460327823</c:v>
                </c:pt>
                <c:pt idx="46">
                  <c:v>28520056.751089077</c:v>
                </c:pt>
                <c:pt idx="47">
                  <c:v>32346137.62076043</c:v>
                </c:pt>
                <c:pt idx="48">
                  <c:v>32928562.605267532</c:v>
                </c:pt>
                <c:pt idx="49">
                  <c:v>28792193.747271352</c:v>
                </c:pt>
                <c:pt idx="50">
                  <c:v>29547782.647375461</c:v>
                </c:pt>
                <c:pt idx="51">
                  <c:v>25950042.681829374</c:v>
                </c:pt>
                <c:pt idx="52">
                  <c:v>25742829.91307319</c:v>
                </c:pt>
                <c:pt idx="53">
                  <c:v>30932840.927906904</c:v>
                </c:pt>
                <c:pt idx="54">
                  <c:v>46405254.211731017</c:v>
                </c:pt>
                <c:pt idx="55">
                  <c:v>39200831.768664829</c:v>
                </c:pt>
                <c:pt idx="56">
                  <c:v>28663370.646698944</c:v>
                </c:pt>
                <c:pt idx="57">
                  <c:v>26368384.242492959</c:v>
                </c:pt>
                <c:pt idx="58">
                  <c:v>28801098.897696473</c:v>
                </c:pt>
                <c:pt idx="59">
                  <c:v>32884166.159240685</c:v>
                </c:pt>
                <c:pt idx="60">
                  <c:v>31510170.004796762</c:v>
                </c:pt>
                <c:pt idx="61">
                  <c:v>29273294.280135576</c:v>
                </c:pt>
                <c:pt idx="62">
                  <c:v>29911361.800874691</c:v>
                </c:pt>
                <c:pt idx="63">
                  <c:v>28752418.448513802</c:v>
                </c:pt>
                <c:pt idx="64">
                  <c:v>32004641.507642817</c:v>
                </c:pt>
                <c:pt idx="65">
                  <c:v>40334292.158091635</c:v>
                </c:pt>
                <c:pt idx="66">
                  <c:v>55198199.997750744</c:v>
                </c:pt>
                <c:pt idx="67">
                  <c:v>45757218.379059561</c:v>
                </c:pt>
                <c:pt idx="68">
                  <c:v>31219269.97128877</c:v>
                </c:pt>
                <c:pt idx="69">
                  <c:v>28728580.147087686</c:v>
                </c:pt>
                <c:pt idx="70">
                  <c:v>29288672.5578968</c:v>
                </c:pt>
                <c:pt idx="71">
                  <c:v>34977177.400135517</c:v>
                </c:pt>
                <c:pt idx="72">
                  <c:v>34480133.068013385</c:v>
                </c:pt>
                <c:pt idx="73">
                  <c:v>31637027.72212705</c:v>
                </c:pt>
                <c:pt idx="74">
                  <c:v>30941540.276100904</c:v>
                </c:pt>
                <c:pt idx="75">
                  <c:v>28032178.831614867</c:v>
                </c:pt>
                <c:pt idx="76">
                  <c:v>31416040.846248426</c:v>
                </c:pt>
                <c:pt idx="77">
                  <c:v>40462392.89460209</c:v>
                </c:pt>
                <c:pt idx="78">
                  <c:v>42514397.92280595</c:v>
                </c:pt>
                <c:pt idx="79">
                  <c:v>50349130.762999512</c:v>
                </c:pt>
                <c:pt idx="80">
                  <c:v>32830511.610102866</c:v>
                </c:pt>
                <c:pt idx="81">
                  <c:v>29274555.122296624</c:v>
                </c:pt>
                <c:pt idx="82">
                  <c:v>29454793.327350385</c:v>
                </c:pt>
                <c:pt idx="83">
                  <c:v>34005574.447683841</c:v>
                </c:pt>
                <c:pt idx="84">
                  <c:v>37009104.866309367</c:v>
                </c:pt>
                <c:pt idx="85">
                  <c:v>31502852.81153566</c:v>
                </c:pt>
                <c:pt idx="86">
                  <c:v>31892679.077571649</c:v>
                </c:pt>
                <c:pt idx="87">
                  <c:v>28211659.880827833</c:v>
                </c:pt>
                <c:pt idx="88">
                  <c:v>30683544.243913624</c:v>
                </c:pt>
                <c:pt idx="89">
                  <c:v>36020711.415999711</c:v>
                </c:pt>
                <c:pt idx="90">
                  <c:v>45496342.704765901</c:v>
                </c:pt>
                <c:pt idx="91">
                  <c:v>46643555.051872186</c:v>
                </c:pt>
                <c:pt idx="92">
                  <c:v>33643942.288528271</c:v>
                </c:pt>
                <c:pt idx="93">
                  <c:v>28427810.32497406</c:v>
                </c:pt>
                <c:pt idx="94">
                  <c:v>29542894.316720445</c:v>
                </c:pt>
                <c:pt idx="95">
                  <c:v>34928798.942896433</c:v>
                </c:pt>
                <c:pt idx="96">
                  <c:v>33819883.373692662</c:v>
                </c:pt>
                <c:pt idx="97">
                  <c:v>30617908.28563017</c:v>
                </c:pt>
                <c:pt idx="98">
                  <c:v>31726388.808537379</c:v>
                </c:pt>
                <c:pt idx="99">
                  <c:v>28343683.610224586</c:v>
                </c:pt>
                <c:pt idx="100">
                  <c:v>29876954.245041892</c:v>
                </c:pt>
                <c:pt idx="101">
                  <c:v>38044767.096269302</c:v>
                </c:pt>
                <c:pt idx="102">
                  <c:v>47265697.539416209</c:v>
                </c:pt>
                <c:pt idx="103">
                  <c:v>40996520.433003724</c:v>
                </c:pt>
                <c:pt idx="104">
                  <c:v>35625536.175440915</c:v>
                </c:pt>
                <c:pt idx="105">
                  <c:v>30885239.148188531</c:v>
                </c:pt>
                <c:pt idx="106">
                  <c:v>31022915.904135838</c:v>
                </c:pt>
                <c:pt idx="107">
                  <c:v>34753712.691013247</c:v>
                </c:pt>
                <c:pt idx="108">
                  <c:v>35837732.829700693</c:v>
                </c:pt>
                <c:pt idx="109">
                  <c:v>31673443.631009847</c:v>
                </c:pt>
                <c:pt idx="110">
                  <c:v>31939805.082272619</c:v>
                </c:pt>
                <c:pt idx="111">
                  <c:v>29068416.473234218</c:v>
                </c:pt>
                <c:pt idx="112">
                  <c:v>31817664.075844593</c:v>
                </c:pt>
                <c:pt idx="113">
                  <c:v>40163575.246728927</c:v>
                </c:pt>
                <c:pt idx="114">
                  <c:v>50566155.717317179</c:v>
                </c:pt>
                <c:pt idx="115">
                  <c:v>45940027.398064159</c:v>
                </c:pt>
                <c:pt idx="116">
                  <c:v>36863526.575814657</c:v>
                </c:pt>
                <c:pt idx="117">
                  <c:v>30103611.877324007</c:v>
                </c:pt>
                <c:pt idx="118">
                  <c:v>30879396.051013481</c:v>
                </c:pt>
                <c:pt idx="119">
                  <c:v>37201919.636089422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4-4E22-8592-99D46568AE70}"/>
            </c:ext>
          </c:extLst>
        </c:ser>
        <c:ser>
          <c:idx val="1"/>
          <c:order val="1"/>
          <c:tx>
            <c:strRef>
              <c:f>'WRZ Residential'!$U$1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Residential'!$A$2:$A$121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Residential'!$U$2:$U$121</c:f>
              <c:numCache>
                <c:formatCode>_-* #,##0_-;\-* #,##0_-;_-* "-"??_-;_-@_-</c:formatCode>
                <c:ptCount val="120"/>
                <c:pt idx="0">
                  <c:v>31149440.693563417</c:v>
                </c:pt>
                <c:pt idx="1">
                  <c:v>29728887.969045863</c:v>
                </c:pt>
                <c:pt idx="2">
                  <c:v>28109053.769724362</c:v>
                </c:pt>
                <c:pt idx="3">
                  <c:v>23100105.693858411</c:v>
                </c:pt>
                <c:pt idx="4">
                  <c:v>26305384.044598028</c:v>
                </c:pt>
                <c:pt idx="5">
                  <c:v>28451325.991554767</c:v>
                </c:pt>
                <c:pt idx="6">
                  <c:v>38911090.677379608</c:v>
                </c:pt>
                <c:pt idx="7">
                  <c:v>35542336.43967773</c:v>
                </c:pt>
                <c:pt idx="8">
                  <c:v>31395208.083345614</c:v>
                </c:pt>
                <c:pt idx="9">
                  <c:v>23630671.66946657</c:v>
                </c:pt>
                <c:pt idx="10">
                  <c:v>23866750.833647296</c:v>
                </c:pt>
                <c:pt idx="11">
                  <c:v>26492079.275430717</c:v>
                </c:pt>
                <c:pt idx="12">
                  <c:v>30017804.262777582</c:v>
                </c:pt>
                <c:pt idx="13">
                  <c:v>27376799.178348027</c:v>
                </c:pt>
                <c:pt idx="14">
                  <c:v>26967100.678615581</c:v>
                </c:pt>
                <c:pt idx="15">
                  <c:v>24686547.579458486</c:v>
                </c:pt>
                <c:pt idx="16">
                  <c:v>27971061.317010589</c:v>
                </c:pt>
                <c:pt idx="17">
                  <c:v>33645338.893476769</c:v>
                </c:pt>
                <c:pt idx="18">
                  <c:v>43711497.044275813</c:v>
                </c:pt>
                <c:pt idx="19">
                  <c:v>45123711.054826483</c:v>
                </c:pt>
                <c:pt idx="20">
                  <c:v>30698996.010281026</c:v>
                </c:pt>
                <c:pt idx="21">
                  <c:v>25362314.661861259</c:v>
                </c:pt>
                <c:pt idx="22">
                  <c:v>24569179.822506525</c:v>
                </c:pt>
                <c:pt idx="23">
                  <c:v>29747499.691564046</c:v>
                </c:pt>
                <c:pt idx="24">
                  <c:v>29853032.671617921</c:v>
                </c:pt>
                <c:pt idx="25">
                  <c:v>26128683.636821602</c:v>
                </c:pt>
                <c:pt idx="26">
                  <c:v>28846252.736820944</c:v>
                </c:pt>
                <c:pt idx="27">
                  <c:v>24069024.526952904</c:v>
                </c:pt>
                <c:pt idx="28">
                  <c:v>25583625.325566877</c:v>
                </c:pt>
                <c:pt idx="29">
                  <c:v>31364970.364269037</c:v>
                </c:pt>
                <c:pt idx="30">
                  <c:v>39460844.058772989</c:v>
                </c:pt>
                <c:pt idx="31">
                  <c:v>35803670.57792215</c:v>
                </c:pt>
                <c:pt idx="32">
                  <c:v>30969999.131483097</c:v>
                </c:pt>
                <c:pt idx="33">
                  <c:v>25841307.954143621</c:v>
                </c:pt>
                <c:pt idx="34">
                  <c:v>26166751.364172921</c:v>
                </c:pt>
                <c:pt idx="35">
                  <c:v>32137286.837519493</c:v>
                </c:pt>
                <c:pt idx="36">
                  <c:v>32398438.243719019</c:v>
                </c:pt>
                <c:pt idx="37">
                  <c:v>27451364.329593338</c:v>
                </c:pt>
                <c:pt idx="38">
                  <c:v>29020465.801600099</c:v>
                </c:pt>
                <c:pt idx="39">
                  <c:v>26580400.224628702</c:v>
                </c:pt>
                <c:pt idx="40">
                  <c:v>29693649.249175817</c:v>
                </c:pt>
                <c:pt idx="41">
                  <c:v>34310958.40334677</c:v>
                </c:pt>
                <c:pt idx="42">
                  <c:v>45460229.743173294</c:v>
                </c:pt>
                <c:pt idx="43">
                  <c:v>45140998.297595054</c:v>
                </c:pt>
                <c:pt idx="44">
                  <c:v>33588046.323109075</c:v>
                </c:pt>
                <c:pt idx="45">
                  <c:v>26997679.066136844</c:v>
                </c:pt>
                <c:pt idx="46">
                  <c:v>27700739.281777345</c:v>
                </c:pt>
                <c:pt idx="47">
                  <c:v>30577474.684860613</c:v>
                </c:pt>
                <c:pt idx="48">
                  <c:v>33473149.505207561</c:v>
                </c:pt>
                <c:pt idx="49">
                  <c:v>29012967.576747891</c:v>
                </c:pt>
                <c:pt idx="50">
                  <c:v>30310602.024448283</c:v>
                </c:pt>
                <c:pt idx="51">
                  <c:v>25975549.681965455</c:v>
                </c:pt>
                <c:pt idx="52">
                  <c:v>25537983.62477218</c:v>
                </c:pt>
                <c:pt idx="53">
                  <c:v>33197692.018795494</c:v>
                </c:pt>
                <c:pt idx="54">
                  <c:v>46399242.05637534</c:v>
                </c:pt>
                <c:pt idx="55">
                  <c:v>40101349.126924664</c:v>
                </c:pt>
                <c:pt idx="56">
                  <c:v>28869240.390834123</c:v>
                </c:pt>
                <c:pt idx="57">
                  <c:v>26006832.183907066</c:v>
                </c:pt>
                <c:pt idx="58">
                  <c:v>28728880.378281996</c:v>
                </c:pt>
                <c:pt idx="59">
                  <c:v>31653886.030598894</c:v>
                </c:pt>
                <c:pt idx="60">
                  <c:v>31917466.128583759</c:v>
                </c:pt>
                <c:pt idx="61">
                  <c:v>30205435.652046703</c:v>
                </c:pt>
                <c:pt idx="62">
                  <c:v>30341102.384905875</c:v>
                </c:pt>
                <c:pt idx="63">
                  <c:v>28877302.990414813</c:v>
                </c:pt>
                <c:pt idx="64">
                  <c:v>32045381.532768905</c:v>
                </c:pt>
                <c:pt idx="65">
                  <c:v>39462723.15049576</c:v>
                </c:pt>
                <c:pt idx="66">
                  <c:v>54162328.17703902</c:v>
                </c:pt>
                <c:pt idx="67">
                  <c:v>45059281.225686714</c:v>
                </c:pt>
                <c:pt idx="68">
                  <c:v>30728786.05786242</c:v>
                </c:pt>
                <c:pt idx="69">
                  <c:v>27835276.448325422</c:v>
                </c:pt>
                <c:pt idx="70">
                  <c:v>27995201.257979423</c:v>
                </c:pt>
                <c:pt idx="71">
                  <c:v>33355779.385988615</c:v>
                </c:pt>
                <c:pt idx="72">
                  <c:v>34604280.63721738</c:v>
                </c:pt>
                <c:pt idx="73">
                  <c:v>32178427.595481392</c:v>
                </c:pt>
                <c:pt idx="74">
                  <c:v>31174018.866542168</c:v>
                </c:pt>
                <c:pt idx="75">
                  <c:v>27850783.112055108</c:v>
                </c:pt>
                <c:pt idx="76">
                  <c:v>31277507.340715915</c:v>
                </c:pt>
                <c:pt idx="77">
                  <c:v>41423605.183359176</c:v>
                </c:pt>
                <c:pt idx="78">
                  <c:v>43271698.892582625</c:v>
                </c:pt>
                <c:pt idx="79">
                  <c:v>50582943.545086063</c:v>
                </c:pt>
                <c:pt idx="80">
                  <c:v>32665319.228279397</c:v>
                </c:pt>
                <c:pt idx="81">
                  <c:v>30294238.841587123</c:v>
                </c:pt>
                <c:pt idx="82">
                  <c:v>29995451.242155038</c:v>
                </c:pt>
                <c:pt idx="83">
                  <c:v>33158465.913377903</c:v>
                </c:pt>
                <c:pt idx="84">
                  <c:v>37118477.857384451</c:v>
                </c:pt>
                <c:pt idx="85">
                  <c:v>31730036.394513234</c:v>
                </c:pt>
                <c:pt idx="86">
                  <c:v>31989762.39079817</c:v>
                </c:pt>
                <c:pt idx="87">
                  <c:v>28221711.373613022</c:v>
                </c:pt>
                <c:pt idx="88">
                  <c:v>32211248.176439896</c:v>
                </c:pt>
                <c:pt idx="89">
                  <c:v>35777120.457190208</c:v>
                </c:pt>
                <c:pt idx="90">
                  <c:v>45794491.446144432</c:v>
                </c:pt>
                <c:pt idx="91">
                  <c:v>46468813.937996812</c:v>
                </c:pt>
                <c:pt idx="92">
                  <c:v>33087386.545095783</c:v>
                </c:pt>
                <c:pt idx="93">
                  <c:v>28256401.760926705</c:v>
                </c:pt>
                <c:pt idx="94">
                  <c:v>29726895.092075739</c:v>
                </c:pt>
                <c:pt idx="95">
                  <c:v>33925921.213600233</c:v>
                </c:pt>
                <c:pt idx="96">
                  <c:v>33495857.642008454</c:v>
                </c:pt>
                <c:pt idx="97">
                  <c:v>30638490.857283831</c:v>
                </c:pt>
                <c:pt idx="98">
                  <c:v>32015482.809070203</c:v>
                </c:pt>
                <c:pt idx="99">
                  <c:v>28691829.855858531</c:v>
                </c:pt>
                <c:pt idx="100">
                  <c:v>29924996.880113114</c:v>
                </c:pt>
                <c:pt idx="101">
                  <c:v>37890919.349711664</c:v>
                </c:pt>
                <c:pt idx="102">
                  <c:v>45679602.687760994</c:v>
                </c:pt>
                <c:pt idx="103">
                  <c:v>40513794.872158878</c:v>
                </c:pt>
                <c:pt idx="104">
                  <c:v>33907542.500529177</c:v>
                </c:pt>
                <c:pt idx="105">
                  <c:v>30643700.614511535</c:v>
                </c:pt>
                <c:pt idx="106">
                  <c:v>30161161.629058518</c:v>
                </c:pt>
                <c:pt idx="107">
                  <c:v>32421413.22066889</c:v>
                </c:pt>
                <c:pt idx="108">
                  <c:v>34621996.452051565</c:v>
                </c:pt>
                <c:pt idx="109">
                  <c:v>31662468.439974688</c:v>
                </c:pt>
                <c:pt idx="110">
                  <c:v>31336921.470721893</c:v>
                </c:pt>
                <c:pt idx="111">
                  <c:v>28356927.351222128</c:v>
                </c:pt>
                <c:pt idx="112">
                  <c:v>31647961.259814784</c:v>
                </c:pt>
                <c:pt idx="113">
                  <c:v>38783741.222953647</c:v>
                </c:pt>
                <c:pt idx="114">
                  <c:v>47931580.388455592</c:v>
                </c:pt>
                <c:pt idx="115">
                  <c:v>44382132.935921982</c:v>
                </c:pt>
                <c:pt idx="116">
                  <c:v>35074253.784956634</c:v>
                </c:pt>
                <c:pt idx="117">
                  <c:v>29537250.375260454</c:v>
                </c:pt>
                <c:pt idx="118">
                  <c:v>30087244.990976594</c:v>
                </c:pt>
                <c:pt idx="119">
                  <c:v>34654610.463764548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4-4E22-8592-99D46568A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 Service &lt; 50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76691919191918"/>
          <c:y val="0.12168194444444444"/>
          <c:w val="0.86000833333333337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&lt; 50'!$D$1</c:f>
              <c:strCache>
                <c:ptCount val="1"/>
                <c:pt idx="0">
                  <c:v>WRZ_GSlt50kWh_No_CDM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&lt; 50'!$A$2:$A$121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GS &lt; 50'!$D$2:$D$121</c:f>
              <c:numCache>
                <c:formatCode>_-* #,##0_-;\-* #,##0_-;_-* "-"??_-;_-@_-</c:formatCode>
                <c:ptCount val="120"/>
                <c:pt idx="0">
                  <c:v>7756393.0871983338</c:v>
                </c:pt>
                <c:pt idx="1">
                  <c:v>7421843.3659423329</c:v>
                </c:pt>
                <c:pt idx="2">
                  <c:v>7192631.535226333</c:v>
                </c:pt>
                <c:pt idx="3">
                  <c:v>6120878.8653703434</c:v>
                </c:pt>
                <c:pt idx="4">
                  <c:v>6112862.2812043428</c:v>
                </c:pt>
                <c:pt idx="5">
                  <c:v>6287169.0056383237</c:v>
                </c:pt>
                <c:pt idx="6">
                  <c:v>7187453.4863023227</c:v>
                </c:pt>
                <c:pt idx="7">
                  <c:v>6942364.3965363335</c:v>
                </c:pt>
                <c:pt idx="8">
                  <c:v>6716609.2947003441</c:v>
                </c:pt>
                <c:pt idx="9">
                  <c:v>6094940.132594333</c:v>
                </c:pt>
                <c:pt idx="10">
                  <c:v>6289446.804618354</c:v>
                </c:pt>
                <c:pt idx="11">
                  <c:v>6693665.7901123427</c:v>
                </c:pt>
                <c:pt idx="12">
                  <c:v>8022437.8463796191</c:v>
                </c:pt>
                <c:pt idx="13">
                  <c:v>7521574.2530535134</c:v>
                </c:pt>
                <c:pt idx="14">
                  <c:v>7432171.2870274168</c:v>
                </c:pt>
                <c:pt idx="15">
                  <c:v>6923042.0147713209</c:v>
                </c:pt>
                <c:pt idx="16">
                  <c:v>6940870.3279952137</c:v>
                </c:pt>
                <c:pt idx="17">
                  <c:v>7486676.1629891274</c:v>
                </c:pt>
                <c:pt idx="18">
                  <c:v>8270105.5688030208</c:v>
                </c:pt>
                <c:pt idx="19">
                  <c:v>8626396.6611069143</c:v>
                </c:pt>
                <c:pt idx="20">
                  <c:v>7453679.6603208287</c:v>
                </c:pt>
                <c:pt idx="21">
                  <c:v>6878400.9134847308</c:v>
                </c:pt>
                <c:pt idx="22">
                  <c:v>7052177.4950286448</c:v>
                </c:pt>
                <c:pt idx="23">
                  <c:v>7997306.7357925586</c:v>
                </c:pt>
                <c:pt idx="24">
                  <c:v>8144669.8575158697</c:v>
                </c:pt>
                <c:pt idx="25">
                  <c:v>7294585.8640471846</c:v>
                </c:pt>
                <c:pt idx="26">
                  <c:v>7961820.5689884806</c:v>
                </c:pt>
                <c:pt idx="27">
                  <c:v>6614575.6895597856</c:v>
                </c:pt>
                <c:pt idx="28">
                  <c:v>6799762.8399810912</c:v>
                </c:pt>
                <c:pt idx="29">
                  <c:v>7076372.4234623974</c:v>
                </c:pt>
                <c:pt idx="30">
                  <c:v>7684660.8696337026</c:v>
                </c:pt>
                <c:pt idx="31">
                  <c:v>7605088.7634750074</c:v>
                </c:pt>
                <c:pt idx="32">
                  <c:v>7255095.0379063133</c:v>
                </c:pt>
                <c:pt idx="33">
                  <c:v>6788820.8536576079</c:v>
                </c:pt>
                <c:pt idx="34">
                  <c:v>7247344.0571189234</c:v>
                </c:pt>
                <c:pt idx="35">
                  <c:v>8210512.1815002188</c:v>
                </c:pt>
                <c:pt idx="36">
                  <c:v>8784586.6112699881</c:v>
                </c:pt>
                <c:pt idx="37">
                  <c:v>7496705.6892828932</c:v>
                </c:pt>
                <c:pt idx="38">
                  <c:v>7864003.8759458363</c:v>
                </c:pt>
                <c:pt idx="39">
                  <c:v>7173862.4657387612</c:v>
                </c:pt>
                <c:pt idx="40">
                  <c:v>7069458.6562616751</c:v>
                </c:pt>
                <c:pt idx="41">
                  <c:v>7294580.7913345993</c:v>
                </c:pt>
                <c:pt idx="42">
                  <c:v>8348558.2801675331</c:v>
                </c:pt>
                <c:pt idx="43">
                  <c:v>8435672.507350456</c:v>
                </c:pt>
                <c:pt idx="44">
                  <c:v>7360761.154793391</c:v>
                </c:pt>
                <c:pt idx="45">
                  <c:v>7005375.5368262846</c:v>
                </c:pt>
                <c:pt idx="46">
                  <c:v>7576031.0543192187</c:v>
                </c:pt>
                <c:pt idx="47">
                  <c:v>7915376.2458921522</c:v>
                </c:pt>
                <c:pt idx="48">
                  <c:v>8848511.1979011837</c:v>
                </c:pt>
                <c:pt idx="49">
                  <c:v>7882026.7376251901</c:v>
                </c:pt>
                <c:pt idx="50">
                  <c:v>8167883.940929207</c:v>
                </c:pt>
                <c:pt idx="51">
                  <c:v>7072987.0649232231</c:v>
                </c:pt>
                <c:pt idx="52">
                  <c:v>6838483.0169672398</c:v>
                </c:pt>
                <c:pt idx="53">
                  <c:v>7093708.9495712565</c:v>
                </c:pt>
                <c:pt idx="54">
                  <c:v>8594557.7626252621</c:v>
                </c:pt>
                <c:pt idx="55">
                  <c:v>8002819.7729993081</c:v>
                </c:pt>
                <c:pt idx="56">
                  <c:v>6884944.2493633153</c:v>
                </c:pt>
                <c:pt idx="57">
                  <c:v>6770671.0458273515</c:v>
                </c:pt>
                <c:pt idx="58">
                  <c:v>7487770.5730713475</c:v>
                </c:pt>
                <c:pt idx="59">
                  <c:v>8053422.4128653649</c:v>
                </c:pt>
                <c:pt idx="60">
                  <c:v>8228992.69431803</c:v>
                </c:pt>
                <c:pt idx="61">
                  <c:v>7733363.3640699657</c:v>
                </c:pt>
                <c:pt idx="62">
                  <c:v>7090902.7368619405</c:v>
                </c:pt>
                <c:pt idx="63">
                  <c:v>5606829.434943906</c:v>
                </c:pt>
                <c:pt idx="64">
                  <c:v>5816148.1730658598</c:v>
                </c:pt>
                <c:pt idx="65">
                  <c:v>6661167.3443278447</c:v>
                </c:pt>
                <c:pt idx="66">
                  <c:v>8285283.7617298001</c:v>
                </c:pt>
                <c:pt idx="67">
                  <c:v>7647765.4241517754</c:v>
                </c:pt>
                <c:pt idx="68">
                  <c:v>6522270.1684037289</c:v>
                </c:pt>
                <c:pt idx="69">
                  <c:v>6476553.7334356941</c:v>
                </c:pt>
                <c:pt idx="70">
                  <c:v>6721712.0986476596</c:v>
                </c:pt>
                <c:pt idx="71">
                  <c:v>7493816.7189596146</c:v>
                </c:pt>
                <c:pt idx="72">
                  <c:v>7460255.9984212983</c:v>
                </c:pt>
                <c:pt idx="73">
                  <c:v>7169135.3982962752</c:v>
                </c:pt>
                <c:pt idx="74">
                  <c:v>7277328.8749612924</c:v>
                </c:pt>
                <c:pt idx="75">
                  <c:v>6112729.2399962805</c:v>
                </c:pt>
                <c:pt idx="76">
                  <c:v>6173245.5438212873</c:v>
                </c:pt>
                <c:pt idx="77">
                  <c:v>6978955.3145062942</c:v>
                </c:pt>
                <c:pt idx="78">
                  <c:v>7519407.1822012914</c:v>
                </c:pt>
                <c:pt idx="79">
                  <c:v>8401728.8523062784</c:v>
                </c:pt>
                <c:pt idx="80">
                  <c:v>6863974.3981612772</c:v>
                </c:pt>
                <c:pt idx="81">
                  <c:v>6691547.1686162641</c:v>
                </c:pt>
                <c:pt idx="82">
                  <c:v>7046351.0427012723</c:v>
                </c:pt>
                <c:pt idx="83">
                  <c:v>7644135.1950562792</c:v>
                </c:pt>
                <c:pt idx="84">
                  <c:v>8425755.0109702256</c:v>
                </c:pt>
                <c:pt idx="85">
                  <c:v>7701078.7445397414</c:v>
                </c:pt>
                <c:pt idx="86">
                  <c:v>7981422.560379277</c:v>
                </c:pt>
                <c:pt idx="87">
                  <c:v>6881723.2862388026</c:v>
                </c:pt>
                <c:pt idx="88">
                  <c:v>6816779.1859883284</c:v>
                </c:pt>
                <c:pt idx="89">
                  <c:v>7330553.5173578653</c:v>
                </c:pt>
                <c:pt idx="90">
                  <c:v>8153321.3920173803</c:v>
                </c:pt>
                <c:pt idx="91">
                  <c:v>8384767.4178069057</c:v>
                </c:pt>
                <c:pt idx="92">
                  <c:v>7075278.6078964211</c:v>
                </c:pt>
                <c:pt idx="93">
                  <c:v>6746329.7405359466</c:v>
                </c:pt>
                <c:pt idx="94">
                  <c:v>7203577.4867354631</c:v>
                </c:pt>
                <c:pt idx="95">
                  <c:v>7949682.6551650083</c:v>
                </c:pt>
                <c:pt idx="96">
                  <c:v>8069617.4113503518</c:v>
                </c:pt>
                <c:pt idx="97">
                  <c:v>7458260.393399395</c:v>
                </c:pt>
                <c:pt idx="98">
                  <c:v>7801283.0373284277</c:v>
                </c:pt>
                <c:pt idx="99">
                  <c:v>6714726.1745674694</c:v>
                </c:pt>
                <c:pt idx="100">
                  <c:v>6881883.396516473</c:v>
                </c:pt>
                <c:pt idx="101">
                  <c:v>7263613.3872355353</c:v>
                </c:pt>
                <c:pt idx="102">
                  <c:v>7844398.4712245679</c:v>
                </c:pt>
                <c:pt idx="103">
                  <c:v>7568406.6978435908</c:v>
                </c:pt>
                <c:pt idx="104">
                  <c:v>8912811.1403226145</c:v>
                </c:pt>
                <c:pt idx="105">
                  <c:v>8758512.7671116646</c:v>
                </c:pt>
                <c:pt idx="106">
                  <c:v>7282107.7767806789</c:v>
                </c:pt>
                <c:pt idx="107">
                  <c:v>7619252.9243397219</c:v>
                </c:pt>
                <c:pt idx="108">
                  <c:v>8695928.7202509195</c:v>
                </c:pt>
                <c:pt idx="109">
                  <c:v>7439587.2339374386</c:v>
                </c:pt>
                <c:pt idx="110">
                  <c:v>7425840.6469437685</c:v>
                </c:pt>
                <c:pt idx="111">
                  <c:v>6834517.2750639049</c:v>
                </c:pt>
                <c:pt idx="112">
                  <c:v>7270914.2434742991</c:v>
                </c:pt>
                <c:pt idx="113">
                  <c:v>7750039.6865972029</c:v>
                </c:pt>
                <c:pt idx="114">
                  <c:v>9494258.8072430845</c:v>
                </c:pt>
                <c:pt idx="115">
                  <c:v>8093683.0596164232</c:v>
                </c:pt>
                <c:pt idx="116">
                  <c:v>7279137.2633291967</c:v>
                </c:pt>
                <c:pt idx="117">
                  <c:v>6959104.644346375</c:v>
                </c:pt>
                <c:pt idx="118">
                  <c:v>7022199.0330502577</c:v>
                </c:pt>
                <c:pt idx="119">
                  <c:v>8021614.9422146287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E-41C9-905E-D5A61807DF80}"/>
            </c:ext>
          </c:extLst>
        </c:ser>
        <c:ser>
          <c:idx val="1"/>
          <c:order val="1"/>
          <c:tx>
            <c:strRef>
              <c:f>'WRZ GS &lt; 50'!$S$1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&lt; 50'!$A$2:$A$121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GS &lt; 50'!$U$2:$U$121</c:f>
              <c:numCache>
                <c:formatCode>_-* #,##0_-;\-* #,##0_-;_-* "-"??_-;_-@_-</c:formatCode>
                <c:ptCount val="120"/>
                <c:pt idx="0">
                  <c:v>8365012.8163668066</c:v>
                </c:pt>
                <c:pt idx="1">
                  <c:v>8110011.8595192796</c:v>
                </c:pt>
                <c:pt idx="2">
                  <c:v>7690511.9817798398</c:v>
                </c:pt>
                <c:pt idx="3">
                  <c:v>6357547.6964867897</c:v>
                </c:pt>
                <c:pt idx="4">
                  <c:v>6571690.7997636432</c:v>
                </c:pt>
                <c:pt idx="5">
                  <c:v>6578490.4208606016</c:v>
                </c:pt>
                <c:pt idx="6">
                  <c:v>7601867.6932769092</c:v>
                </c:pt>
                <c:pt idx="7">
                  <c:v>7238751.8029351952</c:v>
                </c:pt>
                <c:pt idx="8">
                  <c:v>6990657.3116201414</c:v>
                </c:pt>
                <c:pt idx="9">
                  <c:v>6461458.6279892214</c:v>
                </c:pt>
                <c:pt idx="10">
                  <c:v>6629544.9877552176</c:v>
                </c:pt>
                <c:pt idx="11">
                  <c:v>6915870.328892909</c:v>
                </c:pt>
                <c:pt idx="12">
                  <c:v>7915340.2911712294</c:v>
                </c:pt>
                <c:pt idx="13">
                  <c:v>7320440.2587249866</c:v>
                </c:pt>
                <c:pt idx="14">
                  <c:v>7321776.5292946827</c:v>
                </c:pt>
                <c:pt idx="15">
                  <c:v>6752353.251157878</c:v>
                </c:pt>
                <c:pt idx="16">
                  <c:v>6842454.9661021661</c:v>
                </c:pt>
                <c:pt idx="17">
                  <c:v>7161562.4430530192</c:v>
                </c:pt>
                <c:pt idx="18">
                  <c:v>8278237.8976527732</c:v>
                </c:pt>
                <c:pt idx="19">
                  <c:v>8450717.5257672034</c:v>
                </c:pt>
                <c:pt idx="20">
                  <c:v>7302862.8339270772</c:v>
                </c:pt>
                <c:pt idx="21">
                  <c:v>7003845.8280183747</c:v>
                </c:pt>
                <c:pt idx="22">
                  <c:v>6945642.349135506</c:v>
                </c:pt>
                <c:pt idx="23">
                  <c:v>7854530.3240500614</c:v>
                </c:pt>
                <c:pt idx="24">
                  <c:v>7867195.1045889976</c:v>
                </c:pt>
                <c:pt idx="25">
                  <c:v>6934507.2218226632</c:v>
                </c:pt>
                <c:pt idx="26">
                  <c:v>7613840.4406674625</c:v>
                </c:pt>
                <c:pt idx="27">
                  <c:v>6296914.9554314632</c:v>
                </c:pt>
                <c:pt idx="28">
                  <c:v>6526461.6163093345</c:v>
                </c:pt>
                <c:pt idx="29">
                  <c:v>6945328.0708133485</c:v>
                </c:pt>
                <c:pt idx="30">
                  <c:v>7769831.4051979035</c:v>
                </c:pt>
                <c:pt idx="31">
                  <c:v>7476669.5742611457</c:v>
                </c:pt>
                <c:pt idx="32">
                  <c:v>7153277.2941379193</c:v>
                </c:pt>
                <c:pt idx="33">
                  <c:v>6841133.8334048828</c:v>
                </c:pt>
                <c:pt idx="34">
                  <c:v>7104800.7187716011</c:v>
                </c:pt>
                <c:pt idx="35">
                  <c:v>8219841.520431323</c:v>
                </c:pt>
                <c:pt idx="36">
                  <c:v>8257937.3970788568</c:v>
                </c:pt>
                <c:pt idx="37">
                  <c:v>7076896.2091848888</c:v>
                </c:pt>
                <c:pt idx="38">
                  <c:v>7579505.3789219558</c:v>
                </c:pt>
                <c:pt idx="39">
                  <c:v>7022287.1419270989</c:v>
                </c:pt>
                <c:pt idx="40">
                  <c:v>7074153.3513800008</c:v>
                </c:pt>
                <c:pt idx="41">
                  <c:v>7357792.5196381127</c:v>
                </c:pt>
                <c:pt idx="42">
                  <c:v>8499558.039473189</c:v>
                </c:pt>
                <c:pt idx="43">
                  <c:v>8444107.1601882819</c:v>
                </c:pt>
                <c:pt idx="44">
                  <c:v>7461739.4350648522</c:v>
                </c:pt>
                <c:pt idx="45">
                  <c:v>7068909.1754978085</c:v>
                </c:pt>
                <c:pt idx="46">
                  <c:v>7433483.9419074329</c:v>
                </c:pt>
                <c:pt idx="47">
                  <c:v>7716590.6970160995</c:v>
                </c:pt>
                <c:pt idx="48">
                  <c:v>8522467.09166703</c:v>
                </c:pt>
                <c:pt idx="49">
                  <c:v>7491785.7217742763</c:v>
                </c:pt>
                <c:pt idx="50">
                  <c:v>7912488.6358497217</c:v>
                </c:pt>
                <c:pt idx="51">
                  <c:v>6783451.4544693111</c:v>
                </c:pt>
                <c:pt idx="52">
                  <c:v>6575678.8457943443</c:v>
                </c:pt>
                <c:pt idx="53">
                  <c:v>7155516.6125379931</c:v>
                </c:pt>
                <c:pt idx="54">
                  <c:v>8484332.3005336225</c:v>
                </c:pt>
                <c:pt idx="55">
                  <c:v>7807677.4459172953</c:v>
                </c:pt>
                <c:pt idx="56">
                  <c:v>6938622.9086613115</c:v>
                </c:pt>
                <c:pt idx="57">
                  <c:v>6638227.5486306585</c:v>
                </c:pt>
                <c:pt idx="58">
                  <c:v>7415264.9059515847</c:v>
                </c:pt>
                <c:pt idx="59">
                  <c:v>7734622.3733896846</c:v>
                </c:pt>
                <c:pt idx="60">
                  <c:v>7826753.579537821</c:v>
                </c:pt>
                <c:pt idx="61">
                  <c:v>7494450.284990279</c:v>
                </c:pt>
                <c:pt idx="62">
                  <c:v>6856686.0919884983</c:v>
                </c:pt>
                <c:pt idx="63">
                  <c:v>5806281.0504999459</c:v>
                </c:pt>
                <c:pt idx="64">
                  <c:v>5964257.3129942166</c:v>
                </c:pt>
                <c:pt idx="65">
                  <c:v>6803453.6155268783</c:v>
                </c:pt>
                <c:pt idx="66">
                  <c:v>8338531.9865726074</c:v>
                </c:pt>
                <c:pt idx="67">
                  <c:v>7581017.004866017</c:v>
                </c:pt>
                <c:pt idx="68">
                  <c:v>6541224.3049433287</c:v>
                </c:pt>
                <c:pt idx="69">
                  <c:v>6504783.787646045</c:v>
                </c:pt>
                <c:pt idx="70">
                  <c:v>6568339.2309968006</c:v>
                </c:pt>
                <c:pt idx="71">
                  <c:v>7371573.3049882017</c:v>
                </c:pt>
                <c:pt idx="72">
                  <c:v>7590821.4618685851</c:v>
                </c:pt>
                <c:pt idx="73">
                  <c:v>7073400.5970398318</c:v>
                </c:pt>
                <c:pt idx="74">
                  <c:v>6920671.5165419718</c:v>
                </c:pt>
                <c:pt idx="75">
                  <c:v>6192023.6679307511</c:v>
                </c:pt>
                <c:pt idx="76">
                  <c:v>6432660.6412312668</c:v>
                </c:pt>
                <c:pt idx="77">
                  <c:v>7143614.0019315612</c:v>
                </c:pt>
                <c:pt idx="78">
                  <c:v>7428632.1360426489</c:v>
                </c:pt>
                <c:pt idx="79">
                  <c:v>8131746.7488351949</c:v>
                </c:pt>
                <c:pt idx="80">
                  <c:v>6749604.5193796745</c:v>
                </c:pt>
                <c:pt idx="81">
                  <c:v>6730765.6853202423</c:v>
                </c:pt>
                <c:pt idx="82">
                  <c:v>7041886.5148750488</c:v>
                </c:pt>
                <c:pt idx="83">
                  <c:v>7381108.9650833979</c:v>
                </c:pt>
                <c:pt idx="84">
                  <c:v>8767821.5628874078</c:v>
                </c:pt>
                <c:pt idx="85">
                  <c:v>7499734.5467233947</c:v>
                </c:pt>
                <c:pt idx="86">
                  <c:v>7646568.983543898</c:v>
                </c:pt>
                <c:pt idx="87">
                  <c:v>6796578.5775780194</c:v>
                </c:pt>
                <c:pt idx="88">
                  <c:v>7037985.3246465186</c:v>
                </c:pt>
                <c:pt idx="89">
                  <c:v>7286453.4342976613</c:v>
                </c:pt>
                <c:pt idx="90">
                  <c:v>8228590.3616017541</c:v>
                </c:pt>
                <c:pt idx="91">
                  <c:v>8271816.5373063739</c:v>
                </c:pt>
                <c:pt idx="92">
                  <c:v>7177066.4098826228</c:v>
                </c:pt>
                <c:pt idx="93">
                  <c:v>6925526.1687366981</c:v>
                </c:pt>
                <c:pt idx="94">
                  <c:v>7294222.8944360223</c:v>
                </c:pt>
                <c:pt idx="95">
                  <c:v>7942888.6726770448</c:v>
                </c:pt>
                <c:pt idx="96">
                  <c:v>8287523.8741881456</c:v>
                </c:pt>
                <c:pt idx="97">
                  <c:v>7670718.0769958943</c:v>
                </c:pt>
                <c:pt idx="98">
                  <c:v>8039530.0253521241</c:v>
                </c:pt>
                <c:pt idx="99">
                  <c:v>7023608.1228063432</c:v>
                </c:pt>
                <c:pt idx="100">
                  <c:v>7013370.8012757832</c:v>
                </c:pt>
                <c:pt idx="101">
                  <c:v>7596215.9983256953</c:v>
                </c:pt>
                <c:pt idx="102">
                  <c:v>8405420.2064201739</c:v>
                </c:pt>
                <c:pt idx="103">
                  <c:v>7960954.3871827582</c:v>
                </c:pt>
                <c:pt idx="104">
                  <c:v>7598529.6033196356</c:v>
                </c:pt>
                <c:pt idx="105">
                  <c:v>7330683.9997966727</c:v>
                </c:pt>
                <c:pt idx="106">
                  <c:v>7671045.9052055366</c:v>
                </c:pt>
                <c:pt idx="107">
                  <c:v>7836515.5952984048</c:v>
                </c:pt>
                <c:pt idx="108">
                  <c:v>8527157.5462636854</c:v>
                </c:pt>
                <c:pt idx="109">
                  <c:v>7815261.5890512085</c:v>
                </c:pt>
                <c:pt idx="110">
                  <c:v>7822351.0520805614</c:v>
                </c:pt>
                <c:pt idx="111">
                  <c:v>7072691.0778500121</c:v>
                </c:pt>
                <c:pt idx="112">
                  <c:v>7390498.8190851053</c:v>
                </c:pt>
                <c:pt idx="113">
                  <c:v>7813886.4027859941</c:v>
                </c:pt>
                <c:pt idx="114">
                  <c:v>8707664.5338994674</c:v>
                </c:pt>
                <c:pt idx="115">
                  <c:v>8349739.2719111461</c:v>
                </c:pt>
                <c:pt idx="116">
                  <c:v>7657513.8891275208</c:v>
                </c:pt>
                <c:pt idx="117">
                  <c:v>7360734.4783008117</c:v>
                </c:pt>
                <c:pt idx="118">
                  <c:v>7525343.2545985151</c:v>
                </c:pt>
                <c:pt idx="119">
                  <c:v>8350894.1760326568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E-41C9-905E-D5A61807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 Service 50 to 2,999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76691919191918"/>
          <c:y val="0.12168194444444444"/>
          <c:w val="0.84935037878787867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50-2,999'!$D$1</c:f>
              <c:strCache>
                <c:ptCount val="1"/>
                <c:pt idx="0">
                  <c:v>WRZ_GS50to2999kWh_No_CDM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50-2,999'!$A$2:$A$121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GS 50-2,999'!$D$2:$D$121</c:f>
              <c:numCache>
                <c:formatCode>_-* #,##0_-;\-* #,##0_-;_-* "-"??_-;_-@_-</c:formatCode>
                <c:ptCount val="120"/>
                <c:pt idx="0">
                  <c:v>30960535.811358269</c:v>
                </c:pt>
                <c:pt idx="1">
                  <c:v>30350660.207000062</c:v>
                </c:pt>
                <c:pt idx="2">
                  <c:v>29463172.879981596</c:v>
                </c:pt>
                <c:pt idx="3">
                  <c:v>28235382.482081909</c:v>
                </c:pt>
                <c:pt idx="4">
                  <c:v>27993987.585965626</c:v>
                </c:pt>
                <c:pt idx="5">
                  <c:v>29018437.288246401</c:v>
                </c:pt>
                <c:pt idx="6">
                  <c:v>30826227.312123951</c:v>
                </c:pt>
                <c:pt idx="7">
                  <c:v>30869004.476001501</c:v>
                </c:pt>
                <c:pt idx="8">
                  <c:v>30320627.029879056</c:v>
                </c:pt>
                <c:pt idx="9">
                  <c:v>29464417.063756607</c:v>
                </c:pt>
                <c:pt idx="10">
                  <c:v>29327632.05763416</c:v>
                </c:pt>
                <c:pt idx="11">
                  <c:v>29450665.411511712</c:v>
                </c:pt>
                <c:pt idx="12">
                  <c:v>32091613.609311491</c:v>
                </c:pt>
                <c:pt idx="13">
                  <c:v>31457795.834528334</c:v>
                </c:pt>
                <c:pt idx="14">
                  <c:v>30537664.059745174</c:v>
                </c:pt>
                <c:pt idx="15">
                  <c:v>29266561.75496202</c:v>
                </c:pt>
                <c:pt idx="16">
                  <c:v>29012775.430178858</c:v>
                </c:pt>
                <c:pt idx="17">
                  <c:v>30064514.055395704</c:v>
                </c:pt>
                <c:pt idx="18">
                  <c:v>30682142.130612545</c:v>
                </c:pt>
                <c:pt idx="19">
                  <c:v>32761836.175829388</c:v>
                </c:pt>
                <c:pt idx="20">
                  <c:v>30687846.741046228</c:v>
                </c:pt>
                <c:pt idx="21">
                  <c:v>29520808.096263073</c:v>
                </c:pt>
                <c:pt idx="22">
                  <c:v>28673815.061479915</c:v>
                </c:pt>
                <c:pt idx="23">
                  <c:v>29112228.606696755</c:v>
                </c:pt>
                <c:pt idx="24">
                  <c:v>31081845.352016058</c:v>
                </c:pt>
                <c:pt idx="25">
                  <c:v>28375028.608550981</c:v>
                </c:pt>
                <c:pt idx="26">
                  <c:v>29607471.415085904</c:v>
                </c:pt>
                <c:pt idx="27">
                  <c:v>27997864.411620829</c:v>
                </c:pt>
                <c:pt idx="28">
                  <c:v>27866768.488155752</c:v>
                </c:pt>
                <c:pt idx="29">
                  <c:v>29353114.094690681</c:v>
                </c:pt>
                <c:pt idx="30">
                  <c:v>28778390.731225602</c:v>
                </c:pt>
                <c:pt idx="31">
                  <c:v>29739442.397760529</c:v>
                </c:pt>
                <c:pt idx="32">
                  <c:v>30376531.484295454</c:v>
                </c:pt>
                <c:pt idx="33">
                  <c:v>28297044.540830374</c:v>
                </c:pt>
                <c:pt idx="34">
                  <c:v>29995513.077365302</c:v>
                </c:pt>
                <c:pt idx="35">
                  <c:v>30565136.973900225</c:v>
                </c:pt>
                <c:pt idx="36">
                  <c:v>34117666.299289048</c:v>
                </c:pt>
                <c:pt idx="37">
                  <c:v>29574927.725466501</c:v>
                </c:pt>
                <c:pt idx="38">
                  <c:v>29828539.501643956</c:v>
                </c:pt>
                <c:pt idx="39">
                  <c:v>28679599.017821409</c:v>
                </c:pt>
                <c:pt idx="40">
                  <c:v>28601957.463998862</c:v>
                </c:pt>
                <c:pt idx="41">
                  <c:v>29234741.490176316</c:v>
                </c:pt>
                <c:pt idx="42">
                  <c:v>30800006.446353767</c:v>
                </c:pt>
                <c:pt idx="43">
                  <c:v>32149348.072531223</c:v>
                </c:pt>
                <c:pt idx="44">
                  <c:v>31771305.148708679</c:v>
                </c:pt>
                <c:pt idx="45">
                  <c:v>29349297.864886131</c:v>
                </c:pt>
                <c:pt idx="46">
                  <c:v>29367522.431063585</c:v>
                </c:pt>
                <c:pt idx="47">
                  <c:v>29763770.377241038</c:v>
                </c:pt>
                <c:pt idx="48">
                  <c:v>31781938.343248449</c:v>
                </c:pt>
                <c:pt idx="49">
                  <c:v>31088843.840579573</c:v>
                </c:pt>
                <c:pt idx="50">
                  <c:v>30315223.027910694</c:v>
                </c:pt>
                <c:pt idx="51">
                  <c:v>28903900.405241817</c:v>
                </c:pt>
                <c:pt idx="52">
                  <c:v>27805038.452572934</c:v>
                </c:pt>
                <c:pt idx="53">
                  <c:v>28301260.449904054</c:v>
                </c:pt>
                <c:pt idx="54">
                  <c:v>31410357.227235176</c:v>
                </c:pt>
                <c:pt idx="55">
                  <c:v>31815147.094566301</c:v>
                </c:pt>
                <c:pt idx="56">
                  <c:v>29087051.461897422</c:v>
                </c:pt>
                <c:pt idx="57">
                  <c:v>28212934.369228542</c:v>
                </c:pt>
                <c:pt idx="58">
                  <c:v>29251571.706559666</c:v>
                </c:pt>
                <c:pt idx="59">
                  <c:v>30157879.923890781</c:v>
                </c:pt>
                <c:pt idx="60">
                  <c:v>31853984.364236817</c:v>
                </c:pt>
                <c:pt idx="61">
                  <c:v>29807134.200992443</c:v>
                </c:pt>
                <c:pt idx="62">
                  <c:v>28772846.337748069</c:v>
                </c:pt>
                <c:pt idx="63">
                  <c:v>25950731.334503699</c:v>
                </c:pt>
                <c:pt idx="64">
                  <c:v>25312504.351259321</c:v>
                </c:pt>
                <c:pt idx="65">
                  <c:v>30027398.508014951</c:v>
                </c:pt>
                <c:pt idx="66">
                  <c:v>30695599.024770577</c:v>
                </c:pt>
                <c:pt idx="67">
                  <c:v>29742716.571526203</c:v>
                </c:pt>
                <c:pt idx="68">
                  <c:v>27312271.008281827</c:v>
                </c:pt>
                <c:pt idx="69">
                  <c:v>27262530.595037457</c:v>
                </c:pt>
                <c:pt idx="70">
                  <c:v>27701048.071793083</c:v>
                </c:pt>
                <c:pt idx="71">
                  <c:v>30670360.18854871</c:v>
                </c:pt>
                <c:pt idx="72">
                  <c:v>30132179.904004361</c:v>
                </c:pt>
                <c:pt idx="73">
                  <c:v>28423629.341019243</c:v>
                </c:pt>
                <c:pt idx="74">
                  <c:v>29118151.958034121</c:v>
                </c:pt>
                <c:pt idx="75">
                  <c:v>25603962.015049003</c:v>
                </c:pt>
                <c:pt idx="76">
                  <c:v>25741172.322063882</c:v>
                </c:pt>
                <c:pt idx="77">
                  <c:v>28325941.91907876</c:v>
                </c:pt>
                <c:pt idx="78">
                  <c:v>29366265.796093643</c:v>
                </c:pt>
                <c:pt idx="79">
                  <c:v>31713417.193108521</c:v>
                </c:pt>
                <c:pt idx="80">
                  <c:v>27785546.9301234</c:v>
                </c:pt>
                <c:pt idx="81">
                  <c:v>27946596.03713828</c:v>
                </c:pt>
                <c:pt idx="82">
                  <c:v>28645834.94415316</c:v>
                </c:pt>
                <c:pt idx="83">
                  <c:v>30267892.201168038</c:v>
                </c:pt>
                <c:pt idx="84">
                  <c:v>31854856.03099012</c:v>
                </c:pt>
                <c:pt idx="85">
                  <c:v>29443816.856110644</c:v>
                </c:pt>
                <c:pt idx="86">
                  <c:v>31092110.021231167</c:v>
                </c:pt>
                <c:pt idx="87">
                  <c:v>27951904.86635169</c:v>
                </c:pt>
                <c:pt idx="88">
                  <c:v>28052966.62147221</c:v>
                </c:pt>
                <c:pt idx="89">
                  <c:v>28697392.686592735</c:v>
                </c:pt>
                <c:pt idx="90">
                  <c:v>31120710.961713254</c:v>
                </c:pt>
                <c:pt idx="91">
                  <c:v>32564028.696833782</c:v>
                </c:pt>
                <c:pt idx="92">
                  <c:v>29097166.971954301</c:v>
                </c:pt>
                <c:pt idx="93">
                  <c:v>28193029.677074824</c:v>
                </c:pt>
                <c:pt idx="94">
                  <c:v>29262681.72219535</c:v>
                </c:pt>
                <c:pt idx="95">
                  <c:v>31117470.75731587</c:v>
                </c:pt>
                <c:pt idx="96">
                  <c:v>31783693.030599564</c:v>
                </c:pt>
                <c:pt idx="97">
                  <c:v>29895600.29545911</c:v>
                </c:pt>
                <c:pt idx="98">
                  <c:v>31308960.980318651</c:v>
                </c:pt>
                <c:pt idx="99">
                  <c:v>27567578.815178193</c:v>
                </c:pt>
                <c:pt idx="100">
                  <c:v>28278825.080037739</c:v>
                </c:pt>
                <c:pt idx="101">
                  <c:v>29666692.394897282</c:v>
                </c:pt>
                <c:pt idx="102">
                  <c:v>31689097.029756822</c:v>
                </c:pt>
                <c:pt idx="103">
                  <c:v>31359468.704616368</c:v>
                </c:pt>
                <c:pt idx="104">
                  <c:v>29984097.46947591</c:v>
                </c:pt>
                <c:pt idx="105">
                  <c:v>29329714.694335449</c:v>
                </c:pt>
                <c:pt idx="106">
                  <c:v>30099408.709194995</c:v>
                </c:pt>
                <c:pt idx="107">
                  <c:v>30825578.294054538</c:v>
                </c:pt>
                <c:pt idx="108">
                  <c:v>33151191.468044974</c:v>
                </c:pt>
                <c:pt idx="109">
                  <c:v>29996964.766140696</c:v>
                </c:pt>
                <c:pt idx="110">
                  <c:v>30363099.224236418</c:v>
                </c:pt>
                <c:pt idx="111">
                  <c:v>28549696.772332143</c:v>
                </c:pt>
                <c:pt idx="112">
                  <c:v>29264298.910427865</c:v>
                </c:pt>
                <c:pt idx="113">
                  <c:v>30387346.358523585</c:v>
                </c:pt>
                <c:pt idx="114">
                  <c:v>33245124.90661931</c:v>
                </c:pt>
                <c:pt idx="115">
                  <c:v>32960597.234715033</c:v>
                </c:pt>
                <c:pt idx="116">
                  <c:v>30943335.362810757</c:v>
                </c:pt>
                <c:pt idx="117">
                  <c:v>30379680.950906478</c:v>
                </c:pt>
                <c:pt idx="118">
                  <c:v>30484744.409002203</c:v>
                </c:pt>
                <c:pt idx="119">
                  <c:v>33328046.777097926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5-4413-B42D-592DE8E72E58}"/>
            </c:ext>
          </c:extLst>
        </c:ser>
        <c:ser>
          <c:idx val="1"/>
          <c:order val="1"/>
          <c:tx>
            <c:strRef>
              <c:f>'WRZ GS 50-2,999'!$Q$1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50-2,999'!$A$2:$A$121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GS 50-2,999'!$S$2:$S$121</c:f>
              <c:numCache>
                <c:formatCode>_-* #,##0_-;\-* #,##0_-;_-* "-"??_-;_-@_-</c:formatCode>
                <c:ptCount val="120"/>
                <c:pt idx="0">
                  <c:v>32495180.716013469</c:v>
                </c:pt>
                <c:pt idx="1">
                  <c:v>31922315.012286238</c:v>
                </c:pt>
                <c:pt idx="2">
                  <c:v>31171435.1353328</c:v>
                </c:pt>
                <c:pt idx="3">
                  <c:v>28411591.707108393</c:v>
                </c:pt>
                <c:pt idx="4">
                  <c:v>28938761.879096158</c:v>
                </c:pt>
                <c:pt idx="5">
                  <c:v>29013252.667620584</c:v>
                </c:pt>
                <c:pt idx="6">
                  <c:v>31288997.241952963</c:v>
                </c:pt>
                <c:pt idx="7">
                  <c:v>30675462.851978771</c:v>
                </c:pt>
                <c:pt idx="8">
                  <c:v>30226297.33091351</c:v>
                </c:pt>
                <c:pt idx="9">
                  <c:v>29032128.909045909</c:v>
                </c:pt>
                <c:pt idx="10">
                  <c:v>29234747.462027285</c:v>
                </c:pt>
                <c:pt idx="11">
                  <c:v>29516262.956573889</c:v>
                </c:pt>
                <c:pt idx="12">
                  <c:v>31486298.941800706</c:v>
                </c:pt>
                <c:pt idx="13">
                  <c:v>30132992.80317086</c:v>
                </c:pt>
                <c:pt idx="14">
                  <c:v>30156699.387201868</c:v>
                </c:pt>
                <c:pt idx="15">
                  <c:v>28935798.285927542</c:v>
                </c:pt>
                <c:pt idx="16">
                  <c:v>29150104.374433368</c:v>
                </c:pt>
                <c:pt idx="17">
                  <c:v>29871253.7713724</c:v>
                </c:pt>
                <c:pt idx="18">
                  <c:v>32034649.255746268</c:v>
                </c:pt>
                <c:pt idx="19">
                  <c:v>32276105.602726027</c:v>
                </c:pt>
                <c:pt idx="20">
                  <c:v>30014815.334774014</c:v>
                </c:pt>
                <c:pt idx="21">
                  <c:v>29367676.18109392</c:v>
                </c:pt>
                <c:pt idx="22">
                  <c:v>29242478.976516075</c:v>
                </c:pt>
                <c:pt idx="23">
                  <c:v>30996725.17115742</c:v>
                </c:pt>
                <c:pt idx="24">
                  <c:v>31026109.438435808</c:v>
                </c:pt>
                <c:pt idx="25">
                  <c:v>29146067.491196278</c:v>
                </c:pt>
                <c:pt idx="26">
                  <c:v>30856421.697613586</c:v>
                </c:pt>
                <c:pt idx="27">
                  <c:v>28153525.956381161</c:v>
                </c:pt>
                <c:pt idx="28">
                  <c:v>28541904.234795924</c:v>
                </c:pt>
                <c:pt idx="29">
                  <c:v>29297641.590215128</c:v>
                </c:pt>
                <c:pt idx="30">
                  <c:v>31169165.805363342</c:v>
                </c:pt>
                <c:pt idx="31">
                  <c:v>30471705.65175179</c:v>
                </c:pt>
                <c:pt idx="32">
                  <c:v>29865237.384717975</c:v>
                </c:pt>
                <c:pt idx="33">
                  <c:v>29153498.342290513</c:v>
                </c:pt>
                <c:pt idx="34">
                  <c:v>29761253.061016649</c:v>
                </c:pt>
                <c:pt idx="35">
                  <c:v>31986781.410478517</c:v>
                </c:pt>
                <c:pt idx="36">
                  <c:v>32104582.175574146</c:v>
                </c:pt>
                <c:pt idx="37">
                  <c:v>29530779.574386787</c:v>
                </c:pt>
                <c:pt idx="38">
                  <c:v>30589508.856729355</c:v>
                </c:pt>
                <c:pt idx="39">
                  <c:v>29262415.543617979</c:v>
                </c:pt>
                <c:pt idx="40">
                  <c:v>29187002.648671813</c:v>
                </c:pt>
                <c:pt idx="41">
                  <c:v>29775003.17570902</c:v>
                </c:pt>
                <c:pt idx="42">
                  <c:v>32120653.57299548</c:v>
                </c:pt>
                <c:pt idx="43">
                  <c:v>32052997.523877997</c:v>
                </c:pt>
                <c:pt idx="44">
                  <c:v>30202391.436674751</c:v>
                </c:pt>
                <c:pt idx="45">
                  <c:v>29525735.509780448</c:v>
                </c:pt>
                <c:pt idx="46">
                  <c:v>30266308.919069462</c:v>
                </c:pt>
                <c:pt idx="47">
                  <c:v>30736373.987591501</c:v>
                </c:pt>
                <c:pt idx="48">
                  <c:v>32355642.942375228</c:v>
                </c:pt>
                <c:pt idx="49">
                  <c:v>30056901.69609471</c:v>
                </c:pt>
                <c:pt idx="50">
                  <c:v>30961324.243934736</c:v>
                </c:pt>
                <c:pt idx="51">
                  <c:v>28570673.504242759</c:v>
                </c:pt>
                <c:pt idx="52">
                  <c:v>28144376.929748647</c:v>
                </c:pt>
                <c:pt idx="53">
                  <c:v>29424046.926334608</c:v>
                </c:pt>
                <c:pt idx="54">
                  <c:v>32174138.062786385</c:v>
                </c:pt>
                <c:pt idx="55">
                  <c:v>31039595.259111561</c:v>
                </c:pt>
                <c:pt idx="56">
                  <c:v>29290855.436570182</c:v>
                </c:pt>
                <c:pt idx="57">
                  <c:v>28817606.975054368</c:v>
                </c:pt>
                <c:pt idx="58">
                  <c:v>30488497.318118073</c:v>
                </c:pt>
                <c:pt idx="59">
                  <c:v>30986628.874004371</c:v>
                </c:pt>
                <c:pt idx="60">
                  <c:v>31121636.822082534</c:v>
                </c:pt>
                <c:pt idx="61">
                  <c:v>30295268.197182715</c:v>
                </c:pt>
                <c:pt idx="62">
                  <c:v>28440960.761806581</c:v>
                </c:pt>
                <c:pt idx="63">
                  <c:v>25758451.077962901</c:v>
                </c:pt>
                <c:pt idx="64">
                  <c:v>26295171.756455578</c:v>
                </c:pt>
                <c:pt idx="65">
                  <c:v>28718171.064124238</c:v>
                </c:pt>
                <c:pt idx="66">
                  <c:v>31521206.023116883</c:v>
                </c:pt>
                <c:pt idx="67">
                  <c:v>30020757.200123191</c:v>
                </c:pt>
                <c:pt idx="68">
                  <c:v>27811345.293401334</c:v>
                </c:pt>
                <c:pt idx="69">
                  <c:v>27614470.665282506</c:v>
                </c:pt>
                <c:pt idx="70">
                  <c:v>27717613.262342159</c:v>
                </c:pt>
                <c:pt idx="71">
                  <c:v>29283058.026315019</c:v>
                </c:pt>
                <c:pt idx="72">
                  <c:v>29886849.532349527</c:v>
                </c:pt>
                <c:pt idx="73">
                  <c:v>28751783.500360724</c:v>
                </c:pt>
                <c:pt idx="74">
                  <c:v>28551878.309166331</c:v>
                </c:pt>
                <c:pt idx="75">
                  <c:v>26940808.840780832</c:v>
                </c:pt>
                <c:pt idx="76">
                  <c:v>27528558.46230815</c:v>
                </c:pt>
                <c:pt idx="77">
                  <c:v>29003664.878826432</c:v>
                </c:pt>
                <c:pt idx="78">
                  <c:v>29630069.042629436</c:v>
                </c:pt>
                <c:pt idx="79">
                  <c:v>30824326.712442603</c:v>
                </c:pt>
                <c:pt idx="80">
                  <c:v>28133603.165549766</c:v>
                </c:pt>
                <c:pt idx="81">
                  <c:v>27935552.716443237</c:v>
                </c:pt>
                <c:pt idx="82">
                  <c:v>28366018.214182656</c:v>
                </c:pt>
                <c:pt idx="83">
                  <c:v>28885517.255969241</c:v>
                </c:pt>
                <c:pt idx="84">
                  <c:v>32073258.235400759</c:v>
                </c:pt>
                <c:pt idx="85">
                  <c:v>29362561.001814868</c:v>
                </c:pt>
                <c:pt idx="86">
                  <c:v>29727944.729401775</c:v>
                </c:pt>
                <c:pt idx="87">
                  <c:v>27795995.845086716</c:v>
                </c:pt>
                <c:pt idx="88">
                  <c:v>28323085.485975105</c:v>
                </c:pt>
                <c:pt idx="89">
                  <c:v>28747129.338998653</c:v>
                </c:pt>
                <c:pt idx="90">
                  <c:v>30835515.437033597</c:v>
                </c:pt>
                <c:pt idx="91">
                  <c:v>30940808.493262079</c:v>
                </c:pt>
                <c:pt idx="92">
                  <c:v>28850193.989940856</c:v>
                </c:pt>
                <c:pt idx="93">
                  <c:v>28216156.224142749</c:v>
                </c:pt>
                <c:pt idx="94">
                  <c:v>28949993.515703999</c:v>
                </c:pt>
                <c:pt idx="95">
                  <c:v>30068797.13466946</c:v>
                </c:pt>
                <c:pt idx="96">
                  <c:v>30975107.824601728</c:v>
                </c:pt>
                <c:pt idx="97">
                  <c:v>29583901.020989694</c:v>
                </c:pt>
                <c:pt idx="98">
                  <c:v>30531417.897518452</c:v>
                </c:pt>
                <c:pt idx="99">
                  <c:v>28528006.190580439</c:v>
                </c:pt>
                <c:pt idx="100">
                  <c:v>28635476.259069186</c:v>
                </c:pt>
                <c:pt idx="101">
                  <c:v>29883132.96711408</c:v>
                </c:pt>
                <c:pt idx="102">
                  <c:v>31601999.933179338</c:v>
                </c:pt>
                <c:pt idx="103">
                  <c:v>30657428.701844029</c:v>
                </c:pt>
                <c:pt idx="104">
                  <c:v>29794197.095293466</c:v>
                </c:pt>
                <c:pt idx="105">
                  <c:v>29356065.850237451</c:v>
                </c:pt>
                <c:pt idx="106">
                  <c:v>29896431.713946138</c:v>
                </c:pt>
                <c:pt idx="107">
                  <c:v>30021655.874881219</c:v>
                </c:pt>
                <c:pt idx="108">
                  <c:v>31277852.296859194</c:v>
                </c:pt>
                <c:pt idx="109">
                  <c:v>29730802.853419725</c:v>
                </c:pt>
                <c:pt idx="110">
                  <c:v>29790901.714562561</c:v>
                </c:pt>
                <c:pt idx="111">
                  <c:v>28174699.942507144</c:v>
                </c:pt>
                <c:pt idx="112">
                  <c:v>28883412.406320967</c:v>
                </c:pt>
                <c:pt idx="113">
                  <c:v>29891724.798133012</c:v>
                </c:pt>
                <c:pt idx="114">
                  <c:v>31894391.302021168</c:v>
                </c:pt>
                <c:pt idx="115">
                  <c:v>31239148.196479026</c:v>
                </c:pt>
                <c:pt idx="116">
                  <c:v>29939977.545295708</c:v>
                </c:pt>
                <c:pt idx="117">
                  <c:v>29082534.399180729</c:v>
                </c:pt>
                <c:pt idx="118">
                  <c:v>29411758.194407869</c:v>
                </c:pt>
                <c:pt idx="119">
                  <c:v>30963838.695263088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5-4413-B42D-592DE8E7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Weather!$T$1</c:f>
              <c:strCache>
                <c:ptCount val="1"/>
                <c:pt idx="0">
                  <c:v> VRZ_SeasonalReskWh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Weather!$Q$15:$Q$133</c:f>
              <c:numCache>
                <c:formatCode>0</c:formatCode>
                <c:ptCount val="119"/>
                <c:pt idx="0">
                  <c:v>-12.92336956521739</c:v>
                </c:pt>
                <c:pt idx="1">
                  <c:v>-2.5741935483870972</c:v>
                </c:pt>
                <c:pt idx="2">
                  <c:v>6.4416540404040381</c:v>
                </c:pt>
                <c:pt idx="3">
                  <c:v>14.880745341614906</c:v>
                </c:pt>
                <c:pt idx="4">
                  <c:v>16.987083333333334</c:v>
                </c:pt>
                <c:pt idx="5">
                  <c:v>20.63024193548387</c:v>
                </c:pt>
                <c:pt idx="6">
                  <c:v>19.41747311827957</c:v>
                </c:pt>
                <c:pt idx="7">
                  <c:v>18.297420634920634</c:v>
                </c:pt>
                <c:pt idx="8">
                  <c:v>9.0649193548387093</c:v>
                </c:pt>
                <c:pt idx="9">
                  <c:v>5.6076388888888893</c:v>
                </c:pt>
                <c:pt idx="10">
                  <c:v>3.8830352968676944</c:v>
                </c:pt>
                <c:pt idx="11">
                  <c:v>-3.8025537634408595</c:v>
                </c:pt>
                <c:pt idx="12">
                  <c:v>-2.8175287356321834</c:v>
                </c:pt>
                <c:pt idx="13">
                  <c:v>1.3845371669004212</c:v>
                </c:pt>
                <c:pt idx="14">
                  <c:v>4.4672222222222224</c:v>
                </c:pt>
                <c:pt idx="15">
                  <c:v>13.718055555555555</c:v>
                </c:pt>
                <c:pt idx="16">
                  <c:v>18.773472222222221</c:v>
                </c:pt>
                <c:pt idx="17">
                  <c:v>22.104166666666661</c:v>
                </c:pt>
                <c:pt idx="18">
                  <c:v>22.581451612903233</c:v>
                </c:pt>
                <c:pt idx="19">
                  <c:v>17.858055555555556</c:v>
                </c:pt>
                <c:pt idx="20">
                  <c:v>10.864650537634409</c:v>
                </c:pt>
                <c:pt idx="21">
                  <c:v>5.4221626984126994</c:v>
                </c:pt>
                <c:pt idx="22">
                  <c:v>-1.8926075268817202</c:v>
                </c:pt>
                <c:pt idx="23">
                  <c:v>-2.0069892473118278</c:v>
                </c:pt>
                <c:pt idx="24">
                  <c:v>-0.93154761904761851</c:v>
                </c:pt>
                <c:pt idx="25">
                  <c:v>-1.3444892473118288</c:v>
                </c:pt>
                <c:pt idx="26">
                  <c:v>8.3870833333333312</c:v>
                </c:pt>
                <c:pt idx="27">
                  <c:v>12.072311827956989</c:v>
                </c:pt>
                <c:pt idx="28">
                  <c:v>17.620722222222227</c:v>
                </c:pt>
                <c:pt idx="29">
                  <c:v>20.392473118279565</c:v>
                </c:pt>
                <c:pt idx="30">
                  <c:v>19.013680458158017</c:v>
                </c:pt>
                <c:pt idx="31">
                  <c:v>17.194861111111109</c:v>
                </c:pt>
                <c:pt idx="32">
                  <c:v>12.306989247311826</c:v>
                </c:pt>
                <c:pt idx="33">
                  <c:v>3.2462752525252521</c:v>
                </c:pt>
                <c:pt idx="34">
                  <c:v>-5.7520161290322589</c:v>
                </c:pt>
                <c:pt idx="35">
                  <c:v>-6.2108870967741945</c:v>
                </c:pt>
                <c:pt idx="36">
                  <c:v>-2.5891369047619053</c:v>
                </c:pt>
                <c:pt idx="37">
                  <c:v>-0.29932795698924713</c:v>
                </c:pt>
                <c:pt idx="38">
                  <c:v>2.9161111111111113</c:v>
                </c:pt>
                <c:pt idx="39">
                  <c:v>15.888323907275522</c:v>
                </c:pt>
                <c:pt idx="40">
                  <c:v>18.606464646464644</c:v>
                </c:pt>
                <c:pt idx="41">
                  <c:v>22.270923040260342</c:v>
                </c:pt>
                <c:pt idx="42">
                  <c:v>22.136962365591401</c:v>
                </c:pt>
                <c:pt idx="43">
                  <c:v>18.045555555555556</c:v>
                </c:pt>
                <c:pt idx="44">
                  <c:v>8.2325268817204318</c:v>
                </c:pt>
                <c:pt idx="45">
                  <c:v>1.2158333333333335</c:v>
                </c:pt>
                <c:pt idx="46">
                  <c:v>-0.86827956989247324</c:v>
                </c:pt>
                <c:pt idx="47">
                  <c:v>-7.1591397849462366</c:v>
                </c:pt>
                <c:pt idx="48">
                  <c:v>-4.8322916666666682</c:v>
                </c:pt>
                <c:pt idx="49">
                  <c:v>-1.7244623655913986</c:v>
                </c:pt>
                <c:pt idx="50">
                  <c:v>5.778194444444444</c:v>
                </c:pt>
                <c:pt idx="51">
                  <c:v>11.369850028296549</c:v>
                </c:pt>
                <c:pt idx="52">
                  <c:v>17.658055555555553</c:v>
                </c:pt>
                <c:pt idx="53">
                  <c:v>22.374193548387098</c:v>
                </c:pt>
                <c:pt idx="54">
                  <c:v>20.13131720430108</c:v>
                </c:pt>
                <c:pt idx="55">
                  <c:v>16.383888888888887</c:v>
                </c:pt>
                <c:pt idx="56">
                  <c:v>10.194623655913977</c:v>
                </c:pt>
                <c:pt idx="57">
                  <c:v>0.34250000000000014</c:v>
                </c:pt>
                <c:pt idx="58">
                  <c:v>-1.8202956989247305</c:v>
                </c:pt>
                <c:pt idx="59">
                  <c:v>-2.2845430107526878</c:v>
                </c:pt>
                <c:pt idx="60">
                  <c:v>-3.3931034482758609</c:v>
                </c:pt>
                <c:pt idx="61">
                  <c:v>2.4654569892473122</c:v>
                </c:pt>
                <c:pt idx="62">
                  <c:v>5.3441666666666672</c:v>
                </c:pt>
                <c:pt idx="63">
                  <c:v>11.704857910906297</c:v>
                </c:pt>
                <c:pt idx="64">
                  <c:v>19.417874396135264</c:v>
                </c:pt>
                <c:pt idx="65">
                  <c:v>23.964112903225804</c:v>
                </c:pt>
                <c:pt idx="66">
                  <c:v>20.997776148582602</c:v>
                </c:pt>
                <c:pt idx="67">
                  <c:v>15.728182367149758</c:v>
                </c:pt>
                <c:pt idx="68">
                  <c:v>8.7150537634408618</c:v>
                </c:pt>
                <c:pt idx="69">
                  <c:v>5.7899758454106278</c:v>
                </c:pt>
                <c:pt idx="70">
                  <c:v>-0.80336021505376376</c:v>
                </c:pt>
                <c:pt idx="71">
                  <c:v>-3.0807795698924729</c:v>
                </c:pt>
                <c:pt idx="72">
                  <c:v>-5.3376488095238086</c:v>
                </c:pt>
                <c:pt idx="73">
                  <c:v>2.1097942964001866</c:v>
                </c:pt>
                <c:pt idx="74">
                  <c:v>7.3401388888888865</c:v>
                </c:pt>
                <c:pt idx="75">
                  <c:v>13.049417562724015</c:v>
                </c:pt>
                <c:pt idx="76">
                  <c:v>20.055833333333332</c:v>
                </c:pt>
                <c:pt idx="77">
                  <c:v>20.221774193548388</c:v>
                </c:pt>
                <c:pt idx="78">
                  <c:v>22.58266129032258</c:v>
                </c:pt>
                <c:pt idx="79">
                  <c:v>16.975833333333334</c:v>
                </c:pt>
                <c:pt idx="80">
                  <c:v>13.09072580645161</c:v>
                </c:pt>
                <c:pt idx="81">
                  <c:v>3.122913216011042</c:v>
                </c:pt>
                <c:pt idx="82">
                  <c:v>0.80497311827956974</c:v>
                </c:pt>
                <c:pt idx="83">
                  <c:v>-8.6287634408602152</c:v>
                </c:pt>
                <c:pt idx="84">
                  <c:v>-4.7446428571428587</c:v>
                </c:pt>
                <c:pt idx="85">
                  <c:v>0.42836021505376332</c:v>
                </c:pt>
                <c:pt idx="86">
                  <c:v>6.1888888888888882</c:v>
                </c:pt>
                <c:pt idx="87">
                  <c:v>15.065725806451612</c:v>
                </c:pt>
                <c:pt idx="88">
                  <c:v>18.03075013875014</c:v>
                </c:pt>
                <c:pt idx="89">
                  <c:v>21.15659155778647</c:v>
                </c:pt>
                <c:pt idx="90">
                  <c:v>21.363978494623655</c:v>
                </c:pt>
                <c:pt idx="91">
                  <c:v>16.37402777777778</c:v>
                </c:pt>
                <c:pt idx="92">
                  <c:v>9.3272381954184187</c:v>
                </c:pt>
                <c:pt idx="93">
                  <c:v>4.2722222222222213</c:v>
                </c:pt>
                <c:pt idx="94">
                  <c:v>-0.87486559139784936</c:v>
                </c:pt>
                <c:pt idx="95">
                  <c:v>-1.4861559139784948</c:v>
                </c:pt>
                <c:pt idx="96">
                  <c:v>-2.4797619047619048</c:v>
                </c:pt>
                <c:pt idx="97">
                  <c:v>0.22473118279569884</c:v>
                </c:pt>
                <c:pt idx="98">
                  <c:v>7.9533333333333323</c:v>
                </c:pt>
                <c:pt idx="99">
                  <c:v>12.986102150537635</c:v>
                </c:pt>
                <c:pt idx="100">
                  <c:v>18.851388888888884</c:v>
                </c:pt>
                <c:pt idx="101">
                  <c:v>21.218817204301072</c:v>
                </c:pt>
                <c:pt idx="102">
                  <c:v>19.348544880785411</c:v>
                </c:pt>
                <c:pt idx="103">
                  <c:v>17.433055555555555</c:v>
                </c:pt>
                <c:pt idx="104">
                  <c:v>11.553225806451612</c:v>
                </c:pt>
                <c:pt idx="105">
                  <c:v>2.9802294685990343</c:v>
                </c:pt>
                <c:pt idx="106">
                  <c:v>2.2038978494623653</c:v>
                </c:pt>
                <c:pt idx="107">
                  <c:v>-2.5482526881720431</c:v>
                </c:pt>
                <c:pt idx="108">
                  <c:v>-0.72298850574712648</c:v>
                </c:pt>
                <c:pt idx="109">
                  <c:v>3.1576612903225802</c:v>
                </c:pt>
                <c:pt idx="110">
                  <c:v>7.7234027777777765</c:v>
                </c:pt>
                <c:pt idx="111">
                  <c:v>15.455779569892472</c:v>
                </c:pt>
                <c:pt idx="112">
                  <c:v>18.805138888888891</c:v>
                </c:pt>
                <c:pt idx="113">
                  <c:v>21.778763440860214</c:v>
                </c:pt>
                <c:pt idx="114">
                  <c:v>20.479569892473116</c:v>
                </c:pt>
                <c:pt idx="115">
                  <c:v>17.709999999999997</c:v>
                </c:pt>
                <c:pt idx="116">
                  <c:v>10.453494623655915</c:v>
                </c:pt>
                <c:pt idx="117">
                  <c:v>5.790277777777777</c:v>
                </c:pt>
                <c:pt idx="118">
                  <c:v>-1.3088709677419357</c:v>
                </c:pt>
              </c:numCache>
            </c:numRef>
          </c:xVal>
          <c:yVal>
            <c:numRef>
              <c:f>Weather!$T$15:$T$133</c:f>
              <c:numCache>
                <c:formatCode>_-* #,##0_-;\-* #,##0_-;_-* "-"??_-;_-@_-</c:formatCode>
                <c:ptCount val="119"/>
                <c:pt idx="0">
                  <c:v>1179669.817</c:v>
                </c:pt>
                <c:pt idx="1">
                  <c:v>948193.77749999904</c:v>
                </c:pt>
                <c:pt idx="2">
                  <c:v>654930.37795000104</c:v>
                </c:pt>
                <c:pt idx="3">
                  <c:v>628970.83730999904</c:v>
                </c:pt>
                <c:pt idx="4">
                  <c:v>620701.61555999995</c:v>
                </c:pt>
                <c:pt idx="5">
                  <c:v>901678.326330001</c:v>
                </c:pt>
                <c:pt idx="6">
                  <c:v>930278.94397000095</c:v>
                </c:pt>
                <c:pt idx="7">
                  <c:v>638759.91505999898</c:v>
                </c:pt>
                <c:pt idx="8">
                  <c:v>737422.35897000099</c:v>
                </c:pt>
                <c:pt idx="9">
                  <c:v>512170.78074999998</c:v>
                </c:pt>
                <c:pt idx="10">
                  <c:v>648188.90104000096</c:v>
                </c:pt>
                <c:pt idx="11">
                  <c:v>969345.17712000001</c:v>
                </c:pt>
                <c:pt idx="12">
                  <c:v>927535.13323000004</c:v>
                </c:pt>
                <c:pt idx="13">
                  <c:v>808357.23833000101</c:v>
                </c:pt>
                <c:pt idx="14">
                  <c:v>675376.59569999995</c:v>
                </c:pt>
                <c:pt idx="15">
                  <c:v>658653.73418000003</c:v>
                </c:pt>
                <c:pt idx="16">
                  <c:v>640770.07441000105</c:v>
                </c:pt>
                <c:pt idx="17">
                  <c:v>983104.32776000095</c:v>
                </c:pt>
                <c:pt idx="18">
                  <c:v>968251.10329999903</c:v>
                </c:pt>
                <c:pt idx="19">
                  <c:v>653467.51299000101</c:v>
                </c:pt>
                <c:pt idx="20">
                  <c:v>729304.67990999995</c:v>
                </c:pt>
                <c:pt idx="21">
                  <c:v>595615.86453999998</c:v>
                </c:pt>
                <c:pt idx="22">
                  <c:v>878077.18349000101</c:v>
                </c:pt>
                <c:pt idx="23">
                  <c:v>920373.34233999997</c:v>
                </c:pt>
                <c:pt idx="24">
                  <c:v>836835.86730000097</c:v>
                </c:pt>
                <c:pt idx="25">
                  <c:v>921080.89387999999</c:v>
                </c:pt>
                <c:pt idx="26">
                  <c:v>622782.92377999902</c:v>
                </c:pt>
                <c:pt idx="27">
                  <c:v>718201.22195000004</c:v>
                </c:pt>
                <c:pt idx="28">
                  <c:v>653153.84892999998</c:v>
                </c:pt>
                <c:pt idx="29">
                  <c:v>991134.58272999898</c:v>
                </c:pt>
                <c:pt idx="30">
                  <c:v>1008568.485350001</c:v>
                </c:pt>
                <c:pt idx="31">
                  <c:v>729324.48418999999</c:v>
                </c:pt>
                <c:pt idx="32">
                  <c:v>656836.2338899991</c:v>
                </c:pt>
                <c:pt idx="33">
                  <c:v>747736.81955999997</c:v>
                </c:pt>
                <c:pt idx="34">
                  <c:v>1106654.9590700001</c:v>
                </c:pt>
                <c:pt idx="35">
                  <c:v>1168706.8311399999</c:v>
                </c:pt>
                <c:pt idx="36">
                  <c:v>944048.40275000001</c:v>
                </c:pt>
                <c:pt idx="37">
                  <c:v>908894.33846000105</c:v>
                </c:pt>
                <c:pt idx="38">
                  <c:v>786585.54633000097</c:v>
                </c:pt>
                <c:pt idx="39">
                  <c:v>642897.52127999999</c:v>
                </c:pt>
                <c:pt idx="40">
                  <c:v>677911.601250001</c:v>
                </c:pt>
                <c:pt idx="41">
                  <c:v>1007454.95042</c:v>
                </c:pt>
                <c:pt idx="42">
                  <c:v>1016169.23654</c:v>
                </c:pt>
                <c:pt idx="43">
                  <c:v>716882.53558999998</c:v>
                </c:pt>
                <c:pt idx="44">
                  <c:v>856661.63881999999</c:v>
                </c:pt>
                <c:pt idx="45">
                  <c:v>812048.14022999897</c:v>
                </c:pt>
                <c:pt idx="46">
                  <c:v>979077.71828000003</c:v>
                </c:pt>
                <c:pt idx="47">
                  <c:v>1193067.1240099999</c:v>
                </c:pt>
                <c:pt idx="48">
                  <c:v>1042640.67687</c:v>
                </c:pt>
                <c:pt idx="49">
                  <c:v>1023136.51093</c:v>
                </c:pt>
                <c:pt idx="50">
                  <c:v>747853.13806999999</c:v>
                </c:pt>
                <c:pt idx="51">
                  <c:v>761313.86048000003</c:v>
                </c:pt>
                <c:pt idx="52">
                  <c:v>723033.40134999901</c:v>
                </c:pt>
                <c:pt idx="53">
                  <c:v>975830.17512999906</c:v>
                </c:pt>
                <c:pt idx="54">
                  <c:v>971217.83658999996</c:v>
                </c:pt>
                <c:pt idx="55">
                  <c:v>682548.76266000001</c:v>
                </c:pt>
                <c:pt idx="56">
                  <c:v>815717.99471999996</c:v>
                </c:pt>
                <c:pt idx="57">
                  <c:v>890971.02520000096</c:v>
                </c:pt>
                <c:pt idx="58">
                  <c:v>1030858.18135</c:v>
                </c:pt>
                <c:pt idx="59">
                  <c:v>1061355.0422100001</c:v>
                </c:pt>
                <c:pt idx="60">
                  <c:v>1027159.0252799999</c:v>
                </c:pt>
                <c:pt idx="61">
                  <c:v>971877.05158000102</c:v>
                </c:pt>
                <c:pt idx="62">
                  <c:v>939180.58213</c:v>
                </c:pt>
                <c:pt idx="63">
                  <c:v>974571.44930999901</c:v>
                </c:pt>
                <c:pt idx="64">
                  <c:v>893037.08716999996</c:v>
                </c:pt>
                <c:pt idx="65">
                  <c:v>1159332.21199</c:v>
                </c:pt>
                <c:pt idx="66">
                  <c:v>1106123.13209</c:v>
                </c:pt>
                <c:pt idx="67">
                  <c:v>955513.18759000103</c:v>
                </c:pt>
                <c:pt idx="68">
                  <c:v>1125835.36011</c:v>
                </c:pt>
                <c:pt idx="69">
                  <c:v>909742.48582000099</c:v>
                </c:pt>
                <c:pt idx="70">
                  <c:v>1255856.27058</c:v>
                </c:pt>
                <c:pt idx="71">
                  <c:v>1374613.4238499999</c:v>
                </c:pt>
                <c:pt idx="72">
                  <c:v>1345641.3133400001</c:v>
                </c:pt>
                <c:pt idx="73">
                  <c:v>1133174.6163900001</c:v>
                </c:pt>
                <c:pt idx="74">
                  <c:v>942966.76417000103</c:v>
                </c:pt>
                <c:pt idx="75">
                  <c:v>958485.37114000099</c:v>
                </c:pt>
                <c:pt idx="76">
                  <c:v>830236.44765999995</c:v>
                </c:pt>
                <c:pt idx="77">
                  <c:v>1093404.6052600001</c:v>
                </c:pt>
                <c:pt idx="78">
                  <c:v>1150050.6338599999</c:v>
                </c:pt>
                <c:pt idx="79">
                  <c:v>825485.01095000003</c:v>
                </c:pt>
                <c:pt idx="80">
                  <c:v>831479.18441000103</c:v>
                </c:pt>
                <c:pt idx="81">
                  <c:v>920524.22496999905</c:v>
                </c:pt>
                <c:pt idx="82">
                  <c:v>1187913.7558299999</c:v>
                </c:pt>
                <c:pt idx="83">
                  <c:v>1603152.73276</c:v>
                </c:pt>
                <c:pt idx="84">
                  <c:v>1329861.3317499999</c:v>
                </c:pt>
                <c:pt idx="85">
                  <c:v>1242943.6126999999</c:v>
                </c:pt>
                <c:pt idx="86">
                  <c:v>951125.36635999999</c:v>
                </c:pt>
                <c:pt idx="87">
                  <c:v>786152.27271000005</c:v>
                </c:pt>
                <c:pt idx="88">
                  <c:v>772781.29087999999</c:v>
                </c:pt>
                <c:pt idx="89">
                  <c:v>1056726.2877400001</c:v>
                </c:pt>
                <c:pt idx="90">
                  <c:v>1036366.32473</c:v>
                </c:pt>
                <c:pt idx="91">
                  <c:v>809655.95794000104</c:v>
                </c:pt>
                <c:pt idx="92">
                  <c:v>980090.73809</c:v>
                </c:pt>
                <c:pt idx="93">
                  <c:v>873353.06222000101</c:v>
                </c:pt>
                <c:pt idx="94">
                  <c:v>1158031.6059000001</c:v>
                </c:pt>
                <c:pt idx="95">
                  <c:v>1240367.8409899999</c:v>
                </c:pt>
                <c:pt idx="96">
                  <c:v>1193916.3701599999</c:v>
                </c:pt>
                <c:pt idx="97">
                  <c:v>1156779.74205</c:v>
                </c:pt>
                <c:pt idx="98">
                  <c:v>866422.849779999</c:v>
                </c:pt>
                <c:pt idx="99">
                  <c:v>880344.35894000006</c:v>
                </c:pt>
                <c:pt idx="100">
                  <c:v>781259.17608</c:v>
                </c:pt>
                <c:pt idx="101">
                  <c:v>1105642.77391</c:v>
                </c:pt>
                <c:pt idx="102">
                  <c:v>1050783.39384</c:v>
                </c:pt>
                <c:pt idx="103">
                  <c:v>807212.40429999994</c:v>
                </c:pt>
                <c:pt idx="104">
                  <c:v>891544.68293000001</c:v>
                </c:pt>
                <c:pt idx="105">
                  <c:v>1014412.78027</c:v>
                </c:pt>
                <c:pt idx="106">
                  <c:v>1183927.5148</c:v>
                </c:pt>
                <c:pt idx="107">
                  <c:v>1322104.1629415287</c:v>
                </c:pt>
                <c:pt idx="108">
                  <c:v>1229880.4313028969</c:v>
                </c:pt>
                <c:pt idx="109">
                  <c:v>1149717.8565524095</c:v>
                </c:pt>
                <c:pt idx="110">
                  <c:v>884702.4387373504</c:v>
                </c:pt>
                <c:pt idx="111">
                  <c:v>851724.308386483</c:v>
                </c:pt>
                <c:pt idx="112">
                  <c:v>777540.77557269775</c:v>
                </c:pt>
                <c:pt idx="113">
                  <c:v>1098266.7064823271</c:v>
                </c:pt>
                <c:pt idx="114">
                  <c:v>1126772.5365435292</c:v>
                </c:pt>
                <c:pt idx="115">
                  <c:v>818287.47120855993</c:v>
                </c:pt>
                <c:pt idx="116">
                  <c:v>929395.92331918713</c:v>
                </c:pt>
                <c:pt idx="117">
                  <c:v>907669.40523422451</c:v>
                </c:pt>
                <c:pt idx="118">
                  <c:v>1134651.586581738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E-4C7A-AF24-4A57A821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 b="1"/>
              <a:t>WRZ General Service 3,000 to 4,999 kW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876691919191918"/>
          <c:y val="0.12520972222222221"/>
          <c:w val="0.85519772727272725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3,000-4,999'!$D$1</c:f>
              <c:strCache>
                <c:ptCount val="1"/>
                <c:pt idx="0">
                  <c:v>WRZ_GS3000to4999kWh_No_CDM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GS 3,000-4,999'!$D$2:$D$121</c:f>
              <c:numCache>
                <c:formatCode>_-* #,##0_-;\-* #,##0_-;_-* "-"??_-;_-@_-</c:formatCode>
                <c:ptCount val="120"/>
                <c:pt idx="0">
                  <c:v>4961499.7319686143</c:v>
                </c:pt>
                <c:pt idx="1">
                  <c:v>4556169.4062275626</c:v>
                </c:pt>
                <c:pt idx="2">
                  <c:v>5053235.1504865102</c:v>
                </c:pt>
                <c:pt idx="3">
                  <c:v>4931988.0547454571</c:v>
                </c:pt>
                <c:pt idx="4">
                  <c:v>5176295.1590044042</c:v>
                </c:pt>
                <c:pt idx="5">
                  <c:v>5034175.6032633521</c:v>
                </c:pt>
                <c:pt idx="6">
                  <c:v>5268928.7375222994</c:v>
                </c:pt>
                <c:pt idx="7">
                  <c:v>5335374.8017812464</c:v>
                </c:pt>
                <c:pt idx="8">
                  <c:v>5190918.426040194</c:v>
                </c:pt>
                <c:pt idx="9">
                  <c:v>5201081.9802991422</c:v>
                </c:pt>
                <c:pt idx="10">
                  <c:v>5046101.9445580896</c:v>
                </c:pt>
                <c:pt idx="11">
                  <c:v>4795113.368817037</c:v>
                </c:pt>
                <c:pt idx="12">
                  <c:v>5328902.2709846376</c:v>
                </c:pt>
                <c:pt idx="13">
                  <c:v>4984537.1230635466</c:v>
                </c:pt>
                <c:pt idx="14">
                  <c:v>5317016.7251424547</c:v>
                </c:pt>
                <c:pt idx="15">
                  <c:v>5218908.4372213623</c:v>
                </c:pt>
                <c:pt idx="16">
                  <c:v>5372406.2993002702</c:v>
                </c:pt>
                <c:pt idx="17">
                  <c:v>5221735.3513791785</c:v>
                </c:pt>
                <c:pt idx="18">
                  <c:v>5527921.7034580866</c:v>
                </c:pt>
                <c:pt idx="19">
                  <c:v>5671269.4755369956</c:v>
                </c:pt>
                <c:pt idx="20">
                  <c:v>5428731.0976159032</c:v>
                </c:pt>
                <c:pt idx="21">
                  <c:v>5451040.8496948117</c:v>
                </c:pt>
                <c:pt idx="22">
                  <c:v>5173386.5017737206</c:v>
                </c:pt>
                <c:pt idx="23">
                  <c:v>5076208.173852629</c:v>
                </c:pt>
                <c:pt idx="24">
                  <c:v>5304499.1938257366</c:v>
                </c:pt>
                <c:pt idx="25">
                  <c:v>4766754.0953466827</c:v>
                </c:pt>
                <c:pt idx="26">
                  <c:v>5448561.5468676304</c:v>
                </c:pt>
                <c:pt idx="27">
                  <c:v>5267316.7683885768</c:v>
                </c:pt>
                <c:pt idx="28">
                  <c:v>5431804.5599095244</c:v>
                </c:pt>
                <c:pt idx="29">
                  <c:v>5227679.6814304721</c:v>
                </c:pt>
                <c:pt idx="30">
                  <c:v>5301374.0629514186</c:v>
                </c:pt>
                <c:pt idx="31">
                  <c:v>5397939.9144723658</c:v>
                </c:pt>
                <c:pt idx="32">
                  <c:v>5281850.3759933123</c:v>
                </c:pt>
                <c:pt idx="33">
                  <c:v>5422763.9075142592</c:v>
                </c:pt>
                <c:pt idx="34">
                  <c:v>5270443.6290352065</c:v>
                </c:pt>
                <c:pt idx="35">
                  <c:v>4958321.0705561535</c:v>
                </c:pt>
                <c:pt idx="36">
                  <c:v>5361949.1227206625</c:v>
                </c:pt>
                <c:pt idx="37">
                  <c:v>4910902.2361246245</c:v>
                </c:pt>
                <c:pt idx="38">
                  <c:v>5100154.0995285865</c:v>
                </c:pt>
                <c:pt idx="39">
                  <c:v>6655878.1829325482</c:v>
                </c:pt>
                <c:pt idx="40">
                  <c:v>6153004.4563365113</c:v>
                </c:pt>
                <c:pt idx="41">
                  <c:v>6441648.5897404738</c:v>
                </c:pt>
                <c:pt idx="42">
                  <c:v>6620384.0731444359</c:v>
                </c:pt>
                <c:pt idx="43">
                  <c:v>6591282.4365483979</c:v>
                </c:pt>
                <c:pt idx="44">
                  <c:v>6695014.8499523606</c:v>
                </c:pt>
                <c:pt idx="45">
                  <c:v>6518820.4933563229</c:v>
                </c:pt>
                <c:pt idx="46">
                  <c:v>6877594.1167602856</c:v>
                </c:pt>
                <c:pt idx="47">
                  <c:v>7093929.670164247</c:v>
                </c:pt>
                <c:pt idx="48">
                  <c:v>7152421.7608437315</c:v>
                </c:pt>
                <c:pt idx="49">
                  <c:v>6707065.6734305676</c:v>
                </c:pt>
                <c:pt idx="50">
                  <c:v>7276994.9760174053</c:v>
                </c:pt>
                <c:pt idx="51">
                  <c:v>6869445.5186042413</c:v>
                </c:pt>
                <c:pt idx="52">
                  <c:v>6956877.9711910784</c:v>
                </c:pt>
                <c:pt idx="53">
                  <c:v>6805757.1837779153</c:v>
                </c:pt>
                <c:pt idx="54">
                  <c:v>7007173.3463647515</c:v>
                </c:pt>
                <c:pt idx="55">
                  <c:v>7081320.3489515893</c:v>
                </c:pt>
                <c:pt idx="56">
                  <c:v>6729557.7915384257</c:v>
                </c:pt>
                <c:pt idx="57">
                  <c:v>7263855.0041252626</c:v>
                </c:pt>
                <c:pt idx="58">
                  <c:v>6948933.1667120997</c:v>
                </c:pt>
                <c:pt idx="59">
                  <c:v>7116269.7292989362</c:v>
                </c:pt>
                <c:pt idx="60">
                  <c:v>7589077.7560578836</c:v>
                </c:pt>
                <c:pt idx="61">
                  <c:v>7068068.9421894243</c:v>
                </c:pt>
                <c:pt idx="62">
                  <c:v>7529941.3183209635</c:v>
                </c:pt>
                <c:pt idx="63">
                  <c:v>7704115.2444525044</c:v>
                </c:pt>
                <c:pt idx="64">
                  <c:v>7873956.4205840444</c:v>
                </c:pt>
                <c:pt idx="65">
                  <c:v>7698535.3567155842</c:v>
                </c:pt>
                <c:pt idx="66">
                  <c:v>8101935.5328471242</c:v>
                </c:pt>
                <c:pt idx="67">
                  <c:v>7895898.7089786651</c:v>
                </c:pt>
                <c:pt idx="68">
                  <c:v>7196079.4451102046</c:v>
                </c:pt>
                <c:pt idx="69">
                  <c:v>7153203.5412417445</c:v>
                </c:pt>
                <c:pt idx="70">
                  <c:v>6955041.4173732847</c:v>
                </c:pt>
                <c:pt idx="71">
                  <c:v>7580986.8535048245</c:v>
                </c:pt>
                <c:pt idx="72">
                  <c:v>8173206.3217348102</c:v>
                </c:pt>
                <c:pt idx="73">
                  <c:v>7618713.8693286031</c:v>
                </c:pt>
                <c:pt idx="74">
                  <c:v>7949162.0869223978</c:v>
                </c:pt>
                <c:pt idx="75">
                  <c:v>7597359.0045161927</c:v>
                </c:pt>
                <c:pt idx="76">
                  <c:v>7863141.4721099855</c:v>
                </c:pt>
                <c:pt idx="77">
                  <c:v>7672024.0597037803</c:v>
                </c:pt>
                <c:pt idx="78">
                  <c:v>7904835.8172975751</c:v>
                </c:pt>
                <c:pt idx="79">
                  <c:v>8125227.8048913684</c:v>
                </c:pt>
                <c:pt idx="80">
                  <c:v>7866131.5424851626</c:v>
                </c:pt>
                <c:pt idx="81">
                  <c:v>7942289.2900789566</c:v>
                </c:pt>
                <c:pt idx="82">
                  <c:v>7837906.3576727509</c:v>
                </c:pt>
                <c:pt idx="83">
                  <c:v>7841044.105266545</c:v>
                </c:pt>
                <c:pt idx="84">
                  <c:v>8613193.4880363885</c:v>
                </c:pt>
                <c:pt idx="85">
                  <c:v>7956515.2173078153</c:v>
                </c:pt>
                <c:pt idx="86">
                  <c:v>8821067.446579244</c:v>
                </c:pt>
                <c:pt idx="87">
                  <c:v>7838012.6858506724</c:v>
                </c:pt>
                <c:pt idx="88">
                  <c:v>7761282.4951221002</c:v>
                </c:pt>
                <c:pt idx="89">
                  <c:v>7284019.9943935275</c:v>
                </c:pt>
                <c:pt idx="90">
                  <c:v>7888180.0936649563</c:v>
                </c:pt>
                <c:pt idx="91">
                  <c:v>8194582.362936384</c:v>
                </c:pt>
                <c:pt idx="92">
                  <c:v>7535129.8122078124</c:v>
                </c:pt>
                <c:pt idx="93">
                  <c:v>8087523.1914792405</c:v>
                </c:pt>
                <c:pt idx="94">
                  <c:v>8003596.1307506682</c:v>
                </c:pt>
                <c:pt idx="95">
                  <c:v>7602952.2100220965</c:v>
                </c:pt>
                <c:pt idx="96">
                  <c:v>8282723.9155689562</c:v>
                </c:pt>
                <c:pt idx="97">
                  <c:v>7755718.0544409184</c:v>
                </c:pt>
                <c:pt idx="98">
                  <c:v>8190782.6233128794</c:v>
                </c:pt>
                <c:pt idx="99">
                  <c:v>7437666.8621848412</c:v>
                </c:pt>
                <c:pt idx="100">
                  <c:v>7603477.8910568031</c:v>
                </c:pt>
                <c:pt idx="101">
                  <c:v>7280009.0799287651</c:v>
                </c:pt>
                <c:pt idx="102">
                  <c:v>7337484.0588007262</c:v>
                </c:pt>
                <c:pt idx="103">
                  <c:v>8114182.9676726889</c:v>
                </c:pt>
                <c:pt idx="104">
                  <c:v>7750544.736544651</c:v>
                </c:pt>
                <c:pt idx="105">
                  <c:v>7932968.7854166124</c:v>
                </c:pt>
                <c:pt idx="106">
                  <c:v>7746105.9642885737</c:v>
                </c:pt>
                <c:pt idx="107">
                  <c:v>7782241.0131605361</c:v>
                </c:pt>
                <c:pt idx="108">
                  <c:v>8093028.2402706258</c:v>
                </c:pt>
                <c:pt idx="109">
                  <c:v>7650906.7997247428</c:v>
                </c:pt>
                <c:pt idx="110">
                  <c:v>8076069.3391788602</c:v>
                </c:pt>
                <c:pt idx="111">
                  <c:v>7137617.0086329775</c:v>
                </c:pt>
                <c:pt idx="112">
                  <c:v>7558282.8880870938</c:v>
                </c:pt>
                <c:pt idx="113">
                  <c:v>7582526.3875412112</c:v>
                </c:pt>
                <c:pt idx="114">
                  <c:v>7978016.9469953291</c:v>
                </c:pt>
                <c:pt idx="115">
                  <c:v>7771439.4064494465</c:v>
                </c:pt>
                <c:pt idx="116">
                  <c:v>7335264.9959035637</c:v>
                </c:pt>
                <c:pt idx="117">
                  <c:v>7009523.5953576807</c:v>
                </c:pt>
                <c:pt idx="118">
                  <c:v>6650952.9148117974</c:v>
                </c:pt>
                <c:pt idx="119">
                  <c:v>7765491.5642659152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C-43D1-8985-3D128409BFB3}"/>
            </c:ext>
          </c:extLst>
        </c:ser>
        <c:ser>
          <c:idx val="1"/>
          <c:order val="1"/>
          <c:tx>
            <c:strRef>
              <c:f>'WRZ GS 3,000-4,999'!$M$1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3,000-4,999'!$A$2:$A$121</c:f>
              <c:numCache>
                <c:formatCode>mmm\-yy</c:formatCode>
                <c:ptCount val="12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'WRZ GS 3,000-4,999'!$O$2:$O$121</c:f>
              <c:numCache>
                <c:formatCode>_-* #,##0_-;\-* #,##0_-;_-* "-"??_-;_-@_-</c:formatCode>
                <c:ptCount val="120"/>
                <c:pt idx="0">
                  <c:v>5471434.8875579666</c:v>
                </c:pt>
                <c:pt idx="1">
                  <c:v>4883325.4602449164</c:v>
                </c:pt>
                <c:pt idx="2">
                  <c:v>5471434.8875579666</c:v>
                </c:pt>
                <c:pt idx="3">
                  <c:v>5275398.4117869493</c:v>
                </c:pt>
                <c:pt idx="4">
                  <c:v>5471434.8875579666</c:v>
                </c:pt>
                <c:pt idx="5">
                  <c:v>5275398.4117869493</c:v>
                </c:pt>
                <c:pt idx="6">
                  <c:v>5471434.8875579666</c:v>
                </c:pt>
                <c:pt idx="7">
                  <c:v>5471434.8875579666</c:v>
                </c:pt>
                <c:pt idx="8">
                  <c:v>5275398.4117869493</c:v>
                </c:pt>
                <c:pt idx="9">
                  <c:v>5471434.8875579666</c:v>
                </c:pt>
                <c:pt idx="10">
                  <c:v>5275398.4117869493</c:v>
                </c:pt>
                <c:pt idx="11">
                  <c:v>5219420.1490230495</c:v>
                </c:pt>
                <c:pt idx="12">
                  <c:v>5471434.8875579666</c:v>
                </c:pt>
                <c:pt idx="13">
                  <c:v>5079361.9360159319</c:v>
                </c:pt>
                <c:pt idx="14">
                  <c:v>5471434.8875579666</c:v>
                </c:pt>
                <c:pt idx="15">
                  <c:v>5275398.4117869493</c:v>
                </c:pt>
                <c:pt idx="16">
                  <c:v>5471434.8875579666</c:v>
                </c:pt>
                <c:pt idx="17">
                  <c:v>5275398.4117869493</c:v>
                </c:pt>
                <c:pt idx="18">
                  <c:v>5471434.8875579666</c:v>
                </c:pt>
                <c:pt idx="19">
                  <c:v>5471434.8875579666</c:v>
                </c:pt>
                <c:pt idx="20">
                  <c:v>5275398.4117869493</c:v>
                </c:pt>
                <c:pt idx="21">
                  <c:v>5471434.8875579666</c:v>
                </c:pt>
                <c:pt idx="22">
                  <c:v>5275398.4117869493</c:v>
                </c:pt>
                <c:pt idx="23">
                  <c:v>5219420.1490230495</c:v>
                </c:pt>
                <c:pt idx="24">
                  <c:v>5471448.8367118128</c:v>
                </c:pt>
                <c:pt idx="25">
                  <c:v>4883353.3585526086</c:v>
                </c:pt>
                <c:pt idx="26">
                  <c:v>5471476.735019505</c:v>
                </c:pt>
                <c:pt idx="27">
                  <c:v>5275454.2084023338</c:v>
                </c:pt>
                <c:pt idx="28">
                  <c:v>5471504.6333271973</c:v>
                </c:pt>
                <c:pt idx="29">
                  <c:v>5275482.106710026</c:v>
                </c:pt>
                <c:pt idx="30">
                  <c:v>5471532.5316348895</c:v>
                </c:pt>
                <c:pt idx="31">
                  <c:v>5471546.4807887357</c:v>
                </c:pt>
                <c:pt idx="32">
                  <c:v>5275523.9541715644</c:v>
                </c:pt>
                <c:pt idx="33">
                  <c:v>5471574.3790964279</c:v>
                </c:pt>
                <c:pt idx="34">
                  <c:v>5275551.8524792567</c:v>
                </c:pt>
                <c:pt idx="35">
                  <c:v>5219587.5388692031</c:v>
                </c:pt>
                <c:pt idx="36">
                  <c:v>5645710.0255953074</c:v>
                </c:pt>
                <c:pt idx="37">
                  <c:v>5231694.3973195991</c:v>
                </c:pt>
                <c:pt idx="38">
                  <c:v>5993897.6236699913</c:v>
                </c:pt>
                <c:pt idx="39">
                  <c:v>5971954.9469363168</c:v>
                </c:pt>
                <c:pt idx="40">
                  <c:v>6342085.2217446743</c:v>
                </c:pt>
                <c:pt idx="41">
                  <c:v>6320142.5450109988</c:v>
                </c:pt>
                <c:pt idx="42">
                  <c:v>6690272.8198193572</c:v>
                </c:pt>
                <c:pt idx="43">
                  <c:v>6864366.6188566992</c:v>
                </c:pt>
                <c:pt idx="44">
                  <c:v>6842423.9421230238</c:v>
                </c:pt>
                <c:pt idx="45">
                  <c:v>7212554.2169313822</c:v>
                </c:pt>
                <c:pt idx="46">
                  <c:v>7190611.5401977077</c:v>
                </c:pt>
                <c:pt idx="47">
                  <c:v>7308727.0764711443</c:v>
                </c:pt>
                <c:pt idx="48">
                  <c:v>7560765.5579676004</c:v>
                </c:pt>
                <c:pt idx="49">
                  <c:v>6972664.9561673701</c:v>
                </c:pt>
                <c:pt idx="50">
                  <c:v>7560783.2089932412</c:v>
                </c:pt>
                <c:pt idx="51">
                  <c:v>7364755.5587350456</c:v>
                </c:pt>
                <c:pt idx="52">
                  <c:v>7560800.860018882</c:v>
                </c:pt>
                <c:pt idx="53">
                  <c:v>7364773.2097606864</c:v>
                </c:pt>
                <c:pt idx="54">
                  <c:v>7560818.5110445237</c:v>
                </c:pt>
                <c:pt idx="55">
                  <c:v>7560827.3365573436</c:v>
                </c:pt>
                <c:pt idx="56">
                  <c:v>7364799.686299148</c:v>
                </c:pt>
                <c:pt idx="57">
                  <c:v>7560844.9875829853</c:v>
                </c:pt>
                <c:pt idx="58">
                  <c:v>7364817.3373247888</c:v>
                </c:pt>
                <c:pt idx="59">
                  <c:v>7308847.900073709</c:v>
                </c:pt>
                <c:pt idx="60">
                  <c:v>7560883.8630701648</c:v>
                </c:pt>
                <c:pt idx="61">
                  <c:v>7168823.3104768489</c:v>
                </c:pt>
                <c:pt idx="62">
                  <c:v>7560908.6609676005</c:v>
                </c:pt>
                <c:pt idx="63">
                  <c:v>7364884.584145302</c:v>
                </c:pt>
                <c:pt idx="64">
                  <c:v>7560933.4588650363</c:v>
                </c:pt>
                <c:pt idx="65">
                  <c:v>7364909.3820427377</c:v>
                </c:pt>
                <c:pt idx="66">
                  <c:v>7560958.256762472</c:v>
                </c:pt>
                <c:pt idx="67">
                  <c:v>7560970.6557111898</c:v>
                </c:pt>
                <c:pt idx="68">
                  <c:v>7364946.5788888913</c:v>
                </c:pt>
                <c:pt idx="69">
                  <c:v>7560995.4536086256</c:v>
                </c:pt>
                <c:pt idx="70">
                  <c:v>7364971.376786327</c:v>
                </c:pt>
                <c:pt idx="71">
                  <c:v>7309005.5129711451</c:v>
                </c:pt>
                <c:pt idx="72">
                  <c:v>7561052.1096342672</c:v>
                </c:pt>
                <c:pt idx="73">
                  <c:v>6972962.141500704</c:v>
                </c:pt>
                <c:pt idx="74">
                  <c:v>7561091.0279932413</c:v>
                </c:pt>
                <c:pt idx="75">
                  <c:v>7365074.011401712</c:v>
                </c:pt>
                <c:pt idx="76">
                  <c:v>7561129.9463522155</c:v>
                </c:pt>
                <c:pt idx="77">
                  <c:v>7365112.9297606861</c:v>
                </c:pt>
                <c:pt idx="78">
                  <c:v>7561168.8647111896</c:v>
                </c:pt>
                <c:pt idx="79">
                  <c:v>7561188.3238906777</c:v>
                </c:pt>
                <c:pt idx="80">
                  <c:v>7365171.3072991483</c:v>
                </c:pt>
                <c:pt idx="81">
                  <c:v>7561227.2422496518</c:v>
                </c:pt>
                <c:pt idx="82">
                  <c:v>7365210.2256581225</c:v>
                </c:pt>
                <c:pt idx="83">
                  <c:v>7309251.4220737088</c:v>
                </c:pt>
                <c:pt idx="84">
                  <c:v>7561343.8289291384</c:v>
                </c:pt>
                <c:pt idx="85">
                  <c:v>6973292.6107571144</c:v>
                </c:pt>
                <c:pt idx="86">
                  <c:v>7561460.2472111899</c:v>
                </c:pt>
                <c:pt idx="87">
                  <c:v>7365481.9805811988</c:v>
                </c:pt>
                <c:pt idx="88">
                  <c:v>7561576.6654932415</c:v>
                </c:pt>
                <c:pt idx="89">
                  <c:v>7365598.3988632504</c:v>
                </c:pt>
                <c:pt idx="90">
                  <c:v>7561693.0837752922</c:v>
                </c:pt>
                <c:pt idx="91">
                  <c:v>7561751.2929163184</c:v>
                </c:pt>
                <c:pt idx="92">
                  <c:v>7365773.0262863273</c:v>
                </c:pt>
                <c:pt idx="93">
                  <c:v>7561867.711198369</c:v>
                </c:pt>
                <c:pt idx="94">
                  <c:v>7365889.4445683789</c:v>
                </c:pt>
                <c:pt idx="95">
                  <c:v>7309969.3909455035</c:v>
                </c:pt>
                <c:pt idx="96">
                  <c:v>7562128.1994419592</c:v>
                </c:pt>
                <c:pt idx="97">
                  <c:v>6974104.6329494221</c:v>
                </c:pt>
                <c:pt idx="98">
                  <c:v>7562299.9210829847</c:v>
                </c:pt>
                <c:pt idx="99">
                  <c:v>7366349.3061324814</c:v>
                </c:pt>
                <c:pt idx="100">
                  <c:v>7562471.6427240102</c:v>
                </c:pt>
                <c:pt idx="101">
                  <c:v>7366521.0277735069</c:v>
                </c:pt>
                <c:pt idx="102">
                  <c:v>7562643.3643650366</c:v>
                </c:pt>
                <c:pt idx="103">
                  <c:v>7562729.2251855489</c:v>
                </c:pt>
                <c:pt idx="104">
                  <c:v>7366778.6102350457</c:v>
                </c:pt>
                <c:pt idx="105">
                  <c:v>7562900.9468265744</c:v>
                </c:pt>
                <c:pt idx="106">
                  <c:v>7366950.3318760712</c:v>
                </c:pt>
                <c:pt idx="107">
                  <c:v>7311057.9299326828</c:v>
                </c:pt>
                <c:pt idx="108">
                  <c:v>7563360.0226470875</c:v>
                </c:pt>
                <c:pt idx="109">
                  <c:v>7171488.564464028</c:v>
                </c:pt>
                <c:pt idx="110">
                  <c:v>7563763.0093650362</c:v>
                </c:pt>
                <c:pt idx="111">
                  <c:v>7367928.0269529941</c:v>
                </c:pt>
                <c:pt idx="112">
                  <c:v>7564165.9960829848</c:v>
                </c:pt>
                <c:pt idx="113">
                  <c:v>7368331.0136709427</c:v>
                </c:pt>
                <c:pt idx="114">
                  <c:v>7564568.9828009335</c:v>
                </c:pt>
                <c:pt idx="115">
                  <c:v>7564770.4761599079</c:v>
                </c:pt>
                <c:pt idx="116">
                  <c:v>7368935.4937478658</c:v>
                </c:pt>
                <c:pt idx="117">
                  <c:v>7565173.4628778566</c:v>
                </c:pt>
                <c:pt idx="118">
                  <c:v>7369338.4804658145</c:v>
                </c:pt>
                <c:pt idx="119">
                  <c:v>7313561.7110608881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C-43D1-8985-3D128409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 b="1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Summary'!$C$4:$C$14</c:f>
              <c:numCache>
                <c:formatCode>#,##0</c:formatCode>
                <c:ptCount val="11"/>
                <c:pt idx="0">
                  <c:v>0</c:v>
                </c:pt>
                <c:pt idx="1">
                  <c:v>878094131.46809757</c:v>
                </c:pt>
                <c:pt idx="2">
                  <c:v>974889836.79758954</c:v>
                </c:pt>
                <c:pt idx="3">
                  <c:v>935011269.33828282</c:v>
                </c:pt>
                <c:pt idx="4">
                  <c:v>1022506392.9810692</c:v>
                </c:pt>
                <c:pt idx="5">
                  <c:v>1001595945.1586077</c:v>
                </c:pt>
                <c:pt idx="6">
                  <c:v>1080125964.3227444</c:v>
                </c:pt>
                <c:pt idx="7">
                  <c:v>1072364552.8944829</c:v>
                </c:pt>
                <c:pt idx="8">
                  <c:v>1063884143.4152569</c:v>
                </c:pt>
                <c:pt idx="9">
                  <c:v>1054812661.8323101</c:v>
                </c:pt>
                <c:pt idx="10">
                  <c:v>1101179119.6681473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8-41F2-81DB-B987FCD8D980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Summary'!$D$4:$D$14</c:f>
              <c:numCache>
                <c:formatCode>#,##0</c:formatCode>
                <c:ptCount val="11"/>
                <c:pt idx="0">
                  <c:v>0</c:v>
                </c:pt>
                <c:pt idx="1">
                  <c:v>904732393.94130039</c:v>
                </c:pt>
                <c:pt idx="2">
                  <c:v>961872791.32502735</c:v>
                </c:pt>
                <c:pt idx="3">
                  <c:v>927286403.40398109</c:v>
                </c:pt>
                <c:pt idx="4">
                  <c:v>1016089981.9611855</c:v>
                </c:pt>
                <c:pt idx="5">
                  <c:v>995817359.12360227</c:v>
                </c:pt>
                <c:pt idx="6">
                  <c:v>1068144809.6479985</c:v>
                </c:pt>
                <c:pt idx="7">
                  <c:v>1074840453.9123971</c:v>
                </c:pt>
                <c:pt idx="8">
                  <c:v>1082204018.2046368</c:v>
                </c:pt>
                <c:pt idx="9">
                  <c:v>1063949994.3613451</c:v>
                </c:pt>
                <c:pt idx="10">
                  <c:v>1100949199.8336267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8-41F2-81DB-B987FCD8D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 Seasonal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'Model Summary'!$H$4:$H$14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Summary'!$I$4:$I$14</c:f>
              <c:numCache>
                <c:formatCode>#,##0</c:formatCode>
                <c:ptCount val="11"/>
                <c:pt idx="0">
                  <c:v>0</c:v>
                </c:pt>
                <c:pt idx="1">
                  <c:v>9601461.6604606025</c:v>
                </c:pt>
                <c:pt idx="2">
                  <c:v>9667321.9468687549</c:v>
                </c:pt>
                <c:pt idx="3">
                  <c:v>10291111.895164648</c:v>
                </c:pt>
                <c:pt idx="4">
                  <c:v>11007634.208581543</c:v>
                </c:pt>
                <c:pt idx="5">
                  <c:v>11383189.062024178</c:v>
                </c:pt>
                <c:pt idx="6">
                  <c:v>12906205.214640219</c:v>
                </c:pt>
                <c:pt idx="7">
                  <c:v>13122276.719551934</c:v>
                </c:pt>
                <c:pt idx="8">
                  <c:v>13129117.130221883</c:v>
                </c:pt>
                <c:pt idx="9">
                  <c:v>12701637.48140604</c:v>
                </c:pt>
                <c:pt idx="10">
                  <c:v>12782898.807484668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302-B9DD-50EB0BCBA830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Summary'!$J$4:$J$14</c:f>
              <c:numCache>
                <c:formatCode>#,##0</c:formatCode>
                <c:ptCount val="11"/>
                <c:pt idx="0">
                  <c:v>0</c:v>
                </c:pt>
                <c:pt idx="1">
                  <c:v>9099773.9656174667</c:v>
                </c:pt>
                <c:pt idx="2">
                  <c:v>9679219.3937567882</c:v>
                </c:pt>
                <c:pt idx="3">
                  <c:v>9624837.5005474668</c:v>
                </c:pt>
                <c:pt idx="4">
                  <c:v>10660636.149817426</c:v>
                </c:pt>
                <c:pt idx="5">
                  <c:v>10790387.406646518</c:v>
                </c:pt>
                <c:pt idx="6">
                  <c:v>12077096.583815088</c:v>
                </c:pt>
                <c:pt idx="7">
                  <c:v>12476256.657979658</c:v>
                </c:pt>
                <c:pt idx="8">
                  <c:v>12587898.524345379</c:v>
                </c:pt>
                <c:pt idx="9">
                  <c:v>12101626.26657591</c:v>
                </c:pt>
                <c:pt idx="10">
                  <c:v>12630704.530265052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302-B9DD-50EB0BCB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Summary'!$O$4:$O$14</c:f>
              <c:numCache>
                <c:formatCode>#,##0</c:formatCode>
                <c:ptCount val="11"/>
                <c:pt idx="0">
                  <c:v>0</c:v>
                </c:pt>
                <c:pt idx="1">
                  <c:v>272272004.60137492</c:v>
                </c:pt>
                <c:pt idx="2">
                  <c:v>290368097.2255671</c:v>
                </c:pt>
                <c:pt idx="3">
                  <c:v>282359272.34811705</c:v>
                </c:pt>
                <c:pt idx="4">
                  <c:v>292989511.13009322</c:v>
                </c:pt>
                <c:pt idx="5">
                  <c:v>304389877.06990516</c:v>
                </c:pt>
                <c:pt idx="6">
                  <c:v>282865050.5329631</c:v>
                </c:pt>
                <c:pt idx="7">
                  <c:v>282636503.79152179</c:v>
                </c:pt>
                <c:pt idx="8">
                  <c:v>296928609.36078614</c:v>
                </c:pt>
                <c:pt idx="9">
                  <c:v>295206528.36460227</c:v>
                </c:pt>
                <c:pt idx="10">
                  <c:v>278064927.64951092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A-445E-A1D6-A6148D510B29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Summary'!$P$4:$P$14</c:f>
              <c:numCache>
                <c:formatCode>#,##0</c:formatCode>
                <c:ptCount val="11"/>
                <c:pt idx="0">
                  <c:v>0</c:v>
                </c:pt>
                <c:pt idx="1">
                  <c:v>282269537.10252368</c:v>
                </c:pt>
                <c:pt idx="2">
                  <c:v>286676838.46787173</c:v>
                </c:pt>
                <c:pt idx="3">
                  <c:v>281440660.0451439</c:v>
                </c:pt>
                <c:pt idx="4">
                  <c:v>293289801.64355356</c:v>
                </c:pt>
                <c:pt idx="5">
                  <c:v>290463596.81136048</c:v>
                </c:pt>
                <c:pt idx="6">
                  <c:v>273356079.12575173</c:v>
                </c:pt>
                <c:pt idx="7">
                  <c:v>275842029.37728107</c:v>
                </c:pt>
                <c:pt idx="8">
                  <c:v>289555171.50907171</c:v>
                </c:pt>
                <c:pt idx="9">
                  <c:v>295573217.13061035</c:v>
                </c:pt>
                <c:pt idx="10">
                  <c:v>299466511.85462397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A-445E-A1D6-A6148D51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50-2,999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Summary'!$V$3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Summary'!$U$4:$U$14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Summary'!$V$4:$V$14</c:f>
              <c:numCache>
                <c:formatCode>#,##0</c:formatCode>
                <c:ptCount val="11"/>
                <c:pt idx="1">
                  <c:v>964961705.79950273</c:v>
                </c:pt>
                <c:pt idx="2">
                  <c:v>988864474.407547</c:v>
                </c:pt>
                <c:pt idx="3">
                  <c:v>975660838.91877925</c:v>
                </c:pt>
                <c:pt idx="4">
                  <c:v>1009073271.0393625</c:v>
                </c:pt>
                <c:pt idx="5">
                  <c:v>997005194.91286576</c:v>
                </c:pt>
                <c:pt idx="6">
                  <c:v>952250074.65027785</c:v>
                </c:pt>
                <c:pt idx="7">
                  <c:v>980354846.84774089</c:v>
                </c:pt>
                <c:pt idx="8">
                  <c:v>1005336735.4703821</c:v>
                </c:pt>
                <c:pt idx="9">
                  <c:v>1005880548.0865182</c:v>
                </c:pt>
                <c:pt idx="10">
                  <c:v>1049632145.8452027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A-4D6A-8394-E769452EABA3}"/>
            </c:ext>
          </c:extLst>
        </c:ser>
        <c:ser>
          <c:idx val="2"/>
          <c:order val="1"/>
          <c:tx>
            <c:strRef>
              <c:f>'Model Summary'!$W$3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Summary'!$U$4:$U$14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Summary'!$W$4:$W$14</c:f>
              <c:numCache>
                <c:formatCode>#,##0</c:formatCode>
                <c:ptCount val="11"/>
                <c:pt idx="1">
                  <c:v>957243852.91863775</c:v>
                </c:pt>
                <c:pt idx="2">
                  <c:v>970830635.17524815</c:v>
                </c:pt>
                <c:pt idx="3">
                  <c:v>968234874.64959645</c:v>
                </c:pt>
                <c:pt idx="4">
                  <c:v>1000241973.4549356</c:v>
                </c:pt>
                <c:pt idx="5">
                  <c:v>997963689.13678932</c:v>
                </c:pt>
                <c:pt idx="6">
                  <c:v>948686044.31995451</c:v>
                </c:pt>
                <c:pt idx="7">
                  <c:v>988007958.69065523</c:v>
                </c:pt>
                <c:pt idx="8">
                  <c:v>1012299699.7686362</c:v>
                </c:pt>
                <c:pt idx="9">
                  <c:v>1010776173.6762941</c:v>
                </c:pt>
                <c:pt idx="10">
                  <c:v>1014462508.8938382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A-4D6A-8394-E769452E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3,000-4,999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Summary'!$AD$3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Summary'!$AC$4:$AC$13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Summary'!$AD$4:$AD$13</c:f>
              <c:numCache>
                <c:formatCode>#,##0</c:formatCode>
                <c:ptCount val="10"/>
                <c:pt idx="1">
                  <c:v>83209871.975079209</c:v>
                </c:pt>
                <c:pt idx="2">
                  <c:v>81776858.437469766</c:v>
                </c:pt>
                <c:pt idx="3">
                  <c:v>91924306.042175293</c:v>
                </c:pt>
                <c:pt idx="4">
                  <c:v>85850728.608598396</c:v>
                </c:pt>
                <c:pt idx="5">
                  <c:v>95790916.003111556</c:v>
                </c:pt>
                <c:pt idx="6">
                  <c:v>92144168.225704566</c:v>
                </c:pt>
                <c:pt idx="7">
                  <c:v>101045231.10211928</c:v>
                </c:pt>
                <c:pt idx="8">
                  <c:v>112112282.14879882</c:v>
                </c:pt>
                <c:pt idx="9">
                  <c:v>113345272.397007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A-4380-91C9-567A78B2E3D9}"/>
            </c:ext>
          </c:extLst>
        </c:ser>
        <c:ser>
          <c:idx val="2"/>
          <c:order val="1"/>
          <c:tx>
            <c:strRef>
              <c:f>'Model Summary'!$AE$3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Summary'!$AC$4:$AC$13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Summary'!$AE$4:$AE$13</c:f>
              <c:numCache>
                <c:formatCode>#,##0</c:formatCode>
                <c:ptCount val="10"/>
                <c:pt idx="1">
                  <c:v>85043267.734339997</c:v>
                </c:pt>
                <c:pt idx="2">
                  <c:v>87440501.024150014</c:v>
                </c:pt>
                <c:pt idx="3">
                  <c:v>90611201.810369998</c:v>
                </c:pt>
                <c:pt idx="4">
                  <c:v>94290579.245609999</c:v>
                </c:pt>
                <c:pt idx="5">
                  <c:v>97064476.966140002</c:v>
                </c:pt>
                <c:pt idx="6">
                  <c:v>91600779.706669986</c:v>
                </c:pt>
                <c:pt idx="7">
                  <c:v>98036923.848089993</c:v>
                </c:pt>
                <c:pt idx="8">
                  <c:v>102915842.06420998</c:v>
                </c:pt>
                <c:pt idx="9">
                  <c:v>105367079.23533997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A-4380-91C9-567A78B2E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Summary'!$AL$3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Summary'!$AK$4:$AK$14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Summary'!$AL$4:$AL$14</c:f>
              <c:numCache>
                <c:formatCode>#,##0</c:formatCode>
                <c:ptCount val="11"/>
                <c:pt idx="1">
                  <c:v>214801968.2137368</c:v>
                </c:pt>
                <c:pt idx="2">
                  <c:v>222929336.24786574</c:v>
                </c:pt>
                <c:pt idx="3">
                  <c:v>233715442.88221914</c:v>
                </c:pt>
                <c:pt idx="4">
                  <c:v>266466614.46949729</c:v>
                </c:pt>
                <c:pt idx="5">
                  <c:v>278341289.36218399</c:v>
                </c:pt>
                <c:pt idx="6">
                  <c:v>283776483.27153635</c:v>
                </c:pt>
                <c:pt idx="7">
                  <c:v>305489306.39160782</c:v>
                </c:pt>
                <c:pt idx="8">
                  <c:v>310171780.75168276</c:v>
                </c:pt>
                <c:pt idx="9">
                  <c:v>326291975.52706087</c:v>
                </c:pt>
                <c:pt idx="10">
                  <c:v>346655983.09377205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7-4D92-9F12-A318FD51D822}"/>
            </c:ext>
          </c:extLst>
        </c:ser>
        <c:ser>
          <c:idx val="2"/>
          <c:order val="1"/>
          <c:tx>
            <c:strRef>
              <c:f>'Model Summary'!$AM$3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Summary'!$AK$4:$AK$14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Summary'!$AM$4:$AM$14</c:f>
              <c:numCache>
                <c:formatCode>#,##0</c:formatCode>
                <c:ptCount val="11"/>
                <c:pt idx="1">
                  <c:v>220911577.70774004</c:v>
                </c:pt>
                <c:pt idx="2">
                  <c:v>233856153.54065007</c:v>
                </c:pt>
                <c:pt idx="3">
                  <c:v>250408889.27107006</c:v>
                </c:pt>
                <c:pt idx="4">
                  <c:v>270234553.03471005</c:v>
                </c:pt>
                <c:pt idx="5">
                  <c:v>284615656.08954006</c:v>
                </c:pt>
                <c:pt idx="6">
                  <c:v>276141611.22537005</c:v>
                </c:pt>
                <c:pt idx="7">
                  <c:v>312525376.9539901</c:v>
                </c:pt>
                <c:pt idx="8">
                  <c:v>328255228.07031006</c:v>
                </c:pt>
                <c:pt idx="9">
                  <c:v>330259709.39774007</c:v>
                </c:pt>
                <c:pt idx="10">
                  <c:v>339476594.18367004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7-4D92-9F12-A318FD51D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'Model Summary'!$AR$4:$AR$14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Summary'!$AS$4:$AS$14</c:f>
              <c:numCache>
                <c:formatCode>#,##0</c:formatCode>
                <c:ptCount val="11"/>
                <c:pt idx="0">
                  <c:v>0</c:v>
                </c:pt>
                <c:pt idx="1">
                  <c:v>341819651.24851882</c:v>
                </c:pt>
                <c:pt idx="2">
                  <c:v>378173307.04498887</c:v>
                </c:pt>
                <c:pt idx="3">
                  <c:v>359527893.87480748</c:v>
                </c:pt>
                <c:pt idx="4">
                  <c:v>390439562.14697731</c:v>
                </c:pt>
                <c:pt idx="5">
                  <c:v>376217358.44924873</c:v>
                </c:pt>
                <c:pt idx="6">
                  <c:v>416955296.65327436</c:v>
                </c:pt>
                <c:pt idx="7">
                  <c:v>415398276.8319459</c:v>
                </c:pt>
                <c:pt idx="8">
                  <c:v>414003895.92591512</c:v>
                </c:pt>
                <c:pt idx="9">
                  <c:v>412979207.31059444</c:v>
                </c:pt>
                <c:pt idx="10">
                  <c:v>432055274.59441376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5-4AA1-B99C-C37827795FD1}"/>
            </c:ext>
          </c:extLst>
        </c:ser>
        <c:ser>
          <c:idx val="0"/>
          <c:order val="1"/>
          <c:tx>
            <c:strRef>
              <c:f>'Model Summary'!$AT$3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Summary'!$AR$4:$AR$14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Summary'!$AT$4:$AT$14</c:f>
              <c:numCache>
                <c:formatCode>#,##0</c:formatCode>
                <c:ptCount val="11"/>
                <c:pt idx="0">
                  <c:v>0</c:v>
                </c:pt>
                <c:pt idx="1">
                  <c:v>346682335.14129239</c:v>
                </c:pt>
                <c:pt idx="2">
                  <c:v>369877850.1950022</c:v>
                </c:pt>
                <c:pt idx="3">
                  <c:v>356304439.96606356</c:v>
                </c:pt>
                <c:pt idx="4">
                  <c:v>389240905.57871598</c:v>
                </c:pt>
                <c:pt idx="5">
                  <c:v>380152081.54588997</c:v>
                </c:pt>
                <c:pt idx="6">
                  <c:v>413990777.09875786</c:v>
                </c:pt>
                <c:pt idx="7">
                  <c:v>421975818.41834146</c:v>
                </c:pt>
                <c:pt idx="8">
                  <c:v>420131194.02619231</c:v>
                </c:pt>
                <c:pt idx="9">
                  <c:v>413876077.68018186</c:v>
                </c:pt>
                <c:pt idx="10">
                  <c:v>428723017.94853163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5-4AA1-B99C-C3782779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48752491879112136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Summary'!$AY$3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Summary'!$AX$4:$AX$14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Summary'!$AY$4:$AY$14</c:f>
              <c:numCache>
                <c:formatCode>#,##0</c:formatCode>
                <c:ptCount val="11"/>
                <c:pt idx="0">
                  <c:v>0</c:v>
                </c:pt>
                <c:pt idx="1">
                  <c:v>80816258.045444056</c:v>
                </c:pt>
                <c:pt idx="2">
                  <c:v>90604838.92675291</c:v>
                </c:pt>
                <c:pt idx="3">
                  <c:v>88683309.006846577</c:v>
                </c:pt>
                <c:pt idx="4">
                  <c:v>92324972.869182795</c:v>
                </c:pt>
                <c:pt idx="5">
                  <c:v>91697786.724669263</c:v>
                </c:pt>
                <c:pt idx="6">
                  <c:v>84284805.65291582</c:v>
                </c:pt>
                <c:pt idx="7">
                  <c:v>85338794.20904538</c:v>
                </c:pt>
                <c:pt idx="8">
                  <c:v>90650269.605631351</c:v>
                </c:pt>
                <c:pt idx="9">
                  <c:v>92174873.578020483</c:v>
                </c:pt>
                <c:pt idx="10">
                  <c:v>92286825.556067497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4-4334-8ACE-7FDC052507AD}"/>
            </c:ext>
          </c:extLst>
        </c:ser>
        <c:ser>
          <c:idx val="2"/>
          <c:order val="1"/>
          <c:tx>
            <c:strRef>
              <c:f>'Model Summary'!$AZ$3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Summary'!$AX$4:$AX$14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Summary'!$AZ$4:$AZ$14</c:f>
              <c:numCache>
                <c:formatCode>#,##0</c:formatCode>
                <c:ptCount val="11"/>
                <c:pt idx="0">
                  <c:v>0</c:v>
                </c:pt>
                <c:pt idx="1">
                  <c:v>85511416.327246577</c:v>
                </c:pt>
                <c:pt idx="2">
                  <c:v>89149764.498054951</c:v>
                </c:pt>
                <c:pt idx="3">
                  <c:v>86749801.755838051</c:v>
                </c:pt>
                <c:pt idx="4">
                  <c:v>90992960.447278589</c:v>
                </c:pt>
                <c:pt idx="5">
                  <c:v>89460135.845176846</c:v>
                </c:pt>
                <c:pt idx="6">
                  <c:v>83657351.55555065</c:v>
                </c:pt>
                <c:pt idx="7">
                  <c:v>84816936.456080198</c:v>
                </c:pt>
                <c:pt idx="8">
                  <c:v>90875253.474317402</c:v>
                </c:pt>
                <c:pt idx="9">
                  <c:v>92434116.596167177</c:v>
                </c:pt>
                <c:pt idx="10">
                  <c:v>94393736.090986684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4-4334-8ACE-7FDC0525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50-2,999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Summary'!$BF$3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Summary'!$BE$4:$BE$14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Summary'!$BF$4:$BF$14</c:f>
              <c:numCache>
                <c:formatCode>#,##0</c:formatCode>
                <c:ptCount val="11"/>
                <c:pt idx="1">
                  <c:v>356280749.60554087</c:v>
                </c:pt>
                <c:pt idx="2">
                  <c:v>363869601.55604947</c:v>
                </c:pt>
                <c:pt idx="3">
                  <c:v>352034151.57549763</c:v>
                </c:pt>
                <c:pt idx="4">
                  <c:v>363238681.83918047</c:v>
                </c:pt>
                <c:pt idx="5">
                  <c:v>358131146.3028354</c:v>
                </c:pt>
                <c:pt idx="6">
                  <c:v>345109124.5567131</c:v>
                </c:pt>
                <c:pt idx="7">
                  <c:v>343070590.56103444</c:v>
                </c:pt>
                <c:pt idx="8">
                  <c:v>358448135.86983597</c:v>
                </c:pt>
                <c:pt idx="9">
                  <c:v>361788715.49792469</c:v>
                </c:pt>
                <c:pt idx="10">
                  <c:v>373054127.14085734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F-4A18-9035-337CE41043D8}"/>
            </c:ext>
          </c:extLst>
        </c:ser>
        <c:ser>
          <c:idx val="2"/>
          <c:order val="1"/>
          <c:tx>
            <c:strRef>
              <c:f>'Model Summary'!$BG$3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Summary'!$BE$4:$BE$14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Summary'!$BG$4:$BG$14</c:f>
              <c:numCache>
                <c:formatCode>#,##0</c:formatCode>
                <c:ptCount val="11"/>
                <c:pt idx="1">
                  <c:v>361926433.86995</c:v>
                </c:pt>
                <c:pt idx="2">
                  <c:v>363665598.08592051</c:v>
                </c:pt>
                <c:pt idx="3">
                  <c:v>359429312.06425661</c:v>
                </c:pt>
                <c:pt idx="4">
                  <c:v>365353752.9246788</c:v>
                </c:pt>
                <c:pt idx="5">
                  <c:v>362310288.16837567</c:v>
                </c:pt>
                <c:pt idx="6">
                  <c:v>344598110.15019566</c:v>
                </c:pt>
                <c:pt idx="7">
                  <c:v>344438630.63100892</c:v>
                </c:pt>
                <c:pt idx="8">
                  <c:v>353891439.43143064</c:v>
                </c:pt>
                <c:pt idx="9">
                  <c:v>359464821.32925528</c:v>
                </c:pt>
                <c:pt idx="10">
                  <c:v>360281042.34445018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F-4A18-9035-337CE4104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Weather!$U$1</c:f>
              <c:strCache>
                <c:ptCount val="1"/>
                <c:pt idx="0">
                  <c:v> VRZ_GSlt50kWh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Weather!$Q$2:$Q$133</c:f>
              <c:numCache>
                <c:formatCode>0</c:formatCode>
                <c:ptCount val="132"/>
                <c:pt idx="0">
                  <c:v>-8.5400537634408611</c:v>
                </c:pt>
                <c:pt idx="1">
                  <c:v>-8.3101190476190503</c:v>
                </c:pt>
                <c:pt idx="2">
                  <c:v>-4.4275537634408613</c:v>
                </c:pt>
                <c:pt idx="3">
                  <c:v>5.4854166666666657</c:v>
                </c:pt>
                <c:pt idx="4">
                  <c:v>13.659269412214714</c:v>
                </c:pt>
                <c:pt idx="5">
                  <c:v>18.632361111111106</c:v>
                </c:pt>
                <c:pt idx="6">
                  <c:v>19.213037634408604</c:v>
                </c:pt>
                <c:pt idx="7">
                  <c:v>19.015188172043011</c:v>
                </c:pt>
                <c:pt idx="8">
                  <c:v>15.643611111111113</c:v>
                </c:pt>
                <c:pt idx="9">
                  <c:v>10.223521505376343</c:v>
                </c:pt>
                <c:pt idx="10">
                  <c:v>1.9330934343434341</c:v>
                </c:pt>
                <c:pt idx="11">
                  <c:v>-0.5170698924731183</c:v>
                </c:pt>
                <c:pt idx="12">
                  <c:v>-7.7384467040673215</c:v>
                </c:pt>
                <c:pt idx="13">
                  <c:v>-12.92336956521739</c:v>
                </c:pt>
                <c:pt idx="14">
                  <c:v>-2.5741935483870972</c:v>
                </c:pt>
                <c:pt idx="15">
                  <c:v>6.4416540404040381</c:v>
                </c:pt>
                <c:pt idx="16">
                  <c:v>14.880745341614906</c:v>
                </c:pt>
                <c:pt idx="17">
                  <c:v>16.987083333333334</c:v>
                </c:pt>
                <c:pt idx="18">
                  <c:v>20.63024193548387</c:v>
                </c:pt>
                <c:pt idx="19">
                  <c:v>19.41747311827957</c:v>
                </c:pt>
                <c:pt idx="20">
                  <c:v>18.297420634920634</c:v>
                </c:pt>
                <c:pt idx="21">
                  <c:v>9.0649193548387093</c:v>
                </c:pt>
                <c:pt idx="22">
                  <c:v>5.6076388888888893</c:v>
                </c:pt>
                <c:pt idx="23">
                  <c:v>3.8830352968676944</c:v>
                </c:pt>
                <c:pt idx="24">
                  <c:v>-3.8025537634408595</c:v>
                </c:pt>
                <c:pt idx="25">
                  <c:v>-2.8175287356321834</c:v>
                </c:pt>
                <c:pt idx="26">
                  <c:v>1.3845371669004212</c:v>
                </c:pt>
                <c:pt idx="27">
                  <c:v>4.4672222222222224</c:v>
                </c:pt>
                <c:pt idx="28">
                  <c:v>13.718055555555555</c:v>
                </c:pt>
                <c:pt idx="29">
                  <c:v>18.773472222222221</c:v>
                </c:pt>
                <c:pt idx="30">
                  <c:v>22.104166666666661</c:v>
                </c:pt>
                <c:pt idx="31">
                  <c:v>22.581451612903233</c:v>
                </c:pt>
                <c:pt idx="32">
                  <c:v>17.858055555555556</c:v>
                </c:pt>
                <c:pt idx="33">
                  <c:v>10.864650537634409</c:v>
                </c:pt>
                <c:pt idx="34">
                  <c:v>5.4221626984126994</c:v>
                </c:pt>
                <c:pt idx="35">
                  <c:v>-1.8926075268817202</c:v>
                </c:pt>
                <c:pt idx="36">
                  <c:v>-2.0069892473118278</c:v>
                </c:pt>
                <c:pt idx="37">
                  <c:v>-0.93154761904761851</c:v>
                </c:pt>
                <c:pt idx="38">
                  <c:v>-1.3444892473118288</c:v>
                </c:pt>
                <c:pt idx="39">
                  <c:v>8.3870833333333312</c:v>
                </c:pt>
                <c:pt idx="40">
                  <c:v>12.072311827956989</c:v>
                </c:pt>
                <c:pt idx="41">
                  <c:v>17.620722222222227</c:v>
                </c:pt>
                <c:pt idx="42">
                  <c:v>20.392473118279565</c:v>
                </c:pt>
                <c:pt idx="43">
                  <c:v>19.013680458158017</c:v>
                </c:pt>
                <c:pt idx="44">
                  <c:v>17.194861111111109</c:v>
                </c:pt>
                <c:pt idx="45">
                  <c:v>12.306989247311826</c:v>
                </c:pt>
                <c:pt idx="46">
                  <c:v>3.2462752525252521</c:v>
                </c:pt>
                <c:pt idx="47">
                  <c:v>-5.7520161290322589</c:v>
                </c:pt>
                <c:pt idx="48">
                  <c:v>-6.2108870967741945</c:v>
                </c:pt>
                <c:pt idx="49">
                  <c:v>-2.5891369047619053</c:v>
                </c:pt>
                <c:pt idx="50">
                  <c:v>-0.29932795698924713</c:v>
                </c:pt>
                <c:pt idx="51">
                  <c:v>2.9161111111111113</c:v>
                </c:pt>
                <c:pt idx="52">
                  <c:v>15.888323907275522</c:v>
                </c:pt>
                <c:pt idx="53">
                  <c:v>18.606464646464644</c:v>
                </c:pt>
                <c:pt idx="54">
                  <c:v>22.270923040260342</c:v>
                </c:pt>
                <c:pt idx="55">
                  <c:v>22.136962365591401</c:v>
                </c:pt>
                <c:pt idx="56">
                  <c:v>18.045555555555556</c:v>
                </c:pt>
                <c:pt idx="57">
                  <c:v>8.2325268817204318</c:v>
                </c:pt>
                <c:pt idx="58">
                  <c:v>1.2158333333333335</c:v>
                </c:pt>
                <c:pt idx="59">
                  <c:v>-0.86827956989247324</c:v>
                </c:pt>
                <c:pt idx="60">
                  <c:v>-7.1591397849462366</c:v>
                </c:pt>
                <c:pt idx="61">
                  <c:v>-4.8322916666666682</c:v>
                </c:pt>
                <c:pt idx="62">
                  <c:v>-1.7244623655913986</c:v>
                </c:pt>
                <c:pt idx="63">
                  <c:v>5.778194444444444</c:v>
                </c:pt>
                <c:pt idx="64">
                  <c:v>11.369850028296549</c:v>
                </c:pt>
                <c:pt idx="65">
                  <c:v>17.658055555555553</c:v>
                </c:pt>
                <c:pt idx="66">
                  <c:v>22.374193548387098</c:v>
                </c:pt>
                <c:pt idx="67">
                  <c:v>20.13131720430108</c:v>
                </c:pt>
                <c:pt idx="68">
                  <c:v>16.383888888888887</c:v>
                </c:pt>
                <c:pt idx="69">
                  <c:v>10.194623655913977</c:v>
                </c:pt>
                <c:pt idx="70">
                  <c:v>0.34250000000000014</c:v>
                </c:pt>
                <c:pt idx="71">
                  <c:v>-1.8202956989247305</c:v>
                </c:pt>
                <c:pt idx="72">
                  <c:v>-2.2845430107526878</c:v>
                </c:pt>
                <c:pt idx="73">
                  <c:v>-3.3931034482758609</c:v>
                </c:pt>
                <c:pt idx="74">
                  <c:v>2.4654569892473122</c:v>
                </c:pt>
                <c:pt idx="75">
                  <c:v>5.3441666666666672</c:v>
                </c:pt>
                <c:pt idx="76">
                  <c:v>11.704857910906297</c:v>
                </c:pt>
                <c:pt idx="77">
                  <c:v>19.417874396135264</c:v>
                </c:pt>
                <c:pt idx="78">
                  <c:v>23.964112903225804</c:v>
                </c:pt>
                <c:pt idx="79">
                  <c:v>20.997776148582602</c:v>
                </c:pt>
                <c:pt idx="80">
                  <c:v>15.728182367149758</c:v>
                </c:pt>
                <c:pt idx="81">
                  <c:v>8.7150537634408618</c:v>
                </c:pt>
                <c:pt idx="82">
                  <c:v>5.7899758454106278</c:v>
                </c:pt>
                <c:pt idx="83">
                  <c:v>-0.80336021505376376</c:v>
                </c:pt>
                <c:pt idx="84">
                  <c:v>-3.0807795698924729</c:v>
                </c:pt>
                <c:pt idx="85">
                  <c:v>-5.3376488095238086</c:v>
                </c:pt>
                <c:pt idx="86">
                  <c:v>2.1097942964001866</c:v>
                </c:pt>
                <c:pt idx="87">
                  <c:v>7.3401388888888865</c:v>
                </c:pt>
                <c:pt idx="88">
                  <c:v>13.049417562724015</c:v>
                </c:pt>
                <c:pt idx="89">
                  <c:v>20.055833333333332</c:v>
                </c:pt>
                <c:pt idx="90">
                  <c:v>20.221774193548388</c:v>
                </c:pt>
                <c:pt idx="91">
                  <c:v>22.58266129032258</c:v>
                </c:pt>
                <c:pt idx="92">
                  <c:v>16.975833333333334</c:v>
                </c:pt>
                <c:pt idx="93">
                  <c:v>13.09072580645161</c:v>
                </c:pt>
                <c:pt idx="94">
                  <c:v>3.122913216011042</c:v>
                </c:pt>
                <c:pt idx="95">
                  <c:v>0.80497311827956974</c:v>
                </c:pt>
                <c:pt idx="96">
                  <c:v>-8.6287634408602152</c:v>
                </c:pt>
                <c:pt idx="97">
                  <c:v>-4.7446428571428587</c:v>
                </c:pt>
                <c:pt idx="98">
                  <c:v>0.42836021505376332</c:v>
                </c:pt>
                <c:pt idx="99">
                  <c:v>6.1888888888888882</c:v>
                </c:pt>
                <c:pt idx="100">
                  <c:v>15.065725806451612</c:v>
                </c:pt>
                <c:pt idx="101">
                  <c:v>18.03075013875014</c:v>
                </c:pt>
                <c:pt idx="102">
                  <c:v>21.15659155778647</c:v>
                </c:pt>
                <c:pt idx="103">
                  <c:v>21.363978494623655</c:v>
                </c:pt>
                <c:pt idx="104">
                  <c:v>16.37402777777778</c:v>
                </c:pt>
                <c:pt idx="105">
                  <c:v>9.3272381954184187</c:v>
                </c:pt>
                <c:pt idx="106">
                  <c:v>4.2722222222222213</c:v>
                </c:pt>
                <c:pt idx="107">
                  <c:v>-0.87486559139784936</c:v>
                </c:pt>
                <c:pt idx="108">
                  <c:v>-1.4861559139784948</c:v>
                </c:pt>
                <c:pt idx="109">
                  <c:v>-2.4797619047619048</c:v>
                </c:pt>
                <c:pt idx="110">
                  <c:v>0.22473118279569884</c:v>
                </c:pt>
                <c:pt idx="111">
                  <c:v>7.9533333333333323</c:v>
                </c:pt>
                <c:pt idx="112">
                  <c:v>12.986102150537635</c:v>
                </c:pt>
                <c:pt idx="113">
                  <c:v>18.851388888888884</c:v>
                </c:pt>
                <c:pt idx="114">
                  <c:v>21.218817204301072</c:v>
                </c:pt>
                <c:pt idx="115">
                  <c:v>19.348544880785411</c:v>
                </c:pt>
                <c:pt idx="116">
                  <c:v>17.433055555555555</c:v>
                </c:pt>
                <c:pt idx="117">
                  <c:v>11.553225806451612</c:v>
                </c:pt>
                <c:pt idx="118">
                  <c:v>2.9802294685990343</c:v>
                </c:pt>
                <c:pt idx="119">
                  <c:v>2.2038978494623653</c:v>
                </c:pt>
                <c:pt idx="120">
                  <c:v>-2.5482526881720431</c:v>
                </c:pt>
                <c:pt idx="121">
                  <c:v>-0.72298850574712648</c:v>
                </c:pt>
                <c:pt idx="122">
                  <c:v>3.1576612903225802</c:v>
                </c:pt>
                <c:pt idx="123">
                  <c:v>7.7234027777777765</c:v>
                </c:pt>
                <c:pt idx="124">
                  <c:v>15.455779569892472</c:v>
                </c:pt>
                <c:pt idx="125">
                  <c:v>18.805138888888891</c:v>
                </c:pt>
                <c:pt idx="126">
                  <c:v>21.778763440860214</c:v>
                </c:pt>
                <c:pt idx="127">
                  <c:v>20.479569892473116</c:v>
                </c:pt>
                <c:pt idx="128">
                  <c:v>17.709999999999997</c:v>
                </c:pt>
                <c:pt idx="129">
                  <c:v>10.453494623655915</c:v>
                </c:pt>
                <c:pt idx="130">
                  <c:v>5.790277777777777</c:v>
                </c:pt>
                <c:pt idx="131">
                  <c:v>-1.3088709677419357</c:v>
                </c:pt>
              </c:numCache>
            </c:numRef>
          </c:xVal>
          <c:yVal>
            <c:numRef>
              <c:f>Weather!$U$2:$U$133</c:f>
              <c:numCache>
                <c:formatCode>_-* #,##0_-;\-* #,##0_-;_-* "-"??_-;_-@_-</c:formatCode>
                <c:ptCount val="132"/>
                <c:pt idx="12">
                  <c:v>26752413.727710001</c:v>
                </c:pt>
                <c:pt idx="13">
                  <c:v>25183858.93677</c:v>
                </c:pt>
                <c:pt idx="14">
                  <c:v>24614376.237229999</c:v>
                </c:pt>
                <c:pt idx="15">
                  <c:v>20949826.519850001</c:v>
                </c:pt>
                <c:pt idx="16">
                  <c:v>20278670.319710098</c:v>
                </c:pt>
                <c:pt idx="17">
                  <c:v>20438552.235879999</c:v>
                </c:pt>
                <c:pt idx="18">
                  <c:v>23191812.9555999</c:v>
                </c:pt>
                <c:pt idx="19">
                  <c:v>22412824.970479898</c:v>
                </c:pt>
                <c:pt idx="20">
                  <c:v>21439743.880240001</c:v>
                </c:pt>
                <c:pt idx="21">
                  <c:v>20120866.142470002</c:v>
                </c:pt>
                <c:pt idx="22">
                  <c:v>20784084.706459999</c:v>
                </c:pt>
                <c:pt idx="23">
                  <c:v>22242311.923219901</c:v>
                </c:pt>
                <c:pt idx="24">
                  <c:v>26369518.37201</c:v>
                </c:pt>
                <c:pt idx="25">
                  <c:v>24521462.855070002</c:v>
                </c:pt>
                <c:pt idx="26">
                  <c:v>24144999.231819902</c:v>
                </c:pt>
                <c:pt idx="27">
                  <c:v>22071304.927159999</c:v>
                </c:pt>
                <c:pt idx="28">
                  <c:v>21710441.394160002</c:v>
                </c:pt>
                <c:pt idx="29">
                  <c:v>22772669.73827</c:v>
                </c:pt>
                <c:pt idx="30">
                  <c:v>25320734.268800002</c:v>
                </c:pt>
                <c:pt idx="31">
                  <c:v>26483969.474950001</c:v>
                </c:pt>
                <c:pt idx="32">
                  <c:v>22354040.928489901</c:v>
                </c:pt>
                <c:pt idx="33">
                  <c:v>21120509.448860001</c:v>
                </c:pt>
                <c:pt idx="34">
                  <c:v>22017940.829089999</c:v>
                </c:pt>
                <c:pt idx="35">
                  <c:v>25214502.075979903</c:v>
                </c:pt>
                <c:pt idx="36">
                  <c:v>25654563.991049901</c:v>
                </c:pt>
                <c:pt idx="37">
                  <c:v>22871851.479970001</c:v>
                </c:pt>
                <c:pt idx="38">
                  <c:v>25273750.099300098</c:v>
                </c:pt>
                <c:pt idx="39">
                  <c:v>20715772.965300001</c:v>
                </c:pt>
                <c:pt idx="40">
                  <c:v>21006775.987570003</c:v>
                </c:pt>
                <c:pt idx="41">
                  <c:v>21505128.74501</c:v>
                </c:pt>
                <c:pt idx="42">
                  <c:v>23453275.460890099</c:v>
                </c:pt>
                <c:pt idx="43">
                  <c:v>23180955.389199898</c:v>
                </c:pt>
                <c:pt idx="44">
                  <c:v>21680423.1690601</c:v>
                </c:pt>
                <c:pt idx="45">
                  <c:v>20578458.00911</c:v>
                </c:pt>
                <c:pt idx="46">
                  <c:v>22410384.765579998</c:v>
                </c:pt>
                <c:pt idx="47">
                  <c:v>25632490.429650001</c:v>
                </c:pt>
                <c:pt idx="48">
                  <c:v>27472324.12661</c:v>
                </c:pt>
                <c:pt idx="49">
                  <c:v>23337775.572329901</c:v>
                </c:pt>
                <c:pt idx="50">
                  <c:v>24265541.644150101</c:v>
                </c:pt>
                <c:pt idx="51">
                  <c:v>22236277.656720102</c:v>
                </c:pt>
                <c:pt idx="52">
                  <c:v>21346013.1307799</c:v>
                </c:pt>
                <c:pt idx="53">
                  <c:v>21810589.903229997</c:v>
                </c:pt>
                <c:pt idx="54">
                  <c:v>25306080.0246301</c:v>
                </c:pt>
                <c:pt idx="55">
                  <c:v>25164910.779600099</c:v>
                </c:pt>
                <c:pt idx="56">
                  <c:v>21753953.700139999</c:v>
                </c:pt>
                <c:pt idx="57">
                  <c:v>21021539.011799999</c:v>
                </c:pt>
                <c:pt idx="58">
                  <c:v>23030940.04532</c:v>
                </c:pt>
                <c:pt idx="59">
                  <c:v>24208164.144469999</c:v>
                </c:pt>
                <c:pt idx="60">
                  <c:v>27050404.437539898</c:v>
                </c:pt>
                <c:pt idx="61">
                  <c:v>24125566.114490002</c:v>
                </c:pt>
                <c:pt idx="62">
                  <c:v>25432850.096450001</c:v>
                </c:pt>
                <c:pt idx="63">
                  <c:v>23076969.784390099</c:v>
                </c:pt>
                <c:pt idx="64">
                  <c:v>21762586.578929998</c:v>
                </c:pt>
                <c:pt idx="65">
                  <c:v>22213411.1813301</c:v>
                </c:pt>
                <c:pt idx="66">
                  <c:v>27454085.436310101</c:v>
                </c:pt>
                <c:pt idx="67">
                  <c:v>25355358.507699899</c:v>
                </c:pt>
                <c:pt idx="68">
                  <c:v>21480489.843200002</c:v>
                </c:pt>
                <c:pt idx="69">
                  <c:v>21587541.58955</c:v>
                </c:pt>
                <c:pt idx="70">
                  <c:v>23995835.644060098</c:v>
                </c:pt>
                <c:pt idx="71">
                  <c:v>25773416.637219999</c:v>
                </c:pt>
                <c:pt idx="72">
                  <c:v>26571571.344690099</c:v>
                </c:pt>
                <c:pt idx="73">
                  <c:v>24901685.4999502</c:v>
                </c:pt>
                <c:pt idx="74">
                  <c:v>22938625.388429999</c:v>
                </c:pt>
                <c:pt idx="75">
                  <c:v>18103771.514610101</c:v>
                </c:pt>
                <c:pt idx="76">
                  <c:v>18389795.34598</c:v>
                </c:pt>
                <c:pt idx="77">
                  <c:v>20702668.818460003</c:v>
                </c:pt>
                <c:pt idx="78">
                  <c:v>25811228.52397</c:v>
                </c:pt>
                <c:pt idx="79">
                  <c:v>23861542.559469998</c:v>
                </c:pt>
                <c:pt idx="80">
                  <c:v>20178943.140609998</c:v>
                </c:pt>
                <c:pt idx="81">
                  <c:v>20122574.631239999</c:v>
                </c:pt>
                <c:pt idx="82">
                  <c:v>21338594.844720002</c:v>
                </c:pt>
                <c:pt idx="83">
                  <c:v>23735239.936930001</c:v>
                </c:pt>
                <c:pt idx="84">
                  <c:v>23297791.308749899</c:v>
                </c:pt>
                <c:pt idx="85">
                  <c:v>22532462.089510102</c:v>
                </c:pt>
                <c:pt idx="86">
                  <c:v>23275265.499380101</c:v>
                </c:pt>
                <c:pt idx="87">
                  <c:v>19213989.0752699</c:v>
                </c:pt>
                <c:pt idx="88">
                  <c:v>19176936.350449998</c:v>
                </c:pt>
                <c:pt idx="89">
                  <c:v>21463708.979539998</c:v>
                </c:pt>
                <c:pt idx="90">
                  <c:v>23306627.88656</c:v>
                </c:pt>
                <c:pt idx="91">
                  <c:v>26153660.242789999</c:v>
                </c:pt>
                <c:pt idx="92">
                  <c:v>21116890.36403</c:v>
                </c:pt>
                <c:pt idx="93">
                  <c:v>20531059.12458</c:v>
                </c:pt>
                <c:pt idx="94">
                  <c:v>21813461.426630002</c:v>
                </c:pt>
                <c:pt idx="95">
                  <c:v>23827944.848219998</c:v>
                </c:pt>
                <c:pt idx="96">
                  <c:v>26419877.8191</c:v>
                </c:pt>
                <c:pt idx="97">
                  <c:v>23878455.9513399</c:v>
                </c:pt>
                <c:pt idx="98">
                  <c:v>24542720.141819999</c:v>
                </c:pt>
                <c:pt idx="99">
                  <c:v>21085412.50956</c:v>
                </c:pt>
                <c:pt idx="100">
                  <c:v>21132492.856539998</c:v>
                </c:pt>
                <c:pt idx="101">
                  <c:v>22130781.368469998</c:v>
                </c:pt>
                <c:pt idx="102">
                  <c:v>25358152.623659901</c:v>
                </c:pt>
                <c:pt idx="103">
                  <c:v>25492350.706059899</c:v>
                </c:pt>
                <c:pt idx="104">
                  <c:v>21247332.307519998</c:v>
                </c:pt>
                <c:pt idx="105">
                  <c:v>20430222.074930001</c:v>
                </c:pt>
                <c:pt idx="106">
                  <c:v>22000931.42647</c:v>
                </c:pt>
                <c:pt idx="107">
                  <c:v>24879390.791839998</c:v>
                </c:pt>
                <c:pt idx="108">
                  <c:v>25577236.485019799</c:v>
                </c:pt>
                <c:pt idx="109">
                  <c:v>23501621.016799901</c:v>
                </c:pt>
                <c:pt idx="110">
                  <c:v>25127831.671030097</c:v>
                </c:pt>
                <c:pt idx="111">
                  <c:v>21260204.256179798</c:v>
                </c:pt>
                <c:pt idx="112">
                  <c:v>21327740.14573</c:v>
                </c:pt>
                <c:pt idx="113">
                  <c:v>22572296.523479898</c:v>
                </c:pt>
                <c:pt idx="114">
                  <c:v>25539378.813110001</c:v>
                </c:pt>
                <c:pt idx="115">
                  <c:v>23074433.336349998</c:v>
                </c:pt>
                <c:pt idx="116">
                  <c:v>22164386.609310001</c:v>
                </c:pt>
                <c:pt idx="117">
                  <c:v>21236704.381489903</c:v>
                </c:pt>
                <c:pt idx="118">
                  <c:v>22629177.4111</c:v>
                </c:pt>
                <c:pt idx="119">
                  <c:v>22200516.608010001</c:v>
                </c:pt>
                <c:pt idx="120">
                  <c:v>23988136.487497136</c:v>
                </c:pt>
                <c:pt idx="121">
                  <c:v>21577650.30459094</c:v>
                </c:pt>
                <c:pt idx="122">
                  <c:v>21526095.77050988</c:v>
                </c:pt>
                <c:pt idx="123">
                  <c:v>19624330.972720526</c:v>
                </c:pt>
                <c:pt idx="124">
                  <c:v>19974195.963026971</c:v>
                </c:pt>
                <c:pt idx="125">
                  <c:v>20950547.106654827</c:v>
                </c:pt>
                <c:pt idx="126">
                  <c:v>24132098.406970821</c:v>
                </c:pt>
                <c:pt idx="127">
                  <c:v>22900300.742820028</c:v>
                </c:pt>
                <c:pt idx="128">
                  <c:v>20255998.744241707</c:v>
                </c:pt>
                <c:pt idx="129">
                  <c:v>19438285.949555848</c:v>
                </c:pt>
                <c:pt idx="130">
                  <c:v>19991632.431527995</c:v>
                </c:pt>
                <c:pt idx="131">
                  <c:v>23171427.641835168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56-47E2-8E48-D37770DD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3,000-4,999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Summary'!$BN$3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Summary'!$BM$4:$BM$14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Summary'!$BN$4:$BN$14</c:f>
              <c:numCache>
                <c:formatCode>#,##0</c:formatCode>
                <c:ptCount val="11"/>
                <c:pt idx="1">
                  <c:v>60550882.364713915</c:v>
                </c:pt>
                <c:pt idx="2">
                  <c:v>63772064.009023599</c:v>
                </c:pt>
                <c:pt idx="3">
                  <c:v>63079308.806291334</c:v>
                </c:pt>
                <c:pt idx="4">
                  <c:v>75020562.327309459</c:v>
                </c:pt>
                <c:pt idx="5">
                  <c:v>83915672.470856011</c:v>
                </c:pt>
                <c:pt idx="6">
                  <c:v>90346840.537376255</c:v>
                </c:pt>
                <c:pt idx="7">
                  <c:v>94391041.732008129</c:v>
                </c:pt>
                <c:pt idx="8">
                  <c:v>95586055.128350899</c:v>
                </c:pt>
                <c:pt idx="9">
                  <c:v>93213905.952376962</c:v>
                </c:pt>
                <c:pt idx="10">
                  <c:v>90609120.087219253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3-47C1-AE5B-B2CB6FFB848D}"/>
            </c:ext>
          </c:extLst>
        </c:ser>
        <c:ser>
          <c:idx val="2"/>
          <c:order val="1"/>
          <c:tx>
            <c:strRef>
              <c:f>'Model Summary'!$BO$3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Summary'!$BM$4:$BM$14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'Model Summary'!$BO$4:$BO$14</c:f>
              <c:numCache>
                <c:formatCode>#,##0</c:formatCode>
                <c:ptCount val="11"/>
                <c:pt idx="1">
                  <c:v>64032948.581763573</c:v>
                </c:pt>
                <c:pt idx="2">
                  <c:v>64228985.05753459</c:v>
                </c:pt>
                <c:pt idx="3">
                  <c:v>64034036.61576356</c:v>
                </c:pt>
                <c:pt idx="4">
                  <c:v>77614440.974676207</c:v>
                </c:pt>
                <c:pt idx="5">
                  <c:v>89105499.11052531</c:v>
                </c:pt>
                <c:pt idx="6">
                  <c:v>89303191.094296351</c:v>
                </c:pt>
                <c:pt idx="7">
                  <c:v>89109639.552525327</c:v>
                </c:pt>
                <c:pt idx="8">
                  <c:v>89115697.68152532</c:v>
                </c:pt>
                <c:pt idx="9">
                  <c:v>89126935.138525322</c:v>
                </c:pt>
                <c:pt idx="10">
                  <c:v>89345385.240296334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3-47C1-AE5B-B2CB6FFB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Residential Normalized'!$D$1</c:f>
              <c:strCache>
                <c:ptCount val="1"/>
                <c:pt idx="0">
                  <c:v>VRZ_ResidentialkWh_No_CDM_AL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Residential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'VRZ Residential Normalized'!$D$2:$D$205</c:f>
              <c:numCache>
                <c:formatCode>_-* #,##0_-;\-* #,##0_-;_-* "-"??_-;_-@_-</c:formatCode>
                <c:ptCount val="204"/>
                <c:pt idx="0">
                  <c:v>89085710.173255071</c:v>
                </c:pt>
                <c:pt idx="1">
                  <c:v>83761157.109440491</c:v>
                </c:pt>
                <c:pt idx="2">
                  <c:v>76997089.746835828</c:v>
                </c:pt>
                <c:pt idx="3">
                  <c:v>62629126.228042737</c:v>
                </c:pt>
                <c:pt idx="4">
                  <c:v>60212975.927167453</c:v>
                </c:pt>
                <c:pt idx="5">
                  <c:v>63337869.780153669</c:v>
                </c:pt>
                <c:pt idx="6">
                  <c:v>85840421.551369086</c:v>
                </c:pt>
                <c:pt idx="7">
                  <c:v>79382005.814455315</c:v>
                </c:pt>
                <c:pt idx="8">
                  <c:v>73737868.814600527</c:v>
                </c:pt>
                <c:pt idx="9">
                  <c:v>62701818.978226148</c:v>
                </c:pt>
                <c:pt idx="10">
                  <c:v>65118517.23753316</c:v>
                </c:pt>
                <c:pt idx="11">
                  <c:v>75289570.107017979</c:v>
                </c:pt>
                <c:pt idx="12">
                  <c:v>89442152.753839836</c:v>
                </c:pt>
                <c:pt idx="13">
                  <c:v>81059215.66888456</c:v>
                </c:pt>
                <c:pt idx="14">
                  <c:v>77482986.059256971</c:v>
                </c:pt>
                <c:pt idx="15">
                  <c:v>68514282.597392097</c:v>
                </c:pt>
                <c:pt idx="16">
                  <c:v>68269965.69856523</c:v>
                </c:pt>
                <c:pt idx="17">
                  <c:v>78208721.173178941</c:v>
                </c:pt>
                <c:pt idx="18">
                  <c:v>102570182.69668086</c:v>
                </c:pt>
                <c:pt idx="19">
                  <c:v>109059318.26472567</c:v>
                </c:pt>
                <c:pt idx="20">
                  <c:v>76313540.785070717</c:v>
                </c:pt>
                <c:pt idx="21">
                  <c:v>66405514.986074924</c:v>
                </c:pt>
                <c:pt idx="22">
                  <c:v>69398951.33887735</c:v>
                </c:pt>
                <c:pt idx="23">
                  <c:v>88165004.775042474</c:v>
                </c:pt>
                <c:pt idx="24">
                  <c:v>86446127.341466442</c:v>
                </c:pt>
                <c:pt idx="25">
                  <c:v>74942160.467565358</c:v>
                </c:pt>
                <c:pt idx="26">
                  <c:v>81702618.978205085</c:v>
                </c:pt>
                <c:pt idx="27">
                  <c:v>66049900.784255616</c:v>
                </c:pt>
                <c:pt idx="28">
                  <c:v>65394763.541035041</c:v>
                </c:pt>
                <c:pt idx="29">
                  <c:v>72735585.169684768</c:v>
                </c:pt>
                <c:pt idx="30">
                  <c:v>89908000.015584707</c:v>
                </c:pt>
                <c:pt idx="31">
                  <c:v>83708246.289394736</c:v>
                </c:pt>
                <c:pt idx="32">
                  <c:v>77008872.50612545</c:v>
                </c:pt>
                <c:pt idx="33">
                  <c:v>66802252.527815484</c:v>
                </c:pt>
                <c:pt idx="34">
                  <c:v>75093984.321715117</c:v>
                </c:pt>
                <c:pt idx="35">
                  <c:v>94973885.964893639</c:v>
                </c:pt>
                <c:pt idx="36">
                  <c:v>95821384.871754587</c:v>
                </c:pt>
                <c:pt idx="37">
                  <c:v>79017023.856559828</c:v>
                </c:pt>
                <c:pt idx="38">
                  <c:v>80857990.286893964</c:v>
                </c:pt>
                <c:pt idx="39">
                  <c:v>74791523.995729923</c:v>
                </c:pt>
                <c:pt idx="40">
                  <c:v>69029126.016524777</c:v>
                </c:pt>
                <c:pt idx="41">
                  <c:v>78750404.764660209</c:v>
                </c:pt>
                <c:pt idx="42">
                  <c:v>109096534.53629565</c:v>
                </c:pt>
                <c:pt idx="43">
                  <c:v>106474236.12950091</c:v>
                </c:pt>
                <c:pt idx="44">
                  <c:v>84660053.26803644</c:v>
                </c:pt>
                <c:pt idx="45">
                  <c:v>72024427.398422599</c:v>
                </c:pt>
                <c:pt idx="46">
                  <c:v>79917765.560337856</c:v>
                </c:pt>
                <c:pt idx="47">
                  <c:v>90962393.505991995</c:v>
                </c:pt>
                <c:pt idx="48">
                  <c:v>97288679.869095445</c:v>
                </c:pt>
                <c:pt idx="49">
                  <c:v>84693841.039088443</c:v>
                </c:pt>
                <c:pt idx="50">
                  <c:v>85724263.190149993</c:v>
                </c:pt>
                <c:pt idx="51">
                  <c:v>72041319.765643612</c:v>
                </c:pt>
                <c:pt idx="52">
                  <c:v>67019569.619600944</c:v>
                </c:pt>
                <c:pt idx="53">
                  <c:v>74257280.533210635</c:v>
                </c:pt>
                <c:pt idx="54">
                  <c:v>111959164.36594507</c:v>
                </c:pt>
                <c:pt idx="55">
                  <c:v>94178853.916445255</c:v>
                </c:pt>
                <c:pt idx="56">
                  <c:v>69925980.526639789</c:v>
                </c:pt>
                <c:pt idx="57">
                  <c:v>68770107.019172624</c:v>
                </c:pt>
                <c:pt idx="58">
                  <c:v>80537995.410543263</c:v>
                </c:pt>
                <c:pt idx="59">
                  <c:v>92387158.446566865</c:v>
                </c:pt>
                <c:pt idx="60">
                  <c:v>89814889.618923858</c:v>
                </c:pt>
                <c:pt idx="61">
                  <c:v>83594520.729463562</c:v>
                </c:pt>
                <c:pt idx="62">
                  <c:v>83302968.693846226</c:v>
                </c:pt>
                <c:pt idx="63">
                  <c:v>77670479.82798478</c:v>
                </c:pt>
                <c:pt idx="64">
                  <c:v>80099486.315454125</c:v>
                </c:pt>
                <c:pt idx="65">
                  <c:v>95258181.781721637</c:v>
                </c:pt>
                <c:pt idx="66">
                  <c:v>132307295.59040362</c:v>
                </c:pt>
                <c:pt idx="67">
                  <c:v>109307290.26289327</c:v>
                </c:pt>
                <c:pt idx="68">
                  <c:v>75295223.957907006</c:v>
                </c:pt>
                <c:pt idx="69">
                  <c:v>74212248.059770763</c:v>
                </c:pt>
                <c:pt idx="70">
                  <c:v>78077861.058878124</c:v>
                </c:pt>
                <c:pt idx="71">
                  <c:v>95508383.138286412</c:v>
                </c:pt>
                <c:pt idx="72">
                  <c:v>96260070.917755052</c:v>
                </c:pt>
                <c:pt idx="73">
                  <c:v>89183549.451028422</c:v>
                </c:pt>
                <c:pt idx="74">
                  <c:v>84801267.218263984</c:v>
                </c:pt>
                <c:pt idx="75">
                  <c:v>73791015.112033695</c:v>
                </c:pt>
                <c:pt idx="76">
                  <c:v>77735774.669364065</c:v>
                </c:pt>
                <c:pt idx="77">
                  <c:v>95777562.942741141</c:v>
                </c:pt>
                <c:pt idx="78">
                  <c:v>101754886.08038045</c:v>
                </c:pt>
                <c:pt idx="79">
                  <c:v>121188435.70875239</c:v>
                </c:pt>
                <c:pt idx="80">
                  <c:v>78479359.790168136</c:v>
                </c:pt>
                <c:pt idx="81">
                  <c:v>73297575.734986961</c:v>
                </c:pt>
                <c:pt idx="82">
                  <c:v>78798888.780930117</c:v>
                </c:pt>
                <c:pt idx="83">
                  <c:v>92109867.804479927</c:v>
                </c:pt>
                <c:pt idx="84">
                  <c:v>103982778.385355</c:v>
                </c:pt>
                <c:pt idx="85">
                  <c:v>88001797.160039648</c:v>
                </c:pt>
                <c:pt idx="86">
                  <c:v>87269321.955269039</c:v>
                </c:pt>
                <c:pt idx="87">
                  <c:v>74333076.317455515</c:v>
                </c:pt>
                <c:pt idx="88">
                  <c:v>74288223.702238336</c:v>
                </c:pt>
                <c:pt idx="89">
                  <c:v>83986295.956202775</c:v>
                </c:pt>
                <c:pt idx="90">
                  <c:v>106570238.67631872</c:v>
                </c:pt>
                <c:pt idx="91">
                  <c:v>109786578.83367652</c:v>
                </c:pt>
                <c:pt idx="92">
                  <c:v>79178936.01956214</c:v>
                </c:pt>
                <c:pt idx="93">
                  <c:v>71380064.583652496</c:v>
                </c:pt>
                <c:pt idx="94">
                  <c:v>77060342.326395333</c:v>
                </c:pt>
                <c:pt idx="95">
                  <c:v>93139833.599095941</c:v>
                </c:pt>
                <c:pt idx="96">
                  <c:v>91036599.784220517</c:v>
                </c:pt>
                <c:pt idx="97">
                  <c:v>83103046.664608538</c:v>
                </c:pt>
                <c:pt idx="98">
                  <c:v>85241456.201716527</c:v>
                </c:pt>
                <c:pt idx="99">
                  <c:v>72893510.393928677</c:v>
                </c:pt>
                <c:pt idx="100">
                  <c:v>71742918.13902469</c:v>
                </c:pt>
                <c:pt idx="101">
                  <c:v>86970924.73106724</c:v>
                </c:pt>
                <c:pt idx="102">
                  <c:v>110263196.06632736</c:v>
                </c:pt>
                <c:pt idx="103">
                  <c:v>95166089.512382954</c:v>
                </c:pt>
                <c:pt idx="104">
                  <c:v>83245214.582742393</c:v>
                </c:pt>
                <c:pt idx="105">
                  <c:v>77220063.479223102</c:v>
                </c:pt>
                <c:pt idx="106">
                  <c:v>84966202.534151629</c:v>
                </c:pt>
                <c:pt idx="107">
                  <c:v>92483859.143196598</c:v>
                </c:pt>
                <c:pt idx="108">
                  <c:v>97673130.990040466</c:v>
                </c:pt>
                <c:pt idx="109">
                  <c:v>84685362.344305634</c:v>
                </c:pt>
                <c:pt idx="110">
                  <c:v>84237358.966060996</c:v>
                </c:pt>
                <c:pt idx="111">
                  <c:v>74370506.900403857</c:v>
                </c:pt>
                <c:pt idx="112">
                  <c:v>75865026.722649381</c:v>
                </c:pt>
                <c:pt idx="113">
                  <c:v>92920892.466117918</c:v>
                </c:pt>
                <c:pt idx="114">
                  <c:v>118394588.81057931</c:v>
                </c:pt>
                <c:pt idx="115">
                  <c:v>108752480.49458155</c:v>
                </c:pt>
                <c:pt idx="116">
                  <c:v>85277788.85154295</c:v>
                </c:pt>
                <c:pt idx="117">
                  <c:v>74718188.233133122</c:v>
                </c:pt>
                <c:pt idx="118">
                  <c:v>78693160.020198867</c:v>
                </c:pt>
                <c:pt idx="119">
                  <c:v>97901467.720364794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4-453F-9A6D-D32F0B9783A5}"/>
            </c:ext>
          </c:extLst>
        </c:ser>
        <c:ser>
          <c:idx val="1"/>
          <c:order val="1"/>
          <c:tx>
            <c:strRef>
              <c:f>'VRZ Residential Normalized'!$U$1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Residential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'VRZ Residential Normalized'!$X$2:$X$205</c:f>
              <c:numCache>
                <c:formatCode>_-* #,##0_-;\-* #,##0_-;_-* "-"??_-;_-@_-</c:formatCode>
                <c:ptCount val="204"/>
                <c:pt idx="0">
                  <c:v>85586297.986638039</c:v>
                </c:pt>
                <c:pt idx="1">
                  <c:v>76151528.336221367</c:v>
                </c:pt>
                <c:pt idx="2">
                  <c:v>75646941.393827185</c:v>
                </c:pt>
                <c:pt idx="3">
                  <c:v>64744203.616545081</c:v>
                </c:pt>
                <c:pt idx="4">
                  <c:v>64980401.649239875</c:v>
                </c:pt>
                <c:pt idx="5">
                  <c:v>75497129.036748663</c:v>
                </c:pt>
                <c:pt idx="6">
                  <c:v>99117918.533102214</c:v>
                </c:pt>
                <c:pt idx="7">
                  <c:v>93073911.605241105</c:v>
                </c:pt>
                <c:pt idx="8">
                  <c:v>67634431.686315373</c:v>
                </c:pt>
                <c:pt idx="9">
                  <c:v>63997078.648687683</c:v>
                </c:pt>
                <c:pt idx="10">
                  <c:v>69092078.716994062</c:v>
                </c:pt>
                <c:pt idx="11">
                  <c:v>81451217.438448548</c:v>
                </c:pt>
                <c:pt idx="12">
                  <c:v>87193785.586638048</c:v>
                </c:pt>
                <c:pt idx="13">
                  <c:v>79719846.936221376</c:v>
                </c:pt>
                <c:pt idx="14">
                  <c:v>77254428.993827179</c:v>
                </c:pt>
                <c:pt idx="15">
                  <c:v>66351691.216545075</c:v>
                </c:pt>
                <c:pt idx="16">
                  <c:v>66587889.249239877</c:v>
                </c:pt>
                <c:pt idx="17">
                  <c:v>77104616.636748672</c:v>
                </c:pt>
                <c:pt idx="18">
                  <c:v>100725406.13310222</c:v>
                </c:pt>
                <c:pt idx="19">
                  <c:v>94681399.205241099</c:v>
                </c:pt>
                <c:pt idx="20">
                  <c:v>69241919.286315367</c:v>
                </c:pt>
                <c:pt idx="21">
                  <c:v>65604566.248687685</c:v>
                </c:pt>
                <c:pt idx="22">
                  <c:v>70699566.316994071</c:v>
                </c:pt>
                <c:pt idx="23">
                  <c:v>83058705.038448557</c:v>
                </c:pt>
                <c:pt idx="24">
                  <c:v>88804412.56395267</c:v>
                </c:pt>
                <c:pt idx="25">
                  <c:v>79372782.290850639</c:v>
                </c:pt>
                <c:pt idx="26">
                  <c:v>78871334.72577107</c:v>
                </c:pt>
                <c:pt idx="27">
                  <c:v>67971736.325803623</c:v>
                </c:pt>
                <c:pt idx="28">
                  <c:v>68211073.735813037</c:v>
                </c:pt>
                <c:pt idx="29">
                  <c:v>78730940.500636458</c:v>
                </c:pt>
                <c:pt idx="30">
                  <c:v>102354869.37430465</c:v>
                </c:pt>
                <c:pt idx="31">
                  <c:v>96314001.823758155</c:v>
                </c:pt>
                <c:pt idx="32">
                  <c:v>70877661.28214708</c:v>
                </c:pt>
                <c:pt idx="33">
                  <c:v>67243447.62183401</c:v>
                </c:pt>
                <c:pt idx="34">
                  <c:v>72341587.067455038</c:v>
                </c:pt>
                <c:pt idx="35">
                  <c:v>84703865.166224152</c:v>
                </c:pt>
                <c:pt idx="36">
                  <c:v>90457441.742103621</c:v>
                </c:pt>
                <c:pt idx="37">
                  <c:v>81030541.142062321</c:v>
                </c:pt>
                <c:pt idx="38">
                  <c:v>80533823.250043482</c:v>
                </c:pt>
                <c:pt idx="39">
                  <c:v>69638954.523136735</c:v>
                </c:pt>
                <c:pt idx="40">
                  <c:v>69883021.606206879</c:v>
                </c:pt>
                <c:pt idx="41">
                  <c:v>80407618.044091016</c:v>
                </c:pt>
                <c:pt idx="42">
                  <c:v>104036276.59081994</c:v>
                </c:pt>
                <c:pt idx="43">
                  <c:v>98000138.713334173</c:v>
                </c:pt>
                <c:pt idx="44">
                  <c:v>72568527.844783798</c:v>
                </c:pt>
                <c:pt idx="45">
                  <c:v>68939043.857531458</c:v>
                </c:pt>
                <c:pt idx="46">
                  <c:v>74041912.976213187</c:v>
                </c:pt>
                <c:pt idx="47">
                  <c:v>86408920.748043045</c:v>
                </c:pt>
                <c:pt idx="48">
                  <c:v>92310293.570803955</c:v>
                </c:pt>
                <c:pt idx="49">
                  <c:v>82853181.164936423</c:v>
                </c:pt>
                <c:pt idx="50">
                  <c:v>82347480.784222126</c:v>
                </c:pt>
                <c:pt idx="51">
                  <c:v>71402791.28936033</c:v>
                </c:pt>
                <c:pt idx="52">
                  <c:v>71612789.647819951</c:v>
                </c:pt>
                <c:pt idx="53">
                  <c:v>82103638.427002892</c:v>
                </c:pt>
                <c:pt idx="54">
                  <c:v>105719874.56391414</c:v>
                </c:pt>
                <c:pt idx="55">
                  <c:v>99680870.135925084</c:v>
                </c:pt>
                <c:pt idx="56">
                  <c:v>74256324.253845945</c:v>
                </c:pt>
                <c:pt idx="57">
                  <c:v>70657305.500808075</c:v>
                </c:pt>
                <c:pt idx="58">
                  <c:v>75810257.443086252</c:v>
                </c:pt>
                <c:pt idx="59">
                  <c:v>88189468.122789875</c:v>
                </c:pt>
                <c:pt idx="60">
                  <c:v>94328478.779548675</c:v>
                </c:pt>
                <c:pt idx="61">
                  <c:v>86852573.718653217</c:v>
                </c:pt>
                <c:pt idx="62">
                  <c:v>86530350.129293323</c:v>
                </c:pt>
                <c:pt idx="63">
                  <c:v>76940435.435925543</c:v>
                </c:pt>
                <c:pt idx="64">
                  <c:v>76897300.361757666</c:v>
                </c:pt>
                <c:pt idx="65">
                  <c:v>86384168.676508725</c:v>
                </c:pt>
                <c:pt idx="66">
                  <c:v>112464754.17605789</c:v>
                </c:pt>
                <c:pt idx="67">
                  <c:v>104618102.21923427</c:v>
                </c:pt>
                <c:pt idx="68">
                  <c:v>77308342.981181383</c:v>
                </c:pt>
                <c:pt idx="69">
                  <c:v>73961809.415921465</c:v>
                </c:pt>
                <c:pt idx="70">
                  <c:v>79436111.46419245</c:v>
                </c:pt>
                <c:pt idx="71">
                  <c:v>92878023.088683754</c:v>
                </c:pt>
                <c:pt idx="72">
                  <c:v>99461179.665140897</c:v>
                </c:pt>
                <c:pt idx="73">
                  <c:v>90010701.964115277</c:v>
                </c:pt>
                <c:pt idx="74">
                  <c:v>88628339.58950004</c:v>
                </c:pt>
                <c:pt idx="75">
                  <c:v>76751379.343598828</c:v>
                </c:pt>
                <c:pt idx="76">
                  <c:v>76847351.686659187</c:v>
                </c:pt>
                <c:pt idx="77">
                  <c:v>88198898.652128369</c:v>
                </c:pt>
                <c:pt idx="78">
                  <c:v>111909130.36099453</c:v>
                </c:pt>
                <c:pt idx="79">
                  <c:v>107287414.47139306</c:v>
                </c:pt>
                <c:pt idx="80">
                  <c:v>79093178.138073772</c:v>
                </c:pt>
                <c:pt idx="81">
                  <c:v>75491652.710035667</c:v>
                </c:pt>
                <c:pt idx="82">
                  <c:v>81878032.980967894</c:v>
                </c:pt>
                <c:pt idx="83">
                  <c:v>94746603.788694009</c:v>
                </c:pt>
                <c:pt idx="84">
                  <c:v>100939687.43334602</c:v>
                </c:pt>
                <c:pt idx="85">
                  <c:v>90697865.149525002</c:v>
                </c:pt>
                <c:pt idx="86">
                  <c:v>89828482.915701136</c:v>
                </c:pt>
                <c:pt idx="87">
                  <c:v>78119418.399688616</c:v>
                </c:pt>
                <c:pt idx="88">
                  <c:v>77725011.772329867</c:v>
                </c:pt>
                <c:pt idx="89">
                  <c:v>88186407.468439698</c:v>
                </c:pt>
                <c:pt idx="90">
                  <c:v>112564580.11209689</c:v>
                </c:pt>
                <c:pt idx="91">
                  <c:v>106604965.95272471</c:v>
                </c:pt>
                <c:pt idx="92">
                  <c:v>80430290.031506345</c:v>
                </c:pt>
                <c:pt idx="93">
                  <c:v>77134279.632925138</c:v>
                </c:pt>
                <c:pt idx="94">
                  <c:v>82864793.265625879</c:v>
                </c:pt>
                <c:pt idx="95">
                  <c:v>95998815.421571165</c:v>
                </c:pt>
                <c:pt idx="96">
                  <c:v>100988692.20717601</c:v>
                </c:pt>
                <c:pt idx="97">
                  <c:v>91486201.793278933</c:v>
                </c:pt>
                <c:pt idx="98">
                  <c:v>90939237.951472625</c:v>
                </c:pt>
                <c:pt idx="99">
                  <c:v>79295006.951647952</c:v>
                </c:pt>
                <c:pt idx="100">
                  <c:v>79133672.993141726</c:v>
                </c:pt>
                <c:pt idx="101">
                  <c:v>89239679.837424457</c:v>
                </c:pt>
                <c:pt idx="102">
                  <c:v>112821425.46656509</c:v>
                </c:pt>
                <c:pt idx="103">
                  <c:v>106832109.79241537</c:v>
                </c:pt>
                <c:pt idx="104">
                  <c:v>81537056.609486371</c:v>
                </c:pt>
                <c:pt idx="105">
                  <c:v>78417160.707715571</c:v>
                </c:pt>
                <c:pt idx="106">
                  <c:v>84287675.979128212</c:v>
                </c:pt>
                <c:pt idx="107">
                  <c:v>96793608.558276758</c:v>
                </c:pt>
                <c:pt idx="108">
                  <c:v>103627600.44497654</c:v>
                </c:pt>
                <c:pt idx="109">
                  <c:v>95810537.447559953</c:v>
                </c:pt>
                <c:pt idx="110">
                  <c:v>93046549.584640235</c:v>
                </c:pt>
                <c:pt idx="111">
                  <c:v>81570298.547770634</c:v>
                </c:pt>
                <c:pt idx="112">
                  <c:v>80966038.846971616</c:v>
                </c:pt>
                <c:pt idx="113">
                  <c:v>91283455.336394995</c:v>
                </c:pt>
                <c:pt idx="114">
                  <c:v>114811452.57096204</c:v>
                </c:pt>
                <c:pt idx="115">
                  <c:v>108830726.77308428</c:v>
                </c:pt>
                <c:pt idx="116">
                  <c:v>83507272.318241879</c:v>
                </c:pt>
                <c:pt idx="117">
                  <c:v>80717321.769291461</c:v>
                </c:pt>
                <c:pt idx="118">
                  <c:v>86371765.180672273</c:v>
                </c:pt>
                <c:pt idx="119">
                  <c:v>99688778.775611848</c:v>
                </c:pt>
                <c:pt idx="120">
                  <c:v>106593191.45320946</c:v>
                </c:pt>
                <c:pt idx="121">
                  <c:v>96831062.492639929</c:v>
                </c:pt>
                <c:pt idx="122">
                  <c:v>95973955.130372867</c:v>
                </c:pt>
                <c:pt idx="123">
                  <c:v>84141931.654113367</c:v>
                </c:pt>
                <c:pt idx="124">
                  <c:v>83406143.748124301</c:v>
                </c:pt>
                <c:pt idx="125">
                  <c:v>93373297.64910841</c:v>
                </c:pt>
                <c:pt idx="126">
                  <c:v>116877163.67706567</c:v>
                </c:pt>
                <c:pt idx="127">
                  <c:v>110890540.17030717</c:v>
                </c:pt>
                <c:pt idx="128">
                  <c:v>85734352.787565425</c:v>
                </c:pt>
                <c:pt idx="129">
                  <c:v>83047022.168063298</c:v>
                </c:pt>
                <c:pt idx="130">
                  <c:v>89120962.16837658</c:v>
                </c:pt>
                <c:pt idx="131">
                  <c:v>102272260.71408094</c:v>
                </c:pt>
                <c:pt idx="132">
                  <c:v>109465548.96542084</c:v>
                </c:pt>
                <c:pt idx="133">
                  <c:v>99629750.444328561</c:v>
                </c:pt>
                <c:pt idx="134">
                  <c:v>98693382.957395315</c:v>
                </c:pt>
                <c:pt idx="135">
                  <c:v>86653947.485410884</c:v>
                </c:pt>
                <c:pt idx="136">
                  <c:v>85701259.988289759</c:v>
                </c:pt>
                <c:pt idx="137">
                  <c:v>95545370.409221783</c:v>
                </c:pt>
                <c:pt idx="138">
                  <c:v>119022323.75997767</c:v>
                </c:pt>
                <c:pt idx="139">
                  <c:v>113047516.94277577</c:v>
                </c:pt>
                <c:pt idx="140">
                  <c:v>87953341.150073946</c:v>
                </c:pt>
                <c:pt idx="141">
                  <c:v>85476163.288183838</c:v>
                </c:pt>
                <c:pt idx="142">
                  <c:v>91766681.248257235</c:v>
                </c:pt>
                <c:pt idx="143">
                  <c:v>105093056.95408484</c:v>
                </c:pt>
                <c:pt idx="144">
                  <c:v>112488826.32875088</c:v>
                </c:pt>
                <c:pt idx="145">
                  <c:v>102566922.5259745</c:v>
                </c:pt>
                <c:pt idx="146">
                  <c:v>101538415.07899185</c:v>
                </c:pt>
                <c:pt idx="147">
                  <c:v>89268507.395701215</c:v>
                </c:pt>
                <c:pt idx="148">
                  <c:v>88075106.397616223</c:v>
                </c:pt>
                <c:pt idx="149">
                  <c:v>97779815.354877591</c:v>
                </c:pt>
                <c:pt idx="150">
                  <c:v>121221134.67246231</c:v>
                </c:pt>
                <c:pt idx="151">
                  <c:v>115252499.84840102</c:v>
                </c:pt>
                <c:pt idx="152">
                  <c:v>90218678.430478916</c:v>
                </c:pt>
                <c:pt idx="153">
                  <c:v>87961764.440161288</c:v>
                </c:pt>
                <c:pt idx="154">
                  <c:v>94479481.891791388</c:v>
                </c:pt>
                <c:pt idx="155">
                  <c:v>107988259.4674532</c:v>
                </c:pt>
                <c:pt idx="156">
                  <c:v>115616572.43416694</c:v>
                </c:pt>
                <c:pt idx="157">
                  <c:v>107561361.5798101</c:v>
                </c:pt>
                <c:pt idx="158">
                  <c:v>104471495.7589698</c:v>
                </c:pt>
                <c:pt idx="159">
                  <c:v>91954598.988189459</c:v>
                </c:pt>
                <c:pt idx="160">
                  <c:v>90503365.756353199</c:v>
                </c:pt>
                <c:pt idx="161">
                  <c:v>100057508.38827376</c:v>
                </c:pt>
                <c:pt idx="162">
                  <c:v>123458126.97984159</c:v>
                </c:pt>
                <c:pt idx="163">
                  <c:v>117493054.29831459</c:v>
                </c:pt>
                <c:pt idx="164">
                  <c:v>92520161.576217338</c:v>
                </c:pt>
                <c:pt idx="165">
                  <c:v>90493483.285069987</c:v>
                </c:pt>
                <c:pt idx="166">
                  <c:v>97248779.645994991</c:v>
                </c:pt>
                <c:pt idx="167">
                  <c:v>110947705.857935</c:v>
                </c:pt>
                <c:pt idx="168">
                  <c:v>118848485.0618169</c:v>
                </c:pt>
                <c:pt idx="169">
                  <c:v>108750768.81450757</c:v>
                </c:pt>
                <c:pt idx="170">
                  <c:v>107533340.88869417</c:v>
                </c:pt>
                <c:pt idx="171">
                  <c:v>94774038.735384867</c:v>
                </c:pt>
                <c:pt idx="172">
                  <c:v>93068997.97632125</c:v>
                </c:pt>
                <c:pt idx="173">
                  <c:v>102482128.8857931</c:v>
                </c:pt>
                <c:pt idx="174">
                  <c:v>125857265.27288178</c:v>
                </c:pt>
                <c:pt idx="175">
                  <c:v>119913255.14610086</c:v>
                </c:pt>
                <c:pt idx="176">
                  <c:v>95021748.959049493</c:v>
                </c:pt>
                <c:pt idx="177">
                  <c:v>93254492.517056733</c:v>
                </c:pt>
                <c:pt idx="178">
                  <c:v>100276932.50293569</c:v>
                </c:pt>
                <c:pt idx="179">
                  <c:v>114193126.88643475</c:v>
                </c:pt>
                <c:pt idx="180">
                  <c:v>122282858.8214312</c:v>
                </c:pt>
                <c:pt idx="181">
                  <c:v>112089177.05338444</c:v>
                </c:pt>
                <c:pt idx="182">
                  <c:v>110768662.93276882</c:v>
                </c:pt>
                <c:pt idx="183">
                  <c:v>97743048.176518515</c:v>
                </c:pt>
                <c:pt idx="184">
                  <c:v>95759610.51088728</c:v>
                </c:pt>
                <c:pt idx="185">
                  <c:v>105013888.58105253</c:v>
                </c:pt>
                <c:pt idx="186">
                  <c:v>128352613.45982094</c:v>
                </c:pt>
                <c:pt idx="187">
                  <c:v>122421521.22875555</c:v>
                </c:pt>
                <c:pt idx="188">
                  <c:v>97606865.935393885</c:v>
                </c:pt>
                <c:pt idx="189">
                  <c:v>96105147.063925967</c:v>
                </c:pt>
                <c:pt idx="190">
                  <c:v>103401308.36871782</c:v>
                </c:pt>
                <c:pt idx="191">
                  <c:v>117538364.70666127</c:v>
                </c:pt>
                <c:pt idx="192">
                  <c:v>125871292.91094074</c:v>
                </c:pt>
                <c:pt idx="193">
                  <c:v>115567750.95099294</c:v>
                </c:pt>
                <c:pt idx="194">
                  <c:v>114129826.15530097</c:v>
                </c:pt>
                <c:pt idx="195">
                  <c:v>100813721.85009077</c:v>
                </c:pt>
                <c:pt idx="196">
                  <c:v>98526980.914440691</c:v>
                </c:pt>
                <c:pt idx="197">
                  <c:v>107604715.5494502</c:v>
                </c:pt>
                <c:pt idx="198">
                  <c:v>130896728.97261551</c:v>
                </c:pt>
                <c:pt idx="199">
                  <c:v>124971232.24900043</c:v>
                </c:pt>
                <c:pt idx="200">
                  <c:v>100229964.50372468</c:v>
                </c:pt>
                <c:pt idx="201">
                  <c:v>99001709.123419806</c:v>
                </c:pt>
                <c:pt idx="202">
                  <c:v>106580011.64481936</c:v>
                </c:pt>
                <c:pt idx="203">
                  <c:v>120943159.20488293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4-453F-9A6D-D32F0B978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Residential Seasonal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'VRZ Seasonal Normalized'!$D$1</c:f>
              <c:strCache>
                <c:ptCount val="1"/>
                <c:pt idx="0">
                  <c:v>VRZ_SeasonalReskWh_No_CDM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Seasonal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45322</c:v>
                </c:pt>
                <c:pt idx="109">
                  <c:v>45351</c:v>
                </c:pt>
                <c:pt idx="110">
                  <c:v>45382</c:v>
                </c:pt>
                <c:pt idx="111">
                  <c:v>45412</c:v>
                </c:pt>
                <c:pt idx="112">
                  <c:v>45443</c:v>
                </c:pt>
                <c:pt idx="113">
                  <c:v>45473</c:v>
                </c:pt>
                <c:pt idx="114">
                  <c:v>45504</c:v>
                </c:pt>
                <c:pt idx="115">
                  <c:v>45535</c:v>
                </c:pt>
                <c:pt idx="116">
                  <c:v>45565</c:v>
                </c:pt>
                <c:pt idx="117">
                  <c:v>45596</c:v>
                </c:pt>
                <c:pt idx="118">
                  <c:v>45626</c:v>
                </c:pt>
                <c:pt idx="119">
                  <c:v>45657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'VRZ Seasonal Normalized'!$D$2:$D$109</c:f>
              <c:numCache>
                <c:formatCode>_-* #,##0_-;\-* #,##0_-;_-* "-"??_-;_-@_-</c:formatCode>
                <c:ptCount val="108"/>
                <c:pt idx="0">
                  <c:v>1117526.8306585595</c:v>
                </c:pt>
                <c:pt idx="1">
                  <c:v>1185347.5455785273</c:v>
                </c:pt>
                <c:pt idx="2">
                  <c:v>954244.49087849434</c:v>
                </c:pt>
                <c:pt idx="3">
                  <c:v>661354.07612846431</c:v>
                </c:pt>
                <c:pt idx="4">
                  <c:v>635767.52028843039</c:v>
                </c:pt>
                <c:pt idx="5">
                  <c:v>627871.28333839925</c:v>
                </c:pt>
                <c:pt idx="6">
                  <c:v>909220.97890836827</c:v>
                </c:pt>
                <c:pt idx="7">
                  <c:v>938194.58134833619</c:v>
                </c:pt>
                <c:pt idx="8">
                  <c:v>647048.53723830229</c:v>
                </c:pt>
                <c:pt idx="9">
                  <c:v>746083.96594827226</c:v>
                </c:pt>
                <c:pt idx="10">
                  <c:v>521205.37252823921</c:v>
                </c:pt>
                <c:pt idx="11">
                  <c:v>657596.47761820816</c:v>
                </c:pt>
                <c:pt idx="12">
                  <c:v>981085.44305646745</c:v>
                </c:pt>
                <c:pt idx="13">
                  <c:v>939859.94660087873</c:v>
                </c:pt>
                <c:pt idx="14">
                  <c:v>821266.59913529083</c:v>
                </c:pt>
                <c:pt idx="15">
                  <c:v>688870.50393970101</c:v>
                </c:pt>
                <c:pt idx="16">
                  <c:v>672732.18985411234</c:v>
                </c:pt>
                <c:pt idx="17">
                  <c:v>655433.0775185246</c:v>
                </c:pt>
                <c:pt idx="18">
                  <c:v>998351.87830293574</c:v>
                </c:pt>
                <c:pt idx="19">
                  <c:v>984083.20127734495</c:v>
                </c:pt>
                <c:pt idx="20">
                  <c:v>669884.15840175818</c:v>
                </c:pt>
                <c:pt idx="21">
                  <c:v>746305.87275616836</c:v>
                </c:pt>
                <c:pt idx="22">
                  <c:v>613201.60482057964</c:v>
                </c:pt>
                <c:pt idx="23">
                  <c:v>896247.4712049918</c:v>
                </c:pt>
                <c:pt idx="24">
                  <c:v>944894.23985255114</c:v>
                </c:pt>
                <c:pt idx="25">
                  <c:v>862632.18090412836</c:v>
                </c:pt>
                <c:pt idx="26">
                  <c:v>948152.62357570359</c:v>
                </c:pt>
                <c:pt idx="27">
                  <c:v>651130.06956727896</c:v>
                </c:pt>
                <c:pt idx="28">
                  <c:v>747823.78382885619</c:v>
                </c:pt>
                <c:pt idx="29">
                  <c:v>684051.82690043247</c:v>
                </c:pt>
                <c:pt idx="30">
                  <c:v>1023307.9767920077</c:v>
                </c:pt>
                <c:pt idx="31">
                  <c:v>1042017.2955035861</c:v>
                </c:pt>
                <c:pt idx="32">
                  <c:v>764048.71043516125</c:v>
                </c:pt>
                <c:pt idx="33">
                  <c:v>692835.87622673658</c:v>
                </c:pt>
                <c:pt idx="34">
                  <c:v>785011.87798831379</c:v>
                </c:pt>
                <c:pt idx="35">
                  <c:v>1145205.4335898901</c:v>
                </c:pt>
                <c:pt idx="36">
                  <c:v>1205620.7630839557</c:v>
                </c:pt>
                <c:pt idx="37">
                  <c:v>981679.43415098719</c:v>
                </c:pt>
                <c:pt idx="38">
                  <c:v>947242.46931801958</c:v>
                </c:pt>
                <c:pt idx="39">
                  <c:v>825650.77664505085</c:v>
                </c:pt>
                <c:pt idx="40">
                  <c:v>682679.85105208121</c:v>
                </c:pt>
                <c:pt idx="41">
                  <c:v>718411.03047911357</c:v>
                </c:pt>
                <c:pt idx="42">
                  <c:v>1048671.4791061438</c:v>
                </c:pt>
                <c:pt idx="43">
                  <c:v>1058102.8646831752</c:v>
                </c:pt>
                <c:pt idx="44">
                  <c:v>759533.26319020661</c:v>
                </c:pt>
                <c:pt idx="45">
                  <c:v>900029.46587723796</c:v>
                </c:pt>
                <c:pt idx="46">
                  <c:v>856133.06674426829</c:v>
                </c:pt>
                <c:pt idx="47">
                  <c:v>1023879.7442513007</c:v>
                </c:pt>
                <c:pt idx="48">
                  <c:v>1235593.5946586204</c:v>
                </c:pt>
                <c:pt idx="49">
                  <c:v>1085389.6130774193</c:v>
                </c:pt>
                <c:pt idx="50">
                  <c:v>1066107.9126962184</c:v>
                </c:pt>
                <c:pt idx="51">
                  <c:v>791047.00539501745</c:v>
                </c:pt>
                <c:pt idx="52">
                  <c:v>804730.19336381648</c:v>
                </c:pt>
                <c:pt idx="53">
                  <c:v>766672.19979261432</c:v>
                </c:pt>
                <c:pt idx="54">
                  <c:v>1019691.4391314134</c:v>
                </c:pt>
                <c:pt idx="55">
                  <c:v>1015301.5661502132</c:v>
                </c:pt>
                <c:pt idx="56">
                  <c:v>726854.95777901227</c:v>
                </c:pt>
                <c:pt idx="57">
                  <c:v>860246.65539781121</c:v>
                </c:pt>
                <c:pt idx="58">
                  <c:v>935722.1514366112</c:v>
                </c:pt>
                <c:pt idx="59">
                  <c:v>1075831.7731454091</c:v>
                </c:pt>
                <c:pt idx="60">
                  <c:v>1105183.051995286</c:v>
                </c:pt>
                <c:pt idx="61">
                  <c:v>1070997.4322070554</c:v>
                </c:pt>
                <c:pt idx="62">
                  <c:v>1015725.855648826</c:v>
                </c:pt>
                <c:pt idx="63">
                  <c:v>983039.7833405945</c:v>
                </c:pt>
                <c:pt idx="64">
                  <c:v>1018441.0476623629</c:v>
                </c:pt>
                <c:pt idx="65">
                  <c:v>936917.0826641334</c:v>
                </c:pt>
                <c:pt idx="66">
                  <c:v>1203222.6046259028</c:v>
                </c:pt>
                <c:pt idx="67">
                  <c:v>1150023.9218676724</c:v>
                </c:pt>
                <c:pt idx="68">
                  <c:v>999424.37450944295</c:v>
                </c:pt>
                <c:pt idx="69">
                  <c:v>1169756.9441712114</c:v>
                </c:pt>
                <c:pt idx="70">
                  <c:v>953674.46702298184</c:v>
                </c:pt>
                <c:pt idx="71">
                  <c:v>1299798.6489247503</c:v>
                </c:pt>
                <c:pt idx="72">
                  <c:v>1418579.340941062</c:v>
                </c:pt>
                <c:pt idx="73">
                  <c:v>1389617.9935012013</c:v>
                </c:pt>
                <c:pt idx="74">
                  <c:v>1177162.0596213406</c:v>
                </c:pt>
                <c:pt idx="75">
                  <c:v>986964.97047148063</c:v>
                </c:pt>
                <c:pt idx="76">
                  <c:v>1002494.3405116198</c:v>
                </c:pt>
                <c:pt idx="77">
                  <c:v>874256.18010175787</c:v>
                </c:pt>
                <c:pt idx="78">
                  <c:v>1137435.1007718972</c:v>
                </c:pt>
                <c:pt idx="79">
                  <c:v>1194091.8924420362</c:v>
                </c:pt>
                <c:pt idx="80">
                  <c:v>869537.03260217549</c:v>
                </c:pt>
                <c:pt idx="81">
                  <c:v>875541.96913231572</c:v>
                </c:pt>
                <c:pt idx="82">
                  <c:v>964597.77276245295</c:v>
                </c:pt>
                <c:pt idx="83">
                  <c:v>1231998.066692593</c:v>
                </c:pt>
                <c:pt idx="84">
                  <c:v>1647205.4995599021</c:v>
                </c:pt>
                <c:pt idx="85">
                  <c:v>1373917.7855929786</c:v>
                </c:pt>
                <c:pt idx="86">
                  <c:v>1287003.7535860552</c:v>
                </c:pt>
                <c:pt idx="87">
                  <c:v>995189.19428913179</c:v>
                </c:pt>
                <c:pt idx="88">
                  <c:v>830219.78768220847</c:v>
                </c:pt>
                <c:pt idx="89">
                  <c:v>816852.49289528502</c:v>
                </c:pt>
                <c:pt idx="90">
                  <c:v>1100801.1767983616</c:v>
                </c:pt>
                <c:pt idx="91">
                  <c:v>1080444.9008314381</c:v>
                </c:pt>
                <c:pt idx="92">
                  <c:v>853738.2210845158</c:v>
                </c:pt>
                <c:pt idx="93">
                  <c:v>1024176.6882775914</c:v>
                </c:pt>
                <c:pt idx="94">
                  <c:v>917442.699450669</c:v>
                </c:pt>
                <c:pt idx="95">
                  <c:v>1202124.9301737447</c:v>
                </c:pt>
                <c:pt idx="96">
                  <c:v>1284447.9560900042</c:v>
                </c:pt>
                <c:pt idx="97">
                  <c:v>1237997.4278684282</c:v>
                </c:pt>
                <c:pt idx="98">
                  <c:v>1200861.7423668525</c:v>
                </c:pt>
                <c:pt idx="99">
                  <c:v>910505.79270527558</c:v>
                </c:pt>
                <c:pt idx="100">
                  <c:v>924428.24447370076</c:v>
                </c:pt>
                <c:pt idx="101">
                  <c:v>825344.00422212481</c:v>
                </c:pt>
                <c:pt idx="102">
                  <c:v>1149728.5446605489</c:v>
                </c:pt>
                <c:pt idx="103">
                  <c:v>1094870.1071989732</c:v>
                </c:pt>
                <c:pt idx="104">
                  <c:v>851300.06026739709</c:v>
                </c:pt>
                <c:pt idx="105">
                  <c:v>935633.28150582127</c:v>
                </c:pt>
                <c:pt idx="106">
                  <c:v>1058502.3214542454</c:v>
                </c:pt>
                <c:pt idx="107">
                  <c:v>1228017.9985926696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2-42E4-BC20-C9938ADC3C74}"/>
            </c:ext>
          </c:extLst>
        </c:ser>
        <c:ser>
          <c:idx val="1"/>
          <c:order val="1"/>
          <c:tx>
            <c:strRef>
              <c:f>'VRZ Seasonal Normalized'!$S$1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Seasonal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45322</c:v>
                </c:pt>
                <c:pt idx="109">
                  <c:v>45351</c:v>
                </c:pt>
                <c:pt idx="110">
                  <c:v>45382</c:v>
                </c:pt>
                <c:pt idx="111">
                  <c:v>45412</c:v>
                </c:pt>
                <c:pt idx="112">
                  <c:v>45443</c:v>
                </c:pt>
                <c:pt idx="113">
                  <c:v>45473</c:v>
                </c:pt>
                <c:pt idx="114">
                  <c:v>45504</c:v>
                </c:pt>
                <c:pt idx="115">
                  <c:v>45535</c:v>
                </c:pt>
                <c:pt idx="116">
                  <c:v>45565</c:v>
                </c:pt>
                <c:pt idx="117">
                  <c:v>45596</c:v>
                </c:pt>
                <c:pt idx="118">
                  <c:v>45626</c:v>
                </c:pt>
                <c:pt idx="119">
                  <c:v>45657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'VRZ Seasonal Normalized'!$S$2:$S$205</c:f>
              <c:numCache>
                <c:formatCode>_-* #,##0_-;\-* #,##0_-;_-* "-"??_-;_-@_-</c:formatCode>
                <c:ptCount val="204"/>
                <c:pt idx="0">
                  <c:v>987464.28512666305</c:v>
                </c:pt>
                <c:pt idx="1">
                  <c:v>815414.81005749607</c:v>
                </c:pt>
                <c:pt idx="2">
                  <c:v>810655.54655390233</c:v>
                </c:pt>
                <c:pt idx="3">
                  <c:v>618167.67169129918</c:v>
                </c:pt>
                <c:pt idx="4">
                  <c:v>589817.08296370017</c:v>
                </c:pt>
                <c:pt idx="5">
                  <c:v>681445.50533513888</c:v>
                </c:pt>
                <c:pt idx="6">
                  <c:v>891255.37027866766</c:v>
                </c:pt>
                <c:pt idx="7">
                  <c:v>847725.57221960975</c:v>
                </c:pt>
                <c:pt idx="8">
                  <c:v>590164.20039052842</c:v>
                </c:pt>
                <c:pt idx="9">
                  <c:v>607909.9870705544</c:v>
                </c:pt>
                <c:pt idx="10">
                  <c:v>695998.80808974884</c:v>
                </c:pt>
                <c:pt idx="11">
                  <c:v>917206.79808739852</c:v>
                </c:pt>
                <c:pt idx="12">
                  <c:v>1019470.613126663</c:v>
                </c:pt>
                <c:pt idx="13">
                  <c:v>885341.59805749636</c:v>
                </c:pt>
                <c:pt idx="14">
                  <c:v>842661.87455390231</c:v>
                </c:pt>
                <c:pt idx="15">
                  <c:v>650173.99969129916</c:v>
                </c:pt>
                <c:pt idx="16">
                  <c:v>621823.41096370027</c:v>
                </c:pt>
                <c:pt idx="17">
                  <c:v>713451.83333513886</c:v>
                </c:pt>
                <c:pt idx="18">
                  <c:v>923261.69827866775</c:v>
                </c:pt>
                <c:pt idx="19">
                  <c:v>879731.90021960973</c:v>
                </c:pt>
                <c:pt idx="20">
                  <c:v>622170.5283905284</c:v>
                </c:pt>
                <c:pt idx="21">
                  <c:v>639916.31507055438</c:v>
                </c:pt>
                <c:pt idx="22">
                  <c:v>728005.13608974882</c:v>
                </c:pt>
                <c:pt idx="23">
                  <c:v>949213.1260873985</c:v>
                </c:pt>
                <c:pt idx="24">
                  <c:v>1051476.941126663</c:v>
                </c:pt>
                <c:pt idx="25">
                  <c:v>879427.46605749615</c:v>
                </c:pt>
                <c:pt idx="26">
                  <c:v>874668.20255390229</c:v>
                </c:pt>
                <c:pt idx="27">
                  <c:v>682180.32769129926</c:v>
                </c:pt>
                <c:pt idx="28">
                  <c:v>653829.73896370025</c:v>
                </c:pt>
                <c:pt idx="29">
                  <c:v>745458.16133513884</c:v>
                </c:pt>
                <c:pt idx="30">
                  <c:v>955268.02627866773</c:v>
                </c:pt>
                <c:pt idx="31">
                  <c:v>911738.22821960971</c:v>
                </c:pt>
                <c:pt idx="32">
                  <c:v>654176.85639052838</c:v>
                </c:pt>
                <c:pt idx="33">
                  <c:v>671922.64307055436</c:v>
                </c:pt>
                <c:pt idx="34">
                  <c:v>760011.46408974892</c:v>
                </c:pt>
                <c:pt idx="35">
                  <c:v>981219.45408739848</c:v>
                </c:pt>
                <c:pt idx="36">
                  <c:v>1083483.269126663</c:v>
                </c:pt>
                <c:pt idx="37">
                  <c:v>911433.79405749612</c:v>
                </c:pt>
                <c:pt idx="38">
                  <c:v>906674.53055390227</c:v>
                </c:pt>
                <c:pt idx="39">
                  <c:v>714186.65569129924</c:v>
                </c:pt>
                <c:pt idx="40">
                  <c:v>685836.06696370023</c:v>
                </c:pt>
                <c:pt idx="41">
                  <c:v>777464.48933513882</c:v>
                </c:pt>
                <c:pt idx="42">
                  <c:v>987274.35427866771</c:v>
                </c:pt>
                <c:pt idx="43">
                  <c:v>943744.55621960969</c:v>
                </c:pt>
                <c:pt idx="44">
                  <c:v>686183.18439052836</c:v>
                </c:pt>
                <c:pt idx="45">
                  <c:v>703928.97107055434</c:v>
                </c:pt>
                <c:pt idx="46">
                  <c:v>792017.79208974889</c:v>
                </c:pt>
                <c:pt idx="47">
                  <c:v>1013225.7820873986</c:v>
                </c:pt>
                <c:pt idx="48">
                  <c:v>1115489.597126663</c:v>
                </c:pt>
                <c:pt idx="49">
                  <c:v>943440.1220574961</c:v>
                </c:pt>
                <c:pt idx="50">
                  <c:v>938680.85855390225</c:v>
                </c:pt>
                <c:pt idx="51">
                  <c:v>746192.98369129922</c:v>
                </c:pt>
                <c:pt idx="52">
                  <c:v>717842.39496370021</c:v>
                </c:pt>
                <c:pt idx="53">
                  <c:v>809470.8173351388</c:v>
                </c:pt>
                <c:pt idx="54">
                  <c:v>1019280.6822786677</c:v>
                </c:pt>
                <c:pt idx="55">
                  <c:v>975750.88421960967</c:v>
                </c:pt>
                <c:pt idx="56">
                  <c:v>718189.51239052834</c:v>
                </c:pt>
                <c:pt idx="57">
                  <c:v>735935.29907055432</c:v>
                </c:pt>
                <c:pt idx="58">
                  <c:v>824024.12008974887</c:v>
                </c:pt>
                <c:pt idx="59">
                  <c:v>1045232.1100873986</c:v>
                </c:pt>
                <c:pt idx="60">
                  <c:v>1147495.9251266629</c:v>
                </c:pt>
                <c:pt idx="61">
                  <c:v>1013366.9100574963</c:v>
                </c:pt>
                <c:pt idx="62">
                  <c:v>1108789.951225569</c:v>
                </c:pt>
                <c:pt idx="63">
                  <c:v>995962.36355129932</c:v>
                </c:pt>
                <c:pt idx="64">
                  <c:v>871864.22997417639</c:v>
                </c:pt>
                <c:pt idx="65">
                  <c:v>850003.93984180549</c:v>
                </c:pt>
                <c:pt idx="66">
                  <c:v>1051287.0102786678</c:v>
                </c:pt>
                <c:pt idx="67">
                  <c:v>1008757.3421246096</c:v>
                </c:pt>
                <c:pt idx="68">
                  <c:v>774583.81927806465</c:v>
                </c:pt>
                <c:pt idx="69">
                  <c:v>850485.20393722097</c:v>
                </c:pt>
                <c:pt idx="70">
                  <c:v>961076.55817815464</c:v>
                </c:pt>
                <c:pt idx="71">
                  <c:v>1244401.130225732</c:v>
                </c:pt>
                <c:pt idx="72">
                  <c:v>1366911.3026249965</c:v>
                </c:pt>
                <c:pt idx="73">
                  <c:v>1194847.4887758293</c:v>
                </c:pt>
                <c:pt idx="74">
                  <c:v>1143958.1360718734</c:v>
                </c:pt>
                <c:pt idx="75">
                  <c:v>901915.28167296597</c:v>
                </c:pt>
                <c:pt idx="76">
                  <c:v>831651.64240647806</c:v>
                </c:pt>
                <c:pt idx="77">
                  <c:v>877571.22053347225</c:v>
                </c:pt>
                <c:pt idx="78">
                  <c:v>1084828.782637001</c:v>
                </c:pt>
                <c:pt idx="79">
                  <c:v>1039961.8933429429</c:v>
                </c:pt>
                <c:pt idx="80">
                  <c:v>795301.83881886175</c:v>
                </c:pt>
                <c:pt idx="81">
                  <c:v>843960.84028055437</c:v>
                </c:pt>
                <c:pt idx="82">
                  <c:v>1016028.3407516639</c:v>
                </c:pt>
                <c:pt idx="83">
                  <c:v>1262109.3047690652</c:v>
                </c:pt>
                <c:pt idx="84">
                  <c:v>1329874.0151283299</c:v>
                </c:pt>
                <c:pt idx="85">
                  <c:v>1130775.6264874961</c:v>
                </c:pt>
                <c:pt idx="86">
                  <c:v>1112806.1644597356</c:v>
                </c:pt>
                <c:pt idx="87">
                  <c:v>893019.04482463258</c:v>
                </c:pt>
                <c:pt idx="88">
                  <c:v>829563.53796203365</c:v>
                </c:pt>
                <c:pt idx="89">
                  <c:v>910675.63777952897</c:v>
                </c:pt>
                <c:pt idx="90">
                  <c:v>1115388.6862045012</c:v>
                </c:pt>
                <c:pt idx="91">
                  <c:v>1071879.2014171097</c:v>
                </c:pt>
                <c:pt idx="92">
                  <c:v>824448.17765802843</c:v>
                </c:pt>
                <c:pt idx="93">
                  <c:v>870504.89835812687</c:v>
                </c:pt>
                <c:pt idx="94">
                  <c:v>979094.97972308216</c:v>
                </c:pt>
                <c:pt idx="95">
                  <c:v>1225150.2831132319</c:v>
                </c:pt>
                <c:pt idx="96">
                  <c:v>1243514.9091266631</c:v>
                </c:pt>
                <c:pt idx="97">
                  <c:v>1071465.434057496</c:v>
                </c:pt>
                <c:pt idx="98">
                  <c:v>1066706.1705539022</c:v>
                </c:pt>
                <c:pt idx="99">
                  <c:v>874218.29569129925</c:v>
                </c:pt>
                <c:pt idx="100">
                  <c:v>845867.70696370024</c:v>
                </c:pt>
                <c:pt idx="101">
                  <c:v>937496.12933513883</c:v>
                </c:pt>
                <c:pt idx="102">
                  <c:v>1147305.9942786677</c:v>
                </c:pt>
                <c:pt idx="103">
                  <c:v>1103776.1962196096</c:v>
                </c:pt>
                <c:pt idx="104">
                  <c:v>846214.82439052837</c:v>
                </c:pt>
                <c:pt idx="105">
                  <c:v>863960.61107055435</c:v>
                </c:pt>
                <c:pt idx="106">
                  <c:v>952049.43208974879</c:v>
                </c:pt>
                <c:pt idx="107">
                  <c:v>1173257.4220873986</c:v>
                </c:pt>
                <c:pt idx="108">
                  <c:v>1275521.2371266631</c:v>
                </c:pt>
                <c:pt idx="109">
                  <c:v>1141392.2220574962</c:v>
                </c:pt>
                <c:pt idx="110">
                  <c:v>1098712.4985539024</c:v>
                </c:pt>
                <c:pt idx="111">
                  <c:v>906224.62369129923</c:v>
                </c:pt>
                <c:pt idx="112">
                  <c:v>877874.03496370022</c:v>
                </c:pt>
                <c:pt idx="113">
                  <c:v>969502.45733513893</c:v>
                </c:pt>
                <c:pt idx="114">
                  <c:v>1179312.3222786677</c:v>
                </c:pt>
                <c:pt idx="115">
                  <c:v>1135782.5242196098</c:v>
                </c:pt>
                <c:pt idx="116">
                  <c:v>878221.15239052847</c:v>
                </c:pt>
                <c:pt idx="117">
                  <c:v>895966.93907055433</c:v>
                </c:pt>
                <c:pt idx="118">
                  <c:v>984055.76008974877</c:v>
                </c:pt>
                <c:pt idx="119">
                  <c:v>1205263.7500873986</c:v>
                </c:pt>
                <c:pt idx="120">
                  <c:v>1307527.5651266631</c:v>
                </c:pt>
                <c:pt idx="121">
                  <c:v>1135478.090057496</c:v>
                </c:pt>
                <c:pt idx="122">
                  <c:v>1130718.8265539024</c:v>
                </c:pt>
                <c:pt idx="123">
                  <c:v>938230.95169129921</c:v>
                </c:pt>
                <c:pt idx="124">
                  <c:v>909880.3629637002</c:v>
                </c:pt>
                <c:pt idx="125">
                  <c:v>1001508.7853351389</c:v>
                </c:pt>
                <c:pt idx="126">
                  <c:v>1211318.6502786677</c:v>
                </c:pt>
                <c:pt idx="127">
                  <c:v>1167788.8522196095</c:v>
                </c:pt>
                <c:pt idx="128">
                  <c:v>910227.48039052845</c:v>
                </c:pt>
                <c:pt idx="129">
                  <c:v>927973.26707055443</c:v>
                </c:pt>
                <c:pt idx="130">
                  <c:v>1016062.0880897488</c:v>
                </c:pt>
                <c:pt idx="131">
                  <c:v>1237270.0780873985</c:v>
                </c:pt>
                <c:pt idx="132">
                  <c:v>1339533.8931266631</c:v>
                </c:pt>
                <c:pt idx="133">
                  <c:v>1167484.4180574962</c:v>
                </c:pt>
                <c:pt idx="134">
                  <c:v>1162725.1545539023</c:v>
                </c:pt>
                <c:pt idx="135">
                  <c:v>970237.27969129919</c:v>
                </c:pt>
                <c:pt idx="136">
                  <c:v>941886.69096370018</c:v>
                </c:pt>
                <c:pt idx="137">
                  <c:v>1033515.1133351389</c:v>
                </c:pt>
                <c:pt idx="138">
                  <c:v>1243324.9782786677</c:v>
                </c:pt>
                <c:pt idx="139">
                  <c:v>1199795.1802196098</c:v>
                </c:pt>
                <c:pt idx="140">
                  <c:v>942233.80839052843</c:v>
                </c:pt>
                <c:pt idx="141">
                  <c:v>959979.59507055441</c:v>
                </c:pt>
                <c:pt idx="142">
                  <c:v>1048068.4160897488</c:v>
                </c:pt>
                <c:pt idx="143">
                  <c:v>1269276.4060873985</c:v>
                </c:pt>
                <c:pt idx="144">
                  <c:v>1371540.221126663</c:v>
                </c:pt>
                <c:pt idx="145">
                  <c:v>1237411.2060574964</c:v>
                </c:pt>
                <c:pt idx="146">
                  <c:v>1194731.4825539023</c:v>
                </c:pt>
                <c:pt idx="147">
                  <c:v>1002243.6076912992</c:v>
                </c:pt>
                <c:pt idx="148">
                  <c:v>973893.01896370016</c:v>
                </c:pt>
                <c:pt idx="149">
                  <c:v>1065521.4413351389</c:v>
                </c:pt>
                <c:pt idx="150">
                  <c:v>1275331.3062786676</c:v>
                </c:pt>
                <c:pt idx="151">
                  <c:v>1231801.5082196097</c:v>
                </c:pt>
                <c:pt idx="152">
                  <c:v>974240.13639052841</c:v>
                </c:pt>
                <c:pt idx="153">
                  <c:v>991985.92307055439</c:v>
                </c:pt>
                <c:pt idx="154">
                  <c:v>1080074.7440897487</c:v>
                </c:pt>
                <c:pt idx="155">
                  <c:v>1301282.7340873985</c:v>
                </c:pt>
                <c:pt idx="156">
                  <c:v>1403546.549126663</c:v>
                </c:pt>
                <c:pt idx="157">
                  <c:v>1231497.0740574962</c:v>
                </c:pt>
                <c:pt idx="158">
                  <c:v>1226737.8105539023</c:v>
                </c:pt>
                <c:pt idx="159">
                  <c:v>1034249.9356912993</c:v>
                </c:pt>
                <c:pt idx="160">
                  <c:v>1005899.3469637001</c:v>
                </c:pt>
                <c:pt idx="161">
                  <c:v>1097527.7693351388</c:v>
                </c:pt>
                <c:pt idx="162">
                  <c:v>1307337.6342786676</c:v>
                </c:pt>
                <c:pt idx="163">
                  <c:v>1263807.8362196097</c:v>
                </c:pt>
                <c:pt idx="164">
                  <c:v>1006246.4643905284</c:v>
                </c:pt>
                <c:pt idx="165">
                  <c:v>1023992.2510705544</c:v>
                </c:pt>
                <c:pt idx="166">
                  <c:v>1112081.0720897489</c:v>
                </c:pt>
                <c:pt idx="167">
                  <c:v>1333289.0620873985</c:v>
                </c:pt>
                <c:pt idx="168">
                  <c:v>1435552.877126663</c:v>
                </c:pt>
                <c:pt idx="169">
                  <c:v>1263503.4020574961</c:v>
                </c:pt>
                <c:pt idx="170">
                  <c:v>1258744.1385539023</c:v>
                </c:pt>
                <c:pt idx="171">
                  <c:v>1066256.2636912991</c:v>
                </c:pt>
                <c:pt idx="172">
                  <c:v>1037905.6749637002</c:v>
                </c:pt>
                <c:pt idx="173">
                  <c:v>1129534.0973351388</c:v>
                </c:pt>
                <c:pt idx="174">
                  <c:v>1339343.9622786678</c:v>
                </c:pt>
                <c:pt idx="175">
                  <c:v>1295814.1642196097</c:v>
                </c:pt>
                <c:pt idx="176">
                  <c:v>1038252.7923905284</c:v>
                </c:pt>
                <c:pt idx="177">
                  <c:v>1055998.5790705543</c:v>
                </c:pt>
                <c:pt idx="178">
                  <c:v>1144087.4000897489</c:v>
                </c:pt>
                <c:pt idx="179">
                  <c:v>1365295.3900873985</c:v>
                </c:pt>
                <c:pt idx="180">
                  <c:v>1467559.205126663</c:v>
                </c:pt>
                <c:pt idx="181">
                  <c:v>1333430.1900574963</c:v>
                </c:pt>
                <c:pt idx="182">
                  <c:v>1290750.4665539023</c:v>
                </c:pt>
                <c:pt idx="183">
                  <c:v>1098262.5916912993</c:v>
                </c:pt>
                <c:pt idx="184">
                  <c:v>1069912.0029637003</c:v>
                </c:pt>
                <c:pt idx="185">
                  <c:v>1161540.4253351388</c:v>
                </c:pt>
                <c:pt idx="186">
                  <c:v>1371350.2902786676</c:v>
                </c:pt>
                <c:pt idx="187">
                  <c:v>1327820.4922196097</c:v>
                </c:pt>
                <c:pt idx="188">
                  <c:v>1070259.1203905283</c:v>
                </c:pt>
                <c:pt idx="189">
                  <c:v>1088004.9070705543</c:v>
                </c:pt>
                <c:pt idx="190">
                  <c:v>1176093.7280897489</c:v>
                </c:pt>
                <c:pt idx="191">
                  <c:v>1397301.7180873984</c:v>
                </c:pt>
                <c:pt idx="192">
                  <c:v>1499565.533126663</c:v>
                </c:pt>
                <c:pt idx="193">
                  <c:v>1327516.0580574961</c:v>
                </c:pt>
                <c:pt idx="194">
                  <c:v>1322756.7945539022</c:v>
                </c:pt>
                <c:pt idx="195">
                  <c:v>1130268.9196912993</c:v>
                </c:pt>
                <c:pt idx="196">
                  <c:v>1101918.3309637001</c:v>
                </c:pt>
                <c:pt idx="197">
                  <c:v>1193546.7533351388</c:v>
                </c:pt>
                <c:pt idx="198">
                  <c:v>1403356.6182786678</c:v>
                </c:pt>
                <c:pt idx="199">
                  <c:v>1359826.8202196097</c:v>
                </c:pt>
                <c:pt idx="200">
                  <c:v>1102265.4483905286</c:v>
                </c:pt>
                <c:pt idx="201">
                  <c:v>1120011.2350705543</c:v>
                </c:pt>
                <c:pt idx="202">
                  <c:v>1208100.0560897489</c:v>
                </c:pt>
                <c:pt idx="203">
                  <c:v>1429308.0460873987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2-42E4-BC20-C9938ADC3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&lt; 50 Normalized'!$D$1</c:f>
              <c:strCache>
                <c:ptCount val="1"/>
                <c:pt idx="0">
                  <c:v>VRZ_GSlt50kWh_No_CDM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&lt; 50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'VRZ GS &lt; 50 Normalized'!$D$2:$D$109</c:f>
              <c:numCache>
                <c:formatCode>_-* #,##0_-;\-* #,##0_-;_-* "-"??_-;_-@_-</c:formatCode>
                <c:ptCount val="108"/>
                <c:pt idx="0">
                  <c:v>26981959.517060727</c:v>
                </c:pt>
                <c:pt idx="1">
                  <c:v>25430194.3105684</c:v>
                </c:pt>
                <c:pt idx="2">
                  <c:v>24877501.19547607</c:v>
                </c:pt>
                <c:pt idx="3">
                  <c:v>21229741.062543746</c:v>
                </c:pt>
                <c:pt idx="4">
                  <c:v>20575374.446851514</c:v>
                </c:pt>
                <c:pt idx="5">
                  <c:v>20752045.947469089</c:v>
                </c:pt>
                <c:pt idx="6">
                  <c:v>23522096.251636662</c:v>
                </c:pt>
                <c:pt idx="7">
                  <c:v>22759897.850964334</c:v>
                </c:pt>
                <c:pt idx="8">
                  <c:v>21803606.345172107</c:v>
                </c:pt>
                <c:pt idx="9">
                  <c:v>20501518.191849783</c:v>
                </c:pt>
                <c:pt idx="10">
                  <c:v>21181526.340287454</c:v>
                </c:pt>
                <c:pt idx="11">
                  <c:v>22656543.141495027</c:v>
                </c:pt>
                <c:pt idx="12">
                  <c:v>26806952.146743711</c:v>
                </c:pt>
                <c:pt idx="13">
                  <c:v>24974302.665926483</c:v>
                </c:pt>
                <c:pt idx="14">
                  <c:v>24613245.078799155</c:v>
                </c:pt>
                <c:pt idx="15">
                  <c:v>22554956.810262024</c:v>
                </c:pt>
                <c:pt idx="16">
                  <c:v>22209499.313384797</c:v>
                </c:pt>
                <c:pt idx="17">
                  <c:v>23287133.693617567</c:v>
                </c:pt>
                <c:pt idx="18">
                  <c:v>25850604.260270339</c:v>
                </c:pt>
                <c:pt idx="19">
                  <c:v>27029245.50254311</c:v>
                </c:pt>
                <c:pt idx="20">
                  <c:v>22914722.99220578</c:v>
                </c:pt>
                <c:pt idx="21">
                  <c:v>21696597.548698653</c:v>
                </c:pt>
                <c:pt idx="22">
                  <c:v>22609434.965051424</c:v>
                </c:pt>
                <c:pt idx="23">
                  <c:v>25821402.248064097</c:v>
                </c:pt>
                <c:pt idx="24">
                  <c:v>26279107.799820367</c:v>
                </c:pt>
                <c:pt idx="25">
                  <c:v>23510045.533455335</c:v>
                </c:pt>
                <c:pt idx="26">
                  <c:v>25925594.397500303</c:v>
                </c:pt>
                <c:pt idx="27">
                  <c:v>21381267.508215073</c:v>
                </c:pt>
                <c:pt idx="28">
                  <c:v>21685920.775199942</c:v>
                </c:pt>
                <c:pt idx="29">
                  <c:v>22197923.77735481</c:v>
                </c:pt>
                <c:pt idx="30">
                  <c:v>24159720.737949777</c:v>
                </c:pt>
                <c:pt idx="31">
                  <c:v>23901050.910974443</c:v>
                </c:pt>
                <c:pt idx="32">
                  <c:v>22414168.935549516</c:v>
                </c:pt>
                <c:pt idx="33">
                  <c:v>21325854.020314284</c:v>
                </c:pt>
                <c:pt idx="34">
                  <c:v>23171431.02149915</c:v>
                </c:pt>
                <c:pt idx="35">
                  <c:v>26407186.930284023</c:v>
                </c:pt>
                <c:pt idx="36">
                  <c:v>28346942.335826002</c:v>
                </c:pt>
                <c:pt idx="37">
                  <c:v>24235726.85548107</c:v>
                </c:pt>
                <c:pt idx="38">
                  <c:v>25186826.001236435</c:v>
                </c:pt>
                <c:pt idx="39">
                  <c:v>23180895.087741606</c:v>
                </c:pt>
                <c:pt idx="40">
                  <c:v>22313963.63573657</c:v>
                </c:pt>
                <c:pt idx="41">
                  <c:v>22801873.482121836</c:v>
                </c:pt>
                <c:pt idx="42">
                  <c:v>26320696.677457105</c:v>
                </c:pt>
                <c:pt idx="43">
                  <c:v>26202860.506362271</c:v>
                </c:pt>
                <c:pt idx="44">
                  <c:v>22815236.500837341</c:v>
                </c:pt>
                <c:pt idx="45">
                  <c:v>22106154.886432506</c:v>
                </c:pt>
                <c:pt idx="46">
                  <c:v>24138888.993887678</c:v>
                </c:pt>
                <c:pt idx="47">
                  <c:v>25339446.166972842</c:v>
                </c:pt>
                <c:pt idx="48">
                  <c:v>28199794.929765757</c:v>
                </c:pt>
                <c:pt idx="49">
                  <c:v>25294481.990231387</c:v>
                </c:pt>
                <c:pt idx="50">
                  <c:v>26621291.355706912</c:v>
                </c:pt>
                <c:pt idx="51">
                  <c:v>24284936.427162535</c:v>
                </c:pt>
                <c:pt idx="52">
                  <c:v>22990078.605217956</c:v>
                </c:pt>
                <c:pt idx="53">
                  <c:v>23460428.591133583</c:v>
                </c:pt>
                <c:pt idx="54">
                  <c:v>28720628.229629111</c:v>
                </c:pt>
                <c:pt idx="55">
                  <c:v>26641426.684534434</c:v>
                </c:pt>
                <c:pt idx="56">
                  <c:v>22786083.403550062</c:v>
                </c:pt>
                <c:pt idx="57">
                  <c:v>22912660.533415586</c:v>
                </c:pt>
                <c:pt idx="58">
                  <c:v>25340479.971441206</c:v>
                </c:pt>
                <c:pt idx="59">
                  <c:v>27137586.348116633</c:v>
                </c:pt>
                <c:pt idx="60">
                  <c:v>27882555.665730566</c:v>
                </c:pt>
                <c:pt idx="61">
                  <c:v>26219897.050254565</c:v>
                </c:pt>
                <c:pt idx="62">
                  <c:v>24264064.167998258</c:v>
                </c:pt>
                <c:pt idx="63">
                  <c:v>19436437.523442257</c:v>
                </c:pt>
                <c:pt idx="64">
                  <c:v>19729688.584076051</c:v>
                </c:pt>
                <c:pt idx="65">
                  <c:v>22049789.285819951</c:v>
                </c:pt>
                <c:pt idx="66">
                  <c:v>27165576.220593844</c:v>
                </c:pt>
                <c:pt idx="67">
                  <c:v>25223117.485357739</c:v>
                </c:pt>
                <c:pt idx="68">
                  <c:v>21547745.295761634</c:v>
                </c:pt>
                <c:pt idx="69">
                  <c:v>21498604.015655532</c:v>
                </c:pt>
                <c:pt idx="70">
                  <c:v>22721851.45839943</c:v>
                </c:pt>
                <c:pt idx="71">
                  <c:v>25125723.779873326</c:v>
                </c:pt>
                <c:pt idx="72">
                  <c:v>24683039.699006654</c:v>
                </c:pt>
                <c:pt idx="73">
                  <c:v>23922312.387535505</c:v>
                </c:pt>
                <c:pt idx="74">
                  <c:v>24669717.705174152</c:v>
                </c:pt>
                <c:pt idx="75">
                  <c:v>20613043.1888326</c:v>
                </c:pt>
                <c:pt idx="76">
                  <c:v>20580592.371781345</c:v>
                </c:pt>
                <c:pt idx="77">
                  <c:v>22871966.90863999</c:v>
                </c:pt>
                <c:pt idx="78">
                  <c:v>24719487.723428641</c:v>
                </c:pt>
                <c:pt idx="79">
                  <c:v>27571121.987427287</c:v>
                </c:pt>
                <c:pt idx="80">
                  <c:v>22538954.016435936</c:v>
                </c:pt>
                <c:pt idx="81">
                  <c:v>21957724.684754584</c:v>
                </c:pt>
                <c:pt idx="82">
                  <c:v>23244728.894573234</c:v>
                </c:pt>
                <c:pt idx="83">
                  <c:v>25263814.223931879</c:v>
                </c:pt>
                <c:pt idx="84">
                  <c:v>27897926.230337426</c:v>
                </c:pt>
                <c:pt idx="85">
                  <c:v>25365502.966344409</c:v>
                </c:pt>
                <c:pt idx="86">
                  <c:v>26038765.760591585</c:v>
                </c:pt>
                <c:pt idx="87">
                  <c:v>22590456.732098669</c:v>
                </c:pt>
                <c:pt idx="88">
                  <c:v>22646535.682845749</c:v>
                </c:pt>
                <c:pt idx="89">
                  <c:v>23653822.798542827</c:v>
                </c:pt>
                <c:pt idx="90">
                  <c:v>26890192.657499813</c:v>
                </c:pt>
                <c:pt idx="91">
                  <c:v>27033389.343666892</c:v>
                </c:pt>
                <c:pt idx="92">
                  <c:v>22797369.54889407</c:v>
                </c:pt>
                <c:pt idx="93">
                  <c:v>21989257.920071155</c:v>
                </c:pt>
                <c:pt idx="94">
                  <c:v>23568965.875378236</c:v>
                </c:pt>
                <c:pt idx="95">
                  <c:v>26456423.844515316</c:v>
                </c:pt>
                <c:pt idx="96">
                  <c:v>27136724.924837537</c:v>
                </c:pt>
                <c:pt idx="97">
                  <c:v>25065369.150999155</c:v>
                </c:pt>
                <c:pt idx="98">
                  <c:v>26695839.499610867</c:v>
                </c:pt>
                <c:pt idx="99">
                  <c:v>22832471.779142085</c:v>
                </c:pt>
                <c:pt idx="100">
                  <c:v>22904267.3630738</c:v>
                </c:pt>
                <c:pt idx="101">
                  <c:v>24153083.435205214</c:v>
                </c:pt>
                <c:pt idx="102">
                  <c:v>27124425.419216834</c:v>
                </c:pt>
                <c:pt idx="103">
                  <c:v>24663739.636838347</c:v>
                </c:pt>
                <c:pt idx="104">
                  <c:v>23757952.604179867</c:v>
                </c:pt>
                <c:pt idx="105">
                  <c:v>22834530.070741281</c:v>
                </c:pt>
                <c:pt idx="106">
                  <c:v>24231262.794732895</c:v>
                </c:pt>
                <c:pt idx="107">
                  <c:v>23806861.686024413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9-4B1B-B4EC-09DDE210F6D7}"/>
            </c:ext>
          </c:extLst>
        </c:ser>
        <c:ser>
          <c:idx val="1"/>
          <c:order val="1"/>
          <c:tx>
            <c:strRef>
              <c:f>'VRZ GS &lt; 50 Normalized'!$Q$1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&lt; 50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'VRZ GS &lt; 50 Normalized'!$Q$2:$Q$205</c:f>
              <c:numCache>
                <c:formatCode>_-* #,##0_-;\-* #,##0_-;_-* "-"??_-;_-@_-</c:formatCode>
                <c:ptCount val="204"/>
                <c:pt idx="0">
                  <c:v>26073837.023382608</c:v>
                </c:pt>
                <c:pt idx="1">
                  <c:v>23773734.81271594</c:v>
                </c:pt>
                <c:pt idx="2">
                  <c:v>24396176.134930436</c:v>
                </c:pt>
                <c:pt idx="3">
                  <c:v>21819512.665829547</c:v>
                </c:pt>
                <c:pt idx="4">
                  <c:v>21704235.602859508</c:v>
                </c:pt>
                <c:pt idx="5">
                  <c:v>22655364.441919379</c:v>
                </c:pt>
                <c:pt idx="6">
                  <c:v>25917721.84639331</c:v>
                </c:pt>
                <c:pt idx="7">
                  <c:v>25181977.544173338</c:v>
                </c:pt>
                <c:pt idx="8">
                  <c:v>21927472.691722956</c:v>
                </c:pt>
                <c:pt idx="9">
                  <c:v>21590504.150115035</c:v>
                </c:pt>
                <c:pt idx="10">
                  <c:v>22611669.215460371</c:v>
                </c:pt>
                <c:pt idx="11">
                  <c:v>24778896.81604638</c:v>
                </c:pt>
                <c:pt idx="12">
                  <c:v>26124344.805382609</c:v>
                </c:pt>
                <c:pt idx="13">
                  <c:v>24313004.03671594</c:v>
                </c:pt>
                <c:pt idx="14">
                  <c:v>24465105.592930436</c:v>
                </c:pt>
                <c:pt idx="15">
                  <c:v>21882672.697829545</c:v>
                </c:pt>
                <c:pt idx="16">
                  <c:v>21770533.392859511</c:v>
                </c:pt>
                <c:pt idx="17">
                  <c:v>22725103.643919379</c:v>
                </c:pt>
                <c:pt idx="18">
                  <c:v>25979566.044393308</c:v>
                </c:pt>
                <c:pt idx="19">
                  <c:v>25235724.302173339</c:v>
                </c:pt>
                <c:pt idx="20">
                  <c:v>21986887.657722954</c:v>
                </c:pt>
                <c:pt idx="21">
                  <c:v>21666113.996115036</c:v>
                </c:pt>
                <c:pt idx="22">
                  <c:v>22713089.651460372</c:v>
                </c:pt>
                <c:pt idx="23">
                  <c:v>24886086.678046376</c:v>
                </c:pt>
                <c:pt idx="24">
                  <c:v>26241757.685382608</c:v>
                </c:pt>
                <c:pt idx="25">
                  <c:v>23955522.340715941</c:v>
                </c:pt>
                <c:pt idx="26">
                  <c:v>24593450.016930435</c:v>
                </c:pt>
                <c:pt idx="27">
                  <c:v>22017090.201829545</c:v>
                </c:pt>
                <c:pt idx="28">
                  <c:v>21908999.616859511</c:v>
                </c:pt>
                <c:pt idx="29">
                  <c:v>22867821.023919381</c:v>
                </c:pt>
                <c:pt idx="30">
                  <c:v>26146879.398393311</c:v>
                </c:pt>
                <c:pt idx="31">
                  <c:v>25424799.526173338</c:v>
                </c:pt>
                <c:pt idx="32">
                  <c:v>22203089.305722956</c:v>
                </c:pt>
                <c:pt idx="33">
                  <c:v>21885048.530115038</c:v>
                </c:pt>
                <c:pt idx="34">
                  <c:v>22939008.227460369</c:v>
                </c:pt>
                <c:pt idx="35">
                  <c:v>25111195.510046378</c:v>
                </c:pt>
                <c:pt idx="36">
                  <c:v>26440246.183382608</c:v>
                </c:pt>
                <c:pt idx="37">
                  <c:v>24124151.528715942</c:v>
                </c:pt>
                <c:pt idx="38">
                  <c:v>24743556.310930435</c:v>
                </c:pt>
                <c:pt idx="39">
                  <c:v>22173168.357829545</c:v>
                </c:pt>
                <c:pt idx="40">
                  <c:v>22059915.654859509</c:v>
                </c:pt>
                <c:pt idx="41">
                  <c:v>23015295.649919383</c:v>
                </c:pt>
                <c:pt idx="42">
                  <c:v>26298706.398393311</c:v>
                </c:pt>
                <c:pt idx="43">
                  <c:v>25566201.072173335</c:v>
                </c:pt>
                <c:pt idx="44">
                  <c:v>22335178.795722954</c:v>
                </c:pt>
                <c:pt idx="45">
                  <c:v>21997198.074115038</c:v>
                </c:pt>
                <c:pt idx="46">
                  <c:v>23048020.013460368</c:v>
                </c:pt>
                <c:pt idx="47">
                  <c:v>25212008.638046376</c:v>
                </c:pt>
                <c:pt idx="48">
                  <c:v>26553104.253382608</c:v>
                </c:pt>
                <c:pt idx="49">
                  <c:v>24271727.372715943</c:v>
                </c:pt>
                <c:pt idx="50">
                  <c:v>24903683.186930433</c:v>
                </c:pt>
                <c:pt idx="51">
                  <c:v>22340785.365829546</c:v>
                </c:pt>
                <c:pt idx="52">
                  <c:v>22233403.306859508</c:v>
                </c:pt>
                <c:pt idx="53">
                  <c:v>23196880.741919383</c:v>
                </c:pt>
                <c:pt idx="54">
                  <c:v>26451039.48839331</c:v>
                </c:pt>
                <c:pt idx="55">
                  <c:v>25724404.806173336</c:v>
                </c:pt>
                <c:pt idx="56">
                  <c:v>22495710.543722954</c:v>
                </c:pt>
                <c:pt idx="57">
                  <c:v>22180301.436115038</c:v>
                </c:pt>
                <c:pt idx="58">
                  <c:v>23218369.907460369</c:v>
                </c:pt>
                <c:pt idx="59">
                  <c:v>25391771.806046378</c:v>
                </c:pt>
                <c:pt idx="60">
                  <c:v>26747037.941382609</c:v>
                </c:pt>
                <c:pt idx="61">
                  <c:v>24928915.566715941</c:v>
                </c:pt>
                <c:pt idx="62">
                  <c:v>23688302.832930434</c:v>
                </c:pt>
                <c:pt idx="63">
                  <c:v>19485516.365829546</c:v>
                </c:pt>
                <c:pt idx="64">
                  <c:v>18969416.02285951</c:v>
                </c:pt>
                <c:pt idx="65">
                  <c:v>21041792.475919381</c:v>
                </c:pt>
                <c:pt idx="66">
                  <c:v>24483710.612393312</c:v>
                </c:pt>
                <c:pt idx="67">
                  <c:v>23983298.160173334</c:v>
                </c:pt>
                <c:pt idx="68">
                  <c:v>20898839.547722954</c:v>
                </c:pt>
                <c:pt idx="69">
                  <c:v>20688494.724115036</c:v>
                </c:pt>
                <c:pt idx="70">
                  <c:v>21804501.055460371</c:v>
                </c:pt>
                <c:pt idx="71">
                  <c:v>23980129.750046376</c:v>
                </c:pt>
                <c:pt idx="72">
                  <c:v>25255130.01138261</c:v>
                </c:pt>
                <c:pt idx="73">
                  <c:v>22924864.836715944</c:v>
                </c:pt>
                <c:pt idx="74">
                  <c:v>23572711.876930434</c:v>
                </c:pt>
                <c:pt idx="75">
                  <c:v>21029045.475829545</c:v>
                </c:pt>
                <c:pt idx="76">
                  <c:v>20896156.480859511</c:v>
                </c:pt>
                <c:pt idx="77">
                  <c:v>21823802.74391938</c:v>
                </c:pt>
                <c:pt idx="78">
                  <c:v>25142234.92039331</c:v>
                </c:pt>
                <c:pt idx="79">
                  <c:v>24491007.648173336</c:v>
                </c:pt>
                <c:pt idx="80">
                  <c:v>21320716.171722956</c:v>
                </c:pt>
                <c:pt idx="81">
                  <c:v>21043871.122115038</c:v>
                </c:pt>
                <c:pt idx="82">
                  <c:v>22140747.25146037</c:v>
                </c:pt>
                <c:pt idx="83">
                  <c:v>24353320.516046375</c:v>
                </c:pt>
                <c:pt idx="84">
                  <c:v>26281710.881382607</c:v>
                </c:pt>
                <c:pt idx="85">
                  <c:v>24002459.578715943</c:v>
                </c:pt>
                <c:pt idx="86">
                  <c:v>24634415.392930433</c:v>
                </c:pt>
                <c:pt idx="87">
                  <c:v>22129819.139829546</c:v>
                </c:pt>
                <c:pt idx="88">
                  <c:v>22025372.402859509</c:v>
                </c:pt>
                <c:pt idx="89">
                  <c:v>22975691.497919381</c:v>
                </c:pt>
                <c:pt idx="90">
                  <c:v>26227623.448393311</c:v>
                </c:pt>
                <c:pt idx="91">
                  <c:v>25480239.076173335</c:v>
                </c:pt>
                <c:pt idx="92">
                  <c:v>22225531.787722953</c:v>
                </c:pt>
                <c:pt idx="93">
                  <c:v>21897774.084115036</c:v>
                </c:pt>
                <c:pt idx="94">
                  <c:v>22943332.68746037</c:v>
                </c:pt>
                <c:pt idx="95">
                  <c:v>25138800.110046379</c:v>
                </c:pt>
                <c:pt idx="96">
                  <c:v>27118001.911382608</c:v>
                </c:pt>
                <c:pt idx="97">
                  <c:v>24853427.218715943</c:v>
                </c:pt>
                <c:pt idx="98">
                  <c:v>25505829.068930432</c:v>
                </c:pt>
                <c:pt idx="99">
                  <c:v>22950218.943829544</c:v>
                </c:pt>
                <c:pt idx="100">
                  <c:v>22839597.90885951</c:v>
                </c:pt>
                <c:pt idx="101">
                  <c:v>23807022.845919378</c:v>
                </c:pt>
                <c:pt idx="102">
                  <c:v>27073631.406393312</c:v>
                </c:pt>
                <c:pt idx="103">
                  <c:v>26356916.088173337</c:v>
                </c:pt>
                <c:pt idx="104">
                  <c:v>23119820.731722955</c:v>
                </c:pt>
                <c:pt idx="105">
                  <c:v>22792063.028115034</c:v>
                </c:pt>
                <c:pt idx="106">
                  <c:v>23828916.883460373</c:v>
                </c:pt>
                <c:pt idx="107">
                  <c:v>25977722.808046378</c:v>
                </c:pt>
                <c:pt idx="108">
                  <c:v>27311733.163382608</c:v>
                </c:pt>
                <c:pt idx="109">
                  <c:v>25483286.552715942</c:v>
                </c:pt>
                <c:pt idx="110">
                  <c:v>25646015.998930436</c:v>
                </c:pt>
                <c:pt idx="111">
                  <c:v>23081498.689829543</c:v>
                </c:pt>
                <c:pt idx="112">
                  <c:v>22985351.828859508</c:v>
                </c:pt>
                <c:pt idx="113">
                  <c:v>23949740.225919381</c:v>
                </c:pt>
                <c:pt idx="114">
                  <c:v>27218575.582393311</c:v>
                </c:pt>
                <c:pt idx="115">
                  <c:v>26483641.024173334</c:v>
                </c:pt>
                <c:pt idx="116">
                  <c:v>23249885.861722954</c:v>
                </c:pt>
                <c:pt idx="117">
                  <c:v>22918990.400115035</c:v>
                </c:pt>
                <c:pt idx="118">
                  <c:v>23950985.791460373</c:v>
                </c:pt>
                <c:pt idx="119">
                  <c:v>26109711.080046378</c:v>
                </c:pt>
                <c:pt idx="120">
                  <c:v>27461434.585382607</c:v>
                </c:pt>
                <c:pt idx="121">
                  <c:v>25186029.566715941</c:v>
                </c:pt>
                <c:pt idx="122">
                  <c:v>25815252.494930435</c:v>
                </c:pt>
                <c:pt idx="123">
                  <c:v>23217130.809829548</c:v>
                </c:pt>
                <c:pt idx="124">
                  <c:v>23075030.97685951</c:v>
                </c:pt>
                <c:pt idx="125">
                  <c:v>24015228.271919381</c:v>
                </c:pt>
                <c:pt idx="126">
                  <c:v>27286698.00397481</c:v>
                </c:pt>
                <c:pt idx="127">
                  <c:v>26551815.218761839</c:v>
                </c:pt>
                <c:pt idx="128">
                  <c:v>23318171.952810455</c:v>
                </c:pt>
                <c:pt idx="129">
                  <c:v>22987295.69731804</c:v>
                </c:pt>
                <c:pt idx="130">
                  <c:v>24019309.459730372</c:v>
                </c:pt>
                <c:pt idx="131">
                  <c:v>26178045.60394688</c:v>
                </c:pt>
                <c:pt idx="132">
                  <c:v>27494649.879390609</c:v>
                </c:pt>
                <c:pt idx="133">
                  <c:v>25219362.678475942</c:v>
                </c:pt>
                <c:pt idx="134">
                  <c:v>25848624.069530435</c:v>
                </c:pt>
                <c:pt idx="135">
                  <c:v>23250441.248757549</c:v>
                </c:pt>
                <c:pt idx="136">
                  <c:v>23108262.465747505</c:v>
                </c:pt>
                <c:pt idx="137">
                  <c:v>24048446.40003138</c:v>
                </c:pt>
                <c:pt idx="138">
                  <c:v>27319999.546549138</c:v>
                </c:pt>
                <c:pt idx="139">
                  <c:v>26585142.070492189</c:v>
                </c:pt>
                <c:pt idx="140">
                  <c:v>23351553.504974805</c:v>
                </c:pt>
                <c:pt idx="141">
                  <c:v>23020686.638362851</c:v>
                </c:pt>
                <c:pt idx="142">
                  <c:v>24052709.381443448</c:v>
                </c:pt>
                <c:pt idx="143">
                  <c:v>26211450.832418479</c:v>
                </c:pt>
                <c:pt idx="144">
                  <c:v>27569683.228554677</c:v>
                </c:pt>
                <c:pt idx="145">
                  <c:v>25771378.677941781</c:v>
                </c:pt>
                <c:pt idx="146">
                  <c:v>25924010.456551835</c:v>
                </c:pt>
                <c:pt idx="147">
                  <c:v>23325689.530295897</c:v>
                </c:pt>
                <c:pt idx="148">
                  <c:v>23183332.399145499</c:v>
                </c:pt>
                <c:pt idx="149">
                  <c:v>24123486.151436388</c:v>
                </c:pt>
                <c:pt idx="150">
                  <c:v>27395227.731224541</c:v>
                </c:pt>
                <c:pt idx="151">
                  <c:v>26660427.428551055</c:v>
                </c:pt>
                <c:pt idx="152">
                  <c:v>23426962.431314074</c:v>
                </c:pt>
                <c:pt idx="153">
                  <c:v>23096116.77418308</c:v>
                </c:pt>
                <c:pt idx="154">
                  <c:v>24128159.804593295</c:v>
                </c:pt>
                <c:pt idx="155">
                  <c:v>26286913.243535832</c:v>
                </c:pt>
                <c:pt idx="156">
                  <c:v>27645391.877861224</c:v>
                </c:pt>
                <c:pt idx="157">
                  <c:v>25370639.372902814</c:v>
                </c:pt>
                <c:pt idx="158">
                  <c:v>26000075.321056426</c:v>
                </c:pt>
                <c:pt idx="159">
                  <c:v>23401615.046368092</c:v>
                </c:pt>
                <c:pt idx="160">
                  <c:v>23259077.961944073</c:v>
                </c:pt>
                <c:pt idx="161">
                  <c:v>24199201.260604039</c:v>
                </c:pt>
                <c:pt idx="162">
                  <c:v>27471132.969562024</c:v>
                </c:pt>
                <c:pt idx="163">
                  <c:v>26736390.354832456</c:v>
                </c:pt>
                <c:pt idx="164">
                  <c:v>23503050.037990391</c:v>
                </c:pt>
                <c:pt idx="165">
                  <c:v>23172225.781225689</c:v>
                </c:pt>
                <c:pt idx="166">
                  <c:v>24204289.281551491</c:v>
                </c:pt>
                <c:pt idx="167">
                  <c:v>26363054.816353232</c:v>
                </c:pt>
                <c:pt idx="168">
                  <c:v>27721781.905011531</c:v>
                </c:pt>
                <c:pt idx="169">
                  <c:v>25447300.362618495</c:v>
                </c:pt>
                <c:pt idx="170">
                  <c:v>26076824.769341558</c:v>
                </c:pt>
                <c:pt idx="171">
                  <c:v>23478223.892084941</c:v>
                </c:pt>
                <c:pt idx="172">
                  <c:v>23335505.234807834</c:v>
                </c:pt>
                <c:pt idx="173">
                  <c:v>24275597.8057542</c:v>
                </c:pt>
                <c:pt idx="174">
                  <c:v>27547721.35504454</c:v>
                </c:pt>
                <c:pt idx="175">
                  <c:v>26813036.947450384</c:v>
                </c:pt>
                <c:pt idx="176">
                  <c:v>23579822.433126796</c:v>
                </c:pt>
                <c:pt idx="177">
                  <c:v>23249019.769331686</c:v>
                </c:pt>
                <c:pt idx="178">
                  <c:v>24281103.923802309</c:v>
                </c:pt>
                <c:pt idx="179">
                  <c:v>26439881.663325995</c:v>
                </c:pt>
                <c:pt idx="180">
                  <c:v>27798859.442406192</c:v>
                </c:pt>
                <c:pt idx="181">
                  <c:v>26001367.801241618</c:v>
                </c:pt>
                <c:pt idx="182">
                  <c:v>26154264.962661259</c:v>
                </c:pt>
                <c:pt idx="183">
                  <c:v>23555522.217413239</c:v>
                </c:pt>
                <c:pt idx="184">
                  <c:v>23412620.353127368</c:v>
                </c:pt>
                <c:pt idx="185">
                  <c:v>24352681.919810712</c:v>
                </c:pt>
                <c:pt idx="186">
                  <c:v>27624999.0359964</c:v>
                </c:pt>
                <c:pt idx="187">
                  <c:v>26890373.359401878</c:v>
                </c:pt>
                <c:pt idx="188">
                  <c:v>23657285.779819433</c:v>
                </c:pt>
                <c:pt idx="189">
                  <c:v>23326504.903330632</c:v>
                </c:pt>
                <c:pt idx="190">
                  <c:v>24358609.897833385</c:v>
                </c:pt>
                <c:pt idx="191">
                  <c:v>26517399.951921511</c:v>
                </c:pt>
                <c:pt idx="192">
                  <c:v>27876630.677637406</c:v>
                </c:pt>
                <c:pt idx="193">
                  <c:v>25602698.398312345</c:v>
                </c:pt>
                <c:pt idx="194">
                  <c:v>26232402.117720835</c:v>
                </c:pt>
                <c:pt idx="195">
                  <c:v>23633516.227669492</c:v>
                </c:pt>
                <c:pt idx="196">
                  <c:v>23490429.50751178</c:v>
                </c:pt>
                <c:pt idx="197">
                  <c:v>24430459.790893734</c:v>
                </c:pt>
                <c:pt idx="198">
                  <c:v>27702972.216076829</c:v>
                </c:pt>
                <c:pt idx="199">
                  <c:v>26968405.799060933</c:v>
                </c:pt>
                <c:pt idx="200">
                  <c:v>23735446.296632297</c:v>
                </c:pt>
                <c:pt idx="201">
                  <c:v>23404687.403535575</c:v>
                </c:pt>
                <c:pt idx="202">
                  <c:v>24436813.425630741</c:v>
                </c:pt>
                <c:pt idx="203">
                  <c:v>26595615.905114386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9-4B1B-B4EC-09DDE210F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50 - 2,999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50-2,999 Normalized'!$D$1</c:f>
              <c:strCache>
                <c:ptCount val="1"/>
                <c:pt idx="0">
                  <c:v>VRZ_GS50to2999kWh_No_CDM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50-2,999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'VRZ GS 50-2,999 Normalized'!$D$3:$D$109</c:f>
              <c:numCache>
                <c:formatCode>_-* #,##0_-;\-* #,##0_-;_-* "-"??_-;_-@_-</c:formatCode>
                <c:ptCount val="107"/>
                <c:pt idx="0">
                  <c:v>76632985.030416265</c:v>
                </c:pt>
                <c:pt idx="1">
                  <c:v>85961173.667970002</c:v>
                </c:pt>
                <c:pt idx="2">
                  <c:v>78651699.97552374</c:v>
                </c:pt>
                <c:pt idx="3">
                  <c:v>80725133.273077473</c:v>
                </c:pt>
                <c:pt idx="4">
                  <c:v>81951611.450631216</c:v>
                </c:pt>
                <c:pt idx="5">
                  <c:v>84790202.238184944</c:v>
                </c:pt>
                <c:pt idx="6">
                  <c:v>84347090.635738686</c:v>
                </c:pt>
                <c:pt idx="7">
                  <c:v>83793511.793292418</c:v>
                </c:pt>
                <c:pt idx="8">
                  <c:v>79410343.900846153</c:v>
                </c:pt>
                <c:pt idx="9">
                  <c:v>79052148.718399897</c:v>
                </c:pt>
                <c:pt idx="10">
                  <c:v>78203185.075953633</c:v>
                </c:pt>
                <c:pt idx="11">
                  <c:v>85425274.307035491</c:v>
                </c:pt>
                <c:pt idx="12">
                  <c:v>81187927.697385803</c:v>
                </c:pt>
                <c:pt idx="13">
                  <c:v>83345957.967736125</c:v>
                </c:pt>
                <c:pt idx="14">
                  <c:v>79087505.848086447</c:v>
                </c:pt>
                <c:pt idx="15">
                  <c:v>80476862.198436767</c:v>
                </c:pt>
                <c:pt idx="16">
                  <c:v>83369828.778787091</c:v>
                </c:pt>
                <c:pt idx="17">
                  <c:v>85701375.219137415</c:v>
                </c:pt>
                <c:pt idx="18">
                  <c:v>89758205.989487737</c:v>
                </c:pt>
                <c:pt idx="19">
                  <c:v>81723353.939838052</c:v>
                </c:pt>
                <c:pt idx="20">
                  <c:v>79236220.680188373</c:v>
                </c:pt>
                <c:pt idx="21">
                  <c:v>79346388.920538694</c:v>
                </c:pt>
                <c:pt idx="22">
                  <c:v>80205572.860889018</c:v>
                </c:pt>
                <c:pt idx="23">
                  <c:v>84345594.329790711</c:v>
                </c:pt>
                <c:pt idx="24">
                  <c:v>76455949.867234513</c:v>
                </c:pt>
                <c:pt idx="25">
                  <c:v>85005849.524678305</c:v>
                </c:pt>
                <c:pt idx="26">
                  <c:v>75760447.032122105</c:v>
                </c:pt>
                <c:pt idx="27">
                  <c:v>79518997.669565901</c:v>
                </c:pt>
                <c:pt idx="28">
                  <c:v>80237105.367009684</c:v>
                </c:pt>
                <c:pt idx="29">
                  <c:v>82269026.564453483</c:v>
                </c:pt>
                <c:pt idx="30">
                  <c:v>85309136.221897274</c:v>
                </c:pt>
                <c:pt idx="31">
                  <c:v>82173288.189341083</c:v>
                </c:pt>
                <c:pt idx="32">
                  <c:v>80084243.886784881</c:v>
                </c:pt>
                <c:pt idx="33">
                  <c:v>81331968.014228672</c:v>
                </c:pt>
                <c:pt idx="34">
                  <c:v>83169232.251672462</c:v>
                </c:pt>
                <c:pt idx="35">
                  <c:v>89219398.42277886</c:v>
                </c:pt>
                <c:pt idx="36">
                  <c:v>79210676.167718485</c:v>
                </c:pt>
                <c:pt idx="37">
                  <c:v>84410406.562658131</c:v>
                </c:pt>
                <c:pt idx="38">
                  <c:v>80397213.467597783</c:v>
                </c:pt>
                <c:pt idx="39">
                  <c:v>81857156.762537405</c:v>
                </c:pt>
                <c:pt idx="40">
                  <c:v>83028377.88747704</c:v>
                </c:pt>
                <c:pt idx="41">
                  <c:v>88716707.202416673</c:v>
                </c:pt>
                <c:pt idx="42">
                  <c:v>90790787.837356314</c:v>
                </c:pt>
                <c:pt idx="43">
                  <c:v>84518146.232295945</c:v>
                </c:pt>
                <c:pt idx="44">
                  <c:v>82719001.677235588</c:v>
                </c:pt>
                <c:pt idx="45">
                  <c:v>83098159.202175215</c:v>
                </c:pt>
                <c:pt idx="46">
                  <c:v>81107239.617114857</c:v>
                </c:pt>
                <c:pt idx="47">
                  <c:v>89987890.642999917</c:v>
                </c:pt>
                <c:pt idx="48">
                  <c:v>81561175.396740332</c:v>
                </c:pt>
                <c:pt idx="49">
                  <c:v>86970718.640480727</c:v>
                </c:pt>
                <c:pt idx="50">
                  <c:v>79359358.704221129</c:v>
                </c:pt>
                <c:pt idx="51">
                  <c:v>80012440.007961541</c:v>
                </c:pt>
                <c:pt idx="52">
                  <c:v>80705233.661701947</c:v>
                </c:pt>
                <c:pt idx="53">
                  <c:v>89974220.065442368</c:v>
                </c:pt>
                <c:pt idx="54">
                  <c:v>86788884.969182774</c:v>
                </c:pt>
                <c:pt idx="55">
                  <c:v>80260355.412923172</c:v>
                </c:pt>
                <c:pt idx="56">
                  <c:v>79100092.056663573</c:v>
                </c:pt>
                <c:pt idx="57">
                  <c:v>81137021.800403982</c:v>
                </c:pt>
                <c:pt idx="58">
                  <c:v>81147803.554144382</c:v>
                </c:pt>
                <c:pt idx="59">
                  <c:v>85581911.003255412</c:v>
                </c:pt>
                <c:pt idx="60">
                  <c:v>81388173.433879867</c:v>
                </c:pt>
                <c:pt idx="61">
                  <c:v>79674733.704504296</c:v>
                </c:pt>
                <c:pt idx="62">
                  <c:v>66983219.52512873</c:v>
                </c:pt>
                <c:pt idx="63">
                  <c:v>70122728.675753176</c:v>
                </c:pt>
                <c:pt idx="64">
                  <c:v>78130654.066377595</c:v>
                </c:pt>
                <c:pt idx="65">
                  <c:v>89039486.947002053</c:v>
                </c:pt>
                <c:pt idx="66">
                  <c:v>85144234.977626473</c:v>
                </c:pt>
                <c:pt idx="67">
                  <c:v>78732260.728250906</c:v>
                </c:pt>
                <c:pt idx="68">
                  <c:v>78371353.74887535</c:v>
                </c:pt>
                <c:pt idx="69">
                  <c:v>78233360.389499784</c:v>
                </c:pt>
                <c:pt idx="70">
                  <c:v>80847957.450124219</c:v>
                </c:pt>
                <c:pt idx="71">
                  <c:v>83241205.245990917</c:v>
                </c:pt>
                <c:pt idx="72">
                  <c:v>78590630.451231077</c:v>
                </c:pt>
                <c:pt idx="73">
                  <c:v>83979042.606471211</c:v>
                </c:pt>
                <c:pt idx="74">
                  <c:v>75391302.341711357</c:v>
                </c:pt>
                <c:pt idx="75">
                  <c:v>77766804.946951509</c:v>
                </c:pt>
                <c:pt idx="76">
                  <c:v>83059371.182191655</c:v>
                </c:pt>
                <c:pt idx="77">
                  <c:v>84367992.157431811</c:v>
                </c:pt>
                <c:pt idx="78">
                  <c:v>90473728.112671942</c:v>
                </c:pt>
                <c:pt idx="79">
                  <c:v>80952425.807912096</c:v>
                </c:pt>
                <c:pt idx="80">
                  <c:v>80177254.353152245</c:v>
                </c:pt>
                <c:pt idx="81">
                  <c:v>80700103.788392395</c:v>
                </c:pt>
                <c:pt idx="82">
                  <c:v>81654985.85363254</c:v>
                </c:pt>
                <c:pt idx="83">
                  <c:v>87765377.837534875</c:v>
                </c:pt>
                <c:pt idx="84">
                  <c:v>81646689.613897964</c:v>
                </c:pt>
                <c:pt idx="85">
                  <c:v>87139508.810261041</c:v>
                </c:pt>
                <c:pt idx="86">
                  <c:v>79174698.18662414</c:v>
                </c:pt>
                <c:pt idx="87">
                  <c:v>81586543.102987215</c:v>
                </c:pt>
                <c:pt idx="88">
                  <c:v>83368101.109350309</c:v>
                </c:pt>
                <c:pt idx="89">
                  <c:v>87828802.185713395</c:v>
                </c:pt>
                <c:pt idx="90">
                  <c:v>90088246.792076468</c:v>
                </c:pt>
                <c:pt idx="91">
                  <c:v>81452776.388439566</c:v>
                </c:pt>
                <c:pt idx="92">
                  <c:v>79837057.994802639</c:v>
                </c:pt>
                <c:pt idx="93">
                  <c:v>82129240.641165733</c:v>
                </c:pt>
                <c:pt idx="94">
                  <c:v>83319692.807528824</c:v>
                </c:pt>
                <c:pt idx="95">
                  <c:v>87350703.138980687</c:v>
                </c:pt>
                <c:pt idx="96">
                  <c:v>80721380.291840538</c:v>
                </c:pt>
                <c:pt idx="97">
                  <c:v>86720127.644700378</c:v>
                </c:pt>
                <c:pt idx="98">
                  <c:v>77963624.177560225</c:v>
                </c:pt>
                <c:pt idx="99">
                  <c:v>80812976.800420076</c:v>
                </c:pt>
                <c:pt idx="100">
                  <c:v>83900144.093279928</c:v>
                </c:pt>
                <c:pt idx="101">
                  <c:v>88918844.516139761</c:v>
                </c:pt>
                <c:pt idx="102">
                  <c:v>88003177.528999612</c:v>
                </c:pt>
                <c:pt idx="103">
                  <c:v>83339511.051859453</c:v>
                </c:pt>
                <c:pt idx="104">
                  <c:v>82272945.574719295</c:v>
                </c:pt>
                <c:pt idx="105">
                  <c:v>83045482.417579144</c:v>
                </c:pt>
                <c:pt idx="106">
                  <c:v>82831630.850438997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9-49AF-BADC-708A4923DACE}"/>
            </c:ext>
          </c:extLst>
        </c:ser>
        <c:ser>
          <c:idx val="1"/>
          <c:order val="1"/>
          <c:tx>
            <c:strRef>
              <c:f>'VRZ GS 50-2,999 Normalized'!$S$1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50-2,999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'VRZ GS 50-2,999 Normalized'!$S$3:$S$205</c:f>
              <c:numCache>
                <c:formatCode>_-* #,##0_-;\-* #,##0_-;_-* "-"??_-;_-@_-</c:formatCode>
                <c:ptCount val="203"/>
                <c:pt idx="0">
                  <c:v>76062463.486881852</c:v>
                </c:pt>
                <c:pt idx="1">
                  <c:v>80200398.674319878</c:v>
                </c:pt>
                <c:pt idx="2">
                  <c:v>76119440.772761479</c:v>
                </c:pt>
                <c:pt idx="3">
                  <c:v>78296251.572905332</c:v>
                </c:pt>
                <c:pt idx="4">
                  <c:v>79212731.237729549</c:v>
                </c:pt>
                <c:pt idx="5">
                  <c:v>86010674.359778106</c:v>
                </c:pt>
                <c:pt idx="6">
                  <c:v>84681923.036110997</c:v>
                </c:pt>
                <c:pt idx="7">
                  <c:v>79557972.610843047</c:v>
                </c:pt>
                <c:pt idx="8">
                  <c:v>77923656.192739785</c:v>
                </c:pt>
                <c:pt idx="9">
                  <c:v>77951000.002689198</c:v>
                </c:pt>
                <c:pt idx="10">
                  <c:v>80238608.81077674</c:v>
                </c:pt>
                <c:pt idx="11">
                  <c:v>82772274.087756842</c:v>
                </c:pt>
                <c:pt idx="12">
                  <c:v>78656873.155881837</c:v>
                </c:pt>
                <c:pt idx="13">
                  <c:v>81472561.343319893</c:v>
                </c:pt>
                <c:pt idx="14">
                  <c:v>76685090.825381488</c:v>
                </c:pt>
                <c:pt idx="15">
                  <c:v>78861901.625525355</c:v>
                </c:pt>
                <c:pt idx="16">
                  <c:v>79778381.290349543</c:v>
                </c:pt>
                <c:pt idx="17">
                  <c:v>86518218.871328101</c:v>
                </c:pt>
                <c:pt idx="18">
                  <c:v>85189467.547661006</c:v>
                </c:pt>
                <c:pt idx="19">
                  <c:v>80065517.122393057</c:v>
                </c:pt>
                <c:pt idx="20">
                  <c:v>77645370.85165979</c:v>
                </c:pt>
                <c:pt idx="21">
                  <c:v>77672714.661609203</c:v>
                </c:pt>
                <c:pt idx="22">
                  <c:v>79960323.46969673</c:v>
                </c:pt>
                <c:pt idx="23">
                  <c:v>83021471.029806852</c:v>
                </c:pt>
                <c:pt idx="24">
                  <c:v>77583823.097931847</c:v>
                </c:pt>
                <c:pt idx="25">
                  <c:v>81721758.285369903</c:v>
                </c:pt>
                <c:pt idx="26">
                  <c:v>77894887.48462148</c:v>
                </c:pt>
                <c:pt idx="27">
                  <c:v>80071698.284765348</c:v>
                </c:pt>
                <c:pt idx="28">
                  <c:v>80988177.94958955</c:v>
                </c:pt>
                <c:pt idx="29">
                  <c:v>87224192.445908114</c:v>
                </c:pt>
                <c:pt idx="30">
                  <c:v>85895441.12224102</c:v>
                </c:pt>
                <c:pt idx="31">
                  <c:v>80771490.696973056</c:v>
                </c:pt>
                <c:pt idx="32">
                  <c:v>79041993.595369786</c:v>
                </c:pt>
                <c:pt idx="33">
                  <c:v>79069337.405319214</c:v>
                </c:pt>
                <c:pt idx="34">
                  <c:v>81356946.213406742</c:v>
                </c:pt>
                <c:pt idx="35">
                  <c:v>84117504.110196859</c:v>
                </c:pt>
                <c:pt idx="36">
                  <c:v>78679856.178321838</c:v>
                </c:pt>
                <c:pt idx="37">
                  <c:v>82817791.365759894</c:v>
                </c:pt>
                <c:pt idx="38">
                  <c:v>78763846.648661479</c:v>
                </c:pt>
                <c:pt idx="39">
                  <c:v>80940657.448805347</c:v>
                </c:pt>
                <c:pt idx="40">
                  <c:v>81857137.11362955</c:v>
                </c:pt>
                <c:pt idx="41">
                  <c:v>88893394.5375081</c:v>
                </c:pt>
                <c:pt idx="42">
                  <c:v>87564643.213841006</c:v>
                </c:pt>
                <c:pt idx="43">
                  <c:v>82440692.788573056</c:v>
                </c:pt>
                <c:pt idx="44">
                  <c:v>80629521.595699787</c:v>
                </c:pt>
                <c:pt idx="45">
                  <c:v>80656865.405649215</c:v>
                </c:pt>
                <c:pt idx="46">
                  <c:v>82944474.213736728</c:v>
                </c:pt>
                <c:pt idx="47">
                  <c:v>85078289.971746847</c:v>
                </c:pt>
                <c:pt idx="48">
                  <c:v>79640642.039871842</c:v>
                </c:pt>
                <c:pt idx="49">
                  <c:v>83778577.227309898</c:v>
                </c:pt>
                <c:pt idx="50">
                  <c:v>79767146.548841491</c:v>
                </c:pt>
                <c:pt idx="51">
                  <c:v>81943957.348985344</c:v>
                </c:pt>
                <c:pt idx="52">
                  <c:v>82860437.013809547</c:v>
                </c:pt>
                <c:pt idx="53">
                  <c:v>89395681.449398115</c:v>
                </c:pt>
                <c:pt idx="54">
                  <c:v>88066930.125731006</c:v>
                </c:pt>
                <c:pt idx="55">
                  <c:v>82942979.700463057</c:v>
                </c:pt>
                <c:pt idx="56">
                  <c:v>80729148.892249778</c:v>
                </c:pt>
                <c:pt idx="57">
                  <c:v>80756492.702199206</c:v>
                </c:pt>
                <c:pt idx="58">
                  <c:v>83044101.510286734</c:v>
                </c:pt>
                <c:pt idx="59">
                  <c:v>84057232.706286848</c:v>
                </c:pt>
                <c:pt idx="60">
                  <c:v>79941831.774411857</c:v>
                </c:pt>
                <c:pt idx="61">
                  <c:v>82757519.961849883</c:v>
                </c:pt>
                <c:pt idx="62">
                  <c:v>69727220.95627147</c:v>
                </c:pt>
                <c:pt idx="63">
                  <c:v>71904031.756415337</c:v>
                </c:pt>
                <c:pt idx="64">
                  <c:v>72820511.42123954</c:v>
                </c:pt>
                <c:pt idx="65">
                  <c:v>85426379.850458115</c:v>
                </c:pt>
                <c:pt idx="66">
                  <c:v>84097628.526791006</c:v>
                </c:pt>
                <c:pt idx="67">
                  <c:v>78973678.101523057</c:v>
                </c:pt>
                <c:pt idx="68">
                  <c:v>78355619.438389793</c:v>
                </c:pt>
                <c:pt idx="69">
                  <c:v>78382963.248339221</c:v>
                </c:pt>
                <c:pt idx="70">
                  <c:v>80670572.056426749</c:v>
                </c:pt>
                <c:pt idx="71">
                  <c:v>83857086.173946843</c:v>
                </c:pt>
                <c:pt idx="72">
                  <c:v>78419438.242071852</c:v>
                </c:pt>
                <c:pt idx="73">
                  <c:v>82557373.429509893</c:v>
                </c:pt>
                <c:pt idx="74">
                  <c:v>77460701.662601486</c:v>
                </c:pt>
                <c:pt idx="75">
                  <c:v>79637512.462745339</c:v>
                </c:pt>
                <c:pt idx="76">
                  <c:v>80553992.127569541</c:v>
                </c:pt>
                <c:pt idx="77">
                  <c:v>88297487.353988111</c:v>
                </c:pt>
                <c:pt idx="78">
                  <c:v>86968736.030321002</c:v>
                </c:pt>
                <c:pt idx="79">
                  <c:v>81844785.605053052</c:v>
                </c:pt>
                <c:pt idx="80">
                  <c:v>81242952.982249796</c:v>
                </c:pt>
                <c:pt idx="81">
                  <c:v>81270296.792199194</c:v>
                </c:pt>
                <c:pt idx="82">
                  <c:v>83557905.600286737</c:v>
                </c:pt>
                <c:pt idx="83">
                  <c:v>86211045.297126845</c:v>
                </c:pt>
                <c:pt idx="84">
                  <c:v>80773397.365251854</c:v>
                </c:pt>
                <c:pt idx="85">
                  <c:v>84911332.552689895</c:v>
                </c:pt>
                <c:pt idx="86">
                  <c:v>80944954.064411476</c:v>
                </c:pt>
                <c:pt idx="87">
                  <c:v>83121764.864555344</c:v>
                </c:pt>
                <c:pt idx="88">
                  <c:v>84038244.529379547</c:v>
                </c:pt>
                <c:pt idx="89">
                  <c:v>90359649.696038112</c:v>
                </c:pt>
                <c:pt idx="90">
                  <c:v>89030898.372371018</c:v>
                </c:pt>
                <c:pt idx="91">
                  <c:v>83906947.947103053</c:v>
                </c:pt>
                <c:pt idx="92">
                  <c:v>81511820.598889783</c:v>
                </c:pt>
                <c:pt idx="93">
                  <c:v>81539164.408839196</c:v>
                </c:pt>
                <c:pt idx="94">
                  <c:v>83826773.216926739</c:v>
                </c:pt>
                <c:pt idx="95">
                  <c:v>86643804.985926852</c:v>
                </c:pt>
                <c:pt idx="96">
                  <c:v>81206157.054051846</c:v>
                </c:pt>
                <c:pt idx="97">
                  <c:v>85344092.241489887</c:v>
                </c:pt>
                <c:pt idx="98">
                  <c:v>81236483.748551473</c:v>
                </c:pt>
                <c:pt idx="99">
                  <c:v>83413294.548695341</c:v>
                </c:pt>
                <c:pt idx="100">
                  <c:v>84329774.213519543</c:v>
                </c:pt>
                <c:pt idx="101">
                  <c:v>90727323.926978111</c:v>
                </c:pt>
                <c:pt idx="102">
                  <c:v>89398572.603311017</c:v>
                </c:pt>
                <c:pt idx="103">
                  <c:v>84274622.178043067</c:v>
                </c:pt>
                <c:pt idx="104">
                  <c:v>82135576.192579791</c:v>
                </c:pt>
                <c:pt idx="105">
                  <c:v>82162920.002529204</c:v>
                </c:pt>
                <c:pt idx="106">
                  <c:v>84450528.810616732</c:v>
                </c:pt>
                <c:pt idx="107">
                  <c:v>86856017.43381685</c:v>
                </c:pt>
                <c:pt idx="108">
                  <c:v>82740616.50194186</c:v>
                </c:pt>
                <c:pt idx="109">
                  <c:v>85556304.689379901</c:v>
                </c:pt>
                <c:pt idx="110">
                  <c:v>81206665.315541491</c:v>
                </c:pt>
                <c:pt idx="111">
                  <c:v>83383476.115685344</c:v>
                </c:pt>
                <c:pt idx="112">
                  <c:v>84299955.780509546</c:v>
                </c:pt>
                <c:pt idx="113">
                  <c:v>90580931.818748116</c:v>
                </c:pt>
                <c:pt idx="114">
                  <c:v>89252180.495081022</c:v>
                </c:pt>
                <c:pt idx="115">
                  <c:v>84128230.069813073</c:v>
                </c:pt>
                <c:pt idx="116">
                  <c:v>82133768.074999779</c:v>
                </c:pt>
                <c:pt idx="117">
                  <c:v>82161111.884949192</c:v>
                </c:pt>
                <c:pt idx="118">
                  <c:v>84448720.693036735</c:v>
                </c:pt>
                <c:pt idx="119">
                  <c:v>86564119.340206847</c:v>
                </c:pt>
                <c:pt idx="120">
                  <c:v>81207042.208331853</c:v>
                </c:pt>
                <c:pt idx="121">
                  <c:v>85425548.195769891</c:v>
                </c:pt>
                <c:pt idx="122">
                  <c:v>80959319.634681478</c:v>
                </c:pt>
                <c:pt idx="123">
                  <c:v>83216701.234825343</c:v>
                </c:pt>
                <c:pt idx="124">
                  <c:v>84213751.699649543</c:v>
                </c:pt>
                <c:pt idx="125">
                  <c:v>90492627.315648109</c:v>
                </c:pt>
                <c:pt idx="126">
                  <c:v>89244446.791981012</c:v>
                </c:pt>
                <c:pt idx="127">
                  <c:v>84201067.166713059</c:v>
                </c:pt>
                <c:pt idx="128">
                  <c:v>81972626.474999785</c:v>
                </c:pt>
                <c:pt idx="129">
                  <c:v>82080541.084949195</c:v>
                </c:pt>
                <c:pt idx="130">
                  <c:v>84448720.693036735</c:v>
                </c:pt>
                <c:pt idx="131">
                  <c:v>86564119.340206847</c:v>
                </c:pt>
                <c:pt idx="132">
                  <c:v>81207042.208331853</c:v>
                </c:pt>
                <c:pt idx="133">
                  <c:v>85425548.195769891</c:v>
                </c:pt>
                <c:pt idx="134">
                  <c:v>80959319.634681478</c:v>
                </c:pt>
                <c:pt idx="135">
                  <c:v>83216701.234825343</c:v>
                </c:pt>
                <c:pt idx="136">
                  <c:v>84213751.699649543</c:v>
                </c:pt>
                <c:pt idx="137">
                  <c:v>90492627.315648109</c:v>
                </c:pt>
                <c:pt idx="138">
                  <c:v>89244446.791981012</c:v>
                </c:pt>
                <c:pt idx="139">
                  <c:v>84201067.166713059</c:v>
                </c:pt>
                <c:pt idx="140">
                  <c:v>81972626.474999785</c:v>
                </c:pt>
                <c:pt idx="141">
                  <c:v>82080541.084949195</c:v>
                </c:pt>
                <c:pt idx="142">
                  <c:v>84448720.693036735</c:v>
                </c:pt>
                <c:pt idx="143">
                  <c:v>86564119.340206847</c:v>
                </c:pt>
                <c:pt idx="144">
                  <c:v>82529289.208331853</c:v>
                </c:pt>
                <c:pt idx="145">
                  <c:v>85425548.195769891</c:v>
                </c:pt>
                <c:pt idx="146">
                  <c:v>80959319.634681478</c:v>
                </c:pt>
                <c:pt idx="147">
                  <c:v>83216701.234825343</c:v>
                </c:pt>
                <c:pt idx="148">
                  <c:v>84213751.699649543</c:v>
                </c:pt>
                <c:pt idx="149">
                  <c:v>90492627.315648109</c:v>
                </c:pt>
                <c:pt idx="150">
                  <c:v>89244446.791981012</c:v>
                </c:pt>
                <c:pt idx="151">
                  <c:v>84201067.166713059</c:v>
                </c:pt>
                <c:pt idx="152">
                  <c:v>81972626.474999785</c:v>
                </c:pt>
                <c:pt idx="153">
                  <c:v>82080541.084949195</c:v>
                </c:pt>
                <c:pt idx="154">
                  <c:v>84448720.693036735</c:v>
                </c:pt>
                <c:pt idx="155">
                  <c:v>87999569.969009697</c:v>
                </c:pt>
                <c:pt idx="156">
                  <c:v>82561922.037134707</c:v>
                </c:pt>
                <c:pt idx="157">
                  <c:v>86699857.224572733</c:v>
                </c:pt>
                <c:pt idx="158">
                  <c:v>82153057.863484323</c:v>
                </c:pt>
                <c:pt idx="159">
                  <c:v>84329868.663628191</c:v>
                </c:pt>
                <c:pt idx="160">
                  <c:v>85246348.328452393</c:v>
                </c:pt>
                <c:pt idx="161">
                  <c:v>91444653.144450963</c:v>
                </c:pt>
                <c:pt idx="162">
                  <c:v>90115901.820783854</c:v>
                </c:pt>
                <c:pt idx="163">
                  <c:v>84991951.395515904</c:v>
                </c:pt>
                <c:pt idx="164">
                  <c:v>82682939.903802633</c:v>
                </c:pt>
                <c:pt idx="165">
                  <c:v>82710283.713752046</c:v>
                </c:pt>
                <c:pt idx="166">
                  <c:v>84997892.521839589</c:v>
                </c:pt>
                <c:pt idx="167">
                  <c:v>88577546.204959795</c:v>
                </c:pt>
                <c:pt idx="168">
                  <c:v>83139898.273084804</c:v>
                </c:pt>
                <c:pt idx="169">
                  <c:v>87277833.460522845</c:v>
                </c:pt>
                <c:pt idx="170">
                  <c:v>82731034.099434435</c:v>
                </c:pt>
                <c:pt idx="171">
                  <c:v>84907844.899578303</c:v>
                </c:pt>
                <c:pt idx="172">
                  <c:v>85824324.564402491</c:v>
                </c:pt>
                <c:pt idx="173">
                  <c:v>92022629.38040106</c:v>
                </c:pt>
                <c:pt idx="174">
                  <c:v>90693878.056733966</c:v>
                </c:pt>
                <c:pt idx="175">
                  <c:v>85569927.631466016</c:v>
                </c:pt>
                <c:pt idx="176">
                  <c:v>83260916.139752746</c:v>
                </c:pt>
                <c:pt idx="177">
                  <c:v>83288259.949702144</c:v>
                </c:pt>
                <c:pt idx="178">
                  <c:v>85575868.757789686</c:v>
                </c:pt>
                <c:pt idx="179">
                  <c:v>89184874.131792963</c:v>
                </c:pt>
                <c:pt idx="180">
                  <c:v>85069473.199917957</c:v>
                </c:pt>
                <c:pt idx="181">
                  <c:v>87885161.387356013</c:v>
                </c:pt>
                <c:pt idx="182">
                  <c:v>83338362.026267588</c:v>
                </c:pt>
                <c:pt idx="183">
                  <c:v>85515172.826411441</c:v>
                </c:pt>
                <c:pt idx="184">
                  <c:v>86431652.491235659</c:v>
                </c:pt>
                <c:pt idx="185">
                  <c:v>92629957.307234228</c:v>
                </c:pt>
                <c:pt idx="186">
                  <c:v>91301205.983567119</c:v>
                </c:pt>
                <c:pt idx="187">
                  <c:v>86177255.558299154</c:v>
                </c:pt>
                <c:pt idx="188">
                  <c:v>83868244.066585898</c:v>
                </c:pt>
                <c:pt idx="189">
                  <c:v>83895587.876535326</c:v>
                </c:pt>
                <c:pt idx="190">
                  <c:v>86183196.684622854</c:v>
                </c:pt>
                <c:pt idx="191">
                  <c:v>89822111.431635946</c:v>
                </c:pt>
                <c:pt idx="192">
                  <c:v>84384463.499760926</c:v>
                </c:pt>
                <c:pt idx="193">
                  <c:v>88522398.687198982</c:v>
                </c:pt>
                <c:pt idx="194">
                  <c:v>83975599.326110572</c:v>
                </c:pt>
                <c:pt idx="195">
                  <c:v>86152410.126254424</c:v>
                </c:pt>
                <c:pt idx="196">
                  <c:v>87068889.791078642</c:v>
                </c:pt>
                <c:pt idx="197">
                  <c:v>93267194.607077196</c:v>
                </c:pt>
                <c:pt idx="198">
                  <c:v>91938443.283410087</c:v>
                </c:pt>
                <c:pt idx="199">
                  <c:v>86814492.858142138</c:v>
                </c:pt>
                <c:pt idx="200">
                  <c:v>84505481.366428882</c:v>
                </c:pt>
                <c:pt idx="201">
                  <c:v>84532825.17637831</c:v>
                </c:pt>
                <c:pt idx="202">
                  <c:v>86820433.984465823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9-49AF-BADC-708A4923D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3,000 -</a:t>
            </a:r>
            <a:r>
              <a:rPr lang="en-CA" baseline="0"/>
              <a:t> 4,999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GS 3,000-4,999 Normalized'!$D$1</c:f>
              <c:strCache>
                <c:ptCount val="1"/>
                <c:pt idx="0">
                  <c:v>VRZ_GS3000to4999kWh_No_CDM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'VRZ GS 3,000-4,999 Normalized'!$D$3:$D$109</c:f>
              <c:numCache>
                <c:formatCode>_-* #,##0_-;\-* #,##0_-;_-* "-"??_-;_-@_-</c:formatCode>
                <c:ptCount val="107"/>
                <c:pt idx="0">
                  <c:v>6908695.2852855837</c:v>
                </c:pt>
                <c:pt idx="1">
                  <c:v>7383260.6835694443</c:v>
                </c:pt>
                <c:pt idx="2">
                  <c:v>7204369.4118533041</c:v>
                </c:pt>
                <c:pt idx="3">
                  <c:v>7345884.0401371643</c:v>
                </c:pt>
                <c:pt idx="4">
                  <c:v>7533903.6284210244</c:v>
                </c:pt>
                <c:pt idx="5">
                  <c:v>6691934.4867048832</c:v>
                </c:pt>
                <c:pt idx="6">
                  <c:v>6837981.5249887435</c:v>
                </c:pt>
                <c:pt idx="7">
                  <c:v>6292292.093272604</c:v>
                </c:pt>
                <c:pt idx="8">
                  <c:v>6565647.9515564637</c:v>
                </c:pt>
                <c:pt idx="9">
                  <c:v>6894651.1298403237</c:v>
                </c:pt>
                <c:pt idx="10">
                  <c:v>6213677.9281241829</c:v>
                </c:pt>
                <c:pt idx="11">
                  <c:v>7082126.2640876807</c:v>
                </c:pt>
                <c:pt idx="12">
                  <c:v>6440881.7042909777</c:v>
                </c:pt>
                <c:pt idx="13">
                  <c:v>6559757.1344942749</c:v>
                </c:pt>
                <c:pt idx="14">
                  <c:v>6726899.6046975721</c:v>
                </c:pt>
                <c:pt idx="15">
                  <c:v>5921232.544900869</c:v>
                </c:pt>
                <c:pt idx="16">
                  <c:v>6589415.2701041661</c:v>
                </c:pt>
                <c:pt idx="17">
                  <c:v>6499451.9953074632</c:v>
                </c:pt>
                <c:pt idx="18">
                  <c:v>7598626.2255107602</c:v>
                </c:pt>
                <c:pt idx="19">
                  <c:v>7064738.1457140567</c:v>
                </c:pt>
                <c:pt idx="20">
                  <c:v>6821378.0459173536</c:v>
                </c:pt>
                <c:pt idx="21">
                  <c:v>7472883.2161206501</c:v>
                </c:pt>
                <c:pt idx="22">
                  <c:v>6999468.2863239478</c:v>
                </c:pt>
                <c:pt idx="23">
                  <c:v>7306899.5674993498</c:v>
                </c:pt>
                <c:pt idx="24">
                  <c:v>7018089.4464718215</c:v>
                </c:pt>
                <c:pt idx="25">
                  <c:v>8411875.3154442925</c:v>
                </c:pt>
                <c:pt idx="26">
                  <c:v>7618521.6244167639</c:v>
                </c:pt>
                <c:pt idx="27">
                  <c:v>7699301.0533892354</c:v>
                </c:pt>
                <c:pt idx="28">
                  <c:v>7586100.4823617069</c:v>
                </c:pt>
                <c:pt idx="29">
                  <c:v>7167382.2013341775</c:v>
                </c:pt>
                <c:pt idx="30">
                  <c:v>7952383.9803066496</c:v>
                </c:pt>
                <c:pt idx="31">
                  <c:v>7521612.7192791207</c:v>
                </c:pt>
                <c:pt idx="32">
                  <c:v>8062733.3882515915</c:v>
                </c:pt>
                <c:pt idx="33">
                  <c:v>8208250.5472240634</c:v>
                </c:pt>
                <c:pt idx="34">
                  <c:v>7371155.7161965342</c:v>
                </c:pt>
                <c:pt idx="35">
                  <c:v>7743986.3491759766</c:v>
                </c:pt>
                <c:pt idx="36">
                  <c:v>7254443.4608197138</c:v>
                </c:pt>
                <c:pt idx="37">
                  <c:v>7503924.3424634514</c:v>
                </c:pt>
                <c:pt idx="38">
                  <c:v>7314639.0541071892</c:v>
                </c:pt>
                <c:pt idx="39">
                  <c:v>7161503.7857509274</c:v>
                </c:pt>
                <c:pt idx="40">
                  <c:v>7276926.087394665</c:v>
                </c:pt>
                <c:pt idx="41">
                  <c:v>6479499.3490384025</c:v>
                </c:pt>
                <c:pt idx="42">
                  <c:v>6676254.5106821405</c:v>
                </c:pt>
                <c:pt idx="43">
                  <c:v>6180243.6823258791</c:v>
                </c:pt>
                <c:pt idx="44">
                  <c:v>6941141.1439696169</c:v>
                </c:pt>
                <c:pt idx="45">
                  <c:v>7760714.7256133547</c:v>
                </c:pt>
                <c:pt idx="46">
                  <c:v>7557452.1172570921</c:v>
                </c:pt>
                <c:pt idx="47">
                  <c:v>7954976.6199719748</c:v>
                </c:pt>
                <c:pt idx="48">
                  <c:v>7915711.0182060329</c:v>
                </c:pt>
                <c:pt idx="49">
                  <c:v>8605305.2464400921</c:v>
                </c:pt>
                <c:pt idx="50">
                  <c:v>8149399.3846741505</c:v>
                </c:pt>
                <c:pt idx="51">
                  <c:v>8859608.8629082087</c:v>
                </c:pt>
                <c:pt idx="52">
                  <c:v>8221801.4811422676</c:v>
                </c:pt>
                <c:pt idx="53">
                  <c:v>7770024.7493763259</c:v>
                </c:pt>
                <c:pt idx="54">
                  <c:v>7725287.7076103855</c:v>
                </c:pt>
                <c:pt idx="55">
                  <c:v>7479338.9358444437</c:v>
                </c:pt>
                <c:pt idx="56">
                  <c:v>7913786.2140785018</c:v>
                </c:pt>
                <c:pt idx="57">
                  <c:v>7866138.0823125606</c:v>
                </c:pt>
                <c:pt idx="58">
                  <c:v>7329537.7005466195</c:v>
                </c:pt>
                <c:pt idx="59">
                  <c:v>7870701.5674031908</c:v>
                </c:pt>
                <c:pt idx="60">
                  <c:v>8028309.6590223769</c:v>
                </c:pt>
                <c:pt idx="61">
                  <c:v>8307295.9906415632</c:v>
                </c:pt>
                <c:pt idx="62">
                  <c:v>7082480.5422607493</c:v>
                </c:pt>
                <c:pt idx="63">
                  <c:v>7254677.6338799354</c:v>
                </c:pt>
                <c:pt idx="64">
                  <c:v>7656070.5154991206</c:v>
                </c:pt>
                <c:pt idx="65">
                  <c:v>7971439.8771183062</c:v>
                </c:pt>
                <c:pt idx="66">
                  <c:v>7710789.318737492</c:v>
                </c:pt>
                <c:pt idx="67">
                  <c:v>7618573.080356678</c:v>
                </c:pt>
                <c:pt idx="68">
                  <c:v>7867619.3619758636</c:v>
                </c:pt>
                <c:pt idx="69">
                  <c:v>7579020.3835950503</c:v>
                </c:pt>
                <c:pt idx="70">
                  <c:v>7197190.2952142358</c:v>
                </c:pt>
                <c:pt idx="71">
                  <c:v>7575178.107578652</c:v>
                </c:pt>
                <c:pt idx="72">
                  <c:v>7989216.7377479775</c:v>
                </c:pt>
                <c:pt idx="73">
                  <c:v>8816218.6979173031</c:v>
                </c:pt>
                <c:pt idx="74">
                  <c:v>8129350.3480866272</c:v>
                </c:pt>
                <c:pt idx="75">
                  <c:v>8747457.428255951</c:v>
                </c:pt>
                <c:pt idx="76">
                  <c:v>8605766.3584252782</c:v>
                </c:pt>
                <c:pt idx="77">
                  <c:v>8061805.9485946028</c:v>
                </c:pt>
                <c:pt idx="78">
                  <c:v>8450420.8987639267</c:v>
                </c:pt>
                <c:pt idx="79">
                  <c:v>8582403.7189332526</c:v>
                </c:pt>
                <c:pt idx="80">
                  <c:v>8341388.0391025776</c:v>
                </c:pt>
                <c:pt idx="81">
                  <c:v>9126348.5892719049</c:v>
                </c:pt>
                <c:pt idx="82">
                  <c:v>8619676.2294412274</c:v>
                </c:pt>
                <c:pt idx="83">
                  <c:v>8519824.8670041505</c:v>
                </c:pt>
                <c:pt idx="84">
                  <c:v>8886105.1148033775</c:v>
                </c:pt>
                <c:pt idx="85">
                  <c:v>10078814.662602605</c:v>
                </c:pt>
                <c:pt idx="86">
                  <c:v>9496936.6904018335</c:v>
                </c:pt>
                <c:pt idx="87">
                  <c:v>9759376.1182010621</c:v>
                </c:pt>
                <c:pt idx="88">
                  <c:v>9887492.4060002901</c:v>
                </c:pt>
                <c:pt idx="89">
                  <c:v>9557343.7237995174</c:v>
                </c:pt>
                <c:pt idx="90">
                  <c:v>9792792.9215987455</c:v>
                </c:pt>
                <c:pt idx="91">
                  <c:v>9114031.1193979736</c:v>
                </c:pt>
                <c:pt idx="92">
                  <c:v>8974145.6371972021</c:v>
                </c:pt>
                <c:pt idx="93">
                  <c:v>9041182.1249964293</c:v>
                </c:pt>
                <c:pt idx="94">
                  <c:v>9004236.7627956588</c:v>
                </c:pt>
                <c:pt idx="95">
                  <c:v>10083931.614909913</c:v>
                </c:pt>
                <c:pt idx="96">
                  <c:v>9261419.562911246</c:v>
                </c:pt>
                <c:pt idx="97">
                  <c:v>10205290.02091258</c:v>
                </c:pt>
                <c:pt idx="98">
                  <c:v>9144969.6689139139</c:v>
                </c:pt>
                <c:pt idx="99">
                  <c:v>9643226.2969152499</c:v>
                </c:pt>
                <c:pt idx="100">
                  <c:v>9929702.1249165852</c:v>
                </c:pt>
                <c:pt idx="101">
                  <c:v>9827630.1929179169</c:v>
                </c:pt>
                <c:pt idx="102">
                  <c:v>10040725.140919253</c:v>
                </c:pt>
                <c:pt idx="103">
                  <c:v>7986970.2989205867</c:v>
                </c:pt>
                <c:pt idx="104">
                  <c:v>9220703.7869219203</c:v>
                </c:pt>
                <c:pt idx="105">
                  <c:v>9051879.4449232556</c:v>
                </c:pt>
                <c:pt idx="106">
                  <c:v>8948824.2429245897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8-48F7-A772-B3D8004ECDBC}"/>
            </c:ext>
          </c:extLst>
        </c:ser>
        <c:ser>
          <c:idx val="1"/>
          <c:order val="1"/>
          <c:tx>
            <c:strRef>
              <c:f>'VRZ GS 3,000-4,999 Normalized'!$K$1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GS 3,000-4,999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'VRZ GS 3,000-4,999 Normalized'!$K$3:$K$205</c:f>
              <c:numCache>
                <c:formatCode>_-* #,##0_-;\-* #,##0_-;_-* "-"??_-;_-@_-</c:formatCode>
                <c:ptCount val="203"/>
                <c:pt idx="0">
                  <c:v>6669666.39047</c:v>
                </c:pt>
                <c:pt idx="1">
                  <c:v>7172268.39047</c:v>
                </c:pt>
                <c:pt idx="2">
                  <c:v>6899926.0480599999</c:v>
                </c:pt>
                <c:pt idx="3">
                  <c:v>6899926.0480599999</c:v>
                </c:pt>
                <c:pt idx="4">
                  <c:v>7234994.0480599999</c:v>
                </c:pt>
                <c:pt idx="5">
                  <c:v>7315735.481209999</c:v>
                </c:pt>
                <c:pt idx="6">
                  <c:v>6980667.481209999</c:v>
                </c:pt>
                <c:pt idx="7">
                  <c:v>7148201.481209999</c:v>
                </c:pt>
                <c:pt idx="8">
                  <c:v>7239049.3250399996</c:v>
                </c:pt>
                <c:pt idx="9">
                  <c:v>7239049.3250399996</c:v>
                </c:pt>
                <c:pt idx="10">
                  <c:v>7239049.3250399996</c:v>
                </c:pt>
                <c:pt idx="11">
                  <c:v>7138683.8974699993</c:v>
                </c:pt>
                <c:pt idx="12">
                  <c:v>7138683.8974699993</c:v>
                </c:pt>
                <c:pt idx="13">
                  <c:v>7306217.8974699993</c:v>
                </c:pt>
                <c:pt idx="14">
                  <c:v>7273811.4719200004</c:v>
                </c:pt>
                <c:pt idx="15">
                  <c:v>7273811.4719200004</c:v>
                </c:pt>
                <c:pt idx="16">
                  <c:v>7441345.4719200004</c:v>
                </c:pt>
                <c:pt idx="17">
                  <c:v>7179194.9808600005</c:v>
                </c:pt>
                <c:pt idx="18">
                  <c:v>7514262.9808600005</c:v>
                </c:pt>
                <c:pt idx="19">
                  <c:v>7346728.9808600005</c:v>
                </c:pt>
                <c:pt idx="20">
                  <c:v>7164230.6578000002</c:v>
                </c:pt>
                <c:pt idx="21">
                  <c:v>7499298.6578000002</c:v>
                </c:pt>
                <c:pt idx="22">
                  <c:v>7164230.6578000002</c:v>
                </c:pt>
                <c:pt idx="23">
                  <c:v>7637492.8386199996</c:v>
                </c:pt>
                <c:pt idx="24">
                  <c:v>7134890.8386199996</c:v>
                </c:pt>
                <c:pt idx="25">
                  <c:v>7805026.8386199996</c:v>
                </c:pt>
                <c:pt idx="26">
                  <c:v>7231829.3816400003</c:v>
                </c:pt>
                <c:pt idx="27">
                  <c:v>7734431.3816400003</c:v>
                </c:pt>
                <c:pt idx="28">
                  <c:v>7734431.3816400003</c:v>
                </c:pt>
                <c:pt idx="29">
                  <c:v>7404440.9986000005</c:v>
                </c:pt>
                <c:pt idx="30">
                  <c:v>7739508.9986000005</c:v>
                </c:pt>
                <c:pt idx="31">
                  <c:v>7404440.9986000005</c:v>
                </c:pt>
                <c:pt idx="32">
                  <c:v>7650006.7419300005</c:v>
                </c:pt>
                <c:pt idx="33">
                  <c:v>7817540.7419300005</c:v>
                </c:pt>
                <c:pt idx="34">
                  <c:v>7314938.7419300005</c:v>
                </c:pt>
                <c:pt idx="35">
                  <c:v>7915260.4567900002</c:v>
                </c:pt>
                <c:pt idx="36">
                  <c:v>7412658.4567900002</c:v>
                </c:pt>
                <c:pt idx="37">
                  <c:v>7747726.4567900002</c:v>
                </c:pt>
                <c:pt idx="38">
                  <c:v>7814089.4457600005</c:v>
                </c:pt>
                <c:pt idx="39">
                  <c:v>7981623.4457600005</c:v>
                </c:pt>
                <c:pt idx="40">
                  <c:v>7814089.4457600005</c:v>
                </c:pt>
                <c:pt idx="41">
                  <c:v>7926919.9533999991</c:v>
                </c:pt>
                <c:pt idx="42">
                  <c:v>8094453.9533999991</c:v>
                </c:pt>
                <c:pt idx="43">
                  <c:v>7591851.9533999991</c:v>
                </c:pt>
                <c:pt idx="44">
                  <c:v>8161488.2619199995</c:v>
                </c:pt>
                <c:pt idx="45">
                  <c:v>8161488.2619199995</c:v>
                </c:pt>
                <c:pt idx="46">
                  <c:v>7658886.2619199995</c:v>
                </c:pt>
                <c:pt idx="47">
                  <c:v>8174817.0064400006</c:v>
                </c:pt>
                <c:pt idx="48">
                  <c:v>7672215.0064400006</c:v>
                </c:pt>
                <c:pt idx="49">
                  <c:v>8174817.0064400006</c:v>
                </c:pt>
                <c:pt idx="50">
                  <c:v>8079370.520299999</c:v>
                </c:pt>
                <c:pt idx="51">
                  <c:v>7911836.520299999</c:v>
                </c:pt>
                <c:pt idx="52">
                  <c:v>8246904.520299999</c:v>
                </c:pt>
                <c:pt idx="53">
                  <c:v>8292273.516069999</c:v>
                </c:pt>
                <c:pt idx="54">
                  <c:v>7957205.516069999</c:v>
                </c:pt>
                <c:pt idx="55">
                  <c:v>8124739.516069999</c:v>
                </c:pt>
                <c:pt idx="56">
                  <c:v>8137555.6165699996</c:v>
                </c:pt>
                <c:pt idx="57">
                  <c:v>8137555.6165699996</c:v>
                </c:pt>
                <c:pt idx="58">
                  <c:v>8137555.6165699996</c:v>
                </c:pt>
                <c:pt idx="59">
                  <c:v>8167517.9320599996</c:v>
                </c:pt>
                <c:pt idx="60">
                  <c:v>7664915.9320599996</c:v>
                </c:pt>
                <c:pt idx="61">
                  <c:v>8167517.9320599996</c:v>
                </c:pt>
                <c:pt idx="62">
                  <c:v>6857678.7915899996</c:v>
                </c:pt>
                <c:pt idx="63">
                  <c:v>6690144.7915899996</c:v>
                </c:pt>
                <c:pt idx="64">
                  <c:v>7025212.7915899996</c:v>
                </c:pt>
                <c:pt idx="65">
                  <c:v>7887992.6772499997</c:v>
                </c:pt>
                <c:pt idx="66">
                  <c:v>7552924.6772499997</c:v>
                </c:pt>
                <c:pt idx="67">
                  <c:v>7720458.6772499997</c:v>
                </c:pt>
                <c:pt idx="68">
                  <c:v>7948145.8569900002</c:v>
                </c:pt>
                <c:pt idx="69">
                  <c:v>7948145.8569900002</c:v>
                </c:pt>
                <c:pt idx="70">
                  <c:v>7948145.8569900002</c:v>
                </c:pt>
                <c:pt idx="71">
                  <c:v>7935686.6730399989</c:v>
                </c:pt>
                <c:pt idx="72">
                  <c:v>7768152.6730399989</c:v>
                </c:pt>
                <c:pt idx="73">
                  <c:v>8438288.6730399989</c:v>
                </c:pt>
                <c:pt idx="74">
                  <c:v>8029180.22958</c:v>
                </c:pt>
                <c:pt idx="75">
                  <c:v>7861646.22958</c:v>
                </c:pt>
                <c:pt idx="76">
                  <c:v>8196714.22958</c:v>
                </c:pt>
                <c:pt idx="77">
                  <c:v>8237240.466839999</c:v>
                </c:pt>
                <c:pt idx="78">
                  <c:v>8069706.466839999</c:v>
                </c:pt>
                <c:pt idx="79">
                  <c:v>8069706.466839999</c:v>
                </c:pt>
                <c:pt idx="80">
                  <c:v>8299578.4865699988</c:v>
                </c:pt>
                <c:pt idx="81">
                  <c:v>8634646.4865699988</c:v>
                </c:pt>
                <c:pt idx="82">
                  <c:v>8467112.4865699988</c:v>
                </c:pt>
                <c:pt idx="83">
                  <c:v>8382834.3165799994</c:v>
                </c:pt>
                <c:pt idx="84">
                  <c:v>8215300.3165799994</c:v>
                </c:pt>
                <c:pt idx="85">
                  <c:v>8885436.3165799994</c:v>
                </c:pt>
                <c:pt idx="86">
                  <c:v>8460988.1180099994</c:v>
                </c:pt>
                <c:pt idx="87">
                  <c:v>8628522.1180099994</c:v>
                </c:pt>
                <c:pt idx="88">
                  <c:v>8796056.1180099994</c:v>
                </c:pt>
                <c:pt idx="89">
                  <c:v>8477563.6079900004</c:v>
                </c:pt>
                <c:pt idx="90">
                  <c:v>8812631.6079900004</c:v>
                </c:pt>
                <c:pt idx="91">
                  <c:v>8477563.6079900004</c:v>
                </c:pt>
                <c:pt idx="92">
                  <c:v>8465968.08849</c:v>
                </c:pt>
                <c:pt idx="93">
                  <c:v>8801036.08849</c:v>
                </c:pt>
                <c:pt idx="94">
                  <c:v>8465968.08849</c:v>
                </c:pt>
                <c:pt idx="95">
                  <c:v>8738826.022979999</c:v>
                </c:pt>
                <c:pt idx="96">
                  <c:v>8403758.022979999</c:v>
                </c:pt>
                <c:pt idx="97">
                  <c:v>9073894.022979999</c:v>
                </c:pt>
                <c:pt idx="98">
                  <c:v>8462895.1724299993</c:v>
                </c:pt>
                <c:pt idx="99">
                  <c:v>8965497.1724299993</c:v>
                </c:pt>
                <c:pt idx="100">
                  <c:v>8965497.1724299993</c:v>
                </c:pt>
                <c:pt idx="101">
                  <c:v>8657257.5428100005</c:v>
                </c:pt>
                <c:pt idx="102">
                  <c:v>8992325.5428100005</c:v>
                </c:pt>
                <c:pt idx="103">
                  <c:v>8657257.5428100005</c:v>
                </c:pt>
                <c:pt idx="104">
                  <c:v>8847677.4365599994</c:v>
                </c:pt>
                <c:pt idx="105">
                  <c:v>9015211.4365599994</c:v>
                </c:pt>
                <c:pt idx="106">
                  <c:v>8512609.4365599994</c:v>
                </c:pt>
                <c:pt idx="107">
                  <c:v>9065120.9936500005</c:v>
                </c:pt>
                <c:pt idx="108">
                  <c:v>8730052.9936500005</c:v>
                </c:pt>
                <c:pt idx="109">
                  <c:v>8730052.9936500005</c:v>
                </c:pt>
                <c:pt idx="110">
                  <c:v>9091668.6304000001</c:v>
                </c:pt>
                <c:pt idx="111">
                  <c:v>9091668.6304000001</c:v>
                </c:pt>
                <c:pt idx="112">
                  <c:v>8756600.6304000001</c:v>
                </c:pt>
                <c:pt idx="113">
                  <c:v>9102800.329119999</c:v>
                </c:pt>
                <c:pt idx="114">
                  <c:v>8935266.329119999</c:v>
                </c:pt>
                <c:pt idx="115">
                  <c:v>8767732.329119999</c:v>
                </c:pt>
                <c:pt idx="116">
                  <c:v>9145154.4898199998</c:v>
                </c:pt>
                <c:pt idx="117">
                  <c:v>8977620.4898199998</c:v>
                </c:pt>
                <c:pt idx="118">
                  <c:v>8810086.4898199998</c:v>
                </c:pt>
                <c:pt idx="119">
                  <c:v>9145154.4898199998</c:v>
                </c:pt>
                <c:pt idx="120">
                  <c:v>8642552.4898199998</c:v>
                </c:pt>
                <c:pt idx="121">
                  <c:v>8977620.4898199998</c:v>
                </c:pt>
                <c:pt idx="122">
                  <c:v>8977620.4898199998</c:v>
                </c:pt>
                <c:pt idx="123">
                  <c:v>8977620.4898199998</c:v>
                </c:pt>
                <c:pt idx="124">
                  <c:v>8977620.4898199998</c:v>
                </c:pt>
                <c:pt idx="125">
                  <c:v>9145154.4898199998</c:v>
                </c:pt>
                <c:pt idx="126">
                  <c:v>8810086.4898199998</c:v>
                </c:pt>
                <c:pt idx="127">
                  <c:v>8977620.4898199998</c:v>
                </c:pt>
                <c:pt idx="128">
                  <c:v>9145154.4898199998</c:v>
                </c:pt>
                <c:pt idx="129">
                  <c:v>8810086.4898199998</c:v>
                </c:pt>
                <c:pt idx="130">
                  <c:v>8977620.4898199998</c:v>
                </c:pt>
                <c:pt idx="131">
                  <c:v>8977620.4898199998</c:v>
                </c:pt>
                <c:pt idx="132">
                  <c:v>8642552.4898199998</c:v>
                </c:pt>
                <c:pt idx="133">
                  <c:v>9145154.4898199998</c:v>
                </c:pt>
                <c:pt idx="134">
                  <c:v>9145154.4898199998</c:v>
                </c:pt>
                <c:pt idx="135">
                  <c:v>8810086.4898199998</c:v>
                </c:pt>
                <c:pt idx="136">
                  <c:v>9145154.4898199998</c:v>
                </c:pt>
                <c:pt idx="137">
                  <c:v>9145154.4898199998</c:v>
                </c:pt>
                <c:pt idx="138">
                  <c:v>8810086.4898199998</c:v>
                </c:pt>
                <c:pt idx="139">
                  <c:v>8977620.4898199998</c:v>
                </c:pt>
                <c:pt idx="140">
                  <c:v>8977620.4898199998</c:v>
                </c:pt>
                <c:pt idx="141">
                  <c:v>8977620.4898199998</c:v>
                </c:pt>
                <c:pt idx="142">
                  <c:v>8977620.4898199998</c:v>
                </c:pt>
                <c:pt idx="143">
                  <c:v>8810086.4898199998</c:v>
                </c:pt>
                <c:pt idx="144">
                  <c:v>8642552.4898199998</c:v>
                </c:pt>
                <c:pt idx="145">
                  <c:v>9145154.4898199998</c:v>
                </c:pt>
                <c:pt idx="146">
                  <c:v>9145154.4898199998</c:v>
                </c:pt>
                <c:pt idx="147">
                  <c:v>8810086.4898199998</c:v>
                </c:pt>
                <c:pt idx="148">
                  <c:v>9145154.4898199998</c:v>
                </c:pt>
                <c:pt idx="149">
                  <c:v>8977620.4898199998</c:v>
                </c:pt>
                <c:pt idx="150">
                  <c:v>8977620.4898199998</c:v>
                </c:pt>
                <c:pt idx="151">
                  <c:v>8977620.4898199998</c:v>
                </c:pt>
                <c:pt idx="152">
                  <c:v>8810086.4898199998</c:v>
                </c:pt>
                <c:pt idx="153">
                  <c:v>9145154.4898199998</c:v>
                </c:pt>
                <c:pt idx="154">
                  <c:v>8810086.4898199998</c:v>
                </c:pt>
                <c:pt idx="155">
                  <c:v>9014219.1171265785</c:v>
                </c:pt>
                <c:pt idx="156">
                  <c:v>9181753.1171265785</c:v>
                </c:pt>
                <c:pt idx="157">
                  <c:v>9516821.1171265785</c:v>
                </c:pt>
                <c:pt idx="158">
                  <c:v>8846685.1171265785</c:v>
                </c:pt>
                <c:pt idx="159">
                  <c:v>9349287.1171265785</c:v>
                </c:pt>
                <c:pt idx="160">
                  <c:v>9349287.1171265785</c:v>
                </c:pt>
                <c:pt idx="161">
                  <c:v>9014219.1171265785</c:v>
                </c:pt>
                <c:pt idx="162">
                  <c:v>9349287.1171265785</c:v>
                </c:pt>
                <c:pt idx="163">
                  <c:v>9014219.1171265785</c:v>
                </c:pt>
                <c:pt idx="164">
                  <c:v>9181753.1171265785</c:v>
                </c:pt>
                <c:pt idx="165">
                  <c:v>9349287.1171265785</c:v>
                </c:pt>
                <c:pt idx="166">
                  <c:v>8846685.1171265785</c:v>
                </c:pt>
                <c:pt idx="167">
                  <c:v>9557298.2643519826</c:v>
                </c:pt>
                <c:pt idx="168">
                  <c:v>9054696.2643519826</c:v>
                </c:pt>
                <c:pt idx="169">
                  <c:v>9389764.2643519826</c:v>
                </c:pt>
                <c:pt idx="170">
                  <c:v>9389764.2643519826</c:v>
                </c:pt>
                <c:pt idx="171">
                  <c:v>9557298.2643519826</c:v>
                </c:pt>
                <c:pt idx="172">
                  <c:v>9389764.2643519826</c:v>
                </c:pt>
                <c:pt idx="173">
                  <c:v>9389764.2643519826</c:v>
                </c:pt>
                <c:pt idx="174">
                  <c:v>9557298.2643519826</c:v>
                </c:pt>
                <c:pt idx="175">
                  <c:v>9054696.2643519826</c:v>
                </c:pt>
                <c:pt idx="176">
                  <c:v>9557298.2643519826</c:v>
                </c:pt>
                <c:pt idx="177">
                  <c:v>9557298.2643519826</c:v>
                </c:pt>
                <c:pt idx="178">
                  <c:v>9054696.2643519826</c:v>
                </c:pt>
                <c:pt idx="179">
                  <c:v>9769261.6233746689</c:v>
                </c:pt>
                <c:pt idx="180">
                  <c:v>9266659.6233746689</c:v>
                </c:pt>
                <c:pt idx="181">
                  <c:v>9601727.6233746689</c:v>
                </c:pt>
                <c:pt idx="182">
                  <c:v>9601727.6233746689</c:v>
                </c:pt>
                <c:pt idx="183">
                  <c:v>9769261.6233746689</c:v>
                </c:pt>
                <c:pt idx="184">
                  <c:v>9434193.6233746689</c:v>
                </c:pt>
                <c:pt idx="185">
                  <c:v>9769261.6233746689</c:v>
                </c:pt>
                <c:pt idx="186">
                  <c:v>9601727.6233746689</c:v>
                </c:pt>
                <c:pt idx="187">
                  <c:v>9434193.6233746689</c:v>
                </c:pt>
                <c:pt idx="188">
                  <c:v>9769261.6233746689</c:v>
                </c:pt>
                <c:pt idx="189">
                  <c:v>9601727.6233746689</c:v>
                </c:pt>
                <c:pt idx="190">
                  <c:v>9434193.6233746689</c:v>
                </c:pt>
                <c:pt idx="191">
                  <c:v>9985252.2862187866</c:v>
                </c:pt>
                <c:pt idx="192">
                  <c:v>9482650.2862187866</c:v>
                </c:pt>
                <c:pt idx="193">
                  <c:v>9817718.2862187866</c:v>
                </c:pt>
                <c:pt idx="194">
                  <c:v>9817718.2862187866</c:v>
                </c:pt>
                <c:pt idx="195">
                  <c:v>9817718.2862187866</c:v>
                </c:pt>
                <c:pt idx="196">
                  <c:v>9817718.2862187866</c:v>
                </c:pt>
                <c:pt idx="197">
                  <c:v>9985252.2862187866</c:v>
                </c:pt>
                <c:pt idx="198">
                  <c:v>9650184.2862187866</c:v>
                </c:pt>
                <c:pt idx="199">
                  <c:v>9817718.2862187866</c:v>
                </c:pt>
                <c:pt idx="200">
                  <c:v>9985252.2862187866</c:v>
                </c:pt>
                <c:pt idx="201">
                  <c:v>9650184.2862187866</c:v>
                </c:pt>
                <c:pt idx="202">
                  <c:v>9817718.2862187866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8-48F7-A772-B3D8004E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'VRZ Large Use Normalized'!$D$1</c:f>
              <c:strCache>
                <c:ptCount val="1"/>
                <c:pt idx="0">
                  <c:v>VRZ_LargeUsekWh_No_CDM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'VRZ Large Use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'VRZ Large Use Normalized'!$D$3:$D$205</c:f>
              <c:numCache>
                <c:formatCode>_-* #,##0_-;\-* #,##0_-;_-* "-"??_-;_-@_-</c:formatCode>
                <c:ptCount val="203"/>
                <c:pt idx="0">
                  <c:v>15127536.492662676</c:v>
                </c:pt>
                <c:pt idx="1">
                  <c:v>19473356.95555957</c:v>
                </c:pt>
                <c:pt idx="2">
                  <c:v>17840672.838456467</c:v>
                </c:pt>
                <c:pt idx="3">
                  <c:v>20013820.86135336</c:v>
                </c:pt>
                <c:pt idx="4">
                  <c:v>16306258.224250255</c:v>
                </c:pt>
                <c:pt idx="5">
                  <c:v>16838315.127147149</c:v>
                </c:pt>
                <c:pt idx="6">
                  <c:v>16420142.510044046</c:v>
                </c:pt>
                <c:pt idx="7">
                  <c:v>17567910.81294094</c:v>
                </c:pt>
                <c:pt idx="8">
                  <c:v>21861401.855837833</c:v>
                </c:pt>
                <c:pt idx="9">
                  <c:v>19695563.348734729</c:v>
                </c:pt>
                <c:pt idx="10">
                  <c:v>17625407.721631624</c:v>
                </c:pt>
                <c:pt idx="11">
                  <c:v>17986495.162116073</c:v>
                </c:pt>
                <c:pt idx="12">
                  <c:v>19032838.175638389</c:v>
                </c:pt>
                <c:pt idx="13">
                  <c:v>19631448.439160705</c:v>
                </c:pt>
                <c:pt idx="14">
                  <c:v>19572853.982683018</c:v>
                </c:pt>
                <c:pt idx="15">
                  <c:v>18540822.151205339</c:v>
                </c:pt>
                <c:pt idx="16">
                  <c:v>16427130.404727653</c:v>
                </c:pt>
                <c:pt idx="17">
                  <c:v>18258132.893249966</c:v>
                </c:pt>
                <c:pt idx="18">
                  <c:v>19624575.076772284</c:v>
                </c:pt>
                <c:pt idx="19">
                  <c:v>18116451.120294601</c:v>
                </c:pt>
                <c:pt idx="20">
                  <c:v>18246862.423816919</c:v>
                </c:pt>
                <c:pt idx="21">
                  <c:v>18591910.007339232</c:v>
                </c:pt>
                <c:pt idx="22">
                  <c:v>18899816.410861548</c:v>
                </c:pt>
                <c:pt idx="23">
                  <c:v>18995737.177371185</c:v>
                </c:pt>
                <c:pt idx="24">
                  <c:v>17415379.920155503</c:v>
                </c:pt>
                <c:pt idx="25">
                  <c:v>20610151.262939818</c:v>
                </c:pt>
                <c:pt idx="26">
                  <c:v>17700259.675724134</c:v>
                </c:pt>
                <c:pt idx="27">
                  <c:v>21988021.618508454</c:v>
                </c:pt>
                <c:pt idx="28">
                  <c:v>20111494.601292767</c:v>
                </c:pt>
                <c:pt idx="29">
                  <c:v>18711614.894077085</c:v>
                </c:pt>
                <c:pt idx="30">
                  <c:v>18982375.466861401</c:v>
                </c:pt>
                <c:pt idx="31">
                  <c:v>18015462.37964572</c:v>
                </c:pt>
                <c:pt idx="32">
                  <c:v>19247093.682430036</c:v>
                </c:pt>
                <c:pt idx="33">
                  <c:v>21526624.655214354</c:v>
                </c:pt>
                <c:pt idx="34">
                  <c:v>20411227.547998667</c:v>
                </c:pt>
                <c:pt idx="35">
                  <c:v>22700558.545727149</c:v>
                </c:pt>
                <c:pt idx="36">
                  <c:v>20894926.983466111</c:v>
                </c:pt>
                <c:pt idx="37">
                  <c:v>23946224.311205074</c:v>
                </c:pt>
                <c:pt idx="38">
                  <c:v>23051903.368944038</c:v>
                </c:pt>
                <c:pt idx="39">
                  <c:v>22607475.776682999</c:v>
                </c:pt>
                <c:pt idx="40">
                  <c:v>20050986.104421962</c:v>
                </c:pt>
                <c:pt idx="41">
                  <c:v>21034495.652160924</c:v>
                </c:pt>
                <c:pt idx="42">
                  <c:v>22017899.699899886</c:v>
                </c:pt>
                <c:pt idx="43">
                  <c:v>21380898.21763885</c:v>
                </c:pt>
                <c:pt idx="44">
                  <c:v>23909832.305377811</c:v>
                </c:pt>
                <c:pt idx="45">
                  <c:v>22343773.023116775</c:v>
                </c:pt>
                <c:pt idx="46">
                  <c:v>22527640.480855737</c:v>
                </c:pt>
                <c:pt idx="47">
                  <c:v>23254687.7332283</c:v>
                </c:pt>
                <c:pt idx="48">
                  <c:v>21455519.847219884</c:v>
                </c:pt>
                <c:pt idx="49">
                  <c:v>22430559.581211463</c:v>
                </c:pt>
                <c:pt idx="50">
                  <c:v>22683057.095203046</c:v>
                </c:pt>
                <c:pt idx="51">
                  <c:v>23578242.549194623</c:v>
                </c:pt>
                <c:pt idx="52">
                  <c:v>24271225.513186205</c:v>
                </c:pt>
                <c:pt idx="53">
                  <c:v>24318443.21717779</c:v>
                </c:pt>
                <c:pt idx="54">
                  <c:v>20694735.791169368</c:v>
                </c:pt>
                <c:pt idx="55">
                  <c:v>22814918.555160951</c:v>
                </c:pt>
                <c:pt idx="56">
                  <c:v>25066615.31915253</c:v>
                </c:pt>
                <c:pt idx="57">
                  <c:v>23697963.563144114</c:v>
                </c:pt>
                <c:pt idx="58">
                  <c:v>24075320.597135697</c:v>
                </c:pt>
                <c:pt idx="59">
                  <c:v>24860920.582266245</c:v>
                </c:pt>
                <c:pt idx="60">
                  <c:v>23006116.64187748</c:v>
                </c:pt>
                <c:pt idx="61">
                  <c:v>24886891.501488712</c:v>
                </c:pt>
                <c:pt idx="62">
                  <c:v>21019565.131099943</c:v>
                </c:pt>
                <c:pt idx="63">
                  <c:v>22320082.640711177</c:v>
                </c:pt>
                <c:pt idx="64">
                  <c:v>24287597.85032241</c:v>
                </c:pt>
                <c:pt idx="65">
                  <c:v>24989245.119933646</c:v>
                </c:pt>
                <c:pt idx="66">
                  <c:v>22664637.549544878</c:v>
                </c:pt>
                <c:pt idx="67">
                  <c:v>23255974.439156111</c:v>
                </c:pt>
                <c:pt idx="68">
                  <c:v>24269954.798767343</c:v>
                </c:pt>
                <c:pt idx="69">
                  <c:v>24094335.568378575</c:v>
                </c:pt>
                <c:pt idx="70">
                  <c:v>24121161.447989807</c:v>
                </c:pt>
                <c:pt idx="71">
                  <c:v>26363972.396958388</c:v>
                </c:pt>
                <c:pt idx="72">
                  <c:v>24301621.442535765</c:v>
                </c:pt>
                <c:pt idx="73">
                  <c:v>26409043.07811315</c:v>
                </c:pt>
                <c:pt idx="74">
                  <c:v>24423424.653690528</c:v>
                </c:pt>
                <c:pt idx="75">
                  <c:v>27390546.649267908</c:v>
                </c:pt>
                <c:pt idx="76">
                  <c:v>26669341.04484529</c:v>
                </c:pt>
                <c:pt idx="77">
                  <c:v>26952721.480422672</c:v>
                </c:pt>
                <c:pt idx="78">
                  <c:v>23791332.306000054</c:v>
                </c:pt>
                <c:pt idx="79">
                  <c:v>24729050.251577433</c:v>
                </c:pt>
                <c:pt idx="80">
                  <c:v>25149627.987154819</c:v>
                </c:pt>
                <c:pt idx="81">
                  <c:v>25060594.782732196</c:v>
                </c:pt>
                <c:pt idx="82">
                  <c:v>24248030.318309579</c:v>
                </c:pt>
                <c:pt idx="83">
                  <c:v>25889185.031195279</c:v>
                </c:pt>
                <c:pt idx="84">
                  <c:v>24800569.304336783</c:v>
                </c:pt>
                <c:pt idx="85">
                  <c:v>28025826.257478289</c:v>
                </c:pt>
                <c:pt idx="86">
                  <c:v>26398387.400619797</c:v>
                </c:pt>
                <c:pt idx="87">
                  <c:v>27376559.903761301</c:v>
                </c:pt>
                <c:pt idx="88">
                  <c:v>27030450.36690281</c:v>
                </c:pt>
                <c:pt idx="89">
                  <c:v>26761214.380044315</c:v>
                </c:pt>
                <c:pt idx="90">
                  <c:v>21137571.013185821</c:v>
                </c:pt>
                <c:pt idx="91">
                  <c:v>25625478.616327327</c:v>
                </c:pt>
                <c:pt idx="92">
                  <c:v>26108763.799468834</c:v>
                </c:pt>
                <c:pt idx="93">
                  <c:v>25284473.632610343</c:v>
                </c:pt>
                <c:pt idx="94">
                  <c:v>25733301.045751847</c:v>
                </c:pt>
                <c:pt idx="95">
                  <c:v>26848494.080928087</c:v>
                </c:pt>
                <c:pt idx="96">
                  <c:v>24971581.589255359</c:v>
                </c:pt>
                <c:pt idx="97">
                  <c:v>28122083.777582631</c:v>
                </c:pt>
                <c:pt idx="98">
                  <c:v>26286289.105909899</c:v>
                </c:pt>
                <c:pt idx="99">
                  <c:v>25206995.22423717</c:v>
                </c:pt>
                <c:pt idx="100">
                  <c:v>27134163.662564438</c:v>
                </c:pt>
                <c:pt idx="101">
                  <c:v>25550301.100891709</c:v>
                </c:pt>
                <c:pt idx="102">
                  <c:v>27642879.539218981</c:v>
                </c:pt>
                <c:pt idx="103">
                  <c:v>28271627.977546249</c:v>
                </c:pt>
                <c:pt idx="104">
                  <c:v>30049218.41587352</c:v>
                </c:pt>
                <c:pt idx="105">
                  <c:v>28437604.854200792</c:v>
                </c:pt>
                <c:pt idx="106">
                  <c:v>27770736.198852059</c:v>
                </c:pt>
                <c:pt idx="107">
                  <c:v>28703322.494997554</c:v>
                </c:pt>
                <c:pt idx="108">
                  <c:v>28821021.381847482</c:v>
                </c:pt>
                <c:pt idx="109">
                  <c:v>29589166.552851412</c:v>
                </c:pt>
                <c:pt idx="110">
                  <c:v>24547789.641781345</c:v>
                </c:pt>
                <c:pt idx="111">
                  <c:v>29304032.249793276</c:v>
                </c:pt>
                <c:pt idx="112">
                  <c:v>29180397.123913202</c:v>
                </c:pt>
                <c:pt idx="113">
                  <c:v>30326898.628413133</c:v>
                </c:pt>
                <c:pt idx="114">
                  <c:v>29538167.184481066</c:v>
                </c:pt>
                <c:pt idx="115">
                  <c:v>29577241.498880997</c:v>
                </c:pt>
                <c:pt idx="116">
                  <c:v>29333152.548002928</c:v>
                </c:pt>
                <c:pt idx="117">
                  <c:v>29104458.706610855</c:v>
                </c:pt>
                <c:pt idx="118">
                  <c:v>28630335.082198784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F-4AEE-9573-2AEDAB8098CE}"/>
            </c:ext>
          </c:extLst>
        </c:ser>
        <c:ser>
          <c:idx val="1"/>
          <c:order val="1"/>
          <c:tx>
            <c:strRef>
              <c:f>'VRZ Large Use Normalized'!$O$1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'VRZ Large Use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'VRZ Large Use Normalized'!$O$3:$O$205</c:f>
              <c:numCache>
                <c:formatCode>_-* #,##0_-;\-* #,##0_-;_-* "-"??_-;_-@_-</c:formatCode>
                <c:ptCount val="203"/>
                <c:pt idx="0">
                  <c:v>16977832.610170003</c:v>
                </c:pt>
                <c:pt idx="1">
                  <c:v>18816005.210170005</c:v>
                </c:pt>
                <c:pt idx="2">
                  <c:v>18458232.498660002</c:v>
                </c:pt>
                <c:pt idx="3">
                  <c:v>18458232.498660002</c:v>
                </c:pt>
                <c:pt idx="4">
                  <c:v>18361256.398660004</c:v>
                </c:pt>
                <c:pt idx="5">
                  <c:v>18797243.838310003</c:v>
                </c:pt>
                <c:pt idx="6">
                  <c:v>18100765.238310002</c:v>
                </c:pt>
                <c:pt idx="7">
                  <c:v>18449004.538310003</c:v>
                </c:pt>
                <c:pt idx="8">
                  <c:v>18939564.555440005</c:v>
                </c:pt>
                <c:pt idx="9">
                  <c:v>18939564.555440005</c:v>
                </c:pt>
                <c:pt idx="10">
                  <c:v>18939564.555440005</c:v>
                </c:pt>
                <c:pt idx="11">
                  <c:v>18954021.987170003</c:v>
                </c:pt>
                <c:pt idx="12">
                  <c:v>18954021.987170003</c:v>
                </c:pt>
                <c:pt idx="13">
                  <c:v>20095715.987170003</c:v>
                </c:pt>
                <c:pt idx="14">
                  <c:v>19920727.831120007</c:v>
                </c:pt>
                <c:pt idx="15">
                  <c:v>19920727.831120007</c:v>
                </c:pt>
                <c:pt idx="16">
                  <c:v>19475512.431120008</c:v>
                </c:pt>
                <c:pt idx="17">
                  <c:v>19172773.659460001</c:v>
                </c:pt>
                <c:pt idx="18">
                  <c:v>19869252.259460002</c:v>
                </c:pt>
                <c:pt idx="19">
                  <c:v>19521012.959460001</c:v>
                </c:pt>
                <c:pt idx="20">
                  <c:v>19091969.335800007</c:v>
                </c:pt>
                <c:pt idx="21">
                  <c:v>19788447.935800008</c:v>
                </c:pt>
                <c:pt idx="22">
                  <c:v>19091969.335800007</c:v>
                </c:pt>
                <c:pt idx="23">
                  <c:v>20534668.614820004</c:v>
                </c:pt>
                <c:pt idx="24">
                  <c:v>19489950.714820001</c:v>
                </c:pt>
                <c:pt idx="25">
                  <c:v>21676362.61482</c:v>
                </c:pt>
                <c:pt idx="26">
                  <c:v>20806853.978040002</c:v>
                </c:pt>
                <c:pt idx="27">
                  <c:v>21851571.878040005</c:v>
                </c:pt>
                <c:pt idx="28">
                  <c:v>21058117.178040005</c:v>
                </c:pt>
                <c:pt idx="29">
                  <c:v>20389056.684600003</c:v>
                </c:pt>
                <c:pt idx="30">
                  <c:v>21085535.284600005</c:v>
                </c:pt>
                <c:pt idx="31">
                  <c:v>20389056.684600003</c:v>
                </c:pt>
                <c:pt idx="32">
                  <c:v>21158651.646230008</c:v>
                </c:pt>
                <c:pt idx="33">
                  <c:v>21506890.946230009</c:v>
                </c:pt>
                <c:pt idx="34">
                  <c:v>20462173.046230007</c:v>
                </c:pt>
                <c:pt idx="35">
                  <c:v>22034557.679690003</c:v>
                </c:pt>
                <c:pt idx="36">
                  <c:v>20989839.779690001</c:v>
                </c:pt>
                <c:pt idx="37">
                  <c:v>22479773.079690002</c:v>
                </c:pt>
                <c:pt idx="38">
                  <c:v>22838119.823360004</c:v>
                </c:pt>
                <c:pt idx="39">
                  <c:v>23186359.123360004</c:v>
                </c:pt>
                <c:pt idx="40">
                  <c:v>22044665.123360004</c:v>
                </c:pt>
                <c:pt idx="41">
                  <c:v>22653927.087400008</c:v>
                </c:pt>
                <c:pt idx="42">
                  <c:v>23002166.387400009</c:v>
                </c:pt>
                <c:pt idx="43">
                  <c:v>21957448.487400007</c:v>
                </c:pt>
                <c:pt idx="44">
                  <c:v>23364138.121120006</c:v>
                </c:pt>
                <c:pt idx="45">
                  <c:v>23364138.121120006</c:v>
                </c:pt>
                <c:pt idx="46">
                  <c:v>22319420.221120004</c:v>
                </c:pt>
                <c:pt idx="47">
                  <c:v>23436110.650840007</c:v>
                </c:pt>
                <c:pt idx="48">
                  <c:v>22391392.750840005</c:v>
                </c:pt>
                <c:pt idx="49">
                  <c:v>24229565.350840006</c:v>
                </c:pt>
                <c:pt idx="50">
                  <c:v>24270584.073300004</c:v>
                </c:pt>
                <c:pt idx="51">
                  <c:v>23922344.773300003</c:v>
                </c:pt>
                <c:pt idx="52">
                  <c:v>23825368.673300005</c:v>
                </c:pt>
                <c:pt idx="53">
                  <c:v>24070352.091770008</c:v>
                </c:pt>
                <c:pt idx="54">
                  <c:v>23373873.491770007</c:v>
                </c:pt>
                <c:pt idx="55">
                  <c:v>23722112.791770007</c:v>
                </c:pt>
                <c:pt idx="56">
                  <c:v>23791317.147270005</c:v>
                </c:pt>
                <c:pt idx="57">
                  <c:v>23791317.147270005</c:v>
                </c:pt>
                <c:pt idx="58">
                  <c:v>23791317.147270005</c:v>
                </c:pt>
                <c:pt idx="59">
                  <c:v>23396697.122660004</c:v>
                </c:pt>
                <c:pt idx="60">
                  <c:v>22351979.222660001</c:v>
                </c:pt>
                <c:pt idx="61">
                  <c:v>25944509.322660003</c:v>
                </c:pt>
                <c:pt idx="62">
                  <c:v>21182410.362490006</c:v>
                </c:pt>
                <c:pt idx="63">
                  <c:v>20834171.062490005</c:v>
                </c:pt>
                <c:pt idx="64">
                  <c:v>18982837.462490007</c:v>
                </c:pt>
                <c:pt idx="65">
                  <c:v>23641674.674750008</c:v>
                </c:pt>
                <c:pt idx="66">
                  <c:v>22945196.074750006</c:v>
                </c:pt>
                <c:pt idx="67">
                  <c:v>23293435.374750007</c:v>
                </c:pt>
                <c:pt idx="68">
                  <c:v>24522900.181890007</c:v>
                </c:pt>
                <c:pt idx="69">
                  <c:v>24522900.181890007</c:v>
                </c:pt>
                <c:pt idx="70">
                  <c:v>24522900.181890007</c:v>
                </c:pt>
                <c:pt idx="71">
                  <c:v>25012033.583440006</c:v>
                </c:pt>
                <c:pt idx="72">
                  <c:v>24663794.283440005</c:v>
                </c:pt>
                <c:pt idx="73">
                  <c:v>26850206.183440004</c:v>
                </c:pt>
                <c:pt idx="74">
                  <c:v>25753924.135380007</c:v>
                </c:pt>
                <c:pt idx="75">
                  <c:v>25405684.835380007</c:v>
                </c:pt>
                <c:pt idx="76">
                  <c:v>25308708.735380009</c:v>
                </c:pt>
                <c:pt idx="77">
                  <c:v>26083952.715240005</c:v>
                </c:pt>
                <c:pt idx="78">
                  <c:v>25735713.415240005</c:v>
                </c:pt>
                <c:pt idx="79">
                  <c:v>25735713.415240005</c:v>
                </c:pt>
                <c:pt idx="80">
                  <c:v>26976975.917270005</c:v>
                </c:pt>
                <c:pt idx="81">
                  <c:v>27673454.517270006</c:v>
                </c:pt>
                <c:pt idx="82">
                  <c:v>27325215.217270005</c:v>
                </c:pt>
                <c:pt idx="83">
                  <c:v>26549361.842380002</c:v>
                </c:pt>
                <c:pt idx="84">
                  <c:v>26201122.542380001</c:v>
                </c:pt>
                <c:pt idx="85">
                  <c:v>28387534.44238</c:v>
                </c:pt>
                <c:pt idx="86">
                  <c:v>27764831.293110002</c:v>
                </c:pt>
                <c:pt idx="87">
                  <c:v>28113070.593110003</c:v>
                </c:pt>
                <c:pt idx="88">
                  <c:v>27667855.193110004</c:v>
                </c:pt>
                <c:pt idx="89">
                  <c:v>27060880.892890006</c:v>
                </c:pt>
                <c:pt idx="90">
                  <c:v>27757359.492890008</c:v>
                </c:pt>
                <c:pt idx="91">
                  <c:v>27060880.892890006</c:v>
                </c:pt>
                <c:pt idx="92">
                  <c:v>26998267.428390004</c:v>
                </c:pt>
                <c:pt idx="93">
                  <c:v>27694746.028390005</c:v>
                </c:pt>
                <c:pt idx="94">
                  <c:v>26998267.428390004</c:v>
                </c:pt>
                <c:pt idx="95">
                  <c:v>27038055.962780003</c:v>
                </c:pt>
                <c:pt idx="96">
                  <c:v>26341577.362780001</c:v>
                </c:pt>
                <c:pt idx="97">
                  <c:v>28527989.26278</c:v>
                </c:pt>
                <c:pt idx="98">
                  <c:v>27454360.731730007</c:v>
                </c:pt>
                <c:pt idx="99">
                  <c:v>28499078.631730009</c:v>
                </c:pt>
                <c:pt idx="100">
                  <c:v>27705623.93173001</c:v>
                </c:pt>
                <c:pt idx="101">
                  <c:v>27154013.115910009</c:v>
                </c:pt>
                <c:pt idx="102">
                  <c:v>27850491.71591001</c:v>
                </c:pt>
                <c:pt idx="103">
                  <c:v>27154013.115910009</c:v>
                </c:pt>
                <c:pt idx="104">
                  <c:v>27625831.622160006</c:v>
                </c:pt>
                <c:pt idx="105">
                  <c:v>27974070.922160007</c:v>
                </c:pt>
                <c:pt idx="106">
                  <c:v>26929353.022160005</c:v>
                </c:pt>
                <c:pt idx="107">
                  <c:v>28243572.455150008</c:v>
                </c:pt>
                <c:pt idx="108">
                  <c:v>27547093.855150007</c:v>
                </c:pt>
                <c:pt idx="109">
                  <c:v>28340548.555150006</c:v>
                </c:pt>
                <c:pt idx="110">
                  <c:v>29180379.034400005</c:v>
                </c:pt>
                <c:pt idx="111">
                  <c:v>29180379.034400005</c:v>
                </c:pt>
                <c:pt idx="112">
                  <c:v>27690445.734400004</c:v>
                </c:pt>
                <c:pt idx="113">
                  <c:v>28447033.260320008</c:v>
                </c:pt>
                <c:pt idx="114">
                  <c:v>28098793.960320007</c:v>
                </c:pt>
                <c:pt idx="115">
                  <c:v>27750554.660320006</c:v>
                </c:pt>
                <c:pt idx="116">
                  <c:v>28675737.178020008</c:v>
                </c:pt>
                <c:pt idx="117">
                  <c:v>28327497.878020007</c:v>
                </c:pt>
                <c:pt idx="118">
                  <c:v>27979258.578020006</c:v>
                </c:pt>
                <c:pt idx="119">
                  <c:v>28675737.178020008</c:v>
                </c:pt>
                <c:pt idx="120">
                  <c:v>27631019.278020006</c:v>
                </c:pt>
                <c:pt idx="121">
                  <c:v>29120952.578020006</c:v>
                </c:pt>
                <c:pt idx="122">
                  <c:v>29120952.578020006</c:v>
                </c:pt>
                <c:pt idx="123">
                  <c:v>29120952.578020006</c:v>
                </c:pt>
                <c:pt idx="124">
                  <c:v>28327497.878020007</c:v>
                </c:pt>
                <c:pt idx="125">
                  <c:v>28675737.178020008</c:v>
                </c:pt>
                <c:pt idx="126">
                  <c:v>27979258.578020006</c:v>
                </c:pt>
                <c:pt idx="127">
                  <c:v>28327497.878020007</c:v>
                </c:pt>
                <c:pt idx="128">
                  <c:v>28675737.178020008</c:v>
                </c:pt>
                <c:pt idx="129">
                  <c:v>27979258.578020006</c:v>
                </c:pt>
                <c:pt idx="130">
                  <c:v>28327497.878020007</c:v>
                </c:pt>
                <c:pt idx="131">
                  <c:v>28327497.878020007</c:v>
                </c:pt>
                <c:pt idx="132">
                  <c:v>27631019.278020006</c:v>
                </c:pt>
                <c:pt idx="133">
                  <c:v>29469191.878020007</c:v>
                </c:pt>
                <c:pt idx="134">
                  <c:v>29469191.878020007</c:v>
                </c:pt>
                <c:pt idx="135">
                  <c:v>28772713.278020006</c:v>
                </c:pt>
                <c:pt idx="136">
                  <c:v>28675737.178020008</c:v>
                </c:pt>
                <c:pt idx="137">
                  <c:v>28675737.178020008</c:v>
                </c:pt>
                <c:pt idx="138">
                  <c:v>27979258.578020006</c:v>
                </c:pt>
                <c:pt idx="139">
                  <c:v>28327497.878020007</c:v>
                </c:pt>
                <c:pt idx="140">
                  <c:v>28327497.878020007</c:v>
                </c:pt>
                <c:pt idx="141">
                  <c:v>28327497.878020007</c:v>
                </c:pt>
                <c:pt idx="142">
                  <c:v>28327497.878020007</c:v>
                </c:pt>
                <c:pt idx="143">
                  <c:v>27979258.578020006</c:v>
                </c:pt>
                <c:pt idx="144">
                  <c:v>27631019.278020006</c:v>
                </c:pt>
                <c:pt idx="145">
                  <c:v>29469191.878020007</c:v>
                </c:pt>
                <c:pt idx="146">
                  <c:v>29469191.878020007</c:v>
                </c:pt>
                <c:pt idx="147">
                  <c:v>28772713.278020006</c:v>
                </c:pt>
                <c:pt idx="148">
                  <c:v>28675737.178020008</c:v>
                </c:pt>
                <c:pt idx="149">
                  <c:v>28327497.878020007</c:v>
                </c:pt>
                <c:pt idx="150">
                  <c:v>28327497.878020007</c:v>
                </c:pt>
                <c:pt idx="151">
                  <c:v>28327497.878020007</c:v>
                </c:pt>
                <c:pt idx="152">
                  <c:v>27979258.578020006</c:v>
                </c:pt>
                <c:pt idx="153">
                  <c:v>28675737.178020008</c:v>
                </c:pt>
                <c:pt idx="154">
                  <c:v>27979258.578020006</c:v>
                </c:pt>
                <c:pt idx="155">
                  <c:v>29081533.55700238</c:v>
                </c:pt>
                <c:pt idx="156">
                  <c:v>29429772.857002381</c:v>
                </c:pt>
                <c:pt idx="157">
                  <c:v>30919706.157002378</c:v>
                </c:pt>
                <c:pt idx="158">
                  <c:v>29526748.957002379</c:v>
                </c:pt>
                <c:pt idx="159">
                  <c:v>30571466.857002381</c:v>
                </c:pt>
                <c:pt idx="160">
                  <c:v>29778012.157002382</c:v>
                </c:pt>
                <c:pt idx="161">
                  <c:v>29081533.55700238</c:v>
                </c:pt>
                <c:pt idx="162">
                  <c:v>29778012.157002382</c:v>
                </c:pt>
                <c:pt idx="163">
                  <c:v>29081533.55700238</c:v>
                </c:pt>
                <c:pt idx="164">
                  <c:v>29429772.857002381</c:v>
                </c:pt>
                <c:pt idx="165">
                  <c:v>29778012.157002382</c:v>
                </c:pt>
                <c:pt idx="166">
                  <c:v>28733294.25700238</c:v>
                </c:pt>
                <c:pt idx="167">
                  <c:v>30901230.360585421</c:v>
                </c:pt>
                <c:pt idx="168">
                  <c:v>29856512.460585419</c:v>
                </c:pt>
                <c:pt idx="169">
                  <c:v>31346445.76058542</c:v>
                </c:pt>
                <c:pt idx="170">
                  <c:v>31346445.76058542</c:v>
                </c:pt>
                <c:pt idx="171">
                  <c:v>31694685.060585421</c:v>
                </c:pt>
                <c:pt idx="172">
                  <c:v>30552991.060585421</c:v>
                </c:pt>
                <c:pt idx="173">
                  <c:v>30552991.060585421</c:v>
                </c:pt>
                <c:pt idx="174">
                  <c:v>30901230.360585421</c:v>
                </c:pt>
                <c:pt idx="175">
                  <c:v>29856512.460585419</c:v>
                </c:pt>
                <c:pt idx="176">
                  <c:v>30901230.360585421</c:v>
                </c:pt>
                <c:pt idx="177">
                  <c:v>30901230.360585421</c:v>
                </c:pt>
                <c:pt idx="178">
                  <c:v>29856512.460585419</c:v>
                </c:pt>
                <c:pt idx="179">
                  <c:v>32045789.710036531</c:v>
                </c:pt>
                <c:pt idx="180">
                  <c:v>31001071.810036529</c:v>
                </c:pt>
                <c:pt idx="181">
                  <c:v>32491005.11003653</c:v>
                </c:pt>
                <c:pt idx="182">
                  <c:v>32491005.11003653</c:v>
                </c:pt>
                <c:pt idx="183">
                  <c:v>32839244.41003653</c:v>
                </c:pt>
                <c:pt idx="184">
                  <c:v>31349311.11003653</c:v>
                </c:pt>
                <c:pt idx="185">
                  <c:v>32045789.710036531</c:v>
                </c:pt>
                <c:pt idx="186">
                  <c:v>31697550.41003653</c:v>
                </c:pt>
                <c:pt idx="187">
                  <c:v>31349311.11003653</c:v>
                </c:pt>
                <c:pt idx="188">
                  <c:v>32045789.710036531</c:v>
                </c:pt>
                <c:pt idx="189">
                  <c:v>31697550.41003653</c:v>
                </c:pt>
                <c:pt idx="190">
                  <c:v>31349311.11003653</c:v>
                </c:pt>
                <c:pt idx="191">
                  <c:v>33212095.687127218</c:v>
                </c:pt>
                <c:pt idx="192">
                  <c:v>32167377.787127215</c:v>
                </c:pt>
                <c:pt idx="193">
                  <c:v>33657311.087127216</c:v>
                </c:pt>
                <c:pt idx="194">
                  <c:v>33657311.087127216</c:v>
                </c:pt>
                <c:pt idx="195">
                  <c:v>33657311.087127216</c:v>
                </c:pt>
                <c:pt idx="196">
                  <c:v>32863856.387127217</c:v>
                </c:pt>
                <c:pt idx="197">
                  <c:v>33212095.687127218</c:v>
                </c:pt>
                <c:pt idx="198">
                  <c:v>32515617.087127216</c:v>
                </c:pt>
                <c:pt idx="199">
                  <c:v>32863856.387127217</c:v>
                </c:pt>
                <c:pt idx="200">
                  <c:v>33212095.687127218</c:v>
                </c:pt>
                <c:pt idx="201">
                  <c:v>32515617.087127216</c:v>
                </c:pt>
                <c:pt idx="202">
                  <c:v>32863856.387127217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F-4AEE-9573-2AEDAB809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'WRZ Residential Normalized'!$D$1</c:f>
              <c:strCache>
                <c:ptCount val="1"/>
                <c:pt idx="0">
                  <c:v>WRZ_ResidentialkWh_No_CDM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Residential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'WRZ Residential Normalized'!$D$2:$D$109</c:f>
              <c:numCache>
                <c:formatCode>_-* #,##0_-;\-* #,##0_-;_-* "-"??_-;_-@_-</c:formatCode>
                <c:ptCount val="108"/>
                <c:pt idx="0">
                  <c:v>31516891.693563402</c:v>
                </c:pt>
                <c:pt idx="1">
                  <c:v>28542104.544935308</c:v>
                </c:pt>
                <c:pt idx="2">
                  <c:v>27187379.621047426</c:v>
                </c:pt>
                <c:pt idx="3">
                  <c:v>23251375.536629245</c:v>
                </c:pt>
                <c:pt idx="4">
                  <c:v>24785625.220071364</c:v>
                </c:pt>
                <c:pt idx="5">
                  <c:v>26939319.427072883</c:v>
                </c:pt>
                <c:pt idx="6">
                  <c:v>37076912.149965301</c:v>
                </c:pt>
                <c:pt idx="7">
                  <c:v>33838120.556036919</c:v>
                </c:pt>
                <c:pt idx="8">
                  <c:v>31510740.237148736</c:v>
                </c:pt>
                <c:pt idx="9">
                  <c:v>24349104.451610852</c:v>
                </c:pt>
                <c:pt idx="10">
                  <c:v>24508802.526932873</c:v>
                </c:pt>
                <c:pt idx="11">
                  <c:v>28313275.283504494</c:v>
                </c:pt>
                <c:pt idx="12">
                  <c:v>31299065.574683364</c:v>
                </c:pt>
                <c:pt idx="13">
                  <c:v>28107655.444630712</c:v>
                </c:pt>
                <c:pt idx="14">
                  <c:v>27483932.055567756</c:v>
                </c:pt>
                <c:pt idx="15">
                  <c:v>24945174.944504999</c:v>
                </c:pt>
                <c:pt idx="16">
                  <c:v>27521939.867072541</c:v>
                </c:pt>
                <c:pt idx="17">
                  <c:v>33531214.931869484</c:v>
                </c:pt>
                <c:pt idx="18">
                  <c:v>43681699.208446927</c:v>
                </c:pt>
                <c:pt idx="19">
                  <c:v>46283926.15929427</c:v>
                </c:pt>
                <c:pt idx="20">
                  <c:v>32267263.271041319</c:v>
                </c:pt>
                <c:pt idx="21">
                  <c:v>25862800.392748661</c:v>
                </c:pt>
                <c:pt idx="22">
                  <c:v>25641526.930705804</c:v>
                </c:pt>
                <c:pt idx="23">
                  <c:v>31547108.264423046</c:v>
                </c:pt>
                <c:pt idx="24">
                  <c:v>30485456.806415159</c:v>
                </c:pt>
                <c:pt idx="25">
                  <c:v>26391860.978880726</c:v>
                </c:pt>
                <c:pt idx="26">
                  <c:v>28587408.144225992</c:v>
                </c:pt>
                <c:pt idx="27">
                  <c:v>24574299.531381663</c:v>
                </c:pt>
                <c:pt idx="28">
                  <c:v>25554562.015087429</c:v>
                </c:pt>
                <c:pt idx="29">
                  <c:v>30588200.153912894</c:v>
                </c:pt>
                <c:pt idx="30">
                  <c:v>37992744.147648364</c:v>
                </c:pt>
                <c:pt idx="31">
                  <c:v>35156430.481603831</c:v>
                </c:pt>
                <c:pt idx="32">
                  <c:v>32580189.603249595</c:v>
                </c:pt>
                <c:pt idx="33">
                  <c:v>26468289.330095068</c:v>
                </c:pt>
                <c:pt idx="34">
                  <c:v>27549828.038040731</c:v>
                </c:pt>
                <c:pt idx="35">
                  <c:v>33598624.644266002</c:v>
                </c:pt>
                <c:pt idx="36">
                  <c:v>32620888.624295734</c:v>
                </c:pt>
                <c:pt idx="37">
                  <c:v>27553017.604186989</c:v>
                </c:pt>
                <c:pt idx="38">
                  <c:v>28570971.462648444</c:v>
                </c:pt>
                <c:pt idx="39">
                  <c:v>26969894.908629999</c:v>
                </c:pt>
                <c:pt idx="40">
                  <c:v>28042931.996401049</c:v>
                </c:pt>
                <c:pt idx="41">
                  <c:v>33320135.514722604</c:v>
                </c:pt>
                <c:pt idx="42">
                  <c:v>45378411.689653657</c:v>
                </c:pt>
                <c:pt idx="43">
                  <c:v>44407910.204294905</c:v>
                </c:pt>
                <c:pt idx="44">
                  <c:v>35278903.309966564</c:v>
                </c:pt>
                <c:pt idx="45">
                  <c:v>27430302.460327823</c:v>
                </c:pt>
                <c:pt idx="46">
                  <c:v>28520056.751089077</c:v>
                </c:pt>
                <c:pt idx="47">
                  <c:v>32346137.62076043</c:v>
                </c:pt>
                <c:pt idx="48">
                  <c:v>32928562.605267532</c:v>
                </c:pt>
                <c:pt idx="49">
                  <c:v>28792193.747271352</c:v>
                </c:pt>
                <c:pt idx="50">
                  <c:v>29547782.647375461</c:v>
                </c:pt>
                <c:pt idx="51">
                  <c:v>25950042.681829374</c:v>
                </c:pt>
                <c:pt idx="52">
                  <c:v>25742829.91307319</c:v>
                </c:pt>
                <c:pt idx="53">
                  <c:v>30932840.927906904</c:v>
                </c:pt>
                <c:pt idx="54">
                  <c:v>46405254.211731017</c:v>
                </c:pt>
                <c:pt idx="55">
                  <c:v>39200831.768664829</c:v>
                </c:pt>
                <c:pt idx="56">
                  <c:v>28663370.646698944</c:v>
                </c:pt>
                <c:pt idx="57">
                  <c:v>26368384.242492959</c:v>
                </c:pt>
                <c:pt idx="58">
                  <c:v>28801098.897696473</c:v>
                </c:pt>
                <c:pt idx="59">
                  <c:v>32884166.159240685</c:v>
                </c:pt>
                <c:pt idx="60">
                  <c:v>31510170.004796762</c:v>
                </c:pt>
                <c:pt idx="61">
                  <c:v>29273294.280135576</c:v>
                </c:pt>
                <c:pt idx="62">
                  <c:v>29911361.800874691</c:v>
                </c:pt>
                <c:pt idx="63">
                  <c:v>28752418.448513802</c:v>
                </c:pt>
                <c:pt idx="64">
                  <c:v>32004641.507642817</c:v>
                </c:pt>
                <c:pt idx="65">
                  <c:v>40334292.158091635</c:v>
                </c:pt>
                <c:pt idx="66">
                  <c:v>55198199.997750744</c:v>
                </c:pt>
                <c:pt idx="67">
                  <c:v>45757218.379059561</c:v>
                </c:pt>
                <c:pt idx="68">
                  <c:v>31219269.97128877</c:v>
                </c:pt>
                <c:pt idx="69">
                  <c:v>28728580.147087686</c:v>
                </c:pt>
                <c:pt idx="70">
                  <c:v>29288672.5578968</c:v>
                </c:pt>
                <c:pt idx="71">
                  <c:v>34977177.400135517</c:v>
                </c:pt>
                <c:pt idx="72">
                  <c:v>34480133.068013385</c:v>
                </c:pt>
                <c:pt idx="73">
                  <c:v>31637027.72212705</c:v>
                </c:pt>
                <c:pt idx="74">
                  <c:v>30941540.276100904</c:v>
                </c:pt>
                <c:pt idx="75">
                  <c:v>28032178.831614867</c:v>
                </c:pt>
                <c:pt idx="76">
                  <c:v>31416040.846248426</c:v>
                </c:pt>
                <c:pt idx="77">
                  <c:v>40462392.89460209</c:v>
                </c:pt>
                <c:pt idx="78">
                  <c:v>42514397.92280595</c:v>
                </c:pt>
                <c:pt idx="79">
                  <c:v>50349130.762999512</c:v>
                </c:pt>
                <c:pt idx="80">
                  <c:v>32830511.610102866</c:v>
                </c:pt>
                <c:pt idx="81">
                  <c:v>29274555.122296624</c:v>
                </c:pt>
                <c:pt idx="82">
                  <c:v>29454793.327350385</c:v>
                </c:pt>
                <c:pt idx="83">
                  <c:v>34005574.447683841</c:v>
                </c:pt>
                <c:pt idx="84">
                  <c:v>37009104.866309367</c:v>
                </c:pt>
                <c:pt idx="85">
                  <c:v>31502852.81153566</c:v>
                </c:pt>
                <c:pt idx="86">
                  <c:v>31892679.077571649</c:v>
                </c:pt>
                <c:pt idx="87">
                  <c:v>28211659.880827833</c:v>
                </c:pt>
                <c:pt idx="88">
                  <c:v>30683544.243913624</c:v>
                </c:pt>
                <c:pt idx="89">
                  <c:v>36020711.415999711</c:v>
                </c:pt>
                <c:pt idx="90">
                  <c:v>45496342.704765901</c:v>
                </c:pt>
                <c:pt idx="91">
                  <c:v>46643555.051872186</c:v>
                </c:pt>
                <c:pt idx="92">
                  <c:v>33643942.288528271</c:v>
                </c:pt>
                <c:pt idx="93">
                  <c:v>28427810.32497406</c:v>
                </c:pt>
                <c:pt idx="94">
                  <c:v>29542894.316720445</c:v>
                </c:pt>
                <c:pt idx="95">
                  <c:v>34928798.942896433</c:v>
                </c:pt>
                <c:pt idx="96">
                  <c:v>33819883.373692662</c:v>
                </c:pt>
                <c:pt idx="97">
                  <c:v>30617908.28563017</c:v>
                </c:pt>
                <c:pt idx="98">
                  <c:v>31726388.808537379</c:v>
                </c:pt>
                <c:pt idx="99">
                  <c:v>28343683.610224586</c:v>
                </c:pt>
                <c:pt idx="100">
                  <c:v>29876954.245041892</c:v>
                </c:pt>
                <c:pt idx="101">
                  <c:v>38044767.096269302</c:v>
                </c:pt>
                <c:pt idx="102">
                  <c:v>47265697.539416209</c:v>
                </c:pt>
                <c:pt idx="103">
                  <c:v>40996520.433003724</c:v>
                </c:pt>
                <c:pt idx="104">
                  <c:v>35625536.175440915</c:v>
                </c:pt>
                <c:pt idx="105">
                  <c:v>30885239.148188531</c:v>
                </c:pt>
                <c:pt idx="106">
                  <c:v>31022915.904135838</c:v>
                </c:pt>
                <c:pt idx="107">
                  <c:v>34753712.691013247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C-44A6-9C26-B0599B27C13B}"/>
            </c:ext>
          </c:extLst>
        </c:ser>
        <c:ser>
          <c:idx val="1"/>
          <c:order val="1"/>
          <c:tx>
            <c:strRef>
              <c:f>'WRZ Residential Normalized'!$U$1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Residential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'WRZ Residential Normalized'!$U$2:$U$205</c:f>
              <c:numCache>
                <c:formatCode>_-* #,##0_-;\-* #,##0_-;_-* "-"??_-;_-@_-</c:formatCode>
                <c:ptCount val="204"/>
                <c:pt idx="0">
                  <c:v>29684099.272443399</c:v>
                </c:pt>
                <c:pt idx="1">
                  <c:v>26208266.124581978</c:v>
                </c:pt>
                <c:pt idx="2">
                  <c:v>26773268.272010922</c:v>
                </c:pt>
                <c:pt idx="3">
                  <c:v>23384910.981039975</c:v>
                </c:pt>
                <c:pt idx="4">
                  <c:v>25956513.194722194</c:v>
                </c:pt>
                <c:pt idx="5">
                  <c:v>32153361.082102239</c:v>
                </c:pt>
                <c:pt idx="6">
                  <c:v>41653627.799237117</c:v>
                </c:pt>
                <c:pt idx="7">
                  <c:v>39459739.802463681</c:v>
                </c:pt>
                <c:pt idx="8">
                  <c:v>28942523.067255773</c:v>
                </c:pt>
                <c:pt idx="9">
                  <c:v>24319344.905636612</c:v>
                </c:pt>
                <c:pt idx="10">
                  <c:v>24715791.663511459</c:v>
                </c:pt>
                <c:pt idx="11">
                  <c:v>28536582.642965373</c:v>
                </c:pt>
                <c:pt idx="12">
                  <c:v>30330450.020292621</c:v>
                </c:pt>
                <c:pt idx="13">
                  <c:v>27676208.565632962</c:v>
                </c:pt>
                <c:pt idx="14">
                  <c:v>27419619.019860145</c:v>
                </c:pt>
                <c:pt idx="15">
                  <c:v>24031261.728889197</c:v>
                </c:pt>
                <c:pt idx="16">
                  <c:v>26602863.942571416</c:v>
                </c:pt>
                <c:pt idx="17">
                  <c:v>32799711.829951461</c:v>
                </c:pt>
                <c:pt idx="18">
                  <c:v>42299978.547086343</c:v>
                </c:pt>
                <c:pt idx="19">
                  <c:v>40106090.550312907</c:v>
                </c:pt>
                <c:pt idx="20">
                  <c:v>29588873.815104995</c:v>
                </c:pt>
                <c:pt idx="21">
                  <c:v>24965695.653485835</c:v>
                </c:pt>
                <c:pt idx="22">
                  <c:v>25362142.411360681</c:v>
                </c:pt>
                <c:pt idx="23">
                  <c:v>29182933.390814595</c:v>
                </c:pt>
                <c:pt idx="24">
                  <c:v>30976800.768141843</c:v>
                </c:pt>
                <c:pt idx="25">
                  <c:v>27500967.620280422</c:v>
                </c:pt>
                <c:pt idx="26">
                  <c:v>28065969.767709367</c:v>
                </c:pt>
                <c:pt idx="27">
                  <c:v>24677612.476738416</c:v>
                </c:pt>
                <c:pt idx="28">
                  <c:v>27249214.690420639</c:v>
                </c:pt>
                <c:pt idx="29">
                  <c:v>33446062.577800684</c:v>
                </c:pt>
                <c:pt idx="30">
                  <c:v>42946329.294935562</c:v>
                </c:pt>
                <c:pt idx="31">
                  <c:v>40752441.298162125</c:v>
                </c:pt>
                <c:pt idx="32">
                  <c:v>30235224.562954217</c:v>
                </c:pt>
                <c:pt idx="33">
                  <c:v>25612046.401335057</c:v>
                </c:pt>
                <c:pt idx="34">
                  <c:v>26008493.159209903</c:v>
                </c:pt>
                <c:pt idx="35">
                  <c:v>29829284.138663817</c:v>
                </c:pt>
                <c:pt idx="36">
                  <c:v>31623151.515991066</c:v>
                </c:pt>
                <c:pt idx="37">
                  <c:v>28147318.368129641</c:v>
                </c:pt>
                <c:pt idx="38">
                  <c:v>28712320.515558589</c:v>
                </c:pt>
                <c:pt idx="39">
                  <c:v>25323963.224587638</c:v>
                </c:pt>
                <c:pt idx="40">
                  <c:v>27895565.438269861</c:v>
                </c:pt>
                <c:pt idx="41">
                  <c:v>34092413.325649902</c:v>
                </c:pt>
                <c:pt idx="42">
                  <c:v>43592680.04278478</c:v>
                </c:pt>
                <c:pt idx="43">
                  <c:v>41398792.046011344</c:v>
                </c:pt>
                <c:pt idx="44">
                  <c:v>30881575.310803439</c:v>
                </c:pt>
                <c:pt idx="45">
                  <c:v>26258397.149184279</c:v>
                </c:pt>
                <c:pt idx="46">
                  <c:v>26654843.907059126</c:v>
                </c:pt>
                <c:pt idx="47">
                  <c:v>30475634.886513039</c:v>
                </c:pt>
                <c:pt idx="48">
                  <c:v>32269502.263840288</c:v>
                </c:pt>
                <c:pt idx="49">
                  <c:v>28793669.115978867</c:v>
                </c:pt>
                <c:pt idx="50">
                  <c:v>29358671.263407812</c:v>
                </c:pt>
                <c:pt idx="51">
                  <c:v>25970313.97243686</c:v>
                </c:pt>
                <c:pt idx="52">
                  <c:v>28541916.186119083</c:v>
                </c:pt>
                <c:pt idx="53">
                  <c:v>34738764.073499128</c:v>
                </c:pt>
                <c:pt idx="54">
                  <c:v>44239030.790634006</c:v>
                </c:pt>
                <c:pt idx="55">
                  <c:v>42045142.79386057</c:v>
                </c:pt>
                <c:pt idx="56">
                  <c:v>31527926.058652662</c:v>
                </c:pt>
                <c:pt idx="57">
                  <c:v>26904747.897033501</c:v>
                </c:pt>
                <c:pt idx="58">
                  <c:v>27301194.654908348</c:v>
                </c:pt>
                <c:pt idx="59">
                  <c:v>31121985.634362258</c:v>
                </c:pt>
                <c:pt idx="60">
                  <c:v>32915853.011689506</c:v>
                </c:pt>
                <c:pt idx="61">
                  <c:v>30261611.557029851</c:v>
                </c:pt>
                <c:pt idx="62">
                  <c:v>31281911.849475391</c:v>
                </c:pt>
                <c:pt idx="63">
                  <c:v>28682325.735156536</c:v>
                </c:pt>
                <c:pt idx="64">
                  <c:v>31279673.777743708</c:v>
                </c:pt>
                <c:pt idx="65">
                  <c:v>36889086.311019532</c:v>
                </c:pt>
                <c:pt idx="66">
                  <c:v>47451524.44702135</c:v>
                </c:pt>
                <c:pt idx="67">
                  <c:v>44540016.226657592</c:v>
                </c:pt>
                <c:pt idx="68">
                  <c:v>33115964.298944183</c:v>
                </c:pt>
                <c:pt idx="69">
                  <c:v>28405526.459016956</c:v>
                </c:pt>
                <c:pt idx="70">
                  <c:v>28948958.705191277</c:v>
                </c:pt>
                <c:pt idx="71">
                  <c:v>33283266.040949017</c:v>
                </c:pt>
                <c:pt idx="72">
                  <c:v>35242978.266914293</c:v>
                </c:pt>
                <c:pt idx="73">
                  <c:v>31752933.202137008</c:v>
                </c:pt>
                <c:pt idx="74">
                  <c:v>31954162.449864332</c:v>
                </c:pt>
                <c:pt idx="75">
                  <c:v>28185992.891346537</c:v>
                </c:pt>
                <c:pt idx="76">
                  <c:v>30803784.059941992</c:v>
                </c:pt>
                <c:pt idx="77">
                  <c:v>37625489.306077935</c:v>
                </c:pt>
                <c:pt idx="78">
                  <c:v>47194019.434636474</c:v>
                </c:pt>
                <c:pt idx="79">
                  <c:v>45568236.074644223</c:v>
                </c:pt>
                <c:pt idx="80">
                  <c:v>33830713.535647437</c:v>
                </c:pt>
                <c:pt idx="81">
                  <c:v>29070803.98554837</c:v>
                </c:pt>
                <c:pt idx="82">
                  <c:v>29783263.531545144</c:v>
                </c:pt>
                <c:pt idx="83">
                  <c:v>33812495.715922728</c:v>
                </c:pt>
                <c:pt idx="84">
                  <c:v>35250947.71649453</c:v>
                </c:pt>
                <c:pt idx="85">
                  <c:v>31546500.420283336</c:v>
                </c:pt>
                <c:pt idx="86">
                  <c:v>32010340.537902415</c:v>
                </c:pt>
                <c:pt idx="87">
                  <c:v>28396016.704315677</c:v>
                </c:pt>
                <c:pt idx="88">
                  <c:v>30968278.358306039</c:v>
                </c:pt>
                <c:pt idx="89">
                  <c:v>37268821.651411183</c:v>
                </c:pt>
                <c:pt idx="90">
                  <c:v>47110196.503713071</c:v>
                </c:pt>
                <c:pt idx="91">
                  <c:v>44941130.90331994</c:v>
                </c:pt>
                <c:pt idx="92">
                  <c:v>33988968.558465302</c:v>
                </c:pt>
                <c:pt idx="93">
                  <c:v>29242458.600175984</c:v>
                </c:pt>
                <c:pt idx="94">
                  <c:v>29804021.819385763</c:v>
                </c:pt>
                <c:pt idx="95">
                  <c:v>33821106.26781562</c:v>
                </c:pt>
                <c:pt idx="96">
                  <c:v>34854905.255237177</c:v>
                </c:pt>
                <c:pt idx="97">
                  <c:v>31379072.107375752</c:v>
                </c:pt>
                <c:pt idx="98">
                  <c:v>31944074.254804701</c:v>
                </c:pt>
                <c:pt idx="99">
                  <c:v>28555716.963833749</c:v>
                </c:pt>
                <c:pt idx="100">
                  <c:v>31127319.177515972</c:v>
                </c:pt>
                <c:pt idx="101">
                  <c:v>37324167.064896017</c:v>
                </c:pt>
                <c:pt idx="102">
                  <c:v>46824433.782030895</c:v>
                </c:pt>
                <c:pt idx="103">
                  <c:v>44630545.785257459</c:v>
                </c:pt>
                <c:pt idx="104">
                  <c:v>34113329.050049551</c:v>
                </c:pt>
                <c:pt idx="105">
                  <c:v>29490150.888430391</c:v>
                </c:pt>
                <c:pt idx="106">
                  <c:v>29886597.646305233</c:v>
                </c:pt>
                <c:pt idx="107">
                  <c:v>33707388.625759147</c:v>
                </c:pt>
                <c:pt idx="108">
                  <c:v>35501256.003086396</c:v>
                </c:pt>
                <c:pt idx="109">
                  <c:v>32847014.548426736</c:v>
                </c:pt>
                <c:pt idx="110">
                  <c:v>32590425.002653919</c:v>
                </c:pt>
                <c:pt idx="111">
                  <c:v>29202067.711682972</c:v>
                </c:pt>
                <c:pt idx="112">
                  <c:v>31773669.925365195</c:v>
                </c:pt>
                <c:pt idx="113">
                  <c:v>37970517.812745236</c:v>
                </c:pt>
                <c:pt idx="114">
                  <c:v>47470784.529880121</c:v>
                </c:pt>
                <c:pt idx="115">
                  <c:v>45276896.533106677</c:v>
                </c:pt>
                <c:pt idx="116">
                  <c:v>34759679.797898769</c:v>
                </c:pt>
                <c:pt idx="117">
                  <c:v>30136501.636279613</c:v>
                </c:pt>
                <c:pt idx="118">
                  <c:v>30532948.394154456</c:v>
                </c:pt>
                <c:pt idx="119">
                  <c:v>34353739.373608366</c:v>
                </c:pt>
                <c:pt idx="120">
                  <c:v>36147606.750935614</c:v>
                </c:pt>
                <c:pt idx="121">
                  <c:v>32671773.603074197</c:v>
                </c:pt>
                <c:pt idx="122">
                  <c:v>33236775.750503145</c:v>
                </c:pt>
                <c:pt idx="123">
                  <c:v>29848418.459532194</c:v>
                </c:pt>
                <c:pt idx="124">
                  <c:v>32420020.673214413</c:v>
                </c:pt>
                <c:pt idx="125">
                  <c:v>38616868.560594462</c:v>
                </c:pt>
                <c:pt idx="126">
                  <c:v>48117135.27772934</c:v>
                </c:pt>
                <c:pt idx="127">
                  <c:v>45923247.280955903</c:v>
                </c:pt>
                <c:pt idx="128">
                  <c:v>35406030.545747995</c:v>
                </c:pt>
                <c:pt idx="129">
                  <c:v>30782852.384128831</c:v>
                </c:pt>
                <c:pt idx="130">
                  <c:v>31179299.142003678</c:v>
                </c:pt>
                <c:pt idx="131">
                  <c:v>35000090.121457592</c:v>
                </c:pt>
                <c:pt idx="132">
                  <c:v>36793957.49878484</c:v>
                </c:pt>
                <c:pt idx="133">
                  <c:v>33318124.350923419</c:v>
                </c:pt>
                <c:pt idx="134">
                  <c:v>33883126.498352364</c:v>
                </c:pt>
                <c:pt idx="135">
                  <c:v>30494769.207381416</c:v>
                </c:pt>
                <c:pt idx="136">
                  <c:v>33066371.421063639</c:v>
                </c:pt>
                <c:pt idx="137">
                  <c:v>39263219.30844368</c:v>
                </c:pt>
                <c:pt idx="138">
                  <c:v>48763486.025578558</c:v>
                </c:pt>
                <c:pt idx="139">
                  <c:v>46569598.028805122</c:v>
                </c:pt>
                <c:pt idx="140">
                  <c:v>36052381.293597214</c:v>
                </c:pt>
                <c:pt idx="141">
                  <c:v>31429203.131978057</c:v>
                </c:pt>
                <c:pt idx="142">
                  <c:v>31825649.8898529</c:v>
                </c:pt>
                <c:pt idx="143">
                  <c:v>35646440.869306818</c:v>
                </c:pt>
                <c:pt idx="144">
                  <c:v>37440308.246634066</c:v>
                </c:pt>
                <c:pt idx="145">
                  <c:v>34786066.791974403</c:v>
                </c:pt>
                <c:pt idx="146">
                  <c:v>34529477.24620159</c:v>
                </c:pt>
                <c:pt idx="147">
                  <c:v>31141119.955230638</c:v>
                </c:pt>
                <c:pt idx="148">
                  <c:v>33712722.168912858</c:v>
                </c:pt>
                <c:pt idx="149">
                  <c:v>39909570.056292906</c:v>
                </c:pt>
                <c:pt idx="150">
                  <c:v>49409836.773427784</c:v>
                </c:pt>
                <c:pt idx="151">
                  <c:v>47215948.776654348</c:v>
                </c:pt>
                <c:pt idx="152">
                  <c:v>36698732.041446432</c:v>
                </c:pt>
                <c:pt idx="153">
                  <c:v>32075553.879827276</c:v>
                </c:pt>
                <c:pt idx="154">
                  <c:v>32472000.637702122</c:v>
                </c:pt>
                <c:pt idx="155">
                  <c:v>36292791.617156036</c:v>
                </c:pt>
                <c:pt idx="156">
                  <c:v>38086658.994483285</c:v>
                </c:pt>
                <c:pt idx="157">
                  <c:v>34610825.846621864</c:v>
                </c:pt>
                <c:pt idx="158">
                  <c:v>35175827.994050808</c:v>
                </c:pt>
                <c:pt idx="159">
                  <c:v>31787470.703079857</c:v>
                </c:pt>
                <c:pt idx="160">
                  <c:v>34359072.916762084</c:v>
                </c:pt>
                <c:pt idx="161">
                  <c:v>40555920.804142125</c:v>
                </c:pt>
                <c:pt idx="162">
                  <c:v>50056187.521277003</c:v>
                </c:pt>
                <c:pt idx="163">
                  <c:v>47862299.524503566</c:v>
                </c:pt>
                <c:pt idx="164">
                  <c:v>37345082.789295658</c:v>
                </c:pt>
                <c:pt idx="165">
                  <c:v>32721904.627676498</c:v>
                </c:pt>
                <c:pt idx="166">
                  <c:v>33118351.385551345</c:v>
                </c:pt>
                <c:pt idx="167">
                  <c:v>36939142.365005255</c:v>
                </c:pt>
                <c:pt idx="168">
                  <c:v>38733009.742332503</c:v>
                </c:pt>
                <c:pt idx="169">
                  <c:v>35257176.594471082</c:v>
                </c:pt>
                <c:pt idx="170">
                  <c:v>35822178.741900027</c:v>
                </c:pt>
                <c:pt idx="171">
                  <c:v>32433821.450929083</c:v>
                </c:pt>
                <c:pt idx="172">
                  <c:v>35005423.664611302</c:v>
                </c:pt>
                <c:pt idx="173">
                  <c:v>41202271.551991343</c:v>
                </c:pt>
                <c:pt idx="174">
                  <c:v>50702538.269126229</c:v>
                </c:pt>
                <c:pt idx="175">
                  <c:v>48508650.272352785</c:v>
                </c:pt>
                <c:pt idx="176">
                  <c:v>37991433.537144884</c:v>
                </c:pt>
                <c:pt idx="177">
                  <c:v>33368255.37552572</c:v>
                </c:pt>
                <c:pt idx="178">
                  <c:v>33764702.133400567</c:v>
                </c:pt>
                <c:pt idx="179">
                  <c:v>37585493.112854481</c:v>
                </c:pt>
                <c:pt idx="180">
                  <c:v>39379360.490181729</c:v>
                </c:pt>
                <c:pt idx="181">
                  <c:v>36725119.035522066</c:v>
                </c:pt>
                <c:pt idx="182">
                  <c:v>36468529.489749253</c:v>
                </c:pt>
                <c:pt idx="183">
                  <c:v>33080172.198778301</c:v>
                </c:pt>
                <c:pt idx="184">
                  <c:v>35651774.412460521</c:v>
                </c:pt>
                <c:pt idx="185">
                  <c:v>41848622.299840569</c:v>
                </c:pt>
                <c:pt idx="186">
                  <c:v>51348889.016975448</c:v>
                </c:pt>
                <c:pt idx="187">
                  <c:v>49155001.020202011</c:v>
                </c:pt>
                <c:pt idx="188">
                  <c:v>38637784.284994103</c:v>
                </c:pt>
                <c:pt idx="189">
                  <c:v>34014606.123374939</c:v>
                </c:pt>
                <c:pt idx="190">
                  <c:v>34411052.881249785</c:v>
                </c:pt>
                <c:pt idx="191">
                  <c:v>38231843.860703707</c:v>
                </c:pt>
                <c:pt idx="192">
                  <c:v>40025711.238030948</c:v>
                </c:pt>
                <c:pt idx="193">
                  <c:v>36549878.090169527</c:v>
                </c:pt>
                <c:pt idx="194">
                  <c:v>37114880.237598479</c:v>
                </c:pt>
                <c:pt idx="195">
                  <c:v>33726522.946627527</c:v>
                </c:pt>
                <c:pt idx="196">
                  <c:v>36298125.160309747</c:v>
                </c:pt>
                <c:pt idx="197">
                  <c:v>42494973.047689795</c:v>
                </c:pt>
                <c:pt idx="198">
                  <c:v>51995239.764824674</c:v>
                </c:pt>
                <c:pt idx="199">
                  <c:v>49801351.768051237</c:v>
                </c:pt>
                <c:pt idx="200">
                  <c:v>39284135.032843322</c:v>
                </c:pt>
                <c:pt idx="201">
                  <c:v>34660956.871224165</c:v>
                </c:pt>
                <c:pt idx="202">
                  <c:v>35057403.629099011</c:v>
                </c:pt>
                <c:pt idx="203">
                  <c:v>38878194.608552925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C-44A6-9C26-B0599B27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&lt; 50 Normalized'!$D$1</c:f>
              <c:strCache>
                <c:ptCount val="1"/>
                <c:pt idx="0">
                  <c:v>WRZ_GSlt50kWh_No_CDM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&lt; 50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'WRZ GS &lt; 50 Normalized'!$D$2:$D$109</c:f>
              <c:numCache>
                <c:formatCode>_-* #,##0_-;\-* #,##0_-;_-* "-"??_-;_-@_-</c:formatCode>
                <c:ptCount val="108"/>
                <c:pt idx="0">
                  <c:v>7756393.0871983338</c:v>
                </c:pt>
                <c:pt idx="1">
                  <c:v>7421843.3659423329</c:v>
                </c:pt>
                <c:pt idx="2">
                  <c:v>7192631.535226333</c:v>
                </c:pt>
                <c:pt idx="3">
                  <c:v>6120878.8653703434</c:v>
                </c:pt>
                <c:pt idx="4">
                  <c:v>6112862.2812043428</c:v>
                </c:pt>
                <c:pt idx="5">
                  <c:v>6287169.0056383237</c:v>
                </c:pt>
                <c:pt idx="6">
                  <c:v>7187453.4863023227</c:v>
                </c:pt>
                <c:pt idx="7">
                  <c:v>6942364.3965363335</c:v>
                </c:pt>
                <c:pt idx="8">
                  <c:v>6716609.2947003441</c:v>
                </c:pt>
                <c:pt idx="9">
                  <c:v>6094940.132594333</c:v>
                </c:pt>
                <c:pt idx="10">
                  <c:v>6289446.804618354</c:v>
                </c:pt>
                <c:pt idx="11">
                  <c:v>6693665.7901123427</c:v>
                </c:pt>
                <c:pt idx="12">
                  <c:v>8022437.8463796191</c:v>
                </c:pt>
                <c:pt idx="13">
                  <c:v>7521574.2530535134</c:v>
                </c:pt>
                <c:pt idx="14">
                  <c:v>7432171.2870274168</c:v>
                </c:pt>
                <c:pt idx="15">
                  <c:v>6923042.0147713209</c:v>
                </c:pt>
                <c:pt idx="16">
                  <c:v>6940870.3279952137</c:v>
                </c:pt>
                <c:pt idx="17">
                  <c:v>7486676.1629891274</c:v>
                </c:pt>
                <c:pt idx="18">
                  <c:v>8270105.5688030208</c:v>
                </c:pt>
                <c:pt idx="19">
                  <c:v>8626396.6611069143</c:v>
                </c:pt>
                <c:pt idx="20">
                  <c:v>7453679.6603208287</c:v>
                </c:pt>
                <c:pt idx="21">
                  <c:v>6878400.9134847308</c:v>
                </c:pt>
                <c:pt idx="22">
                  <c:v>7052177.4950286448</c:v>
                </c:pt>
                <c:pt idx="23">
                  <c:v>7997306.7357925586</c:v>
                </c:pt>
                <c:pt idx="24">
                  <c:v>8144669.8575158697</c:v>
                </c:pt>
                <c:pt idx="25">
                  <c:v>7294585.8640471846</c:v>
                </c:pt>
                <c:pt idx="26">
                  <c:v>7961820.5689884806</c:v>
                </c:pt>
                <c:pt idx="27">
                  <c:v>6614575.6895597856</c:v>
                </c:pt>
                <c:pt idx="28">
                  <c:v>6799762.8399810912</c:v>
                </c:pt>
                <c:pt idx="29">
                  <c:v>7076372.4234623974</c:v>
                </c:pt>
                <c:pt idx="30">
                  <c:v>7684660.8696337026</c:v>
                </c:pt>
                <c:pt idx="31">
                  <c:v>7605088.7634750074</c:v>
                </c:pt>
                <c:pt idx="32">
                  <c:v>7255095.0379063133</c:v>
                </c:pt>
                <c:pt idx="33">
                  <c:v>6788820.8536576079</c:v>
                </c:pt>
                <c:pt idx="34">
                  <c:v>7247344.0571189234</c:v>
                </c:pt>
                <c:pt idx="35">
                  <c:v>8210512.1815002188</c:v>
                </c:pt>
                <c:pt idx="36">
                  <c:v>8784586.6112699881</c:v>
                </c:pt>
                <c:pt idx="37">
                  <c:v>7496705.6892828932</c:v>
                </c:pt>
                <c:pt idx="38">
                  <c:v>7864003.8759458363</c:v>
                </c:pt>
                <c:pt idx="39">
                  <c:v>7173862.4657387612</c:v>
                </c:pt>
                <c:pt idx="40">
                  <c:v>7069458.6562616751</c:v>
                </c:pt>
                <c:pt idx="41">
                  <c:v>7294580.7913345993</c:v>
                </c:pt>
                <c:pt idx="42">
                  <c:v>8348558.2801675331</c:v>
                </c:pt>
                <c:pt idx="43">
                  <c:v>8435672.507350456</c:v>
                </c:pt>
                <c:pt idx="44">
                  <c:v>7360761.154793391</c:v>
                </c:pt>
                <c:pt idx="45">
                  <c:v>7005375.5368262846</c:v>
                </c:pt>
                <c:pt idx="46">
                  <c:v>7576031.0543192187</c:v>
                </c:pt>
                <c:pt idx="47">
                  <c:v>7915376.2458921522</c:v>
                </c:pt>
                <c:pt idx="48">
                  <c:v>8848511.1979011837</c:v>
                </c:pt>
                <c:pt idx="49">
                  <c:v>7882026.7376251901</c:v>
                </c:pt>
                <c:pt idx="50">
                  <c:v>8167883.940929207</c:v>
                </c:pt>
                <c:pt idx="51">
                  <c:v>7072987.0649232231</c:v>
                </c:pt>
                <c:pt idx="52">
                  <c:v>6838483.0169672398</c:v>
                </c:pt>
                <c:pt idx="53">
                  <c:v>7093708.9495712565</c:v>
                </c:pt>
                <c:pt idx="54">
                  <c:v>8594557.7626252621</c:v>
                </c:pt>
                <c:pt idx="55">
                  <c:v>8002819.7729993081</c:v>
                </c:pt>
                <c:pt idx="56">
                  <c:v>6884944.2493633153</c:v>
                </c:pt>
                <c:pt idx="57">
                  <c:v>6770671.0458273515</c:v>
                </c:pt>
                <c:pt idx="58">
                  <c:v>7487770.5730713475</c:v>
                </c:pt>
                <c:pt idx="59">
                  <c:v>8053422.4128653649</c:v>
                </c:pt>
                <c:pt idx="60">
                  <c:v>8228992.69431803</c:v>
                </c:pt>
                <c:pt idx="61">
                  <c:v>7733363.3640699657</c:v>
                </c:pt>
                <c:pt idx="62">
                  <c:v>7090902.7368619405</c:v>
                </c:pt>
                <c:pt idx="63">
                  <c:v>5606829.434943906</c:v>
                </c:pt>
                <c:pt idx="64">
                  <c:v>5816148.1730658598</c:v>
                </c:pt>
                <c:pt idx="65">
                  <c:v>6661167.3443278447</c:v>
                </c:pt>
                <c:pt idx="66">
                  <c:v>8285283.7617298001</c:v>
                </c:pt>
                <c:pt idx="67">
                  <c:v>7647765.4241517754</c:v>
                </c:pt>
                <c:pt idx="68">
                  <c:v>6522270.1684037289</c:v>
                </c:pt>
                <c:pt idx="69">
                  <c:v>6476553.7334356941</c:v>
                </c:pt>
                <c:pt idx="70">
                  <c:v>6721712.0986476596</c:v>
                </c:pt>
                <c:pt idx="71">
                  <c:v>7493816.7189596146</c:v>
                </c:pt>
                <c:pt idx="72">
                  <c:v>7460255.9984212983</c:v>
                </c:pt>
                <c:pt idx="73">
                  <c:v>7169135.3982962752</c:v>
                </c:pt>
                <c:pt idx="74">
                  <c:v>7277328.8749612924</c:v>
                </c:pt>
                <c:pt idx="75">
                  <c:v>6112729.2399962805</c:v>
                </c:pt>
                <c:pt idx="76">
                  <c:v>6173245.5438212873</c:v>
                </c:pt>
                <c:pt idx="77">
                  <c:v>6978955.3145062942</c:v>
                </c:pt>
                <c:pt idx="78">
                  <c:v>7519407.1822012914</c:v>
                </c:pt>
                <c:pt idx="79">
                  <c:v>8401728.8523062784</c:v>
                </c:pt>
                <c:pt idx="80">
                  <c:v>6863974.3981612772</c:v>
                </c:pt>
                <c:pt idx="81">
                  <c:v>6691547.1686162641</c:v>
                </c:pt>
                <c:pt idx="82">
                  <c:v>7046351.0427012723</c:v>
                </c:pt>
                <c:pt idx="83">
                  <c:v>7644135.1950562792</c:v>
                </c:pt>
                <c:pt idx="84">
                  <c:v>8425755.0109702256</c:v>
                </c:pt>
                <c:pt idx="85">
                  <c:v>7701078.7445397414</c:v>
                </c:pt>
                <c:pt idx="86">
                  <c:v>7981422.560379277</c:v>
                </c:pt>
                <c:pt idx="87">
                  <c:v>6881723.2862388026</c:v>
                </c:pt>
                <c:pt idx="88">
                  <c:v>6816779.1859883284</c:v>
                </c:pt>
                <c:pt idx="89">
                  <c:v>7330553.5173578653</c:v>
                </c:pt>
                <c:pt idx="90">
                  <c:v>8153321.3920173803</c:v>
                </c:pt>
                <c:pt idx="91">
                  <c:v>8384767.4178069057</c:v>
                </c:pt>
                <c:pt idx="92">
                  <c:v>7075278.6078964211</c:v>
                </c:pt>
                <c:pt idx="93">
                  <c:v>6746329.7405359466</c:v>
                </c:pt>
                <c:pt idx="94">
                  <c:v>7203577.4867354631</c:v>
                </c:pt>
                <c:pt idx="95">
                  <c:v>7949682.6551650083</c:v>
                </c:pt>
                <c:pt idx="96">
                  <c:v>8069617.4113503518</c:v>
                </c:pt>
                <c:pt idx="97">
                  <c:v>7458260.393399395</c:v>
                </c:pt>
                <c:pt idx="98">
                  <c:v>7801283.0373284277</c:v>
                </c:pt>
                <c:pt idx="99">
                  <c:v>6714726.1745674694</c:v>
                </c:pt>
                <c:pt idx="100">
                  <c:v>6881883.396516473</c:v>
                </c:pt>
                <c:pt idx="101">
                  <c:v>7263613.3872355353</c:v>
                </c:pt>
                <c:pt idx="102">
                  <c:v>7844398.4712245679</c:v>
                </c:pt>
                <c:pt idx="103">
                  <c:v>7568406.6978435908</c:v>
                </c:pt>
                <c:pt idx="104">
                  <c:v>8912811.1403226145</c:v>
                </c:pt>
                <c:pt idx="105">
                  <c:v>8758512.7671116646</c:v>
                </c:pt>
                <c:pt idx="106">
                  <c:v>7282107.7767806789</c:v>
                </c:pt>
                <c:pt idx="107">
                  <c:v>7619252.9243397219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9-4A85-9985-DB0D5E2BE344}"/>
            </c:ext>
          </c:extLst>
        </c:ser>
        <c:ser>
          <c:idx val="1"/>
          <c:order val="1"/>
          <c:tx>
            <c:strRef>
              <c:f>'WRZ GS &lt; 50 Normalized'!$S$1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&lt; 50 Normalized'!$A$2:$A$205</c:f>
              <c:numCache>
                <c:formatCode>mmm\-yy</c:formatCode>
                <c:ptCount val="20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45688</c:v>
                </c:pt>
                <c:pt idx="121">
                  <c:v>45716</c:v>
                </c:pt>
                <c:pt idx="122">
                  <c:v>45747</c:v>
                </c:pt>
                <c:pt idx="123">
                  <c:v>45777</c:v>
                </c:pt>
                <c:pt idx="124">
                  <c:v>45808</c:v>
                </c:pt>
                <c:pt idx="125">
                  <c:v>45838</c:v>
                </c:pt>
                <c:pt idx="126">
                  <c:v>45869</c:v>
                </c:pt>
                <c:pt idx="127">
                  <c:v>45900</c:v>
                </c:pt>
                <c:pt idx="128">
                  <c:v>45930</c:v>
                </c:pt>
                <c:pt idx="129">
                  <c:v>45961</c:v>
                </c:pt>
                <c:pt idx="130">
                  <c:v>45991</c:v>
                </c:pt>
                <c:pt idx="131">
                  <c:v>46022</c:v>
                </c:pt>
                <c:pt idx="132">
                  <c:v>46053</c:v>
                </c:pt>
                <c:pt idx="133">
                  <c:v>46081</c:v>
                </c:pt>
                <c:pt idx="134">
                  <c:v>46112</c:v>
                </c:pt>
                <c:pt idx="135">
                  <c:v>46142</c:v>
                </c:pt>
                <c:pt idx="136">
                  <c:v>46173</c:v>
                </c:pt>
                <c:pt idx="137">
                  <c:v>46203</c:v>
                </c:pt>
                <c:pt idx="138">
                  <c:v>46234</c:v>
                </c:pt>
                <c:pt idx="139">
                  <c:v>46265</c:v>
                </c:pt>
                <c:pt idx="140">
                  <c:v>46295</c:v>
                </c:pt>
                <c:pt idx="141">
                  <c:v>46326</c:v>
                </c:pt>
                <c:pt idx="142">
                  <c:v>46356</c:v>
                </c:pt>
                <c:pt idx="143">
                  <c:v>46387</c:v>
                </c:pt>
                <c:pt idx="144">
                  <c:v>46418</c:v>
                </c:pt>
                <c:pt idx="145">
                  <c:v>46446</c:v>
                </c:pt>
                <c:pt idx="146">
                  <c:v>46477</c:v>
                </c:pt>
                <c:pt idx="147">
                  <c:v>46507</c:v>
                </c:pt>
                <c:pt idx="148">
                  <c:v>46538</c:v>
                </c:pt>
                <c:pt idx="149">
                  <c:v>46568</c:v>
                </c:pt>
                <c:pt idx="150">
                  <c:v>46599</c:v>
                </c:pt>
                <c:pt idx="151">
                  <c:v>46630</c:v>
                </c:pt>
                <c:pt idx="152">
                  <c:v>46660</c:v>
                </c:pt>
                <c:pt idx="153">
                  <c:v>46691</c:v>
                </c:pt>
                <c:pt idx="154">
                  <c:v>46721</c:v>
                </c:pt>
                <c:pt idx="155">
                  <c:v>46752</c:v>
                </c:pt>
                <c:pt idx="156">
                  <c:v>46783</c:v>
                </c:pt>
                <c:pt idx="157">
                  <c:v>46812</c:v>
                </c:pt>
                <c:pt idx="158">
                  <c:v>46843</c:v>
                </c:pt>
                <c:pt idx="159">
                  <c:v>46873</c:v>
                </c:pt>
                <c:pt idx="160">
                  <c:v>46904</c:v>
                </c:pt>
                <c:pt idx="161">
                  <c:v>46934</c:v>
                </c:pt>
                <c:pt idx="162">
                  <c:v>46965</c:v>
                </c:pt>
                <c:pt idx="163">
                  <c:v>46996</c:v>
                </c:pt>
                <c:pt idx="164">
                  <c:v>47026</c:v>
                </c:pt>
                <c:pt idx="165">
                  <c:v>47057</c:v>
                </c:pt>
                <c:pt idx="166">
                  <c:v>47087</c:v>
                </c:pt>
                <c:pt idx="167">
                  <c:v>47118</c:v>
                </c:pt>
                <c:pt idx="168">
                  <c:v>47149</c:v>
                </c:pt>
                <c:pt idx="169">
                  <c:v>47177</c:v>
                </c:pt>
                <c:pt idx="170">
                  <c:v>47208</c:v>
                </c:pt>
                <c:pt idx="171">
                  <c:v>47238</c:v>
                </c:pt>
                <c:pt idx="172">
                  <c:v>47269</c:v>
                </c:pt>
                <c:pt idx="173">
                  <c:v>47299</c:v>
                </c:pt>
                <c:pt idx="174">
                  <c:v>47330</c:v>
                </c:pt>
                <c:pt idx="175">
                  <c:v>47361</c:v>
                </c:pt>
                <c:pt idx="176">
                  <c:v>47391</c:v>
                </c:pt>
                <c:pt idx="177">
                  <c:v>47422</c:v>
                </c:pt>
                <c:pt idx="178">
                  <c:v>47452</c:v>
                </c:pt>
                <c:pt idx="179">
                  <c:v>47483</c:v>
                </c:pt>
                <c:pt idx="180">
                  <c:v>47514</c:v>
                </c:pt>
                <c:pt idx="181">
                  <c:v>47542</c:v>
                </c:pt>
                <c:pt idx="182">
                  <c:v>47573</c:v>
                </c:pt>
                <c:pt idx="183">
                  <c:v>47603</c:v>
                </c:pt>
                <c:pt idx="184">
                  <c:v>47634</c:v>
                </c:pt>
                <c:pt idx="185">
                  <c:v>47664</c:v>
                </c:pt>
                <c:pt idx="186">
                  <c:v>47695</c:v>
                </c:pt>
                <c:pt idx="187">
                  <c:v>47726</c:v>
                </c:pt>
                <c:pt idx="188">
                  <c:v>47756</c:v>
                </c:pt>
                <c:pt idx="189">
                  <c:v>47787</c:v>
                </c:pt>
                <c:pt idx="190">
                  <c:v>47817</c:v>
                </c:pt>
                <c:pt idx="191">
                  <c:v>47848</c:v>
                </c:pt>
                <c:pt idx="192">
                  <c:v>47879</c:v>
                </c:pt>
                <c:pt idx="193">
                  <c:v>47907</c:v>
                </c:pt>
                <c:pt idx="194">
                  <c:v>47938</c:v>
                </c:pt>
                <c:pt idx="195">
                  <c:v>47968</c:v>
                </c:pt>
                <c:pt idx="196">
                  <c:v>47999</c:v>
                </c:pt>
                <c:pt idx="197">
                  <c:v>48029</c:v>
                </c:pt>
                <c:pt idx="198">
                  <c:v>48060</c:v>
                </c:pt>
                <c:pt idx="199">
                  <c:v>48091</c:v>
                </c:pt>
                <c:pt idx="200">
                  <c:v>48121</c:v>
                </c:pt>
                <c:pt idx="201">
                  <c:v>48152</c:v>
                </c:pt>
                <c:pt idx="202">
                  <c:v>48182</c:v>
                </c:pt>
                <c:pt idx="203">
                  <c:v>48213</c:v>
                </c:pt>
              </c:numCache>
            </c:numRef>
          </c:cat>
          <c:val>
            <c:numRef>
              <c:f>'WRZ GS &lt; 50 Normalized'!$S$2:$S$205</c:f>
              <c:numCache>
                <c:formatCode>_-* #,##0_-;\-* #,##0_-;_-* "-"??_-;_-@_-</c:formatCode>
                <c:ptCount val="204"/>
                <c:pt idx="0">
                  <c:v>7970263.6270886958</c:v>
                </c:pt>
                <c:pt idx="1">
                  <c:v>7163638.3467553621</c:v>
                </c:pt>
                <c:pt idx="2">
                  <c:v>7330343.379416449</c:v>
                </c:pt>
                <c:pt idx="3">
                  <c:v>6420306.9583474249</c:v>
                </c:pt>
                <c:pt idx="4">
                  <c:v>6544959.9061224796</c:v>
                </c:pt>
                <c:pt idx="5">
                  <c:v>6925257.6631266847</c:v>
                </c:pt>
                <c:pt idx="6">
                  <c:v>7846951.0309404256</c:v>
                </c:pt>
                <c:pt idx="7">
                  <c:v>7598906.6943701915</c:v>
                </c:pt>
                <c:pt idx="8">
                  <c:v>6748715.8736268841</c:v>
                </c:pt>
                <c:pt idx="9">
                  <c:v>6517012.6696762322</c:v>
                </c:pt>
                <c:pt idx="10">
                  <c:v>6830493.6035194686</c:v>
                </c:pt>
                <c:pt idx="11">
                  <c:v>7466169.9325501453</c:v>
                </c:pt>
                <c:pt idx="12">
                  <c:v>7999963.1920886952</c:v>
                </c:pt>
                <c:pt idx="13">
                  <c:v>7396292.1267553624</c:v>
                </c:pt>
                <c:pt idx="14">
                  <c:v>7444898.8444164498</c:v>
                </c:pt>
                <c:pt idx="15">
                  <c:v>6567390.5183474245</c:v>
                </c:pt>
                <c:pt idx="16">
                  <c:v>6716085.97112248</c:v>
                </c:pt>
                <c:pt idx="17">
                  <c:v>7107697.8481266852</c:v>
                </c:pt>
                <c:pt idx="18">
                  <c:v>8129804.0309404256</c:v>
                </c:pt>
                <c:pt idx="19">
                  <c:v>7959544.2693701908</c:v>
                </c:pt>
                <c:pt idx="20">
                  <c:v>7188552.2886268832</c:v>
                </c:pt>
                <c:pt idx="21">
                  <c:v>6891792.8946762327</c:v>
                </c:pt>
                <c:pt idx="22">
                  <c:v>7151531.7585194688</c:v>
                </c:pt>
                <c:pt idx="23">
                  <c:v>7705180.7175501455</c:v>
                </c:pt>
                <c:pt idx="24">
                  <c:v>8172503.5220886953</c:v>
                </c:pt>
                <c:pt idx="25">
                  <c:v>7307893.3767553624</c:v>
                </c:pt>
                <c:pt idx="26">
                  <c:v>7403885.1594164502</c:v>
                </c:pt>
                <c:pt idx="27">
                  <c:v>6478291.8233474251</c:v>
                </c:pt>
                <c:pt idx="28">
                  <c:v>6673658.0211224798</c:v>
                </c:pt>
                <c:pt idx="29">
                  <c:v>7137397.4131266847</c:v>
                </c:pt>
                <c:pt idx="30">
                  <c:v>8138289.6209404254</c:v>
                </c:pt>
                <c:pt idx="31">
                  <c:v>7942573.0893701911</c:v>
                </c:pt>
                <c:pt idx="32">
                  <c:v>7113596.2436268833</c:v>
                </c:pt>
                <c:pt idx="33">
                  <c:v>6830979.4996762322</c:v>
                </c:pt>
                <c:pt idx="34">
                  <c:v>7065261.5935194688</c:v>
                </c:pt>
                <c:pt idx="35">
                  <c:v>7597696.5775501449</c:v>
                </c:pt>
                <c:pt idx="36">
                  <c:v>8048048.202088695</c:v>
                </c:pt>
                <c:pt idx="37">
                  <c:v>7265465.4267553622</c:v>
                </c:pt>
                <c:pt idx="38">
                  <c:v>7495812.3844164498</c:v>
                </c:pt>
                <c:pt idx="39">
                  <c:v>6686188.7783474242</c:v>
                </c:pt>
                <c:pt idx="40">
                  <c:v>6897111.891122479</c:v>
                </c:pt>
                <c:pt idx="41">
                  <c:v>7335394.5131266853</c:v>
                </c:pt>
                <c:pt idx="42">
                  <c:v>8312244.2159404252</c:v>
                </c:pt>
                <c:pt idx="43">
                  <c:v>8078342.5293701906</c:v>
                </c:pt>
                <c:pt idx="44">
                  <c:v>7225323.1786268838</c:v>
                </c:pt>
                <c:pt idx="45">
                  <c:v>6907349.8096762318</c:v>
                </c:pt>
                <c:pt idx="46">
                  <c:v>7152946.0235194694</c:v>
                </c:pt>
                <c:pt idx="47">
                  <c:v>7686795.2725501452</c:v>
                </c:pt>
                <c:pt idx="48">
                  <c:v>8186646.1720886957</c:v>
                </c:pt>
                <c:pt idx="49">
                  <c:v>7425277.3717553616</c:v>
                </c:pt>
                <c:pt idx="50">
                  <c:v>7647138.7394164493</c:v>
                </c:pt>
                <c:pt idx="51">
                  <c:v>6769630.4133474249</c:v>
                </c:pt>
                <c:pt idx="52">
                  <c:v>6912668.80612248</c:v>
                </c:pt>
                <c:pt idx="53">
                  <c:v>7311352.0081266854</c:v>
                </c:pt>
                <c:pt idx="54">
                  <c:v>8276887.5909404252</c:v>
                </c:pt>
                <c:pt idx="55">
                  <c:v>8024600.4593701912</c:v>
                </c:pt>
                <c:pt idx="56">
                  <c:v>7139053.0136268837</c:v>
                </c:pt>
                <c:pt idx="57">
                  <c:v>6797037.1396762319</c:v>
                </c:pt>
                <c:pt idx="58">
                  <c:v>7021419.378519468</c:v>
                </c:pt>
                <c:pt idx="59">
                  <c:v>7577896.8675501449</c:v>
                </c:pt>
                <c:pt idx="60">
                  <c:v>8057948.0570886955</c:v>
                </c:pt>
                <c:pt idx="61">
                  <c:v>7467005.3767553624</c:v>
                </c:pt>
                <c:pt idx="62">
                  <c:v>7080089.7044164501</c:v>
                </c:pt>
                <c:pt idx="63">
                  <c:v>5730288.0983474245</c:v>
                </c:pt>
                <c:pt idx="64">
                  <c:v>5785642.0611224798</c:v>
                </c:pt>
                <c:pt idx="65">
                  <c:v>6561862.7881266847</c:v>
                </c:pt>
                <c:pt idx="66">
                  <c:v>7627811.1859404258</c:v>
                </c:pt>
                <c:pt idx="67">
                  <c:v>7518364.8193701915</c:v>
                </c:pt>
                <c:pt idx="68">
                  <c:v>6774243.8736268841</c:v>
                </c:pt>
                <c:pt idx="69">
                  <c:v>6536883.6096762326</c:v>
                </c:pt>
                <c:pt idx="70">
                  <c:v>6785308.3535194686</c:v>
                </c:pt>
                <c:pt idx="71">
                  <c:v>7316329.072550145</c:v>
                </c:pt>
                <c:pt idx="72">
                  <c:v>7690310.3870886955</c:v>
                </c:pt>
                <c:pt idx="73">
                  <c:v>6887927.9017553627</c:v>
                </c:pt>
                <c:pt idx="74">
                  <c:v>7070189.8494164497</c:v>
                </c:pt>
                <c:pt idx="75">
                  <c:v>6223795.3533474244</c:v>
                </c:pt>
                <c:pt idx="76">
                  <c:v>6359762.4211224802</c:v>
                </c:pt>
                <c:pt idx="77">
                  <c:v>6774002.5381266847</c:v>
                </c:pt>
                <c:pt idx="78">
                  <c:v>7796108.720940426</c:v>
                </c:pt>
                <c:pt idx="79">
                  <c:v>7610292.0443701912</c:v>
                </c:pt>
                <c:pt idx="80">
                  <c:v>6842128.5936268838</c:v>
                </c:pt>
                <c:pt idx="81">
                  <c:v>6601939.799676232</c:v>
                </c:pt>
                <c:pt idx="82">
                  <c:v>6935220.4435194684</c:v>
                </c:pt>
                <c:pt idx="83">
                  <c:v>7495940.7275501452</c:v>
                </c:pt>
                <c:pt idx="84">
                  <c:v>8127282.6570886951</c:v>
                </c:pt>
                <c:pt idx="85">
                  <c:v>7343285.6167553626</c:v>
                </c:pt>
                <c:pt idx="86">
                  <c:v>7556661.3944164496</c:v>
                </c:pt>
                <c:pt idx="87">
                  <c:v>6756937.6433474245</c:v>
                </c:pt>
                <c:pt idx="88">
                  <c:v>6943818.2511224803</c:v>
                </c:pt>
                <c:pt idx="89">
                  <c:v>7373615.2831266858</c:v>
                </c:pt>
                <c:pt idx="90">
                  <c:v>8363193.3709404245</c:v>
                </c:pt>
                <c:pt idx="91">
                  <c:v>8134948.7443701904</c:v>
                </c:pt>
                <c:pt idx="92">
                  <c:v>7283343.6586268842</c:v>
                </c:pt>
                <c:pt idx="93">
                  <c:v>6980927.2046762323</c:v>
                </c:pt>
                <c:pt idx="94">
                  <c:v>7227937.6835194686</c:v>
                </c:pt>
                <c:pt idx="95">
                  <c:v>7807043.4125501448</c:v>
                </c:pt>
                <c:pt idx="96">
                  <c:v>8503441.5320886951</c:v>
                </c:pt>
                <c:pt idx="97">
                  <c:v>7727930.0817553625</c:v>
                </c:pt>
                <c:pt idx="98">
                  <c:v>7879078.1994164493</c:v>
                </c:pt>
                <c:pt idx="99">
                  <c:v>6960556.1883474244</c:v>
                </c:pt>
                <c:pt idx="100">
                  <c:v>7072480.7511224803</c:v>
                </c:pt>
                <c:pt idx="101">
                  <c:v>7498034.9881266858</c:v>
                </c:pt>
                <c:pt idx="102">
                  <c:v>8513069.845940426</c:v>
                </c:pt>
                <c:pt idx="103">
                  <c:v>8347052.8793701911</c:v>
                </c:pt>
                <c:pt idx="104">
                  <c:v>7520904.5636268836</c:v>
                </c:pt>
                <c:pt idx="105">
                  <c:v>7201516.9296762319</c:v>
                </c:pt>
                <c:pt idx="106">
                  <c:v>7471155.6485194694</c:v>
                </c:pt>
                <c:pt idx="107">
                  <c:v>8044604.3175501451</c:v>
                </c:pt>
                <c:pt idx="108">
                  <c:v>8551526.5420886949</c:v>
                </c:pt>
                <c:pt idx="109">
                  <c:v>7940784.1517553627</c:v>
                </c:pt>
                <c:pt idx="110">
                  <c:v>7993633.6644164491</c:v>
                </c:pt>
                <c:pt idx="111">
                  <c:v>7152896.2283474244</c:v>
                </c:pt>
                <c:pt idx="112">
                  <c:v>7312905.8011224791</c:v>
                </c:pt>
                <c:pt idx="113">
                  <c:v>7687546.4981266856</c:v>
                </c:pt>
                <c:pt idx="114">
                  <c:v>8626211.0459404252</c:v>
                </c:pt>
                <c:pt idx="115">
                  <c:v>8378166.7093701912</c:v>
                </c:pt>
                <c:pt idx="116">
                  <c:v>7577475.1636268832</c:v>
                </c:pt>
                <c:pt idx="117">
                  <c:v>7294858.4196762322</c:v>
                </c:pt>
                <c:pt idx="118">
                  <c:v>7531969.043519469</c:v>
                </c:pt>
                <c:pt idx="119">
                  <c:v>8046018.5825501448</c:v>
                </c:pt>
                <c:pt idx="120">
                  <c:v>8543040.952088695</c:v>
                </c:pt>
                <c:pt idx="121">
                  <c:v>7783086.4167553624</c:v>
                </c:pt>
                <c:pt idx="122">
                  <c:v>8010604.8444164498</c:v>
                </c:pt>
                <c:pt idx="123">
                  <c:v>7085011.5083474247</c:v>
                </c:pt>
                <c:pt idx="124">
                  <c:v>7228049.9011224797</c:v>
                </c:pt>
                <c:pt idx="125">
                  <c:v>7619661.7781266849</c:v>
                </c:pt>
                <c:pt idx="126">
                  <c:v>8654318.5021166764</c:v>
                </c:pt>
                <c:pt idx="127">
                  <c:v>8405970.8057039417</c:v>
                </c:pt>
                <c:pt idx="128">
                  <c:v>7605535.9490581341</c:v>
                </c:pt>
                <c:pt idx="129">
                  <c:v>7323105.8880874822</c:v>
                </c:pt>
                <c:pt idx="130">
                  <c:v>7560158.1734994687</c:v>
                </c:pt>
                <c:pt idx="131">
                  <c:v>8073962.6911188951</c:v>
                </c:pt>
                <c:pt idx="132">
                  <c:v>8556702.7519886959</c:v>
                </c:pt>
                <c:pt idx="133">
                  <c:v>7796850.0437353626</c:v>
                </c:pt>
                <c:pt idx="134">
                  <c:v>8024509.89789645</c:v>
                </c:pt>
                <c:pt idx="135">
                  <c:v>7098695.9364874251</c:v>
                </c:pt>
                <c:pt idx="136">
                  <c:v>7241683.41572248</c:v>
                </c:pt>
                <c:pt idx="137">
                  <c:v>7633216.0938866856</c:v>
                </c:pt>
                <c:pt idx="138">
                  <c:v>8668058.789481381</c:v>
                </c:pt>
                <c:pt idx="139">
                  <c:v>8419562.7960692756</c:v>
                </c:pt>
                <c:pt idx="140">
                  <c:v>7619253.4214998595</c:v>
                </c:pt>
                <c:pt idx="141">
                  <c:v>7336914.6202211268</c:v>
                </c:pt>
                <c:pt idx="142">
                  <c:v>7573938.386979389</c:v>
                </c:pt>
                <c:pt idx="143">
                  <c:v>8087623.1262531709</c:v>
                </c:pt>
                <c:pt idx="144">
                  <c:v>8587564.757962795</c:v>
                </c:pt>
                <c:pt idx="145">
                  <c:v>7987054.0770831816</c:v>
                </c:pt>
                <c:pt idx="146">
                  <c:v>8055921.4137077695</c:v>
                </c:pt>
                <c:pt idx="147">
                  <c:v>7129609.059655685</c:v>
                </c:pt>
                <c:pt idx="148">
                  <c:v>7272481.525203879</c:v>
                </c:pt>
                <c:pt idx="149">
                  <c:v>7663835.2931885254</c:v>
                </c:pt>
                <c:pt idx="150">
                  <c:v>8699098.0986382496</c:v>
                </c:pt>
                <c:pt idx="151">
                  <c:v>8450267.1023045685</c:v>
                </c:pt>
                <c:pt idx="152">
                  <c:v>7650241.1917457152</c:v>
                </c:pt>
                <c:pt idx="153">
                  <c:v>7368108.5461110305</c:v>
                </c:pt>
                <c:pt idx="154">
                  <c:v>7605067.8892305279</c:v>
                </c:pt>
                <c:pt idx="155">
                  <c:v>8118482.049221497</c:v>
                </c:pt>
                <c:pt idx="156">
                  <c:v>8618704.5219906606</c:v>
                </c:pt>
                <c:pt idx="157">
                  <c:v>7859313.9387311321</c:v>
                </c:pt>
                <c:pt idx="158">
                  <c:v>8087615.6331613911</c:v>
                </c:pt>
                <c:pt idx="159">
                  <c:v>7160800.4009324582</c:v>
                </c:pt>
                <c:pt idx="160">
                  <c:v>7303556.8176706117</c:v>
                </c:pt>
                <c:pt idx="161">
                  <c:v>7694730.0652840808</c:v>
                </c:pt>
                <c:pt idx="162">
                  <c:v>8730416.7615775298</c:v>
                </c:pt>
                <c:pt idx="163">
                  <c:v>8481247.7472959775</c:v>
                </c:pt>
                <c:pt idx="164">
                  <c:v>7681507.8519237842</c:v>
                </c:pt>
                <c:pt idx="165">
                  <c:v>7399583.2173339445</c:v>
                </c:pt>
                <c:pt idx="166">
                  <c:v>7636477.5570019269</c:v>
                </c:pt>
                <c:pt idx="167">
                  <c:v>8149618.7024965389</c:v>
                </c:pt>
                <c:pt idx="168">
                  <c:v>8650124.5438947789</c:v>
                </c:pt>
                <c:pt idx="169">
                  <c:v>7890968.1471339129</c:v>
                </c:pt>
                <c:pt idx="170">
                  <c:v>8119595.1005900949</c:v>
                </c:pt>
                <c:pt idx="171">
                  <c:v>7192272.4642807227</c:v>
                </c:pt>
                <c:pt idx="172">
                  <c:v>7334911.7877695439</c:v>
                </c:pt>
                <c:pt idx="173">
                  <c:v>7725902.8903284976</c:v>
                </c:pt>
                <c:pt idx="174">
                  <c:v>8762017.2924832627</c:v>
                </c:pt>
                <c:pt idx="175">
                  <c:v>8512507.2180923074</c:v>
                </c:pt>
                <c:pt idx="176">
                  <c:v>7713055.912043456</c:v>
                </c:pt>
                <c:pt idx="177">
                  <c:v>7431341.1605978627</c:v>
                </c:pt>
                <c:pt idx="178">
                  <c:v>7668169.9117832687</c:v>
                </c:pt>
                <c:pt idx="179">
                  <c:v>8181035.5856510559</c:v>
                </c:pt>
                <c:pt idx="180">
                  <c:v>8681827.3459960334</c:v>
                </c:pt>
                <c:pt idx="181">
                  <c:v>8082019.2434123196</c:v>
                </c:pt>
                <c:pt idx="182">
                  <c:v>8151862.383225658</c:v>
                </c:pt>
                <c:pt idx="183">
                  <c:v>7224027.7761991229</c:v>
                </c:pt>
                <c:pt idx="184">
                  <c:v>7366548.9525993671</c:v>
                </c:pt>
                <c:pt idx="185">
                  <c:v>7757356.2707983134</c:v>
                </c:pt>
                <c:pt idx="186">
                  <c:v>8793902.2281671483</c:v>
                </c:pt>
                <c:pt idx="187">
                  <c:v>8544048.024125807</c:v>
                </c:pt>
                <c:pt idx="188">
                  <c:v>7744887.9047042057</c:v>
                </c:pt>
                <c:pt idx="189">
                  <c:v>7463384.9253511569</c:v>
                </c:pt>
                <c:pt idx="190">
                  <c:v>7700147.4977576425</c:v>
                </c:pt>
                <c:pt idx="191">
                  <c:v>8212735.220753964</c:v>
                </c:pt>
                <c:pt idx="192">
                  <c:v>8713815.4733162001</c:v>
                </c:pt>
                <c:pt idx="193">
                  <c:v>7955133.7915572319</c:v>
                </c:pt>
                <c:pt idx="194">
                  <c:v>8184420.0714049414</c:v>
                </c:pt>
                <c:pt idx="195">
                  <c:v>7256068.8859247863</c:v>
                </c:pt>
                <c:pt idx="196">
                  <c:v>7398470.8519126587</c:v>
                </c:pt>
                <c:pt idx="197">
                  <c:v>7789092.7316923579</c:v>
                </c:pt>
                <c:pt idx="198">
                  <c:v>8826074.128272187</c:v>
                </c:pt>
                <c:pt idx="199">
                  <c:v>8575872.6974136084</c:v>
                </c:pt>
                <c:pt idx="200">
                  <c:v>7777006.3852989012</c:v>
                </c:pt>
                <c:pt idx="201">
                  <c:v>7495717.0839872304</c:v>
                </c:pt>
                <c:pt idx="202">
                  <c:v>7732412.8820057856</c:v>
                </c:pt>
                <c:pt idx="203">
                  <c:v>8244720.1525727976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9-4A85-9985-DB0D5E2B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50 - 2,999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541609293744902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50-2,999 Normalized'!$D$1</c:f>
              <c:strCache>
                <c:ptCount val="1"/>
                <c:pt idx="0">
                  <c:v>WRZ_GS50to2999kWh_No_CDM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50-2,999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'WRZ GS 50-2,999 Normalized'!$D$3:$D$109</c:f>
              <c:numCache>
                <c:formatCode>_-* #,##0_-;\-* #,##0_-;_-* "-"??_-;_-@_-</c:formatCode>
                <c:ptCount val="107"/>
                <c:pt idx="0">
                  <c:v>30350660.207000062</c:v>
                </c:pt>
                <c:pt idx="1">
                  <c:v>29463172.879981596</c:v>
                </c:pt>
                <c:pt idx="2">
                  <c:v>28235382.482081909</c:v>
                </c:pt>
                <c:pt idx="3">
                  <c:v>27993987.585965626</c:v>
                </c:pt>
                <c:pt idx="4">
                  <c:v>29018437.288246401</c:v>
                </c:pt>
                <c:pt idx="5">
                  <c:v>30826227.312123951</c:v>
                </c:pt>
                <c:pt idx="6">
                  <c:v>30869004.476001501</c:v>
                </c:pt>
                <c:pt idx="7">
                  <c:v>30320627.029879056</c:v>
                </c:pt>
                <c:pt idx="8">
                  <c:v>29464417.063756607</c:v>
                </c:pt>
                <c:pt idx="9">
                  <c:v>29327632.05763416</c:v>
                </c:pt>
                <c:pt idx="10">
                  <c:v>29450665.411511712</c:v>
                </c:pt>
                <c:pt idx="11">
                  <c:v>32091613.609311491</c:v>
                </c:pt>
                <c:pt idx="12">
                  <c:v>31457795.834528334</c:v>
                </c:pt>
                <c:pt idx="13">
                  <c:v>30537664.059745174</c:v>
                </c:pt>
                <c:pt idx="14">
                  <c:v>29266561.75496202</c:v>
                </c:pt>
                <c:pt idx="15">
                  <c:v>29012775.430178858</c:v>
                </c:pt>
                <c:pt idx="16">
                  <c:v>30064514.055395704</c:v>
                </c:pt>
                <c:pt idx="17">
                  <c:v>30682142.130612545</c:v>
                </c:pt>
                <c:pt idx="18">
                  <c:v>32761836.175829388</c:v>
                </c:pt>
                <c:pt idx="19">
                  <c:v>30687846.741046228</c:v>
                </c:pt>
                <c:pt idx="20">
                  <c:v>29520808.096263073</c:v>
                </c:pt>
                <c:pt idx="21">
                  <c:v>28673815.061479915</c:v>
                </c:pt>
                <c:pt idx="22">
                  <c:v>29112228.606696755</c:v>
                </c:pt>
                <c:pt idx="23">
                  <c:v>31081845.352016058</c:v>
                </c:pt>
                <c:pt idx="24">
                  <c:v>28375028.608550981</c:v>
                </c:pt>
                <c:pt idx="25">
                  <c:v>29607471.415085904</c:v>
                </c:pt>
                <c:pt idx="26">
                  <c:v>27997864.411620829</c:v>
                </c:pt>
                <c:pt idx="27">
                  <c:v>27866768.488155752</c:v>
                </c:pt>
                <c:pt idx="28">
                  <c:v>29353114.094690681</c:v>
                </c:pt>
                <c:pt idx="29">
                  <c:v>28778390.731225602</c:v>
                </c:pt>
                <c:pt idx="30">
                  <c:v>29739442.397760529</c:v>
                </c:pt>
                <c:pt idx="31">
                  <c:v>30376531.484295454</c:v>
                </c:pt>
                <c:pt idx="32">
                  <c:v>28297044.540830374</c:v>
                </c:pt>
                <c:pt idx="33">
                  <c:v>29995513.077365302</c:v>
                </c:pt>
                <c:pt idx="34">
                  <c:v>30565136.973900225</c:v>
                </c:pt>
                <c:pt idx="35">
                  <c:v>34117666.299289048</c:v>
                </c:pt>
                <c:pt idx="36">
                  <c:v>29574927.725466501</c:v>
                </c:pt>
                <c:pt idx="37">
                  <c:v>29828539.501643956</c:v>
                </c:pt>
                <c:pt idx="38">
                  <c:v>28679599.017821409</c:v>
                </c:pt>
                <c:pt idx="39">
                  <c:v>28601957.463998862</c:v>
                </c:pt>
                <c:pt idx="40">
                  <c:v>29234741.490176316</c:v>
                </c:pt>
                <c:pt idx="41">
                  <c:v>30800006.446353767</c:v>
                </c:pt>
                <c:pt idx="42">
                  <c:v>32149348.072531223</c:v>
                </c:pt>
                <c:pt idx="43">
                  <c:v>31771305.148708679</c:v>
                </c:pt>
                <c:pt idx="44">
                  <c:v>29349297.864886131</c:v>
                </c:pt>
                <c:pt idx="45">
                  <c:v>29367522.431063585</c:v>
                </c:pt>
                <c:pt idx="46">
                  <c:v>29763770.377241038</c:v>
                </c:pt>
                <c:pt idx="47">
                  <c:v>31781938.343248449</c:v>
                </c:pt>
                <c:pt idx="48">
                  <c:v>31088843.840579573</c:v>
                </c:pt>
                <c:pt idx="49">
                  <c:v>30315223.027910694</c:v>
                </c:pt>
                <c:pt idx="50">
                  <c:v>28903900.405241817</c:v>
                </c:pt>
                <c:pt idx="51">
                  <c:v>27805038.452572934</c:v>
                </c:pt>
                <c:pt idx="52">
                  <c:v>28301260.449904054</c:v>
                </c:pt>
                <c:pt idx="53">
                  <c:v>31410357.227235176</c:v>
                </c:pt>
                <c:pt idx="54">
                  <c:v>31815147.094566301</c:v>
                </c:pt>
                <c:pt idx="55">
                  <c:v>29087051.461897422</c:v>
                </c:pt>
                <c:pt idx="56">
                  <c:v>28212934.369228542</c:v>
                </c:pt>
                <c:pt idx="57">
                  <c:v>29251571.706559666</c:v>
                </c:pt>
                <c:pt idx="58">
                  <c:v>30157879.923890781</c:v>
                </c:pt>
                <c:pt idx="59">
                  <c:v>31853984.364236817</c:v>
                </c:pt>
                <c:pt idx="60">
                  <c:v>29807134.200992443</c:v>
                </c:pt>
                <c:pt idx="61">
                  <c:v>28772846.337748069</c:v>
                </c:pt>
                <c:pt idx="62">
                  <c:v>25950731.334503699</c:v>
                </c:pt>
                <c:pt idx="63">
                  <c:v>25312504.351259321</c:v>
                </c:pt>
                <c:pt idx="64">
                  <c:v>30027398.508014951</c:v>
                </c:pt>
                <c:pt idx="65">
                  <c:v>30695599.024770577</c:v>
                </c:pt>
                <c:pt idx="66">
                  <c:v>29742716.571526203</c:v>
                </c:pt>
                <c:pt idx="67">
                  <c:v>27312271.008281827</c:v>
                </c:pt>
                <c:pt idx="68">
                  <c:v>27262530.595037457</c:v>
                </c:pt>
                <c:pt idx="69">
                  <c:v>27701048.071793083</c:v>
                </c:pt>
                <c:pt idx="70">
                  <c:v>30670360.18854871</c:v>
                </c:pt>
                <c:pt idx="71">
                  <c:v>30132179.904004361</c:v>
                </c:pt>
                <c:pt idx="72">
                  <c:v>28423629.341019243</c:v>
                </c:pt>
                <c:pt idx="73">
                  <c:v>29118151.958034121</c:v>
                </c:pt>
                <c:pt idx="74">
                  <c:v>25603962.015049003</c:v>
                </c:pt>
                <c:pt idx="75">
                  <c:v>25741172.322063882</c:v>
                </c:pt>
                <c:pt idx="76">
                  <c:v>28325941.91907876</c:v>
                </c:pt>
                <c:pt idx="77">
                  <c:v>29366265.796093643</c:v>
                </c:pt>
                <c:pt idx="78">
                  <c:v>31713417.193108521</c:v>
                </c:pt>
                <c:pt idx="79">
                  <c:v>27785546.9301234</c:v>
                </c:pt>
                <c:pt idx="80">
                  <c:v>27946596.03713828</c:v>
                </c:pt>
                <c:pt idx="81">
                  <c:v>28645834.94415316</c:v>
                </c:pt>
                <c:pt idx="82">
                  <c:v>30267892.201168038</c:v>
                </c:pt>
                <c:pt idx="83">
                  <c:v>31854856.03099012</c:v>
                </c:pt>
                <c:pt idx="84">
                  <c:v>29443816.856110644</c:v>
                </c:pt>
                <c:pt idx="85">
                  <c:v>31092110.021231167</c:v>
                </c:pt>
                <c:pt idx="86">
                  <c:v>27951904.86635169</c:v>
                </c:pt>
                <c:pt idx="87">
                  <c:v>28052966.62147221</c:v>
                </c:pt>
                <c:pt idx="88">
                  <c:v>28697392.686592735</c:v>
                </c:pt>
                <c:pt idx="89">
                  <c:v>31120710.961713254</c:v>
                </c:pt>
                <c:pt idx="90">
                  <c:v>32564028.696833782</c:v>
                </c:pt>
                <c:pt idx="91">
                  <c:v>29097166.971954301</c:v>
                </c:pt>
                <c:pt idx="92">
                  <c:v>28193029.677074824</c:v>
                </c:pt>
                <c:pt idx="93">
                  <c:v>29262681.72219535</c:v>
                </c:pt>
                <c:pt idx="94">
                  <c:v>31117470.75731587</c:v>
                </c:pt>
                <c:pt idx="95">
                  <c:v>31783693.030599564</c:v>
                </c:pt>
                <c:pt idx="96">
                  <c:v>29895600.29545911</c:v>
                </c:pt>
                <c:pt idx="97">
                  <c:v>31308960.980318651</c:v>
                </c:pt>
                <c:pt idx="98">
                  <c:v>27567578.815178193</c:v>
                </c:pt>
                <c:pt idx="99">
                  <c:v>28278825.080037739</c:v>
                </c:pt>
                <c:pt idx="100">
                  <c:v>29666692.394897282</c:v>
                </c:pt>
                <c:pt idx="101">
                  <c:v>31689097.029756822</c:v>
                </c:pt>
                <c:pt idx="102">
                  <c:v>31359468.704616368</c:v>
                </c:pt>
                <c:pt idx="103">
                  <c:v>29984097.46947591</c:v>
                </c:pt>
                <c:pt idx="104">
                  <c:v>29329714.694335449</c:v>
                </c:pt>
                <c:pt idx="105">
                  <c:v>30099408.709194995</c:v>
                </c:pt>
                <c:pt idx="106">
                  <c:v>30825578.294054538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0-4466-8A06-A2CAC4C09752}"/>
            </c:ext>
          </c:extLst>
        </c:ser>
        <c:ser>
          <c:idx val="1"/>
          <c:order val="1"/>
          <c:tx>
            <c:strRef>
              <c:f>'WRZ GS 50-2,999 Normalized'!$Q$1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50-2,999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'WRZ GS 50-2,999 Normalized'!$Q$3:$Q$205</c:f>
              <c:numCache>
                <c:formatCode>_-* #,##0_-;\-* #,##0_-;_-* "-"??_-;_-@_-</c:formatCode>
                <c:ptCount val="203"/>
                <c:pt idx="0">
                  <c:v>29914689.114650354</c:v>
                </c:pt>
                <c:pt idx="1">
                  <c:v>30413954.266909964</c:v>
                </c:pt>
                <c:pt idx="2">
                  <c:v>28543303.121591646</c:v>
                </c:pt>
                <c:pt idx="3">
                  <c:v>28861198.06790445</c:v>
                </c:pt>
                <c:pt idx="4">
                  <c:v>29719702.414769679</c:v>
                </c:pt>
                <c:pt idx="5">
                  <c:v>31785262.51004301</c:v>
                </c:pt>
                <c:pt idx="6">
                  <c:v>31377579.362113155</c:v>
                </c:pt>
                <c:pt idx="7">
                  <c:v>29768446.981081173</c:v>
                </c:pt>
                <c:pt idx="8">
                  <c:v>29157400.865134325</c:v>
                </c:pt>
                <c:pt idx="9">
                  <c:v>29672247.724558409</c:v>
                </c:pt>
                <c:pt idx="10">
                  <c:v>30676373.788422421</c:v>
                </c:pt>
                <c:pt idx="11">
                  <c:v>31663703.261883609</c:v>
                </c:pt>
                <c:pt idx="12">
                  <c:v>30326038.677924559</c:v>
                </c:pt>
                <c:pt idx="13">
                  <c:v>30413954.266909964</c:v>
                </c:pt>
                <c:pt idx="14">
                  <c:v>28543303.121591646</c:v>
                </c:pt>
                <c:pt idx="15">
                  <c:v>28861198.06790445</c:v>
                </c:pt>
                <c:pt idx="16">
                  <c:v>29719702.414769679</c:v>
                </c:pt>
                <c:pt idx="17">
                  <c:v>31785262.51004301</c:v>
                </c:pt>
                <c:pt idx="18">
                  <c:v>31377579.362113155</c:v>
                </c:pt>
                <c:pt idx="19">
                  <c:v>29768446.981081173</c:v>
                </c:pt>
                <c:pt idx="20">
                  <c:v>29157400.865134325</c:v>
                </c:pt>
                <c:pt idx="21">
                  <c:v>29672247.724558409</c:v>
                </c:pt>
                <c:pt idx="22">
                  <c:v>30676373.788422421</c:v>
                </c:pt>
                <c:pt idx="23">
                  <c:v>31663703.261883609</c:v>
                </c:pt>
                <c:pt idx="24">
                  <c:v>29914689.114650354</c:v>
                </c:pt>
                <c:pt idx="25">
                  <c:v>30413954.266909964</c:v>
                </c:pt>
                <c:pt idx="26">
                  <c:v>28543303.121591646</c:v>
                </c:pt>
                <c:pt idx="27">
                  <c:v>28861198.06790445</c:v>
                </c:pt>
                <c:pt idx="28">
                  <c:v>29719702.414769679</c:v>
                </c:pt>
                <c:pt idx="29">
                  <c:v>31785262.51004301</c:v>
                </c:pt>
                <c:pt idx="30">
                  <c:v>31377579.362113155</c:v>
                </c:pt>
                <c:pt idx="31">
                  <c:v>29768446.981081173</c:v>
                </c:pt>
                <c:pt idx="32">
                  <c:v>29157400.865134325</c:v>
                </c:pt>
                <c:pt idx="33">
                  <c:v>29672247.724558409</c:v>
                </c:pt>
                <c:pt idx="34">
                  <c:v>30676373.788422421</c:v>
                </c:pt>
                <c:pt idx="35">
                  <c:v>31663703.261883609</c:v>
                </c:pt>
                <c:pt idx="36">
                  <c:v>29914689.114650354</c:v>
                </c:pt>
                <c:pt idx="37">
                  <c:v>30413954.266909964</c:v>
                </c:pt>
                <c:pt idx="38">
                  <c:v>28543303.121591646</c:v>
                </c:pt>
                <c:pt idx="39">
                  <c:v>28861198.06790445</c:v>
                </c:pt>
                <c:pt idx="40">
                  <c:v>29719702.414769679</c:v>
                </c:pt>
                <c:pt idx="41">
                  <c:v>31785262.51004301</c:v>
                </c:pt>
                <c:pt idx="42">
                  <c:v>31377579.362113155</c:v>
                </c:pt>
                <c:pt idx="43">
                  <c:v>29768446.981081173</c:v>
                </c:pt>
                <c:pt idx="44">
                  <c:v>29157400.865134325</c:v>
                </c:pt>
                <c:pt idx="45">
                  <c:v>29672247.724558409</c:v>
                </c:pt>
                <c:pt idx="46">
                  <c:v>30676373.788422421</c:v>
                </c:pt>
                <c:pt idx="47">
                  <c:v>31663703.261883609</c:v>
                </c:pt>
                <c:pt idx="48">
                  <c:v>29914689.114650354</c:v>
                </c:pt>
                <c:pt idx="49">
                  <c:v>30413954.266909964</c:v>
                </c:pt>
                <c:pt idx="50">
                  <c:v>28543303.121591646</c:v>
                </c:pt>
                <c:pt idx="51">
                  <c:v>28861198.06790445</c:v>
                </c:pt>
                <c:pt idx="52">
                  <c:v>29719702.414769679</c:v>
                </c:pt>
                <c:pt idx="53">
                  <c:v>31785262.51004301</c:v>
                </c:pt>
                <c:pt idx="54">
                  <c:v>31377579.362113155</c:v>
                </c:pt>
                <c:pt idx="55">
                  <c:v>29768446.981081173</c:v>
                </c:pt>
                <c:pt idx="56">
                  <c:v>29157400.865134325</c:v>
                </c:pt>
                <c:pt idx="57">
                  <c:v>29672247.724558409</c:v>
                </c:pt>
                <c:pt idx="58">
                  <c:v>30676373.788422421</c:v>
                </c:pt>
                <c:pt idx="59">
                  <c:v>31663703.261883609</c:v>
                </c:pt>
                <c:pt idx="60">
                  <c:v>30326038.677924559</c:v>
                </c:pt>
                <c:pt idx="61">
                  <c:v>28955572.680174515</c:v>
                </c:pt>
                <c:pt idx="62">
                  <c:v>25626539.948120747</c:v>
                </c:pt>
                <c:pt idx="63">
                  <c:v>25944434.894433551</c:v>
                </c:pt>
                <c:pt idx="64">
                  <c:v>28261320.82803423</c:v>
                </c:pt>
                <c:pt idx="65">
                  <c:v>30326880.92330756</c:v>
                </c:pt>
                <c:pt idx="66">
                  <c:v>29919197.775377706</c:v>
                </c:pt>
                <c:pt idx="67">
                  <c:v>28310065.394345723</c:v>
                </c:pt>
                <c:pt idx="68">
                  <c:v>27699019.278398875</c:v>
                </c:pt>
                <c:pt idx="69">
                  <c:v>28213866.13782296</c:v>
                </c:pt>
                <c:pt idx="70">
                  <c:v>29217992.201686971</c:v>
                </c:pt>
                <c:pt idx="71">
                  <c:v>30205321.675148159</c:v>
                </c:pt>
                <c:pt idx="72">
                  <c:v>28456307.527914904</c:v>
                </c:pt>
                <c:pt idx="73">
                  <c:v>28955572.680174515</c:v>
                </c:pt>
                <c:pt idx="74">
                  <c:v>27084921.534856196</c:v>
                </c:pt>
                <c:pt idx="75">
                  <c:v>27402816.481169</c:v>
                </c:pt>
                <c:pt idx="76">
                  <c:v>28261320.82803423</c:v>
                </c:pt>
                <c:pt idx="77">
                  <c:v>30326880.92330756</c:v>
                </c:pt>
                <c:pt idx="78">
                  <c:v>29919197.775377706</c:v>
                </c:pt>
                <c:pt idx="79">
                  <c:v>28310065.394345723</c:v>
                </c:pt>
                <c:pt idx="80">
                  <c:v>27699019.278398875</c:v>
                </c:pt>
                <c:pt idx="81">
                  <c:v>28213866.13782296</c:v>
                </c:pt>
                <c:pt idx="82">
                  <c:v>29217992.201686971</c:v>
                </c:pt>
                <c:pt idx="83">
                  <c:v>30934512.468515884</c:v>
                </c:pt>
                <c:pt idx="84">
                  <c:v>29185498.321282629</c:v>
                </c:pt>
                <c:pt idx="85">
                  <c:v>29684763.47354224</c:v>
                </c:pt>
                <c:pt idx="86">
                  <c:v>27814112.328223921</c:v>
                </c:pt>
                <c:pt idx="87">
                  <c:v>28132007.274536725</c:v>
                </c:pt>
                <c:pt idx="88">
                  <c:v>28990511.621401954</c:v>
                </c:pt>
                <c:pt idx="89">
                  <c:v>31056071.716675285</c:v>
                </c:pt>
                <c:pt idx="90">
                  <c:v>30648388.568745431</c:v>
                </c:pt>
                <c:pt idx="91">
                  <c:v>29039256.187713448</c:v>
                </c:pt>
                <c:pt idx="92">
                  <c:v>28428210.0717666</c:v>
                </c:pt>
                <c:pt idx="93">
                  <c:v>28943056.931190684</c:v>
                </c:pt>
                <c:pt idx="94">
                  <c:v>29947182.995054696</c:v>
                </c:pt>
                <c:pt idx="95">
                  <c:v>31663703.261883609</c:v>
                </c:pt>
                <c:pt idx="96">
                  <c:v>29914689.114650354</c:v>
                </c:pt>
                <c:pt idx="97">
                  <c:v>30413954.266909964</c:v>
                </c:pt>
                <c:pt idx="98">
                  <c:v>28543303.121591646</c:v>
                </c:pt>
                <c:pt idx="99">
                  <c:v>28861198.06790445</c:v>
                </c:pt>
                <c:pt idx="100">
                  <c:v>29719702.414769679</c:v>
                </c:pt>
                <c:pt idx="101">
                  <c:v>31785262.51004301</c:v>
                </c:pt>
                <c:pt idx="102">
                  <c:v>31377579.362113155</c:v>
                </c:pt>
                <c:pt idx="103">
                  <c:v>29768446.981081173</c:v>
                </c:pt>
                <c:pt idx="104">
                  <c:v>29157400.865134325</c:v>
                </c:pt>
                <c:pt idx="105">
                  <c:v>29672247.724558409</c:v>
                </c:pt>
                <c:pt idx="106">
                  <c:v>30676373.788422421</c:v>
                </c:pt>
                <c:pt idx="107">
                  <c:v>31663703.261883609</c:v>
                </c:pt>
                <c:pt idx="108">
                  <c:v>30326038.677924559</c:v>
                </c:pt>
                <c:pt idx="109">
                  <c:v>30413954.266909964</c:v>
                </c:pt>
                <c:pt idx="110">
                  <c:v>28543303.121591646</c:v>
                </c:pt>
                <c:pt idx="111">
                  <c:v>28861198.06790445</c:v>
                </c:pt>
                <c:pt idx="112">
                  <c:v>29719702.414769679</c:v>
                </c:pt>
                <c:pt idx="113">
                  <c:v>31785262.51004301</c:v>
                </c:pt>
                <c:pt idx="114">
                  <c:v>31377579.362113155</c:v>
                </c:pt>
                <c:pt idx="115">
                  <c:v>29768446.981081173</c:v>
                </c:pt>
                <c:pt idx="116">
                  <c:v>29157400.865134325</c:v>
                </c:pt>
                <c:pt idx="117">
                  <c:v>29672247.724558409</c:v>
                </c:pt>
                <c:pt idx="118">
                  <c:v>30676373.788422421</c:v>
                </c:pt>
                <c:pt idx="119">
                  <c:v>31663703.261883609</c:v>
                </c:pt>
                <c:pt idx="120">
                  <c:v>29914689.114650354</c:v>
                </c:pt>
                <c:pt idx="121">
                  <c:v>30413954.266909964</c:v>
                </c:pt>
                <c:pt idx="122">
                  <c:v>28543303.121591646</c:v>
                </c:pt>
                <c:pt idx="123">
                  <c:v>28861198.06790445</c:v>
                </c:pt>
                <c:pt idx="124">
                  <c:v>29719702.414769679</c:v>
                </c:pt>
                <c:pt idx="125">
                  <c:v>31785262.51004301</c:v>
                </c:pt>
                <c:pt idx="126">
                  <c:v>31377579.362113155</c:v>
                </c:pt>
                <c:pt idx="127">
                  <c:v>29768446.981081173</c:v>
                </c:pt>
                <c:pt idx="128">
                  <c:v>29157400.865134325</c:v>
                </c:pt>
                <c:pt idx="129">
                  <c:v>29672247.724558409</c:v>
                </c:pt>
                <c:pt idx="130">
                  <c:v>30676373.788422421</c:v>
                </c:pt>
                <c:pt idx="131">
                  <c:v>31663703.261883609</c:v>
                </c:pt>
                <c:pt idx="132">
                  <c:v>29914689.114650354</c:v>
                </c:pt>
                <c:pt idx="133">
                  <c:v>30413954.266909964</c:v>
                </c:pt>
                <c:pt idx="134">
                  <c:v>28543303.121591646</c:v>
                </c:pt>
                <c:pt idx="135">
                  <c:v>28861198.06790445</c:v>
                </c:pt>
                <c:pt idx="136">
                  <c:v>29719702.414769679</c:v>
                </c:pt>
                <c:pt idx="137">
                  <c:v>31785262.51004301</c:v>
                </c:pt>
                <c:pt idx="138">
                  <c:v>31377579.362113155</c:v>
                </c:pt>
                <c:pt idx="139">
                  <c:v>29768446.981081173</c:v>
                </c:pt>
                <c:pt idx="140">
                  <c:v>29157400.865134325</c:v>
                </c:pt>
                <c:pt idx="141">
                  <c:v>29672247.724558409</c:v>
                </c:pt>
                <c:pt idx="142">
                  <c:v>30676373.788422421</c:v>
                </c:pt>
                <c:pt idx="143">
                  <c:v>31663703.261883609</c:v>
                </c:pt>
                <c:pt idx="144">
                  <c:v>30326038.677924559</c:v>
                </c:pt>
                <c:pt idx="145">
                  <c:v>30413954.266909964</c:v>
                </c:pt>
                <c:pt idx="146">
                  <c:v>28543303.121591646</c:v>
                </c:pt>
                <c:pt idx="147">
                  <c:v>28861198.06790445</c:v>
                </c:pt>
                <c:pt idx="148">
                  <c:v>29719702.414769679</c:v>
                </c:pt>
                <c:pt idx="149">
                  <c:v>31785262.51004301</c:v>
                </c:pt>
                <c:pt idx="150">
                  <c:v>31377579.362113155</c:v>
                </c:pt>
                <c:pt idx="151">
                  <c:v>29768446.981081173</c:v>
                </c:pt>
                <c:pt idx="152">
                  <c:v>29157400.865134325</c:v>
                </c:pt>
                <c:pt idx="153">
                  <c:v>29672247.724558409</c:v>
                </c:pt>
                <c:pt idx="154">
                  <c:v>30676373.788422421</c:v>
                </c:pt>
                <c:pt idx="155">
                  <c:v>31663703.261883609</c:v>
                </c:pt>
                <c:pt idx="156">
                  <c:v>29914689.114650354</c:v>
                </c:pt>
                <c:pt idx="157">
                  <c:v>30413954.266909964</c:v>
                </c:pt>
                <c:pt idx="158">
                  <c:v>28543303.121591646</c:v>
                </c:pt>
                <c:pt idx="159">
                  <c:v>28861198.06790445</c:v>
                </c:pt>
                <c:pt idx="160">
                  <c:v>29719702.414769679</c:v>
                </c:pt>
                <c:pt idx="161">
                  <c:v>31785262.51004301</c:v>
                </c:pt>
                <c:pt idx="162">
                  <c:v>31377579.362113155</c:v>
                </c:pt>
                <c:pt idx="163">
                  <c:v>29768446.981081173</c:v>
                </c:pt>
                <c:pt idx="164">
                  <c:v>29157400.865134325</c:v>
                </c:pt>
                <c:pt idx="165">
                  <c:v>29672247.724558409</c:v>
                </c:pt>
                <c:pt idx="166">
                  <c:v>30676373.788422421</c:v>
                </c:pt>
                <c:pt idx="167">
                  <c:v>31663703.261883609</c:v>
                </c:pt>
                <c:pt idx="168">
                  <c:v>29914689.114650354</c:v>
                </c:pt>
                <c:pt idx="169">
                  <c:v>30413954.266909964</c:v>
                </c:pt>
                <c:pt idx="170">
                  <c:v>28543303.121591646</c:v>
                </c:pt>
                <c:pt idx="171">
                  <c:v>28861198.06790445</c:v>
                </c:pt>
                <c:pt idx="172">
                  <c:v>29719702.414769679</c:v>
                </c:pt>
                <c:pt idx="173">
                  <c:v>31785262.51004301</c:v>
                </c:pt>
                <c:pt idx="174">
                  <c:v>31377579.362113155</c:v>
                </c:pt>
                <c:pt idx="175">
                  <c:v>29768446.981081173</c:v>
                </c:pt>
                <c:pt idx="176">
                  <c:v>29157400.865134325</c:v>
                </c:pt>
                <c:pt idx="177">
                  <c:v>29672247.724558409</c:v>
                </c:pt>
                <c:pt idx="178">
                  <c:v>30676373.788422421</c:v>
                </c:pt>
                <c:pt idx="179">
                  <c:v>31663703.261883609</c:v>
                </c:pt>
                <c:pt idx="180">
                  <c:v>30326038.677924559</c:v>
                </c:pt>
                <c:pt idx="181">
                  <c:v>30413954.266909964</c:v>
                </c:pt>
                <c:pt idx="182">
                  <c:v>28543303.121591646</c:v>
                </c:pt>
                <c:pt idx="183">
                  <c:v>28861198.06790445</c:v>
                </c:pt>
                <c:pt idx="184">
                  <c:v>29719702.414769679</c:v>
                </c:pt>
                <c:pt idx="185">
                  <c:v>31785262.51004301</c:v>
                </c:pt>
                <c:pt idx="186">
                  <c:v>31377579.362113155</c:v>
                </c:pt>
                <c:pt idx="187">
                  <c:v>29768446.981081173</c:v>
                </c:pt>
                <c:pt idx="188">
                  <c:v>29157400.865134325</c:v>
                </c:pt>
                <c:pt idx="189">
                  <c:v>29672247.724558409</c:v>
                </c:pt>
                <c:pt idx="190">
                  <c:v>30676373.788422421</c:v>
                </c:pt>
                <c:pt idx="191">
                  <c:v>31663703.261883609</c:v>
                </c:pt>
                <c:pt idx="192">
                  <c:v>29914689.114650354</c:v>
                </c:pt>
                <c:pt idx="193">
                  <c:v>30413954.266909964</c:v>
                </c:pt>
                <c:pt idx="194">
                  <c:v>28543303.121591646</c:v>
                </c:pt>
                <c:pt idx="195">
                  <c:v>28861198.06790445</c:v>
                </c:pt>
                <c:pt idx="196">
                  <c:v>29719702.414769679</c:v>
                </c:pt>
                <c:pt idx="197">
                  <c:v>31785262.51004301</c:v>
                </c:pt>
                <c:pt idx="198">
                  <c:v>31377579.362113155</c:v>
                </c:pt>
                <c:pt idx="199">
                  <c:v>29768446.981081173</c:v>
                </c:pt>
                <c:pt idx="200">
                  <c:v>29157400.865134325</c:v>
                </c:pt>
                <c:pt idx="201">
                  <c:v>29672247.724558409</c:v>
                </c:pt>
                <c:pt idx="202">
                  <c:v>30676373.788422421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0-4466-8A06-A2CAC4C0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Weather!$AA$1</c:f>
              <c:strCache>
                <c:ptCount val="1"/>
                <c:pt idx="0">
                  <c:v> WRZ_GS50to2999kWh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Weather!$AA$14:$AA$133</c:f>
              <c:numCache>
                <c:formatCode>_-* #,##0_-;\-* #,##0_-;_-* "-"??_-;_-@_-</c:formatCode>
                <c:ptCount val="120"/>
                <c:pt idx="0">
                  <c:v>30763090.182499632</c:v>
                </c:pt>
                <c:pt idx="1">
                  <c:v>30137881.684263874</c:v>
                </c:pt>
                <c:pt idx="2">
                  <c:v>29235061.463367853</c:v>
                </c:pt>
                <c:pt idx="3">
                  <c:v>27991938.171590615</c:v>
                </c:pt>
                <c:pt idx="4">
                  <c:v>27735210.381596781</c:v>
                </c:pt>
                <c:pt idx="5">
                  <c:v>28744327.190000001</c:v>
                </c:pt>
                <c:pt idx="6">
                  <c:v>30536784.32</c:v>
                </c:pt>
                <c:pt idx="7">
                  <c:v>30564228.59</c:v>
                </c:pt>
                <c:pt idx="8">
                  <c:v>30000518.25</c:v>
                </c:pt>
                <c:pt idx="9">
                  <c:v>29128975.390000001</c:v>
                </c:pt>
                <c:pt idx="10">
                  <c:v>28976857.489999998</c:v>
                </c:pt>
                <c:pt idx="11">
                  <c:v>29084557.949999999</c:v>
                </c:pt>
                <c:pt idx="12">
                  <c:v>31727418.850000001</c:v>
                </c:pt>
                <c:pt idx="13">
                  <c:v>31082611.98</c:v>
                </c:pt>
                <c:pt idx="14">
                  <c:v>30151491.109999999</c:v>
                </c:pt>
                <c:pt idx="15">
                  <c:v>28869399.710000001</c:v>
                </c:pt>
                <c:pt idx="16">
                  <c:v>28604624.289999999</c:v>
                </c:pt>
                <c:pt idx="17">
                  <c:v>29645373.82</c:v>
                </c:pt>
                <c:pt idx="18">
                  <c:v>30252012.800000001</c:v>
                </c:pt>
                <c:pt idx="19">
                  <c:v>32320717.75</c:v>
                </c:pt>
                <c:pt idx="20">
                  <c:v>30235739.219999999</c:v>
                </c:pt>
                <c:pt idx="21">
                  <c:v>29057711.48</c:v>
                </c:pt>
                <c:pt idx="22">
                  <c:v>28199729.350000001</c:v>
                </c:pt>
                <c:pt idx="23">
                  <c:v>28627153.800000001</c:v>
                </c:pt>
                <c:pt idx="24">
                  <c:v>30488209.27</c:v>
                </c:pt>
                <c:pt idx="25">
                  <c:v>27758859.02</c:v>
                </c:pt>
                <c:pt idx="26">
                  <c:v>28968768.32</c:v>
                </c:pt>
                <c:pt idx="27">
                  <c:v>27336627.809999999</c:v>
                </c:pt>
                <c:pt idx="28">
                  <c:v>27182998.379999999</c:v>
                </c:pt>
                <c:pt idx="29">
                  <c:v>28646810.48</c:v>
                </c:pt>
                <c:pt idx="30">
                  <c:v>28049553.609999999</c:v>
                </c:pt>
                <c:pt idx="31">
                  <c:v>28988071.77</c:v>
                </c:pt>
                <c:pt idx="32">
                  <c:v>29602627.350000001</c:v>
                </c:pt>
                <c:pt idx="33">
                  <c:v>27500606.899999999</c:v>
                </c:pt>
                <c:pt idx="34">
                  <c:v>29176541.93</c:v>
                </c:pt>
                <c:pt idx="35">
                  <c:v>29723632.32</c:v>
                </c:pt>
                <c:pt idx="36">
                  <c:v>33209764.710000001</c:v>
                </c:pt>
                <c:pt idx="37">
                  <c:v>28641648.640000001</c:v>
                </c:pt>
                <c:pt idx="38">
                  <c:v>28869882.920000002</c:v>
                </c:pt>
                <c:pt idx="39">
                  <c:v>27695564.940000001</c:v>
                </c:pt>
                <c:pt idx="40">
                  <c:v>27592545.890000001</c:v>
                </c:pt>
                <c:pt idx="41">
                  <c:v>28199952.420000002</c:v>
                </c:pt>
                <c:pt idx="42">
                  <c:v>29739839.879999999</c:v>
                </c:pt>
                <c:pt idx="43">
                  <c:v>31063804.010000002</c:v>
                </c:pt>
                <c:pt idx="44">
                  <c:v>30660383.59</c:v>
                </c:pt>
                <c:pt idx="45">
                  <c:v>28212998.809999999</c:v>
                </c:pt>
                <c:pt idx="46">
                  <c:v>28205845.879999999</c:v>
                </c:pt>
                <c:pt idx="47">
                  <c:v>28576716.329999998</c:v>
                </c:pt>
                <c:pt idx="48">
                  <c:v>30463335.469999999</c:v>
                </c:pt>
                <c:pt idx="49">
                  <c:v>29734090.960000001</c:v>
                </c:pt>
                <c:pt idx="50">
                  <c:v>28924320.140000001</c:v>
                </c:pt>
                <c:pt idx="51">
                  <c:v>27476847.510000002</c:v>
                </c:pt>
                <c:pt idx="52">
                  <c:v>26341835.550000001</c:v>
                </c:pt>
                <c:pt idx="53">
                  <c:v>26801907.539999999</c:v>
                </c:pt>
                <c:pt idx="54">
                  <c:v>29874854.309999999</c:v>
                </c:pt>
                <c:pt idx="55">
                  <c:v>30243494.170000002</c:v>
                </c:pt>
                <c:pt idx="56">
                  <c:v>27479248.530000001</c:v>
                </c:pt>
                <c:pt idx="57">
                  <c:v>26568981.43</c:v>
                </c:pt>
                <c:pt idx="58">
                  <c:v>27571468.760000002</c:v>
                </c:pt>
                <c:pt idx="59">
                  <c:v>28441626.969999999</c:v>
                </c:pt>
                <c:pt idx="60">
                  <c:v>30147336.350000001</c:v>
                </c:pt>
                <c:pt idx="61">
                  <c:v>28075256.84</c:v>
                </c:pt>
                <c:pt idx="62">
                  <c:v>27015739.629999999</c:v>
                </c:pt>
                <c:pt idx="63">
                  <c:v>24168395.280000001</c:v>
                </c:pt>
                <c:pt idx="64">
                  <c:v>23504938.949999999</c:v>
                </c:pt>
                <c:pt idx="65">
                  <c:v>28194603.760000002</c:v>
                </c:pt>
                <c:pt idx="66">
                  <c:v>28837574.93</c:v>
                </c:pt>
                <c:pt idx="67">
                  <c:v>27859463.129999999</c:v>
                </c:pt>
                <c:pt idx="68">
                  <c:v>25403788.219999999</c:v>
                </c:pt>
                <c:pt idx="69">
                  <c:v>25328818.460000001</c:v>
                </c:pt>
                <c:pt idx="70">
                  <c:v>25742106.59</c:v>
                </c:pt>
                <c:pt idx="71">
                  <c:v>28686189.359999999</c:v>
                </c:pt>
                <c:pt idx="72">
                  <c:v>28116377.030000001</c:v>
                </c:pt>
                <c:pt idx="73">
                  <c:v>26385107.34</c:v>
                </c:pt>
                <c:pt idx="74">
                  <c:v>27056910.829999998</c:v>
                </c:pt>
                <c:pt idx="75">
                  <c:v>23520001.760000002</c:v>
                </c:pt>
                <c:pt idx="76">
                  <c:v>23634492.940000001</c:v>
                </c:pt>
                <c:pt idx="77">
                  <c:v>26196543.41</c:v>
                </c:pt>
                <c:pt idx="78">
                  <c:v>27214148.16</c:v>
                </c:pt>
                <c:pt idx="79">
                  <c:v>29538580.43</c:v>
                </c:pt>
                <c:pt idx="80">
                  <c:v>25587991.039999999</c:v>
                </c:pt>
                <c:pt idx="81">
                  <c:v>25726321.02</c:v>
                </c:pt>
                <c:pt idx="82">
                  <c:v>26402840.800000001</c:v>
                </c:pt>
                <c:pt idx="83">
                  <c:v>28002178.93</c:v>
                </c:pt>
                <c:pt idx="84">
                  <c:v>29472505.969999999</c:v>
                </c:pt>
                <c:pt idx="85">
                  <c:v>27029254.530000001</c:v>
                </c:pt>
                <c:pt idx="86">
                  <c:v>28645335.43</c:v>
                </c:pt>
                <c:pt idx="87">
                  <c:v>25472918.010000002</c:v>
                </c:pt>
                <c:pt idx="88">
                  <c:v>25541767.5</c:v>
                </c:pt>
                <c:pt idx="89">
                  <c:v>26153981.300000001</c:v>
                </c:pt>
                <c:pt idx="90">
                  <c:v>28545087.309999999</c:v>
                </c:pt>
                <c:pt idx="91">
                  <c:v>29956192.780000001</c:v>
                </c:pt>
                <c:pt idx="92">
                  <c:v>26457118.789999999</c:v>
                </c:pt>
                <c:pt idx="93">
                  <c:v>25520769.23</c:v>
                </c:pt>
                <c:pt idx="94">
                  <c:v>26558209.010000002</c:v>
                </c:pt>
                <c:pt idx="95">
                  <c:v>28380785.780000001</c:v>
                </c:pt>
                <c:pt idx="96">
                  <c:v>29107817.699999999</c:v>
                </c:pt>
                <c:pt idx="97">
                  <c:v>27204210.59</c:v>
                </c:pt>
                <c:pt idx="98">
                  <c:v>28602056.899999999</c:v>
                </c:pt>
                <c:pt idx="99">
                  <c:v>24845160.359999999</c:v>
                </c:pt>
                <c:pt idx="100">
                  <c:v>25540892.25</c:v>
                </c:pt>
                <c:pt idx="101">
                  <c:v>26913245.190000001</c:v>
                </c:pt>
                <c:pt idx="102">
                  <c:v>28920135.449999999</c:v>
                </c:pt>
                <c:pt idx="103">
                  <c:v>28574992.75</c:v>
                </c:pt>
                <c:pt idx="104">
                  <c:v>27184107.140000001</c:v>
                </c:pt>
                <c:pt idx="105">
                  <c:v>26514209.989999998</c:v>
                </c:pt>
                <c:pt idx="106">
                  <c:v>27268389.629999999</c:v>
                </c:pt>
                <c:pt idx="107">
                  <c:v>27979044.84</c:v>
                </c:pt>
                <c:pt idx="108">
                  <c:v>30235124.84</c:v>
                </c:pt>
                <c:pt idx="109">
                  <c:v>27060249.84</c:v>
                </c:pt>
                <c:pt idx="110">
                  <c:v>27405736</c:v>
                </c:pt>
                <c:pt idx="111">
                  <c:v>25571685.25</c:v>
                </c:pt>
                <c:pt idx="112">
                  <c:v>26265639.09</c:v>
                </c:pt>
                <c:pt idx="113">
                  <c:v>27368038.239999998</c:v>
                </c:pt>
                <c:pt idx="114">
                  <c:v>30205168.489999998</c:v>
                </c:pt>
                <c:pt idx="115">
                  <c:v>29899992.52</c:v>
                </c:pt>
                <c:pt idx="116">
                  <c:v>27862082.350000001</c:v>
                </c:pt>
                <c:pt idx="117">
                  <c:v>27277779.640000001</c:v>
                </c:pt>
                <c:pt idx="118">
                  <c:v>27362194.800000001</c:v>
                </c:pt>
                <c:pt idx="119">
                  <c:v>30184848.870000001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4B-44C1-B676-D472D77FE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GS 3,000 -</a:t>
            </a:r>
            <a:r>
              <a:rPr lang="en-CA" baseline="0"/>
              <a:t> 4,999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>
        <c:manualLayout>
          <c:layoutTarget val="inner"/>
          <c:xMode val="edge"/>
          <c:yMode val="edge"/>
          <c:x val="0.12716334906354024"/>
          <c:y val="1.8737799477743105E-2"/>
          <c:w val="0.87283665093645979"/>
          <c:h val="0.66368127984905534"/>
        </c:manualLayout>
      </c:layout>
      <c:lineChart>
        <c:grouping val="standard"/>
        <c:varyColors val="0"/>
        <c:ser>
          <c:idx val="0"/>
          <c:order val="0"/>
          <c:tx>
            <c:strRef>
              <c:f>'WRZ GS 3,000-4,999 Normalized'!$D$1</c:f>
              <c:strCache>
                <c:ptCount val="1"/>
                <c:pt idx="0">
                  <c:v>WRZ_GS3000to4999kWh_No_CDM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'WRZ GS 3,000-4,999 Normalized'!$D$3:$D$109</c:f>
              <c:numCache>
                <c:formatCode>_-* #,##0_-;\-* #,##0_-;_-* "-"??_-;_-@_-</c:formatCode>
                <c:ptCount val="107"/>
                <c:pt idx="0">
                  <c:v>4556169.4062275626</c:v>
                </c:pt>
                <c:pt idx="1">
                  <c:v>5053235.1504865102</c:v>
                </c:pt>
                <c:pt idx="2">
                  <c:v>4931988.0547454571</c:v>
                </c:pt>
                <c:pt idx="3">
                  <c:v>5176295.1590044042</c:v>
                </c:pt>
                <c:pt idx="4">
                  <c:v>5034175.6032633521</c:v>
                </c:pt>
                <c:pt idx="5">
                  <c:v>5268928.7375222994</c:v>
                </c:pt>
                <c:pt idx="6">
                  <c:v>5335374.8017812464</c:v>
                </c:pt>
                <c:pt idx="7">
                  <c:v>5190918.426040194</c:v>
                </c:pt>
                <c:pt idx="8">
                  <c:v>5201081.9802991422</c:v>
                </c:pt>
                <c:pt idx="9">
                  <c:v>5046101.9445580896</c:v>
                </c:pt>
                <c:pt idx="10">
                  <c:v>4795113.368817037</c:v>
                </c:pt>
                <c:pt idx="11">
                  <c:v>5328902.2709846376</c:v>
                </c:pt>
                <c:pt idx="12">
                  <c:v>4984537.1230635466</c:v>
                </c:pt>
                <c:pt idx="13">
                  <c:v>5317016.7251424547</c:v>
                </c:pt>
                <c:pt idx="14">
                  <c:v>5218908.4372213623</c:v>
                </c:pt>
                <c:pt idx="15">
                  <c:v>5372406.2993002702</c:v>
                </c:pt>
                <c:pt idx="16">
                  <c:v>5221735.3513791785</c:v>
                </c:pt>
                <c:pt idx="17">
                  <c:v>5527921.7034580866</c:v>
                </c:pt>
                <c:pt idx="18">
                  <c:v>5671269.4755369956</c:v>
                </c:pt>
                <c:pt idx="19">
                  <c:v>5428731.0976159032</c:v>
                </c:pt>
                <c:pt idx="20">
                  <c:v>5451040.8496948117</c:v>
                </c:pt>
                <c:pt idx="21">
                  <c:v>5173386.5017737206</c:v>
                </c:pt>
                <c:pt idx="22">
                  <c:v>5076208.173852629</c:v>
                </c:pt>
                <c:pt idx="23">
                  <c:v>5304499.1938257366</c:v>
                </c:pt>
                <c:pt idx="24">
                  <c:v>4766754.0953466827</c:v>
                </c:pt>
                <c:pt idx="25">
                  <c:v>5448561.5468676304</c:v>
                </c:pt>
                <c:pt idx="26">
                  <c:v>5267316.7683885768</c:v>
                </c:pt>
                <c:pt idx="27">
                  <c:v>5431804.5599095244</c:v>
                </c:pt>
                <c:pt idx="28">
                  <c:v>5227679.6814304721</c:v>
                </c:pt>
                <c:pt idx="29">
                  <c:v>5301374.0629514186</c:v>
                </c:pt>
                <c:pt idx="30">
                  <c:v>5397939.9144723658</c:v>
                </c:pt>
                <c:pt idx="31">
                  <c:v>5281850.3759933123</c:v>
                </c:pt>
                <c:pt idx="32">
                  <c:v>5422763.9075142592</c:v>
                </c:pt>
                <c:pt idx="33">
                  <c:v>5270443.6290352065</c:v>
                </c:pt>
                <c:pt idx="34">
                  <c:v>4958321.0705561535</c:v>
                </c:pt>
                <c:pt idx="35">
                  <c:v>5361949.1227206625</c:v>
                </c:pt>
                <c:pt idx="36">
                  <c:v>4910902.2361246245</c:v>
                </c:pt>
                <c:pt idx="37">
                  <c:v>5100154.0995285865</c:v>
                </c:pt>
                <c:pt idx="38">
                  <c:v>6655878.1829325482</c:v>
                </c:pt>
                <c:pt idx="39">
                  <c:v>6153004.4563365113</c:v>
                </c:pt>
                <c:pt idx="40">
                  <c:v>6441648.5897404738</c:v>
                </c:pt>
                <c:pt idx="41">
                  <c:v>6620384.0731444359</c:v>
                </c:pt>
                <c:pt idx="42">
                  <c:v>6591282.4365483979</c:v>
                </c:pt>
                <c:pt idx="43">
                  <c:v>6695014.8499523606</c:v>
                </c:pt>
                <c:pt idx="44">
                  <c:v>6518820.4933563229</c:v>
                </c:pt>
                <c:pt idx="45">
                  <c:v>6877594.1167602856</c:v>
                </c:pt>
                <c:pt idx="46">
                  <c:v>7093929.670164247</c:v>
                </c:pt>
                <c:pt idx="47">
                  <c:v>7152421.7608437315</c:v>
                </c:pt>
                <c:pt idx="48">
                  <c:v>6707065.6734305676</c:v>
                </c:pt>
                <c:pt idx="49">
                  <c:v>7276994.9760174053</c:v>
                </c:pt>
                <c:pt idx="50">
                  <c:v>6869445.5186042413</c:v>
                </c:pt>
                <c:pt idx="51">
                  <c:v>6956877.9711910784</c:v>
                </c:pt>
                <c:pt idx="52">
                  <c:v>6805757.1837779153</c:v>
                </c:pt>
                <c:pt idx="53">
                  <c:v>7007173.3463647515</c:v>
                </c:pt>
                <c:pt idx="54">
                  <c:v>7081320.3489515893</c:v>
                </c:pt>
                <c:pt idx="55">
                  <c:v>6729557.7915384257</c:v>
                </c:pt>
                <c:pt idx="56">
                  <c:v>7263855.0041252626</c:v>
                </c:pt>
                <c:pt idx="57">
                  <c:v>6948933.1667120997</c:v>
                </c:pt>
                <c:pt idx="58">
                  <c:v>7116269.7292989362</c:v>
                </c:pt>
                <c:pt idx="59">
                  <c:v>7589077.7560578836</c:v>
                </c:pt>
                <c:pt idx="60">
                  <c:v>7068068.9421894243</c:v>
                </c:pt>
                <c:pt idx="61">
                  <c:v>7529941.3183209635</c:v>
                </c:pt>
                <c:pt idx="62">
                  <c:v>7704115.2444525044</c:v>
                </c:pt>
                <c:pt idx="63">
                  <c:v>7873956.4205840444</c:v>
                </c:pt>
                <c:pt idx="64">
                  <c:v>7698535.3567155842</c:v>
                </c:pt>
                <c:pt idx="65">
                  <c:v>8101935.5328471242</c:v>
                </c:pt>
                <c:pt idx="66">
                  <c:v>7895898.7089786651</c:v>
                </c:pt>
                <c:pt idx="67">
                  <c:v>7196079.4451102046</c:v>
                </c:pt>
                <c:pt idx="68">
                  <c:v>7153203.5412417445</c:v>
                </c:pt>
                <c:pt idx="69">
                  <c:v>6955041.4173732847</c:v>
                </c:pt>
                <c:pt idx="70">
                  <c:v>7580986.8535048245</c:v>
                </c:pt>
                <c:pt idx="71">
                  <c:v>8173206.3217348102</c:v>
                </c:pt>
                <c:pt idx="72">
                  <c:v>7618713.8693286031</c:v>
                </c:pt>
                <c:pt idx="73">
                  <c:v>7949162.0869223978</c:v>
                </c:pt>
                <c:pt idx="74">
                  <c:v>7597359.0045161927</c:v>
                </c:pt>
                <c:pt idx="75">
                  <c:v>7863141.4721099855</c:v>
                </c:pt>
                <c:pt idx="76">
                  <c:v>7672024.0597037803</c:v>
                </c:pt>
                <c:pt idx="77">
                  <c:v>7904835.8172975751</c:v>
                </c:pt>
                <c:pt idx="78">
                  <c:v>8125227.8048913684</c:v>
                </c:pt>
                <c:pt idx="79">
                  <c:v>7866131.5424851626</c:v>
                </c:pt>
                <c:pt idx="80">
                  <c:v>7942289.2900789566</c:v>
                </c:pt>
                <c:pt idx="81">
                  <c:v>7837906.3576727509</c:v>
                </c:pt>
                <c:pt idx="82">
                  <c:v>7841044.105266545</c:v>
                </c:pt>
                <c:pt idx="83">
                  <c:v>8613193.4880363885</c:v>
                </c:pt>
                <c:pt idx="84">
                  <c:v>7956515.2173078153</c:v>
                </c:pt>
                <c:pt idx="85">
                  <c:v>8821067.446579244</c:v>
                </c:pt>
                <c:pt idx="86">
                  <c:v>7838012.6858506724</c:v>
                </c:pt>
                <c:pt idx="87">
                  <c:v>7761282.4951221002</c:v>
                </c:pt>
                <c:pt idx="88">
                  <c:v>7284019.9943935275</c:v>
                </c:pt>
                <c:pt idx="89">
                  <c:v>7888180.0936649563</c:v>
                </c:pt>
                <c:pt idx="90">
                  <c:v>8194582.362936384</c:v>
                </c:pt>
                <c:pt idx="91">
                  <c:v>7535129.8122078124</c:v>
                </c:pt>
                <c:pt idx="92">
                  <c:v>8087523.1914792405</c:v>
                </c:pt>
                <c:pt idx="93">
                  <c:v>8003596.1307506682</c:v>
                </c:pt>
                <c:pt idx="94">
                  <c:v>7602952.2100220965</c:v>
                </c:pt>
                <c:pt idx="95">
                  <c:v>8282723.9155689562</c:v>
                </c:pt>
                <c:pt idx="96">
                  <c:v>7755718.0544409184</c:v>
                </c:pt>
                <c:pt idx="97">
                  <c:v>8190782.6233128794</c:v>
                </c:pt>
                <c:pt idx="98">
                  <c:v>7437666.8621848412</c:v>
                </c:pt>
                <c:pt idx="99">
                  <c:v>7603477.8910568031</c:v>
                </c:pt>
                <c:pt idx="100">
                  <c:v>7280009.0799287651</c:v>
                </c:pt>
                <c:pt idx="101">
                  <c:v>7337484.0588007262</c:v>
                </c:pt>
                <c:pt idx="102">
                  <c:v>8114182.9676726889</c:v>
                </c:pt>
                <c:pt idx="103">
                  <c:v>7750544.736544651</c:v>
                </c:pt>
                <c:pt idx="104">
                  <c:v>7932968.7854166124</c:v>
                </c:pt>
                <c:pt idx="105">
                  <c:v>7746105.9642885737</c:v>
                </c:pt>
                <c:pt idx="106">
                  <c:v>7782241.0131605361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3-41CE-BFC5-B25A054B7F83}"/>
            </c:ext>
          </c:extLst>
        </c:ser>
        <c:ser>
          <c:idx val="1"/>
          <c:order val="1"/>
          <c:tx>
            <c:strRef>
              <c:f>'WRZ GS 3,000-4,999 Normalized'!$M$1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'WRZ GS 3,000-4,999 Normalized'!$A$3:$A$205</c:f>
              <c:numCache>
                <c:formatCode>mmm\-yy</c:formatCode>
                <c:ptCount val="203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  <c:pt idx="47">
                  <c:v>43466</c:v>
                </c:pt>
                <c:pt idx="48">
                  <c:v>43497</c:v>
                </c:pt>
                <c:pt idx="49">
                  <c:v>43525</c:v>
                </c:pt>
                <c:pt idx="50">
                  <c:v>43556</c:v>
                </c:pt>
                <c:pt idx="51">
                  <c:v>43586</c:v>
                </c:pt>
                <c:pt idx="52">
                  <c:v>43617</c:v>
                </c:pt>
                <c:pt idx="53">
                  <c:v>43647</c:v>
                </c:pt>
                <c:pt idx="54">
                  <c:v>43678</c:v>
                </c:pt>
                <c:pt idx="55">
                  <c:v>43709</c:v>
                </c:pt>
                <c:pt idx="56">
                  <c:v>43739</c:v>
                </c:pt>
                <c:pt idx="57">
                  <c:v>43770</c:v>
                </c:pt>
                <c:pt idx="58">
                  <c:v>43800</c:v>
                </c:pt>
                <c:pt idx="59">
                  <c:v>43831</c:v>
                </c:pt>
                <c:pt idx="60">
                  <c:v>43862</c:v>
                </c:pt>
                <c:pt idx="61">
                  <c:v>43891</c:v>
                </c:pt>
                <c:pt idx="62">
                  <c:v>43922</c:v>
                </c:pt>
                <c:pt idx="63">
                  <c:v>43952</c:v>
                </c:pt>
                <c:pt idx="64">
                  <c:v>43983</c:v>
                </c:pt>
                <c:pt idx="65">
                  <c:v>44013</c:v>
                </c:pt>
                <c:pt idx="66">
                  <c:v>44044</c:v>
                </c:pt>
                <c:pt idx="67">
                  <c:v>44075</c:v>
                </c:pt>
                <c:pt idx="68">
                  <c:v>44105</c:v>
                </c:pt>
                <c:pt idx="69">
                  <c:v>44136</c:v>
                </c:pt>
                <c:pt idx="70">
                  <c:v>44166</c:v>
                </c:pt>
                <c:pt idx="71">
                  <c:v>44197</c:v>
                </c:pt>
                <c:pt idx="72">
                  <c:v>44228</c:v>
                </c:pt>
                <c:pt idx="73">
                  <c:v>44256</c:v>
                </c:pt>
                <c:pt idx="74">
                  <c:v>44287</c:v>
                </c:pt>
                <c:pt idx="75">
                  <c:v>44317</c:v>
                </c:pt>
                <c:pt idx="76">
                  <c:v>44348</c:v>
                </c:pt>
                <c:pt idx="77">
                  <c:v>44378</c:v>
                </c:pt>
                <c:pt idx="78">
                  <c:v>44409</c:v>
                </c:pt>
                <c:pt idx="79">
                  <c:v>44440</c:v>
                </c:pt>
                <c:pt idx="80">
                  <c:v>44470</c:v>
                </c:pt>
                <c:pt idx="81">
                  <c:v>44501</c:v>
                </c:pt>
                <c:pt idx="82">
                  <c:v>44531</c:v>
                </c:pt>
                <c:pt idx="83">
                  <c:v>44562</c:v>
                </c:pt>
                <c:pt idx="84">
                  <c:v>44593</c:v>
                </c:pt>
                <c:pt idx="85">
                  <c:v>44621</c:v>
                </c:pt>
                <c:pt idx="86">
                  <c:v>44652</c:v>
                </c:pt>
                <c:pt idx="87">
                  <c:v>44682</c:v>
                </c:pt>
                <c:pt idx="88">
                  <c:v>44713</c:v>
                </c:pt>
                <c:pt idx="89">
                  <c:v>44743</c:v>
                </c:pt>
                <c:pt idx="90">
                  <c:v>44774</c:v>
                </c:pt>
                <c:pt idx="91">
                  <c:v>44805</c:v>
                </c:pt>
                <c:pt idx="92">
                  <c:v>44835</c:v>
                </c:pt>
                <c:pt idx="93">
                  <c:v>44866</c:v>
                </c:pt>
                <c:pt idx="94">
                  <c:v>44896</c:v>
                </c:pt>
                <c:pt idx="95">
                  <c:v>44927</c:v>
                </c:pt>
                <c:pt idx="96">
                  <c:v>44958</c:v>
                </c:pt>
                <c:pt idx="97">
                  <c:v>44986</c:v>
                </c:pt>
                <c:pt idx="98">
                  <c:v>45017</c:v>
                </c:pt>
                <c:pt idx="99">
                  <c:v>45047</c:v>
                </c:pt>
                <c:pt idx="100">
                  <c:v>45078</c:v>
                </c:pt>
                <c:pt idx="101">
                  <c:v>45108</c:v>
                </c:pt>
                <c:pt idx="102">
                  <c:v>45139</c:v>
                </c:pt>
                <c:pt idx="103">
                  <c:v>45170</c:v>
                </c:pt>
                <c:pt idx="104">
                  <c:v>45200</c:v>
                </c:pt>
                <c:pt idx="105">
                  <c:v>45231</c:v>
                </c:pt>
                <c:pt idx="106">
                  <c:v>45261</c:v>
                </c:pt>
                <c:pt idx="107">
                  <c:v>45292</c:v>
                </c:pt>
                <c:pt idx="108">
                  <c:v>45323</c:v>
                </c:pt>
                <c:pt idx="109">
                  <c:v>45352</c:v>
                </c:pt>
                <c:pt idx="110">
                  <c:v>45383</c:v>
                </c:pt>
                <c:pt idx="111">
                  <c:v>45413</c:v>
                </c:pt>
                <c:pt idx="112">
                  <c:v>45444</c:v>
                </c:pt>
                <c:pt idx="113">
                  <c:v>45474</c:v>
                </c:pt>
                <c:pt idx="114">
                  <c:v>45505</c:v>
                </c:pt>
                <c:pt idx="115">
                  <c:v>45536</c:v>
                </c:pt>
                <c:pt idx="116">
                  <c:v>45566</c:v>
                </c:pt>
                <c:pt idx="117">
                  <c:v>45597</c:v>
                </c:pt>
                <c:pt idx="118">
                  <c:v>45627</c:v>
                </c:pt>
                <c:pt idx="119">
                  <c:v>45688</c:v>
                </c:pt>
                <c:pt idx="120">
                  <c:v>45716</c:v>
                </c:pt>
                <c:pt idx="121">
                  <c:v>45747</c:v>
                </c:pt>
                <c:pt idx="122">
                  <c:v>45777</c:v>
                </c:pt>
                <c:pt idx="123">
                  <c:v>45808</c:v>
                </c:pt>
                <c:pt idx="124">
                  <c:v>45838</c:v>
                </c:pt>
                <c:pt idx="125">
                  <c:v>45869</c:v>
                </c:pt>
                <c:pt idx="126">
                  <c:v>45900</c:v>
                </c:pt>
                <c:pt idx="127">
                  <c:v>45930</c:v>
                </c:pt>
                <c:pt idx="128">
                  <c:v>45961</c:v>
                </c:pt>
                <c:pt idx="129">
                  <c:v>45991</c:v>
                </c:pt>
                <c:pt idx="130">
                  <c:v>46022</c:v>
                </c:pt>
                <c:pt idx="131">
                  <c:v>46053</c:v>
                </c:pt>
                <c:pt idx="132">
                  <c:v>46081</c:v>
                </c:pt>
                <c:pt idx="133">
                  <c:v>46112</c:v>
                </c:pt>
                <c:pt idx="134">
                  <c:v>46142</c:v>
                </c:pt>
                <c:pt idx="135">
                  <c:v>46173</c:v>
                </c:pt>
                <c:pt idx="136">
                  <c:v>46203</c:v>
                </c:pt>
                <c:pt idx="137">
                  <c:v>46234</c:v>
                </c:pt>
                <c:pt idx="138">
                  <c:v>46265</c:v>
                </c:pt>
                <c:pt idx="139">
                  <c:v>46295</c:v>
                </c:pt>
                <c:pt idx="140">
                  <c:v>46326</c:v>
                </c:pt>
                <c:pt idx="141">
                  <c:v>46356</c:v>
                </c:pt>
                <c:pt idx="142">
                  <c:v>46387</c:v>
                </c:pt>
                <c:pt idx="143">
                  <c:v>46418</c:v>
                </c:pt>
                <c:pt idx="144">
                  <c:v>46446</c:v>
                </c:pt>
                <c:pt idx="145">
                  <c:v>46477</c:v>
                </c:pt>
                <c:pt idx="146">
                  <c:v>46507</c:v>
                </c:pt>
                <c:pt idx="147">
                  <c:v>46538</c:v>
                </c:pt>
                <c:pt idx="148">
                  <c:v>46568</c:v>
                </c:pt>
                <c:pt idx="149">
                  <c:v>46599</c:v>
                </c:pt>
                <c:pt idx="150">
                  <c:v>46630</c:v>
                </c:pt>
                <c:pt idx="151">
                  <c:v>46660</c:v>
                </c:pt>
                <c:pt idx="152">
                  <c:v>46691</c:v>
                </c:pt>
                <c:pt idx="153">
                  <c:v>46721</c:v>
                </c:pt>
                <c:pt idx="154">
                  <c:v>46752</c:v>
                </c:pt>
                <c:pt idx="155">
                  <c:v>46783</c:v>
                </c:pt>
                <c:pt idx="156">
                  <c:v>46812</c:v>
                </c:pt>
                <c:pt idx="157">
                  <c:v>46843</c:v>
                </c:pt>
                <c:pt idx="158">
                  <c:v>46873</c:v>
                </c:pt>
                <c:pt idx="159">
                  <c:v>46904</c:v>
                </c:pt>
                <c:pt idx="160">
                  <c:v>46934</c:v>
                </c:pt>
                <c:pt idx="161">
                  <c:v>46965</c:v>
                </c:pt>
                <c:pt idx="162">
                  <c:v>46996</c:v>
                </c:pt>
                <c:pt idx="163">
                  <c:v>47026</c:v>
                </c:pt>
                <c:pt idx="164">
                  <c:v>47057</c:v>
                </c:pt>
                <c:pt idx="165">
                  <c:v>47087</c:v>
                </c:pt>
                <c:pt idx="166">
                  <c:v>47118</c:v>
                </c:pt>
                <c:pt idx="167">
                  <c:v>47149</c:v>
                </c:pt>
                <c:pt idx="168">
                  <c:v>47177</c:v>
                </c:pt>
                <c:pt idx="169">
                  <c:v>47208</c:v>
                </c:pt>
                <c:pt idx="170">
                  <c:v>47238</c:v>
                </c:pt>
                <c:pt idx="171">
                  <c:v>47269</c:v>
                </c:pt>
                <c:pt idx="172">
                  <c:v>47299</c:v>
                </c:pt>
                <c:pt idx="173">
                  <c:v>47330</c:v>
                </c:pt>
                <c:pt idx="174">
                  <c:v>47361</c:v>
                </c:pt>
                <c:pt idx="175">
                  <c:v>47391</c:v>
                </c:pt>
                <c:pt idx="176">
                  <c:v>47422</c:v>
                </c:pt>
                <c:pt idx="177">
                  <c:v>47452</c:v>
                </c:pt>
                <c:pt idx="178">
                  <c:v>47483</c:v>
                </c:pt>
                <c:pt idx="179">
                  <c:v>47514</c:v>
                </c:pt>
                <c:pt idx="180">
                  <c:v>47542</c:v>
                </c:pt>
                <c:pt idx="181">
                  <c:v>47573</c:v>
                </c:pt>
                <c:pt idx="182">
                  <c:v>47603</c:v>
                </c:pt>
                <c:pt idx="183">
                  <c:v>47634</c:v>
                </c:pt>
                <c:pt idx="184">
                  <c:v>47664</c:v>
                </c:pt>
                <c:pt idx="185">
                  <c:v>47695</c:v>
                </c:pt>
                <c:pt idx="186">
                  <c:v>47726</c:v>
                </c:pt>
                <c:pt idx="187">
                  <c:v>47756</c:v>
                </c:pt>
                <c:pt idx="188">
                  <c:v>47787</c:v>
                </c:pt>
                <c:pt idx="189">
                  <c:v>47817</c:v>
                </c:pt>
                <c:pt idx="190">
                  <c:v>47848</c:v>
                </c:pt>
                <c:pt idx="191">
                  <c:v>47879</c:v>
                </c:pt>
                <c:pt idx="192">
                  <c:v>47907</c:v>
                </c:pt>
                <c:pt idx="193">
                  <c:v>47938</c:v>
                </c:pt>
                <c:pt idx="194">
                  <c:v>47968</c:v>
                </c:pt>
                <c:pt idx="195">
                  <c:v>47999</c:v>
                </c:pt>
                <c:pt idx="196">
                  <c:v>48029</c:v>
                </c:pt>
                <c:pt idx="197">
                  <c:v>48060</c:v>
                </c:pt>
                <c:pt idx="198">
                  <c:v>48091</c:v>
                </c:pt>
                <c:pt idx="199">
                  <c:v>48121</c:v>
                </c:pt>
                <c:pt idx="200">
                  <c:v>48152</c:v>
                </c:pt>
                <c:pt idx="201">
                  <c:v>48182</c:v>
                </c:pt>
                <c:pt idx="202">
                  <c:v>48213</c:v>
                </c:pt>
              </c:numCache>
            </c:numRef>
          </c:cat>
          <c:val>
            <c:numRef>
              <c:f>'WRZ GS 3,000-4,999 Normalized'!$M$3:$M$205</c:f>
              <c:numCache>
                <c:formatCode>_-* #,##0_-;\-* #,##0_-;_-* "-"??_-;_-@_-</c:formatCode>
                <c:ptCount val="203"/>
                <c:pt idx="0">
                  <c:v>4883325.4602449164</c:v>
                </c:pt>
                <c:pt idx="1">
                  <c:v>5471434.8875579666</c:v>
                </c:pt>
                <c:pt idx="2">
                  <c:v>5275398.4117869493</c:v>
                </c:pt>
                <c:pt idx="3">
                  <c:v>5471434.8875579666</c:v>
                </c:pt>
                <c:pt idx="4">
                  <c:v>5275398.4117869493</c:v>
                </c:pt>
                <c:pt idx="5">
                  <c:v>5471434.8875579666</c:v>
                </c:pt>
                <c:pt idx="6">
                  <c:v>5471434.8875579666</c:v>
                </c:pt>
                <c:pt idx="7">
                  <c:v>5275398.4117869493</c:v>
                </c:pt>
                <c:pt idx="8">
                  <c:v>5471434.8875579666</c:v>
                </c:pt>
                <c:pt idx="9">
                  <c:v>5275398.4117869493</c:v>
                </c:pt>
                <c:pt idx="10">
                  <c:v>5219420.1490230495</c:v>
                </c:pt>
                <c:pt idx="11">
                  <c:v>5471434.8875579666</c:v>
                </c:pt>
                <c:pt idx="12">
                  <c:v>5079361.9360159319</c:v>
                </c:pt>
                <c:pt idx="13">
                  <c:v>5471434.8875579666</c:v>
                </c:pt>
                <c:pt idx="14">
                  <c:v>5275398.4117869493</c:v>
                </c:pt>
                <c:pt idx="15">
                  <c:v>5471434.8875579666</c:v>
                </c:pt>
                <c:pt idx="16">
                  <c:v>5275398.4117869493</c:v>
                </c:pt>
                <c:pt idx="17">
                  <c:v>5471434.8875579666</c:v>
                </c:pt>
                <c:pt idx="18">
                  <c:v>5471434.8875579666</c:v>
                </c:pt>
                <c:pt idx="19">
                  <c:v>5275398.4117869493</c:v>
                </c:pt>
                <c:pt idx="20">
                  <c:v>5471434.8875579666</c:v>
                </c:pt>
                <c:pt idx="21">
                  <c:v>5275398.4117869493</c:v>
                </c:pt>
                <c:pt idx="22">
                  <c:v>5219420.1490230495</c:v>
                </c:pt>
                <c:pt idx="23">
                  <c:v>5471434.8875579666</c:v>
                </c:pt>
                <c:pt idx="24">
                  <c:v>4883325.4602449164</c:v>
                </c:pt>
                <c:pt idx="25">
                  <c:v>5471434.8875579666</c:v>
                </c:pt>
                <c:pt idx="26">
                  <c:v>5275398.4117869493</c:v>
                </c:pt>
                <c:pt idx="27">
                  <c:v>5471434.8875579666</c:v>
                </c:pt>
                <c:pt idx="28">
                  <c:v>5275398.4117869493</c:v>
                </c:pt>
                <c:pt idx="29">
                  <c:v>5471434.8875579666</c:v>
                </c:pt>
                <c:pt idx="30">
                  <c:v>5471434.8875579666</c:v>
                </c:pt>
                <c:pt idx="31">
                  <c:v>5275398.4117869493</c:v>
                </c:pt>
                <c:pt idx="32">
                  <c:v>5471434.8875579666</c:v>
                </c:pt>
                <c:pt idx="33">
                  <c:v>5275398.4117869493</c:v>
                </c:pt>
                <c:pt idx="34">
                  <c:v>5219420.1490230495</c:v>
                </c:pt>
                <c:pt idx="35">
                  <c:v>5645513.7691465896</c:v>
                </c:pt>
                <c:pt idx="36">
                  <c:v>5231483.2234221632</c:v>
                </c:pt>
                <c:pt idx="37">
                  <c:v>5993671.5323238373</c:v>
                </c:pt>
                <c:pt idx="38">
                  <c:v>5971713.9381414447</c:v>
                </c:pt>
                <c:pt idx="39">
                  <c:v>6341829.2955010841</c:v>
                </c:pt>
                <c:pt idx="40">
                  <c:v>6319871.7013186915</c:v>
                </c:pt>
                <c:pt idx="41">
                  <c:v>6689987.0586783318</c:v>
                </c:pt>
                <c:pt idx="42">
                  <c:v>6864065.9402669556</c:v>
                </c:pt>
                <c:pt idx="43">
                  <c:v>6842108.3460845621</c:v>
                </c:pt>
                <c:pt idx="44">
                  <c:v>7212223.7034442024</c:v>
                </c:pt>
                <c:pt idx="45">
                  <c:v>7190266.1092618098</c:v>
                </c:pt>
                <c:pt idx="46">
                  <c:v>7308366.7280865293</c:v>
                </c:pt>
                <c:pt idx="47">
                  <c:v>7560381.4666214464</c:v>
                </c:pt>
                <c:pt idx="48">
                  <c:v>6972272.0393083962</c:v>
                </c:pt>
                <c:pt idx="49">
                  <c:v>7560381.4666214464</c:v>
                </c:pt>
                <c:pt idx="50">
                  <c:v>7364344.99085043</c:v>
                </c:pt>
                <c:pt idx="51">
                  <c:v>7560381.4666214464</c:v>
                </c:pt>
                <c:pt idx="52">
                  <c:v>7364344.99085043</c:v>
                </c:pt>
                <c:pt idx="53">
                  <c:v>7560381.4666214464</c:v>
                </c:pt>
                <c:pt idx="54">
                  <c:v>7560381.4666214464</c:v>
                </c:pt>
                <c:pt idx="55">
                  <c:v>7364344.99085043</c:v>
                </c:pt>
                <c:pt idx="56">
                  <c:v>7560381.4666214464</c:v>
                </c:pt>
                <c:pt idx="57">
                  <c:v>7364344.99085043</c:v>
                </c:pt>
                <c:pt idx="58">
                  <c:v>7308366.7280865293</c:v>
                </c:pt>
                <c:pt idx="59">
                  <c:v>7560381.4666214464</c:v>
                </c:pt>
                <c:pt idx="60">
                  <c:v>7168308.5150794126</c:v>
                </c:pt>
                <c:pt idx="61">
                  <c:v>7560381.4666214464</c:v>
                </c:pt>
                <c:pt idx="62">
                  <c:v>7364344.99085043</c:v>
                </c:pt>
                <c:pt idx="63">
                  <c:v>7560381.4666214464</c:v>
                </c:pt>
                <c:pt idx="64">
                  <c:v>7364344.99085043</c:v>
                </c:pt>
                <c:pt idx="65">
                  <c:v>7560381.4666214464</c:v>
                </c:pt>
                <c:pt idx="66">
                  <c:v>7560381.4666214464</c:v>
                </c:pt>
                <c:pt idx="67">
                  <c:v>7364344.99085043</c:v>
                </c:pt>
                <c:pt idx="68">
                  <c:v>7560381.4666214464</c:v>
                </c:pt>
                <c:pt idx="69">
                  <c:v>7364344.99085043</c:v>
                </c:pt>
                <c:pt idx="70">
                  <c:v>7308366.7280865293</c:v>
                </c:pt>
                <c:pt idx="71">
                  <c:v>7560381.4666214464</c:v>
                </c:pt>
                <c:pt idx="72">
                  <c:v>6972272.0393083962</c:v>
                </c:pt>
                <c:pt idx="73">
                  <c:v>7560381.4666214464</c:v>
                </c:pt>
                <c:pt idx="74">
                  <c:v>7364344.99085043</c:v>
                </c:pt>
                <c:pt idx="75">
                  <c:v>7560381.4666214464</c:v>
                </c:pt>
                <c:pt idx="76">
                  <c:v>7364344.99085043</c:v>
                </c:pt>
                <c:pt idx="77">
                  <c:v>7560381.4666214464</c:v>
                </c:pt>
                <c:pt idx="78">
                  <c:v>7560381.4666214464</c:v>
                </c:pt>
                <c:pt idx="79">
                  <c:v>7364344.99085043</c:v>
                </c:pt>
                <c:pt idx="80">
                  <c:v>7560381.4666214464</c:v>
                </c:pt>
                <c:pt idx="81">
                  <c:v>7364344.99085043</c:v>
                </c:pt>
                <c:pt idx="82">
                  <c:v>7308366.7280865293</c:v>
                </c:pt>
                <c:pt idx="83">
                  <c:v>7560381.4666214464</c:v>
                </c:pt>
                <c:pt idx="84">
                  <c:v>6972272.0393083962</c:v>
                </c:pt>
                <c:pt idx="85">
                  <c:v>7560381.4666214464</c:v>
                </c:pt>
                <c:pt idx="86">
                  <c:v>7364344.99085043</c:v>
                </c:pt>
                <c:pt idx="87">
                  <c:v>7560381.4666214464</c:v>
                </c:pt>
                <c:pt idx="88">
                  <c:v>7364344.99085043</c:v>
                </c:pt>
                <c:pt idx="89">
                  <c:v>7560381.4666214464</c:v>
                </c:pt>
                <c:pt idx="90">
                  <c:v>7560381.4666214464</c:v>
                </c:pt>
                <c:pt idx="91">
                  <c:v>7364344.99085043</c:v>
                </c:pt>
                <c:pt idx="92">
                  <c:v>7560381.4666214464</c:v>
                </c:pt>
                <c:pt idx="93">
                  <c:v>7364344.99085043</c:v>
                </c:pt>
                <c:pt idx="94">
                  <c:v>7308366.7280865293</c:v>
                </c:pt>
                <c:pt idx="95">
                  <c:v>7560381.4666214464</c:v>
                </c:pt>
                <c:pt idx="96">
                  <c:v>6972272.0393083962</c:v>
                </c:pt>
                <c:pt idx="97">
                  <c:v>7560381.4666214464</c:v>
                </c:pt>
                <c:pt idx="98">
                  <c:v>7364344.99085043</c:v>
                </c:pt>
                <c:pt idx="99">
                  <c:v>7560381.4666214464</c:v>
                </c:pt>
                <c:pt idx="100">
                  <c:v>7364344.99085043</c:v>
                </c:pt>
                <c:pt idx="101">
                  <c:v>7560381.4666214464</c:v>
                </c:pt>
                <c:pt idx="102">
                  <c:v>7560381.4666214464</c:v>
                </c:pt>
                <c:pt idx="103">
                  <c:v>7364344.99085043</c:v>
                </c:pt>
                <c:pt idx="104">
                  <c:v>7560381.4666214464</c:v>
                </c:pt>
                <c:pt idx="105">
                  <c:v>7364344.99085043</c:v>
                </c:pt>
                <c:pt idx="106">
                  <c:v>7308366.7280865293</c:v>
                </c:pt>
                <c:pt idx="107">
                  <c:v>7560381.4666214464</c:v>
                </c:pt>
                <c:pt idx="108">
                  <c:v>7168308.5150794126</c:v>
                </c:pt>
                <c:pt idx="109">
                  <c:v>7560381.4666214464</c:v>
                </c:pt>
                <c:pt idx="110">
                  <c:v>7364344.99085043</c:v>
                </c:pt>
                <c:pt idx="111">
                  <c:v>7560381.4666214464</c:v>
                </c:pt>
                <c:pt idx="112">
                  <c:v>7364344.99085043</c:v>
                </c:pt>
                <c:pt idx="113">
                  <c:v>7560381.4666214464</c:v>
                </c:pt>
                <c:pt idx="114">
                  <c:v>7560381.4666214464</c:v>
                </c:pt>
                <c:pt idx="115">
                  <c:v>7364344.99085043</c:v>
                </c:pt>
                <c:pt idx="116">
                  <c:v>7560381.4666214464</c:v>
                </c:pt>
                <c:pt idx="117">
                  <c:v>7364344.99085043</c:v>
                </c:pt>
                <c:pt idx="118">
                  <c:v>7308366.7280865293</c:v>
                </c:pt>
                <c:pt idx="119">
                  <c:v>7560381.4666214464</c:v>
                </c:pt>
                <c:pt idx="120">
                  <c:v>6972272.0393083962</c:v>
                </c:pt>
                <c:pt idx="121">
                  <c:v>7560381.4666214464</c:v>
                </c:pt>
                <c:pt idx="122">
                  <c:v>7364344.99085043</c:v>
                </c:pt>
                <c:pt idx="123">
                  <c:v>7560381.4666214464</c:v>
                </c:pt>
                <c:pt idx="124">
                  <c:v>7364344.99085043</c:v>
                </c:pt>
                <c:pt idx="125">
                  <c:v>7560381.4666214464</c:v>
                </c:pt>
                <c:pt idx="126">
                  <c:v>7560381.4666214464</c:v>
                </c:pt>
                <c:pt idx="127">
                  <c:v>7364344.99085043</c:v>
                </c:pt>
                <c:pt idx="128">
                  <c:v>7560381.4666214464</c:v>
                </c:pt>
                <c:pt idx="129">
                  <c:v>7364344.99085043</c:v>
                </c:pt>
                <c:pt idx="130">
                  <c:v>7560381.4666214464</c:v>
                </c:pt>
                <c:pt idx="131">
                  <c:v>7560381.4666214464</c:v>
                </c:pt>
                <c:pt idx="132">
                  <c:v>6972272.0393083962</c:v>
                </c:pt>
                <c:pt idx="133">
                  <c:v>7560381.4666214464</c:v>
                </c:pt>
                <c:pt idx="134">
                  <c:v>7364344.99085043</c:v>
                </c:pt>
                <c:pt idx="135">
                  <c:v>7560381.4666214464</c:v>
                </c:pt>
                <c:pt idx="136">
                  <c:v>7364344.99085043</c:v>
                </c:pt>
                <c:pt idx="137">
                  <c:v>7560381.4666214464</c:v>
                </c:pt>
                <c:pt idx="138">
                  <c:v>7560381.4666214464</c:v>
                </c:pt>
                <c:pt idx="139">
                  <c:v>7364344.99085043</c:v>
                </c:pt>
                <c:pt idx="140">
                  <c:v>7560381.4666214464</c:v>
                </c:pt>
                <c:pt idx="141">
                  <c:v>7364344.99085043</c:v>
                </c:pt>
                <c:pt idx="142">
                  <c:v>7560381.4666214464</c:v>
                </c:pt>
                <c:pt idx="143">
                  <c:v>7560381.4666214464</c:v>
                </c:pt>
                <c:pt idx="144">
                  <c:v>7168308.5150794126</c:v>
                </c:pt>
                <c:pt idx="145">
                  <c:v>7560381.4666214464</c:v>
                </c:pt>
                <c:pt idx="146">
                  <c:v>7364344.99085043</c:v>
                </c:pt>
                <c:pt idx="147">
                  <c:v>7560381.4666214464</c:v>
                </c:pt>
                <c:pt idx="148">
                  <c:v>7364344.99085043</c:v>
                </c:pt>
                <c:pt idx="149">
                  <c:v>7560381.4666214464</c:v>
                </c:pt>
                <c:pt idx="150">
                  <c:v>7560381.4666214464</c:v>
                </c:pt>
                <c:pt idx="151">
                  <c:v>7364344.99085043</c:v>
                </c:pt>
                <c:pt idx="152">
                  <c:v>7560381.4666214464</c:v>
                </c:pt>
                <c:pt idx="153">
                  <c:v>7364344.99085043</c:v>
                </c:pt>
                <c:pt idx="154">
                  <c:v>7560381.4666214464</c:v>
                </c:pt>
                <c:pt idx="155">
                  <c:v>7560381.4666214464</c:v>
                </c:pt>
                <c:pt idx="156">
                  <c:v>6972272.0393083962</c:v>
                </c:pt>
                <c:pt idx="157">
                  <c:v>7560381.4666214464</c:v>
                </c:pt>
                <c:pt idx="158">
                  <c:v>7364344.99085043</c:v>
                </c:pt>
                <c:pt idx="159">
                  <c:v>7560381.4666214464</c:v>
                </c:pt>
                <c:pt idx="160">
                  <c:v>7364344.99085043</c:v>
                </c:pt>
                <c:pt idx="161">
                  <c:v>7560381.4666214464</c:v>
                </c:pt>
                <c:pt idx="162">
                  <c:v>7560381.4666214464</c:v>
                </c:pt>
                <c:pt idx="163">
                  <c:v>7364344.99085043</c:v>
                </c:pt>
                <c:pt idx="164">
                  <c:v>7560381.4666214464</c:v>
                </c:pt>
                <c:pt idx="165">
                  <c:v>7364344.99085043</c:v>
                </c:pt>
                <c:pt idx="166">
                  <c:v>7560381.4666214464</c:v>
                </c:pt>
                <c:pt idx="167">
                  <c:v>7560381.4666214464</c:v>
                </c:pt>
                <c:pt idx="168">
                  <c:v>6972272.0393083962</c:v>
                </c:pt>
                <c:pt idx="169">
                  <c:v>7560381.4666214464</c:v>
                </c:pt>
                <c:pt idx="170">
                  <c:v>7364344.99085043</c:v>
                </c:pt>
                <c:pt idx="171">
                  <c:v>7560381.4666214464</c:v>
                </c:pt>
                <c:pt idx="172">
                  <c:v>7364344.99085043</c:v>
                </c:pt>
                <c:pt idx="173">
                  <c:v>7560381.4666214464</c:v>
                </c:pt>
                <c:pt idx="174">
                  <c:v>7560381.4666214464</c:v>
                </c:pt>
                <c:pt idx="175">
                  <c:v>7364344.99085043</c:v>
                </c:pt>
                <c:pt idx="176">
                  <c:v>7560381.4666214464</c:v>
                </c:pt>
                <c:pt idx="177">
                  <c:v>7364344.99085043</c:v>
                </c:pt>
                <c:pt idx="178">
                  <c:v>7560381.4666214464</c:v>
                </c:pt>
                <c:pt idx="179">
                  <c:v>7560381.4666214464</c:v>
                </c:pt>
                <c:pt idx="180">
                  <c:v>7168308.5150794126</c:v>
                </c:pt>
                <c:pt idx="181">
                  <c:v>7560381.4666214464</c:v>
                </c:pt>
                <c:pt idx="182">
                  <c:v>7364344.99085043</c:v>
                </c:pt>
                <c:pt idx="183">
                  <c:v>7560381.4666214464</c:v>
                </c:pt>
                <c:pt idx="184">
                  <c:v>7364344.99085043</c:v>
                </c:pt>
                <c:pt idx="185">
                  <c:v>7560381.4666214464</c:v>
                </c:pt>
                <c:pt idx="186">
                  <c:v>7560381.4666214464</c:v>
                </c:pt>
                <c:pt idx="187">
                  <c:v>7364344.99085043</c:v>
                </c:pt>
                <c:pt idx="188">
                  <c:v>7560381.4666214464</c:v>
                </c:pt>
                <c:pt idx="189">
                  <c:v>7364344.99085043</c:v>
                </c:pt>
                <c:pt idx="190">
                  <c:v>7560381.4666214464</c:v>
                </c:pt>
                <c:pt idx="191">
                  <c:v>7560381.4666214464</c:v>
                </c:pt>
                <c:pt idx="192">
                  <c:v>6972272.0393083962</c:v>
                </c:pt>
                <c:pt idx="193">
                  <c:v>7560381.4666214464</c:v>
                </c:pt>
                <c:pt idx="194">
                  <c:v>7364344.99085043</c:v>
                </c:pt>
                <c:pt idx="195">
                  <c:v>7560381.4666214464</c:v>
                </c:pt>
                <c:pt idx="196">
                  <c:v>7364344.99085043</c:v>
                </c:pt>
                <c:pt idx="197">
                  <c:v>7560381.4666214464</c:v>
                </c:pt>
                <c:pt idx="198">
                  <c:v>7560381.4666214464</c:v>
                </c:pt>
                <c:pt idx="199">
                  <c:v>7364344.99085043</c:v>
                </c:pt>
                <c:pt idx="200">
                  <c:v>7560381.4666214464</c:v>
                </c:pt>
                <c:pt idx="201">
                  <c:v>7364344.99085043</c:v>
                </c:pt>
                <c:pt idx="202">
                  <c:v>7560381.4666214464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3-41CE-BFC5-B25A054B7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73504"/>
        <c:axId val="2078065344"/>
      </c:lineChart>
      <c:dateAx>
        <c:axId val="2078073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65344"/>
        <c:crosses val="autoZero"/>
        <c:auto val="1"/>
        <c:lblOffset val="100"/>
        <c:baseTimeUnit val="months"/>
      </c:dateAx>
      <c:valAx>
        <c:axId val="2078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0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Summary'!$C$5:$C$22</c:f>
              <c:numCache>
                <c:formatCode>#,##0</c:formatCode>
                <c:ptCount val="17"/>
                <c:pt idx="0">
                  <c:v>870387178.79194212</c:v>
                </c:pt>
                <c:pt idx="1">
                  <c:v>959221389.1347183</c:v>
                </c:pt>
                <c:pt idx="2">
                  <c:v>901971744.11813986</c:v>
                </c:pt>
                <c:pt idx="3">
                  <c:v>979700023.53915226</c:v>
                </c:pt>
                <c:pt idx="4">
                  <c:v>955759610.43615055</c:v>
                </c:pt>
                <c:pt idx="5">
                  <c:v>1034148021.2598839</c:v>
                </c:pt>
                <c:pt idx="6">
                  <c:v>1026240017.5725335</c:v>
                </c:pt>
                <c:pt idx="7">
                  <c:v>1017709390.8256538</c:v>
                </c:pt>
                <c:pt idx="8">
                  <c:v>1008624979.9975282</c:v>
                </c:pt>
                <c:pt idx="9">
                  <c:v>1052968776.2624577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1-492F-954D-A9DFE15E8ED9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Summary'!$E$5:$E$22</c:f>
              <c:numCache>
                <c:formatCode>#,##0</c:formatCode>
                <c:ptCount val="17"/>
                <c:pt idx="0">
                  <c:v>878094131.46809757</c:v>
                </c:pt>
                <c:pt idx="1">
                  <c:v>974889836.79758954</c:v>
                </c:pt>
                <c:pt idx="2">
                  <c:v>934766397.90774131</c:v>
                </c:pt>
                <c:pt idx="3">
                  <c:v>1021402864.1907089</c:v>
                </c:pt>
                <c:pt idx="4">
                  <c:v>998784213.70210195</c:v>
                </c:pt>
                <c:pt idx="5">
                  <c:v>1074448829.0355334</c:v>
                </c:pt>
                <c:pt idx="6">
                  <c:v>1063178254.2108846</c:v>
                </c:pt>
                <c:pt idx="7">
                  <c:v>1048977487.5152615</c:v>
                </c:pt>
                <c:pt idx="8">
                  <c:v>1034333081.2325902</c:v>
                </c:pt>
                <c:pt idx="9">
                  <c:v>1073489952.5199789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1-492F-954D-A9DFE15E8ED9}"/>
            </c:ext>
          </c:extLst>
        </c:ser>
        <c:ser>
          <c:idx val="2"/>
          <c:order val="2"/>
          <c:tx>
            <c:strRef>
              <c:f>'Normalized Annual Summary'!$F$3</c:f>
              <c:strCache>
                <c:ptCount val="1"/>
                <c:pt idx="0">
                  <c:v>Normal Predicted 
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Summary'!$F$5:$F$22</c:f>
              <c:numCache>
                <c:formatCode>#,##0</c:formatCode>
                <c:ptCount val="17"/>
                <c:pt idx="0">
                  <c:v>916973138.64800918</c:v>
                </c:pt>
                <c:pt idx="1">
                  <c:v>938223820.84800923</c:v>
                </c:pt>
                <c:pt idx="2">
                  <c:v>955797712.47855055</c:v>
                </c:pt>
                <c:pt idx="3">
                  <c:v>975946221.03836966</c:v>
                </c:pt>
                <c:pt idx="4">
                  <c:v>996944274.90451503</c:v>
                </c:pt>
                <c:pt idx="5">
                  <c:v>1048600450.4469582</c:v>
                </c:pt>
                <c:pt idx="6">
                  <c:v>1070303863.3513017</c:v>
                </c:pt>
                <c:pt idx="7">
                  <c:v>1081094597.5554805</c:v>
                </c:pt>
                <c:pt idx="8">
                  <c:v>1091771528.8477292</c:v>
                </c:pt>
                <c:pt idx="9">
                  <c:v>1120231797.5961776</c:v>
                </c:pt>
                <c:pt idx="10">
                  <c:v>1148261883.8130274</c:v>
                </c:pt>
                <c:pt idx="11">
                  <c:v>1178048343.5934205</c:v>
                </c:pt>
                <c:pt idx="12">
                  <c:v>1208839411.8326604</c:v>
                </c:pt>
                <c:pt idx="13">
                  <c:v>1242326214.5491366</c:v>
                </c:pt>
                <c:pt idx="14">
                  <c:v>1273974581.6469772</c:v>
                </c:pt>
                <c:pt idx="15">
                  <c:v>1309083066.8393183</c:v>
                </c:pt>
                <c:pt idx="16">
                  <c:v>1345137094.0296788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1-492F-954D-A9DFE15E8ED9}"/>
            </c:ext>
          </c:extLst>
        </c:ser>
        <c:ser>
          <c:idx val="3"/>
          <c:order val="3"/>
          <c:tx>
            <c:strRef>
              <c:f>'Normalized Annual Summary'!$H$3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Summary'!$H$5:$H$22</c:f>
              <c:numCache>
                <c:formatCode>#,##0</c:formatCode>
                <c:ptCount val="17"/>
                <c:pt idx="0">
                  <c:v>909266185.97185385</c:v>
                </c:pt>
                <c:pt idx="1">
                  <c:v>922555373.18513787</c:v>
                </c:pt>
                <c:pt idx="2">
                  <c:v>922758187.25840759</c:v>
                </c:pt>
                <c:pt idx="3">
                  <c:v>933139851.59645271</c:v>
                </c:pt>
                <c:pt idx="4">
                  <c:v>951107940.18205774</c:v>
                </c:pt>
                <c:pt idx="5">
                  <c:v>1002622507.3840976</c:v>
                </c:pt>
                <c:pt idx="6">
                  <c:v>1024179328.0293525</c:v>
                </c:pt>
                <c:pt idx="7">
                  <c:v>1034919844.9658777</c:v>
                </c:pt>
                <c:pt idx="8">
                  <c:v>1045583847.0129473</c:v>
                </c:pt>
                <c:pt idx="9">
                  <c:v>1072021454.190488</c:v>
                </c:pt>
                <c:pt idx="10">
                  <c:v>1100921521.969846</c:v>
                </c:pt>
                <c:pt idx="11">
                  <c:v>1130955558.6094716</c:v>
                </c:pt>
                <c:pt idx="12">
                  <c:v>1162149247.7623448</c:v>
                </c:pt>
                <c:pt idx="13">
                  <c:v>1195939031.6201279</c:v>
                </c:pt>
                <c:pt idx="14">
                  <c:v>1227873384.2322893</c:v>
                </c:pt>
                <c:pt idx="15">
                  <c:v>1265926072.510371</c:v>
                </c:pt>
                <c:pt idx="16">
                  <c:v>1305916275.3578732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1-492F-954D-A9DFE15E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6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Seasonal 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Summary'!$L$5:$L$22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Summary'!$M$5:$M$22</c:f>
              <c:numCache>
                <c:formatCode>#,##0</c:formatCode>
                <c:ptCount val="17"/>
                <c:pt idx="0">
                  <c:v>9513187.7383200023</c:v>
                </c:pt>
                <c:pt idx="1">
                  <c:v>9487858.6249600016</c:v>
                </c:pt>
                <c:pt idx="2">
                  <c:v>9912683.662969999</c:v>
                </c:pt>
                <c:pt idx="3">
                  <c:v>10517338.461090002</c:v>
                </c:pt>
                <c:pt idx="4">
                  <c:v>10858188.68736</c:v>
                </c:pt>
                <c:pt idx="5">
                  <c:v>12379582.885860002</c:v>
                </c:pt>
                <c:pt idx="6">
                  <c:v>12593975.35183</c:v>
                </c:pt>
                <c:pt idx="7">
                  <c:v>12600240.583780002</c:v>
                </c:pt>
                <c:pt idx="8">
                  <c:v>12172613.888050001</c:v>
                </c:pt>
                <c:pt idx="9">
                  <c:v>12230713.602862934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E-4D30-B4BD-64C44858C0ED}"/>
            </c:ext>
          </c:extLst>
        </c:ser>
        <c:ser>
          <c:idx val="1"/>
          <c:order val="1"/>
          <c:tx>
            <c:strRef>
              <c:f>'Normalized Annual Summary'!$O$3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Summary'!$L$5:$L$22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Summary'!$O$5:$O$22</c:f>
              <c:numCache>
                <c:formatCode>#,##0</c:formatCode>
                <c:ptCount val="17"/>
                <c:pt idx="0">
                  <c:v>9601461.6604606025</c:v>
                </c:pt>
                <c:pt idx="1">
                  <c:v>9667321.9468687549</c:v>
                </c:pt>
                <c:pt idx="2">
                  <c:v>10291111.895164648</c:v>
                </c:pt>
                <c:pt idx="3">
                  <c:v>11007634.208581543</c:v>
                </c:pt>
                <c:pt idx="4">
                  <c:v>11383189.062024178</c:v>
                </c:pt>
                <c:pt idx="5">
                  <c:v>12906205.214640219</c:v>
                </c:pt>
                <c:pt idx="6">
                  <c:v>13122276.719551934</c:v>
                </c:pt>
                <c:pt idx="7">
                  <c:v>13129117.130221883</c:v>
                </c:pt>
                <c:pt idx="8">
                  <c:v>12701637.48140604</c:v>
                </c:pt>
                <c:pt idx="9">
                  <c:v>12782898.807484668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E-4D30-B4BD-64C44858C0ED}"/>
            </c:ext>
          </c:extLst>
        </c:ser>
        <c:ser>
          <c:idx val="2"/>
          <c:order val="2"/>
          <c:tx>
            <c:strRef>
              <c:f>'Normalized Annual Summary'!$P$3</c:f>
              <c:strCache>
                <c:ptCount val="1"/>
                <c:pt idx="0">
                  <c:v>Normal 
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Summary'!$L$5:$L$22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Summary'!$P$5:$P$22</c:f>
              <c:numCache>
                <c:formatCode>#,##0</c:formatCode>
                <c:ptCount val="17"/>
                <c:pt idx="0">
                  <c:v>9053225.6378647089</c:v>
                </c:pt>
                <c:pt idx="1">
                  <c:v>9475222.0338647086</c:v>
                </c:pt>
                <c:pt idx="2">
                  <c:v>9824708.839323312</c:v>
                </c:pt>
                <c:pt idx="3">
                  <c:v>10220466.295504279</c:v>
                </c:pt>
                <c:pt idx="4">
                  <c:v>10628168.137623681</c:v>
                </c:pt>
                <c:pt idx="5">
                  <c:v>11954245.114098581</c:v>
                </c:pt>
                <c:pt idx="6">
                  <c:v>12478143.274828224</c:v>
                </c:pt>
                <c:pt idx="7">
                  <c:v>12484762.507726202</c:v>
                </c:pt>
                <c:pt idx="8">
                  <c:v>12388459.908018716</c:v>
                </c:pt>
                <c:pt idx="9">
                  <c:v>12900971.950514344</c:v>
                </c:pt>
                <c:pt idx="10">
                  <c:v>13376795.258399203</c:v>
                </c:pt>
                <c:pt idx="11">
                  <c:v>13886859.800541107</c:v>
                </c:pt>
                <c:pt idx="12">
                  <c:v>14445621.261004012</c:v>
                </c:pt>
                <c:pt idx="13">
                  <c:v>14936537.187027877</c:v>
                </c:pt>
                <c:pt idx="14">
                  <c:v>15491957.929152679</c:v>
                </c:pt>
                <c:pt idx="15">
                  <c:v>16103206.760842895</c:v>
                </c:pt>
                <c:pt idx="16">
                  <c:v>16648703.706576519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E-4D30-B4BD-64C44858C0ED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Summary'!$L$5:$L$22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Summary'!$R$5:$R$22</c:f>
              <c:numCache>
                <c:formatCode>#,##0</c:formatCode>
                <c:ptCount val="17"/>
                <c:pt idx="0">
                  <c:v>8964951.7157241087</c:v>
                </c:pt>
                <c:pt idx="1">
                  <c:v>9295758.711955959</c:v>
                </c:pt>
                <c:pt idx="2">
                  <c:v>9446280.6071286649</c:v>
                </c:pt>
                <c:pt idx="3">
                  <c:v>9730170.5480127409</c:v>
                </c:pt>
                <c:pt idx="4">
                  <c:v>10103167.762959503</c:v>
                </c:pt>
                <c:pt idx="5">
                  <c:v>11427622.785318363</c:v>
                </c:pt>
                <c:pt idx="6">
                  <c:v>11949841.907106293</c:v>
                </c:pt>
                <c:pt idx="7">
                  <c:v>11955885.961284323</c:v>
                </c:pt>
                <c:pt idx="8">
                  <c:v>11859436.314662673</c:v>
                </c:pt>
                <c:pt idx="9">
                  <c:v>12348786.74589261</c:v>
                </c:pt>
                <c:pt idx="10">
                  <c:v>12834574.130133457</c:v>
                </c:pt>
                <c:pt idx="11">
                  <c:v>13347474.341764932</c:v>
                </c:pt>
                <c:pt idx="12">
                  <c:v>13910847.33473875</c:v>
                </c:pt>
                <c:pt idx="13">
                  <c:v>14405233.530786896</c:v>
                </c:pt>
                <c:pt idx="14">
                  <c:v>14963929.886097709</c:v>
                </c:pt>
                <c:pt idx="15">
                  <c:v>15608901.039753584</c:v>
                </c:pt>
                <c:pt idx="16">
                  <c:v>16199482.1583005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1E-4D30-B4BD-64C44858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'Normalized Annual Summary'!$W$3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Summary'!$V$5:$V$22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Summary'!$W$5:$W$22</c:f>
              <c:numCache>
                <c:formatCode>#,##0</c:formatCode>
                <c:ptCount val="17"/>
                <c:pt idx="0">
                  <c:v>268409342.55561978</c:v>
                </c:pt>
                <c:pt idx="1">
                  <c:v>284102093.54465967</c:v>
                </c:pt>
                <c:pt idx="2">
                  <c:v>273963830.4916901</c:v>
                </c:pt>
                <c:pt idx="3">
                  <c:v>280954109.73978019</c:v>
                </c:pt>
                <c:pt idx="4">
                  <c:v>289308515.85117018</c:v>
                </c:pt>
                <c:pt idx="5">
                  <c:v>266656241.54906043</c:v>
                </c:pt>
                <c:pt idx="6">
                  <c:v>265709797.19570994</c:v>
                </c:pt>
                <c:pt idx="7">
                  <c:v>278598120.57730973</c:v>
                </c:pt>
                <c:pt idx="8">
                  <c:v>276211527.25760943</c:v>
                </c:pt>
                <c:pt idx="9">
                  <c:v>257530700.52195185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5-4902-A6C0-B81E09CD3E60}"/>
            </c:ext>
          </c:extLst>
        </c:ser>
        <c:ser>
          <c:idx val="2"/>
          <c:order val="1"/>
          <c:tx>
            <c:strRef>
              <c:f>'Normalized Annual Summary'!$Y$3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Summary'!$V$5:$V$22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Summary'!$Y$5:$Y$22</c:f>
              <c:numCache>
                <c:formatCode>#,##0</c:formatCode>
                <c:ptCount val="17"/>
                <c:pt idx="0">
                  <c:v>272272004.60137492</c:v>
                </c:pt>
                <c:pt idx="1">
                  <c:v>290368097.2255671</c:v>
                </c:pt>
                <c:pt idx="2">
                  <c:v>282359272.34811705</c:v>
                </c:pt>
                <c:pt idx="3">
                  <c:v>292989511.13009322</c:v>
                </c:pt>
                <c:pt idx="4">
                  <c:v>304389877.06990516</c:v>
                </c:pt>
                <c:pt idx="5">
                  <c:v>282865050.5329631</c:v>
                </c:pt>
                <c:pt idx="6">
                  <c:v>282636503.79152179</c:v>
                </c:pt>
                <c:pt idx="7">
                  <c:v>296928609.36078614</c:v>
                </c:pt>
                <c:pt idx="8">
                  <c:v>295206528.36460227</c:v>
                </c:pt>
                <c:pt idx="9">
                  <c:v>278064927.64951092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5-4902-A6C0-B81E09CD3E60}"/>
            </c:ext>
          </c:extLst>
        </c:ser>
        <c:ser>
          <c:idx val="3"/>
          <c:order val="2"/>
          <c:tx>
            <c:strRef>
              <c:f>'Normalized Annual Summary'!$Z$3</c:f>
              <c:strCache>
                <c:ptCount val="1"/>
                <c:pt idx="0">
                  <c:v>Normal Predicted 
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Summary'!$V$5:$V$22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Summary'!$Z$5:$Z$22</c:f>
              <c:numCache>
                <c:formatCode>#,##0</c:formatCode>
                <c:ptCount val="17"/>
                <c:pt idx="0">
                  <c:v>282431102.94554877</c:v>
                </c:pt>
                <c:pt idx="1">
                  <c:v>283748232.49954879</c:v>
                </c:pt>
                <c:pt idx="2">
                  <c:v>285325899.9435488</c:v>
                </c:pt>
                <c:pt idx="3">
                  <c:v>287154504.5175488</c:v>
                </c:pt>
                <c:pt idx="4">
                  <c:v>289415982.38864392</c:v>
                </c:pt>
                <c:pt idx="5">
                  <c:v>271776989.57223094</c:v>
                </c:pt>
                <c:pt idx="6">
                  <c:v>275778162.30615741</c:v>
                </c:pt>
                <c:pt idx="7">
                  <c:v>288859012.39537257</c:v>
                </c:pt>
                <c:pt idx="8">
                  <c:v>300050492.71601939</c:v>
                </c:pt>
                <c:pt idx="9">
                  <c:v>303393063.78317285</c:v>
                </c:pt>
                <c:pt idx="10">
                  <c:v>305942236.13344646</c:v>
                </c:pt>
                <c:pt idx="11">
                  <c:v>307974909.93360817</c:v>
                </c:pt>
                <c:pt idx="12">
                  <c:v>311142761.62242991</c:v>
                </c:pt>
                <c:pt idx="13">
                  <c:v>313468693.02485758</c:v>
                </c:pt>
                <c:pt idx="14">
                  <c:v>316563216.72317541</c:v>
                </c:pt>
                <c:pt idx="15">
                  <c:v>320341038.31779039</c:v>
                </c:pt>
                <c:pt idx="16">
                  <c:v>323302778.36333299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5-4902-A6C0-B81E09CD3E60}"/>
            </c:ext>
          </c:extLst>
        </c:ser>
        <c:ser>
          <c:idx val="4"/>
          <c:order val="3"/>
          <c:tx>
            <c:strRef>
              <c:f>'Normalized Annual Summary'!$AB$3</c:f>
              <c:strCache>
                <c:ptCount val="1"/>
                <c:pt idx="0">
                  <c:v>Normalized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'Normalized Annual Summary'!$V$5:$V$22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Summary'!$AB$5:$AB$22</c:f>
              <c:numCache>
                <c:formatCode>#,##0</c:formatCode>
                <c:ptCount val="17"/>
                <c:pt idx="0">
                  <c:v>278568440.89979368</c:v>
                </c:pt>
                <c:pt idx="1">
                  <c:v>277482228.81864136</c:v>
                </c:pt>
                <c:pt idx="2">
                  <c:v>276930458.08712184</c:v>
                </c:pt>
                <c:pt idx="3">
                  <c:v>275119103.12723571</c:v>
                </c:pt>
                <c:pt idx="4">
                  <c:v>274334621.16990894</c:v>
                </c:pt>
                <c:pt idx="5">
                  <c:v>255568180.58832818</c:v>
                </c:pt>
                <c:pt idx="6">
                  <c:v>258851455.7103456</c:v>
                </c:pt>
                <c:pt idx="7">
                  <c:v>270528523.6118961</c:v>
                </c:pt>
                <c:pt idx="8">
                  <c:v>281055491.60902649</c:v>
                </c:pt>
                <c:pt idx="9">
                  <c:v>282858836.65561378</c:v>
                </c:pt>
                <c:pt idx="10">
                  <c:v>286756279.47506201</c:v>
                </c:pt>
                <c:pt idx="11">
                  <c:v>290654087.43456149</c:v>
                </c:pt>
                <c:pt idx="12">
                  <c:v>295409951.03434849</c:v>
                </c:pt>
                <c:pt idx="13">
                  <c:v>299067202.93199492</c:v>
                </c:pt>
                <c:pt idx="14">
                  <c:v>303636023.41424274</c:v>
                </c:pt>
                <c:pt idx="15">
                  <c:v>308589835.18093765</c:v>
                </c:pt>
                <c:pt idx="16">
                  <c:v>315198313.98346817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0-4999-87EF-835621BC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170000000.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Summary'!$BN$5:$BN$21</c:f>
              <c:numCache>
                <c:formatCode>#,##0</c:formatCode>
                <c:ptCount val="16"/>
                <c:pt idx="0">
                  <c:v>21466090.209724449</c:v>
                </c:pt>
                <c:pt idx="1">
                  <c:v>21694274.73</c:v>
                </c:pt>
                <c:pt idx="2">
                  <c:v>20460691.740000002</c:v>
                </c:pt>
                <c:pt idx="3">
                  <c:v>16161422.92</c:v>
                </c:pt>
                <c:pt idx="4">
                  <c:v>13788944.16</c:v>
                </c:pt>
                <c:pt idx="5">
                  <c:v>11924083.520000001</c:v>
                </c:pt>
                <c:pt idx="6">
                  <c:v>11682342.399999999</c:v>
                </c:pt>
                <c:pt idx="7">
                  <c:v>11643673.439999999</c:v>
                </c:pt>
                <c:pt idx="8">
                  <c:v>11868526.83</c:v>
                </c:pt>
                <c:pt idx="9">
                  <c:v>12144394.529999999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2-4ACC-B9B5-9392C031D6C3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Summary'!$BM$5:$BM$22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Summary'!$BQ$5:$BQ$22</c:f>
              <c:numCache>
                <c:formatCode>#,##0</c:formatCode>
                <c:ptCount val="17"/>
                <c:pt idx="0">
                  <c:v>21466090.209724449</c:v>
                </c:pt>
                <c:pt idx="1">
                  <c:v>21694274.73</c:v>
                </c:pt>
                <c:pt idx="2">
                  <c:v>20460691.740000002</c:v>
                </c:pt>
                <c:pt idx="3">
                  <c:v>16161422.92</c:v>
                </c:pt>
                <c:pt idx="4">
                  <c:v>13788944.16</c:v>
                </c:pt>
                <c:pt idx="5">
                  <c:v>11924083.520000001</c:v>
                </c:pt>
                <c:pt idx="6">
                  <c:v>11682342.399999999</c:v>
                </c:pt>
                <c:pt idx="7">
                  <c:v>11643673.439999999</c:v>
                </c:pt>
                <c:pt idx="8">
                  <c:v>11868526.83</c:v>
                </c:pt>
                <c:pt idx="9">
                  <c:v>12144394.529999999</c:v>
                </c:pt>
                <c:pt idx="10">
                  <c:v>12269224.120433811</c:v>
                </c:pt>
                <c:pt idx="11">
                  <c:v>12395336.807082044</c:v>
                </c:pt>
                <c:pt idx="12">
                  <c:v>12522745.778611662</c:v>
                </c:pt>
                <c:pt idx="13">
                  <c:v>12651464.359253068</c:v>
                </c:pt>
                <c:pt idx="14">
                  <c:v>12781506.01019353</c:v>
                </c:pt>
                <c:pt idx="15">
                  <c:v>12912884.330984939</c:v>
                </c:pt>
                <c:pt idx="16">
                  <c:v>13045613.060966017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2-4ACC-B9B5-9392C031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Streetlight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Summary'!$BP$5:$BP$15</c:f>
              <c:numCache>
                <c:formatCode>#,##0</c:formatCode>
                <c:ptCount val="10"/>
                <c:pt idx="0">
                  <c:v>719.35792932368031</c:v>
                </c:pt>
                <c:pt idx="1">
                  <c:v>722.40202892035666</c:v>
                </c:pt>
                <c:pt idx="2">
                  <c:v>672.78902858270249</c:v>
                </c:pt>
                <c:pt idx="3">
                  <c:v>523.06359857756058</c:v>
                </c:pt>
                <c:pt idx="4">
                  <c:v>442.76163862178964</c:v>
                </c:pt>
                <c:pt idx="5">
                  <c:v>379.56756806082052</c:v>
                </c:pt>
                <c:pt idx="6">
                  <c:v>368.77050848349342</c:v>
                </c:pt>
                <c:pt idx="7">
                  <c:v>366.21035323904027</c:v>
                </c:pt>
                <c:pt idx="8">
                  <c:v>369.37308994147764</c:v>
                </c:pt>
                <c:pt idx="9">
                  <c:v>371.19050852120051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0-4551-BECF-EEC7A2C4FC5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Summary'!$BR$5:$BR$15,'Normalized Annual Summary'!$BP$16:$BP$22)</c:f>
              <c:numCache>
                <c:formatCode>General</c:formatCode>
                <c:ptCount val="17"/>
                <c:pt idx="10" formatCode="#,##0">
                  <c:v>371.19050852120051</c:v>
                </c:pt>
                <c:pt idx="11" formatCode="#,##0">
                  <c:v>371.19050852120051</c:v>
                </c:pt>
                <c:pt idx="12" formatCode="#,##0">
                  <c:v>371.19050852120051</c:v>
                </c:pt>
                <c:pt idx="13" formatCode="#,##0">
                  <c:v>371.19050852120051</c:v>
                </c:pt>
                <c:pt idx="14" formatCode="#,##0">
                  <c:v>371.19050852120051</c:v>
                </c:pt>
                <c:pt idx="15" formatCode="#,##0">
                  <c:v>371.19050852120051</c:v>
                </c:pt>
                <c:pt idx="16" formatCode="#,##0">
                  <c:v>371.19050852120051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0-4551-BECF-EEC7A2C4F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Summary'!$CB$5:$CB$22</c:f>
              <c:numCache>
                <c:formatCode>#,##0</c:formatCode>
                <c:ptCount val="17"/>
                <c:pt idx="0">
                  <c:v>5083749.959999999</c:v>
                </c:pt>
                <c:pt idx="1">
                  <c:v>4975743.38</c:v>
                </c:pt>
                <c:pt idx="2">
                  <c:v>4919673.07</c:v>
                </c:pt>
                <c:pt idx="3">
                  <c:v>4890679</c:v>
                </c:pt>
                <c:pt idx="4">
                  <c:v>4846041.4799999995</c:v>
                </c:pt>
                <c:pt idx="5">
                  <c:v>4814697.32</c:v>
                </c:pt>
                <c:pt idx="6">
                  <c:v>4782281.78</c:v>
                </c:pt>
                <c:pt idx="7">
                  <c:v>4773215.28</c:v>
                </c:pt>
                <c:pt idx="8">
                  <c:v>4755033.3099999996</c:v>
                </c:pt>
                <c:pt idx="9">
                  <c:v>4744114.4700000007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A-4062-BB29-A02C1FBE8DCD}"/>
            </c:ext>
          </c:extLst>
        </c:ser>
        <c:ser>
          <c:idx val="3"/>
          <c:order val="1"/>
          <c:tx>
            <c:strRef>
              <c:f>'Normalized Annual Summary'!$CE$3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Summary'!$CF$5:$CF$14,'Normalized Annual Summary'!$CE$15:$CE$22)</c:f>
              <c:numCache>
                <c:formatCode>General</c:formatCode>
                <c:ptCount val="17"/>
                <c:pt idx="9" formatCode="#,##0">
                  <c:v>4744114.4700000007</c:v>
                </c:pt>
                <c:pt idx="10" formatCode="#,##0">
                  <c:v>4568421.3099587467</c:v>
                </c:pt>
                <c:pt idx="11" formatCode="#,##0">
                  <c:v>4505369.3749406869</c:v>
                </c:pt>
                <c:pt idx="12" formatCode="#,##0">
                  <c:v>4443187.6631879052</c:v>
                </c:pt>
                <c:pt idx="13" formatCode="#,##0">
                  <c:v>4381864.1641486054</c:v>
                </c:pt>
                <c:pt idx="14" formatCode="#,##0">
                  <c:v>4321387.0330369044</c:v>
                </c:pt>
                <c:pt idx="15" formatCode="#,##0">
                  <c:v>4261744.5885449816</c:v>
                </c:pt>
                <c:pt idx="16" formatCode="#,##0">
                  <c:v>4202925.3105868073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A-4062-BB29-A02C1FBE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Average Per USL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Summary'!$CD$3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Summary'!$CD$5:$CD$15</c:f>
              <c:numCache>
                <c:formatCode>#,##0</c:formatCode>
                <c:ptCount val="10"/>
                <c:pt idx="0">
                  <c:v>5826.6475186246407</c:v>
                </c:pt>
                <c:pt idx="1">
                  <c:v>5941.7773469997001</c:v>
                </c:pt>
                <c:pt idx="2">
                  <c:v>5959.0266316745756</c:v>
                </c:pt>
                <c:pt idx="3">
                  <c:v>5980.6530113115259</c:v>
                </c:pt>
                <c:pt idx="4">
                  <c:v>5989.8540207035048</c:v>
                </c:pt>
                <c:pt idx="5">
                  <c:v>6004.6110829349436</c:v>
                </c:pt>
                <c:pt idx="6">
                  <c:v>5965.7343271479813</c:v>
                </c:pt>
                <c:pt idx="7">
                  <c:v>5960.3104432882437</c:v>
                </c:pt>
                <c:pt idx="8">
                  <c:v>5959.310675718013</c:v>
                </c:pt>
                <c:pt idx="9">
                  <c:v>6161.8544907457499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8-49EE-A8FB-B4639C588255}"/>
            </c:ext>
          </c:extLst>
        </c:ser>
        <c:ser>
          <c:idx val="1"/>
          <c:order val="1"/>
          <c:tx>
            <c:v>Forecast per Connection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Summary'!$CA$5:$CA$22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Summary'!$BR$5:$BR$15,'Normalized Annual Summary'!$CD$16:$CD$22)</c:f>
              <c:numCache>
                <c:formatCode>General</c:formatCode>
                <c:ptCount val="17"/>
                <c:pt idx="10" formatCode="#,##0">
                  <c:v>6161.8544907457499</c:v>
                </c:pt>
                <c:pt idx="11" formatCode="#,##0">
                  <c:v>6161.8544907457499</c:v>
                </c:pt>
                <c:pt idx="12" formatCode="#,##0">
                  <c:v>6161.8544907457499</c:v>
                </c:pt>
                <c:pt idx="13" formatCode="#,##0">
                  <c:v>6161.8544907457499</c:v>
                </c:pt>
                <c:pt idx="14" formatCode="#,##0">
                  <c:v>6161.8544907457499</c:v>
                </c:pt>
                <c:pt idx="15" formatCode="#,##0">
                  <c:v>6161.8544907457499</c:v>
                </c:pt>
                <c:pt idx="16" formatCode="#,##0">
                  <c:v>6161.8544907457499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8-49EE-A8FB-B4639C58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GS 50 - 2,999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Summary'!$AG$3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Summary'!$AG$5:$AG$22</c:f>
              <c:numCache>
                <c:formatCode>#,##0</c:formatCode>
                <c:ptCount val="17"/>
                <c:pt idx="0">
                  <c:v>950526710.68660581</c:v>
                </c:pt>
                <c:pt idx="1">
                  <c:v>966717854.80000007</c:v>
                </c:pt>
                <c:pt idx="2">
                  <c:v>944651265.3499999</c:v>
                </c:pt>
                <c:pt idx="3">
                  <c:v>966857797.06000006</c:v>
                </c:pt>
                <c:pt idx="4">
                  <c:v>943844507.63000011</c:v>
                </c:pt>
                <c:pt idx="5">
                  <c:v>894106942.2700001</c:v>
                </c:pt>
                <c:pt idx="6">
                  <c:v>916418748.80999994</c:v>
                </c:pt>
                <c:pt idx="7">
                  <c:v>931880224.76000011</c:v>
                </c:pt>
                <c:pt idx="8">
                  <c:v>927766309.05000007</c:v>
                </c:pt>
                <c:pt idx="9">
                  <c:v>965931354.38279605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5-47B4-8ABD-27DB195AD93D}"/>
            </c:ext>
          </c:extLst>
        </c:ser>
        <c:ser>
          <c:idx val="1"/>
          <c:order val="1"/>
          <c:tx>
            <c:strRef>
              <c:f>'Normalized Annual Summary'!$AI$3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Summary'!$AI$5:$AI$22</c:f>
              <c:numCache>
                <c:formatCode>#,##0</c:formatCode>
                <c:ptCount val="17"/>
                <c:pt idx="0">
                  <c:v>964961705.79950273</c:v>
                </c:pt>
                <c:pt idx="1">
                  <c:v>988864474.407547</c:v>
                </c:pt>
                <c:pt idx="2">
                  <c:v>975660838.91877925</c:v>
                </c:pt>
                <c:pt idx="3">
                  <c:v>1009073271.0393625</c:v>
                </c:pt>
                <c:pt idx="4">
                  <c:v>997005194.91286576</c:v>
                </c:pt>
                <c:pt idx="5">
                  <c:v>952250074.65027785</c:v>
                </c:pt>
                <c:pt idx="6">
                  <c:v>980354846.84774089</c:v>
                </c:pt>
                <c:pt idx="7">
                  <c:v>1005336735.4703821</c:v>
                </c:pt>
                <c:pt idx="8">
                  <c:v>1005880548.0865182</c:v>
                </c:pt>
                <c:pt idx="9">
                  <c:v>1049632145.8452027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5-47B4-8ABD-27DB195AD93D}"/>
            </c:ext>
          </c:extLst>
        </c:ser>
        <c:ser>
          <c:idx val="2"/>
          <c:order val="2"/>
          <c:tx>
            <c:strRef>
              <c:f>'Normalized Annual Summary'!$AO$3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Summary'!$AO$5:$AO$22</c:f>
              <c:numCache>
                <c:formatCode>#,##0</c:formatCode>
                <c:ptCount val="17"/>
                <c:pt idx="0">
                  <c:v>957755232.17629278</c:v>
                </c:pt>
                <c:pt idx="1">
                  <c:v>965278694.85256279</c:v>
                </c:pt>
                <c:pt idx="2">
                  <c:v>974655439.96330297</c:v>
                </c:pt>
                <c:pt idx="3">
                  <c:v>990370520.64838278</c:v>
                </c:pt>
                <c:pt idx="4">
                  <c:v>998237758.24828899</c:v>
                </c:pt>
                <c:pt idx="5">
                  <c:v>947685254.66095865</c:v>
                </c:pt>
                <c:pt idx="6">
                  <c:v>986593554.58645928</c:v>
                </c:pt>
                <c:pt idx="7">
                  <c:v>1011660609.1150819</c:v>
                </c:pt>
                <c:pt idx="8">
                  <c:v>1017247501.2247169</c:v>
                </c:pt>
                <c:pt idx="9">
                  <c:v>1019262845.2085385</c:v>
                </c:pt>
                <c:pt idx="10">
                  <c:v>1037128041.0009885</c:v>
                </c:pt>
                <c:pt idx="11">
                  <c:v>1086551272.649863</c:v>
                </c:pt>
                <c:pt idx="12">
                  <c:v>1131469309.1054935</c:v>
                </c:pt>
                <c:pt idx="13">
                  <c:v>1162097194.7254252</c:v>
                </c:pt>
                <c:pt idx="14">
                  <c:v>1177412109.0202143</c:v>
                </c:pt>
                <c:pt idx="15">
                  <c:v>1189449688.5876334</c:v>
                </c:pt>
                <c:pt idx="16">
                  <c:v>1198060878.509037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5-47B4-8ABD-27DB195AD93D}"/>
            </c:ext>
          </c:extLst>
        </c:ser>
        <c:ser>
          <c:idx val="3"/>
          <c:order val="3"/>
          <c:tx>
            <c:strRef>
              <c:f>'Normalized Annual Summary'!$AN$3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Summary'!$AN$5:$AN$22</c:f>
              <c:numCache>
                <c:formatCode>#,##0</c:formatCode>
                <c:ptCount val="17"/>
                <c:pt idx="0">
                  <c:v>943320237.06339586</c:v>
                </c:pt>
                <c:pt idx="1">
                  <c:v>943132075.24501574</c:v>
                </c:pt>
                <c:pt idx="2">
                  <c:v>943645866.39452398</c:v>
                </c:pt>
                <c:pt idx="3">
                  <c:v>948155046.66902041</c:v>
                </c:pt>
                <c:pt idx="4">
                  <c:v>945077070.96542311</c:v>
                </c:pt>
                <c:pt idx="5">
                  <c:v>889542122.28068078</c:v>
                </c:pt>
                <c:pt idx="6">
                  <c:v>922657456.54871857</c:v>
                </c:pt>
                <c:pt idx="7">
                  <c:v>938204098.4046998</c:v>
                </c:pt>
                <c:pt idx="8">
                  <c:v>939133262.1881988</c:v>
                </c:pt>
                <c:pt idx="9">
                  <c:v>935562053.74613178</c:v>
                </c:pt>
                <c:pt idx="10">
                  <c:v>956730420.57967591</c:v>
                </c:pt>
                <c:pt idx="11">
                  <c:v>1009274580.4096613</c:v>
                </c:pt>
                <c:pt idx="12">
                  <c:v>1058827298.8922802</c:v>
                </c:pt>
                <c:pt idx="13">
                  <c:v>1093637917.7943132</c:v>
                </c:pt>
                <c:pt idx="14">
                  <c:v>1116514669.0380874</c:v>
                </c:pt>
                <c:pt idx="15">
                  <c:v>1133994827.0036874</c:v>
                </c:pt>
                <c:pt idx="16">
                  <c:v>1161164064.1494517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5-47B4-8ABD-27DB195AD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GS 3,000 - 4,999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Summary'!$AR$5:$AR$22</c:f>
              <c:numCache>
                <c:formatCode>#,##0</c:formatCode>
                <c:ptCount val="17"/>
                <c:pt idx="0">
                  <c:v>83062699.86432375</c:v>
                </c:pt>
                <c:pt idx="1">
                  <c:v>81278308.774999991</c:v>
                </c:pt>
                <c:pt idx="2">
                  <c:v>90758853.419999987</c:v>
                </c:pt>
                <c:pt idx="3">
                  <c:v>83863297.689999998</c:v>
                </c:pt>
                <c:pt idx="4">
                  <c:v>93267622.239999995</c:v>
                </c:pt>
                <c:pt idx="5">
                  <c:v>89415660.890000015</c:v>
                </c:pt>
                <c:pt idx="6">
                  <c:v>98129912.180000007</c:v>
                </c:pt>
                <c:pt idx="7">
                  <c:v>108822585.41</c:v>
                </c:pt>
                <c:pt idx="8">
                  <c:v>109703301.45</c:v>
                </c:pt>
                <c:pt idx="9">
                  <c:v>98198227.430000007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6-48AB-9910-52787418BF77}"/>
            </c:ext>
          </c:extLst>
        </c:ser>
        <c:ser>
          <c:idx val="1"/>
          <c:order val="1"/>
          <c:tx>
            <c:strRef>
              <c:f>'Normalized Annual Summary'!$AT$3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Summary'!$AT$5:$AT$22</c:f>
              <c:numCache>
                <c:formatCode>#,##0</c:formatCode>
                <c:ptCount val="17"/>
                <c:pt idx="0">
                  <c:v>83209871.975079209</c:v>
                </c:pt>
                <c:pt idx="1">
                  <c:v>81776858.437469766</c:v>
                </c:pt>
                <c:pt idx="2">
                  <c:v>91924306.042175293</c:v>
                </c:pt>
                <c:pt idx="3">
                  <c:v>85850728.608598396</c:v>
                </c:pt>
                <c:pt idx="4">
                  <c:v>95790916.003111556</c:v>
                </c:pt>
                <c:pt idx="5">
                  <c:v>92144168.225704566</c:v>
                </c:pt>
                <c:pt idx="6">
                  <c:v>101045231.10211928</c:v>
                </c:pt>
                <c:pt idx="7">
                  <c:v>112112282.14879882</c:v>
                </c:pt>
                <c:pt idx="8">
                  <c:v>113345272.397007</c:v>
                </c:pt>
                <c:pt idx="9">
                  <c:v>102416484.51217289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6-48AB-9910-52787418BF77}"/>
            </c:ext>
          </c:extLst>
        </c:ser>
        <c:ser>
          <c:idx val="2"/>
          <c:order val="2"/>
          <c:tx>
            <c:strRef>
              <c:f>'Normalized Annual Summary'!$AZ$3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Summary'!$AZ$5:$AZ$22</c:f>
              <c:numCache>
                <c:formatCode>#,##0</c:formatCode>
                <c:ptCount val="17"/>
                <c:pt idx="0">
                  <c:v>85043267.734339997</c:v>
                </c:pt>
                <c:pt idx="1">
                  <c:v>87440501.024150014</c:v>
                </c:pt>
                <c:pt idx="2">
                  <c:v>90611201.810369998</c:v>
                </c:pt>
                <c:pt idx="3">
                  <c:v>94290579.245609999</c:v>
                </c:pt>
                <c:pt idx="4">
                  <c:v>97064476.966140002</c:v>
                </c:pt>
                <c:pt idx="5">
                  <c:v>91600779.706669986</c:v>
                </c:pt>
                <c:pt idx="6">
                  <c:v>98036923.848089993</c:v>
                </c:pt>
                <c:pt idx="7">
                  <c:v>102915842.06420998</c:v>
                </c:pt>
                <c:pt idx="8">
                  <c:v>105367079.23533997</c:v>
                </c:pt>
                <c:pt idx="9">
                  <c:v>107316693.46996999</c:v>
                </c:pt>
                <c:pt idx="10">
                  <c:v>129396481.15902783</c:v>
                </c:pt>
                <c:pt idx="11">
                  <c:v>171091857.27570736</c:v>
                </c:pt>
                <c:pt idx="12">
                  <c:v>194941457.67082775</c:v>
                </c:pt>
                <c:pt idx="13">
                  <c:v>204049375.25209695</c:v>
                </c:pt>
                <c:pt idx="14">
                  <c:v>209851562.62064642</c:v>
                </c:pt>
                <c:pt idx="15">
                  <c:v>215123057.75356048</c:v>
                </c:pt>
                <c:pt idx="16">
                  <c:v>219780949.78004131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6-48AB-9910-52787418BF77}"/>
            </c:ext>
          </c:extLst>
        </c:ser>
        <c:ser>
          <c:idx val="3"/>
          <c:order val="3"/>
          <c:tx>
            <c:strRef>
              <c:f>'Normalized Annual Summary'!$AY$3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Summary'!$AY$5:$AY$22</c:f>
              <c:numCache>
                <c:formatCode>#,##0</c:formatCode>
                <c:ptCount val="17"/>
                <c:pt idx="0">
                  <c:v>84896095.623584554</c:v>
                </c:pt>
                <c:pt idx="1">
                  <c:v>86941951.361680239</c:v>
                </c:pt>
                <c:pt idx="2">
                  <c:v>89445749.188194692</c:v>
                </c:pt>
                <c:pt idx="3">
                  <c:v>92303148.327011585</c:v>
                </c:pt>
                <c:pt idx="4">
                  <c:v>94541183.20302844</c:v>
                </c:pt>
                <c:pt idx="5">
                  <c:v>88872272.370965421</c:v>
                </c:pt>
                <c:pt idx="6">
                  <c:v>95121604.925970703</c:v>
                </c:pt>
                <c:pt idx="7">
                  <c:v>99626145.325411141</c:v>
                </c:pt>
                <c:pt idx="8">
                  <c:v>101725108.28833295</c:v>
                </c:pt>
                <c:pt idx="9">
                  <c:v>103098436.38779709</c:v>
                </c:pt>
                <c:pt idx="10">
                  <c:v>125282808.39052375</c:v>
                </c:pt>
                <c:pt idx="11">
                  <c:v>167021119.35500461</c:v>
                </c:pt>
                <c:pt idx="12">
                  <c:v>191058679.49353778</c:v>
                </c:pt>
                <c:pt idx="13">
                  <c:v>200413892.0398683</c:v>
                </c:pt>
                <c:pt idx="14">
                  <c:v>206693582.05160493</c:v>
                </c:pt>
                <c:pt idx="15">
                  <c:v>212162972.40803963</c:v>
                </c:pt>
                <c:pt idx="16">
                  <c:v>217920349.56035179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6-48AB-9910-52787418B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Weather!$V$1</c:f>
              <c:strCache>
                <c:ptCount val="1"/>
                <c:pt idx="0">
                  <c:v> VRZ_GS50to2999kWh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Weather!$Q$15:$Q$133</c:f>
              <c:numCache>
                <c:formatCode>0</c:formatCode>
                <c:ptCount val="119"/>
                <c:pt idx="0">
                  <c:v>-12.92336956521739</c:v>
                </c:pt>
                <c:pt idx="1">
                  <c:v>-2.5741935483870972</c:v>
                </c:pt>
                <c:pt idx="2">
                  <c:v>6.4416540404040381</c:v>
                </c:pt>
                <c:pt idx="3">
                  <c:v>14.880745341614906</c:v>
                </c:pt>
                <c:pt idx="4">
                  <c:v>16.987083333333334</c:v>
                </c:pt>
                <c:pt idx="5">
                  <c:v>20.63024193548387</c:v>
                </c:pt>
                <c:pt idx="6">
                  <c:v>19.41747311827957</c:v>
                </c:pt>
                <c:pt idx="7">
                  <c:v>18.297420634920634</c:v>
                </c:pt>
                <c:pt idx="8">
                  <c:v>9.0649193548387093</c:v>
                </c:pt>
                <c:pt idx="9">
                  <c:v>5.6076388888888893</c:v>
                </c:pt>
                <c:pt idx="10">
                  <c:v>3.8830352968676944</c:v>
                </c:pt>
                <c:pt idx="11">
                  <c:v>-3.8025537634408595</c:v>
                </c:pt>
                <c:pt idx="12">
                  <c:v>-2.8175287356321834</c:v>
                </c:pt>
                <c:pt idx="13">
                  <c:v>1.3845371669004212</c:v>
                </c:pt>
                <c:pt idx="14">
                  <c:v>4.4672222222222224</c:v>
                </c:pt>
                <c:pt idx="15">
                  <c:v>13.718055555555555</c:v>
                </c:pt>
                <c:pt idx="16">
                  <c:v>18.773472222222221</c:v>
                </c:pt>
                <c:pt idx="17">
                  <c:v>22.104166666666661</c:v>
                </c:pt>
                <c:pt idx="18">
                  <c:v>22.581451612903233</c:v>
                </c:pt>
                <c:pt idx="19">
                  <c:v>17.858055555555556</c:v>
                </c:pt>
                <c:pt idx="20">
                  <c:v>10.864650537634409</c:v>
                </c:pt>
                <c:pt idx="21">
                  <c:v>5.4221626984126994</c:v>
                </c:pt>
                <c:pt idx="22">
                  <c:v>-1.8926075268817202</c:v>
                </c:pt>
                <c:pt idx="23">
                  <c:v>-2.0069892473118278</c:v>
                </c:pt>
                <c:pt idx="24">
                  <c:v>-0.93154761904761851</c:v>
                </c:pt>
                <c:pt idx="25">
                  <c:v>-1.3444892473118288</c:v>
                </c:pt>
                <c:pt idx="26">
                  <c:v>8.3870833333333312</c:v>
                </c:pt>
                <c:pt idx="27">
                  <c:v>12.072311827956989</c:v>
                </c:pt>
                <c:pt idx="28">
                  <c:v>17.620722222222227</c:v>
                </c:pt>
                <c:pt idx="29">
                  <c:v>20.392473118279565</c:v>
                </c:pt>
                <c:pt idx="30">
                  <c:v>19.013680458158017</c:v>
                </c:pt>
                <c:pt idx="31">
                  <c:v>17.194861111111109</c:v>
                </c:pt>
                <c:pt idx="32">
                  <c:v>12.306989247311826</c:v>
                </c:pt>
                <c:pt idx="33">
                  <c:v>3.2462752525252521</c:v>
                </c:pt>
                <c:pt idx="34">
                  <c:v>-5.7520161290322589</c:v>
                </c:pt>
                <c:pt idx="35">
                  <c:v>-6.2108870967741945</c:v>
                </c:pt>
                <c:pt idx="36">
                  <c:v>-2.5891369047619053</c:v>
                </c:pt>
                <c:pt idx="37">
                  <c:v>-0.29932795698924713</c:v>
                </c:pt>
                <c:pt idx="38">
                  <c:v>2.9161111111111113</c:v>
                </c:pt>
                <c:pt idx="39">
                  <c:v>15.888323907275522</c:v>
                </c:pt>
                <c:pt idx="40">
                  <c:v>18.606464646464644</c:v>
                </c:pt>
                <c:pt idx="41">
                  <c:v>22.270923040260342</c:v>
                </c:pt>
                <c:pt idx="42">
                  <c:v>22.136962365591401</c:v>
                </c:pt>
                <c:pt idx="43">
                  <c:v>18.045555555555556</c:v>
                </c:pt>
                <c:pt idx="44">
                  <c:v>8.2325268817204318</c:v>
                </c:pt>
                <c:pt idx="45">
                  <c:v>1.2158333333333335</c:v>
                </c:pt>
                <c:pt idx="46">
                  <c:v>-0.86827956989247324</c:v>
                </c:pt>
                <c:pt idx="47">
                  <c:v>-7.1591397849462366</c:v>
                </c:pt>
                <c:pt idx="48">
                  <c:v>-4.8322916666666682</c:v>
                </c:pt>
                <c:pt idx="49">
                  <c:v>-1.7244623655913986</c:v>
                </c:pt>
                <c:pt idx="50">
                  <c:v>5.778194444444444</c:v>
                </c:pt>
                <c:pt idx="51">
                  <c:v>11.369850028296549</c:v>
                </c:pt>
                <c:pt idx="52">
                  <c:v>17.658055555555553</c:v>
                </c:pt>
                <c:pt idx="53">
                  <c:v>22.374193548387098</c:v>
                </c:pt>
                <c:pt idx="54">
                  <c:v>20.13131720430108</c:v>
                </c:pt>
                <c:pt idx="55">
                  <c:v>16.383888888888887</c:v>
                </c:pt>
                <c:pt idx="56">
                  <c:v>10.194623655913977</c:v>
                </c:pt>
                <c:pt idx="57">
                  <c:v>0.34250000000000014</c:v>
                </c:pt>
                <c:pt idx="58">
                  <c:v>-1.8202956989247305</c:v>
                </c:pt>
                <c:pt idx="59">
                  <c:v>-2.2845430107526878</c:v>
                </c:pt>
                <c:pt idx="60">
                  <c:v>-3.3931034482758609</c:v>
                </c:pt>
                <c:pt idx="61">
                  <c:v>2.4654569892473122</c:v>
                </c:pt>
                <c:pt idx="62">
                  <c:v>5.3441666666666672</c:v>
                </c:pt>
                <c:pt idx="63">
                  <c:v>11.704857910906297</c:v>
                </c:pt>
                <c:pt idx="64">
                  <c:v>19.417874396135264</c:v>
                </c:pt>
                <c:pt idx="65">
                  <c:v>23.964112903225804</c:v>
                </c:pt>
                <c:pt idx="66">
                  <c:v>20.997776148582602</c:v>
                </c:pt>
                <c:pt idx="67">
                  <c:v>15.728182367149758</c:v>
                </c:pt>
                <c:pt idx="68">
                  <c:v>8.7150537634408618</c:v>
                </c:pt>
                <c:pt idx="69">
                  <c:v>5.7899758454106278</c:v>
                </c:pt>
                <c:pt idx="70">
                  <c:v>-0.80336021505376376</c:v>
                </c:pt>
                <c:pt idx="71">
                  <c:v>-3.0807795698924729</c:v>
                </c:pt>
                <c:pt idx="72">
                  <c:v>-5.3376488095238086</c:v>
                </c:pt>
                <c:pt idx="73">
                  <c:v>2.1097942964001866</c:v>
                </c:pt>
                <c:pt idx="74">
                  <c:v>7.3401388888888865</c:v>
                </c:pt>
                <c:pt idx="75">
                  <c:v>13.049417562724015</c:v>
                </c:pt>
                <c:pt idx="76">
                  <c:v>20.055833333333332</c:v>
                </c:pt>
                <c:pt idx="77">
                  <c:v>20.221774193548388</c:v>
                </c:pt>
                <c:pt idx="78">
                  <c:v>22.58266129032258</c:v>
                </c:pt>
                <c:pt idx="79">
                  <c:v>16.975833333333334</c:v>
                </c:pt>
                <c:pt idx="80">
                  <c:v>13.09072580645161</c:v>
                </c:pt>
                <c:pt idx="81">
                  <c:v>3.122913216011042</c:v>
                </c:pt>
                <c:pt idx="82">
                  <c:v>0.80497311827956974</c:v>
                </c:pt>
                <c:pt idx="83">
                  <c:v>-8.6287634408602152</c:v>
                </c:pt>
                <c:pt idx="84">
                  <c:v>-4.7446428571428587</c:v>
                </c:pt>
                <c:pt idx="85">
                  <c:v>0.42836021505376332</c:v>
                </c:pt>
                <c:pt idx="86">
                  <c:v>6.1888888888888882</c:v>
                </c:pt>
                <c:pt idx="87">
                  <c:v>15.065725806451612</c:v>
                </c:pt>
                <c:pt idx="88">
                  <c:v>18.03075013875014</c:v>
                </c:pt>
                <c:pt idx="89">
                  <c:v>21.15659155778647</c:v>
                </c:pt>
                <c:pt idx="90">
                  <c:v>21.363978494623655</c:v>
                </c:pt>
                <c:pt idx="91">
                  <c:v>16.37402777777778</c:v>
                </c:pt>
                <c:pt idx="92">
                  <c:v>9.3272381954184187</c:v>
                </c:pt>
                <c:pt idx="93">
                  <c:v>4.2722222222222213</c:v>
                </c:pt>
                <c:pt idx="94">
                  <c:v>-0.87486559139784936</c:v>
                </c:pt>
                <c:pt idx="95">
                  <c:v>-1.4861559139784948</c:v>
                </c:pt>
                <c:pt idx="96">
                  <c:v>-2.4797619047619048</c:v>
                </c:pt>
                <c:pt idx="97">
                  <c:v>0.22473118279569884</c:v>
                </c:pt>
                <c:pt idx="98">
                  <c:v>7.9533333333333323</c:v>
                </c:pt>
                <c:pt idx="99">
                  <c:v>12.986102150537635</c:v>
                </c:pt>
                <c:pt idx="100">
                  <c:v>18.851388888888884</c:v>
                </c:pt>
                <c:pt idx="101">
                  <c:v>21.218817204301072</c:v>
                </c:pt>
                <c:pt idx="102">
                  <c:v>19.348544880785411</c:v>
                </c:pt>
                <c:pt idx="103">
                  <c:v>17.433055555555555</c:v>
                </c:pt>
                <c:pt idx="104">
                  <c:v>11.553225806451612</c:v>
                </c:pt>
                <c:pt idx="105">
                  <c:v>2.9802294685990343</c:v>
                </c:pt>
                <c:pt idx="106">
                  <c:v>2.2038978494623653</c:v>
                </c:pt>
                <c:pt idx="107">
                  <c:v>-2.5482526881720431</c:v>
                </c:pt>
                <c:pt idx="108">
                  <c:v>-0.72298850574712648</c:v>
                </c:pt>
                <c:pt idx="109">
                  <c:v>3.1576612903225802</c:v>
                </c:pt>
                <c:pt idx="110">
                  <c:v>7.7234027777777765</c:v>
                </c:pt>
                <c:pt idx="111">
                  <c:v>15.455779569892472</c:v>
                </c:pt>
                <c:pt idx="112">
                  <c:v>18.805138888888891</c:v>
                </c:pt>
                <c:pt idx="113">
                  <c:v>21.778763440860214</c:v>
                </c:pt>
                <c:pt idx="114">
                  <c:v>20.479569892473116</c:v>
                </c:pt>
                <c:pt idx="115">
                  <c:v>17.709999999999997</c:v>
                </c:pt>
                <c:pt idx="116">
                  <c:v>10.453494623655915</c:v>
                </c:pt>
                <c:pt idx="117">
                  <c:v>5.790277777777777</c:v>
                </c:pt>
                <c:pt idx="118">
                  <c:v>-1.3088709677419357</c:v>
                </c:pt>
              </c:numCache>
            </c:numRef>
          </c:xVal>
          <c:yVal>
            <c:numRef>
              <c:f>Weather!$V$15:$V$133</c:f>
              <c:numCache>
                <c:formatCode>_-* #,##0_-;\-* #,##0_-;_-* "-"??_-;_-@_-</c:formatCode>
                <c:ptCount val="119"/>
                <c:pt idx="0">
                  <c:v>75702323.799999997</c:v>
                </c:pt>
                <c:pt idx="1">
                  <c:v>84970011.320000008</c:v>
                </c:pt>
                <c:pt idx="2">
                  <c:v>77600036.510000005</c:v>
                </c:pt>
                <c:pt idx="3">
                  <c:v>79612968.689999998</c:v>
                </c:pt>
                <c:pt idx="4">
                  <c:v>80778945.75</c:v>
                </c:pt>
                <c:pt idx="5">
                  <c:v>83557035.420000002</c:v>
                </c:pt>
                <c:pt idx="6">
                  <c:v>83053422.700000003</c:v>
                </c:pt>
                <c:pt idx="7">
                  <c:v>82439342.739999995</c:v>
                </c:pt>
                <c:pt idx="8">
                  <c:v>77995673.730000004</c:v>
                </c:pt>
                <c:pt idx="9">
                  <c:v>77576977.430000007</c:v>
                </c:pt>
                <c:pt idx="10">
                  <c:v>76667512.670000002</c:v>
                </c:pt>
                <c:pt idx="11">
                  <c:v>83851606.870000005</c:v>
                </c:pt>
                <c:pt idx="12">
                  <c:v>79564826.769999996</c:v>
                </c:pt>
                <c:pt idx="13">
                  <c:v>81673423.549999997</c:v>
                </c:pt>
                <c:pt idx="14">
                  <c:v>77365537.939999998</c:v>
                </c:pt>
                <c:pt idx="15">
                  <c:v>78705460.799999997</c:v>
                </c:pt>
                <c:pt idx="16">
                  <c:v>81548993.890000001</c:v>
                </c:pt>
                <c:pt idx="17">
                  <c:v>83831106.840000004</c:v>
                </c:pt>
                <c:pt idx="18">
                  <c:v>87838504.120000005</c:v>
                </c:pt>
                <c:pt idx="19">
                  <c:v>79754218.579999998</c:v>
                </c:pt>
                <c:pt idx="20">
                  <c:v>77217651.829999998</c:v>
                </c:pt>
                <c:pt idx="21">
                  <c:v>77278386.579999998</c:v>
                </c:pt>
                <c:pt idx="22">
                  <c:v>78088137.030000001</c:v>
                </c:pt>
                <c:pt idx="23">
                  <c:v>82073939.140000001</c:v>
                </c:pt>
                <c:pt idx="24">
                  <c:v>74127480.870000005</c:v>
                </c:pt>
                <c:pt idx="25">
                  <c:v>82620566.719999999</c:v>
                </c:pt>
                <c:pt idx="26">
                  <c:v>73318350.420000002</c:v>
                </c:pt>
                <c:pt idx="27">
                  <c:v>77020087.25</c:v>
                </c:pt>
                <c:pt idx="28">
                  <c:v>77681381.140000001</c:v>
                </c:pt>
                <c:pt idx="29">
                  <c:v>79656488.530000001</c:v>
                </c:pt>
                <c:pt idx="30">
                  <c:v>82639784.379999995</c:v>
                </c:pt>
                <c:pt idx="31">
                  <c:v>79447122.540000007</c:v>
                </c:pt>
                <c:pt idx="32">
                  <c:v>77301264.430000007</c:v>
                </c:pt>
                <c:pt idx="33">
                  <c:v>78492174.75</c:v>
                </c:pt>
                <c:pt idx="34">
                  <c:v>80272625.180000007</c:v>
                </c:pt>
                <c:pt idx="35">
                  <c:v>86096522.079999998</c:v>
                </c:pt>
                <c:pt idx="36">
                  <c:v>76015967.129999995</c:v>
                </c:pt>
                <c:pt idx="37">
                  <c:v>81143864.829999998</c:v>
                </c:pt>
                <c:pt idx="38">
                  <c:v>77058839.040000007</c:v>
                </c:pt>
                <c:pt idx="39">
                  <c:v>78446949.640000001</c:v>
                </c:pt>
                <c:pt idx="40">
                  <c:v>79546338.069999993</c:v>
                </c:pt>
                <c:pt idx="41">
                  <c:v>85162834.689999998</c:v>
                </c:pt>
                <c:pt idx="42">
                  <c:v>87165082.629999995</c:v>
                </c:pt>
                <c:pt idx="43">
                  <c:v>80820608.329999998</c:v>
                </c:pt>
                <c:pt idx="44">
                  <c:v>78949631.079999998</c:v>
                </c:pt>
                <c:pt idx="45">
                  <c:v>79256955.909999996</c:v>
                </c:pt>
                <c:pt idx="46">
                  <c:v>77194203.629999995</c:v>
                </c:pt>
                <c:pt idx="47">
                  <c:v>85943722.299999997</c:v>
                </c:pt>
                <c:pt idx="48">
                  <c:v>77446845.430000007</c:v>
                </c:pt>
                <c:pt idx="49">
                  <c:v>82786227.049999997</c:v>
                </c:pt>
                <c:pt idx="50">
                  <c:v>75104705.489999995</c:v>
                </c:pt>
                <c:pt idx="51">
                  <c:v>75687625.170000002</c:v>
                </c:pt>
                <c:pt idx="52">
                  <c:v>76310257.200000003</c:v>
                </c:pt>
                <c:pt idx="53">
                  <c:v>85509081.980000004</c:v>
                </c:pt>
                <c:pt idx="54">
                  <c:v>82253585.260000005</c:v>
                </c:pt>
                <c:pt idx="55">
                  <c:v>75654894.079999998</c:v>
                </c:pt>
                <c:pt idx="56">
                  <c:v>74424469.099999994</c:v>
                </c:pt>
                <c:pt idx="57">
                  <c:v>76391237.219999999</c:v>
                </c:pt>
                <c:pt idx="58">
                  <c:v>76331857.349999994</c:v>
                </c:pt>
                <c:pt idx="59">
                  <c:v>80912313.099999994</c:v>
                </c:pt>
                <c:pt idx="60">
                  <c:v>76686636.780000001</c:v>
                </c:pt>
                <c:pt idx="61">
                  <c:v>74941258.299999997</c:v>
                </c:pt>
                <c:pt idx="62">
                  <c:v>62217805.369999997</c:v>
                </c:pt>
                <c:pt idx="63">
                  <c:v>65325375.770000003</c:v>
                </c:pt>
                <c:pt idx="64">
                  <c:v>73301362.409999996</c:v>
                </c:pt>
                <c:pt idx="65">
                  <c:v>84178256.540000007</c:v>
                </c:pt>
                <c:pt idx="66">
                  <c:v>80251065.819999993</c:v>
                </c:pt>
                <c:pt idx="67">
                  <c:v>73807152.819999993</c:v>
                </c:pt>
                <c:pt idx="68">
                  <c:v>73414307.090000004</c:v>
                </c:pt>
                <c:pt idx="69">
                  <c:v>73244374.980000004</c:v>
                </c:pt>
                <c:pt idx="70">
                  <c:v>75827033.290000007</c:v>
                </c:pt>
                <c:pt idx="71">
                  <c:v>78117436.25</c:v>
                </c:pt>
                <c:pt idx="72">
                  <c:v>73429727.060000002</c:v>
                </c:pt>
                <c:pt idx="73">
                  <c:v>78781004.819999993</c:v>
                </c:pt>
                <c:pt idx="74">
                  <c:v>70156130.159999996</c:v>
                </c:pt>
                <c:pt idx="75">
                  <c:v>72494498.370000005</c:v>
                </c:pt>
                <c:pt idx="76">
                  <c:v>77749930.209999993</c:v>
                </c:pt>
                <c:pt idx="77">
                  <c:v>79021416.790000007</c:v>
                </c:pt>
                <c:pt idx="78">
                  <c:v>85090018.349999994</c:v>
                </c:pt>
                <c:pt idx="79">
                  <c:v>75531581.650000006</c:v>
                </c:pt>
                <c:pt idx="80">
                  <c:v>74719275.799999997</c:v>
                </c:pt>
                <c:pt idx="81">
                  <c:v>75204990.840000004</c:v>
                </c:pt>
                <c:pt idx="82">
                  <c:v>76122738.510000005</c:v>
                </c:pt>
                <c:pt idx="83">
                  <c:v>81979657.519999996</c:v>
                </c:pt>
                <c:pt idx="84">
                  <c:v>75799941.010000005</c:v>
                </c:pt>
                <c:pt idx="85">
                  <c:v>81231731.920000002</c:v>
                </c:pt>
                <c:pt idx="86">
                  <c:v>73205893.010000005</c:v>
                </c:pt>
                <c:pt idx="87">
                  <c:v>75556709.640000001</c:v>
                </c:pt>
                <c:pt idx="88">
                  <c:v>77277239.359999999</c:v>
                </c:pt>
                <c:pt idx="89">
                  <c:v>81676912.150000006</c:v>
                </c:pt>
                <c:pt idx="90">
                  <c:v>83875328.469999999</c:v>
                </c:pt>
                <c:pt idx="91">
                  <c:v>75178829.780000001</c:v>
                </c:pt>
                <c:pt idx="92">
                  <c:v>73502083.099999994</c:v>
                </c:pt>
                <c:pt idx="93">
                  <c:v>75733237.459999993</c:v>
                </c:pt>
                <c:pt idx="94">
                  <c:v>76862661.340000004</c:v>
                </c:pt>
                <c:pt idx="95">
                  <c:v>81005398</c:v>
                </c:pt>
                <c:pt idx="96">
                  <c:v>74346217.920000002</c:v>
                </c:pt>
                <c:pt idx="97">
                  <c:v>80315108.040000007</c:v>
                </c:pt>
                <c:pt idx="98">
                  <c:v>71528747.340000004</c:v>
                </c:pt>
                <c:pt idx="99">
                  <c:v>74348242.730000004</c:v>
                </c:pt>
                <c:pt idx="100">
                  <c:v>77405552.790000007</c:v>
                </c:pt>
                <c:pt idx="101">
                  <c:v>82394395.980000004</c:v>
                </c:pt>
                <c:pt idx="102">
                  <c:v>81448871.760000005</c:v>
                </c:pt>
                <c:pt idx="103">
                  <c:v>76755348.049999997</c:v>
                </c:pt>
                <c:pt idx="104">
                  <c:v>75658925.340000004</c:v>
                </c:pt>
                <c:pt idx="105">
                  <c:v>76401604.950000003</c:v>
                </c:pt>
                <c:pt idx="106">
                  <c:v>76157896.150000006</c:v>
                </c:pt>
                <c:pt idx="107">
                  <c:v>85296633.844817996</c:v>
                </c:pt>
                <c:pt idx="108">
                  <c:v>78462678.962840006</c:v>
                </c:pt>
                <c:pt idx="109">
                  <c:v>80171761.096588001</c:v>
                </c:pt>
                <c:pt idx="110">
                  <c:v>76518544.463627994</c:v>
                </c:pt>
                <c:pt idx="111">
                  <c:v>79420647.412497997</c:v>
                </c:pt>
                <c:pt idx="112">
                  <c:v>80580048.837870002</c:v>
                </c:pt>
                <c:pt idx="113">
                  <c:v>88290752.179879993</c:v>
                </c:pt>
                <c:pt idx="114">
                  <c:v>85433825.222527996</c:v>
                </c:pt>
                <c:pt idx="115">
                  <c:v>80205046.317248002</c:v>
                </c:pt>
                <c:pt idx="116">
                  <c:v>77252086.307630002</c:v>
                </c:pt>
                <c:pt idx="117">
                  <c:v>75260775.116096005</c:v>
                </c:pt>
                <c:pt idx="118">
                  <c:v>79038554.621171996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BB-4D83-89EB-85D40F5B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Large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Summary'!$BC$5:$BC$22</c:f>
              <c:numCache>
                <c:formatCode>#,##0</c:formatCode>
                <c:ptCount val="17"/>
                <c:pt idx="0">
                  <c:v>210460829.48535237</c:v>
                </c:pt>
                <c:pt idx="1">
                  <c:v>215800519.09</c:v>
                </c:pt>
                <c:pt idx="2">
                  <c:v>223859611.13000003</c:v>
                </c:pt>
                <c:pt idx="3">
                  <c:v>250221085.47000003</c:v>
                </c:pt>
                <c:pt idx="4">
                  <c:v>259592384.06</c:v>
                </c:pt>
                <c:pt idx="5">
                  <c:v>264242586.03</c:v>
                </c:pt>
                <c:pt idx="6">
                  <c:v>284809430.72000003</c:v>
                </c:pt>
                <c:pt idx="7">
                  <c:v>289202900.55000001</c:v>
                </c:pt>
                <c:pt idx="8">
                  <c:v>303910758.94632399</c:v>
                </c:pt>
                <c:pt idx="9">
                  <c:v>321893041.52938205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0-49A5-A493-29091182A076}"/>
            </c:ext>
          </c:extLst>
        </c:ser>
        <c:ser>
          <c:idx val="1"/>
          <c:order val="1"/>
          <c:tx>
            <c:strRef>
              <c:f>'Normalized Annual Summary'!$BE$3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Summary'!$BE$5:$BE$22</c:f>
              <c:numCache>
                <c:formatCode>#,##0</c:formatCode>
                <c:ptCount val="17"/>
                <c:pt idx="0">
                  <c:v>214801968.2137368</c:v>
                </c:pt>
                <c:pt idx="1">
                  <c:v>222929336.24786574</c:v>
                </c:pt>
                <c:pt idx="2">
                  <c:v>233715442.88221914</c:v>
                </c:pt>
                <c:pt idx="3">
                  <c:v>266466614.46949729</c:v>
                </c:pt>
                <c:pt idx="4">
                  <c:v>278341289.36218399</c:v>
                </c:pt>
                <c:pt idx="5">
                  <c:v>283776483.27153635</c:v>
                </c:pt>
                <c:pt idx="6">
                  <c:v>305489306.39160782</c:v>
                </c:pt>
                <c:pt idx="7">
                  <c:v>310171780.75168276</c:v>
                </c:pt>
                <c:pt idx="8">
                  <c:v>326291975.52706087</c:v>
                </c:pt>
                <c:pt idx="9">
                  <c:v>346655983.09377205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0-49A5-A493-29091182A076}"/>
            </c:ext>
          </c:extLst>
        </c:ser>
        <c:ser>
          <c:idx val="2"/>
          <c:order val="2"/>
          <c:tx>
            <c:strRef>
              <c:f>'Normalized Annual Summary'!$BK$3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Summary'!$BK$5:$BK$22</c:f>
              <c:numCache>
                <c:formatCode>#,##0</c:formatCode>
                <c:ptCount val="17"/>
                <c:pt idx="0">
                  <c:v>220911577.70774004</c:v>
                </c:pt>
                <c:pt idx="1">
                  <c:v>233856153.54065007</c:v>
                </c:pt>
                <c:pt idx="2">
                  <c:v>250408889.27107006</c:v>
                </c:pt>
                <c:pt idx="3">
                  <c:v>270234553.03471005</c:v>
                </c:pt>
                <c:pt idx="4">
                  <c:v>284615656.08954006</c:v>
                </c:pt>
                <c:pt idx="5">
                  <c:v>276141611.22537005</c:v>
                </c:pt>
                <c:pt idx="6">
                  <c:v>312525376.9539901</c:v>
                </c:pt>
                <c:pt idx="7">
                  <c:v>328255228.07031006</c:v>
                </c:pt>
                <c:pt idx="8">
                  <c:v>330259709.39774007</c:v>
                </c:pt>
                <c:pt idx="9">
                  <c:v>339476594.18367004</c:v>
                </c:pt>
                <c:pt idx="10">
                  <c:v>361558769.30563873</c:v>
                </c:pt>
                <c:pt idx="11">
                  <c:v>396196479.35900819</c:v>
                </c:pt>
                <c:pt idx="12">
                  <c:v>448331650.87611759</c:v>
                </c:pt>
                <c:pt idx="13">
                  <c:v>547094775.09720993</c:v>
                </c:pt>
                <c:pt idx="14">
                  <c:v>624098547.6257453</c:v>
                </c:pt>
                <c:pt idx="15">
                  <c:v>658092272.20589161</c:v>
                </c:pt>
                <c:pt idx="16">
                  <c:v>676645983.64382219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0-49A5-A493-29091182A076}"/>
            </c:ext>
          </c:extLst>
        </c:ser>
        <c:ser>
          <c:idx val="3"/>
          <c:order val="3"/>
          <c:tx>
            <c:strRef>
              <c:f>'Normalized Annual Summary'!$BJ$3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Summary'!$AF$5:$AF$22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Summary'!$BJ$5:$BJ$22</c:f>
              <c:numCache>
                <c:formatCode>#,##0</c:formatCode>
                <c:ptCount val="17"/>
                <c:pt idx="0">
                  <c:v>216570438.9793556</c:v>
                </c:pt>
                <c:pt idx="1">
                  <c:v>226727336.38278434</c:v>
                </c:pt>
                <c:pt idx="2">
                  <c:v>240553057.51885092</c:v>
                </c:pt>
                <c:pt idx="3">
                  <c:v>253989024.03521276</c:v>
                </c:pt>
                <c:pt idx="4">
                  <c:v>265866750.78735611</c:v>
                </c:pt>
                <c:pt idx="5">
                  <c:v>256607713.98383373</c:v>
                </c:pt>
                <c:pt idx="6">
                  <c:v>291845501.28238231</c:v>
                </c:pt>
                <c:pt idx="7">
                  <c:v>307286347.86862731</c:v>
                </c:pt>
                <c:pt idx="8">
                  <c:v>307878492.81700319</c:v>
                </c:pt>
                <c:pt idx="9">
                  <c:v>314713652.61928004</c:v>
                </c:pt>
                <c:pt idx="10">
                  <c:v>338004940.25230598</c:v>
                </c:pt>
                <c:pt idx="11">
                  <c:v>373570916.05862993</c:v>
                </c:pt>
                <c:pt idx="12">
                  <c:v>428923191.76795107</c:v>
                </c:pt>
                <c:pt idx="13">
                  <c:v>530841633.0666129</c:v>
                </c:pt>
                <c:pt idx="14">
                  <c:v>610486596.59660208</c:v>
                </c:pt>
                <c:pt idx="15">
                  <c:v>645516919.45869923</c:v>
                </c:pt>
                <c:pt idx="16">
                  <c:v>667506562.35148895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0-49A5-A493-29091182A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VRZ Sentinel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Summary'!$BN$3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Summary'!$BT$5:$BT$22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Summary'!$BU$5:$BU$22</c:f>
              <c:numCache>
                <c:formatCode>#,##0</c:formatCode>
                <c:ptCount val="17"/>
                <c:pt idx="0">
                  <c:v>116055.18000000001</c:v>
                </c:pt>
                <c:pt idx="1">
                  <c:v>156261.63999999998</c:v>
                </c:pt>
                <c:pt idx="2">
                  <c:v>311450.02999999997</c:v>
                </c:pt>
                <c:pt idx="3">
                  <c:v>247862.16999999998</c:v>
                </c:pt>
                <c:pt idx="4">
                  <c:v>229776.43000000002</c:v>
                </c:pt>
                <c:pt idx="5">
                  <c:v>229649.84000000003</c:v>
                </c:pt>
                <c:pt idx="6">
                  <c:v>227251.3</c:v>
                </c:pt>
                <c:pt idx="7">
                  <c:v>216445.25</c:v>
                </c:pt>
                <c:pt idx="8">
                  <c:v>218811.02999999997</c:v>
                </c:pt>
                <c:pt idx="9">
                  <c:v>216725.99999999994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5-4F9A-BDDA-C5F96BE6189E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Summary'!$BT$5:$BT$22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Summary'!$BX$5:$BX$22</c:f>
              <c:numCache>
                <c:formatCode>#,##0</c:formatCode>
                <c:ptCount val="17"/>
                <c:pt idx="0">
                  <c:v>116055.18000000001</c:v>
                </c:pt>
                <c:pt idx="1">
                  <c:v>156261.63999999998</c:v>
                </c:pt>
                <c:pt idx="2">
                  <c:v>311450.02999999997</c:v>
                </c:pt>
                <c:pt idx="3">
                  <c:v>247862.16999999995</c:v>
                </c:pt>
                <c:pt idx="4">
                  <c:v>229776.43000000002</c:v>
                </c:pt>
                <c:pt idx="5">
                  <c:v>229649.84000000003</c:v>
                </c:pt>
                <c:pt idx="6">
                  <c:v>227251.3</c:v>
                </c:pt>
                <c:pt idx="7">
                  <c:v>216445.25</c:v>
                </c:pt>
                <c:pt idx="8">
                  <c:v>218811.02999999997</c:v>
                </c:pt>
                <c:pt idx="9">
                  <c:v>216725.99999999994</c:v>
                </c:pt>
                <c:pt idx="10">
                  <c:v>213059.04438813563</c:v>
                </c:pt>
                <c:pt idx="11">
                  <c:v>209454.13284786118</c:v>
                </c:pt>
                <c:pt idx="12">
                  <c:v>205910.21560731487</c:v>
                </c:pt>
                <c:pt idx="13">
                  <c:v>202426.26065654092</c:v>
                </c:pt>
                <c:pt idx="14">
                  <c:v>199001.25344696196</c:v>
                </c:pt>
                <c:pt idx="15">
                  <c:v>195634.19659593637</c:v>
                </c:pt>
                <c:pt idx="16">
                  <c:v>192324.10959631458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5-4F9A-BDDA-C5F96BE61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Sentinel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Summary'!$BW$3</c:f>
              <c:strCache>
                <c:ptCount val="1"/>
                <c:pt idx="0">
                  <c:v>Average per Device</c:v>
                </c:pt>
              </c:strCache>
            </c:strRef>
          </c:tx>
          <c:marker>
            <c:symbol val="none"/>
          </c:marker>
          <c:cat>
            <c:numRef>
              <c:f>'Normalized Annual Summary'!$BT$5:$BT$22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Summary'!$BW$5:$BW$15</c:f>
              <c:numCache>
                <c:formatCode>#,##0</c:formatCode>
                <c:ptCount val="10"/>
                <c:pt idx="0">
                  <c:v>262.17284638554224</c:v>
                </c:pt>
                <c:pt idx="1">
                  <c:v>355.94906605922546</c:v>
                </c:pt>
                <c:pt idx="2">
                  <c:v>709.45337129840539</c:v>
                </c:pt>
                <c:pt idx="3">
                  <c:v>564.60630979498853</c:v>
                </c:pt>
                <c:pt idx="4">
                  <c:v>671.77906200511666</c:v>
                </c:pt>
                <c:pt idx="5">
                  <c:v>900.14635962763361</c:v>
                </c:pt>
                <c:pt idx="6">
                  <c:v>913.26711319490983</c:v>
                </c:pt>
                <c:pt idx="7">
                  <c:v>880.15689596746836</c:v>
                </c:pt>
                <c:pt idx="8">
                  <c:v>901.07493479752929</c:v>
                </c:pt>
                <c:pt idx="9">
                  <c:v>909.49886343766343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9-4BB8-8367-E02C5D27B683}"/>
            </c:ext>
          </c:extLst>
        </c:ser>
        <c:ser>
          <c:idx val="1"/>
          <c:order val="1"/>
          <c:tx>
            <c:v>Forecast per Device</c:v>
          </c:tx>
          <c:marker>
            <c:symbol val="none"/>
          </c:marker>
          <c:cat>
            <c:numRef>
              <c:f>'Normalized Annual Summary'!$BT$5:$BT$22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Summary'!$BY$5:$BY$15,'Normalized Annual Summary'!$BW$16:$BW$22)</c:f>
              <c:numCache>
                <c:formatCode>General</c:formatCode>
                <c:ptCount val="17"/>
                <c:pt idx="10" formatCode="#,##0">
                  <c:v>909.49886343766343</c:v>
                </c:pt>
                <c:pt idx="11" formatCode="#,##0">
                  <c:v>909.49886343766343</c:v>
                </c:pt>
                <c:pt idx="12" formatCode="#,##0">
                  <c:v>909.49886343766343</c:v>
                </c:pt>
                <c:pt idx="13" formatCode="#,##0">
                  <c:v>909.49886343766343</c:v>
                </c:pt>
                <c:pt idx="14" formatCode="#,##0">
                  <c:v>909.49886343766343</c:v>
                </c:pt>
                <c:pt idx="15" formatCode="#,##0">
                  <c:v>909.49886343766343</c:v>
                </c:pt>
                <c:pt idx="16" formatCode="#,##0">
                  <c:v>909.49886343766343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9-4BB8-8367-E02C5D27B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Summary'!$CK$3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Summary'!$CJ$5:$CJ$22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Summary'!$CK$5:$CK$22</c:f>
              <c:numCache>
                <c:formatCode>#,##0</c:formatCode>
                <c:ptCount val="17"/>
                <c:pt idx="0">
                  <c:v>338703899.02863026</c:v>
                </c:pt>
                <c:pt idx="1">
                  <c:v>370346014.4023304</c:v>
                </c:pt>
                <c:pt idx="2">
                  <c:v>342395880.86244047</c:v>
                </c:pt>
                <c:pt idx="3">
                  <c:v>368689346.9634791</c:v>
                </c:pt>
                <c:pt idx="4">
                  <c:v>353188013.54001999</c:v>
                </c:pt>
                <c:pt idx="5">
                  <c:v>393916006.9360795</c:v>
                </c:pt>
                <c:pt idx="6">
                  <c:v>395025787.98234016</c:v>
                </c:pt>
                <c:pt idx="7">
                  <c:v>393586007.66831976</c:v>
                </c:pt>
                <c:pt idx="8">
                  <c:v>392504225.69293898</c:v>
                </c:pt>
                <c:pt idx="9">
                  <c:v>410753366.73417681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C-4CD6-966F-AE2B0CFB5417}"/>
            </c:ext>
          </c:extLst>
        </c:ser>
        <c:ser>
          <c:idx val="1"/>
          <c:order val="1"/>
          <c:tx>
            <c:strRef>
              <c:f>'Normalized Annual Summary'!$CM$3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Summary'!$CJ$5:$CJ$22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Summary'!$CM$5:$CM$22</c:f>
              <c:numCache>
                <c:formatCode>#,##0</c:formatCode>
                <c:ptCount val="17"/>
                <c:pt idx="0">
                  <c:v>341819651.24851882</c:v>
                </c:pt>
                <c:pt idx="1">
                  <c:v>378173307.04498887</c:v>
                </c:pt>
                <c:pt idx="2">
                  <c:v>359527893.87480748</c:v>
                </c:pt>
                <c:pt idx="3">
                  <c:v>390439562.14697731</c:v>
                </c:pt>
                <c:pt idx="4">
                  <c:v>376217358.44924873</c:v>
                </c:pt>
                <c:pt idx="5">
                  <c:v>416955296.65327436</c:v>
                </c:pt>
                <c:pt idx="6">
                  <c:v>415398276.8319459</c:v>
                </c:pt>
                <c:pt idx="7">
                  <c:v>414003895.92591512</c:v>
                </c:pt>
                <c:pt idx="8">
                  <c:v>412979207.31059444</c:v>
                </c:pt>
                <c:pt idx="9">
                  <c:v>432055274.59441376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C-4CD6-966F-AE2B0CFB5417}"/>
            </c:ext>
          </c:extLst>
        </c:ser>
        <c:ser>
          <c:idx val="2"/>
          <c:order val="2"/>
          <c:tx>
            <c:strRef>
              <c:f>'Normalized Annual Summary'!$CN$3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Summary'!$CJ$5:$CJ$22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Summary'!$CN$5:$CN$22</c:f>
              <c:numCache>
                <c:formatCode>#,##0</c:formatCode>
                <c:ptCount val="17"/>
                <c:pt idx="0">
                  <c:v>351788028.8079707</c:v>
                </c:pt>
                <c:pt idx="1">
                  <c:v>360365829.47536319</c:v>
                </c:pt>
                <c:pt idx="2">
                  <c:v>367379437.53635198</c:v>
                </c:pt>
                <c:pt idx="3">
                  <c:v>375377117.66054261</c:v>
                </c:pt>
                <c:pt idx="4">
                  <c:v>383697571.65176457</c:v>
                </c:pt>
                <c:pt idx="5">
                  <c:v>409060431.12655532</c:v>
                </c:pt>
                <c:pt idx="6">
                  <c:v>418323950.47412866</c:v>
                </c:pt>
                <c:pt idx="7">
                  <c:v>420171715.42200243</c:v>
                </c:pt>
                <c:pt idx="8">
                  <c:v>421728985.36294419</c:v>
                </c:pt>
                <c:pt idx="9">
                  <c:v>433061430.0813455</c:v>
                </c:pt>
                <c:pt idx="10">
                  <c:v>444099919.16970873</c:v>
                </c:pt>
                <c:pt idx="11">
                  <c:v>455673577.8068462</c:v>
                </c:pt>
                <c:pt idx="12">
                  <c:v>468402941.90159392</c:v>
                </c:pt>
                <c:pt idx="13">
                  <c:v>479840998.31363481</c:v>
                </c:pt>
                <c:pt idx="14">
                  <c:v>492727271.88186651</c:v>
                </c:pt>
                <c:pt idx="15">
                  <c:v>506979080.62629479</c:v>
                </c:pt>
                <c:pt idx="16">
                  <c:v>519908671.2573303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C-4CD6-966F-AE2B0CFB5417}"/>
            </c:ext>
          </c:extLst>
        </c:ser>
        <c:ser>
          <c:idx val="3"/>
          <c:order val="3"/>
          <c:tx>
            <c:strRef>
              <c:f>'Normalized Annual Summary'!$CR$3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Summary'!$CJ$5:$CJ$22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Summary'!$CR$5:$CR$22</c:f>
              <c:numCache>
                <c:formatCode>#,##0</c:formatCode>
                <c:ptCount val="17"/>
                <c:pt idx="0">
                  <c:v>348672276.58808219</c:v>
                </c:pt>
                <c:pt idx="1">
                  <c:v>352538536.83270472</c:v>
                </c:pt>
                <c:pt idx="2">
                  <c:v>350247424.52398503</c:v>
                </c:pt>
                <c:pt idx="3">
                  <c:v>353626902.47704446</c:v>
                </c:pt>
                <c:pt idx="4">
                  <c:v>360668226.74253583</c:v>
                </c:pt>
                <c:pt idx="5">
                  <c:v>386021141.40936047</c:v>
                </c:pt>
                <c:pt idx="6">
                  <c:v>397951461.62452286</c:v>
                </c:pt>
                <c:pt idx="7">
                  <c:v>399753827.16440701</c:v>
                </c:pt>
                <c:pt idx="8">
                  <c:v>401254003.74528873</c:v>
                </c:pt>
                <c:pt idx="9">
                  <c:v>411759522.22110844</c:v>
                </c:pt>
                <c:pt idx="10">
                  <c:v>423136209.79578412</c:v>
                </c:pt>
                <c:pt idx="11">
                  <c:v>434855421.37029326</c:v>
                </c:pt>
                <c:pt idx="12">
                  <c:v>447861754.19012976</c:v>
                </c:pt>
                <c:pt idx="13">
                  <c:v>459376871.31126744</c:v>
                </c:pt>
                <c:pt idx="14">
                  <c:v>472301249.26622075</c:v>
                </c:pt>
                <c:pt idx="15">
                  <c:v>488093153.42331409</c:v>
                </c:pt>
                <c:pt idx="16">
                  <c:v>502390530.34837389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C-4CD6-966F-AE2B0CFB5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Summary'!$CU$3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Summary'!$CT$5:$CT$22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Summary'!$CU$5:$CU$22</c:f>
              <c:numCache>
                <c:formatCode>#,##0</c:formatCode>
                <c:ptCount val="17"/>
                <c:pt idx="0">
                  <c:v>79714047.749680027</c:v>
                </c:pt>
                <c:pt idx="1">
                  <c:v>89219216.553899974</c:v>
                </c:pt>
                <c:pt idx="2">
                  <c:v>87028896.619829968</c:v>
                </c:pt>
                <c:pt idx="3">
                  <c:v>90146107.58235006</c:v>
                </c:pt>
                <c:pt idx="4">
                  <c:v>89224578.835409939</c:v>
                </c:pt>
                <c:pt idx="5">
                  <c:v>81674844.845230013</c:v>
                </c:pt>
                <c:pt idx="6">
                  <c:v>82555807.732179999</c:v>
                </c:pt>
                <c:pt idx="7">
                  <c:v>87488274.475439951</c:v>
                </c:pt>
                <c:pt idx="8">
                  <c:v>88772162.724419996</c:v>
                </c:pt>
                <c:pt idx="9">
                  <c:v>88408717.91074124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C-4359-98FE-725068C7A71E}"/>
            </c:ext>
          </c:extLst>
        </c:ser>
        <c:ser>
          <c:idx val="1"/>
          <c:order val="1"/>
          <c:tx>
            <c:strRef>
              <c:f>'Normalized Annual Summary'!$CW$3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Summary'!$CT$5:$CT$22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Summary'!$CW$5:$CW$22</c:f>
              <c:numCache>
                <c:formatCode>#,##0</c:formatCode>
                <c:ptCount val="17"/>
                <c:pt idx="0">
                  <c:v>80816258.045444056</c:v>
                </c:pt>
                <c:pt idx="1">
                  <c:v>90604838.92675291</c:v>
                </c:pt>
                <c:pt idx="2">
                  <c:v>88683309.006846577</c:v>
                </c:pt>
                <c:pt idx="3">
                  <c:v>92324972.869182795</c:v>
                </c:pt>
                <c:pt idx="4">
                  <c:v>91697786.724669263</c:v>
                </c:pt>
                <c:pt idx="5">
                  <c:v>84284805.65291582</c:v>
                </c:pt>
                <c:pt idx="6">
                  <c:v>85338794.20904538</c:v>
                </c:pt>
                <c:pt idx="7">
                  <c:v>90650269.605631351</c:v>
                </c:pt>
                <c:pt idx="8">
                  <c:v>92174873.578020483</c:v>
                </c:pt>
                <c:pt idx="9">
                  <c:v>92286825.556067497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C-4359-98FE-725068C7A71E}"/>
            </c:ext>
          </c:extLst>
        </c:ser>
        <c:ser>
          <c:idx val="2"/>
          <c:order val="2"/>
          <c:tx>
            <c:strRef>
              <c:f>'Normalized Annual Summary'!$CX$3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Summary'!$CT$5:$CT$22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Summary'!$CX$5:$CX$22</c:f>
              <c:numCache>
                <c:formatCode>#,##0</c:formatCode>
                <c:ptCount val="17"/>
                <c:pt idx="0">
                  <c:v>85363019.685540453</c:v>
                </c:pt>
                <c:pt idx="1">
                  <c:v>88258734.460540459</c:v>
                </c:pt>
                <c:pt idx="2">
                  <c:v>87872986.62054044</c:v>
                </c:pt>
                <c:pt idx="3">
                  <c:v>89132614.805540457</c:v>
                </c:pt>
                <c:pt idx="4">
                  <c:v>89213013.504924536</c:v>
                </c:pt>
                <c:pt idx="5">
                  <c:v>83529639.299442291</c:v>
                </c:pt>
                <c:pt idx="6">
                  <c:v>84780449.875127614</c:v>
                </c:pt>
                <c:pt idx="7">
                  <c:v>90732947.486301199</c:v>
                </c:pt>
                <c:pt idx="8">
                  <c:v>93878946.817682192</c:v>
                </c:pt>
                <c:pt idx="9">
                  <c:v>95659539.91217944</c:v>
                </c:pt>
                <c:pt idx="10">
                  <c:v>96086663.349585429</c:v>
                </c:pt>
                <c:pt idx="11">
                  <c:v>96798731.571301192</c:v>
                </c:pt>
                <c:pt idx="12">
                  <c:v>97925079.163123459</c:v>
                </c:pt>
                <c:pt idx="13">
                  <c:v>98790896.532085583</c:v>
                </c:pt>
                <c:pt idx="14">
                  <c:v>99905288.376930594</c:v>
                </c:pt>
                <c:pt idx="15">
                  <c:v>101255110.24677813</c:v>
                </c:pt>
                <c:pt idx="16">
                  <c:v>102340431.38473395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C-4359-98FE-725068C7A71E}"/>
            </c:ext>
          </c:extLst>
        </c:ser>
        <c:ser>
          <c:idx val="3"/>
          <c:order val="3"/>
          <c:tx>
            <c:strRef>
              <c:f>'Normalized Annual Summary'!$DB$3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Summary'!$CT$5:$CT$22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Summary'!$DB$5:$DB$22</c:f>
              <c:numCache>
                <c:formatCode>#,##0</c:formatCode>
                <c:ptCount val="17"/>
                <c:pt idx="0">
                  <c:v>84260809.389776453</c:v>
                </c:pt>
                <c:pt idx="1">
                  <c:v>86873112.087687507</c:v>
                </c:pt>
                <c:pt idx="2">
                  <c:v>86218574.233523846</c:v>
                </c:pt>
                <c:pt idx="3">
                  <c:v>86953749.518707722</c:v>
                </c:pt>
                <c:pt idx="4">
                  <c:v>86739805.615665242</c:v>
                </c:pt>
                <c:pt idx="5">
                  <c:v>80919678.491756484</c:v>
                </c:pt>
                <c:pt idx="6">
                  <c:v>81997463.398262218</c:v>
                </c:pt>
                <c:pt idx="7">
                  <c:v>87570952.356109798</c:v>
                </c:pt>
                <c:pt idx="8">
                  <c:v>90476235.96408169</c:v>
                </c:pt>
                <c:pt idx="9">
                  <c:v>91781432.266853184</c:v>
                </c:pt>
                <c:pt idx="10">
                  <c:v>92896584.464930475</c:v>
                </c:pt>
                <c:pt idx="11">
                  <c:v>93922026.624372616</c:v>
                </c:pt>
                <c:pt idx="12">
                  <c:v>95337869.485193223</c:v>
                </c:pt>
                <c:pt idx="13">
                  <c:v>96360968.805483773</c:v>
                </c:pt>
                <c:pt idx="14">
                  <c:v>97655547.719699606</c:v>
                </c:pt>
                <c:pt idx="15">
                  <c:v>99082285.676707745</c:v>
                </c:pt>
                <c:pt idx="16">
                  <c:v>100654398.2777067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0C-4359-98FE-725068C7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7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Summary'!$EA$3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Summary'!$DZ$5:$DZ$22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Summary'!$EA$5:$EA$22</c:f>
              <c:numCache>
                <c:formatCode>#,##0</c:formatCode>
                <c:ptCount val="17"/>
                <c:pt idx="0">
                  <c:v>9273958.5999999996</c:v>
                </c:pt>
                <c:pt idx="1">
                  <c:v>6314646.5300000003</c:v>
                </c:pt>
                <c:pt idx="2">
                  <c:v>4989079.4000000004</c:v>
                </c:pt>
                <c:pt idx="3">
                  <c:v>3813016.9899999998</c:v>
                </c:pt>
                <c:pt idx="4">
                  <c:v>3495126.45</c:v>
                </c:pt>
                <c:pt idx="5">
                  <c:v>3375506.85</c:v>
                </c:pt>
                <c:pt idx="6">
                  <c:v>3254529.2399999998</c:v>
                </c:pt>
                <c:pt idx="7">
                  <c:v>3584406.7699999996</c:v>
                </c:pt>
                <c:pt idx="8">
                  <c:v>3668423.59</c:v>
                </c:pt>
                <c:pt idx="9">
                  <c:v>3708102.8000000003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5-48AA-A8E0-AAD60E0066E4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Summary'!$DZ$5:$DZ$22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Summary'!$ED$5:$ED$22</c:f>
              <c:numCache>
                <c:formatCode>#,##0</c:formatCode>
                <c:ptCount val="17"/>
                <c:pt idx="0">
                  <c:v>9273958.5999999996</c:v>
                </c:pt>
                <c:pt idx="1">
                  <c:v>6314646.5300000003</c:v>
                </c:pt>
                <c:pt idx="2">
                  <c:v>4989079.4000000004</c:v>
                </c:pt>
                <c:pt idx="3">
                  <c:v>3813016.9899999998</c:v>
                </c:pt>
                <c:pt idx="4">
                  <c:v>3495126.45</c:v>
                </c:pt>
                <c:pt idx="5">
                  <c:v>3375506.85</c:v>
                </c:pt>
                <c:pt idx="6">
                  <c:v>3254529.2399999998</c:v>
                </c:pt>
                <c:pt idx="7">
                  <c:v>3584406.7699999996</c:v>
                </c:pt>
                <c:pt idx="8">
                  <c:v>3668423.59</c:v>
                </c:pt>
                <c:pt idx="9">
                  <c:v>3708102.8000000003</c:v>
                </c:pt>
                <c:pt idx="10">
                  <c:v>3769413.3310388532</c:v>
                </c:pt>
                <c:pt idx="11">
                  <c:v>3831737.5829530451</c:v>
                </c:pt>
                <c:pt idx="12">
                  <c:v>3895092.3168111197</c:v>
                </c:pt>
                <c:pt idx="13">
                  <c:v>3959494.5708125578</c:v>
                </c:pt>
                <c:pt idx="14">
                  <c:v>4024961.6648699204</c:v>
                </c:pt>
                <c:pt idx="15">
                  <c:v>4091511.2052667504</c:v>
                </c:pt>
                <c:pt idx="16">
                  <c:v>4159161.089392487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5-48AA-A8E0-AAD60E006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/>
                </a:pPr>
                <a:r>
                  <a:rPr lang="en-US" sz="900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Streetlight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Summary'!$EC$3</c:f>
              <c:strCache>
                <c:ptCount val="1"/>
                <c:pt idx="0">
                  <c:v>Average per Device</c:v>
                </c:pt>
              </c:strCache>
            </c:strRef>
          </c:tx>
          <c:marker>
            <c:symbol val="none"/>
          </c:marker>
          <c:cat>
            <c:numRef>
              <c:f>'Normalized Annual Summary'!$DZ$5:$DZ$22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Summary'!$EC$5:$EC$15</c:f>
              <c:numCache>
                <c:formatCode>#,##0</c:formatCode>
                <c:ptCount val="10"/>
                <c:pt idx="0">
                  <c:v>784.13172637564298</c:v>
                </c:pt>
                <c:pt idx="1">
                  <c:v>532.55012428973532</c:v>
                </c:pt>
                <c:pt idx="2">
                  <c:v>419.56768984946603</c:v>
                </c:pt>
                <c:pt idx="3">
                  <c:v>316.33668786814508</c:v>
                </c:pt>
                <c:pt idx="4">
                  <c:v>281.67384638115249</c:v>
                </c:pt>
                <c:pt idx="5">
                  <c:v>265.62497549075852</c:v>
                </c:pt>
                <c:pt idx="6">
                  <c:v>249.89107038080937</c:v>
                </c:pt>
                <c:pt idx="7">
                  <c:v>268.63742460106789</c:v>
                </c:pt>
                <c:pt idx="8">
                  <c:v>270.62335332323084</c:v>
                </c:pt>
                <c:pt idx="9">
                  <c:v>270.50647796906918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9-448C-A4E3-6B64E4EB265C}"/>
            </c:ext>
          </c:extLst>
        </c:ser>
        <c:ser>
          <c:idx val="1"/>
          <c:order val="1"/>
          <c:tx>
            <c:v>Forecast per Device</c:v>
          </c:tx>
          <c:marker>
            <c:symbol val="none"/>
          </c:marker>
          <c:cat>
            <c:numRef>
              <c:f>'Normalized Annual Summary'!$DZ$5:$DZ$22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Summary'!$EE$5:$EE$15,'Normalized Annual Summary'!$EC$16:$EC$22)</c:f>
              <c:numCache>
                <c:formatCode>General</c:formatCode>
                <c:ptCount val="17"/>
                <c:pt idx="10" formatCode="#,##0">
                  <c:v>270.50647796906918</c:v>
                </c:pt>
                <c:pt idx="11" formatCode="#,##0">
                  <c:v>270.50647796906918</c:v>
                </c:pt>
                <c:pt idx="12" formatCode="#,##0">
                  <c:v>270.50647796906918</c:v>
                </c:pt>
                <c:pt idx="13" formatCode="#,##0">
                  <c:v>270.50647796906918</c:v>
                </c:pt>
                <c:pt idx="14" formatCode="#,##0">
                  <c:v>270.50647796906918</c:v>
                </c:pt>
                <c:pt idx="15" formatCode="#,##0">
                  <c:v>270.50647796906918</c:v>
                </c:pt>
                <c:pt idx="16" formatCode="#,##0">
                  <c:v>270.50647796906918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9-448C-A4E3-6B64E4EB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Summary'!$ER$3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Summary'!$EN$5:$EN$22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Summary'!$ER$5:$ER$22</c:f>
              <c:numCache>
                <c:formatCode>#,##0</c:formatCode>
                <c:ptCount val="17"/>
                <c:pt idx="0">
                  <c:v>632882.16</c:v>
                </c:pt>
                <c:pt idx="1">
                  <c:v>598539.54</c:v>
                </c:pt>
                <c:pt idx="2">
                  <c:v>597299.67999999982</c:v>
                </c:pt>
                <c:pt idx="3">
                  <c:v>604470.16999999993</c:v>
                </c:pt>
                <c:pt idx="4">
                  <c:v>597885.07999999996</c:v>
                </c:pt>
                <c:pt idx="5">
                  <c:v>1852577.37</c:v>
                </c:pt>
                <c:pt idx="6">
                  <c:v>1969676.7400000002</c:v>
                </c:pt>
                <c:pt idx="7">
                  <c:v>1956354.06</c:v>
                </c:pt>
                <c:pt idx="8">
                  <c:v>1961564.28</c:v>
                </c:pt>
                <c:pt idx="9">
                  <c:v>1961874.72</c:v>
                </c:pt>
                <c:pt idx="10">
                  <c:v>1926400.0408803986</c:v>
                </c:pt>
                <c:pt idx="11">
                  <c:v>1936353.0077134862</c:v>
                </c:pt>
                <c:pt idx="12">
                  <c:v>1946357.3976916517</c:v>
                </c:pt>
                <c:pt idx="13">
                  <c:v>1956413.4764984741</c:v>
                </c:pt>
                <c:pt idx="14">
                  <c:v>1966521.5111902175</c:v>
                </c:pt>
                <c:pt idx="15">
                  <c:v>1976681.7702029219</c:v>
                </c:pt>
                <c:pt idx="16">
                  <c:v>1986894.5233595334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A-44A2-8D3F-9E8D74F12598}"/>
            </c:ext>
          </c:extLst>
        </c:ser>
        <c:ser>
          <c:idx val="3"/>
          <c:order val="1"/>
          <c:tx>
            <c:strRef>
              <c:f>'Normalized Annual Summary'!$CE$3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Summary'!$EN$5:$EN$22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Summary'!$ES$5:$ES$14,'Normalized Annual Summary'!$ER$15:$ER$22)</c:f>
              <c:numCache>
                <c:formatCode>General</c:formatCode>
                <c:ptCount val="17"/>
                <c:pt idx="9" formatCode="#,##0">
                  <c:v>1961874.72</c:v>
                </c:pt>
                <c:pt idx="10" formatCode="#,##0">
                  <c:v>1926400.0408803986</c:v>
                </c:pt>
                <c:pt idx="11" formatCode="#,##0">
                  <c:v>1936353.0077134862</c:v>
                </c:pt>
                <c:pt idx="12" formatCode="#,##0">
                  <c:v>1946357.3976916517</c:v>
                </c:pt>
                <c:pt idx="13" formatCode="#,##0">
                  <c:v>1956413.4764984741</c:v>
                </c:pt>
                <c:pt idx="14" formatCode="#,##0">
                  <c:v>1966521.5111902175</c:v>
                </c:pt>
                <c:pt idx="15" formatCode="#,##0">
                  <c:v>1976681.7702029219</c:v>
                </c:pt>
                <c:pt idx="16" formatCode="#,##0">
                  <c:v>1986894.5233595334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A-44A2-8D3F-9E8D74F1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Average Per USL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Summary'!$EQ$3</c:f>
              <c:strCache>
                <c:ptCount val="1"/>
                <c:pt idx="0">
                  <c:v>Average per Connection</c:v>
                </c:pt>
              </c:strCache>
            </c:strRef>
          </c:tx>
          <c:marker>
            <c:symbol val="none"/>
          </c:marker>
          <c:cat>
            <c:numRef>
              <c:f>'Normalized Annual Summary'!$EN$5:$EN$22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Summary'!$EQ$5:$EQ$15</c:f>
              <c:numCache>
                <c:formatCode>#,##0</c:formatCode>
                <c:ptCount val="10"/>
                <c:pt idx="0">
                  <c:v>1673.0005330983597</c:v>
                </c:pt>
                <c:pt idx="1">
                  <c:v>1608.0766774879655</c:v>
                </c:pt>
                <c:pt idx="2">
                  <c:v>1611.6011602023605</c:v>
                </c:pt>
                <c:pt idx="3">
                  <c:v>1603.9009485903812</c:v>
                </c:pt>
                <c:pt idx="4">
                  <c:v>1555.979388418998</c:v>
                </c:pt>
                <c:pt idx="5">
                  <c:v>4760.3701156316938</c:v>
                </c:pt>
                <c:pt idx="6">
                  <c:v>5030.5673895924256</c:v>
                </c:pt>
                <c:pt idx="7">
                  <c:v>4976.9448208607146</c:v>
                </c:pt>
                <c:pt idx="8">
                  <c:v>4897.7884644194755</c:v>
                </c:pt>
                <c:pt idx="9">
                  <c:v>4951.1033943217662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E-4CA5-ADBB-11C2A3CEDC4A}"/>
            </c:ext>
          </c:extLst>
        </c:ser>
        <c:ser>
          <c:idx val="1"/>
          <c:order val="1"/>
          <c:tx>
            <c:v>Forecast per Connection</c:v>
          </c:tx>
          <c:marker>
            <c:symbol val="none"/>
          </c:marker>
          <c:cat>
            <c:numRef>
              <c:f>'Normalized Annual Summary'!$EN$5:$EN$22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('Normalized Annual Summary'!$ES$5:$ES$15,'Normalized Annual Summary'!$EQ$16:$EQ$22)</c:f>
              <c:numCache>
                <c:formatCode>General</c:formatCode>
                <c:ptCount val="17"/>
                <c:pt idx="10" formatCode="#,##0">
                  <c:v>4951.1033943217662</c:v>
                </c:pt>
                <c:pt idx="11" formatCode="#,##0">
                  <c:v>4951.1033943217662</c:v>
                </c:pt>
                <c:pt idx="12" formatCode="#,##0">
                  <c:v>4951.1033943217662</c:v>
                </c:pt>
                <c:pt idx="13" formatCode="#,##0">
                  <c:v>4951.1033943217662</c:v>
                </c:pt>
                <c:pt idx="14" formatCode="#,##0">
                  <c:v>4951.1033943217662</c:v>
                </c:pt>
                <c:pt idx="15" formatCode="#,##0">
                  <c:v>4951.1033943217662</c:v>
                </c:pt>
                <c:pt idx="16" formatCode="#,##0">
                  <c:v>4951.1033943217662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E-4CA5-ADBB-11C2A3CED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GS 3,000 - 4,999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Summary'!$DP$3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Summary'!$DO$5:$DO$22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Summary'!$DP$5:$DP$22</c:f>
              <c:numCache>
                <c:formatCode>#,##0</c:formatCode>
                <c:ptCount val="17"/>
                <c:pt idx="0">
                  <c:v>59790687.039999992</c:v>
                </c:pt>
                <c:pt idx="1">
                  <c:v>62626456.32</c:v>
                </c:pt>
                <c:pt idx="2">
                  <c:v>61143400.199999996</c:v>
                </c:pt>
                <c:pt idx="3">
                  <c:v>72194607.670000002</c:v>
                </c:pt>
                <c:pt idx="4">
                  <c:v>79821855.49000001</c:v>
                </c:pt>
                <c:pt idx="5">
                  <c:v>85368173.439999998</c:v>
                </c:pt>
                <c:pt idx="6">
                  <c:v>88615341.370000005</c:v>
                </c:pt>
                <c:pt idx="7">
                  <c:v>88680038.160000011</c:v>
                </c:pt>
                <c:pt idx="8">
                  <c:v>85763218.280000001</c:v>
                </c:pt>
                <c:pt idx="9">
                  <c:v>82433193.179999992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9-4312-BCE7-D6127A6BE638}"/>
            </c:ext>
          </c:extLst>
        </c:ser>
        <c:ser>
          <c:idx val="1"/>
          <c:order val="1"/>
          <c:tx>
            <c:strRef>
              <c:f>'Normalized Annual Summary'!$DR$3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Summary'!$DO$5:$DO$22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Summary'!$DR$5:$DR$22</c:f>
              <c:numCache>
                <c:formatCode>#,##0</c:formatCode>
                <c:ptCount val="17"/>
                <c:pt idx="0">
                  <c:v>60550882.364713915</c:v>
                </c:pt>
                <c:pt idx="1">
                  <c:v>63772064.009023599</c:v>
                </c:pt>
                <c:pt idx="2">
                  <c:v>63079308.806291334</c:v>
                </c:pt>
                <c:pt idx="3">
                  <c:v>75020562.327309459</c:v>
                </c:pt>
                <c:pt idx="4">
                  <c:v>83915672.470856011</c:v>
                </c:pt>
                <c:pt idx="5">
                  <c:v>90346840.537376255</c:v>
                </c:pt>
                <c:pt idx="6">
                  <c:v>94391041.732008129</c:v>
                </c:pt>
                <c:pt idx="7">
                  <c:v>95586055.128350899</c:v>
                </c:pt>
                <c:pt idx="8">
                  <c:v>93213905.952376962</c:v>
                </c:pt>
                <c:pt idx="9">
                  <c:v>90609120.087219253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9-4312-BCE7-D6127A6BE638}"/>
            </c:ext>
          </c:extLst>
        </c:ser>
        <c:ser>
          <c:idx val="2"/>
          <c:order val="2"/>
          <c:tx>
            <c:strRef>
              <c:f>'Normalized Annual Summary'!$DX$3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Summary'!$DO$5:$DO$22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Summary'!$DX$5:$DX$22</c:f>
              <c:numCache>
                <c:formatCode>#,##0</c:formatCode>
                <c:ptCount val="17"/>
                <c:pt idx="0">
                  <c:v>64032948.581763573</c:v>
                </c:pt>
                <c:pt idx="1">
                  <c:v>64228985.05753459</c:v>
                </c:pt>
                <c:pt idx="2">
                  <c:v>64034036.61576356</c:v>
                </c:pt>
                <c:pt idx="3">
                  <c:v>77614440.974676207</c:v>
                </c:pt>
                <c:pt idx="4">
                  <c:v>89105499.11052531</c:v>
                </c:pt>
                <c:pt idx="5">
                  <c:v>89303191.094296351</c:v>
                </c:pt>
                <c:pt idx="6">
                  <c:v>89109639.552525327</c:v>
                </c:pt>
                <c:pt idx="7">
                  <c:v>89115697.68152532</c:v>
                </c:pt>
                <c:pt idx="8">
                  <c:v>89126935.138525322</c:v>
                </c:pt>
                <c:pt idx="9">
                  <c:v>89345385.240296334</c:v>
                </c:pt>
                <c:pt idx="10">
                  <c:v>99925595.681735232</c:v>
                </c:pt>
                <c:pt idx="11">
                  <c:v>119845241.2511005</c:v>
                </c:pt>
                <c:pt idx="12">
                  <c:v>133106532.11198768</c:v>
                </c:pt>
                <c:pt idx="13">
                  <c:v>138905034.42073834</c:v>
                </c:pt>
                <c:pt idx="14">
                  <c:v>144061789.08844689</c:v>
                </c:pt>
                <c:pt idx="15">
                  <c:v>154060081.37037206</c:v>
                </c:pt>
                <c:pt idx="16">
                  <c:v>164332907.17982367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9-4312-BCE7-D6127A6BE638}"/>
            </c:ext>
          </c:extLst>
        </c:ser>
        <c:ser>
          <c:idx val="3"/>
          <c:order val="3"/>
          <c:tx>
            <c:strRef>
              <c:f>'Normalized Annual Summary'!$DW$3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Summary'!$DO$5:$DO$22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Summary'!$DW$5:$DW$22</c:f>
              <c:numCache>
                <c:formatCode>#,##0</c:formatCode>
                <c:ptCount val="17"/>
                <c:pt idx="0">
                  <c:v>63272753.257049665</c:v>
                </c:pt>
                <c:pt idx="1">
                  <c:v>63083377.368510991</c:v>
                </c:pt>
                <c:pt idx="2">
                  <c:v>62098128.009472221</c:v>
                </c:pt>
                <c:pt idx="3">
                  <c:v>74788486.317366749</c:v>
                </c:pt>
                <c:pt idx="4">
                  <c:v>85011682.129669309</c:v>
                </c:pt>
                <c:pt idx="5">
                  <c:v>84324523.996920094</c:v>
                </c:pt>
                <c:pt idx="6">
                  <c:v>83333939.190517202</c:v>
                </c:pt>
                <c:pt idx="7">
                  <c:v>82209680.713174418</c:v>
                </c:pt>
                <c:pt idx="8">
                  <c:v>81676247.466148376</c:v>
                </c:pt>
                <c:pt idx="9">
                  <c:v>81169458.333077088</c:v>
                </c:pt>
                <c:pt idx="10">
                  <c:v>91907121.333394676</c:v>
                </c:pt>
                <c:pt idx="11">
                  <c:v>112160823.30461539</c:v>
                </c:pt>
                <c:pt idx="12">
                  <c:v>125842819.7414977</c:v>
                </c:pt>
                <c:pt idx="13">
                  <c:v>131952306.9375944</c:v>
                </c:pt>
                <c:pt idx="14">
                  <c:v>137847686.18108562</c:v>
                </c:pt>
                <c:pt idx="15">
                  <c:v>148183993.73779297</c:v>
                </c:pt>
                <c:pt idx="16">
                  <c:v>159579543.97727138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9-4312-BCE7-D6127A6B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Weather!$Z$1</c:f>
              <c:strCache>
                <c:ptCount val="1"/>
                <c:pt idx="0">
                  <c:v> WRZ_GSlt50kWh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Weather!$Z$14:$Z$133</c:f>
              <c:numCache>
                <c:formatCode>_-* #,##0_-;\-* #,##0_-;_-* "-"??_-;_-@_-</c:formatCode>
                <c:ptCount val="120"/>
                <c:pt idx="0">
                  <c:v>7689660.1805600002</c:v>
                </c:pt>
                <c:pt idx="1">
                  <c:v>7350543.5590599999</c:v>
                </c:pt>
                <c:pt idx="2">
                  <c:v>7116764.8280999996</c:v>
                </c:pt>
                <c:pt idx="3">
                  <c:v>6040445.2580000097</c:v>
                </c:pt>
                <c:pt idx="4">
                  <c:v>6027861.7735900097</c:v>
                </c:pt>
                <c:pt idx="5">
                  <c:v>6197601.5977799902</c:v>
                </c:pt>
                <c:pt idx="6">
                  <c:v>7093319.1781999897</c:v>
                </c:pt>
                <c:pt idx="7">
                  <c:v>6843663.1881900001</c:v>
                </c:pt>
                <c:pt idx="8">
                  <c:v>6613341.1861100104</c:v>
                </c:pt>
                <c:pt idx="9">
                  <c:v>5987105.1237599999</c:v>
                </c:pt>
                <c:pt idx="10">
                  <c:v>6177044.8955400204</c:v>
                </c:pt>
                <c:pt idx="11">
                  <c:v>6576696.9807900097</c:v>
                </c:pt>
                <c:pt idx="12">
                  <c:v>7916961.4077700097</c:v>
                </c:pt>
                <c:pt idx="13">
                  <c:v>7414281.0703600002</c:v>
                </c:pt>
                <c:pt idx="14">
                  <c:v>7323061.3602499999</c:v>
                </c:pt>
                <c:pt idx="15">
                  <c:v>6812115.3439100003</c:v>
                </c:pt>
                <c:pt idx="16">
                  <c:v>6828126.9130499903</c:v>
                </c:pt>
                <c:pt idx="17">
                  <c:v>7372116.0039600004</c:v>
                </c:pt>
                <c:pt idx="18">
                  <c:v>8153728.6656899899</c:v>
                </c:pt>
                <c:pt idx="19">
                  <c:v>8508203.0139099807</c:v>
                </c:pt>
                <c:pt idx="20">
                  <c:v>7333669.2690399904</c:v>
                </c:pt>
                <c:pt idx="21">
                  <c:v>6756573.7781199897</c:v>
                </c:pt>
                <c:pt idx="22">
                  <c:v>6928533.61558</c:v>
                </c:pt>
                <c:pt idx="23">
                  <c:v>7871846.1122600101</c:v>
                </c:pt>
                <c:pt idx="24">
                  <c:v>8016278.7296099998</c:v>
                </c:pt>
                <c:pt idx="25">
                  <c:v>7164471.7232300099</c:v>
                </c:pt>
                <c:pt idx="26">
                  <c:v>7829983.4152600002</c:v>
                </c:pt>
                <c:pt idx="27">
                  <c:v>6481015.5229199994</c:v>
                </c:pt>
                <c:pt idx="28">
                  <c:v>6664479.6604300002</c:v>
                </c:pt>
                <c:pt idx="29">
                  <c:v>6939366.2310000006</c:v>
                </c:pt>
                <c:pt idx="30">
                  <c:v>7545931.66426</c:v>
                </c:pt>
                <c:pt idx="31">
                  <c:v>7464636.54519</c:v>
                </c:pt>
                <c:pt idx="32">
                  <c:v>7112919.8067100001</c:v>
                </c:pt>
                <c:pt idx="33">
                  <c:v>6644922.6095499899</c:v>
                </c:pt>
                <c:pt idx="34">
                  <c:v>7101722.8000999996</c:v>
                </c:pt>
                <c:pt idx="35">
                  <c:v>8063167.9115699893</c:v>
                </c:pt>
                <c:pt idx="36">
                  <c:v>8621504.83063001</c:v>
                </c:pt>
                <c:pt idx="37">
                  <c:v>7330262.0310799899</c:v>
                </c:pt>
                <c:pt idx="38">
                  <c:v>7694198.3401800096</c:v>
                </c:pt>
                <c:pt idx="39">
                  <c:v>7000695.0524100102</c:v>
                </c:pt>
                <c:pt idx="40">
                  <c:v>6892929.3653700007</c:v>
                </c:pt>
                <c:pt idx="41">
                  <c:v>7114689.6228800006</c:v>
                </c:pt>
                <c:pt idx="42">
                  <c:v>8165305.2341500102</c:v>
                </c:pt>
                <c:pt idx="43">
                  <c:v>8249057.5837700097</c:v>
                </c:pt>
                <c:pt idx="44">
                  <c:v>7170784.3536500204</c:v>
                </c:pt>
                <c:pt idx="45">
                  <c:v>6812036.8581199897</c:v>
                </c:pt>
                <c:pt idx="46">
                  <c:v>7379330.4980500005</c:v>
                </c:pt>
                <c:pt idx="47">
                  <c:v>7715313.8120600097</c:v>
                </c:pt>
                <c:pt idx="48">
                  <c:v>8652788.0040099993</c:v>
                </c:pt>
                <c:pt idx="49">
                  <c:v>7684416.73217999</c:v>
                </c:pt>
                <c:pt idx="50">
                  <c:v>7968387.1239299905</c:v>
                </c:pt>
                <c:pt idx="51">
                  <c:v>6871603.43636999</c:v>
                </c:pt>
                <c:pt idx="52">
                  <c:v>6635212.5768599901</c:v>
                </c:pt>
                <c:pt idx="53">
                  <c:v>6888551.6979099903</c:v>
                </c:pt>
                <c:pt idx="54">
                  <c:v>8387513.6994099803</c:v>
                </c:pt>
                <c:pt idx="55">
                  <c:v>7793888.8982300097</c:v>
                </c:pt>
                <c:pt idx="56">
                  <c:v>6674126.5630400004</c:v>
                </c:pt>
                <c:pt idx="57">
                  <c:v>6557966.5479500201</c:v>
                </c:pt>
                <c:pt idx="58">
                  <c:v>7273179.2636399996</c:v>
                </c:pt>
                <c:pt idx="59">
                  <c:v>7836944.2918800004</c:v>
                </c:pt>
                <c:pt idx="60">
                  <c:v>8016317.3773400197</c:v>
                </c:pt>
                <c:pt idx="61">
                  <c:v>7519811.4258199902</c:v>
                </c:pt>
                <c:pt idx="62">
                  <c:v>6876474.1773399999</c:v>
                </c:pt>
                <c:pt idx="63">
                  <c:v>5391524.2541500004</c:v>
                </c:pt>
                <c:pt idx="64">
                  <c:v>5599966.37099999</c:v>
                </c:pt>
                <c:pt idx="65">
                  <c:v>6444108.9209900098</c:v>
                </c:pt>
                <c:pt idx="66">
                  <c:v>8067348.7171200002</c:v>
                </c:pt>
                <c:pt idx="67">
                  <c:v>7428953.7582700104</c:v>
                </c:pt>
                <c:pt idx="68">
                  <c:v>6302581.8812499996</c:v>
                </c:pt>
                <c:pt idx="69">
                  <c:v>6255988.8250099998</c:v>
                </c:pt>
                <c:pt idx="70">
                  <c:v>6500270.5689500002</c:v>
                </c:pt>
                <c:pt idx="71">
                  <c:v>7271498.5679899901</c:v>
                </c:pt>
                <c:pt idx="72">
                  <c:v>7234440.7226600004</c:v>
                </c:pt>
                <c:pt idx="73">
                  <c:v>6942210.9836299801</c:v>
                </c:pt>
                <c:pt idx="74">
                  <c:v>7049295.3213900002</c:v>
                </c:pt>
                <c:pt idx="75">
                  <c:v>5883586.5475199902</c:v>
                </c:pt>
                <c:pt idx="76">
                  <c:v>5942993.7124399999</c:v>
                </c:pt>
                <c:pt idx="77">
                  <c:v>6747594.3442200096</c:v>
                </c:pt>
                <c:pt idx="78">
                  <c:v>7286937.0730100097</c:v>
                </c:pt>
                <c:pt idx="79">
                  <c:v>8168149.6042099996</c:v>
                </c:pt>
                <c:pt idx="80">
                  <c:v>6629286.0111600002</c:v>
                </c:pt>
                <c:pt idx="81">
                  <c:v>6455749.64270999</c:v>
                </c:pt>
                <c:pt idx="82">
                  <c:v>6809444.3778900001</c:v>
                </c:pt>
                <c:pt idx="83">
                  <c:v>7406119.3913400099</c:v>
                </c:pt>
                <c:pt idx="84">
                  <c:v>8175617.9013599996</c:v>
                </c:pt>
                <c:pt idx="85">
                  <c:v>7448512.0922799902</c:v>
                </c:pt>
                <c:pt idx="86">
                  <c:v>7726426.3654699996</c:v>
                </c:pt>
                <c:pt idx="87">
                  <c:v>6624297.54868</c:v>
                </c:pt>
                <c:pt idx="88">
                  <c:v>6556923.9057799997</c:v>
                </c:pt>
                <c:pt idx="89">
                  <c:v>7068268.6945000105</c:v>
                </c:pt>
                <c:pt idx="90">
                  <c:v>7888607.0265100002</c:v>
                </c:pt>
                <c:pt idx="91">
                  <c:v>8117623.5096500004</c:v>
                </c:pt>
                <c:pt idx="92">
                  <c:v>6805705.1570899896</c:v>
                </c:pt>
                <c:pt idx="93">
                  <c:v>6474326.7470799899</c:v>
                </c:pt>
                <c:pt idx="94">
                  <c:v>6929144.9506299803</c:v>
                </c:pt>
                <c:pt idx="95">
                  <c:v>7672820.5764100002</c:v>
                </c:pt>
                <c:pt idx="96">
                  <c:v>7794544.9458499895</c:v>
                </c:pt>
                <c:pt idx="97">
                  <c:v>7181644.8783900002</c:v>
                </c:pt>
                <c:pt idx="98">
                  <c:v>7523124.4728100002</c:v>
                </c:pt>
                <c:pt idx="99">
                  <c:v>6435024.5605400093</c:v>
                </c:pt>
                <c:pt idx="100">
                  <c:v>6600638.7329799803</c:v>
                </c:pt>
                <c:pt idx="101">
                  <c:v>6980825.6741900099</c:v>
                </c:pt>
                <c:pt idx="102">
                  <c:v>7560067.7086700099</c:v>
                </c:pt>
                <c:pt idx="103">
                  <c:v>7282532.8857800001</c:v>
                </c:pt>
                <c:pt idx="104">
                  <c:v>8625394.2787499912</c:v>
                </c:pt>
                <c:pt idx="105">
                  <c:v>8469552.8560300097</c:v>
                </c:pt>
                <c:pt idx="106">
                  <c:v>6991604.8161899904</c:v>
                </c:pt>
                <c:pt idx="107">
                  <c:v>7327206.9142400008</c:v>
                </c:pt>
                <c:pt idx="108">
                  <c:v>8389513.8674640618</c:v>
                </c:pt>
                <c:pt idx="109">
                  <c:v>7130124.9658190059</c:v>
                </c:pt>
                <c:pt idx="110">
                  <c:v>7113330.9634937607</c:v>
                </c:pt>
                <c:pt idx="111">
                  <c:v>6518960.176282322</c:v>
                </c:pt>
                <c:pt idx="112">
                  <c:v>6952309.7293611402</c:v>
                </c:pt>
                <c:pt idx="113">
                  <c:v>7428387.7571524689</c:v>
                </c:pt>
                <c:pt idx="114">
                  <c:v>9169559.4624667745</c:v>
                </c:pt>
                <c:pt idx="115">
                  <c:v>7765936.299508539</c:v>
                </c:pt>
                <c:pt idx="116">
                  <c:v>6948343.0878897365</c:v>
                </c:pt>
                <c:pt idx="117">
                  <c:v>6625263.0535753397</c:v>
                </c:pt>
                <c:pt idx="118">
                  <c:v>6685310.0269476473</c:v>
                </c:pt>
                <c:pt idx="119">
                  <c:v>7681678.5207804423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7C-4C51-89ED-4D5181AA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Sentinel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Summary'!$EH$3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Summary'!$EG$5:$EG$22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Summary'!$EH$5:$EH$22</c:f>
              <c:numCache>
                <c:formatCode>#,##0</c:formatCode>
                <c:ptCount val="17"/>
                <c:pt idx="0">
                  <c:v>32743.20528781541</c:v>
                </c:pt>
                <c:pt idx="1">
                  <c:v>31709.209331358081</c:v>
                </c:pt>
                <c:pt idx="2">
                  <c:v>30330.54805608164</c:v>
                </c:pt>
                <c:pt idx="3">
                  <c:v>29985.882737262535</c:v>
                </c:pt>
                <c:pt idx="4">
                  <c:v>29641.217418443437</c:v>
                </c:pt>
                <c:pt idx="5">
                  <c:v>24815.902954975896</c:v>
                </c:pt>
                <c:pt idx="6">
                  <c:v>25473.639999999985</c:v>
                </c:pt>
                <c:pt idx="7">
                  <c:v>30995.533717316393</c:v>
                </c:pt>
                <c:pt idx="8">
                  <c:v>31196.699999999993</c:v>
                </c:pt>
                <c:pt idx="9">
                  <c:v>29865.999999999989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8-4FAB-AC21-6D308D17BB56}"/>
            </c:ext>
          </c:extLst>
        </c:ser>
        <c:ser>
          <c:idx val="3"/>
          <c:order val="1"/>
          <c:tx>
            <c:strRef>
              <c:f>'Normalized Annual Summary'!$EK$3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Summary'!$EG$5:$EG$22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Summary'!$EK$5:$EK$22</c:f>
              <c:numCache>
                <c:formatCode>#,##0</c:formatCode>
                <c:ptCount val="17"/>
                <c:pt idx="0">
                  <c:v>32743.20528781541</c:v>
                </c:pt>
                <c:pt idx="1">
                  <c:v>31709.209331358081</c:v>
                </c:pt>
                <c:pt idx="2">
                  <c:v>30330.548056081636</c:v>
                </c:pt>
                <c:pt idx="3">
                  <c:v>29985.882737262535</c:v>
                </c:pt>
                <c:pt idx="4">
                  <c:v>29641.217418443437</c:v>
                </c:pt>
                <c:pt idx="5">
                  <c:v>24815.902954975896</c:v>
                </c:pt>
                <c:pt idx="6">
                  <c:v>25473.639999999989</c:v>
                </c:pt>
                <c:pt idx="7">
                  <c:v>30995.533717316393</c:v>
                </c:pt>
                <c:pt idx="8">
                  <c:v>31196.699999999993</c:v>
                </c:pt>
                <c:pt idx="9">
                  <c:v>29865.999999999993</c:v>
                </c:pt>
                <c:pt idx="10">
                  <c:v>31238.247693689678</c:v>
                </c:pt>
                <c:pt idx="11">
                  <c:v>31652.571214880914</c:v>
                </c:pt>
                <c:pt idx="12">
                  <c:v>32072.390050082573</c:v>
                </c:pt>
                <c:pt idx="13">
                  <c:v>32497.777085516482</c:v>
                </c:pt>
                <c:pt idx="14">
                  <c:v>32928.806174119265</c:v>
                </c:pt>
                <c:pt idx="15">
                  <c:v>33365.552148364186</c:v>
                </c:pt>
                <c:pt idx="16">
                  <c:v>33808.090833253111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8-4FAB-AC21-6D308D17B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Average Per Sentinel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Summary'!$EPT$3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'Normalized Annual Summary'!$EG$12:$EG$22</c:f>
              <c:numCache>
                <c:formatCode>General</c:formatCode>
                <c:ptCount val="1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</c:numCache>
            </c:numRef>
          </c:cat>
          <c:val>
            <c:numRef>
              <c:f>'Normalized Annual Summary'!$EJ$12:$EJ$15</c:f>
              <c:numCache>
                <c:formatCode>#,##0</c:formatCode>
                <c:ptCount val="4"/>
                <c:pt idx="0">
                  <c:v>600.55732809430208</c:v>
                </c:pt>
                <c:pt idx="1">
                  <c:v>667.16843875838003</c:v>
                </c:pt>
                <c:pt idx="2">
                  <c:v>678.18913043478244</c:v>
                </c:pt>
                <c:pt idx="3">
                  <c:v>656.99725022914765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8-4DAD-B571-85EB63FA0797}"/>
            </c:ext>
          </c:extLst>
        </c:ser>
        <c:ser>
          <c:idx val="1"/>
          <c:order val="1"/>
          <c:tx>
            <c:v>Forecast per Device</c:v>
          </c:tx>
          <c:marker>
            <c:symbol val="none"/>
          </c:marker>
          <c:cat>
            <c:numRef>
              <c:f>'Normalized Annual Summary'!$EG$12:$EG$22</c:f>
              <c:numCache>
                <c:formatCode>General</c:formatCode>
                <c:ptCount val="1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</c:numCache>
            </c:numRef>
          </c:cat>
          <c:val>
            <c:numRef>
              <c:f>('Normalized Annual Summary'!$EL$12:$EL$15,'Normalized Annual Summary'!$EJ$16:$EJ$22)</c:f>
              <c:numCache>
                <c:formatCode>General</c:formatCode>
                <c:ptCount val="11"/>
                <c:pt idx="4" formatCode="#,##0">
                  <c:v>678.18913043478244</c:v>
                </c:pt>
                <c:pt idx="5" formatCode="#,##0">
                  <c:v>678.18913043478244</c:v>
                </c:pt>
                <c:pt idx="6" formatCode="#,##0">
                  <c:v>678.18913043478244</c:v>
                </c:pt>
                <c:pt idx="7" formatCode="#,##0">
                  <c:v>678.18913043478244</c:v>
                </c:pt>
                <c:pt idx="8" formatCode="#,##0">
                  <c:v>678.18913043478244</c:v>
                </c:pt>
                <c:pt idx="9" formatCode="#,##0">
                  <c:v>678.18913043478244</c:v>
                </c:pt>
                <c:pt idx="10" formatCode="#,##0">
                  <c:v>678.18913043478244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8-4DAD-B571-85EB63FA0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WRZ GS 50-2,999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Summary'!$DE$3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Summary'!$DD$5:$DD$22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Summary'!$DE$5:$DE$22</c:f>
              <c:numCache>
                <c:formatCode>#,##0</c:formatCode>
                <c:ptCount val="17"/>
                <c:pt idx="0">
                  <c:v>352899431.06331873</c:v>
                </c:pt>
                <c:pt idx="1">
                  <c:v>358773984.16000003</c:v>
                </c:pt>
                <c:pt idx="2">
                  <c:v>343423307.15999997</c:v>
                </c:pt>
                <c:pt idx="3">
                  <c:v>350668948.01999998</c:v>
                </c:pt>
                <c:pt idx="4">
                  <c:v>339922011.33999991</c:v>
                </c:pt>
                <c:pt idx="5">
                  <c:v>322964211.5</c:v>
                </c:pt>
                <c:pt idx="6">
                  <c:v>317381493.69</c:v>
                </c:pt>
                <c:pt idx="7">
                  <c:v>327733925.63999999</c:v>
                </c:pt>
                <c:pt idx="8">
                  <c:v>328654262.78999996</c:v>
                </c:pt>
                <c:pt idx="9">
                  <c:v>336698539.93000007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C-4A6C-A024-9D426E8B3BCB}"/>
            </c:ext>
          </c:extLst>
        </c:ser>
        <c:ser>
          <c:idx val="1"/>
          <c:order val="1"/>
          <c:tx>
            <c:strRef>
              <c:f>'Normalized Annual Summary'!$DG$3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Summary'!$DD$5:$DD$22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Summary'!$DG$5:$DG$22</c:f>
              <c:numCache>
                <c:formatCode>#,##0</c:formatCode>
                <c:ptCount val="17"/>
                <c:pt idx="0">
                  <c:v>356280749.60554087</c:v>
                </c:pt>
                <c:pt idx="1">
                  <c:v>363869601.55604947</c:v>
                </c:pt>
                <c:pt idx="2">
                  <c:v>352034151.57549763</c:v>
                </c:pt>
                <c:pt idx="3">
                  <c:v>363238681.83918047</c:v>
                </c:pt>
                <c:pt idx="4">
                  <c:v>358131146.3028354</c:v>
                </c:pt>
                <c:pt idx="5">
                  <c:v>345109124.5567131</c:v>
                </c:pt>
                <c:pt idx="6">
                  <c:v>343070590.56103444</c:v>
                </c:pt>
                <c:pt idx="7">
                  <c:v>358448135.86983597</c:v>
                </c:pt>
                <c:pt idx="8">
                  <c:v>361788715.49792469</c:v>
                </c:pt>
                <c:pt idx="9">
                  <c:v>373054127.14085734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C-4A6C-A024-9D426E8B3BCB}"/>
            </c:ext>
          </c:extLst>
        </c:ser>
        <c:ser>
          <c:idx val="2"/>
          <c:order val="2"/>
          <c:tx>
            <c:strRef>
              <c:f>'Normalized Annual Summary'!$DM$3</c:f>
              <c:strCache>
                <c:ptCount val="1"/>
                <c:pt idx="0">
                  <c:v>Normal Predicted 
No CDM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Summary'!$DD$5:$DD$22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Summary'!$DM$5:$DM$22</c:f>
              <c:numCache>
                <c:formatCode>#,##0</c:formatCode>
                <c:ptCount val="17"/>
                <c:pt idx="0">
                  <c:v>361553861.47906214</c:v>
                </c:pt>
                <c:pt idx="1">
                  <c:v>361965211.04233634</c:v>
                </c:pt>
                <c:pt idx="2">
                  <c:v>361558928.78506219</c:v>
                </c:pt>
                <c:pt idx="3">
                  <c:v>361572893.14006215</c:v>
                </c:pt>
                <c:pt idx="4">
                  <c:v>361622439.81376976</c:v>
                </c:pt>
                <c:pt idx="5">
                  <c:v>344634904.24437159</c:v>
                </c:pt>
                <c:pt idx="6">
                  <c:v>344331082.33708519</c:v>
                </c:pt>
                <c:pt idx="7">
                  <c:v>353248703.2722581</c:v>
                </c:pt>
                <c:pt idx="8">
                  <c:v>362132436.81118047</c:v>
                </c:pt>
                <c:pt idx="9">
                  <c:v>362738968.07433426</c:v>
                </c:pt>
                <c:pt idx="10">
                  <c:v>374569155.18268389</c:v>
                </c:pt>
                <c:pt idx="11">
                  <c:v>394177350.68765861</c:v>
                </c:pt>
                <c:pt idx="12">
                  <c:v>407499173.5068866</c:v>
                </c:pt>
                <c:pt idx="13">
                  <c:v>417021100.77333534</c:v>
                </c:pt>
                <c:pt idx="14">
                  <c:v>426953659.46860284</c:v>
                </c:pt>
                <c:pt idx="15">
                  <c:v>435325571.83329868</c:v>
                </c:pt>
                <c:pt idx="16">
                  <c:v>438789031.03509372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C-4A6C-A024-9D426E8B3BCB}"/>
            </c:ext>
          </c:extLst>
        </c:ser>
        <c:ser>
          <c:idx val="3"/>
          <c:order val="3"/>
          <c:tx>
            <c:strRef>
              <c:f>'Normalized Annual Summary'!$DL$3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Summary'!$DD$5:$DD$22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'Normalized Annual Summary'!$DL$5:$DL$22</c:f>
              <c:numCache>
                <c:formatCode>#,##0</c:formatCode>
                <c:ptCount val="17"/>
                <c:pt idx="0">
                  <c:v>358172542.93684006</c:v>
                </c:pt>
                <c:pt idx="1">
                  <c:v>356869593.64628685</c:v>
                </c:pt>
                <c:pt idx="2">
                  <c:v>352948084.36956447</c:v>
                </c:pt>
                <c:pt idx="3">
                  <c:v>349003159.32088166</c:v>
                </c:pt>
                <c:pt idx="4">
                  <c:v>343413304.85093433</c:v>
                </c:pt>
                <c:pt idx="5">
                  <c:v>322489991.18765843</c:v>
                </c:pt>
                <c:pt idx="6">
                  <c:v>318641985.4660508</c:v>
                </c:pt>
                <c:pt idx="7">
                  <c:v>322534493.04242218</c:v>
                </c:pt>
                <c:pt idx="8">
                  <c:v>328997984.10325587</c:v>
                </c:pt>
                <c:pt idx="9">
                  <c:v>326383380.86347687</c:v>
                </c:pt>
                <c:pt idx="10">
                  <c:v>338913911.79067665</c:v>
                </c:pt>
                <c:pt idx="11">
                  <c:v>360007852.1668486</c:v>
                </c:pt>
                <c:pt idx="12">
                  <c:v>375200812.08177775</c:v>
                </c:pt>
                <c:pt idx="13">
                  <c:v>386105854.7472927</c:v>
                </c:pt>
                <c:pt idx="14">
                  <c:v>399323580.81141138</c:v>
                </c:pt>
                <c:pt idx="15">
                  <c:v>409198807.53389639</c:v>
                </c:pt>
                <c:pt idx="16">
                  <c:v>417655802.3988418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C-4A6C-A024-9D426E8B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2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</a:t>
            </a:r>
            <a:r>
              <a:rPr lang="en-US" baseline="0"/>
              <a:t>50 - 2,999 -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Forecast'!$E$5:$E$15</c:f>
              <c:numCache>
                <c:formatCode>0.000000</c:formatCode>
                <c:ptCount val="10"/>
                <c:pt idx="0">
                  <c:v>2.3967839284370499E-3</c:v>
                </c:pt>
                <c:pt idx="1">
                  <c:v>2.4236336883264936E-3</c:v>
                </c:pt>
                <c:pt idx="2">
                  <c:v>2.4296625899819417E-3</c:v>
                </c:pt>
                <c:pt idx="3">
                  <c:v>2.3930719460872442E-3</c:v>
                </c:pt>
                <c:pt idx="4">
                  <c:v>2.3794708363979841E-3</c:v>
                </c:pt>
                <c:pt idx="5">
                  <c:v>2.415998509658904E-3</c:v>
                </c:pt>
                <c:pt idx="6">
                  <c:v>2.389835512252345E-3</c:v>
                </c:pt>
                <c:pt idx="7">
                  <c:v>2.4125384360195097E-3</c:v>
                </c:pt>
                <c:pt idx="8">
                  <c:v>2.3902169203263114E-3</c:v>
                </c:pt>
                <c:pt idx="9">
                  <c:v>2.2802794215199661E-3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F-4FE2-BE29-64E8BC7B1D13}"/>
            </c:ext>
          </c:extLst>
        </c:ser>
        <c:ser>
          <c:idx val="2"/>
          <c:order val="1"/>
          <c:tx>
            <c:v>Forecast Trend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F-4FE2-BE29-64E8BC7B1D1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Forecast'!$E$20:$E$27)</c:f>
              <c:numCache>
                <c:formatCode>General</c:formatCode>
                <c:ptCount val="17"/>
                <c:pt idx="9" formatCode="_-* #,##0.000000_-;\-* #,##0.000000_-;_-* &quot;-&quot;??_-;_-@_-">
                  <c:v>2.3911491789007757E-3</c:v>
                </c:pt>
                <c:pt idx="10" formatCode="_-* #,##0.000000_-;\-* #,##0.000000_-;_-* &quot;-&quot;??_-;_-@_-">
                  <c:v>2.3911491789007757E-3</c:v>
                </c:pt>
                <c:pt idx="11" formatCode="_-* #,##0.000000_-;\-* #,##0.000000_-;_-* &quot;-&quot;??_-;_-@_-">
                  <c:v>2.3911491789007757E-3</c:v>
                </c:pt>
                <c:pt idx="12" formatCode="_-* #,##0.000000_-;\-* #,##0.000000_-;_-* &quot;-&quot;??_-;_-@_-">
                  <c:v>2.3911491789007757E-3</c:v>
                </c:pt>
                <c:pt idx="13" formatCode="_-* #,##0.000000_-;\-* #,##0.000000_-;_-* &quot;-&quot;??_-;_-@_-">
                  <c:v>2.3911491789007757E-3</c:v>
                </c:pt>
                <c:pt idx="14" formatCode="_-* #,##0.000000_-;\-* #,##0.000000_-;_-* &quot;-&quot;??_-;_-@_-">
                  <c:v>2.3911491789007757E-3</c:v>
                </c:pt>
                <c:pt idx="15" formatCode="_-* #,##0.000000_-;\-* #,##0.000000_-;_-* &quot;-&quot;??_-;_-@_-">
                  <c:v>2.3911491789007757E-3</c:v>
                </c:pt>
                <c:pt idx="16" formatCode="_-* #,##0.000000_-;\-* #,##0.000000_-;_-* &quot;-&quot;??_-;_-@_-">
                  <c:v>2.3911491789007757E-3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F-4FE2-BE29-64E8BC7B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</a:t>
            </a:r>
            <a:r>
              <a:rPr lang="en-US" baseline="0"/>
              <a:t>0 - 4,999 -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Forecast'!$L$3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Forecast'!$L$5:$L$15</c:f>
              <c:numCache>
                <c:formatCode>0.000000</c:formatCode>
                <c:ptCount val="10"/>
                <c:pt idx="0">
                  <c:v>2.3436211825833405E-3</c:v>
                </c:pt>
                <c:pt idx="1">
                  <c:v>2.751242654655003E-3</c:v>
                </c:pt>
                <c:pt idx="2">
                  <c:v>2.2057319198777519E-3</c:v>
                </c:pt>
                <c:pt idx="3">
                  <c:v>2.2550895947244741E-3</c:v>
                </c:pt>
                <c:pt idx="4">
                  <c:v>2.0949008381196191E-3</c:v>
                </c:pt>
                <c:pt idx="5">
                  <c:v>2.1549193741020501E-3</c:v>
                </c:pt>
                <c:pt idx="6">
                  <c:v>2.2051186553910152E-3</c:v>
                </c:pt>
                <c:pt idx="7">
                  <c:v>2.1010975721496602E-3</c:v>
                </c:pt>
                <c:pt idx="8">
                  <c:v>2.133466786381751E-3</c:v>
                </c:pt>
                <c:pt idx="9">
                  <c:v>2.1961684609198453E-3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6-411E-B767-4C28AB296A5D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Forecast'!$M$20:$M$27)</c:f>
              <c:numCache>
                <c:formatCode>General</c:formatCode>
                <c:ptCount val="17"/>
                <c:pt idx="9" formatCode="_-* #,##0.000000_-;\-* #,##0.000000_-;_-* &quot;-&quot;??_-;_-@_-">
                  <c:v>2.0732837513392915E-3</c:v>
                </c:pt>
                <c:pt idx="10" formatCode="_-* #,##0.000000_-;\-* #,##0.000000_-;_-* &quot;-&quot;??_-;_-@_-">
                  <c:v>2.0353166507723619E-3</c:v>
                </c:pt>
                <c:pt idx="11" formatCode="_-* #,##0.000000_-;\-* #,##0.000000_-;_-* &quot;-&quot;??_-;_-@_-">
                  <c:v>1.9973495502054461E-3</c:v>
                </c:pt>
                <c:pt idx="12" formatCode="_-* #,##0.000000_-;\-* #,##0.000000_-;_-* &quot;-&quot;??_-;_-@_-">
                  <c:v>1.9593824496385165E-3</c:v>
                </c:pt>
                <c:pt idx="13" formatCode="_-* #,##0.000000_-;\-* #,##0.000000_-;_-* &quot;-&quot;??_-;_-@_-">
                  <c:v>1.9214153490715868E-3</c:v>
                </c:pt>
                <c:pt idx="14" formatCode="_-* #,##0.000000_-;\-* #,##0.000000_-;_-* &quot;-&quot;??_-;_-@_-">
                  <c:v>1.8834482485046711E-3</c:v>
                </c:pt>
                <c:pt idx="15" formatCode="_-* #,##0.000000_-;\-* #,##0.000000_-;_-* &quot;-&quot;??_-;_-@_-">
                  <c:v>1.8454811479377414E-3</c:v>
                </c:pt>
                <c:pt idx="16" formatCode="_-* #,##0.000000_-;\-* #,##0.000000_-;_-* &quot;-&quot;??_-;_-@_-">
                  <c:v>1.8075140473708118E-3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6-411E-B767-4C28AB296A5D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Forecast'!$L$20:$L$27)</c:f>
              <c:numCache>
                <c:formatCode>General</c:formatCode>
                <c:ptCount val="17"/>
                <c:pt idx="9" formatCode="_-* #,##0.000000_-;\-* #,##0.000000_-;_-* &quot;-&quot;??_-;_-@_-">
                  <c:v>2.1581541697888646E-3</c:v>
                </c:pt>
                <c:pt idx="10" formatCode="_-* #,##0.000000_-;\-* #,##0.000000_-;_-* &quot;-&quot;??_-;_-@_-">
                  <c:v>2.1581541697888646E-3</c:v>
                </c:pt>
                <c:pt idx="11" formatCode="_-* #,##0.000000_-;\-* #,##0.000000_-;_-* &quot;-&quot;??_-;_-@_-">
                  <c:v>2.1581541697888646E-3</c:v>
                </c:pt>
                <c:pt idx="12" formatCode="_-* #,##0.000000_-;\-* #,##0.000000_-;_-* &quot;-&quot;??_-;_-@_-">
                  <c:v>2.1581541697888646E-3</c:v>
                </c:pt>
                <c:pt idx="13" formatCode="_-* #,##0.000000_-;\-* #,##0.000000_-;_-* &quot;-&quot;??_-;_-@_-">
                  <c:v>2.1581541697888646E-3</c:v>
                </c:pt>
                <c:pt idx="14" formatCode="_-* #,##0.000000_-;\-* #,##0.000000_-;_-* &quot;-&quot;??_-;_-@_-">
                  <c:v>2.1581541697888646E-3</c:v>
                </c:pt>
                <c:pt idx="15" formatCode="_-* #,##0.000000_-;\-* #,##0.000000_-;_-* &quot;-&quot;??_-;_-@_-">
                  <c:v>2.1581541697888646E-3</c:v>
                </c:pt>
                <c:pt idx="16" formatCode="_-* #,##0.000000_-;\-* #,##0.000000_-;_-* &quot;-&quot;??_-;_-@_-">
                  <c:v>2.1581541697888646E-3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6-411E-B767-4C28AB296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  <a:r>
              <a:rPr lang="en-US" baseline="0"/>
              <a:t>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Forecast'!$T$3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Forecast'!$T$5:$T$15</c:f>
              <c:numCache>
                <c:formatCode>0.000000</c:formatCode>
                <c:ptCount val="10"/>
                <c:pt idx="0">
                  <c:v>1.7164934396032294E-3</c:v>
                </c:pt>
                <c:pt idx="1">
                  <c:v>1.9543882553132554E-3</c:v>
                </c:pt>
                <c:pt idx="2">
                  <c:v>1.710295117852508E-3</c:v>
                </c:pt>
                <c:pt idx="3">
                  <c:v>1.6906568813151426E-3</c:v>
                </c:pt>
                <c:pt idx="4">
                  <c:v>1.6695944357898586E-3</c:v>
                </c:pt>
                <c:pt idx="5">
                  <c:v>1.7153064038986539E-3</c:v>
                </c:pt>
                <c:pt idx="6">
                  <c:v>1.690839375587373E-3</c:v>
                </c:pt>
                <c:pt idx="7">
                  <c:v>1.6958751072941132E-3</c:v>
                </c:pt>
                <c:pt idx="8">
                  <c:v>1.7057286217746462E-3</c:v>
                </c:pt>
                <c:pt idx="9">
                  <c:v>1.6543075534343075E-3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A-47C5-83D6-4986DE3252CC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Forecast'!$U$20:$U$27)</c:f>
              <c:numCache>
                <c:formatCode>General</c:formatCode>
                <c:ptCount val="17"/>
                <c:pt idx="9" formatCode="_-* #,##0.000000_-;\-* #,##0.000000_-;_-* &quot;-&quot;??_-;_-@_-">
                  <c:v>1.6569085824911164E-3</c:v>
                </c:pt>
                <c:pt idx="10" formatCode="_-* #,##0.000000_-;\-* #,##0.000000_-;_-* &quot;-&quot;??_-;_-@_-">
                  <c:v>1.6428108187810722E-3</c:v>
                </c:pt>
                <c:pt idx="11" formatCode="_-* #,##0.000000_-;\-* #,##0.000000_-;_-* &quot;-&quot;??_-;_-@_-">
                  <c:v>1.6287130550710315E-3</c:v>
                </c:pt>
                <c:pt idx="12" formatCode="_-* #,##0.000000_-;\-* #,##0.000000_-;_-* &quot;-&quot;??_-;_-@_-">
                  <c:v>1.6146152913609872E-3</c:v>
                </c:pt>
                <c:pt idx="13" formatCode="_-* #,##0.000000_-;\-* #,##0.000000_-;_-* &quot;-&quot;??_-;_-@_-">
                  <c:v>1.600517527650943E-3</c:v>
                </c:pt>
                <c:pt idx="14" formatCode="_-* #,##0.000000_-;\-* #,##0.000000_-;_-* &quot;-&quot;??_-;_-@_-">
                  <c:v>1.5864197639409022E-3</c:v>
                </c:pt>
                <c:pt idx="15" formatCode="_-* #,##0.000000_-;\-* #,##0.000000_-;_-* &quot;-&quot;??_-;_-@_-">
                  <c:v>1.572322000230858E-3</c:v>
                </c:pt>
                <c:pt idx="16" formatCode="_-* #,##0.000000_-;\-* #,##0.000000_-;_-* &quot;-&quot;??_-;_-@_-">
                  <c:v>1.5582242365208172E-3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A-47C5-83D6-4986DE3252CC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Forecast'!$T$20:$T$27)</c:f>
              <c:numCache>
                <c:formatCode>General</c:formatCode>
                <c:ptCount val="17"/>
                <c:pt idx="9" formatCode="_-* #,##0.000000_-;\-* #,##0.000000_-;_-* &quot;-&quot;??_-;_-@_-">
                  <c:v>1.692411412397819E-3</c:v>
                </c:pt>
                <c:pt idx="10" formatCode="_-* #,##0.000000_-;\-* #,##0.000000_-;_-* &quot;-&quot;??_-;_-@_-">
                  <c:v>1.692411412397819E-3</c:v>
                </c:pt>
                <c:pt idx="11" formatCode="_-* #,##0.000000_-;\-* #,##0.000000_-;_-* &quot;-&quot;??_-;_-@_-">
                  <c:v>1.692411412397819E-3</c:v>
                </c:pt>
                <c:pt idx="12" formatCode="_-* #,##0.000000_-;\-* #,##0.000000_-;_-* &quot;-&quot;??_-;_-@_-">
                  <c:v>1.692411412397819E-3</c:v>
                </c:pt>
                <c:pt idx="13" formatCode="_-* #,##0.000000_-;\-* #,##0.000000_-;_-* &quot;-&quot;??_-;_-@_-">
                  <c:v>1.692411412397819E-3</c:v>
                </c:pt>
                <c:pt idx="14" formatCode="_-* #,##0.000000_-;\-* #,##0.000000_-;_-* &quot;-&quot;??_-;_-@_-">
                  <c:v>1.692411412397819E-3</c:v>
                </c:pt>
                <c:pt idx="15" formatCode="_-* #,##0.000000_-;\-* #,##0.000000_-;_-* &quot;-&quot;??_-;_-@_-">
                  <c:v>1.692411412397819E-3</c:v>
                </c:pt>
                <c:pt idx="16" formatCode="_-* #,##0.000000_-;\-* #,##0.000000_-;_-* &quot;-&quot;??_-;_-@_-">
                  <c:v>1.692411412397819E-3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A-47C5-83D6-4986DE325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Forecast'!$AB$3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Forecast'!$AB$5:$AB$15</c:f>
              <c:numCache>
                <c:formatCode>0.000000</c:formatCode>
                <c:ptCount val="10"/>
                <c:pt idx="0">
                  <c:v>2.6934173589659104E-3</c:v>
                </c:pt>
                <c:pt idx="1">
                  <c:v>2.6534563020166931E-3</c:v>
                </c:pt>
                <c:pt idx="2">
                  <c:v>2.6798952203949287E-3</c:v>
                </c:pt>
                <c:pt idx="3">
                  <c:v>2.6677681917874098E-3</c:v>
                </c:pt>
                <c:pt idx="4">
                  <c:v>2.6608940883549132E-3</c:v>
                </c:pt>
                <c:pt idx="5">
                  <c:v>2.655747080845673E-3</c:v>
                </c:pt>
                <c:pt idx="6">
                  <c:v>2.6640419304950354E-3</c:v>
                </c:pt>
                <c:pt idx="7">
                  <c:v>2.6638414551756785E-3</c:v>
                </c:pt>
                <c:pt idx="8">
                  <c:v>2.6592575853830714E-3</c:v>
                </c:pt>
                <c:pt idx="9">
                  <c:v>2.6492757560306304E-3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F-42B2-899A-3DFEA7AFEC63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Forecast'!$AC$20:$AC$27)</c:f>
              <c:numCache>
                <c:formatCode>General</c:formatCode>
                <c:ptCount val="17"/>
                <c:pt idx="9" formatCode="_-* #,##0.000000_-;\-* #,##0.000000_-;_-* &quot;-&quot;??_-;_-@_-">
                  <c:v>2.6566939698661647E-3</c:v>
                </c:pt>
                <c:pt idx="10" formatCode="_-* #,##0.000000_-;\-* #,##0.000000_-;_-* &quot;-&quot;??_-;_-@_-">
                  <c:v>2.6545304385902349E-3</c:v>
                </c:pt>
                <c:pt idx="11" formatCode="_-* #,##0.000000_-;\-* #,##0.000000_-;_-* &quot;-&quot;??_-;_-@_-">
                  <c:v>2.6523669073143042E-3</c:v>
                </c:pt>
                <c:pt idx="12" formatCode="_-* #,##0.000000_-;\-* #,##0.000000_-;_-* &quot;-&quot;??_-;_-@_-">
                  <c:v>2.6502033760383735E-3</c:v>
                </c:pt>
                <c:pt idx="13" formatCode="_-* #,##0.000000_-;\-* #,##0.000000_-;_-* &quot;-&quot;??_-;_-@_-">
                  <c:v>2.6480398447624428E-3</c:v>
                </c:pt>
                <c:pt idx="14" formatCode="_-* #,##0.000000_-;\-* #,##0.000000_-;_-* &quot;-&quot;??_-;_-@_-">
                  <c:v>2.6458763134865129E-3</c:v>
                </c:pt>
                <c:pt idx="15" formatCode="_-* #,##0.000000_-;\-* #,##0.000000_-;_-* &quot;-&quot;??_-;_-@_-">
                  <c:v>2.6437127822105822E-3</c:v>
                </c:pt>
                <c:pt idx="16" formatCode="_-* #,##0.000000_-;\-* #,##0.000000_-;_-* &quot;-&quot;??_-;_-@_-">
                  <c:v>2.6415492509346515E-3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F-42B2-899A-3DFEA7AFEC6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Forecast'!$AB$20:$AB$27)</c:f>
              <c:numCache>
                <c:formatCode>General</c:formatCode>
                <c:ptCount val="17"/>
                <c:pt idx="9" formatCode="_-* #,##0.000000_-;\-* #,##0.000000_-;_-* &quot;-&quot;??_-;_-@_-">
                  <c:v>2.6647594969449943E-3</c:v>
                </c:pt>
                <c:pt idx="10" formatCode="_-* #,##0.000000_-;\-* #,##0.000000_-;_-* &quot;-&quot;??_-;_-@_-">
                  <c:v>2.6647594969449943E-3</c:v>
                </c:pt>
                <c:pt idx="11" formatCode="_-* #,##0.000000_-;\-* #,##0.000000_-;_-* &quot;-&quot;??_-;_-@_-">
                  <c:v>2.6647594969449943E-3</c:v>
                </c:pt>
                <c:pt idx="12" formatCode="_-* #,##0.000000_-;\-* #,##0.000000_-;_-* &quot;-&quot;??_-;_-@_-">
                  <c:v>2.6647594969449943E-3</c:v>
                </c:pt>
                <c:pt idx="13" formatCode="_-* #,##0.000000_-;\-* #,##0.000000_-;_-* &quot;-&quot;??_-;_-@_-">
                  <c:v>2.6647594969449943E-3</c:v>
                </c:pt>
                <c:pt idx="14" formatCode="_-* #,##0.000000_-;\-* #,##0.000000_-;_-* &quot;-&quot;??_-;_-@_-">
                  <c:v>2.6647594969449943E-3</c:v>
                </c:pt>
                <c:pt idx="15" formatCode="_-* #,##0.000000_-;\-* #,##0.000000_-;_-* &quot;-&quot;??_-;_-@_-">
                  <c:v>2.6647594969449943E-3</c:v>
                </c:pt>
                <c:pt idx="16" formatCode="_-* #,##0.000000_-;\-* #,##0.000000_-;_-* &quot;-&quot;??_-;_-@_-">
                  <c:v>2.6647594969449943E-3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F-42B2-899A-3DFEA7AF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Sentinel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Forecast'!$AI$3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Forecast'!$AI$5:$AI$15</c:f>
              <c:numCache>
                <c:formatCode>0.000000</c:formatCode>
                <c:ptCount val="10"/>
                <c:pt idx="0">
                  <c:v>8.7372231036994645E-3</c:v>
                </c:pt>
                <c:pt idx="1">
                  <c:v>6.4891165867707523E-3</c:v>
                </c:pt>
                <c:pt idx="2">
                  <c:v>3.104831937245279E-3</c:v>
                </c:pt>
                <c:pt idx="3">
                  <c:v>2.9048402182551701E-3</c:v>
                </c:pt>
                <c:pt idx="4">
                  <c:v>2.7374435228191157E-3</c:v>
                </c:pt>
                <c:pt idx="5">
                  <c:v>2.7955604062254078E-3</c:v>
                </c:pt>
                <c:pt idx="6">
                  <c:v>2.7810621985440787E-3</c:v>
                </c:pt>
                <c:pt idx="7">
                  <c:v>2.776683711007749E-3</c:v>
                </c:pt>
                <c:pt idx="8">
                  <c:v>2.7786533430238874E-3</c:v>
                </c:pt>
                <c:pt idx="9">
                  <c:v>2.7777008757601772E-3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B-4896-8137-E13B0CB5B458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Forecast'!$AJ$20:$AJ$27)</c:f>
              <c:numCache>
                <c:formatCode>General</c:formatCode>
                <c:ptCount val="17"/>
                <c:pt idx="9" formatCode="_-* #,##0.000000_-;\-* #,##0.000000_-;_-* &quot;-&quot;??_-;_-@_-">
                  <c:v>1.6338266839241999E-3</c:v>
                </c:pt>
                <c:pt idx="10" formatCode="_-* #,##0.000000_-;\-* #,##0.000000_-;_-* &quot;-&quot;??_-;_-@_-">
                  <c:v>1.1730132133392912E-3</c:v>
                </c:pt>
                <c:pt idx="11" formatCode="_-* #,##0.000000_-;\-* #,##0.000000_-;_-* &quot;-&quot;??_-;_-@_-">
                  <c:v>7.1219974275427145E-4</c:v>
                </c:pt>
                <c:pt idx="12" formatCode="_-* #,##0.000000_-;\-* #,##0.000000_-;_-* &quot;-&quot;??_-;_-@_-">
                  <c:v>2.5138627216925169E-4</c:v>
                </c:pt>
                <c:pt idx="13" formatCode="_-* #,##0.000000_-;\-* #,##0.000000_-;_-* &quot;-&quot;??_-;_-@_-">
                  <c:v>-2.0942719841565705E-4</c:v>
                </c:pt>
                <c:pt idx="14" formatCode="_-* #,##0.000000_-;\-* #,##0.000000_-;_-* &quot;-&quot;??_-;_-@_-">
                  <c:v>-6.702406690006768E-4</c:v>
                </c:pt>
                <c:pt idx="15" formatCode="_-* #,##0.000000_-;\-* #,##0.000000_-;_-* &quot;-&quot;??_-;_-@_-">
                  <c:v>-1.1310541395856966E-3</c:v>
                </c:pt>
                <c:pt idx="16" formatCode="_-* #,##0.000000_-;\-* #,##0.000000_-;_-* &quot;-&quot;??_-;_-@_-">
                  <c:v>-1.5918676101706053E-3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B-4896-8137-E13B0CB5B458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Forecast'!$AI$20:$AI$27)</c:f>
              <c:numCache>
                <c:formatCode>General</c:formatCode>
                <c:ptCount val="17"/>
                <c:pt idx="9" formatCode="_-* #,##0.000000_-;\-* #,##0.000000_-;_-* &quot;-&quot;??_-;_-@_-">
                  <c:v>2.7738806363240475E-3</c:v>
                </c:pt>
                <c:pt idx="10" formatCode="_-* #,##0.000000_-;\-* #,##0.000000_-;_-* &quot;-&quot;??_-;_-@_-">
                  <c:v>2.7738806363240475E-3</c:v>
                </c:pt>
                <c:pt idx="11" formatCode="_-* #,##0.000000_-;\-* #,##0.000000_-;_-* &quot;-&quot;??_-;_-@_-">
                  <c:v>2.7738806363240475E-3</c:v>
                </c:pt>
                <c:pt idx="12" formatCode="_-* #,##0.000000_-;\-* #,##0.000000_-;_-* &quot;-&quot;??_-;_-@_-">
                  <c:v>2.7738806363240475E-3</c:v>
                </c:pt>
                <c:pt idx="13" formatCode="_-* #,##0.000000_-;\-* #,##0.000000_-;_-* &quot;-&quot;??_-;_-@_-">
                  <c:v>2.7738806363240475E-3</c:v>
                </c:pt>
                <c:pt idx="14" formatCode="_-* #,##0.000000_-;\-* #,##0.000000_-;_-* &quot;-&quot;??_-;_-@_-">
                  <c:v>2.7738806363240475E-3</c:v>
                </c:pt>
                <c:pt idx="15" formatCode="_-* #,##0.000000_-;\-* #,##0.000000_-;_-* &quot;-&quot;??_-;_-@_-">
                  <c:v>2.7738806363240475E-3</c:v>
                </c:pt>
                <c:pt idx="16" formatCode="_-* #,##0.000000_-;\-* #,##0.000000_-;_-* &quot;-&quot;??_-;_-@_-">
                  <c:v>2.7738806363240475E-3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B-4896-8137-E13B0CB5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</a:t>
            </a:r>
            <a:r>
              <a:rPr lang="en-US" baseline="0"/>
              <a:t>50 - 2,999 -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Forecast'!$AR$3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Forecast'!$AR$5:$AR$14</c:f>
              <c:numCache>
                <c:formatCode>0.000000</c:formatCode>
                <c:ptCount val="9"/>
                <c:pt idx="0">
                  <c:v>2.3349097149781358E-3</c:v>
                </c:pt>
                <c:pt idx="1">
                  <c:v>2.3630637042565206E-3</c:v>
                </c:pt>
                <c:pt idx="2">
                  <c:v>2.3766396542787291E-3</c:v>
                </c:pt>
                <c:pt idx="3">
                  <c:v>2.38359536742423E-3</c:v>
                </c:pt>
                <c:pt idx="4">
                  <c:v>2.3872743539056279E-3</c:v>
                </c:pt>
                <c:pt idx="5">
                  <c:v>2.4245465352435804E-3</c:v>
                </c:pt>
                <c:pt idx="6">
                  <c:v>2.3949993780747968E-3</c:v>
                </c:pt>
                <c:pt idx="7">
                  <c:v>2.4262499783847522E-3</c:v>
                </c:pt>
                <c:pt idx="8">
                  <c:v>2.3533069476545767E-3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D-44EF-B47E-EEB20EDD43F6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Forecast'!$AS$20:$AS$27)</c:f>
              <c:numCache>
                <c:formatCode>General</c:formatCode>
                <c:ptCount val="17"/>
                <c:pt idx="9" formatCode="_-* #,##0.000000_-;\-* #,##0.000000_-;_-* &quot;-&quot;??_-;_-@_-">
                  <c:v>2.390115413452896E-3</c:v>
                </c:pt>
                <c:pt idx="10" formatCode="_-* #,##0.000000_-;\-* #,##0.000000_-;_-* &quot;-&quot;??_-;_-@_-">
                  <c:v>2.3917863421818565E-3</c:v>
                </c:pt>
                <c:pt idx="11" formatCode="_-* #,##0.000000_-;\-* #,##0.000000_-;_-* &quot;-&quot;??_-;_-@_-">
                  <c:v>2.3934572709108175E-3</c:v>
                </c:pt>
                <c:pt idx="12" formatCode="_-* #,##0.000000_-;\-* #,##0.000000_-;_-* &quot;-&quot;??_-;_-@_-">
                  <c:v>2.3951281996397785E-3</c:v>
                </c:pt>
                <c:pt idx="13" formatCode="_-* #,##0.000000_-;\-* #,##0.000000_-;_-* &quot;-&quot;??_-;_-@_-">
                  <c:v>2.3967991283687395E-3</c:v>
                </c:pt>
                <c:pt idx="14" formatCode="_-* #,##0.000000_-;\-* #,##0.000000_-;_-* &quot;-&quot;??_-;_-@_-">
                  <c:v>2.3984700570977005E-3</c:v>
                </c:pt>
                <c:pt idx="15" formatCode="_-* #,##0.000000_-;\-* #,##0.000000_-;_-* &quot;-&quot;??_-;_-@_-">
                  <c:v>2.400140985826661E-3</c:v>
                </c:pt>
                <c:pt idx="16" formatCode="_-* #,##0.000000_-;\-* #,##0.000000_-;_-* &quot;-&quot;??_-;_-@_-">
                  <c:v>2.401811914555622E-3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D-44EF-B47E-EEB20EDD43F6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Forecast'!$AR$20:$AR$27)</c:f>
              <c:numCache>
                <c:formatCode>General</c:formatCode>
                <c:ptCount val="17"/>
                <c:pt idx="9" formatCode="_-* #,##0.000000_-;\-* #,##0.000000_-;_-* &quot;-&quot;??_-;_-@_-">
                  <c:v>2.3719430723102256E-3</c:v>
                </c:pt>
                <c:pt idx="10" formatCode="_-* #,##0.000000_-;\-* #,##0.000000_-;_-* &quot;-&quot;??_-;_-@_-">
                  <c:v>2.3719430723102256E-3</c:v>
                </c:pt>
                <c:pt idx="11" formatCode="_-* #,##0.000000_-;\-* #,##0.000000_-;_-* &quot;-&quot;??_-;_-@_-">
                  <c:v>2.3719430723102256E-3</c:v>
                </c:pt>
                <c:pt idx="12" formatCode="_-* #,##0.000000_-;\-* #,##0.000000_-;_-* &quot;-&quot;??_-;_-@_-">
                  <c:v>2.3719430723102256E-3</c:v>
                </c:pt>
                <c:pt idx="13" formatCode="_-* #,##0.000000_-;\-* #,##0.000000_-;_-* &quot;-&quot;??_-;_-@_-">
                  <c:v>2.3719430723102256E-3</c:v>
                </c:pt>
                <c:pt idx="14" formatCode="_-* #,##0.000000_-;\-* #,##0.000000_-;_-* &quot;-&quot;??_-;_-@_-">
                  <c:v>2.3719430723102256E-3</c:v>
                </c:pt>
                <c:pt idx="15" formatCode="_-* #,##0.000000_-;\-* #,##0.000000_-;_-* &quot;-&quot;??_-;_-@_-">
                  <c:v>2.3719430723102256E-3</c:v>
                </c:pt>
                <c:pt idx="16" formatCode="_-* #,##0.000000_-;\-* #,##0.000000_-;_-* &quot;-&quot;??_-;_-@_-">
                  <c:v>2.3719430723102256E-3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D-44EF-B47E-EEB20EDD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3,00</a:t>
            </a:r>
            <a:r>
              <a:rPr lang="en-US" baseline="0"/>
              <a:t>0 - 4,999 -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Forecast'!$AZ$3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Forecast'!$AZ$5:$AZ$15</c:f>
              <c:numCache>
                <c:formatCode>0.000000</c:formatCode>
                <c:ptCount val="10"/>
                <c:pt idx="0">
                  <c:v>1.5054463237691544E-3</c:v>
                </c:pt>
                <c:pt idx="1">
                  <c:v>1.4989950815725798E-3</c:v>
                </c:pt>
                <c:pt idx="2">
                  <c:v>1.4774665737349686E-3</c:v>
                </c:pt>
                <c:pt idx="3">
                  <c:v>1.591720264278846E-3</c:v>
                </c:pt>
                <c:pt idx="4">
                  <c:v>1.8491232644734902E-3</c:v>
                </c:pt>
                <c:pt idx="5">
                  <c:v>1.7190980442277574E-3</c:v>
                </c:pt>
                <c:pt idx="6">
                  <c:v>1.7127913480157707E-3</c:v>
                </c:pt>
                <c:pt idx="7">
                  <c:v>1.8544720256354022E-3</c:v>
                </c:pt>
                <c:pt idx="8">
                  <c:v>1.8731968461760016E-3</c:v>
                </c:pt>
                <c:pt idx="9">
                  <c:v>1.9455503761670488E-3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D-410A-9E68-4BDF38C8D35C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Forecast'!$H$5:$H$14,'kW Forecast'!$BA$20:$BA$27)</c:f>
              <c:numCache>
                <c:formatCode>General</c:formatCode>
                <c:ptCount val="17"/>
                <c:pt idx="9" formatCode="_-* #,##0.000000_-;\-* #,##0.000000_-;_-* &quot;-&quot;??_-;_-@_-">
                  <c:v>1.893805288375322E-3</c:v>
                </c:pt>
                <c:pt idx="10" formatCode="_-* #,##0.000000_-;\-* #,##0.000000_-;_-* &quot;-&quot;??_-;_-@_-">
                  <c:v>1.9490663812857523E-3</c:v>
                </c:pt>
                <c:pt idx="11" formatCode="_-* #,##0.000000_-;\-* #,##0.000000_-;_-* &quot;-&quot;??_-;_-@_-">
                  <c:v>2.0043274741961825E-3</c:v>
                </c:pt>
                <c:pt idx="12" formatCode="_-* #,##0.000000_-;\-* #,##0.000000_-;_-* &quot;-&quot;??_-;_-@_-">
                  <c:v>2.0595885671066128E-3</c:v>
                </c:pt>
                <c:pt idx="13" formatCode="_-* #,##0.000000_-;\-* #,##0.000000_-;_-* &quot;-&quot;??_-;_-@_-">
                  <c:v>2.114849660017043E-3</c:v>
                </c:pt>
                <c:pt idx="14" formatCode="_-* #,##0.000000_-;\-* #,##0.000000_-;_-* &quot;-&quot;??_-;_-@_-">
                  <c:v>2.1701107529274732E-3</c:v>
                </c:pt>
                <c:pt idx="15" formatCode="_-* #,##0.000000_-;\-* #,##0.000000_-;_-* &quot;-&quot;??_-;_-@_-">
                  <c:v>2.2253718458378896E-3</c:v>
                </c:pt>
                <c:pt idx="16" formatCode="_-* #,##0.000000_-;\-* #,##0.000000_-;_-* &quot;-&quot;??_-;_-@_-">
                  <c:v>2.2806329387483198E-3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D-410A-9E68-4BDF38C8D35C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Forecast'!$AZ$20:$AZ$27)</c:f>
              <c:numCache>
                <c:formatCode>General</c:formatCode>
                <c:ptCount val="17"/>
                <c:pt idx="9" formatCode="_-* #,##0.000000_-;\-* #,##0.000000_-;_-* &quot;-&quot;??_-;_-@_-">
                  <c:v>1.821021728044396E-3</c:v>
                </c:pt>
                <c:pt idx="10" formatCode="_-* #,##0.000000_-;\-* #,##0.000000_-;_-* &quot;-&quot;??_-;_-@_-">
                  <c:v>1.821021728044396E-3</c:v>
                </c:pt>
                <c:pt idx="11" formatCode="_-* #,##0.000000_-;\-* #,##0.000000_-;_-* &quot;-&quot;??_-;_-@_-">
                  <c:v>1.821021728044396E-3</c:v>
                </c:pt>
                <c:pt idx="12" formatCode="_-* #,##0.000000_-;\-* #,##0.000000_-;_-* &quot;-&quot;??_-;_-@_-">
                  <c:v>1.821021728044396E-3</c:v>
                </c:pt>
                <c:pt idx="13" formatCode="_-* #,##0.000000_-;\-* #,##0.000000_-;_-* &quot;-&quot;??_-;_-@_-">
                  <c:v>1.821021728044396E-3</c:v>
                </c:pt>
                <c:pt idx="14" formatCode="_-* #,##0.000000_-;\-* #,##0.000000_-;_-* &quot;-&quot;??_-;_-@_-">
                  <c:v>1.821021728044396E-3</c:v>
                </c:pt>
                <c:pt idx="15" formatCode="_-* #,##0.000000_-;\-* #,##0.000000_-;_-* &quot;-&quot;??_-;_-@_-">
                  <c:v>1.821021728044396E-3</c:v>
                </c:pt>
                <c:pt idx="16" formatCode="_-* #,##0.000000_-;\-* #,##0.000000_-;_-* &quot;-&quot;??_-;_-@_-">
                  <c:v>1.821021728044396E-3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D-410A-9E68-4BDF38C8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Weather!$W$1</c:f>
              <c:strCache>
                <c:ptCount val="1"/>
                <c:pt idx="0">
                  <c:v> VRZ_GS3000to4999kWh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Weather!$Q$15:$Q$133</c:f>
              <c:numCache>
                <c:formatCode>0</c:formatCode>
                <c:ptCount val="119"/>
                <c:pt idx="0">
                  <c:v>-12.92336956521739</c:v>
                </c:pt>
                <c:pt idx="1">
                  <c:v>-2.5741935483870972</c:v>
                </c:pt>
                <c:pt idx="2">
                  <c:v>6.4416540404040381</c:v>
                </c:pt>
                <c:pt idx="3">
                  <c:v>14.880745341614906</c:v>
                </c:pt>
                <c:pt idx="4">
                  <c:v>16.987083333333334</c:v>
                </c:pt>
                <c:pt idx="5">
                  <c:v>20.63024193548387</c:v>
                </c:pt>
                <c:pt idx="6">
                  <c:v>19.41747311827957</c:v>
                </c:pt>
                <c:pt idx="7">
                  <c:v>18.297420634920634</c:v>
                </c:pt>
                <c:pt idx="8">
                  <c:v>9.0649193548387093</c:v>
                </c:pt>
                <c:pt idx="9">
                  <c:v>5.6076388888888893</c:v>
                </c:pt>
                <c:pt idx="10">
                  <c:v>3.8830352968676944</c:v>
                </c:pt>
                <c:pt idx="11">
                  <c:v>-3.8025537634408595</c:v>
                </c:pt>
                <c:pt idx="12">
                  <c:v>-2.8175287356321834</c:v>
                </c:pt>
                <c:pt idx="13">
                  <c:v>1.3845371669004212</c:v>
                </c:pt>
                <c:pt idx="14">
                  <c:v>4.4672222222222224</c:v>
                </c:pt>
                <c:pt idx="15">
                  <c:v>13.718055555555555</c:v>
                </c:pt>
                <c:pt idx="16">
                  <c:v>18.773472222222221</c:v>
                </c:pt>
                <c:pt idx="17">
                  <c:v>22.104166666666661</c:v>
                </c:pt>
                <c:pt idx="18">
                  <c:v>22.581451612903233</c:v>
                </c:pt>
                <c:pt idx="19">
                  <c:v>17.858055555555556</c:v>
                </c:pt>
                <c:pt idx="20">
                  <c:v>10.864650537634409</c:v>
                </c:pt>
                <c:pt idx="21">
                  <c:v>5.4221626984126994</c:v>
                </c:pt>
                <c:pt idx="22">
                  <c:v>-1.8926075268817202</c:v>
                </c:pt>
                <c:pt idx="23">
                  <c:v>-2.0069892473118278</c:v>
                </c:pt>
                <c:pt idx="24">
                  <c:v>-0.93154761904761851</c:v>
                </c:pt>
                <c:pt idx="25">
                  <c:v>-1.3444892473118288</c:v>
                </c:pt>
                <c:pt idx="26">
                  <c:v>8.3870833333333312</c:v>
                </c:pt>
                <c:pt idx="27">
                  <c:v>12.072311827956989</c:v>
                </c:pt>
                <c:pt idx="28">
                  <c:v>17.620722222222227</c:v>
                </c:pt>
                <c:pt idx="29">
                  <c:v>20.392473118279565</c:v>
                </c:pt>
                <c:pt idx="30">
                  <c:v>19.013680458158017</c:v>
                </c:pt>
                <c:pt idx="31">
                  <c:v>17.194861111111109</c:v>
                </c:pt>
                <c:pt idx="32">
                  <c:v>12.306989247311826</c:v>
                </c:pt>
                <c:pt idx="33">
                  <c:v>3.2462752525252521</c:v>
                </c:pt>
                <c:pt idx="34">
                  <c:v>-5.7520161290322589</c:v>
                </c:pt>
                <c:pt idx="35">
                  <c:v>-6.2108870967741945</c:v>
                </c:pt>
                <c:pt idx="36">
                  <c:v>-2.5891369047619053</c:v>
                </c:pt>
                <c:pt idx="37">
                  <c:v>-0.29932795698924713</c:v>
                </c:pt>
                <c:pt idx="38">
                  <c:v>2.9161111111111113</c:v>
                </c:pt>
                <c:pt idx="39">
                  <c:v>15.888323907275522</c:v>
                </c:pt>
                <c:pt idx="40">
                  <c:v>18.606464646464644</c:v>
                </c:pt>
                <c:pt idx="41">
                  <c:v>22.270923040260342</c:v>
                </c:pt>
                <c:pt idx="42">
                  <c:v>22.136962365591401</c:v>
                </c:pt>
                <c:pt idx="43">
                  <c:v>18.045555555555556</c:v>
                </c:pt>
                <c:pt idx="44">
                  <c:v>8.2325268817204318</c:v>
                </c:pt>
                <c:pt idx="45">
                  <c:v>1.2158333333333335</c:v>
                </c:pt>
                <c:pt idx="46">
                  <c:v>-0.86827956989247324</c:v>
                </c:pt>
                <c:pt idx="47">
                  <c:v>-7.1591397849462366</c:v>
                </c:pt>
                <c:pt idx="48">
                  <c:v>-4.8322916666666682</c:v>
                </c:pt>
                <c:pt idx="49">
                  <c:v>-1.7244623655913986</c:v>
                </c:pt>
                <c:pt idx="50">
                  <c:v>5.778194444444444</c:v>
                </c:pt>
                <c:pt idx="51">
                  <c:v>11.369850028296549</c:v>
                </c:pt>
                <c:pt idx="52">
                  <c:v>17.658055555555553</c:v>
                </c:pt>
                <c:pt idx="53">
                  <c:v>22.374193548387098</c:v>
                </c:pt>
                <c:pt idx="54">
                  <c:v>20.13131720430108</c:v>
                </c:pt>
                <c:pt idx="55">
                  <c:v>16.383888888888887</c:v>
                </c:pt>
                <c:pt idx="56">
                  <c:v>10.194623655913977</c:v>
                </c:pt>
                <c:pt idx="57">
                  <c:v>0.34250000000000014</c:v>
                </c:pt>
                <c:pt idx="58">
                  <c:v>-1.8202956989247305</c:v>
                </c:pt>
                <c:pt idx="59">
                  <c:v>-2.2845430107526878</c:v>
                </c:pt>
                <c:pt idx="60">
                  <c:v>-3.3931034482758609</c:v>
                </c:pt>
                <c:pt idx="61">
                  <c:v>2.4654569892473122</c:v>
                </c:pt>
                <c:pt idx="62">
                  <c:v>5.3441666666666672</c:v>
                </c:pt>
                <c:pt idx="63">
                  <c:v>11.704857910906297</c:v>
                </c:pt>
                <c:pt idx="64">
                  <c:v>19.417874396135264</c:v>
                </c:pt>
                <c:pt idx="65">
                  <c:v>23.964112903225804</c:v>
                </c:pt>
                <c:pt idx="66">
                  <c:v>20.997776148582602</c:v>
                </c:pt>
                <c:pt idx="67">
                  <c:v>15.728182367149758</c:v>
                </c:pt>
                <c:pt idx="68">
                  <c:v>8.7150537634408618</c:v>
                </c:pt>
                <c:pt idx="69">
                  <c:v>5.7899758454106278</c:v>
                </c:pt>
                <c:pt idx="70">
                  <c:v>-0.80336021505376376</c:v>
                </c:pt>
                <c:pt idx="71">
                  <c:v>-3.0807795698924729</c:v>
                </c:pt>
                <c:pt idx="72">
                  <c:v>-5.3376488095238086</c:v>
                </c:pt>
                <c:pt idx="73">
                  <c:v>2.1097942964001866</c:v>
                </c:pt>
                <c:pt idx="74">
                  <c:v>7.3401388888888865</c:v>
                </c:pt>
                <c:pt idx="75">
                  <c:v>13.049417562724015</c:v>
                </c:pt>
                <c:pt idx="76">
                  <c:v>20.055833333333332</c:v>
                </c:pt>
                <c:pt idx="77">
                  <c:v>20.221774193548388</c:v>
                </c:pt>
                <c:pt idx="78">
                  <c:v>22.58266129032258</c:v>
                </c:pt>
                <c:pt idx="79">
                  <c:v>16.975833333333334</c:v>
                </c:pt>
                <c:pt idx="80">
                  <c:v>13.09072580645161</c:v>
                </c:pt>
                <c:pt idx="81">
                  <c:v>3.122913216011042</c:v>
                </c:pt>
                <c:pt idx="82">
                  <c:v>0.80497311827956974</c:v>
                </c:pt>
                <c:pt idx="83">
                  <c:v>-8.6287634408602152</c:v>
                </c:pt>
                <c:pt idx="84">
                  <c:v>-4.7446428571428587</c:v>
                </c:pt>
                <c:pt idx="85">
                  <c:v>0.42836021505376332</c:v>
                </c:pt>
                <c:pt idx="86">
                  <c:v>6.1888888888888882</c:v>
                </c:pt>
                <c:pt idx="87">
                  <c:v>15.065725806451612</c:v>
                </c:pt>
                <c:pt idx="88">
                  <c:v>18.03075013875014</c:v>
                </c:pt>
                <c:pt idx="89">
                  <c:v>21.15659155778647</c:v>
                </c:pt>
                <c:pt idx="90">
                  <c:v>21.363978494623655</c:v>
                </c:pt>
                <c:pt idx="91">
                  <c:v>16.37402777777778</c:v>
                </c:pt>
                <c:pt idx="92">
                  <c:v>9.3272381954184187</c:v>
                </c:pt>
                <c:pt idx="93">
                  <c:v>4.2722222222222213</c:v>
                </c:pt>
                <c:pt idx="94">
                  <c:v>-0.87486559139784936</c:v>
                </c:pt>
                <c:pt idx="95">
                  <c:v>-1.4861559139784948</c:v>
                </c:pt>
                <c:pt idx="96">
                  <c:v>-2.4797619047619048</c:v>
                </c:pt>
                <c:pt idx="97">
                  <c:v>0.22473118279569884</c:v>
                </c:pt>
                <c:pt idx="98">
                  <c:v>7.9533333333333323</c:v>
                </c:pt>
                <c:pt idx="99">
                  <c:v>12.986102150537635</c:v>
                </c:pt>
                <c:pt idx="100">
                  <c:v>18.851388888888884</c:v>
                </c:pt>
                <c:pt idx="101">
                  <c:v>21.218817204301072</c:v>
                </c:pt>
                <c:pt idx="102">
                  <c:v>19.348544880785411</c:v>
                </c:pt>
                <c:pt idx="103">
                  <c:v>17.433055555555555</c:v>
                </c:pt>
                <c:pt idx="104">
                  <c:v>11.553225806451612</c:v>
                </c:pt>
                <c:pt idx="105">
                  <c:v>2.9802294685990343</c:v>
                </c:pt>
                <c:pt idx="106">
                  <c:v>2.2038978494623653</c:v>
                </c:pt>
                <c:pt idx="107">
                  <c:v>-2.5482526881720431</c:v>
                </c:pt>
                <c:pt idx="108">
                  <c:v>-0.72298850574712648</c:v>
                </c:pt>
                <c:pt idx="109">
                  <c:v>3.1576612903225802</c:v>
                </c:pt>
                <c:pt idx="110">
                  <c:v>7.7234027777777765</c:v>
                </c:pt>
                <c:pt idx="111">
                  <c:v>15.455779569892472</c:v>
                </c:pt>
                <c:pt idx="112">
                  <c:v>18.805138888888891</c:v>
                </c:pt>
                <c:pt idx="113">
                  <c:v>21.778763440860214</c:v>
                </c:pt>
                <c:pt idx="114">
                  <c:v>20.479569892473116</c:v>
                </c:pt>
                <c:pt idx="115">
                  <c:v>17.709999999999997</c:v>
                </c:pt>
                <c:pt idx="116">
                  <c:v>10.453494623655915</c:v>
                </c:pt>
                <c:pt idx="117">
                  <c:v>5.790277777777777</c:v>
                </c:pt>
                <c:pt idx="118">
                  <c:v>-1.3088709677419357</c:v>
                </c:pt>
              </c:numCache>
            </c:numRef>
          </c:xVal>
          <c:yVal>
            <c:numRef>
              <c:f>Weather!$W$15:$W$133</c:f>
              <c:numCache>
                <c:formatCode>_-* #,##0_-;\-* #,##0_-;_-* "-"??_-;_-@_-</c:formatCode>
                <c:ptCount val="119"/>
                <c:pt idx="0">
                  <c:v>6900555.5899999999</c:v>
                </c:pt>
                <c:pt idx="1">
                  <c:v>7374204.4000000004</c:v>
                </c:pt>
                <c:pt idx="2">
                  <c:v>7194396.54</c:v>
                </c:pt>
                <c:pt idx="3">
                  <c:v>7334994.5800000001</c:v>
                </c:pt>
                <c:pt idx="4">
                  <c:v>7522097.5800000001</c:v>
                </c:pt>
                <c:pt idx="5">
                  <c:v>6679211.8499999996</c:v>
                </c:pt>
                <c:pt idx="6">
                  <c:v>6824342.2999999998</c:v>
                </c:pt>
                <c:pt idx="7">
                  <c:v>6277736.2800000003</c:v>
                </c:pt>
                <c:pt idx="8">
                  <c:v>6550175.5499999998</c:v>
                </c:pt>
                <c:pt idx="9">
                  <c:v>6878262.1399999997</c:v>
                </c:pt>
                <c:pt idx="10">
                  <c:v>6196372.3499999996</c:v>
                </c:pt>
                <c:pt idx="11">
                  <c:v>7052968.7699999996</c:v>
                </c:pt>
                <c:pt idx="12">
                  <c:v>6409471.79</c:v>
                </c:pt>
                <c:pt idx="13">
                  <c:v>6526094.7999999998</c:v>
                </c:pt>
                <c:pt idx="14">
                  <c:v>6690984.8499999996</c:v>
                </c:pt>
                <c:pt idx="15">
                  <c:v>5883065.3700000001</c:v>
                </c:pt>
                <c:pt idx="16">
                  <c:v>6548995.6749999998</c:v>
                </c:pt>
                <c:pt idx="17">
                  <c:v>6456779.9800000004</c:v>
                </c:pt>
                <c:pt idx="18">
                  <c:v>7553701.79</c:v>
                </c:pt>
                <c:pt idx="19">
                  <c:v>7017561.29</c:v>
                </c:pt>
                <c:pt idx="20">
                  <c:v>6771948.7699999996</c:v>
                </c:pt>
                <c:pt idx="21">
                  <c:v>7421201.5199999996</c:v>
                </c:pt>
                <c:pt idx="22">
                  <c:v>6945534.1699999999</c:v>
                </c:pt>
                <c:pt idx="23">
                  <c:v>7233291.1200000001</c:v>
                </c:pt>
                <c:pt idx="24">
                  <c:v>6940205.9800000004</c:v>
                </c:pt>
                <c:pt idx="25">
                  <c:v>8329716.8300000001</c:v>
                </c:pt>
                <c:pt idx="26">
                  <c:v>7532088.1200000001</c:v>
                </c:pt>
                <c:pt idx="27">
                  <c:v>7608592.5300000003</c:v>
                </c:pt>
                <c:pt idx="28">
                  <c:v>7491116.9400000004</c:v>
                </c:pt>
                <c:pt idx="29">
                  <c:v>7068123.6399999997</c:v>
                </c:pt>
                <c:pt idx="30">
                  <c:v>7848850.4000000004</c:v>
                </c:pt>
                <c:pt idx="31">
                  <c:v>7413804.1200000001</c:v>
                </c:pt>
                <c:pt idx="32">
                  <c:v>7950649.7699999996</c:v>
                </c:pt>
                <c:pt idx="33">
                  <c:v>8091891.9100000001</c:v>
                </c:pt>
                <c:pt idx="34">
                  <c:v>7250522.0599999996</c:v>
                </c:pt>
                <c:pt idx="35">
                  <c:v>7607347.1100000003</c:v>
                </c:pt>
                <c:pt idx="36">
                  <c:v>7112535.1299999999</c:v>
                </c:pt>
                <c:pt idx="37">
                  <c:v>7356746.9199999999</c:v>
                </c:pt>
                <c:pt idx="38">
                  <c:v>7162192.54</c:v>
                </c:pt>
                <c:pt idx="39">
                  <c:v>7003788.1799999997</c:v>
                </c:pt>
                <c:pt idx="40">
                  <c:v>7113941.3899999997</c:v>
                </c:pt>
                <c:pt idx="41">
                  <c:v>6311245.5599999996</c:v>
                </c:pt>
                <c:pt idx="42">
                  <c:v>6502731.6299999999</c:v>
                </c:pt>
                <c:pt idx="43">
                  <c:v>6001451.71</c:v>
                </c:pt>
                <c:pt idx="44">
                  <c:v>6757080.0800000001</c:v>
                </c:pt>
                <c:pt idx="45">
                  <c:v>7571384.5700000003</c:v>
                </c:pt>
                <c:pt idx="46">
                  <c:v>7362852.8700000001</c:v>
                </c:pt>
                <c:pt idx="47">
                  <c:v>7763594.7400000002</c:v>
                </c:pt>
                <c:pt idx="48">
                  <c:v>7720894.1200000001</c:v>
                </c:pt>
                <c:pt idx="49">
                  <c:v>8407053.3300000001</c:v>
                </c:pt>
                <c:pt idx="50">
                  <c:v>7947712.4500000002</c:v>
                </c:pt>
                <c:pt idx="51">
                  <c:v>8654486.9100000001</c:v>
                </c:pt>
                <c:pt idx="52">
                  <c:v>8013244.5099999998</c:v>
                </c:pt>
                <c:pt idx="53">
                  <c:v>7558032.7599999998</c:v>
                </c:pt>
                <c:pt idx="54">
                  <c:v>7509860.7000000002</c:v>
                </c:pt>
                <c:pt idx="55">
                  <c:v>7260476.9100000001</c:v>
                </c:pt>
                <c:pt idx="56">
                  <c:v>7691489.1699999999</c:v>
                </c:pt>
                <c:pt idx="57">
                  <c:v>7640406.0199999996</c:v>
                </c:pt>
                <c:pt idx="58">
                  <c:v>7100370.6200000001</c:v>
                </c:pt>
                <c:pt idx="59">
                  <c:v>7650561.0499999998</c:v>
                </c:pt>
                <c:pt idx="60">
                  <c:v>7806853.6699999999</c:v>
                </c:pt>
                <c:pt idx="61">
                  <c:v>8084524.5300000003</c:v>
                </c:pt>
                <c:pt idx="62">
                  <c:v>6858393.6100000003</c:v>
                </c:pt>
                <c:pt idx="63">
                  <c:v>7029275.2300000004</c:v>
                </c:pt>
                <c:pt idx="64">
                  <c:v>7429352.6399999997</c:v>
                </c:pt>
                <c:pt idx="65">
                  <c:v>7743406.5300000003</c:v>
                </c:pt>
                <c:pt idx="66">
                  <c:v>7481440.5</c:v>
                </c:pt>
                <c:pt idx="67">
                  <c:v>7387908.79</c:v>
                </c:pt>
                <c:pt idx="68">
                  <c:v>7635639.5999999996</c:v>
                </c:pt>
                <c:pt idx="69">
                  <c:v>7345725.1500000004</c:v>
                </c:pt>
                <c:pt idx="70">
                  <c:v>6962579.5899999999</c:v>
                </c:pt>
                <c:pt idx="71">
                  <c:v>7338821.1699999999</c:v>
                </c:pt>
                <c:pt idx="72">
                  <c:v>7751662.29</c:v>
                </c:pt>
                <c:pt idx="73">
                  <c:v>8577466.7400000002</c:v>
                </c:pt>
                <c:pt idx="74">
                  <c:v>7889400.8799999999</c:v>
                </c:pt>
                <c:pt idx="75">
                  <c:v>8506310.4499999993</c:v>
                </c:pt>
                <c:pt idx="76">
                  <c:v>8363421.8700000001</c:v>
                </c:pt>
                <c:pt idx="77">
                  <c:v>7818263.9500000002</c:v>
                </c:pt>
                <c:pt idx="78">
                  <c:v>8205681.3899999997</c:v>
                </c:pt>
                <c:pt idx="79">
                  <c:v>8336466.7000000002</c:v>
                </c:pt>
                <c:pt idx="80">
                  <c:v>8094253.5099999998</c:v>
                </c:pt>
                <c:pt idx="81">
                  <c:v>8878016.5500000007</c:v>
                </c:pt>
                <c:pt idx="82">
                  <c:v>8370146.6799999997</c:v>
                </c:pt>
                <c:pt idx="83">
                  <c:v>8258882.6900000004</c:v>
                </c:pt>
                <c:pt idx="84">
                  <c:v>8622763.0800000001</c:v>
                </c:pt>
                <c:pt idx="85">
                  <c:v>9813072.7699999996</c:v>
                </c:pt>
                <c:pt idx="86">
                  <c:v>9228794.9399999995</c:v>
                </c:pt>
                <c:pt idx="87">
                  <c:v>9488834.5099999998</c:v>
                </c:pt>
                <c:pt idx="88">
                  <c:v>9614550.9399999995</c:v>
                </c:pt>
                <c:pt idx="89">
                  <c:v>9282002.4000000004</c:v>
                </c:pt>
                <c:pt idx="90">
                  <c:v>9515051.7400000002</c:v>
                </c:pt>
                <c:pt idx="91">
                  <c:v>8833890.0800000001</c:v>
                </c:pt>
                <c:pt idx="92">
                  <c:v>8691604.7400000002</c:v>
                </c:pt>
                <c:pt idx="93">
                  <c:v>8756241.3699999992</c:v>
                </c:pt>
                <c:pt idx="94">
                  <c:v>8716896.1500000004</c:v>
                </c:pt>
                <c:pt idx="95">
                  <c:v>9792853.9600000009</c:v>
                </c:pt>
                <c:pt idx="96">
                  <c:v>8968083.7400000002</c:v>
                </c:pt>
                <c:pt idx="97">
                  <c:v>9909696.0299999993</c:v>
                </c:pt>
                <c:pt idx="98">
                  <c:v>8847117.5099999998</c:v>
                </c:pt>
                <c:pt idx="99">
                  <c:v>9343115.9700000007</c:v>
                </c:pt>
                <c:pt idx="100">
                  <c:v>9627333.6300000008</c:v>
                </c:pt>
                <c:pt idx="101">
                  <c:v>9523003.5299999993</c:v>
                </c:pt>
                <c:pt idx="102">
                  <c:v>9733840.3100000005</c:v>
                </c:pt>
                <c:pt idx="103">
                  <c:v>7677827.2999999998</c:v>
                </c:pt>
                <c:pt idx="104">
                  <c:v>8909302.6199999992</c:v>
                </c:pt>
                <c:pt idx="105">
                  <c:v>8738220.1099999994</c:v>
                </c:pt>
                <c:pt idx="106">
                  <c:v>8632906.7400000002</c:v>
                </c:pt>
                <c:pt idx="107">
                  <c:v>8686909.2400000002</c:v>
                </c:pt>
                <c:pt idx="108">
                  <c:v>8043704.5300000003</c:v>
                </c:pt>
                <c:pt idx="109">
                  <c:v>8644703</c:v>
                </c:pt>
                <c:pt idx="110">
                  <c:v>8455543.9499999993</c:v>
                </c:pt>
                <c:pt idx="111">
                  <c:v>8411474.0500000007</c:v>
                </c:pt>
                <c:pt idx="112">
                  <c:v>8160406.4900000002</c:v>
                </c:pt>
                <c:pt idx="113">
                  <c:v>8178344.5599999996</c:v>
                </c:pt>
                <c:pt idx="114">
                  <c:v>7544852.6600000001</c:v>
                </c:pt>
                <c:pt idx="115">
                  <c:v>7686100.8399999999</c:v>
                </c:pt>
                <c:pt idx="116">
                  <c:v>8174840.4900000002</c:v>
                </c:pt>
                <c:pt idx="117">
                  <c:v>8069438.29</c:v>
                </c:pt>
                <c:pt idx="118">
                  <c:v>8141909.3300000001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52-4762-9A83-C0525625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Forecast'!$AB$3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Forecast'!$BH$6:$BH$15</c:f>
              <c:numCache>
                <c:formatCode>0.000000</c:formatCode>
                <c:ptCount val="10"/>
                <c:pt idx="0">
                  <c:v>2.5869233446869176E-3</c:v>
                </c:pt>
                <c:pt idx="1">
                  <c:v>2.5562903518528374E-3</c:v>
                </c:pt>
                <c:pt idx="2">
                  <c:v>2.5650724259870463E-3</c:v>
                </c:pt>
                <c:pt idx="3">
                  <c:v>2.5678773594974202E-3</c:v>
                </c:pt>
                <c:pt idx="4">
                  <c:v>2.5694835733339489E-3</c:v>
                </c:pt>
                <c:pt idx="5">
                  <c:v>2.7592982073195919E-3</c:v>
                </c:pt>
                <c:pt idx="6">
                  <c:v>2.8766065103781342E-3</c:v>
                </c:pt>
                <c:pt idx="7">
                  <c:v>2.6729667180044971E-3</c:v>
                </c:pt>
                <c:pt idx="8">
                  <c:v>2.6741731861995798E-3</c:v>
                </c:pt>
                <c:pt idx="9">
                  <c:v>2.6660533791026501E-3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C-4298-8159-587F1965B27F}"/>
            </c:ext>
          </c:extLst>
        </c:ser>
        <c:ser>
          <c:idx val="2"/>
          <c:order val="1"/>
          <c:tx>
            <c:v>Forecast Trend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Forecast'!$BI$6:$BI$14,'kW Forecast'!$BI$20:$BI$27)</c:f>
              <c:numCache>
                <c:formatCode>0.000000</c:formatCode>
                <c:ptCount val="17"/>
                <c:pt idx="2">
                  <c:v>2.5694287075089337E-3</c:v>
                </c:pt>
                <c:pt idx="3">
                  <c:v>2.5630800457791011E-3</c:v>
                </c:pt>
                <c:pt idx="4">
                  <c:v>2.5674777862728054E-3</c:v>
                </c:pt>
                <c:pt idx="5">
                  <c:v>2.6322197133836537E-3</c:v>
                </c:pt>
                <c:pt idx="6">
                  <c:v>2.7351294303438918E-3</c:v>
                </c:pt>
                <c:pt idx="7">
                  <c:v>2.7696238119007412E-3</c:v>
                </c:pt>
                <c:pt idx="8">
                  <c:v>2.741248804860737E-3</c:v>
                </c:pt>
                <c:pt idx="9" formatCode="_-* #,##0.000000_-;\-* #,##0.000000_-;_-* &quot;-&quot;??_-;_-@_-">
                  <c:v>2.752477492272018E-3</c:v>
                </c:pt>
                <c:pt idx="10" formatCode="_-* #,##0.000000_-;\-* #,##0.000000_-;_-* &quot;-&quot;??_-;_-@_-">
                  <c:v>2.7799970354990683E-3</c:v>
                </c:pt>
                <c:pt idx="11" formatCode="_-* #,##0.000000_-;\-* #,##0.000000_-;_-* &quot;-&quot;??_-;_-@_-">
                  <c:v>2.8075165787261117E-3</c:v>
                </c:pt>
                <c:pt idx="12" formatCode="_-* #,##0.000000_-;\-* #,##0.000000_-;_-* &quot;-&quot;??_-;_-@_-">
                  <c:v>2.835036121953162E-3</c:v>
                </c:pt>
                <c:pt idx="13" formatCode="_-* #,##0.000000_-;\-* #,##0.000000_-;_-* &quot;-&quot;??_-;_-@_-">
                  <c:v>2.8625556651802123E-3</c:v>
                </c:pt>
                <c:pt idx="14" formatCode="_-* #,##0.000000_-;\-* #,##0.000000_-;_-* &quot;-&quot;??_-;_-@_-">
                  <c:v>2.8900752084072626E-3</c:v>
                </c:pt>
                <c:pt idx="15" formatCode="_-* #,##0.000000_-;\-* #,##0.000000_-;_-* &quot;-&quot;??_-;_-@_-">
                  <c:v>2.9175947516343059E-3</c:v>
                </c:pt>
                <c:pt idx="16" formatCode="_-* #,##0.000000_-;\-* #,##0.000000_-;_-* &quot;-&quot;??_-;_-@_-">
                  <c:v>2.9451142948613562E-3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C-4298-8159-587F1965B27F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Forecast'!$BH$20:$BH$27)</c:f>
              <c:numCache>
                <c:formatCode>General</c:formatCode>
                <c:ptCount val="17"/>
                <c:pt idx="9" formatCode="_-* #,##0.000000_-;\-* #,##0.000000_-;_-* &quot;-&quot;??_-;_-@_-">
                  <c:v>2.6494745056362622E-3</c:v>
                </c:pt>
                <c:pt idx="10" formatCode="_-* #,##0.000000_-;\-* #,##0.000000_-;_-* &quot;-&quot;??_-;_-@_-">
                  <c:v>2.6494745056362622E-3</c:v>
                </c:pt>
                <c:pt idx="11" formatCode="_-* #,##0.000000_-;\-* #,##0.000000_-;_-* &quot;-&quot;??_-;_-@_-">
                  <c:v>2.6494745056362622E-3</c:v>
                </c:pt>
                <c:pt idx="12" formatCode="_-* #,##0.000000_-;\-* #,##0.000000_-;_-* &quot;-&quot;??_-;_-@_-">
                  <c:v>2.6494745056362622E-3</c:v>
                </c:pt>
                <c:pt idx="13" formatCode="_-* #,##0.000000_-;\-* #,##0.000000_-;_-* &quot;-&quot;??_-;_-@_-">
                  <c:v>2.6494745056362622E-3</c:v>
                </c:pt>
                <c:pt idx="14" formatCode="_-* #,##0.000000_-;\-* #,##0.000000_-;_-* &quot;-&quot;??_-;_-@_-">
                  <c:v>2.6494745056362622E-3</c:v>
                </c:pt>
                <c:pt idx="15" formatCode="_-* #,##0.000000_-;\-* #,##0.000000_-;_-* &quot;-&quot;??_-;_-@_-">
                  <c:v>2.6494745056362622E-3</c:v>
                </c:pt>
                <c:pt idx="16" formatCode="_-* #,##0.000000_-;\-* #,##0.000000_-;_-* &quot;-&quot;??_-;_-@_-">
                  <c:v>2.6494745056362622E-3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C-4298-8159-587F1965B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Sentinel Light 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Forecast'!$AI$3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'kW Forecast'!$BO$5:$BO$15</c:f>
              <c:numCache>
                <c:formatCode>0.000000</c:formatCode>
                <c:ptCount val="10"/>
                <c:pt idx="0">
                  <c:v>2.9013653112131927E-3</c:v>
                </c:pt>
                <c:pt idx="1">
                  <c:v>2.9013653112131927E-3</c:v>
                </c:pt>
                <c:pt idx="2">
                  <c:v>2.9013653112131923E-3</c:v>
                </c:pt>
                <c:pt idx="3">
                  <c:v>2.9013653112131923E-3</c:v>
                </c:pt>
                <c:pt idx="4">
                  <c:v>2.9013653112131914E-3</c:v>
                </c:pt>
                <c:pt idx="5">
                  <c:v>2.9013653112131914E-3</c:v>
                </c:pt>
                <c:pt idx="6">
                  <c:v>2.7871949199250695E-3</c:v>
                </c:pt>
                <c:pt idx="7">
                  <c:v>3.0649577086303242E-3</c:v>
                </c:pt>
                <c:pt idx="8">
                  <c:v>2.949029865338322E-3</c:v>
                </c:pt>
                <c:pt idx="9">
                  <c:v>2.779079890176121E-3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0-4BA6-BD0C-975E768A7D75}"/>
            </c:ext>
          </c:extLst>
        </c:ser>
        <c:ser>
          <c:idx val="3"/>
          <c:order val="1"/>
          <c:tx>
            <c:v>Forecast Avg</c:v>
          </c:tx>
          <c:marker>
            <c:symbol val="none"/>
          </c:marker>
          <c:cat>
            <c:numRef>
              <c:f>('kW Forecast'!$B$5:$B$14,'kW Forecast'!$B$20:$B$27)</c:f>
              <c:numCache>
                <c:formatCode>General</c:formatCode>
                <c:ptCount val="1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</c:numCache>
            </c:numRef>
          </c:cat>
          <c:val>
            <c:numRef>
              <c:f>('kW Forecast'!$P$5:$P$14,'kW Forecast'!$BO$20:$BO$27)</c:f>
              <c:numCache>
                <c:formatCode>General</c:formatCode>
                <c:ptCount val="17"/>
                <c:pt idx="9" formatCode="_-* #,##0.000000_-;\-* #,##0.000000_-;_-* &quot;-&quot;??_-;_-@_-">
                  <c:v>2.9337274979645716E-3</c:v>
                </c:pt>
                <c:pt idx="10" formatCode="_-* #,##0.000000_-;\-* #,##0.000000_-;_-* &quot;-&quot;??_-;_-@_-">
                  <c:v>2.9337274979645716E-3</c:v>
                </c:pt>
                <c:pt idx="11" formatCode="_-* #,##0.000000_-;\-* #,##0.000000_-;_-* &quot;-&quot;??_-;_-@_-">
                  <c:v>2.9337274979645716E-3</c:v>
                </c:pt>
                <c:pt idx="12" formatCode="_-* #,##0.000000_-;\-* #,##0.000000_-;_-* &quot;-&quot;??_-;_-@_-">
                  <c:v>2.9337274979645716E-3</c:v>
                </c:pt>
                <c:pt idx="13" formatCode="_-* #,##0.000000_-;\-* #,##0.000000_-;_-* &quot;-&quot;??_-;_-@_-">
                  <c:v>2.9337274979645716E-3</c:v>
                </c:pt>
                <c:pt idx="14" formatCode="_-* #,##0.000000_-;\-* #,##0.000000_-;_-* &quot;-&quot;??_-;_-@_-">
                  <c:v>2.9337274979645716E-3</c:v>
                </c:pt>
                <c:pt idx="15" formatCode="_-* #,##0.000000_-;\-* #,##0.000000_-;_-* &quot;-&quot;??_-;_-@_-">
                  <c:v>2.9337274979645716E-3</c:v>
                </c:pt>
                <c:pt idx="16" formatCode="_-* #,##0.000000_-;\-* #,##0.000000_-;_-* &quot;-&quot;??_-;_-@_-">
                  <c:v>2.9337274979645716E-3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0-4BA6-BD0C-975E768A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Summary'!$B$3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Summary'!$C$3:$S$3</c:f>
              <c:numCache>
                <c:formatCode>#,##0</c:formatCode>
                <c:ptCount val="17"/>
                <c:pt idx="0">
                  <c:v>870387178.79194212</c:v>
                </c:pt>
                <c:pt idx="1">
                  <c:v>959221389.1347183</c:v>
                </c:pt>
                <c:pt idx="2">
                  <c:v>901971744.11813986</c:v>
                </c:pt>
                <c:pt idx="3">
                  <c:v>979700023.53915226</c:v>
                </c:pt>
                <c:pt idx="4">
                  <c:v>955759610.43615055</c:v>
                </c:pt>
                <c:pt idx="5">
                  <c:v>1034148021.2598839</c:v>
                </c:pt>
                <c:pt idx="6">
                  <c:v>1026240017.5725335</c:v>
                </c:pt>
                <c:pt idx="7">
                  <c:v>1017709390.8256538</c:v>
                </c:pt>
                <c:pt idx="8">
                  <c:v>1008624979.9975282</c:v>
                </c:pt>
                <c:pt idx="9">
                  <c:v>1052968776.2624577</c:v>
                </c:pt>
                <c:pt idx="10">
                  <c:v>1095125273.1183047</c:v>
                </c:pt>
                <c:pt idx="11">
                  <c:v>1117090361.2318509</c:v>
                </c:pt>
                <c:pt idx="12">
                  <c:v>1139476591.8569014</c:v>
                </c:pt>
                <c:pt idx="13">
                  <c:v>1163690317.337239</c:v>
                </c:pt>
                <c:pt idx="14">
                  <c:v>1185325146.4941511</c:v>
                </c:pt>
                <c:pt idx="15">
                  <c:v>1212339801.3152404</c:v>
                </c:pt>
                <c:pt idx="16">
                  <c:v>1240553460.7040067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C-487A-853F-596495F503FB}"/>
            </c:ext>
          </c:extLst>
        </c:ser>
        <c:ser>
          <c:idx val="1"/>
          <c:order val="1"/>
          <c:tx>
            <c:strRef>
              <c:f>'Overall Load Summary'!$B$5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Summary'!$C$5:$S$5</c:f>
              <c:numCache>
                <c:formatCode>#,##0</c:formatCode>
                <c:ptCount val="17"/>
                <c:pt idx="0">
                  <c:v>268409342.55561978</c:v>
                </c:pt>
                <c:pt idx="1">
                  <c:v>284102093.54465967</c:v>
                </c:pt>
                <c:pt idx="2">
                  <c:v>273963830.4916901</c:v>
                </c:pt>
                <c:pt idx="3">
                  <c:v>280954109.73978019</c:v>
                </c:pt>
                <c:pt idx="4">
                  <c:v>289308515.85117018</c:v>
                </c:pt>
                <c:pt idx="5">
                  <c:v>266656241.54906043</c:v>
                </c:pt>
                <c:pt idx="6">
                  <c:v>265709797.19570994</c:v>
                </c:pt>
                <c:pt idx="7">
                  <c:v>278598120.57730973</c:v>
                </c:pt>
                <c:pt idx="8">
                  <c:v>276211527.25760943</c:v>
                </c:pt>
                <c:pt idx="9">
                  <c:v>257530700.52195185</c:v>
                </c:pt>
                <c:pt idx="10">
                  <c:v>282974392.24280298</c:v>
                </c:pt>
                <c:pt idx="11">
                  <c:v>283200048.37753892</c:v>
                </c:pt>
                <c:pt idx="12">
                  <c:v>284059624.77556282</c:v>
                </c:pt>
                <c:pt idx="13">
                  <c:v>283704088.194924</c:v>
                </c:pt>
                <c:pt idx="14">
                  <c:v>284076999.28542733</c:v>
                </c:pt>
                <c:pt idx="15">
                  <c:v>284658182.04026783</c:v>
                </c:pt>
                <c:pt idx="16">
                  <c:v>286717312.21083391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C-487A-853F-596495F5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Summary'!$B$6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Summary'!$C$6:$S$6</c:f>
              <c:numCache>
                <c:formatCode>#,##0</c:formatCode>
                <c:ptCount val="17"/>
                <c:pt idx="0">
                  <c:v>950526710.68660581</c:v>
                </c:pt>
                <c:pt idx="1">
                  <c:v>966717854.80000007</c:v>
                </c:pt>
                <c:pt idx="2">
                  <c:v>944651265.3499999</c:v>
                </c:pt>
                <c:pt idx="3">
                  <c:v>966857797.06000006</c:v>
                </c:pt>
                <c:pt idx="4">
                  <c:v>943844507.63000011</c:v>
                </c:pt>
                <c:pt idx="5">
                  <c:v>894106942.2700001</c:v>
                </c:pt>
                <c:pt idx="6">
                  <c:v>916418748.80999994</c:v>
                </c:pt>
                <c:pt idx="7">
                  <c:v>931880224.76000011</c:v>
                </c:pt>
                <c:pt idx="8">
                  <c:v>927766309.05000007</c:v>
                </c:pt>
                <c:pt idx="9">
                  <c:v>965931354.38279605</c:v>
                </c:pt>
                <c:pt idx="10">
                  <c:v>941797562.22393441</c:v>
                </c:pt>
                <c:pt idx="11">
                  <c:v>978135426.89668632</c:v>
                </c:pt>
                <c:pt idx="12">
                  <c:v>1009573024.6869053</c:v>
                </c:pt>
                <c:pt idx="13">
                  <c:v>1024897887.6704686</c:v>
                </c:pt>
                <c:pt idx="14">
                  <c:v>1027303091.9141679</c:v>
                </c:pt>
                <c:pt idx="15">
                  <c:v>1023350446.9871242</c:v>
                </c:pt>
                <c:pt idx="16">
                  <c:v>1028125625.347676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6-4691-B342-A1C666332786}"/>
            </c:ext>
          </c:extLst>
        </c:ser>
        <c:ser>
          <c:idx val="3"/>
          <c:order val="1"/>
          <c:tx>
            <c:strRef>
              <c:f>'Overall Load Summary'!$B$7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Summary'!$C$7:$S$7</c:f>
              <c:numCache>
                <c:formatCode>#,##0</c:formatCode>
                <c:ptCount val="17"/>
                <c:pt idx="0">
                  <c:v>83062699.86432375</c:v>
                </c:pt>
                <c:pt idx="1">
                  <c:v>81278308.774999991</c:v>
                </c:pt>
                <c:pt idx="2">
                  <c:v>90758853.419999987</c:v>
                </c:pt>
                <c:pt idx="3">
                  <c:v>83863297.689999998</c:v>
                </c:pt>
                <c:pt idx="4">
                  <c:v>93267622.239999995</c:v>
                </c:pt>
                <c:pt idx="5">
                  <c:v>89415660.890000015</c:v>
                </c:pt>
                <c:pt idx="6">
                  <c:v>98129912.180000007</c:v>
                </c:pt>
                <c:pt idx="7">
                  <c:v>108822585.41</c:v>
                </c:pt>
                <c:pt idx="8">
                  <c:v>109703301.45</c:v>
                </c:pt>
                <c:pt idx="9">
                  <c:v>98198227.430000007</c:v>
                </c:pt>
                <c:pt idx="10">
                  <c:v>124237376.2739265</c:v>
                </c:pt>
                <c:pt idx="11">
                  <c:v>164781983.97740611</c:v>
                </c:pt>
                <c:pt idx="12">
                  <c:v>187457996.07098451</c:v>
                </c:pt>
                <c:pt idx="13">
                  <c:v>195309209.55412859</c:v>
                </c:pt>
                <c:pt idx="14">
                  <c:v>199992565.9717893</c:v>
                </c:pt>
                <c:pt idx="15">
                  <c:v>203774003.9037419</c:v>
                </c:pt>
                <c:pt idx="16">
                  <c:v>207751809.80116576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6-4691-B342-A1C666332786}"/>
            </c:ext>
          </c:extLst>
        </c:ser>
        <c:ser>
          <c:idx val="4"/>
          <c:order val="2"/>
          <c:tx>
            <c:strRef>
              <c:f>'Overall Load Summary'!$B$8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Summary'!$C$8:$S$8</c:f>
              <c:numCache>
                <c:formatCode>#,##0</c:formatCode>
                <c:ptCount val="17"/>
                <c:pt idx="0">
                  <c:v>210460829.48535237</c:v>
                </c:pt>
                <c:pt idx="1">
                  <c:v>215800519.09</c:v>
                </c:pt>
                <c:pt idx="2">
                  <c:v>223859611.13000003</c:v>
                </c:pt>
                <c:pt idx="3">
                  <c:v>250221085.47000003</c:v>
                </c:pt>
                <c:pt idx="4">
                  <c:v>259592384.06</c:v>
                </c:pt>
                <c:pt idx="5">
                  <c:v>264242586.03</c:v>
                </c:pt>
                <c:pt idx="6">
                  <c:v>284809430.72000003</c:v>
                </c:pt>
                <c:pt idx="7">
                  <c:v>289202900.55000001</c:v>
                </c:pt>
                <c:pt idx="8">
                  <c:v>303910758.94632399</c:v>
                </c:pt>
                <c:pt idx="9">
                  <c:v>321893041.52938205</c:v>
                </c:pt>
                <c:pt idx="10">
                  <c:v>331686368.21779627</c:v>
                </c:pt>
                <c:pt idx="11">
                  <c:v>361053715.99987245</c:v>
                </c:pt>
                <c:pt idx="12">
                  <c:v>408628326.68616831</c:v>
                </c:pt>
                <c:pt idx="13">
                  <c:v>501277598.92863512</c:v>
                </c:pt>
                <c:pt idx="14">
                  <c:v>570944946.26759028</c:v>
                </c:pt>
                <c:pt idx="15">
                  <c:v>595286465.87812722</c:v>
                </c:pt>
                <c:pt idx="16">
                  <c:v>605876118.45883048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6-4691-B342-A1C666332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Summary'!$B$4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Summary'!$C$4:$S$4</c:f>
              <c:numCache>
                <c:formatCode>#,##0</c:formatCode>
                <c:ptCount val="17"/>
                <c:pt idx="0">
                  <c:v>9513187.7383200023</c:v>
                </c:pt>
                <c:pt idx="1">
                  <c:v>9487858.6249600016</c:v>
                </c:pt>
                <c:pt idx="2">
                  <c:v>9912683.662969999</c:v>
                </c:pt>
                <c:pt idx="3">
                  <c:v>10517338.461090002</c:v>
                </c:pt>
                <c:pt idx="4">
                  <c:v>10858188.68736</c:v>
                </c:pt>
                <c:pt idx="5">
                  <c:v>12379582.885860002</c:v>
                </c:pt>
                <c:pt idx="6">
                  <c:v>12593975.35183</c:v>
                </c:pt>
                <c:pt idx="7">
                  <c:v>12600240.583780002</c:v>
                </c:pt>
                <c:pt idx="8">
                  <c:v>12172613.888050001</c:v>
                </c:pt>
                <c:pt idx="9">
                  <c:v>12230713.602862934</c:v>
                </c:pt>
                <c:pt idx="10">
                  <c:v>12768206.557489421</c:v>
                </c:pt>
                <c:pt idx="11">
                  <c:v>13188721.546985753</c:v>
                </c:pt>
                <c:pt idx="12">
                  <c:v>13651253.423372488</c:v>
                </c:pt>
                <c:pt idx="13">
                  <c:v>14035998.008814186</c:v>
                </c:pt>
                <c:pt idx="14">
                  <c:v>14476769.158850323</c:v>
                </c:pt>
                <c:pt idx="15">
                  <c:v>14995359.212779585</c:v>
                </c:pt>
                <c:pt idx="16">
                  <c:v>15451103.337147947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9-422B-9992-AC021EB1D387}"/>
            </c:ext>
          </c:extLst>
        </c:ser>
        <c:ser>
          <c:idx val="6"/>
          <c:order val="1"/>
          <c:tx>
            <c:strRef>
              <c:f>'Overall Load Summary'!$B$9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Summary'!$C$9:$S$9</c:f>
              <c:numCache>
                <c:formatCode>#,##0</c:formatCode>
                <c:ptCount val="17"/>
                <c:pt idx="0">
                  <c:v>21466090.209724449</c:v>
                </c:pt>
                <c:pt idx="1">
                  <c:v>21694274.73</c:v>
                </c:pt>
                <c:pt idx="2">
                  <c:v>20460691.740000002</c:v>
                </c:pt>
                <c:pt idx="3">
                  <c:v>16161422.92</c:v>
                </c:pt>
                <c:pt idx="4">
                  <c:v>13788944.16</c:v>
                </c:pt>
                <c:pt idx="5">
                  <c:v>11924083.520000001</c:v>
                </c:pt>
                <c:pt idx="6">
                  <c:v>11682342.399999999</c:v>
                </c:pt>
                <c:pt idx="7">
                  <c:v>11643673.439999999</c:v>
                </c:pt>
                <c:pt idx="8">
                  <c:v>11868526.83</c:v>
                </c:pt>
                <c:pt idx="9">
                  <c:v>12144394.529999999</c:v>
                </c:pt>
                <c:pt idx="10">
                  <c:v>12269224.120433811</c:v>
                </c:pt>
                <c:pt idx="11">
                  <c:v>12395336.807082044</c:v>
                </c:pt>
                <c:pt idx="12">
                  <c:v>12522745.778611662</c:v>
                </c:pt>
                <c:pt idx="13">
                  <c:v>12651464.359253068</c:v>
                </c:pt>
                <c:pt idx="14">
                  <c:v>12781506.01019353</c:v>
                </c:pt>
                <c:pt idx="15">
                  <c:v>12912884.330984939</c:v>
                </c:pt>
                <c:pt idx="16">
                  <c:v>13045613.060966017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9-422B-9992-AC021EB1D387}"/>
            </c:ext>
          </c:extLst>
        </c:ser>
        <c:ser>
          <c:idx val="7"/>
          <c:order val="2"/>
          <c:tx>
            <c:strRef>
              <c:f>'Overall Load Summary'!$B$10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Summary'!$C$10:$S$10</c:f>
              <c:numCache>
                <c:formatCode>#,##0</c:formatCode>
                <c:ptCount val="17"/>
                <c:pt idx="0">
                  <c:v>345481.80950777204</c:v>
                </c:pt>
                <c:pt idx="1">
                  <c:v>345481.80950777204</c:v>
                </c:pt>
                <c:pt idx="2">
                  <c:v>311450.02999999997</c:v>
                </c:pt>
                <c:pt idx="3">
                  <c:v>247862.16999999998</c:v>
                </c:pt>
                <c:pt idx="4">
                  <c:v>229776.43000000002</c:v>
                </c:pt>
                <c:pt idx="5">
                  <c:v>229649.84000000003</c:v>
                </c:pt>
                <c:pt idx="6">
                  <c:v>227251.3</c:v>
                </c:pt>
                <c:pt idx="7">
                  <c:v>216445.25</c:v>
                </c:pt>
                <c:pt idx="8">
                  <c:v>218811.02999999997</c:v>
                </c:pt>
                <c:pt idx="9">
                  <c:v>216725.99999999994</c:v>
                </c:pt>
                <c:pt idx="10">
                  <c:v>213059.04438813563</c:v>
                </c:pt>
                <c:pt idx="11">
                  <c:v>209454.13284786118</c:v>
                </c:pt>
                <c:pt idx="12">
                  <c:v>205910.21560731487</c:v>
                </c:pt>
                <c:pt idx="13">
                  <c:v>202426.26065654092</c:v>
                </c:pt>
                <c:pt idx="14">
                  <c:v>199001.25344696196</c:v>
                </c:pt>
                <c:pt idx="15">
                  <c:v>195634.19659593637</c:v>
                </c:pt>
                <c:pt idx="16">
                  <c:v>192324.10959631458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9-422B-9992-AC021EB1D387}"/>
            </c:ext>
          </c:extLst>
        </c:ser>
        <c:ser>
          <c:idx val="8"/>
          <c:order val="3"/>
          <c:tx>
            <c:strRef>
              <c:f>'Overall Load Summary'!$B$11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Summary'!$C$11:$S$11</c:f>
              <c:numCache>
                <c:formatCode>#,##0</c:formatCode>
                <c:ptCount val="17"/>
                <c:pt idx="0">
                  <c:v>5083749.959999999</c:v>
                </c:pt>
                <c:pt idx="1">
                  <c:v>4975743.38</c:v>
                </c:pt>
                <c:pt idx="2">
                  <c:v>4919673.07</c:v>
                </c:pt>
                <c:pt idx="3">
                  <c:v>4890679</c:v>
                </c:pt>
                <c:pt idx="4">
                  <c:v>4846041.4799999995</c:v>
                </c:pt>
                <c:pt idx="5">
                  <c:v>4814697.32</c:v>
                </c:pt>
                <c:pt idx="6">
                  <c:v>4782281.78</c:v>
                </c:pt>
                <c:pt idx="7">
                  <c:v>4773215.28</c:v>
                </c:pt>
                <c:pt idx="8">
                  <c:v>4755033.3099999996</c:v>
                </c:pt>
                <c:pt idx="9">
                  <c:v>4744114.4700000007</c:v>
                </c:pt>
                <c:pt idx="10">
                  <c:v>4568421.3099587467</c:v>
                </c:pt>
                <c:pt idx="11">
                  <c:v>4505369.3749406869</c:v>
                </c:pt>
                <c:pt idx="12">
                  <c:v>4443187.6631879052</c:v>
                </c:pt>
                <c:pt idx="13">
                  <c:v>4381864.1641486054</c:v>
                </c:pt>
                <c:pt idx="14">
                  <c:v>4321387.0330369044</c:v>
                </c:pt>
                <c:pt idx="15">
                  <c:v>4261744.5885449816</c:v>
                </c:pt>
                <c:pt idx="16">
                  <c:v>4202925.3105868073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9-422B-9992-AC021EB1D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Summary'!$B$13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Summary'!$C$13:$S$13</c:f>
              <c:numCache>
                <c:formatCode>#,##0</c:formatCode>
                <c:ptCount val="17"/>
                <c:pt idx="0">
                  <c:v>2278207.1437237901</c:v>
                </c:pt>
                <c:pt idx="1">
                  <c:v>2342969.96</c:v>
                </c:pt>
                <c:pt idx="2">
                  <c:v>2295183.8399999994</c:v>
                </c:pt>
                <c:pt idx="3">
                  <c:v>2313760.27</c:v>
                </c:pt>
                <c:pt idx="4">
                  <c:v>2245850.48</c:v>
                </c:pt>
                <c:pt idx="5">
                  <c:v>2160161.04</c:v>
                </c:pt>
                <c:pt idx="6">
                  <c:v>2190090.0699999994</c:v>
                </c:pt>
                <c:pt idx="7">
                  <c:v>2248196.86</c:v>
                </c:pt>
                <c:pt idx="8">
                  <c:v>2217562.73</c:v>
                </c:pt>
                <c:pt idx="9">
                  <c:v>2202593.3899999997</c:v>
                </c:pt>
                <c:pt idx="10">
                  <c:v>2256585.4588195113</c:v>
                </c:pt>
                <c:pt idx="11">
                  <c:v>2352102.8484530342</c:v>
                </c:pt>
                <c:pt idx="12">
                  <c:v>2439390.9695466338</c:v>
                </c:pt>
                <c:pt idx="13">
                  <c:v>2488399.6359369536</c:v>
                </c:pt>
                <c:pt idx="14">
                  <c:v>2507288.8318808638</c:v>
                </c:pt>
                <c:pt idx="15">
                  <c:v>2511445.2847823263</c:v>
                </c:pt>
                <c:pt idx="16">
                  <c:v>2536587.5736430865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A-4A56-AE91-390335DA8827}"/>
            </c:ext>
          </c:extLst>
        </c:ser>
        <c:ser>
          <c:idx val="1"/>
          <c:order val="1"/>
          <c:tx>
            <c:strRef>
              <c:f>'Overall Load Summary'!$B$14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Summary'!$C$14:$S$14</c:f>
              <c:numCache>
                <c:formatCode>#,##0</c:formatCode>
                <c:ptCount val="17"/>
                <c:pt idx="0">
                  <c:v>194667.50288459152</c:v>
                </c:pt>
                <c:pt idx="1">
                  <c:v>223616.35</c:v>
                </c:pt>
                <c:pt idx="2">
                  <c:v>200189.70000000004</c:v>
                </c:pt>
                <c:pt idx="3">
                  <c:v>189119.25000000003</c:v>
                </c:pt>
                <c:pt idx="4">
                  <c:v>195386.42</c:v>
                </c:pt>
                <c:pt idx="5">
                  <c:v>192683.53999999998</c:v>
                </c:pt>
                <c:pt idx="6">
                  <c:v>216388.10000000003</c:v>
                </c:pt>
                <c:pt idx="7">
                  <c:v>228646.87000000002</c:v>
                </c:pt>
                <c:pt idx="8">
                  <c:v>234048.35</c:v>
                </c:pt>
                <c:pt idx="9">
                  <c:v>215659.85000000003</c:v>
                </c:pt>
                <c:pt idx="10">
                  <c:v>269029.71716874337</c:v>
                </c:pt>
                <c:pt idx="11">
                  <c:v>358542.7514199178</c:v>
                </c:pt>
                <c:pt idx="12">
                  <c:v>409833.7729541196</c:v>
                </c:pt>
                <c:pt idx="13">
                  <c:v>429041.88254029688</c:v>
                </c:pt>
                <c:pt idx="14">
                  <c:v>441641.3380119353</c:v>
                </c:pt>
                <c:pt idx="15">
                  <c:v>452488.43985664367</c:v>
                </c:pt>
                <c:pt idx="16">
                  <c:v>463837.65861638548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A-4A56-AE91-390335DA8827}"/>
            </c:ext>
          </c:extLst>
        </c:ser>
        <c:ser>
          <c:idx val="0"/>
          <c:order val="2"/>
          <c:tx>
            <c:strRef>
              <c:f>'Overall Load Summary'!$B$15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Summary'!$C$15:$S$15</c:f>
              <c:numCache>
                <c:formatCode>#,##0</c:formatCode>
                <c:ptCount val="17"/>
                <c:pt idx="0">
                  <c:v>361254.63310506125</c:v>
                </c:pt>
                <c:pt idx="1">
                  <c:v>421758</c:v>
                </c:pt>
                <c:pt idx="2">
                  <c:v>382866</c:v>
                </c:pt>
                <c:pt idx="3">
                  <c:v>423038</c:v>
                </c:pt>
                <c:pt idx="4">
                  <c:v>433414</c:v>
                </c:pt>
                <c:pt idx="5">
                  <c:v>453257</c:v>
                </c:pt>
                <c:pt idx="6">
                  <c:v>481567</c:v>
                </c:pt>
                <c:pt idx="7">
                  <c:v>490452</c:v>
                </c:pt>
                <c:pt idx="8">
                  <c:v>518389.27999999997</c:v>
                </c:pt>
                <c:pt idx="9">
                  <c:v>532510.09</c:v>
                </c:pt>
                <c:pt idx="10">
                  <c:v>562102.70615904417</c:v>
                </c:pt>
                <c:pt idx="11">
                  <c:v>614338.02506298595</c:v>
                </c:pt>
                <c:pt idx="12">
                  <c:v>700459.585062181</c:v>
                </c:pt>
                <c:pt idx="13">
                  <c:v>866937.22022196359</c:v>
                </c:pt>
                <c:pt idx="14">
                  <c:v>994908.69007255079</c:v>
                </c:pt>
                <c:pt idx="15">
                  <c:v>1044584.2129462288</c:v>
                </c:pt>
                <c:pt idx="16">
                  <c:v>1070183.945594792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A-4A56-AE91-390335DA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Summary'!$B$16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Summary'!$C$16:$S$16</c:f>
              <c:numCache>
                <c:formatCode>#,##0</c:formatCode>
                <c:ptCount val="17"/>
                <c:pt idx="0">
                  <c:v>57817.140000000007</c:v>
                </c:pt>
                <c:pt idx="1">
                  <c:v>57564.81</c:v>
                </c:pt>
                <c:pt idx="2">
                  <c:v>54832.51</c:v>
                </c:pt>
                <c:pt idx="3">
                  <c:v>43114.93</c:v>
                </c:pt>
                <c:pt idx="4">
                  <c:v>36690.920000000006</c:v>
                </c:pt>
                <c:pt idx="5">
                  <c:v>31667.35</c:v>
                </c:pt>
                <c:pt idx="6">
                  <c:v>31122.25</c:v>
                </c:pt>
                <c:pt idx="7">
                  <c:v>31016.899999999998</c:v>
                </c:pt>
                <c:pt idx="8">
                  <c:v>31561.47</c:v>
                </c:pt>
                <c:pt idx="9">
                  <c:v>32173.850000000002</c:v>
                </c:pt>
                <c:pt idx="10">
                  <c:v>32694.531495072591</c:v>
                </c:pt>
                <c:pt idx="11">
                  <c:v>33030.591474503723</c:v>
                </c:pt>
                <c:pt idx="12">
                  <c:v>33370.10574138326</c:v>
                </c:pt>
                <c:pt idx="13">
                  <c:v>33713.109801580729</c:v>
                </c:pt>
                <c:pt idx="14">
                  <c:v>34059.639525922736</c:v>
                </c:pt>
                <c:pt idx="15">
                  <c:v>34409.731153944325</c:v>
                </c:pt>
                <c:pt idx="16">
                  <c:v>34763.421297678848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F-467E-8B1E-7F840F80038C}"/>
            </c:ext>
          </c:extLst>
        </c:ser>
        <c:ser>
          <c:idx val="3"/>
          <c:order val="1"/>
          <c:tx>
            <c:strRef>
              <c:f>'Overall Load Summary'!$B$17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Summary'!$C$17:$S$17</c:f>
              <c:numCache>
                <c:formatCode>#,##0</c:formatCode>
                <c:ptCount val="17"/>
                <c:pt idx="0">
                  <c:v>1014</c:v>
                </c:pt>
                <c:pt idx="1">
                  <c:v>1014</c:v>
                </c:pt>
                <c:pt idx="2">
                  <c:v>967.00000000000011</c:v>
                </c:pt>
                <c:pt idx="3">
                  <c:v>720</c:v>
                </c:pt>
                <c:pt idx="4">
                  <c:v>629</c:v>
                </c:pt>
                <c:pt idx="5">
                  <c:v>642</c:v>
                </c:pt>
                <c:pt idx="6">
                  <c:v>632</c:v>
                </c:pt>
                <c:pt idx="7">
                  <c:v>601</c:v>
                </c:pt>
                <c:pt idx="8">
                  <c:v>608</c:v>
                </c:pt>
                <c:pt idx="9">
                  <c:v>602</c:v>
                </c:pt>
                <c:pt idx="10">
                  <c:v>591.00035762195512</c:v>
                </c:pt>
                <c:pt idx="11">
                  <c:v>581.00076330472677</c:v>
                </c:pt>
                <c:pt idx="12">
                  <c:v>571.17035989444037</c:v>
                </c:pt>
                <c:pt idx="13">
                  <c:v>561.50628471866321</c:v>
                </c:pt>
                <c:pt idx="14">
                  <c:v>552.00572354074188</c:v>
                </c:pt>
                <c:pt idx="15">
                  <c:v>542.66590974027986</c:v>
                </c:pt>
                <c:pt idx="16">
                  <c:v>533.48412350748094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F-467E-8B1E-7F840F800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Summary'!$B$57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Summary'!$C$57:$S$57</c:f>
              <c:numCache>
                <c:formatCode>#,##0</c:formatCode>
                <c:ptCount val="17"/>
                <c:pt idx="0">
                  <c:v>338703899.02863026</c:v>
                </c:pt>
                <c:pt idx="1">
                  <c:v>370346014.4023304</c:v>
                </c:pt>
                <c:pt idx="2">
                  <c:v>342395880.86244047</c:v>
                </c:pt>
                <c:pt idx="3">
                  <c:v>368689346.9634791</c:v>
                </c:pt>
                <c:pt idx="4">
                  <c:v>353188013.54001999</c:v>
                </c:pt>
                <c:pt idx="5">
                  <c:v>393916006.9360795</c:v>
                </c:pt>
                <c:pt idx="6">
                  <c:v>395025787.98234016</c:v>
                </c:pt>
                <c:pt idx="7">
                  <c:v>393586007.66831976</c:v>
                </c:pt>
                <c:pt idx="8">
                  <c:v>392504225.69293898</c:v>
                </c:pt>
                <c:pt idx="9">
                  <c:v>410753366.73417681</c:v>
                </c:pt>
                <c:pt idx="10">
                  <c:v>420868871.21270436</c:v>
                </c:pt>
                <c:pt idx="11">
                  <c:v>429484099.12396997</c:v>
                </c:pt>
                <c:pt idx="12">
                  <c:v>439097043.41427279</c:v>
                </c:pt>
                <c:pt idx="13">
                  <c:v>446916236.74809545</c:v>
                </c:pt>
                <c:pt idx="14">
                  <c:v>456006553.67833424</c:v>
                </c:pt>
                <c:pt idx="15">
                  <c:v>467964396.81071305</c:v>
                </c:pt>
                <c:pt idx="16">
                  <c:v>478427712.71105832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2-485A-882C-AFF89561497B}"/>
            </c:ext>
          </c:extLst>
        </c:ser>
        <c:ser>
          <c:idx val="1"/>
          <c:order val="1"/>
          <c:tx>
            <c:strRef>
              <c:f>'Overall Load Summary'!$B$58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Summary'!$C$58:$S$58</c:f>
              <c:numCache>
                <c:formatCode>#,##0</c:formatCode>
                <c:ptCount val="17"/>
                <c:pt idx="0">
                  <c:v>79714047.749680027</c:v>
                </c:pt>
                <c:pt idx="1">
                  <c:v>89219216.553899974</c:v>
                </c:pt>
                <c:pt idx="2">
                  <c:v>87028896.619829968</c:v>
                </c:pt>
                <c:pt idx="3">
                  <c:v>90146107.58235006</c:v>
                </c:pt>
                <c:pt idx="4">
                  <c:v>89224578.835409939</c:v>
                </c:pt>
                <c:pt idx="5">
                  <c:v>81674844.845230013</c:v>
                </c:pt>
                <c:pt idx="6">
                  <c:v>82555807.732179999</c:v>
                </c:pt>
                <c:pt idx="7">
                  <c:v>87488274.475439951</c:v>
                </c:pt>
                <c:pt idx="8">
                  <c:v>88772162.724419996</c:v>
                </c:pt>
                <c:pt idx="9">
                  <c:v>88408717.91074124</c:v>
                </c:pt>
                <c:pt idx="10">
                  <c:v>91865097.571131602</c:v>
                </c:pt>
                <c:pt idx="11">
                  <c:v>91880260.805829793</c:v>
                </c:pt>
                <c:pt idx="12">
                  <c:v>92220583.34207429</c:v>
                </c:pt>
                <c:pt idx="13">
                  <c:v>92127188.90558517</c:v>
                </c:pt>
                <c:pt idx="14">
                  <c:v>92276639.912228808</c:v>
                </c:pt>
                <c:pt idx="15">
                  <c:v>92558249.961664766</c:v>
                </c:pt>
                <c:pt idx="16">
                  <c:v>92985234.655091539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2-485A-882C-AFF895614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Summary'!$B$59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Summary'!$C$59:$S$59</c:f>
              <c:numCache>
                <c:formatCode>#,##0</c:formatCode>
                <c:ptCount val="17"/>
                <c:pt idx="0">
                  <c:v>352899431.06331873</c:v>
                </c:pt>
                <c:pt idx="1">
                  <c:v>358773984.16000003</c:v>
                </c:pt>
                <c:pt idx="2">
                  <c:v>343423307.15999997</c:v>
                </c:pt>
                <c:pt idx="3">
                  <c:v>350668948.01999998</c:v>
                </c:pt>
                <c:pt idx="4">
                  <c:v>339922011.33999991</c:v>
                </c:pt>
                <c:pt idx="5">
                  <c:v>322964211.5</c:v>
                </c:pt>
                <c:pt idx="6">
                  <c:v>317381493.69</c:v>
                </c:pt>
                <c:pt idx="7">
                  <c:v>327733925.63999999</c:v>
                </c:pt>
                <c:pt idx="8">
                  <c:v>328654262.78999996</c:v>
                </c:pt>
                <c:pt idx="9">
                  <c:v>336698539.93000007</c:v>
                </c:pt>
                <c:pt idx="10">
                  <c:v>333000010.61574209</c:v>
                </c:pt>
                <c:pt idx="11">
                  <c:v>347810939.07917917</c:v>
                </c:pt>
                <c:pt idx="12">
                  <c:v>355866835.57952148</c:v>
                </c:pt>
                <c:pt idx="13">
                  <c:v>358980060.58430421</c:v>
                </c:pt>
                <c:pt idx="14">
                  <c:v>364191858.4493953</c:v>
                </c:pt>
                <c:pt idx="15">
                  <c:v>366061156.97285277</c:v>
                </c:pt>
                <c:pt idx="16">
                  <c:v>366512223.63877064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BE7-94BF-CB79368FC031}"/>
            </c:ext>
          </c:extLst>
        </c:ser>
        <c:ser>
          <c:idx val="3"/>
          <c:order val="1"/>
          <c:tx>
            <c:strRef>
              <c:f>'Overall Load Summary'!$B$60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Summary'!$C$60:$S$60</c:f>
              <c:numCache>
                <c:formatCode>#,##0</c:formatCode>
                <c:ptCount val="17"/>
                <c:pt idx="0">
                  <c:v>59790687.039999992</c:v>
                </c:pt>
                <c:pt idx="1">
                  <c:v>62626456.32</c:v>
                </c:pt>
                <c:pt idx="2">
                  <c:v>61143400.199999996</c:v>
                </c:pt>
                <c:pt idx="3">
                  <c:v>72194607.670000002</c:v>
                </c:pt>
                <c:pt idx="4">
                  <c:v>79821855.49000001</c:v>
                </c:pt>
                <c:pt idx="5">
                  <c:v>85368173.439999998</c:v>
                </c:pt>
                <c:pt idx="6">
                  <c:v>88615341.370000005</c:v>
                </c:pt>
                <c:pt idx="7">
                  <c:v>88680038.160000011</c:v>
                </c:pt>
                <c:pt idx="8">
                  <c:v>85763218.280000001</c:v>
                </c:pt>
                <c:pt idx="9">
                  <c:v>82433193.179999992</c:v>
                </c:pt>
                <c:pt idx="10">
                  <c:v>90574521.320152208</c:v>
                </c:pt>
                <c:pt idx="11">
                  <c:v>109411111.63764702</c:v>
                </c:pt>
                <c:pt idx="12">
                  <c:v>121483640.89527072</c:v>
                </c:pt>
                <c:pt idx="13">
                  <c:v>125836143.41840598</c:v>
                </c:pt>
                <c:pt idx="14">
                  <c:v>129926236.49593435</c:v>
                </c:pt>
                <c:pt idx="15">
                  <c:v>138457257.88667884</c:v>
                </c:pt>
                <c:pt idx="16">
                  <c:v>148047521.96019441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B-4BE7-94BF-CB79368FC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'Overall Load Summary'!$B$61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Summary'!$C$61:$S$61</c:f>
              <c:numCache>
                <c:formatCode>#,##0</c:formatCode>
                <c:ptCount val="17"/>
                <c:pt idx="0">
                  <c:v>9273958.5999999996</c:v>
                </c:pt>
                <c:pt idx="1">
                  <c:v>6314646.5300000003</c:v>
                </c:pt>
                <c:pt idx="2">
                  <c:v>4989079.4000000004</c:v>
                </c:pt>
                <c:pt idx="3">
                  <c:v>3813016.9899999998</c:v>
                </c:pt>
                <c:pt idx="4">
                  <c:v>3495126.45</c:v>
                </c:pt>
                <c:pt idx="5">
                  <c:v>3375506.85</c:v>
                </c:pt>
                <c:pt idx="6">
                  <c:v>3254529.2399999998</c:v>
                </c:pt>
                <c:pt idx="7">
                  <c:v>3584406.7699999996</c:v>
                </c:pt>
                <c:pt idx="8">
                  <c:v>3668423.59</c:v>
                </c:pt>
                <c:pt idx="9">
                  <c:v>3708102.8000000003</c:v>
                </c:pt>
                <c:pt idx="10">
                  <c:v>3769413.3310388532</c:v>
                </c:pt>
                <c:pt idx="11">
                  <c:v>3831737.5829530451</c:v>
                </c:pt>
                <c:pt idx="12">
                  <c:v>3895092.3168111197</c:v>
                </c:pt>
                <c:pt idx="13">
                  <c:v>3959494.5708125578</c:v>
                </c:pt>
                <c:pt idx="14">
                  <c:v>4024961.6648699204</c:v>
                </c:pt>
                <c:pt idx="15">
                  <c:v>4091511.2052667504</c:v>
                </c:pt>
                <c:pt idx="16">
                  <c:v>4159161.089392487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7-42FC-9AD1-141CE8BD996E}"/>
            </c:ext>
          </c:extLst>
        </c:ser>
        <c:ser>
          <c:idx val="5"/>
          <c:order val="1"/>
          <c:tx>
            <c:strRef>
              <c:f>'Overall Load Summary'!$B$62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Summary'!$C$62:$S$62</c:f>
              <c:numCache>
                <c:formatCode>#,##0</c:formatCode>
                <c:ptCount val="17"/>
                <c:pt idx="0">
                  <c:v>32743.483880190775</c:v>
                </c:pt>
                <c:pt idx="1">
                  <c:v>31709.479126079488</c:v>
                </c:pt>
                <c:pt idx="2">
                  <c:v>30330.806120597761</c:v>
                </c:pt>
                <c:pt idx="3">
                  <c:v>29986.137869227339</c:v>
                </c:pt>
                <c:pt idx="4">
                  <c:v>29641.469617856914</c:v>
                </c:pt>
                <c:pt idx="5">
                  <c:v>24816.1140986709</c:v>
                </c:pt>
                <c:pt idx="6">
                  <c:v>25473.639999999985</c:v>
                </c:pt>
                <c:pt idx="7">
                  <c:v>30995.533717316393</c:v>
                </c:pt>
                <c:pt idx="8">
                  <c:v>31196.699999999993</c:v>
                </c:pt>
                <c:pt idx="9">
                  <c:v>29865.999999999989</c:v>
                </c:pt>
                <c:pt idx="10">
                  <c:v>31238.247693689678</c:v>
                </c:pt>
                <c:pt idx="11">
                  <c:v>31652.571214880914</c:v>
                </c:pt>
                <c:pt idx="12">
                  <c:v>32072.390050082573</c:v>
                </c:pt>
                <c:pt idx="13">
                  <c:v>32497.777085516482</c:v>
                </c:pt>
                <c:pt idx="14">
                  <c:v>32928.806174119265</c:v>
                </c:pt>
                <c:pt idx="15">
                  <c:v>33365.552148364186</c:v>
                </c:pt>
                <c:pt idx="16">
                  <c:v>33808.090833253111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7-42FC-9AD1-141CE8BD996E}"/>
            </c:ext>
          </c:extLst>
        </c:ser>
        <c:ser>
          <c:idx val="6"/>
          <c:order val="2"/>
          <c:tx>
            <c:strRef>
              <c:f>'Overall Load Summary'!$B$63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Summary'!$C$63:$S$63</c:f>
              <c:numCache>
                <c:formatCode>#,##0</c:formatCode>
                <c:ptCount val="17"/>
                <c:pt idx="0">
                  <c:v>632882.16</c:v>
                </c:pt>
                <c:pt idx="1">
                  <c:v>598539.54</c:v>
                </c:pt>
                <c:pt idx="2">
                  <c:v>597299.67999999982</c:v>
                </c:pt>
                <c:pt idx="3">
                  <c:v>604470.16999999993</c:v>
                </c:pt>
                <c:pt idx="4">
                  <c:v>597885.07999999996</c:v>
                </c:pt>
                <c:pt idx="5">
                  <c:v>1852577.37</c:v>
                </c:pt>
                <c:pt idx="6">
                  <c:v>1969676.7400000002</c:v>
                </c:pt>
                <c:pt idx="7">
                  <c:v>1956354.06</c:v>
                </c:pt>
                <c:pt idx="8">
                  <c:v>1961564.28</c:v>
                </c:pt>
                <c:pt idx="9">
                  <c:v>1961874.72</c:v>
                </c:pt>
                <c:pt idx="10">
                  <c:v>1926400.0408803986</c:v>
                </c:pt>
                <c:pt idx="11">
                  <c:v>1936353.0077134862</c:v>
                </c:pt>
                <c:pt idx="12">
                  <c:v>1946357.3976916517</c:v>
                </c:pt>
                <c:pt idx="13">
                  <c:v>1956413.4764984741</c:v>
                </c:pt>
                <c:pt idx="14">
                  <c:v>1966521.5111902175</c:v>
                </c:pt>
                <c:pt idx="15">
                  <c:v>1976681.7702029219</c:v>
                </c:pt>
                <c:pt idx="16">
                  <c:v>1986894.5233595334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7-42FC-9AD1-141CE8BD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Weather!$AA$1</c:f>
              <c:strCache>
                <c:ptCount val="1"/>
                <c:pt idx="0">
                  <c:v> WRZ_GS50to2999kWh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Weather!$Q$14:$Q$133</c:f>
              <c:numCache>
                <c:formatCode>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Weather!$AA$14:$AA$133</c:f>
              <c:numCache>
                <c:formatCode>_-* #,##0_-;\-* #,##0_-;_-* "-"??_-;_-@_-</c:formatCode>
                <c:ptCount val="120"/>
                <c:pt idx="0">
                  <c:v>30763090.182499632</c:v>
                </c:pt>
                <c:pt idx="1">
                  <c:v>30137881.684263874</c:v>
                </c:pt>
                <c:pt idx="2">
                  <c:v>29235061.463367853</c:v>
                </c:pt>
                <c:pt idx="3">
                  <c:v>27991938.171590615</c:v>
                </c:pt>
                <c:pt idx="4">
                  <c:v>27735210.381596781</c:v>
                </c:pt>
                <c:pt idx="5">
                  <c:v>28744327.190000001</c:v>
                </c:pt>
                <c:pt idx="6">
                  <c:v>30536784.32</c:v>
                </c:pt>
                <c:pt idx="7">
                  <c:v>30564228.59</c:v>
                </c:pt>
                <c:pt idx="8">
                  <c:v>30000518.25</c:v>
                </c:pt>
                <c:pt idx="9">
                  <c:v>29128975.390000001</c:v>
                </c:pt>
                <c:pt idx="10">
                  <c:v>28976857.489999998</c:v>
                </c:pt>
                <c:pt idx="11">
                  <c:v>29084557.949999999</c:v>
                </c:pt>
                <c:pt idx="12">
                  <c:v>31727418.850000001</c:v>
                </c:pt>
                <c:pt idx="13">
                  <c:v>31082611.98</c:v>
                </c:pt>
                <c:pt idx="14">
                  <c:v>30151491.109999999</c:v>
                </c:pt>
                <c:pt idx="15">
                  <c:v>28869399.710000001</c:v>
                </c:pt>
                <c:pt idx="16">
                  <c:v>28604624.289999999</c:v>
                </c:pt>
                <c:pt idx="17">
                  <c:v>29645373.82</c:v>
                </c:pt>
                <c:pt idx="18">
                  <c:v>30252012.800000001</c:v>
                </c:pt>
                <c:pt idx="19">
                  <c:v>32320717.75</c:v>
                </c:pt>
                <c:pt idx="20">
                  <c:v>30235739.219999999</c:v>
                </c:pt>
                <c:pt idx="21">
                  <c:v>29057711.48</c:v>
                </c:pt>
                <c:pt idx="22">
                  <c:v>28199729.350000001</c:v>
                </c:pt>
                <c:pt idx="23">
                  <c:v>28627153.800000001</c:v>
                </c:pt>
                <c:pt idx="24">
                  <c:v>30488209.27</c:v>
                </c:pt>
                <c:pt idx="25">
                  <c:v>27758859.02</c:v>
                </c:pt>
                <c:pt idx="26">
                  <c:v>28968768.32</c:v>
                </c:pt>
                <c:pt idx="27">
                  <c:v>27336627.809999999</c:v>
                </c:pt>
                <c:pt idx="28">
                  <c:v>27182998.379999999</c:v>
                </c:pt>
                <c:pt idx="29">
                  <c:v>28646810.48</c:v>
                </c:pt>
                <c:pt idx="30">
                  <c:v>28049553.609999999</c:v>
                </c:pt>
                <c:pt idx="31">
                  <c:v>28988071.77</c:v>
                </c:pt>
                <c:pt idx="32">
                  <c:v>29602627.350000001</c:v>
                </c:pt>
                <c:pt idx="33">
                  <c:v>27500606.899999999</c:v>
                </c:pt>
                <c:pt idx="34">
                  <c:v>29176541.93</c:v>
                </c:pt>
                <c:pt idx="35">
                  <c:v>29723632.32</c:v>
                </c:pt>
                <c:pt idx="36">
                  <c:v>33209764.710000001</c:v>
                </c:pt>
                <c:pt idx="37">
                  <c:v>28641648.640000001</c:v>
                </c:pt>
                <c:pt idx="38">
                  <c:v>28869882.920000002</c:v>
                </c:pt>
                <c:pt idx="39">
                  <c:v>27695564.940000001</c:v>
                </c:pt>
                <c:pt idx="40">
                  <c:v>27592545.890000001</c:v>
                </c:pt>
                <c:pt idx="41">
                  <c:v>28199952.420000002</c:v>
                </c:pt>
                <c:pt idx="42">
                  <c:v>29739839.879999999</c:v>
                </c:pt>
                <c:pt idx="43">
                  <c:v>31063804.010000002</c:v>
                </c:pt>
                <c:pt idx="44">
                  <c:v>30660383.59</c:v>
                </c:pt>
                <c:pt idx="45">
                  <c:v>28212998.809999999</c:v>
                </c:pt>
                <c:pt idx="46">
                  <c:v>28205845.879999999</c:v>
                </c:pt>
                <c:pt idx="47">
                  <c:v>28576716.329999998</c:v>
                </c:pt>
                <c:pt idx="48">
                  <c:v>30463335.469999999</c:v>
                </c:pt>
                <c:pt idx="49">
                  <c:v>29734090.960000001</c:v>
                </c:pt>
                <c:pt idx="50">
                  <c:v>28924320.140000001</c:v>
                </c:pt>
                <c:pt idx="51">
                  <c:v>27476847.510000002</c:v>
                </c:pt>
                <c:pt idx="52">
                  <c:v>26341835.550000001</c:v>
                </c:pt>
                <c:pt idx="53">
                  <c:v>26801907.539999999</c:v>
                </c:pt>
                <c:pt idx="54">
                  <c:v>29874854.309999999</c:v>
                </c:pt>
                <c:pt idx="55">
                  <c:v>30243494.170000002</c:v>
                </c:pt>
                <c:pt idx="56">
                  <c:v>27479248.530000001</c:v>
                </c:pt>
                <c:pt idx="57">
                  <c:v>26568981.43</c:v>
                </c:pt>
                <c:pt idx="58">
                  <c:v>27571468.760000002</c:v>
                </c:pt>
                <c:pt idx="59">
                  <c:v>28441626.969999999</c:v>
                </c:pt>
                <c:pt idx="60">
                  <c:v>30147336.350000001</c:v>
                </c:pt>
                <c:pt idx="61">
                  <c:v>28075256.84</c:v>
                </c:pt>
                <c:pt idx="62">
                  <c:v>27015739.629999999</c:v>
                </c:pt>
                <c:pt idx="63">
                  <c:v>24168395.280000001</c:v>
                </c:pt>
                <c:pt idx="64">
                  <c:v>23504938.949999999</c:v>
                </c:pt>
                <c:pt idx="65">
                  <c:v>28194603.760000002</c:v>
                </c:pt>
                <c:pt idx="66">
                  <c:v>28837574.93</c:v>
                </c:pt>
                <c:pt idx="67">
                  <c:v>27859463.129999999</c:v>
                </c:pt>
                <c:pt idx="68">
                  <c:v>25403788.219999999</c:v>
                </c:pt>
                <c:pt idx="69">
                  <c:v>25328818.460000001</c:v>
                </c:pt>
                <c:pt idx="70">
                  <c:v>25742106.59</c:v>
                </c:pt>
                <c:pt idx="71">
                  <c:v>28686189.359999999</c:v>
                </c:pt>
                <c:pt idx="72">
                  <c:v>28116377.030000001</c:v>
                </c:pt>
                <c:pt idx="73">
                  <c:v>26385107.34</c:v>
                </c:pt>
                <c:pt idx="74">
                  <c:v>27056910.829999998</c:v>
                </c:pt>
                <c:pt idx="75">
                  <c:v>23520001.760000002</c:v>
                </c:pt>
                <c:pt idx="76">
                  <c:v>23634492.940000001</c:v>
                </c:pt>
                <c:pt idx="77">
                  <c:v>26196543.41</c:v>
                </c:pt>
                <c:pt idx="78">
                  <c:v>27214148.16</c:v>
                </c:pt>
                <c:pt idx="79">
                  <c:v>29538580.43</c:v>
                </c:pt>
                <c:pt idx="80">
                  <c:v>25587991.039999999</c:v>
                </c:pt>
                <c:pt idx="81">
                  <c:v>25726321.02</c:v>
                </c:pt>
                <c:pt idx="82">
                  <c:v>26402840.800000001</c:v>
                </c:pt>
                <c:pt idx="83">
                  <c:v>28002178.93</c:v>
                </c:pt>
                <c:pt idx="84">
                  <c:v>29472505.969999999</c:v>
                </c:pt>
                <c:pt idx="85">
                  <c:v>27029254.530000001</c:v>
                </c:pt>
                <c:pt idx="86">
                  <c:v>28645335.43</c:v>
                </c:pt>
                <c:pt idx="87">
                  <c:v>25472918.010000002</c:v>
                </c:pt>
                <c:pt idx="88">
                  <c:v>25541767.5</c:v>
                </c:pt>
                <c:pt idx="89">
                  <c:v>26153981.300000001</c:v>
                </c:pt>
                <c:pt idx="90">
                  <c:v>28545087.309999999</c:v>
                </c:pt>
                <c:pt idx="91">
                  <c:v>29956192.780000001</c:v>
                </c:pt>
                <c:pt idx="92">
                  <c:v>26457118.789999999</c:v>
                </c:pt>
                <c:pt idx="93">
                  <c:v>25520769.23</c:v>
                </c:pt>
                <c:pt idx="94">
                  <c:v>26558209.010000002</c:v>
                </c:pt>
                <c:pt idx="95">
                  <c:v>28380785.780000001</c:v>
                </c:pt>
                <c:pt idx="96">
                  <c:v>29107817.699999999</c:v>
                </c:pt>
                <c:pt idx="97">
                  <c:v>27204210.59</c:v>
                </c:pt>
                <c:pt idx="98">
                  <c:v>28602056.899999999</c:v>
                </c:pt>
                <c:pt idx="99">
                  <c:v>24845160.359999999</c:v>
                </c:pt>
                <c:pt idx="100">
                  <c:v>25540892.25</c:v>
                </c:pt>
                <c:pt idx="101">
                  <c:v>26913245.190000001</c:v>
                </c:pt>
                <c:pt idx="102">
                  <c:v>28920135.449999999</c:v>
                </c:pt>
                <c:pt idx="103">
                  <c:v>28574992.75</c:v>
                </c:pt>
                <c:pt idx="104">
                  <c:v>27184107.140000001</c:v>
                </c:pt>
                <c:pt idx="105">
                  <c:v>26514209.989999998</c:v>
                </c:pt>
                <c:pt idx="106">
                  <c:v>27268389.629999999</c:v>
                </c:pt>
                <c:pt idx="107">
                  <c:v>27979044.84</c:v>
                </c:pt>
                <c:pt idx="108">
                  <c:v>30235124.84</c:v>
                </c:pt>
                <c:pt idx="109">
                  <c:v>27060249.84</c:v>
                </c:pt>
                <c:pt idx="110">
                  <c:v>27405736</c:v>
                </c:pt>
                <c:pt idx="111">
                  <c:v>25571685.25</c:v>
                </c:pt>
                <c:pt idx="112">
                  <c:v>26265639.09</c:v>
                </c:pt>
                <c:pt idx="113">
                  <c:v>27368038.239999998</c:v>
                </c:pt>
                <c:pt idx="114">
                  <c:v>30205168.489999998</c:v>
                </c:pt>
                <c:pt idx="115">
                  <c:v>29899992.52</c:v>
                </c:pt>
                <c:pt idx="116">
                  <c:v>27862082.350000001</c:v>
                </c:pt>
                <c:pt idx="117">
                  <c:v>27277779.640000001</c:v>
                </c:pt>
                <c:pt idx="118">
                  <c:v>27362194.800000001</c:v>
                </c:pt>
                <c:pt idx="119">
                  <c:v>30184848.870000001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8D-4544-AF12-8D76310F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82192"/>
        <c:axId val="523582672"/>
      </c:scatterChart>
      <c:valAx>
        <c:axId val="523582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672"/>
        <c:crosses val="autoZero"/>
        <c:crossBetween val="midCat"/>
      </c:valAx>
      <c:valAx>
        <c:axId val="52358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58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Summary'!$B$65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Summary'!$C$65:$S$65</c:f>
              <c:numCache>
                <c:formatCode>#,##0</c:formatCode>
                <c:ptCount val="17"/>
                <c:pt idx="0">
                  <c:v>823988.30999999982</c:v>
                </c:pt>
                <c:pt idx="1">
                  <c:v>847805.77999999991</c:v>
                </c:pt>
                <c:pt idx="2">
                  <c:v>816193.45000000007</c:v>
                </c:pt>
                <c:pt idx="3">
                  <c:v>835852.88</c:v>
                </c:pt>
                <c:pt idx="4">
                  <c:v>811487.09999999986</c:v>
                </c:pt>
                <c:pt idx="5">
                  <c:v>783041.75999999989</c:v>
                </c:pt>
                <c:pt idx="6">
                  <c:v>760128.48</c:v>
                </c:pt>
                <c:pt idx="7">
                  <c:v>795164.42999999993</c:v>
                </c:pt>
                <c:pt idx="8">
                  <c:v>773424.36</c:v>
                </c:pt>
                <c:pt idx="9">
                  <c:v>765937.02</c:v>
                </c:pt>
                <c:pt idx="10">
                  <c:v>792038.79870096827</c:v>
                </c:pt>
                <c:pt idx="11">
                  <c:v>834734.1055414828</c:v>
                </c:pt>
                <c:pt idx="12">
                  <c:v>858661.61723306729</c:v>
                </c:pt>
                <c:pt idx="13">
                  <c:v>871800.33049264411</c:v>
                </c:pt>
                <c:pt idx="14">
                  <c:v>891036.29275398084</c:v>
                </c:pt>
                <c:pt idx="15">
                  <c:v>902940.32213359501</c:v>
                </c:pt>
                <c:pt idx="16">
                  <c:v>911040.42826834694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A-4293-ACA4-A0A43BE2945C}"/>
            </c:ext>
          </c:extLst>
        </c:ser>
        <c:ser>
          <c:idx val="1"/>
          <c:order val="1"/>
          <c:tx>
            <c:strRef>
              <c:f>'Overall Load Summary'!$B$66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Summary'!$C$66:$S$66</c:f>
              <c:numCache>
                <c:formatCode>#,##0</c:formatCode>
                <c:ptCount val="17"/>
                <c:pt idx="0">
                  <c:v>90011.670000000013</c:v>
                </c:pt>
                <c:pt idx="1">
                  <c:v>93876.75</c:v>
                </c:pt>
                <c:pt idx="2">
                  <c:v>90337.329999999987</c:v>
                </c:pt>
                <c:pt idx="3">
                  <c:v>114913.62000000001</c:v>
                </c:pt>
                <c:pt idx="4">
                  <c:v>147600.45000000001</c:v>
                </c:pt>
                <c:pt idx="5">
                  <c:v>146756.25999999998</c:v>
                </c:pt>
                <c:pt idx="6">
                  <c:v>151779.59</c:v>
                </c:pt>
                <c:pt idx="7">
                  <c:v>164454.65</c:v>
                </c:pt>
                <c:pt idx="8">
                  <c:v>160651.39000000001</c:v>
                </c:pt>
                <c:pt idx="9">
                  <c:v>160377.93</c:v>
                </c:pt>
                <c:pt idx="10">
                  <c:v>165582.18164139806</c:v>
                </c:pt>
                <c:pt idx="11">
                  <c:v>201298.35000072836</c:v>
                </c:pt>
                <c:pt idx="12">
                  <c:v>225033.19018294194</c:v>
                </c:pt>
                <c:pt idx="13">
                  <c:v>234818.19618120225</c:v>
                </c:pt>
                <c:pt idx="14">
                  <c:v>244310.3782710919</c:v>
                </c:pt>
                <c:pt idx="15">
                  <c:v>262393.34316623054</c:v>
                </c:pt>
                <c:pt idx="16">
                  <c:v>282630.24203393806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A-4293-ACA4-A0A43BE29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Summary'!$B$67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Summary'!$C$67:$S$67</c:f>
              <c:numCache>
                <c:formatCode>#,##0</c:formatCode>
                <c:ptCount val="17"/>
                <c:pt idx="0">
                  <c:v>23991.02</c:v>
                </c:pt>
                <c:pt idx="1">
                  <c:v>16142.07</c:v>
                </c:pt>
                <c:pt idx="2">
                  <c:v>12797.349999999999</c:v>
                </c:pt>
                <c:pt idx="3">
                  <c:v>9791.36</c:v>
                </c:pt>
                <c:pt idx="4">
                  <c:v>8980.67</c:v>
                </c:pt>
                <c:pt idx="5">
                  <c:v>9314.0300000000025</c:v>
                </c:pt>
                <c:pt idx="6">
                  <c:v>9362</c:v>
                </c:pt>
                <c:pt idx="7">
                  <c:v>9581</c:v>
                </c:pt>
                <c:pt idx="8">
                  <c:v>9810</c:v>
                </c:pt>
                <c:pt idx="9">
                  <c:v>9886</c:v>
                </c:pt>
                <c:pt idx="10">
                  <c:v>9986.964521792901</c:v>
                </c:pt>
                <c:pt idx="11">
                  <c:v>10152.091038322405</c:v>
                </c:pt>
                <c:pt idx="12">
                  <c:v>10319.947790490745</c:v>
                </c:pt>
                <c:pt idx="13">
                  <c:v>10490.579920573065</c:v>
                </c:pt>
                <c:pt idx="14">
                  <c:v>10664.033317236139</c:v>
                </c:pt>
                <c:pt idx="15">
                  <c:v>10840.354627879351</c:v>
                </c:pt>
                <c:pt idx="16">
                  <c:v>11019.591271179737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7-49D6-AADE-C3D5B27016B1}"/>
            </c:ext>
          </c:extLst>
        </c:ser>
        <c:ser>
          <c:idx val="3"/>
          <c:order val="1"/>
          <c:tx>
            <c:strRef>
              <c:f>'Overall Load Summary'!$B$68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Summary'!$C$68:$S$68</c:f>
              <c:numCache>
                <c:formatCode>#,##0</c:formatCode>
                <c:ptCount val="17"/>
                <c:pt idx="0">
                  <c:v>95.000000000000014</c:v>
                </c:pt>
                <c:pt idx="1">
                  <c:v>92.000000000000014</c:v>
                </c:pt>
                <c:pt idx="2">
                  <c:v>87.999999999999986</c:v>
                </c:pt>
                <c:pt idx="3">
                  <c:v>87</c:v>
                </c:pt>
                <c:pt idx="4">
                  <c:v>86.000000000000014</c:v>
                </c:pt>
                <c:pt idx="5">
                  <c:v>72</c:v>
                </c:pt>
                <c:pt idx="6">
                  <c:v>71</c:v>
                </c:pt>
                <c:pt idx="7">
                  <c:v>95.000000000000014</c:v>
                </c:pt>
                <c:pt idx="8">
                  <c:v>92.000000000000014</c:v>
                </c:pt>
                <c:pt idx="9">
                  <c:v>83</c:v>
                </c:pt>
                <c:pt idx="10">
                  <c:v>91.644506247205769</c:v>
                </c:pt>
                <c:pt idx="11">
                  <c:v>92.860018554378001</c:v>
                </c:pt>
                <c:pt idx="12">
                  <c:v>94.091652615372567</c:v>
                </c:pt>
                <c:pt idx="13">
                  <c:v>95.339622258502658</c:v>
                </c:pt>
                <c:pt idx="14">
                  <c:v>96.60414414815925</c:v>
                </c:pt>
                <c:pt idx="15">
                  <c:v>97.885437822426894</c:v>
                </c:pt>
                <c:pt idx="16">
                  <c:v>99.183725731198621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7-49D6-AADE-C3D5B270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79455"/>
        <c:axId val="280255935"/>
      </c:lineChart>
      <c:catAx>
        <c:axId val="28027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55935"/>
        <c:crosses val="autoZero"/>
        <c:auto val="1"/>
        <c:lblAlgn val="ctr"/>
        <c:lblOffset val="100"/>
        <c:noMultiLvlLbl val="0"/>
      </c:catAx>
      <c:valAx>
        <c:axId val="28025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279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Summary'!$B$19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Summary'!$C$19:$S$19</c:f>
              <c:numCache>
                <c:formatCode>#,##0</c:formatCode>
                <c:ptCount val="17"/>
                <c:pt idx="0">
                  <c:v>107215.95833333336</c:v>
                </c:pt>
                <c:pt idx="1">
                  <c:v>107447.625</c:v>
                </c:pt>
                <c:pt idx="2">
                  <c:v>108364.75</c:v>
                </c:pt>
                <c:pt idx="3">
                  <c:v>109469.75</c:v>
                </c:pt>
                <c:pt idx="4">
                  <c:v>110960.875</c:v>
                </c:pt>
                <c:pt idx="5">
                  <c:v>112218.375</c:v>
                </c:pt>
                <c:pt idx="6">
                  <c:v>113059.29166666664</c:v>
                </c:pt>
                <c:pt idx="7">
                  <c:v>114160.83333333336</c:v>
                </c:pt>
                <c:pt idx="8">
                  <c:v>115689.125</c:v>
                </c:pt>
                <c:pt idx="9">
                  <c:v>117456.375</c:v>
                </c:pt>
                <c:pt idx="10">
                  <c:v>119658.08251290793</c:v>
                </c:pt>
                <c:pt idx="11">
                  <c:v>122101.82410195106</c:v>
                </c:pt>
                <c:pt idx="12">
                  <c:v>124619.26455933102</c:v>
                </c:pt>
                <c:pt idx="13">
                  <c:v>127084.20705650066</c:v>
                </c:pt>
                <c:pt idx="14">
                  <c:v>129594.08740725768</c:v>
                </c:pt>
                <c:pt idx="15">
                  <c:v>132210.11590597217</c:v>
                </c:pt>
                <c:pt idx="16">
                  <c:v>134871.14313253391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7-40C7-8D79-194C6D7B559F}"/>
            </c:ext>
          </c:extLst>
        </c:ser>
        <c:ser>
          <c:idx val="2"/>
          <c:order val="1"/>
          <c:tx>
            <c:strRef>
              <c:f>'Overall Load Summary'!$B$21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Summary'!$C$21:$S$21</c:f>
              <c:numCache>
                <c:formatCode>#,##0</c:formatCode>
                <c:ptCount val="17"/>
                <c:pt idx="0">
                  <c:v>8892.9583333333303</c:v>
                </c:pt>
                <c:pt idx="1">
                  <c:v>8953.4166666666697</c:v>
                </c:pt>
                <c:pt idx="2">
                  <c:v>9015.375</c:v>
                </c:pt>
                <c:pt idx="3">
                  <c:v>9089.625</c:v>
                </c:pt>
                <c:pt idx="4">
                  <c:v>9207.0416666666697</c:v>
                </c:pt>
                <c:pt idx="5">
                  <c:v>9277.75</c:v>
                </c:pt>
                <c:pt idx="6">
                  <c:v>9314.7083333333303</c:v>
                </c:pt>
                <c:pt idx="7">
                  <c:v>9413.2083333333303</c:v>
                </c:pt>
                <c:pt idx="8">
                  <c:v>9487.375</c:v>
                </c:pt>
                <c:pt idx="9">
                  <c:v>9501.875</c:v>
                </c:pt>
                <c:pt idx="10">
                  <c:v>9543.9881818488975</c:v>
                </c:pt>
                <c:pt idx="11">
                  <c:v>9614.4797247823481</c:v>
                </c:pt>
                <c:pt idx="12">
                  <c:v>9685.4919156389169</c:v>
                </c:pt>
                <c:pt idx="13">
                  <c:v>9757.0285999048647</c:v>
                </c:pt>
                <c:pt idx="14">
                  <c:v>9829.0936514690693</c:v>
                </c:pt>
                <c:pt idx="15">
                  <c:v>9901.6909728328119</c:v>
                </c:pt>
                <c:pt idx="16">
                  <c:v>9974.8244953211015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7-40C7-8D79-194C6D7B559F}"/>
            </c:ext>
          </c:extLst>
        </c:ser>
        <c:ser>
          <c:idx val="6"/>
          <c:order val="2"/>
          <c:tx>
            <c:strRef>
              <c:f>'Overall Load Summary'!$B$25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Summary'!$C$25:$S$25</c:f>
              <c:numCache>
                <c:formatCode>#,##0</c:formatCode>
                <c:ptCount val="17"/>
                <c:pt idx="0">
                  <c:v>29840.625</c:v>
                </c:pt>
                <c:pt idx="1">
                  <c:v>30030.75</c:v>
                </c:pt>
                <c:pt idx="2">
                  <c:v>30411.75</c:v>
                </c:pt>
                <c:pt idx="3">
                  <c:v>30897.625</c:v>
                </c:pt>
                <c:pt idx="4">
                  <c:v>31143.041666666657</c:v>
                </c:pt>
                <c:pt idx="5">
                  <c:v>31414.916666666657</c:v>
                </c:pt>
                <c:pt idx="6">
                  <c:v>31679.166666666657</c:v>
                </c:pt>
                <c:pt idx="7">
                  <c:v>31795.041666666657</c:v>
                </c:pt>
                <c:pt idx="8">
                  <c:v>32131.541666666657</c:v>
                </c:pt>
                <c:pt idx="9">
                  <c:v>32717.416666666661</c:v>
                </c:pt>
                <c:pt idx="10">
                  <c:v>33053.711877799957</c:v>
                </c:pt>
                <c:pt idx="11">
                  <c:v>33393.463794277181</c:v>
                </c:pt>
                <c:pt idx="12">
                  <c:v>33736.707946820861</c:v>
                </c:pt>
                <c:pt idx="13">
                  <c:v>34083.480231366098</c:v>
                </c:pt>
                <c:pt idx="14">
                  <c:v>34433.816912814502</c:v>
                </c:pt>
                <c:pt idx="15">
                  <c:v>34787.754628826726</c:v>
                </c:pt>
                <c:pt idx="16">
                  <c:v>35145.33039365396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67-40C7-8D79-194C6D7B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Summary'!$B$70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Summary'!$C$70:$S$70</c:f>
              <c:numCache>
                <c:formatCode>#,##0</c:formatCode>
                <c:ptCount val="17"/>
                <c:pt idx="0">
                  <c:v>39119</c:v>
                </c:pt>
                <c:pt idx="1">
                  <c:v>39433.541666666679</c:v>
                </c:pt>
                <c:pt idx="2">
                  <c:v>39751.583333333321</c:v>
                </c:pt>
                <c:pt idx="3">
                  <c:v>40096.916666666679</c:v>
                </c:pt>
                <c:pt idx="4">
                  <c:v>40903.041666666679</c:v>
                </c:pt>
                <c:pt idx="5">
                  <c:v>41880.625</c:v>
                </c:pt>
                <c:pt idx="6">
                  <c:v>42897.875</c:v>
                </c:pt>
                <c:pt idx="7">
                  <c:v>44013.541666666686</c:v>
                </c:pt>
                <c:pt idx="8">
                  <c:v>44945.416666666686</c:v>
                </c:pt>
                <c:pt idx="9">
                  <c:v>45520.625</c:v>
                </c:pt>
                <c:pt idx="10">
                  <c:v>46436.563069453616</c:v>
                </c:pt>
                <c:pt idx="11">
                  <c:v>47323.86823971742</c:v>
                </c:pt>
                <c:pt idx="12">
                  <c:v>48234.426518722685</c:v>
                </c:pt>
                <c:pt idx="13">
                  <c:v>49135.011201534966</c:v>
                </c:pt>
                <c:pt idx="14">
                  <c:v>50076.849655134763</c:v>
                </c:pt>
                <c:pt idx="15">
                  <c:v>51033.453561093025</c:v>
                </c:pt>
                <c:pt idx="16">
                  <c:v>52005.475034746378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A-4096-B99D-B5605F9945BF}"/>
            </c:ext>
          </c:extLst>
        </c:ser>
        <c:ser>
          <c:idx val="1"/>
          <c:order val="1"/>
          <c:tx>
            <c:strRef>
              <c:f>'Overall Load Summary'!$B$71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Summary'!$C$71:$S$71</c:f>
              <c:numCache>
                <c:formatCode>#,##0</c:formatCode>
                <c:ptCount val="17"/>
                <c:pt idx="0">
                  <c:v>2168.4583333333326</c:v>
                </c:pt>
                <c:pt idx="1">
                  <c:v>2201.2083333333326</c:v>
                </c:pt>
                <c:pt idx="2">
                  <c:v>2229.75</c:v>
                </c:pt>
                <c:pt idx="3">
                  <c:v>2246.6666666666674</c:v>
                </c:pt>
                <c:pt idx="4">
                  <c:v>2261.0416666666674</c:v>
                </c:pt>
                <c:pt idx="5">
                  <c:v>2284.3333333333326</c:v>
                </c:pt>
                <c:pt idx="6">
                  <c:v>2326.625</c:v>
                </c:pt>
                <c:pt idx="7">
                  <c:v>2383.5833333333326</c:v>
                </c:pt>
                <c:pt idx="8">
                  <c:v>2435.2916666666674</c:v>
                </c:pt>
                <c:pt idx="9">
                  <c:v>2464.75</c:v>
                </c:pt>
                <c:pt idx="10">
                  <c:v>2499.8378600249093</c:v>
                </c:pt>
                <c:pt idx="11">
                  <c:v>2535.4252262557734</c:v>
                </c:pt>
                <c:pt idx="12">
                  <c:v>2571.5192095978919</c:v>
                </c:pt>
                <c:pt idx="13">
                  <c:v>2608.1270221864852</c:v>
                </c:pt>
                <c:pt idx="14">
                  <c:v>2645.2559788277927</c:v>
                </c:pt>
                <c:pt idx="15">
                  <c:v>2682.9134984606817</c:v>
                </c:pt>
                <c:pt idx="16">
                  <c:v>2721.1071056390679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A-4096-B99D-B5605F9945BF}"/>
            </c:ext>
          </c:extLst>
        </c:ser>
        <c:ser>
          <c:idx val="4"/>
          <c:order val="2"/>
          <c:tx>
            <c:strRef>
              <c:f>'Overall Load Summary'!$B$74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Summary'!$C$74:$S$74</c:f>
              <c:numCache>
                <c:formatCode>#,##0</c:formatCode>
                <c:ptCount val="17"/>
                <c:pt idx="0">
                  <c:v>11827.041666666672</c:v>
                </c:pt>
                <c:pt idx="1">
                  <c:v>11857.375</c:v>
                </c:pt>
                <c:pt idx="2">
                  <c:v>11891</c:v>
                </c:pt>
                <c:pt idx="3">
                  <c:v>12053.666666666672</c:v>
                </c:pt>
                <c:pt idx="4">
                  <c:v>12408.416666666672</c:v>
                </c:pt>
                <c:pt idx="5">
                  <c:v>12707.791666666672</c:v>
                </c:pt>
                <c:pt idx="6">
                  <c:v>13023.791666666672</c:v>
                </c:pt>
                <c:pt idx="7">
                  <c:v>13342.91666666667</c:v>
                </c:pt>
                <c:pt idx="8">
                  <c:v>13555.45833333333</c:v>
                </c:pt>
                <c:pt idx="9">
                  <c:v>13708</c:v>
                </c:pt>
                <c:pt idx="10">
                  <c:v>13934.650879118182</c:v>
                </c:pt>
                <c:pt idx="11">
                  <c:v>14165.04925028517</c:v>
                </c:pt>
                <c:pt idx="12">
                  <c:v>14399.25707530191</c:v>
                </c:pt>
                <c:pt idx="13">
                  <c:v>14637.337340458451</c:v>
                </c:pt>
                <c:pt idx="14">
                  <c:v>14879.354073473061</c:v>
                </c:pt>
                <c:pt idx="15">
                  <c:v>15125.372360711415</c:v>
                </c:pt>
                <c:pt idx="16">
                  <c:v>15375.458364690485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A-4096-B99D-B5605F99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Veridian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Summary'!$B$20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Summary'!$C$20:$S$20</c:f>
              <c:numCache>
                <c:formatCode>#,##0</c:formatCode>
                <c:ptCount val="17"/>
                <c:pt idx="0">
                  <c:v>1592.011639210438</c:v>
                </c:pt>
                <c:pt idx="1">
                  <c:v>1585.75</c:v>
                </c:pt>
                <c:pt idx="2">
                  <c:v>1577.0416666666661</c:v>
                </c:pt>
                <c:pt idx="3">
                  <c:v>1570.9166666666661</c:v>
                </c:pt>
                <c:pt idx="4">
                  <c:v>1565.125</c:v>
                </c:pt>
                <c:pt idx="5">
                  <c:v>1561</c:v>
                </c:pt>
                <c:pt idx="6">
                  <c:v>1558.8333333333339</c:v>
                </c:pt>
                <c:pt idx="7">
                  <c:v>1559.1666666666661</c:v>
                </c:pt>
                <c:pt idx="8">
                  <c:v>1562.625</c:v>
                </c:pt>
                <c:pt idx="9">
                  <c:v>1561.8333333333339</c:v>
                </c:pt>
                <c:pt idx="10">
                  <c:v>1558.5157008672784</c:v>
                </c:pt>
                <c:pt idx="11">
                  <c:v>1555.2051156865798</c:v>
                </c:pt>
                <c:pt idx="12">
                  <c:v>1551.9015628214572</c:v>
                </c:pt>
                <c:pt idx="13">
                  <c:v>1548.6050273339283</c:v>
                </c:pt>
                <c:pt idx="14">
                  <c:v>1545.3154943177424</c:v>
                </c:pt>
                <c:pt idx="15">
                  <c:v>1542.0329488983118</c:v>
                </c:pt>
                <c:pt idx="16">
                  <c:v>1538.757376232646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6-4AC1-A017-50F15980F445}"/>
            </c:ext>
          </c:extLst>
        </c:ser>
        <c:ser>
          <c:idx val="3"/>
          <c:order val="1"/>
          <c:tx>
            <c:strRef>
              <c:f>'Overall Load Summary'!$B$22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Summary'!$C$22:$S$22</c:f>
              <c:numCache>
                <c:formatCode>#,##0</c:formatCode>
                <c:ptCount val="17"/>
                <c:pt idx="0">
                  <c:v>1053.75</c:v>
                </c:pt>
                <c:pt idx="1">
                  <c:v>1056.0416666666663</c:v>
                </c:pt>
                <c:pt idx="2">
                  <c:v>1068.3333333333337</c:v>
                </c:pt>
                <c:pt idx="3">
                  <c:v>1060.25</c:v>
                </c:pt>
                <c:pt idx="4">
                  <c:v>1029.0833333333337</c:v>
                </c:pt>
                <c:pt idx="5">
                  <c:v>1032</c:v>
                </c:pt>
                <c:pt idx="6">
                  <c:v>1052.2083333333337</c:v>
                </c:pt>
                <c:pt idx="7">
                  <c:v>1037.25</c:v>
                </c:pt>
                <c:pt idx="8">
                  <c:v>1030.4583333333335</c:v>
                </c:pt>
                <c:pt idx="9">
                  <c:v>1059.4166666666663</c:v>
                </c:pt>
                <c:pt idx="10">
                  <c:v>1080.3570666497312</c:v>
                </c:pt>
                <c:pt idx="11">
                  <c:v>1089.5680703025032</c:v>
                </c:pt>
                <c:pt idx="12">
                  <c:v>1094.3094560511545</c:v>
                </c:pt>
                <c:pt idx="13">
                  <c:v>1095.9412241234484</c:v>
                </c:pt>
                <c:pt idx="14">
                  <c:v>1096.8933747472843</c:v>
                </c:pt>
                <c:pt idx="15">
                  <c:v>1097.5959081506974</c:v>
                </c:pt>
                <c:pt idx="16">
                  <c:v>1098.4488245618588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66-4AC1-A017-50F15980F445}"/>
            </c:ext>
          </c:extLst>
        </c:ser>
        <c:ser>
          <c:idx val="4"/>
          <c:order val="2"/>
          <c:tx>
            <c:strRef>
              <c:f>'Overall Load Summary'!$B$23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Summary'!$C$23:$S$23</c:f>
              <c:numCache>
                <c:formatCode>#,##0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4.4583333333333348</c:v>
                </c:pt>
                <c:pt idx="4">
                  <c:v>4</c:v>
                </c:pt>
                <c:pt idx="5">
                  <c:v>4.5416666666666652</c:v>
                </c:pt>
                <c:pt idx="6">
                  <c:v>5.5416666666666643</c:v>
                </c:pt>
                <c:pt idx="7">
                  <c:v>5.4583333333333357</c:v>
                </c:pt>
                <c:pt idx="8">
                  <c:v>5</c:v>
                </c:pt>
                <c:pt idx="9">
                  <c:v>5</c:v>
                </c:pt>
                <c:pt idx="10">
                  <c:v>6.8</c:v>
                </c:pt>
                <c:pt idx="11">
                  <c:v>10.234999999999999</c:v>
                </c:pt>
                <c:pt idx="12">
                  <c:v>12.05</c:v>
                </c:pt>
                <c:pt idx="13">
                  <c:v>12.175000000000001</c:v>
                </c:pt>
                <c:pt idx="14">
                  <c:v>12.120000000000001</c:v>
                </c:pt>
                <c:pt idx="15">
                  <c:v>12.120000000000001</c:v>
                </c:pt>
                <c:pt idx="16">
                  <c:v>12.120000000000001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66-4AC1-A017-50F15980F445}"/>
            </c:ext>
          </c:extLst>
        </c:ser>
        <c:ser>
          <c:idx val="5"/>
          <c:order val="3"/>
          <c:tx>
            <c:strRef>
              <c:f>'Overall Load Summary'!$B$24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Summary'!$C$24:$S$24</c:f>
              <c:numCache>
                <c:formatCode>#,##0</c:formatCode>
                <c:ptCount val="17"/>
                <c:pt idx="0">
                  <c:v>2.5416666666666674</c:v>
                </c:pt>
                <c:pt idx="1">
                  <c:v>3</c:v>
                </c:pt>
                <c:pt idx="2">
                  <c:v>3</c:v>
                </c:pt>
                <c:pt idx="3">
                  <c:v>3.5416666666666674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4.5416666666666652</c:v>
                </c:pt>
                <c:pt idx="9">
                  <c:v>5</c:v>
                </c:pt>
                <c:pt idx="10">
                  <c:v>5.4124999999999996</c:v>
                </c:pt>
                <c:pt idx="11">
                  <c:v>6.0975000000000001</c:v>
                </c:pt>
                <c:pt idx="12">
                  <c:v>7.1275000000000004</c:v>
                </c:pt>
                <c:pt idx="13">
                  <c:v>8.3025000000000002</c:v>
                </c:pt>
                <c:pt idx="14">
                  <c:v>8.7799999999999994</c:v>
                </c:pt>
                <c:pt idx="15">
                  <c:v>8.8849999999999998</c:v>
                </c:pt>
                <c:pt idx="16">
                  <c:v>8.9450000000000003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6-4AC1-A017-50F15980F445}"/>
            </c:ext>
          </c:extLst>
        </c:ser>
        <c:ser>
          <c:idx val="7"/>
          <c:order val="4"/>
          <c:tx>
            <c:strRef>
              <c:f>'Overall Load Summary'!$B$26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Summary'!$C$26:$S$26</c:f>
              <c:numCache>
                <c:formatCode>#,##0</c:formatCode>
                <c:ptCount val="17"/>
                <c:pt idx="0">
                  <c:v>442.66666666666657</c:v>
                </c:pt>
                <c:pt idx="1">
                  <c:v>439</c:v>
                </c:pt>
                <c:pt idx="2">
                  <c:v>439</c:v>
                </c:pt>
                <c:pt idx="3">
                  <c:v>439</c:v>
                </c:pt>
                <c:pt idx="4">
                  <c:v>342.04166666666652</c:v>
                </c:pt>
                <c:pt idx="5">
                  <c:v>255.125</c:v>
                </c:pt>
                <c:pt idx="6">
                  <c:v>248.83333333333326</c:v>
                </c:pt>
                <c:pt idx="7">
                  <c:v>245.91666666666674</c:v>
                </c:pt>
                <c:pt idx="8">
                  <c:v>242.83333333333326</c:v>
                </c:pt>
                <c:pt idx="9">
                  <c:v>238.29166666666674</c:v>
                </c:pt>
                <c:pt idx="10">
                  <c:v>234.25982478178059</c:v>
                </c:pt>
                <c:pt idx="11">
                  <c:v>230.29620076289083</c:v>
                </c:pt>
                <c:pt idx="12">
                  <c:v>226.39964037891053</c:v>
                </c:pt>
                <c:pt idx="13">
                  <c:v>222.56900892808551</c:v>
                </c:pt>
                <c:pt idx="14">
                  <c:v>218.80319090756225</c:v>
                </c:pt>
                <c:pt idx="15">
                  <c:v>215.10108968854698</c:v>
                </c:pt>
                <c:pt idx="16">
                  <c:v>211.46162719696062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66-4AC1-A017-50F15980F445}"/>
            </c:ext>
          </c:extLst>
        </c:ser>
        <c:ser>
          <c:idx val="8"/>
          <c:order val="5"/>
          <c:tx>
            <c:strRef>
              <c:f>'Overall Load Summary'!$B$27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Summary'!$C$27:$S$27</c:f>
              <c:numCache>
                <c:formatCode>#,##0</c:formatCode>
                <c:ptCount val="17"/>
                <c:pt idx="0">
                  <c:v>872.5</c:v>
                </c:pt>
                <c:pt idx="1">
                  <c:v>837.41666666666686</c:v>
                </c:pt>
                <c:pt idx="2">
                  <c:v>825.58333333333314</c:v>
                </c:pt>
                <c:pt idx="3">
                  <c:v>817.75</c:v>
                </c:pt>
                <c:pt idx="4">
                  <c:v>809.04166666666697</c:v>
                </c:pt>
                <c:pt idx="5">
                  <c:v>801.83333333333303</c:v>
                </c:pt>
                <c:pt idx="6">
                  <c:v>801.625</c:v>
                </c:pt>
                <c:pt idx="7">
                  <c:v>800.83333333333303</c:v>
                </c:pt>
                <c:pt idx="8">
                  <c:v>797.91666666666697</c:v>
                </c:pt>
                <c:pt idx="9">
                  <c:v>769.91666666666697</c:v>
                </c:pt>
                <c:pt idx="10">
                  <c:v>741.40363373070261</c:v>
                </c:pt>
                <c:pt idx="11">
                  <c:v>731.17101056299305</c:v>
                </c:pt>
                <c:pt idx="12">
                  <c:v>721.07961488882222</c:v>
                </c:pt>
                <c:pt idx="13">
                  <c:v>711.12749753009541</c:v>
                </c:pt>
                <c:pt idx="14">
                  <c:v>701.31273621066964</c:v>
                </c:pt>
                <c:pt idx="15">
                  <c:v>691.63343518506156</c:v>
                </c:pt>
                <c:pt idx="16">
                  <c:v>682.08772487227952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66-4AC1-A017-50F15980F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Whitby Customers / Devices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'Overall Load Summary'!$B$72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Summary'!$C$72:$S$72</c:f>
              <c:numCache>
                <c:formatCode>#,##0</c:formatCode>
                <c:ptCount val="17"/>
                <c:pt idx="0">
                  <c:v>366.45833333333348</c:v>
                </c:pt>
                <c:pt idx="1">
                  <c:v>367.08333333333348</c:v>
                </c:pt>
                <c:pt idx="2">
                  <c:v>368</c:v>
                </c:pt>
                <c:pt idx="3">
                  <c:v>372.875</c:v>
                </c:pt>
                <c:pt idx="4">
                  <c:v>377</c:v>
                </c:pt>
                <c:pt idx="5">
                  <c:v>381.875</c:v>
                </c:pt>
                <c:pt idx="6">
                  <c:v>390.875</c:v>
                </c:pt>
                <c:pt idx="7">
                  <c:v>386.33333333333348</c:v>
                </c:pt>
                <c:pt idx="8">
                  <c:v>383.33333333333348</c:v>
                </c:pt>
                <c:pt idx="9">
                  <c:v>388.625</c:v>
                </c:pt>
                <c:pt idx="10">
                  <c:v>394.03428824658079</c:v>
                </c:pt>
                <c:pt idx="11">
                  <c:v>401.3377336888687</c:v>
                </c:pt>
                <c:pt idx="12">
                  <c:v>407.18794537982552</c:v>
                </c:pt>
                <c:pt idx="13">
                  <c:v>412.02753308637159</c:v>
                </c:pt>
                <c:pt idx="14">
                  <c:v>415.83910729406017</c:v>
                </c:pt>
                <c:pt idx="15">
                  <c:v>419.18027921178202</c:v>
                </c:pt>
                <c:pt idx="16">
                  <c:v>422.51366077650124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A-42F1-A034-DAB5F02B71D0}"/>
            </c:ext>
          </c:extLst>
        </c:ser>
        <c:ser>
          <c:idx val="3"/>
          <c:order val="1"/>
          <c:tx>
            <c:strRef>
              <c:f>'Overall Load Summary'!$B$73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Summary'!$C$73:$S$73</c:f>
              <c:numCache>
                <c:formatCode>#,##0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2.5416666666666674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3.9299999999999997</c:v>
                </c:pt>
                <c:pt idx="11">
                  <c:v>5.5449999999999999</c:v>
                </c:pt>
                <c:pt idx="12">
                  <c:v>6.3550000000000004</c:v>
                </c:pt>
                <c:pt idx="13">
                  <c:v>6.48</c:v>
                </c:pt>
                <c:pt idx="14">
                  <c:v>6.48</c:v>
                </c:pt>
                <c:pt idx="15">
                  <c:v>6.78</c:v>
                </c:pt>
                <c:pt idx="16">
                  <c:v>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A-42F1-A034-DAB5F02B71D0}"/>
            </c:ext>
          </c:extLst>
        </c:ser>
        <c:ser>
          <c:idx val="5"/>
          <c:order val="2"/>
          <c:tx>
            <c:strRef>
              <c:f>'Overall Load Summary'!$B$75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Summary'!$C$75:$S$75</c:f>
              <c:numCache>
                <c:formatCode>#,##0</c:formatCode>
                <c:ptCount val="17"/>
                <c:pt idx="0">
                  <c:v>40.375</c:v>
                </c:pt>
                <c:pt idx="1">
                  <c:v>39</c:v>
                </c:pt>
                <c:pt idx="2">
                  <c:v>38.458333333333321</c:v>
                </c:pt>
                <c:pt idx="3">
                  <c:v>37.458333333333321</c:v>
                </c:pt>
                <c:pt idx="4">
                  <c:v>37</c:v>
                </c:pt>
                <c:pt idx="5">
                  <c:v>37</c:v>
                </c:pt>
                <c:pt idx="6">
                  <c:v>42.416666666666679</c:v>
                </c:pt>
                <c:pt idx="7">
                  <c:v>46.458333333333314</c:v>
                </c:pt>
                <c:pt idx="8">
                  <c:v>46</c:v>
                </c:pt>
                <c:pt idx="9">
                  <c:v>45.458333333333314</c:v>
                </c:pt>
                <c:pt idx="10">
                  <c:v>46.061262694763407</c:v>
                </c:pt>
                <c:pt idx="11">
                  <c:v>46.672188913715949</c:v>
                </c:pt>
                <c:pt idx="12">
                  <c:v>47.29121805523657</c:v>
                </c:pt>
                <c:pt idx="13">
                  <c:v>47.918457591147735</c:v>
                </c:pt>
                <c:pt idx="14">
                  <c:v>48.554016418707313</c:v>
                </c:pt>
                <c:pt idx="15">
                  <c:v>49.198004879514592</c:v>
                </c:pt>
                <c:pt idx="16">
                  <c:v>49.850534778667082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A-42F1-A034-DAB5F02B71D0}"/>
            </c:ext>
          </c:extLst>
        </c:ser>
        <c:ser>
          <c:idx val="6"/>
          <c:order val="3"/>
          <c:tx>
            <c:strRef>
              <c:f>'Overall Load Summary'!$B$76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Summary'!$C$76:$S$76</c:f>
              <c:numCache>
                <c:formatCode>#,##0</c:formatCode>
                <c:ptCount val="17"/>
                <c:pt idx="0">
                  <c:v>378.29166666666652</c:v>
                </c:pt>
                <c:pt idx="1">
                  <c:v>372.20833333333348</c:v>
                </c:pt>
                <c:pt idx="2">
                  <c:v>370.625</c:v>
                </c:pt>
                <c:pt idx="3">
                  <c:v>376.875</c:v>
                </c:pt>
                <c:pt idx="4">
                  <c:v>384.25</c:v>
                </c:pt>
                <c:pt idx="5">
                  <c:v>389.16666666666652</c:v>
                </c:pt>
                <c:pt idx="6">
                  <c:v>391.54166666666652</c:v>
                </c:pt>
                <c:pt idx="7">
                  <c:v>393.08333333333348</c:v>
                </c:pt>
                <c:pt idx="8">
                  <c:v>400.5</c:v>
                </c:pt>
                <c:pt idx="9">
                  <c:v>396.25</c:v>
                </c:pt>
                <c:pt idx="10">
                  <c:v>389.08499529412256</c:v>
                </c:pt>
                <c:pt idx="11">
                  <c:v>391.09524756324345</c:v>
                </c:pt>
                <c:pt idx="12">
                  <c:v>393.11588603135527</c:v>
                </c:pt>
                <c:pt idx="13">
                  <c:v>395.14696435994671</c:v>
                </c:pt>
                <c:pt idx="14">
                  <c:v>397.18853648775479</c:v>
                </c:pt>
                <c:pt idx="15">
                  <c:v>399.2406566321971</c:v>
                </c:pt>
                <c:pt idx="16">
                  <c:v>401.30337929081179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3A-42F1-A034-DAB5F02B7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725168"/>
        <c:axId val="292749168"/>
      </c:lineChart>
      <c:catAx>
        <c:axId val="29272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49168"/>
        <c:crosses val="autoZero"/>
        <c:auto val="1"/>
        <c:lblAlgn val="ctr"/>
        <c:lblOffset val="100"/>
        <c:noMultiLvlLbl val="0"/>
      </c:catAx>
      <c:valAx>
        <c:axId val="292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72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Summary'!$B$118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Summary'!$C$118:$S$118</c:f>
              <c:numCache>
                <c:formatCode>#,##0</c:formatCode>
                <c:ptCount val="17"/>
                <c:pt idx="0">
                  <c:v>1209091077.8205724</c:v>
                </c:pt>
                <c:pt idx="1">
                  <c:v>1329567403.5370488</c:v>
                </c:pt>
                <c:pt idx="2">
                  <c:v>1244367624.9805803</c:v>
                </c:pt>
                <c:pt idx="3">
                  <c:v>1348389370.5026314</c:v>
                </c:pt>
                <c:pt idx="4">
                  <c:v>1308947623.9761705</c:v>
                </c:pt>
                <c:pt idx="5">
                  <c:v>1428064028.1959634</c:v>
                </c:pt>
                <c:pt idx="6">
                  <c:v>1421265805.5548737</c:v>
                </c:pt>
                <c:pt idx="7">
                  <c:v>1411295398.4939735</c:v>
                </c:pt>
                <c:pt idx="8">
                  <c:v>1401129205.6904671</c:v>
                </c:pt>
                <c:pt idx="9">
                  <c:v>1463722142.9966345</c:v>
                </c:pt>
                <c:pt idx="10">
                  <c:v>1515994144.3310091</c:v>
                </c:pt>
                <c:pt idx="11">
                  <c:v>1546574460.3558209</c:v>
                </c:pt>
                <c:pt idx="12">
                  <c:v>1578573635.2711742</c:v>
                </c:pt>
                <c:pt idx="13">
                  <c:v>1610606554.0853345</c:v>
                </c:pt>
                <c:pt idx="14">
                  <c:v>1641331700.1724854</c:v>
                </c:pt>
                <c:pt idx="15">
                  <c:v>1680304198.1259534</c:v>
                </c:pt>
                <c:pt idx="16">
                  <c:v>1718981173.4150651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4-4A0D-88C0-4757EB24CFCA}"/>
            </c:ext>
          </c:extLst>
        </c:ser>
        <c:ser>
          <c:idx val="1"/>
          <c:order val="1"/>
          <c:tx>
            <c:strRef>
              <c:f>'Overall Load Summary'!$B$120</c:f>
              <c:strCache>
                <c:ptCount val="1"/>
                <c:pt idx="0">
                  <c:v>GS&lt;50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Summary'!$C$120:$S$120</c:f>
              <c:numCache>
                <c:formatCode>#,##0</c:formatCode>
                <c:ptCount val="17"/>
                <c:pt idx="0">
                  <c:v>348123390.30529982</c:v>
                </c:pt>
                <c:pt idx="1">
                  <c:v>373321310.09855962</c:v>
                </c:pt>
                <c:pt idx="2">
                  <c:v>360992727.11152005</c:v>
                </c:pt>
                <c:pt idx="3">
                  <c:v>371100217.32213026</c:v>
                </c:pt>
                <c:pt idx="4">
                  <c:v>378533094.68658012</c:v>
                </c:pt>
                <c:pt idx="5">
                  <c:v>348331086.39429045</c:v>
                </c:pt>
                <c:pt idx="6">
                  <c:v>348265604.92788994</c:v>
                </c:pt>
                <c:pt idx="7">
                  <c:v>366086395.05274969</c:v>
                </c:pt>
                <c:pt idx="8">
                  <c:v>364983689.98202944</c:v>
                </c:pt>
                <c:pt idx="9">
                  <c:v>345939418.43269312</c:v>
                </c:pt>
                <c:pt idx="10">
                  <c:v>374839489.81393456</c:v>
                </c:pt>
                <c:pt idx="11">
                  <c:v>375080309.18336868</c:v>
                </c:pt>
                <c:pt idx="12">
                  <c:v>376280208.1176371</c:v>
                </c:pt>
                <c:pt idx="13">
                  <c:v>375831277.10050917</c:v>
                </c:pt>
                <c:pt idx="14">
                  <c:v>376353639.19765615</c:v>
                </c:pt>
                <c:pt idx="15">
                  <c:v>377216432.00193262</c:v>
                </c:pt>
                <c:pt idx="16">
                  <c:v>379702546.86592543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4-4A0D-88C0-4757EB24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'Overall Load Summary'!$B$121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Summary'!$C$121:$S$121</c:f>
              <c:numCache>
                <c:formatCode>#,##0</c:formatCode>
                <c:ptCount val="17"/>
                <c:pt idx="0">
                  <c:v>1303426141.7499247</c:v>
                </c:pt>
                <c:pt idx="1">
                  <c:v>1325491838.96</c:v>
                </c:pt>
                <c:pt idx="2">
                  <c:v>1288074572.5099998</c:v>
                </c:pt>
                <c:pt idx="3">
                  <c:v>1317526745.0799999</c:v>
                </c:pt>
                <c:pt idx="4">
                  <c:v>1283766518.97</c:v>
                </c:pt>
                <c:pt idx="5">
                  <c:v>1217071153.77</c:v>
                </c:pt>
                <c:pt idx="6">
                  <c:v>1233800242.5</c:v>
                </c:pt>
                <c:pt idx="7">
                  <c:v>1259614150.4000001</c:v>
                </c:pt>
                <c:pt idx="8">
                  <c:v>1256420571.8400002</c:v>
                </c:pt>
                <c:pt idx="9">
                  <c:v>1302629894.3127961</c:v>
                </c:pt>
                <c:pt idx="10">
                  <c:v>1274797572.8396764</c:v>
                </c:pt>
                <c:pt idx="11">
                  <c:v>1325946365.9758654</c:v>
                </c:pt>
                <c:pt idx="12">
                  <c:v>1365439860.2664268</c:v>
                </c:pt>
                <c:pt idx="13">
                  <c:v>1383877948.2547727</c:v>
                </c:pt>
                <c:pt idx="14">
                  <c:v>1391494950.3635631</c:v>
                </c:pt>
                <c:pt idx="15">
                  <c:v>1389411603.9599769</c:v>
                </c:pt>
                <c:pt idx="16">
                  <c:v>1394637848.9864466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4-47A3-B7E9-1745B9429AA8}"/>
            </c:ext>
          </c:extLst>
        </c:ser>
        <c:ser>
          <c:idx val="3"/>
          <c:order val="1"/>
          <c:tx>
            <c:strRef>
              <c:f>'Overall Load Summary'!$B$122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Summary'!$C$122:$S$122</c:f>
              <c:numCache>
                <c:formatCode>#,##0</c:formatCode>
                <c:ptCount val="17"/>
                <c:pt idx="0">
                  <c:v>142853386.90432376</c:v>
                </c:pt>
                <c:pt idx="1">
                  <c:v>143904765.095</c:v>
                </c:pt>
                <c:pt idx="2">
                  <c:v>151902253.61999997</c:v>
                </c:pt>
                <c:pt idx="3">
                  <c:v>156057905.36000001</c:v>
                </c:pt>
                <c:pt idx="4">
                  <c:v>173089477.73000002</c:v>
                </c:pt>
                <c:pt idx="5">
                  <c:v>174783834.33000001</c:v>
                </c:pt>
                <c:pt idx="6">
                  <c:v>186745253.55000001</c:v>
                </c:pt>
                <c:pt idx="7">
                  <c:v>197502623.56999999</c:v>
                </c:pt>
                <c:pt idx="8">
                  <c:v>195466519.73000002</c:v>
                </c:pt>
                <c:pt idx="9">
                  <c:v>180631420.61000001</c:v>
                </c:pt>
                <c:pt idx="10">
                  <c:v>214811897.59407872</c:v>
                </c:pt>
                <c:pt idx="11">
                  <c:v>274193095.61505312</c:v>
                </c:pt>
                <c:pt idx="12">
                  <c:v>308941636.96625525</c:v>
                </c:pt>
                <c:pt idx="13">
                  <c:v>321145352.97253454</c:v>
                </c:pt>
                <c:pt idx="14">
                  <c:v>329918802.46772367</c:v>
                </c:pt>
                <c:pt idx="15">
                  <c:v>342231261.79042077</c:v>
                </c:pt>
                <c:pt idx="16">
                  <c:v>355799331.76136017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4-47A3-B7E9-1745B9429AA8}"/>
            </c:ext>
          </c:extLst>
        </c:ser>
        <c:ser>
          <c:idx val="4"/>
          <c:order val="2"/>
          <c:tx>
            <c:strRef>
              <c:f>'Overall Load Summary'!$B$123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Summary'!$C$123:$S$123</c:f>
              <c:numCache>
                <c:formatCode>#,##0</c:formatCode>
                <c:ptCount val="17"/>
                <c:pt idx="0">
                  <c:v>210460829.48535237</c:v>
                </c:pt>
                <c:pt idx="1">
                  <c:v>215800519.09</c:v>
                </c:pt>
                <c:pt idx="2">
                  <c:v>223859611.13000003</c:v>
                </c:pt>
                <c:pt idx="3">
                  <c:v>250221085.47000003</c:v>
                </c:pt>
                <c:pt idx="4">
                  <c:v>259592384.06</c:v>
                </c:pt>
                <c:pt idx="5">
                  <c:v>264242586.03</c:v>
                </c:pt>
                <c:pt idx="6">
                  <c:v>284809430.72000003</c:v>
                </c:pt>
                <c:pt idx="7">
                  <c:v>289202900.55000001</c:v>
                </c:pt>
                <c:pt idx="8">
                  <c:v>303910758.94632399</c:v>
                </c:pt>
                <c:pt idx="9">
                  <c:v>321893041.52938205</c:v>
                </c:pt>
                <c:pt idx="10">
                  <c:v>331686368.21779627</c:v>
                </c:pt>
                <c:pt idx="11">
                  <c:v>361053715.99987245</c:v>
                </c:pt>
                <c:pt idx="12">
                  <c:v>408628326.68616831</c:v>
                </c:pt>
                <c:pt idx="13">
                  <c:v>501277598.92863512</c:v>
                </c:pt>
                <c:pt idx="14">
                  <c:v>570944946.26759028</c:v>
                </c:pt>
                <c:pt idx="15">
                  <c:v>595286465.87812722</c:v>
                </c:pt>
                <c:pt idx="16">
                  <c:v>605876118.45883048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4-47A3-B7E9-1745B9429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 Load Summary'!$B$119</c:f>
              <c:strCache>
                <c:ptCount val="1"/>
                <c:pt idx="0">
                  <c:v>Residential Seasonal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Summary'!$C$119:$S$119</c:f>
              <c:numCache>
                <c:formatCode>#,##0</c:formatCode>
                <c:ptCount val="17"/>
                <c:pt idx="0">
                  <c:v>9513187.7383200023</c:v>
                </c:pt>
                <c:pt idx="1">
                  <c:v>9487858.6249600016</c:v>
                </c:pt>
                <c:pt idx="2">
                  <c:v>9912683.662969999</c:v>
                </c:pt>
                <c:pt idx="3">
                  <c:v>10517338.461090002</c:v>
                </c:pt>
                <c:pt idx="4">
                  <c:v>10858188.68736</c:v>
                </c:pt>
                <c:pt idx="5">
                  <c:v>12379582.885860002</c:v>
                </c:pt>
                <c:pt idx="6">
                  <c:v>12593975.35183</c:v>
                </c:pt>
                <c:pt idx="7">
                  <c:v>12600240.583780002</c:v>
                </c:pt>
                <c:pt idx="8">
                  <c:v>12172613.888050001</c:v>
                </c:pt>
                <c:pt idx="9">
                  <c:v>12230713.602862934</c:v>
                </c:pt>
                <c:pt idx="10">
                  <c:v>12768206.557489421</c:v>
                </c:pt>
                <c:pt idx="11">
                  <c:v>13188721.546985753</c:v>
                </c:pt>
                <c:pt idx="12">
                  <c:v>13651253.423372488</c:v>
                </c:pt>
                <c:pt idx="13">
                  <c:v>14035998.008814186</c:v>
                </c:pt>
                <c:pt idx="14">
                  <c:v>14476769.158850323</c:v>
                </c:pt>
                <c:pt idx="15">
                  <c:v>14995359.212779585</c:v>
                </c:pt>
                <c:pt idx="16">
                  <c:v>15451103.337147947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E-4DBE-9274-0DB6E818D622}"/>
            </c:ext>
          </c:extLst>
        </c:ser>
        <c:ser>
          <c:idx val="6"/>
          <c:order val="1"/>
          <c:tx>
            <c:strRef>
              <c:f>'Overall Load Summary'!$B$124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Summary'!$C$124:$S$124</c:f>
              <c:numCache>
                <c:formatCode>#,##0</c:formatCode>
                <c:ptCount val="17"/>
                <c:pt idx="0">
                  <c:v>30740048.80972445</c:v>
                </c:pt>
                <c:pt idx="1">
                  <c:v>28008921.260000002</c:v>
                </c:pt>
                <c:pt idx="2">
                  <c:v>25449771.140000001</c:v>
                </c:pt>
                <c:pt idx="3">
                  <c:v>19974439.91</c:v>
                </c:pt>
                <c:pt idx="4">
                  <c:v>17284070.609999999</c:v>
                </c:pt>
                <c:pt idx="5">
                  <c:v>15299590.370000001</c:v>
                </c:pt>
                <c:pt idx="6">
                  <c:v>14936871.639999999</c:v>
                </c:pt>
                <c:pt idx="7">
                  <c:v>15228080.209999999</c:v>
                </c:pt>
                <c:pt idx="8">
                  <c:v>15536950.42</c:v>
                </c:pt>
                <c:pt idx="9">
                  <c:v>15852497.33</c:v>
                </c:pt>
                <c:pt idx="10">
                  <c:v>16038637.451472664</c:v>
                </c:pt>
                <c:pt idx="11">
                  <c:v>16227074.390035089</c:v>
                </c:pt>
                <c:pt idx="12">
                  <c:v>16417838.095422782</c:v>
                </c:pt>
                <c:pt idx="13">
                  <c:v>16610958.930065624</c:v>
                </c:pt>
                <c:pt idx="14">
                  <c:v>16806467.67506345</c:v>
                </c:pt>
                <c:pt idx="15">
                  <c:v>17004395.53625169</c:v>
                </c:pt>
                <c:pt idx="16">
                  <c:v>17204774.150358506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E-4DBE-9274-0DB6E818D622}"/>
            </c:ext>
          </c:extLst>
        </c:ser>
        <c:ser>
          <c:idx val="7"/>
          <c:order val="2"/>
          <c:tx>
            <c:strRef>
              <c:f>'Overall Load Summary'!$B$125</c:f>
              <c:strCache>
                <c:ptCount val="1"/>
                <c:pt idx="0">
                  <c:v>Sentinel Light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Summary'!$C$125:$S$125</c:f>
              <c:numCache>
                <c:formatCode>#,##0</c:formatCode>
                <c:ptCount val="17"/>
                <c:pt idx="0">
                  <c:v>398595</c:v>
                </c:pt>
                <c:pt idx="1">
                  <c:v>398391</c:v>
                </c:pt>
                <c:pt idx="2">
                  <c:v>380813</c:v>
                </c:pt>
                <c:pt idx="3">
                  <c:v>288925</c:v>
                </c:pt>
                <c:pt idx="4">
                  <c:v>256732</c:v>
                </c:pt>
                <c:pt idx="5">
                  <c:v>256857</c:v>
                </c:pt>
                <c:pt idx="6">
                  <c:v>255183</c:v>
                </c:pt>
                <c:pt idx="7">
                  <c:v>247440.7837173164</c:v>
                </c:pt>
                <c:pt idx="8">
                  <c:v>250007.72999999995</c:v>
                </c:pt>
                <c:pt idx="9">
                  <c:v>246591.99999999994</c:v>
                </c:pt>
                <c:pt idx="10">
                  <c:v>244297.29208182532</c:v>
                </c:pt>
                <c:pt idx="11">
                  <c:v>241106.70406274209</c:v>
                </c:pt>
                <c:pt idx="12">
                  <c:v>237982.60565739745</c:v>
                </c:pt>
                <c:pt idx="13">
                  <c:v>234924.03774205741</c:v>
                </c:pt>
                <c:pt idx="14">
                  <c:v>231930.05962108122</c:v>
                </c:pt>
                <c:pt idx="15">
                  <c:v>228999.74874430057</c:v>
                </c:pt>
                <c:pt idx="16">
                  <c:v>226132.20042956769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E-4DBE-9274-0DB6E818D622}"/>
            </c:ext>
          </c:extLst>
        </c:ser>
        <c:ser>
          <c:idx val="8"/>
          <c:order val="3"/>
          <c:tx>
            <c:strRef>
              <c:f>'Overall Load Summary'!$B$126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Summary'!$C$2:$S$2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Summary'!$C$126:$S$126</c:f>
              <c:numCache>
                <c:formatCode>#,##0</c:formatCode>
                <c:ptCount val="17"/>
                <c:pt idx="0">
                  <c:v>5716632.1199999992</c:v>
                </c:pt>
                <c:pt idx="1">
                  <c:v>5574282.9199999999</c:v>
                </c:pt>
                <c:pt idx="2">
                  <c:v>5516972.75</c:v>
                </c:pt>
                <c:pt idx="3">
                  <c:v>5495149.1699999999</c:v>
                </c:pt>
                <c:pt idx="4">
                  <c:v>5443926.5599999996</c:v>
                </c:pt>
                <c:pt idx="5">
                  <c:v>6667274.6900000004</c:v>
                </c:pt>
                <c:pt idx="6">
                  <c:v>6751958.5200000005</c:v>
                </c:pt>
                <c:pt idx="7">
                  <c:v>6729569.3399999999</c:v>
                </c:pt>
                <c:pt idx="8">
                  <c:v>6716597.5899999999</c:v>
                </c:pt>
                <c:pt idx="9">
                  <c:v>6705989.1900000004</c:v>
                </c:pt>
                <c:pt idx="10">
                  <c:v>6494821.3508391455</c:v>
                </c:pt>
                <c:pt idx="11">
                  <c:v>6441722.3826541733</c:v>
                </c:pt>
                <c:pt idx="12">
                  <c:v>6389545.0608795565</c:v>
                </c:pt>
                <c:pt idx="13">
                  <c:v>6338277.6406470798</c:v>
                </c:pt>
                <c:pt idx="14">
                  <c:v>6287908.5442271214</c:v>
                </c:pt>
                <c:pt idx="15">
                  <c:v>6238426.3587479033</c:v>
                </c:pt>
                <c:pt idx="16">
                  <c:v>6189819.8339463407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8E-4DBE-9274-0DB6E818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Elexicon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'Overall Load Summary'!$B$128</c:f>
              <c:strCache>
                <c:ptCount val="1"/>
                <c:pt idx="0">
                  <c:v>GS 50 - 2,999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Summary'!$C$128:$S$128</c:f>
              <c:numCache>
                <c:formatCode>#,##0</c:formatCode>
                <c:ptCount val="17"/>
                <c:pt idx="0">
                  <c:v>3102195.4537237901</c:v>
                </c:pt>
                <c:pt idx="1">
                  <c:v>3190775.7399999998</c:v>
                </c:pt>
                <c:pt idx="2">
                  <c:v>3111377.2899999996</c:v>
                </c:pt>
                <c:pt idx="3">
                  <c:v>3149613.15</c:v>
                </c:pt>
                <c:pt idx="4">
                  <c:v>3057337.58</c:v>
                </c:pt>
                <c:pt idx="5">
                  <c:v>2943202.8</c:v>
                </c:pt>
                <c:pt idx="6">
                  <c:v>2950218.5499999993</c:v>
                </c:pt>
                <c:pt idx="7">
                  <c:v>3043361.29</c:v>
                </c:pt>
                <c:pt idx="8">
                  <c:v>2990987.09</c:v>
                </c:pt>
                <c:pt idx="9">
                  <c:v>2968530.4099999997</c:v>
                </c:pt>
                <c:pt idx="10">
                  <c:v>3048624.2575204796</c:v>
                </c:pt>
                <c:pt idx="11">
                  <c:v>3186836.9539945172</c:v>
                </c:pt>
                <c:pt idx="12">
                  <c:v>3298052.5867797011</c:v>
                </c:pt>
                <c:pt idx="13">
                  <c:v>3360199.9664295977</c:v>
                </c:pt>
                <c:pt idx="14">
                  <c:v>3398325.1246348447</c:v>
                </c:pt>
                <c:pt idx="15">
                  <c:v>3414385.6069159214</c:v>
                </c:pt>
                <c:pt idx="16">
                  <c:v>3447628.0019114334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98D-B2B1-DBE9C870004F}"/>
            </c:ext>
          </c:extLst>
        </c:ser>
        <c:ser>
          <c:idx val="1"/>
          <c:order val="1"/>
          <c:tx>
            <c:strRef>
              <c:f>'Overall Load Summary'!$B$129</c:f>
              <c:strCache>
                <c:ptCount val="1"/>
                <c:pt idx="0">
                  <c:v>GS 3,000 - 4,999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Summary'!$C$129:$S$129</c:f>
              <c:numCache>
                <c:formatCode>#,##0</c:formatCode>
                <c:ptCount val="17"/>
                <c:pt idx="0">
                  <c:v>284679.17288459151</c:v>
                </c:pt>
                <c:pt idx="1">
                  <c:v>317493.09999999998</c:v>
                </c:pt>
                <c:pt idx="2">
                  <c:v>290527.03000000003</c:v>
                </c:pt>
                <c:pt idx="3">
                  <c:v>304032.87000000005</c:v>
                </c:pt>
                <c:pt idx="4">
                  <c:v>342986.87</c:v>
                </c:pt>
                <c:pt idx="5">
                  <c:v>339439.79999999993</c:v>
                </c:pt>
                <c:pt idx="6">
                  <c:v>368167.69000000006</c:v>
                </c:pt>
                <c:pt idx="7">
                  <c:v>393101.52</c:v>
                </c:pt>
                <c:pt idx="8">
                  <c:v>394699.74</c:v>
                </c:pt>
                <c:pt idx="9">
                  <c:v>376037.78</c:v>
                </c:pt>
                <c:pt idx="10">
                  <c:v>434611.89881014143</c:v>
                </c:pt>
                <c:pt idx="11">
                  <c:v>559841.10142064618</c:v>
                </c:pt>
                <c:pt idx="12">
                  <c:v>634866.96313706157</c:v>
                </c:pt>
                <c:pt idx="13">
                  <c:v>663860.07872149907</c:v>
                </c:pt>
                <c:pt idx="14">
                  <c:v>685951.7162830272</c:v>
                </c:pt>
                <c:pt idx="15">
                  <c:v>714881.78302287427</c:v>
                </c:pt>
                <c:pt idx="16">
                  <c:v>746467.9006503236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98D-B2B1-DBE9C870004F}"/>
            </c:ext>
          </c:extLst>
        </c:ser>
        <c:ser>
          <c:idx val="0"/>
          <c:order val="2"/>
          <c:tx>
            <c:strRef>
              <c:f>'Overall Load Summary'!$B$130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'Overall Load Summary'!$C$56:$S$56</c:f>
              <c:strCache>
                <c:ptCount val="17"/>
                <c:pt idx="0">
                  <c:v>2015 Actual</c:v>
                </c:pt>
                <c:pt idx="1">
                  <c:v>2016 Actual</c:v>
                </c:pt>
                <c:pt idx="2">
                  <c:v>2017 Actual</c:v>
                </c:pt>
                <c:pt idx="3">
                  <c:v>2018 Actual</c:v>
                </c:pt>
                <c:pt idx="4">
                  <c:v>2019 Actual</c:v>
                </c:pt>
                <c:pt idx="5">
                  <c:v>2020 Actual</c:v>
                </c:pt>
                <c:pt idx="6">
                  <c:v>2021 Actual</c:v>
                </c:pt>
                <c:pt idx="7">
                  <c:v>2022 Actual</c:v>
                </c:pt>
                <c:pt idx="8">
                  <c:v>2023 Actual</c:v>
                </c:pt>
                <c:pt idx="9">
                  <c:v>2024 Actual</c:v>
                </c:pt>
                <c:pt idx="10">
                  <c:v>2025 Forecast</c:v>
                </c:pt>
                <c:pt idx="11">
                  <c:v>2026 Forecast</c:v>
                </c:pt>
                <c:pt idx="12">
                  <c:v>2027 Forecast</c:v>
                </c:pt>
                <c:pt idx="13">
                  <c:v>2028 Forecast</c:v>
                </c:pt>
                <c:pt idx="14">
                  <c:v>2029 Forecast</c:v>
                </c:pt>
                <c:pt idx="15">
                  <c:v>2030 Forecast</c:v>
                </c:pt>
                <c:pt idx="16">
                  <c:v>2031 Forecast</c:v>
                </c:pt>
              </c:strCache>
            </c:strRef>
          </c:cat>
          <c:val>
            <c:numRef>
              <c:f>'Overall Load Summary'!$C$130:$S$130</c:f>
              <c:numCache>
                <c:formatCode>#,##0</c:formatCode>
                <c:ptCount val="17"/>
                <c:pt idx="0">
                  <c:v>361254.63310506125</c:v>
                </c:pt>
                <c:pt idx="1">
                  <c:v>421758</c:v>
                </c:pt>
                <c:pt idx="2">
                  <c:v>382866</c:v>
                </c:pt>
                <c:pt idx="3">
                  <c:v>423038</c:v>
                </c:pt>
                <c:pt idx="4">
                  <c:v>433414</c:v>
                </c:pt>
                <c:pt idx="5">
                  <c:v>453257</c:v>
                </c:pt>
                <c:pt idx="6">
                  <c:v>481567</c:v>
                </c:pt>
                <c:pt idx="7">
                  <c:v>490452</c:v>
                </c:pt>
                <c:pt idx="8">
                  <c:v>518389.27999999997</c:v>
                </c:pt>
                <c:pt idx="9">
                  <c:v>532510.09</c:v>
                </c:pt>
                <c:pt idx="10">
                  <c:v>562102.70615904417</c:v>
                </c:pt>
                <c:pt idx="11">
                  <c:v>614338.02506298595</c:v>
                </c:pt>
                <c:pt idx="12">
                  <c:v>700459.585062181</c:v>
                </c:pt>
                <c:pt idx="13">
                  <c:v>866937.22022196359</c:v>
                </c:pt>
                <c:pt idx="14">
                  <c:v>994908.69007255079</c:v>
                </c:pt>
                <c:pt idx="15">
                  <c:v>1044584.2129462288</c:v>
                </c:pt>
                <c:pt idx="16">
                  <c:v>1070183.945594792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4-498D-B2B1-DBE9C870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375"/>
        <c:axId val="358408095"/>
      </c:lineChart>
      <c:catAx>
        <c:axId val="3584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08095"/>
        <c:crosses val="autoZero"/>
        <c:auto val="1"/>
        <c:lblAlgn val="ctr"/>
        <c:lblOffset val="100"/>
        <c:noMultiLvlLbl val="0"/>
      </c:catAx>
      <c:valAx>
        <c:axId val="35840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2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3" Type="http://schemas.openxmlformats.org/officeDocument/2006/relationships/chart" Target="../charts/chart84.xml"/><Relationship Id="rId21" Type="http://schemas.openxmlformats.org/officeDocument/2006/relationships/chart" Target="../charts/chart102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3</xdr:row>
      <xdr:rowOff>85725</xdr:rowOff>
    </xdr:from>
    <xdr:to>
      <xdr:col>40</xdr:col>
      <xdr:colOff>152400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D837B9-C705-480D-A993-748444B6A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581025</xdr:colOff>
      <xdr:row>3</xdr:row>
      <xdr:rowOff>142875</xdr:rowOff>
    </xdr:from>
    <xdr:to>
      <xdr:col>50</xdr:col>
      <xdr:colOff>552450</xdr:colOff>
      <xdr:row>19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077B96-B06E-425D-B5F0-D8533180C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20</xdr:row>
      <xdr:rowOff>0</xdr:rowOff>
    </xdr:from>
    <xdr:to>
      <xdr:col>39</xdr:col>
      <xdr:colOff>584200</xdr:colOff>
      <xdr:row>35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EB3865-0E11-4D0A-8204-B972EE9CA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37</xdr:row>
      <xdr:rowOff>0</xdr:rowOff>
    </xdr:from>
    <xdr:to>
      <xdr:col>39</xdr:col>
      <xdr:colOff>584200</xdr:colOff>
      <xdr:row>52</xdr:row>
      <xdr:rowOff>69850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048600-A604-467C-BD62-1BA4F649B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400050</xdr:colOff>
      <xdr:row>37</xdr:row>
      <xdr:rowOff>57150</xdr:rowOff>
    </xdr:from>
    <xdr:to>
      <xdr:col>50</xdr:col>
      <xdr:colOff>374650</xdr:colOff>
      <xdr:row>52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91EBA6-2BF7-4CD1-88B9-691866416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53</xdr:row>
      <xdr:rowOff>0</xdr:rowOff>
    </xdr:from>
    <xdr:to>
      <xdr:col>39</xdr:col>
      <xdr:colOff>581025</xdr:colOff>
      <xdr:row>68</xdr:row>
      <xdr:rowOff>66675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8B52AE-A811-4DCB-AF55-62D201C6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400050</xdr:colOff>
      <xdr:row>53</xdr:row>
      <xdr:rowOff>57150</xdr:rowOff>
    </xdr:from>
    <xdr:to>
      <xdr:col>50</xdr:col>
      <xdr:colOff>371475</xdr:colOff>
      <xdr:row>68</xdr:row>
      <xdr:rowOff>120650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86B9D1-FDF4-4034-AE61-41B8401A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69</xdr:row>
      <xdr:rowOff>0</xdr:rowOff>
    </xdr:from>
    <xdr:to>
      <xdr:col>39</xdr:col>
      <xdr:colOff>577850</xdr:colOff>
      <xdr:row>84</xdr:row>
      <xdr:rowOff>63500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9E1C81-6C3B-4016-BAD6-C75F7DA7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400050</xdr:colOff>
      <xdr:row>69</xdr:row>
      <xdr:rowOff>57150</xdr:rowOff>
    </xdr:from>
    <xdr:to>
      <xdr:col>50</xdr:col>
      <xdr:colOff>368300</xdr:colOff>
      <xdr:row>84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25D6BF1-1345-4371-8B12-82D39E546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85</xdr:row>
      <xdr:rowOff>0</xdr:rowOff>
    </xdr:from>
    <xdr:to>
      <xdr:col>39</xdr:col>
      <xdr:colOff>581025</xdr:colOff>
      <xdr:row>100</xdr:row>
      <xdr:rowOff>66675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37D2D1-93DA-42EF-AB03-23AE4DBC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162</xdr:col>
      <xdr:colOff>312420</xdr:colOff>
      <xdr:row>2</xdr:row>
      <xdr:rowOff>148590</xdr:rowOff>
    </xdr:from>
    <xdr:to>
      <xdr:col>171</xdr:col>
      <xdr:colOff>213360</xdr:colOff>
      <xdr:row>17</xdr:row>
      <xdr:rowOff>148590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5880D10-B402-950F-3976-51D266BEC2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162</xdr:col>
      <xdr:colOff>304800</xdr:colOff>
      <xdr:row>18</xdr:row>
      <xdr:rowOff>91440</xdr:rowOff>
    </xdr:from>
    <xdr:to>
      <xdr:col>171</xdr:col>
      <xdr:colOff>205740</xdr:colOff>
      <xdr:row>33</xdr:row>
      <xdr:rowOff>91440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E9E868D-8E42-4A27-B6B9-307759FAE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162</xdr:col>
      <xdr:colOff>274320</xdr:colOff>
      <xdr:row>34</xdr:row>
      <xdr:rowOff>15240</xdr:rowOff>
    </xdr:from>
    <xdr:to>
      <xdr:col>171</xdr:col>
      <xdr:colOff>175260</xdr:colOff>
      <xdr:row>49</xdr:row>
      <xdr:rowOff>15240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294C211-DC78-45D2-94CB-50711AFAD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162</xdr:col>
      <xdr:colOff>487680</xdr:colOff>
      <xdr:row>49</xdr:row>
      <xdr:rowOff>114300</xdr:rowOff>
    </xdr:from>
    <xdr:to>
      <xdr:col>171</xdr:col>
      <xdr:colOff>388620</xdr:colOff>
      <xdr:row>64</xdr:row>
      <xdr:rowOff>114300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9ADDCB5-9552-4226-804A-537F6385E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163</xdr:col>
      <xdr:colOff>0</xdr:colOff>
      <xdr:row>66</xdr:row>
      <xdr:rowOff>0</xdr:rowOff>
    </xdr:from>
    <xdr:to>
      <xdr:col>171</xdr:col>
      <xdr:colOff>510540</xdr:colOff>
      <xdr:row>81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F7E6035-3CFD-4577-A7C4-83F8BDF21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162</xdr:col>
      <xdr:colOff>601980</xdr:colOff>
      <xdr:row>81</xdr:row>
      <xdr:rowOff>68580</xdr:rowOff>
    </xdr:from>
    <xdr:to>
      <xdr:col>171</xdr:col>
      <xdr:colOff>502920</xdr:colOff>
      <xdr:row>96</xdr:row>
      <xdr:rowOff>68580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F67F18B-6DFD-4333-8690-A38F9C08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163</xdr:col>
      <xdr:colOff>0</xdr:colOff>
      <xdr:row>97</xdr:row>
      <xdr:rowOff>0</xdr:rowOff>
    </xdr:from>
    <xdr:to>
      <xdr:col>171</xdr:col>
      <xdr:colOff>510540</xdr:colOff>
      <xdr:row>112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E413CE5-B9E0-4291-8228-62CAE9744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163</xdr:col>
      <xdr:colOff>0</xdr:colOff>
      <xdr:row>113</xdr:row>
      <xdr:rowOff>0</xdr:rowOff>
    </xdr:from>
    <xdr:to>
      <xdr:col>171</xdr:col>
      <xdr:colOff>510540</xdr:colOff>
      <xdr:row>128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EC23CCE-A8F1-45C7-858C-570B46E3C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163</xdr:col>
      <xdr:colOff>0</xdr:colOff>
      <xdr:row>129</xdr:row>
      <xdr:rowOff>0</xdr:rowOff>
    </xdr:from>
    <xdr:to>
      <xdr:col>171</xdr:col>
      <xdr:colOff>510540</xdr:colOff>
      <xdr:row>144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BE8F31D-58F1-47CF-8997-22F07CAC3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163</xdr:col>
      <xdr:colOff>0</xdr:colOff>
      <xdr:row>145</xdr:row>
      <xdr:rowOff>0</xdr:rowOff>
    </xdr:from>
    <xdr:to>
      <xdr:col>171</xdr:col>
      <xdr:colOff>510540</xdr:colOff>
      <xdr:row>160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8381AC6-DFB7-46CB-9E7D-4AE2646E7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590548</xdr:colOff>
      <xdr:row>23</xdr:row>
      <xdr:rowOff>0</xdr:rowOff>
    </xdr:from>
    <xdr:to>
      <xdr:col>34</xdr:col>
      <xdr:colOff>174268</xdr:colOff>
      <xdr:row>42</xdr:row>
      <xdr:rowOff>125280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B5EC3B-9495-4C83-B539-21FE99509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4800</xdr:colOff>
      <xdr:row>23</xdr:row>
      <xdr:rowOff>146366</xdr:rowOff>
    </xdr:from>
    <xdr:to>
      <xdr:col>30</xdr:col>
      <xdr:colOff>182880</xdr:colOff>
      <xdr:row>43</xdr:row>
      <xdr:rowOff>88766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BE4873-AC9A-4F1A-8622-D981682ED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19</xdr:row>
      <xdr:rowOff>19050</xdr:rowOff>
    </xdr:from>
    <xdr:to>
      <xdr:col>5</xdr:col>
      <xdr:colOff>1162050</xdr:colOff>
      <xdr:row>38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ABE6D6-0242-449C-804F-EB08A57B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19</xdr:row>
      <xdr:rowOff>1</xdr:rowOff>
    </xdr:from>
    <xdr:to>
      <xdr:col>11</xdr:col>
      <xdr:colOff>1038225</xdr:colOff>
      <xdr:row>38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FA3334-4A54-4259-B34B-CE520DA4D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19</xdr:row>
      <xdr:rowOff>0</xdr:rowOff>
    </xdr:from>
    <xdr:to>
      <xdr:col>17</xdr:col>
      <xdr:colOff>1257300</xdr:colOff>
      <xdr:row>38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3D6C72-8E4F-4F57-9EAD-4A7DD5220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44450</xdr:colOff>
      <xdr:row>19</xdr:row>
      <xdr:rowOff>0</xdr:rowOff>
    </xdr:from>
    <xdr:to>
      <xdr:col>25</xdr:col>
      <xdr:colOff>400050</xdr:colOff>
      <xdr:row>38</xdr:row>
      <xdr:rowOff>82550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02844F-57A0-492E-A70B-299D3BA5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44450</xdr:colOff>
      <xdr:row>19</xdr:row>
      <xdr:rowOff>0</xdr:rowOff>
    </xdr:from>
    <xdr:to>
      <xdr:col>33</xdr:col>
      <xdr:colOff>400050</xdr:colOff>
      <xdr:row>38</xdr:row>
      <xdr:rowOff>82550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FFFFFF2-3321-4EBD-9D07-5F31AED35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44450</xdr:colOff>
      <xdr:row>19</xdr:row>
      <xdr:rowOff>0</xdr:rowOff>
    </xdr:from>
    <xdr:to>
      <xdr:col>41</xdr:col>
      <xdr:colOff>400050</xdr:colOff>
      <xdr:row>38</xdr:row>
      <xdr:rowOff>82550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FAAC19-4389-4D60-9325-72F5AAA6E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57151</xdr:colOff>
      <xdr:row>19</xdr:row>
      <xdr:rowOff>19050</xdr:rowOff>
    </xdr:from>
    <xdr:to>
      <xdr:col>47</xdr:col>
      <xdr:colOff>1162050</xdr:colOff>
      <xdr:row>38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194531-70B0-4EE6-B2A8-2AB9ADC24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47625</xdr:colOff>
      <xdr:row>19</xdr:row>
      <xdr:rowOff>0</xdr:rowOff>
    </xdr:from>
    <xdr:to>
      <xdr:col>53</xdr:col>
      <xdr:colOff>1257300</xdr:colOff>
      <xdr:row>38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EBE3566-8DD5-4654-90A6-C8F7C0C66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209550</xdr:colOff>
      <xdr:row>19</xdr:row>
      <xdr:rowOff>0</xdr:rowOff>
    </xdr:from>
    <xdr:to>
      <xdr:col>61</xdr:col>
      <xdr:colOff>400050</xdr:colOff>
      <xdr:row>38</xdr:row>
      <xdr:rowOff>85725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8C527F-6759-408E-AF2B-636E614D6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63</xdr:col>
      <xdr:colOff>44450</xdr:colOff>
      <xdr:row>19</xdr:row>
      <xdr:rowOff>0</xdr:rowOff>
    </xdr:from>
    <xdr:to>
      <xdr:col>69</xdr:col>
      <xdr:colOff>400050</xdr:colOff>
      <xdr:row>38</xdr:row>
      <xdr:rowOff>82550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BEF1397-8785-44FC-A03A-388A6B0A4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590549</xdr:colOff>
      <xdr:row>24</xdr:row>
      <xdr:rowOff>115886</xdr:rowOff>
    </xdr:from>
    <xdr:to>
      <xdr:col>36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2A82C4-8E8D-4BC1-BC3C-CC0B70881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590549</xdr:colOff>
      <xdr:row>24</xdr:row>
      <xdr:rowOff>115886</xdr:rowOff>
    </xdr:from>
    <xdr:to>
      <xdr:col>34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066C47-F5C4-4E97-B416-BC55D3B28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590549</xdr:colOff>
      <xdr:row>24</xdr:row>
      <xdr:rowOff>115886</xdr:rowOff>
    </xdr:from>
    <xdr:to>
      <xdr:col>32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DF4510-55AB-489E-A7BB-CAAE29935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590549</xdr:colOff>
      <xdr:row>25</xdr:row>
      <xdr:rowOff>115886</xdr:rowOff>
    </xdr:from>
    <xdr:to>
      <xdr:col>34</xdr:col>
      <xdr:colOff>371474</xdr:colOff>
      <xdr:row>46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5D75B3-62E5-4DA1-9F46-B03EBF122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601979</xdr:colOff>
      <xdr:row>21</xdr:row>
      <xdr:rowOff>146366</xdr:rowOff>
    </xdr:from>
    <xdr:to>
      <xdr:col>25</xdr:col>
      <xdr:colOff>379094</xdr:colOff>
      <xdr:row>42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22406-C6DC-48A1-BB47-9E3E66551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590549</xdr:colOff>
      <xdr:row>24</xdr:row>
      <xdr:rowOff>115886</xdr:rowOff>
    </xdr:from>
    <xdr:to>
      <xdr:col>29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F41324-B7DD-424D-BD46-E7130778B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590549</xdr:colOff>
      <xdr:row>24</xdr:row>
      <xdr:rowOff>115886</xdr:rowOff>
    </xdr:from>
    <xdr:to>
      <xdr:col>36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3A3652-D8BA-4966-B140-47F84806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590549</xdr:colOff>
      <xdr:row>24</xdr:row>
      <xdr:rowOff>115886</xdr:rowOff>
    </xdr:from>
    <xdr:to>
      <xdr:col>37</xdr:col>
      <xdr:colOff>197129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F7B4F6-3CDE-CCC0-1EA6-F382F651EB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590549</xdr:colOff>
      <xdr:row>25</xdr:row>
      <xdr:rowOff>115886</xdr:rowOff>
    </xdr:from>
    <xdr:to>
      <xdr:col>34</xdr:col>
      <xdr:colOff>371474</xdr:colOff>
      <xdr:row>46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4FDF5-BC06-4B68-BA72-D885D8A4A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590549</xdr:colOff>
      <xdr:row>24</xdr:row>
      <xdr:rowOff>115886</xdr:rowOff>
    </xdr:from>
    <xdr:to>
      <xdr:col>32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A30781-AF2C-49B5-A546-5035A0A53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590549</xdr:colOff>
      <xdr:row>24</xdr:row>
      <xdr:rowOff>115886</xdr:rowOff>
    </xdr:from>
    <xdr:to>
      <xdr:col>27</xdr:col>
      <xdr:colOff>371474</xdr:colOff>
      <xdr:row>45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DD645-4EB0-4712-A0E1-6F0AC7F5C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122236</xdr:colOff>
      <xdr:row>22</xdr:row>
      <xdr:rowOff>104774</xdr:rowOff>
    </xdr:from>
    <xdr:to>
      <xdr:col>9</xdr:col>
      <xdr:colOff>776656</xdr:colOff>
      <xdr:row>44</xdr:row>
      <xdr:rowOff>16694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29512-AE9A-4F6E-8BB2-F443F8C56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228600</xdr:colOff>
      <xdr:row>22</xdr:row>
      <xdr:rowOff>63499</xdr:rowOff>
    </xdr:from>
    <xdr:to>
      <xdr:col>20</xdr:col>
      <xdr:colOff>82920</xdr:colOff>
      <xdr:row>43</xdr:row>
      <xdr:rowOff>143059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43E67A-76F8-4D05-A512-FAEDF20F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125411</xdr:colOff>
      <xdr:row>22</xdr:row>
      <xdr:rowOff>107949</xdr:rowOff>
    </xdr:from>
    <xdr:to>
      <xdr:col>30</xdr:col>
      <xdr:colOff>200711</xdr:colOff>
      <xdr:row>44</xdr:row>
      <xdr:rowOff>19869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7679F6-3E7E-470B-8097-801CE9130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314325</xdr:colOff>
      <xdr:row>23</xdr:row>
      <xdr:rowOff>20954</xdr:rowOff>
    </xdr:from>
    <xdr:to>
      <xdr:col>69</xdr:col>
      <xdr:colOff>494625</xdr:colOff>
      <xdr:row>44</xdr:row>
      <xdr:rowOff>100514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2AAB70-53B1-4FCB-8655-A2E6576BF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256537</xdr:colOff>
      <xdr:row>45</xdr:row>
      <xdr:rowOff>57785</xdr:rowOff>
    </xdr:from>
    <xdr:to>
      <xdr:col>69</xdr:col>
      <xdr:colOff>436837</xdr:colOff>
      <xdr:row>66</xdr:row>
      <xdr:rowOff>137345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C2F673-A745-40FF-8D7F-32C873ABA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78</xdr:col>
      <xdr:colOff>66675</xdr:colOff>
      <xdr:row>23</xdr:row>
      <xdr:rowOff>66675</xdr:rowOff>
    </xdr:from>
    <xdr:to>
      <xdr:col>85</xdr:col>
      <xdr:colOff>239355</xdr:colOff>
      <xdr:row>44</xdr:row>
      <xdr:rowOff>146235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79DBFCC-C958-4959-BCD6-BC679396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79</xdr:col>
      <xdr:colOff>23495</xdr:colOff>
      <xdr:row>45</xdr:row>
      <xdr:rowOff>76200</xdr:rowOff>
    </xdr:from>
    <xdr:to>
      <xdr:col>86</xdr:col>
      <xdr:colOff>203795</xdr:colOff>
      <xdr:row>66</xdr:row>
      <xdr:rowOff>155760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4A21A3F-CF5F-4229-A160-040552FFB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125411</xdr:colOff>
      <xdr:row>22</xdr:row>
      <xdr:rowOff>107949</xdr:rowOff>
    </xdr:from>
    <xdr:to>
      <xdr:col>38</xdr:col>
      <xdr:colOff>368351</xdr:colOff>
      <xdr:row>44</xdr:row>
      <xdr:rowOff>19869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AC6B1A9-7BE7-4108-AE37-74D5A9A0A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125411</xdr:colOff>
      <xdr:row>22</xdr:row>
      <xdr:rowOff>107949</xdr:rowOff>
    </xdr:from>
    <xdr:to>
      <xdr:col>49</xdr:col>
      <xdr:colOff>490271</xdr:colOff>
      <xdr:row>44</xdr:row>
      <xdr:rowOff>19869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CB5BF3C-F59E-4304-AD37-6DE8F9224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125411</xdr:colOff>
      <xdr:row>22</xdr:row>
      <xdr:rowOff>107949</xdr:rowOff>
    </xdr:from>
    <xdr:to>
      <xdr:col>60</xdr:col>
      <xdr:colOff>231191</xdr:colOff>
      <xdr:row>44</xdr:row>
      <xdr:rowOff>19869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BC15894-746A-4FE9-9422-B83003141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69</xdr:col>
      <xdr:colOff>539750</xdr:colOff>
      <xdr:row>23</xdr:row>
      <xdr:rowOff>25400</xdr:rowOff>
    </xdr:from>
    <xdr:to>
      <xdr:col>78</xdr:col>
      <xdr:colOff>483830</xdr:colOff>
      <xdr:row>44</xdr:row>
      <xdr:rowOff>104960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05C5AF1-BEE9-4DB8-9BDC-C875D7D29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69</xdr:col>
      <xdr:colOff>601978</xdr:colOff>
      <xdr:row>42</xdr:row>
      <xdr:rowOff>73025</xdr:rowOff>
    </xdr:from>
    <xdr:to>
      <xdr:col>78</xdr:col>
      <xdr:colOff>546058</xdr:colOff>
      <xdr:row>63</xdr:row>
      <xdr:rowOff>152585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9BD32C6-60A3-4EDF-A3AC-C313ED8F6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87</xdr:col>
      <xdr:colOff>122236</xdr:colOff>
      <xdr:row>22</xdr:row>
      <xdr:rowOff>104774</xdr:rowOff>
    </xdr:from>
    <xdr:to>
      <xdr:col>96</xdr:col>
      <xdr:colOff>403276</xdr:colOff>
      <xdr:row>44</xdr:row>
      <xdr:rowOff>16694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13B1112-367E-4C21-8512-1EB79916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97</xdr:col>
      <xdr:colOff>125411</xdr:colOff>
      <xdr:row>22</xdr:row>
      <xdr:rowOff>107949</xdr:rowOff>
    </xdr:from>
    <xdr:to>
      <xdr:col>106</xdr:col>
      <xdr:colOff>586740</xdr:colOff>
      <xdr:row>44</xdr:row>
      <xdr:rowOff>19869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3C30F2F-16B2-4450-A6C2-7A68C65A1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128</xdr:col>
      <xdr:colOff>167640</xdr:colOff>
      <xdr:row>22</xdr:row>
      <xdr:rowOff>135255</xdr:rowOff>
    </xdr:from>
    <xdr:to>
      <xdr:col>134</xdr:col>
      <xdr:colOff>272415</xdr:colOff>
      <xdr:row>40</xdr:row>
      <xdr:rowOff>91440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3BBC257-A3E6-463C-9FE0-9851EC772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128</xdr:col>
      <xdr:colOff>0</xdr:colOff>
      <xdr:row>41</xdr:row>
      <xdr:rowOff>149225</xdr:rowOff>
    </xdr:from>
    <xdr:to>
      <xdr:col>134</xdr:col>
      <xdr:colOff>336549</xdr:colOff>
      <xdr:row>58</xdr:row>
      <xdr:rowOff>149225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730B1DF-A38E-44C9-9349-FB8529CFC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143</xdr:col>
      <xdr:colOff>66675</xdr:colOff>
      <xdr:row>23</xdr:row>
      <xdr:rowOff>66675</xdr:rowOff>
    </xdr:from>
    <xdr:to>
      <xdr:col>150</xdr:col>
      <xdr:colOff>292100</xdr:colOff>
      <xdr:row>41</xdr:row>
      <xdr:rowOff>92075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D7D3BF6-3CF2-4191-8420-0CDEBC622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143</xdr:col>
      <xdr:colOff>130175</xdr:colOff>
      <xdr:row>43</xdr:row>
      <xdr:rowOff>0</xdr:rowOff>
    </xdr:from>
    <xdr:to>
      <xdr:col>150</xdr:col>
      <xdr:colOff>428625</xdr:colOff>
      <xdr:row>59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E03A5A7-5B81-4F13-8B07-65280C31A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118</xdr:col>
      <xdr:colOff>125411</xdr:colOff>
      <xdr:row>22</xdr:row>
      <xdr:rowOff>107949</xdr:rowOff>
    </xdr:from>
    <xdr:to>
      <xdr:col>128</xdr:col>
      <xdr:colOff>132131</xdr:colOff>
      <xdr:row>44</xdr:row>
      <xdr:rowOff>19869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56B6E4C-558D-48F6-8283-58FC4689B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134</xdr:col>
      <xdr:colOff>539750</xdr:colOff>
      <xdr:row>23</xdr:row>
      <xdr:rowOff>25400</xdr:rowOff>
    </xdr:from>
    <xdr:to>
      <xdr:col>142</xdr:col>
      <xdr:colOff>381000</xdr:colOff>
      <xdr:row>40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3299DA3-394A-45B4-A6DE-DCB395EB6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134</xdr:col>
      <xdr:colOff>609598</xdr:colOff>
      <xdr:row>41</xdr:row>
      <xdr:rowOff>149225</xdr:rowOff>
    </xdr:from>
    <xdr:to>
      <xdr:col>142</xdr:col>
      <xdr:colOff>438150</xdr:colOff>
      <xdr:row>58</xdr:row>
      <xdr:rowOff>149225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395625B-ECE9-42C9-8B91-2F9C8DC7B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107</xdr:col>
      <xdr:colOff>434340</xdr:colOff>
      <xdr:row>23</xdr:row>
      <xdr:rowOff>0</xdr:rowOff>
    </xdr:from>
    <xdr:to>
      <xdr:col>118</xdr:col>
      <xdr:colOff>75298</xdr:colOff>
      <xdr:row>44</xdr:row>
      <xdr:rowOff>45720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2D3782C-D931-43BA-A815-7D491DE71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144463</xdr:colOff>
      <xdr:row>35</xdr:row>
      <xdr:rowOff>125412</xdr:rowOff>
    </xdr:from>
    <xdr:to>
      <xdr:col>6</xdr:col>
      <xdr:colOff>685800</xdr:colOff>
      <xdr:row>52</xdr:row>
      <xdr:rowOff>122237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5A8F88-1688-44BB-8F87-E25241AB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36</xdr:row>
      <xdr:rowOff>0</xdr:rowOff>
    </xdr:from>
    <xdr:to>
      <xdr:col>15</xdr:col>
      <xdr:colOff>304800</xdr:colOff>
      <xdr:row>53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0114A-1CB6-430D-B539-CF7F83C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390526</xdr:colOff>
      <xdr:row>35</xdr:row>
      <xdr:rowOff>149225</xdr:rowOff>
    </xdr:from>
    <xdr:to>
      <xdr:col>23</xdr:col>
      <xdr:colOff>0</xdr:colOff>
      <xdr:row>53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24EC3D-599C-471A-9006-7B36B303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36</xdr:row>
      <xdr:rowOff>0</xdr:rowOff>
    </xdr:from>
    <xdr:to>
      <xdr:col>30</xdr:col>
      <xdr:colOff>314324</xdr:colOff>
      <xdr:row>53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3F9A31-BF9B-4F54-8411-0E3D668D6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571500</xdr:colOff>
      <xdr:row>36</xdr:row>
      <xdr:rowOff>0</xdr:rowOff>
    </xdr:from>
    <xdr:to>
      <xdr:col>37</xdr:col>
      <xdr:colOff>314324</xdr:colOff>
      <xdr:row>53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B315EC-BE3C-4C5A-8376-54A634F27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144463</xdr:colOff>
      <xdr:row>35</xdr:row>
      <xdr:rowOff>125412</xdr:rowOff>
    </xdr:from>
    <xdr:to>
      <xdr:col>46</xdr:col>
      <xdr:colOff>685800</xdr:colOff>
      <xdr:row>52</xdr:row>
      <xdr:rowOff>122237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545540-72D9-4B63-9127-1B9A4E65E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57150</xdr:colOff>
      <xdr:row>36</xdr:row>
      <xdr:rowOff>0</xdr:rowOff>
    </xdr:from>
    <xdr:to>
      <xdr:col>55</xdr:col>
      <xdr:colOff>0</xdr:colOff>
      <xdr:row>53</xdr:row>
      <xdr:rowOff>9525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B946D6-9C08-4192-AD64-0A81C1F1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55</xdr:col>
      <xdr:colOff>571500</xdr:colOff>
      <xdr:row>36</xdr:row>
      <xdr:rowOff>0</xdr:rowOff>
    </xdr:from>
    <xdr:to>
      <xdr:col>62</xdr:col>
      <xdr:colOff>314324</xdr:colOff>
      <xdr:row>53</xdr:row>
      <xdr:rowOff>9525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5C1C42B-A912-4220-A750-D1D3F4E7C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62</xdr:col>
      <xdr:colOff>571500</xdr:colOff>
      <xdr:row>36</xdr:row>
      <xdr:rowOff>0</xdr:rowOff>
    </xdr:from>
    <xdr:to>
      <xdr:col>69</xdr:col>
      <xdr:colOff>314324</xdr:colOff>
      <xdr:row>53</xdr:row>
      <xdr:rowOff>9525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F428C7E-97B1-4C59-8D1D-45A421485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434975</xdr:colOff>
      <xdr:row>1</xdr:row>
      <xdr:rowOff>26987</xdr:rowOff>
    </xdr:from>
    <xdr:to>
      <xdr:col>29</xdr:col>
      <xdr:colOff>447675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86C418-FE0A-44E0-8FEE-F739C5248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171450</xdr:colOff>
      <xdr:row>1</xdr:row>
      <xdr:rowOff>76200</xdr:rowOff>
    </xdr:from>
    <xdr:to>
      <xdr:col>40</xdr:col>
      <xdr:colOff>492125</xdr:colOff>
      <xdr:row>19</xdr:row>
      <xdr:rowOff>125413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774AE9-C0D4-4747-88EB-F717CA947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171450</xdr:colOff>
      <xdr:row>1</xdr:row>
      <xdr:rowOff>114300</xdr:rowOff>
    </xdr:from>
    <xdr:to>
      <xdr:col>51</xdr:col>
      <xdr:colOff>495300</xdr:colOff>
      <xdr:row>19</xdr:row>
      <xdr:rowOff>160338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316F3D-82C0-4FB8-9E15-6B14D845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447675</xdr:colOff>
      <xdr:row>20</xdr:row>
      <xdr:rowOff>44450</xdr:rowOff>
    </xdr:from>
    <xdr:to>
      <xdr:col>29</xdr:col>
      <xdr:colOff>454025</xdr:colOff>
      <xdr:row>36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DCECB3-AC59-41A4-B179-73FAB1C66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171450</xdr:colOff>
      <xdr:row>20</xdr:row>
      <xdr:rowOff>82550</xdr:rowOff>
    </xdr:from>
    <xdr:to>
      <xdr:col>40</xdr:col>
      <xdr:colOff>463550</xdr:colOff>
      <xdr:row>36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82E0820-C0F8-4489-9006-A6ABF693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422274</xdr:colOff>
      <xdr:row>55</xdr:row>
      <xdr:rowOff>46037</xdr:rowOff>
    </xdr:from>
    <xdr:to>
      <xdr:col>29</xdr:col>
      <xdr:colOff>457199</xdr:colOff>
      <xdr:row>72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2528FB-C856-4AFD-A931-8DC2EC23D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114300</xdr:colOff>
      <xdr:row>55</xdr:row>
      <xdr:rowOff>66675</xdr:rowOff>
    </xdr:from>
    <xdr:to>
      <xdr:col>40</xdr:col>
      <xdr:colOff>314325</xdr:colOff>
      <xdr:row>72</xdr:row>
      <xdr:rowOff>46038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C45DD9-6085-46EB-97ED-5C1E3A0A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523875</xdr:colOff>
      <xdr:row>55</xdr:row>
      <xdr:rowOff>123825</xdr:rowOff>
    </xdr:from>
    <xdr:to>
      <xdr:col>51</xdr:col>
      <xdr:colOff>111125</xdr:colOff>
      <xdr:row>72</xdr:row>
      <xdr:rowOff>103188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8856D7-5CC4-4029-901D-3925C826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428625</xdr:colOff>
      <xdr:row>73</xdr:row>
      <xdr:rowOff>15875</xdr:rowOff>
    </xdr:from>
    <xdr:to>
      <xdr:col>29</xdr:col>
      <xdr:colOff>495300</xdr:colOff>
      <xdr:row>91</xdr:row>
      <xdr:rowOff>11113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4141EE-9CC1-41BE-9839-C2F1AB073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73</xdr:row>
      <xdr:rowOff>34925</xdr:rowOff>
    </xdr:from>
    <xdr:to>
      <xdr:col>40</xdr:col>
      <xdr:colOff>358775</xdr:colOff>
      <xdr:row>91</xdr:row>
      <xdr:rowOff>26988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D85A-AB28-4462-B1F3-DC9FC14A1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463550</xdr:colOff>
      <xdr:row>37</xdr:row>
      <xdr:rowOff>38100</xdr:rowOff>
    </xdr:from>
    <xdr:to>
      <xdr:col>29</xdr:col>
      <xdr:colOff>466725</xdr:colOff>
      <xdr:row>53</xdr:row>
      <xdr:rowOff>19050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008F413-D98C-4431-B0C1-AE86DC3D4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434975</xdr:colOff>
      <xdr:row>92</xdr:row>
      <xdr:rowOff>88899</xdr:rowOff>
    </xdr:from>
    <xdr:to>
      <xdr:col>29</xdr:col>
      <xdr:colOff>447675</xdr:colOff>
      <xdr:row>113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8451F5C-C16A-4C56-8D62-4B46931EF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171450</xdr:colOff>
      <xdr:row>37</xdr:row>
      <xdr:rowOff>0</xdr:rowOff>
    </xdr:from>
    <xdr:to>
      <xdr:col>40</xdr:col>
      <xdr:colOff>504825</xdr:colOff>
      <xdr:row>52</xdr:row>
      <xdr:rowOff>142875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2DB2DC6-6AA9-4D37-8786-F703DAA29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139700</xdr:colOff>
      <xdr:row>92</xdr:row>
      <xdr:rowOff>44450</xdr:rowOff>
    </xdr:from>
    <xdr:to>
      <xdr:col>40</xdr:col>
      <xdr:colOff>428625</xdr:colOff>
      <xdr:row>112</xdr:row>
      <xdr:rowOff>142876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4B840B0-26A7-45D0-9554-8DBCFCB7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434975</xdr:colOff>
      <xdr:row>116</xdr:row>
      <xdr:rowOff>26987</xdr:rowOff>
    </xdr:from>
    <xdr:to>
      <xdr:col>29</xdr:col>
      <xdr:colOff>447675</xdr:colOff>
      <xdr:row>134</xdr:row>
      <xdr:rowOff>76200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43EDC78-5276-41E8-AA17-52F138CB0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171450</xdr:colOff>
      <xdr:row>116</xdr:row>
      <xdr:rowOff>76200</xdr:rowOff>
    </xdr:from>
    <xdr:to>
      <xdr:col>40</xdr:col>
      <xdr:colOff>492125</xdr:colOff>
      <xdr:row>134</xdr:row>
      <xdr:rowOff>125413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5B4D6B9-E1E4-4053-91BA-D3BABE173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41</xdr:col>
      <xdr:colOff>171450</xdr:colOff>
      <xdr:row>116</xdr:row>
      <xdr:rowOff>114300</xdr:rowOff>
    </xdr:from>
    <xdr:to>
      <xdr:col>51</xdr:col>
      <xdr:colOff>495300</xdr:colOff>
      <xdr:row>134</xdr:row>
      <xdr:rowOff>160338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2BF7760-1AB5-43AC-8FAC-00BA3E68E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444500</xdr:colOff>
      <xdr:row>135</xdr:row>
      <xdr:rowOff>47625</xdr:rowOff>
    </xdr:from>
    <xdr:to>
      <xdr:col>29</xdr:col>
      <xdr:colOff>454025</xdr:colOff>
      <xdr:row>151</xdr:row>
      <xdr:rowOff>190500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9639B91F-E19A-4DDB-BFF8-27C59FA4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171450</xdr:colOff>
      <xdr:row>135</xdr:row>
      <xdr:rowOff>82550</xdr:rowOff>
    </xdr:from>
    <xdr:to>
      <xdr:col>40</xdr:col>
      <xdr:colOff>463550</xdr:colOff>
      <xdr:row>151</xdr:row>
      <xdr:rowOff>123825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94FAEC0-0A11-4E39-80F2-DFDFC9090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463550</xdr:colOff>
      <xdr:row>152</xdr:row>
      <xdr:rowOff>38100</xdr:rowOff>
    </xdr:from>
    <xdr:to>
      <xdr:col>29</xdr:col>
      <xdr:colOff>466725</xdr:colOff>
      <xdr:row>168</xdr:row>
      <xdr:rowOff>19050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B25022B-5625-446A-9A67-166F982F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171450</xdr:colOff>
      <xdr:row>152</xdr:row>
      <xdr:rowOff>0</xdr:rowOff>
    </xdr:from>
    <xdr:to>
      <xdr:col>40</xdr:col>
      <xdr:colOff>504825</xdr:colOff>
      <xdr:row>167</xdr:row>
      <xdr:rowOff>142875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31EE0536-7B79-49CB-B108-BBCD2746B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590549</xdr:colOff>
      <xdr:row>24</xdr:row>
      <xdr:rowOff>115886</xdr:rowOff>
    </xdr:from>
    <xdr:to>
      <xdr:col>36</xdr:col>
      <xdr:colOff>265709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B0638-690C-4C3C-B909-C624FBB39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533400</xdr:colOff>
      <xdr:row>24</xdr:row>
      <xdr:rowOff>137160</xdr:rowOff>
    </xdr:from>
    <xdr:to>
      <xdr:col>33</xdr:col>
      <xdr:colOff>513360</xdr:colOff>
      <xdr:row>44</xdr:row>
      <xdr:rowOff>79560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814C2D-F4B3-4891-92A9-31B1417A1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24</xdr:row>
      <xdr:rowOff>152400</xdr:rowOff>
    </xdr:from>
    <xdr:to>
      <xdr:col>36</xdr:col>
      <xdr:colOff>284760</xdr:colOff>
      <xdr:row>44</xdr:row>
      <xdr:rowOff>94800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E4875F-AD67-4C4F-8F7A-17F39557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590548</xdr:colOff>
      <xdr:row>24</xdr:row>
      <xdr:rowOff>115886</xdr:rowOff>
    </xdr:from>
    <xdr:to>
      <xdr:col>28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C17617-53DB-4423-AEA1-702E1DBBA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590548</xdr:colOff>
      <xdr:row>24</xdr:row>
      <xdr:rowOff>115886</xdr:rowOff>
    </xdr:from>
    <xdr:to>
      <xdr:col>32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B2A15F-FACB-4C91-8488-76030969D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590548</xdr:colOff>
      <xdr:row>24</xdr:row>
      <xdr:rowOff>115886</xdr:rowOff>
    </xdr:from>
    <xdr:to>
      <xdr:col>38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67C7CD-A55A-41CD-9F11-329B0A5D2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590548</xdr:colOff>
      <xdr:row>24</xdr:row>
      <xdr:rowOff>115886</xdr:rowOff>
    </xdr:from>
    <xdr:to>
      <xdr:col>36</xdr:col>
      <xdr:colOff>265708</xdr:colOff>
      <xdr:row>44</xdr:row>
      <xdr:rowOff>58286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CECE2F-1AE3-4EAF-8B2B-AD0F5DB54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ieso.ca/Sector-Participants/Energy-Efficiency/2025-2036-Electricity-Demand-Side-Management-Framework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ontario.ca/dataset/population-projections/resource/03abe0d5-0995-4ce2-ad9d-e904d50106a5" TargetMode="External"/><Relationship Id="rId2" Type="http://schemas.openxmlformats.org/officeDocument/2006/relationships/hyperlink" Target="https://www.durham.ca/en/living-here/resources/Documents/2024-INFO-80-Monitoring-of-Growth-Trends.pdf" TargetMode="External"/><Relationship Id="rId1" Type="http://schemas.openxmlformats.org/officeDocument/2006/relationships/hyperlink" Target="https://www.durham.ca/en/doing-business/resources/Documents/PlanningandDevelopment/Envision-Durham/Adopted-Durham-ROP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5733D-5597-415A-966A-BCCEBF216FB7}">
  <sheetPr codeName="Sheet4">
    <tabColor rgb="FF0070C0"/>
  </sheetPr>
  <dimension ref="A1:AP77"/>
  <sheetViews>
    <sheetView tabSelected="1" workbookViewId="0">
      <selection activeCell="C33" sqref="C33"/>
    </sheetView>
  </sheetViews>
  <sheetFormatPr defaultRowHeight="15"/>
  <cols>
    <col min="1" max="1" width="8.85546875" style="362"/>
    <col min="2" max="2" width="23.42578125" bestFit="1" customWidth="1"/>
    <col min="3" max="3" width="15.42578125" bestFit="1" customWidth="1"/>
    <col min="4" max="5" width="15.140625" bestFit="1" customWidth="1"/>
    <col min="6" max="6" width="22.42578125" bestFit="1" customWidth="1"/>
    <col min="7" max="10" width="18.140625" bestFit="1" customWidth="1"/>
    <col min="11" max="11" width="14.42578125" style="362" customWidth="1"/>
    <col min="12" max="12" width="23.42578125" bestFit="1" customWidth="1"/>
    <col min="13" max="14" width="15.42578125" bestFit="1" customWidth="1"/>
    <col min="15" max="20" width="14.140625" bestFit="1" customWidth="1"/>
    <col min="22" max="22" width="23.42578125" bestFit="1" customWidth="1"/>
    <col min="23" max="23" width="15.140625" bestFit="1" customWidth="1"/>
    <col min="24" max="30" width="13.140625" bestFit="1" customWidth="1"/>
    <col min="31" max="42" width="8.85546875" style="362"/>
  </cols>
  <sheetData>
    <row r="1" spans="2:41" s="362" customFormat="1"/>
    <row r="2" spans="2:41" s="671" customFormat="1">
      <c r="B2" s="824" t="s">
        <v>523</v>
      </c>
      <c r="C2" s="824"/>
      <c r="D2" s="824"/>
      <c r="E2" s="824"/>
      <c r="F2" s="824"/>
      <c r="G2" s="824"/>
      <c r="H2" s="824"/>
      <c r="I2" s="824"/>
      <c r="J2" s="824"/>
      <c r="O2" s="671" t="s">
        <v>376</v>
      </c>
      <c r="X2" s="671" t="s">
        <v>352</v>
      </c>
    </row>
    <row r="3" spans="2:41" s="362" customFormat="1" ht="15.75" thickBot="1"/>
    <row r="4" spans="2:41" ht="25.5">
      <c r="B4" s="59" t="s">
        <v>178</v>
      </c>
      <c r="C4" s="58" t="s">
        <v>528</v>
      </c>
      <c r="D4" s="58" t="s">
        <v>195</v>
      </c>
      <c r="E4" s="58" t="s">
        <v>196</v>
      </c>
      <c r="F4" s="58" t="s">
        <v>487</v>
      </c>
      <c r="G4" s="58" t="s">
        <v>488</v>
      </c>
      <c r="H4" s="58" t="s">
        <v>489</v>
      </c>
      <c r="I4" s="58" t="s">
        <v>490</v>
      </c>
      <c r="J4" s="57" t="s">
        <v>491</v>
      </c>
      <c r="L4" s="59" t="s">
        <v>178</v>
      </c>
      <c r="M4" s="58" t="s">
        <v>528</v>
      </c>
      <c r="N4" s="58" t="s">
        <v>195</v>
      </c>
      <c r="O4" s="58" t="s">
        <v>196</v>
      </c>
      <c r="P4" s="58" t="s">
        <v>487</v>
      </c>
      <c r="Q4" s="58" t="s">
        <v>488</v>
      </c>
      <c r="R4" s="58" t="s">
        <v>489</v>
      </c>
      <c r="S4" s="58" t="s">
        <v>490</v>
      </c>
      <c r="T4" s="57" t="s">
        <v>491</v>
      </c>
      <c r="V4" s="59" t="s">
        <v>178</v>
      </c>
      <c r="W4" s="58" t="s">
        <v>528</v>
      </c>
      <c r="X4" s="58" t="s">
        <v>195</v>
      </c>
      <c r="Y4" s="58" t="s">
        <v>196</v>
      </c>
      <c r="Z4" s="58" t="s">
        <v>487</v>
      </c>
      <c r="AA4" s="58" t="s">
        <v>488</v>
      </c>
      <c r="AB4" s="58" t="s">
        <v>489</v>
      </c>
      <c r="AC4" s="58" t="s">
        <v>490</v>
      </c>
      <c r="AD4" s="57" t="s">
        <v>491</v>
      </c>
    </row>
    <row r="5" spans="2:41">
      <c r="B5" s="64" t="s">
        <v>63</v>
      </c>
      <c r="C5" s="55">
        <f ca="1">'Overall Load Summary'!L118</f>
        <v>1463722142.9966345</v>
      </c>
      <c r="D5" s="55">
        <f ca="1">'Overall Load Summary'!M118</f>
        <v>1515994144.3310091</v>
      </c>
      <c r="E5" s="55">
        <f ca="1">'Overall Load Summary'!N118</f>
        <v>1546574460.3558209</v>
      </c>
      <c r="F5" s="55">
        <f ca="1">'Overall Load Summary'!O118</f>
        <v>1578573635.2711742</v>
      </c>
      <c r="G5" s="55">
        <f ca="1">'Overall Load Summary'!P118</f>
        <v>1610606554.0853345</v>
      </c>
      <c r="H5" s="55">
        <f ca="1">'Overall Load Summary'!Q118</f>
        <v>1641331700.1724854</v>
      </c>
      <c r="I5" s="55">
        <f ca="1">'Overall Load Summary'!R118</f>
        <v>1680304198.1259534</v>
      </c>
      <c r="J5" s="65">
        <f ca="1">'Overall Load Summary'!S118</f>
        <v>1718981173.4150651</v>
      </c>
      <c r="K5" s="737"/>
      <c r="L5" s="64" t="s">
        <v>63</v>
      </c>
      <c r="M5" s="55">
        <f ca="1">'Overall Load Summary'!L3</f>
        <v>1052968776.2624577</v>
      </c>
      <c r="N5" s="55">
        <f ca="1">'Overall Load Summary'!M3</f>
        <v>1095125273.1183047</v>
      </c>
      <c r="O5" s="55">
        <f ca="1">'Overall Load Summary'!N3</f>
        <v>1117090361.2318509</v>
      </c>
      <c r="P5" s="55">
        <f ca="1">'Overall Load Summary'!O3</f>
        <v>1139476591.8569014</v>
      </c>
      <c r="Q5" s="55">
        <f ca="1">'Overall Load Summary'!P3</f>
        <v>1163690317.337239</v>
      </c>
      <c r="R5" s="55">
        <f ca="1">'Overall Load Summary'!Q3</f>
        <v>1185325146.4941511</v>
      </c>
      <c r="S5" s="55">
        <f ca="1">'Overall Load Summary'!R3</f>
        <v>1212339801.3152404</v>
      </c>
      <c r="T5" s="65">
        <f ca="1">'Overall Load Summary'!S3</f>
        <v>1240553460.7040067</v>
      </c>
      <c r="U5" s="737"/>
      <c r="V5" s="64" t="s">
        <v>63</v>
      </c>
      <c r="W5" s="55">
        <f ca="1">'Overall Load Summary'!L57</f>
        <v>410753366.73417681</v>
      </c>
      <c r="X5" s="55">
        <f ca="1">'Overall Load Summary'!M57</f>
        <v>420868871.21270436</v>
      </c>
      <c r="Y5" s="55">
        <f ca="1">'Overall Load Summary'!N57</f>
        <v>429484099.12396997</v>
      </c>
      <c r="Z5" s="55">
        <f ca="1">'Overall Load Summary'!O57</f>
        <v>439097043.41427279</v>
      </c>
      <c r="AA5" s="55">
        <f ca="1">'Overall Load Summary'!P57</f>
        <v>446916236.74809545</v>
      </c>
      <c r="AB5" s="55">
        <f ca="1">'Overall Load Summary'!Q57</f>
        <v>456006553.67833424</v>
      </c>
      <c r="AC5" s="55">
        <f ca="1">'Overall Load Summary'!R57</f>
        <v>467964396.81071305</v>
      </c>
      <c r="AD5" s="65">
        <f ca="1">'Overall Load Summary'!S57</f>
        <v>478427712.71105832</v>
      </c>
      <c r="AE5" s="737"/>
      <c r="AF5" s="447"/>
      <c r="AG5" s="447"/>
      <c r="AH5" s="447"/>
      <c r="AI5" s="447"/>
      <c r="AJ5" s="447"/>
      <c r="AK5" s="447"/>
      <c r="AL5" s="447"/>
      <c r="AM5" s="447"/>
      <c r="AN5" s="447"/>
      <c r="AO5" s="447"/>
    </row>
    <row r="6" spans="2:41">
      <c r="B6" s="64" t="s">
        <v>211</v>
      </c>
      <c r="C6" s="55">
        <f ca="1">'Overall Load Summary'!L119</f>
        <v>12230713.602862934</v>
      </c>
      <c r="D6" s="55">
        <f ca="1">'Overall Load Summary'!M119</f>
        <v>12768206.557489421</v>
      </c>
      <c r="E6" s="55">
        <f ca="1">'Overall Load Summary'!N119</f>
        <v>13188721.546985753</v>
      </c>
      <c r="F6" s="55">
        <f ca="1">'Overall Load Summary'!O119</f>
        <v>13651253.423372488</v>
      </c>
      <c r="G6" s="55">
        <f ca="1">'Overall Load Summary'!P119</f>
        <v>14035998.008814186</v>
      </c>
      <c r="H6" s="55">
        <f ca="1">'Overall Load Summary'!Q119</f>
        <v>14476769.158850323</v>
      </c>
      <c r="I6" s="55">
        <f ca="1">'Overall Load Summary'!R119</f>
        <v>14995359.212779585</v>
      </c>
      <c r="J6" s="65">
        <f ca="1">'Overall Load Summary'!S119</f>
        <v>15451103.337147947</v>
      </c>
      <c r="K6" s="737"/>
      <c r="L6" s="64" t="s">
        <v>211</v>
      </c>
      <c r="M6" s="55">
        <f ca="1">'Overall Load Summary'!L4</f>
        <v>12230713.602862934</v>
      </c>
      <c r="N6" s="55">
        <f ca="1">'Overall Load Summary'!M4</f>
        <v>12768206.557489421</v>
      </c>
      <c r="O6" s="55">
        <f ca="1">'Overall Load Summary'!N4</f>
        <v>13188721.546985753</v>
      </c>
      <c r="P6" s="55">
        <f ca="1">'Overall Load Summary'!O4</f>
        <v>13651253.423372488</v>
      </c>
      <c r="Q6" s="55">
        <f ca="1">'Overall Load Summary'!P4</f>
        <v>14035998.008814186</v>
      </c>
      <c r="R6" s="55">
        <f ca="1">'Overall Load Summary'!Q4</f>
        <v>14476769.158850323</v>
      </c>
      <c r="S6" s="55">
        <f ca="1">'Overall Load Summary'!R4</f>
        <v>14995359.212779585</v>
      </c>
      <c r="T6" s="65">
        <f ca="1">'Overall Load Summary'!S4</f>
        <v>15451103.337147947</v>
      </c>
      <c r="U6" s="737"/>
      <c r="V6" s="668" t="s">
        <v>211</v>
      </c>
      <c r="W6" s="55"/>
      <c r="X6" s="55"/>
      <c r="Y6" s="55"/>
      <c r="Z6" s="55"/>
      <c r="AA6" s="55"/>
      <c r="AB6" s="55"/>
      <c r="AC6" s="55"/>
      <c r="AD6" s="65"/>
      <c r="AE6" s="737"/>
      <c r="AF6" s="447"/>
      <c r="AG6" s="447"/>
      <c r="AH6" s="447"/>
      <c r="AI6" s="447"/>
      <c r="AJ6" s="447"/>
      <c r="AK6" s="447"/>
      <c r="AL6" s="447"/>
      <c r="AM6" s="447"/>
      <c r="AN6" s="447"/>
      <c r="AO6" s="447"/>
    </row>
    <row r="7" spans="2:41">
      <c r="B7" s="64" t="s">
        <v>278</v>
      </c>
      <c r="C7" s="55">
        <f ca="1">'Overall Load Summary'!L120</f>
        <v>345939418.43269312</v>
      </c>
      <c r="D7" s="55">
        <f ca="1">'Overall Load Summary'!M120</f>
        <v>374839489.81393456</v>
      </c>
      <c r="E7" s="55">
        <f ca="1">'Overall Load Summary'!N120</f>
        <v>375080309.18336868</v>
      </c>
      <c r="F7" s="55">
        <f ca="1">'Overall Load Summary'!O120</f>
        <v>376280208.1176371</v>
      </c>
      <c r="G7" s="55">
        <f ca="1">'Overall Load Summary'!P120</f>
        <v>375831277.10050917</v>
      </c>
      <c r="H7" s="55">
        <f ca="1">'Overall Load Summary'!Q120</f>
        <v>376353639.19765615</v>
      </c>
      <c r="I7" s="55">
        <f ca="1">'Overall Load Summary'!R120</f>
        <v>377216432.00193262</v>
      </c>
      <c r="J7" s="65">
        <f ca="1">'Overall Load Summary'!S120</f>
        <v>379702546.86592543</v>
      </c>
      <c r="K7" s="737"/>
      <c r="L7" s="64" t="s">
        <v>278</v>
      </c>
      <c r="M7" s="55">
        <f ca="1">'Overall Load Summary'!L5</f>
        <v>257530700.52195185</v>
      </c>
      <c r="N7" s="55">
        <f ca="1">'Overall Load Summary'!M5</f>
        <v>282974392.24280298</v>
      </c>
      <c r="O7" s="55">
        <f ca="1">'Overall Load Summary'!N5</f>
        <v>283200048.37753892</v>
      </c>
      <c r="P7" s="55">
        <f ca="1">'Overall Load Summary'!O5</f>
        <v>284059624.77556282</v>
      </c>
      <c r="Q7" s="55">
        <f ca="1">'Overall Load Summary'!P5</f>
        <v>283704088.194924</v>
      </c>
      <c r="R7" s="55">
        <f ca="1">'Overall Load Summary'!Q5</f>
        <v>284076999.28542733</v>
      </c>
      <c r="S7" s="55">
        <f ca="1">'Overall Load Summary'!R5</f>
        <v>284658182.04026783</v>
      </c>
      <c r="T7" s="65">
        <f ca="1">'Overall Load Summary'!S5</f>
        <v>286717312.21083391</v>
      </c>
      <c r="U7" s="737"/>
      <c r="V7" s="64" t="s">
        <v>278</v>
      </c>
      <c r="W7" s="55">
        <f ca="1">'Overall Load Summary'!L58</f>
        <v>88408717.91074124</v>
      </c>
      <c r="X7" s="55">
        <f ca="1">'Overall Load Summary'!M58</f>
        <v>91865097.571131602</v>
      </c>
      <c r="Y7" s="55">
        <f ca="1">'Overall Load Summary'!N58</f>
        <v>91880260.805829793</v>
      </c>
      <c r="Z7" s="55">
        <f ca="1">'Overall Load Summary'!O58</f>
        <v>92220583.34207429</v>
      </c>
      <c r="AA7" s="55">
        <f ca="1">'Overall Load Summary'!P58</f>
        <v>92127188.90558517</v>
      </c>
      <c r="AB7" s="55">
        <f ca="1">'Overall Load Summary'!Q58</f>
        <v>92276639.912228808</v>
      </c>
      <c r="AC7" s="55">
        <f ca="1">'Overall Load Summary'!R58</f>
        <v>92558249.961664766</v>
      </c>
      <c r="AD7" s="65">
        <f ca="1">'Overall Load Summary'!S58</f>
        <v>92985234.655091539</v>
      </c>
      <c r="AE7" s="737"/>
      <c r="AF7" s="447"/>
      <c r="AG7" s="447"/>
      <c r="AH7" s="447"/>
      <c r="AI7" s="447"/>
      <c r="AJ7" s="447"/>
      <c r="AK7" s="447"/>
      <c r="AL7" s="447"/>
      <c r="AM7" s="447"/>
      <c r="AN7" s="447"/>
      <c r="AO7" s="447"/>
    </row>
    <row r="8" spans="2:41">
      <c r="B8" s="64" t="s">
        <v>365</v>
      </c>
      <c r="C8" s="55">
        <f ca="1">'Overall Load Summary'!L121</f>
        <v>1302629894.3127961</v>
      </c>
      <c r="D8" s="55">
        <f ca="1">'Overall Load Summary'!M121</f>
        <v>1274797572.8396764</v>
      </c>
      <c r="E8" s="55">
        <f ca="1">'Overall Load Summary'!N121</f>
        <v>1325946365.9758654</v>
      </c>
      <c r="F8" s="55">
        <f ca="1">'Overall Load Summary'!O121</f>
        <v>1365439860.2664268</v>
      </c>
      <c r="G8" s="55">
        <f ca="1">'Overall Load Summary'!P121</f>
        <v>1383877948.2547727</v>
      </c>
      <c r="H8" s="55">
        <f ca="1">'Overall Load Summary'!Q121</f>
        <v>1391494950.3635631</v>
      </c>
      <c r="I8" s="55">
        <f ca="1">'Overall Load Summary'!R121</f>
        <v>1389411603.9599769</v>
      </c>
      <c r="J8" s="65">
        <f ca="1">'Overall Load Summary'!S121</f>
        <v>1394637848.9864466</v>
      </c>
      <c r="K8" s="737"/>
      <c r="L8" s="64" t="s">
        <v>365</v>
      </c>
      <c r="M8" s="55">
        <f ca="1">'Overall Load Summary'!L6</f>
        <v>965931354.38279605</v>
      </c>
      <c r="N8" s="55">
        <f ca="1">'Overall Load Summary'!M6</f>
        <v>941797562.22393441</v>
      </c>
      <c r="O8" s="55">
        <f ca="1">'Overall Load Summary'!N6</f>
        <v>978135426.89668632</v>
      </c>
      <c r="P8" s="55">
        <f ca="1">'Overall Load Summary'!O6</f>
        <v>1009573024.6869053</v>
      </c>
      <c r="Q8" s="55">
        <f ca="1">'Overall Load Summary'!P6</f>
        <v>1024897887.6704686</v>
      </c>
      <c r="R8" s="55">
        <f ca="1">'Overall Load Summary'!Q6</f>
        <v>1027303091.9141679</v>
      </c>
      <c r="S8" s="55">
        <f ca="1">'Overall Load Summary'!R6</f>
        <v>1023350446.9871242</v>
      </c>
      <c r="T8" s="65">
        <f ca="1">'Overall Load Summary'!S6</f>
        <v>1028125625.347676</v>
      </c>
      <c r="U8" s="737"/>
      <c r="V8" s="64" t="s">
        <v>365</v>
      </c>
      <c r="W8" s="55">
        <f ca="1">'Overall Load Summary'!L59</f>
        <v>336698539.93000007</v>
      </c>
      <c r="X8" s="55">
        <f ca="1">'Overall Load Summary'!M59</f>
        <v>333000010.61574209</v>
      </c>
      <c r="Y8" s="55">
        <f ca="1">'Overall Load Summary'!N59</f>
        <v>347810939.07917917</v>
      </c>
      <c r="Z8" s="55">
        <f ca="1">'Overall Load Summary'!O59</f>
        <v>355866835.57952148</v>
      </c>
      <c r="AA8" s="55">
        <f ca="1">'Overall Load Summary'!P59</f>
        <v>358980060.58430421</v>
      </c>
      <c r="AB8" s="55">
        <f ca="1">'Overall Load Summary'!Q59</f>
        <v>364191858.4493953</v>
      </c>
      <c r="AC8" s="55">
        <f ca="1">'Overall Load Summary'!R59</f>
        <v>366061156.97285277</v>
      </c>
      <c r="AD8" s="65">
        <f ca="1">'Overall Load Summary'!S59</f>
        <v>366512223.63877064</v>
      </c>
      <c r="AE8" s="737"/>
      <c r="AF8" s="447"/>
      <c r="AG8" s="447"/>
      <c r="AH8" s="447"/>
      <c r="AI8" s="447"/>
      <c r="AJ8" s="447"/>
      <c r="AK8" s="447"/>
      <c r="AL8" s="447"/>
      <c r="AM8" s="447"/>
      <c r="AN8" s="447"/>
      <c r="AO8" s="447"/>
    </row>
    <row r="9" spans="2:41">
      <c r="B9" s="64" t="s">
        <v>366</v>
      </c>
      <c r="C9" s="55">
        <f ca="1">'Overall Load Summary'!L122</f>
        <v>180631420.61000001</v>
      </c>
      <c r="D9" s="55">
        <f ca="1">'Overall Load Summary'!M122</f>
        <v>214811897.59407872</v>
      </c>
      <c r="E9" s="55">
        <f ca="1">'Overall Load Summary'!N122</f>
        <v>274193095.61505312</v>
      </c>
      <c r="F9" s="55">
        <f ca="1">'Overall Load Summary'!O122</f>
        <v>308941636.96625525</v>
      </c>
      <c r="G9" s="55">
        <f ca="1">'Overall Load Summary'!P122</f>
        <v>321145352.97253454</v>
      </c>
      <c r="H9" s="55">
        <f ca="1">'Overall Load Summary'!Q122</f>
        <v>329918802.46772367</v>
      </c>
      <c r="I9" s="55">
        <f ca="1">'Overall Load Summary'!R122</f>
        <v>342231261.79042077</v>
      </c>
      <c r="J9" s="65">
        <f ca="1">'Overall Load Summary'!S122</f>
        <v>355799331.76136017</v>
      </c>
      <c r="K9" s="737"/>
      <c r="L9" s="64" t="s">
        <v>366</v>
      </c>
      <c r="M9" s="55">
        <f ca="1">'Overall Load Summary'!L7</f>
        <v>98198227.430000007</v>
      </c>
      <c r="N9" s="55">
        <f ca="1">'Overall Load Summary'!M7</f>
        <v>124237376.2739265</v>
      </c>
      <c r="O9" s="55">
        <f ca="1">'Overall Load Summary'!N7</f>
        <v>164781983.97740611</v>
      </c>
      <c r="P9" s="55">
        <f ca="1">'Overall Load Summary'!O7</f>
        <v>187457996.07098451</v>
      </c>
      <c r="Q9" s="55">
        <f ca="1">'Overall Load Summary'!P7</f>
        <v>195309209.55412859</v>
      </c>
      <c r="R9" s="55">
        <f ca="1">'Overall Load Summary'!Q7</f>
        <v>199992565.9717893</v>
      </c>
      <c r="S9" s="55">
        <f ca="1">'Overall Load Summary'!R7</f>
        <v>203774003.9037419</v>
      </c>
      <c r="T9" s="65">
        <f ca="1">'Overall Load Summary'!S7</f>
        <v>207751809.80116576</v>
      </c>
      <c r="U9" s="737"/>
      <c r="V9" s="64" t="s">
        <v>366</v>
      </c>
      <c r="W9" s="55">
        <f ca="1">'Overall Load Summary'!L60</f>
        <v>82433193.179999992</v>
      </c>
      <c r="X9" s="55">
        <f ca="1">'Overall Load Summary'!M60</f>
        <v>90574521.320152208</v>
      </c>
      <c r="Y9" s="55">
        <f ca="1">'Overall Load Summary'!N60</f>
        <v>109411111.63764702</v>
      </c>
      <c r="Z9" s="55">
        <f ca="1">'Overall Load Summary'!O60</f>
        <v>121483640.89527072</v>
      </c>
      <c r="AA9" s="55">
        <f ca="1">'Overall Load Summary'!P60</f>
        <v>125836143.41840598</v>
      </c>
      <c r="AB9" s="55">
        <f ca="1">'Overall Load Summary'!Q60</f>
        <v>129926236.49593435</v>
      </c>
      <c r="AC9" s="55">
        <f ca="1">'Overall Load Summary'!R60</f>
        <v>138457257.88667884</v>
      </c>
      <c r="AD9" s="65">
        <f ca="1">'Overall Load Summary'!S60</f>
        <v>148047521.96019441</v>
      </c>
      <c r="AE9" s="737"/>
      <c r="AF9" s="447"/>
      <c r="AG9" s="447"/>
      <c r="AH9" s="447"/>
      <c r="AI9" s="447"/>
      <c r="AJ9" s="447"/>
      <c r="AK9" s="447"/>
      <c r="AL9" s="447"/>
      <c r="AM9" s="447"/>
      <c r="AN9" s="447"/>
      <c r="AO9" s="447"/>
    </row>
    <row r="10" spans="2:41">
      <c r="B10" s="64" t="s">
        <v>206</v>
      </c>
      <c r="C10" s="55">
        <f ca="1">'Overall Load Summary'!L123</f>
        <v>321893041.52938205</v>
      </c>
      <c r="D10" s="55">
        <f ca="1">'Overall Load Summary'!M123</f>
        <v>331686368.21779627</v>
      </c>
      <c r="E10" s="55">
        <f ca="1">'Overall Load Summary'!N123</f>
        <v>361053715.99987245</v>
      </c>
      <c r="F10" s="55">
        <f ca="1">'Overall Load Summary'!O123</f>
        <v>408628326.68616831</v>
      </c>
      <c r="G10" s="55">
        <f ca="1">'Overall Load Summary'!P123</f>
        <v>501277598.92863512</v>
      </c>
      <c r="H10" s="55">
        <f ca="1">'Overall Load Summary'!Q123</f>
        <v>570944946.26759028</v>
      </c>
      <c r="I10" s="55">
        <f ca="1">'Overall Load Summary'!R123</f>
        <v>595286465.87812722</v>
      </c>
      <c r="J10" s="65">
        <f ca="1">'Overall Load Summary'!S123</f>
        <v>605876118.45883048</v>
      </c>
      <c r="K10" s="737"/>
      <c r="L10" s="64" t="s">
        <v>206</v>
      </c>
      <c r="M10" s="55">
        <f ca="1">'Overall Load Summary'!L8</f>
        <v>321893041.52938205</v>
      </c>
      <c r="N10" s="55">
        <f ca="1">'Overall Load Summary'!M8</f>
        <v>331686368.21779627</v>
      </c>
      <c r="O10" s="55">
        <f ca="1">'Overall Load Summary'!N8</f>
        <v>361053715.99987245</v>
      </c>
      <c r="P10" s="55">
        <f ca="1">'Overall Load Summary'!O8</f>
        <v>408628326.68616831</v>
      </c>
      <c r="Q10" s="55">
        <f ca="1">'Overall Load Summary'!P8</f>
        <v>501277598.92863512</v>
      </c>
      <c r="R10" s="55">
        <f ca="1">'Overall Load Summary'!Q8</f>
        <v>570944946.26759028</v>
      </c>
      <c r="S10" s="55">
        <f ca="1">'Overall Load Summary'!R8</f>
        <v>595286465.87812722</v>
      </c>
      <c r="T10" s="65">
        <f ca="1">'Overall Load Summary'!S8</f>
        <v>605876118.45883048</v>
      </c>
      <c r="U10" s="737"/>
      <c r="V10" s="668" t="s">
        <v>206</v>
      </c>
      <c r="W10" s="55"/>
      <c r="X10" s="55"/>
      <c r="Y10" s="55"/>
      <c r="Z10" s="55"/>
      <c r="AA10" s="55"/>
      <c r="AB10" s="55"/>
      <c r="AC10" s="55"/>
      <c r="AD10" s="65"/>
      <c r="AE10" s="737"/>
      <c r="AF10" s="447"/>
      <c r="AG10" s="447"/>
      <c r="AH10" s="447"/>
      <c r="AI10" s="447"/>
      <c r="AJ10" s="447"/>
      <c r="AK10" s="447"/>
      <c r="AL10" s="447"/>
      <c r="AM10" s="447"/>
      <c r="AN10" s="447"/>
      <c r="AO10" s="447"/>
    </row>
    <row r="11" spans="2:41">
      <c r="B11" s="64" t="s">
        <v>193</v>
      </c>
      <c r="C11" s="55">
        <f ca="1">'Overall Load Summary'!L124</f>
        <v>15852497.33</v>
      </c>
      <c r="D11" s="55">
        <f ca="1">'Overall Load Summary'!M124</f>
        <v>16038637.451472664</v>
      </c>
      <c r="E11" s="55">
        <f ca="1">'Overall Load Summary'!N124</f>
        <v>16227074.390035089</v>
      </c>
      <c r="F11" s="55">
        <f ca="1">'Overall Load Summary'!O124</f>
        <v>16417838.095422782</v>
      </c>
      <c r="G11" s="55">
        <f ca="1">'Overall Load Summary'!P124</f>
        <v>16610958.930065624</v>
      </c>
      <c r="H11" s="55">
        <f ca="1">'Overall Load Summary'!Q124</f>
        <v>16806467.67506345</v>
      </c>
      <c r="I11" s="55">
        <f ca="1">'Overall Load Summary'!R124</f>
        <v>17004395.53625169</v>
      </c>
      <c r="J11" s="65">
        <f ca="1">'Overall Load Summary'!S124</f>
        <v>17204774.150358506</v>
      </c>
      <c r="K11" s="737"/>
      <c r="L11" s="64" t="s">
        <v>193</v>
      </c>
      <c r="M11" s="55">
        <f ca="1">'Overall Load Summary'!L9</f>
        <v>12144394.529999999</v>
      </c>
      <c r="N11" s="55">
        <f ca="1">'Overall Load Summary'!M9</f>
        <v>12269224.120433811</v>
      </c>
      <c r="O11" s="55">
        <f ca="1">'Overall Load Summary'!N9</f>
        <v>12395336.807082044</v>
      </c>
      <c r="P11" s="55">
        <f ca="1">'Overall Load Summary'!O9</f>
        <v>12522745.778611662</v>
      </c>
      <c r="Q11" s="55">
        <f ca="1">'Overall Load Summary'!P9</f>
        <v>12651464.359253068</v>
      </c>
      <c r="R11" s="55">
        <f ca="1">'Overall Load Summary'!Q9</f>
        <v>12781506.01019353</v>
      </c>
      <c r="S11" s="55">
        <f ca="1">'Overall Load Summary'!R9</f>
        <v>12912884.330984939</v>
      </c>
      <c r="T11" s="65">
        <f ca="1">'Overall Load Summary'!S9</f>
        <v>13045613.060966017</v>
      </c>
      <c r="U11" s="737"/>
      <c r="V11" s="64" t="s">
        <v>193</v>
      </c>
      <c r="W11" s="55">
        <f ca="1">'Overall Load Summary'!L61</f>
        <v>3708102.8000000003</v>
      </c>
      <c r="X11" s="55">
        <f ca="1">'Overall Load Summary'!M61</f>
        <v>3769413.3310388532</v>
      </c>
      <c r="Y11" s="55">
        <f ca="1">'Overall Load Summary'!N61</f>
        <v>3831737.5829530451</v>
      </c>
      <c r="Z11" s="55">
        <f ca="1">'Overall Load Summary'!O61</f>
        <v>3895092.3168111197</v>
      </c>
      <c r="AA11" s="55">
        <f ca="1">'Overall Load Summary'!P61</f>
        <v>3959494.5708125578</v>
      </c>
      <c r="AB11" s="55">
        <f ca="1">'Overall Load Summary'!Q61</f>
        <v>4024961.6648699204</v>
      </c>
      <c r="AC11" s="55">
        <f ca="1">'Overall Load Summary'!R61</f>
        <v>4091511.2052667504</v>
      </c>
      <c r="AD11" s="65">
        <f ca="1">'Overall Load Summary'!S61</f>
        <v>4159161.089392487</v>
      </c>
      <c r="AE11" s="737"/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</row>
    <row r="12" spans="2:41">
      <c r="B12" s="64" t="s">
        <v>396</v>
      </c>
      <c r="C12" s="55">
        <f ca="1">'Overall Load Summary'!L125</f>
        <v>246591.99999999994</v>
      </c>
      <c r="D12" s="55">
        <f ca="1">'Overall Load Summary'!M125</f>
        <v>244297.29208182532</v>
      </c>
      <c r="E12" s="55">
        <f ca="1">'Overall Load Summary'!N125</f>
        <v>241106.70406274209</v>
      </c>
      <c r="F12" s="55">
        <f ca="1">'Overall Load Summary'!O125</f>
        <v>237982.60565739745</v>
      </c>
      <c r="G12" s="55">
        <f ca="1">'Overall Load Summary'!P125</f>
        <v>234924.03774205741</v>
      </c>
      <c r="H12" s="55">
        <f ca="1">'Overall Load Summary'!Q125</f>
        <v>231930.05962108122</v>
      </c>
      <c r="I12" s="55">
        <f ca="1">'Overall Load Summary'!R125</f>
        <v>228999.74874430057</v>
      </c>
      <c r="J12" s="65">
        <f ca="1">'Overall Load Summary'!S125</f>
        <v>226132.20042956769</v>
      </c>
      <c r="K12" s="737"/>
      <c r="L12" s="64" t="s">
        <v>396</v>
      </c>
      <c r="M12" s="55">
        <f ca="1">'Overall Load Summary'!L10</f>
        <v>216725.99999999994</v>
      </c>
      <c r="N12" s="55">
        <f ca="1">'Overall Load Summary'!M10</f>
        <v>213059.04438813563</v>
      </c>
      <c r="O12" s="55">
        <f ca="1">'Overall Load Summary'!N10</f>
        <v>209454.13284786118</v>
      </c>
      <c r="P12" s="55">
        <f ca="1">'Overall Load Summary'!O10</f>
        <v>205910.21560731487</v>
      </c>
      <c r="Q12" s="55">
        <f ca="1">'Overall Load Summary'!P10</f>
        <v>202426.26065654092</v>
      </c>
      <c r="R12" s="55">
        <f ca="1">'Overall Load Summary'!Q10</f>
        <v>199001.25344696196</v>
      </c>
      <c r="S12" s="55">
        <f ca="1">'Overall Load Summary'!R10</f>
        <v>195634.19659593637</v>
      </c>
      <c r="T12" s="65">
        <f ca="1">'Overall Load Summary'!S10</f>
        <v>192324.10959631458</v>
      </c>
      <c r="U12" s="737"/>
      <c r="V12" s="64" t="s">
        <v>396</v>
      </c>
      <c r="W12" s="55">
        <f ca="1">'Overall Load Summary'!L62</f>
        <v>29865.999999999989</v>
      </c>
      <c r="X12" s="55">
        <f ca="1">'Overall Load Summary'!M62</f>
        <v>31238.247693689678</v>
      </c>
      <c r="Y12" s="55">
        <f ca="1">'Overall Load Summary'!N62</f>
        <v>31652.571214880914</v>
      </c>
      <c r="Z12" s="55">
        <f ca="1">'Overall Load Summary'!O62</f>
        <v>32072.390050082573</v>
      </c>
      <c r="AA12" s="55">
        <f ca="1">'Overall Load Summary'!P62</f>
        <v>32497.777085516482</v>
      </c>
      <c r="AB12" s="55">
        <f ca="1">'Overall Load Summary'!Q62</f>
        <v>32928.806174119265</v>
      </c>
      <c r="AC12" s="55">
        <f ca="1">'Overall Load Summary'!R62</f>
        <v>33365.552148364186</v>
      </c>
      <c r="AD12" s="65">
        <f ca="1">'Overall Load Summary'!S62</f>
        <v>33808.090833253111</v>
      </c>
      <c r="AE12" s="737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</row>
    <row r="13" spans="2:41">
      <c r="B13" s="64" t="s">
        <v>64</v>
      </c>
      <c r="C13" s="55">
        <f ca="1">'Overall Load Summary'!L126</f>
        <v>6705989.1900000004</v>
      </c>
      <c r="D13" s="55">
        <f ca="1">'Overall Load Summary'!M126</f>
        <v>6494821.3508391455</v>
      </c>
      <c r="E13" s="55">
        <f ca="1">'Overall Load Summary'!N126</f>
        <v>6441722.3826541733</v>
      </c>
      <c r="F13" s="55">
        <f ca="1">'Overall Load Summary'!O126</f>
        <v>6389545.0608795565</v>
      </c>
      <c r="G13" s="55">
        <f ca="1">'Overall Load Summary'!P126</f>
        <v>6338277.6406470798</v>
      </c>
      <c r="H13" s="55">
        <f ca="1">'Overall Load Summary'!Q126</f>
        <v>6287908.5442271214</v>
      </c>
      <c r="I13" s="55">
        <f ca="1">'Overall Load Summary'!R126</f>
        <v>6238426.3587479033</v>
      </c>
      <c r="J13" s="65">
        <f ca="1">'Overall Load Summary'!S126</f>
        <v>6189819.8339463407</v>
      </c>
      <c r="K13" s="737"/>
      <c r="L13" s="64" t="s">
        <v>64</v>
      </c>
      <c r="M13" s="55">
        <f ca="1">'Overall Load Summary'!L11</f>
        <v>4744114.4700000007</v>
      </c>
      <c r="N13" s="55">
        <f ca="1">'Overall Load Summary'!M11</f>
        <v>4568421.3099587467</v>
      </c>
      <c r="O13" s="55">
        <f ca="1">'Overall Load Summary'!N11</f>
        <v>4505369.3749406869</v>
      </c>
      <c r="P13" s="55">
        <f ca="1">'Overall Load Summary'!O11</f>
        <v>4443187.6631879052</v>
      </c>
      <c r="Q13" s="55">
        <f ca="1">'Overall Load Summary'!P11</f>
        <v>4381864.1641486054</v>
      </c>
      <c r="R13" s="55">
        <f ca="1">'Overall Load Summary'!Q11</f>
        <v>4321387.0330369044</v>
      </c>
      <c r="S13" s="55">
        <f ca="1">'Overall Load Summary'!R11</f>
        <v>4261744.5885449816</v>
      </c>
      <c r="T13" s="65">
        <f ca="1">'Overall Load Summary'!S11</f>
        <v>4202925.3105868073</v>
      </c>
      <c r="U13" s="737"/>
      <c r="V13" s="64" t="s">
        <v>64</v>
      </c>
      <c r="W13" s="55">
        <f ca="1">'Overall Load Summary'!L63</f>
        <v>1961874.72</v>
      </c>
      <c r="X13" s="55">
        <f ca="1">'Overall Load Summary'!M63</f>
        <v>1926400.0408803986</v>
      </c>
      <c r="Y13" s="55">
        <f ca="1">'Overall Load Summary'!N63</f>
        <v>1936353.0077134862</v>
      </c>
      <c r="Z13" s="55">
        <f ca="1">'Overall Load Summary'!O63</f>
        <v>1946357.3976916517</v>
      </c>
      <c r="AA13" s="55">
        <f ca="1">'Overall Load Summary'!P63</f>
        <v>1956413.4764984741</v>
      </c>
      <c r="AB13" s="55">
        <f ca="1">'Overall Load Summary'!Q63</f>
        <v>1966521.5111902175</v>
      </c>
      <c r="AC13" s="55">
        <f ca="1">'Overall Load Summary'!R63</f>
        <v>1976681.7702029219</v>
      </c>
      <c r="AD13" s="65">
        <f ca="1">'Overall Load Summary'!S63</f>
        <v>1986894.5233595334</v>
      </c>
      <c r="AE13" s="737"/>
      <c r="AF13" s="447"/>
      <c r="AG13" s="447"/>
      <c r="AH13" s="447"/>
      <c r="AI13" s="447"/>
      <c r="AJ13" s="447"/>
      <c r="AK13" s="447"/>
      <c r="AL13" s="447"/>
      <c r="AM13" s="447"/>
      <c r="AN13" s="447"/>
      <c r="AO13" s="447"/>
    </row>
    <row r="14" spans="2:41" ht="15.75" thickBot="1">
      <c r="B14" s="63" t="s">
        <v>162</v>
      </c>
      <c r="C14" s="62">
        <f ca="1">SUM(C5:C13)</f>
        <v>3649851710.0043688</v>
      </c>
      <c r="D14" s="62">
        <f t="shared" ref="D14:J14" ca="1" si="0">SUM(D5:D13)</f>
        <v>3747675435.4483781</v>
      </c>
      <c r="E14" s="62">
        <f t="shared" ca="1" si="0"/>
        <v>3918946572.1537189</v>
      </c>
      <c r="F14" s="62">
        <f t="shared" ca="1" si="0"/>
        <v>4074560286.4929938</v>
      </c>
      <c r="G14" s="62">
        <f t="shared" ca="1" si="0"/>
        <v>4229958889.9590549</v>
      </c>
      <c r="H14" s="62">
        <f t="shared" ca="1" si="0"/>
        <v>4347847113.9067802</v>
      </c>
      <c r="I14" s="62">
        <f t="shared" ca="1" si="0"/>
        <v>4422917142.6129341</v>
      </c>
      <c r="J14" s="60">
        <f t="shared" ca="1" si="0"/>
        <v>4494068849.00951</v>
      </c>
      <c r="K14" s="737"/>
      <c r="L14" s="63" t="s">
        <v>162</v>
      </c>
      <c r="M14" s="62">
        <f ca="1">SUM(M5:M13)</f>
        <v>2725858048.7294507</v>
      </c>
      <c r="N14" s="62">
        <f t="shared" ref="N14" ca="1" si="1">SUM(N5:N13)</f>
        <v>2805639883.1090355</v>
      </c>
      <c r="O14" s="62">
        <f t="shared" ref="O14" ca="1" si="2">SUM(O5:O13)</f>
        <v>2934560418.345211</v>
      </c>
      <c r="P14" s="62">
        <f t="shared" ref="P14" ca="1" si="3">SUM(P5:P13)</f>
        <v>3060018661.1573014</v>
      </c>
      <c r="Q14" s="62">
        <f t="shared" ref="Q14" ca="1" si="4">SUM(Q5:Q13)</f>
        <v>3200150854.4782677</v>
      </c>
      <c r="R14" s="62">
        <f t="shared" ref="R14" ca="1" si="5">SUM(R5:R13)</f>
        <v>3299421413.3886533</v>
      </c>
      <c r="S14" s="62">
        <f t="shared" ref="S14" ca="1" si="6">SUM(S5:S13)</f>
        <v>3351774522.4534073</v>
      </c>
      <c r="T14" s="60">
        <f t="shared" ref="T14" ca="1" si="7">SUM(T5:T13)</f>
        <v>3401916292.3408098</v>
      </c>
      <c r="U14" s="737"/>
      <c r="V14" s="63" t="s">
        <v>162</v>
      </c>
      <c r="W14" s="62">
        <f ca="1">SUM(W5:W13)</f>
        <v>923993661.27491808</v>
      </c>
      <c r="X14" s="62">
        <f t="shared" ref="X14" ca="1" si="8">SUM(X5:X13)</f>
        <v>942035552.33934319</v>
      </c>
      <c r="Y14" s="62">
        <f t="shared" ref="Y14" ca="1" si="9">SUM(Y5:Y13)</f>
        <v>984386153.80850744</v>
      </c>
      <c r="Z14" s="62">
        <f t="shared" ref="Z14" ca="1" si="10">SUM(Z5:Z13)</f>
        <v>1014541625.335692</v>
      </c>
      <c r="AA14" s="62">
        <f t="shared" ref="AA14" ca="1" si="11">SUM(AA5:AA13)</f>
        <v>1029808035.4807874</v>
      </c>
      <c r="AB14" s="62">
        <f t="shared" ref="AB14" ca="1" si="12">SUM(AB5:AB13)</f>
        <v>1048425700.518127</v>
      </c>
      <c r="AC14" s="62">
        <f t="shared" ref="AC14" ca="1" si="13">SUM(AC5:AC13)</f>
        <v>1071142620.1595274</v>
      </c>
      <c r="AD14" s="60">
        <f t="shared" ref="AD14" ca="1" si="14">SUM(AD5:AD13)</f>
        <v>1092152556.6687</v>
      </c>
      <c r="AE14" s="73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</row>
    <row r="15" spans="2:41">
      <c r="B15" s="64" t="s">
        <v>365</v>
      </c>
      <c r="C15" s="55">
        <f ca="1">'Overall Load Summary'!L128</f>
        <v>2968530.4099999997</v>
      </c>
      <c r="D15" s="55">
        <f ca="1">'Overall Load Summary'!M128</f>
        <v>3048624.2575204796</v>
      </c>
      <c r="E15" s="55">
        <f ca="1">'Overall Load Summary'!N128</f>
        <v>3186836.9539945172</v>
      </c>
      <c r="F15" s="55">
        <f ca="1">'Overall Load Summary'!O128</f>
        <v>3298052.5867797011</v>
      </c>
      <c r="G15" s="55">
        <f ca="1">'Overall Load Summary'!P128</f>
        <v>3360199.9664295977</v>
      </c>
      <c r="H15" s="55">
        <f ca="1">'Overall Load Summary'!Q128</f>
        <v>3398325.1246348447</v>
      </c>
      <c r="I15" s="55">
        <f ca="1">'Overall Load Summary'!R128</f>
        <v>3414385.6069159214</v>
      </c>
      <c r="J15" s="65">
        <f ca="1">'Overall Load Summary'!S128</f>
        <v>3447628.0019114334</v>
      </c>
      <c r="K15" s="737"/>
      <c r="L15" s="64" t="s">
        <v>365</v>
      </c>
      <c r="M15" s="55">
        <f ca="1">'Overall Load Summary'!L13</f>
        <v>2202593.3899999997</v>
      </c>
      <c r="N15" s="55">
        <f ca="1">'Overall Load Summary'!M13</f>
        <v>2256585.4588195113</v>
      </c>
      <c r="O15" s="55">
        <f ca="1">'Overall Load Summary'!N13</f>
        <v>2352102.8484530342</v>
      </c>
      <c r="P15" s="55">
        <f ca="1">'Overall Load Summary'!O13</f>
        <v>2439390.9695466338</v>
      </c>
      <c r="Q15" s="55">
        <f ca="1">'Overall Load Summary'!P13</f>
        <v>2488399.6359369536</v>
      </c>
      <c r="R15" s="55">
        <f ca="1">'Overall Load Summary'!Q13</f>
        <v>2507288.8318808638</v>
      </c>
      <c r="S15" s="55">
        <f ca="1">'Overall Load Summary'!R13</f>
        <v>2511445.2847823263</v>
      </c>
      <c r="T15" s="65">
        <f ca="1">'Overall Load Summary'!S13</f>
        <v>2536587.5736430865</v>
      </c>
      <c r="U15" s="737"/>
      <c r="V15" s="64" t="s">
        <v>365</v>
      </c>
      <c r="W15" s="55">
        <f ca="1">'Overall Load Summary'!L65</f>
        <v>765937.02</v>
      </c>
      <c r="X15" s="55">
        <f ca="1">'Overall Load Summary'!M65</f>
        <v>792038.79870096827</v>
      </c>
      <c r="Y15" s="55">
        <f ca="1">'Overall Load Summary'!N65</f>
        <v>834734.1055414828</v>
      </c>
      <c r="Z15" s="55">
        <f ca="1">'Overall Load Summary'!O65</f>
        <v>858661.61723306729</v>
      </c>
      <c r="AA15" s="55">
        <f ca="1">'Overall Load Summary'!P65</f>
        <v>871800.33049264411</v>
      </c>
      <c r="AB15" s="55">
        <f ca="1">'Overall Load Summary'!Q65</f>
        <v>891036.29275398084</v>
      </c>
      <c r="AC15" s="55">
        <f ca="1">'Overall Load Summary'!R65</f>
        <v>902940.32213359501</v>
      </c>
      <c r="AD15" s="65">
        <f ca="1">'Overall Load Summary'!S65</f>
        <v>911040.42826834694</v>
      </c>
      <c r="AE15" s="73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</row>
    <row r="16" spans="2:41">
      <c r="B16" s="64" t="s">
        <v>366</v>
      </c>
      <c r="C16" s="55">
        <f ca="1">'Overall Load Summary'!L129</f>
        <v>376037.78</v>
      </c>
      <c r="D16" s="55">
        <f ca="1">'Overall Load Summary'!M129</f>
        <v>434611.89881014143</v>
      </c>
      <c r="E16" s="55">
        <f ca="1">'Overall Load Summary'!N129</f>
        <v>559841.10142064618</v>
      </c>
      <c r="F16" s="55">
        <f ca="1">'Overall Load Summary'!O129</f>
        <v>634866.96313706157</v>
      </c>
      <c r="G16" s="55">
        <f ca="1">'Overall Load Summary'!P129</f>
        <v>663860.07872149907</v>
      </c>
      <c r="H16" s="55">
        <f ca="1">'Overall Load Summary'!Q129</f>
        <v>685951.7162830272</v>
      </c>
      <c r="I16" s="55">
        <f ca="1">'Overall Load Summary'!R129</f>
        <v>714881.78302287427</v>
      </c>
      <c r="J16" s="65">
        <f ca="1">'Overall Load Summary'!S129</f>
        <v>746467.9006503236</v>
      </c>
      <c r="K16" s="737"/>
      <c r="L16" s="64" t="s">
        <v>366</v>
      </c>
      <c r="M16" s="55">
        <f ca="1">'Overall Load Summary'!L14</f>
        <v>215659.85000000003</v>
      </c>
      <c r="N16" s="55">
        <f ca="1">'Overall Load Summary'!M14</f>
        <v>269029.71716874337</v>
      </c>
      <c r="O16" s="55">
        <f ca="1">'Overall Load Summary'!N14</f>
        <v>358542.7514199178</v>
      </c>
      <c r="P16" s="55">
        <f ca="1">'Overall Load Summary'!O14</f>
        <v>409833.7729541196</v>
      </c>
      <c r="Q16" s="55">
        <f ca="1">'Overall Load Summary'!P14</f>
        <v>429041.88254029688</v>
      </c>
      <c r="R16" s="55">
        <f ca="1">'Overall Load Summary'!Q14</f>
        <v>441641.3380119353</v>
      </c>
      <c r="S16" s="55">
        <f ca="1">'Overall Load Summary'!R14</f>
        <v>452488.43985664367</v>
      </c>
      <c r="T16" s="65">
        <f ca="1">'Overall Load Summary'!S14</f>
        <v>463837.65861638548</v>
      </c>
      <c r="U16" s="737"/>
      <c r="V16" s="64" t="s">
        <v>366</v>
      </c>
      <c r="W16" s="55">
        <f ca="1">'Overall Load Summary'!L66</f>
        <v>160377.93</v>
      </c>
      <c r="X16" s="55">
        <f ca="1">'Overall Load Summary'!M66</f>
        <v>165582.18164139806</v>
      </c>
      <c r="Y16" s="55">
        <f ca="1">'Overall Load Summary'!N66</f>
        <v>201298.35000072836</v>
      </c>
      <c r="Z16" s="55">
        <f ca="1">'Overall Load Summary'!O66</f>
        <v>225033.19018294194</v>
      </c>
      <c r="AA16" s="55">
        <f ca="1">'Overall Load Summary'!P66</f>
        <v>234818.19618120225</v>
      </c>
      <c r="AB16" s="55">
        <f ca="1">'Overall Load Summary'!Q66</f>
        <v>244310.3782710919</v>
      </c>
      <c r="AC16" s="55">
        <f ca="1">'Overall Load Summary'!R66</f>
        <v>262393.34316623054</v>
      </c>
      <c r="AD16" s="65">
        <f ca="1">'Overall Load Summary'!S66</f>
        <v>282630.24203393806</v>
      </c>
      <c r="AE16" s="737"/>
      <c r="AF16" s="447"/>
      <c r="AG16" s="447"/>
      <c r="AH16" s="447"/>
      <c r="AI16" s="447"/>
      <c r="AJ16" s="447"/>
      <c r="AK16" s="447"/>
      <c r="AL16" s="447"/>
      <c r="AM16" s="447"/>
      <c r="AN16" s="447"/>
      <c r="AO16" s="447"/>
    </row>
    <row r="17" spans="2:41">
      <c r="B17" s="64" t="s">
        <v>206</v>
      </c>
      <c r="C17" s="55">
        <f ca="1">'Overall Load Summary'!L130</f>
        <v>532510.09</v>
      </c>
      <c r="D17" s="55">
        <f ca="1">'Overall Load Summary'!M130</f>
        <v>562102.70615904417</v>
      </c>
      <c r="E17" s="55">
        <f ca="1">'Overall Load Summary'!N130</f>
        <v>614338.02506298595</v>
      </c>
      <c r="F17" s="55">
        <f ca="1">'Overall Load Summary'!O130</f>
        <v>700459.585062181</v>
      </c>
      <c r="G17" s="55">
        <f ca="1">'Overall Load Summary'!P130</f>
        <v>866937.22022196359</v>
      </c>
      <c r="H17" s="55">
        <f ca="1">'Overall Load Summary'!Q130</f>
        <v>994908.69007255079</v>
      </c>
      <c r="I17" s="55">
        <f ca="1">'Overall Load Summary'!R130</f>
        <v>1044584.2129462288</v>
      </c>
      <c r="J17" s="65">
        <f ca="1">'Overall Load Summary'!S130</f>
        <v>1070183.945594792</v>
      </c>
      <c r="K17" s="737"/>
      <c r="L17" s="64" t="s">
        <v>206</v>
      </c>
      <c r="M17" s="55">
        <f ca="1">'Overall Load Summary'!L15</f>
        <v>532510.09</v>
      </c>
      <c r="N17" s="55">
        <f ca="1">'Overall Load Summary'!M15</f>
        <v>562102.70615904417</v>
      </c>
      <c r="O17" s="55">
        <f ca="1">'Overall Load Summary'!N15</f>
        <v>614338.02506298595</v>
      </c>
      <c r="P17" s="55">
        <f ca="1">'Overall Load Summary'!O15</f>
        <v>700459.585062181</v>
      </c>
      <c r="Q17" s="55">
        <f ca="1">'Overall Load Summary'!P15</f>
        <v>866937.22022196359</v>
      </c>
      <c r="R17" s="55">
        <f ca="1">'Overall Load Summary'!Q15</f>
        <v>994908.69007255079</v>
      </c>
      <c r="S17" s="55">
        <f ca="1">'Overall Load Summary'!R15</f>
        <v>1044584.2129462288</v>
      </c>
      <c r="T17" s="65">
        <f ca="1">'Overall Load Summary'!S15</f>
        <v>1070183.945594792</v>
      </c>
      <c r="U17" s="737"/>
      <c r="V17" s="668" t="s">
        <v>206</v>
      </c>
      <c r="W17" s="55"/>
      <c r="X17" s="55"/>
      <c r="Y17" s="55"/>
      <c r="Z17" s="55"/>
      <c r="AA17" s="55"/>
      <c r="AB17" s="55"/>
      <c r="AC17" s="55"/>
      <c r="AD17" s="65"/>
      <c r="AE17" s="737"/>
      <c r="AF17" s="447"/>
      <c r="AG17" s="447"/>
      <c r="AH17" s="447"/>
      <c r="AI17" s="447"/>
      <c r="AJ17" s="447"/>
      <c r="AK17" s="447"/>
      <c r="AL17" s="447"/>
      <c r="AM17" s="447"/>
      <c r="AN17" s="447"/>
      <c r="AO17" s="447"/>
    </row>
    <row r="18" spans="2:41">
      <c r="B18" s="64" t="s">
        <v>193</v>
      </c>
      <c r="C18" s="55">
        <f ca="1">'Overall Load Summary'!L131</f>
        <v>42059.850000000006</v>
      </c>
      <c r="D18" s="55">
        <f ca="1">'Overall Load Summary'!M131</f>
        <v>42681.496016865494</v>
      </c>
      <c r="E18" s="55">
        <f ca="1">'Overall Load Summary'!N131</f>
        <v>43182.682512826126</v>
      </c>
      <c r="F18" s="55">
        <f ca="1">'Overall Load Summary'!O131</f>
        <v>43690.053531874008</v>
      </c>
      <c r="G18" s="55">
        <f ca="1">'Overall Load Summary'!P131</f>
        <v>44203.689722153795</v>
      </c>
      <c r="H18" s="55">
        <f ca="1">'Overall Load Summary'!Q131</f>
        <v>44723.672843158871</v>
      </c>
      <c r="I18" s="55">
        <f ca="1">'Overall Load Summary'!R131</f>
        <v>45250.085781823676</v>
      </c>
      <c r="J18" s="65">
        <f ca="1">'Overall Load Summary'!S131</f>
        <v>45783.012568858583</v>
      </c>
      <c r="K18" s="737"/>
      <c r="L18" s="64" t="s">
        <v>193</v>
      </c>
      <c r="M18" s="55">
        <f ca="1">'Overall Load Summary'!L16</f>
        <v>32173.850000000002</v>
      </c>
      <c r="N18" s="55">
        <f ca="1">'Overall Load Summary'!M16</f>
        <v>32694.531495072591</v>
      </c>
      <c r="O18" s="55">
        <f ca="1">'Overall Load Summary'!N16</f>
        <v>33030.591474503723</v>
      </c>
      <c r="P18" s="55">
        <f ca="1">'Overall Load Summary'!O16</f>
        <v>33370.10574138326</v>
      </c>
      <c r="Q18" s="55">
        <f ca="1">'Overall Load Summary'!P16</f>
        <v>33713.109801580729</v>
      </c>
      <c r="R18" s="55">
        <f ca="1">'Overall Load Summary'!Q16</f>
        <v>34059.639525922736</v>
      </c>
      <c r="S18" s="55">
        <f ca="1">'Overall Load Summary'!R16</f>
        <v>34409.731153944325</v>
      </c>
      <c r="T18" s="65">
        <f ca="1">'Overall Load Summary'!S16</f>
        <v>34763.421297678848</v>
      </c>
      <c r="U18" s="737"/>
      <c r="V18" s="64" t="s">
        <v>193</v>
      </c>
      <c r="W18" s="55">
        <f ca="1">'Overall Load Summary'!L67</f>
        <v>9886</v>
      </c>
      <c r="X18" s="55">
        <f ca="1">'Overall Load Summary'!M67</f>
        <v>9986.964521792901</v>
      </c>
      <c r="Y18" s="55">
        <f ca="1">'Overall Load Summary'!N67</f>
        <v>10152.091038322405</v>
      </c>
      <c r="Z18" s="55">
        <f ca="1">'Overall Load Summary'!O67</f>
        <v>10319.947790490745</v>
      </c>
      <c r="AA18" s="55">
        <f ca="1">'Overall Load Summary'!P67</f>
        <v>10490.579920573065</v>
      </c>
      <c r="AB18" s="55">
        <f ca="1">'Overall Load Summary'!Q67</f>
        <v>10664.033317236139</v>
      </c>
      <c r="AC18" s="55">
        <f ca="1">'Overall Load Summary'!R67</f>
        <v>10840.354627879351</v>
      </c>
      <c r="AD18" s="65">
        <f ca="1">'Overall Load Summary'!S67</f>
        <v>11019.591271179737</v>
      </c>
      <c r="AE18" s="73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</row>
    <row r="19" spans="2:41">
      <c r="B19" s="64" t="s">
        <v>396</v>
      </c>
      <c r="C19" s="55">
        <f ca="1">'Overall Load Summary'!L132</f>
        <v>685</v>
      </c>
      <c r="D19" s="55">
        <f ca="1">'Overall Load Summary'!M132</f>
        <v>682.64486386916087</v>
      </c>
      <c r="E19" s="55">
        <f ca="1">'Overall Load Summary'!N132</f>
        <v>673.8607818591048</v>
      </c>
      <c r="F19" s="55">
        <f ca="1">'Overall Load Summary'!O132</f>
        <v>665.26201250981296</v>
      </c>
      <c r="G19" s="55">
        <f ca="1">'Overall Load Summary'!P132</f>
        <v>656.8459069771659</v>
      </c>
      <c r="H19" s="55">
        <f ca="1">'Overall Load Summary'!Q132</f>
        <v>648.60986768890109</v>
      </c>
      <c r="I19" s="55">
        <f ca="1">'Overall Load Summary'!R132</f>
        <v>640.55134756270672</v>
      </c>
      <c r="J19" s="65">
        <f ca="1">'Overall Load Summary'!S132</f>
        <v>632.66784923867954</v>
      </c>
      <c r="K19" s="737"/>
      <c r="L19" s="64" t="s">
        <v>396</v>
      </c>
      <c r="M19" s="55">
        <f ca="1">'Overall Load Summary'!L17</f>
        <v>602</v>
      </c>
      <c r="N19" s="55">
        <f ca="1">'Overall Load Summary'!M17</f>
        <v>591.00035762195512</v>
      </c>
      <c r="O19" s="55">
        <f ca="1">'Overall Load Summary'!N17</f>
        <v>581.00076330472677</v>
      </c>
      <c r="P19" s="55">
        <f ca="1">'Overall Load Summary'!O17</f>
        <v>571.17035989444037</v>
      </c>
      <c r="Q19" s="55">
        <f ca="1">'Overall Load Summary'!P17</f>
        <v>561.50628471866321</v>
      </c>
      <c r="R19" s="55">
        <f ca="1">'Overall Load Summary'!Q17</f>
        <v>552.00572354074188</v>
      </c>
      <c r="S19" s="55">
        <f ca="1">'Overall Load Summary'!R17</f>
        <v>542.66590974027986</v>
      </c>
      <c r="T19" s="65">
        <f ca="1">'Overall Load Summary'!S17</f>
        <v>533.48412350748094</v>
      </c>
      <c r="U19" s="737"/>
      <c r="V19" s="64" t="s">
        <v>396</v>
      </c>
      <c r="W19" s="55">
        <f ca="1">'Overall Load Summary'!L68</f>
        <v>83</v>
      </c>
      <c r="X19" s="55">
        <f ca="1">'Overall Load Summary'!M68</f>
        <v>91.644506247205769</v>
      </c>
      <c r="Y19" s="55">
        <f ca="1">'Overall Load Summary'!N68</f>
        <v>92.860018554378001</v>
      </c>
      <c r="Z19" s="55">
        <f ca="1">'Overall Load Summary'!O68</f>
        <v>94.091652615372567</v>
      </c>
      <c r="AA19" s="55">
        <f ca="1">'Overall Load Summary'!P68</f>
        <v>95.339622258502658</v>
      </c>
      <c r="AB19" s="55">
        <f ca="1">'Overall Load Summary'!Q68</f>
        <v>96.60414414815925</v>
      </c>
      <c r="AC19" s="55">
        <f ca="1">'Overall Load Summary'!R68</f>
        <v>97.885437822426894</v>
      </c>
      <c r="AD19" s="65">
        <f ca="1">'Overall Load Summary'!S68</f>
        <v>99.183725731198621</v>
      </c>
      <c r="AE19" s="737"/>
      <c r="AF19" s="447"/>
      <c r="AG19" s="447"/>
      <c r="AH19" s="447"/>
      <c r="AI19" s="447"/>
      <c r="AJ19" s="447"/>
      <c r="AK19" s="447"/>
      <c r="AL19" s="447"/>
      <c r="AM19" s="447"/>
      <c r="AN19" s="447"/>
      <c r="AO19" s="447"/>
    </row>
    <row r="20" spans="2:41" ht="15.75" thickBot="1">
      <c r="B20" s="63" t="s">
        <v>494</v>
      </c>
      <c r="C20" s="62">
        <f ca="1">SUM(C15:C19)</f>
        <v>3919823.1299999994</v>
      </c>
      <c r="D20" s="62">
        <f t="shared" ref="D20:J20" ca="1" si="15">SUM(D15:D19)</f>
        <v>4088703.0033703996</v>
      </c>
      <c r="E20" s="62">
        <f t="shared" ca="1" si="15"/>
        <v>4404872.6237728344</v>
      </c>
      <c r="F20" s="62">
        <f t="shared" ca="1" si="15"/>
        <v>4677734.4505233271</v>
      </c>
      <c r="G20" s="62">
        <f t="shared" ca="1" si="15"/>
        <v>4935857.8010021914</v>
      </c>
      <c r="H20" s="62">
        <f t="shared" ca="1" si="15"/>
        <v>5124557.8137012711</v>
      </c>
      <c r="I20" s="62">
        <f t="shared" ca="1" si="15"/>
        <v>5219742.2400144115</v>
      </c>
      <c r="J20" s="60">
        <f t="shared" ca="1" si="15"/>
        <v>5310695.5285746465</v>
      </c>
      <c r="K20" s="737"/>
      <c r="L20" s="63" t="s">
        <v>494</v>
      </c>
      <c r="M20" s="62">
        <f ca="1">SUM(M15:M19)</f>
        <v>2983539.1799999997</v>
      </c>
      <c r="N20" s="62">
        <f t="shared" ref="N20" ca="1" si="16">SUM(N15:N19)</f>
        <v>3121003.4139999929</v>
      </c>
      <c r="O20" s="62">
        <f t="shared" ref="O20" ca="1" si="17">SUM(O15:O19)</f>
        <v>3358595.2171737463</v>
      </c>
      <c r="P20" s="62">
        <f t="shared" ref="P20" ca="1" si="18">SUM(P15:P19)</f>
        <v>3583625.6036642119</v>
      </c>
      <c r="Q20" s="62">
        <f t="shared" ref="Q20" ca="1" si="19">SUM(Q15:Q19)</f>
        <v>3818653.3547855136</v>
      </c>
      <c r="R20" s="62">
        <f t="shared" ref="R20" ca="1" si="20">SUM(R15:R19)</f>
        <v>3978450.5052148136</v>
      </c>
      <c r="S20" s="62">
        <f t="shared" ref="S20" ca="1" si="21">SUM(S15:S19)</f>
        <v>4043470.3346488834</v>
      </c>
      <c r="T20" s="60">
        <f t="shared" ref="T20" ca="1" si="22">SUM(T15:T19)</f>
        <v>4105906.0832754504</v>
      </c>
      <c r="U20" s="737"/>
      <c r="V20" s="63" t="s">
        <v>494</v>
      </c>
      <c r="W20" s="62">
        <f ca="1">SUM(W15:W19)</f>
        <v>936283.95</v>
      </c>
      <c r="X20" s="62">
        <f t="shared" ref="X20" ca="1" si="23">SUM(X15:X19)</f>
        <v>967699.58937040647</v>
      </c>
      <c r="Y20" s="62">
        <f t="shared" ref="Y20" ca="1" si="24">SUM(Y15:Y19)</f>
        <v>1046277.406599088</v>
      </c>
      <c r="Z20" s="62">
        <f t="shared" ref="Z20" ca="1" si="25">SUM(Z15:Z19)</f>
        <v>1094108.8468591154</v>
      </c>
      <c r="AA20" s="62">
        <f t="shared" ref="AA20" ca="1" si="26">SUM(AA15:AA19)</f>
        <v>1117204.446216678</v>
      </c>
      <c r="AB20" s="62">
        <f t="shared" ref="AB20" ca="1" si="27">SUM(AB15:AB19)</f>
        <v>1146107.308486457</v>
      </c>
      <c r="AC20" s="62">
        <f t="shared" ref="AC20" ca="1" si="28">SUM(AC15:AC19)</f>
        <v>1176271.9053655274</v>
      </c>
      <c r="AD20" s="60">
        <f t="shared" ref="AD20" ca="1" si="29">SUM(AD15:AD19)</f>
        <v>1204789.4452991958</v>
      </c>
      <c r="AE20" s="737"/>
      <c r="AF20" s="447"/>
      <c r="AG20" s="447"/>
      <c r="AH20" s="447"/>
      <c r="AI20" s="447"/>
      <c r="AJ20" s="447"/>
      <c r="AK20" s="447"/>
      <c r="AL20" s="447"/>
      <c r="AM20" s="447"/>
      <c r="AN20" s="447"/>
      <c r="AO20" s="447"/>
    </row>
    <row r="21" spans="2:41">
      <c r="B21" s="388" t="s">
        <v>63</v>
      </c>
      <c r="C21" s="669">
        <f ca="1">'Overall Load Summary'!L134</f>
        <v>162977</v>
      </c>
      <c r="D21" s="669">
        <f ca="1">'Overall Load Summary'!M134</f>
        <v>166094.64558236155</v>
      </c>
      <c r="E21" s="669">
        <f ca="1">'Overall Load Summary'!N134</f>
        <v>169425.69234166847</v>
      </c>
      <c r="F21" s="669">
        <f ca="1">'Overall Load Summary'!O134</f>
        <v>172853.6910780537</v>
      </c>
      <c r="G21" s="669">
        <f ca="1">'Overall Load Summary'!P134</f>
        <v>176219.21825803563</v>
      </c>
      <c r="H21" s="669">
        <f ca="1">'Overall Load Summary'!Q134</f>
        <v>179670.93706239245</v>
      </c>
      <c r="I21" s="669">
        <f ca="1">'Overall Load Summary'!R134</f>
        <v>183243.56946706519</v>
      </c>
      <c r="J21" s="670">
        <f ca="1">'Overall Load Summary'!S134</f>
        <v>186876.61816728028</v>
      </c>
      <c r="K21" s="737"/>
      <c r="L21" s="388" t="s">
        <v>63</v>
      </c>
      <c r="M21" s="389">
        <f ca="1">'Overall Load Summary'!L19</f>
        <v>117456.375</v>
      </c>
      <c r="N21" s="389">
        <f ca="1">'Overall Load Summary'!M19</f>
        <v>119658.08251290793</v>
      </c>
      <c r="O21" s="389">
        <f ca="1">'Overall Load Summary'!N19</f>
        <v>122101.82410195106</v>
      </c>
      <c r="P21" s="389">
        <f ca="1">'Overall Load Summary'!O19</f>
        <v>124619.26455933102</v>
      </c>
      <c r="Q21" s="389">
        <f ca="1">'Overall Load Summary'!P19</f>
        <v>127084.20705650066</v>
      </c>
      <c r="R21" s="389">
        <f ca="1">'Overall Load Summary'!Q19</f>
        <v>129594.08740725768</v>
      </c>
      <c r="S21" s="389">
        <f ca="1">'Overall Load Summary'!R19</f>
        <v>132210.11590597217</v>
      </c>
      <c r="T21" s="390">
        <f ca="1">'Overall Load Summary'!S19</f>
        <v>134871.14313253391</v>
      </c>
      <c r="U21" s="737"/>
      <c r="V21" s="388" t="s">
        <v>63</v>
      </c>
      <c r="W21" s="389">
        <f ca="1">'Overall Load Summary'!L70</f>
        <v>45520.625</v>
      </c>
      <c r="X21" s="389">
        <f ca="1">'Overall Load Summary'!M70</f>
        <v>46436.563069453616</v>
      </c>
      <c r="Y21" s="389">
        <f ca="1">'Overall Load Summary'!N70</f>
        <v>47323.86823971742</v>
      </c>
      <c r="Z21" s="389">
        <f ca="1">'Overall Load Summary'!O70</f>
        <v>48234.426518722685</v>
      </c>
      <c r="AA21" s="389">
        <f ca="1">'Overall Load Summary'!P70</f>
        <v>49135.011201534966</v>
      </c>
      <c r="AB21" s="389">
        <f ca="1">'Overall Load Summary'!Q70</f>
        <v>50076.849655134763</v>
      </c>
      <c r="AC21" s="389">
        <f ca="1">'Overall Load Summary'!R70</f>
        <v>51033.453561093025</v>
      </c>
      <c r="AD21" s="390">
        <f ca="1">'Overall Load Summary'!S70</f>
        <v>52005.475034746378</v>
      </c>
      <c r="AE21" s="737"/>
      <c r="AF21" s="447"/>
      <c r="AG21" s="447"/>
      <c r="AH21" s="447"/>
      <c r="AI21" s="447"/>
      <c r="AJ21" s="447"/>
      <c r="AK21" s="447"/>
      <c r="AL21" s="447"/>
      <c r="AM21" s="447"/>
      <c r="AN21" s="447"/>
      <c r="AO21" s="447"/>
    </row>
    <row r="22" spans="2:41">
      <c r="B22" s="64" t="s">
        <v>211</v>
      </c>
      <c r="C22" s="55">
        <f ca="1">'Overall Load Summary'!L135</f>
        <v>1561.8333333333339</v>
      </c>
      <c r="D22" s="55">
        <f ca="1">'Overall Load Summary'!M135</f>
        <v>1558.5157008672784</v>
      </c>
      <c r="E22" s="55">
        <f ca="1">'Overall Load Summary'!N135</f>
        <v>1555.2051156865798</v>
      </c>
      <c r="F22" s="55">
        <f ca="1">'Overall Load Summary'!O135</f>
        <v>1551.9015628214572</v>
      </c>
      <c r="G22" s="55">
        <f ca="1">'Overall Load Summary'!P135</f>
        <v>1548.6050273339283</v>
      </c>
      <c r="H22" s="55">
        <f ca="1">'Overall Load Summary'!Q135</f>
        <v>1545.3154943177424</v>
      </c>
      <c r="I22" s="55">
        <f ca="1">'Overall Load Summary'!R135</f>
        <v>1542.0329488983118</v>
      </c>
      <c r="J22" s="65">
        <f ca="1">'Overall Load Summary'!S135</f>
        <v>1538.757376232646</v>
      </c>
      <c r="K22" s="737"/>
      <c r="L22" s="64" t="s">
        <v>211</v>
      </c>
      <c r="M22" s="55">
        <f ca="1">'Overall Load Summary'!L20</f>
        <v>1561.8333333333339</v>
      </c>
      <c r="N22" s="55">
        <f ca="1">'Overall Load Summary'!M20</f>
        <v>1558.5157008672784</v>
      </c>
      <c r="O22" s="55">
        <f ca="1">'Overall Load Summary'!N20</f>
        <v>1555.2051156865798</v>
      </c>
      <c r="P22" s="55">
        <f ca="1">'Overall Load Summary'!O20</f>
        <v>1551.9015628214572</v>
      </c>
      <c r="Q22" s="55">
        <f ca="1">'Overall Load Summary'!P20</f>
        <v>1548.6050273339283</v>
      </c>
      <c r="R22" s="55">
        <f ca="1">'Overall Load Summary'!Q20</f>
        <v>1545.3154943177424</v>
      </c>
      <c r="S22" s="55">
        <f ca="1">'Overall Load Summary'!R20</f>
        <v>1542.0329488983118</v>
      </c>
      <c r="T22" s="65">
        <f ca="1">'Overall Load Summary'!S20</f>
        <v>1538.757376232646</v>
      </c>
      <c r="U22" s="737"/>
      <c r="V22" s="668" t="s">
        <v>211</v>
      </c>
      <c r="W22" s="55"/>
      <c r="X22" s="55"/>
      <c r="Y22" s="55"/>
      <c r="Z22" s="55"/>
      <c r="AA22" s="55"/>
      <c r="AB22" s="55"/>
      <c r="AC22" s="55"/>
      <c r="AD22" s="65"/>
      <c r="AE22" s="737"/>
      <c r="AF22" s="447"/>
      <c r="AG22" s="447"/>
      <c r="AH22" s="447"/>
      <c r="AI22" s="447"/>
      <c r="AJ22" s="447"/>
      <c r="AK22" s="447"/>
      <c r="AL22" s="447"/>
      <c r="AM22" s="447"/>
      <c r="AN22" s="447"/>
      <c r="AO22" s="447"/>
    </row>
    <row r="23" spans="2:41">
      <c r="B23" s="64" t="s">
        <v>278</v>
      </c>
      <c r="C23" s="55">
        <f ca="1">'Overall Load Summary'!L136</f>
        <v>11966.625</v>
      </c>
      <c r="D23" s="55">
        <f ca="1">'Overall Load Summary'!M136</f>
        <v>12043.826041873806</v>
      </c>
      <c r="E23" s="55">
        <f ca="1">'Overall Load Summary'!N136</f>
        <v>12149.904951038121</v>
      </c>
      <c r="F23" s="55">
        <f ca="1">'Overall Load Summary'!O136</f>
        <v>12257.011125236808</v>
      </c>
      <c r="G23" s="55">
        <f ca="1">'Overall Load Summary'!P136</f>
        <v>12365.15562209135</v>
      </c>
      <c r="H23" s="55">
        <f ca="1">'Overall Load Summary'!Q136</f>
        <v>12474.349630296862</v>
      </c>
      <c r="I23" s="55">
        <f ca="1">'Overall Load Summary'!R136</f>
        <v>12584.604471293493</v>
      </c>
      <c r="J23" s="65">
        <f ca="1">'Overall Load Summary'!S136</f>
        <v>12695.93160096017</v>
      </c>
      <c r="K23" s="737"/>
      <c r="L23" s="64" t="s">
        <v>278</v>
      </c>
      <c r="M23" s="55">
        <f ca="1">'Overall Load Summary'!L21</f>
        <v>9501.875</v>
      </c>
      <c r="N23" s="55">
        <f ca="1">'Overall Load Summary'!M21</f>
        <v>9543.9881818488975</v>
      </c>
      <c r="O23" s="55">
        <f ca="1">'Overall Load Summary'!N21</f>
        <v>9614.4797247823481</v>
      </c>
      <c r="P23" s="55">
        <f ca="1">'Overall Load Summary'!O21</f>
        <v>9685.4919156389169</v>
      </c>
      <c r="Q23" s="55">
        <f ca="1">'Overall Load Summary'!P21</f>
        <v>9757.0285999048647</v>
      </c>
      <c r="R23" s="55">
        <f ca="1">'Overall Load Summary'!Q21</f>
        <v>9829.0936514690693</v>
      </c>
      <c r="S23" s="55">
        <f ca="1">'Overall Load Summary'!R21</f>
        <v>9901.6909728328119</v>
      </c>
      <c r="T23" s="65">
        <f ca="1">'Overall Load Summary'!S21</f>
        <v>9974.8244953211015</v>
      </c>
      <c r="U23" s="737"/>
      <c r="V23" s="64" t="s">
        <v>278</v>
      </c>
      <c r="W23" s="55">
        <f ca="1">'Overall Load Summary'!L71</f>
        <v>2464.75</v>
      </c>
      <c r="X23" s="55">
        <f ca="1">'Overall Load Summary'!M71</f>
        <v>2499.8378600249093</v>
      </c>
      <c r="Y23" s="55">
        <f ca="1">'Overall Load Summary'!N71</f>
        <v>2535.4252262557734</v>
      </c>
      <c r="Z23" s="55">
        <f ca="1">'Overall Load Summary'!O71</f>
        <v>2571.5192095978919</v>
      </c>
      <c r="AA23" s="55">
        <f ca="1">'Overall Load Summary'!P71</f>
        <v>2608.1270221864852</v>
      </c>
      <c r="AB23" s="55">
        <f ca="1">'Overall Load Summary'!Q71</f>
        <v>2645.2559788277927</v>
      </c>
      <c r="AC23" s="55">
        <f ca="1">'Overall Load Summary'!R71</f>
        <v>2682.9134984606817</v>
      </c>
      <c r="AD23" s="65">
        <f ca="1">'Overall Load Summary'!S71</f>
        <v>2721.1071056390679</v>
      </c>
      <c r="AE23" s="737"/>
      <c r="AF23" s="447"/>
      <c r="AG23" s="447"/>
      <c r="AH23" s="447"/>
      <c r="AI23" s="447"/>
      <c r="AJ23" s="447"/>
      <c r="AK23" s="447"/>
      <c r="AL23" s="447"/>
      <c r="AM23" s="447"/>
      <c r="AN23" s="447"/>
      <c r="AO23" s="447"/>
    </row>
    <row r="24" spans="2:41">
      <c r="B24" s="64" t="s">
        <v>365</v>
      </c>
      <c r="C24" s="55">
        <f ca="1">'Overall Load Summary'!L137</f>
        <v>1448.0416666666663</v>
      </c>
      <c r="D24" s="55">
        <f ca="1">'Overall Load Summary'!M137</f>
        <v>1474.3913548963119</v>
      </c>
      <c r="E24" s="55">
        <f ca="1">'Overall Load Summary'!N137</f>
        <v>1490.9058039913718</v>
      </c>
      <c r="F24" s="55">
        <f ca="1">'Overall Load Summary'!O137</f>
        <v>1501.4974014309801</v>
      </c>
      <c r="G24" s="55">
        <f ca="1">'Overall Load Summary'!P137</f>
        <v>1507.9687572098201</v>
      </c>
      <c r="H24" s="55">
        <f ca="1">'Overall Load Summary'!Q137</f>
        <v>1512.7324820413444</v>
      </c>
      <c r="I24" s="55">
        <f ca="1">'Overall Load Summary'!R137</f>
        <v>1516.7761873624795</v>
      </c>
      <c r="J24" s="65">
        <f ca="1">'Overall Load Summary'!S137</f>
        <v>1520.96248533836</v>
      </c>
      <c r="K24" s="737"/>
      <c r="L24" s="64" t="s">
        <v>365</v>
      </c>
      <c r="M24" s="55">
        <f ca="1">'Overall Load Summary'!L22</f>
        <v>1059.4166666666663</v>
      </c>
      <c r="N24" s="55">
        <f ca="1">'Overall Load Summary'!M22</f>
        <v>1080.3570666497312</v>
      </c>
      <c r="O24" s="55">
        <f ca="1">'Overall Load Summary'!N22</f>
        <v>1089.5680703025032</v>
      </c>
      <c r="P24" s="55">
        <f ca="1">'Overall Load Summary'!O22</f>
        <v>1094.3094560511545</v>
      </c>
      <c r="Q24" s="55">
        <f ca="1">'Overall Load Summary'!P22</f>
        <v>1095.9412241234484</v>
      </c>
      <c r="R24" s="55">
        <f ca="1">'Overall Load Summary'!Q22</f>
        <v>1096.8933747472843</v>
      </c>
      <c r="S24" s="55">
        <f ca="1">'Overall Load Summary'!R22</f>
        <v>1097.5959081506974</v>
      </c>
      <c r="T24" s="65">
        <f ca="1">'Overall Load Summary'!S22</f>
        <v>1098.4488245618588</v>
      </c>
      <c r="U24" s="737"/>
      <c r="V24" s="64" t="s">
        <v>365</v>
      </c>
      <c r="W24" s="55">
        <f ca="1">'Overall Load Summary'!L72</f>
        <v>388.625</v>
      </c>
      <c r="X24" s="55">
        <f ca="1">'Overall Load Summary'!M72</f>
        <v>394.03428824658079</v>
      </c>
      <c r="Y24" s="55">
        <f ca="1">'Overall Load Summary'!N72</f>
        <v>401.3377336888687</v>
      </c>
      <c r="Z24" s="55">
        <f ca="1">'Overall Load Summary'!O72</f>
        <v>407.18794537982552</v>
      </c>
      <c r="AA24" s="55">
        <f ca="1">'Overall Load Summary'!P72</f>
        <v>412.02753308637159</v>
      </c>
      <c r="AB24" s="55">
        <f ca="1">'Overall Load Summary'!Q72</f>
        <v>415.83910729406017</v>
      </c>
      <c r="AC24" s="55">
        <f ca="1">'Overall Load Summary'!R72</f>
        <v>419.18027921178202</v>
      </c>
      <c r="AD24" s="65">
        <f ca="1">'Overall Load Summary'!S72</f>
        <v>422.51366077650124</v>
      </c>
      <c r="AE24" s="737"/>
      <c r="AF24" s="447"/>
      <c r="AG24" s="447"/>
      <c r="AH24" s="447"/>
      <c r="AI24" s="447"/>
      <c r="AJ24" s="447"/>
      <c r="AK24" s="447"/>
      <c r="AL24" s="447"/>
      <c r="AM24" s="447"/>
      <c r="AN24" s="447"/>
      <c r="AO24" s="447"/>
    </row>
    <row r="25" spans="2:41">
      <c r="B25" s="64" t="s">
        <v>366</v>
      </c>
      <c r="C25" s="55">
        <f ca="1">'Overall Load Summary'!L138</f>
        <v>8</v>
      </c>
      <c r="D25" s="55">
        <f ca="1">'Overall Load Summary'!M138</f>
        <v>10.73</v>
      </c>
      <c r="E25" s="55">
        <f ca="1">'Overall Load Summary'!N138</f>
        <v>15.78</v>
      </c>
      <c r="F25" s="55">
        <f ca="1">'Overall Load Summary'!O138</f>
        <v>18.405000000000001</v>
      </c>
      <c r="G25" s="55">
        <f ca="1">'Overall Load Summary'!P138</f>
        <v>18.655000000000001</v>
      </c>
      <c r="H25" s="55">
        <f ca="1">'Overall Load Summary'!Q138</f>
        <v>18.600000000000001</v>
      </c>
      <c r="I25" s="55">
        <f ca="1">'Overall Load Summary'!R138</f>
        <v>18.900000000000002</v>
      </c>
      <c r="J25" s="65">
        <f ca="1">'Overall Load Summary'!S138</f>
        <v>19.3</v>
      </c>
      <c r="K25" s="737"/>
      <c r="L25" s="64" t="s">
        <v>366</v>
      </c>
      <c r="M25" s="55">
        <f ca="1">'Overall Load Summary'!L23</f>
        <v>5</v>
      </c>
      <c r="N25" s="55">
        <f ca="1">'Overall Load Summary'!M23</f>
        <v>6.8</v>
      </c>
      <c r="O25" s="55">
        <f ca="1">'Overall Load Summary'!N23</f>
        <v>10.234999999999999</v>
      </c>
      <c r="P25" s="55">
        <f ca="1">'Overall Load Summary'!O23</f>
        <v>12.05</v>
      </c>
      <c r="Q25" s="55">
        <f ca="1">'Overall Load Summary'!P23</f>
        <v>12.175000000000001</v>
      </c>
      <c r="R25" s="55">
        <f ca="1">'Overall Load Summary'!Q23</f>
        <v>12.120000000000001</v>
      </c>
      <c r="S25" s="55">
        <f ca="1">'Overall Load Summary'!R23</f>
        <v>12.120000000000001</v>
      </c>
      <c r="T25" s="65">
        <f ca="1">'Overall Load Summary'!S23</f>
        <v>12.120000000000001</v>
      </c>
      <c r="U25" s="737"/>
      <c r="V25" s="64" t="s">
        <v>366</v>
      </c>
      <c r="W25" s="55">
        <f ca="1">'Overall Load Summary'!L73</f>
        <v>3</v>
      </c>
      <c r="X25" s="55">
        <f ca="1">'Overall Load Summary'!M73</f>
        <v>3.9299999999999997</v>
      </c>
      <c r="Y25" s="55">
        <f ca="1">'Overall Load Summary'!N73</f>
        <v>5.5449999999999999</v>
      </c>
      <c r="Z25" s="55">
        <f ca="1">'Overall Load Summary'!O73</f>
        <v>6.3550000000000004</v>
      </c>
      <c r="AA25" s="55">
        <f ca="1">'Overall Load Summary'!P73</f>
        <v>6.48</v>
      </c>
      <c r="AB25" s="55">
        <f ca="1">'Overall Load Summary'!Q73</f>
        <v>6.48</v>
      </c>
      <c r="AC25" s="55">
        <f ca="1">'Overall Load Summary'!R73</f>
        <v>6.78</v>
      </c>
      <c r="AD25" s="65">
        <f ca="1">'Overall Load Summary'!S73</f>
        <v>7.18</v>
      </c>
      <c r="AE25" s="73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</row>
    <row r="26" spans="2:41">
      <c r="B26" s="64" t="s">
        <v>206</v>
      </c>
      <c r="C26" s="55">
        <f ca="1">'Overall Load Summary'!L139</f>
        <v>5</v>
      </c>
      <c r="D26" s="55">
        <f ca="1">'Overall Load Summary'!M139</f>
        <v>5.4124999999999996</v>
      </c>
      <c r="E26" s="55">
        <f ca="1">'Overall Load Summary'!N139</f>
        <v>6.0975000000000001</v>
      </c>
      <c r="F26" s="55">
        <f ca="1">'Overall Load Summary'!O139</f>
        <v>7.1275000000000004</v>
      </c>
      <c r="G26" s="55">
        <f ca="1">'Overall Load Summary'!P139</f>
        <v>8.3025000000000002</v>
      </c>
      <c r="H26" s="55">
        <f ca="1">'Overall Load Summary'!Q139</f>
        <v>8.7799999999999994</v>
      </c>
      <c r="I26" s="55">
        <f ca="1">'Overall Load Summary'!R139</f>
        <v>8.8849999999999998</v>
      </c>
      <c r="J26" s="65">
        <f ca="1">'Overall Load Summary'!S139</f>
        <v>8.9450000000000003</v>
      </c>
      <c r="K26" s="737"/>
      <c r="L26" s="64" t="s">
        <v>206</v>
      </c>
      <c r="M26" s="55">
        <f ca="1">'Overall Load Summary'!L24</f>
        <v>5</v>
      </c>
      <c r="N26" s="55">
        <f ca="1">'Overall Load Summary'!M24</f>
        <v>5.4124999999999996</v>
      </c>
      <c r="O26" s="55">
        <f ca="1">'Overall Load Summary'!N24</f>
        <v>6.0975000000000001</v>
      </c>
      <c r="P26" s="55">
        <f ca="1">'Overall Load Summary'!O24</f>
        <v>7.1275000000000004</v>
      </c>
      <c r="Q26" s="55">
        <f ca="1">'Overall Load Summary'!P24</f>
        <v>8.3025000000000002</v>
      </c>
      <c r="R26" s="55">
        <f ca="1">'Overall Load Summary'!Q24</f>
        <v>8.7799999999999994</v>
      </c>
      <c r="S26" s="55">
        <f ca="1">'Overall Load Summary'!R24</f>
        <v>8.8849999999999998</v>
      </c>
      <c r="T26" s="65">
        <f ca="1">'Overall Load Summary'!S24</f>
        <v>8.9450000000000003</v>
      </c>
      <c r="U26" s="737"/>
      <c r="V26" s="668" t="s">
        <v>206</v>
      </c>
      <c r="W26" s="55"/>
      <c r="X26" s="55"/>
      <c r="Y26" s="55"/>
      <c r="Z26" s="55"/>
      <c r="AA26" s="55"/>
      <c r="AB26" s="55"/>
      <c r="AC26" s="55"/>
      <c r="AD26" s="65"/>
      <c r="AE26" s="73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</row>
    <row r="27" spans="2:41">
      <c r="B27" s="64" t="s">
        <v>193</v>
      </c>
      <c r="C27" s="55">
        <f ca="1">'Overall Load Summary'!L140</f>
        <v>46425.416666666657</v>
      </c>
      <c r="D27" s="55">
        <f ca="1">'Overall Load Summary'!M140</f>
        <v>46988.362756918141</v>
      </c>
      <c r="E27" s="55">
        <f ca="1">'Overall Load Summary'!N140</f>
        <v>47558.513044562351</v>
      </c>
      <c r="F27" s="55">
        <f ca="1">'Overall Load Summary'!O140</f>
        <v>48135.965022122771</v>
      </c>
      <c r="G27" s="55">
        <f ca="1">'Overall Load Summary'!P140</f>
        <v>48720.817571824547</v>
      </c>
      <c r="H27" s="55">
        <f ca="1">'Overall Load Summary'!Q140</f>
        <v>49313.170986287565</v>
      </c>
      <c r="I27" s="55">
        <f ca="1">'Overall Load Summary'!R140</f>
        <v>49913.126989538141</v>
      </c>
      <c r="J27" s="65">
        <f ca="1">'Overall Load Summary'!S140</f>
        <v>50520.788758344446</v>
      </c>
      <c r="K27" s="737"/>
      <c r="L27" s="64" t="s">
        <v>193</v>
      </c>
      <c r="M27" s="55">
        <f ca="1">'Overall Load Summary'!L25</f>
        <v>32717.416666666661</v>
      </c>
      <c r="N27" s="55">
        <f ca="1">'Overall Load Summary'!M25</f>
        <v>33053.711877799957</v>
      </c>
      <c r="O27" s="55">
        <f ca="1">'Overall Load Summary'!N25</f>
        <v>33393.463794277181</v>
      </c>
      <c r="P27" s="55">
        <f ca="1">'Overall Load Summary'!O25</f>
        <v>33736.707946820861</v>
      </c>
      <c r="Q27" s="55">
        <f ca="1">'Overall Load Summary'!P25</f>
        <v>34083.480231366098</v>
      </c>
      <c r="R27" s="55">
        <f ca="1">'Overall Load Summary'!Q25</f>
        <v>34433.816912814502</v>
      </c>
      <c r="S27" s="55">
        <f ca="1">'Overall Load Summary'!R25</f>
        <v>34787.754628826726</v>
      </c>
      <c r="T27" s="65">
        <f ca="1">'Overall Load Summary'!S25</f>
        <v>35145.33039365396</v>
      </c>
      <c r="U27" s="737"/>
      <c r="V27" s="64" t="s">
        <v>193</v>
      </c>
      <c r="W27" s="55">
        <f ca="1">'Overall Load Summary'!L74</f>
        <v>13708</v>
      </c>
      <c r="X27" s="55">
        <f ca="1">'Overall Load Summary'!M74</f>
        <v>13934.650879118182</v>
      </c>
      <c r="Y27" s="55">
        <f ca="1">'Overall Load Summary'!N74</f>
        <v>14165.04925028517</v>
      </c>
      <c r="Z27" s="55">
        <f ca="1">'Overall Load Summary'!O74</f>
        <v>14399.25707530191</v>
      </c>
      <c r="AA27" s="55">
        <f ca="1">'Overall Load Summary'!P74</f>
        <v>14637.337340458451</v>
      </c>
      <c r="AB27" s="55">
        <f ca="1">'Overall Load Summary'!Q74</f>
        <v>14879.354073473061</v>
      </c>
      <c r="AC27" s="55">
        <f ca="1">'Overall Load Summary'!R74</f>
        <v>15125.372360711415</v>
      </c>
      <c r="AD27" s="65">
        <f ca="1">'Overall Load Summary'!S74</f>
        <v>15375.458364690485</v>
      </c>
      <c r="AE27" s="737"/>
      <c r="AF27" s="447"/>
      <c r="AG27" s="447"/>
      <c r="AH27" s="447"/>
      <c r="AI27" s="447"/>
      <c r="AJ27" s="447"/>
      <c r="AK27" s="447"/>
      <c r="AL27" s="447"/>
      <c r="AM27" s="447"/>
      <c r="AN27" s="447"/>
      <c r="AO27" s="447"/>
    </row>
    <row r="28" spans="2:41">
      <c r="B28" s="64" t="s">
        <v>396</v>
      </c>
      <c r="C28" s="55">
        <f ca="1">'Overall Load Summary'!L141</f>
        <v>283.75000000000006</v>
      </c>
      <c r="D28" s="55">
        <f ca="1">'Overall Load Summary'!M141</f>
        <v>280.32108747654399</v>
      </c>
      <c r="E28" s="55">
        <f ca="1">'Overall Load Summary'!N141</f>
        <v>276.96838967660676</v>
      </c>
      <c r="F28" s="55">
        <f ca="1">'Overall Load Summary'!O141</f>
        <v>273.69085843414712</v>
      </c>
      <c r="G28" s="55">
        <f ca="1">'Overall Load Summary'!P141</f>
        <v>270.48746651923324</v>
      </c>
      <c r="H28" s="55">
        <f ca="1">'Overall Load Summary'!Q141</f>
        <v>267.35720732626959</v>
      </c>
      <c r="I28" s="55">
        <f ca="1">'Overall Load Summary'!R141</f>
        <v>264.29909456806155</v>
      </c>
      <c r="J28" s="65">
        <f ca="1">'Overall Load Summary'!S141</f>
        <v>261.3121619756277</v>
      </c>
      <c r="K28" s="737"/>
      <c r="L28" s="64" t="s">
        <v>396</v>
      </c>
      <c r="M28" s="55">
        <f ca="1">'Overall Load Summary'!L26</f>
        <v>238.29166666666674</v>
      </c>
      <c r="N28" s="55">
        <f ca="1">'Overall Load Summary'!M26</f>
        <v>234.25982478178059</v>
      </c>
      <c r="O28" s="55">
        <f ca="1">'Overall Load Summary'!N26</f>
        <v>230.29620076289083</v>
      </c>
      <c r="P28" s="55">
        <f ca="1">'Overall Load Summary'!O26</f>
        <v>226.39964037891053</v>
      </c>
      <c r="Q28" s="55">
        <f ca="1">'Overall Load Summary'!P26</f>
        <v>222.56900892808551</v>
      </c>
      <c r="R28" s="55">
        <f ca="1">'Overall Load Summary'!Q26</f>
        <v>218.80319090756225</v>
      </c>
      <c r="S28" s="55">
        <f ca="1">'Overall Load Summary'!R26</f>
        <v>215.10108968854698</v>
      </c>
      <c r="T28" s="65">
        <f ca="1">'Overall Load Summary'!S26</f>
        <v>211.46162719696062</v>
      </c>
      <c r="U28" s="737"/>
      <c r="V28" s="64" t="s">
        <v>396</v>
      </c>
      <c r="W28" s="55">
        <f ca="1">'Overall Load Summary'!L75</f>
        <v>45.458333333333314</v>
      </c>
      <c r="X28" s="55">
        <f ca="1">'Overall Load Summary'!M75</f>
        <v>46.061262694763407</v>
      </c>
      <c r="Y28" s="55">
        <f ca="1">'Overall Load Summary'!N75</f>
        <v>46.672188913715949</v>
      </c>
      <c r="Z28" s="55">
        <f ca="1">'Overall Load Summary'!O75</f>
        <v>47.29121805523657</v>
      </c>
      <c r="AA28" s="55">
        <f ca="1">'Overall Load Summary'!P75</f>
        <v>47.918457591147735</v>
      </c>
      <c r="AB28" s="55">
        <f ca="1">'Overall Load Summary'!Q75</f>
        <v>48.554016418707313</v>
      </c>
      <c r="AC28" s="55">
        <f ca="1">'Overall Load Summary'!R75</f>
        <v>49.198004879514592</v>
      </c>
      <c r="AD28" s="65">
        <f ca="1">'Overall Load Summary'!S75</f>
        <v>49.850534778667082</v>
      </c>
      <c r="AE28" s="737"/>
      <c r="AF28" s="447"/>
      <c r="AG28" s="447"/>
      <c r="AH28" s="447"/>
      <c r="AI28" s="447"/>
      <c r="AJ28" s="447"/>
      <c r="AK28" s="447"/>
      <c r="AL28" s="447"/>
      <c r="AM28" s="447"/>
      <c r="AN28" s="447"/>
      <c r="AO28" s="447"/>
    </row>
    <row r="29" spans="2:41">
      <c r="B29" s="64" t="s">
        <v>64</v>
      </c>
      <c r="C29" s="55">
        <f ca="1">'Overall Load Summary'!L142</f>
        <v>1166.166666666667</v>
      </c>
      <c r="D29" s="55">
        <f ca="1">'Overall Load Summary'!M142</f>
        <v>1130.4886290248251</v>
      </c>
      <c r="E29" s="55">
        <f ca="1">'Overall Load Summary'!N142</f>
        <v>1122.2662581262366</v>
      </c>
      <c r="F29" s="55">
        <f ca="1">'Overall Load Summary'!O142</f>
        <v>1114.1955009201774</v>
      </c>
      <c r="G29" s="55">
        <f ca="1">'Overall Load Summary'!P142</f>
        <v>1106.2744618900422</v>
      </c>
      <c r="H29" s="55">
        <f ca="1">'Overall Load Summary'!Q142</f>
        <v>1098.5012726984244</v>
      </c>
      <c r="I29" s="55">
        <f ca="1">'Overall Load Summary'!R142</f>
        <v>1090.8740918172587</v>
      </c>
      <c r="J29" s="65">
        <f ca="1">'Overall Load Summary'!S142</f>
        <v>1083.3911041630913</v>
      </c>
      <c r="K29" s="737"/>
      <c r="L29" s="64" t="s">
        <v>64</v>
      </c>
      <c r="M29" s="55">
        <f ca="1">'Overall Load Summary'!L27</f>
        <v>769.91666666666697</v>
      </c>
      <c r="N29" s="55">
        <f ca="1">'Overall Load Summary'!M27</f>
        <v>741.40363373070261</v>
      </c>
      <c r="O29" s="55">
        <f ca="1">'Overall Load Summary'!N27</f>
        <v>731.17101056299305</v>
      </c>
      <c r="P29" s="55">
        <f ca="1">'Overall Load Summary'!O27</f>
        <v>721.07961488882222</v>
      </c>
      <c r="Q29" s="55">
        <f ca="1">'Overall Load Summary'!P27</f>
        <v>711.12749753009541</v>
      </c>
      <c r="R29" s="55">
        <f ca="1">'Overall Load Summary'!Q27</f>
        <v>701.31273621066964</v>
      </c>
      <c r="S29" s="55">
        <f ca="1">'Overall Load Summary'!R27</f>
        <v>691.63343518506156</v>
      </c>
      <c r="T29" s="65">
        <f ca="1">'Overall Load Summary'!S27</f>
        <v>682.08772487227952</v>
      </c>
      <c r="U29" s="737"/>
      <c r="V29" s="64" t="s">
        <v>64</v>
      </c>
      <c r="W29" s="55">
        <f ca="1">'Overall Load Summary'!L76</f>
        <v>396.25</v>
      </c>
      <c r="X29" s="55">
        <f ca="1">'Overall Load Summary'!M76</f>
        <v>389.08499529412256</v>
      </c>
      <c r="Y29" s="55">
        <f ca="1">'Overall Load Summary'!N76</f>
        <v>391.09524756324345</v>
      </c>
      <c r="Z29" s="55">
        <f ca="1">'Overall Load Summary'!O76</f>
        <v>393.11588603135527</v>
      </c>
      <c r="AA29" s="55">
        <f ca="1">'Overall Load Summary'!P76</f>
        <v>395.14696435994671</v>
      </c>
      <c r="AB29" s="55">
        <f ca="1">'Overall Load Summary'!Q76</f>
        <v>397.18853648775479</v>
      </c>
      <c r="AC29" s="55">
        <f ca="1">'Overall Load Summary'!R76</f>
        <v>399.2406566321971</v>
      </c>
      <c r="AD29" s="65">
        <f ca="1">'Overall Load Summary'!S76</f>
        <v>401.30337929081179</v>
      </c>
      <c r="AE29" s="73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</row>
    <row r="30" spans="2:41" ht="15.75" thickBot="1">
      <c r="B30" s="63" t="s">
        <v>495</v>
      </c>
      <c r="C30" s="62">
        <f ca="1">SUM(C21:C29)</f>
        <v>225841.83333333331</v>
      </c>
      <c r="D30" s="62">
        <f t="shared" ref="D30:J30" ca="1" si="30">SUM(D21:D29)</f>
        <v>229586.69365341848</v>
      </c>
      <c r="E30" s="62">
        <f t="shared" ca="1" si="30"/>
        <v>233601.33340474975</v>
      </c>
      <c r="F30" s="62">
        <f t="shared" ca="1" si="30"/>
        <v>237713.48504902006</v>
      </c>
      <c r="G30" s="62">
        <f t="shared" ca="1" si="30"/>
        <v>241765.48466490454</v>
      </c>
      <c r="H30" s="62">
        <f t="shared" ca="1" si="30"/>
        <v>245909.74413536067</v>
      </c>
      <c r="I30" s="62">
        <f t="shared" ca="1" si="30"/>
        <v>250183.06825054294</v>
      </c>
      <c r="J30" s="60">
        <f t="shared" ca="1" si="30"/>
        <v>254526.00665429462</v>
      </c>
      <c r="K30" s="737"/>
      <c r="L30" s="63" t="s">
        <v>495</v>
      </c>
      <c r="M30" s="62">
        <f ca="1">SUM(M21:M29)</f>
        <v>163315.12499999997</v>
      </c>
      <c r="N30" s="62">
        <f t="shared" ref="N30" ca="1" si="31">SUM(N21:N29)</f>
        <v>165882.53129858625</v>
      </c>
      <c r="O30" s="62">
        <f t="shared" ref="O30" ca="1" si="32">SUM(O21:O29)</f>
        <v>168732.34051832557</v>
      </c>
      <c r="P30" s="62">
        <f t="shared" ref="P30" ca="1" si="33">SUM(P21:P29)</f>
        <v>171654.33219593111</v>
      </c>
      <c r="Q30" s="62">
        <f t="shared" ref="Q30" ca="1" si="34">SUM(Q21:Q29)</f>
        <v>174523.43614568716</v>
      </c>
      <c r="R30" s="62">
        <f t="shared" ref="R30" ca="1" si="35">SUM(R21:R29)</f>
        <v>177440.22276772451</v>
      </c>
      <c r="S30" s="62">
        <f t="shared" ref="S30" ca="1" si="36">SUM(S21:S29)</f>
        <v>180466.92988955433</v>
      </c>
      <c r="T30" s="60">
        <f t="shared" ref="T30" ca="1" si="37">SUM(T21:T29)</f>
        <v>183543.11857437275</v>
      </c>
      <c r="U30" s="362"/>
      <c r="V30" s="63" t="s">
        <v>495</v>
      </c>
      <c r="W30" s="62">
        <f ca="1">SUM(W21:W29)</f>
        <v>62526.708333333336</v>
      </c>
      <c r="X30" s="62">
        <f t="shared" ref="X30" ca="1" si="38">SUM(X21:X29)</f>
        <v>63704.162354832173</v>
      </c>
      <c r="Y30" s="62">
        <f t="shared" ref="Y30" ca="1" si="39">SUM(Y21:Y29)</f>
        <v>64868.992886424188</v>
      </c>
      <c r="Z30" s="62">
        <f t="shared" ref="Z30" ca="1" si="40">SUM(Z21:Z29)</f>
        <v>66059.152853088919</v>
      </c>
      <c r="AA30" s="62">
        <f t="shared" ref="AA30" ca="1" si="41">SUM(AA21:AA29)</f>
        <v>67242.048519217366</v>
      </c>
      <c r="AB30" s="62">
        <f t="shared" ref="AB30" ca="1" si="42">SUM(AB21:AB29)</f>
        <v>68469.521367636145</v>
      </c>
      <c r="AC30" s="62">
        <f t="shared" ref="AC30" ca="1" si="43">SUM(AC21:AC29)</f>
        <v>69716.138360988611</v>
      </c>
      <c r="AD30" s="60">
        <f t="shared" ref="AD30" ca="1" si="44">SUM(AD21:AD29)</f>
        <v>70982.888079921904</v>
      </c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</row>
    <row r="31" spans="2:41" ht="15.75" thickBot="1">
      <c r="B31" s="63" t="s">
        <v>524</v>
      </c>
      <c r="C31" s="62">
        <f ca="1">SUM(C21:C26)</f>
        <v>177966.5</v>
      </c>
      <c r="D31" s="62">
        <f t="shared" ref="D31:J31" ca="1" si="45">SUM(D21:D26)</f>
        <v>181187.52117999896</v>
      </c>
      <c r="E31" s="62">
        <f t="shared" ca="1" si="45"/>
        <v>184643.58571238455</v>
      </c>
      <c r="F31" s="62">
        <f t="shared" ca="1" si="45"/>
        <v>188189.63366754295</v>
      </c>
      <c r="G31" s="62">
        <f t="shared" ca="1" si="45"/>
        <v>191667.90516467072</v>
      </c>
      <c r="H31" s="62">
        <f t="shared" ca="1" si="45"/>
        <v>195230.71466904841</v>
      </c>
      <c r="I31" s="62">
        <f t="shared" ca="1" si="45"/>
        <v>198914.76807461947</v>
      </c>
      <c r="J31" s="60">
        <f t="shared" ca="1" si="45"/>
        <v>202660.51462981146</v>
      </c>
      <c r="L31" s="63" t="s">
        <v>524</v>
      </c>
      <c r="M31" s="62">
        <f ca="1">SUM(M21:M26)</f>
        <v>129589.5</v>
      </c>
      <c r="N31" s="62">
        <f t="shared" ref="N31:T31" ca="1" si="46">SUM(N21:N26)</f>
        <v>131853.15596227383</v>
      </c>
      <c r="O31" s="62">
        <f t="shared" ca="1" si="46"/>
        <v>134377.40951272249</v>
      </c>
      <c r="P31" s="62">
        <f t="shared" ca="1" si="46"/>
        <v>136970.14499384252</v>
      </c>
      <c r="Q31" s="62">
        <f t="shared" ca="1" si="46"/>
        <v>139506.25940786288</v>
      </c>
      <c r="R31" s="62">
        <f t="shared" ca="1" si="46"/>
        <v>142086.28992779177</v>
      </c>
      <c r="S31" s="62">
        <f t="shared" ca="1" si="46"/>
        <v>144772.440735854</v>
      </c>
      <c r="T31" s="60">
        <f t="shared" ca="1" si="46"/>
        <v>147504.23882864954</v>
      </c>
      <c r="U31" s="362"/>
      <c r="V31" s="63" t="s">
        <v>524</v>
      </c>
      <c r="W31" s="62">
        <f ca="1">SUM(W21:W26)</f>
        <v>48377</v>
      </c>
      <c r="X31" s="62">
        <f t="shared" ref="X31:AD31" ca="1" si="47">SUM(X21:X26)</f>
        <v>49334.365217725106</v>
      </c>
      <c r="Y31" s="62">
        <f t="shared" ca="1" si="47"/>
        <v>50266.176199662055</v>
      </c>
      <c r="Z31" s="62">
        <f t="shared" ca="1" si="47"/>
        <v>51219.488673700405</v>
      </c>
      <c r="AA31" s="62">
        <f t="shared" ca="1" si="47"/>
        <v>52161.645756807826</v>
      </c>
      <c r="AB31" s="62">
        <f t="shared" ca="1" si="47"/>
        <v>53144.424741256618</v>
      </c>
      <c r="AC31" s="62">
        <f t="shared" ca="1" si="47"/>
        <v>54142.327338765484</v>
      </c>
      <c r="AD31" s="60">
        <f t="shared" ca="1" si="47"/>
        <v>55156.275801161944</v>
      </c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</row>
    <row r="32" spans="2:41" s="362" customFormat="1" ht="15.75" thickBot="1">
      <c r="AF32" s="447"/>
      <c r="AG32" s="447"/>
      <c r="AH32" s="447"/>
      <c r="AI32" s="447"/>
      <c r="AJ32" s="447"/>
      <c r="AK32" s="447"/>
      <c r="AL32" s="447"/>
      <c r="AM32" s="447"/>
      <c r="AN32" s="447"/>
      <c r="AO32" s="447"/>
    </row>
    <row r="33" spans="2:30" s="362" customFormat="1" ht="26.25" thickBot="1">
      <c r="B33" s="672" t="s">
        <v>708</v>
      </c>
      <c r="C33" s="673" t="s">
        <v>528</v>
      </c>
      <c r="D33" s="673" t="s">
        <v>195</v>
      </c>
      <c r="E33" s="673" t="s">
        <v>196</v>
      </c>
      <c r="F33" s="673" t="s">
        <v>487</v>
      </c>
      <c r="G33" s="673" t="s">
        <v>488</v>
      </c>
      <c r="H33" s="673" t="s">
        <v>489</v>
      </c>
      <c r="I33" s="673" t="s">
        <v>490</v>
      </c>
      <c r="J33" s="674" t="s">
        <v>491</v>
      </c>
      <c r="L33" s="672" t="s">
        <v>708</v>
      </c>
      <c r="M33" s="673" t="s">
        <v>528</v>
      </c>
      <c r="N33" s="673" t="s">
        <v>195</v>
      </c>
      <c r="O33" s="673" t="s">
        <v>196</v>
      </c>
      <c r="P33" s="673" t="s">
        <v>487</v>
      </c>
      <c r="Q33" s="673" t="s">
        <v>488</v>
      </c>
      <c r="R33" s="673" t="s">
        <v>489</v>
      </c>
      <c r="S33" s="673" t="s">
        <v>490</v>
      </c>
      <c r="T33" s="674" t="s">
        <v>491</v>
      </c>
      <c r="V33" s="672" t="s">
        <v>708</v>
      </c>
      <c r="W33" s="673" t="s">
        <v>528</v>
      </c>
      <c r="X33" s="673" t="s">
        <v>195</v>
      </c>
      <c r="Y33" s="673" t="s">
        <v>196</v>
      </c>
      <c r="Z33" s="673" t="s">
        <v>487</v>
      </c>
      <c r="AA33" s="673" t="s">
        <v>488</v>
      </c>
      <c r="AB33" s="673" t="s">
        <v>489</v>
      </c>
      <c r="AC33" s="673" t="s">
        <v>490</v>
      </c>
      <c r="AD33" s="674" t="s">
        <v>491</v>
      </c>
    </row>
    <row r="34" spans="2:30" s="362" customFormat="1">
      <c r="B34" s="388" t="s">
        <v>63</v>
      </c>
      <c r="C34" s="669">
        <f>'Overall Load Summary'!L145</f>
        <v>164000</v>
      </c>
      <c r="D34" s="669">
        <f ca="1">'Overall Load Summary'!M145</f>
        <v>167540.83226976247</v>
      </c>
      <c r="E34" s="669">
        <f ca="1">'Overall Load Summary'!N145</f>
        <v>170971.88784555602</v>
      </c>
      <c r="F34" s="669">
        <f ca="1">'Overall Load Summary'!O145</f>
        <v>174445.09305825387</v>
      </c>
      <c r="G34" s="669">
        <f ca="1">'Overall Load Summary'!P145</f>
        <v>177780.76212103054</v>
      </c>
      <c r="H34" s="669">
        <f ca="1">'Overall Load Summary'!Q145</f>
        <v>181272.59577207227</v>
      </c>
      <c r="I34" s="669">
        <f ca="1">'Overall Load Summary'!R145</f>
        <v>184901.69501625653</v>
      </c>
      <c r="J34" s="670">
        <f ca="1">'Overall Load Summary'!S145</f>
        <v>188562.71428035156</v>
      </c>
      <c r="L34" s="388" t="s">
        <v>63</v>
      </c>
      <c r="M34" s="669">
        <f>'Overall Load Summary'!L29</f>
        <v>118313</v>
      </c>
      <c r="N34" s="669">
        <f ca="1">'Overall Load Summary'!M29</f>
        <v>120679.0969087102</v>
      </c>
      <c r="O34" s="669">
        <f ca="1">'Overall Load Summary'!N29</f>
        <v>123236.4362380458</v>
      </c>
      <c r="P34" s="669">
        <f ca="1">'Overall Load Summary'!O29</f>
        <v>125788.25690808798</v>
      </c>
      <c r="Q34" s="669">
        <f ca="1">'Overall Load Summary'!P29</f>
        <v>128228.13804806618</v>
      </c>
      <c r="R34" s="669">
        <f ca="1">'Overall Load Summary'!Q29</f>
        <v>130758.84820236517</v>
      </c>
      <c r="S34" s="669">
        <f ca="1">'Overall Load Summary'!R29</f>
        <v>133424.51497413241</v>
      </c>
      <c r="T34" s="670">
        <f ca="1">'Overall Load Summary'!S29</f>
        <v>136106.37924703243</v>
      </c>
      <c r="V34" s="388" t="s">
        <v>63</v>
      </c>
      <c r="W34" s="389">
        <f>'Overall Load Summary'!L78</f>
        <v>45687</v>
      </c>
      <c r="X34" s="389">
        <f ca="1">'Overall Load Summary'!M78</f>
        <v>46861.73536105227</v>
      </c>
      <c r="Y34" s="389">
        <f ca="1">'Overall Load Summary'!N78</f>
        <v>47735.451607510207</v>
      </c>
      <c r="Z34" s="389">
        <f ca="1">'Overall Load Summary'!O78</f>
        <v>48656.83615016588</v>
      </c>
      <c r="AA34" s="389">
        <f ca="1">'Overall Load Summary'!P78</f>
        <v>49552.624072964376</v>
      </c>
      <c r="AB34" s="389">
        <f ca="1">'Overall Load Summary'!Q78</f>
        <v>50513.747569707084</v>
      </c>
      <c r="AC34" s="389">
        <f ca="1">'Overall Load Summary'!R78</f>
        <v>51477.180042124113</v>
      </c>
      <c r="AD34" s="390">
        <f ca="1">'Overall Load Summary'!S78</f>
        <v>52456.335033319127</v>
      </c>
    </row>
    <row r="35" spans="2:30" s="362" customFormat="1">
      <c r="B35" s="64" t="s">
        <v>211</v>
      </c>
      <c r="C35" s="55">
        <f>'Overall Load Summary'!L146</f>
        <v>1560</v>
      </c>
      <c r="D35" s="55">
        <f>'Overall Load Summary'!M146</f>
        <v>1557.0002053868013</v>
      </c>
      <c r="E35" s="55">
        <f>'Overall Load Summary'!N146</f>
        <v>1553.6928394081144</v>
      </c>
      <c r="F35" s="55">
        <f>'Overall Load Summary'!O146</f>
        <v>1550.3924989068032</v>
      </c>
      <c r="G35" s="55">
        <f>'Overall Load Summary'!P146</f>
        <v>1547.0991689594107</v>
      </c>
      <c r="H35" s="55">
        <f>'Overall Load Summary'!Q146</f>
        <v>1543.8128346741814</v>
      </c>
      <c r="I35" s="55">
        <f>'Overall Load Summary'!R146</f>
        <v>1540.5334811909913</v>
      </c>
      <c r="J35" s="65">
        <f>'Overall Load Summary'!S146</f>
        <v>1537.2610936812841</v>
      </c>
      <c r="L35" s="64" t="s">
        <v>211</v>
      </c>
      <c r="M35" s="55">
        <f>'Overall Load Summary'!L30</f>
        <v>1560</v>
      </c>
      <c r="N35" s="55">
        <f>'Overall Load Summary'!M30</f>
        <v>1557.0002053868013</v>
      </c>
      <c r="O35" s="55">
        <f>'Overall Load Summary'!N30</f>
        <v>1553.6928394081144</v>
      </c>
      <c r="P35" s="55">
        <f>'Overall Load Summary'!O30</f>
        <v>1550.3924989068032</v>
      </c>
      <c r="Q35" s="55">
        <f>'Overall Load Summary'!P30</f>
        <v>1547.0991689594107</v>
      </c>
      <c r="R35" s="55">
        <f>'Overall Load Summary'!Q30</f>
        <v>1543.8128346741814</v>
      </c>
      <c r="S35" s="55">
        <f>'Overall Load Summary'!R30</f>
        <v>1540.5334811909913</v>
      </c>
      <c r="T35" s="65">
        <f>'Overall Load Summary'!S30</f>
        <v>1537.2610936812841</v>
      </c>
      <c r="V35" s="668" t="s">
        <v>211</v>
      </c>
      <c r="W35" s="55"/>
      <c r="X35" s="55"/>
      <c r="Y35" s="55"/>
      <c r="Z35" s="55"/>
      <c r="AA35" s="55"/>
      <c r="AB35" s="55"/>
      <c r="AC35" s="55"/>
      <c r="AD35" s="65"/>
    </row>
    <row r="36" spans="2:30" s="362" customFormat="1">
      <c r="B36" s="64" t="s">
        <v>278</v>
      </c>
      <c r="C36" s="55">
        <f>'Overall Load Summary'!L147</f>
        <v>11979</v>
      </c>
      <c r="D36" s="55">
        <f>'Overall Load Summary'!M147</f>
        <v>12092.267942945862</v>
      </c>
      <c r="E36" s="55">
        <f>'Overall Load Summary'!N147</f>
        <v>12198.77882326572</v>
      </c>
      <c r="F36" s="55">
        <f>'Overall Load Summary'!O147</f>
        <v>12306.358659126608</v>
      </c>
      <c r="G36" s="55">
        <f>'Overall Load Summary'!P147</f>
        <v>12414.981920203632</v>
      </c>
      <c r="H36" s="55">
        <f>'Overall Load Summary'!Q147</f>
        <v>12524.659855715174</v>
      </c>
      <c r="I36" s="55">
        <f>'Overall Load Summary'!R147</f>
        <v>12635.403848396752</v>
      </c>
      <c r="J36" s="65">
        <f>'Overall Load Summary'!S147</f>
        <v>12747.225416205114</v>
      </c>
      <c r="L36" s="64" t="s">
        <v>278</v>
      </c>
      <c r="M36" s="55">
        <f>'Overall Load Summary'!L31</f>
        <v>9506</v>
      </c>
      <c r="N36" s="55">
        <f>'Overall Load Summary'!M31</f>
        <v>9576.2109636304667</v>
      </c>
      <c r="O36" s="55">
        <f>'Overall Load Summary'!N31</f>
        <v>9646.9035844493974</v>
      </c>
      <c r="P36" s="55">
        <f>'Overall Load Summary'!O31</f>
        <v>9718.1552567315775</v>
      </c>
      <c r="Q36" s="55">
        <f>'Overall Load Summary'!P31</f>
        <v>9789.9331912240668</v>
      </c>
      <c r="R36" s="55">
        <f>'Overall Load Summary'!Q31</f>
        <v>9862.2412748800452</v>
      </c>
      <c r="S36" s="55">
        <f>'Overall Load Summary'!R31</f>
        <v>9935.0834233615788</v>
      </c>
      <c r="T36" s="65">
        <f>'Overall Load Summary'!S31</f>
        <v>10008.463581251679</v>
      </c>
      <c r="V36" s="64" t="s">
        <v>278</v>
      </c>
      <c r="W36" s="55">
        <f>'Overall Load Summary'!L79</f>
        <v>2473</v>
      </c>
      <c r="X36" s="55">
        <f>'Overall Load Summary'!M79</f>
        <v>2516.0569793153954</v>
      </c>
      <c r="Y36" s="55">
        <f>'Overall Load Summary'!N79</f>
        <v>2551.8752388163234</v>
      </c>
      <c r="Z36" s="55">
        <f>'Overall Load Summary'!O79</f>
        <v>2588.2034023950305</v>
      </c>
      <c r="AA36" s="55">
        <f>'Overall Load Summary'!P79</f>
        <v>2625.0487289795656</v>
      </c>
      <c r="AB36" s="55">
        <f>'Overall Load Summary'!Q79</f>
        <v>2662.4185808351294</v>
      </c>
      <c r="AC36" s="55">
        <f>'Overall Load Summary'!R79</f>
        <v>2700.3204250351737</v>
      </c>
      <c r="AD36" s="65">
        <f>'Overall Load Summary'!S79</f>
        <v>2738.7618349534355</v>
      </c>
    </row>
    <row r="37" spans="2:30" s="362" customFormat="1">
      <c r="B37" s="64" t="s">
        <v>365</v>
      </c>
      <c r="C37" s="55">
        <f>'Overall Load Summary'!L148</f>
        <v>1465</v>
      </c>
      <c r="D37" s="55">
        <f>'Overall Load Summary'!M148</f>
        <v>1478.7196664078892</v>
      </c>
      <c r="E37" s="55">
        <f>'Overall Load Summary'!N148</f>
        <v>1494.2539347028651</v>
      </c>
      <c r="F37" s="55">
        <f>'Overall Load Summary'!O148</f>
        <v>1504.370914291186</v>
      </c>
      <c r="G37" s="55">
        <f>'Overall Load Summary'!P148</f>
        <v>1510.3052027816366</v>
      </c>
      <c r="H37" s="55">
        <f>'Overall Load Summary'!Q148</f>
        <v>1514.5769112180799</v>
      </c>
      <c r="I37" s="55">
        <f>'Overall Load Summary'!R148</f>
        <v>1518.6411513700141</v>
      </c>
      <c r="J37" s="65">
        <f>'Overall Load Summary'!S148</f>
        <v>1522.7980357373237</v>
      </c>
      <c r="L37" s="64" t="s">
        <v>365</v>
      </c>
      <c r="M37" s="55">
        <f>'Overall Load Summary'!L32</f>
        <v>1075</v>
      </c>
      <c r="N37" s="55">
        <f>'Overall Load Summary'!M32</f>
        <v>1080.6507967698053</v>
      </c>
      <c r="O37" s="55">
        <f>'Overall Load Summary'!N32</f>
        <v>1089.8614624923862</v>
      </c>
      <c r="P37" s="55">
        <f>'Overall Load Summary'!O32</f>
        <v>1094.6030231291934</v>
      </c>
      <c r="Q37" s="55">
        <f>'Overall Load Summary'!P32</f>
        <v>1096.234966193892</v>
      </c>
      <c r="R37" s="55">
        <f>'Overall Load Summary'!Q32</f>
        <v>1097.1872919144444</v>
      </c>
      <c r="S37" s="55">
        <f>'Overall Load Summary'!R32</f>
        <v>1097.8900005189471</v>
      </c>
      <c r="T37" s="65">
        <f>'Overall Load Summary'!S32</f>
        <v>1098.7430922356336</v>
      </c>
      <c r="V37" s="64" t="s">
        <v>365</v>
      </c>
      <c r="W37" s="55">
        <f>'Overall Load Summary'!L80</f>
        <v>390</v>
      </c>
      <c r="X37" s="55">
        <f>'Overall Load Summary'!M80</f>
        <v>398.06886963808387</v>
      </c>
      <c r="Y37" s="55">
        <f>'Overall Load Summary'!N80</f>
        <v>404.39247221047879</v>
      </c>
      <c r="Z37" s="55">
        <f>'Overall Load Summary'!O80</f>
        <v>409.76789116199257</v>
      </c>
      <c r="AA37" s="55">
        <f>'Overall Load Summary'!P80</f>
        <v>414.07023658774466</v>
      </c>
      <c r="AB37" s="55">
        <f>'Overall Load Summary'!Q80</f>
        <v>417.38961930363553</v>
      </c>
      <c r="AC37" s="55">
        <f>'Overall Load Summary'!R80</f>
        <v>420.75115085106694</v>
      </c>
      <c r="AD37" s="65">
        <f>'Overall Load Summary'!S80</f>
        <v>424.05494350169005</v>
      </c>
    </row>
    <row r="38" spans="2:30" s="362" customFormat="1">
      <c r="B38" s="64" t="s">
        <v>366</v>
      </c>
      <c r="C38" s="55">
        <f>'Overall Load Summary'!L149</f>
        <v>8</v>
      </c>
      <c r="D38" s="55">
        <f>'Overall Load Summary'!M149</f>
        <v>13.46</v>
      </c>
      <c r="E38" s="55">
        <f>'Overall Load Summary'!N149</f>
        <v>18.100000000000001</v>
      </c>
      <c r="F38" s="55">
        <f>'Overall Load Summary'!O149</f>
        <v>18.710000000000004</v>
      </c>
      <c r="G38" s="55">
        <f>'Overall Load Summary'!P149</f>
        <v>18.600000000000009</v>
      </c>
      <c r="H38" s="55">
        <f>'Overall Load Summary'!Q149</f>
        <v>18.600000000000009</v>
      </c>
      <c r="I38" s="55">
        <f>'Overall Load Summary'!R149</f>
        <v>19.200000000000006</v>
      </c>
      <c r="J38" s="65">
        <f>'Overall Load Summary'!S149</f>
        <v>19.400000000000006</v>
      </c>
      <c r="L38" s="64" t="s">
        <v>366</v>
      </c>
      <c r="M38" s="55">
        <f>'Overall Load Summary'!L33</f>
        <v>5</v>
      </c>
      <c r="N38" s="55">
        <f>'Overall Load Summary'!M33</f>
        <v>8.6</v>
      </c>
      <c r="O38" s="55">
        <f>'Overall Load Summary'!N33</f>
        <v>11.87</v>
      </c>
      <c r="P38" s="55">
        <f>'Overall Load Summary'!O33</f>
        <v>12.230000000000002</v>
      </c>
      <c r="Q38" s="55">
        <f>'Overall Load Summary'!P33</f>
        <v>12.120000000000006</v>
      </c>
      <c r="R38" s="55">
        <f>'Overall Load Summary'!Q33</f>
        <v>12.120000000000006</v>
      </c>
      <c r="S38" s="55">
        <f>'Overall Load Summary'!R33</f>
        <v>12.120000000000006</v>
      </c>
      <c r="T38" s="65">
        <f>'Overall Load Summary'!S33</f>
        <v>12.120000000000006</v>
      </c>
      <c r="V38" s="64" t="s">
        <v>366</v>
      </c>
      <c r="W38" s="55">
        <f>'Overall Load Summary'!L81</f>
        <v>3</v>
      </c>
      <c r="X38" s="55">
        <f>'Overall Load Summary'!M81</f>
        <v>4.8600000000000003</v>
      </c>
      <c r="Y38" s="55">
        <f>'Overall Load Summary'!N81</f>
        <v>6.23</v>
      </c>
      <c r="Z38" s="55">
        <f>'Overall Load Summary'!O81</f>
        <v>6.4800000000000022</v>
      </c>
      <c r="AA38" s="55">
        <f>'Overall Load Summary'!P81</f>
        <v>6.4800000000000022</v>
      </c>
      <c r="AB38" s="55">
        <f>'Overall Load Summary'!Q81</f>
        <v>6.4800000000000022</v>
      </c>
      <c r="AC38" s="55">
        <f>'Overall Load Summary'!R81</f>
        <v>7.080000000000001</v>
      </c>
      <c r="AD38" s="65">
        <f>'Overall Load Summary'!S81</f>
        <v>7.28</v>
      </c>
    </row>
    <row r="39" spans="2:30" s="362" customFormat="1">
      <c r="B39" s="64" t="s">
        <v>206</v>
      </c>
      <c r="C39" s="55">
        <f>'Overall Load Summary'!L150</f>
        <v>5</v>
      </c>
      <c r="D39" s="55">
        <f>'Overall Load Summary'!M150</f>
        <v>5.8250000000000002</v>
      </c>
      <c r="E39" s="55">
        <f>'Overall Load Summary'!N150</f>
        <v>6.37</v>
      </c>
      <c r="F39" s="55">
        <f>'Overall Load Summary'!O150</f>
        <v>7.8850000000000016</v>
      </c>
      <c r="G39" s="55">
        <f>'Overall Load Summary'!P150</f>
        <v>8.7199999999999989</v>
      </c>
      <c r="H39" s="55">
        <f>'Overall Load Summary'!Q150</f>
        <v>8.8399999999999963</v>
      </c>
      <c r="I39" s="55">
        <f>'Overall Load Summary'!R150</f>
        <v>8.9299999999999944</v>
      </c>
      <c r="J39" s="65">
        <f>'Overall Load Summary'!S150</f>
        <v>8.9599999999999937</v>
      </c>
      <c r="L39" s="64" t="s">
        <v>206</v>
      </c>
      <c r="M39" s="55">
        <f>'Overall Load Summary'!L34</f>
        <v>5</v>
      </c>
      <c r="N39" s="55">
        <f>'Overall Load Summary'!M34</f>
        <v>5.8250000000000002</v>
      </c>
      <c r="O39" s="55">
        <f>'Overall Load Summary'!N34</f>
        <v>6.37</v>
      </c>
      <c r="P39" s="55">
        <f>'Overall Load Summary'!O34</f>
        <v>7.8850000000000016</v>
      </c>
      <c r="Q39" s="55">
        <f>'Overall Load Summary'!P34</f>
        <v>8.7199999999999989</v>
      </c>
      <c r="R39" s="55">
        <f>'Overall Load Summary'!Q34</f>
        <v>8.8399999999999963</v>
      </c>
      <c r="S39" s="55">
        <f>'Overall Load Summary'!R34</f>
        <v>8.9299999999999944</v>
      </c>
      <c r="T39" s="65">
        <f>'Overall Load Summary'!S34</f>
        <v>8.9599999999999937</v>
      </c>
      <c r="V39" s="668" t="s">
        <v>206</v>
      </c>
      <c r="W39" s="55"/>
      <c r="X39" s="55"/>
      <c r="Y39" s="55"/>
      <c r="Z39" s="55"/>
      <c r="AA39" s="55"/>
      <c r="AB39" s="55"/>
      <c r="AC39" s="55"/>
      <c r="AD39" s="65"/>
    </row>
    <row r="40" spans="2:30" s="362" customFormat="1">
      <c r="B40" s="64" t="s">
        <v>193</v>
      </c>
      <c r="C40" s="55">
        <f>'Overall Load Summary'!L151</f>
        <v>46771</v>
      </c>
      <c r="D40" s="55">
        <f>'Overall Load Summary'!M151</f>
        <v>47248.311660764637</v>
      </c>
      <c r="E40" s="55">
        <f>'Overall Load Summary'!N151</f>
        <v>47821.790353897071</v>
      </c>
      <c r="F40" s="55">
        <f>'Overall Load Summary'!O151</f>
        <v>48402.61580273493</v>
      </c>
      <c r="G40" s="55">
        <f>'Overall Load Summary'!P151</f>
        <v>48990.887532184315</v>
      </c>
      <c r="H40" s="55">
        <f>'Overall Load Summary'!Q151</f>
        <v>49586.706487119227</v>
      </c>
      <c r="I40" s="55">
        <f>'Overall Load Summary'!R151</f>
        <v>50190.175053540792</v>
      </c>
      <c r="J40" s="65">
        <f>'Overall Load Summary'!S151</f>
        <v>50801.397080062467</v>
      </c>
      <c r="L40" s="64" t="s">
        <v>193</v>
      </c>
      <c r="M40" s="55">
        <f>'Overall Load Summary'!L35</f>
        <v>33008</v>
      </c>
      <c r="N40" s="55">
        <f>'Overall Load Summary'!M35</f>
        <v>33208.720266172058</v>
      </c>
      <c r="O40" s="55">
        <f>'Overall Load Summary'!N35</f>
        <v>33550.06548016498</v>
      </c>
      <c r="P40" s="55">
        <f>'Overall Load Summary'!O35</f>
        <v>33894.919307383039</v>
      </c>
      <c r="Q40" s="55">
        <f>'Overall Load Summary'!P35</f>
        <v>34243.317812098598</v>
      </c>
      <c r="R40" s="55">
        <f>'Overall Load Summary'!Q35</f>
        <v>34595.297429280807</v>
      </c>
      <c r="S40" s="55">
        <f>'Overall Load Summary'!R35</f>
        <v>34950.894968405948</v>
      </c>
      <c r="T40" s="65">
        <f>'Overall Load Summary'!S35</f>
        <v>35310.14761730696</v>
      </c>
      <c r="V40" s="64" t="s">
        <v>193</v>
      </c>
      <c r="W40" s="55">
        <f>'Overall Load Summary'!L82</f>
        <v>13763</v>
      </c>
      <c r="X40" s="55">
        <f>'Overall Load Summary'!M82</f>
        <v>14039.591394592579</v>
      </c>
      <c r="Y40" s="55">
        <f>'Overall Load Summary'!N82</f>
        <v>14271.724873732093</v>
      </c>
      <c r="Z40" s="55">
        <f>'Overall Load Summary'!O82</f>
        <v>14507.696495351893</v>
      </c>
      <c r="AA40" s="55">
        <f>'Overall Load Summary'!P82</f>
        <v>14747.569720085719</v>
      </c>
      <c r="AB40" s="55">
        <f>'Overall Load Summary'!Q82</f>
        <v>14991.40905783842</v>
      </c>
      <c r="AC40" s="55">
        <f>'Overall Load Summary'!R82</f>
        <v>15239.28008513484</v>
      </c>
      <c r="AD40" s="65">
        <f>'Overall Load Summary'!S82</f>
        <v>15491.249462755502</v>
      </c>
    </row>
    <row r="41" spans="2:30" s="362" customFormat="1">
      <c r="B41" s="64" t="s">
        <v>396</v>
      </c>
      <c r="C41" s="55">
        <f>'Overall Load Summary'!L152</f>
        <v>281</v>
      </c>
      <c r="D41" s="55">
        <f>'Overall Load Summary'!M152</f>
        <v>278.77780439574923</v>
      </c>
      <c r="E41" s="55">
        <f>'Overall Load Summary'!N152</f>
        <v>275.4596247618544</v>
      </c>
      <c r="F41" s="55">
        <f>'Overall Load Summary'!O152</f>
        <v>272.21613913952979</v>
      </c>
      <c r="G41" s="55">
        <f>'Overall Load Summary'!P152</f>
        <v>269.0463297729948</v>
      </c>
      <c r="H41" s="55">
        <f>'Overall Load Summary'!Q152</f>
        <v>265.94919939011822</v>
      </c>
      <c r="I41" s="55">
        <f>'Overall Load Summary'!R152</f>
        <v>262.92377089912338</v>
      </c>
      <c r="J41" s="65">
        <f>'Overall Load Summary'!S152</f>
        <v>259.96908709099932</v>
      </c>
      <c r="L41" s="64" t="s">
        <v>396</v>
      </c>
      <c r="M41" s="55">
        <f>'Overall Load Summary'!L36</f>
        <v>236</v>
      </c>
      <c r="N41" s="55">
        <f>'Overall Load Summary'!M36</f>
        <v>232.43803633332885</v>
      </c>
      <c r="O41" s="55">
        <f>'Overall Load Summary'!N36</f>
        <v>228.50523656891096</v>
      </c>
      <c r="P41" s="55">
        <f>'Overall Load Summary'!O36</f>
        <v>224.63897889988763</v>
      </c>
      <c r="Q41" s="55">
        <f>'Overall Load Summary'!P36</f>
        <v>220.83813744883696</v>
      </c>
      <c r="R41" s="55">
        <f>'Overall Load Summary'!Q36</f>
        <v>217.10160538793207</v>
      </c>
      <c r="S41" s="55">
        <f>'Overall Load Summary'!R36</f>
        <v>213.42829461662623</v>
      </c>
      <c r="T41" s="65">
        <f>'Overall Load Summary'!S36</f>
        <v>209.81713544479143</v>
      </c>
      <c r="V41" s="64" t="s">
        <v>396</v>
      </c>
      <c r="W41" s="55">
        <f>'Overall Load Summary'!L83</f>
        <v>45</v>
      </c>
      <c r="X41" s="55">
        <f>'Overall Load Summary'!M83</f>
        <v>46.339768062420362</v>
      </c>
      <c r="Y41" s="55">
        <f>'Overall Load Summary'!N83</f>
        <v>46.954388192943426</v>
      </c>
      <c r="Z41" s="55">
        <f>'Overall Load Summary'!O83</f>
        <v>47.57716023964214</v>
      </c>
      <c r="AA41" s="55">
        <f>'Overall Load Summary'!P83</f>
        <v>48.208192324157856</v>
      </c>
      <c r="AB41" s="55">
        <f>'Overall Load Summary'!Q83</f>
        <v>48.847594002186185</v>
      </c>
      <c r="AC41" s="55">
        <f>'Overall Load Summary'!R83</f>
        <v>49.495476282497123</v>
      </c>
      <c r="AD41" s="65">
        <f>'Overall Load Summary'!S83</f>
        <v>50.15195164620787</v>
      </c>
    </row>
    <row r="42" spans="2:30" s="362" customFormat="1">
      <c r="B42" s="64" t="s">
        <v>64</v>
      </c>
      <c r="C42" s="55">
        <f>'Overall Load Summary'!L153</f>
        <v>1135</v>
      </c>
      <c r="D42" s="55">
        <f>'Overall Load Summary'!M153</f>
        <v>1126.6947840359858</v>
      </c>
      <c r="E42" s="55">
        <f>'Overall Load Summary'!N153</f>
        <v>1118.5551158030594</v>
      </c>
      <c r="F42" s="55">
        <f>'Overall Load Summary'!O153</f>
        <v>1110.5530895602546</v>
      </c>
      <c r="G42" s="55">
        <f>'Overall Load Summary'!P153</f>
        <v>1102.6999233621343</v>
      </c>
      <c r="H42" s="55">
        <f>'Overall Load Summary'!Q153</f>
        <v>1094.9937611823893</v>
      </c>
      <c r="I42" s="55">
        <f>'Overall Load Summary'!R153</f>
        <v>1087.4327736365515</v>
      </c>
      <c r="J42" s="65">
        <f>'Overall Load Summary'!S153</f>
        <v>1080.0151576195901</v>
      </c>
      <c r="L42" s="64" t="s">
        <v>64</v>
      </c>
      <c r="M42" s="55">
        <f>'Overall Load Summary'!L37</f>
        <v>747</v>
      </c>
      <c r="N42" s="55">
        <f>'Overall Load Summary'!M37</f>
        <v>736.69013751953673</v>
      </c>
      <c r="O42" s="55">
        <f>'Overall Load Summary'!N37</f>
        <v>726.53670049778782</v>
      </c>
      <c r="P42" s="55">
        <f>'Overall Load Summary'!O37</f>
        <v>716.50926613481408</v>
      </c>
      <c r="Q42" s="55">
        <f>'Overall Load Summary'!P37</f>
        <v>706.62022731309071</v>
      </c>
      <c r="R42" s="55">
        <f>'Overall Load Summary'!Q37</f>
        <v>696.86767394025082</v>
      </c>
      <c r="S42" s="55">
        <f>'Overall Load Summary'!R37</f>
        <v>687.24972228642991</v>
      </c>
      <c r="T42" s="65">
        <f>'Overall Load Summary'!S37</f>
        <v>677.76451462041996</v>
      </c>
      <c r="V42" s="64" t="s">
        <v>64</v>
      </c>
      <c r="W42" s="55">
        <f>'Overall Load Summary'!L84</f>
        <v>388</v>
      </c>
      <c r="X42" s="55">
        <f>'Overall Load Summary'!M84</f>
        <v>390.00464651644904</v>
      </c>
      <c r="Y42" s="55">
        <f>'Overall Load Summary'!N84</f>
        <v>392.01841530527156</v>
      </c>
      <c r="Z42" s="55">
        <f>'Overall Load Summary'!O84</f>
        <v>394.04382342544045</v>
      </c>
      <c r="AA42" s="55">
        <f>'Overall Load Summary'!P84</f>
        <v>396.0796960490436</v>
      </c>
      <c r="AB42" s="55">
        <f>'Overall Load Summary'!Q84</f>
        <v>398.12608724213851</v>
      </c>
      <c r="AC42" s="55">
        <f>'Overall Load Summary'!R84</f>
        <v>400.18305135012156</v>
      </c>
      <c r="AD42" s="65">
        <f>'Overall Load Summary'!S84</f>
        <v>402.25064299917022</v>
      </c>
    </row>
    <row r="43" spans="2:30" s="362" customFormat="1" ht="15.75" thickBot="1">
      <c r="B43" s="63" t="s">
        <v>495</v>
      </c>
      <c r="C43" s="62">
        <f>SUM(C34:C42)</f>
        <v>227204</v>
      </c>
      <c r="D43" s="62">
        <f t="shared" ref="D43" ca="1" si="48">SUM(D34:D42)</f>
        <v>231341.88933369936</v>
      </c>
      <c r="E43" s="62">
        <f t="shared" ref="E43" ca="1" si="49">SUM(E34:E42)</f>
        <v>235458.8885373947</v>
      </c>
      <c r="F43" s="62">
        <f t="shared" ref="F43" ca="1" si="50">SUM(F34:F42)</f>
        <v>239618.19516201314</v>
      </c>
      <c r="G43" s="62">
        <f t="shared" ref="G43" ca="1" si="51">SUM(G34:G42)</f>
        <v>243643.10219829468</v>
      </c>
      <c r="H43" s="62">
        <f t="shared" ref="H43" ca="1" si="52">SUM(H34:H42)</f>
        <v>247830.73482137144</v>
      </c>
      <c r="I43" s="62">
        <f t="shared" ref="I43" ca="1" si="53">SUM(I34:I42)</f>
        <v>252164.93509529077</v>
      </c>
      <c r="J43" s="60">
        <f t="shared" ref="J43" ca="1" si="54">SUM(J34:J42)</f>
        <v>256539.74015074834</v>
      </c>
      <c r="L43" s="63" t="s">
        <v>495</v>
      </c>
      <c r="M43" s="62">
        <f>SUM(M34:M42)</f>
        <v>164455</v>
      </c>
      <c r="N43" s="62">
        <f t="shared" ref="N43" ca="1" si="55">SUM(N34:N42)</f>
        <v>167085.2323145222</v>
      </c>
      <c r="O43" s="62">
        <f t="shared" ref="O43" ca="1" si="56">SUM(O34:O42)</f>
        <v>170050.24154162739</v>
      </c>
      <c r="P43" s="62">
        <f t="shared" ref="P43" ca="1" si="57">SUM(P34:P42)</f>
        <v>173007.59023927333</v>
      </c>
      <c r="Q43" s="62">
        <f t="shared" ref="Q43" ca="1" si="58">SUM(Q34:Q42)</f>
        <v>175853.02155130403</v>
      </c>
      <c r="R43" s="62">
        <f t="shared" ref="R43" ca="1" si="59">SUM(R34:R42)</f>
        <v>178792.31631244282</v>
      </c>
      <c r="S43" s="62">
        <f t="shared" ref="S43" ca="1" si="60">SUM(S34:S42)</f>
        <v>181870.64486451293</v>
      </c>
      <c r="T43" s="60">
        <f t="shared" ref="T43" ca="1" si="61">SUM(T34:T42)</f>
        <v>184969.65628157317</v>
      </c>
      <c r="V43" s="63" t="s">
        <v>495</v>
      </c>
      <c r="W43" s="62">
        <f>SUM(W34:W42)</f>
        <v>62749</v>
      </c>
      <c r="X43" s="62">
        <f t="shared" ref="X43:AD43" ca="1" si="62">SUM(X34:X42)</f>
        <v>64256.657019177197</v>
      </c>
      <c r="Y43" s="62">
        <f t="shared" ca="1" si="62"/>
        <v>65408.646995767318</v>
      </c>
      <c r="Z43" s="62">
        <f t="shared" ca="1" si="62"/>
        <v>66610.604922739891</v>
      </c>
      <c r="AA43" s="62">
        <f t="shared" ca="1" si="62"/>
        <v>67790.080646990609</v>
      </c>
      <c r="AB43" s="62">
        <f t="shared" ca="1" si="62"/>
        <v>69038.418508928604</v>
      </c>
      <c r="AC43" s="62">
        <f t="shared" ca="1" si="62"/>
        <v>70294.290230777813</v>
      </c>
      <c r="AD43" s="60">
        <f t="shared" ca="1" si="62"/>
        <v>71570.083869175141</v>
      </c>
    </row>
    <row r="44" spans="2:30" s="362" customFormat="1" ht="15.75" thickBot="1">
      <c r="B44" s="63" t="s">
        <v>524</v>
      </c>
      <c r="C44" s="62">
        <f>SUM(C34:C39)</f>
        <v>179017</v>
      </c>
      <c r="D44" s="62">
        <f t="shared" ref="D44:J44" ca="1" si="63">SUM(D34:D39)</f>
        <v>182688.10508450301</v>
      </c>
      <c r="E44" s="62">
        <f t="shared" ca="1" si="63"/>
        <v>186243.08344293272</v>
      </c>
      <c r="F44" s="62">
        <f t="shared" ca="1" si="63"/>
        <v>189832.81013057847</v>
      </c>
      <c r="G44" s="62">
        <f t="shared" ca="1" si="63"/>
        <v>193280.46841297523</v>
      </c>
      <c r="H44" s="62">
        <f t="shared" ca="1" si="63"/>
        <v>196883.0853736797</v>
      </c>
      <c r="I44" s="62">
        <f t="shared" ca="1" si="63"/>
        <v>200624.40349721431</v>
      </c>
      <c r="J44" s="60">
        <f t="shared" ca="1" si="63"/>
        <v>204398.35882597527</v>
      </c>
      <c r="L44" s="63" t="s">
        <v>524</v>
      </c>
      <c r="M44" s="62">
        <f>SUM(M34:M39)</f>
        <v>130464</v>
      </c>
      <c r="N44" s="62">
        <f t="shared" ref="N44:T44" ca="1" si="64">SUM(N34:N39)</f>
        <v>132907.38387449729</v>
      </c>
      <c r="O44" s="62">
        <f t="shared" ca="1" si="64"/>
        <v>135545.1341243957</v>
      </c>
      <c r="P44" s="62">
        <f t="shared" ca="1" si="64"/>
        <v>138171.52268685558</v>
      </c>
      <c r="Q44" s="62">
        <f t="shared" ca="1" si="64"/>
        <v>140682.24537444353</v>
      </c>
      <c r="R44" s="62">
        <f t="shared" ca="1" si="64"/>
        <v>143283.04960383385</v>
      </c>
      <c r="S44" s="62">
        <f t="shared" ca="1" si="64"/>
        <v>146019.07187920393</v>
      </c>
      <c r="T44" s="60">
        <f t="shared" ca="1" si="64"/>
        <v>148771.92701420101</v>
      </c>
      <c r="V44" s="63" t="s">
        <v>524</v>
      </c>
      <c r="W44" s="62">
        <f>SUM(W34:W39)</f>
        <v>48553</v>
      </c>
      <c r="X44" s="62">
        <f t="shared" ref="X44:AD44" ca="1" si="65">SUM(X34:X39)</f>
        <v>49780.721210005751</v>
      </c>
      <c r="Y44" s="62">
        <f t="shared" ca="1" si="65"/>
        <v>50697.949318537016</v>
      </c>
      <c r="Z44" s="62">
        <f t="shared" ca="1" si="65"/>
        <v>51661.287443722911</v>
      </c>
      <c r="AA44" s="62">
        <f t="shared" ca="1" si="65"/>
        <v>52598.223038531687</v>
      </c>
      <c r="AB44" s="62">
        <f t="shared" ca="1" si="65"/>
        <v>53600.035769845854</v>
      </c>
      <c r="AC44" s="62">
        <f t="shared" ca="1" si="65"/>
        <v>54605.331618010357</v>
      </c>
      <c r="AD44" s="60">
        <f t="shared" ca="1" si="65"/>
        <v>55626.431811774251</v>
      </c>
    </row>
    <row r="45" spans="2:30" s="362" customFormat="1"/>
    <row r="46" spans="2:30" s="362" customFormat="1"/>
    <row r="47" spans="2:30" s="362" customFormat="1">
      <c r="C47" s="447"/>
      <c r="D47" s="447"/>
      <c r="E47" s="447"/>
      <c r="F47" s="447"/>
      <c r="G47" s="447"/>
      <c r="H47" s="447"/>
      <c r="I47" s="447"/>
      <c r="J47" s="447"/>
    </row>
    <row r="48" spans="2:30" s="362" customFormat="1">
      <c r="C48" s="447"/>
      <c r="D48" s="447"/>
      <c r="E48" s="447"/>
      <c r="F48" s="447"/>
      <c r="G48" s="447"/>
      <c r="H48" s="447"/>
      <c r="I48" s="447"/>
      <c r="J48" s="447"/>
    </row>
    <row r="49" spans="3:11" s="362" customFormat="1">
      <c r="C49" s="447"/>
      <c r="D49" s="447"/>
      <c r="E49" s="447"/>
      <c r="F49" s="447"/>
      <c r="G49" s="447"/>
      <c r="H49" s="447"/>
      <c r="I49" s="447"/>
      <c r="J49" s="447"/>
    </row>
    <row r="50" spans="3:11" s="362" customFormat="1">
      <c r="C50" s="447"/>
      <c r="D50" s="447"/>
      <c r="E50" s="447"/>
      <c r="F50" s="447"/>
      <c r="G50" s="447"/>
      <c r="H50" s="447"/>
      <c r="I50" s="447"/>
      <c r="J50" s="447"/>
      <c r="K50" s="675"/>
    </row>
    <row r="51" spans="3:11" s="362" customFormat="1">
      <c r="C51" s="447"/>
      <c r="D51" s="447"/>
      <c r="E51" s="447"/>
      <c r="F51" s="447"/>
      <c r="G51" s="447"/>
      <c r="H51" s="447"/>
      <c r="I51" s="447"/>
      <c r="J51" s="447"/>
      <c r="K51" s="675"/>
    </row>
    <row r="52" spans="3:11" s="362" customFormat="1">
      <c r="C52" s="447"/>
      <c r="D52" s="447"/>
      <c r="E52" s="447"/>
      <c r="F52" s="447"/>
      <c r="G52" s="447"/>
      <c r="H52" s="447"/>
      <c r="I52" s="447"/>
      <c r="J52" s="447"/>
      <c r="K52" s="675"/>
    </row>
    <row r="53" spans="3:11" s="362" customFormat="1">
      <c r="C53" s="447"/>
      <c r="D53" s="447"/>
      <c r="E53" s="447"/>
      <c r="F53" s="447"/>
      <c r="G53" s="447"/>
      <c r="H53" s="447"/>
      <c r="I53" s="447"/>
      <c r="J53" s="447"/>
      <c r="K53" s="675"/>
    </row>
    <row r="54" spans="3:11" s="362" customFormat="1">
      <c r="C54" s="447"/>
      <c r="D54" s="447"/>
      <c r="E54" s="447"/>
      <c r="F54" s="447"/>
      <c r="G54" s="447"/>
      <c r="H54" s="447"/>
      <c r="I54" s="447"/>
      <c r="J54" s="447"/>
      <c r="K54" s="675"/>
    </row>
    <row r="55" spans="3:11" s="362" customFormat="1">
      <c r="C55" s="447"/>
      <c r="D55" s="447"/>
      <c r="E55" s="447"/>
      <c r="F55" s="447"/>
      <c r="G55" s="447"/>
      <c r="H55" s="447"/>
      <c r="I55" s="447"/>
      <c r="J55" s="447"/>
      <c r="K55" s="675"/>
    </row>
    <row r="56" spans="3:11" s="362" customFormat="1">
      <c r="C56" s="447"/>
      <c r="D56" s="447"/>
      <c r="E56" s="447"/>
      <c r="F56" s="447"/>
      <c r="G56" s="447"/>
      <c r="H56" s="447"/>
      <c r="I56" s="447"/>
      <c r="J56" s="447"/>
      <c r="K56" s="675"/>
    </row>
    <row r="57" spans="3:11" s="362" customFormat="1">
      <c r="C57" s="447"/>
      <c r="D57" s="447"/>
      <c r="E57" s="447"/>
      <c r="F57" s="447"/>
      <c r="G57" s="447"/>
      <c r="H57" s="447"/>
      <c r="I57" s="447"/>
      <c r="J57" s="447"/>
      <c r="K57" s="675"/>
    </row>
    <row r="58" spans="3:11" s="362" customFormat="1">
      <c r="C58" s="447"/>
      <c r="D58" s="447"/>
      <c r="E58" s="447"/>
      <c r="F58" s="447"/>
      <c r="G58" s="447"/>
      <c r="H58" s="447"/>
      <c r="I58" s="447"/>
      <c r="J58" s="447"/>
    </row>
    <row r="59" spans="3:11" s="362" customFormat="1">
      <c r="C59" s="447"/>
      <c r="D59" s="447"/>
      <c r="E59" s="447"/>
      <c r="F59" s="447"/>
      <c r="G59" s="447"/>
      <c r="H59" s="447"/>
      <c r="I59" s="447"/>
      <c r="J59" s="447"/>
    </row>
    <row r="60" spans="3:11" s="362" customFormat="1">
      <c r="C60" s="447"/>
      <c r="D60" s="447"/>
      <c r="E60" s="447"/>
      <c r="F60" s="447"/>
      <c r="G60" s="447"/>
      <c r="H60" s="447"/>
      <c r="I60" s="447"/>
      <c r="J60" s="447"/>
    </row>
    <row r="61" spans="3:11" s="362" customFormat="1">
      <c r="C61" s="447"/>
      <c r="D61" s="447"/>
      <c r="E61" s="447"/>
      <c r="F61" s="447"/>
      <c r="G61" s="447"/>
      <c r="H61" s="447"/>
      <c r="I61" s="447"/>
      <c r="J61" s="447"/>
    </row>
    <row r="62" spans="3:11" s="362" customFormat="1">
      <c r="C62" s="447"/>
      <c r="D62" s="447"/>
      <c r="E62" s="447"/>
      <c r="F62" s="447"/>
      <c r="G62" s="447"/>
      <c r="H62" s="447"/>
      <c r="I62" s="447"/>
      <c r="J62" s="447"/>
    </row>
    <row r="63" spans="3:11" s="362" customFormat="1">
      <c r="C63" s="447"/>
      <c r="D63" s="447"/>
      <c r="E63" s="447"/>
      <c r="F63" s="447"/>
      <c r="G63" s="447"/>
      <c r="H63" s="447"/>
      <c r="I63" s="447"/>
      <c r="J63" s="447"/>
    </row>
    <row r="64" spans="3:11">
      <c r="C64" s="447"/>
      <c r="D64" s="447"/>
      <c r="E64" s="447"/>
      <c r="F64" s="447"/>
      <c r="G64" s="447"/>
      <c r="H64" s="447"/>
      <c r="I64" s="447"/>
      <c r="J64" s="447"/>
    </row>
    <row r="65" spans="3:10">
      <c r="C65" s="447"/>
      <c r="D65" s="447"/>
      <c r="E65" s="447"/>
      <c r="F65" s="447"/>
      <c r="G65" s="447"/>
      <c r="H65" s="447"/>
      <c r="I65" s="447"/>
      <c r="J65" s="447"/>
    </row>
    <row r="66" spans="3:10">
      <c r="C66" s="447"/>
      <c r="D66" s="447"/>
      <c r="E66" s="447"/>
      <c r="F66" s="447"/>
      <c r="G66" s="447"/>
      <c r="H66" s="447"/>
      <c r="I66" s="447"/>
      <c r="J66" s="447"/>
    </row>
    <row r="67" spans="3:10">
      <c r="C67" s="447"/>
      <c r="D67" s="447"/>
      <c r="E67" s="447"/>
      <c r="F67" s="447"/>
      <c r="G67" s="447"/>
      <c r="H67" s="447"/>
      <c r="I67" s="447"/>
      <c r="J67" s="447"/>
    </row>
    <row r="68" spans="3:10">
      <c r="C68" s="447"/>
      <c r="D68" s="447"/>
      <c r="E68" s="447"/>
      <c r="F68" s="447"/>
      <c r="G68" s="447"/>
      <c r="H68" s="447"/>
      <c r="I68" s="447"/>
      <c r="J68" s="447"/>
    </row>
    <row r="69" spans="3:10">
      <c r="C69" s="447"/>
      <c r="D69" s="447"/>
      <c r="E69" s="447"/>
      <c r="F69" s="447"/>
      <c r="G69" s="447"/>
      <c r="H69" s="447"/>
      <c r="I69" s="447"/>
      <c r="J69" s="447"/>
    </row>
    <row r="70" spans="3:10">
      <c r="C70" s="447"/>
      <c r="D70" s="447"/>
      <c r="E70" s="447"/>
      <c r="F70" s="447"/>
      <c r="G70" s="447"/>
      <c r="H70" s="447"/>
      <c r="I70" s="447"/>
      <c r="J70" s="447"/>
    </row>
    <row r="71" spans="3:10">
      <c r="C71" s="447"/>
      <c r="D71" s="447"/>
      <c r="E71" s="447"/>
      <c r="F71" s="447"/>
      <c r="G71" s="447"/>
      <c r="H71" s="447"/>
      <c r="I71" s="447"/>
      <c r="J71" s="447"/>
    </row>
    <row r="72" spans="3:10">
      <c r="C72" s="447"/>
      <c r="D72" s="447"/>
      <c r="E72" s="447"/>
      <c r="F72" s="447"/>
      <c r="G72" s="447"/>
      <c r="H72" s="447"/>
      <c r="I72" s="447"/>
      <c r="J72" s="447"/>
    </row>
    <row r="73" spans="3:10">
      <c r="C73" s="447"/>
      <c r="D73" s="447"/>
      <c r="E73" s="447"/>
      <c r="F73" s="447"/>
      <c r="G73" s="447"/>
      <c r="H73" s="447"/>
      <c r="I73" s="447"/>
      <c r="J73" s="447"/>
    </row>
    <row r="74" spans="3:10">
      <c r="C74" s="447"/>
      <c r="D74" s="447"/>
      <c r="E74" s="447"/>
      <c r="F74" s="447"/>
      <c r="G74" s="447"/>
      <c r="H74" s="447"/>
      <c r="I74" s="447"/>
      <c r="J74" s="447"/>
    </row>
    <row r="75" spans="3:10">
      <c r="C75" s="447"/>
      <c r="D75" s="447"/>
      <c r="E75" s="447"/>
      <c r="F75" s="447"/>
      <c r="G75" s="447"/>
      <c r="H75" s="447"/>
      <c r="I75" s="447"/>
      <c r="J75" s="447"/>
    </row>
    <row r="76" spans="3:10">
      <c r="C76" s="447"/>
      <c r="D76" s="447"/>
      <c r="E76" s="447"/>
      <c r="F76" s="447"/>
      <c r="G76" s="447"/>
      <c r="H76" s="447"/>
      <c r="I76" s="447"/>
      <c r="J76" s="447"/>
    </row>
    <row r="77" spans="3:10">
      <c r="C77" s="447"/>
      <c r="D77" s="447"/>
      <c r="E77" s="447"/>
      <c r="F77" s="447"/>
      <c r="G77" s="447"/>
      <c r="H77" s="447"/>
      <c r="I77" s="447"/>
      <c r="J77" s="447"/>
    </row>
  </sheetData>
  <mergeCells count="1">
    <mergeCell ref="B2:J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4B7E-D205-41FE-958A-DA3203242600}">
  <sheetPr codeName="Sheet13">
    <tabColor theme="9" tint="0.79998168889431442"/>
  </sheetPr>
  <dimension ref="A1:V122"/>
  <sheetViews>
    <sheetView workbookViewId="0"/>
  </sheetViews>
  <sheetFormatPr defaultRowHeight="15"/>
  <cols>
    <col min="4" max="4" width="27.5703125" customWidth="1"/>
    <col min="6" max="6" width="8.5703125" style="3"/>
    <col min="7" max="7" width="8.5703125" customWidth="1"/>
    <col min="8" max="8" width="13.5703125" bestFit="1" customWidth="1"/>
    <col min="9" max="10" width="11.42578125" bestFit="1" customWidth="1"/>
    <col min="11" max="13" width="12.5703125" customWidth="1"/>
    <col min="14" max="14" width="12" customWidth="1"/>
    <col min="19" max="19" width="13.5703125" bestFit="1" customWidth="1"/>
    <col min="20" max="20" width="12.5703125" bestFit="1" customWidth="1"/>
    <col min="21" max="21" width="13.5703125" bestFit="1" customWidth="1"/>
    <col min="22" max="22" width="8.5703125" bestFit="1" customWidth="1"/>
  </cols>
  <sheetData>
    <row r="1" spans="1:22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Data'!AD1</f>
        <v>VRZ_GS3000to4999kWh_No_CDM</v>
      </c>
      <c r="E1" s="760" t="str">
        <f>'Monthly Data'!DL1</f>
        <v>OEA_GDP</v>
      </c>
      <c r="F1" s="760" t="str">
        <f>'Monthly Data'!DR1</f>
        <v>Peak Days</v>
      </c>
      <c r="G1" s="760"/>
      <c r="H1" s="760" t="str">
        <f>R8</f>
        <v>const</v>
      </c>
      <c r="I1" s="760" t="str">
        <f>E1</f>
        <v>OEA_GDP</v>
      </c>
      <c r="J1" s="760" t="str">
        <f>F1</f>
        <v>Peak Days</v>
      </c>
      <c r="K1" s="760" t="s">
        <v>424</v>
      </c>
      <c r="L1" s="760" t="s">
        <v>632</v>
      </c>
      <c r="M1" s="760" t="s">
        <v>633</v>
      </c>
      <c r="N1" s="760" t="s">
        <v>425</v>
      </c>
      <c r="O1" s="760"/>
    </row>
    <row r="2" spans="1:22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Data'!AD2</f>
        <v>7337573.8113254756</v>
      </c>
      <c r="E2" s="3">
        <f>'Monthly Data'!DL2</f>
        <v>718587</v>
      </c>
      <c r="F2" s="3">
        <f>'Monthly Data'!DR2</f>
        <v>21</v>
      </c>
      <c r="H2" s="3">
        <f t="shared" ref="H2:H33" si="0">$S$8</f>
        <v>-5284416</v>
      </c>
      <c r="I2" s="3">
        <f t="shared" ref="I2:I33" si="1">E2*$S$9</f>
        <v>8770936.39047</v>
      </c>
      <c r="J2" s="3">
        <f t="shared" ref="J2:J33" si="2">F2*$S$10</f>
        <v>3518214</v>
      </c>
      <c r="K2" s="47">
        <f t="shared" ref="K2:K21" si="3">SUM(H2:J2)</f>
        <v>7004734.39047</v>
      </c>
      <c r="L2" s="47">
        <f>'Monthly Data'!AE2</f>
        <v>0</v>
      </c>
      <c r="M2" s="47">
        <f t="shared" ref="M2:M54" si="4">K2+L2</f>
        <v>7004734.39047</v>
      </c>
      <c r="N2" s="47">
        <f t="shared" ref="N2:N54" si="5">M2-D2</f>
        <v>-332839.42085547559</v>
      </c>
      <c r="O2" s="18">
        <f t="shared" ref="O2:O21" si="6">ABS(N2/D2)</f>
        <v>4.5360963911768915E-2</v>
      </c>
    </row>
    <row r="3" spans="1:22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Data'!AD3</f>
        <v>6908695.2852855837</v>
      </c>
      <c r="E3" s="3">
        <f>'Monthly Data'!DL3</f>
        <v>718587</v>
      </c>
      <c r="F3" s="3">
        <f>'Monthly Data'!DR3</f>
        <v>19</v>
      </c>
      <c r="H3" s="3">
        <f t="shared" si="0"/>
        <v>-5284416</v>
      </c>
      <c r="I3" s="3">
        <f t="shared" si="1"/>
        <v>8770936.39047</v>
      </c>
      <c r="J3" s="3">
        <f t="shared" si="2"/>
        <v>3183146</v>
      </c>
      <c r="K3" s="47">
        <f t="shared" si="3"/>
        <v>6669666.39047</v>
      </c>
      <c r="L3" s="47">
        <f>'Monthly Data'!AE3</f>
        <v>0</v>
      </c>
      <c r="M3" s="47">
        <f t="shared" si="4"/>
        <v>6669666.39047</v>
      </c>
      <c r="N3" s="47">
        <f t="shared" si="5"/>
        <v>-239028.89481558371</v>
      </c>
      <c r="O3" s="18">
        <f t="shared" si="6"/>
        <v>3.4598268550746047E-2</v>
      </c>
      <c r="R3" s="684" t="s">
        <v>556</v>
      </c>
      <c r="S3" s="684"/>
      <c r="T3" s="684"/>
      <c r="U3" s="684"/>
      <c r="V3" s="684"/>
    </row>
    <row r="4" spans="1:22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Data'!AD4</f>
        <v>7383260.6835694443</v>
      </c>
      <c r="E4" s="3">
        <f>'Monthly Data'!DL4</f>
        <v>718587</v>
      </c>
      <c r="F4" s="3">
        <f>'Monthly Data'!DR4</f>
        <v>22</v>
      </c>
      <c r="H4" s="3">
        <f t="shared" si="0"/>
        <v>-5284416</v>
      </c>
      <c r="I4" s="3">
        <f t="shared" si="1"/>
        <v>8770936.39047</v>
      </c>
      <c r="J4" s="3">
        <f t="shared" si="2"/>
        <v>3685748</v>
      </c>
      <c r="K4" s="47">
        <f t="shared" si="3"/>
        <v>7172268.39047</v>
      </c>
      <c r="L4" s="47">
        <f>'Monthly Data'!AE4</f>
        <v>0</v>
      </c>
      <c r="M4" s="47">
        <f t="shared" si="4"/>
        <v>7172268.39047</v>
      </c>
      <c r="N4" s="47">
        <f t="shared" si="5"/>
        <v>-210992.29309944436</v>
      </c>
      <c r="O4" s="18">
        <f t="shared" si="6"/>
        <v>2.8577115469995831E-2</v>
      </c>
      <c r="R4" s="684" t="s">
        <v>694</v>
      </c>
      <c r="S4" s="684"/>
      <c r="T4" s="684"/>
      <c r="U4" s="684"/>
      <c r="V4" s="684"/>
    </row>
    <row r="5" spans="1:22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Data'!AD5</f>
        <v>7204369.4118533041</v>
      </c>
      <c r="E5" s="3">
        <f>'Monthly Data'!DL5</f>
        <v>723726</v>
      </c>
      <c r="F5" s="3">
        <f>'Monthly Data'!DR5</f>
        <v>20</v>
      </c>
      <c r="H5" s="3">
        <f t="shared" si="0"/>
        <v>-5284416</v>
      </c>
      <c r="I5" s="3">
        <f t="shared" si="1"/>
        <v>8833662.0480599999</v>
      </c>
      <c r="J5" s="3">
        <f t="shared" si="2"/>
        <v>3350680</v>
      </c>
      <c r="K5" s="47">
        <f t="shared" si="3"/>
        <v>6899926.0480599999</v>
      </c>
      <c r="L5" s="47">
        <f>'Monthly Data'!AE5</f>
        <v>0</v>
      </c>
      <c r="M5" s="47">
        <f t="shared" si="4"/>
        <v>6899926.0480599999</v>
      </c>
      <c r="N5" s="47">
        <f t="shared" si="5"/>
        <v>-304443.36379330419</v>
      </c>
      <c r="O5" s="18">
        <f t="shared" si="6"/>
        <v>4.2258155626001825E-2</v>
      </c>
      <c r="R5" s="684" t="s">
        <v>695</v>
      </c>
      <c r="S5" s="684"/>
      <c r="T5" s="684"/>
      <c r="U5" s="684"/>
      <c r="V5" s="684"/>
    </row>
    <row r="6" spans="1:22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Data'!AD6</f>
        <v>7345884.0401371643</v>
      </c>
      <c r="E6" s="3">
        <f>'Monthly Data'!DL6</f>
        <v>723726</v>
      </c>
      <c r="F6" s="3">
        <f>'Monthly Data'!DR6</f>
        <v>20</v>
      </c>
      <c r="H6" s="3">
        <f t="shared" si="0"/>
        <v>-5284416</v>
      </c>
      <c r="I6" s="3">
        <f t="shared" si="1"/>
        <v>8833662.0480599999</v>
      </c>
      <c r="J6" s="3">
        <f t="shared" si="2"/>
        <v>3350680</v>
      </c>
      <c r="K6" s="47">
        <f t="shared" si="3"/>
        <v>6899926.0480599999</v>
      </c>
      <c r="L6" s="47">
        <f>'Monthly Data'!AE6</f>
        <v>0</v>
      </c>
      <c r="M6" s="47">
        <f t="shared" si="4"/>
        <v>6899926.0480599999</v>
      </c>
      <c r="N6" s="47">
        <f t="shared" si="5"/>
        <v>-445957.99207716435</v>
      </c>
      <c r="O6" s="18">
        <f t="shared" si="6"/>
        <v>6.0708553203466756E-2</v>
      </c>
      <c r="R6" s="685"/>
      <c r="S6" s="685"/>
      <c r="T6" s="685"/>
      <c r="U6" s="685"/>
      <c r="V6" s="685"/>
    </row>
    <row r="7" spans="1:22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Data'!AD7</f>
        <v>7533903.6284210244</v>
      </c>
      <c r="E7" s="3">
        <f>'Monthly Data'!DL7</f>
        <v>723726</v>
      </c>
      <c r="F7" s="3">
        <f>'Monthly Data'!DR7</f>
        <v>22</v>
      </c>
      <c r="H7" s="3">
        <f t="shared" si="0"/>
        <v>-5284416</v>
      </c>
      <c r="I7" s="3">
        <f t="shared" si="1"/>
        <v>8833662.0480599999</v>
      </c>
      <c r="J7" s="3">
        <f t="shared" si="2"/>
        <v>3685748</v>
      </c>
      <c r="K7" s="47">
        <f t="shared" si="3"/>
        <v>7234994.0480599999</v>
      </c>
      <c r="L7" s="47">
        <f>'Monthly Data'!AE7</f>
        <v>0</v>
      </c>
      <c r="M7" s="47">
        <f t="shared" si="4"/>
        <v>7234994.0480599999</v>
      </c>
      <c r="N7" s="47">
        <f t="shared" si="5"/>
        <v>-298909.58036102448</v>
      </c>
      <c r="O7" s="18">
        <f t="shared" si="6"/>
        <v>3.9675259348077266E-2</v>
      </c>
      <c r="R7" s="685"/>
      <c r="S7" s="685" t="s">
        <v>409</v>
      </c>
      <c r="T7" s="685" t="s">
        <v>410</v>
      </c>
      <c r="U7" s="685" t="s">
        <v>411</v>
      </c>
      <c r="V7" s="685" t="s">
        <v>412</v>
      </c>
    </row>
    <row r="8" spans="1:22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Data'!AD8</f>
        <v>6691934.4867048832</v>
      </c>
      <c r="E8" s="3">
        <f>'Monthly Data'!DL8</f>
        <v>730341</v>
      </c>
      <c r="F8" s="3">
        <f>'Monthly Data'!DR8</f>
        <v>22</v>
      </c>
      <c r="H8" s="3">
        <f t="shared" si="0"/>
        <v>-5284416</v>
      </c>
      <c r="I8" s="3">
        <f t="shared" si="1"/>
        <v>8914403.481209999</v>
      </c>
      <c r="J8" s="3">
        <f t="shared" si="2"/>
        <v>3685748</v>
      </c>
      <c r="K8" s="47">
        <f t="shared" si="3"/>
        <v>7315735.481209999</v>
      </c>
      <c r="L8" s="47">
        <f>'Monthly Data'!AE8</f>
        <v>0</v>
      </c>
      <c r="M8" s="47">
        <f t="shared" si="4"/>
        <v>7315735.481209999</v>
      </c>
      <c r="N8" s="47">
        <f t="shared" si="5"/>
        <v>623800.99450511578</v>
      </c>
      <c r="O8" s="18">
        <f t="shared" si="6"/>
        <v>9.3216841220493799E-2</v>
      </c>
      <c r="R8" s="685" t="s">
        <v>413</v>
      </c>
      <c r="S8" s="686">
        <v>-5284416</v>
      </c>
      <c r="T8" s="686">
        <v>1850569</v>
      </c>
      <c r="U8" s="687">
        <v>-2.8555600000000001</v>
      </c>
      <c r="V8" s="694">
        <v>5.084E-3</v>
      </c>
    </row>
    <row r="9" spans="1:22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Data'!AD9</f>
        <v>6837981.5249887435</v>
      </c>
      <c r="E9" s="3">
        <f>'Monthly Data'!DL9</f>
        <v>730341</v>
      </c>
      <c r="F9" s="3">
        <f>'Monthly Data'!DR9</f>
        <v>20</v>
      </c>
      <c r="H9" s="3">
        <f t="shared" si="0"/>
        <v>-5284416</v>
      </c>
      <c r="I9" s="3">
        <f t="shared" si="1"/>
        <v>8914403.481209999</v>
      </c>
      <c r="J9" s="3">
        <f t="shared" si="2"/>
        <v>3350680</v>
      </c>
      <c r="K9" s="47">
        <f t="shared" si="3"/>
        <v>6980667.481209999</v>
      </c>
      <c r="L9" s="47">
        <f>'Monthly Data'!AE9</f>
        <v>0</v>
      </c>
      <c r="M9" s="47">
        <f t="shared" si="4"/>
        <v>6980667.481209999</v>
      </c>
      <c r="N9" s="47">
        <f t="shared" si="5"/>
        <v>142685.95622125547</v>
      </c>
      <c r="O9" s="18">
        <f t="shared" si="6"/>
        <v>2.0866677644539314E-2</v>
      </c>
      <c r="R9" s="685" t="s">
        <v>129</v>
      </c>
      <c r="S9" s="687">
        <v>12.20581</v>
      </c>
      <c r="T9" s="687">
        <v>2.2256680000000002</v>
      </c>
      <c r="U9" s="687">
        <v>5.4841100000000003</v>
      </c>
      <c r="V9" s="694">
        <v>2.4299999999999999E-7</v>
      </c>
    </row>
    <row r="10" spans="1:22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Data'!AD10</f>
        <v>6292292.093272604</v>
      </c>
      <c r="E10" s="3">
        <f>'Monthly Data'!DL10</f>
        <v>730341</v>
      </c>
      <c r="F10" s="3">
        <f>'Monthly Data'!DR10</f>
        <v>21</v>
      </c>
      <c r="H10" s="3">
        <f t="shared" si="0"/>
        <v>-5284416</v>
      </c>
      <c r="I10" s="3">
        <f t="shared" si="1"/>
        <v>8914403.481209999</v>
      </c>
      <c r="J10" s="3">
        <f t="shared" si="2"/>
        <v>3518214</v>
      </c>
      <c r="K10" s="47">
        <f t="shared" si="3"/>
        <v>7148201.481209999</v>
      </c>
      <c r="L10" s="47">
        <f>'Monthly Data'!AE10</f>
        <v>0</v>
      </c>
      <c r="M10" s="47">
        <f t="shared" si="4"/>
        <v>7148201.481209999</v>
      </c>
      <c r="N10" s="47">
        <f t="shared" si="5"/>
        <v>855909.3879373949</v>
      </c>
      <c r="O10" s="18">
        <f t="shared" si="6"/>
        <v>0.13602505656920938</v>
      </c>
      <c r="R10" s="685" t="s">
        <v>428</v>
      </c>
      <c r="S10" s="686">
        <v>167534</v>
      </c>
      <c r="T10" s="686">
        <v>23327.61</v>
      </c>
      <c r="U10" s="687">
        <v>7.1817890000000002</v>
      </c>
      <c r="V10" s="694">
        <v>6.8700000000000006E-11</v>
      </c>
    </row>
    <row r="11" spans="1:22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Data'!AD11</f>
        <v>6565647.9515564637</v>
      </c>
      <c r="E11" s="3">
        <f>'Monthly Data'!DL11</f>
        <v>737784</v>
      </c>
      <c r="F11" s="3">
        <f>'Monthly Data'!DR11</f>
        <v>21</v>
      </c>
      <c r="H11" s="3">
        <f t="shared" si="0"/>
        <v>-5284416</v>
      </c>
      <c r="I11" s="3">
        <f t="shared" si="1"/>
        <v>9005251.3250399996</v>
      </c>
      <c r="J11" s="3">
        <f t="shared" si="2"/>
        <v>3518214</v>
      </c>
      <c r="K11" s="47">
        <f t="shared" si="3"/>
        <v>7239049.3250399996</v>
      </c>
      <c r="L11" s="47">
        <f>'Monthly Data'!AE11</f>
        <v>0</v>
      </c>
      <c r="M11" s="47">
        <f t="shared" si="4"/>
        <v>7239049.3250399996</v>
      </c>
      <c r="N11" s="47">
        <f t="shared" si="5"/>
        <v>673401.37348353583</v>
      </c>
      <c r="O11" s="18">
        <f t="shared" si="6"/>
        <v>0.10256434375588142</v>
      </c>
      <c r="R11" s="685"/>
      <c r="S11" s="686"/>
      <c r="T11" s="686"/>
      <c r="U11" s="687"/>
      <c r="V11" s="688"/>
    </row>
    <row r="12" spans="1:22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Data'!AD12</f>
        <v>6894651.1298403237</v>
      </c>
      <c r="E12" s="3">
        <f>'Monthly Data'!DL12</f>
        <v>737784</v>
      </c>
      <c r="F12" s="3">
        <f>'Monthly Data'!DR12</f>
        <v>21</v>
      </c>
      <c r="H12" s="3">
        <f t="shared" si="0"/>
        <v>-5284416</v>
      </c>
      <c r="I12" s="3">
        <f t="shared" si="1"/>
        <v>9005251.3250399996</v>
      </c>
      <c r="J12" s="3">
        <f t="shared" si="2"/>
        <v>3518214</v>
      </c>
      <c r="K12" s="47">
        <f t="shared" si="3"/>
        <v>7239049.3250399996</v>
      </c>
      <c r="L12" s="47">
        <f>'Monthly Data'!AE12</f>
        <v>0</v>
      </c>
      <c r="M12" s="47">
        <f t="shared" si="4"/>
        <v>7239049.3250399996</v>
      </c>
      <c r="N12" s="47">
        <f t="shared" si="5"/>
        <v>344398.19519967586</v>
      </c>
      <c r="O12" s="18">
        <f t="shared" si="6"/>
        <v>4.9951504247851906E-2</v>
      </c>
      <c r="R12" s="691" t="s">
        <v>407</v>
      </c>
      <c r="S12" s="692"/>
      <c r="T12" s="692"/>
      <c r="U12" s="693"/>
      <c r="V12" s="688"/>
    </row>
    <row r="13" spans="1:22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Data'!AD13</f>
        <v>6213677.9281241829</v>
      </c>
      <c r="E13" s="3">
        <f>'Monthly Data'!DL13</f>
        <v>737784</v>
      </c>
      <c r="F13" s="3">
        <f>'Monthly Data'!DR13</f>
        <v>21</v>
      </c>
      <c r="H13" s="3">
        <f t="shared" si="0"/>
        <v>-5284416</v>
      </c>
      <c r="I13" s="3">
        <f t="shared" si="1"/>
        <v>9005251.3250399996</v>
      </c>
      <c r="J13" s="3">
        <f t="shared" si="2"/>
        <v>3518214</v>
      </c>
      <c r="K13" s="47">
        <f t="shared" si="3"/>
        <v>7239049.3250399996</v>
      </c>
      <c r="L13" s="47">
        <f>'Monthly Data'!AE13</f>
        <v>0</v>
      </c>
      <c r="M13" s="47">
        <f t="shared" si="4"/>
        <v>7239049.3250399996</v>
      </c>
      <c r="N13" s="47">
        <f t="shared" si="5"/>
        <v>1025371.3969158167</v>
      </c>
      <c r="O13" s="18">
        <f t="shared" si="6"/>
        <v>0.1650184333299298</v>
      </c>
      <c r="R13" s="685" t="s">
        <v>415</v>
      </c>
      <c r="S13" s="689">
        <v>20700000000000</v>
      </c>
      <c r="T13" s="685" t="s">
        <v>416</v>
      </c>
      <c r="U13" s="686">
        <v>420841.4</v>
      </c>
      <c r="V13" s="108"/>
    </row>
    <row r="14" spans="1:22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Data'!AD14</f>
        <v>7082126.2640876807</v>
      </c>
      <c r="E14" s="3">
        <f>'Monthly Data'!DL14</f>
        <v>743287</v>
      </c>
      <c r="F14" s="3">
        <f>'Monthly Data'!DR14</f>
        <v>20</v>
      </c>
      <c r="H14" s="3">
        <f t="shared" si="0"/>
        <v>-5284416</v>
      </c>
      <c r="I14" s="3">
        <f t="shared" si="1"/>
        <v>9072419.8974699993</v>
      </c>
      <c r="J14" s="3">
        <f t="shared" si="2"/>
        <v>3350680</v>
      </c>
      <c r="K14" s="47">
        <f t="shared" si="3"/>
        <v>7138683.8974699993</v>
      </c>
      <c r="L14" s="47">
        <f>'Monthly Data'!AE14</f>
        <v>0</v>
      </c>
      <c r="M14" s="47">
        <f t="shared" si="4"/>
        <v>7138683.8974699993</v>
      </c>
      <c r="N14" s="47">
        <f t="shared" si="5"/>
        <v>56557.633382318541</v>
      </c>
      <c r="O14" s="18">
        <f t="shared" si="6"/>
        <v>7.9859679527479153E-3</v>
      </c>
      <c r="R14" s="685" t="s">
        <v>417</v>
      </c>
      <c r="S14" s="690">
        <v>0.82239099999999998</v>
      </c>
      <c r="T14" s="685" t="s">
        <v>418</v>
      </c>
      <c r="U14" s="690">
        <v>0.81935500000000006</v>
      </c>
      <c r="V14" s="108"/>
    </row>
    <row r="15" spans="1:22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Data'!AD15</f>
        <v>6440881.7042909777</v>
      </c>
      <c r="E15" s="3">
        <f>'Monthly Data'!DL15</f>
        <v>743287</v>
      </c>
      <c r="F15" s="3">
        <f>'Monthly Data'!DR15</f>
        <v>20</v>
      </c>
      <c r="H15" s="3">
        <f t="shared" si="0"/>
        <v>-5284416</v>
      </c>
      <c r="I15" s="3">
        <f t="shared" si="1"/>
        <v>9072419.8974699993</v>
      </c>
      <c r="J15" s="3">
        <f t="shared" si="2"/>
        <v>3350680</v>
      </c>
      <c r="K15" s="47">
        <f t="shared" si="3"/>
        <v>7138683.8974699993</v>
      </c>
      <c r="L15" s="47">
        <f>'Monthly Data'!AE15</f>
        <v>0</v>
      </c>
      <c r="M15" s="47">
        <f t="shared" si="4"/>
        <v>7138683.8974699993</v>
      </c>
      <c r="N15" s="47">
        <f t="shared" si="5"/>
        <v>697802.19317902159</v>
      </c>
      <c r="O15" s="18">
        <f t="shared" si="6"/>
        <v>0.10833954499026725</v>
      </c>
      <c r="R15" s="685" t="s">
        <v>558</v>
      </c>
      <c r="S15" s="687">
        <v>63.239429999999999</v>
      </c>
      <c r="T15" s="685" t="s">
        <v>419</v>
      </c>
      <c r="U15" s="690">
        <v>2.4000000000000002E-19</v>
      </c>
      <c r="V15" s="108"/>
    </row>
    <row r="16" spans="1:22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Data'!AD16</f>
        <v>6559757.1344942749</v>
      </c>
      <c r="E16" s="3">
        <f>'Monthly Data'!DL16</f>
        <v>743287</v>
      </c>
      <c r="F16" s="3">
        <f>'Monthly Data'!DR16</f>
        <v>21</v>
      </c>
      <c r="H16" s="3">
        <f t="shared" si="0"/>
        <v>-5284416</v>
      </c>
      <c r="I16" s="3">
        <f t="shared" si="1"/>
        <v>9072419.8974699993</v>
      </c>
      <c r="J16" s="3">
        <f t="shared" si="2"/>
        <v>3518214</v>
      </c>
      <c r="K16" s="47">
        <f t="shared" si="3"/>
        <v>7306217.8974699993</v>
      </c>
      <c r="L16" s="47">
        <f>'Monthly Data'!AE16</f>
        <v>0</v>
      </c>
      <c r="M16" s="47">
        <f t="shared" si="4"/>
        <v>7306217.8974699993</v>
      </c>
      <c r="N16" s="47">
        <f t="shared" si="5"/>
        <v>746460.76297572441</v>
      </c>
      <c r="O16" s="18">
        <f t="shared" si="6"/>
        <v>0.11379396335429617</v>
      </c>
      <c r="R16" s="685" t="s">
        <v>420</v>
      </c>
      <c r="S16" s="690">
        <v>-0.15376999999999999</v>
      </c>
      <c r="T16" s="685" t="s">
        <v>421</v>
      </c>
      <c r="U16" s="690">
        <v>2.3044850000000001</v>
      </c>
    </row>
    <row r="17" spans="1:21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Data'!AD17</f>
        <v>6726899.6046975721</v>
      </c>
      <c r="E17" s="3">
        <f>'Monthly Data'!DL17</f>
        <v>740632</v>
      </c>
      <c r="F17" s="3">
        <f>'Monthly Data'!DR17</f>
        <v>21</v>
      </c>
      <c r="H17" s="3">
        <f t="shared" si="0"/>
        <v>-5284416</v>
      </c>
      <c r="I17" s="3">
        <f t="shared" si="1"/>
        <v>9040013.4719200004</v>
      </c>
      <c r="J17" s="3">
        <f t="shared" si="2"/>
        <v>3518214</v>
      </c>
      <c r="K17" s="47">
        <f t="shared" si="3"/>
        <v>7273811.4719200004</v>
      </c>
      <c r="L17" s="47">
        <f>'Monthly Data'!AE17</f>
        <v>0</v>
      </c>
      <c r="M17" s="47">
        <f t="shared" si="4"/>
        <v>7273811.4719200004</v>
      </c>
      <c r="N17" s="47">
        <f t="shared" si="5"/>
        <v>546911.86722242832</v>
      </c>
      <c r="O17" s="18">
        <f t="shared" si="6"/>
        <v>8.1302219352360372E-2</v>
      </c>
    </row>
    <row r="18" spans="1:21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Data'!AD18</f>
        <v>5921232.544900869</v>
      </c>
      <c r="E18" s="3">
        <f>'Monthly Data'!DL18</f>
        <v>740632</v>
      </c>
      <c r="F18" s="3">
        <f>'Monthly Data'!DR18</f>
        <v>21</v>
      </c>
      <c r="H18" s="3">
        <f t="shared" si="0"/>
        <v>-5284416</v>
      </c>
      <c r="I18" s="3">
        <f t="shared" si="1"/>
        <v>9040013.4719200004</v>
      </c>
      <c r="J18" s="3">
        <f t="shared" si="2"/>
        <v>3518214</v>
      </c>
      <c r="K18" s="47">
        <f t="shared" si="3"/>
        <v>7273811.4719200004</v>
      </c>
      <c r="L18" s="47">
        <f>'Monthly Data'!AE18</f>
        <v>0</v>
      </c>
      <c r="M18" s="47">
        <f t="shared" si="4"/>
        <v>7273811.4719200004</v>
      </c>
      <c r="N18" s="47">
        <f t="shared" si="5"/>
        <v>1352578.9270191314</v>
      </c>
      <c r="O18" s="18">
        <f t="shared" si="6"/>
        <v>0.22842861123296346</v>
      </c>
      <c r="R18" s="691" t="s">
        <v>408</v>
      </c>
      <c r="S18" s="692"/>
      <c r="T18" s="692"/>
      <c r="U18" s="693"/>
    </row>
    <row r="19" spans="1:21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Data'!AD19</f>
        <v>6589415.2701041661</v>
      </c>
      <c r="E19" s="3">
        <f>'Monthly Data'!DL19</f>
        <v>740632</v>
      </c>
      <c r="F19" s="3">
        <f>'Monthly Data'!DR19</f>
        <v>22</v>
      </c>
      <c r="H19" s="3">
        <f t="shared" si="0"/>
        <v>-5284416</v>
      </c>
      <c r="I19" s="3">
        <f t="shared" si="1"/>
        <v>9040013.4719200004</v>
      </c>
      <c r="J19" s="3">
        <f t="shared" si="2"/>
        <v>3685748</v>
      </c>
      <c r="K19" s="47">
        <f t="shared" si="3"/>
        <v>7441345.4719200004</v>
      </c>
      <c r="L19" s="47">
        <f>'Monthly Data'!AE19</f>
        <v>0</v>
      </c>
      <c r="M19" s="47">
        <f t="shared" si="4"/>
        <v>7441345.4719200004</v>
      </c>
      <c r="N19" s="47">
        <f t="shared" si="5"/>
        <v>851930.20181583427</v>
      </c>
      <c r="O19" s="18">
        <f t="shared" si="6"/>
        <v>0.12928767832875812</v>
      </c>
      <c r="R19" s="685" t="s">
        <v>422</v>
      </c>
      <c r="S19" s="686">
        <v>7994181</v>
      </c>
      <c r="T19" s="685" t="s">
        <v>423</v>
      </c>
      <c r="U19" s="686">
        <v>989359.3</v>
      </c>
    </row>
    <row r="20" spans="1:21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Data'!AD20</f>
        <v>6499451.9953074632</v>
      </c>
      <c r="E20" s="3">
        <f>'Monthly Data'!DL20</f>
        <v>746606</v>
      </c>
      <c r="F20" s="3">
        <f>'Monthly Data'!DR20</f>
        <v>20</v>
      </c>
      <c r="H20" s="3">
        <f t="shared" si="0"/>
        <v>-5284416</v>
      </c>
      <c r="I20" s="3">
        <f t="shared" si="1"/>
        <v>9112930.9808600005</v>
      </c>
      <c r="J20" s="3">
        <f t="shared" si="2"/>
        <v>3350680</v>
      </c>
      <c r="K20" s="47">
        <f t="shared" si="3"/>
        <v>7179194.9808600005</v>
      </c>
      <c r="L20" s="47">
        <f>'Monthly Data'!AE20</f>
        <v>0</v>
      </c>
      <c r="M20" s="47">
        <f t="shared" si="4"/>
        <v>7179194.9808600005</v>
      </c>
      <c r="N20" s="47">
        <f t="shared" si="5"/>
        <v>679742.98555253725</v>
      </c>
      <c r="O20" s="18">
        <f t="shared" si="6"/>
        <v>0.10458466129810708</v>
      </c>
      <c r="S20" s="360"/>
      <c r="U20" s="107"/>
    </row>
    <row r="21" spans="1:21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Data'!AD21</f>
        <v>7598626.2255107602</v>
      </c>
      <c r="E21" s="3">
        <f>'Monthly Data'!DL21</f>
        <v>746606</v>
      </c>
      <c r="F21" s="3">
        <f>'Monthly Data'!DR21</f>
        <v>22</v>
      </c>
      <c r="H21" s="3">
        <f t="shared" si="0"/>
        <v>-5284416</v>
      </c>
      <c r="I21" s="3">
        <f t="shared" si="1"/>
        <v>9112930.9808600005</v>
      </c>
      <c r="J21" s="3">
        <f t="shared" si="2"/>
        <v>3685748</v>
      </c>
      <c r="K21" s="47">
        <f t="shared" si="3"/>
        <v>7514262.9808600005</v>
      </c>
      <c r="L21" s="47">
        <f>'Monthly Data'!AE21</f>
        <v>0</v>
      </c>
      <c r="M21" s="47">
        <f t="shared" si="4"/>
        <v>7514262.9808600005</v>
      </c>
      <c r="N21" s="47">
        <f t="shared" si="5"/>
        <v>-84363.244650759734</v>
      </c>
      <c r="O21" s="18">
        <f t="shared" si="6"/>
        <v>1.1102433801458507E-2</v>
      </c>
      <c r="S21" s="107"/>
      <c r="U21" s="107"/>
    </row>
    <row r="22" spans="1:21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Data'!AD22</f>
        <v>7064738.1457140567</v>
      </c>
      <c r="E22" s="3">
        <f>'Monthly Data'!DL22</f>
        <v>746606</v>
      </c>
      <c r="F22" s="3">
        <f>'Monthly Data'!DR22</f>
        <v>21</v>
      </c>
      <c r="H22" s="3">
        <f t="shared" si="0"/>
        <v>-5284416</v>
      </c>
      <c r="I22" s="3">
        <f t="shared" si="1"/>
        <v>9112930.9808600005</v>
      </c>
      <c r="J22" s="3">
        <f t="shared" si="2"/>
        <v>3518214</v>
      </c>
      <c r="K22" s="47">
        <f t="shared" ref="K22:K53" si="7">SUM(H22:J22)</f>
        <v>7346728.9808600005</v>
      </c>
      <c r="L22" s="47">
        <f>'Monthly Data'!AE22</f>
        <v>0</v>
      </c>
      <c r="M22" s="47">
        <f t="shared" si="4"/>
        <v>7346728.9808600005</v>
      </c>
      <c r="N22" s="47">
        <f t="shared" si="5"/>
        <v>281990.8351459438</v>
      </c>
      <c r="O22" s="18">
        <f t="shared" ref="O22:O53" si="8">ABS(N22/D22)</f>
        <v>3.9915256493550058E-2</v>
      </c>
    </row>
    <row r="23" spans="1:21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Data'!AD23</f>
        <v>6821378.0459173536</v>
      </c>
      <c r="E23" s="3">
        <f>'Monthly Data'!DL23</f>
        <v>745380</v>
      </c>
      <c r="F23" s="3">
        <f>'Monthly Data'!DR23</f>
        <v>20</v>
      </c>
      <c r="H23" s="3">
        <f t="shared" si="0"/>
        <v>-5284416</v>
      </c>
      <c r="I23" s="3">
        <f t="shared" si="1"/>
        <v>9097966.6578000002</v>
      </c>
      <c r="J23" s="3">
        <f t="shared" si="2"/>
        <v>3350680</v>
      </c>
      <c r="K23" s="47">
        <f t="shared" si="7"/>
        <v>7164230.6578000002</v>
      </c>
      <c r="L23" s="47">
        <f>'Monthly Data'!AE23</f>
        <v>0</v>
      </c>
      <c r="M23" s="47">
        <f t="shared" si="4"/>
        <v>7164230.6578000002</v>
      </c>
      <c r="N23" s="47">
        <f t="shared" si="5"/>
        <v>342852.61188264657</v>
      </c>
      <c r="O23" s="18">
        <f t="shared" si="8"/>
        <v>5.0261488158957333E-2</v>
      </c>
    </row>
    <row r="24" spans="1:21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Data'!AD24</f>
        <v>7472883.2161206501</v>
      </c>
      <c r="E24" s="3">
        <f>'Monthly Data'!DL24</f>
        <v>745380</v>
      </c>
      <c r="F24" s="3">
        <f>'Monthly Data'!DR24</f>
        <v>22</v>
      </c>
      <c r="H24" s="3">
        <f t="shared" si="0"/>
        <v>-5284416</v>
      </c>
      <c r="I24" s="3">
        <f t="shared" si="1"/>
        <v>9097966.6578000002</v>
      </c>
      <c r="J24" s="3">
        <f t="shared" si="2"/>
        <v>3685748</v>
      </c>
      <c r="K24" s="47">
        <f t="shared" si="7"/>
        <v>7499298.6578000002</v>
      </c>
      <c r="L24" s="47">
        <f>'Monthly Data'!AE24</f>
        <v>0</v>
      </c>
      <c r="M24" s="47">
        <f t="shared" si="4"/>
        <v>7499298.6578000002</v>
      </c>
      <c r="N24" s="47">
        <f t="shared" si="5"/>
        <v>26415.4416793501</v>
      </c>
      <c r="O24" s="18">
        <f t="shared" si="8"/>
        <v>3.5348393538876927E-3</v>
      </c>
      <c r="S24" s="3"/>
      <c r="U24" s="3"/>
    </row>
    <row r="25" spans="1:21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Data'!AD25</f>
        <v>6999468.2863239478</v>
      </c>
      <c r="E25" s="3">
        <f>'Monthly Data'!DL25</f>
        <v>745380</v>
      </c>
      <c r="F25" s="3">
        <f>'Monthly Data'!DR25</f>
        <v>20</v>
      </c>
      <c r="H25" s="3">
        <f t="shared" si="0"/>
        <v>-5284416</v>
      </c>
      <c r="I25" s="3">
        <f t="shared" si="1"/>
        <v>9097966.6578000002</v>
      </c>
      <c r="J25" s="3">
        <f t="shared" si="2"/>
        <v>3350680</v>
      </c>
      <c r="K25" s="47">
        <f t="shared" si="7"/>
        <v>7164230.6578000002</v>
      </c>
      <c r="L25" s="47">
        <f>'Monthly Data'!AE25</f>
        <v>0</v>
      </c>
      <c r="M25" s="47">
        <f t="shared" si="4"/>
        <v>7164230.6578000002</v>
      </c>
      <c r="N25" s="47">
        <f t="shared" si="5"/>
        <v>164762.37147605233</v>
      </c>
      <c r="O25" s="18">
        <f t="shared" si="8"/>
        <v>2.3539269661093629E-2</v>
      </c>
    </row>
    <row r="26" spans="1:21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Data'!AD26</f>
        <v>7306899.5674993498</v>
      </c>
      <c r="E26" s="3">
        <f>'Monthly Data'!DL26</f>
        <v>756702</v>
      </c>
      <c r="F26" s="3">
        <f>'Monthly Data'!DR26</f>
        <v>22</v>
      </c>
      <c r="H26" s="3">
        <f t="shared" si="0"/>
        <v>-5284416</v>
      </c>
      <c r="I26" s="3">
        <f t="shared" si="1"/>
        <v>9236160.8386199996</v>
      </c>
      <c r="J26" s="3">
        <f t="shared" si="2"/>
        <v>3685748</v>
      </c>
      <c r="K26" s="47">
        <f t="shared" si="7"/>
        <v>7637492.8386199996</v>
      </c>
      <c r="L26" s="47">
        <f>'Monthly Data'!AE26</f>
        <v>28.486256410256409</v>
      </c>
      <c r="M26" s="47">
        <f t="shared" si="4"/>
        <v>7637521.32487641</v>
      </c>
      <c r="N26" s="47">
        <f t="shared" si="5"/>
        <v>330621.75737706013</v>
      </c>
      <c r="O26" s="18">
        <f t="shared" si="8"/>
        <v>4.5247885826657015E-2</v>
      </c>
    </row>
    <row r="27" spans="1:21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Data'!AD27</f>
        <v>7018089.4464718215</v>
      </c>
      <c r="E27" s="3">
        <f>'Monthly Data'!DL27</f>
        <v>756702</v>
      </c>
      <c r="F27" s="3">
        <f>'Monthly Data'!DR27</f>
        <v>19</v>
      </c>
      <c r="H27" s="3">
        <f t="shared" si="0"/>
        <v>-5284416</v>
      </c>
      <c r="I27" s="3">
        <f t="shared" si="1"/>
        <v>9236160.8386199996</v>
      </c>
      <c r="J27" s="3">
        <f t="shared" si="2"/>
        <v>3183146</v>
      </c>
      <c r="K27" s="47">
        <f t="shared" si="7"/>
        <v>7134890.8386199996</v>
      </c>
      <c r="L27" s="47">
        <f>'Monthly Data'!AE27</f>
        <v>56.972512820512819</v>
      </c>
      <c r="M27" s="47">
        <f t="shared" si="4"/>
        <v>7134947.8111328203</v>
      </c>
      <c r="N27" s="47">
        <f t="shared" si="5"/>
        <v>116858.36466099881</v>
      </c>
      <c r="O27" s="18">
        <f t="shared" si="8"/>
        <v>1.6651022411768576E-2</v>
      </c>
    </row>
    <row r="28" spans="1:21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Data'!AD28</f>
        <v>8411875.3154442925</v>
      </c>
      <c r="E28" s="3">
        <f>'Monthly Data'!DL28</f>
        <v>756702</v>
      </c>
      <c r="F28" s="3">
        <f>'Monthly Data'!DR28</f>
        <v>23</v>
      </c>
      <c r="H28" s="3">
        <f t="shared" si="0"/>
        <v>-5284416</v>
      </c>
      <c r="I28" s="3">
        <f t="shared" si="1"/>
        <v>9236160.8386199996</v>
      </c>
      <c r="J28" s="3">
        <f t="shared" si="2"/>
        <v>3853282</v>
      </c>
      <c r="K28" s="47">
        <f t="shared" si="7"/>
        <v>7805026.8386199996</v>
      </c>
      <c r="L28" s="47">
        <f>'Monthly Data'!AE28</f>
        <v>85.458769230769221</v>
      </c>
      <c r="M28" s="47">
        <f t="shared" si="4"/>
        <v>7805112.2973892307</v>
      </c>
      <c r="N28" s="47">
        <f t="shared" si="5"/>
        <v>-606763.01805506181</v>
      </c>
      <c r="O28" s="18">
        <f t="shared" si="8"/>
        <v>7.213171799408849E-2</v>
      </c>
    </row>
    <row r="29" spans="1:21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Data'!AD29</f>
        <v>7618521.6244167639</v>
      </c>
      <c r="E29" s="3">
        <f>'Monthly Data'!DL29</f>
        <v>764644</v>
      </c>
      <c r="F29" s="3">
        <f>'Monthly Data'!DR29</f>
        <v>19</v>
      </c>
      <c r="H29" s="3">
        <f t="shared" si="0"/>
        <v>-5284416</v>
      </c>
      <c r="I29" s="3">
        <f t="shared" si="1"/>
        <v>9333099.3816400003</v>
      </c>
      <c r="J29" s="3">
        <f t="shared" si="2"/>
        <v>3183146</v>
      </c>
      <c r="K29" s="47">
        <f t="shared" si="7"/>
        <v>7231829.3816400003</v>
      </c>
      <c r="L29" s="47">
        <f>'Monthly Data'!AE29</f>
        <v>113.94502564102564</v>
      </c>
      <c r="M29" s="47">
        <f t="shared" si="4"/>
        <v>7231943.3266656417</v>
      </c>
      <c r="N29" s="47">
        <f t="shared" si="5"/>
        <v>-386578.29775112215</v>
      </c>
      <c r="O29" s="18">
        <f t="shared" si="8"/>
        <v>5.0741904638318416E-2</v>
      </c>
    </row>
    <row r="30" spans="1:21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Data'!AD30</f>
        <v>7699301.0533892354</v>
      </c>
      <c r="E30" s="3">
        <f>'Monthly Data'!DL30</f>
        <v>764644</v>
      </c>
      <c r="F30" s="3">
        <f>'Monthly Data'!DR30</f>
        <v>22</v>
      </c>
      <c r="H30" s="3">
        <f t="shared" si="0"/>
        <v>-5284416</v>
      </c>
      <c r="I30" s="3">
        <f t="shared" si="1"/>
        <v>9333099.3816400003</v>
      </c>
      <c r="J30" s="3">
        <f t="shared" si="2"/>
        <v>3685748</v>
      </c>
      <c r="K30" s="47">
        <f t="shared" si="7"/>
        <v>7734431.3816400003</v>
      </c>
      <c r="L30" s="47">
        <f>'Monthly Data'!AE30</f>
        <v>142.43128205128204</v>
      </c>
      <c r="M30" s="47">
        <f t="shared" si="4"/>
        <v>7734573.8129220512</v>
      </c>
      <c r="N30" s="47">
        <f t="shared" si="5"/>
        <v>35272.759532815777</v>
      </c>
      <c r="O30" s="18">
        <f t="shared" si="8"/>
        <v>4.5812937159131727E-3</v>
      </c>
    </row>
    <row r="31" spans="1:21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Data'!AD31</f>
        <v>7586100.4823617069</v>
      </c>
      <c r="E31" s="3">
        <f>'Monthly Data'!DL31</f>
        <v>764644</v>
      </c>
      <c r="F31" s="3">
        <f>'Monthly Data'!DR31</f>
        <v>22</v>
      </c>
      <c r="H31" s="3">
        <f t="shared" si="0"/>
        <v>-5284416</v>
      </c>
      <c r="I31" s="3">
        <f t="shared" si="1"/>
        <v>9333099.3816400003</v>
      </c>
      <c r="J31" s="3">
        <f t="shared" si="2"/>
        <v>3685748</v>
      </c>
      <c r="K31" s="47">
        <f t="shared" si="7"/>
        <v>7734431.3816400003</v>
      </c>
      <c r="L31" s="47">
        <f>'Monthly Data'!AE31</f>
        <v>170.91753846153844</v>
      </c>
      <c r="M31" s="47">
        <f t="shared" si="4"/>
        <v>7734602.2991784615</v>
      </c>
      <c r="N31" s="47">
        <f t="shared" si="5"/>
        <v>148501.81681675464</v>
      </c>
      <c r="O31" s="18">
        <f t="shared" si="8"/>
        <v>1.9575514081580293E-2</v>
      </c>
    </row>
    <row r="32" spans="1:21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Data'!AD32</f>
        <v>7167382.2013341775</v>
      </c>
      <c r="E32" s="3">
        <f>'Monthly Data'!DL32</f>
        <v>765060</v>
      </c>
      <c r="F32" s="3">
        <f>'Monthly Data'!DR32</f>
        <v>20</v>
      </c>
      <c r="H32" s="3">
        <f t="shared" si="0"/>
        <v>-5284416</v>
      </c>
      <c r="I32" s="3">
        <f t="shared" si="1"/>
        <v>9338176.9986000005</v>
      </c>
      <c r="J32" s="3">
        <f t="shared" si="2"/>
        <v>3350680</v>
      </c>
      <c r="K32" s="47">
        <f t="shared" si="7"/>
        <v>7404440.9986000005</v>
      </c>
      <c r="L32" s="47">
        <f>'Monthly Data'!AE32</f>
        <v>199.40379487179487</v>
      </c>
      <c r="M32" s="47">
        <f t="shared" si="4"/>
        <v>7404640.4023948722</v>
      </c>
      <c r="N32" s="47">
        <f t="shared" si="5"/>
        <v>237258.20106069464</v>
      </c>
      <c r="O32" s="18">
        <f t="shared" si="8"/>
        <v>3.3102490476443411E-2</v>
      </c>
    </row>
    <row r="33" spans="1:19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Data'!AD33</f>
        <v>7952383.9803066496</v>
      </c>
      <c r="E33" s="3">
        <f>'Monthly Data'!DL33</f>
        <v>765060</v>
      </c>
      <c r="F33" s="3">
        <f>'Monthly Data'!DR33</f>
        <v>22</v>
      </c>
      <c r="H33" s="3">
        <f t="shared" si="0"/>
        <v>-5284416</v>
      </c>
      <c r="I33" s="3">
        <f t="shared" si="1"/>
        <v>9338176.9986000005</v>
      </c>
      <c r="J33" s="3">
        <f t="shared" si="2"/>
        <v>3685748</v>
      </c>
      <c r="K33" s="47">
        <f t="shared" si="7"/>
        <v>7739508.9986000005</v>
      </c>
      <c r="L33" s="47">
        <f>'Monthly Data'!AE33</f>
        <v>227.89005128205127</v>
      </c>
      <c r="M33" s="47">
        <f t="shared" si="4"/>
        <v>7739736.8886512825</v>
      </c>
      <c r="N33" s="47">
        <f t="shared" si="5"/>
        <v>-212647.09165536705</v>
      </c>
      <c r="O33" s="18">
        <f t="shared" si="8"/>
        <v>2.6740043260230908E-2</v>
      </c>
    </row>
    <row r="34" spans="1:19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Data'!AD34</f>
        <v>7521612.7192791207</v>
      </c>
      <c r="E34" s="3">
        <f>'Monthly Data'!DL34</f>
        <v>765060</v>
      </c>
      <c r="F34" s="3">
        <f>'Monthly Data'!DR34</f>
        <v>20</v>
      </c>
      <c r="H34" s="3">
        <f t="shared" ref="H34:H65" si="9">$S$8</f>
        <v>-5284416</v>
      </c>
      <c r="I34" s="3">
        <f t="shared" ref="I34:I65" si="10">E34*$S$9</f>
        <v>9338176.9986000005</v>
      </c>
      <c r="J34" s="3">
        <f t="shared" ref="J34:J65" si="11">F34*$S$10</f>
        <v>3350680</v>
      </c>
      <c r="K34" s="47">
        <f t="shared" si="7"/>
        <v>7404440.9986000005</v>
      </c>
      <c r="L34" s="47">
        <f>'Monthly Data'!AE34</f>
        <v>256.37630769230771</v>
      </c>
      <c r="M34" s="47">
        <f t="shared" si="4"/>
        <v>7404697.3749076929</v>
      </c>
      <c r="N34" s="47">
        <f t="shared" si="5"/>
        <v>-116915.34437142778</v>
      </c>
      <c r="O34" s="18">
        <f t="shared" si="8"/>
        <v>1.5543919733032078E-2</v>
      </c>
    </row>
    <row r="35" spans="1:19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Data'!AD35</f>
        <v>8062733.3882515915</v>
      </c>
      <c r="E35" s="3">
        <f>'Monthly Data'!DL35</f>
        <v>771453</v>
      </c>
      <c r="F35" s="3">
        <f>'Monthly Data'!DR35</f>
        <v>21</v>
      </c>
      <c r="H35" s="3">
        <f t="shared" si="9"/>
        <v>-5284416</v>
      </c>
      <c r="I35" s="3">
        <f t="shared" si="10"/>
        <v>9416208.7419300005</v>
      </c>
      <c r="J35" s="3">
        <f t="shared" si="11"/>
        <v>3518214</v>
      </c>
      <c r="K35" s="47">
        <f t="shared" si="7"/>
        <v>7650006.7419300005</v>
      </c>
      <c r="L35" s="47">
        <f>'Monthly Data'!AE35</f>
        <v>284.86256410256408</v>
      </c>
      <c r="M35" s="47">
        <f t="shared" si="4"/>
        <v>7650291.6044941032</v>
      </c>
      <c r="N35" s="47">
        <f t="shared" si="5"/>
        <v>-412441.78375748824</v>
      </c>
      <c r="O35" s="18">
        <f t="shared" si="8"/>
        <v>5.1154089301584424E-2</v>
      </c>
    </row>
    <row r="36" spans="1:19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Data'!AD36</f>
        <v>8208250.5472240634</v>
      </c>
      <c r="E36" s="3">
        <f>'Monthly Data'!DL36</f>
        <v>771453</v>
      </c>
      <c r="F36" s="3">
        <f>'Monthly Data'!DR36</f>
        <v>22</v>
      </c>
      <c r="H36" s="3">
        <f t="shared" si="9"/>
        <v>-5284416</v>
      </c>
      <c r="I36" s="3">
        <f t="shared" si="10"/>
        <v>9416208.7419300005</v>
      </c>
      <c r="J36" s="3">
        <f t="shared" si="11"/>
        <v>3685748</v>
      </c>
      <c r="K36" s="47">
        <f t="shared" si="7"/>
        <v>7817540.7419300005</v>
      </c>
      <c r="L36" s="47">
        <f>'Monthly Data'!AE36</f>
        <v>313.34882051282051</v>
      </c>
      <c r="M36" s="47">
        <f t="shared" si="4"/>
        <v>7817854.0907505136</v>
      </c>
      <c r="N36" s="47">
        <f t="shared" si="5"/>
        <v>-390396.45647354983</v>
      </c>
      <c r="O36" s="18">
        <f t="shared" si="8"/>
        <v>4.7561469307924265E-2</v>
      </c>
    </row>
    <row r="37" spans="1:19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Data'!AD37</f>
        <v>7371155.7161965342</v>
      </c>
      <c r="E37" s="3">
        <f>'Monthly Data'!DL37</f>
        <v>771453</v>
      </c>
      <c r="F37" s="3">
        <f>'Monthly Data'!DR37</f>
        <v>19</v>
      </c>
      <c r="H37" s="3">
        <f t="shared" si="9"/>
        <v>-5284416</v>
      </c>
      <c r="I37" s="3">
        <f t="shared" si="10"/>
        <v>9416208.7419300005</v>
      </c>
      <c r="J37" s="3">
        <f t="shared" si="11"/>
        <v>3183146</v>
      </c>
      <c r="K37" s="47">
        <f t="shared" si="7"/>
        <v>7314938.7419300005</v>
      </c>
      <c r="L37" s="47">
        <f>'Monthly Data'!AE37</f>
        <v>341.83507692307688</v>
      </c>
      <c r="M37" s="47">
        <f t="shared" si="4"/>
        <v>7315280.577006924</v>
      </c>
      <c r="N37" s="47">
        <f t="shared" si="5"/>
        <v>-55875.139189610258</v>
      </c>
      <c r="O37" s="18">
        <f t="shared" si="8"/>
        <v>7.5802413272638668E-3</v>
      </c>
    </row>
    <row r="38" spans="1:19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Data'!AD38</f>
        <v>7743986.3491759766</v>
      </c>
      <c r="E38" s="3">
        <f>'Monthly Data'!DL38</f>
        <v>779459</v>
      </c>
      <c r="F38" s="3">
        <f>'Monthly Data'!DR38</f>
        <v>22</v>
      </c>
      <c r="H38" s="3">
        <f t="shared" si="9"/>
        <v>-5284416</v>
      </c>
      <c r="I38" s="3">
        <f t="shared" si="10"/>
        <v>9513928.4567900002</v>
      </c>
      <c r="J38" s="3">
        <f t="shared" si="11"/>
        <v>3685748</v>
      </c>
      <c r="K38" s="47">
        <f t="shared" si="7"/>
        <v>7915260.4567900002</v>
      </c>
      <c r="L38" s="47">
        <f>'Monthly Data'!AE38</f>
        <v>442.10384615384612</v>
      </c>
      <c r="M38" s="47">
        <f t="shared" si="4"/>
        <v>7915702.5606361544</v>
      </c>
      <c r="N38" s="47">
        <f t="shared" si="5"/>
        <v>171716.21146017779</v>
      </c>
      <c r="O38" s="18">
        <f t="shared" si="8"/>
        <v>2.2174136641969908E-2</v>
      </c>
    </row>
    <row r="39" spans="1:19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Data'!AD39</f>
        <v>7254443.4608197138</v>
      </c>
      <c r="E39" s="3">
        <f>'Monthly Data'!DL39</f>
        <v>779459</v>
      </c>
      <c r="F39" s="3">
        <f>'Monthly Data'!DR39</f>
        <v>19</v>
      </c>
      <c r="H39" s="3">
        <f t="shared" si="9"/>
        <v>-5284416</v>
      </c>
      <c r="I39" s="3">
        <f t="shared" si="10"/>
        <v>9513928.4567900002</v>
      </c>
      <c r="J39" s="3">
        <f t="shared" si="11"/>
        <v>3183146</v>
      </c>
      <c r="K39" s="47">
        <f t="shared" si="7"/>
        <v>7412658.4567900002</v>
      </c>
      <c r="L39" s="47">
        <f>'Monthly Data'!AE39</f>
        <v>513.88635897435893</v>
      </c>
      <c r="M39" s="47">
        <f t="shared" si="4"/>
        <v>7413172.3431489747</v>
      </c>
      <c r="N39" s="47">
        <f t="shared" si="5"/>
        <v>158728.88232926093</v>
      </c>
      <c r="O39" s="18">
        <f t="shared" si="8"/>
        <v>2.1880228743463858E-2</v>
      </c>
    </row>
    <row r="40" spans="1:19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Data'!AD40</f>
        <v>7503924.3424634514</v>
      </c>
      <c r="E40" s="3">
        <f>'Monthly Data'!DL40</f>
        <v>779459</v>
      </c>
      <c r="F40" s="3">
        <f>'Monthly Data'!DR40</f>
        <v>21</v>
      </c>
      <c r="H40" s="3">
        <f t="shared" si="9"/>
        <v>-5284416</v>
      </c>
      <c r="I40" s="3">
        <f t="shared" si="10"/>
        <v>9513928.4567900002</v>
      </c>
      <c r="J40" s="3">
        <f t="shared" si="11"/>
        <v>3518214</v>
      </c>
      <c r="K40" s="47">
        <f t="shared" si="7"/>
        <v>7747726.4567900002</v>
      </c>
      <c r="L40" s="47">
        <f>'Monthly Data'!AE40</f>
        <v>585.66887179487185</v>
      </c>
      <c r="M40" s="47">
        <f t="shared" si="4"/>
        <v>7748312.125661795</v>
      </c>
      <c r="N40" s="47">
        <f t="shared" si="5"/>
        <v>244387.78319834359</v>
      </c>
      <c r="O40" s="18">
        <f t="shared" si="8"/>
        <v>3.2567996696794242E-2</v>
      </c>
    </row>
    <row r="41" spans="1:19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Data'!AD41</f>
        <v>7314639.0541071892</v>
      </c>
      <c r="E41" s="3">
        <f>'Monthly Data'!DL41</f>
        <v>784896</v>
      </c>
      <c r="F41" s="3">
        <f>'Monthly Data'!DR41</f>
        <v>21</v>
      </c>
      <c r="H41" s="3">
        <f t="shared" si="9"/>
        <v>-5284416</v>
      </c>
      <c r="I41" s="3">
        <f t="shared" si="10"/>
        <v>9580291.4457600005</v>
      </c>
      <c r="J41" s="3">
        <f t="shared" si="11"/>
        <v>3518214</v>
      </c>
      <c r="K41" s="47">
        <f t="shared" si="7"/>
        <v>7814089.4457600005</v>
      </c>
      <c r="L41" s="47">
        <f>'Monthly Data'!AE41</f>
        <v>657.45138461538454</v>
      </c>
      <c r="M41" s="47">
        <f t="shared" si="4"/>
        <v>7814746.8971446157</v>
      </c>
      <c r="N41" s="47">
        <f t="shared" si="5"/>
        <v>500107.84303742647</v>
      </c>
      <c r="O41" s="18">
        <f t="shared" si="8"/>
        <v>6.8370816295660497E-2</v>
      </c>
    </row>
    <row r="42" spans="1:19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Data'!AD42</f>
        <v>7161503.7857509274</v>
      </c>
      <c r="E42" s="3">
        <f>'Monthly Data'!DL42</f>
        <v>784896</v>
      </c>
      <c r="F42" s="3">
        <f>'Monthly Data'!DR42</f>
        <v>22</v>
      </c>
      <c r="H42" s="3">
        <f t="shared" si="9"/>
        <v>-5284416</v>
      </c>
      <c r="I42" s="3">
        <f t="shared" si="10"/>
        <v>9580291.4457600005</v>
      </c>
      <c r="J42" s="3">
        <f t="shared" si="11"/>
        <v>3685748</v>
      </c>
      <c r="K42" s="47">
        <f t="shared" si="7"/>
        <v>7981623.4457600005</v>
      </c>
      <c r="L42" s="47">
        <f>'Monthly Data'!AE42</f>
        <v>729.23389743589746</v>
      </c>
      <c r="M42" s="47">
        <f t="shared" si="4"/>
        <v>7982352.679657436</v>
      </c>
      <c r="N42" s="47">
        <f t="shared" si="5"/>
        <v>820848.89390650857</v>
      </c>
      <c r="O42" s="18">
        <f t="shared" si="8"/>
        <v>0.1146196271710045</v>
      </c>
    </row>
    <row r="43" spans="1:19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Data'!AD43</f>
        <v>7276926.087394665</v>
      </c>
      <c r="E43" s="3">
        <f>'Monthly Data'!DL43</f>
        <v>784896</v>
      </c>
      <c r="F43" s="3">
        <f>'Monthly Data'!DR43</f>
        <v>21</v>
      </c>
      <c r="H43" s="3">
        <f t="shared" si="9"/>
        <v>-5284416</v>
      </c>
      <c r="I43" s="3">
        <f t="shared" si="10"/>
        <v>9580291.4457600005</v>
      </c>
      <c r="J43" s="3">
        <f t="shared" si="11"/>
        <v>3518214</v>
      </c>
      <c r="K43" s="47">
        <f t="shared" si="7"/>
        <v>7814089.4457600005</v>
      </c>
      <c r="L43" s="47">
        <f>'Monthly Data'!AE43</f>
        <v>801.01641025641027</v>
      </c>
      <c r="M43" s="47">
        <f t="shared" si="4"/>
        <v>7814890.4621702572</v>
      </c>
      <c r="N43" s="47">
        <f t="shared" si="5"/>
        <v>537964.37477559224</v>
      </c>
      <c r="O43" s="18">
        <f t="shared" si="8"/>
        <v>7.3927420495237969E-2</v>
      </c>
    </row>
    <row r="44" spans="1:19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Data'!AD44</f>
        <v>6479499.3490384025</v>
      </c>
      <c r="E44" s="3">
        <f>'Monthly Data'!DL44</f>
        <v>794140</v>
      </c>
      <c r="F44" s="3">
        <f>'Monthly Data'!DR44</f>
        <v>21</v>
      </c>
      <c r="H44" s="3">
        <f t="shared" si="9"/>
        <v>-5284416</v>
      </c>
      <c r="I44" s="3">
        <f t="shared" si="10"/>
        <v>9693121.9533999991</v>
      </c>
      <c r="J44" s="3">
        <f t="shared" si="11"/>
        <v>3518214</v>
      </c>
      <c r="K44" s="47">
        <f t="shared" si="7"/>
        <v>7926919.9533999991</v>
      </c>
      <c r="L44" s="47">
        <f>'Monthly Data'!AE44</f>
        <v>872.79892307692307</v>
      </c>
      <c r="M44" s="47">
        <f t="shared" si="4"/>
        <v>7927792.7523230761</v>
      </c>
      <c r="N44" s="47">
        <f>M44-D44</f>
        <v>1448293.4032846736</v>
      </c>
      <c r="O44" s="18">
        <f t="shared" si="8"/>
        <v>0.2235193377246977</v>
      </c>
    </row>
    <row r="45" spans="1:19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Data'!AD45</f>
        <v>6676254.5106821405</v>
      </c>
      <c r="E45" s="3">
        <f>'Monthly Data'!DL45</f>
        <v>794140</v>
      </c>
      <c r="F45" s="3">
        <f>'Monthly Data'!DR45</f>
        <v>22</v>
      </c>
      <c r="H45" s="3">
        <f t="shared" si="9"/>
        <v>-5284416</v>
      </c>
      <c r="I45" s="3">
        <f t="shared" si="10"/>
        <v>9693121.9533999991</v>
      </c>
      <c r="J45" s="3">
        <f t="shared" si="11"/>
        <v>3685748</v>
      </c>
      <c r="K45" s="47">
        <f t="shared" si="7"/>
        <v>8094453.9533999991</v>
      </c>
      <c r="L45" s="47">
        <f>'Monthly Data'!AE45</f>
        <v>944.58143589743588</v>
      </c>
      <c r="M45" s="47">
        <f t="shared" si="4"/>
        <v>8095398.5348358965</v>
      </c>
      <c r="N45" s="47">
        <f t="shared" si="5"/>
        <v>1419144.024153756</v>
      </c>
      <c r="O45" s="18">
        <f t="shared" si="8"/>
        <v>0.21256589632451806</v>
      </c>
    </row>
    <row r="46" spans="1:19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Data'!AD46</f>
        <v>6180243.6823258791</v>
      </c>
      <c r="E46" s="3">
        <f>'Monthly Data'!DL46</f>
        <v>794140</v>
      </c>
      <c r="F46" s="3">
        <f>'Monthly Data'!DR46</f>
        <v>19</v>
      </c>
      <c r="H46" s="3">
        <f t="shared" si="9"/>
        <v>-5284416</v>
      </c>
      <c r="I46" s="3">
        <f t="shared" si="10"/>
        <v>9693121.9533999991</v>
      </c>
      <c r="J46" s="3">
        <f t="shared" si="11"/>
        <v>3183146</v>
      </c>
      <c r="K46" s="47">
        <f t="shared" si="7"/>
        <v>7591851.9533999991</v>
      </c>
      <c r="L46" s="47">
        <f>'Monthly Data'!AE46</f>
        <v>1016.3639487179487</v>
      </c>
      <c r="M46" s="47">
        <f t="shared" si="4"/>
        <v>7592868.3173487168</v>
      </c>
      <c r="N46" s="47">
        <f t="shared" si="5"/>
        <v>1412624.6350228377</v>
      </c>
      <c r="O46" s="18">
        <f t="shared" si="8"/>
        <v>0.22857102529187151</v>
      </c>
    </row>
    <row r="47" spans="1:19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Data'!AD47</f>
        <v>6941141.1439696169</v>
      </c>
      <c r="E47" s="3">
        <f>'Monthly Data'!DL47</f>
        <v>799632</v>
      </c>
      <c r="F47" s="3">
        <f>'Monthly Data'!DR47</f>
        <v>22</v>
      </c>
      <c r="H47" s="3">
        <f t="shared" si="9"/>
        <v>-5284416</v>
      </c>
      <c r="I47" s="3">
        <f t="shared" si="10"/>
        <v>9760156.2619199995</v>
      </c>
      <c r="J47" s="3">
        <f t="shared" si="11"/>
        <v>3685748</v>
      </c>
      <c r="K47" s="47">
        <f t="shared" si="7"/>
        <v>8161488.2619199995</v>
      </c>
      <c r="L47" s="47">
        <f>'Monthly Data'!AE47</f>
        <v>1088.1464615384616</v>
      </c>
      <c r="M47" s="47">
        <f t="shared" si="4"/>
        <v>8162576.4083815375</v>
      </c>
      <c r="N47" s="47">
        <f t="shared" si="5"/>
        <v>1221435.2644119207</v>
      </c>
      <c r="O47" s="18">
        <f t="shared" si="8"/>
        <v>0.17597038283439742</v>
      </c>
      <c r="S47" s="3"/>
    </row>
    <row r="48" spans="1:19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Data'!AD48</f>
        <v>7760714.7256133547</v>
      </c>
      <c r="E48" s="3">
        <f>'Monthly Data'!DL48</f>
        <v>799632</v>
      </c>
      <c r="F48" s="3">
        <f>'Monthly Data'!DR48</f>
        <v>22</v>
      </c>
      <c r="H48" s="3">
        <f t="shared" si="9"/>
        <v>-5284416</v>
      </c>
      <c r="I48" s="3">
        <f t="shared" si="10"/>
        <v>9760156.2619199995</v>
      </c>
      <c r="J48" s="3">
        <f t="shared" si="11"/>
        <v>3685748</v>
      </c>
      <c r="K48" s="47">
        <f t="shared" si="7"/>
        <v>8161488.2619199995</v>
      </c>
      <c r="L48" s="47">
        <f>'Monthly Data'!AE48</f>
        <v>1159.9289743589743</v>
      </c>
      <c r="M48" s="47">
        <f t="shared" si="4"/>
        <v>8162648.1908943588</v>
      </c>
      <c r="N48" s="47">
        <f t="shared" si="5"/>
        <v>401933.46528100409</v>
      </c>
      <c r="O48" s="18">
        <f t="shared" si="8"/>
        <v>5.1790779521178443E-2</v>
      </c>
    </row>
    <row r="49" spans="1:15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Data'!AD49</f>
        <v>7557452.1172570921</v>
      </c>
      <c r="E49" s="3">
        <f>'Monthly Data'!DL49</f>
        <v>799632</v>
      </c>
      <c r="F49" s="3">
        <f>'Monthly Data'!DR49</f>
        <v>19</v>
      </c>
      <c r="H49" s="3">
        <f t="shared" si="9"/>
        <v>-5284416</v>
      </c>
      <c r="I49" s="3">
        <f t="shared" si="10"/>
        <v>9760156.2619199995</v>
      </c>
      <c r="J49" s="3">
        <f t="shared" si="11"/>
        <v>3183146</v>
      </c>
      <c r="K49" s="47">
        <f t="shared" si="7"/>
        <v>7658886.2619199995</v>
      </c>
      <c r="L49" s="47">
        <f>'Monthly Data'!AE49</f>
        <v>1231.7114871794872</v>
      </c>
      <c r="M49" s="47">
        <f t="shared" si="4"/>
        <v>7660117.9734071791</v>
      </c>
      <c r="N49" s="47">
        <f t="shared" si="5"/>
        <v>102665.85615008697</v>
      </c>
      <c r="O49" s="18">
        <f t="shared" si="8"/>
        <v>1.3584718044809605E-2</v>
      </c>
    </row>
    <row r="50" spans="1:15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Data'!AD50</f>
        <v>7954976.6199719748</v>
      </c>
      <c r="E50" s="3">
        <f>'Monthly Data'!DL50</f>
        <v>800724</v>
      </c>
      <c r="F50" s="3">
        <f>'Monthly Data'!DR50</f>
        <v>22</v>
      </c>
      <c r="H50" s="3">
        <f t="shared" si="9"/>
        <v>-5284416</v>
      </c>
      <c r="I50" s="3">
        <f t="shared" si="10"/>
        <v>9773485.0064400006</v>
      </c>
      <c r="J50" s="3">
        <f t="shared" si="11"/>
        <v>3685748</v>
      </c>
      <c r="K50" s="47">
        <f t="shared" si="7"/>
        <v>8174817.0064400006</v>
      </c>
      <c r="L50" s="47">
        <f>'Monthly Data'!AE50</f>
        <v>1328.9947692307692</v>
      </c>
      <c r="M50" s="47">
        <f t="shared" si="4"/>
        <v>8176146.0012092311</v>
      </c>
      <c r="N50" s="47">
        <f t="shared" si="5"/>
        <v>221169.38123725634</v>
      </c>
      <c r="O50" s="18">
        <f t="shared" si="8"/>
        <v>2.7802643779239106E-2</v>
      </c>
    </row>
    <row r="51" spans="1:15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Data'!AD51</f>
        <v>7915711.0182060329</v>
      </c>
      <c r="E51" s="3">
        <f>'Monthly Data'!DL51</f>
        <v>800724</v>
      </c>
      <c r="F51" s="3">
        <f>'Monthly Data'!DR51</f>
        <v>19</v>
      </c>
      <c r="H51" s="3">
        <f t="shared" si="9"/>
        <v>-5284416</v>
      </c>
      <c r="I51" s="3">
        <f t="shared" si="10"/>
        <v>9773485.0064400006</v>
      </c>
      <c r="J51" s="3">
        <f t="shared" si="11"/>
        <v>3183146</v>
      </c>
      <c r="K51" s="47">
        <f t="shared" si="7"/>
        <v>7672215.0064400006</v>
      </c>
      <c r="L51" s="47">
        <f>'Monthly Data'!AE51</f>
        <v>1354.4955384615382</v>
      </c>
      <c r="M51" s="47">
        <f t="shared" si="4"/>
        <v>7673569.5019784626</v>
      </c>
      <c r="N51" s="47">
        <f t="shared" si="5"/>
        <v>-242141.51622757036</v>
      </c>
      <c r="O51" s="18">
        <f t="shared" si="8"/>
        <v>3.0589989411014123E-2</v>
      </c>
    </row>
    <row r="52" spans="1:15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Data'!AD52</f>
        <v>8605305.2464400921</v>
      </c>
      <c r="E52" s="3">
        <f>'Monthly Data'!DL52</f>
        <v>800724</v>
      </c>
      <c r="F52" s="3">
        <f>'Monthly Data'!DR52</f>
        <v>22</v>
      </c>
      <c r="H52" s="3">
        <f t="shared" si="9"/>
        <v>-5284416</v>
      </c>
      <c r="I52" s="3">
        <f t="shared" si="10"/>
        <v>9773485.0064400006</v>
      </c>
      <c r="J52" s="3">
        <f t="shared" si="11"/>
        <v>3685748</v>
      </c>
      <c r="K52" s="47">
        <f t="shared" si="7"/>
        <v>8174817.0064400006</v>
      </c>
      <c r="L52" s="47">
        <f>'Monthly Data'!AE52</f>
        <v>1379.9963076923075</v>
      </c>
      <c r="M52" s="47">
        <f t="shared" si="4"/>
        <v>8176197.0027476931</v>
      </c>
      <c r="N52" s="47">
        <f t="shared" si="5"/>
        <v>-429108.243692399</v>
      </c>
      <c r="O52" s="18">
        <f t="shared" si="8"/>
        <v>4.9865545893321539E-2</v>
      </c>
    </row>
    <row r="53" spans="1:15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Data'!AD53</f>
        <v>8149399.3846741505</v>
      </c>
      <c r="E53" s="3">
        <f>'Monthly Data'!DL53</f>
        <v>806630</v>
      </c>
      <c r="F53" s="3">
        <f>'Monthly Data'!DR53</f>
        <v>21</v>
      </c>
      <c r="H53" s="3">
        <f t="shared" si="9"/>
        <v>-5284416</v>
      </c>
      <c r="I53" s="3">
        <f t="shared" si="10"/>
        <v>9845572.520299999</v>
      </c>
      <c r="J53" s="3">
        <f t="shared" si="11"/>
        <v>3518214</v>
      </c>
      <c r="K53" s="47">
        <f t="shared" si="7"/>
        <v>8079370.520299999</v>
      </c>
      <c r="L53" s="47">
        <f>'Monthly Data'!AE53</f>
        <v>1405.4970769230767</v>
      </c>
      <c r="M53" s="47">
        <f t="shared" si="4"/>
        <v>8080776.0173769221</v>
      </c>
      <c r="N53" s="47">
        <f t="shared" si="5"/>
        <v>-68623.367297228426</v>
      </c>
      <c r="O53" s="18">
        <f t="shared" si="8"/>
        <v>8.4206656292097164E-3</v>
      </c>
    </row>
    <row r="54" spans="1:15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Data'!AD54</f>
        <v>8859608.8629082087</v>
      </c>
      <c r="E54" s="3">
        <f>'Monthly Data'!DL54</f>
        <v>806630</v>
      </c>
      <c r="F54" s="3">
        <f>'Monthly Data'!DR54</f>
        <v>20</v>
      </c>
      <c r="H54" s="3">
        <f t="shared" si="9"/>
        <v>-5284416</v>
      </c>
      <c r="I54" s="3">
        <f t="shared" si="10"/>
        <v>9845572.520299999</v>
      </c>
      <c r="J54" s="3">
        <f t="shared" si="11"/>
        <v>3350680</v>
      </c>
      <c r="K54" s="47">
        <f t="shared" ref="K54:K85" si="12">SUM(H54:J54)</f>
        <v>7911836.520299999</v>
      </c>
      <c r="L54" s="47">
        <f>'Monthly Data'!AE54</f>
        <v>1430.997846153846</v>
      </c>
      <c r="M54" s="47">
        <f t="shared" si="4"/>
        <v>7913267.5181461526</v>
      </c>
      <c r="N54" s="47">
        <f t="shared" si="5"/>
        <v>-946341.34476205613</v>
      </c>
      <c r="O54" s="18">
        <f t="shared" ref="O54:O85" si="13">ABS(N54/D54)</f>
        <v>0.10681525103484253</v>
      </c>
    </row>
    <row r="55" spans="1:15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Data'!AD55</f>
        <v>8221801.4811422676</v>
      </c>
      <c r="E55" s="3">
        <f>'Monthly Data'!DL55</f>
        <v>806630</v>
      </c>
      <c r="F55" s="3">
        <f>'Monthly Data'!DR55</f>
        <v>22</v>
      </c>
      <c r="H55" s="3">
        <f t="shared" si="9"/>
        <v>-5284416</v>
      </c>
      <c r="I55" s="3">
        <f t="shared" si="10"/>
        <v>9845572.520299999</v>
      </c>
      <c r="J55" s="3">
        <f t="shared" si="11"/>
        <v>3685748</v>
      </c>
      <c r="K55" s="47">
        <f t="shared" si="12"/>
        <v>8246904.520299999</v>
      </c>
      <c r="L55" s="47">
        <f>'Monthly Data'!AE55</f>
        <v>1456.4986153846151</v>
      </c>
      <c r="M55" s="47">
        <f t="shared" ref="M55:M118" si="14">K55+L55</f>
        <v>8248361.0189153841</v>
      </c>
      <c r="N55" s="47">
        <f t="shared" ref="N55:N118" si="15">M55-D55</f>
        <v>26559.537773116492</v>
      </c>
      <c r="O55" s="18">
        <f t="shared" si="13"/>
        <v>3.230379355915382E-3</v>
      </c>
    </row>
    <row r="56" spans="1:15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Data'!AD56</f>
        <v>7770024.7493763259</v>
      </c>
      <c r="E56" s="3">
        <f>'Monthly Data'!DL56</f>
        <v>810347</v>
      </c>
      <c r="F56" s="3">
        <f>'Monthly Data'!DR56</f>
        <v>22</v>
      </c>
      <c r="H56" s="3">
        <f t="shared" si="9"/>
        <v>-5284416</v>
      </c>
      <c r="I56" s="3">
        <f t="shared" si="10"/>
        <v>9890941.516069999</v>
      </c>
      <c r="J56" s="3">
        <f t="shared" si="11"/>
        <v>3685748</v>
      </c>
      <c r="K56" s="47">
        <f t="shared" si="12"/>
        <v>8292273.516069999</v>
      </c>
      <c r="L56" s="47">
        <f>'Monthly Data'!AE56</f>
        <v>1481.9993846153843</v>
      </c>
      <c r="M56" s="47">
        <f t="shared" si="14"/>
        <v>8293755.5154546145</v>
      </c>
      <c r="N56" s="47">
        <f t="shared" si="15"/>
        <v>523730.76607828867</v>
      </c>
      <c r="O56" s="18">
        <f t="shared" si="13"/>
        <v>6.7404002300034738E-2</v>
      </c>
    </row>
    <row r="57" spans="1:15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Data'!AD57</f>
        <v>7725287.7076103855</v>
      </c>
      <c r="E57" s="3">
        <f>'Monthly Data'!DL57</f>
        <v>810347</v>
      </c>
      <c r="F57" s="3">
        <f>'Monthly Data'!DR57</f>
        <v>20</v>
      </c>
      <c r="H57" s="3">
        <f t="shared" si="9"/>
        <v>-5284416</v>
      </c>
      <c r="I57" s="3">
        <f t="shared" si="10"/>
        <v>9890941.516069999</v>
      </c>
      <c r="J57" s="3">
        <f t="shared" si="11"/>
        <v>3350680</v>
      </c>
      <c r="K57" s="47">
        <f t="shared" si="12"/>
        <v>7957205.516069999</v>
      </c>
      <c r="L57" s="47">
        <f>'Monthly Data'!AE57</f>
        <v>1507.5001538461536</v>
      </c>
      <c r="M57" s="47">
        <f t="shared" si="14"/>
        <v>7958713.0162238451</v>
      </c>
      <c r="N57" s="47">
        <f t="shared" si="15"/>
        <v>233425.30861345958</v>
      </c>
      <c r="O57" s="18">
        <f t="shared" si="13"/>
        <v>3.0215743082747083E-2</v>
      </c>
    </row>
    <row r="58" spans="1:15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Data'!AD58</f>
        <v>7479338.9358444437</v>
      </c>
      <c r="E58" s="3">
        <f>'Monthly Data'!DL58</f>
        <v>810347</v>
      </c>
      <c r="F58" s="3">
        <f>'Monthly Data'!DR58</f>
        <v>21</v>
      </c>
      <c r="H58" s="3">
        <f t="shared" si="9"/>
        <v>-5284416</v>
      </c>
      <c r="I58" s="3">
        <f t="shared" si="10"/>
        <v>9890941.516069999</v>
      </c>
      <c r="J58" s="3">
        <f t="shared" si="11"/>
        <v>3518214</v>
      </c>
      <c r="K58" s="47">
        <f t="shared" si="12"/>
        <v>8124739.516069999</v>
      </c>
      <c r="L58" s="47">
        <f>'Monthly Data'!AE58</f>
        <v>1533.0009230769228</v>
      </c>
      <c r="M58" s="47">
        <f t="shared" si="14"/>
        <v>8126272.5169930756</v>
      </c>
      <c r="N58" s="47">
        <f t="shared" si="15"/>
        <v>646933.58114863187</v>
      </c>
      <c r="O58" s="18">
        <f t="shared" si="13"/>
        <v>8.6496090991174043E-2</v>
      </c>
    </row>
    <row r="59" spans="1:15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Data'!AD59</f>
        <v>7913786.2140785018</v>
      </c>
      <c r="E59" s="3">
        <f>'Monthly Data'!DL59</f>
        <v>811397</v>
      </c>
      <c r="F59" s="3">
        <f>'Monthly Data'!DR59</f>
        <v>21</v>
      </c>
      <c r="H59" s="3">
        <f t="shared" si="9"/>
        <v>-5284416</v>
      </c>
      <c r="I59" s="3">
        <f t="shared" si="10"/>
        <v>9903757.6165699996</v>
      </c>
      <c r="J59" s="3">
        <f t="shared" si="11"/>
        <v>3518214</v>
      </c>
      <c r="K59" s="47">
        <f t="shared" si="12"/>
        <v>8137555.6165699996</v>
      </c>
      <c r="L59" s="47">
        <f>'Monthly Data'!AE59</f>
        <v>1558.5016923076919</v>
      </c>
      <c r="M59" s="47">
        <f t="shared" si="14"/>
        <v>8139114.1182623077</v>
      </c>
      <c r="N59" s="47">
        <f t="shared" si="15"/>
        <v>225327.90418380592</v>
      </c>
      <c r="O59" s="18">
        <f t="shared" si="13"/>
        <v>2.8472831851705963E-2</v>
      </c>
    </row>
    <row r="60" spans="1:15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Data'!AD60</f>
        <v>7866138.0823125606</v>
      </c>
      <c r="E60" s="3">
        <f>'Monthly Data'!DL60</f>
        <v>811397</v>
      </c>
      <c r="F60" s="3">
        <f>'Monthly Data'!DR60</f>
        <v>21</v>
      </c>
      <c r="H60" s="3">
        <f t="shared" si="9"/>
        <v>-5284416</v>
      </c>
      <c r="I60" s="3">
        <f t="shared" si="10"/>
        <v>9903757.6165699996</v>
      </c>
      <c r="J60" s="3">
        <f t="shared" si="11"/>
        <v>3518214</v>
      </c>
      <c r="K60" s="47">
        <f t="shared" si="12"/>
        <v>8137555.6165699996</v>
      </c>
      <c r="L60" s="47">
        <f>'Monthly Data'!AE60</f>
        <v>1584.0024615384611</v>
      </c>
      <c r="M60" s="47">
        <f t="shared" si="14"/>
        <v>8139139.6190315383</v>
      </c>
      <c r="N60" s="47">
        <f t="shared" si="15"/>
        <v>273001.53671897762</v>
      </c>
      <c r="O60" s="18">
        <f t="shared" si="13"/>
        <v>3.4705917168278096E-2</v>
      </c>
    </row>
    <row r="61" spans="1:15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Data'!AD61</f>
        <v>7329537.7005466195</v>
      </c>
      <c r="E61" s="3">
        <f>'Monthly Data'!DL61</f>
        <v>811397</v>
      </c>
      <c r="F61" s="3">
        <f>'Monthly Data'!DR61</f>
        <v>21</v>
      </c>
      <c r="H61" s="3">
        <f t="shared" si="9"/>
        <v>-5284416</v>
      </c>
      <c r="I61" s="3">
        <f t="shared" si="10"/>
        <v>9903757.6165699996</v>
      </c>
      <c r="J61" s="3">
        <f t="shared" si="11"/>
        <v>3518214</v>
      </c>
      <c r="K61" s="47">
        <f t="shared" si="12"/>
        <v>8137555.6165699996</v>
      </c>
      <c r="L61" s="47">
        <f>'Monthly Data'!AE61</f>
        <v>1609.5032307692304</v>
      </c>
      <c r="M61" s="47">
        <f t="shared" si="14"/>
        <v>8139165.1198007688</v>
      </c>
      <c r="N61" s="47">
        <f t="shared" si="15"/>
        <v>809627.41925414931</v>
      </c>
      <c r="O61" s="18">
        <f t="shared" si="13"/>
        <v>0.1104609120427567</v>
      </c>
    </row>
    <row r="62" spans="1:15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Data'!AD62</f>
        <v>7870701.5674031908</v>
      </c>
      <c r="E62" s="3">
        <f>'Monthly Data'!DL62</f>
        <v>800126</v>
      </c>
      <c r="F62" s="3">
        <f>'Monthly Data'!DR62</f>
        <v>22</v>
      </c>
      <c r="H62" s="3">
        <f t="shared" si="9"/>
        <v>-5284416</v>
      </c>
      <c r="I62" s="3">
        <f t="shared" si="10"/>
        <v>9766185.9320599996</v>
      </c>
      <c r="J62" s="3">
        <f t="shared" si="11"/>
        <v>3685748</v>
      </c>
      <c r="K62" s="47">
        <f t="shared" si="12"/>
        <v>8167517.9320599996</v>
      </c>
      <c r="L62" s="47">
        <f>'Monthly Data'!AE62</f>
        <v>1665.2332948717949</v>
      </c>
      <c r="M62" s="47">
        <f t="shared" si="14"/>
        <v>8169183.1653548712</v>
      </c>
      <c r="N62" s="47">
        <f t="shared" si="15"/>
        <v>298481.59795168042</v>
      </c>
      <c r="O62" s="18">
        <f t="shared" si="13"/>
        <v>3.7923124818739579E-2</v>
      </c>
    </row>
    <row r="63" spans="1:15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Data'!AD63</f>
        <v>8028309.6590223769</v>
      </c>
      <c r="E63" s="3">
        <f>'Monthly Data'!DL63</f>
        <v>800126</v>
      </c>
      <c r="F63" s="3">
        <f>'Monthly Data'!DR63</f>
        <v>19</v>
      </c>
      <c r="H63" s="3">
        <f t="shared" si="9"/>
        <v>-5284416</v>
      </c>
      <c r="I63" s="3">
        <f t="shared" si="10"/>
        <v>9766185.9320599996</v>
      </c>
      <c r="J63" s="3">
        <f t="shared" si="11"/>
        <v>3183146</v>
      </c>
      <c r="K63" s="47">
        <f t="shared" si="12"/>
        <v>7664915.9320599996</v>
      </c>
      <c r="L63" s="47">
        <f>'Monthly Data'!AE63</f>
        <v>1695.4625897435897</v>
      </c>
      <c r="M63" s="47">
        <f t="shared" si="14"/>
        <v>7666611.3946497431</v>
      </c>
      <c r="N63" s="47">
        <f t="shared" si="15"/>
        <v>-361698.26437263377</v>
      </c>
      <c r="O63" s="18">
        <f t="shared" si="13"/>
        <v>4.5052854179104804E-2</v>
      </c>
    </row>
    <row r="64" spans="1:15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Data'!AD64</f>
        <v>8307295.9906415632</v>
      </c>
      <c r="E64" s="3">
        <f>'Monthly Data'!DL64</f>
        <v>800126</v>
      </c>
      <c r="F64" s="3">
        <f>'Monthly Data'!DR64</f>
        <v>22</v>
      </c>
      <c r="H64" s="3">
        <f t="shared" si="9"/>
        <v>-5284416</v>
      </c>
      <c r="I64" s="3">
        <f t="shared" si="10"/>
        <v>9766185.9320599996</v>
      </c>
      <c r="J64" s="3">
        <f t="shared" si="11"/>
        <v>3685748</v>
      </c>
      <c r="K64" s="47">
        <f t="shared" si="12"/>
        <v>8167517.9320599996</v>
      </c>
      <c r="L64" s="47">
        <f>'Monthly Data'!AE64</f>
        <v>1725.6918846153847</v>
      </c>
      <c r="M64" s="47">
        <f t="shared" si="14"/>
        <v>8169243.623944615</v>
      </c>
      <c r="N64" s="47">
        <f t="shared" si="15"/>
        <v>-138052.36669694819</v>
      </c>
      <c r="O64" s="18">
        <f t="shared" si="13"/>
        <v>1.6618207278573993E-2</v>
      </c>
    </row>
    <row r="65" spans="1:15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Data'!AD65</f>
        <v>7082480.5422607493</v>
      </c>
      <c r="E65" s="3">
        <f>'Monthly Data'!DL65</f>
        <v>706539</v>
      </c>
      <c r="F65" s="3">
        <f>'Monthly Data'!DR65</f>
        <v>21</v>
      </c>
      <c r="H65" s="3">
        <f t="shared" si="9"/>
        <v>-5284416</v>
      </c>
      <c r="I65" s="3">
        <f t="shared" si="10"/>
        <v>8623880.7915899996</v>
      </c>
      <c r="J65" s="3">
        <f t="shared" si="11"/>
        <v>3518214</v>
      </c>
      <c r="K65" s="47">
        <f t="shared" si="12"/>
        <v>6857678.7915899996</v>
      </c>
      <c r="L65" s="47">
        <f>'Monthly Data'!AE65</f>
        <v>1755.9211794871794</v>
      </c>
      <c r="M65" s="47">
        <f t="shared" si="14"/>
        <v>6859434.7127694869</v>
      </c>
      <c r="N65" s="47">
        <f t="shared" si="15"/>
        <v>-223045.82949126232</v>
      </c>
      <c r="O65" s="18">
        <f t="shared" si="13"/>
        <v>3.1492614509896759E-2</v>
      </c>
    </row>
    <row r="66" spans="1:15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Data'!AD66</f>
        <v>7254677.6338799354</v>
      </c>
      <c r="E66" s="3">
        <f>'Monthly Data'!DL66</f>
        <v>706539</v>
      </c>
      <c r="F66" s="3">
        <f>'Monthly Data'!DR66</f>
        <v>20</v>
      </c>
      <c r="H66" s="3">
        <f t="shared" ref="H66:H97" si="16">$S$8</f>
        <v>-5284416</v>
      </c>
      <c r="I66" s="3">
        <f t="shared" ref="I66:I97" si="17">E66*$S$9</f>
        <v>8623880.7915899996</v>
      </c>
      <c r="J66" s="3">
        <f t="shared" ref="J66:J97" si="18">F66*$S$10</f>
        <v>3350680</v>
      </c>
      <c r="K66" s="47">
        <f t="shared" si="12"/>
        <v>6690144.7915899996</v>
      </c>
      <c r="L66" s="47">
        <f>'Monthly Data'!AE66</f>
        <v>1786.1504743589742</v>
      </c>
      <c r="M66" s="47">
        <f t="shared" si="14"/>
        <v>6691930.9420643589</v>
      </c>
      <c r="N66" s="47">
        <f t="shared" si="15"/>
        <v>-562746.69181557652</v>
      </c>
      <c r="O66" s="18">
        <f t="shared" si="13"/>
        <v>7.7570185777449799E-2</v>
      </c>
    </row>
    <row r="67" spans="1:15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Data'!AD67</f>
        <v>7656070.5154991206</v>
      </c>
      <c r="E67" s="3">
        <f>'Monthly Data'!DL67</f>
        <v>706539</v>
      </c>
      <c r="F67" s="3">
        <f>'Monthly Data'!DR67</f>
        <v>22</v>
      </c>
      <c r="H67" s="3">
        <f t="shared" si="16"/>
        <v>-5284416</v>
      </c>
      <c r="I67" s="3">
        <f t="shared" si="17"/>
        <v>8623880.7915899996</v>
      </c>
      <c r="J67" s="3">
        <f t="shared" si="18"/>
        <v>3685748</v>
      </c>
      <c r="K67" s="47">
        <f t="shared" si="12"/>
        <v>7025212.7915899996</v>
      </c>
      <c r="L67" s="47">
        <f>'Monthly Data'!AE67</f>
        <v>1816.3797692307689</v>
      </c>
      <c r="M67" s="47">
        <f t="shared" si="14"/>
        <v>7027029.1713592308</v>
      </c>
      <c r="N67" s="47">
        <f t="shared" si="15"/>
        <v>-629041.34413988981</v>
      </c>
      <c r="O67" s="18">
        <f t="shared" si="13"/>
        <v>8.2162428215158734E-2</v>
      </c>
    </row>
    <row r="68" spans="1:15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Data'!AD68</f>
        <v>7971439.8771183062</v>
      </c>
      <c r="E68" s="3">
        <f>'Monthly Data'!DL68</f>
        <v>777225</v>
      </c>
      <c r="F68" s="3">
        <f>'Monthly Data'!DR68</f>
        <v>22</v>
      </c>
      <c r="H68" s="3">
        <f t="shared" si="16"/>
        <v>-5284416</v>
      </c>
      <c r="I68" s="3">
        <f t="shared" si="17"/>
        <v>9486660.6772499997</v>
      </c>
      <c r="J68" s="3">
        <f t="shared" si="18"/>
        <v>3685748</v>
      </c>
      <c r="K68" s="47">
        <f t="shared" si="12"/>
        <v>7887992.6772499997</v>
      </c>
      <c r="L68" s="47">
        <f>'Monthly Data'!AE68</f>
        <v>1846.6090641025637</v>
      </c>
      <c r="M68" s="47">
        <f t="shared" si="14"/>
        <v>7889839.2863141019</v>
      </c>
      <c r="N68" s="47">
        <f t="shared" si="15"/>
        <v>-81600.590804204345</v>
      </c>
      <c r="O68" s="18">
        <f t="shared" si="13"/>
        <v>1.0236618736652022E-2</v>
      </c>
    </row>
    <row r="69" spans="1:15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Data'!AD69</f>
        <v>7710789.318737492</v>
      </c>
      <c r="E69" s="3">
        <f>'Monthly Data'!DL69</f>
        <v>777225</v>
      </c>
      <c r="F69" s="3">
        <f>'Monthly Data'!DR69</f>
        <v>20</v>
      </c>
      <c r="H69" s="3">
        <f t="shared" si="16"/>
        <v>-5284416</v>
      </c>
      <c r="I69" s="3">
        <f t="shared" si="17"/>
        <v>9486660.6772499997</v>
      </c>
      <c r="J69" s="3">
        <f t="shared" si="18"/>
        <v>3350680</v>
      </c>
      <c r="K69" s="47">
        <f t="shared" si="12"/>
        <v>7552924.6772499997</v>
      </c>
      <c r="L69" s="47">
        <f>'Monthly Data'!AE69</f>
        <v>1876.8383589743585</v>
      </c>
      <c r="M69" s="47">
        <f t="shared" si="14"/>
        <v>7554801.5156089738</v>
      </c>
      <c r="N69" s="47">
        <f t="shared" si="15"/>
        <v>-155987.80312851816</v>
      </c>
      <c r="O69" s="18">
        <f t="shared" si="13"/>
        <v>2.0229810033774658E-2</v>
      </c>
    </row>
    <row r="70" spans="1:15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Data'!AD70</f>
        <v>7618573.080356678</v>
      </c>
      <c r="E70" s="3">
        <f>'Monthly Data'!DL70</f>
        <v>777225</v>
      </c>
      <c r="F70" s="3">
        <f>'Monthly Data'!DR70</f>
        <v>21</v>
      </c>
      <c r="H70" s="3">
        <f t="shared" si="16"/>
        <v>-5284416</v>
      </c>
      <c r="I70" s="3">
        <f t="shared" si="17"/>
        <v>9486660.6772499997</v>
      </c>
      <c r="J70" s="3">
        <f t="shared" si="18"/>
        <v>3518214</v>
      </c>
      <c r="K70" s="47">
        <f t="shared" si="12"/>
        <v>7720458.6772499997</v>
      </c>
      <c r="L70" s="47">
        <f>'Monthly Data'!AE70</f>
        <v>1907.0676538461535</v>
      </c>
      <c r="M70" s="47">
        <f t="shared" si="14"/>
        <v>7722365.7449038457</v>
      </c>
      <c r="N70" s="47">
        <f t="shared" si="15"/>
        <v>103792.66454716772</v>
      </c>
      <c r="O70" s="18">
        <f t="shared" si="13"/>
        <v>1.3623635745489032E-2</v>
      </c>
    </row>
    <row r="71" spans="1:15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Data'!AD71</f>
        <v>7867619.3619758636</v>
      </c>
      <c r="E71" s="3">
        <f>'Monthly Data'!DL71</f>
        <v>795879</v>
      </c>
      <c r="F71" s="3">
        <f>'Monthly Data'!DR71</f>
        <v>21</v>
      </c>
      <c r="H71" s="3">
        <f t="shared" si="16"/>
        <v>-5284416</v>
      </c>
      <c r="I71" s="3">
        <f t="shared" si="17"/>
        <v>9714347.8569900002</v>
      </c>
      <c r="J71" s="3">
        <f t="shared" si="18"/>
        <v>3518214</v>
      </c>
      <c r="K71" s="47">
        <f t="shared" si="12"/>
        <v>7948145.8569900002</v>
      </c>
      <c r="L71" s="47">
        <f>'Monthly Data'!AE71</f>
        <v>1937.2969487179482</v>
      </c>
      <c r="M71" s="47">
        <f t="shared" si="14"/>
        <v>7950083.1539387181</v>
      </c>
      <c r="N71" s="47">
        <f t="shared" si="15"/>
        <v>82463.791962854564</v>
      </c>
      <c r="O71" s="18">
        <f t="shared" si="13"/>
        <v>1.0481416063593691E-2</v>
      </c>
    </row>
    <row r="72" spans="1:15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Data'!AD72</f>
        <v>7579020.3835950503</v>
      </c>
      <c r="E72" s="3">
        <f>'Monthly Data'!DL72</f>
        <v>795879</v>
      </c>
      <c r="F72" s="3">
        <f>'Monthly Data'!DR72</f>
        <v>21</v>
      </c>
      <c r="H72" s="3">
        <f t="shared" si="16"/>
        <v>-5284416</v>
      </c>
      <c r="I72" s="3">
        <f t="shared" si="17"/>
        <v>9714347.8569900002</v>
      </c>
      <c r="J72" s="3">
        <f t="shared" si="18"/>
        <v>3518214</v>
      </c>
      <c r="K72" s="47">
        <f t="shared" si="12"/>
        <v>7948145.8569900002</v>
      </c>
      <c r="L72" s="47">
        <f>'Monthly Data'!AE72</f>
        <v>1967.526243589743</v>
      </c>
      <c r="M72" s="47">
        <f t="shared" si="14"/>
        <v>7950113.3832335901</v>
      </c>
      <c r="N72" s="47">
        <f t="shared" si="15"/>
        <v>371092.99963853974</v>
      </c>
      <c r="O72" s="18">
        <f t="shared" si="13"/>
        <v>4.8963187965792833E-2</v>
      </c>
    </row>
    <row r="73" spans="1:15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Data'!AD73</f>
        <v>7197190.2952142358</v>
      </c>
      <c r="E73" s="3">
        <f>'Monthly Data'!DL73</f>
        <v>795879</v>
      </c>
      <c r="F73" s="3">
        <f>'Monthly Data'!DR73</f>
        <v>21</v>
      </c>
      <c r="H73" s="3">
        <f t="shared" si="16"/>
        <v>-5284416</v>
      </c>
      <c r="I73" s="3">
        <f t="shared" si="17"/>
        <v>9714347.8569900002</v>
      </c>
      <c r="J73" s="3">
        <f t="shared" si="18"/>
        <v>3518214</v>
      </c>
      <c r="K73" s="47">
        <f t="shared" si="12"/>
        <v>7948145.8569900002</v>
      </c>
      <c r="L73" s="47">
        <f>'Monthly Data'!AE73</f>
        <v>1997.7555384615378</v>
      </c>
      <c r="M73" s="47">
        <f t="shared" si="14"/>
        <v>7950143.612528462</v>
      </c>
      <c r="N73" s="47">
        <f t="shared" si="15"/>
        <v>752953.31731422618</v>
      </c>
      <c r="O73" s="18">
        <f t="shared" si="13"/>
        <v>0.10461767529127328</v>
      </c>
    </row>
    <row r="74" spans="1:15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Data'!AD74</f>
        <v>7575178.107578652</v>
      </c>
      <c r="E74" s="3">
        <f>'Monthly Data'!DL74</f>
        <v>808584</v>
      </c>
      <c r="F74" s="3">
        <f>'Monthly Data'!DR74</f>
        <v>20</v>
      </c>
      <c r="H74" s="3">
        <f t="shared" si="16"/>
        <v>-5284416</v>
      </c>
      <c r="I74" s="3">
        <f t="shared" si="17"/>
        <v>9869422.6730399989</v>
      </c>
      <c r="J74" s="3">
        <f t="shared" si="18"/>
        <v>3350680</v>
      </c>
      <c r="K74" s="47">
        <f t="shared" si="12"/>
        <v>7935686.6730399989</v>
      </c>
      <c r="L74" s="47">
        <f>'Monthly Data'!AE74</f>
        <v>2091.1702435897432</v>
      </c>
      <c r="M74" s="47">
        <f t="shared" si="14"/>
        <v>7937777.843283589</v>
      </c>
      <c r="N74" s="47">
        <f t="shared" ca="1" si="15"/>
        <v>362599.73570493702</v>
      </c>
      <c r="O74" s="18">
        <f t="shared" ca="1" si="13"/>
        <v>4.7866826437014197E-2</v>
      </c>
    </row>
    <row r="75" spans="1:15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Data'!AD75</f>
        <v>7989216.7377479775</v>
      </c>
      <c r="E75" s="3">
        <f>'Monthly Data'!DL75</f>
        <v>808584</v>
      </c>
      <c r="F75" s="3">
        <f>'Monthly Data'!DR75</f>
        <v>19</v>
      </c>
      <c r="H75" s="3">
        <f t="shared" si="16"/>
        <v>-5284416</v>
      </c>
      <c r="I75" s="3">
        <f t="shared" si="17"/>
        <v>9869422.6730399989</v>
      </c>
      <c r="J75" s="3">
        <f t="shared" si="18"/>
        <v>3183146</v>
      </c>
      <c r="K75" s="47">
        <f t="shared" si="12"/>
        <v>7768152.6730399989</v>
      </c>
      <c r="L75" s="47">
        <f>'Monthly Data'!AE75</f>
        <v>2154.3556538461535</v>
      </c>
      <c r="M75" s="47">
        <f t="shared" si="14"/>
        <v>7770307.0286938446</v>
      </c>
      <c r="N75" s="47">
        <f t="shared" ca="1" si="15"/>
        <v>-218909.70905413292</v>
      </c>
      <c r="O75" s="18">
        <f t="shared" ca="1" si="13"/>
        <v>2.7400647177315132E-2</v>
      </c>
    </row>
    <row r="76" spans="1:15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Data'!AD76</f>
        <v>8816218.6979173031</v>
      </c>
      <c r="E76" s="3">
        <f>'Monthly Data'!DL76</f>
        <v>808584</v>
      </c>
      <c r="F76" s="3">
        <f>'Monthly Data'!DR76</f>
        <v>23</v>
      </c>
      <c r="H76" s="3">
        <f t="shared" si="16"/>
        <v>-5284416</v>
      </c>
      <c r="I76" s="3">
        <f t="shared" si="17"/>
        <v>9869422.6730399989</v>
      </c>
      <c r="J76" s="3">
        <f t="shared" si="18"/>
        <v>3853282</v>
      </c>
      <c r="K76" s="47">
        <f t="shared" si="12"/>
        <v>8438288.6730399989</v>
      </c>
      <c r="L76" s="47">
        <f>'Monthly Data'!AE76</f>
        <v>2217.5410641025637</v>
      </c>
      <c r="M76" s="47">
        <f t="shared" si="14"/>
        <v>8440506.2141041011</v>
      </c>
      <c r="N76" s="47">
        <f t="shared" ca="1" si="15"/>
        <v>-375712.48381320201</v>
      </c>
      <c r="O76" s="18">
        <f t="shared" ca="1" si="13"/>
        <v>4.2616057596433984E-2</v>
      </c>
    </row>
    <row r="77" spans="1:15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Data'!AD77</f>
        <v>8129350.3480866272</v>
      </c>
      <c r="E77" s="3">
        <f>'Monthly Data'!DL77</f>
        <v>802518</v>
      </c>
      <c r="F77" s="3">
        <f>'Monthly Data'!DR77</f>
        <v>21</v>
      </c>
      <c r="H77" s="3">
        <f t="shared" si="16"/>
        <v>-5284416</v>
      </c>
      <c r="I77" s="3">
        <f t="shared" si="17"/>
        <v>9795382.22958</v>
      </c>
      <c r="J77" s="3">
        <f t="shared" si="18"/>
        <v>3518214</v>
      </c>
      <c r="K77" s="47">
        <f t="shared" si="12"/>
        <v>8029180.22958</v>
      </c>
      <c r="L77" s="47">
        <f>'Monthly Data'!AE77</f>
        <v>2280.726474358974</v>
      </c>
      <c r="M77" s="47">
        <f t="shared" si="14"/>
        <v>8031460.9560543587</v>
      </c>
      <c r="N77" s="47">
        <f t="shared" ca="1" si="15"/>
        <v>-97889.392032268457</v>
      </c>
      <c r="O77" s="18">
        <f t="shared" ca="1" si="13"/>
        <v>1.2041477835348589E-2</v>
      </c>
    </row>
    <row r="78" spans="1:15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Data'!AD78</f>
        <v>8747457.428255951</v>
      </c>
      <c r="E78" s="3">
        <f>'Monthly Data'!DL78</f>
        <v>802518</v>
      </c>
      <c r="F78" s="3">
        <f>'Monthly Data'!DR78</f>
        <v>20</v>
      </c>
      <c r="H78" s="3">
        <f t="shared" si="16"/>
        <v>-5284416</v>
      </c>
      <c r="I78" s="3">
        <f t="shared" si="17"/>
        <v>9795382.22958</v>
      </c>
      <c r="J78" s="3">
        <f t="shared" si="18"/>
        <v>3350680</v>
      </c>
      <c r="K78" s="47">
        <f t="shared" si="12"/>
        <v>7861646.22958</v>
      </c>
      <c r="L78" s="47">
        <f>'Monthly Data'!AE78</f>
        <v>2343.9118846153842</v>
      </c>
      <c r="M78" s="47">
        <f t="shared" si="14"/>
        <v>7863990.1414646152</v>
      </c>
      <c r="N78" s="47">
        <f t="shared" ca="1" si="15"/>
        <v>-883467.28679133579</v>
      </c>
      <c r="O78" s="18">
        <f t="shared" ca="1" si="13"/>
        <v>0.10099703760061392</v>
      </c>
    </row>
    <row r="79" spans="1:15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Data'!AD79</f>
        <v>8605766.3584252782</v>
      </c>
      <c r="E79" s="3">
        <f>'Monthly Data'!DL79</f>
        <v>802518</v>
      </c>
      <c r="F79" s="3">
        <f>'Monthly Data'!DR79</f>
        <v>22</v>
      </c>
      <c r="H79" s="3">
        <f t="shared" si="16"/>
        <v>-5284416</v>
      </c>
      <c r="I79" s="3">
        <f t="shared" si="17"/>
        <v>9795382.22958</v>
      </c>
      <c r="J79" s="3">
        <f t="shared" si="18"/>
        <v>3685748</v>
      </c>
      <c r="K79" s="47">
        <f t="shared" si="12"/>
        <v>8196714.22958</v>
      </c>
      <c r="L79" s="47">
        <f>'Monthly Data'!AE79</f>
        <v>2407.0972948717945</v>
      </c>
      <c r="M79" s="47">
        <f t="shared" si="14"/>
        <v>8199121.3268748717</v>
      </c>
      <c r="N79" s="47">
        <f t="shared" ca="1" si="15"/>
        <v>-406645.03155040648</v>
      </c>
      <c r="O79" s="18">
        <f t="shared" ca="1" si="13"/>
        <v>4.7252622789635691E-2</v>
      </c>
    </row>
    <row r="80" spans="1:15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Data'!AD80</f>
        <v>8061805.9485946028</v>
      </c>
      <c r="E80" s="3">
        <f>'Monthly Data'!DL80</f>
        <v>819564</v>
      </c>
      <c r="F80" s="3">
        <f>'Monthly Data'!DR80</f>
        <v>21</v>
      </c>
      <c r="H80" s="3">
        <f t="shared" si="16"/>
        <v>-5284416</v>
      </c>
      <c r="I80" s="3">
        <f t="shared" si="17"/>
        <v>10003442.466839999</v>
      </c>
      <c r="J80" s="3">
        <f t="shared" si="18"/>
        <v>3518214</v>
      </c>
      <c r="K80" s="47">
        <f t="shared" si="12"/>
        <v>8237240.466839999</v>
      </c>
      <c r="L80" s="47">
        <f>'Monthly Data'!AE80</f>
        <v>2470.2827051282047</v>
      </c>
      <c r="M80" s="47">
        <f t="shared" si="14"/>
        <v>8239710.7495451272</v>
      </c>
      <c r="N80" s="47">
        <f t="shared" ca="1" si="15"/>
        <v>177904.8009505244</v>
      </c>
      <c r="O80" s="18">
        <f t="shared" ca="1" si="13"/>
        <v>2.206761141175051E-2</v>
      </c>
    </row>
    <row r="81" spans="1:15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Data'!AD81</f>
        <v>8450420.8987639267</v>
      </c>
      <c r="E81" s="3">
        <f>'Monthly Data'!DL81</f>
        <v>819564</v>
      </c>
      <c r="F81" s="3">
        <f>'Monthly Data'!DR81</f>
        <v>20</v>
      </c>
      <c r="H81" s="3">
        <f t="shared" si="16"/>
        <v>-5284416</v>
      </c>
      <c r="I81" s="3">
        <f t="shared" si="17"/>
        <v>10003442.466839999</v>
      </c>
      <c r="J81" s="3">
        <f t="shared" si="18"/>
        <v>3350680</v>
      </c>
      <c r="K81" s="47">
        <f t="shared" si="12"/>
        <v>8069706.466839999</v>
      </c>
      <c r="L81" s="47">
        <f>'Monthly Data'!AE81</f>
        <v>2533.468115384615</v>
      </c>
      <c r="M81" s="47">
        <f t="shared" si="14"/>
        <v>8072239.9349553837</v>
      </c>
      <c r="N81" s="47">
        <f t="shared" ca="1" si="15"/>
        <v>-378180.96380854305</v>
      </c>
      <c r="O81" s="18">
        <f t="shared" ca="1" si="13"/>
        <v>4.4752914480728517E-2</v>
      </c>
    </row>
    <row r="82" spans="1:15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Data'!AD82</f>
        <v>8582403.7189332526</v>
      </c>
      <c r="E82" s="3">
        <f>'Monthly Data'!DL82</f>
        <v>819564</v>
      </c>
      <c r="F82" s="3">
        <f>'Monthly Data'!DR82</f>
        <v>20</v>
      </c>
      <c r="H82" s="3">
        <f t="shared" si="16"/>
        <v>-5284416</v>
      </c>
      <c r="I82" s="3">
        <f t="shared" si="17"/>
        <v>10003442.466839999</v>
      </c>
      <c r="J82" s="3">
        <f t="shared" si="18"/>
        <v>3350680</v>
      </c>
      <c r="K82" s="47">
        <f t="shared" si="12"/>
        <v>8069706.466839999</v>
      </c>
      <c r="L82" s="47">
        <f>'Monthly Data'!AE82</f>
        <v>2596.6535256410252</v>
      </c>
      <c r="M82" s="47">
        <f t="shared" si="14"/>
        <v>8072303.1203656401</v>
      </c>
      <c r="N82" s="47">
        <f t="shared" ca="1" si="15"/>
        <v>-510100.59856761247</v>
      </c>
      <c r="O82" s="18">
        <f t="shared" ca="1" si="13"/>
        <v>5.9435633101517074E-2</v>
      </c>
    </row>
    <row r="83" spans="1:15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Data'!AD83</f>
        <v>8341388.0391025776</v>
      </c>
      <c r="E83" s="3">
        <f>'Monthly Data'!DL83</f>
        <v>838397</v>
      </c>
      <c r="F83" s="3">
        <f>'Monthly Data'!DR83</f>
        <v>20</v>
      </c>
      <c r="H83" s="3">
        <f t="shared" si="16"/>
        <v>-5284416</v>
      </c>
      <c r="I83" s="3">
        <f t="shared" si="17"/>
        <v>10233314.486569999</v>
      </c>
      <c r="J83" s="3">
        <f t="shared" si="18"/>
        <v>3350680</v>
      </c>
      <c r="K83" s="47">
        <f t="shared" si="12"/>
        <v>8299578.4865699988</v>
      </c>
      <c r="L83" s="47">
        <f>'Monthly Data'!AE83</f>
        <v>2659.8389358974355</v>
      </c>
      <c r="M83" s="47">
        <f t="shared" si="14"/>
        <v>8302238.3255058965</v>
      </c>
      <c r="N83" s="47">
        <f t="shared" ca="1" si="15"/>
        <v>-39149.713596681133</v>
      </c>
      <c r="O83" s="18">
        <f t="shared" ca="1" si="13"/>
        <v>4.6934291287200587E-3</v>
      </c>
    </row>
    <row r="84" spans="1:15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Data'!AD84</f>
        <v>9126348.5892719049</v>
      </c>
      <c r="E84" s="3">
        <f>'Monthly Data'!DL84</f>
        <v>838397</v>
      </c>
      <c r="F84" s="3">
        <f>'Monthly Data'!DR84</f>
        <v>22</v>
      </c>
      <c r="H84" s="3">
        <f t="shared" si="16"/>
        <v>-5284416</v>
      </c>
      <c r="I84" s="3">
        <f t="shared" si="17"/>
        <v>10233314.486569999</v>
      </c>
      <c r="J84" s="3">
        <f t="shared" si="18"/>
        <v>3685748</v>
      </c>
      <c r="K84" s="47">
        <f t="shared" si="12"/>
        <v>8634646.4865699988</v>
      </c>
      <c r="L84" s="47">
        <f>'Monthly Data'!AE84</f>
        <v>2723.0243461538457</v>
      </c>
      <c r="M84" s="47">
        <f t="shared" si="14"/>
        <v>8637369.510916153</v>
      </c>
      <c r="N84" s="47">
        <f t="shared" ca="1" si="15"/>
        <v>-488979.07835575193</v>
      </c>
      <c r="O84" s="18">
        <f t="shared" ca="1" si="13"/>
        <v>5.357882986527062E-2</v>
      </c>
    </row>
    <row r="85" spans="1:15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Data'!AD85</f>
        <v>8619676.2294412274</v>
      </c>
      <c r="E85" s="3">
        <f>'Monthly Data'!DL85</f>
        <v>838397</v>
      </c>
      <c r="F85" s="3">
        <f>'Monthly Data'!DR85</f>
        <v>21</v>
      </c>
      <c r="H85" s="3">
        <f t="shared" si="16"/>
        <v>-5284416</v>
      </c>
      <c r="I85" s="3">
        <f t="shared" si="17"/>
        <v>10233314.486569999</v>
      </c>
      <c r="J85" s="3">
        <f t="shared" si="18"/>
        <v>3518214</v>
      </c>
      <c r="K85" s="47">
        <f t="shared" si="12"/>
        <v>8467112.4865699988</v>
      </c>
      <c r="L85" s="47">
        <f>'Monthly Data'!AE85</f>
        <v>2786.209756410256</v>
      </c>
      <c r="M85" s="47">
        <f t="shared" si="14"/>
        <v>8469898.6963264085</v>
      </c>
      <c r="N85" s="47">
        <f t="shared" ca="1" si="15"/>
        <v>-149777.53311481886</v>
      </c>
      <c r="O85" s="18">
        <f t="shared" ca="1" si="13"/>
        <v>1.7376236546245337E-2</v>
      </c>
    </row>
    <row r="86" spans="1:15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Data'!AD86</f>
        <v>8519824.8670041505</v>
      </c>
      <c r="E86" s="3">
        <f>'Monthly Data'!DL86</f>
        <v>845218</v>
      </c>
      <c r="F86" s="3">
        <f>'Monthly Data'!DR86</f>
        <v>20</v>
      </c>
      <c r="H86" s="3">
        <f t="shared" si="16"/>
        <v>-5284416</v>
      </c>
      <c r="I86" s="3">
        <f t="shared" si="17"/>
        <v>10316570.316579999</v>
      </c>
      <c r="J86" s="3">
        <f t="shared" si="18"/>
        <v>3350680</v>
      </c>
      <c r="K86" s="47">
        <f t="shared" ref="K86:K109" si="19">SUM(H86:J86)</f>
        <v>8382834.3165799994</v>
      </c>
      <c r="L86" s="47">
        <f>'Monthly Data'!AE86</f>
        <v>3000.4327179487182</v>
      </c>
      <c r="M86" s="47">
        <f t="shared" si="14"/>
        <v>8385834.7492979486</v>
      </c>
      <c r="N86" s="47">
        <f t="shared" ca="1" si="15"/>
        <v>-133990.11770620197</v>
      </c>
      <c r="O86" s="18">
        <f t="shared" ref="O86:O109" ca="1" si="20">ABS(N86/D86)</f>
        <v>1.5726862910659486E-2</v>
      </c>
    </row>
    <row r="87" spans="1:15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Data'!AD87</f>
        <v>8886105.1148033775</v>
      </c>
      <c r="E87" s="3">
        <f>'Monthly Data'!DL87</f>
        <v>845218</v>
      </c>
      <c r="F87" s="3">
        <f>'Monthly Data'!DR87</f>
        <v>19</v>
      </c>
      <c r="H87" s="3">
        <f t="shared" si="16"/>
        <v>-5284416</v>
      </c>
      <c r="I87" s="3">
        <f t="shared" si="17"/>
        <v>10316570.316579999</v>
      </c>
      <c r="J87" s="3">
        <f t="shared" si="18"/>
        <v>3183146</v>
      </c>
      <c r="K87" s="47">
        <f t="shared" si="19"/>
        <v>8215300.3165799994</v>
      </c>
      <c r="L87" s="47">
        <f>'Monthly Data'!AE87</f>
        <v>3151.4702692307692</v>
      </c>
      <c r="M87" s="47">
        <f t="shared" si="14"/>
        <v>8218451.7868492305</v>
      </c>
      <c r="N87" s="47">
        <f t="shared" ca="1" si="15"/>
        <v>-667653.32795414701</v>
      </c>
      <c r="O87" s="18">
        <f t="shared" ca="1" si="20"/>
        <v>7.5134529619945892E-2</v>
      </c>
    </row>
    <row r="88" spans="1:15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Data'!AD88</f>
        <v>10078814.662602605</v>
      </c>
      <c r="E88" s="3">
        <f>'Monthly Data'!DL88</f>
        <v>845218</v>
      </c>
      <c r="F88" s="3">
        <f>'Monthly Data'!DR88</f>
        <v>23</v>
      </c>
      <c r="H88" s="3">
        <f t="shared" si="16"/>
        <v>-5284416</v>
      </c>
      <c r="I88" s="3">
        <f t="shared" si="17"/>
        <v>10316570.316579999</v>
      </c>
      <c r="J88" s="3">
        <f t="shared" si="18"/>
        <v>3853282</v>
      </c>
      <c r="K88" s="47">
        <f t="shared" si="19"/>
        <v>8885436.3165799994</v>
      </c>
      <c r="L88" s="47">
        <f>'Monthly Data'!AE88</f>
        <v>3302.5078205128207</v>
      </c>
      <c r="M88" s="47">
        <f t="shared" si="14"/>
        <v>8888738.8244005125</v>
      </c>
      <c r="N88" s="47">
        <f t="shared" ca="1" si="15"/>
        <v>-1190075.8382020928</v>
      </c>
      <c r="O88" s="18">
        <f t="shared" ca="1" si="20"/>
        <v>0.11807696421066891</v>
      </c>
    </row>
    <row r="89" spans="1:15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Data'!AD89</f>
        <v>9496936.6904018335</v>
      </c>
      <c r="E89" s="3">
        <f>'Monthly Data'!DL89</f>
        <v>851621</v>
      </c>
      <c r="F89" s="3">
        <f>'Monthly Data'!DR89</f>
        <v>20</v>
      </c>
      <c r="H89" s="3">
        <f t="shared" si="16"/>
        <v>-5284416</v>
      </c>
      <c r="I89" s="3">
        <f t="shared" si="17"/>
        <v>10394724.118009999</v>
      </c>
      <c r="J89" s="3">
        <f t="shared" si="18"/>
        <v>3350680</v>
      </c>
      <c r="K89" s="47">
        <f t="shared" si="19"/>
        <v>8460988.1180099994</v>
      </c>
      <c r="L89" s="47">
        <f>'Monthly Data'!AE89</f>
        <v>3453.5453717948722</v>
      </c>
      <c r="M89" s="47">
        <f t="shared" si="14"/>
        <v>8464441.6633817945</v>
      </c>
      <c r="N89" s="47">
        <f t="shared" ca="1" si="15"/>
        <v>-1032495.027020039</v>
      </c>
      <c r="O89" s="18">
        <f t="shared" ca="1" si="20"/>
        <v>0.1087187438096265</v>
      </c>
    </row>
    <row r="90" spans="1:15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Data'!AD90</f>
        <v>9759376.1182010621</v>
      </c>
      <c r="E90" s="3">
        <f>'Monthly Data'!DL90</f>
        <v>851621</v>
      </c>
      <c r="F90" s="3">
        <f>'Monthly Data'!DR90</f>
        <v>21</v>
      </c>
      <c r="H90" s="3">
        <f t="shared" si="16"/>
        <v>-5284416</v>
      </c>
      <c r="I90" s="3">
        <f t="shared" si="17"/>
        <v>10394724.118009999</v>
      </c>
      <c r="J90" s="3">
        <f t="shared" si="18"/>
        <v>3518214</v>
      </c>
      <c r="K90" s="47">
        <f t="shared" si="19"/>
        <v>8628522.1180099994</v>
      </c>
      <c r="L90" s="47">
        <f>'Monthly Data'!AE90</f>
        <v>3604.5829230769232</v>
      </c>
      <c r="M90" s="47">
        <f t="shared" si="14"/>
        <v>8632126.7009330764</v>
      </c>
      <c r="N90" s="47">
        <f t="shared" ca="1" si="15"/>
        <v>-1127249.4172679856</v>
      </c>
      <c r="O90" s="18">
        <f t="shared" ca="1" si="20"/>
        <v>0.11550424982245387</v>
      </c>
    </row>
    <row r="91" spans="1:15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Data'!AD91</f>
        <v>9887492.4060002901</v>
      </c>
      <c r="E91" s="3">
        <f>'Monthly Data'!DL91</f>
        <v>851621</v>
      </c>
      <c r="F91" s="3">
        <f>'Monthly Data'!DR91</f>
        <v>22</v>
      </c>
      <c r="H91" s="3">
        <f t="shared" si="16"/>
        <v>-5284416</v>
      </c>
      <c r="I91" s="3">
        <f t="shared" si="17"/>
        <v>10394724.118009999</v>
      </c>
      <c r="J91" s="3">
        <f t="shared" si="18"/>
        <v>3685748</v>
      </c>
      <c r="K91" s="47">
        <f t="shared" si="19"/>
        <v>8796056.1180099994</v>
      </c>
      <c r="L91" s="47">
        <f>'Monthly Data'!AE91</f>
        <v>3755.6204743589747</v>
      </c>
      <c r="M91" s="47">
        <f t="shared" si="14"/>
        <v>8799811.7384843584</v>
      </c>
      <c r="N91" s="47">
        <f t="shared" ca="1" si="15"/>
        <v>-1087680.6675159317</v>
      </c>
      <c r="O91" s="18">
        <f t="shared" ca="1" si="20"/>
        <v>0.11000571457894273</v>
      </c>
    </row>
    <row r="92" spans="1:15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Data'!AD92</f>
        <v>9557343.7237995174</v>
      </c>
      <c r="E92" s="3">
        <f>'Monthly Data'!DL92</f>
        <v>852979</v>
      </c>
      <c r="F92" s="3">
        <f>'Monthly Data'!DR92</f>
        <v>20</v>
      </c>
      <c r="H92" s="3">
        <f t="shared" si="16"/>
        <v>-5284416</v>
      </c>
      <c r="I92" s="3">
        <f t="shared" si="17"/>
        <v>10411299.60799</v>
      </c>
      <c r="J92" s="3">
        <f t="shared" si="18"/>
        <v>3350680</v>
      </c>
      <c r="K92" s="47">
        <f t="shared" si="19"/>
        <v>8477563.6079900004</v>
      </c>
      <c r="L92" s="47">
        <f>'Monthly Data'!AE92</f>
        <v>3906.6580256410261</v>
      </c>
      <c r="M92" s="47">
        <f t="shared" si="14"/>
        <v>8481470.2660156414</v>
      </c>
      <c r="N92" s="47">
        <f t="shared" ca="1" si="15"/>
        <v>-1075873.457783876</v>
      </c>
      <c r="O92" s="18">
        <f t="shared" ca="1" si="20"/>
        <v>0.11257034264706377</v>
      </c>
    </row>
    <row r="93" spans="1:15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Data'!AD93</f>
        <v>9792792.9215987455</v>
      </c>
      <c r="E93" s="3">
        <f>'Monthly Data'!DL93</f>
        <v>852979</v>
      </c>
      <c r="F93" s="3">
        <f>'Monthly Data'!DR93</f>
        <v>22</v>
      </c>
      <c r="H93" s="3">
        <f t="shared" si="16"/>
        <v>-5284416</v>
      </c>
      <c r="I93" s="3">
        <f t="shared" si="17"/>
        <v>10411299.60799</v>
      </c>
      <c r="J93" s="3">
        <f t="shared" si="18"/>
        <v>3685748</v>
      </c>
      <c r="K93" s="47">
        <f t="shared" si="19"/>
        <v>8812631.6079900004</v>
      </c>
      <c r="L93" s="47">
        <f>'Monthly Data'!AE93</f>
        <v>4057.6955769230772</v>
      </c>
      <c r="M93" s="47">
        <f t="shared" si="14"/>
        <v>8816689.3035669234</v>
      </c>
      <c r="N93" s="47">
        <f t="shared" ca="1" si="15"/>
        <v>-976103.61803182214</v>
      </c>
      <c r="O93" s="18">
        <f t="shared" ca="1" si="20"/>
        <v>9.9675713133783497E-2</v>
      </c>
    </row>
    <row r="94" spans="1:15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Data'!AD94</f>
        <v>9114031.1193979736</v>
      </c>
      <c r="E94" s="3">
        <f>'Monthly Data'!DL94</f>
        <v>852979</v>
      </c>
      <c r="F94" s="3">
        <f>'Monthly Data'!DR94</f>
        <v>20</v>
      </c>
      <c r="H94" s="3">
        <f t="shared" si="16"/>
        <v>-5284416</v>
      </c>
      <c r="I94" s="3">
        <f t="shared" si="17"/>
        <v>10411299.60799</v>
      </c>
      <c r="J94" s="3">
        <f t="shared" si="18"/>
        <v>3350680</v>
      </c>
      <c r="K94" s="47">
        <f t="shared" si="19"/>
        <v>8477563.6079900004</v>
      </c>
      <c r="L94" s="47">
        <f>'Monthly Data'!AE94</f>
        <v>4208.7331282051291</v>
      </c>
      <c r="M94" s="47">
        <f t="shared" si="14"/>
        <v>8481772.3411182053</v>
      </c>
      <c r="N94" s="47">
        <f t="shared" ca="1" si="15"/>
        <v>-632258.7782797683</v>
      </c>
      <c r="O94" s="18">
        <f t="shared" ca="1" si="20"/>
        <v>6.9372023202125307E-2</v>
      </c>
    </row>
    <row r="95" spans="1:15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Data'!AD95</f>
        <v>8974145.6371972021</v>
      </c>
      <c r="E95" s="3">
        <f>'Monthly Data'!DL95</f>
        <v>852029</v>
      </c>
      <c r="F95" s="3">
        <f>'Monthly Data'!DR95</f>
        <v>20</v>
      </c>
      <c r="H95" s="3">
        <f t="shared" si="16"/>
        <v>-5284416</v>
      </c>
      <c r="I95" s="3">
        <f t="shared" si="17"/>
        <v>10399704.08849</v>
      </c>
      <c r="J95" s="3">
        <f t="shared" si="18"/>
        <v>3350680</v>
      </c>
      <c r="K95" s="47">
        <f t="shared" si="19"/>
        <v>8465968.08849</v>
      </c>
      <c r="L95" s="47">
        <f>'Monthly Data'!AE95</f>
        <v>4359.7706794871801</v>
      </c>
      <c r="M95" s="47">
        <f t="shared" si="14"/>
        <v>8470327.8591694869</v>
      </c>
      <c r="N95" s="47">
        <f t="shared" ca="1" si="15"/>
        <v>-503817.77802771516</v>
      </c>
      <c r="O95" s="18">
        <f t="shared" ca="1" si="20"/>
        <v>5.6141029842375852E-2</v>
      </c>
    </row>
    <row r="96" spans="1:15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Data'!AD96</f>
        <v>9041182.1249964293</v>
      </c>
      <c r="E96" s="3">
        <f>'Monthly Data'!DL96</f>
        <v>852029</v>
      </c>
      <c r="F96" s="3">
        <f>'Monthly Data'!DR96</f>
        <v>22</v>
      </c>
      <c r="H96" s="3">
        <f t="shared" si="16"/>
        <v>-5284416</v>
      </c>
      <c r="I96" s="3">
        <f t="shared" si="17"/>
        <v>10399704.08849</v>
      </c>
      <c r="J96" s="3">
        <f t="shared" si="18"/>
        <v>3685748</v>
      </c>
      <c r="K96" s="47">
        <f t="shared" si="19"/>
        <v>8801036.08849</v>
      </c>
      <c r="L96" s="47">
        <f>'Monthly Data'!AE96</f>
        <v>4510.8082307692312</v>
      </c>
      <c r="M96" s="47">
        <f t="shared" si="14"/>
        <v>8805546.8967207689</v>
      </c>
      <c r="N96" s="47">
        <f t="shared" ca="1" si="15"/>
        <v>-235635.22827566043</v>
      </c>
      <c r="O96" s="18">
        <f t="shared" ca="1" si="20"/>
        <v>2.6062435754301706E-2</v>
      </c>
    </row>
    <row r="97" spans="1:15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Data'!AD97</f>
        <v>9004236.7627956588</v>
      </c>
      <c r="E97" s="3">
        <f>'Monthly Data'!DL97</f>
        <v>852029</v>
      </c>
      <c r="F97" s="3">
        <f>'Monthly Data'!DR97</f>
        <v>20</v>
      </c>
      <c r="H97" s="3">
        <f t="shared" si="16"/>
        <v>-5284416</v>
      </c>
      <c r="I97" s="3">
        <f t="shared" si="17"/>
        <v>10399704.08849</v>
      </c>
      <c r="J97" s="3">
        <f t="shared" si="18"/>
        <v>3350680</v>
      </c>
      <c r="K97" s="47">
        <f t="shared" si="19"/>
        <v>8465968.08849</v>
      </c>
      <c r="L97" s="47">
        <f>'Monthly Data'!AE97</f>
        <v>4661.8457820512831</v>
      </c>
      <c r="M97" s="47">
        <f t="shared" si="14"/>
        <v>8470629.9342720509</v>
      </c>
      <c r="N97" s="47">
        <f t="shared" ca="1" si="15"/>
        <v>-533606.82852360792</v>
      </c>
      <c r="O97" s="18">
        <f t="shared" ca="1" si="20"/>
        <v>5.9261750060638378E-2</v>
      </c>
    </row>
    <row r="98" spans="1:15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Data'!AD98</f>
        <v>10083931.614909913</v>
      </c>
      <c r="E98" s="3">
        <f>'Monthly Data'!DL98</f>
        <v>860658</v>
      </c>
      <c r="F98" s="3">
        <f>'Monthly Data'!DR98</f>
        <v>21</v>
      </c>
      <c r="H98" s="3">
        <f t="shared" ref="H98:H121" si="21">$S$8</f>
        <v>-5284416</v>
      </c>
      <c r="I98" s="3">
        <f t="shared" ref="I98:I121" si="22">E98*$S$9</f>
        <v>10505028.022979999</v>
      </c>
      <c r="J98" s="3">
        <f t="shared" ref="J98:J121" si="23">F98*$S$10</f>
        <v>3518214</v>
      </c>
      <c r="K98" s="47">
        <f t="shared" si="19"/>
        <v>8738826.022979999</v>
      </c>
      <c r="L98" s="47">
        <f>'Monthly Data'!AE98</f>
        <v>5025.9360384615384</v>
      </c>
      <c r="M98" s="47">
        <f t="shared" si="14"/>
        <v>8743851.9590184614</v>
      </c>
      <c r="N98" s="47">
        <f t="shared" ca="1" si="15"/>
        <v>-1340079.655891452</v>
      </c>
      <c r="O98" s="18">
        <f t="shared" ca="1" si="20"/>
        <v>0.13289257673168223</v>
      </c>
    </row>
    <row r="99" spans="1:15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Data'!AD99</f>
        <v>9261419.562911246</v>
      </c>
      <c r="E99" s="3">
        <f>'Monthly Data'!DL99</f>
        <v>860658</v>
      </c>
      <c r="F99" s="3">
        <f>'Monthly Data'!DR99</f>
        <v>19</v>
      </c>
      <c r="H99" s="3">
        <f t="shared" si="21"/>
        <v>-5284416</v>
      </c>
      <c r="I99" s="3">
        <f t="shared" si="22"/>
        <v>10505028.022979999</v>
      </c>
      <c r="J99" s="3">
        <f t="shared" si="23"/>
        <v>3183146</v>
      </c>
      <c r="K99" s="47">
        <f t="shared" si="19"/>
        <v>8403758.022979999</v>
      </c>
      <c r="L99" s="47">
        <f>'Monthly Data'!AE99</f>
        <v>5238.9887435897435</v>
      </c>
      <c r="M99" s="47">
        <f t="shared" si="14"/>
        <v>8408997.0117235892</v>
      </c>
      <c r="N99" s="47">
        <f t="shared" ca="1" si="15"/>
        <v>-852422.55118765682</v>
      </c>
      <c r="O99" s="18">
        <f t="shared" ca="1" si="20"/>
        <v>9.2040161381016769E-2</v>
      </c>
    </row>
    <row r="100" spans="1:15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Data'!AD100</f>
        <v>10205290.02091258</v>
      </c>
      <c r="E100" s="3">
        <f>'Monthly Data'!DL100</f>
        <v>860658</v>
      </c>
      <c r="F100" s="3">
        <f>'Monthly Data'!DR100</f>
        <v>23</v>
      </c>
      <c r="H100" s="3">
        <f t="shared" si="21"/>
        <v>-5284416</v>
      </c>
      <c r="I100" s="3">
        <f t="shared" si="22"/>
        <v>10505028.022979999</v>
      </c>
      <c r="J100" s="3">
        <f t="shared" si="23"/>
        <v>3853282</v>
      </c>
      <c r="K100" s="47">
        <f t="shared" si="19"/>
        <v>9073894.022979999</v>
      </c>
      <c r="L100" s="47">
        <f>'Monthly Data'!AE100</f>
        <v>5452.0414487179487</v>
      </c>
      <c r="M100" s="47">
        <f t="shared" si="14"/>
        <v>9079346.0644287169</v>
      </c>
      <c r="N100" s="47">
        <f t="shared" ca="1" si="15"/>
        <v>-1125943.9564838633</v>
      </c>
      <c r="O100" s="18">
        <f t="shared" ca="1" si="20"/>
        <v>0.11032944229674904</v>
      </c>
    </row>
    <row r="101" spans="1:15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Data'!AD101</f>
        <v>9144969.6689139139</v>
      </c>
      <c r="E101" s="3">
        <f>'Monthly Data'!DL101</f>
        <v>865503</v>
      </c>
      <c r="F101" s="3">
        <f>'Monthly Data'!DR101</f>
        <v>19</v>
      </c>
      <c r="H101" s="3">
        <f t="shared" si="21"/>
        <v>-5284416</v>
      </c>
      <c r="I101" s="3">
        <f t="shared" si="22"/>
        <v>10564165.172429999</v>
      </c>
      <c r="J101" s="3">
        <f t="shared" si="23"/>
        <v>3183146</v>
      </c>
      <c r="K101" s="47">
        <f t="shared" si="19"/>
        <v>8462895.1724299993</v>
      </c>
      <c r="L101" s="47">
        <f>'Monthly Data'!AE101</f>
        <v>5665.0941538461539</v>
      </c>
      <c r="M101" s="47">
        <f t="shared" si="14"/>
        <v>8468560.266583845</v>
      </c>
      <c r="N101" s="47">
        <f t="shared" ca="1" si="15"/>
        <v>-676409.40233006887</v>
      </c>
      <c r="O101" s="18">
        <f t="shared" ca="1" si="20"/>
        <v>7.3965188165616022E-2</v>
      </c>
    </row>
    <row r="102" spans="1:15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Data'!AD102</f>
        <v>9643226.2969152499</v>
      </c>
      <c r="E102" s="3">
        <f>'Monthly Data'!DL102</f>
        <v>865503</v>
      </c>
      <c r="F102" s="3">
        <f>'Monthly Data'!DR102</f>
        <v>22</v>
      </c>
      <c r="H102" s="3">
        <f t="shared" si="21"/>
        <v>-5284416</v>
      </c>
      <c r="I102" s="3">
        <f t="shared" si="22"/>
        <v>10564165.172429999</v>
      </c>
      <c r="J102" s="3">
        <f t="shared" si="23"/>
        <v>3685748</v>
      </c>
      <c r="K102" s="47">
        <f t="shared" si="19"/>
        <v>8965497.1724299993</v>
      </c>
      <c r="L102" s="47">
        <f>'Monthly Data'!AE102</f>
        <v>5878.1468589743599</v>
      </c>
      <c r="M102" s="47">
        <f t="shared" si="14"/>
        <v>8971375.3192889728</v>
      </c>
      <c r="N102" s="47">
        <f t="shared" ca="1" si="15"/>
        <v>-671850.97762627713</v>
      </c>
      <c r="O102" s="18">
        <f t="shared" ca="1" si="20"/>
        <v>6.9670767535673625E-2</v>
      </c>
    </row>
    <row r="103" spans="1:15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Data'!AD103</f>
        <v>9929702.1249165852</v>
      </c>
      <c r="E103" s="3">
        <f>'Monthly Data'!DL103</f>
        <v>865503</v>
      </c>
      <c r="F103" s="3">
        <f>'Monthly Data'!DR103</f>
        <v>22</v>
      </c>
      <c r="H103" s="3">
        <f t="shared" si="21"/>
        <v>-5284416</v>
      </c>
      <c r="I103" s="3">
        <f t="shared" si="22"/>
        <v>10564165.172429999</v>
      </c>
      <c r="J103" s="3">
        <f t="shared" si="23"/>
        <v>3685748</v>
      </c>
      <c r="K103" s="47">
        <f t="shared" si="19"/>
        <v>8965497.1724299993</v>
      </c>
      <c r="L103" s="47">
        <f>'Monthly Data'!AE103</f>
        <v>6091.1995641025651</v>
      </c>
      <c r="M103" s="47">
        <f t="shared" si="14"/>
        <v>8971588.3719941024</v>
      </c>
      <c r="N103" s="47">
        <f t="shared" ca="1" si="15"/>
        <v>-958113.75292248279</v>
      </c>
      <c r="O103" s="18">
        <f t="shared" ca="1" si="20"/>
        <v>9.6489677219852299E-2</v>
      </c>
    </row>
    <row r="104" spans="1:15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Data'!AD104</f>
        <v>9827630.1929179169</v>
      </c>
      <c r="E104" s="3">
        <f>'Monthly Data'!DL104</f>
        <v>867701</v>
      </c>
      <c r="F104" s="3">
        <f>'Monthly Data'!DR104</f>
        <v>20</v>
      </c>
      <c r="H104" s="3">
        <f t="shared" si="21"/>
        <v>-5284416</v>
      </c>
      <c r="I104" s="3">
        <f t="shared" si="22"/>
        <v>10590993.54281</v>
      </c>
      <c r="J104" s="3">
        <f t="shared" si="23"/>
        <v>3350680</v>
      </c>
      <c r="K104" s="47">
        <f t="shared" si="19"/>
        <v>8657257.5428100005</v>
      </c>
      <c r="L104" s="47">
        <f>'Monthly Data'!AE104</f>
        <v>6304.2522692307703</v>
      </c>
      <c r="M104" s="47">
        <f t="shared" si="14"/>
        <v>8663561.7950792313</v>
      </c>
      <c r="N104" s="47">
        <f t="shared" ca="1" si="15"/>
        <v>-1164068.3978386857</v>
      </c>
      <c r="O104" s="18">
        <f t="shared" ca="1" si="20"/>
        <v>0.11844853489476517</v>
      </c>
    </row>
    <row r="105" spans="1:15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Data'!AD105</f>
        <v>10040725.140919253</v>
      </c>
      <c r="E105" s="3">
        <f>'Monthly Data'!DL105</f>
        <v>867701</v>
      </c>
      <c r="F105" s="3">
        <f>'Monthly Data'!DR105</f>
        <v>22</v>
      </c>
      <c r="H105" s="3">
        <f t="shared" si="21"/>
        <v>-5284416</v>
      </c>
      <c r="I105" s="3">
        <f t="shared" si="22"/>
        <v>10590993.54281</v>
      </c>
      <c r="J105" s="3">
        <f t="shared" si="23"/>
        <v>3685748</v>
      </c>
      <c r="K105" s="47">
        <f t="shared" si="19"/>
        <v>8992325.5428100005</v>
      </c>
      <c r="L105" s="47">
        <f>'Monthly Data'!AE105</f>
        <v>6517.3049743589754</v>
      </c>
      <c r="M105" s="47">
        <f t="shared" si="14"/>
        <v>8998842.847784359</v>
      </c>
      <c r="N105" s="47">
        <f t="shared" ca="1" si="15"/>
        <v>-1041882.2931348942</v>
      </c>
      <c r="O105" s="18">
        <f t="shared" ca="1" si="20"/>
        <v>0.10376564227307464</v>
      </c>
    </row>
    <row r="106" spans="1:15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Data'!AD106</f>
        <v>7986970.2989205867</v>
      </c>
      <c r="E106" s="3">
        <f>'Monthly Data'!DL106</f>
        <v>867701</v>
      </c>
      <c r="F106" s="3">
        <f>'Monthly Data'!DR106</f>
        <v>20</v>
      </c>
      <c r="H106" s="3">
        <f t="shared" si="21"/>
        <v>-5284416</v>
      </c>
      <c r="I106" s="3">
        <f t="shared" si="22"/>
        <v>10590993.54281</v>
      </c>
      <c r="J106" s="3">
        <f t="shared" si="23"/>
        <v>3350680</v>
      </c>
      <c r="K106" s="47">
        <f t="shared" si="19"/>
        <v>8657257.5428100005</v>
      </c>
      <c r="L106" s="47">
        <f>'Monthly Data'!AE106</f>
        <v>6730.3576794871806</v>
      </c>
      <c r="M106" s="47">
        <f t="shared" si="14"/>
        <v>8663987.9004894868</v>
      </c>
      <c r="N106" s="47">
        <f t="shared" ca="1" si="15"/>
        <v>677017.60156890005</v>
      </c>
      <c r="O106" s="18">
        <f t="shared" ca="1" si="20"/>
        <v>8.4765258443542324E-2</v>
      </c>
    </row>
    <row r="107" spans="1:15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Data'!AD107</f>
        <v>9220703.7869219203</v>
      </c>
      <c r="E107" s="3">
        <f>'Monthly Data'!DL107</f>
        <v>869576</v>
      </c>
      <c r="F107" s="3">
        <f>'Monthly Data'!DR107</f>
        <v>21</v>
      </c>
      <c r="H107" s="3">
        <f t="shared" si="21"/>
        <v>-5284416</v>
      </c>
      <c r="I107" s="3">
        <f t="shared" si="22"/>
        <v>10613879.436559999</v>
      </c>
      <c r="J107" s="3">
        <f t="shared" si="23"/>
        <v>3518214</v>
      </c>
      <c r="K107" s="47">
        <f t="shared" si="19"/>
        <v>8847677.4365599994</v>
      </c>
      <c r="L107" s="47">
        <f>'Monthly Data'!AE107</f>
        <v>6943.4103846153857</v>
      </c>
      <c r="M107" s="47">
        <f t="shared" si="14"/>
        <v>8854620.8469446152</v>
      </c>
      <c r="N107" s="47">
        <f t="shared" ca="1" si="15"/>
        <v>-366082.93997730501</v>
      </c>
      <c r="O107" s="18">
        <f t="shared" ca="1" si="20"/>
        <v>3.970227744399886E-2</v>
      </c>
    </row>
    <row r="108" spans="1:15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Data'!AD108</f>
        <v>9051879.4449232556</v>
      </c>
      <c r="E108" s="3">
        <f>'Monthly Data'!DL108</f>
        <v>869576</v>
      </c>
      <c r="F108" s="3">
        <f>'Monthly Data'!DR108</f>
        <v>22</v>
      </c>
      <c r="H108" s="3">
        <f t="shared" si="21"/>
        <v>-5284416</v>
      </c>
      <c r="I108" s="3">
        <f t="shared" si="22"/>
        <v>10613879.436559999</v>
      </c>
      <c r="J108" s="3">
        <f t="shared" si="23"/>
        <v>3685748</v>
      </c>
      <c r="K108" s="47">
        <f t="shared" si="19"/>
        <v>9015211.4365599994</v>
      </c>
      <c r="L108" s="47">
        <f>'Monthly Data'!AE108</f>
        <v>7156.4630897435909</v>
      </c>
      <c r="M108" s="47">
        <f t="shared" si="14"/>
        <v>9022367.899649743</v>
      </c>
      <c r="N108" s="47">
        <f t="shared" ca="1" si="15"/>
        <v>-29511.545273512602</v>
      </c>
      <c r="O108" s="18">
        <f t="shared" ca="1" si="20"/>
        <v>3.2602671581164447E-3</v>
      </c>
    </row>
    <row r="109" spans="1:15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Data'!AD109</f>
        <v>8948824.2429245897</v>
      </c>
      <c r="E109" s="3">
        <f>'Monthly Data'!DL109</f>
        <v>869576</v>
      </c>
      <c r="F109" s="3">
        <f>'Monthly Data'!DR109</f>
        <v>19</v>
      </c>
      <c r="H109" s="3">
        <f t="shared" si="21"/>
        <v>-5284416</v>
      </c>
      <c r="I109" s="3">
        <f t="shared" si="22"/>
        <v>10613879.436559999</v>
      </c>
      <c r="J109" s="3">
        <f t="shared" si="23"/>
        <v>3183146</v>
      </c>
      <c r="K109" s="47">
        <f t="shared" si="19"/>
        <v>8512609.4365599994</v>
      </c>
      <c r="L109" s="47">
        <f>'Monthly Data'!AE109</f>
        <v>7369.515794871797</v>
      </c>
      <c r="M109" s="47">
        <f t="shared" si="14"/>
        <v>8519978.9523548707</v>
      </c>
      <c r="N109" s="47">
        <f t="shared" ca="1" si="15"/>
        <v>-428845.29056971893</v>
      </c>
      <c r="O109" s="18">
        <f t="shared" ca="1" si="20"/>
        <v>4.7921970409552574E-2</v>
      </c>
    </row>
    <row r="110" spans="1:15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Data'!AD110</f>
        <v>9018112.8831079192</v>
      </c>
      <c r="E110" s="3">
        <f>'Monthly Data'!DL110</f>
        <v>873665</v>
      </c>
      <c r="F110" s="3">
        <f>'Monthly Data'!DR110</f>
        <v>22</v>
      </c>
      <c r="H110" s="3">
        <f t="shared" si="21"/>
        <v>-5284416</v>
      </c>
      <c r="I110" s="3">
        <f t="shared" si="22"/>
        <v>10663788.993650001</v>
      </c>
      <c r="J110" s="3">
        <f t="shared" si="23"/>
        <v>3685748</v>
      </c>
      <c r="K110" s="47">
        <f t="shared" ref="K110:K121" si="24">SUM(H110:J110)</f>
        <v>9065120.9936500005</v>
      </c>
      <c r="L110" s="47">
        <f>'Monthly Data'!AE110</f>
        <v>7863.0469487179498</v>
      </c>
      <c r="M110" s="47">
        <f t="shared" si="14"/>
        <v>9072984.0405987184</v>
      </c>
      <c r="N110" s="47">
        <f t="shared" ca="1" si="15"/>
        <v>54871.157490799204</v>
      </c>
      <c r="O110" s="18">
        <f t="shared" ref="O110:O121" ca="1" si="25">ABS(N110/D110)</f>
        <v>6.0845498611555322E-3</v>
      </c>
    </row>
    <row r="111" spans="1:15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Data'!AD111</f>
        <v>8378602.3150000079</v>
      </c>
      <c r="E111" s="3">
        <f>'Monthly Data'!DL111</f>
        <v>873665</v>
      </c>
      <c r="F111" s="3">
        <f>'Monthly Data'!DR111</f>
        <v>20</v>
      </c>
      <c r="H111" s="3">
        <f t="shared" si="21"/>
        <v>-5284416</v>
      </c>
      <c r="I111" s="3">
        <f t="shared" si="22"/>
        <v>10663788.993650001</v>
      </c>
      <c r="J111" s="3">
        <f t="shared" si="23"/>
        <v>3350680</v>
      </c>
      <c r="K111" s="47">
        <f t="shared" si="24"/>
        <v>8730052.9936500005</v>
      </c>
      <c r="L111" s="47">
        <f>'Monthly Data'!AE111</f>
        <v>8143.5253974358984</v>
      </c>
      <c r="M111" s="47">
        <f t="shared" si="14"/>
        <v>8738196.5190474372</v>
      </c>
      <c r="N111" s="47">
        <f t="shared" ca="1" si="15"/>
        <v>359594.20404742938</v>
      </c>
      <c r="O111" s="18">
        <f t="shared" ca="1" si="25"/>
        <v>4.2918161111866665E-2</v>
      </c>
    </row>
    <row r="112" spans="1:15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Data'!AD112</f>
        <v>8983294.9268920962</v>
      </c>
      <c r="E112" s="3">
        <f>'Monthly Data'!DL112</f>
        <v>873665</v>
      </c>
      <c r="F112" s="3">
        <f>'Monthly Data'!DR112</f>
        <v>20</v>
      </c>
      <c r="H112" s="3">
        <f t="shared" si="21"/>
        <v>-5284416</v>
      </c>
      <c r="I112" s="3">
        <f t="shared" si="22"/>
        <v>10663788.993650001</v>
      </c>
      <c r="J112" s="3">
        <f t="shared" si="23"/>
        <v>3350680</v>
      </c>
      <c r="K112" s="47">
        <f t="shared" si="24"/>
        <v>8730052.9936500005</v>
      </c>
      <c r="L112" s="47">
        <f>'Monthly Data'!AE112</f>
        <v>8424.0038461538461</v>
      </c>
      <c r="M112" s="47">
        <f t="shared" si="14"/>
        <v>8738476.9974961542</v>
      </c>
      <c r="N112" s="47">
        <f t="shared" ca="1" si="15"/>
        <v>-244817.92939594202</v>
      </c>
      <c r="O112" s="18">
        <f t="shared" ca="1" si="25"/>
        <v>2.7252576185945218E-2</v>
      </c>
    </row>
    <row r="113" spans="1:15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Data'!AD113</f>
        <v>8797830.018784184</v>
      </c>
      <c r="E113" s="3">
        <f>'Monthly Data'!DL113</f>
        <v>875840</v>
      </c>
      <c r="F113" s="3">
        <f>'Monthly Data'!DR113</f>
        <v>22</v>
      </c>
      <c r="H113" s="3">
        <f t="shared" si="21"/>
        <v>-5284416</v>
      </c>
      <c r="I113" s="3">
        <f t="shared" si="22"/>
        <v>10690336.6304</v>
      </c>
      <c r="J113" s="3">
        <f t="shared" si="23"/>
        <v>3685748</v>
      </c>
      <c r="K113" s="47">
        <f t="shared" si="24"/>
        <v>9091668.6304000001</v>
      </c>
      <c r="L113" s="47">
        <f>'Monthly Data'!AE113</f>
        <v>8704.4822948717956</v>
      </c>
      <c r="M113" s="47">
        <f t="shared" si="14"/>
        <v>9100373.1126948725</v>
      </c>
      <c r="N113" s="47">
        <f t="shared" ca="1" si="15"/>
        <v>302543.09391068853</v>
      </c>
      <c r="O113" s="18">
        <f t="shared" ca="1" si="25"/>
        <v>3.4388376823004191E-2</v>
      </c>
    </row>
    <row r="114" spans="1:15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Data'!AD114</f>
        <v>8757454.2606762759</v>
      </c>
      <c r="E114" s="3">
        <f>'Monthly Data'!DL114</f>
        <v>875840</v>
      </c>
      <c r="F114" s="3">
        <f>'Monthly Data'!DR114</f>
        <v>22</v>
      </c>
      <c r="H114" s="3">
        <f t="shared" si="21"/>
        <v>-5284416</v>
      </c>
      <c r="I114" s="3">
        <f t="shared" si="22"/>
        <v>10690336.6304</v>
      </c>
      <c r="J114" s="3">
        <f t="shared" si="23"/>
        <v>3685748</v>
      </c>
      <c r="K114" s="47">
        <f t="shared" si="24"/>
        <v>9091668.6304000001</v>
      </c>
      <c r="L114" s="47">
        <f>'Monthly Data'!AE114</f>
        <v>8984.9607435897433</v>
      </c>
      <c r="M114" s="47">
        <f t="shared" si="14"/>
        <v>9100653.5911435895</v>
      </c>
      <c r="N114" s="47">
        <f t="shared" ca="1" si="15"/>
        <v>343199.33046731353</v>
      </c>
      <c r="O114" s="18">
        <f t="shared" ca="1" si="25"/>
        <v>3.9189394571934731E-2</v>
      </c>
    </row>
    <row r="115" spans="1:15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Data'!AD115</f>
        <v>8510080.842568364</v>
      </c>
      <c r="E115" s="3">
        <f>'Monthly Data'!DL115</f>
        <v>875840</v>
      </c>
      <c r="F115" s="3">
        <f>'Monthly Data'!DR115</f>
        <v>20</v>
      </c>
      <c r="H115" s="3">
        <f t="shared" si="21"/>
        <v>-5284416</v>
      </c>
      <c r="I115" s="3">
        <f t="shared" si="22"/>
        <v>10690336.6304</v>
      </c>
      <c r="J115" s="3">
        <f t="shared" si="23"/>
        <v>3350680</v>
      </c>
      <c r="K115" s="47">
        <f t="shared" si="24"/>
        <v>8756600.6304000001</v>
      </c>
      <c r="L115" s="47">
        <f>'Monthly Data'!AE115</f>
        <v>9265.4391923076928</v>
      </c>
      <c r="M115" s="47">
        <f t="shared" si="14"/>
        <v>8765866.0695923083</v>
      </c>
      <c r="N115" s="47">
        <f t="shared" ca="1" si="15"/>
        <v>255785.22702394426</v>
      </c>
      <c r="O115" s="18">
        <f t="shared" ca="1" si="25"/>
        <v>3.0056732921322944E-2</v>
      </c>
    </row>
    <row r="116" spans="1:15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Data'!AD116</f>
        <v>8531713.0544604529</v>
      </c>
      <c r="E116" s="3">
        <f>'Monthly Data'!DL116</f>
        <v>876752</v>
      </c>
      <c r="F116" s="3">
        <f>'Monthly Data'!DR116</f>
        <v>22</v>
      </c>
      <c r="H116" s="3">
        <f t="shared" si="21"/>
        <v>-5284416</v>
      </c>
      <c r="I116" s="3">
        <f t="shared" si="22"/>
        <v>10701468.329119999</v>
      </c>
      <c r="J116" s="3">
        <f t="shared" si="23"/>
        <v>3685748</v>
      </c>
      <c r="K116" s="47">
        <f t="shared" si="24"/>
        <v>9102800.329119999</v>
      </c>
      <c r="L116" s="47">
        <f>'Monthly Data'!AE116</f>
        <v>9545.9176410256405</v>
      </c>
      <c r="M116" s="47">
        <f t="shared" si="14"/>
        <v>9112346.246761024</v>
      </c>
      <c r="N116" s="47">
        <f t="shared" ca="1" si="15"/>
        <v>580633.19230057113</v>
      </c>
      <c r="O116" s="18">
        <f t="shared" ca="1" si="25"/>
        <v>6.8055874429228613E-2</v>
      </c>
    </row>
    <row r="117" spans="1:15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Data'!AD117</f>
        <v>7901915.296352542</v>
      </c>
      <c r="E117" s="3">
        <f>'Monthly Data'!DL117</f>
        <v>876752</v>
      </c>
      <c r="F117" s="3">
        <f>'Monthly Data'!DR117</f>
        <v>21</v>
      </c>
      <c r="H117" s="3">
        <f t="shared" si="21"/>
        <v>-5284416</v>
      </c>
      <c r="I117" s="3">
        <f t="shared" si="22"/>
        <v>10701468.329119999</v>
      </c>
      <c r="J117" s="3">
        <f t="shared" si="23"/>
        <v>3518214</v>
      </c>
      <c r="K117" s="47">
        <f t="shared" si="24"/>
        <v>8935266.329119999</v>
      </c>
      <c r="L117" s="47">
        <f>'Monthly Data'!AE117</f>
        <v>9826.39608974359</v>
      </c>
      <c r="M117" s="47">
        <f t="shared" si="14"/>
        <v>8945092.7252097428</v>
      </c>
      <c r="N117" s="47">
        <f t="shared" ca="1" si="15"/>
        <v>1043177.4288572008</v>
      </c>
      <c r="O117" s="18">
        <f t="shared" ca="1" si="25"/>
        <v>0.13201576956142808</v>
      </c>
    </row>
    <row r="118" spans="1:15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Data'!AD118</f>
        <v>8046857.6182446303</v>
      </c>
      <c r="E118" s="3">
        <f>'Monthly Data'!DL118</f>
        <v>876752</v>
      </c>
      <c r="F118" s="3">
        <f>'Monthly Data'!DR118</f>
        <v>20</v>
      </c>
      <c r="H118" s="3">
        <f t="shared" si="21"/>
        <v>-5284416</v>
      </c>
      <c r="I118" s="3">
        <f t="shared" si="22"/>
        <v>10701468.329119999</v>
      </c>
      <c r="J118" s="3">
        <f t="shared" si="23"/>
        <v>3350680</v>
      </c>
      <c r="K118" s="47">
        <f t="shared" si="24"/>
        <v>8767732.329119999</v>
      </c>
      <c r="L118" s="47">
        <f>'Monthly Data'!AE118</f>
        <v>10106.874538461539</v>
      </c>
      <c r="M118" s="47">
        <f t="shared" si="14"/>
        <v>8777839.2036584597</v>
      </c>
      <c r="N118" s="47">
        <f t="shared" ca="1" si="15"/>
        <v>730981.58541382942</v>
      </c>
      <c r="O118" s="18">
        <f t="shared" ca="1" si="25"/>
        <v>9.0840626253467657E-2</v>
      </c>
    </row>
    <row r="119" spans="1:15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Data'!AD119</f>
        <v>8539291.4101367202</v>
      </c>
      <c r="E119" s="3">
        <f>'Monthly Data'!DL119</f>
        <v>880222</v>
      </c>
      <c r="F119" s="3">
        <f>'Monthly Data'!DR119</f>
        <v>22</v>
      </c>
      <c r="H119" s="3">
        <f t="shared" si="21"/>
        <v>-5284416</v>
      </c>
      <c r="I119" s="3">
        <f t="shared" si="22"/>
        <v>10743822.48982</v>
      </c>
      <c r="J119" s="3">
        <f t="shared" si="23"/>
        <v>3685748</v>
      </c>
      <c r="K119" s="47">
        <f t="shared" si="24"/>
        <v>9145154.4898199998</v>
      </c>
      <c r="L119" s="47">
        <f>'Monthly Data'!AE119</f>
        <v>10387.352987179487</v>
      </c>
      <c r="M119" s="47">
        <f t="shared" ref="M119:M121" si="26">K119+L119</f>
        <v>9155541.8428071793</v>
      </c>
      <c r="N119" s="47">
        <f t="shared" ref="N119:N121" ca="1" si="27">M119-D119</f>
        <v>616250.43267045915</v>
      </c>
      <c r="O119" s="18">
        <f t="shared" ca="1" si="25"/>
        <v>7.2166460081093842E-2</v>
      </c>
    </row>
    <row r="120" spans="1:15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Data'!AD120</f>
        <v>8437583.3520288095</v>
      </c>
      <c r="E120" s="3">
        <f>'Monthly Data'!DL120</f>
        <v>880222</v>
      </c>
      <c r="F120" s="3">
        <f>'Monthly Data'!DR120</f>
        <v>21</v>
      </c>
      <c r="H120" s="3">
        <f t="shared" si="21"/>
        <v>-5284416</v>
      </c>
      <c r="I120" s="3">
        <f t="shared" si="22"/>
        <v>10743822.48982</v>
      </c>
      <c r="J120" s="3">
        <f t="shared" si="23"/>
        <v>3518214</v>
      </c>
      <c r="K120" s="47">
        <f t="shared" si="24"/>
        <v>8977620.4898199998</v>
      </c>
      <c r="L120" s="47">
        <f>'Monthly Data'!AE120</f>
        <v>10667.831435897435</v>
      </c>
      <c r="M120" s="47">
        <f t="shared" si="26"/>
        <v>8988288.3212558981</v>
      </c>
      <c r="N120" s="47">
        <f t="shared" ca="1" si="27"/>
        <v>550704.96922708862</v>
      </c>
      <c r="O120" s="18">
        <f t="shared" ca="1" si="25"/>
        <v>6.526809232582835E-2</v>
      </c>
    </row>
    <row r="121" spans="1:15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Data'!AD121</f>
        <v>8513748.5339208972</v>
      </c>
      <c r="E121" s="3">
        <f>'Monthly Data'!DL121</f>
        <v>880222</v>
      </c>
      <c r="F121" s="3">
        <f>'Monthly Data'!DR121</f>
        <v>20</v>
      </c>
      <c r="H121" s="3">
        <f t="shared" si="21"/>
        <v>-5284416</v>
      </c>
      <c r="I121" s="3">
        <f t="shared" si="22"/>
        <v>10743822.48982</v>
      </c>
      <c r="J121" s="3">
        <f t="shared" si="23"/>
        <v>3350680</v>
      </c>
      <c r="K121" s="47">
        <f t="shared" si="24"/>
        <v>8810086.4898199998</v>
      </c>
      <c r="L121" s="47">
        <f>'Monthly Data'!AE121</f>
        <v>10948.309884615384</v>
      </c>
      <c r="M121" s="47">
        <f t="shared" si="26"/>
        <v>8821034.799704615</v>
      </c>
      <c r="N121" s="47">
        <f t="shared" ca="1" si="27"/>
        <v>307286.26578371786</v>
      </c>
      <c r="O121" s="18">
        <f t="shared" ca="1" si="25"/>
        <v>3.6092945963744731E-2</v>
      </c>
    </row>
    <row r="122" spans="1:15">
      <c r="O122" s="17">
        <f ca="1">AVERAGE(O3:O121)</f>
        <v>6.2630696130820354E-2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9B83-8916-4A5A-BD52-1BE0491779CB}">
  <sheetPr codeName="Sheet14">
    <tabColor theme="9" tint="0.79998168889431442"/>
  </sheetPr>
  <dimension ref="A1:Z122"/>
  <sheetViews>
    <sheetView workbookViewId="0"/>
  </sheetViews>
  <sheetFormatPr defaultRowHeight="15"/>
  <cols>
    <col min="4" max="4" width="24.85546875" customWidth="1"/>
    <col min="5" max="5" width="8.5703125" style="3"/>
    <col min="6" max="6" width="10.28515625" style="3" customWidth="1"/>
    <col min="7" max="8" width="8.5703125" style="3"/>
    <col min="9" max="9" width="8.5703125" customWidth="1"/>
    <col min="10" max="10" width="13.5703125" bestFit="1" customWidth="1"/>
    <col min="11" max="11" width="11.42578125" bestFit="1" customWidth="1"/>
    <col min="12" max="14" width="11.42578125" customWidth="1"/>
    <col min="15" max="17" width="12.5703125" customWidth="1"/>
    <col min="18" max="18" width="12" customWidth="1"/>
    <col min="22" max="22" width="12.85546875" customWidth="1"/>
    <col min="23" max="23" width="13.5703125" bestFit="1" customWidth="1"/>
    <col min="24" max="24" width="12.5703125" bestFit="1" customWidth="1"/>
    <col min="25" max="25" width="13.5703125" bestFit="1" customWidth="1"/>
    <col min="26" max="26" width="8.5703125" bestFit="1" customWidth="1"/>
  </cols>
  <sheetData>
    <row r="1" spans="1:26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Data'!AI1</f>
        <v>VRZ_LargeUsekWh_No_CDM</v>
      </c>
      <c r="E1" s="760" t="str">
        <f>'Monthly Data'!DR1</f>
        <v>Peak Days</v>
      </c>
      <c r="F1" s="760" t="str">
        <f>'Monthly Data'!DL1</f>
        <v>OEA_GDP</v>
      </c>
      <c r="G1" s="760" t="str">
        <f>'Monthly Data'!EE1</f>
        <v>Spring</v>
      </c>
      <c r="H1" s="760" t="str">
        <f>'Monthly Data'!EJ1</f>
        <v>COVID_AM</v>
      </c>
      <c r="I1" s="760"/>
      <c r="J1" s="760" t="str">
        <f>V8</f>
        <v>const</v>
      </c>
      <c r="K1" s="760" t="str">
        <f>E1</f>
        <v>Peak Days</v>
      </c>
      <c r="L1" s="760" t="str">
        <f t="shared" ref="L1:N1" si="0">F1</f>
        <v>OEA_GDP</v>
      </c>
      <c r="M1" s="760" t="str">
        <f t="shared" si="0"/>
        <v>Spring</v>
      </c>
      <c r="N1" s="760" t="str">
        <f t="shared" si="0"/>
        <v>COVID_AM</v>
      </c>
      <c r="O1" s="760" t="s">
        <v>424</v>
      </c>
      <c r="P1" s="760" t="s">
        <v>632</v>
      </c>
      <c r="Q1" s="760" t="s">
        <v>633</v>
      </c>
      <c r="R1" s="760" t="s">
        <v>425</v>
      </c>
      <c r="S1" s="760"/>
    </row>
    <row r="2" spans="1:26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Data'!AI2</f>
        <v>16031581.465118166</v>
      </c>
      <c r="E2" s="3">
        <f>'Monthly Data'!DR2</f>
        <v>21</v>
      </c>
      <c r="F2" s="3">
        <f>'Monthly Data'!DL2</f>
        <v>718587</v>
      </c>
      <c r="G2" s="3">
        <f>'Monthly Data'!EE2</f>
        <v>0</v>
      </c>
      <c r="H2" s="3">
        <f>'Monthly Data'!EJ2</f>
        <v>0</v>
      </c>
      <c r="J2" s="3">
        <f t="shared" ref="J2:J33" si="1">$W$8</f>
        <v>-37000000</v>
      </c>
      <c r="K2" s="3">
        <f t="shared" ref="K2:K33" si="2">E2*$W$9</f>
        <v>7313025.2999999998</v>
      </c>
      <c r="L2" s="3">
        <f t="shared" ref="L2:L33" si="3">F2*$W$10</f>
        <v>47361285.910170004</v>
      </c>
      <c r="M2" s="3">
        <f t="shared" ref="M2:M33" si="4">G2*$W$11</f>
        <v>0</v>
      </c>
      <c r="N2" s="3">
        <f t="shared" ref="N2:N33" si="5">H2*$W$12</f>
        <v>0</v>
      </c>
      <c r="O2" s="47">
        <f t="shared" ref="O2:O54" si="6">SUM(J2:N2)</f>
        <v>17674311.210170005</v>
      </c>
      <c r="P2" s="47">
        <f>'Monthly Data'!AJ2</f>
        <v>0</v>
      </c>
      <c r="Q2" s="47">
        <f t="shared" ref="Q2:Q54" si="7">O2+P2</f>
        <v>17674311.210170005</v>
      </c>
      <c r="R2" s="47">
        <f t="shared" ref="R2:R54" si="8">Q2-D2</f>
        <v>1642729.7450518385</v>
      </c>
      <c r="S2" s="18">
        <f t="shared" ref="S2:S21" si="9">ABS(R2/D2)</f>
        <v>0.10246835277144195</v>
      </c>
    </row>
    <row r="3" spans="1:26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Data'!AI3</f>
        <v>15127536.492662676</v>
      </c>
      <c r="E3" s="3">
        <f>'Monthly Data'!DR3</f>
        <v>19</v>
      </c>
      <c r="F3" s="3">
        <f>'Monthly Data'!DL3</f>
        <v>718587</v>
      </c>
      <c r="G3" s="3">
        <f>'Monthly Data'!EE3</f>
        <v>0</v>
      </c>
      <c r="H3" s="3">
        <f>'Monthly Data'!EJ3</f>
        <v>0</v>
      </c>
      <c r="J3" s="3">
        <f t="shared" si="1"/>
        <v>-37000000</v>
      </c>
      <c r="K3" s="3">
        <f t="shared" si="2"/>
        <v>6616546.7000000002</v>
      </c>
      <c r="L3" s="3">
        <f t="shared" si="3"/>
        <v>47361285.910170004</v>
      </c>
      <c r="M3" s="3">
        <f t="shared" si="4"/>
        <v>0</v>
      </c>
      <c r="N3" s="3">
        <f t="shared" si="5"/>
        <v>0</v>
      </c>
      <c r="O3" s="47">
        <f t="shared" si="6"/>
        <v>16977832.610170003</v>
      </c>
      <c r="P3" s="47">
        <f>'Monthly Data'!AJ3</f>
        <v>0</v>
      </c>
      <c r="Q3" s="47">
        <f t="shared" si="7"/>
        <v>16977832.610170003</v>
      </c>
      <c r="R3" s="47">
        <f t="shared" si="8"/>
        <v>1850296.1175073273</v>
      </c>
      <c r="S3" s="18">
        <f t="shared" si="9"/>
        <v>0.12231311545040915</v>
      </c>
      <c r="V3" s="684" t="s">
        <v>714</v>
      </c>
      <c r="W3" s="684"/>
      <c r="X3" s="684"/>
      <c r="Y3" s="684"/>
      <c r="Z3" s="684"/>
    </row>
    <row r="4" spans="1:26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Data'!AI4</f>
        <v>19473356.95555957</v>
      </c>
      <c r="E4" s="3">
        <f>'Monthly Data'!DR4</f>
        <v>22</v>
      </c>
      <c r="F4" s="3">
        <f>'Monthly Data'!DL4</f>
        <v>718587</v>
      </c>
      <c r="G4" s="3">
        <f>'Monthly Data'!EE4</f>
        <v>1</v>
      </c>
      <c r="H4" s="3">
        <f>'Monthly Data'!EJ4</f>
        <v>0</v>
      </c>
      <c r="J4" s="3">
        <f t="shared" si="1"/>
        <v>-37000000</v>
      </c>
      <c r="K4" s="3">
        <f t="shared" si="2"/>
        <v>7661264.5999999996</v>
      </c>
      <c r="L4" s="3">
        <f t="shared" si="3"/>
        <v>47361285.910170004</v>
      </c>
      <c r="M4" s="3">
        <f t="shared" si="4"/>
        <v>793454.7</v>
      </c>
      <c r="N4" s="3">
        <f t="shared" si="5"/>
        <v>0</v>
      </c>
      <c r="O4" s="47">
        <f t="shared" si="6"/>
        <v>18816005.210170005</v>
      </c>
      <c r="P4" s="47">
        <f>'Monthly Data'!AJ4</f>
        <v>0</v>
      </c>
      <c r="Q4" s="47">
        <f t="shared" si="7"/>
        <v>18816005.210170005</v>
      </c>
      <c r="R4" s="47">
        <f t="shared" si="8"/>
        <v>-657351.74538956583</v>
      </c>
      <c r="S4" s="18">
        <f t="shared" si="9"/>
        <v>3.3756467715849801E-2</v>
      </c>
      <c r="V4" s="684" t="s">
        <v>696</v>
      </c>
      <c r="W4" s="684"/>
      <c r="X4" s="684"/>
      <c r="Y4" s="684"/>
      <c r="Z4" s="684"/>
    </row>
    <row r="5" spans="1:26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Data'!AI5</f>
        <v>17840672.838456467</v>
      </c>
      <c r="E5" s="3">
        <f>'Monthly Data'!DR5</f>
        <v>20</v>
      </c>
      <c r="F5" s="3">
        <f>'Monthly Data'!DL5</f>
        <v>723726</v>
      </c>
      <c r="G5" s="3">
        <f>'Monthly Data'!EE5</f>
        <v>1</v>
      </c>
      <c r="H5" s="3">
        <f>'Monthly Data'!EJ5</f>
        <v>0</v>
      </c>
      <c r="J5" s="3">
        <f t="shared" si="1"/>
        <v>-37000000</v>
      </c>
      <c r="K5" s="3">
        <f t="shared" si="2"/>
        <v>6964786</v>
      </c>
      <c r="L5" s="3">
        <f t="shared" si="3"/>
        <v>47699991.798660003</v>
      </c>
      <c r="M5" s="3">
        <f t="shared" si="4"/>
        <v>793454.7</v>
      </c>
      <c r="N5" s="3">
        <f t="shared" si="5"/>
        <v>0</v>
      </c>
      <c r="O5" s="47">
        <f t="shared" si="6"/>
        <v>18458232.498660002</v>
      </c>
      <c r="P5" s="47">
        <f>'Monthly Data'!AJ5</f>
        <v>0</v>
      </c>
      <c r="Q5" s="47">
        <f t="shared" si="7"/>
        <v>18458232.498660002</v>
      </c>
      <c r="R5" s="47">
        <f t="shared" si="8"/>
        <v>617559.66020353511</v>
      </c>
      <c r="S5" s="18">
        <f t="shared" si="9"/>
        <v>3.46152673610131E-2</v>
      </c>
      <c r="V5" s="684" t="s">
        <v>697</v>
      </c>
      <c r="W5" s="684"/>
      <c r="X5" s="684"/>
      <c r="Y5" s="684"/>
      <c r="Z5" s="684"/>
    </row>
    <row r="6" spans="1:26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Data'!AI6</f>
        <v>20013820.86135336</v>
      </c>
      <c r="E6" s="3">
        <f>'Monthly Data'!DR6</f>
        <v>20</v>
      </c>
      <c r="F6" s="3">
        <f>'Monthly Data'!DL6</f>
        <v>723726</v>
      </c>
      <c r="G6" s="3">
        <f>'Monthly Data'!EE6</f>
        <v>1</v>
      </c>
      <c r="H6" s="3">
        <f>'Monthly Data'!EJ6</f>
        <v>0</v>
      </c>
      <c r="J6" s="3">
        <f t="shared" si="1"/>
        <v>-37000000</v>
      </c>
      <c r="K6" s="3">
        <f t="shared" si="2"/>
        <v>6964786</v>
      </c>
      <c r="L6" s="3">
        <f t="shared" si="3"/>
        <v>47699991.798660003</v>
      </c>
      <c r="M6" s="3">
        <f t="shared" si="4"/>
        <v>793454.7</v>
      </c>
      <c r="N6" s="3">
        <f t="shared" si="5"/>
        <v>0</v>
      </c>
      <c r="O6" s="47">
        <f t="shared" si="6"/>
        <v>18458232.498660002</v>
      </c>
      <c r="P6" s="47">
        <f>'Monthly Data'!AJ6</f>
        <v>0</v>
      </c>
      <c r="Q6" s="47">
        <f t="shared" si="7"/>
        <v>18458232.498660002</v>
      </c>
      <c r="R6" s="47">
        <f t="shared" si="8"/>
        <v>-1555588.3626933582</v>
      </c>
      <c r="S6" s="18">
        <f t="shared" si="9"/>
        <v>7.7725706324133018E-2</v>
      </c>
      <c r="V6" s="685"/>
      <c r="W6" s="685"/>
      <c r="X6" s="685"/>
      <c r="Y6" s="685"/>
      <c r="Z6" s="685"/>
    </row>
    <row r="7" spans="1:26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Data'!AI7</f>
        <v>16306258.224250255</v>
      </c>
      <c r="E7" s="3">
        <f>'Monthly Data'!DR7</f>
        <v>22</v>
      </c>
      <c r="F7" s="3">
        <f>'Monthly Data'!DL7</f>
        <v>723726</v>
      </c>
      <c r="G7" s="3">
        <f>'Monthly Data'!EE7</f>
        <v>0</v>
      </c>
      <c r="H7" s="3">
        <f>'Monthly Data'!EJ7</f>
        <v>0</v>
      </c>
      <c r="J7" s="3">
        <f t="shared" si="1"/>
        <v>-37000000</v>
      </c>
      <c r="K7" s="3">
        <f t="shared" si="2"/>
        <v>7661264.5999999996</v>
      </c>
      <c r="L7" s="3">
        <f t="shared" si="3"/>
        <v>47699991.798660003</v>
      </c>
      <c r="M7" s="3">
        <f t="shared" si="4"/>
        <v>0</v>
      </c>
      <c r="N7" s="3">
        <f t="shared" si="5"/>
        <v>0</v>
      </c>
      <c r="O7" s="47">
        <f t="shared" si="6"/>
        <v>18361256.398660004</v>
      </c>
      <c r="P7" s="47">
        <f>'Monthly Data'!AJ7</f>
        <v>0</v>
      </c>
      <c r="Q7" s="47">
        <f t="shared" si="7"/>
        <v>18361256.398660004</v>
      </c>
      <c r="R7" s="47">
        <f t="shared" si="8"/>
        <v>2054998.174409749</v>
      </c>
      <c r="S7" s="18">
        <f t="shared" si="9"/>
        <v>0.12602512152994166</v>
      </c>
      <c r="V7" s="685"/>
      <c r="W7" s="685" t="s">
        <v>409</v>
      </c>
      <c r="X7" s="685" t="s">
        <v>410</v>
      </c>
      <c r="Y7" s="685" t="s">
        <v>411</v>
      </c>
      <c r="Z7" s="685" t="s">
        <v>412</v>
      </c>
    </row>
    <row r="8" spans="1:26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Data'!AI8</f>
        <v>16838315.127147149</v>
      </c>
      <c r="E8" s="3">
        <f>'Monthly Data'!DR8</f>
        <v>22</v>
      </c>
      <c r="F8" s="3">
        <f>'Monthly Data'!DL8</f>
        <v>730341</v>
      </c>
      <c r="G8" s="3">
        <f>'Monthly Data'!EE8</f>
        <v>0</v>
      </c>
      <c r="H8" s="3">
        <f>'Monthly Data'!EJ8</f>
        <v>0</v>
      </c>
      <c r="J8" s="3">
        <f t="shared" si="1"/>
        <v>-37000000</v>
      </c>
      <c r="K8" s="3">
        <f t="shared" si="2"/>
        <v>7661264.5999999996</v>
      </c>
      <c r="L8" s="3">
        <f t="shared" si="3"/>
        <v>48135979.238310002</v>
      </c>
      <c r="M8" s="3">
        <f t="shared" si="4"/>
        <v>0</v>
      </c>
      <c r="N8" s="3">
        <f t="shared" si="5"/>
        <v>0</v>
      </c>
      <c r="O8" s="47">
        <f t="shared" si="6"/>
        <v>18797243.838310003</v>
      </c>
      <c r="P8" s="47">
        <f>'Monthly Data'!AJ8</f>
        <v>0</v>
      </c>
      <c r="Q8" s="47">
        <f t="shared" si="7"/>
        <v>18797243.838310003</v>
      </c>
      <c r="R8" s="47">
        <f t="shared" si="8"/>
        <v>1958928.711162854</v>
      </c>
      <c r="S8" s="18">
        <f t="shared" si="9"/>
        <v>0.11633757275421343</v>
      </c>
      <c r="V8" s="685" t="s">
        <v>413</v>
      </c>
      <c r="W8" s="695">
        <v>-37000000</v>
      </c>
      <c r="X8" s="686">
        <v>3805691</v>
      </c>
      <c r="Y8" s="687">
        <v>-9.8494100000000007</v>
      </c>
      <c r="Z8" s="694">
        <v>5.7600000000000002E-17</v>
      </c>
    </row>
    <row r="9" spans="1:26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Data'!AI9</f>
        <v>16420142.510044046</v>
      </c>
      <c r="E9" s="3">
        <f>'Monthly Data'!DR9</f>
        <v>20</v>
      </c>
      <c r="F9" s="3">
        <f>'Monthly Data'!DL9</f>
        <v>730341</v>
      </c>
      <c r="G9" s="3">
        <f>'Monthly Data'!EE9</f>
        <v>0</v>
      </c>
      <c r="H9" s="3">
        <f>'Monthly Data'!EJ9</f>
        <v>0</v>
      </c>
      <c r="J9" s="3">
        <f t="shared" si="1"/>
        <v>-37000000</v>
      </c>
      <c r="K9" s="3">
        <f t="shared" si="2"/>
        <v>6964786</v>
      </c>
      <c r="L9" s="3">
        <f t="shared" si="3"/>
        <v>48135979.238310002</v>
      </c>
      <c r="M9" s="3">
        <f t="shared" si="4"/>
        <v>0</v>
      </c>
      <c r="N9" s="3">
        <f t="shared" si="5"/>
        <v>0</v>
      </c>
      <c r="O9" s="47">
        <f t="shared" si="6"/>
        <v>18100765.238310002</v>
      </c>
      <c r="P9" s="47">
        <f>'Monthly Data'!AJ9</f>
        <v>0</v>
      </c>
      <c r="Q9" s="47">
        <f t="shared" si="7"/>
        <v>18100765.238310002</v>
      </c>
      <c r="R9" s="47">
        <f t="shared" si="8"/>
        <v>1680622.728265956</v>
      </c>
      <c r="S9" s="18">
        <f t="shared" si="9"/>
        <v>0.10235128758705565</v>
      </c>
      <c r="V9" s="685" t="s">
        <v>428</v>
      </c>
      <c r="W9" s="686">
        <v>348239.3</v>
      </c>
      <c r="X9" s="686">
        <v>102611.2</v>
      </c>
      <c r="Y9" s="687">
        <v>3.3937740000000001</v>
      </c>
      <c r="Z9" s="694">
        <v>9.4600000000000001E-4</v>
      </c>
    </row>
    <row r="10" spans="1:26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Data'!AI10</f>
        <v>17567910.81294094</v>
      </c>
      <c r="E10" s="3">
        <f>'Monthly Data'!DR10</f>
        <v>21</v>
      </c>
      <c r="F10" s="3">
        <f>'Monthly Data'!DL10</f>
        <v>730341</v>
      </c>
      <c r="G10" s="3">
        <f>'Monthly Data'!EE10</f>
        <v>0</v>
      </c>
      <c r="H10" s="3">
        <f>'Monthly Data'!EJ10</f>
        <v>0</v>
      </c>
      <c r="J10" s="3">
        <f t="shared" si="1"/>
        <v>-37000000</v>
      </c>
      <c r="K10" s="3">
        <f t="shared" si="2"/>
        <v>7313025.2999999998</v>
      </c>
      <c r="L10" s="3">
        <f t="shared" si="3"/>
        <v>48135979.238310002</v>
      </c>
      <c r="M10" s="3">
        <f t="shared" si="4"/>
        <v>0</v>
      </c>
      <c r="N10" s="3">
        <f t="shared" si="5"/>
        <v>0</v>
      </c>
      <c r="O10" s="47">
        <f t="shared" si="6"/>
        <v>18449004.538310003</v>
      </c>
      <c r="P10" s="47">
        <f>'Monthly Data'!AJ10</f>
        <v>0</v>
      </c>
      <c r="Q10" s="47">
        <f t="shared" si="7"/>
        <v>18449004.538310003</v>
      </c>
      <c r="R10" s="47">
        <f t="shared" si="8"/>
        <v>881093.72536906227</v>
      </c>
      <c r="S10" s="18">
        <f t="shared" si="9"/>
        <v>5.0153585975631645E-2</v>
      </c>
      <c r="V10" s="685" t="s">
        <v>129</v>
      </c>
      <c r="W10" s="687">
        <v>65.908910000000006</v>
      </c>
      <c r="X10" s="687">
        <v>3.9355820000000001</v>
      </c>
      <c r="Y10" s="687">
        <v>16.746929999999999</v>
      </c>
      <c r="Z10" s="694">
        <v>1.2599999999999999E-32</v>
      </c>
    </row>
    <row r="11" spans="1:26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Data'!AI11</f>
        <v>21861401.855837833</v>
      </c>
      <c r="E11" s="3">
        <f>'Monthly Data'!DR11</f>
        <v>21</v>
      </c>
      <c r="F11" s="3">
        <f>'Monthly Data'!DL11</f>
        <v>737784</v>
      </c>
      <c r="G11" s="3">
        <f>'Monthly Data'!EE11</f>
        <v>0</v>
      </c>
      <c r="H11" s="3">
        <f>'Monthly Data'!EJ11</f>
        <v>0</v>
      </c>
      <c r="J11" s="3">
        <f t="shared" si="1"/>
        <v>-37000000</v>
      </c>
      <c r="K11" s="3">
        <f t="shared" si="2"/>
        <v>7313025.2999999998</v>
      </c>
      <c r="L11" s="3">
        <f t="shared" si="3"/>
        <v>48626539.255440004</v>
      </c>
      <c r="M11" s="3">
        <f t="shared" si="4"/>
        <v>0</v>
      </c>
      <c r="N11" s="3">
        <f t="shared" si="5"/>
        <v>0</v>
      </c>
      <c r="O11" s="47">
        <f t="shared" si="6"/>
        <v>18939564.555440005</v>
      </c>
      <c r="P11" s="47">
        <f>'Monthly Data'!AJ11</f>
        <v>0</v>
      </c>
      <c r="Q11" s="47">
        <f t="shared" si="7"/>
        <v>18939564.555440005</v>
      </c>
      <c r="R11" s="47">
        <f t="shared" si="8"/>
        <v>-2921837.3003978282</v>
      </c>
      <c r="S11" s="18">
        <f t="shared" si="9"/>
        <v>0.13365278766958788</v>
      </c>
      <c r="V11" s="685" t="s">
        <v>116</v>
      </c>
      <c r="W11" s="686">
        <v>793454.7</v>
      </c>
      <c r="X11" s="686">
        <v>368216.7</v>
      </c>
      <c r="Y11" s="687">
        <v>2.1548579999999999</v>
      </c>
      <c r="Z11" s="694">
        <v>3.3258000000000003E-2</v>
      </c>
    </row>
    <row r="12" spans="1:26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Data'!AI12</f>
        <v>19695563.348734729</v>
      </c>
      <c r="E12" s="3">
        <f>'Monthly Data'!DR12</f>
        <v>21</v>
      </c>
      <c r="F12" s="3">
        <f>'Monthly Data'!DL12</f>
        <v>737784</v>
      </c>
      <c r="G12" s="3">
        <f>'Monthly Data'!EE12</f>
        <v>0</v>
      </c>
      <c r="H12" s="3">
        <f>'Monthly Data'!EJ12</f>
        <v>0</v>
      </c>
      <c r="J12" s="3">
        <f t="shared" si="1"/>
        <v>-37000000</v>
      </c>
      <c r="K12" s="3">
        <f t="shared" si="2"/>
        <v>7313025.2999999998</v>
      </c>
      <c r="L12" s="3">
        <f t="shared" si="3"/>
        <v>48626539.255440004</v>
      </c>
      <c r="M12" s="3">
        <f t="shared" si="4"/>
        <v>0</v>
      </c>
      <c r="N12" s="3">
        <f t="shared" si="5"/>
        <v>0</v>
      </c>
      <c r="O12" s="47">
        <f t="shared" si="6"/>
        <v>18939564.555440005</v>
      </c>
      <c r="P12" s="47">
        <f>'Monthly Data'!AJ12</f>
        <v>0</v>
      </c>
      <c r="Q12" s="47">
        <f t="shared" si="7"/>
        <v>18939564.555440005</v>
      </c>
      <c r="R12" s="47">
        <f t="shared" si="8"/>
        <v>-755998.79329472408</v>
      </c>
      <c r="S12" s="18">
        <f t="shared" si="9"/>
        <v>3.8384217801177567E-2</v>
      </c>
      <c r="V12" s="685" t="s">
        <v>213</v>
      </c>
      <c r="W12" s="686">
        <v>3508715</v>
      </c>
      <c r="X12" s="686">
        <v>879344.1</v>
      </c>
      <c r="Y12" s="687">
        <v>3.990151</v>
      </c>
      <c r="Z12" s="694">
        <v>1.17E-4</v>
      </c>
    </row>
    <row r="13" spans="1:26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Data'!AI13</f>
        <v>17625407.721631624</v>
      </c>
      <c r="E13" s="3">
        <f>'Monthly Data'!DR13</f>
        <v>21</v>
      </c>
      <c r="F13" s="3">
        <f>'Monthly Data'!DL13</f>
        <v>737784</v>
      </c>
      <c r="G13" s="3">
        <f>'Monthly Data'!EE13</f>
        <v>0</v>
      </c>
      <c r="H13" s="3">
        <f>'Monthly Data'!EJ13</f>
        <v>0</v>
      </c>
      <c r="J13" s="3">
        <f t="shared" si="1"/>
        <v>-37000000</v>
      </c>
      <c r="K13" s="3">
        <f t="shared" si="2"/>
        <v>7313025.2999999998</v>
      </c>
      <c r="L13" s="3">
        <f t="shared" si="3"/>
        <v>48626539.255440004</v>
      </c>
      <c r="M13" s="3">
        <f t="shared" si="4"/>
        <v>0</v>
      </c>
      <c r="N13" s="3">
        <f t="shared" si="5"/>
        <v>0</v>
      </c>
      <c r="O13" s="47">
        <f t="shared" si="6"/>
        <v>18939564.555440005</v>
      </c>
      <c r="P13" s="47">
        <f>'Monthly Data'!AJ13</f>
        <v>0</v>
      </c>
      <c r="Q13" s="47">
        <f t="shared" si="7"/>
        <v>18939564.555440005</v>
      </c>
      <c r="R13" s="47">
        <f t="shared" si="8"/>
        <v>1314156.8338083811</v>
      </c>
      <c r="S13" s="18">
        <f t="shared" si="9"/>
        <v>7.4560365045939866E-2</v>
      </c>
      <c r="W13" s="3"/>
      <c r="X13" s="3"/>
      <c r="Y13" s="360"/>
      <c r="Z13" s="108"/>
    </row>
    <row r="14" spans="1:26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Data'!AI14</f>
        <v>17986495.162116073</v>
      </c>
      <c r="E14" s="3">
        <f>'Monthly Data'!DR14</f>
        <v>20</v>
      </c>
      <c r="F14" s="3">
        <f>'Monthly Data'!DL14</f>
        <v>743287</v>
      </c>
      <c r="G14" s="3">
        <f>'Monthly Data'!EE14</f>
        <v>0</v>
      </c>
      <c r="H14" s="3">
        <f>'Monthly Data'!EJ14</f>
        <v>0</v>
      </c>
      <c r="J14" s="3">
        <f t="shared" si="1"/>
        <v>-37000000</v>
      </c>
      <c r="K14" s="3">
        <f t="shared" si="2"/>
        <v>6964786</v>
      </c>
      <c r="L14" s="3">
        <f t="shared" si="3"/>
        <v>48989235.987170003</v>
      </c>
      <c r="M14" s="3">
        <f t="shared" si="4"/>
        <v>0</v>
      </c>
      <c r="N14" s="3">
        <f t="shared" si="5"/>
        <v>0</v>
      </c>
      <c r="O14" s="47">
        <f t="shared" si="6"/>
        <v>18954021.987170003</v>
      </c>
      <c r="P14" s="47">
        <f>'Monthly Data'!AJ14</f>
        <v>0</v>
      </c>
      <c r="Q14" s="47">
        <f t="shared" si="7"/>
        <v>18954021.987170003</v>
      </c>
      <c r="R14" s="47">
        <f t="shared" si="8"/>
        <v>967526.82505393028</v>
      </c>
      <c r="S14" s="18">
        <f t="shared" si="9"/>
        <v>5.3791848624949276E-2</v>
      </c>
      <c r="V14" s="691" t="s">
        <v>407</v>
      </c>
      <c r="W14" s="692"/>
      <c r="X14" s="692"/>
      <c r="Y14" s="693"/>
      <c r="Z14" s="108"/>
    </row>
    <row r="15" spans="1:26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Data'!AI15</f>
        <v>19032838.175638389</v>
      </c>
      <c r="E15" s="3">
        <f>'Monthly Data'!DR15</f>
        <v>20</v>
      </c>
      <c r="F15" s="3">
        <f>'Monthly Data'!DL15</f>
        <v>743287</v>
      </c>
      <c r="G15" s="3">
        <f>'Monthly Data'!EE15</f>
        <v>0</v>
      </c>
      <c r="H15" s="3">
        <f>'Monthly Data'!EJ15</f>
        <v>0</v>
      </c>
      <c r="J15" s="3">
        <f t="shared" si="1"/>
        <v>-37000000</v>
      </c>
      <c r="K15" s="3">
        <f t="shared" si="2"/>
        <v>6964786</v>
      </c>
      <c r="L15" s="3">
        <f t="shared" si="3"/>
        <v>48989235.987170003</v>
      </c>
      <c r="M15" s="3">
        <f t="shared" si="4"/>
        <v>0</v>
      </c>
      <c r="N15" s="3">
        <f t="shared" si="5"/>
        <v>0</v>
      </c>
      <c r="O15" s="47">
        <f t="shared" si="6"/>
        <v>18954021.987170003</v>
      </c>
      <c r="P15" s="47">
        <f>'Monthly Data'!AJ15</f>
        <v>0</v>
      </c>
      <c r="Q15" s="47">
        <f t="shared" si="7"/>
        <v>18954021.987170003</v>
      </c>
      <c r="R15" s="47">
        <f t="shared" si="8"/>
        <v>-78816.188468385488</v>
      </c>
      <c r="S15" s="18">
        <f t="shared" si="9"/>
        <v>4.1410633422643431E-3</v>
      </c>
      <c r="V15" s="685" t="s">
        <v>415</v>
      </c>
      <c r="W15" s="689">
        <v>245000000000000</v>
      </c>
      <c r="X15" s="685" t="s">
        <v>416</v>
      </c>
      <c r="Y15" s="686">
        <v>1458610</v>
      </c>
      <c r="Z15" s="108"/>
    </row>
    <row r="16" spans="1:26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Data'!AI16</f>
        <v>19631448.439160705</v>
      </c>
      <c r="E16" s="3">
        <f>'Monthly Data'!DR16</f>
        <v>21</v>
      </c>
      <c r="F16" s="3">
        <f>'Monthly Data'!DL16</f>
        <v>743287</v>
      </c>
      <c r="G16" s="3">
        <f>'Monthly Data'!EE16</f>
        <v>1</v>
      </c>
      <c r="H16" s="3">
        <f>'Monthly Data'!EJ16</f>
        <v>0</v>
      </c>
      <c r="J16" s="3">
        <f t="shared" si="1"/>
        <v>-37000000</v>
      </c>
      <c r="K16" s="3">
        <f t="shared" si="2"/>
        <v>7313025.2999999998</v>
      </c>
      <c r="L16" s="3">
        <f t="shared" si="3"/>
        <v>48989235.987170003</v>
      </c>
      <c r="M16" s="3">
        <f t="shared" si="4"/>
        <v>793454.7</v>
      </c>
      <c r="N16" s="3">
        <f t="shared" si="5"/>
        <v>0</v>
      </c>
      <c r="O16" s="47">
        <f t="shared" si="6"/>
        <v>20095715.987170003</v>
      </c>
      <c r="P16" s="47">
        <f>'Monthly Data'!AJ16</f>
        <v>0</v>
      </c>
      <c r="Q16" s="47">
        <f t="shared" si="7"/>
        <v>20095715.987170003</v>
      </c>
      <c r="R16" s="47">
        <f t="shared" si="8"/>
        <v>464267.54800929874</v>
      </c>
      <c r="S16" s="18">
        <f t="shared" si="9"/>
        <v>2.3649174407486939E-2</v>
      </c>
      <c r="V16" s="685" t="s">
        <v>417</v>
      </c>
      <c r="W16" s="690">
        <v>0.85784000000000005</v>
      </c>
      <c r="X16" s="685" t="s">
        <v>418</v>
      </c>
      <c r="Y16" s="690">
        <v>0.85289499999999996</v>
      </c>
    </row>
    <row r="17" spans="1:25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Data'!AI17</f>
        <v>19572853.982683018</v>
      </c>
      <c r="E17" s="3">
        <f>'Monthly Data'!DR17</f>
        <v>21</v>
      </c>
      <c r="F17" s="3">
        <f>'Monthly Data'!DL17</f>
        <v>740632</v>
      </c>
      <c r="G17" s="3">
        <f>'Monthly Data'!EE17</f>
        <v>1</v>
      </c>
      <c r="H17" s="3">
        <f>'Monthly Data'!EJ17</f>
        <v>0</v>
      </c>
      <c r="J17" s="3">
        <f t="shared" si="1"/>
        <v>-37000000</v>
      </c>
      <c r="K17" s="3">
        <f t="shared" si="2"/>
        <v>7313025.2999999998</v>
      </c>
      <c r="L17" s="3">
        <f t="shared" si="3"/>
        <v>48814247.831120007</v>
      </c>
      <c r="M17" s="3">
        <f t="shared" si="4"/>
        <v>793454.7</v>
      </c>
      <c r="N17" s="3">
        <f t="shared" si="5"/>
        <v>0</v>
      </c>
      <c r="O17" s="47">
        <f t="shared" si="6"/>
        <v>19920727.831120007</v>
      </c>
      <c r="P17" s="47">
        <f>'Monthly Data'!AJ17</f>
        <v>0</v>
      </c>
      <c r="Q17" s="47">
        <f t="shared" si="7"/>
        <v>19920727.831120007</v>
      </c>
      <c r="R17" s="47">
        <f t="shared" si="8"/>
        <v>347873.84843698889</v>
      </c>
      <c r="S17" s="18">
        <f t="shared" si="9"/>
        <v>1.7773281747504401E-2</v>
      </c>
      <c r="V17" s="685" t="s">
        <v>698</v>
      </c>
      <c r="W17" s="687">
        <v>71.569180000000003</v>
      </c>
      <c r="X17" s="685" t="s">
        <v>419</v>
      </c>
      <c r="Y17" s="690">
        <v>2.5999999999999999E-30</v>
      </c>
    </row>
    <row r="18" spans="1:25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Data'!AI18</f>
        <v>18540822.151205339</v>
      </c>
      <c r="E18" s="3">
        <f>'Monthly Data'!DR18</f>
        <v>21</v>
      </c>
      <c r="F18" s="3">
        <f>'Monthly Data'!DL18</f>
        <v>740632</v>
      </c>
      <c r="G18" s="3">
        <f>'Monthly Data'!EE18</f>
        <v>1</v>
      </c>
      <c r="H18" s="3">
        <f>'Monthly Data'!EJ18</f>
        <v>0</v>
      </c>
      <c r="J18" s="3">
        <f t="shared" si="1"/>
        <v>-37000000</v>
      </c>
      <c r="K18" s="3">
        <f t="shared" si="2"/>
        <v>7313025.2999999998</v>
      </c>
      <c r="L18" s="3">
        <f t="shared" si="3"/>
        <v>48814247.831120007</v>
      </c>
      <c r="M18" s="3">
        <f t="shared" si="4"/>
        <v>793454.7</v>
      </c>
      <c r="N18" s="3">
        <f t="shared" si="5"/>
        <v>0</v>
      </c>
      <c r="O18" s="47">
        <f t="shared" si="6"/>
        <v>19920727.831120007</v>
      </c>
      <c r="P18" s="47">
        <f>'Monthly Data'!AJ18</f>
        <v>0</v>
      </c>
      <c r="Q18" s="47">
        <f t="shared" si="7"/>
        <v>19920727.831120007</v>
      </c>
      <c r="R18" s="47">
        <f t="shared" si="8"/>
        <v>1379905.6799146682</v>
      </c>
      <c r="S18" s="18">
        <f t="shared" si="9"/>
        <v>7.4425269206574024E-2</v>
      </c>
      <c r="V18" s="685" t="s">
        <v>420</v>
      </c>
      <c r="W18" s="690">
        <v>-3.13E-3</v>
      </c>
      <c r="X18" s="685" t="s">
        <v>421</v>
      </c>
      <c r="Y18" s="690">
        <v>1.9994730000000001</v>
      </c>
    </row>
    <row r="19" spans="1:25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Data'!AI19</f>
        <v>16427130.404727653</v>
      </c>
      <c r="E19" s="3">
        <f>'Monthly Data'!DR19</f>
        <v>22</v>
      </c>
      <c r="F19" s="3">
        <f>'Monthly Data'!DL19</f>
        <v>740632</v>
      </c>
      <c r="G19" s="3">
        <f>'Monthly Data'!EE19</f>
        <v>0</v>
      </c>
      <c r="H19" s="3">
        <f>'Monthly Data'!EJ19</f>
        <v>0</v>
      </c>
      <c r="J19" s="3">
        <f t="shared" si="1"/>
        <v>-37000000</v>
      </c>
      <c r="K19" s="3">
        <f t="shared" si="2"/>
        <v>7661264.5999999996</v>
      </c>
      <c r="L19" s="3">
        <f t="shared" si="3"/>
        <v>48814247.831120007</v>
      </c>
      <c r="M19" s="3">
        <f t="shared" si="4"/>
        <v>0</v>
      </c>
      <c r="N19" s="3">
        <f t="shared" si="5"/>
        <v>0</v>
      </c>
      <c r="O19" s="47">
        <f t="shared" si="6"/>
        <v>19475512.431120008</v>
      </c>
      <c r="P19" s="47">
        <f>'Monthly Data'!AJ19</f>
        <v>0</v>
      </c>
      <c r="Q19" s="47">
        <f t="shared" si="7"/>
        <v>19475512.431120008</v>
      </c>
      <c r="R19" s="47">
        <f t="shared" si="8"/>
        <v>3048382.0263923556</v>
      </c>
      <c r="S19" s="18">
        <f t="shared" si="9"/>
        <v>0.18556996573881493</v>
      </c>
    </row>
    <row r="20" spans="1:25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Data'!AI20</f>
        <v>18258132.893249966</v>
      </c>
      <c r="E20" s="3">
        <f>'Monthly Data'!DR20</f>
        <v>20</v>
      </c>
      <c r="F20" s="3">
        <f>'Monthly Data'!DL20</f>
        <v>746606</v>
      </c>
      <c r="G20" s="3">
        <f>'Monthly Data'!EE20</f>
        <v>0</v>
      </c>
      <c r="H20" s="3">
        <f>'Monthly Data'!EJ20</f>
        <v>0</v>
      </c>
      <c r="J20" s="3">
        <f t="shared" si="1"/>
        <v>-37000000</v>
      </c>
      <c r="K20" s="3">
        <f t="shared" si="2"/>
        <v>6964786</v>
      </c>
      <c r="L20" s="3">
        <f t="shared" si="3"/>
        <v>49207987.659460001</v>
      </c>
      <c r="M20" s="3">
        <f t="shared" si="4"/>
        <v>0</v>
      </c>
      <c r="N20" s="3">
        <f t="shared" si="5"/>
        <v>0</v>
      </c>
      <c r="O20" s="47">
        <f t="shared" si="6"/>
        <v>19172773.659460001</v>
      </c>
      <c r="P20" s="47">
        <f>'Monthly Data'!AJ20</f>
        <v>0</v>
      </c>
      <c r="Q20" s="47">
        <f t="shared" si="7"/>
        <v>19172773.659460001</v>
      </c>
      <c r="R20" s="47">
        <f t="shared" si="8"/>
        <v>914640.76621003449</v>
      </c>
      <c r="S20" s="18">
        <f t="shared" si="9"/>
        <v>5.0094978032949759E-2</v>
      </c>
      <c r="V20" s="691" t="s">
        <v>408</v>
      </c>
      <c r="W20" s="692"/>
      <c r="X20" s="692"/>
      <c r="Y20" s="693"/>
    </row>
    <row r="21" spans="1:25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Data'!AI21</f>
        <v>19624575.076772284</v>
      </c>
      <c r="E21" s="3">
        <f>'Monthly Data'!DR21</f>
        <v>22</v>
      </c>
      <c r="F21" s="3">
        <f>'Monthly Data'!DL21</f>
        <v>746606</v>
      </c>
      <c r="G21" s="3">
        <f>'Monthly Data'!EE21</f>
        <v>0</v>
      </c>
      <c r="H21" s="3">
        <f>'Monthly Data'!EJ21</f>
        <v>0</v>
      </c>
      <c r="J21" s="3">
        <f t="shared" si="1"/>
        <v>-37000000</v>
      </c>
      <c r="K21" s="3">
        <f t="shared" si="2"/>
        <v>7661264.5999999996</v>
      </c>
      <c r="L21" s="3">
        <f t="shared" si="3"/>
        <v>49207987.659460001</v>
      </c>
      <c r="M21" s="3">
        <f t="shared" si="4"/>
        <v>0</v>
      </c>
      <c r="N21" s="3">
        <f t="shared" si="5"/>
        <v>0</v>
      </c>
      <c r="O21" s="47">
        <f t="shared" si="6"/>
        <v>19869252.259460002</v>
      </c>
      <c r="P21" s="47">
        <f>'Monthly Data'!AJ21</f>
        <v>0</v>
      </c>
      <c r="Q21" s="47">
        <f t="shared" si="7"/>
        <v>19869252.259460002</v>
      </c>
      <c r="R21" s="47">
        <f t="shared" si="8"/>
        <v>244677.18268771842</v>
      </c>
      <c r="S21" s="18">
        <f t="shared" si="9"/>
        <v>1.2467897099964176E-2</v>
      </c>
      <c r="V21" s="685" t="s">
        <v>422</v>
      </c>
      <c r="W21" s="686">
        <v>23238488</v>
      </c>
      <c r="X21" s="685" t="s">
        <v>423</v>
      </c>
      <c r="Y21" s="686">
        <v>3802888</v>
      </c>
    </row>
    <row r="22" spans="1:25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Data'!AI22</f>
        <v>18116451.120294601</v>
      </c>
      <c r="E22" s="3">
        <f>'Monthly Data'!DR22</f>
        <v>21</v>
      </c>
      <c r="F22" s="3">
        <f>'Monthly Data'!DL22</f>
        <v>746606</v>
      </c>
      <c r="G22" s="3">
        <f>'Monthly Data'!EE22</f>
        <v>0</v>
      </c>
      <c r="H22" s="3">
        <f>'Monthly Data'!EJ22</f>
        <v>0</v>
      </c>
      <c r="J22" s="3">
        <f t="shared" si="1"/>
        <v>-37000000</v>
      </c>
      <c r="K22" s="3">
        <f t="shared" si="2"/>
        <v>7313025.2999999998</v>
      </c>
      <c r="L22" s="3">
        <f t="shared" si="3"/>
        <v>49207987.659460001</v>
      </c>
      <c r="M22" s="3">
        <f t="shared" si="4"/>
        <v>0</v>
      </c>
      <c r="N22" s="3">
        <f t="shared" si="5"/>
        <v>0</v>
      </c>
      <c r="O22" s="47">
        <f t="shared" si="6"/>
        <v>19521012.959460001</v>
      </c>
      <c r="P22" s="47">
        <f>'Monthly Data'!AJ22</f>
        <v>0</v>
      </c>
      <c r="Q22" s="47">
        <f t="shared" si="7"/>
        <v>19521012.959460001</v>
      </c>
      <c r="R22" s="47">
        <f t="shared" si="8"/>
        <v>1404561.8391654007</v>
      </c>
      <c r="S22" s="18">
        <f t="shared" ref="S22:S53" si="10">ABS(R22/D22)</f>
        <v>7.7529634796517505E-2</v>
      </c>
    </row>
    <row r="23" spans="1:25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Data'!AI23</f>
        <v>18246862.423816919</v>
      </c>
      <c r="E23" s="3">
        <f>'Monthly Data'!DR23</f>
        <v>20</v>
      </c>
      <c r="F23" s="3">
        <f>'Monthly Data'!DL23</f>
        <v>745380</v>
      </c>
      <c r="G23" s="3">
        <f>'Monthly Data'!EE23</f>
        <v>0</v>
      </c>
      <c r="H23" s="3">
        <f>'Monthly Data'!EJ23</f>
        <v>0</v>
      </c>
      <c r="J23" s="3">
        <f t="shared" si="1"/>
        <v>-37000000</v>
      </c>
      <c r="K23" s="3">
        <f t="shared" si="2"/>
        <v>6964786</v>
      </c>
      <c r="L23" s="3">
        <f t="shared" si="3"/>
        <v>49127183.335800007</v>
      </c>
      <c r="M23" s="3">
        <f t="shared" si="4"/>
        <v>0</v>
      </c>
      <c r="N23" s="3">
        <f t="shared" si="5"/>
        <v>0</v>
      </c>
      <c r="O23" s="47">
        <f t="shared" si="6"/>
        <v>19091969.335800007</v>
      </c>
      <c r="P23" s="47">
        <f>'Monthly Data'!AJ23</f>
        <v>0</v>
      </c>
      <c r="Q23" s="47">
        <f t="shared" si="7"/>
        <v>19091969.335800007</v>
      </c>
      <c r="R23" s="47">
        <f t="shared" si="8"/>
        <v>845106.91198308766</v>
      </c>
      <c r="S23" s="18">
        <f t="shared" si="10"/>
        <v>4.6315190653271027E-2</v>
      </c>
    </row>
    <row r="24" spans="1:25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Data'!AI24</f>
        <v>18591910.007339232</v>
      </c>
      <c r="E24" s="3">
        <f>'Monthly Data'!DR24</f>
        <v>22</v>
      </c>
      <c r="F24" s="3">
        <f>'Monthly Data'!DL24</f>
        <v>745380</v>
      </c>
      <c r="G24" s="3">
        <f>'Monthly Data'!EE24</f>
        <v>0</v>
      </c>
      <c r="H24" s="3">
        <f>'Monthly Data'!EJ24</f>
        <v>0</v>
      </c>
      <c r="J24" s="3">
        <f t="shared" si="1"/>
        <v>-37000000</v>
      </c>
      <c r="K24" s="3">
        <f t="shared" si="2"/>
        <v>7661264.5999999996</v>
      </c>
      <c r="L24" s="3">
        <f t="shared" si="3"/>
        <v>49127183.335800007</v>
      </c>
      <c r="M24" s="3">
        <f t="shared" si="4"/>
        <v>0</v>
      </c>
      <c r="N24" s="3">
        <f t="shared" si="5"/>
        <v>0</v>
      </c>
      <c r="O24" s="47">
        <f t="shared" si="6"/>
        <v>19788447.935800008</v>
      </c>
      <c r="P24" s="47">
        <f>'Monthly Data'!AJ24</f>
        <v>0</v>
      </c>
      <c r="Q24" s="47">
        <f t="shared" si="7"/>
        <v>19788447.935800008</v>
      </c>
      <c r="R24" s="47">
        <f t="shared" si="8"/>
        <v>1196537.9284607768</v>
      </c>
      <c r="S24" s="18">
        <f t="shared" si="10"/>
        <v>6.4357988393254836E-2</v>
      </c>
      <c r="W24" s="3"/>
      <c r="Y24" s="3"/>
    </row>
    <row r="25" spans="1:25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Data'!AI25</f>
        <v>18899816.410861548</v>
      </c>
      <c r="E25" s="3">
        <f>'Monthly Data'!DR25</f>
        <v>20</v>
      </c>
      <c r="F25" s="3">
        <f>'Monthly Data'!DL25</f>
        <v>745380</v>
      </c>
      <c r="G25" s="3">
        <f>'Monthly Data'!EE25</f>
        <v>0</v>
      </c>
      <c r="H25" s="3">
        <f>'Monthly Data'!EJ25</f>
        <v>0</v>
      </c>
      <c r="J25" s="3">
        <f t="shared" si="1"/>
        <v>-37000000</v>
      </c>
      <c r="K25" s="3">
        <f t="shared" si="2"/>
        <v>6964786</v>
      </c>
      <c r="L25" s="3">
        <f t="shared" si="3"/>
        <v>49127183.335800007</v>
      </c>
      <c r="M25" s="3">
        <f t="shared" si="4"/>
        <v>0</v>
      </c>
      <c r="N25" s="3">
        <f t="shared" si="5"/>
        <v>0</v>
      </c>
      <c r="O25" s="47">
        <f t="shared" si="6"/>
        <v>19091969.335800007</v>
      </c>
      <c r="P25" s="47">
        <f>'Monthly Data'!AJ25</f>
        <v>0</v>
      </c>
      <c r="Q25" s="47">
        <f t="shared" si="7"/>
        <v>19091969.335800007</v>
      </c>
      <c r="R25" s="47">
        <f t="shared" si="8"/>
        <v>192152.92493845895</v>
      </c>
      <c r="S25" s="18">
        <f t="shared" si="10"/>
        <v>1.016692018384001E-2</v>
      </c>
    </row>
    <row r="26" spans="1:25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Data'!AI26</f>
        <v>18995737.177371185</v>
      </c>
      <c r="E26" s="3">
        <f>'Monthly Data'!DR26</f>
        <v>22</v>
      </c>
      <c r="F26" s="3">
        <f>'Monthly Data'!DL26</f>
        <v>756702</v>
      </c>
      <c r="G26" s="3">
        <f>'Monthly Data'!EE26</f>
        <v>0</v>
      </c>
      <c r="H26" s="3">
        <f>'Monthly Data'!EJ26</f>
        <v>0</v>
      </c>
      <c r="J26" s="3">
        <f t="shared" si="1"/>
        <v>-37000000</v>
      </c>
      <c r="K26" s="3">
        <f t="shared" si="2"/>
        <v>7661264.5999999996</v>
      </c>
      <c r="L26" s="3">
        <f t="shared" si="3"/>
        <v>49873404.014820002</v>
      </c>
      <c r="M26" s="3">
        <f t="shared" si="4"/>
        <v>0</v>
      </c>
      <c r="N26" s="3">
        <f t="shared" si="5"/>
        <v>0</v>
      </c>
      <c r="O26" s="47">
        <f t="shared" si="6"/>
        <v>20534668.614820004</v>
      </c>
      <c r="P26" s="47">
        <f>'Monthly Data'!AJ26</f>
        <v>0</v>
      </c>
      <c r="Q26" s="47">
        <f t="shared" si="7"/>
        <v>20534668.614820004</v>
      </c>
      <c r="R26" s="47">
        <f t="shared" si="8"/>
        <v>1538931.4374488182</v>
      </c>
      <c r="S26" s="18">
        <f t="shared" si="10"/>
        <v>8.101456779903661E-2</v>
      </c>
    </row>
    <row r="27" spans="1:25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Data'!AI27</f>
        <v>17415379.920155503</v>
      </c>
      <c r="E27" s="3">
        <f>'Monthly Data'!DR27</f>
        <v>19</v>
      </c>
      <c r="F27" s="3">
        <f>'Monthly Data'!DL27</f>
        <v>756702</v>
      </c>
      <c r="G27" s="3">
        <f>'Monthly Data'!EE27</f>
        <v>0</v>
      </c>
      <c r="H27" s="3">
        <f>'Monthly Data'!EJ27</f>
        <v>0</v>
      </c>
      <c r="J27" s="3">
        <f t="shared" si="1"/>
        <v>-37000000</v>
      </c>
      <c r="K27" s="3">
        <f t="shared" si="2"/>
        <v>6616546.7000000002</v>
      </c>
      <c r="L27" s="3">
        <f t="shared" si="3"/>
        <v>49873404.014820002</v>
      </c>
      <c r="M27" s="3">
        <f t="shared" si="4"/>
        <v>0</v>
      </c>
      <c r="N27" s="3">
        <f t="shared" si="5"/>
        <v>0</v>
      </c>
      <c r="O27" s="47">
        <f t="shared" si="6"/>
        <v>19489950.714820001</v>
      </c>
      <c r="P27" s="47">
        <f>'Monthly Data'!AJ27</f>
        <v>0</v>
      </c>
      <c r="Q27" s="47">
        <f t="shared" si="7"/>
        <v>19489950.714820001</v>
      </c>
      <c r="R27" s="47">
        <f t="shared" si="8"/>
        <v>2074570.7946644984</v>
      </c>
      <c r="S27" s="18">
        <f t="shared" si="10"/>
        <v>0.11912291343489534</v>
      </c>
    </row>
    <row r="28" spans="1:25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Data'!AI28</f>
        <v>20610151.262939818</v>
      </c>
      <c r="E28" s="3">
        <f>'Monthly Data'!DR28</f>
        <v>23</v>
      </c>
      <c r="F28" s="3">
        <f>'Monthly Data'!DL28</f>
        <v>756702</v>
      </c>
      <c r="G28" s="3">
        <f>'Monthly Data'!EE28</f>
        <v>1</v>
      </c>
      <c r="H28" s="3">
        <f>'Monthly Data'!EJ28</f>
        <v>0</v>
      </c>
      <c r="J28" s="3">
        <f t="shared" si="1"/>
        <v>-37000000</v>
      </c>
      <c r="K28" s="3">
        <f t="shared" si="2"/>
        <v>8009503.8999999994</v>
      </c>
      <c r="L28" s="3">
        <f t="shared" si="3"/>
        <v>49873404.014820002</v>
      </c>
      <c r="M28" s="3">
        <f t="shared" si="4"/>
        <v>793454.7</v>
      </c>
      <c r="N28" s="3">
        <f t="shared" si="5"/>
        <v>0</v>
      </c>
      <c r="O28" s="47">
        <f t="shared" si="6"/>
        <v>21676362.61482</v>
      </c>
      <c r="P28" s="47">
        <f>'Monthly Data'!AJ28</f>
        <v>0</v>
      </c>
      <c r="Q28" s="47">
        <f t="shared" si="7"/>
        <v>21676362.61482</v>
      </c>
      <c r="R28" s="47">
        <f t="shared" si="8"/>
        <v>1066211.3518801816</v>
      </c>
      <c r="S28" s="18">
        <f t="shared" si="10"/>
        <v>5.1732339965761993E-2</v>
      </c>
    </row>
    <row r="29" spans="1:25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Data'!AI29</f>
        <v>17700259.675724134</v>
      </c>
      <c r="E29" s="3">
        <f>'Monthly Data'!DR29</f>
        <v>19</v>
      </c>
      <c r="F29" s="3">
        <f>'Monthly Data'!DL29</f>
        <v>764644</v>
      </c>
      <c r="G29" s="3">
        <f>'Monthly Data'!EE29</f>
        <v>1</v>
      </c>
      <c r="H29" s="3">
        <f>'Monthly Data'!EJ29</f>
        <v>0</v>
      </c>
      <c r="J29" s="3">
        <f t="shared" si="1"/>
        <v>-37000000</v>
      </c>
      <c r="K29" s="3">
        <f t="shared" si="2"/>
        <v>6616546.7000000002</v>
      </c>
      <c r="L29" s="3">
        <f t="shared" si="3"/>
        <v>50396852.578040004</v>
      </c>
      <c r="M29" s="3">
        <f t="shared" si="4"/>
        <v>793454.7</v>
      </c>
      <c r="N29" s="3">
        <f t="shared" si="5"/>
        <v>0</v>
      </c>
      <c r="O29" s="47">
        <f t="shared" si="6"/>
        <v>20806853.978040002</v>
      </c>
      <c r="P29" s="47">
        <f>'Monthly Data'!AJ29</f>
        <v>0</v>
      </c>
      <c r="Q29" s="47">
        <f t="shared" si="7"/>
        <v>20806853.978040002</v>
      </c>
      <c r="R29" s="47">
        <f t="shared" si="8"/>
        <v>3106594.3023158684</v>
      </c>
      <c r="S29" s="18">
        <f t="shared" si="10"/>
        <v>0.17551122747518533</v>
      </c>
    </row>
    <row r="30" spans="1:25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Data'!AI30</f>
        <v>21988021.618508454</v>
      </c>
      <c r="E30" s="3">
        <f>'Monthly Data'!DR30</f>
        <v>22</v>
      </c>
      <c r="F30" s="3">
        <f>'Monthly Data'!DL30</f>
        <v>764644</v>
      </c>
      <c r="G30" s="3">
        <f>'Monthly Data'!EE30</f>
        <v>1</v>
      </c>
      <c r="H30" s="3">
        <f>'Monthly Data'!EJ30</f>
        <v>0</v>
      </c>
      <c r="J30" s="3">
        <f t="shared" si="1"/>
        <v>-37000000</v>
      </c>
      <c r="K30" s="3">
        <f t="shared" si="2"/>
        <v>7661264.5999999996</v>
      </c>
      <c r="L30" s="3">
        <f t="shared" si="3"/>
        <v>50396852.578040004</v>
      </c>
      <c r="M30" s="3">
        <f t="shared" si="4"/>
        <v>793454.7</v>
      </c>
      <c r="N30" s="3">
        <f t="shared" si="5"/>
        <v>0</v>
      </c>
      <c r="O30" s="47">
        <f t="shared" si="6"/>
        <v>21851571.878040005</v>
      </c>
      <c r="P30" s="47">
        <f>'Monthly Data'!AJ30</f>
        <v>0</v>
      </c>
      <c r="Q30" s="47">
        <f t="shared" si="7"/>
        <v>21851571.878040005</v>
      </c>
      <c r="R30" s="47">
        <f t="shared" si="8"/>
        <v>-136449.74046844989</v>
      </c>
      <c r="S30" s="18">
        <f t="shared" si="10"/>
        <v>6.2056397267498181E-3</v>
      </c>
    </row>
    <row r="31" spans="1:25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Data'!AI31</f>
        <v>20111494.601292767</v>
      </c>
      <c r="E31" s="3">
        <f>'Monthly Data'!DR31</f>
        <v>22</v>
      </c>
      <c r="F31" s="3">
        <f>'Monthly Data'!DL31</f>
        <v>764644</v>
      </c>
      <c r="G31" s="3">
        <f>'Monthly Data'!EE31</f>
        <v>0</v>
      </c>
      <c r="H31" s="3">
        <f>'Monthly Data'!EJ31</f>
        <v>0</v>
      </c>
      <c r="J31" s="3">
        <f t="shared" si="1"/>
        <v>-37000000</v>
      </c>
      <c r="K31" s="3">
        <f t="shared" si="2"/>
        <v>7661264.5999999996</v>
      </c>
      <c r="L31" s="3">
        <f t="shared" si="3"/>
        <v>50396852.578040004</v>
      </c>
      <c r="M31" s="3">
        <f t="shared" si="4"/>
        <v>0</v>
      </c>
      <c r="N31" s="3">
        <f t="shared" si="5"/>
        <v>0</v>
      </c>
      <c r="O31" s="47">
        <f t="shared" si="6"/>
        <v>21058117.178040005</v>
      </c>
      <c r="P31" s="47">
        <f>'Monthly Data'!AJ31</f>
        <v>0</v>
      </c>
      <c r="Q31" s="47">
        <f t="shared" si="7"/>
        <v>21058117.178040005</v>
      </c>
      <c r="R31" s="47">
        <f t="shared" si="8"/>
        <v>946622.57674723864</v>
      </c>
      <c r="S31" s="18">
        <f t="shared" si="10"/>
        <v>4.7068733354426566E-2</v>
      </c>
    </row>
    <row r="32" spans="1:25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Data'!AI32</f>
        <v>18711614.894077085</v>
      </c>
      <c r="E32" s="3">
        <f>'Monthly Data'!DR32</f>
        <v>20</v>
      </c>
      <c r="F32" s="3">
        <f>'Monthly Data'!DL32</f>
        <v>765060</v>
      </c>
      <c r="G32" s="3">
        <f>'Monthly Data'!EE32</f>
        <v>0</v>
      </c>
      <c r="H32" s="3">
        <f>'Monthly Data'!EJ32</f>
        <v>0</v>
      </c>
      <c r="J32" s="3">
        <f t="shared" si="1"/>
        <v>-37000000</v>
      </c>
      <c r="K32" s="3">
        <f t="shared" si="2"/>
        <v>6964786</v>
      </c>
      <c r="L32" s="3">
        <f t="shared" si="3"/>
        <v>50424270.684600003</v>
      </c>
      <c r="M32" s="3">
        <f t="shared" si="4"/>
        <v>0</v>
      </c>
      <c r="N32" s="3">
        <f t="shared" si="5"/>
        <v>0</v>
      </c>
      <c r="O32" s="47">
        <f t="shared" si="6"/>
        <v>20389056.684600003</v>
      </c>
      <c r="P32" s="47">
        <f>'Monthly Data'!AJ32</f>
        <v>0</v>
      </c>
      <c r="Q32" s="47">
        <f t="shared" si="7"/>
        <v>20389056.684600003</v>
      </c>
      <c r="R32" s="47">
        <f t="shared" si="8"/>
        <v>1677441.7905229181</v>
      </c>
      <c r="S32" s="18">
        <f t="shared" si="10"/>
        <v>8.9647088186594212E-2</v>
      </c>
    </row>
    <row r="33" spans="1:19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Data'!AI33</f>
        <v>18982375.466861401</v>
      </c>
      <c r="E33" s="3">
        <f>'Monthly Data'!DR33</f>
        <v>22</v>
      </c>
      <c r="F33" s="3">
        <f>'Monthly Data'!DL33</f>
        <v>765060</v>
      </c>
      <c r="G33" s="3">
        <f>'Monthly Data'!EE33</f>
        <v>0</v>
      </c>
      <c r="H33" s="3">
        <f>'Monthly Data'!EJ33</f>
        <v>0</v>
      </c>
      <c r="J33" s="3">
        <f t="shared" si="1"/>
        <v>-37000000</v>
      </c>
      <c r="K33" s="3">
        <f t="shared" si="2"/>
        <v>7661264.5999999996</v>
      </c>
      <c r="L33" s="3">
        <f t="shared" si="3"/>
        <v>50424270.684600003</v>
      </c>
      <c r="M33" s="3">
        <f t="shared" si="4"/>
        <v>0</v>
      </c>
      <c r="N33" s="3">
        <f t="shared" si="5"/>
        <v>0</v>
      </c>
      <c r="O33" s="47">
        <f t="shared" si="6"/>
        <v>21085535.284600005</v>
      </c>
      <c r="P33" s="47">
        <f>'Monthly Data'!AJ33</f>
        <v>0</v>
      </c>
      <c r="Q33" s="47">
        <f t="shared" si="7"/>
        <v>21085535.284600005</v>
      </c>
      <c r="R33" s="47">
        <f t="shared" si="8"/>
        <v>2103159.8177386038</v>
      </c>
      <c r="S33" s="18">
        <f t="shared" si="10"/>
        <v>0.11079539657247893</v>
      </c>
    </row>
    <row r="34" spans="1:19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Data'!AI34</f>
        <v>18015462.37964572</v>
      </c>
      <c r="E34" s="3">
        <f>'Monthly Data'!DR34</f>
        <v>20</v>
      </c>
      <c r="F34" s="3">
        <f>'Monthly Data'!DL34</f>
        <v>765060</v>
      </c>
      <c r="G34" s="3">
        <f>'Monthly Data'!EE34</f>
        <v>0</v>
      </c>
      <c r="H34" s="3">
        <f>'Monthly Data'!EJ34</f>
        <v>0</v>
      </c>
      <c r="J34" s="3">
        <f t="shared" ref="J34:J65" si="11">$W$8</f>
        <v>-37000000</v>
      </c>
      <c r="K34" s="3">
        <f t="shared" ref="K34:K65" si="12">E34*$W$9</f>
        <v>6964786</v>
      </c>
      <c r="L34" s="3">
        <f t="shared" ref="L34:L65" si="13">F34*$W$10</f>
        <v>50424270.684600003</v>
      </c>
      <c r="M34" s="3">
        <f t="shared" ref="M34:M65" si="14">G34*$W$11</f>
        <v>0</v>
      </c>
      <c r="N34" s="3">
        <f t="shared" ref="N34:N65" si="15">H34*$W$12</f>
        <v>0</v>
      </c>
      <c r="O34" s="47">
        <f t="shared" si="6"/>
        <v>20389056.684600003</v>
      </c>
      <c r="P34" s="47">
        <f>'Monthly Data'!AJ34</f>
        <v>0</v>
      </c>
      <c r="Q34" s="47">
        <f t="shared" si="7"/>
        <v>20389056.684600003</v>
      </c>
      <c r="R34" s="47">
        <f t="shared" si="8"/>
        <v>2373594.3049542829</v>
      </c>
      <c r="S34" s="18">
        <f t="shared" si="10"/>
        <v>0.13175317152203786</v>
      </c>
    </row>
    <row r="35" spans="1:19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Data'!AI35</f>
        <v>19247093.682430036</v>
      </c>
      <c r="E35" s="3">
        <f>'Monthly Data'!DR35</f>
        <v>21</v>
      </c>
      <c r="F35" s="3">
        <f>'Monthly Data'!DL35</f>
        <v>771453</v>
      </c>
      <c r="G35" s="3">
        <f>'Monthly Data'!EE35</f>
        <v>0</v>
      </c>
      <c r="H35" s="3">
        <f>'Monthly Data'!EJ35</f>
        <v>0</v>
      </c>
      <c r="J35" s="3">
        <f t="shared" si="11"/>
        <v>-37000000</v>
      </c>
      <c r="K35" s="3">
        <f t="shared" si="12"/>
        <v>7313025.2999999998</v>
      </c>
      <c r="L35" s="3">
        <f t="shared" si="13"/>
        <v>50845626.346230008</v>
      </c>
      <c r="M35" s="3">
        <f t="shared" si="14"/>
        <v>0</v>
      </c>
      <c r="N35" s="3">
        <f t="shared" si="15"/>
        <v>0</v>
      </c>
      <c r="O35" s="47">
        <f t="shared" si="6"/>
        <v>21158651.646230008</v>
      </c>
      <c r="P35" s="47">
        <f>'Monthly Data'!AJ35</f>
        <v>0</v>
      </c>
      <c r="Q35" s="47">
        <f t="shared" si="7"/>
        <v>21158651.646230008</v>
      </c>
      <c r="R35" s="47">
        <f t="shared" si="8"/>
        <v>1911557.9637999721</v>
      </c>
      <c r="S35" s="18">
        <f t="shared" si="10"/>
        <v>9.9316706996909518E-2</v>
      </c>
    </row>
    <row r="36" spans="1:19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Data'!AI36</f>
        <v>21526624.655214354</v>
      </c>
      <c r="E36" s="3">
        <f>'Monthly Data'!DR36</f>
        <v>22</v>
      </c>
      <c r="F36" s="3">
        <f>'Monthly Data'!DL36</f>
        <v>771453</v>
      </c>
      <c r="G36" s="3">
        <f>'Monthly Data'!EE36</f>
        <v>0</v>
      </c>
      <c r="H36" s="3">
        <f>'Monthly Data'!EJ36</f>
        <v>0</v>
      </c>
      <c r="J36" s="3">
        <f t="shared" si="11"/>
        <v>-37000000</v>
      </c>
      <c r="K36" s="3">
        <f t="shared" si="12"/>
        <v>7661264.5999999996</v>
      </c>
      <c r="L36" s="3">
        <f t="shared" si="13"/>
        <v>50845626.346230008</v>
      </c>
      <c r="M36" s="3">
        <f t="shared" si="14"/>
        <v>0</v>
      </c>
      <c r="N36" s="3">
        <f t="shared" si="15"/>
        <v>0</v>
      </c>
      <c r="O36" s="47">
        <f t="shared" si="6"/>
        <v>21506890.946230009</v>
      </c>
      <c r="P36" s="47">
        <f>'Monthly Data'!AJ36</f>
        <v>0</v>
      </c>
      <c r="Q36" s="47">
        <f t="shared" si="7"/>
        <v>21506890.946230009</v>
      </c>
      <c r="R36" s="47">
        <f t="shared" si="8"/>
        <v>-19733.708984345198</v>
      </c>
      <c r="S36" s="18">
        <f t="shared" si="10"/>
        <v>9.1671171400134661E-4</v>
      </c>
    </row>
    <row r="37" spans="1:19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Data'!AI37</f>
        <v>20411227.547998667</v>
      </c>
      <c r="E37" s="3">
        <f>'Monthly Data'!DR37</f>
        <v>19</v>
      </c>
      <c r="F37" s="3">
        <f>'Monthly Data'!DL37</f>
        <v>771453</v>
      </c>
      <c r="G37" s="3">
        <f>'Monthly Data'!EE37</f>
        <v>0</v>
      </c>
      <c r="H37" s="3">
        <f>'Monthly Data'!EJ37</f>
        <v>0</v>
      </c>
      <c r="J37" s="3">
        <f t="shared" si="11"/>
        <v>-37000000</v>
      </c>
      <c r="K37" s="3">
        <f t="shared" si="12"/>
        <v>6616546.7000000002</v>
      </c>
      <c r="L37" s="3">
        <f t="shared" si="13"/>
        <v>50845626.346230008</v>
      </c>
      <c r="M37" s="3">
        <f t="shared" si="14"/>
        <v>0</v>
      </c>
      <c r="N37" s="3">
        <f t="shared" si="15"/>
        <v>0</v>
      </c>
      <c r="O37" s="47">
        <f t="shared" si="6"/>
        <v>20462173.046230007</v>
      </c>
      <c r="P37" s="47">
        <f>'Monthly Data'!AJ37</f>
        <v>0</v>
      </c>
      <c r="Q37" s="47">
        <f t="shared" si="7"/>
        <v>20462173.046230007</v>
      </c>
      <c r="R37" s="47">
        <f t="shared" si="8"/>
        <v>50945.4982313402</v>
      </c>
      <c r="S37" s="18">
        <f t="shared" si="10"/>
        <v>2.4959546461151201E-3</v>
      </c>
    </row>
    <row r="38" spans="1:19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Data'!AI38</f>
        <v>22700558.545727149</v>
      </c>
      <c r="E38" s="3">
        <f>'Monthly Data'!DR38</f>
        <v>22</v>
      </c>
      <c r="F38" s="3">
        <f>'Monthly Data'!DL38</f>
        <v>779459</v>
      </c>
      <c r="G38" s="3">
        <f>'Monthly Data'!EE38</f>
        <v>0</v>
      </c>
      <c r="H38" s="3">
        <f>'Monthly Data'!EJ38</f>
        <v>0</v>
      </c>
      <c r="J38" s="3">
        <f t="shared" si="11"/>
        <v>-37000000</v>
      </c>
      <c r="K38" s="3">
        <f t="shared" si="12"/>
        <v>7661264.5999999996</v>
      </c>
      <c r="L38" s="3">
        <f t="shared" si="13"/>
        <v>51373293.079690002</v>
      </c>
      <c r="M38" s="3">
        <f t="shared" si="14"/>
        <v>0</v>
      </c>
      <c r="N38" s="3">
        <f t="shared" si="15"/>
        <v>0</v>
      </c>
      <c r="O38" s="47">
        <f t="shared" si="6"/>
        <v>22034557.679690003</v>
      </c>
      <c r="P38" s="47">
        <f>'Monthly Data'!AJ38</f>
        <v>0</v>
      </c>
      <c r="Q38" s="47">
        <f t="shared" si="7"/>
        <v>22034557.679690003</v>
      </c>
      <c r="R38" s="47">
        <f t="shared" si="8"/>
        <v>-666000.86603714526</v>
      </c>
      <c r="S38" s="18">
        <f t="shared" si="10"/>
        <v>2.9338523309705277E-2</v>
      </c>
    </row>
    <row r="39" spans="1:19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Data'!AI39</f>
        <v>20894926.983466111</v>
      </c>
      <c r="E39" s="3">
        <f>'Monthly Data'!DR39</f>
        <v>19</v>
      </c>
      <c r="F39" s="3">
        <f>'Monthly Data'!DL39</f>
        <v>779459</v>
      </c>
      <c r="G39" s="3">
        <f>'Monthly Data'!EE39</f>
        <v>0</v>
      </c>
      <c r="H39" s="3">
        <f>'Monthly Data'!EJ39</f>
        <v>0</v>
      </c>
      <c r="J39" s="3">
        <f t="shared" si="11"/>
        <v>-37000000</v>
      </c>
      <c r="K39" s="3">
        <f t="shared" si="12"/>
        <v>6616546.7000000002</v>
      </c>
      <c r="L39" s="3">
        <f t="shared" si="13"/>
        <v>51373293.079690002</v>
      </c>
      <c r="M39" s="3">
        <f t="shared" si="14"/>
        <v>0</v>
      </c>
      <c r="N39" s="3">
        <f t="shared" si="15"/>
        <v>0</v>
      </c>
      <c r="O39" s="47">
        <f t="shared" si="6"/>
        <v>20989839.779690001</v>
      </c>
      <c r="P39" s="47">
        <f>'Monthly Data'!AJ39</f>
        <v>0</v>
      </c>
      <c r="Q39" s="47">
        <f t="shared" si="7"/>
        <v>20989839.779690001</v>
      </c>
      <c r="R39" s="47">
        <f t="shared" si="8"/>
        <v>94912.796223890036</v>
      </c>
      <c r="S39" s="18">
        <f t="shared" si="10"/>
        <v>4.5423846802141645E-3</v>
      </c>
    </row>
    <row r="40" spans="1:19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Data'!AI40</f>
        <v>23946224.311205074</v>
      </c>
      <c r="E40" s="3">
        <f>'Monthly Data'!DR40</f>
        <v>21</v>
      </c>
      <c r="F40" s="3">
        <f>'Monthly Data'!DL40</f>
        <v>779459</v>
      </c>
      <c r="G40" s="3">
        <f>'Monthly Data'!EE40</f>
        <v>1</v>
      </c>
      <c r="H40" s="3">
        <f>'Monthly Data'!EJ40</f>
        <v>0</v>
      </c>
      <c r="J40" s="3">
        <f t="shared" si="11"/>
        <v>-37000000</v>
      </c>
      <c r="K40" s="3">
        <f t="shared" si="12"/>
        <v>7313025.2999999998</v>
      </c>
      <c r="L40" s="3">
        <f t="shared" si="13"/>
        <v>51373293.079690002</v>
      </c>
      <c r="M40" s="3">
        <f t="shared" si="14"/>
        <v>793454.7</v>
      </c>
      <c r="N40" s="3">
        <f t="shared" si="15"/>
        <v>0</v>
      </c>
      <c r="O40" s="47">
        <f t="shared" si="6"/>
        <v>22479773.079690002</v>
      </c>
      <c r="P40" s="47">
        <f>'Monthly Data'!AJ40</f>
        <v>0</v>
      </c>
      <c r="Q40" s="47">
        <f t="shared" si="7"/>
        <v>22479773.079690002</v>
      </c>
      <c r="R40" s="47">
        <f t="shared" si="8"/>
        <v>-1466451.2315150723</v>
      </c>
      <c r="S40" s="18">
        <f t="shared" si="10"/>
        <v>6.1239350824458819E-2</v>
      </c>
    </row>
    <row r="41" spans="1:19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Data'!AI41</f>
        <v>23051903.368944038</v>
      </c>
      <c r="E41" s="3">
        <f>'Monthly Data'!DR41</f>
        <v>21</v>
      </c>
      <c r="F41" s="3">
        <f>'Monthly Data'!DL41</f>
        <v>784896</v>
      </c>
      <c r="G41" s="3">
        <f>'Monthly Data'!EE41</f>
        <v>1</v>
      </c>
      <c r="H41" s="3">
        <f>'Monthly Data'!EJ41</f>
        <v>0</v>
      </c>
      <c r="J41" s="3">
        <f t="shared" si="11"/>
        <v>-37000000</v>
      </c>
      <c r="K41" s="3">
        <f t="shared" si="12"/>
        <v>7313025.2999999998</v>
      </c>
      <c r="L41" s="3">
        <f t="shared" si="13"/>
        <v>51731639.823360004</v>
      </c>
      <c r="M41" s="3">
        <f t="shared" si="14"/>
        <v>793454.7</v>
      </c>
      <c r="N41" s="3">
        <f t="shared" si="15"/>
        <v>0</v>
      </c>
      <c r="O41" s="47">
        <f t="shared" si="6"/>
        <v>22838119.823360004</v>
      </c>
      <c r="P41" s="47">
        <f>'Monthly Data'!AJ41</f>
        <v>0</v>
      </c>
      <c r="Q41" s="47">
        <f t="shared" si="7"/>
        <v>22838119.823360004</v>
      </c>
      <c r="R41" s="47">
        <f t="shared" si="8"/>
        <v>-213783.54558403417</v>
      </c>
      <c r="S41" s="18">
        <f t="shared" si="10"/>
        <v>9.2740084045314641E-3</v>
      </c>
    </row>
    <row r="42" spans="1:19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Data'!AI42</f>
        <v>22607475.776682999</v>
      </c>
      <c r="E42" s="3">
        <f>'Monthly Data'!DR42</f>
        <v>22</v>
      </c>
      <c r="F42" s="3">
        <f>'Monthly Data'!DL42</f>
        <v>784896</v>
      </c>
      <c r="G42" s="3">
        <f>'Monthly Data'!EE42</f>
        <v>1</v>
      </c>
      <c r="H42" s="3">
        <f>'Monthly Data'!EJ42</f>
        <v>0</v>
      </c>
      <c r="J42" s="3">
        <f t="shared" si="11"/>
        <v>-37000000</v>
      </c>
      <c r="K42" s="3">
        <f t="shared" si="12"/>
        <v>7661264.5999999996</v>
      </c>
      <c r="L42" s="3">
        <f t="shared" si="13"/>
        <v>51731639.823360004</v>
      </c>
      <c r="M42" s="3">
        <f t="shared" si="14"/>
        <v>793454.7</v>
      </c>
      <c r="N42" s="3">
        <f t="shared" si="15"/>
        <v>0</v>
      </c>
      <c r="O42" s="47">
        <f t="shared" si="6"/>
        <v>23186359.123360004</v>
      </c>
      <c r="P42" s="47">
        <f>'Monthly Data'!AJ42</f>
        <v>0</v>
      </c>
      <c r="Q42" s="47">
        <f t="shared" si="7"/>
        <v>23186359.123360004</v>
      </c>
      <c r="R42" s="47">
        <f t="shared" si="8"/>
        <v>578883.34667700529</v>
      </c>
      <c r="S42" s="18">
        <f t="shared" si="10"/>
        <v>2.5605837307765982E-2</v>
      </c>
    </row>
    <row r="43" spans="1:19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Data'!AI43</f>
        <v>20050986.104421962</v>
      </c>
      <c r="E43" s="3">
        <f>'Monthly Data'!DR43</f>
        <v>21</v>
      </c>
      <c r="F43" s="3">
        <f>'Monthly Data'!DL43</f>
        <v>784896</v>
      </c>
      <c r="G43" s="3">
        <f>'Monthly Data'!EE43</f>
        <v>0</v>
      </c>
      <c r="H43" s="3">
        <f>'Monthly Data'!EJ43</f>
        <v>0</v>
      </c>
      <c r="J43" s="3">
        <f t="shared" si="11"/>
        <v>-37000000</v>
      </c>
      <c r="K43" s="3">
        <f t="shared" si="12"/>
        <v>7313025.2999999998</v>
      </c>
      <c r="L43" s="3">
        <f t="shared" si="13"/>
        <v>51731639.823360004</v>
      </c>
      <c r="M43" s="3">
        <f t="shared" si="14"/>
        <v>0</v>
      </c>
      <c r="N43" s="3">
        <f t="shared" si="15"/>
        <v>0</v>
      </c>
      <c r="O43" s="47">
        <f t="shared" si="6"/>
        <v>22044665.123360004</v>
      </c>
      <c r="P43" s="47">
        <f>'Monthly Data'!AJ43</f>
        <v>0</v>
      </c>
      <c r="Q43" s="47">
        <f t="shared" si="7"/>
        <v>22044665.123360004</v>
      </c>
      <c r="R43" s="47">
        <f t="shared" si="8"/>
        <v>1993679.0189380422</v>
      </c>
      <c r="S43" s="18">
        <f t="shared" si="10"/>
        <v>9.943047232466859E-2</v>
      </c>
    </row>
    <row r="44" spans="1:19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Data'!AI44</f>
        <v>21034495.652160924</v>
      </c>
      <c r="E44" s="3">
        <f>'Monthly Data'!DR44</f>
        <v>21</v>
      </c>
      <c r="F44" s="3">
        <f>'Monthly Data'!DL44</f>
        <v>794140</v>
      </c>
      <c r="G44" s="3">
        <f>'Monthly Data'!EE44</f>
        <v>0</v>
      </c>
      <c r="H44" s="3">
        <f>'Monthly Data'!EJ44</f>
        <v>0</v>
      </c>
      <c r="J44" s="3">
        <f t="shared" si="11"/>
        <v>-37000000</v>
      </c>
      <c r="K44" s="3">
        <f t="shared" si="12"/>
        <v>7313025.2999999998</v>
      </c>
      <c r="L44" s="3">
        <f t="shared" si="13"/>
        <v>52340901.787400007</v>
      </c>
      <c r="M44" s="3">
        <f t="shared" si="14"/>
        <v>0</v>
      </c>
      <c r="N44" s="3">
        <f t="shared" si="15"/>
        <v>0</v>
      </c>
      <c r="O44" s="47">
        <f t="shared" si="6"/>
        <v>22653927.087400008</v>
      </c>
      <c r="P44" s="47">
        <f>'Monthly Data'!AJ44</f>
        <v>0</v>
      </c>
      <c r="Q44" s="47">
        <f t="shared" si="7"/>
        <v>22653927.087400008</v>
      </c>
      <c r="R44" s="47">
        <f t="shared" si="8"/>
        <v>1619431.4352390841</v>
      </c>
      <c r="S44" s="18">
        <f t="shared" si="10"/>
        <v>7.6989316122381857E-2</v>
      </c>
    </row>
    <row r="45" spans="1:19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Data'!AI45</f>
        <v>22017899.699899886</v>
      </c>
      <c r="E45" s="3">
        <f>'Monthly Data'!DR45</f>
        <v>22</v>
      </c>
      <c r="F45" s="3">
        <f>'Monthly Data'!DL45</f>
        <v>794140</v>
      </c>
      <c r="G45" s="3">
        <f>'Monthly Data'!EE45</f>
        <v>0</v>
      </c>
      <c r="H45" s="3">
        <f>'Monthly Data'!EJ45</f>
        <v>0</v>
      </c>
      <c r="J45" s="3">
        <f t="shared" si="11"/>
        <v>-37000000</v>
      </c>
      <c r="K45" s="3">
        <f t="shared" si="12"/>
        <v>7661264.5999999996</v>
      </c>
      <c r="L45" s="3">
        <f t="shared" si="13"/>
        <v>52340901.787400007</v>
      </c>
      <c r="M45" s="3">
        <f t="shared" si="14"/>
        <v>0</v>
      </c>
      <c r="N45" s="3">
        <f t="shared" si="15"/>
        <v>0</v>
      </c>
      <c r="O45" s="47">
        <f t="shared" si="6"/>
        <v>23002166.387400009</v>
      </c>
      <c r="P45" s="47">
        <f>'Monthly Data'!AJ45</f>
        <v>0</v>
      </c>
      <c r="Q45" s="47">
        <f t="shared" si="7"/>
        <v>23002166.387400009</v>
      </c>
      <c r="R45" s="47">
        <f t="shared" si="8"/>
        <v>984266.68750012293</v>
      </c>
      <c r="S45" s="18">
        <f t="shared" si="10"/>
        <v>4.4703023490682829E-2</v>
      </c>
    </row>
    <row r="46" spans="1:19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Data'!AI46</f>
        <v>21380898.21763885</v>
      </c>
      <c r="E46" s="3">
        <f>'Monthly Data'!DR46</f>
        <v>19</v>
      </c>
      <c r="F46" s="3">
        <f>'Monthly Data'!DL46</f>
        <v>794140</v>
      </c>
      <c r="G46" s="3">
        <f>'Monthly Data'!EE46</f>
        <v>0</v>
      </c>
      <c r="H46" s="3">
        <f>'Monthly Data'!EJ46</f>
        <v>0</v>
      </c>
      <c r="J46" s="3">
        <f t="shared" si="11"/>
        <v>-37000000</v>
      </c>
      <c r="K46" s="3">
        <f t="shared" si="12"/>
        <v>6616546.7000000002</v>
      </c>
      <c r="L46" s="3">
        <f t="shared" si="13"/>
        <v>52340901.787400007</v>
      </c>
      <c r="M46" s="3">
        <f t="shared" si="14"/>
        <v>0</v>
      </c>
      <c r="N46" s="3">
        <f t="shared" si="15"/>
        <v>0</v>
      </c>
      <c r="O46" s="47">
        <f t="shared" si="6"/>
        <v>21957448.487400007</v>
      </c>
      <c r="P46" s="47">
        <f>'Monthly Data'!AJ46</f>
        <v>0</v>
      </c>
      <c r="Q46" s="47">
        <f t="shared" si="7"/>
        <v>21957448.487400007</v>
      </c>
      <c r="R46" s="47">
        <f t="shared" si="8"/>
        <v>576550.26976115629</v>
      </c>
      <c r="S46" s="18">
        <f t="shared" si="10"/>
        <v>2.6965671128143385E-2</v>
      </c>
    </row>
    <row r="47" spans="1:19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Data'!AI47</f>
        <v>23909832.305377811</v>
      </c>
      <c r="E47" s="3">
        <f>'Monthly Data'!DR47</f>
        <v>22</v>
      </c>
      <c r="F47" s="3">
        <f>'Monthly Data'!DL47</f>
        <v>799632</v>
      </c>
      <c r="G47" s="3">
        <f>'Monthly Data'!EE47</f>
        <v>0</v>
      </c>
      <c r="H47" s="3">
        <f>'Monthly Data'!EJ47</f>
        <v>0</v>
      </c>
      <c r="J47" s="3">
        <f t="shared" si="11"/>
        <v>-37000000</v>
      </c>
      <c r="K47" s="3">
        <f t="shared" si="12"/>
        <v>7661264.5999999996</v>
      </c>
      <c r="L47" s="3">
        <f t="shared" si="13"/>
        <v>52702873.521120004</v>
      </c>
      <c r="M47" s="3">
        <f t="shared" si="14"/>
        <v>0</v>
      </c>
      <c r="N47" s="3">
        <f t="shared" si="15"/>
        <v>0</v>
      </c>
      <c r="O47" s="47">
        <f t="shared" si="6"/>
        <v>23364138.121120006</v>
      </c>
      <c r="P47" s="47">
        <f>'Monthly Data'!AJ47</f>
        <v>0</v>
      </c>
      <c r="Q47" s="47">
        <f t="shared" si="7"/>
        <v>23364138.121120006</v>
      </c>
      <c r="R47" s="47">
        <f t="shared" si="8"/>
        <v>-545694.18425780535</v>
      </c>
      <c r="S47" s="18">
        <f t="shared" si="10"/>
        <v>2.2823003410821396E-2</v>
      </c>
    </row>
    <row r="48" spans="1:19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Data'!AI48</f>
        <v>22343773.023116775</v>
      </c>
      <c r="E48" s="3">
        <f>'Monthly Data'!DR48</f>
        <v>22</v>
      </c>
      <c r="F48" s="3">
        <f>'Monthly Data'!DL48</f>
        <v>799632</v>
      </c>
      <c r="G48" s="3">
        <f>'Monthly Data'!EE48</f>
        <v>0</v>
      </c>
      <c r="H48" s="3">
        <f>'Monthly Data'!EJ48</f>
        <v>0</v>
      </c>
      <c r="J48" s="3">
        <f t="shared" si="11"/>
        <v>-37000000</v>
      </c>
      <c r="K48" s="3">
        <f t="shared" si="12"/>
        <v>7661264.5999999996</v>
      </c>
      <c r="L48" s="3">
        <f t="shared" si="13"/>
        <v>52702873.521120004</v>
      </c>
      <c r="M48" s="3">
        <f t="shared" si="14"/>
        <v>0</v>
      </c>
      <c r="N48" s="3">
        <f t="shared" si="15"/>
        <v>0</v>
      </c>
      <c r="O48" s="47">
        <f t="shared" si="6"/>
        <v>23364138.121120006</v>
      </c>
      <c r="P48" s="47">
        <f>'Monthly Data'!AJ48</f>
        <v>0</v>
      </c>
      <c r="Q48" s="47">
        <f t="shared" si="7"/>
        <v>23364138.121120006</v>
      </c>
      <c r="R48" s="47">
        <f t="shared" si="8"/>
        <v>1020365.098003231</v>
      </c>
      <c r="S48" s="18">
        <f t="shared" si="10"/>
        <v>4.5666642645696656E-2</v>
      </c>
    </row>
    <row r="49" spans="1:19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Data'!AI49</f>
        <v>22527640.480855737</v>
      </c>
      <c r="E49" s="3">
        <f>'Monthly Data'!DR49</f>
        <v>19</v>
      </c>
      <c r="F49" s="3">
        <f>'Monthly Data'!DL49</f>
        <v>799632</v>
      </c>
      <c r="G49" s="3">
        <f>'Monthly Data'!EE49</f>
        <v>0</v>
      </c>
      <c r="H49" s="3">
        <f>'Monthly Data'!EJ49</f>
        <v>0</v>
      </c>
      <c r="J49" s="3">
        <f t="shared" si="11"/>
        <v>-37000000</v>
      </c>
      <c r="K49" s="3">
        <f t="shared" si="12"/>
        <v>6616546.7000000002</v>
      </c>
      <c r="L49" s="3">
        <f t="shared" si="13"/>
        <v>52702873.521120004</v>
      </c>
      <c r="M49" s="3">
        <f t="shared" si="14"/>
        <v>0</v>
      </c>
      <c r="N49" s="3">
        <f t="shared" si="15"/>
        <v>0</v>
      </c>
      <c r="O49" s="47">
        <f t="shared" si="6"/>
        <v>22319420.221120004</v>
      </c>
      <c r="P49" s="47">
        <f>'Monthly Data'!AJ49</f>
        <v>0</v>
      </c>
      <c r="Q49" s="47">
        <f t="shared" si="7"/>
        <v>22319420.221120004</v>
      </c>
      <c r="R49" s="47">
        <f t="shared" si="8"/>
        <v>-208220.25973573327</v>
      </c>
      <c r="S49" s="18">
        <f t="shared" si="10"/>
        <v>9.242879204889717E-3</v>
      </c>
    </row>
    <row r="50" spans="1:19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Data'!AI50</f>
        <v>23254687.7332283</v>
      </c>
      <c r="E50" s="3">
        <f>'Monthly Data'!DR50</f>
        <v>22</v>
      </c>
      <c r="F50" s="3">
        <f>'Monthly Data'!DL50</f>
        <v>800724</v>
      </c>
      <c r="G50" s="3">
        <f>'Monthly Data'!EE50</f>
        <v>0</v>
      </c>
      <c r="H50" s="3">
        <f>'Monthly Data'!EJ50</f>
        <v>0</v>
      </c>
      <c r="J50" s="3">
        <f t="shared" si="11"/>
        <v>-37000000</v>
      </c>
      <c r="K50" s="3">
        <f t="shared" si="12"/>
        <v>7661264.5999999996</v>
      </c>
      <c r="L50" s="3">
        <f t="shared" si="13"/>
        <v>52774846.050840005</v>
      </c>
      <c r="M50" s="3">
        <f t="shared" si="14"/>
        <v>0</v>
      </c>
      <c r="N50" s="3">
        <f t="shared" si="15"/>
        <v>0</v>
      </c>
      <c r="O50" s="47">
        <f t="shared" si="6"/>
        <v>23436110.650840007</v>
      </c>
      <c r="P50" s="47">
        <f>'Monthly Data'!AJ50</f>
        <v>0</v>
      </c>
      <c r="Q50" s="47">
        <f t="shared" si="7"/>
        <v>23436110.650840007</v>
      </c>
      <c r="R50" s="47">
        <f t="shared" si="8"/>
        <v>181422.917611707</v>
      </c>
      <c r="S50" s="18">
        <f t="shared" si="10"/>
        <v>7.8015632672837109E-3</v>
      </c>
    </row>
    <row r="51" spans="1:19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Data'!AI51</f>
        <v>21455519.847219884</v>
      </c>
      <c r="E51" s="3">
        <f>'Monthly Data'!DR51</f>
        <v>19</v>
      </c>
      <c r="F51" s="3">
        <f>'Monthly Data'!DL51</f>
        <v>800724</v>
      </c>
      <c r="G51" s="3">
        <f>'Monthly Data'!EE51</f>
        <v>0</v>
      </c>
      <c r="H51" s="3">
        <f>'Monthly Data'!EJ51</f>
        <v>0</v>
      </c>
      <c r="J51" s="3">
        <f t="shared" si="11"/>
        <v>-37000000</v>
      </c>
      <c r="K51" s="3">
        <f t="shared" si="12"/>
        <v>6616546.7000000002</v>
      </c>
      <c r="L51" s="3">
        <f t="shared" si="13"/>
        <v>52774846.050840005</v>
      </c>
      <c r="M51" s="3">
        <f t="shared" si="14"/>
        <v>0</v>
      </c>
      <c r="N51" s="3">
        <f t="shared" si="15"/>
        <v>0</v>
      </c>
      <c r="O51" s="47">
        <f t="shared" si="6"/>
        <v>22391392.750840005</v>
      </c>
      <c r="P51" s="47">
        <f>'Monthly Data'!AJ51</f>
        <v>0</v>
      </c>
      <c r="Q51" s="47">
        <f t="shared" si="7"/>
        <v>22391392.750840005</v>
      </c>
      <c r="R51" s="47">
        <f t="shared" si="8"/>
        <v>935872.90362012014</v>
      </c>
      <c r="S51" s="18">
        <f t="shared" si="10"/>
        <v>4.3619213623546232E-2</v>
      </c>
    </row>
    <row r="52" spans="1:19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Data'!AI52</f>
        <v>22430559.581211463</v>
      </c>
      <c r="E52" s="3">
        <f>'Monthly Data'!DR52</f>
        <v>22</v>
      </c>
      <c r="F52" s="3">
        <f>'Monthly Data'!DL52</f>
        <v>800724</v>
      </c>
      <c r="G52" s="3">
        <f>'Monthly Data'!EE52</f>
        <v>1</v>
      </c>
      <c r="H52" s="3">
        <f>'Monthly Data'!EJ52</f>
        <v>0</v>
      </c>
      <c r="J52" s="3">
        <f t="shared" si="11"/>
        <v>-37000000</v>
      </c>
      <c r="K52" s="3">
        <f t="shared" si="12"/>
        <v>7661264.5999999996</v>
      </c>
      <c r="L52" s="3">
        <f t="shared" si="13"/>
        <v>52774846.050840005</v>
      </c>
      <c r="M52" s="3">
        <f t="shared" si="14"/>
        <v>793454.7</v>
      </c>
      <c r="N52" s="3">
        <f t="shared" si="15"/>
        <v>0</v>
      </c>
      <c r="O52" s="47">
        <f t="shared" si="6"/>
        <v>24229565.350840006</v>
      </c>
      <c r="P52" s="47">
        <f>'Monthly Data'!AJ52</f>
        <v>0</v>
      </c>
      <c r="Q52" s="47">
        <f t="shared" si="7"/>
        <v>24229565.350840006</v>
      </c>
      <c r="R52" s="47">
        <f t="shared" si="8"/>
        <v>1799005.7696285434</v>
      </c>
      <c r="S52" s="18">
        <f t="shared" si="10"/>
        <v>8.0203338802811094E-2</v>
      </c>
    </row>
    <row r="53" spans="1:19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Data'!AI53</f>
        <v>22683057.095203046</v>
      </c>
      <c r="E53" s="3">
        <f>'Monthly Data'!DR53</f>
        <v>21</v>
      </c>
      <c r="F53" s="3">
        <f>'Monthly Data'!DL53</f>
        <v>806630</v>
      </c>
      <c r="G53" s="3">
        <f>'Monthly Data'!EE53</f>
        <v>1</v>
      </c>
      <c r="H53" s="3">
        <f>'Monthly Data'!EJ53</f>
        <v>0</v>
      </c>
      <c r="J53" s="3">
        <f t="shared" si="11"/>
        <v>-37000000</v>
      </c>
      <c r="K53" s="3">
        <f t="shared" si="12"/>
        <v>7313025.2999999998</v>
      </c>
      <c r="L53" s="3">
        <f t="shared" si="13"/>
        <v>53164104.073300004</v>
      </c>
      <c r="M53" s="3">
        <f t="shared" si="14"/>
        <v>793454.7</v>
      </c>
      <c r="N53" s="3">
        <f t="shared" si="15"/>
        <v>0</v>
      </c>
      <c r="O53" s="47">
        <f t="shared" si="6"/>
        <v>24270584.073300004</v>
      </c>
      <c r="P53" s="47">
        <f>'Monthly Data'!AJ53</f>
        <v>0</v>
      </c>
      <c r="Q53" s="47">
        <f t="shared" si="7"/>
        <v>24270584.073300004</v>
      </c>
      <c r="R53" s="47">
        <f t="shared" si="8"/>
        <v>1587526.9780969582</v>
      </c>
      <c r="S53" s="18">
        <f t="shared" si="10"/>
        <v>6.9987346565939051E-2</v>
      </c>
    </row>
    <row r="54" spans="1:19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Data'!AI54</f>
        <v>23578242.549194623</v>
      </c>
      <c r="E54" s="3">
        <f>'Monthly Data'!DR54</f>
        <v>20</v>
      </c>
      <c r="F54" s="3">
        <f>'Monthly Data'!DL54</f>
        <v>806630</v>
      </c>
      <c r="G54" s="3">
        <f>'Monthly Data'!EE54</f>
        <v>1</v>
      </c>
      <c r="H54" s="3">
        <f>'Monthly Data'!EJ54</f>
        <v>0</v>
      </c>
      <c r="J54" s="3">
        <f t="shared" si="11"/>
        <v>-37000000</v>
      </c>
      <c r="K54" s="3">
        <f t="shared" si="12"/>
        <v>6964786</v>
      </c>
      <c r="L54" s="3">
        <f t="shared" si="13"/>
        <v>53164104.073300004</v>
      </c>
      <c r="M54" s="3">
        <f t="shared" si="14"/>
        <v>793454.7</v>
      </c>
      <c r="N54" s="3">
        <f t="shared" si="15"/>
        <v>0</v>
      </c>
      <c r="O54" s="47">
        <f t="shared" si="6"/>
        <v>23922344.773300003</v>
      </c>
      <c r="P54" s="47">
        <f>'Monthly Data'!AJ54</f>
        <v>0</v>
      </c>
      <c r="Q54" s="47">
        <f t="shared" si="7"/>
        <v>23922344.773300003</v>
      </c>
      <c r="R54" s="47">
        <f t="shared" si="8"/>
        <v>344102.22410538048</v>
      </c>
      <c r="S54" s="18">
        <f t="shared" ref="S54:S85" si="16">ABS(R54/D54)</f>
        <v>1.4594057355523056E-2</v>
      </c>
    </row>
    <row r="55" spans="1:19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Data'!AI55</f>
        <v>24271225.513186205</v>
      </c>
      <c r="E55" s="3">
        <f>'Monthly Data'!DR55</f>
        <v>22</v>
      </c>
      <c r="F55" s="3">
        <f>'Monthly Data'!DL55</f>
        <v>806630</v>
      </c>
      <c r="G55" s="3">
        <f>'Monthly Data'!EE55</f>
        <v>0</v>
      </c>
      <c r="H55" s="3">
        <f>'Monthly Data'!EJ55</f>
        <v>0</v>
      </c>
      <c r="J55" s="3">
        <f t="shared" si="11"/>
        <v>-37000000</v>
      </c>
      <c r="K55" s="3">
        <f t="shared" si="12"/>
        <v>7661264.5999999996</v>
      </c>
      <c r="L55" s="3">
        <f t="shared" si="13"/>
        <v>53164104.073300004</v>
      </c>
      <c r="M55" s="3">
        <f t="shared" si="14"/>
        <v>0</v>
      </c>
      <c r="N55" s="3">
        <f t="shared" si="15"/>
        <v>0</v>
      </c>
      <c r="O55" s="47">
        <f t="shared" ref="O55:O109" si="17">SUM(J55:N55)</f>
        <v>23825368.673300005</v>
      </c>
      <c r="P55" s="47">
        <f>'Monthly Data'!AJ55</f>
        <v>0</v>
      </c>
      <c r="Q55" s="47">
        <f t="shared" ref="Q55:Q118" si="18">O55+P55</f>
        <v>23825368.673300005</v>
      </c>
      <c r="R55" s="47">
        <f t="shared" ref="R55:R118" si="19">Q55-D55</f>
        <v>-445856.83988619968</v>
      </c>
      <c r="S55" s="18">
        <f t="shared" si="16"/>
        <v>1.8369770395152571E-2</v>
      </c>
    </row>
    <row r="56" spans="1:19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Data'!AI56</f>
        <v>24318443.21717779</v>
      </c>
      <c r="E56" s="3">
        <f>'Monthly Data'!DR56</f>
        <v>22</v>
      </c>
      <c r="F56" s="3">
        <f>'Monthly Data'!DL56</f>
        <v>810347</v>
      </c>
      <c r="G56" s="3">
        <f>'Monthly Data'!EE56</f>
        <v>0</v>
      </c>
      <c r="H56" s="3">
        <f>'Monthly Data'!EJ56</f>
        <v>0</v>
      </c>
      <c r="J56" s="3">
        <f t="shared" si="11"/>
        <v>-37000000</v>
      </c>
      <c r="K56" s="3">
        <f t="shared" si="12"/>
        <v>7661264.5999999996</v>
      </c>
      <c r="L56" s="3">
        <f t="shared" si="13"/>
        <v>53409087.491770007</v>
      </c>
      <c r="M56" s="3">
        <f t="shared" si="14"/>
        <v>0</v>
      </c>
      <c r="N56" s="3">
        <f t="shared" si="15"/>
        <v>0</v>
      </c>
      <c r="O56" s="47">
        <f t="shared" si="17"/>
        <v>24070352.091770008</v>
      </c>
      <c r="P56" s="47">
        <f>'Monthly Data'!AJ56</f>
        <v>0</v>
      </c>
      <c r="Q56" s="47">
        <f t="shared" si="18"/>
        <v>24070352.091770008</v>
      </c>
      <c r="R56" s="47">
        <f t="shared" si="19"/>
        <v>-248091.12540778145</v>
      </c>
      <c r="S56" s="18">
        <f t="shared" si="16"/>
        <v>1.0201768394143652E-2</v>
      </c>
    </row>
    <row r="57" spans="1:19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Data'!AI57</f>
        <v>20694735.791169368</v>
      </c>
      <c r="E57" s="3">
        <f>'Monthly Data'!DR57</f>
        <v>20</v>
      </c>
      <c r="F57" s="3">
        <f>'Monthly Data'!DL57</f>
        <v>810347</v>
      </c>
      <c r="G57" s="3">
        <f>'Monthly Data'!EE57</f>
        <v>0</v>
      </c>
      <c r="H57" s="3">
        <f>'Monthly Data'!EJ57</f>
        <v>0</v>
      </c>
      <c r="J57" s="3">
        <f t="shared" si="11"/>
        <v>-37000000</v>
      </c>
      <c r="K57" s="3">
        <f t="shared" si="12"/>
        <v>6964786</v>
      </c>
      <c r="L57" s="3">
        <f t="shared" si="13"/>
        <v>53409087.491770007</v>
      </c>
      <c r="M57" s="3">
        <f t="shared" si="14"/>
        <v>0</v>
      </c>
      <c r="N57" s="3">
        <f t="shared" si="15"/>
        <v>0</v>
      </c>
      <c r="O57" s="47">
        <f t="shared" si="17"/>
        <v>23373873.491770007</v>
      </c>
      <c r="P57" s="47">
        <f>'Monthly Data'!AJ57</f>
        <v>0</v>
      </c>
      <c r="Q57" s="47">
        <f t="shared" si="18"/>
        <v>23373873.491770007</v>
      </c>
      <c r="R57" s="47">
        <f t="shared" si="19"/>
        <v>2679137.700600639</v>
      </c>
      <c r="S57" s="18">
        <f t="shared" si="16"/>
        <v>0.12945986494516404</v>
      </c>
    </row>
    <row r="58" spans="1:19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Data'!AI58</f>
        <v>22814918.555160951</v>
      </c>
      <c r="E58" s="3">
        <f>'Monthly Data'!DR58</f>
        <v>21</v>
      </c>
      <c r="F58" s="3">
        <f>'Monthly Data'!DL58</f>
        <v>810347</v>
      </c>
      <c r="G58" s="3">
        <f>'Monthly Data'!EE58</f>
        <v>0</v>
      </c>
      <c r="H58" s="3">
        <f>'Monthly Data'!EJ58</f>
        <v>0</v>
      </c>
      <c r="J58" s="3">
        <f t="shared" si="11"/>
        <v>-37000000</v>
      </c>
      <c r="K58" s="3">
        <f t="shared" si="12"/>
        <v>7313025.2999999998</v>
      </c>
      <c r="L58" s="3">
        <f t="shared" si="13"/>
        <v>53409087.491770007</v>
      </c>
      <c r="M58" s="3">
        <f t="shared" si="14"/>
        <v>0</v>
      </c>
      <c r="N58" s="3">
        <f t="shared" si="15"/>
        <v>0</v>
      </c>
      <c r="O58" s="47">
        <f t="shared" si="17"/>
        <v>23722112.791770007</v>
      </c>
      <c r="P58" s="47">
        <f>'Monthly Data'!AJ58</f>
        <v>0</v>
      </c>
      <c r="Q58" s="47">
        <f t="shared" si="18"/>
        <v>23722112.791770007</v>
      </c>
      <c r="R58" s="47">
        <f t="shared" si="19"/>
        <v>907194.23660905659</v>
      </c>
      <c r="S58" s="18">
        <f t="shared" si="16"/>
        <v>3.9763202941780422E-2</v>
      </c>
    </row>
    <row r="59" spans="1:19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Data'!AI59</f>
        <v>25066615.31915253</v>
      </c>
      <c r="E59" s="3">
        <f>'Monthly Data'!DR59</f>
        <v>21</v>
      </c>
      <c r="F59" s="3">
        <f>'Monthly Data'!DL59</f>
        <v>811397</v>
      </c>
      <c r="G59" s="3">
        <f>'Monthly Data'!EE59</f>
        <v>0</v>
      </c>
      <c r="H59" s="3">
        <f>'Monthly Data'!EJ59</f>
        <v>0</v>
      </c>
      <c r="J59" s="3">
        <f t="shared" si="11"/>
        <v>-37000000</v>
      </c>
      <c r="K59" s="3">
        <f t="shared" si="12"/>
        <v>7313025.2999999998</v>
      </c>
      <c r="L59" s="3">
        <f t="shared" si="13"/>
        <v>53478291.847270004</v>
      </c>
      <c r="M59" s="3">
        <f t="shared" si="14"/>
        <v>0</v>
      </c>
      <c r="N59" s="3">
        <f t="shared" si="15"/>
        <v>0</v>
      </c>
      <c r="O59" s="47">
        <f t="shared" si="17"/>
        <v>23791317.147270005</v>
      </c>
      <c r="P59" s="47">
        <f>'Monthly Data'!AJ59</f>
        <v>0</v>
      </c>
      <c r="Q59" s="47">
        <f t="shared" si="18"/>
        <v>23791317.147270005</v>
      </c>
      <c r="R59" s="47">
        <f t="shared" si="19"/>
        <v>-1275298.1718825251</v>
      </c>
      <c r="S59" s="18">
        <f t="shared" si="16"/>
        <v>5.0876361074090208E-2</v>
      </c>
    </row>
    <row r="60" spans="1:19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Data'!AI60</f>
        <v>23697963.563144114</v>
      </c>
      <c r="E60" s="3">
        <f>'Monthly Data'!DR60</f>
        <v>21</v>
      </c>
      <c r="F60" s="3">
        <f>'Monthly Data'!DL60</f>
        <v>811397</v>
      </c>
      <c r="G60" s="3">
        <f>'Monthly Data'!EE60</f>
        <v>0</v>
      </c>
      <c r="H60" s="3">
        <f>'Monthly Data'!EJ60</f>
        <v>0</v>
      </c>
      <c r="J60" s="3">
        <f t="shared" si="11"/>
        <v>-37000000</v>
      </c>
      <c r="K60" s="3">
        <f t="shared" si="12"/>
        <v>7313025.2999999998</v>
      </c>
      <c r="L60" s="3">
        <f t="shared" si="13"/>
        <v>53478291.847270004</v>
      </c>
      <c r="M60" s="3">
        <f t="shared" si="14"/>
        <v>0</v>
      </c>
      <c r="N60" s="3">
        <f t="shared" si="15"/>
        <v>0</v>
      </c>
      <c r="O60" s="47">
        <f t="shared" si="17"/>
        <v>23791317.147270005</v>
      </c>
      <c r="P60" s="47">
        <f>'Monthly Data'!AJ60</f>
        <v>0</v>
      </c>
      <c r="Q60" s="47">
        <f t="shared" si="18"/>
        <v>23791317.147270005</v>
      </c>
      <c r="R60" s="47">
        <f t="shared" si="19"/>
        <v>93353.584125891328</v>
      </c>
      <c r="S60" s="18">
        <f t="shared" si="16"/>
        <v>3.9393082817916905E-3</v>
      </c>
    </row>
    <row r="61" spans="1:19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Data'!AI61</f>
        <v>24075320.597135697</v>
      </c>
      <c r="E61" s="3">
        <f>'Monthly Data'!DR61</f>
        <v>21</v>
      </c>
      <c r="F61" s="3">
        <f>'Monthly Data'!DL61</f>
        <v>811397</v>
      </c>
      <c r="G61" s="3">
        <f>'Monthly Data'!EE61</f>
        <v>0</v>
      </c>
      <c r="H61" s="3">
        <f>'Monthly Data'!EJ61</f>
        <v>0</v>
      </c>
      <c r="J61" s="3">
        <f t="shared" si="11"/>
        <v>-37000000</v>
      </c>
      <c r="K61" s="3">
        <f t="shared" si="12"/>
        <v>7313025.2999999998</v>
      </c>
      <c r="L61" s="3">
        <f t="shared" si="13"/>
        <v>53478291.847270004</v>
      </c>
      <c r="M61" s="3">
        <f t="shared" si="14"/>
        <v>0</v>
      </c>
      <c r="N61" s="3">
        <f t="shared" si="15"/>
        <v>0</v>
      </c>
      <c r="O61" s="47">
        <f t="shared" si="17"/>
        <v>23791317.147270005</v>
      </c>
      <c r="P61" s="47">
        <f>'Monthly Data'!AJ61</f>
        <v>0</v>
      </c>
      <c r="Q61" s="47">
        <f t="shared" si="18"/>
        <v>23791317.147270005</v>
      </c>
      <c r="R61" s="47">
        <f t="shared" si="19"/>
        <v>-284003.44986569136</v>
      </c>
      <c r="S61" s="18">
        <f t="shared" si="16"/>
        <v>1.1796455574489006E-2</v>
      </c>
    </row>
    <row r="62" spans="1:19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Data'!AI62</f>
        <v>24860920.582266245</v>
      </c>
      <c r="E62" s="3">
        <f>'Monthly Data'!DR62</f>
        <v>22</v>
      </c>
      <c r="F62" s="3">
        <f>'Monthly Data'!DL62</f>
        <v>800126</v>
      </c>
      <c r="G62" s="3">
        <f>'Monthly Data'!EE62</f>
        <v>0</v>
      </c>
      <c r="H62" s="3">
        <f>'Monthly Data'!EJ62</f>
        <v>0</v>
      </c>
      <c r="J62" s="3">
        <f t="shared" si="11"/>
        <v>-37000000</v>
      </c>
      <c r="K62" s="3">
        <f t="shared" si="12"/>
        <v>7661264.5999999996</v>
      </c>
      <c r="L62" s="3">
        <f t="shared" si="13"/>
        <v>52735432.522660002</v>
      </c>
      <c r="M62" s="3">
        <f t="shared" si="14"/>
        <v>0</v>
      </c>
      <c r="N62" s="3">
        <f t="shared" si="15"/>
        <v>0</v>
      </c>
      <c r="O62" s="47">
        <f t="shared" si="17"/>
        <v>23396697.122660004</v>
      </c>
      <c r="P62" s="47">
        <f>'Monthly Data'!AJ62</f>
        <v>0</v>
      </c>
      <c r="Q62" s="47">
        <f t="shared" si="18"/>
        <v>23396697.122660004</v>
      </c>
      <c r="R62" s="47">
        <f t="shared" si="19"/>
        <v>-1464223.4596062414</v>
      </c>
      <c r="S62" s="18">
        <f t="shared" si="16"/>
        <v>5.8896590524918017E-2</v>
      </c>
    </row>
    <row r="63" spans="1:19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Data'!AI63</f>
        <v>23006116.64187748</v>
      </c>
      <c r="E63" s="3">
        <f>'Monthly Data'!DR63</f>
        <v>19</v>
      </c>
      <c r="F63" s="3">
        <f>'Monthly Data'!DL63</f>
        <v>800126</v>
      </c>
      <c r="G63" s="3">
        <f>'Monthly Data'!EE63</f>
        <v>0</v>
      </c>
      <c r="H63" s="3">
        <f>'Monthly Data'!EJ63</f>
        <v>0</v>
      </c>
      <c r="J63" s="3">
        <f t="shared" si="11"/>
        <v>-37000000</v>
      </c>
      <c r="K63" s="3">
        <f t="shared" si="12"/>
        <v>6616546.7000000002</v>
      </c>
      <c r="L63" s="3">
        <f t="shared" si="13"/>
        <v>52735432.522660002</v>
      </c>
      <c r="M63" s="3">
        <f t="shared" si="14"/>
        <v>0</v>
      </c>
      <c r="N63" s="3">
        <f t="shared" si="15"/>
        <v>0</v>
      </c>
      <c r="O63" s="47">
        <f t="shared" si="17"/>
        <v>22351979.222660001</v>
      </c>
      <c r="P63" s="47">
        <f>'Monthly Data'!AJ63</f>
        <v>0</v>
      </c>
      <c r="Q63" s="47">
        <f t="shared" si="18"/>
        <v>22351979.222660001</v>
      </c>
      <c r="R63" s="47">
        <f t="shared" si="19"/>
        <v>-654137.41921747848</v>
      </c>
      <c r="S63" s="18">
        <f t="shared" si="16"/>
        <v>2.843319580614348E-2</v>
      </c>
    </row>
    <row r="64" spans="1:19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Data'!AI64</f>
        <v>24886891.501488712</v>
      </c>
      <c r="E64" s="3">
        <f>'Monthly Data'!DR64</f>
        <v>22</v>
      </c>
      <c r="F64" s="3">
        <f>'Monthly Data'!DL64</f>
        <v>800126</v>
      </c>
      <c r="G64" s="3">
        <f>'Monthly Data'!EE64</f>
        <v>1</v>
      </c>
      <c r="H64" s="3">
        <f>'Monthly Data'!EJ64</f>
        <v>0.5</v>
      </c>
      <c r="J64" s="3">
        <f t="shared" si="11"/>
        <v>-37000000</v>
      </c>
      <c r="K64" s="3">
        <f t="shared" si="12"/>
        <v>7661264.5999999996</v>
      </c>
      <c r="L64" s="3">
        <f t="shared" si="13"/>
        <v>52735432.522660002</v>
      </c>
      <c r="M64" s="3">
        <f t="shared" si="14"/>
        <v>793454.7</v>
      </c>
      <c r="N64" s="3">
        <f t="shared" si="15"/>
        <v>1754357.5</v>
      </c>
      <c r="O64" s="47">
        <f t="shared" si="17"/>
        <v>25944509.322660003</v>
      </c>
      <c r="P64" s="47">
        <f>'Monthly Data'!AJ64</f>
        <v>0</v>
      </c>
      <c r="Q64" s="47">
        <f t="shared" si="18"/>
        <v>25944509.322660003</v>
      </c>
      <c r="R64" s="47">
        <f t="shared" si="19"/>
        <v>1057617.8211712912</v>
      </c>
      <c r="S64" s="18">
        <f t="shared" si="16"/>
        <v>4.2496983647315911E-2</v>
      </c>
    </row>
    <row r="65" spans="1:19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Data'!AI65</f>
        <v>21019565.131099943</v>
      </c>
      <c r="E65" s="3">
        <f>'Monthly Data'!DR65</f>
        <v>21</v>
      </c>
      <c r="F65" s="3">
        <f>'Monthly Data'!DL65</f>
        <v>706539</v>
      </c>
      <c r="G65" s="3">
        <f>'Monthly Data'!EE65</f>
        <v>1</v>
      </c>
      <c r="H65" s="3">
        <f>'Monthly Data'!EJ65</f>
        <v>1</v>
      </c>
      <c r="J65" s="3">
        <f t="shared" si="11"/>
        <v>-37000000</v>
      </c>
      <c r="K65" s="3">
        <f t="shared" si="12"/>
        <v>7313025.2999999998</v>
      </c>
      <c r="L65" s="3">
        <f t="shared" si="13"/>
        <v>46567215.362490006</v>
      </c>
      <c r="M65" s="3">
        <f t="shared" si="14"/>
        <v>793454.7</v>
      </c>
      <c r="N65" s="3">
        <f t="shared" si="15"/>
        <v>3508715</v>
      </c>
      <c r="O65" s="47">
        <f t="shared" si="17"/>
        <v>21182410.362490006</v>
      </c>
      <c r="P65" s="47">
        <f>'Monthly Data'!AJ65</f>
        <v>0</v>
      </c>
      <c r="Q65" s="47">
        <f t="shared" si="18"/>
        <v>21182410.362490006</v>
      </c>
      <c r="R65" s="47">
        <f t="shared" si="19"/>
        <v>162845.23139006272</v>
      </c>
      <c r="S65" s="18">
        <f t="shared" si="16"/>
        <v>7.7473168628556261E-3</v>
      </c>
    </row>
    <row r="66" spans="1:19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Data'!AI66</f>
        <v>22320082.640711177</v>
      </c>
      <c r="E66" s="3">
        <f>'Monthly Data'!DR66</f>
        <v>20</v>
      </c>
      <c r="F66" s="3">
        <f>'Monthly Data'!DL66</f>
        <v>706539</v>
      </c>
      <c r="G66" s="3">
        <f>'Monthly Data'!EE66</f>
        <v>1</v>
      </c>
      <c r="H66" s="3">
        <f>'Monthly Data'!EJ66</f>
        <v>1</v>
      </c>
      <c r="J66" s="3">
        <f t="shared" ref="J66:J97" si="20">$W$8</f>
        <v>-37000000</v>
      </c>
      <c r="K66" s="3">
        <f t="shared" ref="K66:K97" si="21">E66*$W$9</f>
        <v>6964786</v>
      </c>
      <c r="L66" s="3">
        <f t="shared" ref="L66:L97" si="22">F66*$W$10</f>
        <v>46567215.362490006</v>
      </c>
      <c r="M66" s="3">
        <f t="shared" ref="M66:M97" si="23">G66*$W$11</f>
        <v>793454.7</v>
      </c>
      <c r="N66" s="3">
        <f t="shared" ref="N66:N97" si="24">H66*$W$12</f>
        <v>3508715</v>
      </c>
      <c r="O66" s="47">
        <f t="shared" si="17"/>
        <v>20834171.062490005</v>
      </c>
      <c r="P66" s="47">
        <f>'Monthly Data'!AJ66</f>
        <v>0</v>
      </c>
      <c r="Q66" s="47">
        <f t="shared" si="18"/>
        <v>20834171.062490005</v>
      </c>
      <c r="R66" s="47">
        <f t="shared" si="19"/>
        <v>-1485911.5782211721</v>
      </c>
      <c r="S66" s="18">
        <f t="shared" si="16"/>
        <v>6.6572852893963433E-2</v>
      </c>
    </row>
    <row r="67" spans="1:19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Data'!AI67</f>
        <v>24287597.85032241</v>
      </c>
      <c r="E67" s="3">
        <f>'Monthly Data'!DR67</f>
        <v>22</v>
      </c>
      <c r="F67" s="3">
        <f>'Monthly Data'!DL67</f>
        <v>706539</v>
      </c>
      <c r="G67" s="3">
        <f>'Monthly Data'!EE67</f>
        <v>0</v>
      </c>
      <c r="H67" s="3">
        <f>'Monthly Data'!EJ67</f>
        <v>0.5</v>
      </c>
      <c r="J67" s="3">
        <f t="shared" si="20"/>
        <v>-37000000</v>
      </c>
      <c r="K67" s="3">
        <f t="shared" si="21"/>
        <v>7661264.5999999996</v>
      </c>
      <c r="L67" s="3">
        <f t="shared" si="22"/>
        <v>46567215.362490006</v>
      </c>
      <c r="M67" s="3">
        <f t="shared" si="23"/>
        <v>0</v>
      </c>
      <c r="N67" s="3">
        <f t="shared" si="24"/>
        <v>1754357.5</v>
      </c>
      <c r="O67" s="47">
        <f t="shared" si="17"/>
        <v>18982837.462490007</v>
      </c>
      <c r="P67" s="47">
        <f>'Monthly Data'!AJ67</f>
        <v>0</v>
      </c>
      <c r="Q67" s="47">
        <f t="shared" si="18"/>
        <v>18982837.462490007</v>
      </c>
      <c r="R67" s="47">
        <f t="shared" si="19"/>
        <v>-5304760.3878324032</v>
      </c>
      <c r="S67" s="18">
        <f t="shared" si="16"/>
        <v>0.21841437018696289</v>
      </c>
    </row>
    <row r="68" spans="1:19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Data'!AI68</f>
        <v>24989245.119933646</v>
      </c>
      <c r="E68" s="3">
        <f>'Monthly Data'!DR68</f>
        <v>22</v>
      </c>
      <c r="F68" s="3">
        <f>'Monthly Data'!DL68</f>
        <v>777225</v>
      </c>
      <c r="G68" s="3">
        <f>'Monthly Data'!EE68</f>
        <v>0</v>
      </c>
      <c r="H68" s="3">
        <f>'Monthly Data'!EJ68</f>
        <v>0.5</v>
      </c>
      <c r="J68" s="3">
        <f t="shared" si="20"/>
        <v>-37000000</v>
      </c>
      <c r="K68" s="3">
        <f t="shared" si="21"/>
        <v>7661264.5999999996</v>
      </c>
      <c r="L68" s="3">
        <f t="shared" si="22"/>
        <v>51226052.574750006</v>
      </c>
      <c r="M68" s="3">
        <f t="shared" si="23"/>
        <v>0</v>
      </c>
      <c r="N68" s="3">
        <f t="shared" si="24"/>
        <v>1754357.5</v>
      </c>
      <c r="O68" s="47">
        <f t="shared" si="17"/>
        <v>23641674.674750008</v>
      </c>
      <c r="P68" s="47">
        <f>'Monthly Data'!AJ68</f>
        <v>0</v>
      </c>
      <c r="Q68" s="47">
        <f t="shared" si="18"/>
        <v>23641674.674750008</v>
      </c>
      <c r="R68" s="47">
        <f t="shared" si="19"/>
        <v>-1347570.4451836385</v>
      </c>
      <c r="S68" s="18">
        <f t="shared" si="16"/>
        <v>5.3926016520951102E-2</v>
      </c>
    </row>
    <row r="69" spans="1:19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Data'!AI69</f>
        <v>22664637.549544878</v>
      </c>
      <c r="E69" s="3">
        <f>'Monthly Data'!DR69</f>
        <v>20</v>
      </c>
      <c r="F69" s="3">
        <f>'Monthly Data'!DL69</f>
        <v>777225</v>
      </c>
      <c r="G69" s="3">
        <f>'Monthly Data'!EE69</f>
        <v>0</v>
      </c>
      <c r="H69" s="3">
        <f>'Monthly Data'!EJ69</f>
        <v>0.5</v>
      </c>
      <c r="J69" s="3">
        <f t="shared" si="20"/>
        <v>-37000000</v>
      </c>
      <c r="K69" s="3">
        <f t="shared" si="21"/>
        <v>6964786</v>
      </c>
      <c r="L69" s="3">
        <f t="shared" si="22"/>
        <v>51226052.574750006</v>
      </c>
      <c r="M69" s="3">
        <f t="shared" si="23"/>
        <v>0</v>
      </c>
      <c r="N69" s="3">
        <f t="shared" si="24"/>
        <v>1754357.5</v>
      </c>
      <c r="O69" s="47">
        <f t="shared" si="17"/>
        <v>22945196.074750006</v>
      </c>
      <c r="P69" s="47">
        <f>'Monthly Data'!AJ69</f>
        <v>0</v>
      </c>
      <c r="Q69" s="47">
        <f t="shared" si="18"/>
        <v>22945196.074750006</v>
      </c>
      <c r="R69" s="47">
        <f t="shared" si="19"/>
        <v>280558.52520512789</v>
      </c>
      <c r="S69" s="18">
        <f t="shared" si="16"/>
        <v>1.2378690133112749E-2</v>
      </c>
    </row>
    <row r="70" spans="1:19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Data'!AI70</f>
        <v>23255974.439156111</v>
      </c>
      <c r="E70" s="3">
        <f>'Monthly Data'!DR70</f>
        <v>21</v>
      </c>
      <c r="F70" s="3">
        <f>'Monthly Data'!DL70</f>
        <v>777225</v>
      </c>
      <c r="G70" s="3">
        <f>'Monthly Data'!EE70</f>
        <v>0</v>
      </c>
      <c r="H70" s="3">
        <f>'Monthly Data'!EJ70</f>
        <v>0.5</v>
      </c>
      <c r="J70" s="3">
        <f t="shared" si="20"/>
        <v>-37000000</v>
      </c>
      <c r="K70" s="3">
        <f t="shared" si="21"/>
        <v>7313025.2999999998</v>
      </c>
      <c r="L70" s="3">
        <f t="shared" si="22"/>
        <v>51226052.574750006</v>
      </c>
      <c r="M70" s="3">
        <f t="shared" si="23"/>
        <v>0</v>
      </c>
      <c r="N70" s="3">
        <f t="shared" si="24"/>
        <v>1754357.5</v>
      </c>
      <c r="O70" s="47">
        <f t="shared" si="17"/>
        <v>23293435.374750007</v>
      </c>
      <c r="P70" s="47">
        <f>'Monthly Data'!AJ70</f>
        <v>0</v>
      </c>
      <c r="Q70" s="47">
        <f t="shared" si="18"/>
        <v>23293435.374750007</v>
      </c>
      <c r="R70" s="47">
        <f t="shared" si="19"/>
        <v>37460.935593895614</v>
      </c>
      <c r="S70" s="18">
        <f t="shared" si="16"/>
        <v>1.6108091145311284E-3</v>
      </c>
    </row>
    <row r="71" spans="1:19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Data'!AI71</f>
        <v>24269954.798767343</v>
      </c>
      <c r="E71" s="3">
        <f>'Monthly Data'!DR71</f>
        <v>21</v>
      </c>
      <c r="F71" s="3">
        <f>'Monthly Data'!DL71</f>
        <v>795879</v>
      </c>
      <c r="G71" s="3">
        <f>'Monthly Data'!EE71</f>
        <v>0</v>
      </c>
      <c r="H71" s="3">
        <f>'Monthly Data'!EJ71</f>
        <v>0.5</v>
      </c>
      <c r="J71" s="3">
        <f t="shared" si="20"/>
        <v>-37000000</v>
      </c>
      <c r="K71" s="3">
        <f t="shared" si="21"/>
        <v>7313025.2999999998</v>
      </c>
      <c r="L71" s="3">
        <f t="shared" si="22"/>
        <v>52455517.381890006</v>
      </c>
      <c r="M71" s="3">
        <f t="shared" si="23"/>
        <v>0</v>
      </c>
      <c r="N71" s="3">
        <f t="shared" si="24"/>
        <v>1754357.5</v>
      </c>
      <c r="O71" s="47">
        <f t="shared" si="17"/>
        <v>24522900.181890007</v>
      </c>
      <c r="P71" s="47">
        <f>'Monthly Data'!AJ71</f>
        <v>0</v>
      </c>
      <c r="Q71" s="47">
        <f t="shared" si="18"/>
        <v>24522900.181890007</v>
      </c>
      <c r="R71" s="47">
        <f t="shared" si="19"/>
        <v>252945.38312266394</v>
      </c>
      <c r="S71" s="18">
        <f t="shared" si="16"/>
        <v>1.0422161278005796E-2</v>
      </c>
    </row>
    <row r="72" spans="1:19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Data'!AI72</f>
        <v>24094335.568378575</v>
      </c>
      <c r="E72" s="3">
        <f>'Monthly Data'!DR72</f>
        <v>21</v>
      </c>
      <c r="F72" s="3">
        <f>'Monthly Data'!DL72</f>
        <v>795879</v>
      </c>
      <c r="G72" s="3">
        <f>'Monthly Data'!EE72</f>
        <v>0</v>
      </c>
      <c r="H72" s="3">
        <f>'Monthly Data'!EJ72</f>
        <v>0.5</v>
      </c>
      <c r="J72" s="3">
        <f t="shared" si="20"/>
        <v>-37000000</v>
      </c>
      <c r="K72" s="3">
        <f t="shared" si="21"/>
        <v>7313025.2999999998</v>
      </c>
      <c r="L72" s="3">
        <f t="shared" si="22"/>
        <v>52455517.381890006</v>
      </c>
      <c r="M72" s="3">
        <f t="shared" si="23"/>
        <v>0</v>
      </c>
      <c r="N72" s="3">
        <f t="shared" si="24"/>
        <v>1754357.5</v>
      </c>
      <c r="O72" s="47">
        <f t="shared" si="17"/>
        <v>24522900.181890007</v>
      </c>
      <c r="P72" s="47">
        <f>'Monthly Data'!AJ72</f>
        <v>0</v>
      </c>
      <c r="Q72" s="47">
        <f t="shared" si="18"/>
        <v>24522900.181890007</v>
      </c>
      <c r="R72" s="47">
        <f t="shared" si="19"/>
        <v>428564.61351143196</v>
      </c>
      <c r="S72" s="18">
        <f t="shared" si="16"/>
        <v>1.7786944665694807E-2</v>
      </c>
    </row>
    <row r="73" spans="1:19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Data'!AI73</f>
        <v>24121161.447989807</v>
      </c>
      <c r="E73" s="3">
        <f>'Monthly Data'!DR73</f>
        <v>21</v>
      </c>
      <c r="F73" s="3">
        <f>'Monthly Data'!DL73</f>
        <v>795879</v>
      </c>
      <c r="G73" s="3">
        <f>'Monthly Data'!EE73</f>
        <v>0</v>
      </c>
      <c r="H73" s="3">
        <f>'Monthly Data'!EJ73</f>
        <v>0.5</v>
      </c>
      <c r="J73" s="3">
        <f t="shared" si="20"/>
        <v>-37000000</v>
      </c>
      <c r="K73" s="3">
        <f t="shared" si="21"/>
        <v>7313025.2999999998</v>
      </c>
      <c r="L73" s="3">
        <f t="shared" si="22"/>
        <v>52455517.381890006</v>
      </c>
      <c r="M73" s="3">
        <f t="shared" si="23"/>
        <v>0</v>
      </c>
      <c r="N73" s="3">
        <f t="shared" si="24"/>
        <v>1754357.5</v>
      </c>
      <c r="O73" s="47">
        <f t="shared" si="17"/>
        <v>24522900.181890007</v>
      </c>
      <c r="P73" s="47">
        <f>'Monthly Data'!AJ73</f>
        <v>0</v>
      </c>
      <c r="Q73" s="47">
        <f t="shared" si="18"/>
        <v>24522900.181890007</v>
      </c>
      <c r="R73" s="47">
        <f t="shared" si="19"/>
        <v>401738.73390020058</v>
      </c>
      <c r="S73" s="18">
        <f t="shared" si="16"/>
        <v>1.6655032750658879E-2</v>
      </c>
    </row>
    <row r="74" spans="1:19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Data'!AI74</f>
        <v>26363972.396958388</v>
      </c>
      <c r="E74" s="3">
        <f>'Monthly Data'!DR74</f>
        <v>20</v>
      </c>
      <c r="F74" s="3">
        <f>'Monthly Data'!DL74</f>
        <v>808584</v>
      </c>
      <c r="G74" s="3">
        <f>'Monthly Data'!EE74</f>
        <v>0</v>
      </c>
      <c r="H74" s="3">
        <f>'Monthly Data'!EJ74</f>
        <v>0.5</v>
      </c>
      <c r="J74" s="3">
        <f t="shared" si="20"/>
        <v>-37000000</v>
      </c>
      <c r="K74" s="3">
        <f t="shared" si="21"/>
        <v>6964786</v>
      </c>
      <c r="L74" s="3">
        <f t="shared" si="22"/>
        <v>53292890.083440006</v>
      </c>
      <c r="M74" s="3">
        <f t="shared" si="23"/>
        <v>0</v>
      </c>
      <c r="N74" s="3">
        <f t="shared" si="24"/>
        <v>1754357.5</v>
      </c>
      <c r="O74" s="47">
        <f t="shared" si="17"/>
        <v>25012033.583440006</v>
      </c>
      <c r="P74" s="47">
        <f>'Monthly Data'!AJ74</f>
        <v>0</v>
      </c>
      <c r="Q74" s="47">
        <f t="shared" si="18"/>
        <v>25012033.583440006</v>
      </c>
      <c r="R74" s="47">
        <f t="shared" ca="1" si="19"/>
        <v>-1351938.8135183826</v>
      </c>
      <c r="S74" s="18">
        <f t="shared" ca="1" si="16"/>
        <v>5.1279784137323543E-2</v>
      </c>
    </row>
    <row r="75" spans="1:19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Data'!AI75</f>
        <v>24301621.442535765</v>
      </c>
      <c r="E75" s="3">
        <f>'Monthly Data'!DR75</f>
        <v>19</v>
      </c>
      <c r="F75" s="3">
        <f>'Monthly Data'!DL75</f>
        <v>808584</v>
      </c>
      <c r="G75" s="3">
        <f>'Monthly Data'!EE75</f>
        <v>0</v>
      </c>
      <c r="H75" s="3">
        <f>'Monthly Data'!EJ75</f>
        <v>0.5</v>
      </c>
      <c r="J75" s="3">
        <f t="shared" si="20"/>
        <v>-37000000</v>
      </c>
      <c r="K75" s="3">
        <f t="shared" si="21"/>
        <v>6616546.7000000002</v>
      </c>
      <c r="L75" s="3">
        <f t="shared" si="22"/>
        <v>53292890.083440006</v>
      </c>
      <c r="M75" s="3">
        <f t="shared" si="23"/>
        <v>0</v>
      </c>
      <c r="N75" s="3">
        <f t="shared" si="24"/>
        <v>1754357.5</v>
      </c>
      <c r="O75" s="47">
        <f t="shared" si="17"/>
        <v>24663794.283440005</v>
      </c>
      <c r="P75" s="47">
        <f>'Monthly Data'!AJ75</f>
        <v>0</v>
      </c>
      <c r="Q75" s="47">
        <f t="shared" si="18"/>
        <v>24663794.283440005</v>
      </c>
      <c r="R75" s="47">
        <f t="shared" ca="1" si="19"/>
        <v>362172.84090423957</v>
      </c>
      <c r="S75" s="18">
        <f t="shared" ca="1" si="16"/>
        <v>1.4903237702086781E-2</v>
      </c>
    </row>
    <row r="76" spans="1:19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Data'!AI76</f>
        <v>26409043.07811315</v>
      </c>
      <c r="E76" s="3">
        <f>'Monthly Data'!DR76</f>
        <v>23</v>
      </c>
      <c r="F76" s="3">
        <f>'Monthly Data'!DL76</f>
        <v>808584</v>
      </c>
      <c r="G76" s="3">
        <f>'Monthly Data'!EE76</f>
        <v>1</v>
      </c>
      <c r="H76" s="3">
        <f>'Monthly Data'!EJ76</f>
        <v>0.5</v>
      </c>
      <c r="J76" s="3">
        <f t="shared" si="20"/>
        <v>-37000000</v>
      </c>
      <c r="K76" s="3">
        <f t="shared" si="21"/>
        <v>8009503.8999999994</v>
      </c>
      <c r="L76" s="3">
        <f t="shared" si="22"/>
        <v>53292890.083440006</v>
      </c>
      <c r="M76" s="3">
        <f t="shared" si="23"/>
        <v>793454.7</v>
      </c>
      <c r="N76" s="3">
        <f t="shared" si="24"/>
        <v>1754357.5</v>
      </c>
      <c r="O76" s="47">
        <f t="shared" si="17"/>
        <v>26850206.183440004</v>
      </c>
      <c r="P76" s="47">
        <f>'Monthly Data'!AJ76</f>
        <v>0</v>
      </c>
      <c r="Q76" s="47">
        <f t="shared" si="18"/>
        <v>26850206.183440004</v>
      </c>
      <c r="R76" s="47">
        <f t="shared" ca="1" si="19"/>
        <v>441163.10532685369</v>
      </c>
      <c r="S76" s="18">
        <f t="shared" ca="1" si="16"/>
        <v>1.6705001541402822E-2</v>
      </c>
    </row>
    <row r="77" spans="1:19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Data'!AI77</f>
        <v>24423424.653690528</v>
      </c>
      <c r="E77" s="3">
        <f>'Monthly Data'!DR77</f>
        <v>21</v>
      </c>
      <c r="F77" s="3">
        <f>'Monthly Data'!DL77</f>
        <v>802518</v>
      </c>
      <c r="G77" s="3">
        <f>'Monthly Data'!EE77</f>
        <v>1</v>
      </c>
      <c r="H77" s="3">
        <f>'Monthly Data'!EJ77</f>
        <v>0.5</v>
      </c>
      <c r="J77" s="3">
        <f t="shared" si="20"/>
        <v>-37000000</v>
      </c>
      <c r="K77" s="3">
        <f t="shared" si="21"/>
        <v>7313025.2999999998</v>
      </c>
      <c r="L77" s="3">
        <f t="shared" si="22"/>
        <v>52893086.635380007</v>
      </c>
      <c r="M77" s="3">
        <f t="shared" si="23"/>
        <v>793454.7</v>
      </c>
      <c r="N77" s="3">
        <f t="shared" si="24"/>
        <v>1754357.5</v>
      </c>
      <c r="O77" s="47">
        <f t="shared" si="17"/>
        <v>25753924.135380007</v>
      </c>
      <c r="P77" s="47">
        <f>'Monthly Data'!AJ77</f>
        <v>0</v>
      </c>
      <c r="Q77" s="47">
        <f t="shared" si="18"/>
        <v>25753924.135380007</v>
      </c>
      <c r="R77" s="47">
        <f t="shared" ca="1" si="19"/>
        <v>1330499.4816894792</v>
      </c>
      <c r="S77" s="18">
        <f t="shared" ca="1" si="16"/>
        <v>5.4476368509132587E-2</v>
      </c>
    </row>
    <row r="78" spans="1:19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Data'!AI78</f>
        <v>27390546.649267908</v>
      </c>
      <c r="E78" s="3">
        <f>'Monthly Data'!DR78</f>
        <v>20</v>
      </c>
      <c r="F78" s="3">
        <f>'Monthly Data'!DL78</f>
        <v>802518</v>
      </c>
      <c r="G78" s="3">
        <f>'Monthly Data'!EE78</f>
        <v>1</v>
      </c>
      <c r="H78" s="3">
        <f>'Monthly Data'!EJ78</f>
        <v>0.5</v>
      </c>
      <c r="J78" s="3">
        <f t="shared" si="20"/>
        <v>-37000000</v>
      </c>
      <c r="K78" s="3">
        <f t="shared" si="21"/>
        <v>6964786</v>
      </c>
      <c r="L78" s="3">
        <f t="shared" si="22"/>
        <v>52893086.635380007</v>
      </c>
      <c r="M78" s="3">
        <f t="shared" si="23"/>
        <v>793454.7</v>
      </c>
      <c r="N78" s="3">
        <f t="shared" si="24"/>
        <v>1754357.5</v>
      </c>
      <c r="O78" s="47">
        <f t="shared" si="17"/>
        <v>25405684.835380007</v>
      </c>
      <c r="P78" s="47">
        <f>'Monthly Data'!AJ78</f>
        <v>0</v>
      </c>
      <c r="Q78" s="47">
        <f t="shared" si="18"/>
        <v>25405684.835380007</v>
      </c>
      <c r="R78" s="47">
        <f t="shared" ca="1" si="19"/>
        <v>-1984861.8138879016</v>
      </c>
      <c r="S78" s="18">
        <f t="shared" ca="1" si="16"/>
        <v>7.2465213611972681E-2</v>
      </c>
    </row>
    <row r="79" spans="1:19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Data'!AI79</f>
        <v>26669341.04484529</v>
      </c>
      <c r="E79" s="3">
        <f>'Monthly Data'!DR79</f>
        <v>22</v>
      </c>
      <c r="F79" s="3">
        <f>'Monthly Data'!DL79</f>
        <v>802518</v>
      </c>
      <c r="G79" s="3">
        <f>'Monthly Data'!EE79</f>
        <v>0</v>
      </c>
      <c r="H79" s="3">
        <f>'Monthly Data'!EJ79</f>
        <v>0.5</v>
      </c>
      <c r="J79" s="3">
        <f t="shared" si="20"/>
        <v>-37000000</v>
      </c>
      <c r="K79" s="3">
        <f t="shared" si="21"/>
        <v>7661264.5999999996</v>
      </c>
      <c r="L79" s="3">
        <f t="shared" si="22"/>
        <v>52893086.635380007</v>
      </c>
      <c r="M79" s="3">
        <f t="shared" si="23"/>
        <v>0</v>
      </c>
      <c r="N79" s="3">
        <f t="shared" si="24"/>
        <v>1754357.5</v>
      </c>
      <c r="O79" s="47">
        <f t="shared" si="17"/>
        <v>25308708.735380009</v>
      </c>
      <c r="P79" s="47">
        <f>'Monthly Data'!AJ79</f>
        <v>0</v>
      </c>
      <c r="Q79" s="47">
        <f t="shared" si="18"/>
        <v>25308708.735380009</v>
      </c>
      <c r="R79" s="47">
        <f t="shared" ca="1" si="19"/>
        <v>-1360632.3094652817</v>
      </c>
      <c r="S79" s="18">
        <f t="shared" ca="1" si="16"/>
        <v>5.101859499180493E-2</v>
      </c>
    </row>
    <row r="80" spans="1:19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Data'!AI80</f>
        <v>26952721.480422672</v>
      </c>
      <c r="E80" s="3">
        <f>'Monthly Data'!DR80</f>
        <v>21</v>
      </c>
      <c r="F80" s="3">
        <f>'Monthly Data'!DL80</f>
        <v>819564</v>
      </c>
      <c r="G80" s="3">
        <f>'Monthly Data'!EE80</f>
        <v>0</v>
      </c>
      <c r="H80" s="3">
        <f>'Monthly Data'!EJ80</f>
        <v>0.5</v>
      </c>
      <c r="J80" s="3">
        <f t="shared" si="20"/>
        <v>-37000000</v>
      </c>
      <c r="K80" s="3">
        <f t="shared" si="21"/>
        <v>7313025.2999999998</v>
      </c>
      <c r="L80" s="3">
        <f t="shared" si="22"/>
        <v>54016569.915240005</v>
      </c>
      <c r="M80" s="3">
        <f t="shared" si="23"/>
        <v>0</v>
      </c>
      <c r="N80" s="3">
        <f t="shared" si="24"/>
        <v>1754357.5</v>
      </c>
      <c r="O80" s="47">
        <f t="shared" si="17"/>
        <v>26083952.715240005</v>
      </c>
      <c r="P80" s="47">
        <f>'Monthly Data'!AJ80</f>
        <v>0</v>
      </c>
      <c r="Q80" s="47">
        <f t="shared" si="18"/>
        <v>26083952.715240005</v>
      </c>
      <c r="R80" s="47">
        <f t="shared" ca="1" si="19"/>
        <v>-868768.76518266648</v>
      </c>
      <c r="S80" s="18">
        <f t="shared" ca="1" si="16"/>
        <v>3.2233062839821344E-2</v>
      </c>
    </row>
    <row r="81" spans="1:19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Data'!AI81</f>
        <v>23791332.306000054</v>
      </c>
      <c r="E81" s="3">
        <f>'Monthly Data'!DR81</f>
        <v>20</v>
      </c>
      <c r="F81" s="3">
        <f>'Monthly Data'!DL81</f>
        <v>819564</v>
      </c>
      <c r="G81" s="3">
        <f>'Monthly Data'!EE81</f>
        <v>0</v>
      </c>
      <c r="H81" s="3">
        <f>'Monthly Data'!EJ81</f>
        <v>0.5</v>
      </c>
      <c r="J81" s="3">
        <f t="shared" si="20"/>
        <v>-37000000</v>
      </c>
      <c r="K81" s="3">
        <f t="shared" si="21"/>
        <v>6964786</v>
      </c>
      <c r="L81" s="3">
        <f t="shared" si="22"/>
        <v>54016569.915240005</v>
      </c>
      <c r="M81" s="3">
        <f t="shared" si="23"/>
        <v>0</v>
      </c>
      <c r="N81" s="3">
        <f t="shared" si="24"/>
        <v>1754357.5</v>
      </c>
      <c r="O81" s="47">
        <f t="shared" si="17"/>
        <v>25735713.415240005</v>
      </c>
      <c r="P81" s="47">
        <f>'Monthly Data'!AJ81</f>
        <v>0</v>
      </c>
      <c r="Q81" s="47">
        <f t="shared" si="18"/>
        <v>25735713.415240005</v>
      </c>
      <c r="R81" s="47">
        <f t="shared" ca="1" si="19"/>
        <v>1944381.1092399508</v>
      </c>
      <c r="S81" s="18">
        <f t="shared" ca="1" si="16"/>
        <v>8.1726449121539424E-2</v>
      </c>
    </row>
    <row r="82" spans="1:19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Data'!AI82</f>
        <v>24729050.251577433</v>
      </c>
      <c r="E82" s="3">
        <f>'Monthly Data'!DR82</f>
        <v>20</v>
      </c>
      <c r="F82" s="3">
        <f>'Monthly Data'!DL82</f>
        <v>819564</v>
      </c>
      <c r="G82" s="3">
        <f>'Monthly Data'!EE82</f>
        <v>0</v>
      </c>
      <c r="H82" s="3">
        <f>'Monthly Data'!EJ82</f>
        <v>0.5</v>
      </c>
      <c r="J82" s="3">
        <f t="shared" si="20"/>
        <v>-37000000</v>
      </c>
      <c r="K82" s="3">
        <f t="shared" si="21"/>
        <v>6964786</v>
      </c>
      <c r="L82" s="3">
        <f t="shared" si="22"/>
        <v>54016569.915240005</v>
      </c>
      <c r="M82" s="3">
        <f t="shared" si="23"/>
        <v>0</v>
      </c>
      <c r="N82" s="3">
        <f t="shared" si="24"/>
        <v>1754357.5</v>
      </c>
      <c r="O82" s="47">
        <f t="shared" si="17"/>
        <v>25735713.415240005</v>
      </c>
      <c r="P82" s="47">
        <f>'Monthly Data'!AJ82</f>
        <v>0</v>
      </c>
      <c r="Q82" s="47">
        <f t="shared" si="18"/>
        <v>25735713.415240005</v>
      </c>
      <c r="R82" s="47">
        <f t="shared" ca="1" si="19"/>
        <v>1006663.1636625715</v>
      </c>
      <c r="S82" s="18">
        <f t="shared" ca="1" si="16"/>
        <v>4.0707716366840972E-2</v>
      </c>
    </row>
    <row r="83" spans="1:19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Data'!AI83</f>
        <v>25149627.987154819</v>
      </c>
      <c r="E83" s="3">
        <f>'Monthly Data'!DR83</f>
        <v>20</v>
      </c>
      <c r="F83" s="3">
        <f>'Monthly Data'!DL83</f>
        <v>838397</v>
      </c>
      <c r="G83" s="3">
        <f>'Monthly Data'!EE83</f>
        <v>0</v>
      </c>
      <c r="H83" s="3">
        <f>'Monthly Data'!EJ83</f>
        <v>0.5</v>
      </c>
      <c r="J83" s="3">
        <f t="shared" si="20"/>
        <v>-37000000</v>
      </c>
      <c r="K83" s="3">
        <f t="shared" si="21"/>
        <v>6964786</v>
      </c>
      <c r="L83" s="3">
        <f t="shared" si="22"/>
        <v>55257832.417270005</v>
      </c>
      <c r="M83" s="3">
        <f t="shared" si="23"/>
        <v>0</v>
      </c>
      <c r="N83" s="3">
        <f t="shared" si="24"/>
        <v>1754357.5</v>
      </c>
      <c r="O83" s="47">
        <f t="shared" si="17"/>
        <v>26976975.917270005</v>
      </c>
      <c r="P83" s="47">
        <f>'Monthly Data'!AJ83</f>
        <v>0</v>
      </c>
      <c r="Q83" s="47">
        <f t="shared" si="18"/>
        <v>26976975.917270005</v>
      </c>
      <c r="R83" s="47">
        <f t="shared" ca="1" si="19"/>
        <v>1827347.9301151857</v>
      </c>
      <c r="S83" s="18">
        <f t="shared" ca="1" si="16"/>
        <v>7.2659044143655094E-2</v>
      </c>
    </row>
    <row r="84" spans="1:19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Data'!AI84</f>
        <v>25060594.782732196</v>
      </c>
      <c r="E84" s="3">
        <f>'Monthly Data'!DR84</f>
        <v>22</v>
      </c>
      <c r="F84" s="3">
        <f>'Monthly Data'!DL84</f>
        <v>838397</v>
      </c>
      <c r="G84" s="3">
        <f>'Monthly Data'!EE84</f>
        <v>0</v>
      </c>
      <c r="H84" s="3">
        <f>'Monthly Data'!EJ84</f>
        <v>0.5</v>
      </c>
      <c r="J84" s="3">
        <f t="shared" si="20"/>
        <v>-37000000</v>
      </c>
      <c r="K84" s="3">
        <f t="shared" si="21"/>
        <v>7661264.5999999996</v>
      </c>
      <c r="L84" s="3">
        <f t="shared" si="22"/>
        <v>55257832.417270005</v>
      </c>
      <c r="M84" s="3">
        <f t="shared" si="23"/>
        <v>0</v>
      </c>
      <c r="N84" s="3">
        <f t="shared" si="24"/>
        <v>1754357.5</v>
      </c>
      <c r="O84" s="47">
        <f t="shared" si="17"/>
        <v>27673454.517270006</v>
      </c>
      <c r="P84" s="47">
        <f>'Monthly Data'!AJ84</f>
        <v>0</v>
      </c>
      <c r="Q84" s="47">
        <f t="shared" si="18"/>
        <v>27673454.517270006</v>
      </c>
      <c r="R84" s="47">
        <f t="shared" ca="1" si="19"/>
        <v>2612859.7345378101</v>
      </c>
      <c r="S84" s="18">
        <f t="shared" ca="1" si="16"/>
        <v>0.10426168082563549</v>
      </c>
    </row>
    <row r="85" spans="1:19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Data'!AI85</f>
        <v>24248030.318309579</v>
      </c>
      <c r="E85" s="3">
        <f>'Monthly Data'!DR85</f>
        <v>21</v>
      </c>
      <c r="F85" s="3">
        <f>'Monthly Data'!DL85</f>
        <v>838397</v>
      </c>
      <c r="G85" s="3">
        <f>'Monthly Data'!EE85</f>
        <v>0</v>
      </c>
      <c r="H85" s="3">
        <f>'Monthly Data'!EJ85</f>
        <v>0.5</v>
      </c>
      <c r="J85" s="3">
        <f t="shared" si="20"/>
        <v>-37000000</v>
      </c>
      <c r="K85" s="3">
        <f t="shared" si="21"/>
        <v>7313025.2999999998</v>
      </c>
      <c r="L85" s="3">
        <f t="shared" si="22"/>
        <v>55257832.417270005</v>
      </c>
      <c r="M85" s="3">
        <f t="shared" si="23"/>
        <v>0</v>
      </c>
      <c r="N85" s="3">
        <f t="shared" si="24"/>
        <v>1754357.5</v>
      </c>
      <c r="O85" s="47">
        <f t="shared" si="17"/>
        <v>27325215.217270005</v>
      </c>
      <c r="P85" s="47">
        <f>'Monthly Data'!AJ85</f>
        <v>0</v>
      </c>
      <c r="Q85" s="47">
        <f t="shared" si="18"/>
        <v>27325215.217270005</v>
      </c>
      <c r="R85" s="47">
        <f t="shared" ca="1" si="19"/>
        <v>3077184.8989604264</v>
      </c>
      <c r="S85" s="18">
        <f t="shared" ca="1" si="16"/>
        <v>0.12690453032949475</v>
      </c>
    </row>
    <row r="86" spans="1:19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Data'!AI86</f>
        <v>25889185.031195279</v>
      </c>
      <c r="E86" s="3">
        <f>'Monthly Data'!DR86</f>
        <v>20</v>
      </c>
      <c r="F86" s="3">
        <f>'Monthly Data'!DL86</f>
        <v>845218</v>
      </c>
      <c r="G86" s="3">
        <f>'Monthly Data'!EE86</f>
        <v>0</v>
      </c>
      <c r="H86" s="3">
        <f>'Monthly Data'!EJ86</f>
        <v>0.25</v>
      </c>
      <c r="J86" s="3">
        <f t="shared" si="20"/>
        <v>-37000000</v>
      </c>
      <c r="K86" s="3">
        <f t="shared" si="21"/>
        <v>6964786</v>
      </c>
      <c r="L86" s="3">
        <f t="shared" si="22"/>
        <v>55707397.092380002</v>
      </c>
      <c r="M86" s="3">
        <f t="shared" si="23"/>
        <v>0</v>
      </c>
      <c r="N86" s="3">
        <f t="shared" si="24"/>
        <v>877178.75</v>
      </c>
      <c r="O86" s="47">
        <f t="shared" si="17"/>
        <v>26549361.842380002</v>
      </c>
      <c r="P86" s="47">
        <f>'Monthly Data'!AJ86</f>
        <v>13.461538461538462</v>
      </c>
      <c r="Q86" s="47">
        <f t="shared" si="18"/>
        <v>26549375.303918462</v>
      </c>
      <c r="R86" s="47">
        <f t="shared" ca="1" si="19"/>
        <v>660190.27272318304</v>
      </c>
      <c r="S86" s="18">
        <f t="shared" ref="S86:S109" ca="1" si="25">ABS(R86/D86)</f>
        <v>2.5500620121015168E-2</v>
      </c>
    </row>
    <row r="87" spans="1:19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Data'!AI87</f>
        <v>24800569.304336783</v>
      </c>
      <c r="E87" s="3">
        <f>'Monthly Data'!DR87</f>
        <v>19</v>
      </c>
      <c r="F87" s="3">
        <f>'Monthly Data'!DL87</f>
        <v>845218</v>
      </c>
      <c r="G87" s="3">
        <f>'Monthly Data'!EE87</f>
        <v>0</v>
      </c>
      <c r="H87" s="3">
        <f>'Monthly Data'!EJ87</f>
        <v>0.25</v>
      </c>
      <c r="J87" s="3">
        <f t="shared" si="20"/>
        <v>-37000000</v>
      </c>
      <c r="K87" s="3">
        <f t="shared" si="21"/>
        <v>6616546.7000000002</v>
      </c>
      <c r="L87" s="3">
        <f t="shared" si="22"/>
        <v>55707397.092380002</v>
      </c>
      <c r="M87" s="3">
        <f t="shared" si="23"/>
        <v>0</v>
      </c>
      <c r="N87" s="3">
        <f t="shared" si="24"/>
        <v>877178.75</v>
      </c>
      <c r="O87" s="47">
        <f t="shared" si="17"/>
        <v>26201122.542380001</v>
      </c>
      <c r="P87" s="47">
        <f>'Monthly Data'!AJ87</f>
        <v>26.923076923076923</v>
      </c>
      <c r="Q87" s="47">
        <f t="shared" si="18"/>
        <v>26201149.465456925</v>
      </c>
      <c r="R87" s="47">
        <f t="shared" ca="1" si="19"/>
        <v>1400580.1611201428</v>
      </c>
      <c r="S87" s="18">
        <f t="shared" ca="1" si="25"/>
        <v>5.6473710096454466E-2</v>
      </c>
    </row>
    <row r="88" spans="1:19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Data'!AI88</f>
        <v>28025826.257478289</v>
      </c>
      <c r="E88" s="3">
        <f>'Monthly Data'!DR88</f>
        <v>23</v>
      </c>
      <c r="F88" s="3">
        <f>'Monthly Data'!DL88</f>
        <v>845218</v>
      </c>
      <c r="G88" s="3">
        <f>'Monthly Data'!EE88</f>
        <v>1</v>
      </c>
      <c r="H88" s="3">
        <f>'Monthly Data'!EJ88</f>
        <v>0.25</v>
      </c>
      <c r="J88" s="3">
        <f t="shared" si="20"/>
        <v>-37000000</v>
      </c>
      <c r="K88" s="3">
        <f t="shared" si="21"/>
        <v>8009503.8999999994</v>
      </c>
      <c r="L88" s="3">
        <f t="shared" si="22"/>
        <v>55707397.092380002</v>
      </c>
      <c r="M88" s="3">
        <f t="shared" si="23"/>
        <v>793454.7</v>
      </c>
      <c r="N88" s="3">
        <f t="shared" si="24"/>
        <v>877178.75</v>
      </c>
      <c r="O88" s="47">
        <f t="shared" si="17"/>
        <v>28387534.44238</v>
      </c>
      <c r="P88" s="47">
        <f>'Monthly Data'!AJ88</f>
        <v>40.384615384615387</v>
      </c>
      <c r="Q88" s="47">
        <f t="shared" si="18"/>
        <v>28387574.826995384</v>
      </c>
      <c r="R88" s="47">
        <f t="shared" ca="1" si="19"/>
        <v>361748.56951709464</v>
      </c>
      <c r="S88" s="18">
        <f t="shared" ca="1" si="25"/>
        <v>1.290768615325185E-2</v>
      </c>
    </row>
    <row r="89" spans="1:19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Data'!AI89</f>
        <v>26398387.400619797</v>
      </c>
      <c r="E89" s="3">
        <f>'Monthly Data'!DR89</f>
        <v>20</v>
      </c>
      <c r="F89" s="3">
        <f>'Monthly Data'!DL89</f>
        <v>851621</v>
      </c>
      <c r="G89" s="3">
        <f>'Monthly Data'!EE89</f>
        <v>1</v>
      </c>
      <c r="H89" s="3">
        <f>'Monthly Data'!EJ89</f>
        <v>0.25</v>
      </c>
      <c r="J89" s="3">
        <f t="shared" si="20"/>
        <v>-37000000</v>
      </c>
      <c r="K89" s="3">
        <f t="shared" si="21"/>
        <v>6964786</v>
      </c>
      <c r="L89" s="3">
        <f t="shared" si="22"/>
        <v>56129411.843110003</v>
      </c>
      <c r="M89" s="3">
        <f t="shared" si="23"/>
        <v>793454.7</v>
      </c>
      <c r="N89" s="3">
        <f t="shared" si="24"/>
        <v>877178.75</v>
      </c>
      <c r="O89" s="47">
        <f t="shared" si="17"/>
        <v>27764831.293110002</v>
      </c>
      <c r="P89" s="47">
        <f>'Monthly Data'!AJ89</f>
        <v>53.846153846153847</v>
      </c>
      <c r="Q89" s="47">
        <f t="shared" si="18"/>
        <v>27764885.13926385</v>
      </c>
      <c r="R89" s="47">
        <f t="shared" ca="1" si="19"/>
        <v>1366497.7386440523</v>
      </c>
      <c r="S89" s="18">
        <f t="shared" ca="1" si="25"/>
        <v>5.1764439922264677E-2</v>
      </c>
    </row>
    <row r="90" spans="1:19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Data'!AI90</f>
        <v>27376559.903761301</v>
      </c>
      <c r="E90" s="3">
        <f>'Monthly Data'!DR90</f>
        <v>21</v>
      </c>
      <c r="F90" s="3">
        <f>'Monthly Data'!DL90</f>
        <v>851621</v>
      </c>
      <c r="G90" s="3">
        <f>'Monthly Data'!EE90</f>
        <v>1</v>
      </c>
      <c r="H90" s="3">
        <f>'Monthly Data'!EJ90</f>
        <v>0.25</v>
      </c>
      <c r="J90" s="3">
        <f t="shared" si="20"/>
        <v>-37000000</v>
      </c>
      <c r="K90" s="3">
        <f t="shared" si="21"/>
        <v>7313025.2999999998</v>
      </c>
      <c r="L90" s="3">
        <f t="shared" si="22"/>
        <v>56129411.843110003</v>
      </c>
      <c r="M90" s="3">
        <f t="shared" si="23"/>
        <v>793454.7</v>
      </c>
      <c r="N90" s="3">
        <f t="shared" si="24"/>
        <v>877178.75</v>
      </c>
      <c r="O90" s="47">
        <f t="shared" si="17"/>
        <v>28113070.593110003</v>
      </c>
      <c r="P90" s="47">
        <f>'Monthly Data'!AJ90</f>
        <v>67.307692307692307</v>
      </c>
      <c r="Q90" s="47">
        <f t="shared" si="18"/>
        <v>28113137.900802311</v>
      </c>
      <c r="R90" s="47">
        <f t="shared" ca="1" si="19"/>
        <v>736577.99704100937</v>
      </c>
      <c r="S90" s="18">
        <f t="shared" ca="1" si="25"/>
        <v>2.6905425649911916E-2</v>
      </c>
    </row>
    <row r="91" spans="1:19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Data'!AI91</f>
        <v>27030450.36690281</v>
      </c>
      <c r="E91" s="3">
        <f>'Monthly Data'!DR91</f>
        <v>22</v>
      </c>
      <c r="F91" s="3">
        <f>'Monthly Data'!DL91</f>
        <v>851621</v>
      </c>
      <c r="G91" s="3">
        <f>'Monthly Data'!EE91</f>
        <v>0</v>
      </c>
      <c r="H91" s="3">
        <f>'Monthly Data'!EJ91</f>
        <v>0.25</v>
      </c>
      <c r="J91" s="3">
        <f t="shared" si="20"/>
        <v>-37000000</v>
      </c>
      <c r="K91" s="3">
        <f t="shared" si="21"/>
        <v>7661264.5999999996</v>
      </c>
      <c r="L91" s="3">
        <f t="shared" si="22"/>
        <v>56129411.843110003</v>
      </c>
      <c r="M91" s="3">
        <f t="shared" si="23"/>
        <v>0</v>
      </c>
      <c r="N91" s="3">
        <f t="shared" si="24"/>
        <v>877178.75</v>
      </c>
      <c r="O91" s="47">
        <f t="shared" si="17"/>
        <v>27667855.193110004</v>
      </c>
      <c r="P91" s="47">
        <f>'Monthly Data'!AJ91</f>
        <v>80.769230769230774</v>
      </c>
      <c r="Q91" s="47">
        <f t="shared" si="18"/>
        <v>27667935.962340772</v>
      </c>
      <c r="R91" s="47">
        <f t="shared" ca="1" si="19"/>
        <v>637485.59543796256</v>
      </c>
      <c r="S91" s="18">
        <f t="shared" ca="1" si="25"/>
        <v>2.3583979800000893E-2</v>
      </c>
    </row>
    <row r="92" spans="1:19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Data'!AI92</f>
        <v>26761214.380044315</v>
      </c>
      <c r="E92" s="3">
        <f>'Monthly Data'!DR92</f>
        <v>20</v>
      </c>
      <c r="F92" s="3">
        <f>'Monthly Data'!DL92</f>
        <v>852979</v>
      </c>
      <c r="G92" s="3">
        <f>'Monthly Data'!EE92</f>
        <v>0</v>
      </c>
      <c r="H92" s="3">
        <f>'Monthly Data'!EJ92</f>
        <v>0.25</v>
      </c>
      <c r="J92" s="3">
        <f t="shared" si="20"/>
        <v>-37000000</v>
      </c>
      <c r="K92" s="3">
        <f t="shared" si="21"/>
        <v>6964786</v>
      </c>
      <c r="L92" s="3">
        <f t="shared" si="22"/>
        <v>56218916.142890006</v>
      </c>
      <c r="M92" s="3">
        <f t="shared" si="23"/>
        <v>0</v>
      </c>
      <c r="N92" s="3">
        <f t="shared" si="24"/>
        <v>877178.75</v>
      </c>
      <c r="O92" s="47">
        <f t="shared" si="17"/>
        <v>27060880.892890006</v>
      </c>
      <c r="P92" s="47">
        <f>'Monthly Data'!AJ92</f>
        <v>94.230769230769226</v>
      </c>
      <c r="Q92" s="47">
        <f t="shared" si="18"/>
        <v>27060975.123659238</v>
      </c>
      <c r="R92" s="47">
        <f t="shared" ca="1" si="19"/>
        <v>299760.74361492321</v>
      </c>
      <c r="S92" s="18">
        <f t="shared" ca="1" si="25"/>
        <v>1.1201313189974409E-2</v>
      </c>
    </row>
    <row r="93" spans="1:19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Data'!AI93</f>
        <v>21137571.013185821</v>
      </c>
      <c r="E93" s="3">
        <f>'Monthly Data'!DR93</f>
        <v>22</v>
      </c>
      <c r="F93" s="3">
        <f>'Monthly Data'!DL93</f>
        <v>852979</v>
      </c>
      <c r="G93" s="3">
        <f>'Monthly Data'!EE93</f>
        <v>0</v>
      </c>
      <c r="H93" s="3">
        <f>'Monthly Data'!EJ93</f>
        <v>0.25</v>
      </c>
      <c r="J93" s="3">
        <f t="shared" si="20"/>
        <v>-37000000</v>
      </c>
      <c r="K93" s="3">
        <f t="shared" si="21"/>
        <v>7661264.5999999996</v>
      </c>
      <c r="L93" s="3">
        <f t="shared" si="22"/>
        <v>56218916.142890006</v>
      </c>
      <c r="M93" s="3">
        <f t="shared" si="23"/>
        <v>0</v>
      </c>
      <c r="N93" s="3">
        <f t="shared" si="24"/>
        <v>877178.75</v>
      </c>
      <c r="O93" s="47">
        <f t="shared" si="17"/>
        <v>27757359.492890008</v>
      </c>
      <c r="P93" s="47">
        <f>'Monthly Data'!AJ93</f>
        <v>107.69230769230769</v>
      </c>
      <c r="Q93" s="47">
        <f t="shared" si="18"/>
        <v>27757467.1851977</v>
      </c>
      <c r="R93" s="47">
        <f t="shared" ca="1" si="19"/>
        <v>6619896.1720118783</v>
      </c>
      <c r="S93" s="18">
        <f t="shared" ca="1" si="25"/>
        <v>0.31318149885255608</v>
      </c>
    </row>
    <row r="94" spans="1:19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Data'!AI94</f>
        <v>25625478.616327327</v>
      </c>
      <c r="E94" s="3">
        <f>'Monthly Data'!DR94</f>
        <v>20</v>
      </c>
      <c r="F94" s="3">
        <f>'Monthly Data'!DL94</f>
        <v>852979</v>
      </c>
      <c r="G94" s="3">
        <f>'Monthly Data'!EE94</f>
        <v>0</v>
      </c>
      <c r="H94" s="3">
        <f>'Monthly Data'!EJ94</f>
        <v>0.25</v>
      </c>
      <c r="J94" s="3">
        <f t="shared" si="20"/>
        <v>-37000000</v>
      </c>
      <c r="K94" s="3">
        <f t="shared" si="21"/>
        <v>6964786</v>
      </c>
      <c r="L94" s="3">
        <f t="shared" si="22"/>
        <v>56218916.142890006</v>
      </c>
      <c r="M94" s="3">
        <f t="shared" si="23"/>
        <v>0</v>
      </c>
      <c r="N94" s="3">
        <f t="shared" si="24"/>
        <v>877178.75</v>
      </c>
      <c r="O94" s="47">
        <f t="shared" si="17"/>
        <v>27060880.892890006</v>
      </c>
      <c r="P94" s="47">
        <f>'Monthly Data'!AJ94</f>
        <v>121.15384615384616</v>
      </c>
      <c r="Q94" s="47">
        <f t="shared" si="18"/>
        <v>27061002.046736158</v>
      </c>
      <c r="R94" s="47">
        <f t="shared" ca="1" si="19"/>
        <v>1435523.4304088317</v>
      </c>
      <c r="S94" s="18">
        <f t="shared" ca="1" si="25"/>
        <v>5.6019380238782543E-2</v>
      </c>
    </row>
    <row r="95" spans="1:19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Data'!AI95</f>
        <v>26108763.799468834</v>
      </c>
      <c r="E95" s="3">
        <f>'Monthly Data'!DR95</f>
        <v>20</v>
      </c>
      <c r="F95" s="3">
        <f>'Monthly Data'!DL95</f>
        <v>852029</v>
      </c>
      <c r="G95" s="3">
        <f>'Monthly Data'!EE95</f>
        <v>0</v>
      </c>
      <c r="H95" s="3">
        <f>'Monthly Data'!EJ95</f>
        <v>0.25</v>
      </c>
      <c r="J95" s="3">
        <f t="shared" si="20"/>
        <v>-37000000</v>
      </c>
      <c r="K95" s="3">
        <f t="shared" si="21"/>
        <v>6964786</v>
      </c>
      <c r="L95" s="3">
        <f t="shared" si="22"/>
        <v>56156302.678390004</v>
      </c>
      <c r="M95" s="3">
        <f t="shared" si="23"/>
        <v>0</v>
      </c>
      <c r="N95" s="3">
        <f t="shared" si="24"/>
        <v>877178.75</v>
      </c>
      <c r="O95" s="47">
        <f t="shared" si="17"/>
        <v>26998267.428390004</v>
      </c>
      <c r="P95" s="47">
        <f>'Monthly Data'!AJ95</f>
        <v>134.61538461538461</v>
      </c>
      <c r="Q95" s="47">
        <f t="shared" si="18"/>
        <v>26998402.04377462</v>
      </c>
      <c r="R95" s="47">
        <f t="shared" ca="1" si="19"/>
        <v>889638.24430578575</v>
      </c>
      <c r="S95" s="18">
        <f t="shared" ca="1" si="25"/>
        <v>3.4074315089705043E-2</v>
      </c>
    </row>
    <row r="96" spans="1:19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Data'!AI96</f>
        <v>25284473.632610343</v>
      </c>
      <c r="E96" s="3">
        <f>'Monthly Data'!DR96</f>
        <v>22</v>
      </c>
      <c r="F96" s="3">
        <f>'Monthly Data'!DL96</f>
        <v>852029</v>
      </c>
      <c r="G96" s="3">
        <f>'Monthly Data'!EE96</f>
        <v>0</v>
      </c>
      <c r="H96" s="3">
        <f>'Monthly Data'!EJ96</f>
        <v>0.25</v>
      </c>
      <c r="J96" s="3">
        <f t="shared" si="20"/>
        <v>-37000000</v>
      </c>
      <c r="K96" s="3">
        <f t="shared" si="21"/>
        <v>7661264.5999999996</v>
      </c>
      <c r="L96" s="3">
        <f t="shared" si="22"/>
        <v>56156302.678390004</v>
      </c>
      <c r="M96" s="3">
        <f t="shared" si="23"/>
        <v>0</v>
      </c>
      <c r="N96" s="3">
        <f t="shared" si="24"/>
        <v>877178.75</v>
      </c>
      <c r="O96" s="47">
        <f t="shared" si="17"/>
        <v>27694746.028390005</v>
      </c>
      <c r="P96" s="47">
        <f>'Monthly Data'!AJ96</f>
        <v>148.07692307692307</v>
      </c>
      <c r="Q96" s="47">
        <f t="shared" si="18"/>
        <v>27694894.105313081</v>
      </c>
      <c r="R96" s="47">
        <f t="shared" ca="1" si="19"/>
        <v>2410420.4727027379</v>
      </c>
      <c r="S96" s="18">
        <f t="shared" ca="1" si="25"/>
        <v>9.5332040829749651E-2</v>
      </c>
    </row>
    <row r="97" spans="1:19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Data'!AI97</f>
        <v>25733301.045751847</v>
      </c>
      <c r="E97" s="3">
        <f>'Monthly Data'!DR97</f>
        <v>20</v>
      </c>
      <c r="F97" s="3">
        <f>'Monthly Data'!DL97</f>
        <v>852029</v>
      </c>
      <c r="G97" s="3">
        <f>'Monthly Data'!EE97</f>
        <v>0</v>
      </c>
      <c r="H97" s="3">
        <f>'Monthly Data'!EJ97</f>
        <v>0.25</v>
      </c>
      <c r="J97" s="3">
        <f t="shared" si="20"/>
        <v>-37000000</v>
      </c>
      <c r="K97" s="3">
        <f t="shared" si="21"/>
        <v>6964786</v>
      </c>
      <c r="L97" s="3">
        <f t="shared" si="22"/>
        <v>56156302.678390004</v>
      </c>
      <c r="M97" s="3">
        <f t="shared" si="23"/>
        <v>0</v>
      </c>
      <c r="N97" s="3">
        <f t="shared" si="24"/>
        <v>877178.75</v>
      </c>
      <c r="O97" s="47">
        <f t="shared" si="17"/>
        <v>26998267.428390004</v>
      </c>
      <c r="P97" s="47">
        <f>'Monthly Data'!AJ97</f>
        <v>161.53846153846155</v>
      </c>
      <c r="Q97" s="47">
        <f t="shared" si="18"/>
        <v>26998428.966851544</v>
      </c>
      <c r="R97" s="47">
        <f t="shared" ca="1" si="19"/>
        <v>1265127.9210996963</v>
      </c>
      <c r="S97" s="18">
        <f t="shared" ca="1" si="25"/>
        <v>4.9163063800108479E-2</v>
      </c>
    </row>
    <row r="98" spans="1:19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Data'!AI98</f>
        <v>26848494.080928087</v>
      </c>
      <c r="E98" s="3">
        <f>'Monthly Data'!DR98</f>
        <v>21</v>
      </c>
      <c r="F98" s="3">
        <f>'Monthly Data'!DL98</f>
        <v>860658</v>
      </c>
      <c r="G98" s="3">
        <f>'Monthly Data'!EE98</f>
        <v>0</v>
      </c>
      <c r="H98" s="3">
        <f>'Monthly Data'!EJ98</f>
        <v>0</v>
      </c>
      <c r="J98" s="3">
        <f t="shared" ref="J98:J121" si="26">$W$8</f>
        <v>-37000000</v>
      </c>
      <c r="K98" s="3">
        <f t="shared" ref="K98:K121" si="27">E98*$W$9</f>
        <v>7313025.2999999998</v>
      </c>
      <c r="L98" s="3">
        <f t="shared" ref="L98:L121" si="28">F98*$W$10</f>
        <v>56725030.662780002</v>
      </c>
      <c r="M98" s="3">
        <f t="shared" ref="M98:M121" si="29">G98*$W$11</f>
        <v>0</v>
      </c>
      <c r="N98" s="3">
        <f t="shared" ref="N98:N121" si="30">H98*$W$12</f>
        <v>0</v>
      </c>
      <c r="O98" s="47">
        <f t="shared" si="17"/>
        <v>27038055.962780003</v>
      </c>
      <c r="P98" s="47">
        <f>'Monthly Data'!AJ98</f>
        <v>215.38461538461539</v>
      </c>
      <c r="Q98" s="47">
        <f t="shared" si="18"/>
        <v>27038271.347395387</v>
      </c>
      <c r="R98" s="47">
        <f t="shared" ca="1" si="19"/>
        <v>189777.26646729931</v>
      </c>
      <c r="S98" s="18">
        <f t="shared" ca="1" si="25"/>
        <v>7.068451060803004E-3</v>
      </c>
    </row>
    <row r="99" spans="1:19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Data'!AI99</f>
        <v>24971581.589255359</v>
      </c>
      <c r="E99" s="3">
        <f>'Monthly Data'!DR99</f>
        <v>19</v>
      </c>
      <c r="F99" s="3">
        <f>'Monthly Data'!DL99</f>
        <v>860658</v>
      </c>
      <c r="G99" s="3">
        <f>'Monthly Data'!EE99</f>
        <v>0</v>
      </c>
      <c r="H99" s="3">
        <f>'Monthly Data'!EJ99</f>
        <v>0</v>
      </c>
      <c r="J99" s="3">
        <f t="shared" si="26"/>
        <v>-37000000</v>
      </c>
      <c r="K99" s="3">
        <f t="shared" si="27"/>
        <v>6616546.7000000002</v>
      </c>
      <c r="L99" s="3">
        <f t="shared" si="28"/>
        <v>56725030.662780002</v>
      </c>
      <c r="M99" s="3">
        <f t="shared" si="29"/>
        <v>0</v>
      </c>
      <c r="N99" s="3">
        <f t="shared" si="30"/>
        <v>0</v>
      </c>
      <c r="O99" s="47">
        <f t="shared" si="17"/>
        <v>26341577.362780001</v>
      </c>
      <c r="P99" s="47">
        <f>'Monthly Data'!AJ99</f>
        <v>255.76923076923077</v>
      </c>
      <c r="Q99" s="47">
        <f t="shared" si="18"/>
        <v>26341833.132010769</v>
      </c>
      <c r="R99" s="47">
        <f t="shared" ca="1" si="19"/>
        <v>1370251.5427554101</v>
      </c>
      <c r="S99" s="18">
        <f t="shared" ca="1" si="25"/>
        <v>5.4872437208582522E-2</v>
      </c>
    </row>
    <row r="100" spans="1:19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Data'!AI100</f>
        <v>28122083.777582631</v>
      </c>
      <c r="E100" s="3">
        <f>'Monthly Data'!DR100</f>
        <v>23</v>
      </c>
      <c r="F100" s="3">
        <f>'Monthly Data'!DL100</f>
        <v>860658</v>
      </c>
      <c r="G100" s="3">
        <f>'Monthly Data'!EE100</f>
        <v>1</v>
      </c>
      <c r="H100" s="3">
        <f>'Monthly Data'!EJ100</f>
        <v>0</v>
      </c>
      <c r="J100" s="3">
        <f t="shared" si="26"/>
        <v>-37000000</v>
      </c>
      <c r="K100" s="3">
        <f t="shared" si="27"/>
        <v>8009503.8999999994</v>
      </c>
      <c r="L100" s="3">
        <f t="shared" si="28"/>
        <v>56725030.662780002</v>
      </c>
      <c r="M100" s="3">
        <f t="shared" si="29"/>
        <v>793454.7</v>
      </c>
      <c r="N100" s="3">
        <f t="shared" si="30"/>
        <v>0</v>
      </c>
      <c r="O100" s="47">
        <f t="shared" si="17"/>
        <v>28527989.26278</v>
      </c>
      <c r="P100" s="47">
        <f>'Monthly Data'!AJ100</f>
        <v>296.15384615384619</v>
      </c>
      <c r="Q100" s="47">
        <f t="shared" si="18"/>
        <v>28528285.416626152</v>
      </c>
      <c r="R100" s="47">
        <f t="shared" ca="1" si="19"/>
        <v>406201.63904352114</v>
      </c>
      <c r="S100" s="18">
        <f t="shared" ca="1" si="25"/>
        <v>1.4444222634999851E-2</v>
      </c>
    </row>
    <row r="101" spans="1:19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Data'!AI101</f>
        <v>26286289.105909899</v>
      </c>
      <c r="E101" s="3">
        <f>'Monthly Data'!DR101</f>
        <v>19</v>
      </c>
      <c r="F101" s="3">
        <f>'Monthly Data'!DL101</f>
        <v>865503</v>
      </c>
      <c r="G101" s="3">
        <f>'Monthly Data'!EE101</f>
        <v>1</v>
      </c>
      <c r="H101" s="3">
        <f>'Monthly Data'!EJ101</f>
        <v>0</v>
      </c>
      <c r="J101" s="3">
        <f t="shared" si="26"/>
        <v>-37000000</v>
      </c>
      <c r="K101" s="3">
        <f t="shared" si="27"/>
        <v>6616546.7000000002</v>
      </c>
      <c r="L101" s="3">
        <f t="shared" si="28"/>
        <v>57044359.331730008</v>
      </c>
      <c r="M101" s="3">
        <f t="shared" si="29"/>
        <v>793454.7</v>
      </c>
      <c r="N101" s="3">
        <f t="shared" si="30"/>
        <v>0</v>
      </c>
      <c r="O101" s="47">
        <f t="shared" si="17"/>
        <v>27454360.731730007</v>
      </c>
      <c r="P101" s="47">
        <f>'Monthly Data'!AJ101</f>
        <v>336.53846153846155</v>
      </c>
      <c r="Q101" s="47">
        <f t="shared" si="18"/>
        <v>27454697.270191547</v>
      </c>
      <c r="R101" s="47">
        <f t="shared" ca="1" si="19"/>
        <v>1168408.1642816477</v>
      </c>
      <c r="S101" s="18">
        <f t="shared" ca="1" si="25"/>
        <v>4.4449338572440662E-2</v>
      </c>
    </row>
    <row r="102" spans="1:19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Data'!AI102</f>
        <v>25206995.22423717</v>
      </c>
      <c r="E102" s="3">
        <f>'Monthly Data'!DR102</f>
        <v>22</v>
      </c>
      <c r="F102" s="3">
        <f>'Monthly Data'!DL102</f>
        <v>865503</v>
      </c>
      <c r="G102" s="3">
        <f>'Monthly Data'!EE102</f>
        <v>1</v>
      </c>
      <c r="H102" s="3">
        <f>'Monthly Data'!EJ102</f>
        <v>0</v>
      </c>
      <c r="J102" s="3">
        <f t="shared" si="26"/>
        <v>-37000000</v>
      </c>
      <c r="K102" s="3">
        <f t="shared" si="27"/>
        <v>7661264.5999999996</v>
      </c>
      <c r="L102" s="3">
        <f t="shared" si="28"/>
        <v>57044359.331730008</v>
      </c>
      <c r="M102" s="3">
        <f t="shared" si="29"/>
        <v>793454.7</v>
      </c>
      <c r="N102" s="3">
        <f t="shared" si="30"/>
        <v>0</v>
      </c>
      <c r="O102" s="47">
        <f t="shared" si="17"/>
        <v>28499078.631730009</v>
      </c>
      <c r="P102" s="47">
        <f>'Monthly Data'!AJ102</f>
        <v>376.92307692307691</v>
      </c>
      <c r="Q102" s="47">
        <f t="shared" si="18"/>
        <v>28499455.554806933</v>
      </c>
      <c r="R102" s="47">
        <f t="shared" ca="1" si="19"/>
        <v>3292460.3305697627</v>
      </c>
      <c r="S102" s="18">
        <f t="shared" ca="1" si="25"/>
        <v>0.13061692999425722</v>
      </c>
    </row>
    <row r="103" spans="1:19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Data'!AI103</f>
        <v>27134163.662564438</v>
      </c>
      <c r="E103" s="3">
        <f>'Monthly Data'!DR103</f>
        <v>22</v>
      </c>
      <c r="F103" s="3">
        <f>'Monthly Data'!DL103</f>
        <v>865503</v>
      </c>
      <c r="G103" s="3">
        <f>'Monthly Data'!EE103</f>
        <v>0</v>
      </c>
      <c r="H103" s="3">
        <f>'Monthly Data'!EJ103</f>
        <v>0</v>
      </c>
      <c r="J103" s="3">
        <f t="shared" si="26"/>
        <v>-37000000</v>
      </c>
      <c r="K103" s="3">
        <f t="shared" si="27"/>
        <v>7661264.5999999996</v>
      </c>
      <c r="L103" s="3">
        <f t="shared" si="28"/>
        <v>57044359.331730008</v>
      </c>
      <c r="M103" s="3">
        <f t="shared" si="29"/>
        <v>0</v>
      </c>
      <c r="N103" s="3">
        <f t="shared" si="30"/>
        <v>0</v>
      </c>
      <c r="O103" s="47">
        <f t="shared" si="17"/>
        <v>27705623.93173001</v>
      </c>
      <c r="P103" s="47">
        <f>'Monthly Data'!AJ103</f>
        <v>417.30769230769232</v>
      </c>
      <c r="Q103" s="47">
        <f t="shared" si="18"/>
        <v>27706041.239422318</v>
      </c>
      <c r="R103" s="47">
        <f t="shared" ca="1" si="19"/>
        <v>571877.57685787976</v>
      </c>
      <c r="S103" s="18">
        <f t="shared" ca="1" si="25"/>
        <v>2.1075924210145043E-2</v>
      </c>
    </row>
    <row r="104" spans="1:19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Data'!AI104</f>
        <v>25550301.100891709</v>
      </c>
      <c r="E104" s="3">
        <f>'Monthly Data'!DR104</f>
        <v>20</v>
      </c>
      <c r="F104" s="3">
        <f>'Monthly Data'!DL104</f>
        <v>867701</v>
      </c>
      <c r="G104" s="3">
        <f>'Monthly Data'!EE104</f>
        <v>0</v>
      </c>
      <c r="H104" s="3">
        <f>'Monthly Data'!EJ104</f>
        <v>0</v>
      </c>
      <c r="J104" s="3">
        <f t="shared" si="26"/>
        <v>-37000000</v>
      </c>
      <c r="K104" s="3">
        <f t="shared" si="27"/>
        <v>6964786</v>
      </c>
      <c r="L104" s="3">
        <f t="shared" si="28"/>
        <v>57189227.115910009</v>
      </c>
      <c r="M104" s="3">
        <f t="shared" si="29"/>
        <v>0</v>
      </c>
      <c r="N104" s="3">
        <f t="shared" si="30"/>
        <v>0</v>
      </c>
      <c r="O104" s="47">
        <f t="shared" si="17"/>
        <v>27154013.115910009</v>
      </c>
      <c r="P104" s="47">
        <f>'Monthly Data'!AJ104</f>
        <v>457.69230769230768</v>
      </c>
      <c r="Q104" s="47">
        <f t="shared" si="18"/>
        <v>27154470.808217701</v>
      </c>
      <c r="R104" s="47">
        <f t="shared" ca="1" si="19"/>
        <v>1604169.7073259912</v>
      </c>
      <c r="S104" s="18">
        <f t="shared" ca="1" si="25"/>
        <v>6.2784767231960539E-2</v>
      </c>
    </row>
    <row r="105" spans="1:19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Data'!AI105</f>
        <v>27642879.539218981</v>
      </c>
      <c r="E105" s="3">
        <f>'Monthly Data'!DR105</f>
        <v>22</v>
      </c>
      <c r="F105" s="3">
        <f>'Monthly Data'!DL105</f>
        <v>867701</v>
      </c>
      <c r="G105" s="3">
        <f>'Monthly Data'!EE105</f>
        <v>0</v>
      </c>
      <c r="H105" s="3">
        <f>'Monthly Data'!EJ105</f>
        <v>0</v>
      </c>
      <c r="J105" s="3">
        <f t="shared" si="26"/>
        <v>-37000000</v>
      </c>
      <c r="K105" s="3">
        <f t="shared" si="27"/>
        <v>7661264.5999999996</v>
      </c>
      <c r="L105" s="3">
        <f t="shared" si="28"/>
        <v>57189227.115910009</v>
      </c>
      <c r="M105" s="3">
        <f t="shared" si="29"/>
        <v>0</v>
      </c>
      <c r="N105" s="3">
        <f t="shared" si="30"/>
        <v>0</v>
      </c>
      <c r="O105" s="47">
        <f t="shared" si="17"/>
        <v>27850491.71591001</v>
      </c>
      <c r="P105" s="47">
        <f>'Monthly Data'!AJ105</f>
        <v>498.07692307692309</v>
      </c>
      <c r="Q105" s="47">
        <f t="shared" si="18"/>
        <v>27850989.792833086</v>
      </c>
      <c r="R105" s="47">
        <f t="shared" ca="1" si="19"/>
        <v>208110.25361410528</v>
      </c>
      <c r="S105" s="18">
        <f t="shared" ca="1" si="25"/>
        <v>7.5285302068058436E-3</v>
      </c>
    </row>
    <row r="106" spans="1:19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Data'!AI106</f>
        <v>28271627.977546249</v>
      </c>
      <c r="E106" s="3">
        <f>'Monthly Data'!DR106</f>
        <v>20</v>
      </c>
      <c r="F106" s="3">
        <f>'Monthly Data'!DL106</f>
        <v>867701</v>
      </c>
      <c r="G106" s="3">
        <f>'Monthly Data'!EE106</f>
        <v>0</v>
      </c>
      <c r="H106" s="3">
        <f>'Monthly Data'!EJ106</f>
        <v>0</v>
      </c>
      <c r="J106" s="3">
        <f t="shared" si="26"/>
        <v>-37000000</v>
      </c>
      <c r="K106" s="3">
        <f t="shared" si="27"/>
        <v>6964786</v>
      </c>
      <c r="L106" s="3">
        <f t="shared" si="28"/>
        <v>57189227.115910009</v>
      </c>
      <c r="M106" s="3">
        <f t="shared" si="29"/>
        <v>0</v>
      </c>
      <c r="N106" s="3">
        <f t="shared" si="30"/>
        <v>0</v>
      </c>
      <c r="O106" s="47">
        <f t="shared" si="17"/>
        <v>27154013.115910009</v>
      </c>
      <c r="P106" s="47">
        <f>'Monthly Data'!AJ106</f>
        <v>538.46153846153845</v>
      </c>
      <c r="Q106" s="47">
        <f t="shared" si="18"/>
        <v>27154551.577448469</v>
      </c>
      <c r="R106" s="47">
        <f t="shared" ca="1" si="19"/>
        <v>-1117076.4000977799</v>
      </c>
      <c r="S106" s="18">
        <f t="shared" ca="1" si="25"/>
        <v>3.9512277148842603E-2</v>
      </c>
    </row>
    <row r="107" spans="1:19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Data'!AI107</f>
        <v>30049218.41587352</v>
      </c>
      <c r="E107" s="3">
        <f>'Monthly Data'!DR107</f>
        <v>21</v>
      </c>
      <c r="F107" s="3">
        <f>'Monthly Data'!DL107</f>
        <v>869576</v>
      </c>
      <c r="G107" s="3">
        <f>'Monthly Data'!EE107</f>
        <v>0</v>
      </c>
      <c r="H107" s="3">
        <f>'Monthly Data'!EJ107</f>
        <v>0</v>
      </c>
      <c r="J107" s="3">
        <f t="shared" si="26"/>
        <v>-37000000</v>
      </c>
      <c r="K107" s="3">
        <f t="shared" si="27"/>
        <v>7313025.2999999998</v>
      </c>
      <c r="L107" s="3">
        <f t="shared" si="28"/>
        <v>57312806.322160006</v>
      </c>
      <c r="M107" s="3">
        <f t="shared" si="29"/>
        <v>0</v>
      </c>
      <c r="N107" s="3">
        <f t="shared" si="30"/>
        <v>0</v>
      </c>
      <c r="O107" s="47">
        <f t="shared" si="17"/>
        <v>27625831.622160006</v>
      </c>
      <c r="P107" s="47">
        <f>'Monthly Data'!AJ107</f>
        <v>578.84615384615381</v>
      </c>
      <c r="Q107" s="47">
        <f t="shared" si="18"/>
        <v>27626410.468313854</v>
      </c>
      <c r="R107" s="47">
        <f t="shared" ca="1" si="19"/>
        <v>-2422807.9475596659</v>
      </c>
      <c r="S107" s="18">
        <f t="shared" ca="1" si="25"/>
        <v>8.0627985527896989E-2</v>
      </c>
    </row>
    <row r="108" spans="1:19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Data'!AI108</f>
        <v>28437604.854200792</v>
      </c>
      <c r="E108" s="3">
        <f>'Monthly Data'!DR108</f>
        <v>22</v>
      </c>
      <c r="F108" s="3">
        <f>'Monthly Data'!DL108</f>
        <v>869576</v>
      </c>
      <c r="G108" s="3">
        <f>'Monthly Data'!EE108</f>
        <v>0</v>
      </c>
      <c r="H108" s="3">
        <f>'Monthly Data'!EJ108</f>
        <v>0</v>
      </c>
      <c r="J108" s="3">
        <f t="shared" si="26"/>
        <v>-37000000</v>
      </c>
      <c r="K108" s="3">
        <f t="shared" si="27"/>
        <v>7661264.5999999996</v>
      </c>
      <c r="L108" s="3">
        <f t="shared" si="28"/>
        <v>57312806.322160006</v>
      </c>
      <c r="M108" s="3">
        <f t="shared" si="29"/>
        <v>0</v>
      </c>
      <c r="N108" s="3">
        <f t="shared" si="30"/>
        <v>0</v>
      </c>
      <c r="O108" s="47">
        <f t="shared" si="17"/>
        <v>27974070.922160007</v>
      </c>
      <c r="P108" s="47">
        <f>'Monthly Data'!AJ108</f>
        <v>619.23076923076928</v>
      </c>
      <c r="Q108" s="47">
        <f t="shared" si="18"/>
        <v>27974690.152929239</v>
      </c>
      <c r="R108" s="47">
        <f t="shared" ca="1" si="19"/>
        <v>-462914.70127155259</v>
      </c>
      <c r="S108" s="18">
        <f t="shared" ca="1" si="25"/>
        <v>1.627825914471032E-2</v>
      </c>
    </row>
    <row r="109" spans="1:19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Data'!AI109</f>
        <v>27770736.198852059</v>
      </c>
      <c r="E109" s="3">
        <f>'Monthly Data'!DR109</f>
        <v>19</v>
      </c>
      <c r="F109" s="3">
        <f>'Monthly Data'!DL109</f>
        <v>869576</v>
      </c>
      <c r="G109" s="3">
        <f>'Monthly Data'!EE109</f>
        <v>0</v>
      </c>
      <c r="H109" s="3">
        <f>'Monthly Data'!EJ109</f>
        <v>0</v>
      </c>
      <c r="J109" s="3">
        <f t="shared" si="26"/>
        <v>-37000000</v>
      </c>
      <c r="K109" s="3">
        <f t="shared" si="27"/>
        <v>6616546.7000000002</v>
      </c>
      <c r="L109" s="3">
        <f t="shared" si="28"/>
        <v>57312806.322160006</v>
      </c>
      <c r="M109" s="3">
        <f t="shared" si="29"/>
        <v>0</v>
      </c>
      <c r="N109" s="3">
        <f t="shared" si="30"/>
        <v>0</v>
      </c>
      <c r="O109" s="47">
        <f t="shared" si="17"/>
        <v>26929353.022160005</v>
      </c>
      <c r="P109" s="47">
        <f>'Monthly Data'!AJ109</f>
        <v>659.61538461538464</v>
      </c>
      <c r="Q109" s="47">
        <f t="shared" si="18"/>
        <v>26930012.637544621</v>
      </c>
      <c r="R109" s="47">
        <f t="shared" ca="1" si="19"/>
        <v>-840723.56130743772</v>
      </c>
      <c r="S109" s="18">
        <f t="shared" ca="1" si="25"/>
        <v>3.027372250009671E-2</v>
      </c>
    </row>
    <row r="110" spans="1:19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Data'!AI110</f>
        <v>28703322.494997554</v>
      </c>
      <c r="E110" s="3">
        <f>'Monthly Data'!DR110</f>
        <v>22</v>
      </c>
      <c r="F110" s="3">
        <f>'Monthly Data'!DL110</f>
        <v>873665</v>
      </c>
      <c r="G110" s="3">
        <f>'Monthly Data'!EE110</f>
        <v>0</v>
      </c>
      <c r="H110" s="3">
        <f>'Monthly Data'!EJ110</f>
        <v>0</v>
      </c>
      <c r="J110" s="3">
        <f t="shared" si="26"/>
        <v>-37000000</v>
      </c>
      <c r="K110" s="3">
        <f t="shared" si="27"/>
        <v>7661264.5999999996</v>
      </c>
      <c r="L110" s="3">
        <f t="shared" si="28"/>
        <v>57582307.855150007</v>
      </c>
      <c r="M110" s="3">
        <f t="shared" si="29"/>
        <v>0</v>
      </c>
      <c r="N110" s="3">
        <f t="shared" si="30"/>
        <v>0</v>
      </c>
      <c r="O110" s="47">
        <f t="shared" ref="O110:O121" si="31">SUM(J110:N110)</f>
        <v>28243572.455150008</v>
      </c>
      <c r="P110" s="47">
        <f>'Monthly Data'!AJ110</f>
        <v>788.46153846153845</v>
      </c>
      <c r="Q110" s="47">
        <f t="shared" si="18"/>
        <v>28244360.916688468</v>
      </c>
      <c r="R110" s="47">
        <f t="shared" ca="1" si="19"/>
        <v>-458961.57830908522</v>
      </c>
      <c r="S110" s="18">
        <f t="shared" ref="S110:S121" ca="1" si="32">ABS(R110/D110)</f>
        <v>1.598984153799873E-2</v>
      </c>
    </row>
    <row r="111" spans="1:19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Data'!AI111</f>
        <v>28821021.381847482</v>
      </c>
      <c r="E111" s="3">
        <f>'Monthly Data'!DR111</f>
        <v>20</v>
      </c>
      <c r="F111" s="3">
        <f>'Monthly Data'!DL111</f>
        <v>873665</v>
      </c>
      <c r="G111" s="3">
        <f>'Monthly Data'!EE111</f>
        <v>0</v>
      </c>
      <c r="H111" s="3">
        <f>'Monthly Data'!EJ111</f>
        <v>0</v>
      </c>
      <c r="J111" s="3">
        <f t="shared" si="26"/>
        <v>-37000000</v>
      </c>
      <c r="K111" s="3">
        <f t="shared" si="27"/>
        <v>6964786</v>
      </c>
      <c r="L111" s="3">
        <f t="shared" si="28"/>
        <v>57582307.855150007</v>
      </c>
      <c r="M111" s="3">
        <f t="shared" si="29"/>
        <v>0</v>
      </c>
      <c r="N111" s="3">
        <f t="shared" si="30"/>
        <v>0</v>
      </c>
      <c r="O111" s="47">
        <f t="shared" si="31"/>
        <v>27547093.855150007</v>
      </c>
      <c r="P111" s="47">
        <f>'Monthly Data'!AJ111</f>
        <v>876.92307692307691</v>
      </c>
      <c r="Q111" s="47">
        <f t="shared" si="18"/>
        <v>27547970.778226931</v>
      </c>
      <c r="R111" s="47">
        <f t="shared" ca="1" si="19"/>
        <v>-1273050.6036205515</v>
      </c>
      <c r="S111" s="18">
        <f t="shared" ca="1" si="32"/>
        <v>4.4170905213732806E-2</v>
      </c>
    </row>
    <row r="112" spans="1:19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Data'!AI112</f>
        <v>29589166.552851412</v>
      </c>
      <c r="E112" s="3">
        <f>'Monthly Data'!DR112</f>
        <v>20</v>
      </c>
      <c r="F112" s="3">
        <f>'Monthly Data'!DL112</f>
        <v>873665</v>
      </c>
      <c r="G112" s="3">
        <f>'Monthly Data'!EE112</f>
        <v>1</v>
      </c>
      <c r="H112" s="3">
        <f>'Monthly Data'!EJ112</f>
        <v>0</v>
      </c>
      <c r="J112" s="3">
        <f t="shared" si="26"/>
        <v>-37000000</v>
      </c>
      <c r="K112" s="3">
        <f t="shared" si="27"/>
        <v>6964786</v>
      </c>
      <c r="L112" s="3">
        <f t="shared" si="28"/>
        <v>57582307.855150007</v>
      </c>
      <c r="M112" s="3">
        <f t="shared" si="29"/>
        <v>793454.7</v>
      </c>
      <c r="N112" s="3">
        <f t="shared" si="30"/>
        <v>0</v>
      </c>
      <c r="O112" s="47">
        <f t="shared" si="31"/>
        <v>28340548.555150006</v>
      </c>
      <c r="P112" s="47">
        <f>'Monthly Data'!AJ112</f>
        <v>965.38461538461536</v>
      </c>
      <c r="Q112" s="47">
        <f t="shared" si="18"/>
        <v>28341513.93976539</v>
      </c>
      <c r="R112" s="47">
        <f t="shared" ca="1" si="19"/>
        <v>-1247652.6130860224</v>
      </c>
      <c r="S112" s="18">
        <f t="shared" ca="1" si="32"/>
        <v>4.216585860427996E-2</v>
      </c>
    </row>
    <row r="113" spans="1:19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Data'!AI113</f>
        <v>24547789.641781345</v>
      </c>
      <c r="E113" s="3">
        <f>'Monthly Data'!DR113</f>
        <v>22</v>
      </c>
      <c r="F113" s="3">
        <f>'Monthly Data'!DL113</f>
        <v>875840</v>
      </c>
      <c r="G113" s="3">
        <f>'Monthly Data'!EE113</f>
        <v>1</v>
      </c>
      <c r="H113" s="3">
        <f>'Monthly Data'!EJ113</f>
        <v>0</v>
      </c>
      <c r="J113" s="3">
        <f t="shared" si="26"/>
        <v>-37000000</v>
      </c>
      <c r="K113" s="3">
        <f t="shared" si="27"/>
        <v>7661264.5999999996</v>
      </c>
      <c r="L113" s="3">
        <f t="shared" si="28"/>
        <v>57725659.734400004</v>
      </c>
      <c r="M113" s="3">
        <f t="shared" si="29"/>
        <v>793454.7</v>
      </c>
      <c r="N113" s="3">
        <f t="shared" si="30"/>
        <v>0</v>
      </c>
      <c r="O113" s="47">
        <f t="shared" si="31"/>
        <v>29180379.034400005</v>
      </c>
      <c r="P113" s="47">
        <f>'Monthly Data'!AJ113</f>
        <v>1053.8461538461538</v>
      </c>
      <c r="Q113" s="47">
        <f t="shared" si="18"/>
        <v>29181432.880553853</v>
      </c>
      <c r="R113" s="47">
        <f t="shared" ca="1" si="19"/>
        <v>4633643.2387725078</v>
      </c>
      <c r="S113" s="18">
        <f t="shared" ca="1" si="32"/>
        <v>0.18876010045669681</v>
      </c>
    </row>
    <row r="114" spans="1:19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Data'!AI114</f>
        <v>29304032.249793276</v>
      </c>
      <c r="E114" s="3">
        <f>'Monthly Data'!DR114</f>
        <v>22</v>
      </c>
      <c r="F114" s="3">
        <f>'Monthly Data'!DL114</f>
        <v>875840</v>
      </c>
      <c r="G114" s="3">
        <f>'Monthly Data'!EE114</f>
        <v>1</v>
      </c>
      <c r="H114" s="3">
        <f>'Monthly Data'!EJ114</f>
        <v>0</v>
      </c>
      <c r="J114" s="3">
        <f t="shared" si="26"/>
        <v>-37000000</v>
      </c>
      <c r="K114" s="3">
        <f t="shared" si="27"/>
        <v>7661264.5999999996</v>
      </c>
      <c r="L114" s="3">
        <f t="shared" si="28"/>
        <v>57725659.734400004</v>
      </c>
      <c r="M114" s="3">
        <f t="shared" si="29"/>
        <v>793454.7</v>
      </c>
      <c r="N114" s="3">
        <f t="shared" si="30"/>
        <v>0</v>
      </c>
      <c r="O114" s="47">
        <f t="shared" si="31"/>
        <v>29180379.034400005</v>
      </c>
      <c r="P114" s="47">
        <f>'Monthly Data'!AJ114</f>
        <v>1142.3076923076924</v>
      </c>
      <c r="Q114" s="47">
        <f t="shared" si="18"/>
        <v>29181521.342092313</v>
      </c>
      <c r="R114" s="47">
        <f t="shared" ca="1" si="19"/>
        <v>-122510.90770096332</v>
      </c>
      <c r="S114" s="18">
        <f t="shared" ca="1" si="32"/>
        <v>4.180684305035447E-3</v>
      </c>
    </row>
    <row r="115" spans="1:19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Data'!AI115</f>
        <v>29180397.123913202</v>
      </c>
      <c r="E115" s="3">
        <f>'Monthly Data'!DR115</f>
        <v>20</v>
      </c>
      <c r="F115" s="3">
        <f>'Monthly Data'!DL115</f>
        <v>875840</v>
      </c>
      <c r="G115" s="3">
        <f>'Monthly Data'!EE115</f>
        <v>0</v>
      </c>
      <c r="H115" s="3">
        <f>'Monthly Data'!EJ115</f>
        <v>0</v>
      </c>
      <c r="J115" s="3">
        <f t="shared" si="26"/>
        <v>-37000000</v>
      </c>
      <c r="K115" s="3">
        <f t="shared" si="27"/>
        <v>6964786</v>
      </c>
      <c r="L115" s="3">
        <f t="shared" si="28"/>
        <v>57725659.734400004</v>
      </c>
      <c r="M115" s="3">
        <f t="shared" si="29"/>
        <v>0</v>
      </c>
      <c r="N115" s="3">
        <f t="shared" si="30"/>
        <v>0</v>
      </c>
      <c r="O115" s="47">
        <f t="shared" si="31"/>
        <v>27690445.734400004</v>
      </c>
      <c r="P115" s="47">
        <f>'Monthly Data'!AJ115</f>
        <v>1230.7692307692307</v>
      </c>
      <c r="Q115" s="47">
        <f t="shared" si="18"/>
        <v>27691676.503630772</v>
      </c>
      <c r="R115" s="47">
        <f t="shared" ca="1" si="19"/>
        <v>-1488720.6202824302</v>
      </c>
      <c r="S115" s="18">
        <f t="shared" ca="1" si="32"/>
        <v>5.1017832758089181E-2</v>
      </c>
    </row>
    <row r="116" spans="1:19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Data'!AI116</f>
        <v>30326898.628413133</v>
      </c>
      <c r="E116" s="3">
        <f>'Monthly Data'!DR116</f>
        <v>22</v>
      </c>
      <c r="F116" s="3">
        <f>'Monthly Data'!DL116</f>
        <v>876752</v>
      </c>
      <c r="G116" s="3">
        <f>'Monthly Data'!EE116</f>
        <v>0</v>
      </c>
      <c r="H116" s="3">
        <f>'Monthly Data'!EJ116</f>
        <v>0</v>
      </c>
      <c r="J116" s="3">
        <f t="shared" si="26"/>
        <v>-37000000</v>
      </c>
      <c r="K116" s="3">
        <f t="shared" si="27"/>
        <v>7661264.5999999996</v>
      </c>
      <c r="L116" s="3">
        <f t="shared" si="28"/>
        <v>57785768.660320006</v>
      </c>
      <c r="M116" s="3">
        <f t="shared" si="29"/>
        <v>0</v>
      </c>
      <c r="N116" s="3">
        <f t="shared" si="30"/>
        <v>0</v>
      </c>
      <c r="O116" s="47">
        <f t="shared" si="31"/>
        <v>28447033.260320008</v>
      </c>
      <c r="P116" s="47">
        <f>'Monthly Data'!AJ116</f>
        <v>1319.2307692307693</v>
      </c>
      <c r="Q116" s="47">
        <f t="shared" si="18"/>
        <v>28448352.49108924</v>
      </c>
      <c r="R116" s="47">
        <f t="shared" ca="1" si="19"/>
        <v>-1878546.1373238936</v>
      </c>
      <c r="S116" s="18">
        <f t="shared" ca="1" si="32"/>
        <v>6.1943232651026581E-2</v>
      </c>
    </row>
    <row r="117" spans="1:19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Data'!AI117</f>
        <v>29538167.184481066</v>
      </c>
      <c r="E117" s="3">
        <f>'Monthly Data'!DR117</f>
        <v>21</v>
      </c>
      <c r="F117" s="3">
        <f>'Monthly Data'!DL117</f>
        <v>876752</v>
      </c>
      <c r="G117" s="3">
        <f>'Monthly Data'!EE117</f>
        <v>0</v>
      </c>
      <c r="H117" s="3">
        <f>'Monthly Data'!EJ117</f>
        <v>0</v>
      </c>
      <c r="J117" s="3">
        <f t="shared" si="26"/>
        <v>-37000000</v>
      </c>
      <c r="K117" s="3">
        <f t="shared" si="27"/>
        <v>7313025.2999999998</v>
      </c>
      <c r="L117" s="3">
        <f t="shared" si="28"/>
        <v>57785768.660320006</v>
      </c>
      <c r="M117" s="3">
        <f t="shared" si="29"/>
        <v>0</v>
      </c>
      <c r="N117" s="3">
        <f t="shared" si="30"/>
        <v>0</v>
      </c>
      <c r="O117" s="47">
        <f t="shared" si="31"/>
        <v>28098793.960320007</v>
      </c>
      <c r="P117" s="47">
        <f>'Monthly Data'!AJ117</f>
        <v>1407.6923076923076</v>
      </c>
      <c r="Q117" s="47">
        <f t="shared" si="18"/>
        <v>28100201.652627699</v>
      </c>
      <c r="R117" s="47">
        <f t="shared" ca="1" si="19"/>
        <v>-1437965.5318533666</v>
      </c>
      <c r="S117" s="18">
        <f t="shared" ca="1" si="32"/>
        <v>4.868160989382081E-2</v>
      </c>
    </row>
    <row r="118" spans="1:19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Data'!AI118</f>
        <v>29577241.498880997</v>
      </c>
      <c r="E118" s="3">
        <f>'Monthly Data'!DR118</f>
        <v>20</v>
      </c>
      <c r="F118" s="3">
        <f>'Monthly Data'!DL118</f>
        <v>876752</v>
      </c>
      <c r="G118" s="3">
        <f>'Monthly Data'!EE118</f>
        <v>0</v>
      </c>
      <c r="H118" s="3">
        <f>'Monthly Data'!EJ118</f>
        <v>0</v>
      </c>
      <c r="J118" s="3">
        <f t="shared" si="26"/>
        <v>-37000000</v>
      </c>
      <c r="K118" s="3">
        <f t="shared" si="27"/>
        <v>6964786</v>
      </c>
      <c r="L118" s="3">
        <f t="shared" si="28"/>
        <v>57785768.660320006</v>
      </c>
      <c r="M118" s="3">
        <f t="shared" si="29"/>
        <v>0</v>
      </c>
      <c r="N118" s="3">
        <f t="shared" si="30"/>
        <v>0</v>
      </c>
      <c r="O118" s="47">
        <f t="shared" si="31"/>
        <v>27750554.660320006</v>
      </c>
      <c r="P118" s="47">
        <f>'Monthly Data'!AJ118</f>
        <v>1496.1538461538462</v>
      </c>
      <c r="Q118" s="47">
        <f t="shared" si="18"/>
        <v>27752050.814166158</v>
      </c>
      <c r="R118" s="47">
        <f t="shared" ca="1" si="19"/>
        <v>-1825190.6847148389</v>
      </c>
      <c r="S118" s="18">
        <f t="shared" ca="1" si="32"/>
        <v>6.170929377521199E-2</v>
      </c>
    </row>
    <row r="119" spans="1:19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Data'!AI119</f>
        <v>29333152.548002928</v>
      </c>
      <c r="E119" s="3">
        <f>'Monthly Data'!DR119</f>
        <v>22</v>
      </c>
      <c r="F119" s="3">
        <f>'Monthly Data'!DL119</f>
        <v>880222</v>
      </c>
      <c r="G119" s="3">
        <f>'Monthly Data'!EE119</f>
        <v>0</v>
      </c>
      <c r="H119" s="3">
        <f>'Monthly Data'!EJ119</f>
        <v>0</v>
      </c>
      <c r="J119" s="3">
        <f t="shared" si="26"/>
        <v>-37000000</v>
      </c>
      <c r="K119" s="3">
        <f t="shared" si="27"/>
        <v>7661264.5999999996</v>
      </c>
      <c r="L119" s="3">
        <f t="shared" si="28"/>
        <v>58014472.578020006</v>
      </c>
      <c r="M119" s="3">
        <f t="shared" si="29"/>
        <v>0</v>
      </c>
      <c r="N119" s="3">
        <f t="shared" si="30"/>
        <v>0</v>
      </c>
      <c r="O119" s="47">
        <f t="shared" si="31"/>
        <v>28675737.178020008</v>
      </c>
      <c r="P119" s="47">
        <f>'Monthly Data'!AJ119</f>
        <v>1584.6153846153848</v>
      </c>
      <c r="Q119" s="47">
        <f t="shared" ref="Q119:Q121" si="33">O119+P119</f>
        <v>28677321.793404624</v>
      </c>
      <c r="R119" s="47">
        <f t="shared" ref="R119:R121" ca="1" si="34">Q119-D119</f>
        <v>-655830.75459830463</v>
      </c>
      <c r="S119" s="18">
        <f t="shared" ca="1" si="32"/>
        <v>2.2358004429460999E-2</v>
      </c>
    </row>
    <row r="120" spans="1:19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Data'!AI120</f>
        <v>29104458.706610855</v>
      </c>
      <c r="E120" s="3">
        <f>'Monthly Data'!DR120</f>
        <v>21</v>
      </c>
      <c r="F120" s="3">
        <f>'Monthly Data'!DL120</f>
        <v>880222</v>
      </c>
      <c r="G120" s="3">
        <f>'Monthly Data'!EE120</f>
        <v>0</v>
      </c>
      <c r="H120" s="3">
        <f>'Monthly Data'!EJ120</f>
        <v>0</v>
      </c>
      <c r="J120" s="3">
        <f t="shared" si="26"/>
        <v>-37000000</v>
      </c>
      <c r="K120" s="3">
        <f t="shared" si="27"/>
        <v>7313025.2999999998</v>
      </c>
      <c r="L120" s="3">
        <f t="shared" si="28"/>
        <v>58014472.578020006</v>
      </c>
      <c r="M120" s="3">
        <f t="shared" si="29"/>
        <v>0</v>
      </c>
      <c r="N120" s="3">
        <f t="shared" si="30"/>
        <v>0</v>
      </c>
      <c r="O120" s="47">
        <f t="shared" si="31"/>
        <v>28327497.878020007</v>
      </c>
      <c r="P120" s="47">
        <f>'Monthly Data'!AJ120</f>
        <v>1673.0769230769231</v>
      </c>
      <c r="Q120" s="47">
        <f t="shared" si="33"/>
        <v>28329170.954943083</v>
      </c>
      <c r="R120" s="47">
        <f t="shared" ca="1" si="34"/>
        <v>-775287.75166777149</v>
      </c>
      <c r="S120" s="18">
        <f t="shared" ca="1" si="32"/>
        <v>2.6638109283636011E-2</v>
      </c>
    </row>
    <row r="121" spans="1:19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Data'!AI121</f>
        <v>28630335.082198784</v>
      </c>
      <c r="E121" s="3">
        <f>'Monthly Data'!DR121</f>
        <v>20</v>
      </c>
      <c r="F121" s="3">
        <f>'Monthly Data'!DL121</f>
        <v>880222</v>
      </c>
      <c r="G121" s="3">
        <f>'Monthly Data'!EE121</f>
        <v>0</v>
      </c>
      <c r="H121" s="3">
        <f>'Monthly Data'!EJ121</f>
        <v>0</v>
      </c>
      <c r="J121" s="3">
        <f t="shared" si="26"/>
        <v>-37000000</v>
      </c>
      <c r="K121" s="3">
        <f t="shared" si="27"/>
        <v>6964786</v>
      </c>
      <c r="L121" s="3">
        <f t="shared" si="28"/>
        <v>58014472.578020006</v>
      </c>
      <c r="M121" s="3">
        <f t="shared" si="29"/>
        <v>0</v>
      </c>
      <c r="N121" s="3">
        <f t="shared" si="30"/>
        <v>0</v>
      </c>
      <c r="O121" s="47">
        <f t="shared" si="31"/>
        <v>27979258.578020006</v>
      </c>
      <c r="P121" s="47">
        <f>'Monthly Data'!AJ121</f>
        <v>1761.5384615384614</v>
      </c>
      <c r="Q121" s="47">
        <f t="shared" si="33"/>
        <v>27981020.116481546</v>
      </c>
      <c r="R121" s="47">
        <f t="shared" ca="1" si="34"/>
        <v>-649314.96571723744</v>
      </c>
      <c r="S121" s="18">
        <f t="shared" ca="1" si="32"/>
        <v>2.2679265326550648E-2</v>
      </c>
    </row>
    <row r="122" spans="1:19">
      <c r="S122" s="17">
        <f ca="1">AVERAGE(S3:S121)</f>
        <v>5.4561254023856212E-2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9755-CA19-4229-ACE8-E7227DE7ABBA}">
  <sheetPr codeName="Sheet15">
    <tabColor theme="9" tint="0.79998168889431442"/>
  </sheetPr>
  <dimension ref="A1:AF122"/>
  <sheetViews>
    <sheetView workbookViewId="0"/>
  </sheetViews>
  <sheetFormatPr defaultRowHeight="15"/>
  <cols>
    <col min="4" max="4" width="28" customWidth="1"/>
    <col min="13" max="13" width="13.5703125" bestFit="1" customWidth="1"/>
    <col min="14" max="15" width="11.42578125" bestFit="1" customWidth="1"/>
    <col min="16" max="18" width="10.42578125" bestFit="1" customWidth="1"/>
    <col min="19" max="20" width="11.42578125" bestFit="1" customWidth="1"/>
    <col min="21" max="23" width="12.5703125" customWidth="1"/>
    <col min="24" max="24" width="10.42578125" bestFit="1" customWidth="1"/>
    <col min="29" max="29" width="13.5703125" bestFit="1" customWidth="1"/>
    <col min="30" max="30" width="12.5703125" bestFit="1" customWidth="1"/>
    <col min="31" max="31" width="13.5703125" bestFit="1" customWidth="1"/>
    <col min="32" max="32" width="8.5703125" bestFit="1" customWidth="1"/>
  </cols>
  <sheetData>
    <row r="1" spans="1:32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Data'!BE1</f>
        <v>WRZ_ResidentialkWh_No_CDM</v>
      </c>
      <c r="E1" s="760" t="str">
        <f>'Monthly Data'!CP1</f>
        <v>HDD18</v>
      </c>
      <c r="F1" s="760" t="str">
        <f>'Monthly Data'!CU1</f>
        <v>CDD14</v>
      </c>
      <c r="G1" s="760" t="str">
        <f>'Monthly Data'!EM1</f>
        <v>CovHDD20</v>
      </c>
      <c r="H1" s="760" t="str">
        <f>'Monthly Data'!ET1</f>
        <v>CovCDD14</v>
      </c>
      <c r="I1" s="760" t="str">
        <f>'Monthly Data'!EG1</f>
        <v>Shoulder</v>
      </c>
      <c r="J1" s="760" t="str">
        <f>'Monthly Data'!EH1</f>
        <v>Trend</v>
      </c>
      <c r="K1" s="760" t="str">
        <f>'Monthly Data'!DQ1</f>
        <v>Month Days</v>
      </c>
      <c r="L1" s="760"/>
      <c r="M1" s="760" t="str">
        <f>AB8</f>
        <v>const</v>
      </c>
      <c r="N1" s="760" t="str">
        <f>E1</f>
        <v>HDD18</v>
      </c>
      <c r="O1" s="760" t="str">
        <f>F1</f>
        <v>CDD14</v>
      </c>
      <c r="P1" s="760" t="str">
        <f>G1</f>
        <v>CovHDD20</v>
      </c>
      <c r="Q1" s="760" t="str">
        <f>H1</f>
        <v>CovCDD14</v>
      </c>
      <c r="R1" s="760" t="str">
        <f>I1</f>
        <v>Shoulder</v>
      </c>
      <c r="S1" s="760" t="str">
        <f t="shared" ref="S1:T1" si="0">J1</f>
        <v>Trend</v>
      </c>
      <c r="T1" s="760" t="str">
        <f t="shared" si="0"/>
        <v>Month Days</v>
      </c>
      <c r="U1" s="760" t="s">
        <v>424</v>
      </c>
      <c r="V1" s="760" t="s">
        <v>630</v>
      </c>
      <c r="W1" s="760" t="s">
        <v>631</v>
      </c>
      <c r="X1" s="760" t="s">
        <v>425</v>
      </c>
      <c r="Y1" s="760"/>
    </row>
    <row r="2" spans="1:32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Data'!BE2</f>
        <v>31516891.693563402</v>
      </c>
      <c r="E2" s="3">
        <f>'Monthly Data'!CP2</f>
        <v>797.89184782608675</v>
      </c>
      <c r="F2" s="3">
        <f>'Monthly Data'!CU2</f>
        <v>0</v>
      </c>
      <c r="G2" s="3">
        <f>'Monthly Data'!EM2</f>
        <v>0</v>
      </c>
      <c r="H2" s="3">
        <f>'Monthly Data'!ET2</f>
        <v>0</v>
      </c>
      <c r="I2" s="3">
        <f>'Monthly Data'!EG2</f>
        <v>0</v>
      </c>
      <c r="J2">
        <f>'Monthly Data'!EH2</f>
        <v>1</v>
      </c>
      <c r="K2" s="3">
        <f>'Monthly Data'!DQ2</f>
        <v>31</v>
      </c>
      <c r="M2" s="3">
        <f t="shared" ref="M2:M33" si="1">$AC$8</f>
        <v>-6000764.6164411902</v>
      </c>
      <c r="N2" s="3">
        <f t="shared" ref="N2:N33" si="2">E2*$AC$9</f>
        <v>11627000.258429183</v>
      </c>
      <c r="O2" s="3">
        <f t="shared" ref="O2:O33" si="3">F2*$AC$10</f>
        <v>0</v>
      </c>
      <c r="P2" s="3">
        <f t="shared" ref="P2:P33" si="4">G2*$AC$11</f>
        <v>0</v>
      </c>
      <c r="Q2" s="3">
        <f t="shared" ref="Q2:Q33" si="5">H2*$AC$12</f>
        <v>0</v>
      </c>
      <c r="R2" s="3">
        <f t="shared" ref="R2:R33" si="6">I2*$AC$13</f>
        <v>0</v>
      </c>
      <c r="S2" s="3">
        <f t="shared" ref="S2:S33" si="7">J2*$AC$14</f>
        <v>53862.562320768498</v>
      </c>
      <c r="T2" s="3">
        <f t="shared" ref="T2:T33" si="8">K2*$AC$15</f>
        <v>25469342.489254653</v>
      </c>
      <c r="U2" s="47">
        <f t="shared" ref="U2:U54" si="9">SUM(M2:T2)</f>
        <v>31149440.693563417</v>
      </c>
      <c r="V2" s="47">
        <f>'Monthly Data'!BF2+'Monthly Data'!BG2</f>
        <v>0</v>
      </c>
      <c r="W2" s="47">
        <f t="shared" ref="W2:W54" si="10">U2+V2</f>
        <v>31149440.693563417</v>
      </c>
      <c r="X2" s="47">
        <f t="shared" ref="X2:X54" si="11">W2-D2</f>
        <v>-367450.9999999851</v>
      </c>
      <c r="Y2" s="18">
        <f t="shared" ref="Y2:Y21" si="12">ABS(X2/D2)</f>
        <v>1.1658859115063954E-2</v>
      </c>
    </row>
    <row r="3" spans="1:32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Data'!BE3</f>
        <v>28542104.544935308</v>
      </c>
      <c r="E3" s="3">
        <f>'Monthly Data'!CP3</f>
        <v>865.85434782608706</v>
      </c>
      <c r="F3" s="3">
        <f>'Monthly Data'!CU3</f>
        <v>0</v>
      </c>
      <c r="G3" s="3">
        <f>'Monthly Data'!EM3</f>
        <v>0</v>
      </c>
      <c r="H3" s="3">
        <f>'Monthly Data'!ET3</f>
        <v>0</v>
      </c>
      <c r="I3" s="3">
        <f>'Monthly Data'!EG3</f>
        <v>0</v>
      </c>
      <c r="J3">
        <f>'Monthly Data'!EH3</f>
        <v>2</v>
      </c>
      <c r="K3" s="3">
        <f>'Monthly Data'!DQ3</f>
        <v>28</v>
      </c>
      <c r="M3" s="3">
        <f t="shared" si="1"/>
        <v>-6000764.6164411902</v>
      </c>
      <c r="N3" s="3">
        <f t="shared" si="2"/>
        <v>12617360.051196152</v>
      </c>
      <c r="O3" s="3">
        <f t="shared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107725.124641537</v>
      </c>
      <c r="T3" s="3">
        <f t="shared" si="8"/>
        <v>23004567.409649365</v>
      </c>
      <c r="U3" s="47">
        <f t="shared" si="9"/>
        <v>29728887.969045863</v>
      </c>
      <c r="V3" s="47">
        <f>'Monthly Data'!BF3+'Monthly Data'!BG3</f>
        <v>0</v>
      </c>
      <c r="W3" s="47">
        <f t="shared" si="10"/>
        <v>29728887.969045863</v>
      </c>
      <c r="X3" s="47">
        <f t="shared" si="11"/>
        <v>1186783.4241105542</v>
      </c>
      <c r="Y3" s="18">
        <f t="shared" si="12"/>
        <v>4.1580095197329955E-2</v>
      </c>
      <c r="AB3" s="684" t="s">
        <v>715</v>
      </c>
      <c r="AC3" s="684"/>
      <c r="AD3" s="684"/>
      <c r="AE3" s="684"/>
      <c r="AF3" s="684"/>
    </row>
    <row r="4" spans="1:32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Data'!BE4</f>
        <v>27187379.621047426</v>
      </c>
      <c r="E4" s="3">
        <f>'Monthly Data'!CP4</f>
        <v>637.79999999999995</v>
      </c>
      <c r="F4" s="3">
        <f>'Monthly Data'!CU4</f>
        <v>0</v>
      </c>
      <c r="G4" s="3">
        <f>'Monthly Data'!EM4</f>
        <v>0</v>
      </c>
      <c r="H4" s="3">
        <f>'Monthly Data'!ET4</f>
        <v>0</v>
      </c>
      <c r="I4" s="3">
        <f>'Monthly Data'!EG4</f>
        <v>1</v>
      </c>
      <c r="J4">
        <f>'Monthly Data'!EH4</f>
        <v>3</v>
      </c>
      <c r="K4" s="3">
        <f>'Monthly Data'!DQ4</f>
        <v>31</v>
      </c>
      <c r="M4" s="3">
        <f t="shared" si="1"/>
        <v>-6000764.6164411902</v>
      </c>
      <c r="N4" s="3">
        <f t="shared" si="2"/>
        <v>9294117.7241386008</v>
      </c>
      <c r="O4" s="3">
        <f t="shared" si="3"/>
        <v>0</v>
      </c>
      <c r="P4" s="3">
        <f t="shared" si="4"/>
        <v>0</v>
      </c>
      <c r="Q4" s="3">
        <f t="shared" si="5"/>
        <v>0</v>
      </c>
      <c r="R4" s="3">
        <f t="shared" si="6"/>
        <v>-815229.51419000898</v>
      </c>
      <c r="S4" s="3">
        <f t="shared" si="7"/>
        <v>161587.68696230551</v>
      </c>
      <c r="T4" s="3">
        <f t="shared" si="8"/>
        <v>25469342.489254653</v>
      </c>
      <c r="U4" s="47">
        <f t="shared" si="9"/>
        <v>28109053.769724362</v>
      </c>
      <c r="V4" s="47">
        <f>'Monthly Data'!BF4+'Monthly Data'!BG4</f>
        <v>0</v>
      </c>
      <c r="W4" s="47">
        <f t="shared" si="10"/>
        <v>28109053.769724362</v>
      </c>
      <c r="X4" s="47">
        <f t="shared" si="11"/>
        <v>921674.14867693558</v>
      </c>
      <c r="Y4" s="18">
        <f t="shared" si="12"/>
        <v>3.3900808445820607E-2</v>
      </c>
      <c r="AB4" s="684" t="s">
        <v>639</v>
      </c>
      <c r="AC4" s="684"/>
      <c r="AD4" s="684"/>
      <c r="AE4" s="684"/>
      <c r="AF4" s="684"/>
    </row>
    <row r="5" spans="1:32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Data'!BE5</f>
        <v>23251375.536629245</v>
      </c>
      <c r="E5" s="3">
        <f>'Monthly Data'!CP5</f>
        <v>346.75037878787867</v>
      </c>
      <c r="F5" s="3">
        <f>'Monthly Data'!CU5</f>
        <v>0</v>
      </c>
      <c r="G5" s="3">
        <f>'Monthly Data'!EM5</f>
        <v>0</v>
      </c>
      <c r="H5" s="3">
        <f>'Monthly Data'!ET5</f>
        <v>0</v>
      </c>
      <c r="I5" s="3">
        <f>'Monthly Data'!EG5</f>
        <v>1</v>
      </c>
      <c r="J5">
        <f>'Monthly Data'!EH5</f>
        <v>4</v>
      </c>
      <c r="K5" s="3">
        <f>'Monthly Data'!DQ5</f>
        <v>30</v>
      </c>
      <c r="M5" s="3">
        <f t="shared" si="1"/>
        <v>-6000764.6164411902</v>
      </c>
      <c r="N5" s="3">
        <f t="shared" si="2"/>
        <v>5052898.7791536488</v>
      </c>
      <c r="O5" s="3">
        <f t="shared" si="3"/>
        <v>0</v>
      </c>
      <c r="P5" s="3">
        <f t="shared" si="4"/>
        <v>0</v>
      </c>
      <c r="Q5" s="3">
        <f t="shared" si="5"/>
        <v>0</v>
      </c>
      <c r="R5" s="3">
        <f t="shared" si="6"/>
        <v>-815229.51419000898</v>
      </c>
      <c r="S5" s="3">
        <f t="shared" si="7"/>
        <v>215450.24928307399</v>
      </c>
      <c r="T5" s="3">
        <f t="shared" si="8"/>
        <v>24647750.796052888</v>
      </c>
      <c r="U5" s="47">
        <f t="shared" si="9"/>
        <v>23100105.693858411</v>
      </c>
      <c r="V5" s="47">
        <f>'Monthly Data'!BF5+'Monthly Data'!BG5</f>
        <v>0</v>
      </c>
      <c r="W5" s="47">
        <f t="shared" si="10"/>
        <v>23100105.693858411</v>
      </c>
      <c r="X5" s="47">
        <f t="shared" si="11"/>
        <v>-151269.84277083352</v>
      </c>
      <c r="Y5" s="18">
        <f t="shared" si="12"/>
        <v>6.5058448921668883E-3</v>
      </c>
      <c r="AB5" s="684" t="s">
        <v>710</v>
      </c>
      <c r="AC5" s="684"/>
      <c r="AD5" s="684"/>
      <c r="AE5" s="684"/>
      <c r="AF5" s="684"/>
    </row>
    <row r="6" spans="1:32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Data'!BE6</f>
        <v>24785625.220071364</v>
      </c>
      <c r="E6" s="3">
        <f>'Monthly Data'!CP6</f>
        <v>108.22189440993786</v>
      </c>
      <c r="F6" s="3">
        <f>'Monthly Data'!CU6</f>
        <v>62.881547619047637</v>
      </c>
      <c r="G6" s="3">
        <f>'Monthly Data'!EM6</f>
        <v>0</v>
      </c>
      <c r="H6" s="3">
        <f>'Monthly Data'!ET6</f>
        <v>0</v>
      </c>
      <c r="I6" s="3">
        <f>'Monthly Data'!EG6</f>
        <v>1</v>
      </c>
      <c r="J6">
        <f>'Monthly Data'!EH6</f>
        <v>5</v>
      </c>
      <c r="K6" s="3">
        <f>'Monthly Data'!DQ6</f>
        <v>31</v>
      </c>
      <c r="M6" s="3">
        <f t="shared" si="1"/>
        <v>-6000764.6164411902</v>
      </c>
      <c r="N6" s="3">
        <f t="shared" si="2"/>
        <v>1577025.7556840072</v>
      </c>
      <c r="O6" s="3">
        <f t="shared" si="3"/>
        <v>5805697.1186867235</v>
      </c>
      <c r="P6" s="3">
        <f t="shared" si="4"/>
        <v>0</v>
      </c>
      <c r="Q6" s="3">
        <f t="shared" si="5"/>
        <v>0</v>
      </c>
      <c r="R6" s="3">
        <f t="shared" si="6"/>
        <v>-815229.51419000898</v>
      </c>
      <c r="S6" s="3">
        <f t="shared" si="7"/>
        <v>269312.81160384248</v>
      </c>
      <c r="T6" s="3">
        <f t="shared" si="8"/>
        <v>25469342.489254653</v>
      </c>
      <c r="U6" s="47">
        <f t="shared" si="9"/>
        <v>26305384.044598028</v>
      </c>
      <c r="V6" s="47">
        <f>'Monthly Data'!BF6+'Monthly Data'!BG6</f>
        <v>0</v>
      </c>
      <c r="W6" s="47">
        <f t="shared" si="10"/>
        <v>26305384.044598028</v>
      </c>
      <c r="X6" s="47">
        <f t="shared" si="11"/>
        <v>1519758.8245266639</v>
      </c>
      <c r="Y6" s="18">
        <f t="shared" si="12"/>
        <v>6.1316138327467538E-2</v>
      </c>
      <c r="AB6" s="685"/>
      <c r="AC6" s="685"/>
      <c r="AD6" s="685"/>
      <c r="AE6" s="685"/>
      <c r="AF6" s="685"/>
    </row>
    <row r="7" spans="1:32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Data'!BE7</f>
        <v>26939319.427072883</v>
      </c>
      <c r="E7" s="3">
        <f>'Monthly Data'!CP7</f>
        <v>44.925000000000004</v>
      </c>
      <c r="F7" s="3">
        <f>'Monthly Data'!CU7</f>
        <v>95.599999999999966</v>
      </c>
      <c r="G7" s="3">
        <f>'Monthly Data'!EM7</f>
        <v>0</v>
      </c>
      <c r="H7" s="3">
        <f>'Monthly Data'!ET7</f>
        <v>0</v>
      </c>
      <c r="I7" s="3">
        <f>'Monthly Data'!EG7</f>
        <v>0</v>
      </c>
      <c r="J7">
        <f>'Monthly Data'!EH7</f>
        <v>6</v>
      </c>
      <c r="K7" s="3">
        <f>'Monthly Data'!DQ7</f>
        <v>30</v>
      </c>
      <c r="M7" s="3">
        <f t="shared" si="1"/>
        <v>-6000764.6164411902</v>
      </c>
      <c r="N7" s="3">
        <f t="shared" si="2"/>
        <v>654653.87073836115</v>
      </c>
      <c r="O7" s="3">
        <f t="shared" si="3"/>
        <v>8826510.5672800969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323175.37392461102</v>
      </c>
      <c r="T7" s="3">
        <f t="shared" si="8"/>
        <v>24647750.796052888</v>
      </c>
      <c r="U7" s="47">
        <f t="shared" si="9"/>
        <v>28451325.991554767</v>
      </c>
      <c r="V7" s="47">
        <f>'Monthly Data'!BF7+'Monthly Data'!BG7</f>
        <v>0</v>
      </c>
      <c r="W7" s="47">
        <f t="shared" si="10"/>
        <v>28451325.991554767</v>
      </c>
      <c r="X7" s="47">
        <f t="shared" si="11"/>
        <v>1512006.5644818842</v>
      </c>
      <c r="Y7" s="18">
        <f t="shared" si="12"/>
        <v>5.6126383169219238E-2</v>
      </c>
      <c r="AB7" s="685"/>
      <c r="AC7" s="685" t="s">
        <v>409</v>
      </c>
      <c r="AD7" s="685" t="s">
        <v>410</v>
      </c>
      <c r="AE7" s="685" t="s">
        <v>411</v>
      </c>
      <c r="AF7" s="685" t="s">
        <v>412</v>
      </c>
    </row>
    <row r="8" spans="1:32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Data'!BE8</f>
        <v>37076912.149965301</v>
      </c>
      <c r="E8" s="3">
        <f>'Monthly Data'!CP8</f>
        <v>6.0874999999999986</v>
      </c>
      <c r="F8" s="3">
        <f>'Monthly Data'!CU8</f>
        <v>205.53749999999997</v>
      </c>
      <c r="G8" s="3">
        <f>'Monthly Data'!EM8</f>
        <v>0</v>
      </c>
      <c r="H8" s="3">
        <f>'Monthly Data'!ET8</f>
        <v>0</v>
      </c>
      <c r="I8" s="3">
        <f>'Monthly Data'!EG8</f>
        <v>0</v>
      </c>
      <c r="J8">
        <f>'Monthly Data'!EH8</f>
        <v>7</v>
      </c>
      <c r="K8" s="3">
        <f>'Monthly Data'!DQ8</f>
        <v>31</v>
      </c>
      <c r="M8" s="3">
        <f t="shared" si="1"/>
        <v>-6000764.6164411902</v>
      </c>
      <c r="N8" s="3">
        <f t="shared" si="2"/>
        <v>88707.967459538602</v>
      </c>
      <c r="O8" s="3">
        <f t="shared" si="3"/>
        <v>18976766.900861226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377037.9362453795</v>
      </c>
      <c r="T8" s="3">
        <f t="shared" si="8"/>
        <v>25469342.489254653</v>
      </c>
      <c r="U8" s="47">
        <f t="shared" si="9"/>
        <v>38911090.677379608</v>
      </c>
      <c r="V8" s="47">
        <f>'Monthly Data'!BF8+'Monthly Data'!BG8</f>
        <v>0</v>
      </c>
      <c r="W8" s="47">
        <f t="shared" si="10"/>
        <v>38911090.677379608</v>
      </c>
      <c r="X8" s="47">
        <f t="shared" si="11"/>
        <v>1834178.527414307</v>
      </c>
      <c r="Y8" s="18">
        <f t="shared" si="12"/>
        <v>4.9469559924396875E-2</v>
      </c>
      <c r="AB8" s="685" t="s">
        <v>413</v>
      </c>
      <c r="AC8" s="686">
        <v>-6000764.6164411902</v>
      </c>
      <c r="AD8" s="686">
        <v>2372755.2862757202</v>
      </c>
      <c r="AE8" s="687">
        <v>-2.5290280254142798</v>
      </c>
      <c r="AF8" s="694">
        <v>1.28296741362545E-2</v>
      </c>
    </row>
    <row r="9" spans="1:32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Data'!BE9</f>
        <v>33838120.556036919</v>
      </c>
      <c r="E9" s="3">
        <f>'Monthly Data'!CP9</f>
        <v>9.4166666666666572</v>
      </c>
      <c r="F9" s="3">
        <f>'Monthly Data'!CU9</f>
        <v>167.94166666666666</v>
      </c>
      <c r="G9" s="3">
        <f>'Monthly Data'!EM9</f>
        <v>0</v>
      </c>
      <c r="H9" s="3">
        <f>'Monthly Data'!ET9</f>
        <v>0</v>
      </c>
      <c r="I9" s="3">
        <f>'Monthly Data'!EG9</f>
        <v>0</v>
      </c>
      <c r="J9">
        <f>'Monthly Data'!EH9</f>
        <v>8</v>
      </c>
      <c r="K9" s="3">
        <f>'Monthly Data'!DQ9</f>
        <v>31</v>
      </c>
      <c r="M9" s="3">
        <f t="shared" si="1"/>
        <v>-6000764.6164411902</v>
      </c>
      <c r="N9" s="3">
        <f t="shared" si="2"/>
        <v>137221.08587170232</v>
      </c>
      <c r="O9" s="3">
        <f t="shared" si="3"/>
        <v>15505636.982426416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430900.49856614799</v>
      </c>
      <c r="T9" s="3">
        <f t="shared" si="8"/>
        <v>25469342.489254653</v>
      </c>
      <c r="U9" s="47">
        <f t="shared" si="9"/>
        <v>35542336.43967773</v>
      </c>
      <c r="V9" s="47">
        <f>'Monthly Data'!BF9+'Monthly Data'!BG9</f>
        <v>0</v>
      </c>
      <c r="W9" s="47">
        <f t="shared" si="10"/>
        <v>35542336.43967773</v>
      </c>
      <c r="X9" s="47">
        <f t="shared" si="11"/>
        <v>1704215.8836408108</v>
      </c>
      <c r="Y9" s="18">
        <f t="shared" si="12"/>
        <v>5.0363786629892146E-2</v>
      </c>
      <c r="AB9" s="685" t="s">
        <v>42</v>
      </c>
      <c r="AC9" s="686">
        <v>14572.1507120392</v>
      </c>
      <c r="AD9" s="686">
        <v>737.28841685356804</v>
      </c>
      <c r="AE9" s="687">
        <v>19.764518713350899</v>
      </c>
      <c r="AF9" s="694">
        <v>2.6062447902020701E-38</v>
      </c>
    </row>
    <row r="10" spans="1:32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Data'!BE10</f>
        <v>31510740.237148736</v>
      </c>
      <c r="E10" s="3">
        <f>'Monthly Data'!CP10</f>
        <v>42.631547619047623</v>
      </c>
      <c r="F10" s="3">
        <f>'Monthly Data'!CU10</f>
        <v>134.9267857142857</v>
      </c>
      <c r="G10" s="3">
        <f>'Monthly Data'!EM10</f>
        <v>0</v>
      </c>
      <c r="H10" s="3">
        <f>'Monthly Data'!ET10</f>
        <v>0</v>
      </c>
      <c r="I10" s="3">
        <f>'Monthly Data'!EG10</f>
        <v>1</v>
      </c>
      <c r="J10">
        <f>'Monthly Data'!EH10</f>
        <v>9</v>
      </c>
      <c r="K10" s="3">
        <f>'Monthly Data'!DQ10</f>
        <v>30</v>
      </c>
      <c r="M10" s="3">
        <f t="shared" si="1"/>
        <v>-6000764.6164411902</v>
      </c>
      <c r="N10" s="3">
        <f t="shared" si="2"/>
        <v>621233.33699223783</v>
      </c>
      <c r="O10" s="3">
        <f t="shared" si="3"/>
        <v>12457455.020044772</v>
      </c>
      <c r="P10" s="3">
        <f t="shared" si="4"/>
        <v>0</v>
      </c>
      <c r="Q10" s="3">
        <f t="shared" si="5"/>
        <v>0</v>
      </c>
      <c r="R10" s="3">
        <f t="shared" si="6"/>
        <v>-815229.51419000898</v>
      </c>
      <c r="S10" s="3">
        <f t="shared" si="7"/>
        <v>484763.06088691647</v>
      </c>
      <c r="T10" s="3">
        <f t="shared" si="8"/>
        <v>24647750.796052888</v>
      </c>
      <c r="U10" s="47">
        <f t="shared" si="9"/>
        <v>31395208.083345614</v>
      </c>
      <c r="V10" s="47">
        <f>'Monthly Data'!BF10+'Monthly Data'!BG10</f>
        <v>0</v>
      </c>
      <c r="W10" s="47">
        <f t="shared" si="10"/>
        <v>31395208.083345614</v>
      </c>
      <c r="X10" s="47">
        <f t="shared" si="11"/>
        <v>-115532.1538031213</v>
      </c>
      <c r="Y10" s="18">
        <f t="shared" si="12"/>
        <v>3.6664373141865386E-3</v>
      </c>
      <c r="AB10" s="685" t="s">
        <v>47</v>
      </c>
      <c r="AC10" s="686">
        <v>92327.516394143298</v>
      </c>
      <c r="AD10" s="686">
        <v>2402.1266341256401</v>
      </c>
      <c r="AE10" s="687">
        <v>38.4357406818187</v>
      </c>
      <c r="AF10" s="694">
        <v>2.4017474716236102E-66</v>
      </c>
    </row>
    <row r="11" spans="1:32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Data'!BE11</f>
        <v>24349104.451610852</v>
      </c>
      <c r="E11" s="3">
        <f>'Monthly Data'!CP11</f>
        <v>276.98750000000001</v>
      </c>
      <c r="F11" s="3">
        <f>'Monthly Data'!CU11</f>
        <v>4.3583333333333325</v>
      </c>
      <c r="G11" s="3">
        <f>'Monthly Data'!EM11</f>
        <v>0</v>
      </c>
      <c r="H11" s="3">
        <f>'Monthly Data'!ET11</f>
        <v>0</v>
      </c>
      <c r="I11" s="3">
        <f>'Monthly Data'!EG11</f>
        <v>1</v>
      </c>
      <c r="J11">
        <f>'Monthly Data'!EH11</f>
        <v>10</v>
      </c>
      <c r="K11" s="3">
        <f>'Monthly Data'!DQ11</f>
        <v>31</v>
      </c>
      <c r="M11" s="3">
        <f t="shared" si="1"/>
        <v>-6000764.6164411902</v>
      </c>
      <c r="N11" s="3">
        <f t="shared" si="2"/>
        <v>4036303.5953509579</v>
      </c>
      <c r="O11" s="3">
        <f t="shared" si="3"/>
        <v>402394.09228447446</v>
      </c>
      <c r="P11" s="3">
        <f t="shared" si="4"/>
        <v>0</v>
      </c>
      <c r="Q11" s="3">
        <f t="shared" si="5"/>
        <v>0</v>
      </c>
      <c r="R11" s="3">
        <f t="shared" si="6"/>
        <v>-815229.51419000898</v>
      </c>
      <c r="S11" s="3">
        <f t="shared" si="7"/>
        <v>538625.62320768496</v>
      </c>
      <c r="T11" s="3">
        <f t="shared" si="8"/>
        <v>25469342.489254653</v>
      </c>
      <c r="U11" s="47">
        <f t="shared" si="9"/>
        <v>23630671.66946657</v>
      </c>
      <c r="V11" s="47">
        <f>'Monthly Data'!BF11+'Monthly Data'!BG11</f>
        <v>0</v>
      </c>
      <c r="W11" s="47">
        <f t="shared" si="10"/>
        <v>23630671.66946657</v>
      </c>
      <c r="X11" s="47">
        <f t="shared" si="11"/>
        <v>-718432.78214428201</v>
      </c>
      <c r="Y11" s="18">
        <f t="shared" si="12"/>
        <v>2.9505511530086397E-2</v>
      </c>
      <c r="AB11" s="685" t="s">
        <v>398</v>
      </c>
      <c r="AC11" s="686">
        <v>4698.1543523521996</v>
      </c>
      <c r="AD11" s="686">
        <v>1516.88438604967</v>
      </c>
      <c r="AE11" s="687">
        <v>3.0972395757776399</v>
      </c>
      <c r="AF11" s="694">
        <v>2.46902798197086E-3</v>
      </c>
    </row>
    <row r="12" spans="1:32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Data'!BE12</f>
        <v>24508802.526932873</v>
      </c>
      <c r="E12" s="3">
        <f>'Monthly Data'!CP12</f>
        <v>371.77083333333326</v>
      </c>
      <c r="F12" s="3">
        <f>'Monthly Data'!CU12</f>
        <v>0.27083333333333393</v>
      </c>
      <c r="G12" s="3">
        <f>'Monthly Data'!EM12</f>
        <v>0</v>
      </c>
      <c r="H12" s="3">
        <f>'Monthly Data'!ET12</f>
        <v>0</v>
      </c>
      <c r="I12" s="3">
        <f>'Monthly Data'!EG12</f>
        <v>1</v>
      </c>
      <c r="J12">
        <f>'Monthly Data'!EH12</f>
        <v>11</v>
      </c>
      <c r="K12" s="3">
        <f>'Monthly Data'!DQ12</f>
        <v>30</v>
      </c>
      <c r="M12" s="3">
        <f t="shared" si="1"/>
        <v>-6000764.6164411902</v>
      </c>
      <c r="N12" s="3">
        <f t="shared" si="2"/>
        <v>5417500.6136737391</v>
      </c>
      <c r="O12" s="3">
        <f t="shared" si="3"/>
        <v>25005.369023413863</v>
      </c>
      <c r="P12" s="3">
        <f t="shared" si="4"/>
        <v>0</v>
      </c>
      <c r="Q12" s="3">
        <f t="shared" si="5"/>
        <v>0</v>
      </c>
      <c r="R12" s="3">
        <f t="shared" si="6"/>
        <v>-815229.51419000898</v>
      </c>
      <c r="S12" s="3">
        <f t="shared" si="7"/>
        <v>592488.18552845344</v>
      </c>
      <c r="T12" s="3">
        <f t="shared" si="8"/>
        <v>24647750.796052888</v>
      </c>
      <c r="U12" s="47">
        <f t="shared" si="9"/>
        <v>23866750.833647296</v>
      </c>
      <c r="V12" s="47">
        <f>'Monthly Data'!BF12+'Monthly Data'!BG12</f>
        <v>0</v>
      </c>
      <c r="W12" s="47">
        <f t="shared" si="10"/>
        <v>23866750.833647296</v>
      </c>
      <c r="X12" s="47">
        <f t="shared" si="11"/>
        <v>-642051.693285577</v>
      </c>
      <c r="Y12" s="18">
        <f t="shared" si="12"/>
        <v>2.6196779405277856E-2</v>
      </c>
      <c r="AB12" s="685" t="s">
        <v>400</v>
      </c>
      <c r="AC12" s="686">
        <v>16615.388505770701</v>
      </c>
      <c r="AD12" s="686">
        <v>5063.3511022550401</v>
      </c>
      <c r="AE12" s="687">
        <v>3.2815003680804899</v>
      </c>
      <c r="AF12" s="694">
        <v>1.37718449213677E-3</v>
      </c>
    </row>
    <row r="13" spans="1:32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Data'!BE13</f>
        <v>28313275.283504494</v>
      </c>
      <c r="E13" s="3">
        <f>'Monthly Data'!CP13</f>
        <v>437.62590579710155</v>
      </c>
      <c r="F13" s="3">
        <f>'Monthly Data'!CU13</f>
        <v>0</v>
      </c>
      <c r="G13" s="3">
        <f>'Monthly Data'!EM13</f>
        <v>0</v>
      </c>
      <c r="H13" s="3">
        <f>'Monthly Data'!ET13</f>
        <v>0</v>
      </c>
      <c r="I13" s="3">
        <f>'Monthly Data'!EG13</f>
        <v>0</v>
      </c>
      <c r="J13">
        <f>'Monthly Data'!EH13</f>
        <v>12</v>
      </c>
      <c r="K13" s="3">
        <f>'Monthly Data'!DQ13</f>
        <v>31</v>
      </c>
      <c r="M13" s="3">
        <f t="shared" si="1"/>
        <v>-6000764.6164411902</v>
      </c>
      <c r="N13" s="3">
        <f t="shared" si="2"/>
        <v>6377150.654768033</v>
      </c>
      <c r="O13" s="3">
        <f t="shared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646350.74784922204</v>
      </c>
      <c r="T13" s="3">
        <f t="shared" si="8"/>
        <v>25469342.489254653</v>
      </c>
      <c r="U13" s="47">
        <f t="shared" si="9"/>
        <v>26492079.275430717</v>
      </c>
      <c r="V13" s="47">
        <f>'Monthly Data'!BF13+'Monthly Data'!BG13</f>
        <v>0</v>
      </c>
      <c r="W13" s="47">
        <f t="shared" si="10"/>
        <v>26492079.275430717</v>
      </c>
      <c r="X13" s="47">
        <f t="shared" si="11"/>
        <v>-1821196.008073777</v>
      </c>
      <c r="Y13" s="18">
        <f t="shared" si="12"/>
        <v>6.4323042454039858E-2</v>
      </c>
      <c r="AB13" s="685" t="s">
        <v>118</v>
      </c>
      <c r="AC13" s="686">
        <v>-815229.51419000898</v>
      </c>
      <c r="AD13" s="686">
        <v>216651.41231479001</v>
      </c>
      <c r="AE13" s="687">
        <v>-3.7628626810218901</v>
      </c>
      <c r="AF13" s="694">
        <v>2.6907424757995302E-4</v>
      </c>
    </row>
    <row r="14" spans="1:32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Data'!BE14</f>
        <v>31299065.574683364</v>
      </c>
      <c r="E14" s="3">
        <f>'Monthly Data'!CP14</f>
        <v>675.87916666666683</v>
      </c>
      <c r="F14" s="3">
        <f>'Monthly Data'!CU14</f>
        <v>0</v>
      </c>
      <c r="G14" s="3">
        <f>'Monthly Data'!EM14</f>
        <v>0</v>
      </c>
      <c r="H14" s="3">
        <f>'Monthly Data'!ET14</f>
        <v>0</v>
      </c>
      <c r="I14" s="3">
        <f>'Monthly Data'!EG14</f>
        <v>0</v>
      </c>
      <c r="J14">
        <f>'Monthly Data'!EH14</f>
        <v>13</v>
      </c>
      <c r="K14" s="3">
        <f>'Monthly Data'!DQ14</f>
        <v>31</v>
      </c>
      <c r="M14" s="3">
        <f t="shared" si="1"/>
        <v>-6000764.6164411902</v>
      </c>
      <c r="N14" s="3">
        <f t="shared" si="2"/>
        <v>9849013.0797941294</v>
      </c>
      <c r="O14" s="3">
        <f t="shared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700213.31016999052</v>
      </c>
      <c r="T14" s="3">
        <f t="shared" si="8"/>
        <v>25469342.489254653</v>
      </c>
      <c r="U14" s="47">
        <f t="shared" si="9"/>
        <v>30017804.262777582</v>
      </c>
      <c r="V14" s="47">
        <f>'Monthly Data'!BF14+'Monthly Data'!BG14</f>
        <v>0</v>
      </c>
      <c r="W14" s="47">
        <f t="shared" si="10"/>
        <v>30017804.262777582</v>
      </c>
      <c r="X14" s="47">
        <f t="shared" si="11"/>
        <v>-1281261.3119057827</v>
      </c>
      <c r="Y14" s="18">
        <f t="shared" si="12"/>
        <v>4.0936088294666106E-2</v>
      </c>
      <c r="AB14" s="685" t="s">
        <v>119</v>
      </c>
      <c r="AC14" s="686">
        <v>53862.562320768498</v>
      </c>
      <c r="AD14" s="686">
        <v>4162.0552554138803</v>
      </c>
      <c r="AE14" s="687">
        <v>12.9413376361848</v>
      </c>
      <c r="AF14" s="694">
        <v>5.5688751341649098E-24</v>
      </c>
    </row>
    <row r="15" spans="1:32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Data'!BE15</f>
        <v>28107655.444630712</v>
      </c>
      <c r="E15" s="3">
        <f>'Monthly Data'!CP15</f>
        <v>603.70833333333337</v>
      </c>
      <c r="F15" s="3">
        <f>'Monthly Data'!CU15</f>
        <v>0</v>
      </c>
      <c r="G15" s="3">
        <f>'Monthly Data'!EM15</f>
        <v>0</v>
      </c>
      <c r="H15" s="3">
        <f>'Monthly Data'!ET15</f>
        <v>0</v>
      </c>
      <c r="I15" s="3">
        <f>'Monthly Data'!EG15</f>
        <v>0</v>
      </c>
      <c r="J15">
        <f>'Monthly Data'!EH15</f>
        <v>14</v>
      </c>
      <c r="K15" s="3">
        <f>'Monthly Data'!DQ15</f>
        <v>29</v>
      </c>
      <c r="M15" s="3">
        <f t="shared" si="1"/>
        <v>-6000764.6164411902</v>
      </c>
      <c r="N15" s="3">
        <f t="shared" si="2"/>
        <v>8797328.819447333</v>
      </c>
      <c r="O15" s="3">
        <f t="shared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754075.87249075901</v>
      </c>
      <c r="T15" s="3">
        <f t="shared" si="8"/>
        <v>23826159.102851126</v>
      </c>
      <c r="U15" s="47">
        <f t="shared" si="9"/>
        <v>27376799.178348027</v>
      </c>
      <c r="V15" s="47">
        <f>'Monthly Data'!BF15+'Monthly Data'!BG15</f>
        <v>0</v>
      </c>
      <c r="W15" s="47">
        <f t="shared" si="10"/>
        <v>27376799.178348027</v>
      </c>
      <c r="X15" s="47">
        <f t="shared" si="11"/>
        <v>-730856.2662826851</v>
      </c>
      <c r="Y15" s="18">
        <f t="shared" si="12"/>
        <v>2.6002035912329982E-2</v>
      </c>
      <c r="AB15" s="685" t="s">
        <v>414</v>
      </c>
      <c r="AC15" s="686">
        <v>821591.69320176297</v>
      </c>
      <c r="AD15" s="686">
        <v>80238.120466586304</v>
      </c>
      <c r="AE15" s="687">
        <v>10.2394184762079</v>
      </c>
      <c r="AF15" s="694">
        <v>9.1610731093050006E-18</v>
      </c>
    </row>
    <row r="16" spans="1:32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Data'!BE16</f>
        <v>27483932.055567756</v>
      </c>
      <c r="E16" s="3">
        <f>'Monthly Data'!CP16</f>
        <v>515.07934782608686</v>
      </c>
      <c r="F16" s="3">
        <f>'Monthly Data'!CU16</f>
        <v>0</v>
      </c>
      <c r="G16" s="3">
        <f>'Monthly Data'!EM16</f>
        <v>0</v>
      </c>
      <c r="H16" s="3">
        <f>'Monthly Data'!ET16</f>
        <v>0</v>
      </c>
      <c r="I16" s="3">
        <f>'Monthly Data'!EG16</f>
        <v>1</v>
      </c>
      <c r="J16">
        <f>'Monthly Data'!EH16</f>
        <v>15</v>
      </c>
      <c r="K16" s="3">
        <f>'Monthly Data'!DQ16</f>
        <v>31</v>
      </c>
      <c r="M16" s="3">
        <f t="shared" si="1"/>
        <v>-6000764.6164411902</v>
      </c>
      <c r="N16" s="3">
        <f t="shared" si="2"/>
        <v>7505813.8851805981</v>
      </c>
      <c r="O16" s="3">
        <f t="shared" si="3"/>
        <v>0</v>
      </c>
      <c r="P16" s="3">
        <f t="shared" si="4"/>
        <v>0</v>
      </c>
      <c r="Q16" s="3">
        <f t="shared" si="5"/>
        <v>0</v>
      </c>
      <c r="R16" s="3">
        <f t="shared" si="6"/>
        <v>-815229.51419000898</v>
      </c>
      <c r="S16" s="3">
        <f t="shared" si="7"/>
        <v>807938.43481152749</v>
      </c>
      <c r="T16" s="3">
        <f t="shared" si="8"/>
        <v>25469342.489254653</v>
      </c>
      <c r="U16" s="47">
        <f t="shared" si="9"/>
        <v>26967100.678615581</v>
      </c>
      <c r="V16" s="47">
        <f>'Monthly Data'!BF16+'Monthly Data'!BG16</f>
        <v>0</v>
      </c>
      <c r="W16" s="47">
        <f t="shared" si="10"/>
        <v>26967100.678615581</v>
      </c>
      <c r="X16" s="47">
        <f t="shared" si="11"/>
        <v>-516831.37695217505</v>
      </c>
      <c r="Y16" s="18">
        <f t="shared" si="12"/>
        <v>1.8804855721052994E-2</v>
      </c>
    </row>
    <row r="17" spans="1:31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Data'!BE17</f>
        <v>24945174.944504999</v>
      </c>
      <c r="E17" s="3">
        <f>'Monthly Data'!CP17</f>
        <v>405.98333333333341</v>
      </c>
      <c r="F17" s="3">
        <f>'Monthly Data'!CU17</f>
        <v>0.83333333333333393</v>
      </c>
      <c r="G17" s="3">
        <f>'Monthly Data'!EM17</f>
        <v>0</v>
      </c>
      <c r="H17" s="3">
        <f>'Monthly Data'!ET17</f>
        <v>0</v>
      </c>
      <c r="I17" s="3">
        <f>'Monthly Data'!EG17</f>
        <v>1</v>
      </c>
      <c r="J17">
        <f>'Monthly Data'!EH17</f>
        <v>16</v>
      </c>
      <c r="K17" s="3">
        <f>'Monthly Data'!DQ17</f>
        <v>30</v>
      </c>
      <c r="M17" s="3">
        <f t="shared" si="1"/>
        <v>-6000764.6164411902</v>
      </c>
      <c r="N17" s="3">
        <f t="shared" si="2"/>
        <v>5916050.3199093826</v>
      </c>
      <c r="O17" s="3">
        <f t="shared" si="3"/>
        <v>76939.596995119471</v>
      </c>
      <c r="P17" s="3">
        <f t="shared" si="4"/>
        <v>0</v>
      </c>
      <c r="Q17" s="3">
        <f t="shared" si="5"/>
        <v>0</v>
      </c>
      <c r="R17" s="3">
        <f t="shared" si="6"/>
        <v>-815229.51419000898</v>
      </c>
      <c r="S17" s="3">
        <f t="shared" si="7"/>
        <v>861800.99713229598</v>
      </c>
      <c r="T17" s="3">
        <f t="shared" si="8"/>
        <v>24647750.796052888</v>
      </c>
      <c r="U17" s="47">
        <f t="shared" si="9"/>
        <v>24686547.579458486</v>
      </c>
      <c r="V17" s="47">
        <f>'Monthly Data'!BF17+'Monthly Data'!BG17</f>
        <v>0</v>
      </c>
      <c r="W17" s="47">
        <f t="shared" si="10"/>
        <v>24686547.579458486</v>
      </c>
      <c r="X17" s="47">
        <f t="shared" si="11"/>
        <v>-258627.36504651234</v>
      </c>
      <c r="Y17" s="18">
        <f t="shared" si="12"/>
        <v>1.0367831278869567E-2</v>
      </c>
      <c r="AB17" s="691" t="s">
        <v>407</v>
      </c>
      <c r="AC17" s="692"/>
      <c r="AD17" s="692"/>
      <c r="AE17" s="693"/>
    </row>
    <row r="18" spans="1:31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Data'!BE18</f>
        <v>27521939.867072541</v>
      </c>
      <c r="E18" s="3">
        <f>'Monthly Data'!CP18</f>
        <v>154.58611111111114</v>
      </c>
      <c r="F18" s="3">
        <f>'Monthly Data'!CU18</f>
        <v>66.604166666666671</v>
      </c>
      <c r="G18" s="3">
        <f>'Monthly Data'!EM18</f>
        <v>0</v>
      </c>
      <c r="H18" s="3">
        <f>'Monthly Data'!ET18</f>
        <v>0</v>
      </c>
      <c r="I18" s="3">
        <f>'Monthly Data'!EG18</f>
        <v>1</v>
      </c>
      <c r="J18">
        <f>'Monthly Data'!EH18</f>
        <v>17</v>
      </c>
      <c r="K18" s="3">
        <f>'Monthly Data'!DQ18</f>
        <v>31</v>
      </c>
      <c r="M18" s="3">
        <f t="shared" si="1"/>
        <v>-6000764.6164411902</v>
      </c>
      <c r="N18" s="3">
        <f t="shared" si="2"/>
        <v>2252652.1090991492</v>
      </c>
      <c r="O18" s="3">
        <f t="shared" si="3"/>
        <v>6149397.2898349194</v>
      </c>
      <c r="P18" s="3">
        <f t="shared" si="4"/>
        <v>0</v>
      </c>
      <c r="Q18" s="3">
        <f t="shared" si="5"/>
        <v>0</v>
      </c>
      <c r="R18" s="3">
        <f t="shared" si="6"/>
        <v>-815229.51419000898</v>
      </c>
      <c r="S18" s="3">
        <f t="shared" si="7"/>
        <v>915663.55945306446</v>
      </c>
      <c r="T18" s="3">
        <f t="shared" si="8"/>
        <v>25469342.489254653</v>
      </c>
      <c r="U18" s="47">
        <f t="shared" si="9"/>
        <v>27971061.317010589</v>
      </c>
      <c r="V18" s="47">
        <f>'Monthly Data'!BF18+'Monthly Data'!BG18</f>
        <v>0</v>
      </c>
      <c r="W18" s="47">
        <f t="shared" si="10"/>
        <v>27971061.317010589</v>
      </c>
      <c r="X18" s="47">
        <f t="shared" si="11"/>
        <v>449121.44993804768</v>
      </c>
      <c r="Y18" s="18">
        <f t="shared" si="12"/>
        <v>1.6318669836037976E-2</v>
      </c>
      <c r="AB18" s="685" t="s">
        <v>415</v>
      </c>
      <c r="AC18" s="689">
        <v>82285823241280</v>
      </c>
      <c r="AD18" s="685" t="s">
        <v>416</v>
      </c>
      <c r="AE18" s="686">
        <v>857143.42461957398</v>
      </c>
    </row>
    <row r="19" spans="1:31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Data'!BE19</f>
        <v>33531214.931869484</v>
      </c>
      <c r="E19" s="3">
        <f>'Monthly Data'!CP19</f>
        <v>30.204166666666669</v>
      </c>
      <c r="F19" s="3">
        <f>'Monthly Data'!CU19</f>
        <v>147.17916666666667</v>
      </c>
      <c r="G19" s="3">
        <f>'Monthly Data'!EM19</f>
        <v>0</v>
      </c>
      <c r="H19" s="3">
        <f>'Monthly Data'!ET19</f>
        <v>0</v>
      </c>
      <c r="I19" s="3">
        <f>'Monthly Data'!EG19</f>
        <v>0</v>
      </c>
      <c r="J19">
        <f>'Monthly Data'!EH19</f>
        <v>18</v>
      </c>
      <c r="K19" s="3">
        <f>'Monthly Data'!DQ19</f>
        <v>30</v>
      </c>
      <c r="M19" s="3">
        <f t="shared" si="1"/>
        <v>-6000764.6164411902</v>
      </c>
      <c r="N19" s="3">
        <f t="shared" si="2"/>
        <v>440139.66879821738</v>
      </c>
      <c r="O19" s="3">
        <f t="shared" si="3"/>
        <v>13588686.923293017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969526.12177383294</v>
      </c>
      <c r="T19" s="3">
        <f t="shared" si="8"/>
        <v>24647750.796052888</v>
      </c>
      <c r="U19" s="47">
        <f t="shared" si="9"/>
        <v>33645338.893476769</v>
      </c>
      <c r="V19" s="47">
        <f>'Monthly Data'!BF19+'Monthly Data'!BG19</f>
        <v>0</v>
      </c>
      <c r="W19" s="47">
        <f t="shared" si="10"/>
        <v>33645338.893476769</v>
      </c>
      <c r="X19" s="47">
        <f t="shared" si="11"/>
        <v>114123.96160728484</v>
      </c>
      <c r="Y19" s="18">
        <f t="shared" si="12"/>
        <v>3.4035140641091597E-3</v>
      </c>
      <c r="AB19" s="685" t="s">
        <v>417</v>
      </c>
      <c r="AC19" s="690">
        <v>0.98307639860435403</v>
      </c>
      <c r="AD19" s="685" t="s">
        <v>418</v>
      </c>
      <c r="AE19" s="690">
        <v>0.98201867351712602</v>
      </c>
    </row>
    <row r="20" spans="1:31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Data'!BE20</f>
        <v>43681699.208446927</v>
      </c>
      <c r="E20" s="3">
        <f>'Monthly Data'!CP20</f>
        <v>1.6583333333333314</v>
      </c>
      <c r="F20" s="3">
        <f>'Monthly Data'!CU20</f>
        <v>251.2291666666666</v>
      </c>
      <c r="G20" s="3">
        <f>'Monthly Data'!EM20</f>
        <v>0</v>
      </c>
      <c r="H20" s="3">
        <f>'Monthly Data'!ET20</f>
        <v>0</v>
      </c>
      <c r="I20" s="3">
        <f>'Monthly Data'!EG20</f>
        <v>0</v>
      </c>
      <c r="J20">
        <f>'Monthly Data'!EH20</f>
        <v>19</v>
      </c>
      <c r="K20" s="3">
        <f>'Monthly Data'!DQ20</f>
        <v>31</v>
      </c>
      <c r="M20" s="3">
        <f t="shared" si="1"/>
        <v>-6000764.6164411902</v>
      </c>
      <c r="N20" s="3">
        <f t="shared" si="2"/>
        <v>24165.483264131646</v>
      </c>
      <c r="O20" s="3">
        <f t="shared" si="3"/>
        <v>23195365.00410362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1023388.6840946014</v>
      </c>
      <c r="T20" s="3">
        <f t="shared" si="8"/>
        <v>25469342.489254653</v>
      </c>
      <c r="U20" s="47">
        <f t="shared" si="9"/>
        <v>43711497.044275813</v>
      </c>
      <c r="V20" s="47">
        <f>'Monthly Data'!BF20+'Monthly Data'!BG20</f>
        <v>0</v>
      </c>
      <c r="W20" s="47">
        <f t="shared" si="10"/>
        <v>43711497.044275813</v>
      </c>
      <c r="X20" s="47">
        <f t="shared" si="11"/>
        <v>29797.835828885436</v>
      </c>
      <c r="Y20" s="18">
        <f t="shared" si="12"/>
        <v>6.8215834935110066E-4</v>
      </c>
      <c r="AB20" s="685" t="s">
        <v>543</v>
      </c>
      <c r="AC20" s="687">
        <v>636.86566937615203</v>
      </c>
      <c r="AD20" s="685" t="s">
        <v>419</v>
      </c>
      <c r="AE20" s="690">
        <v>4.5326854728301201E-87</v>
      </c>
    </row>
    <row r="21" spans="1:31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Data'!BE21</f>
        <v>46283926.15929427</v>
      </c>
      <c r="E21" s="3">
        <f>'Monthly Data'!CP21</f>
        <v>1.1291666666666664</v>
      </c>
      <c r="F21" s="3">
        <f>'Monthly Data'!CU21</f>
        <v>266.02500000000003</v>
      </c>
      <c r="G21" s="3">
        <f>'Monthly Data'!EM21</f>
        <v>0</v>
      </c>
      <c r="H21" s="3">
        <f>'Monthly Data'!ET21</f>
        <v>0</v>
      </c>
      <c r="I21" s="3">
        <f>'Monthly Data'!EG21</f>
        <v>0</v>
      </c>
      <c r="J21">
        <f>'Monthly Data'!EH21</f>
        <v>20</v>
      </c>
      <c r="K21" s="3">
        <f>'Monthly Data'!DQ21</f>
        <v>31</v>
      </c>
      <c r="M21" s="3">
        <f t="shared" si="1"/>
        <v>-6000764.6164411902</v>
      </c>
      <c r="N21" s="3">
        <f t="shared" si="2"/>
        <v>16454.386845677593</v>
      </c>
      <c r="O21" s="3">
        <f t="shared" si="3"/>
        <v>24561427.548751973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1077251.2464153699</v>
      </c>
      <c r="T21" s="3">
        <f t="shared" si="8"/>
        <v>25469342.489254653</v>
      </c>
      <c r="U21" s="47">
        <f t="shared" si="9"/>
        <v>45123711.054826483</v>
      </c>
      <c r="V21" s="47">
        <f>'Monthly Data'!BF21+'Monthly Data'!BG21</f>
        <v>0</v>
      </c>
      <c r="W21" s="47">
        <f t="shared" si="10"/>
        <v>45123711.054826483</v>
      </c>
      <c r="X21" s="47">
        <f t="shared" si="11"/>
        <v>-1160215.1044677868</v>
      </c>
      <c r="Y21" s="18">
        <f t="shared" si="12"/>
        <v>2.5067344124495891E-2</v>
      </c>
      <c r="AB21" s="685" t="s">
        <v>420</v>
      </c>
      <c r="AC21" s="690">
        <v>-3.33649888269398E-2</v>
      </c>
      <c r="AD21" s="685" t="s">
        <v>421</v>
      </c>
      <c r="AE21" s="690">
        <v>2.0486580975897999</v>
      </c>
    </row>
    <row r="22" spans="1:31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Data'!BE22</f>
        <v>32267263.271041319</v>
      </c>
      <c r="E22" s="3">
        <f>'Monthly Data'!CP22</f>
        <v>40.929166666666667</v>
      </c>
      <c r="F22" s="3">
        <f>'Monthly Data'!CU22</f>
        <v>120.65416666666664</v>
      </c>
      <c r="G22" s="3">
        <f>'Monthly Data'!EM22</f>
        <v>0</v>
      </c>
      <c r="H22" s="3">
        <f>'Monthly Data'!ET22</f>
        <v>0</v>
      </c>
      <c r="I22" s="3">
        <f>'Monthly Data'!EG22</f>
        <v>1</v>
      </c>
      <c r="J22">
        <f>'Monthly Data'!EH22</f>
        <v>21</v>
      </c>
      <c r="K22" s="3">
        <f>'Monthly Data'!DQ22</f>
        <v>30</v>
      </c>
      <c r="M22" s="3">
        <f t="shared" si="1"/>
        <v>-6000764.6164411902</v>
      </c>
      <c r="N22" s="3">
        <f t="shared" si="2"/>
        <v>596425.98518483771</v>
      </c>
      <c r="O22" s="3">
        <f t="shared" si="3"/>
        <v>11139699.550938362</v>
      </c>
      <c r="P22" s="3">
        <f t="shared" si="4"/>
        <v>0</v>
      </c>
      <c r="Q22" s="3">
        <f t="shared" si="5"/>
        <v>0</v>
      </c>
      <c r="R22" s="3">
        <f t="shared" si="6"/>
        <v>-815229.51419000898</v>
      </c>
      <c r="S22" s="3">
        <f t="shared" si="7"/>
        <v>1131113.8087361385</v>
      </c>
      <c r="T22" s="3">
        <f t="shared" si="8"/>
        <v>24647750.796052888</v>
      </c>
      <c r="U22" s="47">
        <f t="shared" si="9"/>
        <v>30698996.010281026</v>
      </c>
      <c r="V22" s="47">
        <f>'Monthly Data'!BF22+'Monthly Data'!BG22</f>
        <v>0</v>
      </c>
      <c r="W22" s="47">
        <f t="shared" si="10"/>
        <v>30698996.010281026</v>
      </c>
      <c r="X22" s="47">
        <f t="shared" si="11"/>
        <v>-1568267.2607602924</v>
      </c>
      <c r="Y22" s="18">
        <f t="shared" ref="Y22:Y53" si="13">ABS(X22/D22)</f>
        <v>4.8602425547745617E-2</v>
      </c>
    </row>
    <row r="23" spans="1:31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Data'!BE23</f>
        <v>25862800.392748661</v>
      </c>
      <c r="E23" s="3">
        <f>'Monthly Data'!CP23</f>
        <v>222.13333333333333</v>
      </c>
      <c r="F23" s="3">
        <f>'Monthly Data'!CU23</f>
        <v>24.770833333333336</v>
      </c>
      <c r="G23" s="3">
        <f>'Monthly Data'!EM23</f>
        <v>0</v>
      </c>
      <c r="H23" s="3">
        <f>'Monthly Data'!ET23</f>
        <v>0</v>
      </c>
      <c r="I23" s="3">
        <f>'Monthly Data'!EG23</f>
        <v>1</v>
      </c>
      <c r="J23">
        <f>'Monthly Data'!EH23</f>
        <v>22</v>
      </c>
      <c r="K23" s="3">
        <f>'Monthly Data'!DQ23</f>
        <v>31</v>
      </c>
      <c r="M23" s="3">
        <f t="shared" si="1"/>
        <v>-6000764.6164411902</v>
      </c>
      <c r="N23" s="3">
        <f t="shared" si="2"/>
        <v>3236960.4115009741</v>
      </c>
      <c r="O23" s="3">
        <f t="shared" si="3"/>
        <v>2287029.5206799246</v>
      </c>
      <c r="P23" s="3">
        <f t="shared" si="4"/>
        <v>0</v>
      </c>
      <c r="Q23" s="3">
        <f t="shared" si="5"/>
        <v>0</v>
      </c>
      <c r="R23" s="3">
        <f t="shared" si="6"/>
        <v>-815229.51419000898</v>
      </c>
      <c r="S23" s="3">
        <f t="shared" si="7"/>
        <v>1184976.3710569069</v>
      </c>
      <c r="T23" s="3">
        <f t="shared" si="8"/>
        <v>25469342.489254653</v>
      </c>
      <c r="U23" s="47">
        <f t="shared" si="9"/>
        <v>25362314.661861259</v>
      </c>
      <c r="V23" s="47">
        <f>'Monthly Data'!BF23+'Monthly Data'!BG23</f>
        <v>0</v>
      </c>
      <c r="W23" s="47">
        <f t="shared" si="10"/>
        <v>25362314.661861259</v>
      </c>
      <c r="X23" s="47">
        <f t="shared" si="11"/>
        <v>-500485.73088740185</v>
      </c>
      <c r="Y23" s="18">
        <f t="shared" si="13"/>
        <v>1.9351567629456192E-2</v>
      </c>
      <c r="AB23" s="691" t="s">
        <v>408</v>
      </c>
      <c r="AC23" s="692"/>
      <c r="AD23" s="692"/>
      <c r="AE23" s="693"/>
    </row>
    <row r="24" spans="1:31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Data'!BE24</f>
        <v>25641526.930705804</v>
      </c>
      <c r="E24" s="3">
        <f>'Monthly Data'!CP24</f>
        <v>377.33511904761912</v>
      </c>
      <c r="F24" s="3">
        <f>'Monthly Data'!CU24</f>
        <v>0</v>
      </c>
      <c r="G24" s="3">
        <f>'Monthly Data'!EM24</f>
        <v>0</v>
      </c>
      <c r="H24" s="3">
        <f>'Monthly Data'!ET24</f>
        <v>0</v>
      </c>
      <c r="I24" s="3">
        <f>'Monthly Data'!EG24</f>
        <v>1</v>
      </c>
      <c r="J24">
        <f>'Monthly Data'!EH24</f>
        <v>23</v>
      </c>
      <c r="K24" s="3">
        <f>'Monthly Data'!DQ24</f>
        <v>30</v>
      </c>
      <c r="M24" s="3">
        <f t="shared" si="1"/>
        <v>-6000764.6164411902</v>
      </c>
      <c r="N24" s="3">
        <f t="shared" si="2"/>
        <v>5498584.223707159</v>
      </c>
      <c r="O24" s="3">
        <f t="shared" si="3"/>
        <v>0</v>
      </c>
      <c r="P24" s="3">
        <f t="shared" si="4"/>
        <v>0</v>
      </c>
      <c r="Q24" s="3">
        <f t="shared" si="5"/>
        <v>0</v>
      </c>
      <c r="R24" s="3">
        <f t="shared" si="6"/>
        <v>-815229.51419000898</v>
      </c>
      <c r="S24" s="3">
        <f t="shared" si="7"/>
        <v>1238838.9333776755</v>
      </c>
      <c r="T24" s="3">
        <f t="shared" si="8"/>
        <v>24647750.796052888</v>
      </c>
      <c r="U24" s="47">
        <f t="shared" si="9"/>
        <v>24569179.822506525</v>
      </c>
      <c r="V24" s="47">
        <f>'Monthly Data'!BF24+'Monthly Data'!BG24</f>
        <v>0</v>
      </c>
      <c r="W24" s="47">
        <f t="shared" si="10"/>
        <v>24569179.822506525</v>
      </c>
      <c r="X24" s="47">
        <f t="shared" si="11"/>
        <v>-1072347.1081992798</v>
      </c>
      <c r="Y24" s="18">
        <f t="shared" si="13"/>
        <v>4.1820719612260721E-2</v>
      </c>
      <c r="AB24" s="685" t="s">
        <v>422</v>
      </c>
      <c r="AC24" s="686">
        <v>32548604.534957901</v>
      </c>
      <c r="AD24" s="685" t="s">
        <v>423</v>
      </c>
      <c r="AE24" s="686">
        <v>6382155.7210105704</v>
      </c>
    </row>
    <row r="25" spans="1:31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Data'!BE25</f>
        <v>31547108.264423046</v>
      </c>
      <c r="E25" s="3">
        <f>'Monthly Data'!CP25</f>
        <v>616.67083333333335</v>
      </c>
      <c r="F25" s="3">
        <f>'Monthly Data'!CU25</f>
        <v>0</v>
      </c>
      <c r="G25" s="3">
        <f>'Monthly Data'!EM25</f>
        <v>0</v>
      </c>
      <c r="H25" s="3">
        <f>'Monthly Data'!ET25</f>
        <v>0</v>
      </c>
      <c r="I25" s="3">
        <f>'Monthly Data'!EG25</f>
        <v>0</v>
      </c>
      <c r="J25">
        <f>'Monthly Data'!EH25</f>
        <v>24</v>
      </c>
      <c r="K25" s="3">
        <f>'Monthly Data'!DQ25</f>
        <v>31</v>
      </c>
      <c r="M25" s="3">
        <f t="shared" si="1"/>
        <v>-6000764.6164411902</v>
      </c>
      <c r="N25" s="3">
        <f t="shared" si="2"/>
        <v>8986220.32305214</v>
      </c>
      <c r="O25" s="3">
        <f t="shared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1292701.4956984441</v>
      </c>
      <c r="T25" s="3">
        <f t="shared" si="8"/>
        <v>25469342.489254653</v>
      </c>
      <c r="U25" s="47">
        <f t="shared" si="9"/>
        <v>29747499.691564046</v>
      </c>
      <c r="V25" s="47">
        <f>'Monthly Data'!BF25+'Monthly Data'!BG25</f>
        <v>0</v>
      </c>
      <c r="W25" s="47">
        <f t="shared" si="10"/>
        <v>29747499.691564046</v>
      </c>
      <c r="X25" s="47">
        <f t="shared" si="11"/>
        <v>-1799608.5728590004</v>
      </c>
      <c r="Y25" s="18">
        <f t="shared" si="13"/>
        <v>5.7045119881510405E-2</v>
      </c>
    </row>
    <row r="26" spans="1:31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Data'!BE26</f>
        <v>30485456.806415159</v>
      </c>
      <c r="E26" s="3">
        <f>'Monthly Data'!CP26</f>
        <v>620.2166666666667</v>
      </c>
      <c r="F26" s="3">
        <f>'Monthly Data'!CU26</f>
        <v>0</v>
      </c>
      <c r="G26" s="3">
        <f>'Monthly Data'!EM26</f>
        <v>0</v>
      </c>
      <c r="H26" s="3">
        <f>'Monthly Data'!ET26</f>
        <v>0</v>
      </c>
      <c r="I26" s="3">
        <f>'Monthly Data'!EG26</f>
        <v>0</v>
      </c>
      <c r="J26">
        <f>'Monthly Data'!EH26</f>
        <v>25</v>
      </c>
      <c r="K26" s="3">
        <f>'Monthly Data'!DQ26</f>
        <v>31</v>
      </c>
      <c r="M26" s="3">
        <f t="shared" si="1"/>
        <v>-6000764.6164411902</v>
      </c>
      <c r="N26" s="3">
        <f t="shared" si="2"/>
        <v>9037890.7407852467</v>
      </c>
      <c r="O26" s="3">
        <f t="shared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1346564.0580192124</v>
      </c>
      <c r="T26" s="3">
        <f t="shared" si="8"/>
        <v>25469342.489254653</v>
      </c>
      <c r="U26" s="47">
        <f t="shared" si="9"/>
        <v>29853032.671617921</v>
      </c>
      <c r="V26" s="47">
        <f>'Monthly Data'!BF26+'Monthly Data'!BG26</f>
        <v>1012.7023076923077</v>
      </c>
      <c r="W26" s="47">
        <f t="shared" si="10"/>
        <v>29854045.373925615</v>
      </c>
      <c r="X26" s="47">
        <f t="shared" si="11"/>
        <v>-631411.43248954415</v>
      </c>
      <c r="Y26" s="18">
        <f t="shared" si="13"/>
        <v>2.0711890148113973E-2</v>
      </c>
    </row>
    <row r="27" spans="1:31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Data'!BE27</f>
        <v>26391860.978880726</v>
      </c>
      <c r="E27" s="3">
        <f>'Monthly Data'!CP27</f>
        <v>530.08333333333337</v>
      </c>
      <c r="F27" s="3">
        <f>'Monthly Data'!CU27</f>
        <v>0</v>
      </c>
      <c r="G27" s="3">
        <f>'Monthly Data'!EM27</f>
        <v>0</v>
      </c>
      <c r="H27" s="3">
        <f>'Monthly Data'!ET27</f>
        <v>0</v>
      </c>
      <c r="I27" s="3">
        <f>'Monthly Data'!EG27</f>
        <v>0</v>
      </c>
      <c r="J27">
        <f>'Monthly Data'!EH27</f>
        <v>26</v>
      </c>
      <c r="K27" s="3">
        <f>'Monthly Data'!DQ27</f>
        <v>28</v>
      </c>
      <c r="M27" s="3">
        <f t="shared" si="1"/>
        <v>-6000764.6164411902</v>
      </c>
      <c r="N27" s="3">
        <f t="shared" si="2"/>
        <v>7724454.2232734468</v>
      </c>
      <c r="O27" s="3">
        <f t="shared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1400426.620339981</v>
      </c>
      <c r="T27" s="3">
        <f t="shared" si="8"/>
        <v>23004567.409649365</v>
      </c>
      <c r="U27" s="47">
        <f t="shared" si="9"/>
        <v>26128683.636821602</v>
      </c>
      <c r="V27" s="47">
        <f>'Monthly Data'!BF27+'Monthly Data'!BG27</f>
        <v>2025.4046153846155</v>
      </c>
      <c r="W27" s="47">
        <f t="shared" si="10"/>
        <v>26130709.041436985</v>
      </c>
      <c r="X27" s="47">
        <f t="shared" si="11"/>
        <v>-261151.93744374067</v>
      </c>
      <c r="Y27" s="18">
        <f t="shared" si="13"/>
        <v>9.8951694862563673E-3</v>
      </c>
    </row>
    <row r="28" spans="1:31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Data'!BE28</f>
        <v>28587408.144225992</v>
      </c>
      <c r="E28" s="3">
        <f>'Monthly Data'!CP28</f>
        <v>599.67916666666667</v>
      </c>
      <c r="F28" s="3">
        <f>'Monthly Data'!CU28</f>
        <v>0</v>
      </c>
      <c r="G28" s="3">
        <f>'Monthly Data'!EM28</f>
        <v>0</v>
      </c>
      <c r="H28" s="3">
        <f>'Monthly Data'!ET28</f>
        <v>0</v>
      </c>
      <c r="I28" s="3">
        <f>'Monthly Data'!EG28</f>
        <v>1</v>
      </c>
      <c r="J28">
        <f>'Monthly Data'!EH28</f>
        <v>27</v>
      </c>
      <c r="K28" s="3">
        <f>'Monthly Data'!DQ28</f>
        <v>31</v>
      </c>
      <c r="M28" s="3">
        <f t="shared" si="1"/>
        <v>-6000764.6164411902</v>
      </c>
      <c r="N28" s="3">
        <f t="shared" si="2"/>
        <v>8738615.1955367401</v>
      </c>
      <c r="O28" s="3">
        <f t="shared" si="3"/>
        <v>0</v>
      </c>
      <c r="P28" s="3">
        <f t="shared" si="4"/>
        <v>0</v>
      </c>
      <c r="Q28" s="3">
        <f t="shared" si="5"/>
        <v>0</v>
      </c>
      <c r="R28" s="3">
        <f t="shared" si="6"/>
        <v>-815229.51419000898</v>
      </c>
      <c r="S28" s="3">
        <f t="shared" si="7"/>
        <v>1454289.1826607494</v>
      </c>
      <c r="T28" s="3">
        <f t="shared" si="8"/>
        <v>25469342.489254653</v>
      </c>
      <c r="U28" s="47">
        <f t="shared" si="9"/>
        <v>28846252.736820944</v>
      </c>
      <c r="V28" s="47">
        <f>'Monthly Data'!BF28+'Monthly Data'!BG28</f>
        <v>3038.1069230769231</v>
      </c>
      <c r="W28" s="47">
        <f t="shared" si="10"/>
        <v>28849290.843744021</v>
      </c>
      <c r="X28" s="47">
        <f t="shared" si="11"/>
        <v>261882.69951802865</v>
      </c>
      <c r="Y28" s="18">
        <f t="shared" si="13"/>
        <v>9.1607710008828839E-3</v>
      </c>
    </row>
    <row r="29" spans="1:31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Data'!BE29</f>
        <v>24574299.531381663</v>
      </c>
      <c r="E29" s="3">
        <f>'Monthly Data'!CP29</f>
        <v>288.73333333333335</v>
      </c>
      <c r="F29" s="3">
        <f>'Monthly Data'!CU29</f>
        <v>5.6500000000000057</v>
      </c>
      <c r="G29" s="3">
        <f>'Monthly Data'!EM29</f>
        <v>0</v>
      </c>
      <c r="H29" s="3">
        <f>'Monthly Data'!ET29</f>
        <v>0</v>
      </c>
      <c r="I29" s="3">
        <f>'Monthly Data'!EG29</f>
        <v>1</v>
      </c>
      <c r="J29">
        <f>'Monthly Data'!EH29</f>
        <v>28</v>
      </c>
      <c r="K29" s="3">
        <f>'Monthly Data'!DQ29</f>
        <v>30</v>
      </c>
      <c r="M29" s="3">
        <f t="shared" si="1"/>
        <v>-6000764.6164411902</v>
      </c>
      <c r="N29" s="3">
        <f t="shared" si="2"/>
        <v>4207465.6489227852</v>
      </c>
      <c r="O29" s="3">
        <f t="shared" si="3"/>
        <v>521650.46762691013</v>
      </c>
      <c r="P29" s="3">
        <f t="shared" si="4"/>
        <v>0</v>
      </c>
      <c r="Q29" s="3">
        <f t="shared" si="5"/>
        <v>0</v>
      </c>
      <c r="R29" s="3">
        <f t="shared" si="6"/>
        <v>-815229.51419000898</v>
      </c>
      <c r="S29" s="3">
        <f t="shared" si="7"/>
        <v>1508151.744981518</v>
      </c>
      <c r="T29" s="3">
        <f t="shared" si="8"/>
        <v>24647750.796052888</v>
      </c>
      <c r="U29" s="47">
        <f t="shared" si="9"/>
        <v>24069024.526952904</v>
      </c>
      <c r="V29" s="47">
        <f>'Monthly Data'!BF29+'Monthly Data'!BG29</f>
        <v>4050.8092307692309</v>
      </c>
      <c r="W29" s="47">
        <f t="shared" si="10"/>
        <v>24073075.336183675</v>
      </c>
      <c r="X29" s="47">
        <f t="shared" si="11"/>
        <v>-501224.1951979883</v>
      </c>
      <c r="Y29" s="18">
        <f t="shared" si="13"/>
        <v>2.0396275977588668E-2</v>
      </c>
    </row>
    <row r="30" spans="1:31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Data'!BE30</f>
        <v>25554562.015087429</v>
      </c>
      <c r="E30" s="3">
        <f>'Monthly Data'!CP30</f>
        <v>188.63749999999999</v>
      </c>
      <c r="F30" s="3">
        <f>'Monthly Data'!CU30</f>
        <v>28.370833333333344</v>
      </c>
      <c r="G30" s="3">
        <f>'Monthly Data'!EM30</f>
        <v>0</v>
      </c>
      <c r="H30" s="3">
        <f>'Monthly Data'!ET30</f>
        <v>0</v>
      </c>
      <c r="I30" s="3">
        <f>'Monthly Data'!EG30</f>
        <v>1</v>
      </c>
      <c r="J30">
        <f>'Monthly Data'!EH30</f>
        <v>29</v>
      </c>
      <c r="K30" s="3">
        <f>'Monthly Data'!DQ30</f>
        <v>31</v>
      </c>
      <c r="M30" s="3">
        <f t="shared" si="1"/>
        <v>-6000764.6164411902</v>
      </c>
      <c r="N30" s="3">
        <f t="shared" si="2"/>
        <v>2748854.0799422944</v>
      </c>
      <c r="O30" s="3">
        <f t="shared" si="3"/>
        <v>2619408.5796988416</v>
      </c>
      <c r="P30" s="3">
        <f t="shared" si="4"/>
        <v>0</v>
      </c>
      <c r="Q30" s="3">
        <f t="shared" si="5"/>
        <v>0</v>
      </c>
      <c r="R30" s="3">
        <f t="shared" si="6"/>
        <v>-815229.51419000898</v>
      </c>
      <c r="S30" s="3">
        <f t="shared" si="7"/>
        <v>1562014.3073022864</v>
      </c>
      <c r="T30" s="3">
        <f t="shared" si="8"/>
        <v>25469342.489254653</v>
      </c>
      <c r="U30" s="47">
        <f t="shared" si="9"/>
        <v>25583625.325566877</v>
      </c>
      <c r="V30" s="47">
        <f>'Monthly Data'!BF30+'Monthly Data'!BG30</f>
        <v>5063.5115384615392</v>
      </c>
      <c r="W30" s="47">
        <f t="shared" si="10"/>
        <v>25588688.837105338</v>
      </c>
      <c r="X30" s="47">
        <f t="shared" si="11"/>
        <v>34126.822017908096</v>
      </c>
      <c r="Y30" s="18">
        <f t="shared" si="13"/>
        <v>1.3354493024673871E-3</v>
      </c>
    </row>
    <row r="31" spans="1:31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Data'!BE31</f>
        <v>30588200.153912894</v>
      </c>
      <c r="E31" s="3">
        <f>'Monthly Data'!CP31</f>
        <v>47.73249999999998</v>
      </c>
      <c r="F31" s="3">
        <f>'Monthly Data'!CU31</f>
        <v>112.71333333333334</v>
      </c>
      <c r="G31" s="3">
        <f>'Monthly Data'!EM31</f>
        <v>0</v>
      </c>
      <c r="H31" s="3">
        <f>'Monthly Data'!ET31</f>
        <v>0</v>
      </c>
      <c r="I31" s="3">
        <f>'Monthly Data'!EG31</f>
        <v>0</v>
      </c>
      <c r="J31">
        <f>'Monthly Data'!EH31</f>
        <v>30</v>
      </c>
      <c r="K31" s="3">
        <f>'Monthly Data'!DQ31</f>
        <v>30</v>
      </c>
      <c r="M31" s="3">
        <f t="shared" si="1"/>
        <v>-6000764.6164411902</v>
      </c>
      <c r="N31" s="3">
        <f t="shared" si="2"/>
        <v>695565.18386241083</v>
      </c>
      <c r="O31" s="3">
        <f t="shared" si="3"/>
        <v>10406542.131171873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1615876.869623055</v>
      </c>
      <c r="T31" s="3">
        <f t="shared" si="8"/>
        <v>24647750.796052888</v>
      </c>
      <c r="U31" s="47">
        <f t="shared" si="9"/>
        <v>31364970.364269037</v>
      </c>
      <c r="V31" s="47">
        <f>'Monthly Data'!BF31+'Monthly Data'!BG31</f>
        <v>6076.2138461538461</v>
      </c>
      <c r="W31" s="47">
        <f t="shared" si="10"/>
        <v>31371046.578115191</v>
      </c>
      <c r="X31" s="47">
        <f t="shared" si="11"/>
        <v>782846.42420229688</v>
      </c>
      <c r="Y31" s="18">
        <f t="shared" si="13"/>
        <v>2.5593085577549218E-2</v>
      </c>
    </row>
    <row r="32" spans="1:31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Data'!BE32</f>
        <v>37992744.147648364</v>
      </c>
      <c r="E32" s="3">
        <f>'Monthly Data'!CP32</f>
        <v>1.8041666666666707</v>
      </c>
      <c r="F32" s="3">
        <f>'Monthly Data'!CU32</f>
        <v>198.16666666666666</v>
      </c>
      <c r="G32" s="3">
        <f>'Monthly Data'!EM32</f>
        <v>0</v>
      </c>
      <c r="H32" s="3">
        <f>'Monthly Data'!ET32</f>
        <v>0</v>
      </c>
      <c r="I32" s="3">
        <f>'Monthly Data'!EG32</f>
        <v>0</v>
      </c>
      <c r="J32">
        <f>'Monthly Data'!EH32</f>
        <v>31</v>
      </c>
      <c r="K32" s="3">
        <f>'Monthly Data'!DQ32</f>
        <v>31</v>
      </c>
      <c r="M32" s="3">
        <f t="shared" si="1"/>
        <v>-6000764.6164411902</v>
      </c>
      <c r="N32" s="3">
        <f t="shared" si="2"/>
        <v>26290.588576304115</v>
      </c>
      <c r="O32" s="3">
        <f t="shared" si="3"/>
        <v>18296236.165439397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1669739.4319438234</v>
      </c>
      <c r="T32" s="3">
        <f t="shared" si="8"/>
        <v>25469342.489254653</v>
      </c>
      <c r="U32" s="47">
        <f t="shared" si="9"/>
        <v>39460844.058772989</v>
      </c>
      <c r="V32" s="47">
        <f>'Monthly Data'!BF32+'Monthly Data'!BG32</f>
        <v>7088.9161538461531</v>
      </c>
      <c r="W32" s="47">
        <f t="shared" si="10"/>
        <v>39467932.974926837</v>
      </c>
      <c r="X32" s="47">
        <f t="shared" si="11"/>
        <v>1475188.8272784725</v>
      </c>
      <c r="Y32" s="18">
        <f t="shared" si="13"/>
        <v>3.8828172599103566E-2</v>
      </c>
    </row>
    <row r="33" spans="1:25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Data'!BE33</f>
        <v>35156430.481603831</v>
      </c>
      <c r="E33" s="3">
        <f>'Monthly Data'!CP33</f>
        <v>17.950000000000006</v>
      </c>
      <c r="F33" s="3">
        <f>'Monthly Data'!CU33</f>
        <v>155.42409420289857</v>
      </c>
      <c r="G33" s="3">
        <f>'Monthly Data'!EM33</f>
        <v>0</v>
      </c>
      <c r="H33" s="3">
        <f>'Monthly Data'!ET33</f>
        <v>0</v>
      </c>
      <c r="I33" s="3">
        <f>'Monthly Data'!EG33</f>
        <v>0</v>
      </c>
      <c r="J33">
        <f>'Monthly Data'!EH33</f>
        <v>32</v>
      </c>
      <c r="K33" s="3">
        <f>'Monthly Data'!DQ33</f>
        <v>31</v>
      </c>
      <c r="M33" s="3">
        <f t="shared" si="1"/>
        <v>-6000764.6164411902</v>
      </c>
      <c r="N33" s="3">
        <f t="shared" si="2"/>
        <v>261570.10528110372</v>
      </c>
      <c r="O33" s="3">
        <f t="shared" si="3"/>
        <v>14349920.605562991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1723601.994264592</v>
      </c>
      <c r="T33" s="3">
        <f t="shared" si="8"/>
        <v>25469342.489254653</v>
      </c>
      <c r="U33" s="47">
        <f t="shared" si="9"/>
        <v>35803670.57792215</v>
      </c>
      <c r="V33" s="47">
        <f>'Monthly Data'!BF33+'Monthly Data'!BG33</f>
        <v>8101.6184615384618</v>
      </c>
      <c r="W33" s="47">
        <f t="shared" si="10"/>
        <v>35811772.196383692</v>
      </c>
      <c r="X33" s="47">
        <f t="shared" si="11"/>
        <v>655341.71477986127</v>
      </c>
      <c r="Y33" s="18">
        <f t="shared" si="13"/>
        <v>1.8640735302259407E-2</v>
      </c>
    </row>
    <row r="34" spans="1:25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Data'!BE34</f>
        <v>32580189.603249595</v>
      </c>
      <c r="E34" s="3">
        <f>'Monthly Data'!CP34</f>
        <v>65.699999999999989</v>
      </c>
      <c r="F34" s="3">
        <f>'Monthly Data'!CU34</f>
        <v>112.67916666666666</v>
      </c>
      <c r="G34" s="3">
        <f>'Monthly Data'!EM34</f>
        <v>0</v>
      </c>
      <c r="H34" s="3">
        <f>'Monthly Data'!ET34</f>
        <v>0</v>
      </c>
      <c r="I34" s="3">
        <f>'Monthly Data'!EG34</f>
        <v>1</v>
      </c>
      <c r="J34">
        <f>'Monthly Data'!EH34</f>
        <v>33</v>
      </c>
      <c r="K34" s="3">
        <f>'Monthly Data'!DQ34</f>
        <v>30</v>
      </c>
      <c r="M34" s="3">
        <f t="shared" ref="M34:M65" si="14">$AC$8</f>
        <v>-6000764.6164411902</v>
      </c>
      <c r="N34" s="3">
        <f t="shared" ref="N34:N65" si="15">E34*$AC$9</f>
        <v>957390.30178097531</v>
      </c>
      <c r="O34" s="3">
        <f t="shared" ref="O34:O65" si="16">F34*$AC$10</f>
        <v>10403387.607695071</v>
      </c>
      <c r="P34" s="3">
        <f t="shared" ref="P34:P65" si="17">G34*$AC$11</f>
        <v>0</v>
      </c>
      <c r="Q34" s="3">
        <f t="shared" ref="Q34:Q65" si="18">H34*$AC$12</f>
        <v>0</v>
      </c>
      <c r="R34" s="3">
        <f t="shared" ref="R34:R65" si="19">I34*$AC$13</f>
        <v>-815229.51419000898</v>
      </c>
      <c r="S34" s="3">
        <f t="shared" ref="S34:S65" si="20">J34*$AC$14</f>
        <v>1777464.5565853606</v>
      </c>
      <c r="T34" s="3">
        <f t="shared" ref="T34:T65" si="21">K34*$AC$15</f>
        <v>24647750.796052888</v>
      </c>
      <c r="U34" s="47">
        <f t="shared" si="9"/>
        <v>30969999.131483097</v>
      </c>
      <c r="V34" s="47">
        <f>'Monthly Data'!BF34+'Monthly Data'!BG34</f>
        <v>9114.3207692307697</v>
      </c>
      <c r="W34" s="47">
        <f t="shared" si="10"/>
        <v>30979113.452252328</v>
      </c>
      <c r="X34" s="47">
        <f t="shared" si="11"/>
        <v>-1601076.1509972662</v>
      </c>
      <c r="Y34" s="18">
        <f t="shared" si="13"/>
        <v>4.9142628403782293E-2</v>
      </c>
    </row>
    <row r="35" spans="1:25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Data'!BE35</f>
        <v>26468289.330095068</v>
      </c>
      <c r="E35" s="3">
        <f>'Monthly Data'!CP35</f>
        <v>179.70833333333334</v>
      </c>
      <c r="F35" s="3">
        <f>'Monthly Data'!CU35</f>
        <v>29.654166666666669</v>
      </c>
      <c r="G35" s="3">
        <f>'Monthly Data'!EM35</f>
        <v>0</v>
      </c>
      <c r="H35" s="3">
        <f>'Monthly Data'!ET35</f>
        <v>0</v>
      </c>
      <c r="I35" s="3">
        <f>'Monthly Data'!EG35</f>
        <v>1</v>
      </c>
      <c r="J35">
        <f>'Monthly Data'!EH35</f>
        <v>34</v>
      </c>
      <c r="K35" s="3">
        <f>'Monthly Data'!DQ35</f>
        <v>31</v>
      </c>
      <c r="M35" s="3">
        <f t="shared" si="14"/>
        <v>-6000764.6164411902</v>
      </c>
      <c r="N35" s="3">
        <f t="shared" si="15"/>
        <v>2618736.9175427114</v>
      </c>
      <c r="O35" s="3">
        <f t="shared" si="16"/>
        <v>2737895.5590713248</v>
      </c>
      <c r="P35" s="3">
        <f t="shared" si="17"/>
        <v>0</v>
      </c>
      <c r="Q35" s="3">
        <f t="shared" si="18"/>
        <v>0</v>
      </c>
      <c r="R35" s="3">
        <f t="shared" si="19"/>
        <v>-815229.51419000898</v>
      </c>
      <c r="S35" s="3">
        <f t="shared" si="20"/>
        <v>1831327.1189061289</v>
      </c>
      <c r="T35" s="3">
        <f t="shared" si="21"/>
        <v>25469342.489254653</v>
      </c>
      <c r="U35" s="47">
        <f t="shared" si="9"/>
        <v>25841307.954143621</v>
      </c>
      <c r="V35" s="47">
        <f>'Monthly Data'!BF35+'Monthly Data'!BG35</f>
        <v>10127.023076923078</v>
      </c>
      <c r="W35" s="47">
        <f t="shared" si="10"/>
        <v>25851434.977220543</v>
      </c>
      <c r="X35" s="47">
        <f t="shared" si="11"/>
        <v>-616854.35287452489</v>
      </c>
      <c r="Y35" s="18">
        <f t="shared" si="13"/>
        <v>2.3305410681496025E-2</v>
      </c>
    </row>
    <row r="36" spans="1:25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Data'!BE36</f>
        <v>27549828.038040731</v>
      </c>
      <c r="E36" s="3">
        <f>'Monthly Data'!CP36</f>
        <v>442.61174242424244</v>
      </c>
      <c r="F36" s="3">
        <f>'Monthly Data'!CU36</f>
        <v>0</v>
      </c>
      <c r="G36" s="3">
        <f>'Monthly Data'!EM36</f>
        <v>0</v>
      </c>
      <c r="H36" s="3">
        <f>'Monthly Data'!ET36</f>
        <v>0</v>
      </c>
      <c r="I36" s="3">
        <f>'Monthly Data'!EG36</f>
        <v>1</v>
      </c>
      <c r="J36">
        <f>'Monthly Data'!EH36</f>
        <v>35</v>
      </c>
      <c r="K36" s="3">
        <f>'Monthly Data'!DQ36</f>
        <v>30</v>
      </c>
      <c r="M36" s="3">
        <f t="shared" si="14"/>
        <v>-6000764.6164411902</v>
      </c>
      <c r="N36" s="3">
        <f t="shared" si="15"/>
        <v>6449805.0175243355</v>
      </c>
      <c r="O36" s="3">
        <f t="shared" si="16"/>
        <v>0</v>
      </c>
      <c r="P36" s="3">
        <f t="shared" si="17"/>
        <v>0</v>
      </c>
      <c r="Q36" s="3">
        <f t="shared" si="18"/>
        <v>0</v>
      </c>
      <c r="R36" s="3">
        <f t="shared" si="19"/>
        <v>-815229.51419000898</v>
      </c>
      <c r="S36" s="3">
        <f t="shared" si="20"/>
        <v>1885189.6812268975</v>
      </c>
      <c r="T36" s="3">
        <f t="shared" si="21"/>
        <v>24647750.796052888</v>
      </c>
      <c r="U36" s="47">
        <f t="shared" si="9"/>
        <v>26166751.364172921</v>
      </c>
      <c r="V36" s="47">
        <f>'Monthly Data'!BF36+'Monthly Data'!BG36</f>
        <v>11139.725384615384</v>
      </c>
      <c r="W36" s="47">
        <f t="shared" si="10"/>
        <v>26177891.089557536</v>
      </c>
      <c r="X36" s="47">
        <f t="shared" si="11"/>
        <v>-1371936.9484831952</v>
      </c>
      <c r="Y36" s="18">
        <f t="shared" si="13"/>
        <v>4.9798385187335044E-2</v>
      </c>
    </row>
    <row r="37" spans="1:25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Data'!BE37</f>
        <v>33598624.644266002</v>
      </c>
      <c r="E37" s="3">
        <f>'Monthly Data'!CP37</f>
        <v>736.31250000000011</v>
      </c>
      <c r="F37" s="3">
        <f>'Monthly Data'!CU37</f>
        <v>0</v>
      </c>
      <c r="G37" s="3">
        <f>'Monthly Data'!EM37</f>
        <v>0</v>
      </c>
      <c r="H37" s="3">
        <f>'Monthly Data'!ET37</f>
        <v>0</v>
      </c>
      <c r="I37" s="3">
        <f>'Monthly Data'!EG37</f>
        <v>0</v>
      </c>
      <c r="J37">
        <f>'Monthly Data'!EH37</f>
        <v>36</v>
      </c>
      <c r="K37" s="3">
        <f>'Monthly Data'!DQ37</f>
        <v>31</v>
      </c>
      <c r="M37" s="3">
        <f t="shared" si="14"/>
        <v>-6000764.6164411902</v>
      </c>
      <c r="N37" s="3">
        <f t="shared" si="15"/>
        <v>10729656.721158365</v>
      </c>
      <c r="O37" s="3">
        <f t="shared" si="16"/>
        <v>0</v>
      </c>
      <c r="P37" s="3">
        <f t="shared" si="17"/>
        <v>0</v>
      </c>
      <c r="Q37" s="3">
        <f t="shared" si="18"/>
        <v>0</v>
      </c>
      <c r="R37" s="3">
        <f t="shared" si="19"/>
        <v>0</v>
      </c>
      <c r="S37" s="3">
        <f t="shared" si="20"/>
        <v>1939052.2435476659</v>
      </c>
      <c r="T37" s="3">
        <f t="shared" si="21"/>
        <v>25469342.489254653</v>
      </c>
      <c r="U37" s="47">
        <f t="shared" si="9"/>
        <v>32137286.837519493</v>
      </c>
      <c r="V37" s="47">
        <f>'Monthly Data'!BF37+'Monthly Data'!BG37</f>
        <v>12152.427692307692</v>
      </c>
      <c r="W37" s="47">
        <f t="shared" si="10"/>
        <v>32149439.265211802</v>
      </c>
      <c r="X37" s="47">
        <f t="shared" si="11"/>
        <v>-1449185.3790541999</v>
      </c>
      <c r="Y37" s="18">
        <f t="shared" si="13"/>
        <v>4.3132282776388003E-2</v>
      </c>
    </row>
    <row r="38" spans="1:25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Data'!BE38</f>
        <v>32620888.624295734</v>
      </c>
      <c r="E38" s="3">
        <f>'Monthly Data'!CP38</f>
        <v>750.53750000000002</v>
      </c>
      <c r="F38" s="3">
        <f>'Monthly Data'!CU38</f>
        <v>0</v>
      </c>
      <c r="G38" s="3">
        <f>'Monthly Data'!EM38</f>
        <v>0</v>
      </c>
      <c r="H38" s="3">
        <f>'Monthly Data'!ET38</f>
        <v>0</v>
      </c>
      <c r="I38" s="3">
        <f>'Monthly Data'!EG38</f>
        <v>0</v>
      </c>
      <c r="J38">
        <f>'Monthly Data'!EH38</f>
        <v>37</v>
      </c>
      <c r="K38" s="3">
        <f>'Monthly Data'!DQ38</f>
        <v>31</v>
      </c>
      <c r="M38" s="3">
        <f t="shared" si="14"/>
        <v>-6000764.6164411902</v>
      </c>
      <c r="N38" s="3">
        <f t="shared" si="15"/>
        <v>10936945.565037122</v>
      </c>
      <c r="O38" s="3">
        <f t="shared" si="16"/>
        <v>0</v>
      </c>
      <c r="P38" s="3">
        <f t="shared" si="17"/>
        <v>0</v>
      </c>
      <c r="Q38" s="3">
        <f t="shared" si="18"/>
        <v>0</v>
      </c>
      <c r="R38" s="3">
        <f t="shared" si="19"/>
        <v>0</v>
      </c>
      <c r="S38" s="3">
        <f t="shared" si="20"/>
        <v>1992914.8058684345</v>
      </c>
      <c r="T38" s="3">
        <f t="shared" si="21"/>
        <v>25469342.489254653</v>
      </c>
      <c r="U38" s="47">
        <f t="shared" si="9"/>
        <v>32398438.243719019</v>
      </c>
      <c r="V38" s="47">
        <f>'Monthly Data'!BF38+'Monthly Data'!BG38</f>
        <v>15248.211666666666</v>
      </c>
      <c r="W38" s="47">
        <f t="shared" si="10"/>
        <v>32413686.455385685</v>
      </c>
      <c r="X38" s="47">
        <f t="shared" si="11"/>
        <v>-207202.1689100489</v>
      </c>
      <c r="Y38" s="18">
        <f t="shared" si="13"/>
        <v>6.3518247861502663E-3</v>
      </c>
    </row>
    <row r="39" spans="1:25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Data'!BE39</f>
        <v>27553017.604186989</v>
      </c>
      <c r="E39" s="3">
        <f>'Monthly Data'!CP39</f>
        <v>576.49583333333317</v>
      </c>
      <c r="F39" s="3">
        <f>'Monthly Data'!CU39</f>
        <v>0</v>
      </c>
      <c r="G39" s="3">
        <f>'Monthly Data'!EM39</f>
        <v>0</v>
      </c>
      <c r="H39" s="3">
        <f>'Monthly Data'!ET39</f>
        <v>0</v>
      </c>
      <c r="I39" s="3">
        <f>'Monthly Data'!EG39</f>
        <v>0</v>
      </c>
      <c r="J39">
        <f>'Monthly Data'!EH39</f>
        <v>38</v>
      </c>
      <c r="K39" s="3">
        <f>'Monthly Data'!DQ39</f>
        <v>28</v>
      </c>
      <c r="M39" s="3">
        <f t="shared" si="14"/>
        <v>-6000764.6164411902</v>
      </c>
      <c r="N39" s="3">
        <f t="shared" si="15"/>
        <v>8400784.1681959629</v>
      </c>
      <c r="O39" s="3">
        <f t="shared" si="16"/>
        <v>0</v>
      </c>
      <c r="P39" s="3">
        <f t="shared" si="17"/>
        <v>0</v>
      </c>
      <c r="Q39" s="3">
        <f t="shared" si="18"/>
        <v>0</v>
      </c>
      <c r="R39" s="3">
        <f t="shared" si="19"/>
        <v>0</v>
      </c>
      <c r="S39" s="3">
        <f t="shared" si="20"/>
        <v>2046777.3681892029</v>
      </c>
      <c r="T39" s="3">
        <f t="shared" si="21"/>
        <v>23004567.409649365</v>
      </c>
      <c r="U39" s="47">
        <f t="shared" si="9"/>
        <v>27451364.329593338</v>
      </c>
      <c r="V39" s="47">
        <f>'Monthly Data'!BF39+'Monthly Data'!BG39</f>
        <v>17331.293333333335</v>
      </c>
      <c r="W39" s="47">
        <f t="shared" si="10"/>
        <v>27468695.622926671</v>
      </c>
      <c r="X39" s="47">
        <f t="shared" si="11"/>
        <v>-84321.981260318309</v>
      </c>
      <c r="Y39" s="18">
        <f t="shared" si="13"/>
        <v>3.0603537685652492E-3</v>
      </c>
    </row>
    <row r="40" spans="1:25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Data'!BE40</f>
        <v>28570971.462648444</v>
      </c>
      <c r="E40" s="3">
        <f>'Monthly Data'!CP40</f>
        <v>567.2791666666667</v>
      </c>
      <c r="F40" s="3">
        <f>'Monthly Data'!CU40</f>
        <v>0</v>
      </c>
      <c r="G40" s="3">
        <f>'Monthly Data'!EM40</f>
        <v>0</v>
      </c>
      <c r="H40" s="3">
        <f>'Monthly Data'!ET40</f>
        <v>0</v>
      </c>
      <c r="I40" s="3">
        <f>'Monthly Data'!EG40</f>
        <v>1</v>
      </c>
      <c r="J40">
        <f>'Monthly Data'!EH40</f>
        <v>39</v>
      </c>
      <c r="K40" s="3">
        <f>'Monthly Data'!DQ40</f>
        <v>31</v>
      </c>
      <c r="M40" s="3">
        <f t="shared" si="14"/>
        <v>-6000764.6164411902</v>
      </c>
      <c r="N40" s="3">
        <f t="shared" si="15"/>
        <v>8266477.5124666709</v>
      </c>
      <c r="O40" s="3">
        <f t="shared" si="16"/>
        <v>0</v>
      </c>
      <c r="P40" s="3">
        <f t="shared" si="17"/>
        <v>0</v>
      </c>
      <c r="Q40" s="3">
        <f t="shared" si="18"/>
        <v>0</v>
      </c>
      <c r="R40" s="3">
        <f t="shared" si="19"/>
        <v>-815229.51419000898</v>
      </c>
      <c r="S40" s="3">
        <f t="shared" si="20"/>
        <v>2100639.9305099715</v>
      </c>
      <c r="T40" s="3">
        <f t="shared" si="21"/>
        <v>25469342.489254653</v>
      </c>
      <c r="U40" s="47">
        <f t="shared" si="9"/>
        <v>29020465.801600099</v>
      </c>
      <c r="V40" s="47">
        <f>'Monthly Data'!BF40+'Monthly Data'!BG40</f>
        <v>19414.375</v>
      </c>
      <c r="W40" s="47">
        <f t="shared" si="10"/>
        <v>29039880.176600099</v>
      </c>
      <c r="X40" s="47">
        <f t="shared" si="11"/>
        <v>468908.71395165473</v>
      </c>
      <c r="Y40" s="18">
        <f t="shared" si="13"/>
        <v>1.6412067561814306E-2</v>
      </c>
    </row>
    <row r="41" spans="1:25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Data'!BE41</f>
        <v>26969894.908629999</v>
      </c>
      <c r="E41" s="3">
        <f>'Monthly Data'!CP41</f>
        <v>452.51666666666677</v>
      </c>
      <c r="F41" s="3">
        <f>'Monthly Data'!CU41</f>
        <v>0</v>
      </c>
      <c r="G41" s="3">
        <f>'Monthly Data'!EM41</f>
        <v>0</v>
      </c>
      <c r="H41" s="3">
        <f>'Monthly Data'!ET41</f>
        <v>0</v>
      </c>
      <c r="I41" s="3">
        <f>'Monthly Data'!EG41</f>
        <v>1</v>
      </c>
      <c r="J41">
        <f>'Monthly Data'!EH41</f>
        <v>40</v>
      </c>
      <c r="K41" s="3">
        <f>'Monthly Data'!DQ41</f>
        <v>30</v>
      </c>
      <c r="M41" s="3">
        <f t="shared" si="14"/>
        <v>-6000764.6164411902</v>
      </c>
      <c r="N41" s="3">
        <f t="shared" si="15"/>
        <v>6594141.0663762735</v>
      </c>
      <c r="O41" s="3">
        <f t="shared" si="16"/>
        <v>0</v>
      </c>
      <c r="P41" s="3">
        <f t="shared" si="17"/>
        <v>0</v>
      </c>
      <c r="Q41" s="3">
        <f t="shared" si="18"/>
        <v>0</v>
      </c>
      <c r="R41" s="3">
        <f t="shared" si="19"/>
        <v>-815229.51419000898</v>
      </c>
      <c r="S41" s="3">
        <f t="shared" si="20"/>
        <v>2154502.4928307398</v>
      </c>
      <c r="T41" s="3">
        <f t="shared" si="21"/>
        <v>24647750.796052888</v>
      </c>
      <c r="U41" s="47">
        <f t="shared" si="9"/>
        <v>26580400.224628702</v>
      </c>
      <c r="V41" s="47">
        <f>'Monthly Data'!BF41+'Monthly Data'!BG41</f>
        <v>21497.456666666669</v>
      </c>
      <c r="W41" s="47">
        <f t="shared" si="10"/>
        <v>26601897.681295369</v>
      </c>
      <c r="X41" s="47">
        <f t="shared" si="11"/>
        <v>-367997.22733462974</v>
      </c>
      <c r="Y41" s="18">
        <f t="shared" si="13"/>
        <v>1.3644740870565115E-2</v>
      </c>
    </row>
    <row r="42" spans="1:25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Data'!BE42</f>
        <v>28042931.996401049</v>
      </c>
      <c r="E42" s="3">
        <f>'Monthly Data'!CP42</f>
        <v>95.407196969696969</v>
      </c>
      <c r="F42" s="3">
        <f>'Monthly Data'!CU42</f>
        <v>80.600541125541127</v>
      </c>
      <c r="G42" s="3">
        <f>'Monthly Data'!EM42</f>
        <v>0</v>
      </c>
      <c r="H42" s="3">
        <f>'Monthly Data'!ET42</f>
        <v>0</v>
      </c>
      <c r="I42" s="3">
        <f>'Monthly Data'!EG42</f>
        <v>1</v>
      </c>
      <c r="J42">
        <f>'Monthly Data'!EH42</f>
        <v>41</v>
      </c>
      <c r="K42" s="3">
        <f>'Monthly Data'!DQ42</f>
        <v>31</v>
      </c>
      <c r="M42" s="3">
        <f t="shared" si="14"/>
        <v>-6000764.6164411902</v>
      </c>
      <c r="N42" s="3">
        <f t="shared" si="15"/>
        <v>1390288.0532556339</v>
      </c>
      <c r="O42" s="3">
        <f t="shared" si="16"/>
        <v>7441647.7821452199</v>
      </c>
      <c r="P42" s="3">
        <f t="shared" si="17"/>
        <v>0</v>
      </c>
      <c r="Q42" s="3">
        <f t="shared" si="18"/>
        <v>0</v>
      </c>
      <c r="R42" s="3">
        <f t="shared" si="19"/>
        <v>-815229.51419000898</v>
      </c>
      <c r="S42" s="3">
        <f t="shared" si="20"/>
        <v>2208365.0551515087</v>
      </c>
      <c r="T42" s="3">
        <f t="shared" si="21"/>
        <v>25469342.489254653</v>
      </c>
      <c r="U42" s="47">
        <f t="shared" si="9"/>
        <v>29693649.249175817</v>
      </c>
      <c r="V42" s="47">
        <f>'Monthly Data'!BF42+'Monthly Data'!BG42</f>
        <v>23580.538333333338</v>
      </c>
      <c r="W42" s="47">
        <f t="shared" si="10"/>
        <v>29717229.787509151</v>
      </c>
      <c r="X42" s="47">
        <f t="shared" si="11"/>
        <v>1674297.7911081016</v>
      </c>
      <c r="Y42" s="18">
        <f t="shared" si="13"/>
        <v>5.9704805165272171E-2</v>
      </c>
    </row>
    <row r="43" spans="1:25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Data'!BE43</f>
        <v>33320135.514722604</v>
      </c>
      <c r="E43" s="3">
        <f>'Monthly Data'!CP43</f>
        <v>23.060227272727261</v>
      </c>
      <c r="F43" s="3">
        <f>'Monthly Data'!CU43</f>
        <v>141.51477272727271</v>
      </c>
      <c r="G43" s="3">
        <f>'Monthly Data'!EM43</f>
        <v>0</v>
      </c>
      <c r="H43" s="3">
        <f>'Monthly Data'!ET43</f>
        <v>0</v>
      </c>
      <c r="I43" s="3">
        <f>'Monthly Data'!EG43</f>
        <v>0</v>
      </c>
      <c r="J43">
        <f>'Monthly Data'!EH43</f>
        <v>42</v>
      </c>
      <c r="K43" s="3">
        <f>'Monthly Data'!DQ43</f>
        <v>30</v>
      </c>
      <c r="M43" s="3">
        <f t="shared" si="14"/>
        <v>-6000764.6164411902</v>
      </c>
      <c r="N43" s="3">
        <f t="shared" si="15"/>
        <v>336037.10727205832</v>
      </c>
      <c r="O43" s="3">
        <f t="shared" si="16"/>
        <v>13065707.498990735</v>
      </c>
      <c r="P43" s="3">
        <f t="shared" si="17"/>
        <v>0</v>
      </c>
      <c r="Q43" s="3">
        <f t="shared" si="18"/>
        <v>0</v>
      </c>
      <c r="R43" s="3">
        <f t="shared" si="19"/>
        <v>0</v>
      </c>
      <c r="S43" s="3">
        <f t="shared" si="20"/>
        <v>2262227.617472277</v>
      </c>
      <c r="T43" s="3">
        <f t="shared" si="21"/>
        <v>24647750.796052888</v>
      </c>
      <c r="U43" s="47">
        <f t="shared" si="9"/>
        <v>34310958.40334677</v>
      </c>
      <c r="V43" s="47">
        <f>'Monthly Data'!BF43+'Monthly Data'!BG43</f>
        <v>25663.620000000003</v>
      </c>
      <c r="W43" s="47">
        <f t="shared" si="10"/>
        <v>34336622.023346767</v>
      </c>
      <c r="X43" s="47">
        <f t="shared" si="11"/>
        <v>1016486.5086241625</v>
      </c>
      <c r="Y43" s="18">
        <f t="shared" si="13"/>
        <v>3.0506673905183395E-2</v>
      </c>
    </row>
    <row r="44" spans="1:25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Data'!BE44</f>
        <v>45378411.689653657</v>
      </c>
      <c r="E44" s="3">
        <f>'Monthly Data'!CP44</f>
        <v>0.19999999999999574</v>
      </c>
      <c r="F44" s="3">
        <f>'Monthly Data'!CU44</f>
        <v>256.39861424807077</v>
      </c>
      <c r="G44" s="3">
        <f>'Monthly Data'!EM44</f>
        <v>0</v>
      </c>
      <c r="H44" s="3">
        <f>'Monthly Data'!ET44</f>
        <v>0</v>
      </c>
      <c r="I44" s="3">
        <f>'Monthly Data'!EG44</f>
        <v>0</v>
      </c>
      <c r="J44">
        <f>'Monthly Data'!EH44</f>
        <v>43</v>
      </c>
      <c r="K44" s="3">
        <f>'Monthly Data'!DQ44</f>
        <v>31</v>
      </c>
      <c r="M44" s="3">
        <f t="shared" si="14"/>
        <v>-6000764.6164411902</v>
      </c>
      <c r="N44" s="3">
        <f t="shared" si="15"/>
        <v>2914.430142407778</v>
      </c>
      <c r="O44" s="3">
        <f t="shared" si="16"/>
        <v>23672647.260424379</v>
      </c>
      <c r="P44" s="3">
        <f t="shared" si="17"/>
        <v>0</v>
      </c>
      <c r="Q44" s="3">
        <f t="shared" si="18"/>
        <v>0</v>
      </c>
      <c r="R44" s="3">
        <f t="shared" si="19"/>
        <v>0</v>
      </c>
      <c r="S44" s="3">
        <f t="shared" si="20"/>
        <v>2316090.1797930454</v>
      </c>
      <c r="T44" s="3">
        <f t="shared" si="21"/>
        <v>25469342.489254653</v>
      </c>
      <c r="U44" s="47">
        <f t="shared" si="9"/>
        <v>45460229.743173294</v>
      </c>
      <c r="V44" s="47">
        <f>'Monthly Data'!BF44+'Monthly Data'!BG44</f>
        <v>27746.701666666668</v>
      </c>
      <c r="W44" s="47">
        <f t="shared" si="10"/>
        <v>45487976.444839962</v>
      </c>
      <c r="X44" s="47">
        <f t="shared" si="11"/>
        <v>109564.75518630445</v>
      </c>
      <c r="Y44" s="18">
        <f t="shared" si="13"/>
        <v>2.4144687111489487E-3</v>
      </c>
    </row>
    <row r="45" spans="1:25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Data'!BE45</f>
        <v>44407910.204294905</v>
      </c>
      <c r="E45" s="3">
        <f>'Monthly Data'!CP45</f>
        <v>0.90833333333333144</v>
      </c>
      <c r="F45" s="3">
        <f>'Monthly Data'!CU45</f>
        <v>252.24583333333339</v>
      </c>
      <c r="G45" s="3">
        <f>'Monthly Data'!EM45</f>
        <v>0</v>
      </c>
      <c r="H45" s="3">
        <f>'Monthly Data'!ET45</f>
        <v>0</v>
      </c>
      <c r="I45" s="3">
        <f>'Monthly Data'!EG45</f>
        <v>0</v>
      </c>
      <c r="J45">
        <f>'Monthly Data'!EH45</f>
        <v>44</v>
      </c>
      <c r="K45" s="3">
        <f>'Monthly Data'!DQ45</f>
        <v>31</v>
      </c>
      <c r="M45" s="3">
        <f t="shared" si="14"/>
        <v>-6000764.6164411902</v>
      </c>
      <c r="N45" s="3">
        <f t="shared" si="15"/>
        <v>13236.370230102246</v>
      </c>
      <c r="O45" s="3">
        <f t="shared" si="16"/>
        <v>23289231.312437676</v>
      </c>
      <c r="P45" s="3">
        <f t="shared" si="17"/>
        <v>0</v>
      </c>
      <c r="Q45" s="3">
        <f t="shared" si="18"/>
        <v>0</v>
      </c>
      <c r="R45" s="3">
        <f t="shared" si="19"/>
        <v>0</v>
      </c>
      <c r="S45" s="3">
        <f t="shared" si="20"/>
        <v>2369952.7421138138</v>
      </c>
      <c r="T45" s="3">
        <f t="shared" si="21"/>
        <v>25469342.489254653</v>
      </c>
      <c r="U45" s="47">
        <f t="shared" si="9"/>
        <v>45140998.297595054</v>
      </c>
      <c r="V45" s="47">
        <f>'Monthly Data'!BF45+'Monthly Data'!BG45</f>
        <v>29829.78333333334</v>
      </c>
      <c r="W45" s="47">
        <f t="shared" si="10"/>
        <v>45170828.080928385</v>
      </c>
      <c r="X45" s="47">
        <f t="shared" si="11"/>
        <v>762917.87663348019</v>
      </c>
      <c r="Y45" s="18">
        <f t="shared" si="13"/>
        <v>1.7179774349293624E-2</v>
      </c>
    </row>
    <row r="46" spans="1:25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Data'!BE46</f>
        <v>35278903.309966564</v>
      </c>
      <c r="E46" s="3">
        <f>'Monthly Data'!CP46</f>
        <v>59.1875</v>
      </c>
      <c r="F46" s="3">
        <f>'Monthly Data'!CU46</f>
        <v>135.06250000000003</v>
      </c>
      <c r="G46" s="3">
        <f>'Monthly Data'!EM46</f>
        <v>0</v>
      </c>
      <c r="H46" s="3">
        <f>'Monthly Data'!ET46</f>
        <v>0</v>
      </c>
      <c r="I46" s="3">
        <f>'Monthly Data'!EG46</f>
        <v>1</v>
      </c>
      <c r="J46">
        <f>'Monthly Data'!EH46</f>
        <v>45</v>
      </c>
      <c r="K46" s="3">
        <f>'Monthly Data'!DQ46</f>
        <v>30</v>
      </c>
      <c r="M46" s="3">
        <f t="shared" si="14"/>
        <v>-6000764.6164411902</v>
      </c>
      <c r="N46" s="3">
        <f t="shared" si="15"/>
        <v>862489.17026882013</v>
      </c>
      <c r="O46" s="3">
        <f t="shared" si="16"/>
        <v>12469985.182983981</v>
      </c>
      <c r="P46" s="3">
        <f t="shared" si="17"/>
        <v>0</v>
      </c>
      <c r="Q46" s="3">
        <f t="shared" si="18"/>
        <v>0</v>
      </c>
      <c r="R46" s="3">
        <f t="shared" si="19"/>
        <v>-815229.51419000898</v>
      </c>
      <c r="S46" s="3">
        <f t="shared" si="20"/>
        <v>2423815.3044345826</v>
      </c>
      <c r="T46" s="3">
        <f t="shared" si="21"/>
        <v>24647750.796052888</v>
      </c>
      <c r="U46" s="47">
        <f t="shared" si="9"/>
        <v>33588046.323109075</v>
      </c>
      <c r="V46" s="47">
        <f>'Monthly Data'!BF46+'Monthly Data'!BG46</f>
        <v>31912.865000000005</v>
      </c>
      <c r="W46" s="47">
        <f t="shared" si="10"/>
        <v>33619959.188109078</v>
      </c>
      <c r="X46" s="47">
        <f t="shared" si="11"/>
        <v>-1658944.1218574867</v>
      </c>
      <c r="Y46" s="18">
        <f t="shared" si="13"/>
        <v>4.7023687422528868E-2</v>
      </c>
    </row>
    <row r="47" spans="1:25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Data'!BE47</f>
        <v>27430302.460327823</v>
      </c>
      <c r="E47" s="3">
        <f>'Monthly Data'!CP47</f>
        <v>305.10000000000002</v>
      </c>
      <c r="F47" s="3">
        <f>'Monthly Data'!CU47</f>
        <v>15.387500000000001</v>
      </c>
      <c r="G47" s="3">
        <f>'Monthly Data'!EM47</f>
        <v>0</v>
      </c>
      <c r="H47" s="3">
        <f>'Monthly Data'!ET47</f>
        <v>0</v>
      </c>
      <c r="I47" s="3">
        <f>'Monthly Data'!EG47</f>
        <v>1</v>
      </c>
      <c r="J47">
        <f>'Monthly Data'!EH47</f>
        <v>46</v>
      </c>
      <c r="K47" s="3">
        <f>'Monthly Data'!DQ47</f>
        <v>31</v>
      </c>
      <c r="M47" s="3">
        <f t="shared" si="14"/>
        <v>-6000764.6164411902</v>
      </c>
      <c r="N47" s="3">
        <f t="shared" si="15"/>
        <v>4445963.18224316</v>
      </c>
      <c r="O47" s="3">
        <f t="shared" si="16"/>
        <v>1420689.6585148801</v>
      </c>
      <c r="P47" s="3">
        <f t="shared" si="17"/>
        <v>0</v>
      </c>
      <c r="Q47" s="3">
        <f t="shared" si="18"/>
        <v>0</v>
      </c>
      <c r="R47" s="3">
        <f t="shared" si="19"/>
        <v>-815229.51419000898</v>
      </c>
      <c r="S47" s="3">
        <f t="shared" si="20"/>
        <v>2477677.866755351</v>
      </c>
      <c r="T47" s="3">
        <f t="shared" si="21"/>
        <v>25469342.489254653</v>
      </c>
      <c r="U47" s="47">
        <f t="shared" si="9"/>
        <v>26997679.066136844</v>
      </c>
      <c r="V47" s="47">
        <f>'Monthly Data'!BF47+'Monthly Data'!BG47</f>
        <v>33995.946666666678</v>
      </c>
      <c r="W47" s="47">
        <f t="shared" si="10"/>
        <v>27031675.01280351</v>
      </c>
      <c r="X47" s="47">
        <f t="shared" si="11"/>
        <v>-398627.44752431288</v>
      </c>
      <c r="Y47" s="18">
        <f t="shared" si="13"/>
        <v>1.4532375211714995E-2</v>
      </c>
    </row>
    <row r="48" spans="1:25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Data'!BE48</f>
        <v>28520056.751089077</v>
      </c>
      <c r="E48" s="3">
        <f>'Monthly Data'!CP48</f>
        <v>503.52500000000003</v>
      </c>
      <c r="F48" s="3">
        <f>'Monthly Data'!CU48</f>
        <v>0</v>
      </c>
      <c r="G48" s="3">
        <f>'Monthly Data'!EM48</f>
        <v>0</v>
      </c>
      <c r="H48" s="3">
        <f>'Monthly Data'!ET48</f>
        <v>0</v>
      </c>
      <c r="I48" s="3">
        <f>'Monthly Data'!EG48</f>
        <v>1</v>
      </c>
      <c r="J48">
        <f>'Monthly Data'!EH48</f>
        <v>47</v>
      </c>
      <c r="K48" s="3">
        <f>'Monthly Data'!DQ48</f>
        <v>30</v>
      </c>
      <c r="M48" s="3">
        <f t="shared" si="14"/>
        <v>-6000764.6164411902</v>
      </c>
      <c r="N48" s="3">
        <f t="shared" si="15"/>
        <v>7337442.1872795383</v>
      </c>
      <c r="O48" s="3">
        <f t="shared" si="16"/>
        <v>0</v>
      </c>
      <c r="P48" s="3">
        <f t="shared" si="17"/>
        <v>0</v>
      </c>
      <c r="Q48" s="3">
        <f t="shared" si="18"/>
        <v>0</v>
      </c>
      <c r="R48" s="3">
        <f t="shared" si="19"/>
        <v>-815229.51419000898</v>
      </c>
      <c r="S48" s="3">
        <f t="shared" si="20"/>
        <v>2531540.4290761193</v>
      </c>
      <c r="T48" s="3">
        <f t="shared" si="21"/>
        <v>24647750.796052888</v>
      </c>
      <c r="U48" s="47">
        <f t="shared" si="9"/>
        <v>27700739.281777345</v>
      </c>
      <c r="V48" s="47">
        <f>'Monthly Data'!BF48+'Monthly Data'!BG48</f>
        <v>36079.028333333343</v>
      </c>
      <c r="W48" s="47">
        <f t="shared" si="10"/>
        <v>27736818.310110677</v>
      </c>
      <c r="X48" s="47">
        <f t="shared" si="11"/>
        <v>-783238.44097840041</v>
      </c>
      <c r="Y48" s="18">
        <f t="shared" si="13"/>
        <v>2.74627237881808E-2</v>
      </c>
    </row>
    <row r="49" spans="1:25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Data'!BE49</f>
        <v>32346137.62076043</v>
      </c>
      <c r="E49" s="3">
        <f>'Monthly Data'!CP49</f>
        <v>584.91666666666663</v>
      </c>
      <c r="F49" s="3">
        <f>'Monthly Data'!CU49</f>
        <v>0</v>
      </c>
      <c r="G49" s="3">
        <f>'Monthly Data'!EM49</f>
        <v>0</v>
      </c>
      <c r="H49" s="3">
        <f>'Monthly Data'!ET49</f>
        <v>0</v>
      </c>
      <c r="I49" s="3">
        <f>'Monthly Data'!EG49</f>
        <v>0</v>
      </c>
      <c r="J49">
        <f>'Monthly Data'!EH49</f>
        <v>48</v>
      </c>
      <c r="K49" s="3">
        <f>'Monthly Data'!DQ49</f>
        <v>31</v>
      </c>
      <c r="M49" s="3">
        <f t="shared" si="14"/>
        <v>-6000764.6164411902</v>
      </c>
      <c r="N49" s="3">
        <f t="shared" si="15"/>
        <v>8523493.8206502609</v>
      </c>
      <c r="O49" s="3">
        <f t="shared" si="16"/>
        <v>0</v>
      </c>
      <c r="P49" s="3">
        <f t="shared" si="17"/>
        <v>0</v>
      </c>
      <c r="Q49" s="3">
        <f t="shared" si="18"/>
        <v>0</v>
      </c>
      <c r="R49" s="3">
        <f t="shared" si="19"/>
        <v>0</v>
      </c>
      <c r="S49" s="3">
        <f t="shared" si="20"/>
        <v>2585402.9913968882</v>
      </c>
      <c r="T49" s="3">
        <f t="shared" si="21"/>
        <v>25469342.489254653</v>
      </c>
      <c r="U49" s="47">
        <f t="shared" si="9"/>
        <v>30577474.684860613</v>
      </c>
      <c r="V49" s="47">
        <f>'Monthly Data'!BF49+'Monthly Data'!BG49</f>
        <v>38162.110000000008</v>
      </c>
      <c r="W49" s="47">
        <f t="shared" si="10"/>
        <v>30615636.794860613</v>
      </c>
      <c r="X49" s="47">
        <f t="shared" si="11"/>
        <v>-1730500.825899817</v>
      </c>
      <c r="Y49" s="18">
        <f t="shared" si="13"/>
        <v>5.3499457839106743E-2</v>
      </c>
    </row>
    <row r="50" spans="1:25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Data'!BE50</f>
        <v>32928562.605267532</v>
      </c>
      <c r="E50" s="3">
        <f>'Monthly Data'!CP50</f>
        <v>779.93333333333351</v>
      </c>
      <c r="F50" s="3">
        <f>'Monthly Data'!CU50</f>
        <v>0</v>
      </c>
      <c r="G50" s="3">
        <f>'Monthly Data'!EM50</f>
        <v>0</v>
      </c>
      <c r="H50" s="3">
        <f>'Monthly Data'!ET50</f>
        <v>0</v>
      </c>
      <c r="I50" s="3">
        <f>'Monthly Data'!EG50</f>
        <v>0</v>
      </c>
      <c r="J50">
        <f>'Monthly Data'!EH50</f>
        <v>49</v>
      </c>
      <c r="K50" s="3">
        <f>'Monthly Data'!DQ50</f>
        <v>31</v>
      </c>
      <c r="M50" s="3">
        <f t="shared" si="14"/>
        <v>-6000764.6164411902</v>
      </c>
      <c r="N50" s="3">
        <f t="shared" si="15"/>
        <v>11365306.078676442</v>
      </c>
      <c r="O50" s="3">
        <f t="shared" si="16"/>
        <v>0</v>
      </c>
      <c r="P50" s="3">
        <f t="shared" si="17"/>
        <v>0</v>
      </c>
      <c r="Q50" s="3">
        <f t="shared" si="18"/>
        <v>0</v>
      </c>
      <c r="R50" s="3">
        <f t="shared" si="19"/>
        <v>0</v>
      </c>
      <c r="S50" s="3">
        <f t="shared" si="20"/>
        <v>2639265.5537176565</v>
      </c>
      <c r="T50" s="3">
        <f t="shared" si="21"/>
        <v>25469342.489254653</v>
      </c>
      <c r="U50" s="47">
        <f t="shared" si="9"/>
        <v>33473149.505207561</v>
      </c>
      <c r="V50" s="47">
        <f ca="1">'Monthly Data'!BF50+'Monthly Data'!BG50</f>
        <v>95862.603495444404</v>
      </c>
      <c r="W50" s="47">
        <f t="shared" ca="1" si="10"/>
        <v>33569012.108703002</v>
      </c>
      <c r="X50" s="47">
        <f t="shared" ca="1" si="11"/>
        <v>640449.50343547016</v>
      </c>
      <c r="Y50" s="18">
        <f t="shared" ca="1" si="13"/>
        <v>1.9449664751932369E-2</v>
      </c>
    </row>
    <row r="51" spans="1:25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Data'!BE51</f>
        <v>28792193.747271352</v>
      </c>
      <c r="E51" s="3">
        <f>'Monthly Data'!CP51</f>
        <v>639.30416666666645</v>
      </c>
      <c r="F51" s="3">
        <f>'Monthly Data'!CU51</f>
        <v>0</v>
      </c>
      <c r="G51" s="3">
        <f>'Monthly Data'!EM51</f>
        <v>0</v>
      </c>
      <c r="H51" s="3">
        <f>'Monthly Data'!ET51</f>
        <v>0</v>
      </c>
      <c r="I51" s="3">
        <f>'Monthly Data'!EG51</f>
        <v>0</v>
      </c>
      <c r="J51">
        <f>'Monthly Data'!EH51</f>
        <v>50</v>
      </c>
      <c r="K51" s="3">
        <f>'Monthly Data'!DQ51</f>
        <v>28</v>
      </c>
      <c r="M51" s="3">
        <f t="shared" si="14"/>
        <v>-6000764.6164411902</v>
      </c>
      <c r="N51" s="3">
        <f t="shared" si="15"/>
        <v>9316036.6675012913</v>
      </c>
      <c r="O51" s="3">
        <f t="shared" si="16"/>
        <v>0</v>
      </c>
      <c r="P51" s="3">
        <f t="shared" si="17"/>
        <v>0</v>
      </c>
      <c r="Q51" s="3">
        <f t="shared" si="18"/>
        <v>0</v>
      </c>
      <c r="R51" s="3">
        <f t="shared" si="19"/>
        <v>0</v>
      </c>
      <c r="S51" s="3">
        <f t="shared" si="20"/>
        <v>2693128.1160384249</v>
      </c>
      <c r="T51" s="3">
        <f t="shared" si="21"/>
        <v>23004567.409649365</v>
      </c>
      <c r="U51" s="47">
        <f t="shared" si="9"/>
        <v>29012967.576747891</v>
      </c>
      <c r="V51" s="47">
        <f ca="1">'Monthly Data'!BF51+'Monthly Data'!BG51</f>
        <v>87605.133455894655</v>
      </c>
      <c r="W51" s="47">
        <f t="shared" ca="1" si="10"/>
        <v>29100572.710203785</v>
      </c>
      <c r="X51" s="47">
        <f t="shared" ca="1" si="11"/>
        <v>308378.96293243393</v>
      </c>
      <c r="Y51" s="18">
        <f t="shared" ca="1" si="13"/>
        <v>1.0710505966974438E-2</v>
      </c>
    </row>
    <row r="52" spans="1:25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Data'!BE52</f>
        <v>29547782.647375461</v>
      </c>
      <c r="E52" s="3">
        <f>'Monthly Data'!CP52</f>
        <v>611.45833333333337</v>
      </c>
      <c r="F52" s="3">
        <f>'Monthly Data'!CU52</f>
        <v>0</v>
      </c>
      <c r="G52" s="3">
        <f>'Monthly Data'!EM52</f>
        <v>0</v>
      </c>
      <c r="H52" s="3">
        <f>'Monthly Data'!ET52</f>
        <v>0</v>
      </c>
      <c r="I52" s="3">
        <f>'Monthly Data'!EG52</f>
        <v>1</v>
      </c>
      <c r="J52">
        <f>'Monthly Data'!EH52</f>
        <v>51</v>
      </c>
      <c r="K52" s="3">
        <f>'Monthly Data'!DQ52</f>
        <v>31</v>
      </c>
      <c r="M52" s="3">
        <f t="shared" si="14"/>
        <v>-6000764.6164411902</v>
      </c>
      <c r="N52" s="3">
        <f t="shared" si="15"/>
        <v>8910262.9874656368</v>
      </c>
      <c r="O52" s="3">
        <f t="shared" si="16"/>
        <v>0</v>
      </c>
      <c r="P52" s="3">
        <f t="shared" si="17"/>
        <v>0</v>
      </c>
      <c r="Q52" s="3">
        <f t="shared" si="18"/>
        <v>0</v>
      </c>
      <c r="R52" s="3">
        <f t="shared" si="19"/>
        <v>-815229.51419000898</v>
      </c>
      <c r="S52" s="3">
        <f t="shared" si="20"/>
        <v>2746990.6783591933</v>
      </c>
      <c r="T52" s="3">
        <f t="shared" si="21"/>
        <v>25469342.489254653</v>
      </c>
      <c r="U52" s="47">
        <f t="shared" si="9"/>
        <v>30310602.024448283</v>
      </c>
      <c r="V52" s="47">
        <f ca="1">'Monthly Data'!BF52+'Monthly Data'!BG52</f>
        <v>87173.337494294959</v>
      </c>
      <c r="W52" s="47">
        <f t="shared" ca="1" si="10"/>
        <v>30397775.361942578</v>
      </c>
      <c r="X52" s="47">
        <f t="shared" ca="1" si="11"/>
        <v>849992.71456711739</v>
      </c>
      <c r="Y52" s="18">
        <f t="shared" ca="1" si="13"/>
        <v>2.8766717445805254E-2</v>
      </c>
    </row>
    <row r="53" spans="1:25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Data'!BE53</f>
        <v>25950042.681829374</v>
      </c>
      <c r="E53" s="3">
        <f>'Monthly Data'!CP53</f>
        <v>366.65416666666664</v>
      </c>
      <c r="F53" s="3">
        <f>'Monthly Data'!CU53</f>
        <v>0</v>
      </c>
      <c r="G53" s="3">
        <f>'Monthly Data'!EM53</f>
        <v>0</v>
      </c>
      <c r="H53" s="3">
        <f>'Monthly Data'!ET53</f>
        <v>0</v>
      </c>
      <c r="I53" s="3">
        <f>'Monthly Data'!EG53</f>
        <v>1</v>
      </c>
      <c r="J53">
        <f>'Monthly Data'!EH53</f>
        <v>52</v>
      </c>
      <c r="K53" s="3">
        <f>'Monthly Data'!DQ53</f>
        <v>30</v>
      </c>
      <c r="M53" s="3">
        <f t="shared" si="14"/>
        <v>-6000764.6164411902</v>
      </c>
      <c r="N53" s="3">
        <f t="shared" si="15"/>
        <v>5342939.7758638058</v>
      </c>
      <c r="O53" s="3">
        <f t="shared" si="16"/>
        <v>0</v>
      </c>
      <c r="P53" s="3">
        <f t="shared" si="17"/>
        <v>0</v>
      </c>
      <c r="Q53" s="3">
        <f t="shared" si="18"/>
        <v>0</v>
      </c>
      <c r="R53" s="3">
        <f t="shared" si="19"/>
        <v>-815229.51419000898</v>
      </c>
      <c r="S53" s="3">
        <f t="shared" si="20"/>
        <v>2800853.2406799621</v>
      </c>
      <c r="T53" s="3">
        <f t="shared" si="21"/>
        <v>24647750.796052888</v>
      </c>
      <c r="U53" s="47">
        <f t="shared" si="9"/>
        <v>25975549.681965455</v>
      </c>
      <c r="V53" s="47">
        <f ca="1">'Monthly Data'!BF53+'Monthly Data'!BG53</f>
        <v>71687.498040791237</v>
      </c>
      <c r="W53" s="47">
        <f t="shared" ca="1" si="10"/>
        <v>26047237.180006247</v>
      </c>
      <c r="X53" s="47">
        <f t="shared" ca="1" si="11"/>
        <v>97194.49817687273</v>
      </c>
      <c r="Y53" s="18">
        <f t="shared" ca="1" si="13"/>
        <v>3.7454465631738569E-3</v>
      </c>
    </row>
    <row r="54" spans="1:25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Data'!BE54</f>
        <v>25742829.91307319</v>
      </c>
      <c r="E54" s="3">
        <f>'Monthly Data'!CP54</f>
        <v>205.53464912280697</v>
      </c>
      <c r="F54" s="3">
        <f>'Monthly Data'!CU54</f>
        <v>11.208333333333332</v>
      </c>
      <c r="G54" s="3">
        <f>'Monthly Data'!EM54</f>
        <v>0</v>
      </c>
      <c r="H54" s="3">
        <f>'Monthly Data'!ET54</f>
        <v>0</v>
      </c>
      <c r="I54" s="3">
        <f>'Monthly Data'!EG54</f>
        <v>1</v>
      </c>
      <c r="J54">
        <f>'Monthly Data'!EH54</f>
        <v>53</v>
      </c>
      <c r="K54" s="3">
        <f>'Monthly Data'!DQ54</f>
        <v>31</v>
      </c>
      <c r="M54" s="3">
        <f t="shared" si="14"/>
        <v>-6000764.6164411902</v>
      </c>
      <c r="N54" s="3">
        <f t="shared" si="15"/>
        <v>2995081.8835636387</v>
      </c>
      <c r="O54" s="3">
        <f t="shared" si="16"/>
        <v>1034837.579584356</v>
      </c>
      <c r="P54" s="3">
        <f t="shared" si="17"/>
        <v>0</v>
      </c>
      <c r="Q54" s="3">
        <f t="shared" si="18"/>
        <v>0</v>
      </c>
      <c r="R54" s="3">
        <f t="shared" si="19"/>
        <v>-815229.51419000898</v>
      </c>
      <c r="S54" s="3">
        <f t="shared" si="20"/>
        <v>2854715.8030007305</v>
      </c>
      <c r="T54" s="3">
        <f t="shared" si="21"/>
        <v>25469342.489254653</v>
      </c>
      <c r="U54" s="47">
        <f t="shared" si="9"/>
        <v>25537983.62477218</v>
      </c>
      <c r="V54" s="47">
        <f ca="1">'Monthly Data'!BF54+'Monthly Data'!BG54</f>
        <v>62008.26821663016</v>
      </c>
      <c r="W54" s="47">
        <f t="shared" ca="1" si="10"/>
        <v>25599991.892988808</v>
      </c>
      <c r="X54" s="47">
        <f t="shared" ca="1" si="11"/>
        <v>-142838.0200843811</v>
      </c>
      <c r="Y54" s="18">
        <f t="shared" ref="Y54:Y85" ca="1" si="22">ABS(X54/D54)</f>
        <v>5.5486525982849505E-3</v>
      </c>
    </row>
    <row r="55" spans="1:25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Data'!BE55</f>
        <v>30932840.927906904</v>
      </c>
      <c r="E55" s="3">
        <f>'Monthly Data'!CP55</f>
        <v>46.120833333333351</v>
      </c>
      <c r="F55" s="3">
        <f>'Monthly Data'!CU55</f>
        <v>118.81666666666663</v>
      </c>
      <c r="G55" s="3">
        <f>'Monthly Data'!EM55</f>
        <v>0</v>
      </c>
      <c r="H55" s="3">
        <f>'Monthly Data'!ET55</f>
        <v>0</v>
      </c>
      <c r="I55" s="3">
        <f>'Monthly Data'!EG55</f>
        <v>0</v>
      </c>
      <c r="J55">
        <f>'Monthly Data'!EH55</f>
        <v>54</v>
      </c>
      <c r="K55" s="3">
        <f>'Monthly Data'!DQ55</f>
        <v>30</v>
      </c>
      <c r="M55" s="3">
        <f t="shared" si="14"/>
        <v>-6000764.6164411902</v>
      </c>
      <c r="N55" s="3">
        <f t="shared" si="15"/>
        <v>672079.73429817485</v>
      </c>
      <c r="O55" s="3">
        <f t="shared" si="16"/>
        <v>10970047.739564123</v>
      </c>
      <c r="P55" s="3">
        <f t="shared" si="17"/>
        <v>0</v>
      </c>
      <c r="Q55" s="3">
        <f t="shared" si="18"/>
        <v>0</v>
      </c>
      <c r="R55" s="3">
        <f t="shared" si="19"/>
        <v>0</v>
      </c>
      <c r="S55" s="3">
        <f t="shared" si="20"/>
        <v>2908578.3653214988</v>
      </c>
      <c r="T55" s="3">
        <f t="shared" si="21"/>
        <v>24647750.796052888</v>
      </c>
      <c r="U55" s="47">
        <f t="shared" ref="U55:U109" si="23">SUM(M55:T55)</f>
        <v>33197692.018795494</v>
      </c>
      <c r="V55" s="47">
        <f ca="1">'Monthly Data'!BF55+'Monthly Data'!BG55</f>
        <v>52447.391571165812</v>
      </c>
      <c r="W55" s="47">
        <f t="shared" ref="W55:W118" ca="1" si="24">U55+V55</f>
        <v>33250139.410366658</v>
      </c>
      <c r="X55" s="47">
        <f t="shared" ref="X55:X118" ca="1" si="25">W55-D55</f>
        <v>2317298.4824597538</v>
      </c>
      <c r="Y55" s="18">
        <f t="shared" ca="1" si="22"/>
        <v>7.4913858958526494E-2</v>
      </c>
    </row>
    <row r="56" spans="1:25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Data'!BE56</f>
        <v>46405254.211731017</v>
      </c>
      <c r="E56" s="3">
        <f>'Monthly Data'!CP56</f>
        <v>0</v>
      </c>
      <c r="F56" s="3">
        <f>'Monthly Data'!CU56</f>
        <v>259.60000000000008</v>
      </c>
      <c r="G56" s="3">
        <f>'Monthly Data'!EM56</f>
        <v>0</v>
      </c>
      <c r="H56" s="3">
        <f>'Monthly Data'!ET56</f>
        <v>0</v>
      </c>
      <c r="I56" s="3">
        <f>'Monthly Data'!EG56</f>
        <v>0</v>
      </c>
      <c r="J56">
        <f>'Monthly Data'!EH56</f>
        <v>55</v>
      </c>
      <c r="K56" s="3">
        <f>'Monthly Data'!DQ56</f>
        <v>31</v>
      </c>
      <c r="M56" s="3">
        <f t="shared" si="14"/>
        <v>-6000764.6164411902</v>
      </c>
      <c r="N56" s="3">
        <f t="shared" si="15"/>
        <v>0</v>
      </c>
      <c r="O56" s="3">
        <f t="shared" si="16"/>
        <v>23968223.255919609</v>
      </c>
      <c r="P56" s="3">
        <f t="shared" si="17"/>
        <v>0</v>
      </c>
      <c r="Q56" s="3">
        <f t="shared" si="18"/>
        <v>0</v>
      </c>
      <c r="R56" s="3">
        <f t="shared" si="19"/>
        <v>0</v>
      </c>
      <c r="S56" s="3">
        <f t="shared" si="20"/>
        <v>2962440.9276422672</v>
      </c>
      <c r="T56" s="3">
        <f t="shared" si="21"/>
        <v>25469342.489254653</v>
      </c>
      <c r="U56" s="47">
        <f t="shared" si="23"/>
        <v>46399242.05637534</v>
      </c>
      <c r="V56" s="47">
        <f ca="1">'Monthly Data'!BF56+'Monthly Data'!BG56</f>
        <v>50747.551923076935</v>
      </c>
      <c r="W56" s="47">
        <f t="shared" ca="1" si="24"/>
        <v>46449989.608298413</v>
      </c>
      <c r="X56" s="47">
        <f t="shared" ca="1" si="25"/>
        <v>44735.39656739682</v>
      </c>
      <c r="Y56" s="18">
        <f t="shared" ca="1" si="22"/>
        <v>9.6401576345826669E-4</v>
      </c>
    </row>
    <row r="57" spans="1:25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Data'!BE57</f>
        <v>39200831.768664829</v>
      </c>
      <c r="E57" s="3">
        <f>'Monthly Data'!CP57</f>
        <v>4.645833333333325</v>
      </c>
      <c r="F57" s="3">
        <f>'Monthly Data'!CU57</f>
        <v>190.07083333333335</v>
      </c>
      <c r="G57" s="3">
        <f>'Monthly Data'!EM57</f>
        <v>0</v>
      </c>
      <c r="H57" s="3">
        <f>'Monthly Data'!ET57</f>
        <v>0</v>
      </c>
      <c r="I57" s="3">
        <f>'Monthly Data'!EG57</f>
        <v>0</v>
      </c>
      <c r="J57">
        <f>'Monthly Data'!EH57</f>
        <v>56</v>
      </c>
      <c r="K57" s="3">
        <f>'Monthly Data'!DQ57</f>
        <v>31</v>
      </c>
      <c r="M57" s="3">
        <f t="shared" si="14"/>
        <v>-6000764.6164411902</v>
      </c>
      <c r="N57" s="3">
        <f t="shared" si="15"/>
        <v>67699.78351634866</v>
      </c>
      <c r="O57" s="3">
        <f t="shared" si="16"/>
        <v>17548767.980631813</v>
      </c>
      <c r="P57" s="3">
        <f t="shared" si="17"/>
        <v>0</v>
      </c>
      <c r="Q57" s="3">
        <f t="shared" si="18"/>
        <v>0</v>
      </c>
      <c r="R57" s="3">
        <f t="shared" si="19"/>
        <v>0</v>
      </c>
      <c r="S57" s="3">
        <f t="shared" si="20"/>
        <v>3016303.489963036</v>
      </c>
      <c r="T57" s="3">
        <f t="shared" si="21"/>
        <v>25469342.489254653</v>
      </c>
      <c r="U57" s="47">
        <f t="shared" si="23"/>
        <v>40101349.126924664</v>
      </c>
      <c r="V57" s="47">
        <f ca="1">'Monthly Data'!BF57+'Monthly Data'!BG57</f>
        <v>52570.248589667492</v>
      </c>
      <c r="W57" s="47">
        <f t="shared" ca="1" si="24"/>
        <v>40153919.375514328</v>
      </c>
      <c r="X57" s="47">
        <f t="shared" ca="1" si="25"/>
        <v>953087.60684949905</v>
      </c>
      <c r="Y57" s="18">
        <f t="shared" ca="1" si="22"/>
        <v>2.4312943472065539E-2</v>
      </c>
    </row>
    <row r="58" spans="1:25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Data'!BE58</f>
        <v>28663370.646698944</v>
      </c>
      <c r="E58" s="3">
        <f>'Monthly Data'!CP58</f>
        <v>62.054166666666653</v>
      </c>
      <c r="F58" s="3">
        <f>'Monthly Data'!CU58</f>
        <v>76.5</v>
      </c>
      <c r="G58" s="3">
        <f>'Monthly Data'!EM58</f>
        <v>0</v>
      </c>
      <c r="H58" s="3">
        <f>'Monthly Data'!ET58</f>
        <v>0</v>
      </c>
      <c r="I58" s="3">
        <f>'Monthly Data'!EG58</f>
        <v>1</v>
      </c>
      <c r="J58">
        <f>'Monthly Data'!EH58</f>
        <v>57</v>
      </c>
      <c r="K58" s="3">
        <f>'Monthly Data'!DQ58</f>
        <v>30</v>
      </c>
      <c r="M58" s="3">
        <f t="shared" si="14"/>
        <v>-6000764.6164411902</v>
      </c>
      <c r="N58" s="3">
        <f t="shared" si="15"/>
        <v>904262.66897666559</v>
      </c>
      <c r="O58" s="3">
        <f t="shared" si="16"/>
        <v>7063055.0041519627</v>
      </c>
      <c r="P58" s="3">
        <f t="shared" si="17"/>
        <v>0</v>
      </c>
      <c r="Q58" s="3">
        <f t="shared" si="18"/>
        <v>0</v>
      </c>
      <c r="R58" s="3">
        <f t="shared" si="19"/>
        <v>-815229.51419000898</v>
      </c>
      <c r="S58" s="3">
        <f t="shared" si="20"/>
        <v>3070166.0522838044</v>
      </c>
      <c r="T58" s="3">
        <f t="shared" si="21"/>
        <v>24647750.796052888</v>
      </c>
      <c r="U58" s="47">
        <f t="shared" si="23"/>
        <v>28869240.390834123</v>
      </c>
      <c r="V58" s="47">
        <f ca="1">'Monthly Data'!BF58+'Monthly Data'!BG58</f>
        <v>58053.966050150506</v>
      </c>
      <c r="W58" s="47">
        <f t="shared" ca="1" si="24"/>
        <v>28927294.356884275</v>
      </c>
      <c r="X58" s="47">
        <f t="shared" ca="1" si="25"/>
        <v>263923.71018533036</v>
      </c>
      <c r="Y58" s="18">
        <f t="shared" ca="1" si="22"/>
        <v>9.2076997307267306E-3</v>
      </c>
    </row>
    <row r="59" spans="1:25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Data'!BE59</f>
        <v>26368384.242492959</v>
      </c>
      <c r="E59" s="3">
        <f>'Monthly Data'!CP59</f>
        <v>243.77916666666664</v>
      </c>
      <c r="F59" s="3">
        <f>'Monthly Data'!CU59</f>
        <v>7.3333333333333357</v>
      </c>
      <c r="G59" s="3">
        <f>'Monthly Data'!EM59</f>
        <v>0</v>
      </c>
      <c r="H59" s="3">
        <f>'Monthly Data'!ET59</f>
        <v>0</v>
      </c>
      <c r="I59" s="3">
        <f>'Monthly Data'!EG59</f>
        <v>1</v>
      </c>
      <c r="J59">
        <f>'Monthly Data'!EH59</f>
        <v>58</v>
      </c>
      <c r="K59" s="3">
        <f>'Monthly Data'!DQ59</f>
        <v>31</v>
      </c>
      <c r="M59" s="3">
        <f t="shared" si="14"/>
        <v>-6000764.6164411902</v>
      </c>
      <c r="N59" s="3">
        <f t="shared" si="15"/>
        <v>3552386.757121989</v>
      </c>
      <c r="O59" s="3">
        <f t="shared" si="16"/>
        <v>677068.45355705102</v>
      </c>
      <c r="P59" s="3">
        <f t="shared" si="17"/>
        <v>0</v>
      </c>
      <c r="Q59" s="3">
        <f t="shared" si="18"/>
        <v>0</v>
      </c>
      <c r="R59" s="3">
        <f t="shared" si="19"/>
        <v>-815229.51419000898</v>
      </c>
      <c r="S59" s="3">
        <f t="shared" si="20"/>
        <v>3124028.6146045728</v>
      </c>
      <c r="T59" s="3">
        <f t="shared" si="21"/>
        <v>25469342.489254653</v>
      </c>
      <c r="U59" s="47">
        <f t="shared" si="23"/>
        <v>26006832.183907066</v>
      </c>
      <c r="V59" s="47">
        <f ca="1">'Monthly Data'!BF59+'Monthly Data'!BG59</f>
        <v>72163.618629213277</v>
      </c>
      <c r="W59" s="47">
        <f t="shared" ca="1" si="24"/>
        <v>26078995.802536279</v>
      </c>
      <c r="X59" s="47">
        <f t="shared" ca="1" si="25"/>
        <v>-289388.43995667994</v>
      </c>
      <c r="Y59" s="18">
        <f t="shared" ca="1" si="22"/>
        <v>1.0974826416945452E-2</v>
      </c>
    </row>
    <row r="60" spans="1:25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Data'!BE60</f>
        <v>28801098.897696473</v>
      </c>
      <c r="E60" s="3">
        <f>'Monthly Data'!CP60</f>
        <v>529.72500000000002</v>
      </c>
      <c r="F60" s="3">
        <f>'Monthly Data'!CU60</f>
        <v>0</v>
      </c>
      <c r="G60" s="3">
        <f>'Monthly Data'!EM60</f>
        <v>0</v>
      </c>
      <c r="H60" s="3">
        <f>'Monthly Data'!ET60</f>
        <v>0</v>
      </c>
      <c r="I60" s="3">
        <f>'Monthly Data'!EG60</f>
        <v>1</v>
      </c>
      <c r="J60">
        <f>'Monthly Data'!EH60</f>
        <v>59</v>
      </c>
      <c r="K60" s="3">
        <f>'Monthly Data'!DQ60</f>
        <v>30</v>
      </c>
      <c r="M60" s="3">
        <f t="shared" si="14"/>
        <v>-6000764.6164411902</v>
      </c>
      <c r="N60" s="3">
        <f t="shared" si="15"/>
        <v>7719232.5359349651</v>
      </c>
      <c r="O60" s="3">
        <f t="shared" si="16"/>
        <v>0</v>
      </c>
      <c r="P60" s="3">
        <f t="shared" si="17"/>
        <v>0</v>
      </c>
      <c r="Q60" s="3">
        <f t="shared" si="18"/>
        <v>0</v>
      </c>
      <c r="R60" s="3">
        <f t="shared" si="19"/>
        <v>-815229.51419000898</v>
      </c>
      <c r="S60" s="3">
        <f t="shared" si="20"/>
        <v>3177891.1769253416</v>
      </c>
      <c r="T60" s="3">
        <f t="shared" si="21"/>
        <v>24647750.796052888</v>
      </c>
      <c r="U60" s="47">
        <f t="shared" si="23"/>
        <v>28728880.378281996</v>
      </c>
      <c r="V60" s="47">
        <f ca="1">'Monthly Data'!BF60+'Monthly Data'!BG60</f>
        <v>93504.820850353921</v>
      </c>
      <c r="W60" s="47">
        <f t="shared" ca="1" si="24"/>
        <v>28822385.199132349</v>
      </c>
      <c r="X60" s="47">
        <f t="shared" ca="1" si="25"/>
        <v>21286.301435876638</v>
      </c>
      <c r="Y60" s="18">
        <f t="shared" ca="1" si="22"/>
        <v>7.3907948830310522E-4</v>
      </c>
    </row>
    <row r="61" spans="1:25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Data'!BE61</f>
        <v>32884166.159240685</v>
      </c>
      <c r="E61" s="3">
        <f>'Monthly Data'!CP61</f>
        <v>614.42916666666667</v>
      </c>
      <c r="F61" s="3">
        <f>'Monthly Data'!CU61</f>
        <v>0</v>
      </c>
      <c r="G61" s="3">
        <f>'Monthly Data'!EM61</f>
        <v>0</v>
      </c>
      <c r="H61" s="3">
        <f>'Monthly Data'!ET61</f>
        <v>0</v>
      </c>
      <c r="I61" s="3">
        <f>'Monthly Data'!EG61</f>
        <v>0</v>
      </c>
      <c r="J61">
        <f>'Monthly Data'!EH61</f>
        <v>60</v>
      </c>
      <c r="K61" s="3">
        <f>'Monthly Data'!DQ61</f>
        <v>31</v>
      </c>
      <c r="M61" s="3">
        <f t="shared" si="14"/>
        <v>-6000764.6164411902</v>
      </c>
      <c r="N61" s="3">
        <f t="shared" si="15"/>
        <v>8953554.4185393192</v>
      </c>
      <c r="O61" s="3">
        <f t="shared" si="16"/>
        <v>0</v>
      </c>
      <c r="P61" s="3">
        <f t="shared" si="17"/>
        <v>0</v>
      </c>
      <c r="Q61" s="3">
        <f t="shared" si="18"/>
        <v>0</v>
      </c>
      <c r="R61" s="3">
        <f t="shared" si="19"/>
        <v>0</v>
      </c>
      <c r="S61" s="3">
        <f t="shared" si="20"/>
        <v>3231753.73924611</v>
      </c>
      <c r="T61" s="3">
        <f t="shared" si="21"/>
        <v>25469342.489254653</v>
      </c>
      <c r="U61" s="47">
        <f t="shared" si="23"/>
        <v>31653886.030598894</v>
      </c>
      <c r="V61" s="47">
        <f ca="1">'Monthly Data'!BF61+'Monthly Data'!BG61</f>
        <v>100882.50871443716</v>
      </c>
      <c r="W61" s="47">
        <f t="shared" ca="1" si="24"/>
        <v>31754768.539313331</v>
      </c>
      <c r="X61" s="47">
        <f t="shared" ca="1" si="25"/>
        <v>-1129397.6199273542</v>
      </c>
      <c r="Y61" s="18">
        <f t="shared" ca="1" si="22"/>
        <v>3.4344724280320101E-2</v>
      </c>
    </row>
    <row r="62" spans="1:25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Data'!BE62</f>
        <v>31510170.004796762</v>
      </c>
      <c r="E62" s="3">
        <f>'Monthly Data'!CP62</f>
        <v>628.82083333333333</v>
      </c>
      <c r="F62" s="3">
        <f>'Monthly Data'!CU62</f>
        <v>0</v>
      </c>
      <c r="G62" s="3">
        <f>'Monthly Data'!EM62</f>
        <v>0</v>
      </c>
      <c r="H62" s="3">
        <f>'Monthly Data'!ET62</f>
        <v>0</v>
      </c>
      <c r="I62" s="3">
        <f>'Monthly Data'!EG62</f>
        <v>0</v>
      </c>
      <c r="J62">
        <f>'Monthly Data'!EH62</f>
        <v>61</v>
      </c>
      <c r="K62" s="3">
        <f>'Monthly Data'!DQ62</f>
        <v>31</v>
      </c>
      <c r="M62" s="3">
        <f t="shared" si="14"/>
        <v>-6000764.6164411902</v>
      </c>
      <c r="N62" s="3">
        <f t="shared" si="15"/>
        <v>9163271.9542034157</v>
      </c>
      <c r="O62" s="3">
        <f t="shared" si="16"/>
        <v>0</v>
      </c>
      <c r="P62" s="3">
        <f t="shared" si="17"/>
        <v>0</v>
      </c>
      <c r="Q62" s="3">
        <f t="shared" si="18"/>
        <v>0</v>
      </c>
      <c r="R62" s="3">
        <f t="shared" si="19"/>
        <v>0</v>
      </c>
      <c r="S62" s="3">
        <f t="shared" si="20"/>
        <v>3285616.3015668783</v>
      </c>
      <c r="T62" s="3">
        <f t="shared" si="21"/>
        <v>25469342.489254653</v>
      </c>
      <c r="U62" s="47">
        <f t="shared" si="23"/>
        <v>31917466.128583759</v>
      </c>
      <c r="V62" s="47">
        <f ca="1">'Monthly Data'!BF62+'Monthly Data'!BG62</f>
        <v>259466.62574379338</v>
      </c>
      <c r="W62" s="47">
        <f t="shared" ca="1" si="24"/>
        <v>32176932.754327554</v>
      </c>
      <c r="X62" s="47">
        <f t="shared" ca="1" si="25"/>
        <v>666762.74953079224</v>
      </c>
      <c r="Y62" s="18">
        <f t="shared" ca="1" si="22"/>
        <v>2.1160239675929757E-2</v>
      </c>
    </row>
    <row r="63" spans="1:25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Data'!BE63</f>
        <v>29273294.280135576</v>
      </c>
      <c r="E63" s="3">
        <f>'Monthly Data'!CP63</f>
        <v>620.40000000000009</v>
      </c>
      <c r="F63" s="3">
        <f>'Monthly Data'!CU63</f>
        <v>0</v>
      </c>
      <c r="G63" s="3">
        <f>'Monthly Data'!EM63</f>
        <v>0</v>
      </c>
      <c r="H63" s="3">
        <f>'Monthly Data'!ET63</f>
        <v>0</v>
      </c>
      <c r="I63" s="3">
        <f>'Monthly Data'!EG63</f>
        <v>0</v>
      </c>
      <c r="J63">
        <f>'Monthly Data'!EH63</f>
        <v>62</v>
      </c>
      <c r="K63" s="3">
        <f>'Monthly Data'!DQ63</f>
        <v>29</v>
      </c>
      <c r="M63" s="3">
        <f t="shared" si="14"/>
        <v>-6000764.6164411902</v>
      </c>
      <c r="N63" s="3">
        <f t="shared" si="15"/>
        <v>9040562.3017491214</v>
      </c>
      <c r="O63" s="3">
        <f t="shared" si="16"/>
        <v>0</v>
      </c>
      <c r="P63" s="3">
        <f t="shared" si="17"/>
        <v>0</v>
      </c>
      <c r="Q63" s="3">
        <f t="shared" si="18"/>
        <v>0</v>
      </c>
      <c r="R63" s="3">
        <f t="shared" si="19"/>
        <v>0</v>
      </c>
      <c r="S63" s="3">
        <f t="shared" si="20"/>
        <v>3339478.8638876467</v>
      </c>
      <c r="T63" s="3">
        <f t="shared" si="21"/>
        <v>23826159.102851126</v>
      </c>
      <c r="U63" s="47">
        <f t="shared" si="23"/>
        <v>30205435.652046703</v>
      </c>
      <c r="V63" s="47">
        <f ca="1">'Monthly Data'!BF63+'Monthly Data'!BG63</f>
        <v>258469.22017896944</v>
      </c>
      <c r="W63" s="47">
        <f t="shared" ca="1" si="24"/>
        <v>30463904.872225672</v>
      </c>
      <c r="X63" s="47">
        <f t="shared" ca="1" si="25"/>
        <v>1190610.5920900963</v>
      </c>
      <c r="Y63" s="18">
        <f t="shared" ca="1" si="22"/>
        <v>4.0672244835048409E-2</v>
      </c>
    </row>
    <row r="64" spans="1:25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Data'!BE64</f>
        <v>29911361.800874691</v>
      </c>
      <c r="E64" s="3">
        <f>'Monthly Data'!CP64</f>
        <v>481.57083333333344</v>
      </c>
      <c r="F64" s="3">
        <f>'Monthly Data'!CU64</f>
        <v>0</v>
      </c>
      <c r="G64" s="3">
        <f>'Monthly Data'!EM64</f>
        <v>271.78541666666672</v>
      </c>
      <c r="H64" s="3">
        <f>'Monthly Data'!ET64</f>
        <v>0</v>
      </c>
      <c r="I64" s="3">
        <f>'Monthly Data'!EG64</f>
        <v>1</v>
      </c>
      <c r="J64">
        <f>'Monthly Data'!EH64</f>
        <v>63</v>
      </c>
      <c r="K64" s="3">
        <f>'Monthly Data'!DQ64</f>
        <v>31</v>
      </c>
      <c r="M64" s="3">
        <f t="shared" si="14"/>
        <v>-6000764.6164411902</v>
      </c>
      <c r="N64" s="3">
        <f t="shared" si="15"/>
        <v>7017522.761855646</v>
      </c>
      <c r="O64" s="3">
        <f t="shared" si="16"/>
        <v>0</v>
      </c>
      <c r="P64" s="3">
        <f t="shared" si="17"/>
        <v>1276889.8382183562</v>
      </c>
      <c r="Q64" s="3">
        <f t="shared" si="18"/>
        <v>0</v>
      </c>
      <c r="R64" s="3">
        <f t="shared" si="19"/>
        <v>-815229.51419000898</v>
      </c>
      <c r="S64" s="3">
        <f t="shared" si="20"/>
        <v>3393341.4262084155</v>
      </c>
      <c r="T64" s="3">
        <f t="shared" si="21"/>
        <v>25469342.489254653</v>
      </c>
      <c r="U64" s="47">
        <f t="shared" si="23"/>
        <v>30341102.384905875</v>
      </c>
      <c r="V64" s="47">
        <f ca="1">'Monthly Data'!BF64+'Monthly Data'!BG64</f>
        <v>216396.60077881935</v>
      </c>
      <c r="W64" s="47">
        <f t="shared" ca="1" si="24"/>
        <v>30557498.985684693</v>
      </c>
      <c r="X64" s="47">
        <f t="shared" ca="1" si="25"/>
        <v>646137.1848100014</v>
      </c>
      <c r="Y64" s="18">
        <f t="shared" ca="1" si="22"/>
        <v>2.1601730777470202E-2</v>
      </c>
    </row>
    <row r="65" spans="1:25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Data'!BE65</f>
        <v>28752418.448513802</v>
      </c>
      <c r="E65" s="3">
        <f>'Monthly Data'!CP65</f>
        <v>379.67500000000013</v>
      </c>
      <c r="F65" s="3">
        <f>'Monthly Data'!CU65</f>
        <v>0</v>
      </c>
      <c r="G65" s="3">
        <f>'Monthly Data'!EM65</f>
        <v>439.67500000000013</v>
      </c>
      <c r="H65" s="3">
        <f>'Monthly Data'!ET65</f>
        <v>0</v>
      </c>
      <c r="I65" s="3">
        <f>'Monthly Data'!EG65</f>
        <v>1</v>
      </c>
      <c r="J65">
        <f>'Monthly Data'!EH65</f>
        <v>64</v>
      </c>
      <c r="K65" s="3">
        <f>'Monthly Data'!DQ65</f>
        <v>30</v>
      </c>
      <c r="M65" s="3">
        <f t="shared" si="14"/>
        <v>-6000764.6164411902</v>
      </c>
      <c r="N65" s="3">
        <f t="shared" si="15"/>
        <v>5532681.3215934848</v>
      </c>
      <c r="O65" s="3">
        <f t="shared" si="16"/>
        <v>0</v>
      </c>
      <c r="P65" s="3">
        <f t="shared" si="17"/>
        <v>2065661.0148704539</v>
      </c>
      <c r="Q65" s="3">
        <f t="shared" si="18"/>
        <v>0</v>
      </c>
      <c r="R65" s="3">
        <f t="shared" si="19"/>
        <v>-815229.51419000898</v>
      </c>
      <c r="S65" s="3">
        <f t="shared" si="20"/>
        <v>3447203.9885291839</v>
      </c>
      <c r="T65" s="3">
        <f t="shared" si="21"/>
        <v>24647750.796052888</v>
      </c>
      <c r="U65" s="47">
        <f t="shared" si="23"/>
        <v>28877302.990414813</v>
      </c>
      <c r="V65" s="47">
        <f ca="1">'Monthly Data'!BF65+'Monthly Data'!BG65</f>
        <v>185957.01529254013</v>
      </c>
      <c r="W65" s="47">
        <f t="shared" ca="1" si="24"/>
        <v>29063260.005707353</v>
      </c>
      <c r="X65" s="47">
        <f t="shared" ca="1" si="25"/>
        <v>310841.55719355121</v>
      </c>
      <c r="Y65" s="18">
        <f t="shared" ca="1" si="22"/>
        <v>1.0810970831902958E-2</v>
      </c>
    </row>
    <row r="66" spans="1:25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Data'!BE66</f>
        <v>32004641.507642817</v>
      </c>
      <c r="E66" s="3">
        <f>'Monthly Data'!CP66</f>
        <v>212.73690476190475</v>
      </c>
      <c r="F66" s="3">
        <f>'Monthly Data'!CU66</f>
        <v>50.900595238095221</v>
      </c>
      <c r="G66" s="3">
        <f>'Monthly Data'!EM66</f>
        <v>265.14107142857148</v>
      </c>
      <c r="H66" s="3">
        <f>'Monthly Data'!ET66</f>
        <v>50.900595238095221</v>
      </c>
      <c r="I66" s="3">
        <f>'Monthly Data'!EG66</f>
        <v>1</v>
      </c>
      <c r="J66">
        <f>'Monthly Data'!EH66</f>
        <v>65</v>
      </c>
      <c r="K66" s="3">
        <f>'Monthly Data'!DQ66</f>
        <v>31</v>
      </c>
      <c r="M66" s="3">
        <f t="shared" ref="M66:M97" si="26">$AC$8</f>
        <v>-6000764.6164411902</v>
      </c>
      <c r="N66" s="3">
        <f t="shared" ref="N66:N97" si="27">E66*$AC$9</f>
        <v>3100034.2382032056</v>
      </c>
      <c r="O66" s="3">
        <f t="shared" ref="O66:O97" si="28">F66*$AC$10</f>
        <v>4699525.5413168892</v>
      </c>
      <c r="P66" s="3">
        <f t="shared" ref="P66:P97" si="29">G66*$AC$11</f>
        <v>1245673.6787194684</v>
      </c>
      <c r="Q66" s="3">
        <f t="shared" ref="Q66:Q97" si="30">H66*$AC$12</f>
        <v>845733.16505593422</v>
      </c>
      <c r="R66" s="3">
        <f t="shared" ref="R66:R97" si="31">I66*$AC$13</f>
        <v>-815229.51419000898</v>
      </c>
      <c r="S66" s="3">
        <f t="shared" ref="S66:S97" si="32">J66*$AC$14</f>
        <v>3501066.5508499523</v>
      </c>
      <c r="T66" s="3">
        <f t="shared" ref="T66:T97" si="33">K66*$AC$15</f>
        <v>25469342.489254653</v>
      </c>
      <c r="U66" s="47">
        <f t="shared" si="23"/>
        <v>32045381.532768905</v>
      </c>
      <c r="V66" s="47">
        <f ca="1">'Monthly Data'!BF66+'Monthly Data'!BG66</f>
        <v>135030.81865356321</v>
      </c>
      <c r="W66" s="47">
        <f t="shared" ca="1" si="24"/>
        <v>32180412.35142247</v>
      </c>
      <c r="X66" s="47">
        <f t="shared" ca="1" si="25"/>
        <v>175770.84377965331</v>
      </c>
      <c r="Y66" s="18">
        <f t="shared" ca="1" si="22"/>
        <v>5.4920422632348071E-3</v>
      </c>
    </row>
    <row r="67" spans="1:25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Data'!BE67</f>
        <v>40334292.158091635</v>
      </c>
      <c r="E67" s="3">
        <f>'Monthly Data'!CP67</f>
        <v>29.733333333333348</v>
      </c>
      <c r="F67" s="3">
        <f>'Monthly Data'!CU67</f>
        <v>165.96956521739128</v>
      </c>
      <c r="G67" s="3">
        <f>'Monthly Data'!EM67</f>
        <v>26.637500000000003</v>
      </c>
      <c r="H67" s="3">
        <f>'Monthly Data'!ET67</f>
        <v>82.984782608695639</v>
      </c>
      <c r="I67" s="3">
        <f>'Monthly Data'!EG67</f>
        <v>0</v>
      </c>
      <c r="J67">
        <f>'Monthly Data'!EH67</f>
        <v>66</v>
      </c>
      <c r="K67" s="3">
        <f>'Monthly Data'!DQ67</f>
        <v>30</v>
      </c>
      <c r="M67" s="3">
        <f t="shared" si="26"/>
        <v>-6000764.6164411902</v>
      </c>
      <c r="N67" s="3">
        <f t="shared" si="27"/>
        <v>433278.61450463242</v>
      </c>
      <c r="O67" s="3">
        <f t="shared" si="28"/>
        <v>15323557.753537528</v>
      </c>
      <c r="P67" s="3">
        <f t="shared" si="29"/>
        <v>125147.08656078172</v>
      </c>
      <c r="Q67" s="3">
        <f t="shared" si="30"/>
        <v>1378824.4031104019</v>
      </c>
      <c r="R67" s="3">
        <f t="shared" si="31"/>
        <v>0</v>
      </c>
      <c r="S67" s="3">
        <f t="shared" si="32"/>
        <v>3554929.1131707211</v>
      </c>
      <c r="T67" s="3">
        <f t="shared" si="33"/>
        <v>24647750.796052888</v>
      </c>
      <c r="U67" s="47">
        <f t="shared" si="23"/>
        <v>39462723.15049576</v>
      </c>
      <c r="V67" s="47">
        <f ca="1">'Monthly Data'!BF67+'Monthly Data'!BG67</f>
        <v>79044.417248350932</v>
      </c>
      <c r="W67" s="47">
        <f t="shared" ca="1" si="24"/>
        <v>39541767.567744114</v>
      </c>
      <c r="X67" s="47">
        <f t="shared" ca="1" si="25"/>
        <v>-792524.59034752101</v>
      </c>
      <c r="Y67" s="18">
        <f t="shared" ca="1" si="22"/>
        <v>1.9648902904783699E-2</v>
      </c>
    </row>
    <row r="68" spans="1:25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Data'!BE68</f>
        <v>55198199.997750744</v>
      </c>
      <c r="E68" s="3">
        <f>'Monthly Data'!CP68</f>
        <v>0</v>
      </c>
      <c r="F68" s="3">
        <f>'Monthly Data'!CU68</f>
        <v>308.88750000000005</v>
      </c>
      <c r="G68" s="3">
        <f>'Monthly Data'!EM68</f>
        <v>0</v>
      </c>
      <c r="H68" s="3">
        <f>'Monthly Data'!ET68</f>
        <v>154.44375000000002</v>
      </c>
      <c r="I68" s="3">
        <f>'Monthly Data'!EG68</f>
        <v>0</v>
      </c>
      <c r="J68">
        <f>'Monthly Data'!EH68</f>
        <v>67</v>
      </c>
      <c r="K68" s="3">
        <f>'Monthly Data'!DQ68</f>
        <v>31</v>
      </c>
      <c r="M68" s="3">
        <f t="shared" si="26"/>
        <v>-6000764.6164411902</v>
      </c>
      <c r="N68" s="3">
        <f t="shared" si="27"/>
        <v>0</v>
      </c>
      <c r="O68" s="3">
        <f t="shared" si="28"/>
        <v>28518815.720195942</v>
      </c>
      <c r="P68" s="3">
        <f t="shared" si="29"/>
        <v>0</v>
      </c>
      <c r="Q68" s="3">
        <f t="shared" si="30"/>
        <v>2566142.9085381241</v>
      </c>
      <c r="R68" s="3">
        <f t="shared" si="31"/>
        <v>0</v>
      </c>
      <c r="S68" s="3">
        <f t="shared" si="32"/>
        <v>3608791.6754914895</v>
      </c>
      <c r="T68" s="3">
        <f t="shared" si="33"/>
        <v>25469342.489254653</v>
      </c>
      <c r="U68" s="47">
        <f t="shared" si="23"/>
        <v>54162328.17703902</v>
      </c>
      <c r="V68" s="47">
        <f ca="1">'Monthly Data'!BF68+'Monthly Data'!BG68</f>
        <v>71334.131666666683</v>
      </c>
      <c r="W68" s="47">
        <f t="shared" ca="1" si="24"/>
        <v>54233662.308705688</v>
      </c>
      <c r="X68" s="47">
        <f t="shared" ca="1" si="25"/>
        <v>-964537.6890450567</v>
      </c>
      <c r="Y68" s="18">
        <f t="shared" ca="1" si="22"/>
        <v>1.7474078667136978E-2</v>
      </c>
    </row>
    <row r="69" spans="1:25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Data'!BE69</f>
        <v>45757218.379059561</v>
      </c>
      <c r="E69" s="3">
        <f>'Monthly Data'!CP69</f>
        <v>3.4874999999999972</v>
      </c>
      <c r="F69" s="3">
        <f>'Monthly Data'!CU69</f>
        <v>216.93106060606064</v>
      </c>
      <c r="G69" s="3">
        <f>'Monthly Data'!EM69</f>
        <v>9.8604166666666604</v>
      </c>
      <c r="H69" s="3">
        <f>'Monthly Data'!ET69</f>
        <v>108.46553030303032</v>
      </c>
      <c r="I69" s="3">
        <f>'Monthly Data'!EG69</f>
        <v>0</v>
      </c>
      <c r="J69">
        <f>'Monthly Data'!EH69</f>
        <v>68</v>
      </c>
      <c r="K69" s="3">
        <f>'Monthly Data'!DQ69</f>
        <v>31</v>
      </c>
      <c r="M69" s="3">
        <f t="shared" si="26"/>
        <v>-6000764.6164411902</v>
      </c>
      <c r="N69" s="3">
        <f t="shared" si="27"/>
        <v>50820.375608236667</v>
      </c>
      <c r="O69" s="3">
        <f t="shared" si="28"/>
        <v>20028706.054504957</v>
      </c>
      <c r="P69" s="3">
        <f t="shared" si="29"/>
        <v>46325.759478506137</v>
      </c>
      <c r="Q69" s="3">
        <f t="shared" si="30"/>
        <v>1802196.9254692937</v>
      </c>
      <c r="R69" s="3">
        <f t="shared" si="31"/>
        <v>0</v>
      </c>
      <c r="S69" s="3">
        <f t="shared" si="32"/>
        <v>3662654.2378122578</v>
      </c>
      <c r="T69" s="3">
        <f t="shared" si="33"/>
        <v>25469342.489254653</v>
      </c>
      <c r="U69" s="47">
        <f t="shared" si="23"/>
        <v>45059281.225686714</v>
      </c>
      <c r="V69" s="47">
        <f ca="1">'Monthly Data'!BF69+'Monthly Data'!BG69</f>
        <v>74087.53960881957</v>
      </c>
      <c r="W69" s="47">
        <f t="shared" ca="1" si="24"/>
        <v>45133368.765295535</v>
      </c>
      <c r="X69" s="47">
        <f t="shared" ca="1" si="25"/>
        <v>-623849.61376402527</v>
      </c>
      <c r="Y69" s="18">
        <f t="shared" ca="1" si="22"/>
        <v>1.363390599043768E-2</v>
      </c>
    </row>
    <row r="70" spans="1:25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Data'!BE70</f>
        <v>31219269.97128877</v>
      </c>
      <c r="E70" s="3">
        <f>'Monthly Data'!CP70</f>
        <v>85.042028985507244</v>
      </c>
      <c r="F70" s="3">
        <f>'Monthly Data'!CU70</f>
        <v>75.812499999999972</v>
      </c>
      <c r="G70" s="3">
        <f>'Monthly Data'!EM70</f>
        <v>66.37934782608697</v>
      </c>
      <c r="H70" s="3">
        <f>'Monthly Data'!ET70</f>
        <v>37.906249999999986</v>
      </c>
      <c r="I70" s="3">
        <f>'Monthly Data'!EG70</f>
        <v>1</v>
      </c>
      <c r="J70">
        <f>'Monthly Data'!EH70</f>
        <v>69</v>
      </c>
      <c r="K70" s="3">
        <f>'Monthly Data'!DQ70</f>
        <v>30</v>
      </c>
      <c r="M70" s="3">
        <f t="shared" si="26"/>
        <v>-6000764.6164411902</v>
      </c>
      <c r="N70" s="3">
        <f t="shared" si="27"/>
        <v>1239245.2632344177</v>
      </c>
      <c r="O70" s="3">
        <f t="shared" si="28"/>
        <v>6999579.8366309861</v>
      </c>
      <c r="P70" s="3">
        <f t="shared" si="29"/>
        <v>311860.42189543101</v>
      </c>
      <c r="Q70" s="3">
        <f t="shared" si="30"/>
        <v>629827.07054687035</v>
      </c>
      <c r="R70" s="3">
        <f t="shared" si="31"/>
        <v>-815229.51419000898</v>
      </c>
      <c r="S70" s="3">
        <f t="shared" si="32"/>
        <v>3716516.8001330262</v>
      </c>
      <c r="T70" s="3">
        <f t="shared" si="33"/>
        <v>24647750.796052888</v>
      </c>
      <c r="U70" s="47">
        <f t="shared" si="23"/>
        <v>30728786.05786242</v>
      </c>
      <c r="V70" s="47">
        <f ca="1">'Monthly Data'!BF70+'Monthly Data'!BG70</f>
        <v>101430.01963789159</v>
      </c>
      <c r="W70" s="47">
        <f t="shared" ca="1" si="24"/>
        <v>30830216.07750031</v>
      </c>
      <c r="X70" s="47">
        <f t="shared" ca="1" si="25"/>
        <v>-389053.89378846064</v>
      </c>
      <c r="Y70" s="18">
        <f t="shared" ca="1" si="22"/>
        <v>1.2461979224570574E-2</v>
      </c>
    </row>
    <row r="71" spans="1:25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Data'!BE71</f>
        <v>28728580.147087686</v>
      </c>
      <c r="E71" s="3">
        <f>'Monthly Data'!CP71</f>
        <v>287.83333333333331</v>
      </c>
      <c r="F71" s="3">
        <f>'Monthly Data'!CU71</f>
        <v>3.9291666666666654</v>
      </c>
      <c r="G71" s="3">
        <f>'Monthly Data'!EM71</f>
        <v>174.91666666666663</v>
      </c>
      <c r="H71" s="3">
        <f>'Monthly Data'!ET71</f>
        <v>1.9645833333333327</v>
      </c>
      <c r="I71" s="3">
        <f>'Monthly Data'!EG71</f>
        <v>1</v>
      </c>
      <c r="J71">
        <f>'Monthly Data'!EH71</f>
        <v>70</v>
      </c>
      <c r="K71" s="3">
        <f>'Monthly Data'!DQ71</f>
        <v>31</v>
      </c>
      <c r="M71" s="3">
        <f t="shared" si="26"/>
        <v>-6000764.6164411902</v>
      </c>
      <c r="N71" s="3">
        <f t="shared" si="27"/>
        <v>4194350.7132819491</v>
      </c>
      <c r="O71" s="3">
        <f t="shared" si="28"/>
        <v>362770.19983198791</v>
      </c>
      <c r="P71" s="3">
        <f t="shared" si="29"/>
        <v>821785.4987989387</v>
      </c>
      <c r="Q71" s="3">
        <f t="shared" si="30"/>
        <v>32642.315335295345</v>
      </c>
      <c r="R71" s="3">
        <f t="shared" si="31"/>
        <v>-815229.51419000898</v>
      </c>
      <c r="S71" s="3">
        <f t="shared" si="32"/>
        <v>3770379.362453795</v>
      </c>
      <c r="T71" s="3">
        <f t="shared" si="33"/>
        <v>25469342.489254653</v>
      </c>
      <c r="U71" s="47">
        <f t="shared" si="23"/>
        <v>27835276.448325422</v>
      </c>
      <c r="V71" s="47">
        <f ca="1">'Monthly Data'!BF71+'Monthly Data'!BG71</f>
        <v>166958.9126470593</v>
      </c>
      <c r="W71" s="47">
        <f t="shared" ca="1" si="24"/>
        <v>28002235.360972483</v>
      </c>
      <c r="X71" s="47">
        <f t="shared" ca="1" si="25"/>
        <v>-726344.78611520305</v>
      </c>
      <c r="Y71" s="18">
        <f t="shared" ca="1" si="22"/>
        <v>2.5283003280927377E-2</v>
      </c>
    </row>
    <row r="72" spans="1:25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Data'!BE72</f>
        <v>29288672.5578968</v>
      </c>
      <c r="E72" s="3">
        <f>'Monthly Data'!CP72</f>
        <v>366.30072463768118</v>
      </c>
      <c r="F72" s="3">
        <f>'Monthly Data'!CU72</f>
        <v>0</v>
      </c>
      <c r="G72" s="3">
        <f>'Monthly Data'!EM72</f>
        <v>213.15036231884056</v>
      </c>
      <c r="H72" s="3">
        <f>'Monthly Data'!ET72</f>
        <v>0</v>
      </c>
      <c r="I72" s="3">
        <f>'Monthly Data'!EG72</f>
        <v>1</v>
      </c>
      <c r="J72">
        <f>'Monthly Data'!EH72</f>
        <v>71</v>
      </c>
      <c r="K72" s="3">
        <f>'Monthly Data'!DQ72</f>
        <v>30</v>
      </c>
      <c r="M72" s="3">
        <f t="shared" si="26"/>
        <v>-6000764.6164411902</v>
      </c>
      <c r="N72" s="3">
        <f t="shared" si="27"/>
        <v>5337789.3653494604</v>
      </c>
      <c r="O72" s="3">
        <f t="shared" si="28"/>
        <v>0</v>
      </c>
      <c r="P72" s="3">
        <f t="shared" si="29"/>
        <v>1001413.302433709</v>
      </c>
      <c r="Q72" s="3">
        <f t="shared" si="30"/>
        <v>0</v>
      </c>
      <c r="R72" s="3">
        <f t="shared" si="31"/>
        <v>-815229.51419000898</v>
      </c>
      <c r="S72" s="3">
        <f t="shared" si="32"/>
        <v>3824241.9247745634</v>
      </c>
      <c r="T72" s="3">
        <f t="shared" si="33"/>
        <v>24647750.796052888</v>
      </c>
      <c r="U72" s="47">
        <f t="shared" si="23"/>
        <v>27995201.257979423</v>
      </c>
      <c r="V72" s="47">
        <f ca="1">'Monthly Data'!BF72+'Monthly Data'!BG72</f>
        <v>193329.02505857585</v>
      </c>
      <c r="W72" s="47">
        <f t="shared" ca="1" si="24"/>
        <v>28188530.283037998</v>
      </c>
      <c r="X72" s="47">
        <f t="shared" ca="1" si="25"/>
        <v>-1100142.2748588026</v>
      </c>
      <c r="Y72" s="18">
        <f t="shared" ca="1" si="22"/>
        <v>3.7562039477346765E-2</v>
      </c>
    </row>
    <row r="73" spans="1:25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Data'!BE73</f>
        <v>34977177.400135517</v>
      </c>
      <c r="E73" s="3">
        <f>'Monthly Data'!CP73</f>
        <v>582.90416666666681</v>
      </c>
      <c r="F73" s="3">
        <f>'Monthly Data'!CU73</f>
        <v>0</v>
      </c>
      <c r="G73" s="3">
        <f>'Monthly Data'!EM73</f>
        <v>322.45208333333341</v>
      </c>
      <c r="H73" s="3">
        <f>'Monthly Data'!ET73</f>
        <v>0</v>
      </c>
      <c r="I73" s="3">
        <f>'Monthly Data'!EG73</f>
        <v>0</v>
      </c>
      <c r="J73">
        <f>'Monthly Data'!EH73</f>
        <v>72</v>
      </c>
      <c r="K73" s="3">
        <f>'Monthly Data'!DQ73</f>
        <v>31</v>
      </c>
      <c r="M73" s="3">
        <f t="shared" si="26"/>
        <v>-6000764.6164411902</v>
      </c>
      <c r="N73" s="3">
        <f t="shared" si="27"/>
        <v>8494167.3673422858</v>
      </c>
      <c r="O73" s="3">
        <f t="shared" si="28"/>
        <v>0</v>
      </c>
      <c r="P73" s="3">
        <f t="shared" si="29"/>
        <v>1514929.6587375344</v>
      </c>
      <c r="Q73" s="3">
        <f t="shared" si="30"/>
        <v>0</v>
      </c>
      <c r="R73" s="3">
        <f t="shared" si="31"/>
        <v>0</v>
      </c>
      <c r="S73" s="3">
        <f t="shared" si="32"/>
        <v>3878104.4870953318</v>
      </c>
      <c r="T73" s="3">
        <f t="shared" si="33"/>
        <v>25469342.489254653</v>
      </c>
      <c r="U73" s="47">
        <f t="shared" si="23"/>
        <v>33355779.385988615</v>
      </c>
      <c r="V73" s="47">
        <f ca="1">'Monthly Data'!BF73+'Monthly Data'!BG73</f>
        <v>263208.38014539651</v>
      </c>
      <c r="W73" s="47">
        <f t="shared" ca="1" si="24"/>
        <v>33618987.766134009</v>
      </c>
      <c r="X73" s="47">
        <f t="shared" ca="1" si="25"/>
        <v>-1358189.6340015084</v>
      </c>
      <c r="Y73" s="18">
        <f t="shared" ca="1" si="22"/>
        <v>3.8830738640341117E-2</v>
      </c>
    </row>
    <row r="74" spans="1:25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Data'!BE74</f>
        <v>34480133.068013385</v>
      </c>
      <c r="E74" s="3">
        <f>'Monthly Data'!CP74</f>
        <v>653.50416666666661</v>
      </c>
      <c r="F74" s="3">
        <f>'Monthly Data'!CU74</f>
        <v>0</v>
      </c>
      <c r="G74" s="3">
        <f>'Monthly Data'!EM74</f>
        <v>357.7520833333333</v>
      </c>
      <c r="H74" s="3">
        <f>'Monthly Data'!ET74</f>
        <v>0</v>
      </c>
      <c r="I74" s="3">
        <f>'Monthly Data'!EG74</f>
        <v>0</v>
      </c>
      <c r="J74">
        <f>'Monthly Data'!EH74</f>
        <v>73</v>
      </c>
      <c r="K74" s="3">
        <f>'Monthly Data'!DQ74</f>
        <v>31</v>
      </c>
      <c r="M74" s="3">
        <f t="shared" si="26"/>
        <v>-6000764.6164411902</v>
      </c>
      <c r="N74" s="3">
        <f t="shared" si="27"/>
        <v>9522961.20761225</v>
      </c>
      <c r="O74" s="3">
        <f t="shared" si="28"/>
        <v>0</v>
      </c>
      <c r="P74" s="3">
        <f t="shared" si="29"/>
        <v>1680774.5073755668</v>
      </c>
      <c r="Q74" s="3">
        <f t="shared" si="30"/>
        <v>0</v>
      </c>
      <c r="R74" s="3">
        <f t="shared" si="31"/>
        <v>0</v>
      </c>
      <c r="S74" s="3">
        <f t="shared" si="32"/>
        <v>3931967.0494161006</v>
      </c>
      <c r="T74" s="3">
        <f t="shared" si="33"/>
        <v>25469342.489254653</v>
      </c>
      <c r="U74" s="47">
        <f t="shared" si="23"/>
        <v>34604280.63721738</v>
      </c>
      <c r="V74" s="47">
        <f ca="1">'Monthly Data'!BF74+'Monthly Data'!BG74</f>
        <v>508640.25475735619</v>
      </c>
      <c r="W74" s="47">
        <f t="shared" ca="1" si="24"/>
        <v>35112920.89197474</v>
      </c>
      <c r="X74" s="47">
        <f t="shared" ca="1" si="25"/>
        <v>632787.82396135479</v>
      </c>
      <c r="Y74" s="18">
        <f t="shared" ca="1" si="22"/>
        <v>1.8352244253615743E-2</v>
      </c>
    </row>
    <row r="75" spans="1:25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Data'!BE75</f>
        <v>31637027.72212705</v>
      </c>
      <c r="E75" s="3">
        <f>'Monthly Data'!CP75</f>
        <v>653.45416666666654</v>
      </c>
      <c r="F75" s="3">
        <f>'Monthly Data'!CU75</f>
        <v>0</v>
      </c>
      <c r="G75" s="3">
        <f>'Monthly Data'!EM75</f>
        <v>354.72708333333327</v>
      </c>
      <c r="H75" s="3">
        <f>'Monthly Data'!ET75</f>
        <v>0</v>
      </c>
      <c r="I75" s="3">
        <f>'Monthly Data'!EG75</f>
        <v>0</v>
      </c>
      <c r="J75">
        <f>'Monthly Data'!EH75</f>
        <v>74</v>
      </c>
      <c r="K75" s="3">
        <f>'Monthly Data'!DQ75</f>
        <v>28</v>
      </c>
      <c r="M75" s="3">
        <f t="shared" si="26"/>
        <v>-6000764.6164411902</v>
      </c>
      <c r="N75" s="3">
        <f t="shared" si="27"/>
        <v>9522232.6000766475</v>
      </c>
      <c r="O75" s="3">
        <f t="shared" si="28"/>
        <v>0</v>
      </c>
      <c r="P75" s="3">
        <f t="shared" si="29"/>
        <v>1666562.5904597011</v>
      </c>
      <c r="Q75" s="3">
        <f t="shared" si="30"/>
        <v>0</v>
      </c>
      <c r="R75" s="3">
        <f t="shared" si="31"/>
        <v>0</v>
      </c>
      <c r="S75" s="3">
        <f t="shared" si="32"/>
        <v>3985829.611736869</v>
      </c>
      <c r="T75" s="3">
        <f t="shared" si="33"/>
        <v>23004567.409649365</v>
      </c>
      <c r="U75" s="47">
        <f t="shared" si="23"/>
        <v>32178427.595481392</v>
      </c>
      <c r="V75" s="47">
        <f ca="1">'Monthly Data'!BF75+'Monthly Data'!BG75</f>
        <v>511915.86953652953</v>
      </c>
      <c r="W75" s="47">
        <f t="shared" ca="1" si="24"/>
        <v>32690343.465017922</v>
      </c>
      <c r="X75" s="47">
        <f t="shared" ca="1" si="25"/>
        <v>1053315.7428908721</v>
      </c>
      <c r="Y75" s="18">
        <f t="shared" ca="1" si="22"/>
        <v>3.3293764260736138E-2</v>
      </c>
    </row>
    <row r="76" spans="1:25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Data'!BE76</f>
        <v>30941540.276100904</v>
      </c>
      <c r="E76" s="3">
        <f>'Monthly Data'!CP76</f>
        <v>492.59637681159415</v>
      </c>
      <c r="F76" s="3">
        <f>'Monthly Data'!CU76</f>
        <v>0</v>
      </c>
      <c r="G76" s="3">
        <f>'Monthly Data'!EM76</f>
        <v>277.29818840579713</v>
      </c>
      <c r="H76" s="3">
        <f>'Monthly Data'!ET76</f>
        <v>0</v>
      </c>
      <c r="I76" s="3">
        <f>'Monthly Data'!EG76</f>
        <v>1</v>
      </c>
      <c r="J76">
        <f>'Monthly Data'!EH76</f>
        <v>75</v>
      </c>
      <c r="K76" s="3">
        <f>'Monthly Data'!DQ76</f>
        <v>31</v>
      </c>
      <c r="M76" s="3">
        <f t="shared" si="26"/>
        <v>-6000764.6164411902</v>
      </c>
      <c r="N76" s="3">
        <f t="shared" si="27"/>
        <v>7178188.6431030016</v>
      </c>
      <c r="O76" s="3">
        <f t="shared" si="28"/>
        <v>0</v>
      </c>
      <c r="P76" s="3">
        <f t="shared" si="29"/>
        <v>1302789.690758076</v>
      </c>
      <c r="Q76" s="3">
        <f t="shared" si="30"/>
        <v>0</v>
      </c>
      <c r="R76" s="3">
        <f t="shared" si="31"/>
        <v>-815229.51419000898</v>
      </c>
      <c r="S76" s="3">
        <f t="shared" si="32"/>
        <v>4039692.1740576373</v>
      </c>
      <c r="T76" s="3">
        <f t="shared" si="33"/>
        <v>25469342.489254653</v>
      </c>
      <c r="U76" s="47">
        <f t="shared" si="23"/>
        <v>31174018.866542168</v>
      </c>
      <c r="V76" s="47">
        <f ca="1">'Monthly Data'!BF76+'Monthly Data'!BG76</f>
        <v>410840.94995558576</v>
      </c>
      <c r="W76" s="47">
        <f t="shared" ca="1" si="24"/>
        <v>31584859.816497754</v>
      </c>
      <c r="X76" s="47">
        <f t="shared" ca="1" si="25"/>
        <v>643319.54039685056</v>
      </c>
      <c r="Y76" s="18">
        <f t="shared" ca="1" si="22"/>
        <v>2.0791451707197248E-2</v>
      </c>
    </row>
    <row r="77" spans="1:25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Data'!BE77</f>
        <v>28032178.831614867</v>
      </c>
      <c r="E77" s="3">
        <f>'Monthly Data'!CP77</f>
        <v>319.79583333333329</v>
      </c>
      <c r="F77" s="3">
        <f>'Monthly Data'!CU77</f>
        <v>3.7083333333333339</v>
      </c>
      <c r="G77" s="3">
        <f>'Monthly Data'!EM77</f>
        <v>189.89791666666665</v>
      </c>
      <c r="H77" s="3">
        <f>'Monthly Data'!ET77</f>
        <v>1.854166666666667</v>
      </c>
      <c r="I77" s="3">
        <f>'Monthly Data'!EG77</f>
        <v>1</v>
      </c>
      <c r="J77">
        <f>'Monthly Data'!EH77</f>
        <v>76</v>
      </c>
      <c r="K77" s="3">
        <f>'Monthly Data'!DQ77</f>
        <v>30</v>
      </c>
      <c r="M77" s="3">
        <f t="shared" si="26"/>
        <v>-6000764.6164411902</v>
      </c>
      <c r="N77" s="3">
        <f t="shared" si="27"/>
        <v>4660113.0804155022</v>
      </c>
      <c r="O77" s="3">
        <f t="shared" si="28"/>
        <v>342381.20662828145</v>
      </c>
      <c r="P77" s="3">
        <f t="shared" si="29"/>
        <v>892169.72369011515</v>
      </c>
      <c r="Q77" s="3">
        <f t="shared" si="30"/>
        <v>30807.699521116512</v>
      </c>
      <c r="R77" s="3">
        <f t="shared" si="31"/>
        <v>-815229.51419000898</v>
      </c>
      <c r="S77" s="3">
        <f t="shared" si="32"/>
        <v>4093554.7363784057</v>
      </c>
      <c r="T77" s="3">
        <f t="shared" si="33"/>
        <v>24647750.796052888</v>
      </c>
      <c r="U77" s="47">
        <f t="shared" si="23"/>
        <v>27850783.112055108</v>
      </c>
      <c r="V77" s="47">
        <f ca="1">'Monthly Data'!BF77+'Monthly Data'!BG77</f>
        <v>302016.20231323963</v>
      </c>
      <c r="W77" s="47">
        <f t="shared" ca="1" si="24"/>
        <v>28152799.314368349</v>
      </c>
      <c r="X77" s="47">
        <f t="shared" ca="1" si="25"/>
        <v>120620.48275348172</v>
      </c>
      <c r="Y77" s="18">
        <f t="shared" ca="1" si="22"/>
        <v>4.3029292684678934E-3</v>
      </c>
    </row>
    <row r="78" spans="1:25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Data'!BE78</f>
        <v>31416040.846248426</v>
      </c>
      <c r="E78" s="3">
        <f>'Monthly Data'!CP78</f>
        <v>173.64305555555555</v>
      </c>
      <c r="F78" s="3">
        <f>'Monthly Data'!CU78</f>
        <v>53.908333333333317</v>
      </c>
      <c r="G78" s="3">
        <f>'Monthly Data'!EM78</f>
        <v>110.96111111111111</v>
      </c>
      <c r="H78" s="3">
        <f>'Monthly Data'!ET78</f>
        <v>26.954166666666659</v>
      </c>
      <c r="I78" s="3">
        <f>'Monthly Data'!EG78</f>
        <v>1</v>
      </c>
      <c r="J78">
        <f>'Monthly Data'!EH78</f>
        <v>77</v>
      </c>
      <c r="K78" s="3">
        <f>'Monthly Data'!DQ78</f>
        <v>31</v>
      </c>
      <c r="M78" s="3">
        <f t="shared" si="26"/>
        <v>-6000764.6164411902</v>
      </c>
      <c r="N78" s="3">
        <f t="shared" si="27"/>
        <v>2530352.7756545511</v>
      </c>
      <c r="O78" s="3">
        <f t="shared" si="28"/>
        <v>4977222.5296142735</v>
      </c>
      <c r="P78" s="3">
        <f t="shared" si="29"/>
        <v>521312.42710850266</v>
      </c>
      <c r="Q78" s="3">
        <f t="shared" si="30"/>
        <v>447853.95101596095</v>
      </c>
      <c r="R78" s="3">
        <f t="shared" si="31"/>
        <v>-815229.51419000898</v>
      </c>
      <c r="S78" s="3">
        <f t="shared" si="32"/>
        <v>4147417.2986991745</v>
      </c>
      <c r="T78" s="3">
        <f t="shared" si="33"/>
        <v>25469342.489254653</v>
      </c>
      <c r="U78" s="47">
        <f t="shared" si="23"/>
        <v>31277507.340715915</v>
      </c>
      <c r="V78" s="47">
        <f ca="1">'Monthly Data'!BF78+'Monthly Data'!BG78</f>
        <v>210483.58083502221</v>
      </c>
      <c r="W78" s="47">
        <f t="shared" ca="1" si="24"/>
        <v>31487990.921550937</v>
      </c>
      <c r="X78" s="47">
        <f t="shared" ca="1" si="25"/>
        <v>71950.075302511454</v>
      </c>
      <c r="Y78" s="18">
        <f t="shared" ca="1" si="22"/>
        <v>2.2902336947751784E-3</v>
      </c>
    </row>
    <row r="79" spans="1:25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Data'!BE79</f>
        <v>40462392.89460209</v>
      </c>
      <c r="E79" s="3">
        <f>'Monthly Data'!CP79</f>
        <v>14.254166666666677</v>
      </c>
      <c r="F79" s="3">
        <f>'Monthly Data'!CU79</f>
        <v>181.67499999999995</v>
      </c>
      <c r="G79" s="3">
        <f>'Monthly Data'!EM79</f>
        <v>18.033333333333339</v>
      </c>
      <c r="H79" s="3">
        <f>'Monthly Data'!ET79</f>
        <v>90.837499999999977</v>
      </c>
      <c r="I79" s="3">
        <f>'Monthly Data'!EG79</f>
        <v>0</v>
      </c>
      <c r="J79">
        <f>'Monthly Data'!EH79</f>
        <v>78</v>
      </c>
      <c r="K79" s="3">
        <f>'Monthly Data'!DQ79</f>
        <v>30</v>
      </c>
      <c r="M79" s="3">
        <f t="shared" si="26"/>
        <v>-6000764.6164411902</v>
      </c>
      <c r="N79" s="3">
        <f t="shared" si="27"/>
        <v>207713.86494119224</v>
      </c>
      <c r="O79" s="3">
        <f t="shared" si="28"/>
        <v>16773601.54090598</v>
      </c>
      <c r="P79" s="3">
        <f t="shared" si="29"/>
        <v>84723.383487418017</v>
      </c>
      <c r="Q79" s="3">
        <f t="shared" si="30"/>
        <v>1509300.3533929456</v>
      </c>
      <c r="R79" s="3">
        <f t="shared" si="31"/>
        <v>0</v>
      </c>
      <c r="S79" s="3">
        <f t="shared" si="32"/>
        <v>4201279.8610199429</v>
      </c>
      <c r="T79" s="3">
        <f t="shared" si="33"/>
        <v>24647750.796052888</v>
      </c>
      <c r="U79" s="47">
        <f t="shared" si="23"/>
        <v>41423605.183359176</v>
      </c>
      <c r="V79" s="47">
        <f ca="1">'Monthly Data'!BF79+'Monthly Data'!BG79</f>
        <v>110361.85264413164</v>
      </c>
      <c r="W79" s="47">
        <f t="shared" ca="1" si="24"/>
        <v>41533967.036003307</v>
      </c>
      <c r="X79" s="47">
        <f t="shared" ca="1" si="25"/>
        <v>1071574.1414012164</v>
      </c>
      <c r="Y79" s="18">
        <f t="shared" ca="1" si="22"/>
        <v>2.6483212305127173E-2</v>
      </c>
    </row>
    <row r="80" spans="1:25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Data'!BE80</f>
        <v>42514397.92280595</v>
      </c>
      <c r="E80" s="3">
        <f>'Monthly Data'!CP80</f>
        <v>5.3541666666666572</v>
      </c>
      <c r="F80" s="3">
        <f>'Monthly Data'!CU80</f>
        <v>192.87499999999994</v>
      </c>
      <c r="G80" s="3">
        <f>'Monthly Data'!EM80</f>
        <v>12.758333333333335</v>
      </c>
      <c r="H80" s="3">
        <f>'Monthly Data'!ET80</f>
        <v>96.437499999999972</v>
      </c>
      <c r="I80" s="3">
        <f>'Monthly Data'!EG80</f>
        <v>0</v>
      </c>
      <c r="J80">
        <f>'Monthly Data'!EH80</f>
        <v>79</v>
      </c>
      <c r="K80" s="3">
        <f>'Monthly Data'!DQ80</f>
        <v>31</v>
      </c>
      <c r="M80" s="3">
        <f t="shared" si="26"/>
        <v>-6000764.6164411902</v>
      </c>
      <c r="N80" s="3">
        <f t="shared" si="27"/>
        <v>78021.723604043073</v>
      </c>
      <c r="O80" s="3">
        <f t="shared" si="28"/>
        <v>17807669.724520385</v>
      </c>
      <c r="P80" s="3">
        <f t="shared" si="29"/>
        <v>59940.619278760154</v>
      </c>
      <c r="Q80" s="3">
        <f t="shared" si="30"/>
        <v>1602346.5290252615</v>
      </c>
      <c r="R80" s="3">
        <f t="shared" si="31"/>
        <v>0</v>
      </c>
      <c r="S80" s="3">
        <f t="shared" si="32"/>
        <v>4255142.4233407117</v>
      </c>
      <c r="T80" s="3">
        <f t="shared" si="33"/>
        <v>25469342.489254653</v>
      </c>
      <c r="U80" s="47">
        <f t="shared" si="23"/>
        <v>43271698.892582625</v>
      </c>
      <c r="V80" s="47">
        <f ca="1">'Monthly Data'!BF80+'Monthly Data'!BG80</f>
        <v>107894.57256778012</v>
      </c>
      <c r="W80" s="47">
        <f t="shared" ca="1" si="24"/>
        <v>43379593.465150408</v>
      </c>
      <c r="X80" s="47">
        <f t="shared" ca="1" si="25"/>
        <v>865195.5423444584</v>
      </c>
      <c r="Y80" s="18">
        <f t="shared" ca="1" si="22"/>
        <v>2.0350647889108234E-2</v>
      </c>
    </row>
    <row r="81" spans="1:25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Data'!BE81</f>
        <v>50349130.762999512</v>
      </c>
      <c r="E81" s="3">
        <f>'Monthly Data'!CP81</f>
        <v>0.69166666666666643</v>
      </c>
      <c r="F81" s="3">
        <f>'Monthly Data'!CU81</f>
        <v>266.0625</v>
      </c>
      <c r="G81" s="3">
        <f>'Monthly Data'!EM81</f>
        <v>4.2624999999999975</v>
      </c>
      <c r="H81" s="3">
        <f>'Monthly Data'!ET81</f>
        <v>133.03125</v>
      </c>
      <c r="I81" s="3">
        <f>'Monthly Data'!EG81</f>
        <v>0</v>
      </c>
      <c r="J81">
        <f>'Monthly Data'!EH81</f>
        <v>80</v>
      </c>
      <c r="K81" s="3">
        <f>'Monthly Data'!DQ81</f>
        <v>31</v>
      </c>
      <c r="M81" s="3">
        <f t="shared" si="26"/>
        <v>-6000764.6164411902</v>
      </c>
      <c r="N81" s="3">
        <f t="shared" si="27"/>
        <v>10079.070909160442</v>
      </c>
      <c r="O81" s="3">
        <f t="shared" si="28"/>
        <v>24564889.83061675</v>
      </c>
      <c r="P81" s="3">
        <f t="shared" si="29"/>
        <v>20025.882926901239</v>
      </c>
      <c r="Q81" s="3">
        <f t="shared" si="30"/>
        <v>2210365.9021583088</v>
      </c>
      <c r="R81" s="3">
        <f t="shared" si="31"/>
        <v>0</v>
      </c>
      <c r="S81" s="3">
        <f t="shared" si="32"/>
        <v>4309004.9856614796</v>
      </c>
      <c r="T81" s="3">
        <f t="shared" si="33"/>
        <v>25469342.489254653</v>
      </c>
      <c r="U81" s="47">
        <f t="shared" si="23"/>
        <v>50582943.545086063</v>
      </c>
      <c r="V81" s="47">
        <f ca="1">'Monthly Data'!BF81+'Monthly Data'!BG81</f>
        <v>108177.06841801474</v>
      </c>
      <c r="W81" s="47">
        <f t="shared" ca="1" si="24"/>
        <v>50691120.613504075</v>
      </c>
      <c r="X81" s="47">
        <f t="shared" ca="1" si="25"/>
        <v>341989.85050456226</v>
      </c>
      <c r="Y81" s="18">
        <f t="shared" ca="1" si="22"/>
        <v>6.7923685140535376E-3</v>
      </c>
    </row>
    <row r="82" spans="1:25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Data'!BE82</f>
        <v>32830511.610102866</v>
      </c>
      <c r="E82" s="3">
        <f>'Monthly Data'!CP82</f>
        <v>45.679166666666674</v>
      </c>
      <c r="F82" s="3">
        <f>'Monthly Data'!CU82</f>
        <v>95.25833333333334</v>
      </c>
      <c r="G82" s="3">
        <f>'Monthly Data'!EM82</f>
        <v>46.552083333333336</v>
      </c>
      <c r="H82" s="3">
        <f>'Monthly Data'!ET82</f>
        <v>47.62916666666667</v>
      </c>
      <c r="I82" s="3">
        <f>'Monthly Data'!EG82</f>
        <v>1</v>
      </c>
      <c r="J82">
        <f>'Monthly Data'!EH82</f>
        <v>81</v>
      </c>
      <c r="K82" s="3">
        <f>'Monthly Data'!DQ82</f>
        <v>30</v>
      </c>
      <c r="M82" s="3">
        <f t="shared" si="26"/>
        <v>-6000764.6164411902</v>
      </c>
      <c r="N82" s="3">
        <f t="shared" si="27"/>
        <v>665643.70106702403</v>
      </c>
      <c r="O82" s="3">
        <f t="shared" si="28"/>
        <v>8794965.3325121012</v>
      </c>
      <c r="P82" s="3">
        <f t="shared" si="29"/>
        <v>218708.8729235623</v>
      </c>
      <c r="Q82" s="3">
        <f t="shared" si="30"/>
        <v>791377.10837277037</v>
      </c>
      <c r="R82" s="3">
        <f t="shared" si="31"/>
        <v>-815229.51419000898</v>
      </c>
      <c r="S82" s="3">
        <f t="shared" si="32"/>
        <v>4362867.5479822485</v>
      </c>
      <c r="T82" s="3">
        <f t="shared" si="33"/>
        <v>24647750.796052888</v>
      </c>
      <c r="U82" s="47">
        <f t="shared" si="23"/>
        <v>32665319.228279397</v>
      </c>
      <c r="V82" s="47">
        <f ca="1">'Monthly Data'!BF82+'Monthly Data'!BG82</f>
        <v>140678.17777975393</v>
      </c>
      <c r="W82" s="47">
        <f t="shared" ca="1" si="24"/>
        <v>32805997.40605915</v>
      </c>
      <c r="X82" s="47">
        <f t="shared" ca="1" si="25"/>
        <v>-24514.204043716192</v>
      </c>
      <c r="Y82" s="18">
        <f t="shared" ca="1" si="22"/>
        <v>7.46689674984306E-4</v>
      </c>
    </row>
    <row r="83" spans="1:25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Data'!BE83</f>
        <v>29274555.122296624</v>
      </c>
      <c r="E83" s="3">
        <f>'Monthly Data'!CP83</f>
        <v>153.47499999999997</v>
      </c>
      <c r="F83" s="3">
        <f>'Monthly Data'!CU83</f>
        <v>44.562500000000028</v>
      </c>
      <c r="G83" s="3">
        <f>'Monthly Data'!EM83</f>
        <v>107.09374999999997</v>
      </c>
      <c r="H83" s="3">
        <f>'Monthly Data'!ET83</f>
        <v>22.281250000000014</v>
      </c>
      <c r="I83" s="3">
        <f>'Monthly Data'!EG83</f>
        <v>1</v>
      </c>
      <c r="J83">
        <f>'Monthly Data'!EH83</f>
        <v>82</v>
      </c>
      <c r="K83" s="3">
        <f>'Monthly Data'!DQ83</f>
        <v>31</v>
      </c>
      <c r="M83" s="3">
        <f t="shared" si="26"/>
        <v>-6000764.6164411902</v>
      </c>
      <c r="N83" s="3">
        <f t="shared" si="27"/>
        <v>2236460.8305302155</v>
      </c>
      <c r="O83" s="3">
        <f t="shared" si="28"/>
        <v>4114344.9493140136</v>
      </c>
      <c r="P83" s="3">
        <f t="shared" si="29"/>
        <v>503142.96767221822</v>
      </c>
      <c r="Q83" s="3">
        <f t="shared" si="30"/>
        <v>370211.62514420366</v>
      </c>
      <c r="R83" s="3">
        <f t="shared" si="31"/>
        <v>-815229.51419000898</v>
      </c>
      <c r="S83" s="3">
        <f t="shared" si="32"/>
        <v>4416730.1103030173</v>
      </c>
      <c r="T83" s="3">
        <f t="shared" si="33"/>
        <v>25469342.489254653</v>
      </c>
      <c r="U83" s="47">
        <f t="shared" si="23"/>
        <v>30294238.841587123</v>
      </c>
      <c r="V83" s="47">
        <f ca="1">'Monthly Data'!BF83+'Monthly Data'!BG83</f>
        <v>213936.53622444201</v>
      </c>
      <c r="W83" s="47">
        <f t="shared" ca="1" si="24"/>
        <v>30508175.377811566</v>
      </c>
      <c r="X83" s="47">
        <f t="shared" ca="1" si="25"/>
        <v>1233620.2555149421</v>
      </c>
      <c r="Y83" s="18">
        <f t="shared" ca="1" si="22"/>
        <v>4.2139675577012259E-2</v>
      </c>
    </row>
    <row r="84" spans="1:25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Data'!BE84</f>
        <v>29454793.327350385</v>
      </c>
      <c r="E84" s="3">
        <f>'Monthly Data'!CP84</f>
        <v>446.3126035196687</v>
      </c>
      <c r="F84" s="3">
        <f>'Monthly Data'!CU84</f>
        <v>0</v>
      </c>
      <c r="G84" s="3">
        <f>'Monthly Data'!EM84</f>
        <v>253.15630175983441</v>
      </c>
      <c r="H84" s="3">
        <f>'Monthly Data'!ET84</f>
        <v>0</v>
      </c>
      <c r="I84" s="3">
        <f>'Monthly Data'!EG84</f>
        <v>1</v>
      </c>
      <c r="J84">
        <f>'Monthly Data'!EH84</f>
        <v>83</v>
      </c>
      <c r="K84" s="3">
        <f>'Monthly Data'!DQ84</f>
        <v>30</v>
      </c>
      <c r="M84" s="3">
        <f t="shared" si="26"/>
        <v>-6000764.6164411902</v>
      </c>
      <c r="N84" s="3">
        <f t="shared" si="27"/>
        <v>6503734.5231712097</v>
      </c>
      <c r="O84" s="3">
        <f t="shared" si="28"/>
        <v>0</v>
      </c>
      <c r="P84" s="3">
        <f t="shared" si="29"/>
        <v>1189367.3809383528</v>
      </c>
      <c r="Q84" s="3">
        <f t="shared" si="30"/>
        <v>0</v>
      </c>
      <c r="R84" s="3">
        <f t="shared" si="31"/>
        <v>-815229.51419000898</v>
      </c>
      <c r="S84" s="3">
        <f t="shared" si="32"/>
        <v>4470592.6726237852</v>
      </c>
      <c r="T84" s="3">
        <f t="shared" si="33"/>
        <v>24647750.796052888</v>
      </c>
      <c r="U84" s="47">
        <f t="shared" si="23"/>
        <v>29995451.242155038</v>
      </c>
      <c r="V84" s="47">
        <f ca="1">'Monthly Data'!BF84+'Monthly Data'!BG84</f>
        <v>407271.21444995969</v>
      </c>
      <c r="W84" s="47">
        <f t="shared" ca="1" si="24"/>
        <v>30402722.456604999</v>
      </c>
      <c r="X84" s="47">
        <f t="shared" ca="1" si="25"/>
        <v>947929.12925461307</v>
      </c>
      <c r="Y84" s="18">
        <f t="shared" ca="1" si="22"/>
        <v>3.2182508249834131E-2</v>
      </c>
    </row>
    <row r="85" spans="1:25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Data'!BE85</f>
        <v>34005574.447683841</v>
      </c>
      <c r="E85" s="3">
        <f>'Monthly Data'!CP85</f>
        <v>533.04583333333346</v>
      </c>
      <c r="F85" s="3">
        <f>'Monthly Data'!CU85</f>
        <v>0</v>
      </c>
      <c r="G85" s="3">
        <f>'Monthly Data'!EM85</f>
        <v>297.52291666666667</v>
      </c>
      <c r="H85" s="3">
        <f>'Monthly Data'!ET85</f>
        <v>0</v>
      </c>
      <c r="I85" s="3">
        <f>'Monthly Data'!EG85</f>
        <v>0</v>
      </c>
      <c r="J85">
        <f>'Monthly Data'!EH85</f>
        <v>84</v>
      </c>
      <c r="K85" s="3">
        <f>'Monthly Data'!DQ85</f>
        <v>31</v>
      </c>
      <c r="M85" s="3">
        <f t="shared" si="26"/>
        <v>-6000764.6164411902</v>
      </c>
      <c r="N85" s="3">
        <f t="shared" si="27"/>
        <v>7767624.2197578643</v>
      </c>
      <c r="O85" s="3">
        <f t="shared" si="28"/>
        <v>0</v>
      </c>
      <c r="P85" s="3">
        <f t="shared" si="29"/>
        <v>1397808.5858620207</v>
      </c>
      <c r="Q85" s="3">
        <f t="shared" si="30"/>
        <v>0</v>
      </c>
      <c r="R85" s="3">
        <f t="shared" si="31"/>
        <v>0</v>
      </c>
      <c r="S85" s="3">
        <f t="shared" si="32"/>
        <v>4524455.234944554</v>
      </c>
      <c r="T85" s="3">
        <f t="shared" si="33"/>
        <v>25469342.489254653</v>
      </c>
      <c r="U85" s="47">
        <f t="shared" si="23"/>
        <v>33158465.913377903</v>
      </c>
      <c r="V85" s="47">
        <f ca="1">'Monthly Data'!BF85+'Monthly Data'!BG85</f>
        <v>466861.74042040302</v>
      </c>
      <c r="W85" s="47">
        <f t="shared" ca="1" si="24"/>
        <v>33625327.653798304</v>
      </c>
      <c r="X85" s="47">
        <f t="shared" ca="1" si="25"/>
        <v>-380246.79388553649</v>
      </c>
      <c r="Y85" s="18">
        <f t="shared" ca="1" si="22"/>
        <v>1.1181895911522693E-2</v>
      </c>
    </row>
    <row r="86" spans="1:25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Data'!BE86</f>
        <v>37009104.866309367</v>
      </c>
      <c r="E86" s="3">
        <f>'Monthly Data'!CP86</f>
        <v>825.49166666666656</v>
      </c>
      <c r="F86" s="3">
        <f>'Monthly Data'!CU86</f>
        <v>0</v>
      </c>
      <c r="G86" s="3">
        <f>'Monthly Data'!EM86</f>
        <v>221.87291666666664</v>
      </c>
      <c r="H86" s="3">
        <f>'Monthly Data'!ET86</f>
        <v>0</v>
      </c>
      <c r="I86" s="3">
        <f>'Monthly Data'!EG86</f>
        <v>0</v>
      </c>
      <c r="J86">
        <f>'Monthly Data'!EH86</f>
        <v>85</v>
      </c>
      <c r="K86" s="3">
        <f>'Monthly Data'!DQ86</f>
        <v>31</v>
      </c>
      <c r="M86" s="3">
        <f t="shared" si="26"/>
        <v>-6000764.6164411902</v>
      </c>
      <c r="N86" s="3">
        <f t="shared" si="27"/>
        <v>12029188.978199091</v>
      </c>
      <c r="O86" s="3">
        <f t="shared" si="28"/>
        <v>0</v>
      </c>
      <c r="P86" s="3">
        <f t="shared" si="29"/>
        <v>1042393.2091065767</v>
      </c>
      <c r="Q86" s="3">
        <f t="shared" si="30"/>
        <v>0</v>
      </c>
      <c r="R86" s="3">
        <f t="shared" si="31"/>
        <v>0</v>
      </c>
      <c r="S86" s="3">
        <f t="shared" si="32"/>
        <v>4578317.7972653219</v>
      </c>
      <c r="T86" s="3">
        <f t="shared" si="33"/>
        <v>25469342.489254653</v>
      </c>
      <c r="U86" s="47">
        <f t="shared" si="23"/>
        <v>37118477.857384451</v>
      </c>
      <c r="V86" s="47">
        <f ca="1">'Monthly Data'!BF86+'Monthly Data'!BG86</f>
        <v>954820.78832658275</v>
      </c>
      <c r="W86" s="47">
        <f t="shared" ca="1" si="24"/>
        <v>38073298.645711035</v>
      </c>
      <c r="X86" s="47">
        <f t="shared" ca="1" si="25"/>
        <v>1064193.7794016674</v>
      </c>
      <c r="Y86" s="18">
        <f t="shared" ref="Y86:Y109" ca="1" si="34">ABS(X86/D86)</f>
        <v>2.8754918100449351E-2</v>
      </c>
    </row>
    <row r="87" spans="1:25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Data'!BE87</f>
        <v>31502852.81153566</v>
      </c>
      <c r="E87" s="3">
        <f>'Monthly Data'!CP87</f>
        <v>636.84999999999991</v>
      </c>
      <c r="F87" s="3">
        <f>'Monthly Data'!CU87</f>
        <v>0</v>
      </c>
      <c r="G87" s="3">
        <f>'Monthly Data'!EM87</f>
        <v>173.21250000000001</v>
      </c>
      <c r="H87" s="3">
        <f>'Monthly Data'!ET87</f>
        <v>0</v>
      </c>
      <c r="I87" s="3">
        <f>'Monthly Data'!EG87</f>
        <v>0</v>
      </c>
      <c r="J87">
        <f>'Monthly Data'!EH87</f>
        <v>86</v>
      </c>
      <c r="K87" s="3">
        <f>'Monthly Data'!DQ87</f>
        <v>28</v>
      </c>
      <c r="M87" s="3">
        <f t="shared" si="26"/>
        <v>-6000764.6164411902</v>
      </c>
      <c r="N87" s="3">
        <f t="shared" si="27"/>
        <v>9280274.180962164</v>
      </c>
      <c r="O87" s="3">
        <f t="shared" si="28"/>
        <v>0</v>
      </c>
      <c r="P87" s="3">
        <f t="shared" si="29"/>
        <v>813779.06075680535</v>
      </c>
      <c r="Q87" s="3">
        <f t="shared" si="30"/>
        <v>0</v>
      </c>
      <c r="R87" s="3">
        <f t="shared" si="31"/>
        <v>0</v>
      </c>
      <c r="S87" s="3">
        <f t="shared" si="32"/>
        <v>4632180.3595860908</v>
      </c>
      <c r="T87" s="3">
        <f t="shared" si="33"/>
        <v>23004567.409649365</v>
      </c>
      <c r="U87" s="47">
        <f t="shared" si="23"/>
        <v>31730036.394513234</v>
      </c>
      <c r="V87" s="47">
        <f ca="1">'Monthly Data'!BF87+'Monthly Data'!BG87</f>
        <v>772769.09804443538</v>
      </c>
      <c r="W87" s="47">
        <f t="shared" ca="1" si="24"/>
        <v>32502805.492557671</v>
      </c>
      <c r="X87" s="47">
        <f t="shared" ca="1" si="25"/>
        <v>999952.68102201074</v>
      </c>
      <c r="Y87" s="18">
        <f t="shared" ca="1" si="34"/>
        <v>3.1741654859138657E-2</v>
      </c>
    </row>
    <row r="88" spans="1:25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Data'!BE88</f>
        <v>31892679.077571649</v>
      </c>
      <c r="E88" s="3">
        <f>'Monthly Data'!CP88</f>
        <v>544.7208333333333</v>
      </c>
      <c r="F88" s="3">
        <f>'Monthly Data'!CU88</f>
        <v>0</v>
      </c>
      <c r="G88" s="3">
        <f>'Monthly Data'!EM88</f>
        <v>151.68020833333333</v>
      </c>
      <c r="H88" s="3">
        <f>'Monthly Data'!ET88</f>
        <v>0</v>
      </c>
      <c r="I88" s="3">
        <f>'Monthly Data'!EG88</f>
        <v>1</v>
      </c>
      <c r="J88">
        <f>'Monthly Data'!EH88</f>
        <v>87</v>
      </c>
      <c r="K88" s="3">
        <f>'Monthly Data'!DQ88</f>
        <v>31</v>
      </c>
      <c r="M88" s="3">
        <f t="shared" si="26"/>
        <v>-6000764.6164411902</v>
      </c>
      <c r="N88" s="3">
        <f t="shared" si="27"/>
        <v>7937754.0793209188</v>
      </c>
      <c r="O88" s="3">
        <f t="shared" si="28"/>
        <v>0</v>
      </c>
      <c r="P88" s="3">
        <f t="shared" si="29"/>
        <v>712617.03094693832</v>
      </c>
      <c r="Q88" s="3">
        <f t="shared" si="30"/>
        <v>0</v>
      </c>
      <c r="R88" s="3">
        <f t="shared" si="31"/>
        <v>-815229.51419000898</v>
      </c>
      <c r="S88" s="3">
        <f t="shared" si="32"/>
        <v>4686042.9219068596</v>
      </c>
      <c r="T88" s="3">
        <f t="shared" si="33"/>
        <v>25469342.489254653</v>
      </c>
      <c r="U88" s="47">
        <f t="shared" si="23"/>
        <v>31989762.39079817</v>
      </c>
      <c r="V88" s="47">
        <f ca="1">'Monthly Data'!BF88+'Monthly Data'!BG88</f>
        <v>687084.35929972155</v>
      </c>
      <c r="W88" s="47">
        <f t="shared" ca="1" si="24"/>
        <v>32676846.750097893</v>
      </c>
      <c r="X88" s="47">
        <f t="shared" ca="1" si="25"/>
        <v>784167.67252624407</v>
      </c>
      <c r="Y88" s="18">
        <f t="shared" ca="1" si="34"/>
        <v>2.4587701479042746E-2</v>
      </c>
    </row>
    <row r="89" spans="1:25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Data'!BE89</f>
        <v>28211659.880827833</v>
      </c>
      <c r="E89" s="3">
        <f>'Monthly Data'!CP89</f>
        <v>354.33333333333331</v>
      </c>
      <c r="F89" s="3">
        <f>'Monthly Data'!CU89</f>
        <v>0</v>
      </c>
      <c r="G89" s="3">
        <f>'Monthly Data'!EM89</f>
        <v>103.58333333333333</v>
      </c>
      <c r="H89" s="3">
        <f>'Monthly Data'!ET89</f>
        <v>0</v>
      </c>
      <c r="I89" s="3">
        <f>'Monthly Data'!EG89</f>
        <v>1</v>
      </c>
      <c r="J89">
        <f>'Monthly Data'!EH89</f>
        <v>88</v>
      </c>
      <c r="K89" s="3">
        <f>'Monthly Data'!DQ89</f>
        <v>30</v>
      </c>
      <c r="M89" s="3">
        <f t="shared" si="26"/>
        <v>-6000764.6164411902</v>
      </c>
      <c r="N89" s="3">
        <f t="shared" si="27"/>
        <v>5163398.7356325565</v>
      </c>
      <c r="O89" s="3">
        <f t="shared" si="28"/>
        <v>0</v>
      </c>
      <c r="P89" s="3">
        <f t="shared" si="29"/>
        <v>486650.48833114863</v>
      </c>
      <c r="Q89" s="3">
        <f t="shared" si="30"/>
        <v>0</v>
      </c>
      <c r="R89" s="3">
        <f t="shared" si="31"/>
        <v>-815229.51419000898</v>
      </c>
      <c r="S89" s="3">
        <f t="shared" si="32"/>
        <v>4739905.4842276275</v>
      </c>
      <c r="T89" s="3">
        <f t="shared" si="33"/>
        <v>24647750.796052888</v>
      </c>
      <c r="U89" s="47">
        <f t="shared" si="23"/>
        <v>28221711.373613022</v>
      </c>
      <c r="V89" s="47">
        <f ca="1">'Monthly Data'!BF89+'Monthly Data'!BG89</f>
        <v>503289.46853861271</v>
      </c>
      <c r="W89" s="47">
        <f t="shared" ca="1" si="24"/>
        <v>28725000.842151634</v>
      </c>
      <c r="X89" s="47">
        <f t="shared" ca="1" si="25"/>
        <v>513340.96132380143</v>
      </c>
      <c r="Y89" s="18">
        <f t="shared" ca="1" si="34"/>
        <v>1.8196056647934399E-2</v>
      </c>
    </row>
    <row r="90" spans="1:25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Data'!BE90</f>
        <v>30683544.243913624</v>
      </c>
      <c r="E90" s="3">
        <f>'Monthly Data'!CP90</f>
        <v>109.50833333333333</v>
      </c>
      <c r="F90" s="3">
        <f>'Monthly Data'!CU90</f>
        <v>72.362499999999997</v>
      </c>
      <c r="G90" s="3">
        <f>'Monthly Data'!EM90</f>
        <v>39.744791666666671</v>
      </c>
      <c r="H90" s="3">
        <f>'Monthly Data'!ET90</f>
        <v>18.090624999999999</v>
      </c>
      <c r="I90" s="3">
        <f>'Monthly Data'!EG90</f>
        <v>1</v>
      </c>
      <c r="J90">
        <f>'Monthly Data'!EH90</f>
        <v>89</v>
      </c>
      <c r="K90" s="3">
        <f>'Monthly Data'!DQ90</f>
        <v>31</v>
      </c>
      <c r="M90" s="3">
        <f t="shared" si="26"/>
        <v>-6000764.6164411902</v>
      </c>
      <c r="N90" s="3">
        <f t="shared" si="27"/>
        <v>1595771.9375575592</v>
      </c>
      <c r="O90" s="3">
        <f t="shared" si="28"/>
        <v>6681049.9050711943</v>
      </c>
      <c r="P90" s="3">
        <f t="shared" si="29"/>
        <v>186727.16595208144</v>
      </c>
      <c r="Q90" s="3">
        <f t="shared" si="30"/>
        <v>300582.76268720807</v>
      </c>
      <c r="R90" s="3">
        <f t="shared" si="31"/>
        <v>-815229.51419000898</v>
      </c>
      <c r="S90" s="3">
        <f t="shared" si="32"/>
        <v>4793768.0465483963</v>
      </c>
      <c r="T90" s="3">
        <f t="shared" si="33"/>
        <v>25469342.489254653</v>
      </c>
      <c r="U90" s="47">
        <f t="shared" si="23"/>
        <v>32211248.176439896</v>
      </c>
      <c r="V90" s="47">
        <f ca="1">'Monthly Data'!BF90+'Monthly Data'!BG90</f>
        <v>265139.17382134224</v>
      </c>
      <c r="W90" s="47">
        <f t="shared" ca="1" si="24"/>
        <v>32476387.350261237</v>
      </c>
      <c r="X90" s="47">
        <f t="shared" ca="1" si="25"/>
        <v>1792843.106347613</v>
      </c>
      <c r="Y90" s="18">
        <f t="shared" ca="1" si="34"/>
        <v>5.8430117853912548E-2</v>
      </c>
    </row>
    <row r="91" spans="1:25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Data'!BE91</f>
        <v>36020711.415999711</v>
      </c>
      <c r="E91" s="3">
        <f>'Monthly Data'!CP91</f>
        <v>36.166510989010987</v>
      </c>
      <c r="F91" s="3">
        <f>'Monthly Data'!CU91</f>
        <v>120.92250416250417</v>
      </c>
      <c r="G91" s="3">
        <f>'Monthly Data'!EM91</f>
        <v>18.882252747252753</v>
      </c>
      <c r="H91" s="3">
        <f>'Monthly Data'!ET91</f>
        <v>30.230626040626042</v>
      </c>
      <c r="I91" s="3">
        <f>'Monthly Data'!EG91</f>
        <v>0</v>
      </c>
      <c r="J91">
        <f>'Monthly Data'!EH91</f>
        <v>90</v>
      </c>
      <c r="K91" s="3">
        <f>'Monthly Data'!DQ91</f>
        <v>30</v>
      </c>
      <c r="M91" s="3">
        <f t="shared" si="26"/>
        <v>-6000764.6164411902</v>
      </c>
      <c r="N91" s="3">
        <f t="shared" si="27"/>
        <v>527023.84886049002</v>
      </c>
      <c r="O91" s="3">
        <f t="shared" si="28"/>
        <v>11164474.485484464</v>
      </c>
      <c r="P91" s="3">
        <f t="shared" si="29"/>
        <v>88711.737926719798</v>
      </c>
      <c r="Q91" s="3">
        <f t="shared" si="30"/>
        <v>502293.59643767041</v>
      </c>
      <c r="R91" s="3">
        <f t="shared" si="31"/>
        <v>0</v>
      </c>
      <c r="S91" s="3">
        <f t="shared" si="32"/>
        <v>4847630.6088691652</v>
      </c>
      <c r="T91" s="3">
        <f t="shared" si="33"/>
        <v>24647750.796052888</v>
      </c>
      <c r="U91" s="47">
        <f t="shared" si="23"/>
        <v>35777120.457190208</v>
      </c>
      <c r="V91" s="47">
        <f ca="1">'Monthly Data'!BF91+'Monthly Data'!BG91</f>
        <v>198213.44660185496</v>
      </c>
      <c r="W91" s="47">
        <f t="shared" ca="1" si="24"/>
        <v>35975333.903792061</v>
      </c>
      <c r="X91" s="47">
        <f t="shared" ca="1" si="25"/>
        <v>-45377.512207649648</v>
      </c>
      <c r="Y91" s="18">
        <f t="shared" ca="1" si="34"/>
        <v>1.2597616877576111E-3</v>
      </c>
    </row>
    <row r="92" spans="1:25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Data'!BE92</f>
        <v>45496342.704765901</v>
      </c>
      <c r="E92" s="3">
        <f>'Monthly Data'!CP92</f>
        <v>0.62083333333333357</v>
      </c>
      <c r="F92" s="3">
        <f>'Monthly Data'!CU92</f>
        <v>221.8543382913806</v>
      </c>
      <c r="G92" s="3">
        <f>'Monthly Data'!EM92</f>
        <v>2.2486413043478271</v>
      </c>
      <c r="H92" s="3">
        <f>'Monthly Data'!ET92</f>
        <v>55.46358457284515</v>
      </c>
      <c r="I92" s="3">
        <f>'Monthly Data'!EG92</f>
        <v>0</v>
      </c>
      <c r="J92">
        <f>'Monthly Data'!EH92</f>
        <v>91</v>
      </c>
      <c r="K92" s="3">
        <f>'Monthly Data'!DQ92</f>
        <v>31</v>
      </c>
      <c r="M92" s="3">
        <f t="shared" si="26"/>
        <v>-6000764.6164411902</v>
      </c>
      <c r="N92" s="3">
        <f t="shared" si="27"/>
        <v>9046.8769003910074</v>
      </c>
      <c r="O92" s="3">
        <f t="shared" si="28"/>
        <v>20483260.055709254</v>
      </c>
      <c r="P92" s="3">
        <f t="shared" si="29"/>
        <v>10564.463930900671</v>
      </c>
      <c r="Q92" s="3">
        <f t="shared" si="30"/>
        <v>921549.00560049247</v>
      </c>
      <c r="R92" s="3">
        <f t="shared" si="31"/>
        <v>0</v>
      </c>
      <c r="S92" s="3">
        <f t="shared" si="32"/>
        <v>4901493.1711899331</v>
      </c>
      <c r="T92" s="3">
        <f t="shared" si="33"/>
        <v>25469342.489254653</v>
      </c>
      <c r="U92" s="47">
        <f t="shared" si="23"/>
        <v>45794491.446144432</v>
      </c>
      <c r="V92" s="47">
        <f ca="1">'Monthly Data'!BF92+'Monthly Data'!BG92</f>
        <v>169026.86450359496</v>
      </c>
      <c r="W92" s="47">
        <f t="shared" ca="1" si="24"/>
        <v>45963518.310648024</v>
      </c>
      <c r="X92" s="47">
        <f t="shared" ca="1" si="25"/>
        <v>467175.60588212311</v>
      </c>
      <c r="Y92" s="18">
        <f t="shared" ca="1" si="34"/>
        <v>1.026842111054313E-2</v>
      </c>
    </row>
    <row r="93" spans="1:25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Data'!BE93</f>
        <v>46643555.051872186</v>
      </c>
      <c r="E93" s="3">
        <f>'Monthly Data'!CP93</f>
        <v>0.76250000000000284</v>
      </c>
      <c r="F93" s="3">
        <f>'Monthly Data'!CU93</f>
        <v>228.28333333333333</v>
      </c>
      <c r="G93" s="3">
        <f>'Monthly Data'!EM93</f>
        <v>1.8479166666666691</v>
      </c>
      <c r="H93" s="3">
        <f>'Monthly Data'!ET93</f>
        <v>57.070833333333333</v>
      </c>
      <c r="I93" s="3">
        <f>'Monthly Data'!EG93</f>
        <v>0</v>
      </c>
      <c r="J93">
        <f>'Monthly Data'!EH93</f>
        <v>92</v>
      </c>
      <c r="K93" s="3">
        <f>'Monthly Data'!DQ93</f>
        <v>31</v>
      </c>
      <c r="M93" s="3">
        <f t="shared" si="26"/>
        <v>-6000764.6164411902</v>
      </c>
      <c r="N93" s="3">
        <f t="shared" si="27"/>
        <v>11111.264917929931</v>
      </c>
      <c r="O93" s="3">
        <f t="shared" si="28"/>
        <v>21076833.200843014</v>
      </c>
      <c r="P93" s="3">
        <f t="shared" si="29"/>
        <v>8681.7977302841809</v>
      </c>
      <c r="Q93" s="3">
        <f t="shared" si="30"/>
        <v>948254.06818142207</v>
      </c>
      <c r="R93" s="3">
        <f t="shared" si="31"/>
        <v>0</v>
      </c>
      <c r="S93" s="3">
        <f t="shared" si="32"/>
        <v>4955355.7335107019</v>
      </c>
      <c r="T93" s="3">
        <f t="shared" si="33"/>
        <v>25469342.489254653</v>
      </c>
      <c r="U93" s="47">
        <f t="shared" si="23"/>
        <v>46468813.937996812</v>
      </c>
      <c r="V93" s="47">
        <f ca="1">'Monthly Data'!BF93+'Monthly Data'!BG93</f>
        <v>175473.80739754898</v>
      </c>
      <c r="W93" s="47">
        <f t="shared" ca="1" si="24"/>
        <v>46644287.745394364</v>
      </c>
      <c r="X93" s="47">
        <f t="shared" ca="1" si="25"/>
        <v>732.69352217763662</v>
      </c>
      <c r="Y93" s="18">
        <f t="shared" ca="1" si="34"/>
        <v>1.5708355020598449E-5</v>
      </c>
    </row>
    <row r="94" spans="1:25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Data'!BE94</f>
        <v>33643942.288528271</v>
      </c>
      <c r="E94" s="3">
        <f>'Monthly Data'!CP94</f>
        <v>71.412499999999994</v>
      </c>
      <c r="F94" s="3">
        <f>'Monthly Data'!CU94</f>
        <v>94.054166666666674</v>
      </c>
      <c r="G94" s="3">
        <f>'Monthly Data'!EM94</f>
        <v>27.947916666666664</v>
      </c>
      <c r="H94" s="3">
        <f>'Monthly Data'!ET94</f>
        <v>23.513541666666669</v>
      </c>
      <c r="I94" s="3">
        <f>'Monthly Data'!EG94</f>
        <v>1</v>
      </c>
      <c r="J94">
        <f>'Monthly Data'!EH94</f>
        <v>93</v>
      </c>
      <c r="K94" s="3">
        <f>'Monthly Data'!DQ94</f>
        <v>30</v>
      </c>
      <c r="M94" s="3">
        <f t="shared" si="26"/>
        <v>-6000764.6164411902</v>
      </c>
      <c r="N94" s="3">
        <f t="shared" si="27"/>
        <v>1040633.7127234993</v>
      </c>
      <c r="O94" s="3">
        <f t="shared" si="28"/>
        <v>8683787.6148541532</v>
      </c>
      <c r="P94" s="3">
        <f t="shared" si="29"/>
        <v>131303.62632667657</v>
      </c>
      <c r="Q94" s="3">
        <f t="shared" si="30"/>
        <v>390686.62993829383</v>
      </c>
      <c r="R94" s="3">
        <f t="shared" si="31"/>
        <v>-815229.51419000898</v>
      </c>
      <c r="S94" s="3">
        <f t="shared" si="32"/>
        <v>5009218.2958314708</v>
      </c>
      <c r="T94" s="3">
        <f t="shared" si="33"/>
        <v>24647750.796052888</v>
      </c>
      <c r="U94" s="47">
        <f t="shared" si="23"/>
        <v>33087386.545095783</v>
      </c>
      <c r="V94" s="47">
        <f ca="1">'Monthly Data'!BF94+'Monthly Data'!BG94</f>
        <v>252322.75149672042</v>
      </c>
      <c r="W94" s="47">
        <f t="shared" ca="1" si="24"/>
        <v>33339709.296592504</v>
      </c>
      <c r="X94" s="47">
        <f t="shared" ca="1" si="25"/>
        <v>-304232.99193576723</v>
      </c>
      <c r="Y94" s="18">
        <f t="shared" ca="1" si="34"/>
        <v>9.0427271966728746E-3</v>
      </c>
    </row>
    <row r="95" spans="1:25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Data'!BE95</f>
        <v>28427810.32497406</v>
      </c>
      <c r="E95" s="3">
        <f>'Monthly Data'!CP95</f>
        <v>268.85561594202898</v>
      </c>
      <c r="F95" s="3">
        <f>'Monthly Data'!CU95</f>
        <v>2.4208333333333307</v>
      </c>
      <c r="G95" s="3">
        <f>'Monthly Data'!EM95</f>
        <v>82.713903985507258</v>
      </c>
      <c r="H95" s="3">
        <f>'Monthly Data'!ET95</f>
        <v>0.60520833333333268</v>
      </c>
      <c r="I95" s="3">
        <f>'Monthly Data'!EG95</f>
        <v>1</v>
      </c>
      <c r="J95">
        <f>'Monthly Data'!EH95</f>
        <v>94</v>
      </c>
      <c r="K95" s="3">
        <f>'Monthly Data'!DQ95</f>
        <v>31</v>
      </c>
      <c r="M95" s="3">
        <f t="shared" si="26"/>
        <v>-6000764.6164411902</v>
      </c>
      <c r="N95" s="3">
        <f t="shared" si="27"/>
        <v>3917804.5552853751</v>
      </c>
      <c r="O95" s="3">
        <f t="shared" si="28"/>
        <v>223509.52927082166</v>
      </c>
      <c r="P95" s="3">
        <f t="shared" si="29"/>
        <v>388602.68800955289</v>
      </c>
      <c r="Q95" s="3">
        <f t="shared" si="30"/>
        <v>10055.771585263299</v>
      </c>
      <c r="R95" s="3">
        <f t="shared" si="31"/>
        <v>-815229.51419000898</v>
      </c>
      <c r="S95" s="3">
        <f t="shared" si="32"/>
        <v>5063080.8581522387</v>
      </c>
      <c r="T95" s="3">
        <f t="shared" si="33"/>
        <v>25469342.489254653</v>
      </c>
      <c r="U95" s="47">
        <f t="shared" si="23"/>
        <v>28256401.760926705</v>
      </c>
      <c r="V95" s="47">
        <f ca="1">'Monthly Data'!BF95+'Monthly Data'!BG95</f>
        <v>455773.59751808527</v>
      </c>
      <c r="W95" s="47">
        <f t="shared" ca="1" si="24"/>
        <v>28712175.358444791</v>
      </c>
      <c r="X95" s="47">
        <f t="shared" ca="1" si="25"/>
        <v>284365.03347073123</v>
      </c>
      <c r="Y95" s="18">
        <f t="shared" ca="1" si="34"/>
        <v>1.0003057928837884E-2</v>
      </c>
    </row>
    <row r="96" spans="1:25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Data'!BE96</f>
        <v>29542894.316720445</v>
      </c>
      <c r="E96" s="3">
        <f>'Monthly Data'!CP96</f>
        <v>411.83333333333348</v>
      </c>
      <c r="F96" s="3">
        <f>'Monthly Data'!CU96</f>
        <v>2.3083333333333318</v>
      </c>
      <c r="G96" s="3">
        <f>'Monthly Data'!EM96</f>
        <v>117.95833333333337</v>
      </c>
      <c r="H96" s="3">
        <f>'Monthly Data'!ET96</f>
        <v>0.57708333333333295</v>
      </c>
      <c r="I96" s="3">
        <f>'Monthly Data'!EG96</f>
        <v>1</v>
      </c>
      <c r="J96">
        <f>'Monthly Data'!EH96</f>
        <v>95</v>
      </c>
      <c r="K96" s="3">
        <f>'Monthly Data'!DQ96</f>
        <v>30</v>
      </c>
      <c r="M96" s="3">
        <f t="shared" si="26"/>
        <v>-6000764.6164411902</v>
      </c>
      <c r="N96" s="3">
        <f t="shared" si="27"/>
        <v>6001297.4015748128</v>
      </c>
      <c r="O96" s="3">
        <f t="shared" si="28"/>
        <v>213122.68367648064</v>
      </c>
      <c r="P96" s="3">
        <f t="shared" si="29"/>
        <v>554186.45714621176</v>
      </c>
      <c r="Q96" s="3">
        <f t="shared" si="30"/>
        <v>9588.463783538502</v>
      </c>
      <c r="R96" s="3">
        <f t="shared" si="31"/>
        <v>-815229.51419000898</v>
      </c>
      <c r="S96" s="3">
        <f t="shared" si="32"/>
        <v>5116943.4204730075</v>
      </c>
      <c r="T96" s="3">
        <f t="shared" si="33"/>
        <v>24647750.796052888</v>
      </c>
      <c r="U96" s="47">
        <f t="shared" si="23"/>
        <v>29726895.092075739</v>
      </c>
      <c r="V96" s="47">
        <f ca="1">'Monthly Data'!BF96+'Monthly Data'!BG96</f>
        <v>604841.18310577923</v>
      </c>
      <c r="W96" s="47">
        <f t="shared" ca="1" si="24"/>
        <v>30331736.275181517</v>
      </c>
      <c r="X96" s="47">
        <f t="shared" ca="1" si="25"/>
        <v>788841.9584610723</v>
      </c>
      <c r="Y96" s="18">
        <f t="shared" ca="1" si="34"/>
        <v>2.6701580082307982E-2</v>
      </c>
    </row>
    <row r="97" spans="1:25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Data'!BE97</f>
        <v>34928798.942896433</v>
      </c>
      <c r="E97" s="3">
        <f>'Monthly Data'!CP97</f>
        <v>585.12083333333328</v>
      </c>
      <c r="F97" s="3">
        <f>'Monthly Data'!CU97</f>
        <v>0</v>
      </c>
      <c r="G97" s="3">
        <f>'Monthly Data'!EM97</f>
        <v>161.78020833333332</v>
      </c>
      <c r="H97" s="3">
        <f>'Monthly Data'!ET97</f>
        <v>0</v>
      </c>
      <c r="I97" s="3">
        <f>'Monthly Data'!EG97</f>
        <v>0</v>
      </c>
      <c r="J97">
        <f>'Monthly Data'!EH97</f>
        <v>96</v>
      </c>
      <c r="K97" s="3">
        <f>'Monthly Data'!DQ97</f>
        <v>31</v>
      </c>
      <c r="M97" s="3">
        <f t="shared" si="26"/>
        <v>-6000764.6164411902</v>
      </c>
      <c r="N97" s="3">
        <f t="shared" si="27"/>
        <v>8526468.9680873025</v>
      </c>
      <c r="O97" s="3">
        <f t="shared" si="28"/>
        <v>0</v>
      </c>
      <c r="P97" s="3">
        <f t="shared" si="29"/>
        <v>760068.38990569557</v>
      </c>
      <c r="Q97" s="3">
        <f t="shared" si="30"/>
        <v>0</v>
      </c>
      <c r="R97" s="3">
        <f t="shared" si="31"/>
        <v>0</v>
      </c>
      <c r="S97" s="3">
        <f t="shared" si="32"/>
        <v>5170805.9827937763</v>
      </c>
      <c r="T97" s="3">
        <f t="shared" si="33"/>
        <v>25469342.489254653</v>
      </c>
      <c r="U97" s="47">
        <f t="shared" si="23"/>
        <v>33925921.213600233</v>
      </c>
      <c r="V97" s="47">
        <f ca="1">'Monthly Data'!BF97+'Monthly Data'!BG97</f>
        <v>784172.84175926552</v>
      </c>
      <c r="W97" s="47">
        <f t="shared" ca="1" si="24"/>
        <v>34710094.055359498</v>
      </c>
      <c r="X97" s="47">
        <f t="shared" ca="1" si="25"/>
        <v>-218704.88753693551</v>
      </c>
      <c r="Y97" s="18">
        <f t="shared" ca="1" si="34"/>
        <v>6.2614488375190508E-3</v>
      </c>
    </row>
    <row r="98" spans="1:25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Data'!BE98</f>
        <v>33819883.373692662</v>
      </c>
      <c r="E98" s="3">
        <f>'Monthly Data'!CP98</f>
        <v>604.07083333333344</v>
      </c>
      <c r="F98" s="3">
        <f>'Monthly Data'!CU98</f>
        <v>0</v>
      </c>
      <c r="G98" s="3">
        <f>'Monthly Data'!EM98</f>
        <v>0</v>
      </c>
      <c r="H98" s="3">
        <f>'Monthly Data'!ET98</f>
        <v>0</v>
      </c>
      <c r="I98" s="3">
        <f>'Monthly Data'!EG98</f>
        <v>0</v>
      </c>
      <c r="J98">
        <f>'Monthly Data'!EH98</f>
        <v>97</v>
      </c>
      <c r="K98" s="3">
        <f>'Monthly Data'!DQ98</f>
        <v>31</v>
      </c>
      <c r="M98" s="3">
        <f t="shared" ref="M98:M121" si="35">$AC$8</f>
        <v>-6000764.6164411902</v>
      </c>
      <c r="N98" s="3">
        <f t="shared" ref="N98:N121" si="36">E98*$AC$9</f>
        <v>8802611.2240804471</v>
      </c>
      <c r="O98" s="3">
        <f t="shared" ref="O98:O121" si="37">F98*$AC$10</f>
        <v>0</v>
      </c>
      <c r="P98" s="3">
        <f t="shared" ref="P98:P121" si="38">G98*$AC$11</f>
        <v>0</v>
      </c>
      <c r="Q98" s="3">
        <f t="shared" ref="Q98:Q121" si="39">H98*$AC$12</f>
        <v>0</v>
      </c>
      <c r="R98" s="3">
        <f t="shared" ref="R98:R121" si="40">I98*$AC$13</f>
        <v>0</v>
      </c>
      <c r="S98" s="3">
        <f t="shared" ref="S98:S121" si="41">J98*$AC$14</f>
        <v>5224668.5451145442</v>
      </c>
      <c r="T98" s="3">
        <f t="shared" ref="T98:T121" si="42">K98*$AC$15</f>
        <v>25469342.489254653</v>
      </c>
      <c r="U98" s="47">
        <f t="shared" si="23"/>
        <v>33495857.642008454</v>
      </c>
      <c r="V98" s="47">
        <f ca="1">'Monthly Data'!BF98+'Monthly Data'!BG98</f>
        <v>1048375.9822937833</v>
      </c>
      <c r="W98" s="47">
        <f t="shared" ca="1" si="24"/>
        <v>34544233.624302238</v>
      </c>
      <c r="X98" s="47">
        <f t="shared" ca="1" si="25"/>
        <v>724350.2506095767</v>
      </c>
      <c r="Y98" s="18">
        <f t="shared" ca="1" si="34"/>
        <v>2.1417881386694083E-2</v>
      </c>
    </row>
    <row r="99" spans="1:25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Data'!BE99</f>
        <v>30617908.28563017</v>
      </c>
      <c r="E99" s="3">
        <f>'Monthly Data'!CP99</f>
        <v>573.43333333333328</v>
      </c>
      <c r="F99" s="3">
        <f>'Monthly Data'!CU99</f>
        <v>0</v>
      </c>
      <c r="G99" s="3">
        <f>'Monthly Data'!EM99</f>
        <v>0</v>
      </c>
      <c r="H99" s="3">
        <f>'Monthly Data'!ET99</f>
        <v>0</v>
      </c>
      <c r="I99" s="3">
        <f>'Monthly Data'!EG99</f>
        <v>0</v>
      </c>
      <c r="J99">
        <f>'Monthly Data'!EH99</f>
        <v>98</v>
      </c>
      <c r="K99" s="3">
        <f>'Monthly Data'!DQ99</f>
        <v>28</v>
      </c>
      <c r="M99" s="3">
        <f t="shared" si="35"/>
        <v>-6000764.6164411902</v>
      </c>
      <c r="N99" s="3">
        <f t="shared" si="36"/>
        <v>8356156.9566403441</v>
      </c>
      <c r="O99" s="3">
        <f t="shared" si="37"/>
        <v>0</v>
      </c>
      <c r="P99" s="3">
        <f t="shared" si="38"/>
        <v>0</v>
      </c>
      <c r="Q99" s="3">
        <f t="shared" si="39"/>
        <v>0</v>
      </c>
      <c r="R99" s="3">
        <f t="shared" si="40"/>
        <v>0</v>
      </c>
      <c r="S99" s="3">
        <f t="shared" si="41"/>
        <v>5278531.1074353131</v>
      </c>
      <c r="T99" s="3">
        <f t="shared" si="42"/>
        <v>23004567.409649365</v>
      </c>
      <c r="U99" s="47">
        <f t="shared" si="23"/>
        <v>30638490.857283831</v>
      </c>
      <c r="V99" s="47">
        <f ca="1">'Monthly Data'!BF99+'Monthly Data'!BG99</f>
        <v>1015097.6200575166</v>
      </c>
      <c r="W99" s="47">
        <f t="shared" ca="1" si="24"/>
        <v>31653588.477341346</v>
      </c>
      <c r="X99" s="47">
        <f t="shared" ca="1" si="25"/>
        <v>1035680.1917111762</v>
      </c>
      <c r="Y99" s="18">
        <f t="shared" ca="1" si="34"/>
        <v>3.3825961657780831E-2</v>
      </c>
    </row>
    <row r="100" spans="1:25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Data'!BE100</f>
        <v>31726388.808537379</v>
      </c>
      <c r="E100" s="3">
        <f>'Monthly Data'!CP100</f>
        <v>551.03333333333342</v>
      </c>
      <c r="F100" s="3">
        <f>'Monthly Data'!CU100</f>
        <v>0</v>
      </c>
      <c r="G100" s="3">
        <f>'Monthly Data'!EM100</f>
        <v>0</v>
      </c>
      <c r="H100" s="3">
        <f>'Monthly Data'!ET100</f>
        <v>0</v>
      </c>
      <c r="I100" s="3">
        <f>'Monthly Data'!EG100</f>
        <v>1</v>
      </c>
      <c r="J100">
        <f>'Monthly Data'!EH100</f>
        <v>99</v>
      </c>
      <c r="K100" s="3">
        <f>'Monthly Data'!DQ100</f>
        <v>31</v>
      </c>
      <c r="M100" s="3">
        <f t="shared" si="35"/>
        <v>-6000764.6164411902</v>
      </c>
      <c r="N100" s="3">
        <f t="shared" si="36"/>
        <v>8029740.7806906682</v>
      </c>
      <c r="O100" s="3">
        <f t="shared" si="37"/>
        <v>0</v>
      </c>
      <c r="P100" s="3">
        <f t="shared" si="38"/>
        <v>0</v>
      </c>
      <c r="Q100" s="3">
        <f t="shared" si="39"/>
        <v>0</v>
      </c>
      <c r="R100" s="3">
        <f t="shared" si="40"/>
        <v>-815229.51419000898</v>
      </c>
      <c r="S100" s="3">
        <f t="shared" si="41"/>
        <v>5332393.669756081</v>
      </c>
      <c r="T100" s="3">
        <f t="shared" si="42"/>
        <v>25469342.489254653</v>
      </c>
      <c r="U100" s="47">
        <f t="shared" si="23"/>
        <v>32015482.809070203</v>
      </c>
      <c r="V100" s="47">
        <f ca="1">'Monthly Data'!BF100+'Monthly Data'!BG100</f>
        <v>993180.73844657629</v>
      </c>
      <c r="W100" s="47">
        <f t="shared" ca="1" si="24"/>
        <v>33008663.547516778</v>
      </c>
      <c r="X100" s="47">
        <f t="shared" ca="1" si="25"/>
        <v>1282274.7389793992</v>
      </c>
      <c r="Y100" s="18">
        <f t="shared" ca="1" si="34"/>
        <v>4.041666218987857E-2</v>
      </c>
    </row>
    <row r="101" spans="1:25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Data'!BE101</f>
        <v>28343683.610224586</v>
      </c>
      <c r="E101" s="3">
        <f>'Monthly Data'!CP101</f>
        <v>301.39999999999998</v>
      </c>
      <c r="F101" s="3">
        <f>'Monthly Data'!CU101</f>
        <v>11.71666666666667</v>
      </c>
      <c r="G101" s="3">
        <f>'Monthly Data'!EM101</f>
        <v>0</v>
      </c>
      <c r="H101" s="3">
        <f>'Monthly Data'!ET101</f>
        <v>0</v>
      </c>
      <c r="I101" s="3">
        <f>'Monthly Data'!EG101</f>
        <v>1</v>
      </c>
      <c r="J101">
        <f>'Monthly Data'!EH101</f>
        <v>100</v>
      </c>
      <c r="K101" s="3">
        <f>'Monthly Data'!DQ101</f>
        <v>30</v>
      </c>
      <c r="M101" s="3">
        <f t="shared" si="35"/>
        <v>-6000764.6164411902</v>
      </c>
      <c r="N101" s="3">
        <f t="shared" si="36"/>
        <v>4392046.2246086141</v>
      </c>
      <c r="O101" s="3">
        <f t="shared" si="37"/>
        <v>1081770.7337513794</v>
      </c>
      <c r="P101" s="3">
        <f t="shared" si="38"/>
        <v>0</v>
      </c>
      <c r="Q101" s="3">
        <f t="shared" si="39"/>
        <v>0</v>
      </c>
      <c r="R101" s="3">
        <f t="shared" si="40"/>
        <v>-815229.51419000898</v>
      </c>
      <c r="S101" s="3">
        <f t="shared" si="41"/>
        <v>5386256.2320768498</v>
      </c>
      <c r="T101" s="3">
        <f t="shared" si="42"/>
        <v>24647750.796052888</v>
      </c>
      <c r="U101" s="47">
        <f t="shared" si="23"/>
        <v>28691829.855858531</v>
      </c>
      <c r="V101" s="47">
        <f ca="1">'Monthly Data'!BF101+'Monthly Data'!BG101</f>
        <v>657854.7989788939</v>
      </c>
      <c r="W101" s="47">
        <f t="shared" ca="1" si="24"/>
        <v>29349684.654837426</v>
      </c>
      <c r="X101" s="47">
        <f t="shared" ca="1" si="25"/>
        <v>1006001.0446128398</v>
      </c>
      <c r="Y101" s="18">
        <f t="shared" ca="1" si="34"/>
        <v>3.5492953507635788E-2</v>
      </c>
    </row>
    <row r="102" spans="1:25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Data'!BE102</f>
        <v>29876954.245041892</v>
      </c>
      <c r="E102" s="3">
        <f>'Monthly Data'!CP102</f>
        <v>163.56416666666669</v>
      </c>
      <c r="F102" s="3">
        <f>'Monthly Data'!CU102</f>
        <v>37.345833333333331</v>
      </c>
      <c r="G102" s="3">
        <f>'Monthly Data'!EM102</f>
        <v>0</v>
      </c>
      <c r="H102" s="3">
        <f>'Monthly Data'!ET102</f>
        <v>0</v>
      </c>
      <c r="I102" s="3">
        <f>'Monthly Data'!EG102</f>
        <v>1</v>
      </c>
      <c r="J102">
        <f>'Monthly Data'!EH102</f>
        <v>101</v>
      </c>
      <c r="K102" s="3">
        <f>'Monthly Data'!DQ102</f>
        <v>31</v>
      </c>
      <c r="M102" s="3">
        <f t="shared" si="35"/>
        <v>-6000764.6164411902</v>
      </c>
      <c r="N102" s="3">
        <f t="shared" si="36"/>
        <v>2383481.6877557654</v>
      </c>
      <c r="O102" s="3">
        <f t="shared" si="37"/>
        <v>3448048.0393362762</v>
      </c>
      <c r="P102" s="3">
        <f t="shared" si="38"/>
        <v>0</v>
      </c>
      <c r="Q102" s="3">
        <f t="shared" si="39"/>
        <v>0</v>
      </c>
      <c r="R102" s="3">
        <f t="shared" si="40"/>
        <v>-815229.51419000898</v>
      </c>
      <c r="S102" s="3">
        <f t="shared" si="41"/>
        <v>5440118.7943976186</v>
      </c>
      <c r="T102" s="3">
        <f t="shared" si="42"/>
        <v>25469342.489254653</v>
      </c>
      <c r="U102" s="47">
        <f t="shared" si="23"/>
        <v>29924996.880113114</v>
      </c>
      <c r="V102" s="47">
        <f ca="1">'Monthly Data'!BF102+'Monthly Data'!BG102</f>
        <v>476724.32296612917</v>
      </c>
      <c r="W102" s="47">
        <f t="shared" ca="1" si="24"/>
        <v>30401721.203079242</v>
      </c>
      <c r="X102" s="47">
        <f t="shared" ca="1" si="25"/>
        <v>524766.95803735033</v>
      </c>
      <c r="Y102" s="18">
        <f t="shared" ca="1" si="34"/>
        <v>1.7564272239176986E-2</v>
      </c>
    </row>
    <row r="103" spans="1:25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Data'!BE103</f>
        <v>38044767.096269302</v>
      </c>
      <c r="E103" s="3">
        <f>'Monthly Data'!CP103</f>
        <v>21.441666666666659</v>
      </c>
      <c r="F103" s="3">
        <f>'Monthly Data'!CU103</f>
        <v>145.54166666666666</v>
      </c>
      <c r="G103" s="3">
        <f>'Monthly Data'!EM103</f>
        <v>0</v>
      </c>
      <c r="H103" s="3">
        <f>'Monthly Data'!ET103</f>
        <v>0</v>
      </c>
      <c r="I103" s="3">
        <f>'Monthly Data'!EG103</f>
        <v>0</v>
      </c>
      <c r="J103">
        <f>'Monthly Data'!EH103</f>
        <v>102</v>
      </c>
      <c r="K103" s="3">
        <f>'Monthly Data'!DQ103</f>
        <v>30</v>
      </c>
      <c r="M103" s="3">
        <f t="shared" si="35"/>
        <v>-6000764.6164411902</v>
      </c>
      <c r="N103" s="3">
        <f t="shared" si="36"/>
        <v>312451.19818397373</v>
      </c>
      <c r="O103" s="3">
        <f t="shared" si="37"/>
        <v>13437500.615197605</v>
      </c>
      <c r="P103" s="3">
        <f t="shared" si="38"/>
        <v>0</v>
      </c>
      <c r="Q103" s="3">
        <f t="shared" si="39"/>
        <v>0</v>
      </c>
      <c r="R103" s="3">
        <f t="shared" si="40"/>
        <v>0</v>
      </c>
      <c r="S103" s="3">
        <f t="shared" si="41"/>
        <v>5493981.3567183865</v>
      </c>
      <c r="T103" s="3">
        <f t="shared" si="42"/>
        <v>24647750.796052888</v>
      </c>
      <c r="U103" s="47">
        <f t="shared" si="23"/>
        <v>37890919.349711664</v>
      </c>
      <c r="V103" s="47">
        <f ca="1">'Monthly Data'!BF103+'Monthly Data'!BG103</f>
        <v>289681.50943827315</v>
      </c>
      <c r="W103" s="47">
        <f t="shared" ca="1" si="24"/>
        <v>38180600.85914994</v>
      </c>
      <c r="X103" s="47">
        <f t="shared" ca="1" si="25"/>
        <v>135833.76288063824</v>
      </c>
      <c r="Y103" s="18">
        <f t="shared" ca="1" si="34"/>
        <v>3.5703665247028993E-3</v>
      </c>
    </row>
    <row r="104" spans="1:25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Data'!BE104</f>
        <v>47265697.539416209</v>
      </c>
      <c r="E104" s="3">
        <f>'Monthly Data'!CP104</f>
        <v>0.12499999999999645</v>
      </c>
      <c r="F104" s="3">
        <f>'Monthly Data'!CU104</f>
        <v>223.78333333333336</v>
      </c>
      <c r="G104" s="3">
        <f>'Monthly Data'!EM104</f>
        <v>0</v>
      </c>
      <c r="H104" s="3">
        <f>'Monthly Data'!ET104</f>
        <v>0</v>
      </c>
      <c r="I104" s="3">
        <f>'Monthly Data'!EG104</f>
        <v>0</v>
      </c>
      <c r="J104">
        <f>'Monthly Data'!EH104</f>
        <v>103</v>
      </c>
      <c r="K104" s="3">
        <f>'Monthly Data'!DQ104</f>
        <v>31</v>
      </c>
      <c r="M104" s="3">
        <f t="shared" si="35"/>
        <v>-6000764.6164411902</v>
      </c>
      <c r="N104" s="3">
        <f t="shared" si="36"/>
        <v>1821.5188390048481</v>
      </c>
      <c r="O104" s="3">
        <f t="shared" si="37"/>
        <v>20661359.377069369</v>
      </c>
      <c r="P104" s="3">
        <f t="shared" si="38"/>
        <v>0</v>
      </c>
      <c r="Q104" s="3">
        <f t="shared" si="39"/>
        <v>0</v>
      </c>
      <c r="R104" s="3">
        <f t="shared" si="40"/>
        <v>0</v>
      </c>
      <c r="S104" s="3">
        <f t="shared" si="41"/>
        <v>5547843.9190391554</v>
      </c>
      <c r="T104" s="3">
        <f t="shared" si="42"/>
        <v>25469342.489254653</v>
      </c>
      <c r="U104" s="47">
        <f t="shared" si="23"/>
        <v>45679602.687760994</v>
      </c>
      <c r="V104" s="47">
        <f ca="1">'Monthly Data'!BF104+'Monthly Data'!BG104</f>
        <v>269258.80332686962</v>
      </c>
      <c r="W104" s="47">
        <f t="shared" ca="1" si="24"/>
        <v>45948861.491087861</v>
      </c>
      <c r="X104" s="47">
        <f t="shared" ca="1" si="25"/>
        <v>-1316836.0483283475</v>
      </c>
      <c r="Y104" s="18">
        <f t="shared" ca="1" si="34"/>
        <v>2.7860290165615361E-2</v>
      </c>
    </row>
    <row r="105" spans="1:25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Data'!BE105</f>
        <v>40996520.433003724</v>
      </c>
      <c r="E105" s="3">
        <f>'Monthly Data'!CP105</f>
        <v>9.274999999999995</v>
      </c>
      <c r="F105" s="3">
        <f>'Monthly Data'!CU105</f>
        <v>165.80489130434788</v>
      </c>
      <c r="G105" s="3">
        <f>'Monthly Data'!EM105</f>
        <v>0</v>
      </c>
      <c r="H105" s="3">
        <f>'Monthly Data'!ET105</f>
        <v>0</v>
      </c>
      <c r="I105" s="3">
        <f>'Monthly Data'!EG105</f>
        <v>0</v>
      </c>
      <c r="J105">
        <f>'Monthly Data'!EH105</f>
        <v>104</v>
      </c>
      <c r="K105" s="3">
        <f>'Monthly Data'!DQ105</f>
        <v>31</v>
      </c>
      <c r="M105" s="3">
        <f t="shared" si="35"/>
        <v>-6000764.6164411902</v>
      </c>
      <c r="N105" s="3">
        <f t="shared" si="36"/>
        <v>135156.6978541635</v>
      </c>
      <c r="O105" s="3">
        <f t="shared" si="37"/>
        <v>15308353.820131326</v>
      </c>
      <c r="P105" s="3">
        <f t="shared" si="38"/>
        <v>0</v>
      </c>
      <c r="Q105" s="3">
        <f t="shared" si="39"/>
        <v>0</v>
      </c>
      <c r="R105" s="3">
        <f t="shared" si="40"/>
        <v>0</v>
      </c>
      <c r="S105" s="3">
        <f t="shared" si="41"/>
        <v>5601706.4813599242</v>
      </c>
      <c r="T105" s="3">
        <f t="shared" si="42"/>
        <v>25469342.489254653</v>
      </c>
      <c r="U105" s="47">
        <f t="shared" si="23"/>
        <v>40513794.872158878</v>
      </c>
      <c r="V105" s="47">
        <f ca="1">'Monthly Data'!BF105+'Monthly Data'!BG105</f>
        <v>290856.90972552367</v>
      </c>
      <c r="W105" s="47">
        <f t="shared" ca="1" si="24"/>
        <v>40804651.781884402</v>
      </c>
      <c r="X105" s="47">
        <f t="shared" ca="1" si="25"/>
        <v>-191868.65111932158</v>
      </c>
      <c r="Y105" s="18">
        <f t="shared" ca="1" si="34"/>
        <v>4.6801203880917708E-3</v>
      </c>
    </row>
    <row r="106" spans="1:25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Data'!BE106</f>
        <v>35625536.175440915</v>
      </c>
      <c r="E106" s="3">
        <f>'Monthly Data'!CP106</f>
        <v>47.591666666666676</v>
      </c>
      <c r="F106" s="3">
        <f>'Monthly Data'!CU106</f>
        <v>105.35</v>
      </c>
      <c r="G106" s="3">
        <f>'Monthly Data'!EM106</f>
        <v>0</v>
      </c>
      <c r="H106" s="3">
        <f>'Monthly Data'!ET106</f>
        <v>0</v>
      </c>
      <c r="I106" s="3">
        <f>'Monthly Data'!EG106</f>
        <v>1</v>
      </c>
      <c r="J106">
        <f>'Monthly Data'!EH106</f>
        <v>105</v>
      </c>
      <c r="K106" s="3">
        <f>'Monthly Data'!DQ106</f>
        <v>30</v>
      </c>
      <c r="M106" s="3">
        <f t="shared" si="35"/>
        <v>-6000764.6164411902</v>
      </c>
      <c r="N106" s="3">
        <f t="shared" si="36"/>
        <v>693512.93930379907</v>
      </c>
      <c r="O106" s="3">
        <f t="shared" si="37"/>
        <v>9726703.852122996</v>
      </c>
      <c r="P106" s="3">
        <f t="shared" si="38"/>
        <v>0</v>
      </c>
      <c r="Q106" s="3">
        <f t="shared" si="39"/>
        <v>0</v>
      </c>
      <c r="R106" s="3">
        <f t="shared" si="40"/>
        <v>-815229.51419000898</v>
      </c>
      <c r="S106" s="3">
        <f t="shared" si="41"/>
        <v>5655569.0436806921</v>
      </c>
      <c r="T106" s="3">
        <f t="shared" si="42"/>
        <v>24647750.796052888</v>
      </c>
      <c r="U106" s="47">
        <f t="shared" si="23"/>
        <v>33907542.500529177</v>
      </c>
      <c r="V106" s="47">
        <f ca="1">'Monthly Data'!BF106+'Monthly Data'!BG106</f>
        <v>352682.81803479063</v>
      </c>
      <c r="W106" s="47">
        <f t="shared" ca="1" si="24"/>
        <v>34260225.318563968</v>
      </c>
      <c r="X106" s="47">
        <f t="shared" ca="1" si="25"/>
        <v>-1365310.856876947</v>
      </c>
      <c r="Y106" s="18">
        <f t="shared" ca="1" si="34"/>
        <v>3.8323938484837394E-2</v>
      </c>
    </row>
    <row r="107" spans="1:25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Data'!BE107</f>
        <v>30885239.148188531</v>
      </c>
      <c r="E107" s="3">
        <f>'Monthly Data'!CP107</f>
        <v>207.15416666666667</v>
      </c>
      <c r="F107" s="3">
        <f>'Monthly Data'!CU107</f>
        <v>35.333333333333343</v>
      </c>
      <c r="G107" s="3">
        <f>'Monthly Data'!EM107</f>
        <v>0</v>
      </c>
      <c r="H107" s="3">
        <f>'Monthly Data'!ET107</f>
        <v>0</v>
      </c>
      <c r="I107" s="3">
        <f>'Monthly Data'!EG107</f>
        <v>1</v>
      </c>
      <c r="J107">
        <f>'Monthly Data'!EH107</f>
        <v>106</v>
      </c>
      <c r="K107" s="3">
        <f>'Monthly Data'!DQ107</f>
        <v>31</v>
      </c>
      <c r="M107" s="3">
        <f t="shared" si="35"/>
        <v>-6000764.6164411902</v>
      </c>
      <c r="N107" s="3">
        <f t="shared" si="36"/>
        <v>3018681.7372935535</v>
      </c>
      <c r="O107" s="3">
        <f t="shared" si="37"/>
        <v>3262238.9125930639</v>
      </c>
      <c r="P107" s="3">
        <f t="shared" si="38"/>
        <v>0</v>
      </c>
      <c r="Q107" s="3">
        <f t="shared" si="39"/>
        <v>0</v>
      </c>
      <c r="R107" s="3">
        <f t="shared" si="40"/>
        <v>-815229.51419000898</v>
      </c>
      <c r="S107" s="3">
        <f t="shared" si="41"/>
        <v>5709431.6060014609</v>
      </c>
      <c r="T107" s="3">
        <f t="shared" si="42"/>
        <v>25469342.489254653</v>
      </c>
      <c r="U107" s="47">
        <f t="shared" si="23"/>
        <v>30643700.614511535</v>
      </c>
      <c r="V107" s="47">
        <f ca="1">'Monthly Data'!BF107+'Monthly Data'!BG107</f>
        <v>581735.69888647599</v>
      </c>
      <c r="W107" s="47">
        <f t="shared" ca="1" si="24"/>
        <v>31225436.313398011</v>
      </c>
      <c r="X107" s="47">
        <f t="shared" ca="1" si="25"/>
        <v>340197.16520947963</v>
      </c>
      <c r="Y107" s="18">
        <f t="shared" ca="1" si="34"/>
        <v>1.1014878776790457E-2</v>
      </c>
    </row>
    <row r="108" spans="1:25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Data'!BE108</f>
        <v>31022915.904135838</v>
      </c>
      <c r="E108" s="3">
        <f>'Monthly Data'!CP108</f>
        <v>450.59311594202899</v>
      </c>
      <c r="F108" s="3">
        <f>'Monthly Data'!CU108</f>
        <v>0</v>
      </c>
      <c r="G108" s="3">
        <f>'Monthly Data'!EM108</f>
        <v>0</v>
      </c>
      <c r="H108" s="3">
        <f>'Monthly Data'!ET108</f>
        <v>0</v>
      </c>
      <c r="I108" s="3">
        <f>'Monthly Data'!EG108</f>
        <v>1</v>
      </c>
      <c r="J108">
        <f>'Monthly Data'!EH108</f>
        <v>107</v>
      </c>
      <c r="K108" s="3">
        <f>'Monthly Data'!DQ108</f>
        <v>30</v>
      </c>
      <c r="M108" s="3">
        <f t="shared" si="35"/>
        <v>-6000764.6164411902</v>
      </c>
      <c r="N108" s="3">
        <f t="shared" si="36"/>
        <v>6566110.7953145998</v>
      </c>
      <c r="O108" s="3">
        <f t="shared" si="37"/>
        <v>0</v>
      </c>
      <c r="P108" s="3">
        <f t="shared" si="38"/>
        <v>0</v>
      </c>
      <c r="Q108" s="3">
        <f t="shared" si="39"/>
        <v>0</v>
      </c>
      <c r="R108" s="3">
        <f t="shared" si="40"/>
        <v>-815229.51419000898</v>
      </c>
      <c r="S108" s="3">
        <f t="shared" si="41"/>
        <v>5763294.1683222298</v>
      </c>
      <c r="T108" s="3">
        <f t="shared" si="42"/>
        <v>24647750.796052888</v>
      </c>
      <c r="U108" s="47">
        <f t="shared" si="23"/>
        <v>30161161.629058518</v>
      </c>
      <c r="V108" s="47">
        <f ca="1">'Monthly Data'!BF108+'Monthly Data'!BG108</f>
        <v>926474.24327238509</v>
      </c>
      <c r="W108" s="47">
        <f t="shared" ca="1" si="24"/>
        <v>31087635.872330904</v>
      </c>
      <c r="X108" s="47">
        <f t="shared" ca="1" si="25"/>
        <v>64719.968195065856</v>
      </c>
      <c r="Y108" s="18">
        <f t="shared" ca="1" si="34"/>
        <v>2.0861987440206316E-3</v>
      </c>
    </row>
    <row r="109" spans="1:25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Data'!BE109</f>
        <v>34753712.691013247</v>
      </c>
      <c r="E109" s="3">
        <f>'Monthly Data'!CP109</f>
        <v>489.67916666666667</v>
      </c>
      <c r="F109" s="3">
        <f>'Monthly Data'!CU109</f>
        <v>0</v>
      </c>
      <c r="G109" s="3">
        <f>'Monthly Data'!EM109</f>
        <v>0</v>
      </c>
      <c r="H109" s="3">
        <f>'Monthly Data'!ET109</f>
        <v>0</v>
      </c>
      <c r="I109" s="3">
        <f>'Monthly Data'!EG109</f>
        <v>0</v>
      </c>
      <c r="J109">
        <f>'Monthly Data'!EH109</f>
        <v>108</v>
      </c>
      <c r="K109" s="3">
        <f>'Monthly Data'!DQ109</f>
        <v>31</v>
      </c>
      <c r="M109" s="3">
        <f t="shared" si="35"/>
        <v>-6000764.6164411902</v>
      </c>
      <c r="N109" s="3">
        <f t="shared" si="36"/>
        <v>7135678.6172124287</v>
      </c>
      <c r="O109" s="3">
        <f t="shared" si="37"/>
        <v>0</v>
      </c>
      <c r="P109" s="3">
        <f t="shared" si="38"/>
        <v>0</v>
      </c>
      <c r="Q109" s="3">
        <f t="shared" si="39"/>
        <v>0</v>
      </c>
      <c r="R109" s="3">
        <f t="shared" si="40"/>
        <v>0</v>
      </c>
      <c r="S109" s="3">
        <f t="shared" si="41"/>
        <v>5817156.7306429977</v>
      </c>
      <c r="T109" s="3">
        <f t="shared" si="42"/>
        <v>25469342.489254653</v>
      </c>
      <c r="U109" s="47">
        <f t="shared" si="23"/>
        <v>32421413.22066889</v>
      </c>
      <c r="V109" s="47">
        <f ca="1">'Monthly Data'!BF109+'Monthly Data'!BG109</f>
        <v>989361.31602087198</v>
      </c>
      <c r="W109" s="47">
        <f t="shared" ca="1" si="24"/>
        <v>33410774.536689762</v>
      </c>
      <c r="X109" s="47">
        <f t="shared" ca="1" si="25"/>
        <v>-1342938.1543234847</v>
      </c>
      <c r="Y109" s="18">
        <f t="shared" ca="1" si="34"/>
        <v>3.864157381581701E-2</v>
      </c>
    </row>
    <row r="110" spans="1:25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Data'!BE110</f>
        <v>35837732.829700693</v>
      </c>
      <c r="E110" s="3">
        <f>'Monthly Data'!CP110</f>
        <v>636.99583333333339</v>
      </c>
      <c r="F110" s="3">
        <f>'Monthly Data'!CU110</f>
        <v>0</v>
      </c>
      <c r="G110" s="3">
        <f>'Monthly Data'!EM110</f>
        <v>0</v>
      </c>
      <c r="H110" s="3">
        <f>'Monthly Data'!ET110</f>
        <v>0</v>
      </c>
      <c r="I110" s="3">
        <f>'Monthly Data'!EG110</f>
        <v>0</v>
      </c>
      <c r="J110">
        <f>'Monthly Data'!EH110</f>
        <v>109</v>
      </c>
      <c r="K110" s="3">
        <f>'Monthly Data'!DQ110</f>
        <v>31</v>
      </c>
      <c r="M110" s="3">
        <f t="shared" si="35"/>
        <v>-6000764.6164411902</v>
      </c>
      <c r="N110" s="3">
        <f t="shared" si="36"/>
        <v>9282399.2862743381</v>
      </c>
      <c r="O110" s="3">
        <f t="shared" si="37"/>
        <v>0</v>
      </c>
      <c r="P110" s="3">
        <f t="shared" si="38"/>
        <v>0</v>
      </c>
      <c r="Q110" s="3">
        <f t="shared" si="39"/>
        <v>0</v>
      </c>
      <c r="R110" s="3">
        <f t="shared" si="40"/>
        <v>0</v>
      </c>
      <c r="S110" s="3">
        <f t="shared" si="41"/>
        <v>5871019.2929637665</v>
      </c>
      <c r="T110" s="3">
        <f t="shared" si="42"/>
        <v>25469342.489254653</v>
      </c>
      <c r="U110" s="47">
        <f t="shared" ref="U110:U121" si="43">SUM(M110:T110)</f>
        <v>34621996.452051565</v>
      </c>
      <c r="V110" s="47">
        <f ca="1">'Monthly Data'!BF110+'Monthly Data'!BG110</f>
        <v>1452281.1056415676</v>
      </c>
      <c r="W110" s="47">
        <f t="shared" ca="1" si="24"/>
        <v>36074277.557693131</v>
      </c>
      <c r="X110" s="47">
        <f t="shared" ca="1" si="25"/>
        <v>236544.72799243778</v>
      </c>
      <c r="Y110" s="18">
        <f t="shared" ref="Y110:Y121" ca="1" si="44">ABS(X110/D110)</f>
        <v>6.6004378434452804E-3</v>
      </c>
    </row>
    <row r="111" spans="1:25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Data'!BE111</f>
        <v>31673443.631009847</v>
      </c>
      <c r="E111" s="3">
        <f>'Monthly Data'!CP111</f>
        <v>542.96666666666658</v>
      </c>
      <c r="F111" s="3">
        <f>'Monthly Data'!CU111</f>
        <v>0</v>
      </c>
      <c r="G111" s="3">
        <f>'Monthly Data'!EM111</f>
        <v>0</v>
      </c>
      <c r="H111" s="3">
        <f>'Monthly Data'!ET111</f>
        <v>0</v>
      </c>
      <c r="I111" s="3">
        <f>'Monthly Data'!EG111</f>
        <v>0</v>
      </c>
      <c r="J111">
        <f>'Monthly Data'!EH111</f>
        <v>110</v>
      </c>
      <c r="K111" s="3">
        <f>'Monthly Data'!DQ111</f>
        <v>29</v>
      </c>
      <c r="M111" s="3">
        <f t="shared" si="35"/>
        <v>-6000764.6164411902</v>
      </c>
      <c r="N111" s="3">
        <f t="shared" si="36"/>
        <v>7912192.0982802166</v>
      </c>
      <c r="O111" s="3">
        <f t="shared" si="37"/>
        <v>0</v>
      </c>
      <c r="P111" s="3">
        <f t="shared" si="38"/>
        <v>0</v>
      </c>
      <c r="Q111" s="3">
        <f t="shared" si="39"/>
        <v>0</v>
      </c>
      <c r="R111" s="3">
        <f t="shared" si="40"/>
        <v>0</v>
      </c>
      <c r="S111" s="3">
        <f t="shared" si="41"/>
        <v>5924881.8552845344</v>
      </c>
      <c r="T111" s="3">
        <f t="shared" si="42"/>
        <v>23826159.102851126</v>
      </c>
      <c r="U111" s="47">
        <f t="shared" si="43"/>
        <v>31662468.439974688</v>
      </c>
      <c r="V111" s="47">
        <f ca="1">'Monthly Data'!BF111+'Monthly Data'!BG111</f>
        <v>1299903.4015460648</v>
      </c>
      <c r="W111" s="47">
        <f t="shared" ca="1" si="24"/>
        <v>32962371.841520753</v>
      </c>
      <c r="X111" s="47">
        <f t="shared" ca="1" si="25"/>
        <v>1288928.2105109058</v>
      </c>
      <c r="Y111" s="18">
        <f t="shared" ca="1" si="44"/>
        <v>4.069428716140553E-2</v>
      </c>
    </row>
    <row r="112" spans="1:25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Data'!BE112</f>
        <v>31939805.082272619</v>
      </c>
      <c r="E112" s="3">
        <f>'Monthly Data'!CP112</f>
        <v>460.11250000000001</v>
      </c>
      <c r="F112" s="3">
        <f>'Monthly Data'!CU112</f>
        <v>0</v>
      </c>
      <c r="G112" s="3">
        <f>'Monthly Data'!EM112</f>
        <v>0</v>
      </c>
      <c r="H112" s="3">
        <f>'Monthly Data'!ET112</f>
        <v>0</v>
      </c>
      <c r="I112" s="3">
        <f>'Monthly Data'!EG112</f>
        <v>1</v>
      </c>
      <c r="J112">
        <f>'Monthly Data'!EH112</f>
        <v>111</v>
      </c>
      <c r="K112" s="3">
        <f>'Monthly Data'!DQ112</f>
        <v>31</v>
      </c>
      <c r="M112" s="3">
        <f t="shared" si="35"/>
        <v>-6000764.6164411902</v>
      </c>
      <c r="N112" s="3">
        <f t="shared" si="36"/>
        <v>6704828.6944931364</v>
      </c>
      <c r="O112" s="3">
        <f t="shared" si="37"/>
        <v>0</v>
      </c>
      <c r="P112" s="3">
        <f t="shared" si="38"/>
        <v>0</v>
      </c>
      <c r="Q112" s="3">
        <f t="shared" si="39"/>
        <v>0</v>
      </c>
      <c r="R112" s="3">
        <f t="shared" si="40"/>
        <v>-815229.51419000898</v>
      </c>
      <c r="S112" s="3">
        <f t="shared" si="41"/>
        <v>5978744.4176053032</v>
      </c>
      <c r="T112" s="3">
        <f t="shared" si="42"/>
        <v>25469342.489254653</v>
      </c>
      <c r="U112" s="47">
        <f t="shared" si="43"/>
        <v>31336921.470721893</v>
      </c>
      <c r="V112" s="47">
        <f ca="1">'Monthly Data'!BF112+'Monthly Data'!BG112</f>
        <v>1167118.7921946708</v>
      </c>
      <c r="W112" s="47">
        <f t="shared" ca="1" si="24"/>
        <v>32504040.262916565</v>
      </c>
      <c r="X112" s="47">
        <f t="shared" ca="1" si="25"/>
        <v>564235.18064394593</v>
      </c>
      <c r="Y112" s="18">
        <f t="shared" ca="1" si="44"/>
        <v>1.7665579961760956E-2</v>
      </c>
    </row>
    <row r="113" spans="1:25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Data'!BE113</f>
        <v>29068416.473234218</v>
      </c>
      <c r="E113" s="3">
        <f>'Monthly Data'!CP113</f>
        <v>308.29791666666665</v>
      </c>
      <c r="F113" s="3">
        <f>'Monthly Data'!CU113</f>
        <v>0</v>
      </c>
      <c r="G113" s="3">
        <f>'Monthly Data'!EM113</f>
        <v>0</v>
      </c>
      <c r="H113" s="3">
        <f>'Monthly Data'!ET113</f>
        <v>0</v>
      </c>
      <c r="I113" s="3">
        <f>'Monthly Data'!EG113</f>
        <v>1</v>
      </c>
      <c r="J113">
        <f>'Monthly Data'!EH113</f>
        <v>112</v>
      </c>
      <c r="K113" s="3">
        <f>'Monthly Data'!DQ113</f>
        <v>30</v>
      </c>
      <c r="M113" s="3">
        <f t="shared" si="35"/>
        <v>-6000764.6164411902</v>
      </c>
      <c r="N113" s="3">
        <f t="shared" si="36"/>
        <v>4492563.7058743685</v>
      </c>
      <c r="O113" s="3">
        <f t="shared" si="37"/>
        <v>0</v>
      </c>
      <c r="P113" s="3">
        <f t="shared" si="38"/>
        <v>0</v>
      </c>
      <c r="Q113" s="3">
        <f t="shared" si="39"/>
        <v>0</v>
      </c>
      <c r="R113" s="3">
        <f t="shared" si="40"/>
        <v>-815229.51419000898</v>
      </c>
      <c r="S113" s="3">
        <f t="shared" si="41"/>
        <v>6032606.9799260721</v>
      </c>
      <c r="T113" s="3">
        <f t="shared" si="42"/>
        <v>24647750.796052888</v>
      </c>
      <c r="U113" s="47">
        <f t="shared" si="43"/>
        <v>28356927.351222128</v>
      </c>
      <c r="V113" s="47">
        <f ca="1">'Monthly Data'!BF113+'Monthly Data'!BG113</f>
        <v>913426.08643672755</v>
      </c>
      <c r="W113" s="47">
        <f t="shared" ca="1" si="24"/>
        <v>29270353.437658854</v>
      </c>
      <c r="X113" s="47">
        <f t="shared" ca="1" si="25"/>
        <v>201936.96442463621</v>
      </c>
      <c r="Y113" s="18">
        <f t="shared" ca="1" si="44"/>
        <v>6.9469544242486301E-3</v>
      </c>
    </row>
    <row r="114" spans="1:25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Data'!BE114</f>
        <v>31817664.075844593</v>
      </c>
      <c r="E114" s="3">
        <f>'Monthly Data'!CP114</f>
        <v>89.52916666666664</v>
      </c>
      <c r="F114" s="3">
        <f>'Monthly Data'!CU114</f>
        <v>60.691666666666663</v>
      </c>
      <c r="G114" s="3">
        <f>'Monthly Data'!EM114</f>
        <v>0</v>
      </c>
      <c r="H114" s="3">
        <f>'Monthly Data'!ET114</f>
        <v>0</v>
      </c>
      <c r="I114" s="3">
        <f>'Monthly Data'!EG114</f>
        <v>1</v>
      </c>
      <c r="J114">
        <f>'Monthly Data'!EH114</f>
        <v>113</v>
      </c>
      <c r="K114" s="3">
        <f>'Monthly Data'!DQ114</f>
        <v>31</v>
      </c>
      <c r="M114" s="3">
        <f t="shared" si="35"/>
        <v>-6000764.6164411902</v>
      </c>
      <c r="N114" s="3">
        <f t="shared" si="36"/>
        <v>1304632.5097899425</v>
      </c>
      <c r="O114" s="3">
        <f t="shared" si="37"/>
        <v>5603510.8491545469</v>
      </c>
      <c r="P114" s="3">
        <f t="shared" si="38"/>
        <v>0</v>
      </c>
      <c r="Q114" s="3">
        <f t="shared" si="39"/>
        <v>0</v>
      </c>
      <c r="R114" s="3">
        <f t="shared" si="40"/>
        <v>-815229.51419000898</v>
      </c>
      <c r="S114" s="3">
        <f t="shared" si="41"/>
        <v>6086469.54224684</v>
      </c>
      <c r="T114" s="3">
        <f t="shared" si="42"/>
        <v>25469342.489254653</v>
      </c>
      <c r="U114" s="47">
        <f t="shared" si="43"/>
        <v>31647961.259814784</v>
      </c>
      <c r="V114" s="47">
        <f ca="1">'Monthly Data'!BF114+'Monthly Data'!BG114</f>
        <v>542342.83651656366</v>
      </c>
      <c r="W114" s="47">
        <f t="shared" ca="1" si="24"/>
        <v>32190304.096331347</v>
      </c>
      <c r="X114" s="47">
        <f t="shared" ca="1" si="25"/>
        <v>372640.02048675343</v>
      </c>
      <c r="Y114" s="18">
        <f t="shared" ca="1" si="44"/>
        <v>1.1711734073201656E-2</v>
      </c>
    </row>
    <row r="115" spans="1:25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Data'!BE115</f>
        <v>40163575.246728927</v>
      </c>
      <c r="E115" s="3">
        <f>'Monthly Data'!CP115</f>
        <v>31.570833333333319</v>
      </c>
      <c r="F115" s="3">
        <f>'Monthly Data'!CU115</f>
        <v>146.61250000000007</v>
      </c>
      <c r="G115" s="3">
        <f>'Monthly Data'!EM115</f>
        <v>0</v>
      </c>
      <c r="H115" s="3">
        <f>'Monthly Data'!ET115</f>
        <v>0</v>
      </c>
      <c r="I115" s="3">
        <f>'Monthly Data'!EG115</f>
        <v>0</v>
      </c>
      <c r="J115">
        <f>'Monthly Data'!EH115</f>
        <v>114</v>
      </c>
      <c r="K115" s="3">
        <f>'Monthly Data'!DQ115</f>
        <v>30</v>
      </c>
      <c r="M115" s="3">
        <f t="shared" si="35"/>
        <v>-6000764.6164411902</v>
      </c>
      <c r="N115" s="3">
        <f t="shared" si="36"/>
        <v>460054.94143800403</v>
      </c>
      <c r="O115" s="3">
        <f t="shared" si="37"/>
        <v>13536367.997336341</v>
      </c>
      <c r="P115" s="3">
        <f t="shared" si="38"/>
        <v>0</v>
      </c>
      <c r="Q115" s="3">
        <f t="shared" si="39"/>
        <v>0</v>
      </c>
      <c r="R115" s="3">
        <f t="shared" si="40"/>
        <v>0</v>
      </c>
      <c r="S115" s="3">
        <f t="shared" si="41"/>
        <v>6140332.1045676088</v>
      </c>
      <c r="T115" s="3">
        <f t="shared" si="42"/>
        <v>24647750.796052888</v>
      </c>
      <c r="U115" s="47">
        <f t="shared" si="43"/>
        <v>38783741.222953647</v>
      </c>
      <c r="V115" s="47">
        <f ca="1">'Monthly Data'!BF115+'Monthly Data'!BG115</f>
        <v>453208.01877443376</v>
      </c>
      <c r="W115" s="47">
        <f t="shared" ca="1" si="24"/>
        <v>39236949.241728082</v>
      </c>
      <c r="X115" s="47">
        <f t="shared" ca="1" si="25"/>
        <v>-926626.0050008446</v>
      </c>
      <c r="Y115" s="18">
        <f t="shared" ca="1" si="44"/>
        <v>2.3071302773931025E-2</v>
      </c>
    </row>
    <row r="116" spans="1:25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Data'!BE116</f>
        <v>50566155.717317179</v>
      </c>
      <c r="E116" s="3">
        <f>'Monthly Data'!CP116</f>
        <v>0.32916666666666927</v>
      </c>
      <c r="F116" s="3">
        <f>'Monthly Data'!CU116</f>
        <v>241.14166666666668</v>
      </c>
      <c r="G116" s="3">
        <f>'Monthly Data'!EM116</f>
        <v>0</v>
      </c>
      <c r="H116" s="3">
        <f>'Monthly Data'!ET116</f>
        <v>0</v>
      </c>
      <c r="I116" s="3">
        <f>'Monthly Data'!EG116</f>
        <v>0</v>
      </c>
      <c r="J116">
        <f>'Monthly Data'!EH116</f>
        <v>115</v>
      </c>
      <c r="K116" s="3">
        <f>'Monthly Data'!DQ116</f>
        <v>31</v>
      </c>
      <c r="M116" s="3">
        <f t="shared" si="35"/>
        <v>-6000764.6164411902</v>
      </c>
      <c r="N116" s="3">
        <f t="shared" si="36"/>
        <v>4796.666276046275</v>
      </c>
      <c r="O116" s="3">
        <f t="shared" si="37"/>
        <v>22264011.182477705</v>
      </c>
      <c r="P116" s="3">
        <f t="shared" si="38"/>
        <v>0</v>
      </c>
      <c r="Q116" s="3">
        <f t="shared" si="39"/>
        <v>0</v>
      </c>
      <c r="R116" s="3">
        <f t="shared" si="40"/>
        <v>0</v>
      </c>
      <c r="S116" s="3">
        <f t="shared" si="41"/>
        <v>6194194.6668883776</v>
      </c>
      <c r="T116" s="3">
        <f t="shared" si="42"/>
        <v>25469342.489254653</v>
      </c>
      <c r="U116" s="47">
        <f t="shared" si="43"/>
        <v>47931580.388455592</v>
      </c>
      <c r="V116" s="47">
        <f ca="1">'Monthly Data'!BF116+'Monthly Data'!BG116</f>
        <v>410915.4543877187</v>
      </c>
      <c r="W116" s="47">
        <f t="shared" ca="1" si="24"/>
        <v>48342495.842843309</v>
      </c>
      <c r="X116" s="47">
        <f t="shared" ca="1" si="25"/>
        <v>-2223659.8744738698</v>
      </c>
      <c r="Y116" s="18">
        <f t="shared" ca="1" si="44"/>
        <v>4.3975260585457997E-2</v>
      </c>
    </row>
    <row r="117" spans="1:25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Data'!BE117</f>
        <v>45940027.398064159</v>
      </c>
      <c r="E117" s="3">
        <f>'Monthly Data'!CP117</f>
        <v>8.2333333333333432</v>
      </c>
      <c r="F117" s="3">
        <f>'Monthly Data'!CU117</f>
        <v>200.86666666666665</v>
      </c>
      <c r="G117" s="3">
        <f>'Monthly Data'!EM117</f>
        <v>0</v>
      </c>
      <c r="H117" s="3">
        <f>'Monthly Data'!ET117</f>
        <v>0</v>
      </c>
      <c r="I117" s="3">
        <f>'Monthly Data'!EG117</f>
        <v>0</v>
      </c>
      <c r="J117">
        <f>'Monthly Data'!EH117</f>
        <v>116</v>
      </c>
      <c r="K117" s="3">
        <f>'Monthly Data'!DQ117</f>
        <v>31</v>
      </c>
      <c r="M117" s="3">
        <f t="shared" si="35"/>
        <v>-6000764.6164411902</v>
      </c>
      <c r="N117" s="3">
        <f t="shared" si="36"/>
        <v>119977.37419578955</v>
      </c>
      <c r="O117" s="3">
        <f t="shared" si="37"/>
        <v>18545520.459703583</v>
      </c>
      <c r="P117" s="3">
        <f t="shared" si="38"/>
        <v>0</v>
      </c>
      <c r="Q117" s="3">
        <f t="shared" si="39"/>
        <v>0</v>
      </c>
      <c r="R117" s="3">
        <f t="shared" si="40"/>
        <v>0</v>
      </c>
      <c r="S117" s="3">
        <f t="shared" si="41"/>
        <v>6248057.2292091455</v>
      </c>
      <c r="T117" s="3">
        <f t="shared" si="42"/>
        <v>25469342.489254653</v>
      </c>
      <c r="U117" s="47">
        <f t="shared" si="43"/>
        <v>44382132.935921982</v>
      </c>
      <c r="V117" s="47">
        <f ca="1">'Monthly Data'!BF117+'Monthly Data'!BG117</f>
        <v>437257.16484100994</v>
      </c>
      <c r="W117" s="47">
        <f t="shared" ca="1" si="24"/>
        <v>44819390.100762993</v>
      </c>
      <c r="X117" s="47">
        <f t="shared" ca="1" si="25"/>
        <v>-1120637.2973011658</v>
      </c>
      <c r="Y117" s="18">
        <f t="shared" ca="1" si="44"/>
        <v>2.4393483434195506E-2</v>
      </c>
    </row>
    <row r="118" spans="1:25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Data'!BE118</f>
        <v>36863526.575814657</v>
      </c>
      <c r="E118" s="3">
        <f>'Monthly Data'!CP118</f>
        <v>29.36666666666666</v>
      </c>
      <c r="F118" s="3">
        <f>'Monthly Data'!CU118</f>
        <v>113.86250000000001</v>
      </c>
      <c r="G118" s="3">
        <f>'Monthly Data'!EM118</f>
        <v>0</v>
      </c>
      <c r="H118" s="3">
        <f>'Monthly Data'!ET118</f>
        <v>0</v>
      </c>
      <c r="I118" s="3">
        <f>'Monthly Data'!EG118</f>
        <v>1</v>
      </c>
      <c r="J118">
        <f>'Monthly Data'!EH118</f>
        <v>117</v>
      </c>
      <c r="K118" s="3">
        <f>'Monthly Data'!DQ118</f>
        <v>30</v>
      </c>
      <c r="M118" s="3">
        <f t="shared" si="35"/>
        <v>-6000764.6164411902</v>
      </c>
      <c r="N118" s="3">
        <f t="shared" si="36"/>
        <v>427935.4925768844</v>
      </c>
      <c r="O118" s="3">
        <f t="shared" si="37"/>
        <v>10512641.835428143</v>
      </c>
      <c r="P118" s="3">
        <f t="shared" si="38"/>
        <v>0</v>
      </c>
      <c r="Q118" s="3">
        <f t="shared" si="39"/>
        <v>0</v>
      </c>
      <c r="R118" s="3">
        <f t="shared" si="40"/>
        <v>-815229.51419000898</v>
      </c>
      <c r="S118" s="3">
        <f t="shared" si="41"/>
        <v>6301919.7915299144</v>
      </c>
      <c r="T118" s="3">
        <f t="shared" si="42"/>
        <v>24647750.796052888</v>
      </c>
      <c r="U118" s="47">
        <f t="shared" si="43"/>
        <v>35074253.784956634</v>
      </c>
      <c r="V118" s="47">
        <f ca="1">'Monthly Data'!BF118+'Monthly Data'!BG118</f>
        <v>486793.53443395213</v>
      </c>
      <c r="W118" s="47">
        <f t="shared" ca="1" si="24"/>
        <v>35561047.319390588</v>
      </c>
      <c r="X118" s="47">
        <f t="shared" ca="1" si="25"/>
        <v>-1302479.2564240694</v>
      </c>
      <c r="Y118" s="18">
        <f t="shared" ca="1" si="44"/>
        <v>3.5332464834729002E-2</v>
      </c>
    </row>
    <row r="119" spans="1:25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Data'!BE119</f>
        <v>30103611.877324007</v>
      </c>
      <c r="E119" s="3">
        <f>'Monthly Data'!CP119</f>
        <v>233.94166666666658</v>
      </c>
      <c r="F119" s="3">
        <f>'Monthly Data'!CU119</f>
        <v>12.120833333333337</v>
      </c>
      <c r="G119" s="3">
        <f>'Monthly Data'!EM119</f>
        <v>0</v>
      </c>
      <c r="H119" s="3">
        <f>'Monthly Data'!ET119</f>
        <v>0</v>
      </c>
      <c r="I119" s="3">
        <f>'Monthly Data'!EG119</f>
        <v>1</v>
      </c>
      <c r="J119">
        <f>'Monthly Data'!EH119</f>
        <v>118</v>
      </c>
      <c r="K119" s="3">
        <f>'Monthly Data'!DQ119</f>
        <v>31</v>
      </c>
      <c r="M119" s="3">
        <f t="shared" si="35"/>
        <v>-6000764.6164411902</v>
      </c>
      <c r="N119" s="3">
        <f t="shared" si="36"/>
        <v>3409033.2244923026</v>
      </c>
      <c r="O119" s="3">
        <f t="shared" si="37"/>
        <v>1119086.4382940123</v>
      </c>
      <c r="P119" s="3">
        <f t="shared" si="38"/>
        <v>0</v>
      </c>
      <c r="Q119" s="3">
        <f t="shared" si="39"/>
        <v>0</v>
      </c>
      <c r="R119" s="3">
        <f t="shared" si="40"/>
        <v>-815229.51419000898</v>
      </c>
      <c r="S119" s="3">
        <f t="shared" si="41"/>
        <v>6355782.3538506832</v>
      </c>
      <c r="T119" s="3">
        <f t="shared" si="42"/>
        <v>25469342.489254653</v>
      </c>
      <c r="U119" s="47">
        <f t="shared" si="43"/>
        <v>29537250.375260454</v>
      </c>
      <c r="V119" s="47">
        <f ca="1">'Monthly Data'!BF119+'Monthly Data'!BG119</f>
        <v>857957.6404937515</v>
      </c>
      <c r="W119" s="47">
        <f t="shared" ref="W119:W121" ca="1" si="45">U119+V119</f>
        <v>30395208.015754204</v>
      </c>
      <c r="X119" s="47">
        <f t="shared" ref="X119:X121" ca="1" si="46">W119-D119</f>
        <v>291596.13843019679</v>
      </c>
      <c r="Y119" s="18">
        <f t="shared" ca="1" si="44"/>
        <v>9.6864170192762118E-3</v>
      </c>
    </row>
    <row r="120" spans="1:25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Data'!BE120</f>
        <v>30879396.051013481</v>
      </c>
      <c r="E120" s="3">
        <f>'Monthly Data'!CP120</f>
        <v>366.29166666666663</v>
      </c>
      <c r="F120" s="3">
        <f>'Monthly Data'!CU120</f>
        <v>5.5041666666666629</v>
      </c>
      <c r="G120" s="3">
        <f>'Monthly Data'!EM120</f>
        <v>0</v>
      </c>
      <c r="H120" s="3">
        <f>'Monthly Data'!ET120</f>
        <v>0</v>
      </c>
      <c r="I120" s="3">
        <f>'Monthly Data'!EG120</f>
        <v>1</v>
      </c>
      <c r="J120">
        <f>'Monthly Data'!EH120</f>
        <v>119</v>
      </c>
      <c r="K120" s="3">
        <f>'Monthly Data'!DQ120</f>
        <v>30</v>
      </c>
      <c r="M120" s="3">
        <f t="shared" si="35"/>
        <v>-6000764.6164411902</v>
      </c>
      <c r="N120" s="3">
        <f t="shared" si="36"/>
        <v>5337657.3712306917</v>
      </c>
      <c r="O120" s="3">
        <f t="shared" si="37"/>
        <v>508186.03815276339</v>
      </c>
      <c r="P120" s="3">
        <f t="shared" si="38"/>
        <v>0</v>
      </c>
      <c r="Q120" s="3">
        <f t="shared" si="39"/>
        <v>0</v>
      </c>
      <c r="R120" s="3">
        <f t="shared" si="40"/>
        <v>-815229.51419000898</v>
      </c>
      <c r="S120" s="3">
        <f t="shared" si="41"/>
        <v>6409644.9161714511</v>
      </c>
      <c r="T120" s="3">
        <f t="shared" si="42"/>
        <v>24647750.796052888</v>
      </c>
      <c r="U120" s="47">
        <f t="shared" si="43"/>
        <v>30087244.990976594</v>
      </c>
      <c r="V120" s="47">
        <f ca="1">'Monthly Data'!BF120+'Monthly Data'!BG120</f>
        <v>1102489.8657577373</v>
      </c>
      <c r="W120" s="47">
        <f t="shared" ca="1" si="45"/>
        <v>31189734.856734332</v>
      </c>
      <c r="X120" s="47">
        <f t="shared" ca="1" si="46"/>
        <v>310338.80572085083</v>
      </c>
      <c r="Y120" s="18">
        <f t="shared" ca="1" si="44"/>
        <v>1.0050028349264471E-2</v>
      </c>
    </row>
    <row r="121" spans="1:25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Data'!BE121</f>
        <v>37201919.636089422</v>
      </c>
      <c r="E121" s="3">
        <f>'Monthly Data'!CP121</f>
        <v>598.57499999999993</v>
      </c>
      <c r="F121" s="3">
        <f>'Monthly Data'!CU121</f>
        <v>0</v>
      </c>
      <c r="G121" s="3">
        <f>'Monthly Data'!EM121</f>
        <v>0</v>
      </c>
      <c r="H121" s="3">
        <f>'Monthly Data'!ET121</f>
        <v>0</v>
      </c>
      <c r="I121" s="3">
        <f>'Monthly Data'!EG121</f>
        <v>0</v>
      </c>
      <c r="J121">
        <f>'Monthly Data'!EH121</f>
        <v>120</v>
      </c>
      <c r="K121" s="3">
        <f>'Monthly Data'!DQ121</f>
        <v>31</v>
      </c>
      <c r="M121" s="3">
        <f t="shared" si="35"/>
        <v>-6000764.6164411902</v>
      </c>
      <c r="N121" s="3">
        <f t="shared" si="36"/>
        <v>8722525.1124588624</v>
      </c>
      <c r="O121" s="3">
        <f t="shared" si="37"/>
        <v>0</v>
      </c>
      <c r="P121" s="3">
        <f t="shared" si="38"/>
        <v>0</v>
      </c>
      <c r="Q121" s="3">
        <f t="shared" si="39"/>
        <v>0</v>
      </c>
      <c r="R121" s="3">
        <f t="shared" si="40"/>
        <v>0</v>
      </c>
      <c r="S121" s="3">
        <f t="shared" si="41"/>
        <v>6463507.4784922199</v>
      </c>
      <c r="T121" s="3">
        <f t="shared" si="42"/>
        <v>25469342.489254653</v>
      </c>
      <c r="U121" s="47">
        <f t="shared" si="43"/>
        <v>34654610.463764548</v>
      </c>
      <c r="V121" s="47">
        <f ca="1">'Monthly Data'!BF121+'Monthly Data'!BG121</f>
        <v>1522234.9114328683</v>
      </c>
      <c r="W121" s="47">
        <f t="shared" ca="1" si="45"/>
        <v>36176845.375197418</v>
      </c>
      <c r="X121" s="47">
        <f t="shared" ca="1" si="46"/>
        <v>-1025074.2608920038</v>
      </c>
      <c r="Y121" s="18">
        <f t="shared" ca="1" si="44"/>
        <v>2.7554337811578511E-2</v>
      </c>
    </row>
    <row r="122" spans="1:25">
      <c r="Y122" s="17">
        <f ca="1">AVERAGE(Y2:Y121)</f>
        <v>2.3415058000702801E-2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A2AC-DDEA-463A-B14C-1DBB6BFB4CAC}">
  <sheetPr codeName="Sheet16">
    <tabColor theme="9" tint="0.79998168889431442"/>
  </sheetPr>
  <dimension ref="A1:AD122"/>
  <sheetViews>
    <sheetView workbookViewId="0"/>
  </sheetViews>
  <sheetFormatPr defaultRowHeight="15"/>
  <cols>
    <col min="4" max="4" width="24.85546875" customWidth="1"/>
    <col min="8" max="8" width="9.42578125" bestFit="1" customWidth="1"/>
    <col min="12" max="12" width="13.5703125" bestFit="1" customWidth="1"/>
    <col min="13" max="14" width="11.42578125" bestFit="1" customWidth="1"/>
    <col min="15" max="15" width="10.42578125" bestFit="1" customWidth="1"/>
    <col min="16" max="17" width="11.42578125" bestFit="1" customWidth="1"/>
    <col min="18" max="18" width="11.42578125" customWidth="1"/>
    <col min="19" max="21" width="12.5703125" customWidth="1"/>
    <col min="22" max="22" width="10.42578125" bestFit="1" customWidth="1"/>
    <col min="26" max="26" width="11.85546875" customWidth="1"/>
    <col min="27" max="27" width="13.5703125" bestFit="1" customWidth="1"/>
    <col min="28" max="28" width="12.5703125" bestFit="1" customWidth="1"/>
    <col min="29" max="29" width="13.5703125" bestFit="1" customWidth="1"/>
    <col min="30" max="30" width="8.5703125" bestFit="1" customWidth="1"/>
  </cols>
  <sheetData>
    <row r="1" spans="1:30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Data'!BK1</f>
        <v>WRZ_GSlt50kWh_No_CDM</v>
      </c>
      <c r="E1" s="760" t="str">
        <f>'Monthly Data'!CN1</f>
        <v>HDD20</v>
      </c>
      <c r="F1" s="760" t="str">
        <f>'Monthly Data'!CW1</f>
        <v>CDD12</v>
      </c>
      <c r="G1" s="760" t="str">
        <f>'Monthly Data'!DQ1</f>
        <v>Month Days</v>
      </c>
      <c r="H1" s="760" t="str">
        <f>'Monthly Data'!DD1</f>
        <v>Osh_FTEAdj</v>
      </c>
      <c r="I1" s="760" t="str">
        <f>'Monthly Data'!EJ1</f>
        <v>COVID_AM</v>
      </c>
      <c r="J1" s="760" t="str">
        <f>'Monthly Data'!EF1</f>
        <v>Fall</v>
      </c>
      <c r="K1" s="760"/>
      <c r="L1" s="760" t="str">
        <f>Z8</f>
        <v>const</v>
      </c>
      <c r="M1" s="760" t="str">
        <f>E1</f>
        <v>HDD20</v>
      </c>
      <c r="N1" s="760" t="str">
        <f>F1</f>
        <v>CDD12</v>
      </c>
      <c r="O1" s="760" t="str">
        <f t="shared" ref="O1:R1" si="0">G1</f>
        <v>Month Days</v>
      </c>
      <c r="P1" s="760" t="str">
        <f t="shared" si="0"/>
        <v>Osh_FTEAdj</v>
      </c>
      <c r="Q1" s="760" t="str">
        <f t="shared" si="0"/>
        <v>COVID_AM</v>
      </c>
      <c r="R1" s="760" t="str">
        <f t="shared" si="0"/>
        <v>Fall</v>
      </c>
      <c r="S1" s="760" t="s">
        <v>424</v>
      </c>
      <c r="T1" s="760" t="s">
        <v>630</v>
      </c>
      <c r="U1" s="760" t="s">
        <v>631</v>
      </c>
      <c r="V1" s="760" t="s">
        <v>425</v>
      </c>
      <c r="W1" s="760"/>
    </row>
    <row r="2" spans="1:30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Data'!BK2</f>
        <v>7756393.0871983338</v>
      </c>
      <c r="E2" s="3">
        <f>'Monthly Data'!CN2</f>
        <v>859.89184782608675</v>
      </c>
      <c r="F2" s="3">
        <f>'Monthly Data'!CW2</f>
        <v>0</v>
      </c>
      <c r="G2" s="3">
        <f>'Monthly Data'!DQ2</f>
        <v>31</v>
      </c>
      <c r="H2" s="3">
        <f>'Monthly Data'!DD2</f>
        <v>201</v>
      </c>
      <c r="I2">
        <f>'Monthly Data'!EJ2</f>
        <v>0</v>
      </c>
      <c r="J2">
        <f>'Monthly Data'!EF2</f>
        <v>0</v>
      </c>
      <c r="L2" s="3">
        <f t="shared" ref="L2:L33" si="1">$AA$8</f>
        <v>-2747299.8857901301</v>
      </c>
      <c r="M2" s="3">
        <f t="shared" ref="M2:M33" si="2">E2*$AA$9</f>
        <v>3375593.1562687033</v>
      </c>
      <c r="N2" s="3">
        <f t="shared" ref="N2:N33" si="3">F2*$AA$10</f>
        <v>0</v>
      </c>
      <c r="O2" s="3">
        <f t="shared" ref="O2:O33" si="4">G2*$AA$11</f>
        <v>4932223.9937065355</v>
      </c>
      <c r="P2" s="3">
        <f t="shared" ref="P2:P33" si="5">H2*$AA$12</f>
        <v>2804495.5521816988</v>
      </c>
      <c r="Q2" s="3">
        <f t="shared" ref="Q2:Q33" si="6">I2*$AA$13</f>
        <v>0</v>
      </c>
      <c r="R2" s="3">
        <f t="shared" ref="R2:R33" si="7">J2*$AA$14</f>
        <v>0</v>
      </c>
      <c r="S2" s="47">
        <f t="shared" ref="S2:S54" si="8">SUM(L2:R2)</f>
        <v>8365012.8163668066</v>
      </c>
      <c r="T2" s="47">
        <f>'Monthly Data'!BL2+'Monthly Data'!BM2</f>
        <v>0</v>
      </c>
      <c r="U2" s="47">
        <f t="shared" ref="U2:U54" si="9">S2+T2</f>
        <v>8365012.8163668066</v>
      </c>
      <c r="V2" s="47">
        <f t="shared" ref="V2:V54" si="10">U2-D2</f>
        <v>608619.72916847281</v>
      </c>
      <c r="W2" s="18">
        <f t="shared" ref="W2:W21" si="11">ABS(V2/D2)</f>
        <v>7.8466849517075041E-2</v>
      </c>
    </row>
    <row r="3" spans="1:30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Data'!BK3</f>
        <v>7421843.3659423329</v>
      </c>
      <c r="E3" s="3">
        <f>'Monthly Data'!CN3</f>
        <v>921.85434782608706</v>
      </c>
      <c r="F3" s="3">
        <f>'Monthly Data'!CW3</f>
        <v>0</v>
      </c>
      <c r="G3" s="3">
        <f>'Monthly Data'!DQ3</f>
        <v>28</v>
      </c>
      <c r="H3" s="3">
        <f>'Monthly Data'!DD3</f>
        <v>199.5</v>
      </c>
      <c r="I3">
        <f>'Monthly Data'!EJ3</f>
        <v>0</v>
      </c>
      <c r="J3">
        <f>'Monthly Data'!EF3</f>
        <v>0</v>
      </c>
      <c r="L3" s="3">
        <f t="shared" si="1"/>
        <v>-2747299.8857901301</v>
      </c>
      <c r="M3" s="3">
        <f t="shared" si="2"/>
        <v>3618833.2700970685</v>
      </c>
      <c r="N3" s="3">
        <f t="shared" si="3"/>
        <v>0</v>
      </c>
      <c r="O3" s="3">
        <f t="shared" si="4"/>
        <v>4454911.9943155805</v>
      </c>
      <c r="P3" s="3">
        <f t="shared" si="5"/>
        <v>2783566.4808967607</v>
      </c>
      <c r="Q3" s="3">
        <f t="shared" si="6"/>
        <v>0</v>
      </c>
      <c r="R3" s="3">
        <f t="shared" si="7"/>
        <v>0</v>
      </c>
      <c r="S3" s="47">
        <f t="shared" si="8"/>
        <v>8110011.8595192796</v>
      </c>
      <c r="T3" s="47">
        <f>'Monthly Data'!BL3+'Monthly Data'!BM3</f>
        <v>0</v>
      </c>
      <c r="U3" s="47">
        <f t="shared" si="9"/>
        <v>8110011.8595192796</v>
      </c>
      <c r="V3" s="47">
        <f t="shared" si="10"/>
        <v>688168.49357694667</v>
      </c>
      <c r="W3" s="18">
        <f t="shared" si="11"/>
        <v>9.2722044867565273E-2</v>
      </c>
      <c r="Z3" s="684" t="s">
        <v>716</v>
      </c>
      <c r="AA3" s="684"/>
      <c r="AB3" s="684"/>
      <c r="AC3" s="684"/>
      <c r="AD3" s="684"/>
    </row>
    <row r="4" spans="1:30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Data'!BK4</f>
        <v>7192631.535226333</v>
      </c>
      <c r="E4" s="3">
        <f>'Monthly Data'!CN4</f>
        <v>699.80000000000007</v>
      </c>
      <c r="F4" s="3">
        <f>'Monthly Data'!CW4</f>
        <v>0</v>
      </c>
      <c r="G4" s="3">
        <f>'Monthly Data'!DQ4</f>
        <v>31</v>
      </c>
      <c r="H4" s="3">
        <f>'Monthly Data'!DD4</f>
        <v>197.7</v>
      </c>
      <c r="I4">
        <f>'Monthly Data'!EJ4</f>
        <v>0</v>
      </c>
      <c r="J4">
        <f>'Monthly Data'!EF4</f>
        <v>0</v>
      </c>
      <c r="L4" s="3">
        <f t="shared" si="1"/>
        <v>-2747299.8857901301</v>
      </c>
      <c r="M4" s="3">
        <f t="shared" si="2"/>
        <v>2747136.2785085994</v>
      </c>
      <c r="N4" s="3">
        <f t="shared" si="3"/>
        <v>0</v>
      </c>
      <c r="O4" s="3">
        <f t="shared" si="4"/>
        <v>4932223.9937065355</v>
      </c>
      <c r="P4" s="3">
        <f t="shared" si="5"/>
        <v>2758451.595354835</v>
      </c>
      <c r="Q4" s="3">
        <f t="shared" si="6"/>
        <v>0</v>
      </c>
      <c r="R4" s="3">
        <f t="shared" si="7"/>
        <v>0</v>
      </c>
      <c r="S4" s="47">
        <f t="shared" si="8"/>
        <v>7690511.9817798398</v>
      </c>
      <c r="T4" s="47">
        <f>'Monthly Data'!BL4+'Monthly Data'!BM4</f>
        <v>0</v>
      </c>
      <c r="U4" s="47">
        <f t="shared" si="9"/>
        <v>7690511.9817798398</v>
      </c>
      <c r="V4" s="47">
        <f t="shared" si="10"/>
        <v>497880.44655350689</v>
      </c>
      <c r="W4" s="18">
        <f t="shared" si="11"/>
        <v>6.9220902546600405E-2</v>
      </c>
      <c r="Z4" s="684" t="s">
        <v>701</v>
      </c>
      <c r="AA4" s="684"/>
      <c r="AB4" s="684"/>
      <c r="AC4" s="684"/>
      <c r="AD4" s="684"/>
    </row>
    <row r="5" spans="1:30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Data'!BK5</f>
        <v>6120878.8653703434</v>
      </c>
      <c r="E5" s="3">
        <f>'Monthly Data'!CN5</f>
        <v>406.75037878787873</v>
      </c>
      <c r="F5" s="3">
        <f>'Monthly Data'!CW5</f>
        <v>1.5333333333333332</v>
      </c>
      <c r="G5" s="3">
        <f>'Monthly Data'!DQ5</f>
        <v>30</v>
      </c>
      <c r="H5" s="3">
        <f>'Monthly Data'!DD5</f>
        <v>194.9</v>
      </c>
      <c r="I5">
        <f>'Monthly Data'!EJ5</f>
        <v>0</v>
      </c>
      <c r="J5">
        <f>'Monthly Data'!EF5</f>
        <v>0</v>
      </c>
      <c r="L5" s="3">
        <f t="shared" si="1"/>
        <v>-2747299.8857901301</v>
      </c>
      <c r="M5" s="3">
        <f t="shared" si="2"/>
        <v>1596740.0998360906</v>
      </c>
      <c r="N5" s="3">
        <f t="shared" si="3"/>
        <v>15603.492908328559</v>
      </c>
      <c r="O5" s="3">
        <f t="shared" si="4"/>
        <v>4773119.9939095499</v>
      </c>
      <c r="P5" s="3">
        <f t="shared" si="5"/>
        <v>2719383.9956229506</v>
      </c>
      <c r="Q5" s="3">
        <f t="shared" si="6"/>
        <v>0</v>
      </c>
      <c r="R5" s="3">
        <f t="shared" si="7"/>
        <v>0</v>
      </c>
      <c r="S5" s="47">
        <f t="shared" si="8"/>
        <v>6357547.6964867897</v>
      </c>
      <c r="T5" s="47">
        <f>'Monthly Data'!BL5+'Monthly Data'!BM5</f>
        <v>0</v>
      </c>
      <c r="U5" s="47">
        <f t="shared" si="9"/>
        <v>6357547.6964867897</v>
      </c>
      <c r="V5" s="47">
        <f t="shared" si="10"/>
        <v>236668.83111644629</v>
      </c>
      <c r="W5" s="18">
        <f t="shared" si="11"/>
        <v>3.8665825010102801E-2</v>
      </c>
      <c r="Z5" s="684" t="s">
        <v>711</v>
      </c>
      <c r="AA5" s="684"/>
      <c r="AB5" s="684"/>
      <c r="AC5" s="684"/>
      <c r="AD5" s="684"/>
    </row>
    <row r="6" spans="1:30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Data'!BK6</f>
        <v>6112862.2812043428</v>
      </c>
      <c r="E6" s="3">
        <f>'Monthly Data'!CN6</f>
        <v>159.09689440993785</v>
      </c>
      <c r="F6" s="3">
        <f>'Monthly Data'!CW6</f>
        <v>105.49404761904762</v>
      </c>
      <c r="G6" s="3">
        <f>'Monthly Data'!DQ6</f>
        <v>31</v>
      </c>
      <c r="H6" s="3">
        <f>'Monthly Data'!DD6</f>
        <v>192.7</v>
      </c>
      <c r="I6">
        <f>'Monthly Data'!EJ6</f>
        <v>0</v>
      </c>
      <c r="J6">
        <f>'Monthly Data'!EF6</f>
        <v>0</v>
      </c>
      <c r="L6" s="3">
        <f t="shared" si="1"/>
        <v>-2747299.8857901301</v>
      </c>
      <c r="M6" s="3">
        <f t="shared" si="2"/>
        <v>624551.08664131491</v>
      </c>
      <c r="N6" s="3">
        <f t="shared" si="3"/>
        <v>1073527.5808008816</v>
      </c>
      <c r="O6" s="3">
        <f t="shared" si="4"/>
        <v>4932223.9937065355</v>
      </c>
      <c r="P6" s="3">
        <f t="shared" si="5"/>
        <v>2688688.0244050412</v>
      </c>
      <c r="Q6" s="3">
        <f t="shared" si="6"/>
        <v>0</v>
      </c>
      <c r="R6" s="3">
        <f t="shared" si="7"/>
        <v>0</v>
      </c>
      <c r="S6" s="47">
        <f t="shared" si="8"/>
        <v>6571690.7997636432</v>
      </c>
      <c r="T6" s="47">
        <f>'Monthly Data'!BL6+'Monthly Data'!BM6</f>
        <v>0</v>
      </c>
      <c r="U6" s="47">
        <f t="shared" si="9"/>
        <v>6571690.7997636432</v>
      </c>
      <c r="V6" s="47">
        <f t="shared" si="10"/>
        <v>458828.51855930034</v>
      </c>
      <c r="W6" s="18">
        <f t="shared" si="11"/>
        <v>7.5059521620517017E-2</v>
      </c>
      <c r="Z6" s="685"/>
      <c r="AA6" s="685"/>
      <c r="AB6" s="685"/>
      <c r="AC6" s="685"/>
      <c r="AD6" s="685"/>
    </row>
    <row r="7" spans="1:30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Data'!BK7</f>
        <v>6287169.0056383237</v>
      </c>
      <c r="E7" s="3">
        <f>'Monthly Data'!CN7</f>
        <v>93.137500000000045</v>
      </c>
      <c r="F7" s="3">
        <f>'Monthly Data'!CW7</f>
        <v>150.2583333333333</v>
      </c>
      <c r="G7" s="3">
        <f>'Monthly Data'!DQ7</f>
        <v>30</v>
      </c>
      <c r="H7" s="3">
        <f>'Monthly Data'!DD7</f>
        <v>190.5</v>
      </c>
      <c r="I7">
        <f>'Monthly Data'!EJ7</f>
        <v>0</v>
      </c>
      <c r="J7">
        <f>'Monthly Data'!EF7</f>
        <v>0</v>
      </c>
      <c r="L7" s="3">
        <f t="shared" si="1"/>
        <v>-2747299.8857901301</v>
      </c>
      <c r="M7" s="3">
        <f t="shared" si="2"/>
        <v>365620.75612974388</v>
      </c>
      <c r="N7" s="3">
        <f t="shared" si="3"/>
        <v>1529057.5034243055</v>
      </c>
      <c r="O7" s="3">
        <f t="shared" si="4"/>
        <v>4773119.9939095499</v>
      </c>
      <c r="P7" s="3">
        <f t="shared" si="5"/>
        <v>2657992.0531871323</v>
      </c>
      <c r="Q7" s="3">
        <f t="shared" si="6"/>
        <v>0</v>
      </c>
      <c r="R7" s="3">
        <f t="shared" si="7"/>
        <v>0</v>
      </c>
      <c r="S7" s="47">
        <f t="shared" si="8"/>
        <v>6578490.4208606016</v>
      </c>
      <c r="T7" s="47">
        <f>'Monthly Data'!BL7+'Monthly Data'!BM7</f>
        <v>0</v>
      </c>
      <c r="U7" s="47">
        <f t="shared" si="9"/>
        <v>6578490.4208606016</v>
      </c>
      <c r="V7" s="47">
        <f t="shared" si="10"/>
        <v>291321.41522227786</v>
      </c>
      <c r="W7" s="18">
        <f t="shared" si="11"/>
        <v>4.6335865150280077E-2</v>
      </c>
      <c r="Z7" s="685"/>
      <c r="AA7" s="685" t="s">
        <v>409</v>
      </c>
      <c r="AB7" s="685" t="s">
        <v>410</v>
      </c>
      <c r="AC7" s="685" t="s">
        <v>411</v>
      </c>
      <c r="AD7" s="685" t="s">
        <v>412</v>
      </c>
    </row>
    <row r="8" spans="1:30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Data'!BK8</f>
        <v>7187453.4863023227</v>
      </c>
      <c r="E8" s="3">
        <f>'Monthly Data'!CN8</f>
        <v>25.987500000000004</v>
      </c>
      <c r="F8" s="3">
        <f>'Monthly Data'!CW8</f>
        <v>267.53749999999997</v>
      </c>
      <c r="G8" s="3">
        <f>'Monthly Data'!DQ8</f>
        <v>31</v>
      </c>
      <c r="H8" s="3">
        <f>'Monthly Data'!DD8</f>
        <v>185.8</v>
      </c>
      <c r="I8">
        <f>'Monthly Data'!EJ8</f>
        <v>0</v>
      </c>
      <c r="J8">
        <f>'Monthly Data'!EF8</f>
        <v>0</v>
      </c>
      <c r="L8" s="3">
        <f t="shared" si="1"/>
        <v>-2747299.8857901301</v>
      </c>
      <c r="M8" s="3">
        <f t="shared" si="2"/>
        <v>102016.58193447017</v>
      </c>
      <c r="N8" s="3">
        <f t="shared" si="3"/>
        <v>2722512.7069317074</v>
      </c>
      <c r="O8" s="3">
        <f t="shared" si="4"/>
        <v>4932223.9937065355</v>
      </c>
      <c r="P8" s="3">
        <f t="shared" si="5"/>
        <v>2592414.2964943266</v>
      </c>
      <c r="Q8" s="3">
        <f t="shared" si="6"/>
        <v>0</v>
      </c>
      <c r="R8" s="3">
        <f t="shared" si="7"/>
        <v>0</v>
      </c>
      <c r="S8" s="47">
        <f t="shared" si="8"/>
        <v>7601867.6932769092</v>
      </c>
      <c r="T8" s="47">
        <f>'Monthly Data'!BL8+'Monthly Data'!BM8</f>
        <v>0</v>
      </c>
      <c r="U8" s="47">
        <f t="shared" si="9"/>
        <v>7601867.6932769092</v>
      </c>
      <c r="V8" s="47">
        <f t="shared" si="10"/>
        <v>414414.20697458647</v>
      </c>
      <c r="W8" s="18">
        <f t="shared" si="11"/>
        <v>5.7658001928550522E-2</v>
      </c>
      <c r="Z8" s="685" t="s">
        <v>413</v>
      </c>
      <c r="AA8" s="686">
        <v>-2747299.8857901301</v>
      </c>
      <c r="AB8" s="686">
        <v>1044719.33023552</v>
      </c>
      <c r="AC8" s="687">
        <v>-2.6297014004429098</v>
      </c>
      <c r="AD8" s="694">
        <v>9.7364096267709005E-3</v>
      </c>
    </row>
    <row r="9" spans="1:30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Data'!BK9</f>
        <v>6942364.3965363335</v>
      </c>
      <c r="E9" s="3">
        <f>'Monthly Data'!CN9</f>
        <v>40.1875</v>
      </c>
      <c r="F9" s="3">
        <f>'Monthly Data'!CW9</f>
        <v>229.94166666666666</v>
      </c>
      <c r="G9" s="3">
        <f>'Monthly Data'!DQ9</f>
        <v>31</v>
      </c>
      <c r="H9" s="3">
        <f>'Monthly Data'!DD9</f>
        <v>183.2</v>
      </c>
      <c r="I9">
        <f>'Monthly Data'!EJ9</f>
        <v>0</v>
      </c>
      <c r="J9">
        <f>'Monthly Data'!EF9</f>
        <v>0</v>
      </c>
      <c r="L9" s="3">
        <f t="shared" si="1"/>
        <v>-2747299.8857901301</v>
      </c>
      <c r="M9" s="3">
        <f t="shared" si="2"/>
        <v>157760.13031232398</v>
      </c>
      <c r="N9" s="3">
        <f t="shared" si="3"/>
        <v>2339930.3251060322</v>
      </c>
      <c r="O9" s="3">
        <f t="shared" si="4"/>
        <v>4932223.9937065355</v>
      </c>
      <c r="P9" s="3">
        <f t="shared" si="5"/>
        <v>2556137.239600434</v>
      </c>
      <c r="Q9" s="3">
        <f t="shared" si="6"/>
        <v>0</v>
      </c>
      <c r="R9" s="3">
        <f t="shared" si="7"/>
        <v>0</v>
      </c>
      <c r="S9" s="47">
        <f t="shared" si="8"/>
        <v>7238751.8029351952</v>
      </c>
      <c r="T9" s="47">
        <f>'Monthly Data'!BL9+'Monthly Data'!BM9</f>
        <v>0</v>
      </c>
      <c r="U9" s="47">
        <f t="shared" si="9"/>
        <v>7238751.8029351952</v>
      </c>
      <c r="V9" s="47">
        <f t="shared" si="10"/>
        <v>296387.40639886167</v>
      </c>
      <c r="W9" s="18">
        <f t="shared" si="11"/>
        <v>4.2692574095755401E-2</v>
      </c>
      <c r="Z9" s="685" t="s">
        <v>40</v>
      </c>
      <c r="AA9" s="686">
        <v>3925.6019984404102</v>
      </c>
      <c r="AB9" s="686">
        <v>258.02696789898101</v>
      </c>
      <c r="AC9" s="687">
        <v>15.213921360256</v>
      </c>
      <c r="AD9" s="694">
        <v>4.0671773672205398E-29</v>
      </c>
    </row>
    <row r="10" spans="1:30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Data'!BK10</f>
        <v>6716609.2947003441</v>
      </c>
      <c r="E10" s="3">
        <f>'Monthly Data'!CN10</f>
        <v>78.99404761904762</v>
      </c>
      <c r="F10" s="3">
        <f>'Monthly Data'!CW10</f>
        <v>188.96011904761906</v>
      </c>
      <c r="G10" s="3">
        <f>'Monthly Data'!DQ10</f>
        <v>30</v>
      </c>
      <c r="H10" s="3">
        <f>'Monthly Data'!DD10</f>
        <v>181.9</v>
      </c>
      <c r="I10">
        <f>'Monthly Data'!EJ10</f>
        <v>0</v>
      </c>
      <c r="J10">
        <f>'Monthly Data'!EF10</f>
        <v>1</v>
      </c>
      <c r="L10" s="3">
        <f t="shared" si="1"/>
        <v>-2747299.8857901301</v>
      </c>
      <c r="M10" s="3">
        <f t="shared" si="2"/>
        <v>310099.19119823026</v>
      </c>
      <c r="N10" s="3">
        <f t="shared" si="3"/>
        <v>1922894.2679455073</v>
      </c>
      <c r="O10" s="3">
        <f t="shared" si="4"/>
        <v>4773119.9939095499</v>
      </c>
      <c r="P10" s="3">
        <f t="shared" si="5"/>
        <v>2537998.7111534877</v>
      </c>
      <c r="Q10" s="3">
        <f t="shared" si="6"/>
        <v>0</v>
      </c>
      <c r="R10" s="3">
        <f t="shared" si="7"/>
        <v>193845.03320349701</v>
      </c>
      <c r="S10" s="47">
        <f t="shared" si="8"/>
        <v>6990657.3116201414</v>
      </c>
      <c r="T10" s="47">
        <f>'Monthly Data'!BL10+'Monthly Data'!BM10</f>
        <v>0</v>
      </c>
      <c r="U10" s="47">
        <f t="shared" si="9"/>
        <v>6990657.3116201414</v>
      </c>
      <c r="V10" s="47">
        <f t="shared" si="10"/>
        <v>274048.01691979729</v>
      </c>
      <c r="W10" s="18">
        <f t="shared" si="11"/>
        <v>4.0801542101910171E-2</v>
      </c>
      <c r="Z10" s="685" t="s">
        <v>49</v>
      </c>
      <c r="AA10" s="686">
        <v>10176.1910271708</v>
      </c>
      <c r="AB10" s="686">
        <v>600.00619873687504</v>
      </c>
      <c r="AC10" s="687">
        <v>16.960143159509901</v>
      </c>
      <c r="AD10" s="694">
        <v>7.7239261420468599E-33</v>
      </c>
    </row>
    <row r="11" spans="1:30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Data'!BK11</f>
        <v>6094940.132594333</v>
      </c>
      <c r="E11" s="3">
        <f>'Monthly Data'!CN11</f>
        <v>338.98750000000007</v>
      </c>
      <c r="F11" s="3">
        <f>'Monthly Data'!CW11</f>
        <v>13.895833333333337</v>
      </c>
      <c r="G11" s="3">
        <f>'Monthly Data'!DQ11</f>
        <v>31</v>
      </c>
      <c r="H11" s="3">
        <f>'Monthly Data'!DD11</f>
        <v>187.1</v>
      </c>
      <c r="I11">
        <f>'Monthly Data'!EJ11</f>
        <v>0</v>
      </c>
      <c r="J11">
        <f>'Monthly Data'!EF11</f>
        <v>1</v>
      </c>
      <c r="L11" s="3">
        <f t="shared" si="1"/>
        <v>-2747299.8857901301</v>
      </c>
      <c r="M11" s="3">
        <f t="shared" si="2"/>
        <v>1330730.0074463189</v>
      </c>
      <c r="N11" s="3">
        <f t="shared" si="3"/>
        <v>141406.65448172763</v>
      </c>
      <c r="O11" s="3">
        <f t="shared" si="4"/>
        <v>4932223.9937065355</v>
      </c>
      <c r="P11" s="3">
        <f t="shared" si="5"/>
        <v>2610552.8249412728</v>
      </c>
      <c r="Q11" s="3">
        <f t="shared" si="6"/>
        <v>0</v>
      </c>
      <c r="R11" s="3">
        <f t="shared" si="7"/>
        <v>193845.03320349701</v>
      </c>
      <c r="S11" s="47">
        <f t="shared" si="8"/>
        <v>6461458.6279892214</v>
      </c>
      <c r="T11" s="47">
        <f>'Monthly Data'!BL11+'Monthly Data'!BM11</f>
        <v>0</v>
      </c>
      <c r="U11" s="47">
        <f t="shared" si="9"/>
        <v>6461458.6279892214</v>
      </c>
      <c r="V11" s="47">
        <f t="shared" si="10"/>
        <v>366518.49539488833</v>
      </c>
      <c r="W11" s="18">
        <f t="shared" si="11"/>
        <v>6.013488031405461E-2</v>
      </c>
      <c r="Z11" s="685" t="s">
        <v>414</v>
      </c>
      <c r="AA11" s="686">
        <v>159103.99979698501</v>
      </c>
      <c r="AB11" s="686">
        <v>26062.778888629</v>
      </c>
      <c r="AC11" s="687">
        <v>6.1046444999923102</v>
      </c>
      <c r="AD11" s="694">
        <v>1.4880227208315501E-8</v>
      </c>
    </row>
    <row r="12" spans="1:30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Data'!BK12</f>
        <v>6289446.804618354</v>
      </c>
      <c r="E12" s="3">
        <f>'Monthly Data'!CN12</f>
        <v>431.77083333333331</v>
      </c>
      <c r="F12" s="3">
        <f>'Monthly Data'!CW12</f>
        <v>3.5374999999999979</v>
      </c>
      <c r="G12" s="3">
        <f>'Monthly Data'!DQ12</f>
        <v>30</v>
      </c>
      <c r="H12" s="3">
        <f>'Monthly Data'!DD12</f>
        <v>192</v>
      </c>
      <c r="I12">
        <f>'Monthly Data'!EJ12</f>
        <v>0</v>
      </c>
      <c r="J12">
        <f>'Monthly Data'!EF12</f>
        <v>1</v>
      </c>
      <c r="L12" s="3">
        <f t="shared" si="1"/>
        <v>-2747299.8857901301</v>
      </c>
      <c r="M12" s="3">
        <f t="shared" si="2"/>
        <v>1694960.4462016146</v>
      </c>
      <c r="N12" s="3">
        <f t="shared" si="3"/>
        <v>35998.275758616684</v>
      </c>
      <c r="O12" s="3">
        <f t="shared" si="4"/>
        <v>4773119.9939095499</v>
      </c>
      <c r="P12" s="3">
        <f t="shared" si="5"/>
        <v>2678921.1244720705</v>
      </c>
      <c r="Q12" s="3">
        <f t="shared" si="6"/>
        <v>0</v>
      </c>
      <c r="R12" s="3">
        <f t="shared" si="7"/>
        <v>193845.03320349701</v>
      </c>
      <c r="S12" s="47">
        <f t="shared" si="8"/>
        <v>6629544.9877552176</v>
      </c>
      <c r="T12" s="47">
        <f>'Monthly Data'!BL12+'Monthly Data'!BM12</f>
        <v>0</v>
      </c>
      <c r="U12" s="47">
        <f t="shared" si="9"/>
        <v>6629544.9877552176</v>
      </c>
      <c r="V12" s="47">
        <f t="shared" si="10"/>
        <v>340098.18313686363</v>
      </c>
      <c r="W12" s="18">
        <f t="shared" si="11"/>
        <v>5.4074419213964706E-2</v>
      </c>
      <c r="Z12" s="685" t="s">
        <v>122</v>
      </c>
      <c r="AA12" s="686">
        <v>13952.7141899587</v>
      </c>
      <c r="AB12" s="686">
        <v>3055.4981122497802</v>
      </c>
      <c r="AC12" s="687">
        <v>4.5664286729620001</v>
      </c>
      <c r="AD12" s="694">
        <v>1.2712870080171E-5</v>
      </c>
    </row>
    <row r="13" spans="1:30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Data'!BK13</f>
        <v>6693665.7901123427</v>
      </c>
      <c r="E13" s="3">
        <f>'Monthly Data'!CN13</f>
        <v>499.62590579710155</v>
      </c>
      <c r="F13" s="3">
        <f>'Monthly Data'!CW13</f>
        <v>0</v>
      </c>
      <c r="G13" s="3">
        <f>'Monthly Data'!DQ13</f>
        <v>31</v>
      </c>
      <c r="H13" s="3">
        <f>'Monthly Data'!DD13</f>
        <v>198.5</v>
      </c>
      <c r="I13">
        <f>'Monthly Data'!EJ13</f>
        <v>0</v>
      </c>
      <c r="J13">
        <f>'Monthly Data'!EF13</f>
        <v>0</v>
      </c>
      <c r="L13" s="3">
        <f t="shared" si="1"/>
        <v>-2747299.8857901301</v>
      </c>
      <c r="M13" s="3">
        <f t="shared" si="2"/>
        <v>1961332.4542697021</v>
      </c>
      <c r="N13" s="3">
        <f t="shared" si="3"/>
        <v>0</v>
      </c>
      <c r="O13" s="3">
        <f t="shared" si="4"/>
        <v>4932223.9937065355</v>
      </c>
      <c r="P13" s="3">
        <f t="shared" si="5"/>
        <v>2769613.766706802</v>
      </c>
      <c r="Q13" s="3">
        <f t="shared" si="6"/>
        <v>0</v>
      </c>
      <c r="R13" s="3">
        <f t="shared" si="7"/>
        <v>0</v>
      </c>
      <c r="S13" s="47">
        <f t="shared" si="8"/>
        <v>6915870.328892909</v>
      </c>
      <c r="T13" s="47">
        <f>'Monthly Data'!BL13+'Monthly Data'!BM13</f>
        <v>0</v>
      </c>
      <c r="U13" s="47">
        <f t="shared" si="9"/>
        <v>6915870.328892909</v>
      </c>
      <c r="V13" s="47">
        <f t="shared" si="10"/>
        <v>222204.5387805663</v>
      </c>
      <c r="W13" s="18">
        <f t="shared" si="11"/>
        <v>3.3196240408178035E-2</v>
      </c>
      <c r="Z13" s="685" t="s">
        <v>213</v>
      </c>
      <c r="AA13" s="686">
        <v>-798081.32707569306</v>
      </c>
      <c r="AB13" s="686">
        <v>201782.41853899701</v>
      </c>
      <c r="AC13" s="687">
        <v>-3.9551579015366798</v>
      </c>
      <c r="AD13" s="694">
        <v>1.33828891067824E-4</v>
      </c>
    </row>
    <row r="14" spans="1:30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Data'!BK14</f>
        <v>8022437.8463796191</v>
      </c>
      <c r="E14" s="3">
        <f>'Monthly Data'!CN14</f>
        <v>737.87916666666683</v>
      </c>
      <c r="F14" s="3">
        <f>'Monthly Data'!CW14</f>
        <v>0</v>
      </c>
      <c r="G14" s="3">
        <f>'Monthly Data'!DQ14</f>
        <v>31</v>
      </c>
      <c r="H14" s="3">
        <f>'Monthly Data'!DD14</f>
        <v>203.1</v>
      </c>
      <c r="I14">
        <f>'Monthly Data'!EJ14</f>
        <v>0</v>
      </c>
      <c r="J14">
        <f>'Monthly Data'!EF14</f>
        <v>0</v>
      </c>
      <c r="L14" s="3">
        <f t="shared" si="1"/>
        <v>-2747299.8857901301</v>
      </c>
      <c r="M14" s="3">
        <f t="shared" si="2"/>
        <v>2896619.931274212</v>
      </c>
      <c r="N14" s="3">
        <f t="shared" si="3"/>
        <v>0</v>
      </c>
      <c r="O14" s="3">
        <f t="shared" si="4"/>
        <v>4932223.9937065355</v>
      </c>
      <c r="P14" s="3">
        <f t="shared" si="5"/>
        <v>2833796.2519806121</v>
      </c>
      <c r="Q14" s="3">
        <f t="shared" si="6"/>
        <v>0</v>
      </c>
      <c r="R14" s="3">
        <f t="shared" si="7"/>
        <v>0</v>
      </c>
      <c r="S14" s="47">
        <f t="shared" si="8"/>
        <v>7915340.2911712294</v>
      </c>
      <c r="T14" s="47">
        <f>'Monthly Data'!BL14+'Monthly Data'!BM14</f>
        <v>0</v>
      </c>
      <c r="U14" s="47">
        <f t="shared" si="9"/>
        <v>7915340.2911712294</v>
      </c>
      <c r="V14" s="47">
        <f t="shared" si="10"/>
        <v>-107097.55520838965</v>
      </c>
      <c r="W14" s="18">
        <f t="shared" si="11"/>
        <v>1.3349751940642435E-2</v>
      </c>
      <c r="Z14" s="685" t="s">
        <v>117</v>
      </c>
      <c r="AA14" s="686">
        <v>193845.03320349701</v>
      </c>
      <c r="AB14" s="686">
        <v>84554.875950108006</v>
      </c>
      <c r="AC14" s="687">
        <v>2.2925352444237102</v>
      </c>
      <c r="AD14" s="694">
        <v>2.37258509349343E-2</v>
      </c>
    </row>
    <row r="15" spans="1:30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Data'!BK15</f>
        <v>7521574.2530535134</v>
      </c>
      <c r="E15" s="3">
        <f>'Monthly Data'!CN15</f>
        <v>661.70833333333326</v>
      </c>
      <c r="F15" s="3">
        <f>'Monthly Data'!CW15</f>
        <v>0</v>
      </c>
      <c r="G15" s="3">
        <f>'Monthly Data'!DQ15</f>
        <v>29</v>
      </c>
      <c r="H15" s="3">
        <f>'Monthly Data'!DD15</f>
        <v>204.7</v>
      </c>
      <c r="I15">
        <f>'Monthly Data'!EJ15</f>
        <v>0</v>
      </c>
      <c r="J15">
        <f>'Monthly Data'!EF15</f>
        <v>0</v>
      </c>
      <c r="L15" s="3">
        <f t="shared" si="1"/>
        <v>-2747299.8857901301</v>
      </c>
      <c r="M15" s="3">
        <f t="shared" si="2"/>
        <v>2597603.5557180061</v>
      </c>
      <c r="N15" s="3">
        <f t="shared" si="3"/>
        <v>0</v>
      </c>
      <c r="O15" s="3">
        <f t="shared" si="4"/>
        <v>4614015.9941125652</v>
      </c>
      <c r="P15" s="3">
        <f t="shared" si="5"/>
        <v>2856120.5946845459</v>
      </c>
      <c r="Q15" s="3">
        <f t="shared" si="6"/>
        <v>0</v>
      </c>
      <c r="R15" s="3">
        <f t="shared" si="7"/>
        <v>0</v>
      </c>
      <c r="S15" s="47">
        <f t="shared" si="8"/>
        <v>7320440.2587249866</v>
      </c>
      <c r="T15" s="47">
        <f>'Monthly Data'!BL15+'Monthly Data'!BM15</f>
        <v>0</v>
      </c>
      <c r="U15" s="47">
        <f t="shared" si="9"/>
        <v>7320440.2587249866</v>
      </c>
      <c r="V15" s="47">
        <f t="shared" si="10"/>
        <v>-201133.99432852678</v>
      </c>
      <c r="W15" s="18">
        <f t="shared" si="11"/>
        <v>2.6740943792035683E-2</v>
      </c>
      <c r="AA15" s="3"/>
      <c r="AB15" s="3"/>
      <c r="AC15" s="360"/>
      <c r="AD15" s="108"/>
    </row>
    <row r="16" spans="1:30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Data'!BK16</f>
        <v>7432171.2870274168</v>
      </c>
      <c r="E16" s="3">
        <f>'Monthly Data'!CN16</f>
        <v>577.07934782608709</v>
      </c>
      <c r="F16" s="3">
        <f>'Monthly Data'!CW16</f>
        <v>0</v>
      </c>
      <c r="G16" s="3">
        <f>'Monthly Data'!DQ16</f>
        <v>31</v>
      </c>
      <c r="H16" s="3">
        <f>'Monthly Data'!DD16</f>
        <v>205.8</v>
      </c>
      <c r="I16">
        <f>'Monthly Data'!EJ16</f>
        <v>0</v>
      </c>
      <c r="J16">
        <f>'Monthly Data'!EF16</f>
        <v>0</v>
      </c>
      <c r="L16" s="3">
        <f t="shared" si="1"/>
        <v>-2747299.8857901301</v>
      </c>
      <c r="M16" s="3">
        <f t="shared" si="2"/>
        <v>2265383.841084776</v>
      </c>
      <c r="N16" s="3">
        <f t="shared" si="3"/>
        <v>0</v>
      </c>
      <c r="O16" s="3">
        <f t="shared" si="4"/>
        <v>4932223.9937065355</v>
      </c>
      <c r="P16" s="3">
        <f t="shared" si="5"/>
        <v>2871468.5802935008</v>
      </c>
      <c r="Q16" s="3">
        <f t="shared" si="6"/>
        <v>0</v>
      </c>
      <c r="R16" s="3">
        <f t="shared" si="7"/>
        <v>0</v>
      </c>
      <c r="S16" s="47">
        <f t="shared" si="8"/>
        <v>7321776.5292946827</v>
      </c>
      <c r="T16" s="47">
        <f>'Monthly Data'!BL16+'Monthly Data'!BM16</f>
        <v>0</v>
      </c>
      <c r="U16" s="47">
        <f t="shared" si="9"/>
        <v>7321776.5292946827</v>
      </c>
      <c r="V16" s="47">
        <f t="shared" si="10"/>
        <v>-110394.75773273408</v>
      </c>
      <c r="W16" s="18">
        <f t="shared" si="11"/>
        <v>1.4853634754815742E-2</v>
      </c>
      <c r="Z16" s="691" t="s">
        <v>407</v>
      </c>
      <c r="AA16" s="692"/>
      <c r="AB16" s="692"/>
      <c r="AC16" s="693"/>
    </row>
    <row r="17" spans="1:29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Data'!BK17</f>
        <v>6923042.0147713209</v>
      </c>
      <c r="E17" s="3">
        <f>'Monthly Data'!CN17</f>
        <v>465.98333333333341</v>
      </c>
      <c r="F17" s="3">
        <f>'Monthly Data'!CW17</f>
        <v>3.2208333333333368</v>
      </c>
      <c r="G17" s="3">
        <f>'Monthly Data'!DQ17</f>
        <v>30</v>
      </c>
      <c r="H17" s="3">
        <f>'Monthly Data'!DD17</f>
        <v>205.3</v>
      </c>
      <c r="I17">
        <f>'Monthly Data'!EJ17</f>
        <v>0</v>
      </c>
      <c r="J17">
        <f>'Monthly Data'!EF17</f>
        <v>0</v>
      </c>
      <c r="L17" s="3">
        <f t="shared" si="1"/>
        <v>-2747299.8857901301</v>
      </c>
      <c r="M17" s="3">
        <f t="shared" si="2"/>
        <v>1829265.1045732575</v>
      </c>
      <c r="N17" s="3">
        <f t="shared" si="3"/>
        <v>32775.815266679318</v>
      </c>
      <c r="O17" s="3">
        <f t="shared" si="4"/>
        <v>4773119.9939095499</v>
      </c>
      <c r="P17" s="3">
        <f t="shared" si="5"/>
        <v>2864492.2231985214</v>
      </c>
      <c r="Q17" s="3">
        <f t="shared" si="6"/>
        <v>0</v>
      </c>
      <c r="R17" s="3">
        <f t="shared" si="7"/>
        <v>0</v>
      </c>
      <c r="S17" s="47">
        <f t="shared" si="8"/>
        <v>6752353.251157878</v>
      </c>
      <c r="T17" s="47">
        <f>'Monthly Data'!BL17+'Monthly Data'!BM17</f>
        <v>0</v>
      </c>
      <c r="U17" s="47">
        <f t="shared" si="9"/>
        <v>6752353.251157878</v>
      </c>
      <c r="V17" s="47">
        <f t="shared" si="10"/>
        <v>-170688.76361344289</v>
      </c>
      <c r="W17" s="18">
        <f t="shared" si="11"/>
        <v>2.4655167952072728E-2</v>
      </c>
      <c r="Z17" s="685" t="s">
        <v>415</v>
      </c>
      <c r="AA17" s="689">
        <v>9373216603144.25</v>
      </c>
      <c r="AB17" s="685" t="s">
        <v>416</v>
      </c>
      <c r="AC17" s="686">
        <v>288008.36706049298</v>
      </c>
    </row>
    <row r="18" spans="1:29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Data'!BK18</f>
        <v>6940870.3279952137</v>
      </c>
      <c r="E18" s="3">
        <f>'Monthly Data'!CN18</f>
        <v>203.72361111111115</v>
      </c>
      <c r="F18" s="3">
        <f>'Monthly Data'!CW18</f>
        <v>98.295833333333348</v>
      </c>
      <c r="G18" s="3">
        <f>'Monthly Data'!DQ18</f>
        <v>31</v>
      </c>
      <c r="H18" s="3">
        <f>'Monthly Data'!DD18</f>
        <v>204.8</v>
      </c>
      <c r="I18">
        <f>'Monthly Data'!EJ18</f>
        <v>0</v>
      </c>
      <c r="J18">
        <f>'Monthly Data'!EF18</f>
        <v>0</v>
      </c>
      <c r="L18" s="3">
        <f t="shared" si="1"/>
        <v>-2747299.8857901301</v>
      </c>
      <c r="M18" s="3">
        <f t="shared" si="2"/>
        <v>799737.81490727491</v>
      </c>
      <c r="N18" s="3">
        <f t="shared" si="3"/>
        <v>1000277.1771749433</v>
      </c>
      <c r="O18" s="3">
        <f t="shared" si="4"/>
        <v>4932223.9937065355</v>
      </c>
      <c r="P18" s="3">
        <f t="shared" si="5"/>
        <v>2857515.866103542</v>
      </c>
      <c r="Q18" s="3">
        <f t="shared" si="6"/>
        <v>0</v>
      </c>
      <c r="R18" s="3">
        <f t="shared" si="7"/>
        <v>0</v>
      </c>
      <c r="S18" s="47">
        <f t="shared" si="8"/>
        <v>6842454.9661021661</v>
      </c>
      <c r="T18" s="47">
        <f>'Monthly Data'!BL18+'Monthly Data'!BM18</f>
        <v>0</v>
      </c>
      <c r="U18" s="47">
        <f t="shared" si="9"/>
        <v>6842454.9661021661</v>
      </c>
      <c r="V18" s="47">
        <f t="shared" si="10"/>
        <v>-98415.361893047579</v>
      </c>
      <c r="W18" s="18">
        <f t="shared" si="11"/>
        <v>1.4179109714253034E-2</v>
      </c>
      <c r="Z18" s="685" t="s">
        <v>417</v>
      </c>
      <c r="AA18" s="690">
        <v>0.84271174025455098</v>
      </c>
      <c r="AB18" s="685" t="s">
        <v>418</v>
      </c>
      <c r="AC18" s="690">
        <v>0.83436015124151797</v>
      </c>
    </row>
    <row r="19" spans="1:29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Data'!BK19</f>
        <v>7486676.1629891274</v>
      </c>
      <c r="E19" s="3">
        <f>'Monthly Data'!CN19</f>
        <v>56.883333333333326</v>
      </c>
      <c r="F19" s="3">
        <f>'Monthly Data'!CW19</f>
        <v>203.85416666666669</v>
      </c>
      <c r="G19" s="3">
        <f>'Monthly Data'!DQ19</f>
        <v>30</v>
      </c>
      <c r="H19" s="3">
        <f>'Monthly Data'!DD19</f>
        <v>203.4</v>
      </c>
      <c r="I19">
        <f>'Monthly Data'!EJ19</f>
        <v>0</v>
      </c>
      <c r="J19">
        <f>'Monthly Data'!EF19</f>
        <v>0</v>
      </c>
      <c r="L19" s="3">
        <f t="shared" si="1"/>
        <v>-2747299.8857901301</v>
      </c>
      <c r="M19" s="3">
        <f t="shared" si="2"/>
        <v>223301.32701128529</v>
      </c>
      <c r="N19" s="3">
        <f t="shared" si="3"/>
        <v>2074458.9416847143</v>
      </c>
      <c r="O19" s="3">
        <f t="shared" si="4"/>
        <v>4773119.9939095499</v>
      </c>
      <c r="P19" s="3">
        <f t="shared" si="5"/>
        <v>2837982.0662375996</v>
      </c>
      <c r="Q19" s="3">
        <f t="shared" si="6"/>
        <v>0</v>
      </c>
      <c r="R19" s="3">
        <f t="shared" si="7"/>
        <v>0</v>
      </c>
      <c r="S19" s="47">
        <f t="shared" si="8"/>
        <v>7161562.4430530192</v>
      </c>
      <c r="T19" s="47">
        <f>'Monthly Data'!BL19+'Monthly Data'!BM19</f>
        <v>0</v>
      </c>
      <c r="U19" s="47">
        <f t="shared" si="9"/>
        <v>7161562.4430530192</v>
      </c>
      <c r="V19" s="47">
        <f t="shared" si="10"/>
        <v>-325113.71993610822</v>
      </c>
      <c r="W19" s="18">
        <f t="shared" si="11"/>
        <v>4.3425642148558409E-2</v>
      </c>
      <c r="Z19" s="685" t="s">
        <v>552</v>
      </c>
      <c r="AA19" s="687">
        <v>92.2949867087261</v>
      </c>
      <c r="AB19" s="685" t="s">
        <v>419</v>
      </c>
      <c r="AC19" s="690">
        <v>3.2499057354794798E-41</v>
      </c>
    </row>
    <row r="20" spans="1:29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Data'!BK20</f>
        <v>8270105.5688030208</v>
      </c>
      <c r="E20" s="3">
        <f>'Monthly Data'!CN20</f>
        <v>8.75416666666667</v>
      </c>
      <c r="F20" s="3">
        <f>'Monthly Data'!CW20</f>
        <v>313.22916666666657</v>
      </c>
      <c r="G20" s="3">
        <f>'Monthly Data'!DQ20</f>
        <v>31</v>
      </c>
      <c r="H20" s="3">
        <f>'Monthly Data'!DD20</f>
        <v>205.8</v>
      </c>
      <c r="I20">
        <f>'Monthly Data'!EJ20</f>
        <v>0</v>
      </c>
      <c r="J20">
        <f>'Monthly Data'!EF20</f>
        <v>0</v>
      </c>
      <c r="L20" s="3">
        <f t="shared" si="1"/>
        <v>-2747299.8857901301</v>
      </c>
      <c r="M20" s="3">
        <f t="shared" si="2"/>
        <v>34365.374161347107</v>
      </c>
      <c r="N20" s="3">
        <f t="shared" si="3"/>
        <v>3187479.8352815197</v>
      </c>
      <c r="O20" s="3">
        <f t="shared" si="4"/>
        <v>4932223.9937065355</v>
      </c>
      <c r="P20" s="3">
        <f t="shared" si="5"/>
        <v>2871468.5802935008</v>
      </c>
      <c r="Q20" s="3">
        <f t="shared" si="6"/>
        <v>0</v>
      </c>
      <c r="R20" s="3">
        <f t="shared" si="7"/>
        <v>0</v>
      </c>
      <c r="S20" s="47">
        <f t="shared" si="8"/>
        <v>8278237.8976527732</v>
      </c>
      <c r="T20" s="47">
        <f>'Monthly Data'!BL20+'Monthly Data'!BM20</f>
        <v>0</v>
      </c>
      <c r="U20" s="47">
        <f t="shared" si="9"/>
        <v>8278237.8976527732</v>
      </c>
      <c r="V20" s="47">
        <f t="shared" si="10"/>
        <v>8132.3288497524336</v>
      </c>
      <c r="W20" s="18">
        <f t="shared" si="11"/>
        <v>9.833403917393368E-4</v>
      </c>
      <c r="Z20" s="685" t="s">
        <v>420</v>
      </c>
      <c r="AA20" s="690">
        <v>7.5425722504033593E-2</v>
      </c>
      <c r="AB20" s="685" t="s">
        <v>421</v>
      </c>
      <c r="AC20" s="690">
        <v>1.8174357141340201</v>
      </c>
    </row>
    <row r="21" spans="1:29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Data'!BK21</f>
        <v>8626396.6611069143</v>
      </c>
      <c r="E21" s="3">
        <f>'Monthly Data'!CN21</f>
        <v>4.029166666666665</v>
      </c>
      <c r="F21" s="3">
        <f>'Monthly Data'!CW21</f>
        <v>328.02499999999998</v>
      </c>
      <c r="G21" s="3">
        <f>'Monthly Data'!DQ21</f>
        <v>31</v>
      </c>
      <c r="H21" s="3">
        <f>'Monthly Data'!DD21</f>
        <v>208.7</v>
      </c>
      <c r="I21">
        <f>'Monthly Data'!EJ21</f>
        <v>0</v>
      </c>
      <c r="J21">
        <f>'Monthly Data'!EF21</f>
        <v>0</v>
      </c>
      <c r="L21" s="3">
        <f t="shared" si="1"/>
        <v>-2747299.8857901301</v>
      </c>
      <c r="M21" s="3">
        <f t="shared" si="2"/>
        <v>15816.904718716147</v>
      </c>
      <c r="N21" s="3">
        <f t="shared" si="3"/>
        <v>3338045.0616877014</v>
      </c>
      <c r="O21" s="3">
        <f t="shared" si="4"/>
        <v>4932223.9937065355</v>
      </c>
      <c r="P21" s="3">
        <f t="shared" si="5"/>
        <v>2911931.4514443805</v>
      </c>
      <c r="Q21" s="3">
        <f t="shared" si="6"/>
        <v>0</v>
      </c>
      <c r="R21" s="3">
        <f t="shared" si="7"/>
        <v>0</v>
      </c>
      <c r="S21" s="47">
        <f t="shared" si="8"/>
        <v>8450717.5257672034</v>
      </c>
      <c r="T21" s="47">
        <f>'Monthly Data'!BL21+'Monthly Data'!BM21</f>
        <v>0</v>
      </c>
      <c r="U21" s="47">
        <f t="shared" si="9"/>
        <v>8450717.5257672034</v>
      </c>
      <c r="V21" s="47">
        <f t="shared" si="10"/>
        <v>-175679.13533971086</v>
      </c>
      <c r="W21" s="18">
        <f t="shared" si="11"/>
        <v>2.0365297613982918E-2</v>
      </c>
    </row>
    <row r="22" spans="1:29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Data'!BK22</f>
        <v>7453679.6603208287</v>
      </c>
      <c r="E22" s="3">
        <f>'Monthly Data'!CN22</f>
        <v>80.145833333333343</v>
      </c>
      <c r="F22" s="3">
        <f>'Monthly Data'!CW22</f>
        <v>176.5541666666667</v>
      </c>
      <c r="G22" s="3">
        <f>'Monthly Data'!DQ22</f>
        <v>30</v>
      </c>
      <c r="H22" s="3">
        <f>'Monthly Data'!DD22</f>
        <v>213</v>
      </c>
      <c r="I22">
        <f>'Monthly Data'!EJ22</f>
        <v>0</v>
      </c>
      <c r="J22">
        <f>'Monthly Data'!EF22</f>
        <v>1</v>
      </c>
      <c r="L22" s="3">
        <f t="shared" si="1"/>
        <v>-2747299.8857901301</v>
      </c>
      <c r="M22" s="3">
        <f t="shared" si="2"/>
        <v>314620.64350000542</v>
      </c>
      <c r="N22" s="3">
        <f t="shared" si="3"/>
        <v>1796648.9266429518</v>
      </c>
      <c r="O22" s="3">
        <f t="shared" si="4"/>
        <v>4773119.9939095499</v>
      </c>
      <c r="P22" s="3">
        <f t="shared" si="5"/>
        <v>2971928.122461203</v>
      </c>
      <c r="Q22" s="3">
        <f t="shared" si="6"/>
        <v>0</v>
      </c>
      <c r="R22" s="3">
        <f t="shared" si="7"/>
        <v>193845.03320349701</v>
      </c>
      <c r="S22" s="47">
        <f t="shared" si="8"/>
        <v>7302862.8339270772</v>
      </c>
      <c r="T22" s="47">
        <f>'Monthly Data'!BL22+'Monthly Data'!BM22</f>
        <v>0</v>
      </c>
      <c r="U22" s="47">
        <f t="shared" si="9"/>
        <v>7302862.8339270772</v>
      </c>
      <c r="V22" s="47">
        <f t="shared" si="10"/>
        <v>-150816.82639375143</v>
      </c>
      <c r="W22" s="18">
        <f t="shared" ref="W22:W53" si="12">ABS(V22/D22)</f>
        <v>2.0233875517432665E-2</v>
      </c>
      <c r="Z22" s="691" t="s">
        <v>408</v>
      </c>
      <c r="AA22" s="692"/>
      <c r="AB22" s="692"/>
      <c r="AC22" s="693"/>
    </row>
    <row r="23" spans="1:29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Data'!BK23</f>
        <v>6878400.9134847308</v>
      </c>
      <c r="E23" s="3">
        <f>'Monthly Data'!CN23</f>
        <v>283.19583333333327</v>
      </c>
      <c r="F23" s="3">
        <f>'Monthly Data'!CW23</f>
        <v>52.383333333333333</v>
      </c>
      <c r="G23" s="3">
        <f>'Monthly Data'!DQ23</f>
        <v>31</v>
      </c>
      <c r="H23" s="3">
        <f>'Monthly Data'!DD23</f>
        <v>213.6</v>
      </c>
      <c r="I23">
        <f>'Monthly Data'!EJ23</f>
        <v>0</v>
      </c>
      <c r="J23">
        <f>'Monthly Data'!EF23</f>
        <v>1</v>
      </c>
      <c r="L23" s="3">
        <f t="shared" si="1"/>
        <v>-2747299.8857901301</v>
      </c>
      <c r="M23" s="3">
        <f t="shared" si="2"/>
        <v>1111714.1292833304</v>
      </c>
      <c r="N23" s="3">
        <f t="shared" si="3"/>
        <v>533062.80663996376</v>
      </c>
      <c r="O23" s="3">
        <f t="shared" si="4"/>
        <v>4932223.9937065355</v>
      </c>
      <c r="P23" s="3">
        <f t="shared" si="5"/>
        <v>2980299.7509751786</v>
      </c>
      <c r="Q23" s="3">
        <f t="shared" si="6"/>
        <v>0</v>
      </c>
      <c r="R23" s="3">
        <f t="shared" si="7"/>
        <v>193845.03320349701</v>
      </c>
      <c r="S23" s="47">
        <f t="shared" si="8"/>
        <v>7003845.8280183747</v>
      </c>
      <c r="T23" s="47">
        <f>'Monthly Data'!BL23+'Monthly Data'!BM23</f>
        <v>0</v>
      </c>
      <c r="U23" s="47">
        <f t="shared" si="9"/>
        <v>7003845.8280183747</v>
      </c>
      <c r="V23" s="47">
        <f t="shared" si="10"/>
        <v>125444.91453364398</v>
      </c>
      <c r="W23" s="18">
        <f t="shared" si="12"/>
        <v>1.8237511321521845E-2</v>
      </c>
      <c r="Z23" s="685" t="s">
        <v>422</v>
      </c>
      <c r="AA23" s="686">
        <v>7369728.8371430105</v>
      </c>
      <c r="AB23" s="685" t="s">
        <v>423</v>
      </c>
      <c r="AC23" s="686">
        <v>706680.49968517397</v>
      </c>
    </row>
    <row r="24" spans="1:29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Data'!BK24</f>
        <v>7052177.4950286448</v>
      </c>
      <c r="E24" s="3">
        <f>'Monthly Data'!CN24</f>
        <v>437.33511904761912</v>
      </c>
      <c r="F24" s="3">
        <f>'Monthly Data'!CW24</f>
        <v>1.3291666666666675</v>
      </c>
      <c r="G24" s="3">
        <f>'Monthly Data'!DQ24</f>
        <v>30</v>
      </c>
      <c r="H24" s="3">
        <f>'Monthly Data'!DD24</f>
        <v>214.7</v>
      </c>
      <c r="I24">
        <f>'Monthly Data'!EJ24</f>
        <v>0</v>
      </c>
      <c r="J24">
        <f>'Monthly Data'!EF24</f>
        <v>1</v>
      </c>
      <c r="L24" s="3">
        <f t="shared" si="1"/>
        <v>-2747299.8857901301</v>
      </c>
      <c r="M24" s="3">
        <f t="shared" si="2"/>
        <v>1716803.6173215082</v>
      </c>
      <c r="N24" s="3">
        <f t="shared" si="3"/>
        <v>13525.853906947863</v>
      </c>
      <c r="O24" s="3">
        <f t="shared" si="4"/>
        <v>4773119.9939095499</v>
      </c>
      <c r="P24" s="3">
        <f t="shared" si="5"/>
        <v>2995647.736584133</v>
      </c>
      <c r="Q24" s="3">
        <f t="shared" si="6"/>
        <v>0</v>
      </c>
      <c r="R24" s="3">
        <f t="shared" si="7"/>
        <v>193845.03320349701</v>
      </c>
      <c r="S24" s="47">
        <f t="shared" si="8"/>
        <v>6945642.349135506</v>
      </c>
      <c r="T24" s="47">
        <f>'Monthly Data'!BL24+'Monthly Data'!BM24</f>
        <v>0</v>
      </c>
      <c r="U24" s="47">
        <f t="shared" si="9"/>
        <v>6945642.349135506</v>
      </c>
      <c r="V24" s="47">
        <f t="shared" si="10"/>
        <v>-106535.14589313883</v>
      </c>
      <c r="W24" s="18">
        <f t="shared" si="12"/>
        <v>1.5106702287093541E-2</v>
      </c>
      <c r="AA24" s="3"/>
      <c r="AC24" s="3"/>
    </row>
    <row r="25" spans="1:29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Data'!BK25</f>
        <v>7997306.7357925586</v>
      </c>
      <c r="E25" s="3">
        <f>'Monthly Data'!CN25</f>
        <v>678.67083333333323</v>
      </c>
      <c r="F25" s="3">
        <f>'Monthly Data'!CW25</f>
        <v>0</v>
      </c>
      <c r="G25" s="3">
        <f>'Monthly Data'!DQ25</f>
        <v>31</v>
      </c>
      <c r="H25" s="3">
        <f>'Monthly Data'!DD25</f>
        <v>215.4</v>
      </c>
      <c r="I25">
        <f>'Monthly Data'!EJ25</f>
        <v>0</v>
      </c>
      <c r="J25">
        <f>'Monthly Data'!EF25</f>
        <v>0</v>
      </c>
      <c r="L25" s="3">
        <f t="shared" si="1"/>
        <v>-2747299.8857901301</v>
      </c>
      <c r="M25" s="3">
        <f t="shared" si="2"/>
        <v>2664191.5796165513</v>
      </c>
      <c r="N25" s="3">
        <f t="shared" si="3"/>
        <v>0</v>
      </c>
      <c r="O25" s="3">
        <f t="shared" si="4"/>
        <v>4932223.9937065355</v>
      </c>
      <c r="P25" s="3">
        <f t="shared" si="5"/>
        <v>3005414.6365171042</v>
      </c>
      <c r="Q25" s="3">
        <f t="shared" si="6"/>
        <v>0</v>
      </c>
      <c r="R25" s="3">
        <f t="shared" si="7"/>
        <v>0</v>
      </c>
      <c r="S25" s="47">
        <f t="shared" si="8"/>
        <v>7854530.3240500614</v>
      </c>
      <c r="T25" s="47">
        <f>'Monthly Data'!BL25+'Monthly Data'!BM25</f>
        <v>0</v>
      </c>
      <c r="U25" s="47">
        <f t="shared" si="9"/>
        <v>7854530.3240500614</v>
      </c>
      <c r="V25" s="47">
        <f t="shared" si="10"/>
        <v>-142776.41174249724</v>
      </c>
      <c r="W25" s="18">
        <f t="shared" si="12"/>
        <v>1.7853061844369487E-2</v>
      </c>
    </row>
    <row r="26" spans="1:29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Data'!BK26</f>
        <v>8144669.8575158697</v>
      </c>
      <c r="E26" s="3">
        <f>'Monthly Data'!CN26</f>
        <v>682.2166666666667</v>
      </c>
      <c r="F26" s="3">
        <f>'Monthly Data'!CW26</f>
        <v>0</v>
      </c>
      <c r="G26" s="3">
        <f>'Monthly Data'!DQ26</f>
        <v>31</v>
      </c>
      <c r="H26" s="3">
        <f>'Monthly Data'!DD26</f>
        <v>215.3</v>
      </c>
      <c r="I26">
        <f>'Monthly Data'!EJ26</f>
        <v>0</v>
      </c>
      <c r="J26">
        <f>'Monthly Data'!EF26</f>
        <v>0</v>
      </c>
      <c r="L26" s="3">
        <f t="shared" si="1"/>
        <v>-2747299.8857901301</v>
      </c>
      <c r="M26" s="3">
        <f t="shared" si="2"/>
        <v>2678111.110036022</v>
      </c>
      <c r="N26" s="3">
        <f t="shared" si="3"/>
        <v>0</v>
      </c>
      <c r="O26" s="3">
        <f t="shared" si="4"/>
        <v>4932223.9937065355</v>
      </c>
      <c r="P26" s="3">
        <f t="shared" si="5"/>
        <v>3004019.3650981085</v>
      </c>
      <c r="Q26" s="3">
        <f t="shared" si="6"/>
        <v>0</v>
      </c>
      <c r="R26" s="3">
        <f t="shared" si="7"/>
        <v>0</v>
      </c>
      <c r="S26" s="47">
        <f t="shared" si="8"/>
        <v>7867054.583050536</v>
      </c>
      <c r="T26" s="47">
        <f>'Monthly Data'!BL26+'Monthly Data'!BM26</f>
        <v>140.52153846153846</v>
      </c>
      <c r="U26" s="47">
        <f t="shared" si="9"/>
        <v>7867195.1045889976</v>
      </c>
      <c r="V26" s="47">
        <f t="shared" si="10"/>
        <v>-277474.75292687211</v>
      </c>
      <c r="W26" s="18">
        <f t="shared" si="12"/>
        <v>3.4068262775662966E-2</v>
      </c>
    </row>
    <row r="27" spans="1:29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Data'!BK27</f>
        <v>7294585.8640471846</v>
      </c>
      <c r="E27" s="3">
        <f>'Monthly Data'!CN27</f>
        <v>586.08333333333337</v>
      </c>
      <c r="F27" s="3">
        <f>'Monthly Data'!CW27</f>
        <v>0</v>
      </c>
      <c r="G27" s="3">
        <f>'Monthly Data'!DQ27</f>
        <v>28</v>
      </c>
      <c r="H27" s="3">
        <f>'Monthly Data'!DD27</f>
        <v>209.7</v>
      </c>
      <c r="I27">
        <f>'Monthly Data'!EJ27</f>
        <v>0</v>
      </c>
      <c r="J27">
        <f>'Monthly Data'!EF27</f>
        <v>0</v>
      </c>
      <c r="L27" s="3">
        <f t="shared" si="1"/>
        <v>-2747299.8857901301</v>
      </c>
      <c r="M27" s="3">
        <f t="shared" si="2"/>
        <v>2300729.9045859505</v>
      </c>
      <c r="N27" s="3">
        <f t="shared" si="3"/>
        <v>0</v>
      </c>
      <c r="O27" s="3">
        <f t="shared" si="4"/>
        <v>4454911.9943155805</v>
      </c>
      <c r="P27" s="3">
        <f t="shared" si="5"/>
        <v>2925884.1656343392</v>
      </c>
      <c r="Q27" s="3">
        <f t="shared" si="6"/>
        <v>0</v>
      </c>
      <c r="R27" s="3">
        <f t="shared" si="7"/>
        <v>0</v>
      </c>
      <c r="S27" s="47">
        <f t="shared" si="8"/>
        <v>6934226.1787457401</v>
      </c>
      <c r="T27" s="47">
        <f>'Monthly Data'!BL27+'Monthly Data'!BM27</f>
        <v>281.04307692307691</v>
      </c>
      <c r="U27" s="47">
        <f t="shared" si="9"/>
        <v>6934507.2218226632</v>
      </c>
      <c r="V27" s="47">
        <f t="shared" si="10"/>
        <v>-360078.64222452138</v>
      </c>
      <c r="W27" s="18">
        <f t="shared" si="12"/>
        <v>4.9362451677927389E-2</v>
      </c>
    </row>
    <row r="28" spans="1:29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Data'!BK28</f>
        <v>7961820.5689884806</v>
      </c>
      <c r="E28" s="3">
        <f>'Monthly Data'!CN28</f>
        <v>661.67916666666667</v>
      </c>
      <c r="F28" s="3">
        <f>'Monthly Data'!CW28</f>
        <v>0</v>
      </c>
      <c r="G28" s="3">
        <f>'Monthly Data'!DQ28</f>
        <v>31</v>
      </c>
      <c r="H28" s="3">
        <f>'Monthly Data'!DD28</f>
        <v>202.9</v>
      </c>
      <c r="I28">
        <f>'Monthly Data'!EJ28</f>
        <v>0</v>
      </c>
      <c r="J28">
        <f>'Monthly Data'!EF28</f>
        <v>0</v>
      </c>
      <c r="L28" s="3">
        <f t="shared" si="1"/>
        <v>-2747299.8857901301</v>
      </c>
      <c r="M28" s="3">
        <f t="shared" si="2"/>
        <v>2597489.0589930518</v>
      </c>
      <c r="N28" s="3">
        <f t="shared" si="3"/>
        <v>0</v>
      </c>
      <c r="O28" s="3">
        <f t="shared" si="4"/>
        <v>4932223.9937065355</v>
      </c>
      <c r="P28" s="3">
        <f t="shared" si="5"/>
        <v>2831005.7091426202</v>
      </c>
      <c r="Q28" s="3">
        <f t="shared" si="6"/>
        <v>0</v>
      </c>
      <c r="R28" s="3">
        <f t="shared" si="7"/>
        <v>0</v>
      </c>
      <c r="S28" s="47">
        <f t="shared" si="8"/>
        <v>7613418.8760520779</v>
      </c>
      <c r="T28" s="47">
        <f>'Monthly Data'!BL28+'Monthly Data'!BM28</f>
        <v>421.56461538461542</v>
      </c>
      <c r="U28" s="47">
        <f t="shared" si="9"/>
        <v>7613840.4406674625</v>
      </c>
      <c r="V28" s="47">
        <f t="shared" si="10"/>
        <v>-347980.12832101807</v>
      </c>
      <c r="W28" s="18">
        <f t="shared" si="12"/>
        <v>4.3706100295252903E-2</v>
      </c>
    </row>
    <row r="29" spans="1:29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Data'!BK29</f>
        <v>6614575.6895597856</v>
      </c>
      <c r="E29" s="3">
        <f>'Monthly Data'!CN29</f>
        <v>348.38749999999999</v>
      </c>
      <c r="F29" s="3">
        <f>'Monthly Data'!CW29</f>
        <v>12.412500000000001</v>
      </c>
      <c r="G29" s="3">
        <f>'Monthly Data'!DQ29</f>
        <v>30</v>
      </c>
      <c r="H29" s="3">
        <f>'Monthly Data'!DD29</f>
        <v>199</v>
      </c>
      <c r="I29">
        <f>'Monthly Data'!EJ29</f>
        <v>0</v>
      </c>
      <c r="J29">
        <f>'Monthly Data'!EF29</f>
        <v>0</v>
      </c>
      <c r="L29" s="3">
        <f t="shared" si="1"/>
        <v>-2747299.8857901301</v>
      </c>
      <c r="M29" s="3">
        <f t="shared" si="2"/>
        <v>1367630.6662316583</v>
      </c>
      <c r="N29" s="3">
        <f t="shared" si="3"/>
        <v>126311.97112475758</v>
      </c>
      <c r="O29" s="3">
        <f t="shared" si="4"/>
        <v>4773119.9939095499</v>
      </c>
      <c r="P29" s="3">
        <f t="shared" si="5"/>
        <v>2776590.1238017813</v>
      </c>
      <c r="Q29" s="3">
        <f t="shared" si="6"/>
        <v>0</v>
      </c>
      <c r="R29" s="3">
        <f t="shared" si="7"/>
        <v>0</v>
      </c>
      <c r="S29" s="47">
        <f t="shared" si="8"/>
        <v>6296352.869277617</v>
      </c>
      <c r="T29" s="47">
        <f>'Monthly Data'!BL29+'Monthly Data'!BM29</f>
        <v>562.08615384615382</v>
      </c>
      <c r="U29" s="47">
        <f t="shared" si="9"/>
        <v>6296914.9554314632</v>
      </c>
      <c r="V29" s="47">
        <f t="shared" si="10"/>
        <v>-317660.73412832245</v>
      </c>
      <c r="W29" s="18">
        <f t="shared" si="12"/>
        <v>4.8024355459369374E-2</v>
      </c>
    </row>
    <row r="30" spans="1:29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Data'!BK30</f>
        <v>6799762.8399810912</v>
      </c>
      <c r="E30" s="3">
        <f>'Monthly Data'!CN30</f>
        <v>247.16666666666663</v>
      </c>
      <c r="F30" s="3">
        <f>'Monthly Data'!CW30</f>
        <v>54.529166666666683</v>
      </c>
      <c r="G30" s="3">
        <f>'Monthly Data'!DQ30</f>
        <v>31</v>
      </c>
      <c r="H30" s="3">
        <f>'Monthly Data'!DD30</f>
        <v>201.8</v>
      </c>
      <c r="I30">
        <f>'Monthly Data'!EJ30</f>
        <v>0</v>
      </c>
      <c r="J30">
        <f>'Monthly Data'!EF30</f>
        <v>0</v>
      </c>
      <c r="L30" s="3">
        <f t="shared" si="1"/>
        <v>-2747299.8857901301</v>
      </c>
      <c r="M30" s="3">
        <f t="shared" si="2"/>
        <v>970277.96061452129</v>
      </c>
      <c r="N30" s="3">
        <f t="shared" si="3"/>
        <v>554899.21655243461</v>
      </c>
      <c r="O30" s="3">
        <f t="shared" si="4"/>
        <v>4932223.9937065355</v>
      </c>
      <c r="P30" s="3">
        <f t="shared" si="5"/>
        <v>2815657.7235336658</v>
      </c>
      <c r="Q30" s="3">
        <f t="shared" si="6"/>
        <v>0</v>
      </c>
      <c r="R30" s="3">
        <f t="shared" si="7"/>
        <v>0</v>
      </c>
      <c r="S30" s="47">
        <f t="shared" si="8"/>
        <v>6525759.0086170267</v>
      </c>
      <c r="T30" s="47">
        <f>'Monthly Data'!BL30+'Monthly Data'!BM30</f>
        <v>702.60769230769233</v>
      </c>
      <c r="U30" s="47">
        <f t="shared" si="9"/>
        <v>6526461.6163093345</v>
      </c>
      <c r="V30" s="47">
        <f t="shared" si="10"/>
        <v>-273301.22367175668</v>
      </c>
      <c r="W30" s="18">
        <f t="shared" si="12"/>
        <v>4.0192758203978288E-2</v>
      </c>
    </row>
    <row r="31" spans="1:29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Data'!BK31</f>
        <v>7076372.4234623974</v>
      </c>
      <c r="E31" s="3">
        <f>'Monthly Data'!CN31</f>
        <v>85.453333333333319</v>
      </c>
      <c r="F31" s="3">
        <f>'Monthly Data'!CW31</f>
        <v>168.62166666666667</v>
      </c>
      <c r="G31" s="3">
        <f>'Monthly Data'!DQ31</f>
        <v>30</v>
      </c>
      <c r="H31" s="3">
        <f>'Monthly Data'!DD31</f>
        <v>205.5</v>
      </c>
      <c r="I31">
        <f>'Monthly Data'!EJ31</f>
        <v>0</v>
      </c>
      <c r="J31">
        <f>'Monthly Data'!EF31</f>
        <v>0</v>
      </c>
      <c r="L31" s="3">
        <f t="shared" si="1"/>
        <v>-2747299.8857901301</v>
      </c>
      <c r="M31" s="3">
        <f t="shared" si="2"/>
        <v>335455.77610672778</v>
      </c>
      <c r="N31" s="3">
        <f t="shared" si="3"/>
        <v>1715926.2913199191</v>
      </c>
      <c r="O31" s="3">
        <f t="shared" si="4"/>
        <v>4773119.9939095499</v>
      </c>
      <c r="P31" s="3">
        <f t="shared" si="5"/>
        <v>2867282.7660365128</v>
      </c>
      <c r="Q31" s="3">
        <f t="shared" si="6"/>
        <v>0</v>
      </c>
      <c r="R31" s="3">
        <f t="shared" si="7"/>
        <v>0</v>
      </c>
      <c r="S31" s="47">
        <f t="shared" si="8"/>
        <v>6944484.9415825792</v>
      </c>
      <c r="T31" s="47">
        <f>'Monthly Data'!BL31+'Monthly Data'!BM31</f>
        <v>843.12923076923084</v>
      </c>
      <c r="U31" s="47">
        <f t="shared" si="9"/>
        <v>6945328.0708133485</v>
      </c>
      <c r="V31" s="47">
        <f t="shared" si="10"/>
        <v>-131044.3526490489</v>
      </c>
      <c r="W31" s="18">
        <f t="shared" si="12"/>
        <v>1.8518577712862975E-2</v>
      </c>
    </row>
    <row r="32" spans="1:29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Data'!BK32</f>
        <v>7684660.8696337026</v>
      </c>
      <c r="E32" s="3">
        <f>'Monthly Data'!CN32</f>
        <v>14.412500000000009</v>
      </c>
      <c r="F32" s="3">
        <f>'Monthly Data'!CW32</f>
        <v>260.16666666666657</v>
      </c>
      <c r="G32" s="3">
        <f>'Monthly Data'!DQ32</f>
        <v>31</v>
      </c>
      <c r="H32" s="3">
        <f>'Monthly Data'!DD32</f>
        <v>206.4</v>
      </c>
      <c r="I32">
        <f>'Monthly Data'!EJ32</f>
        <v>0</v>
      </c>
      <c r="J32">
        <f>'Monthly Data'!EF32</f>
        <v>0</v>
      </c>
      <c r="L32" s="3">
        <f t="shared" si="1"/>
        <v>-2747299.8857901301</v>
      </c>
      <c r="M32" s="3">
        <f t="shared" si="2"/>
        <v>56577.738802522443</v>
      </c>
      <c r="N32" s="3">
        <f t="shared" si="3"/>
        <v>2647505.6989022689</v>
      </c>
      <c r="O32" s="3">
        <f t="shared" si="4"/>
        <v>4932223.9937065355</v>
      </c>
      <c r="P32" s="3">
        <f t="shared" si="5"/>
        <v>2879840.2088074759</v>
      </c>
      <c r="Q32" s="3">
        <f t="shared" si="6"/>
        <v>0</v>
      </c>
      <c r="R32" s="3">
        <f t="shared" si="7"/>
        <v>0</v>
      </c>
      <c r="S32" s="47">
        <f t="shared" si="8"/>
        <v>7768847.7544286726</v>
      </c>
      <c r="T32" s="47">
        <f>'Monthly Data'!BL32+'Monthly Data'!BM32</f>
        <v>983.65076923076936</v>
      </c>
      <c r="U32" s="47">
        <f t="shared" si="9"/>
        <v>7769831.4051979035</v>
      </c>
      <c r="V32" s="47">
        <f t="shared" si="10"/>
        <v>85170.535564200953</v>
      </c>
      <c r="W32" s="18">
        <f t="shared" si="12"/>
        <v>1.1083187275154368E-2</v>
      </c>
    </row>
    <row r="33" spans="1:23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Data'!BK33</f>
        <v>7605088.7634750074</v>
      </c>
      <c r="E33" s="3">
        <f>'Monthly Data'!CN33</f>
        <v>46.587500000000006</v>
      </c>
      <c r="F33" s="3">
        <f>'Monthly Data'!CW33</f>
        <v>217.42409420289852</v>
      </c>
      <c r="G33" s="3">
        <f>'Monthly Data'!DQ33</f>
        <v>31</v>
      </c>
      <c r="H33" s="3">
        <f>'Monthly Data'!DD33</f>
        <v>207.5</v>
      </c>
      <c r="I33">
        <f>'Monthly Data'!EJ33</f>
        <v>0</v>
      </c>
      <c r="J33">
        <f>'Monthly Data'!EF33</f>
        <v>0</v>
      </c>
      <c r="L33" s="3">
        <f t="shared" si="1"/>
        <v>-2747299.8857901301</v>
      </c>
      <c r="M33" s="3">
        <f t="shared" si="2"/>
        <v>182883.98310234264</v>
      </c>
      <c r="N33" s="3">
        <f t="shared" si="3"/>
        <v>2212549.1165182749</v>
      </c>
      <c r="O33" s="3">
        <f t="shared" si="4"/>
        <v>4932223.9937065355</v>
      </c>
      <c r="P33" s="3">
        <f t="shared" si="5"/>
        <v>2895188.1944164303</v>
      </c>
      <c r="Q33" s="3">
        <f t="shared" si="6"/>
        <v>0</v>
      </c>
      <c r="R33" s="3">
        <f t="shared" si="7"/>
        <v>0</v>
      </c>
      <c r="S33" s="47">
        <f t="shared" si="8"/>
        <v>7475545.4019534532</v>
      </c>
      <c r="T33" s="47">
        <f>'Monthly Data'!BL33+'Monthly Data'!BM33</f>
        <v>1124.1723076923076</v>
      </c>
      <c r="U33" s="47">
        <f t="shared" si="9"/>
        <v>7476669.5742611457</v>
      </c>
      <c r="V33" s="47">
        <f t="shared" si="10"/>
        <v>-128419.18921386171</v>
      </c>
      <c r="W33" s="18">
        <f t="shared" si="12"/>
        <v>1.6885955339616957E-2</v>
      </c>
    </row>
    <row r="34" spans="1:23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Data'!BK34</f>
        <v>7255095.0379063133</v>
      </c>
      <c r="E34" s="3">
        <f>'Monthly Data'!CN34</f>
        <v>100.06666666666666</v>
      </c>
      <c r="F34" s="3">
        <f>'Monthly Data'!CW34</f>
        <v>161.3125</v>
      </c>
      <c r="G34" s="3">
        <f>'Monthly Data'!DQ34</f>
        <v>30</v>
      </c>
      <c r="H34" s="3">
        <f>'Monthly Data'!DD34</f>
        <v>207.7</v>
      </c>
      <c r="I34">
        <f>'Monthly Data'!EJ34</f>
        <v>0</v>
      </c>
      <c r="J34">
        <f>'Monthly Data'!EF34</f>
        <v>1</v>
      </c>
      <c r="L34" s="3">
        <f t="shared" ref="L34:L65" si="13">$AA$8</f>
        <v>-2747299.8857901301</v>
      </c>
      <c r="M34" s="3">
        <f t="shared" ref="M34:M65" si="14">E34*$AA$9</f>
        <v>392821.90664393705</v>
      </c>
      <c r="N34" s="3">
        <f t="shared" ref="N34:N65" si="15">F34*$AA$10</f>
        <v>1641546.8150704897</v>
      </c>
      <c r="O34" s="3">
        <f t="shared" ref="O34:O65" si="16">G34*$AA$11</f>
        <v>4773119.9939095499</v>
      </c>
      <c r="P34" s="3">
        <f t="shared" ref="P34:P65" si="17">H34*$AA$12</f>
        <v>2897978.7372544217</v>
      </c>
      <c r="Q34" s="3">
        <f t="shared" ref="Q34:Q65" si="18">I34*$AA$13</f>
        <v>0</v>
      </c>
      <c r="R34" s="3">
        <f t="shared" ref="R34:R65" si="19">J34*$AA$14</f>
        <v>193845.03320349701</v>
      </c>
      <c r="S34" s="47">
        <f t="shared" si="8"/>
        <v>7152012.6002917653</v>
      </c>
      <c r="T34" s="47">
        <f>'Monthly Data'!BL34+'Monthly Data'!BM34</f>
        <v>1264.6938461538462</v>
      </c>
      <c r="U34" s="47">
        <f t="shared" si="9"/>
        <v>7153277.2941379193</v>
      </c>
      <c r="V34" s="47">
        <f t="shared" si="10"/>
        <v>-101817.74376839399</v>
      </c>
      <c r="W34" s="18">
        <f t="shared" si="12"/>
        <v>1.4033964164000354E-2</v>
      </c>
    </row>
    <row r="35" spans="1:23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Data'!BK35</f>
        <v>6788820.8536576079</v>
      </c>
      <c r="E35" s="3">
        <f>'Monthly Data'!CN35</f>
        <v>238.48333333333335</v>
      </c>
      <c r="F35" s="3">
        <f>'Monthly Data'!CW35</f>
        <v>59.400000000000006</v>
      </c>
      <c r="G35" s="3">
        <f>'Monthly Data'!DQ35</f>
        <v>31</v>
      </c>
      <c r="H35" s="3">
        <f>'Monthly Data'!DD35</f>
        <v>209.3</v>
      </c>
      <c r="I35">
        <f>'Monthly Data'!EJ35</f>
        <v>0</v>
      </c>
      <c r="J35">
        <f>'Monthly Data'!EF35</f>
        <v>1</v>
      </c>
      <c r="L35" s="3">
        <f t="shared" si="13"/>
        <v>-2747299.8857901301</v>
      </c>
      <c r="M35" s="3">
        <f t="shared" si="14"/>
        <v>936190.64992806385</v>
      </c>
      <c r="N35" s="3">
        <f t="shared" si="15"/>
        <v>604465.7470139456</v>
      </c>
      <c r="O35" s="3">
        <f t="shared" si="16"/>
        <v>4932223.9937065355</v>
      </c>
      <c r="P35" s="3">
        <f t="shared" si="17"/>
        <v>2920303.079958356</v>
      </c>
      <c r="Q35" s="3">
        <f t="shared" si="18"/>
        <v>0</v>
      </c>
      <c r="R35" s="3">
        <f t="shared" si="19"/>
        <v>193845.03320349701</v>
      </c>
      <c r="S35" s="47">
        <f t="shared" si="8"/>
        <v>6839728.6180202672</v>
      </c>
      <c r="T35" s="47">
        <f>'Monthly Data'!BL35+'Monthly Data'!BM35</f>
        <v>1405.2153846153847</v>
      </c>
      <c r="U35" s="47">
        <f t="shared" si="9"/>
        <v>6841133.8334048828</v>
      </c>
      <c r="V35" s="47">
        <f t="shared" si="10"/>
        <v>52312.979747274891</v>
      </c>
      <c r="W35" s="18">
        <f t="shared" si="12"/>
        <v>7.705753454827176E-3</v>
      </c>
    </row>
    <row r="36" spans="1:23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Data'!BK36</f>
        <v>7247344.0571189234</v>
      </c>
      <c r="E36" s="3">
        <f>'Monthly Data'!CN36</f>
        <v>502.61174242424244</v>
      </c>
      <c r="F36" s="3">
        <f>'Monthly Data'!CW36</f>
        <v>0</v>
      </c>
      <c r="G36" s="3">
        <f>'Monthly Data'!DQ36</f>
        <v>30</v>
      </c>
      <c r="H36" s="3">
        <f>'Monthly Data'!DD36</f>
        <v>208.6</v>
      </c>
      <c r="I36">
        <f>'Monthly Data'!EJ36</f>
        <v>0</v>
      </c>
      <c r="J36">
        <f>'Monthly Data'!EF36</f>
        <v>1</v>
      </c>
      <c r="L36" s="3">
        <f t="shared" si="13"/>
        <v>-2747299.8857901301</v>
      </c>
      <c r="M36" s="3">
        <f t="shared" si="14"/>
        <v>1973053.6605002228</v>
      </c>
      <c r="N36" s="3">
        <f t="shared" si="15"/>
        <v>0</v>
      </c>
      <c r="O36" s="3">
        <f t="shared" si="16"/>
        <v>4773119.9939095499</v>
      </c>
      <c r="P36" s="3">
        <f t="shared" si="17"/>
        <v>2910536.1800253848</v>
      </c>
      <c r="Q36" s="3">
        <f t="shared" si="18"/>
        <v>0</v>
      </c>
      <c r="R36" s="3">
        <f t="shared" si="19"/>
        <v>193845.03320349701</v>
      </c>
      <c r="S36" s="47">
        <f t="shared" si="8"/>
        <v>7103254.981848524</v>
      </c>
      <c r="T36" s="47">
        <f>'Monthly Data'!BL36+'Monthly Data'!BM36</f>
        <v>1545.7369230769232</v>
      </c>
      <c r="U36" s="47">
        <f t="shared" si="9"/>
        <v>7104800.7187716011</v>
      </c>
      <c r="V36" s="47">
        <f t="shared" si="10"/>
        <v>-142543.33834732231</v>
      </c>
      <c r="W36" s="18">
        <f t="shared" si="12"/>
        <v>1.9668355362169508E-2</v>
      </c>
    </row>
    <row r="37" spans="1:23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Data'!BK37</f>
        <v>8210512.1815002188</v>
      </c>
      <c r="E37" s="3">
        <f>'Monthly Data'!CN37</f>
        <v>798.31250000000011</v>
      </c>
      <c r="F37" s="3">
        <f>'Monthly Data'!CW37</f>
        <v>0</v>
      </c>
      <c r="G37" s="3">
        <f>'Monthly Data'!DQ37</f>
        <v>31</v>
      </c>
      <c r="H37" s="3">
        <f>'Monthly Data'!DD37</f>
        <v>207.8</v>
      </c>
      <c r="I37">
        <f>'Monthly Data'!EJ37</f>
        <v>0</v>
      </c>
      <c r="J37">
        <f>'Monthly Data'!EF37</f>
        <v>0</v>
      </c>
      <c r="L37" s="3">
        <f t="shared" si="13"/>
        <v>-2747299.8857901301</v>
      </c>
      <c r="M37" s="3">
        <f t="shared" si="14"/>
        <v>3133857.1453799605</v>
      </c>
      <c r="N37" s="3">
        <f t="shared" si="15"/>
        <v>0</v>
      </c>
      <c r="O37" s="3">
        <f t="shared" si="16"/>
        <v>4932223.9937065355</v>
      </c>
      <c r="P37" s="3">
        <f t="shared" si="17"/>
        <v>2899374.0086734183</v>
      </c>
      <c r="Q37" s="3">
        <f t="shared" si="18"/>
        <v>0</v>
      </c>
      <c r="R37" s="3">
        <f t="shared" si="19"/>
        <v>0</v>
      </c>
      <c r="S37" s="47">
        <f t="shared" si="8"/>
        <v>8218155.2619697843</v>
      </c>
      <c r="T37" s="47">
        <f>'Monthly Data'!BL37+'Monthly Data'!BM37</f>
        <v>1686.2584615384617</v>
      </c>
      <c r="U37" s="47">
        <f t="shared" si="9"/>
        <v>8219841.520431323</v>
      </c>
      <c r="V37" s="47">
        <f t="shared" si="10"/>
        <v>9329.3389311041683</v>
      </c>
      <c r="W37" s="18">
        <f t="shared" si="12"/>
        <v>1.1362675951111637E-3</v>
      </c>
    </row>
    <row r="38" spans="1:23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Data'!BK38</f>
        <v>8784586.6112699881</v>
      </c>
      <c r="E38" s="3">
        <f>'Monthly Data'!CN38</f>
        <v>812.53750000000002</v>
      </c>
      <c r="F38" s="3">
        <f>'Monthly Data'!CW38</f>
        <v>0</v>
      </c>
      <c r="G38" s="3">
        <f>'Monthly Data'!DQ38</f>
        <v>31</v>
      </c>
      <c r="H38" s="3">
        <f>'Monthly Data'!DD38</f>
        <v>206.5</v>
      </c>
      <c r="I38">
        <f>'Monthly Data'!EJ38</f>
        <v>0</v>
      </c>
      <c r="J38">
        <f>'Monthly Data'!EF38</f>
        <v>0</v>
      </c>
      <c r="L38" s="3">
        <f t="shared" si="13"/>
        <v>-2747299.8857901301</v>
      </c>
      <c r="M38" s="3">
        <f t="shared" si="14"/>
        <v>3189698.8338077748</v>
      </c>
      <c r="N38" s="3">
        <f t="shared" si="15"/>
        <v>0</v>
      </c>
      <c r="O38" s="3">
        <f t="shared" si="16"/>
        <v>4932223.9937065355</v>
      </c>
      <c r="P38" s="3">
        <f t="shared" si="17"/>
        <v>2881235.4802264716</v>
      </c>
      <c r="Q38" s="3">
        <f t="shared" si="18"/>
        <v>0</v>
      </c>
      <c r="R38" s="3">
        <f t="shared" si="19"/>
        <v>0</v>
      </c>
      <c r="S38" s="47">
        <f t="shared" si="8"/>
        <v>8255858.4219506513</v>
      </c>
      <c r="T38" s="47">
        <f>'Monthly Data'!BL38+'Monthly Data'!BM38</f>
        <v>2078.9751282051284</v>
      </c>
      <c r="U38" s="47">
        <f t="shared" si="9"/>
        <v>8257937.3970788568</v>
      </c>
      <c r="V38" s="47">
        <f t="shared" si="10"/>
        <v>-526649.21419113129</v>
      </c>
      <c r="W38" s="18">
        <f t="shared" si="12"/>
        <v>5.9951507964584073E-2</v>
      </c>
    </row>
    <row r="39" spans="1:23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Data'!BK39</f>
        <v>7496705.6892828932</v>
      </c>
      <c r="E39" s="3">
        <f>'Monthly Data'!CN39</f>
        <v>632.49583333333328</v>
      </c>
      <c r="F39" s="3">
        <f>'Monthly Data'!CW39</f>
        <v>0</v>
      </c>
      <c r="G39" s="3">
        <f>'Monthly Data'!DQ39</f>
        <v>28</v>
      </c>
      <c r="H39" s="3">
        <f>'Monthly Data'!DD39</f>
        <v>206.7</v>
      </c>
      <c r="I39">
        <f>'Monthly Data'!EJ39</f>
        <v>0</v>
      </c>
      <c r="J39">
        <f>'Monthly Data'!EF39</f>
        <v>0</v>
      </c>
      <c r="L39" s="3">
        <f t="shared" si="13"/>
        <v>-2747299.8857901301</v>
      </c>
      <c r="M39" s="3">
        <f t="shared" si="14"/>
        <v>2482926.9073385657</v>
      </c>
      <c r="N39" s="3">
        <f t="shared" si="15"/>
        <v>0</v>
      </c>
      <c r="O39" s="3">
        <f t="shared" si="16"/>
        <v>4454911.9943155805</v>
      </c>
      <c r="P39" s="3">
        <f t="shared" si="17"/>
        <v>2884026.0230644634</v>
      </c>
      <c r="Q39" s="3">
        <f t="shared" si="18"/>
        <v>0</v>
      </c>
      <c r="R39" s="3">
        <f t="shared" si="19"/>
        <v>0</v>
      </c>
      <c r="S39" s="47">
        <f t="shared" si="8"/>
        <v>7074565.038928479</v>
      </c>
      <c r="T39" s="47">
        <f>'Monthly Data'!BL39+'Monthly Data'!BM39</f>
        <v>2331.1702564102566</v>
      </c>
      <c r="U39" s="47">
        <f t="shared" si="9"/>
        <v>7076896.2091848888</v>
      </c>
      <c r="V39" s="47">
        <f t="shared" si="10"/>
        <v>-419809.48009800445</v>
      </c>
      <c r="W39" s="18">
        <f t="shared" si="12"/>
        <v>5.5999194512618228E-2</v>
      </c>
    </row>
    <row r="40" spans="1:23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Data'!BK40</f>
        <v>7864003.8759458363</v>
      </c>
      <c r="E40" s="3">
        <f>'Monthly Data'!CN40</f>
        <v>629.27916666666681</v>
      </c>
      <c r="F40" s="3">
        <f>'Monthly Data'!CW40</f>
        <v>0</v>
      </c>
      <c r="G40" s="3">
        <f>'Monthly Data'!DQ40</f>
        <v>31</v>
      </c>
      <c r="H40" s="3">
        <f>'Monthly Data'!DD40</f>
        <v>209.4</v>
      </c>
      <c r="I40">
        <f>'Monthly Data'!EJ40</f>
        <v>0</v>
      </c>
      <c r="J40">
        <f>'Monthly Data'!EF40</f>
        <v>0</v>
      </c>
      <c r="L40" s="3">
        <f t="shared" si="13"/>
        <v>-2747299.8857901301</v>
      </c>
      <c r="M40" s="3">
        <f t="shared" si="14"/>
        <v>2470299.5542435832</v>
      </c>
      <c r="N40" s="3">
        <f t="shared" si="15"/>
        <v>0</v>
      </c>
      <c r="O40" s="3">
        <f t="shared" si="16"/>
        <v>4932223.9937065355</v>
      </c>
      <c r="P40" s="3">
        <f t="shared" si="17"/>
        <v>2921698.3513773521</v>
      </c>
      <c r="Q40" s="3">
        <f t="shared" si="18"/>
        <v>0</v>
      </c>
      <c r="R40" s="3">
        <f t="shared" si="19"/>
        <v>0</v>
      </c>
      <c r="S40" s="47">
        <f t="shared" si="8"/>
        <v>7576922.0135373408</v>
      </c>
      <c r="T40" s="47">
        <f>'Monthly Data'!BL40+'Monthly Data'!BM40</f>
        <v>2583.3653846153848</v>
      </c>
      <c r="U40" s="47">
        <f t="shared" si="9"/>
        <v>7579505.3789219558</v>
      </c>
      <c r="V40" s="47">
        <f t="shared" si="10"/>
        <v>-284498.49702388048</v>
      </c>
      <c r="W40" s="18">
        <f t="shared" si="12"/>
        <v>3.6177308850787245E-2</v>
      </c>
    </row>
    <row r="41" spans="1:23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Data'!BK41</f>
        <v>7173862.4657387612</v>
      </c>
      <c r="E41" s="3">
        <f>'Monthly Data'!CN41</f>
        <v>512.51666666666677</v>
      </c>
      <c r="F41" s="3">
        <f>'Monthly Data'!CW41</f>
        <v>0</v>
      </c>
      <c r="G41" s="3">
        <f>'Monthly Data'!DQ41</f>
        <v>30</v>
      </c>
      <c r="H41" s="3">
        <f>'Monthly Data'!DD41</f>
        <v>213.7</v>
      </c>
      <c r="I41">
        <f>'Monthly Data'!EJ41</f>
        <v>0</v>
      </c>
      <c r="J41">
        <f>'Monthly Data'!EF41</f>
        <v>0</v>
      </c>
      <c r="L41" s="3">
        <f t="shared" si="13"/>
        <v>-2747299.8857901301</v>
      </c>
      <c r="M41" s="3">
        <f t="shared" si="14"/>
        <v>2011936.4509006846</v>
      </c>
      <c r="N41" s="3">
        <f t="shared" si="15"/>
        <v>0</v>
      </c>
      <c r="O41" s="3">
        <f t="shared" si="16"/>
        <v>4773119.9939095499</v>
      </c>
      <c r="P41" s="3">
        <f t="shared" si="17"/>
        <v>2981695.0223941742</v>
      </c>
      <c r="Q41" s="3">
        <f t="shared" si="18"/>
        <v>0</v>
      </c>
      <c r="R41" s="3">
        <f t="shared" si="19"/>
        <v>0</v>
      </c>
      <c r="S41" s="47">
        <f t="shared" si="8"/>
        <v>7019451.5814142786</v>
      </c>
      <c r="T41" s="47">
        <f>'Monthly Data'!BL41+'Monthly Data'!BM41</f>
        <v>2835.5605128205129</v>
      </c>
      <c r="U41" s="47">
        <f t="shared" si="9"/>
        <v>7022287.1419270989</v>
      </c>
      <c r="V41" s="47">
        <f t="shared" si="10"/>
        <v>-151575.32381166238</v>
      </c>
      <c r="W41" s="18">
        <f t="shared" si="12"/>
        <v>2.1128830464141497E-2</v>
      </c>
    </row>
    <row r="42" spans="1:23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Data'!BK42</f>
        <v>7069458.6562616751</v>
      </c>
      <c r="E42" s="3">
        <f>'Monthly Data'!CN42</f>
        <v>140.84469696969697</v>
      </c>
      <c r="F42" s="3">
        <f>'Monthly Data'!CW42</f>
        <v>127.46720779220779</v>
      </c>
      <c r="G42" s="3">
        <f>'Monthly Data'!DQ42</f>
        <v>31</v>
      </c>
      <c r="H42" s="3">
        <f>'Monthly Data'!DD42</f>
        <v>217.6</v>
      </c>
      <c r="I42">
        <f>'Monthly Data'!EJ42</f>
        <v>0</v>
      </c>
      <c r="J42">
        <f>'Monthly Data'!EF42</f>
        <v>0</v>
      </c>
      <c r="L42" s="3">
        <f t="shared" si="13"/>
        <v>-2747299.8857901301</v>
      </c>
      <c r="M42" s="3">
        <f t="shared" si="14"/>
        <v>552900.22389397642</v>
      </c>
      <c r="N42" s="3">
        <f t="shared" si="15"/>
        <v>1297130.6561935807</v>
      </c>
      <c r="O42" s="3">
        <f t="shared" si="16"/>
        <v>4932223.9937065355</v>
      </c>
      <c r="P42" s="3">
        <f t="shared" si="17"/>
        <v>3036110.6077350131</v>
      </c>
      <c r="Q42" s="3">
        <f t="shared" si="18"/>
        <v>0</v>
      </c>
      <c r="R42" s="3">
        <f t="shared" si="19"/>
        <v>0</v>
      </c>
      <c r="S42" s="47">
        <f t="shared" si="8"/>
        <v>7071065.5957389753</v>
      </c>
      <c r="T42" s="47">
        <f>'Monthly Data'!BL42+'Monthly Data'!BM42</f>
        <v>3087.7556410256411</v>
      </c>
      <c r="U42" s="47">
        <f t="shared" si="9"/>
        <v>7074153.3513800008</v>
      </c>
      <c r="V42" s="47">
        <f t="shared" si="10"/>
        <v>4694.6951183257625</v>
      </c>
      <c r="W42" s="18">
        <f t="shared" si="12"/>
        <v>6.6408127504466008E-4</v>
      </c>
    </row>
    <row r="43" spans="1:23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Data'!BK43</f>
        <v>7294580.7913345993</v>
      </c>
      <c r="E43" s="3">
        <f>'Monthly Data'!CN43</f>
        <v>63.468560606060585</v>
      </c>
      <c r="F43" s="3">
        <f>'Monthly Data'!CW43</f>
        <v>198.19393939393944</v>
      </c>
      <c r="G43" s="3">
        <f>'Monthly Data'!DQ43</f>
        <v>30</v>
      </c>
      <c r="H43" s="3">
        <f>'Monthly Data'!DD43</f>
        <v>219.5</v>
      </c>
      <c r="I43">
        <f>'Monthly Data'!EJ43</f>
        <v>0</v>
      </c>
      <c r="J43">
        <f>'Monthly Data'!EF43</f>
        <v>0</v>
      </c>
      <c r="L43" s="3">
        <f t="shared" si="13"/>
        <v>-2747299.8857901301</v>
      </c>
      <c r="M43" s="3">
        <f t="shared" si="14"/>
        <v>249152.30835328772</v>
      </c>
      <c r="N43" s="3">
        <f t="shared" si="15"/>
        <v>2016859.3877002399</v>
      </c>
      <c r="O43" s="3">
        <f t="shared" si="16"/>
        <v>4773119.9939095499</v>
      </c>
      <c r="P43" s="3">
        <f t="shared" si="17"/>
        <v>3062620.764695935</v>
      </c>
      <c r="Q43" s="3">
        <f t="shared" si="18"/>
        <v>0</v>
      </c>
      <c r="R43" s="3">
        <f t="shared" si="19"/>
        <v>0</v>
      </c>
      <c r="S43" s="47">
        <f t="shared" si="8"/>
        <v>7354452.568868882</v>
      </c>
      <c r="T43" s="47">
        <f>'Monthly Data'!BL43+'Monthly Data'!BM43</f>
        <v>3339.9507692307693</v>
      </c>
      <c r="U43" s="47">
        <f t="shared" si="9"/>
        <v>7357792.5196381127</v>
      </c>
      <c r="V43" s="47">
        <f t="shared" si="10"/>
        <v>63211.72830351349</v>
      </c>
      <c r="W43" s="18">
        <f t="shared" si="12"/>
        <v>8.6655738159215623E-3</v>
      </c>
    </row>
    <row r="44" spans="1:23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Data'!BK44</f>
        <v>8348558.2801675331</v>
      </c>
      <c r="E44" s="3">
        <f>'Monthly Data'!CN44</f>
        <v>4.9668995859213254</v>
      </c>
      <c r="F44" s="3">
        <f>'Monthly Data'!CW44</f>
        <v>318.39861424807077</v>
      </c>
      <c r="G44" s="3">
        <f>'Monthly Data'!DQ44</f>
        <v>31</v>
      </c>
      <c r="H44" s="3">
        <f>'Monthly Data'!DD44</f>
        <v>218.7</v>
      </c>
      <c r="I44">
        <f>'Monthly Data'!EJ44</f>
        <v>0</v>
      </c>
      <c r="J44">
        <f>'Monthly Data'!EF44</f>
        <v>0</v>
      </c>
      <c r="L44" s="3">
        <f t="shared" si="13"/>
        <v>-2747299.8857901301</v>
      </c>
      <c r="M44" s="3">
        <f t="shared" si="14"/>
        <v>19498.0709405456</v>
      </c>
      <c r="N44" s="3">
        <f t="shared" si="15"/>
        <v>3240085.1213748348</v>
      </c>
      <c r="O44" s="3">
        <f t="shared" si="16"/>
        <v>4932223.9937065355</v>
      </c>
      <c r="P44" s="3">
        <f t="shared" si="17"/>
        <v>3051458.5933439676</v>
      </c>
      <c r="Q44" s="3">
        <f t="shared" si="18"/>
        <v>0</v>
      </c>
      <c r="R44" s="3">
        <f t="shared" si="19"/>
        <v>0</v>
      </c>
      <c r="S44" s="47">
        <f t="shared" si="8"/>
        <v>8495965.893575754</v>
      </c>
      <c r="T44" s="47">
        <f>'Monthly Data'!BL44+'Monthly Data'!BM44</f>
        <v>3592.1458974358975</v>
      </c>
      <c r="U44" s="47">
        <f t="shared" si="9"/>
        <v>8499558.039473189</v>
      </c>
      <c r="V44" s="47">
        <f t="shared" si="10"/>
        <v>150999.75930565596</v>
      </c>
      <c r="W44" s="18">
        <f t="shared" si="12"/>
        <v>1.808692641750664E-2</v>
      </c>
    </row>
    <row r="45" spans="1:23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Data'!BK45</f>
        <v>8435672.507350456</v>
      </c>
      <c r="E45" s="3">
        <f>'Monthly Data'!CN45</f>
        <v>7.2291666666666679</v>
      </c>
      <c r="F45" s="3">
        <f>'Monthly Data'!CW45</f>
        <v>314.24583333333334</v>
      </c>
      <c r="G45" s="3">
        <f>'Monthly Data'!DQ45</f>
        <v>31</v>
      </c>
      <c r="H45" s="3">
        <f>'Monthly Data'!DD45</f>
        <v>217.1</v>
      </c>
      <c r="I45">
        <f>'Monthly Data'!EJ45</f>
        <v>0</v>
      </c>
      <c r="J45">
        <f>'Monthly Data'!EF45</f>
        <v>0</v>
      </c>
      <c r="L45" s="3">
        <f t="shared" si="13"/>
        <v>-2747299.8857901301</v>
      </c>
      <c r="M45" s="3">
        <f t="shared" si="14"/>
        <v>28378.831113725471</v>
      </c>
      <c r="N45" s="3">
        <f t="shared" si="15"/>
        <v>3197825.6294924775</v>
      </c>
      <c r="O45" s="3">
        <f t="shared" si="16"/>
        <v>4932223.9937065355</v>
      </c>
      <c r="P45" s="3">
        <f t="shared" si="17"/>
        <v>3029134.2506400337</v>
      </c>
      <c r="Q45" s="3">
        <f t="shared" si="18"/>
        <v>0</v>
      </c>
      <c r="R45" s="3">
        <f t="shared" si="19"/>
        <v>0</v>
      </c>
      <c r="S45" s="47">
        <f t="shared" si="8"/>
        <v>8440262.8191626407</v>
      </c>
      <c r="T45" s="47">
        <f>'Monthly Data'!BL45+'Monthly Data'!BM45</f>
        <v>3844.3410256410257</v>
      </c>
      <c r="U45" s="47">
        <f t="shared" si="9"/>
        <v>8444107.1601882819</v>
      </c>
      <c r="V45" s="47">
        <f t="shared" si="10"/>
        <v>8434.6528378259391</v>
      </c>
      <c r="W45" s="18">
        <f t="shared" si="12"/>
        <v>9.9987912409785608E-4</v>
      </c>
    </row>
    <row r="46" spans="1:23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Data'!BK46</f>
        <v>7360761.154793391</v>
      </c>
      <c r="E46" s="3">
        <f>'Monthly Data'!CN46</f>
        <v>92.370833333333337</v>
      </c>
      <c r="F46" s="3">
        <f>'Monthly Data'!CW46</f>
        <v>183.48333333333329</v>
      </c>
      <c r="G46" s="3">
        <f>'Monthly Data'!DQ46</f>
        <v>30</v>
      </c>
      <c r="H46" s="3">
        <f>'Monthly Data'!DD46</f>
        <v>215.6</v>
      </c>
      <c r="I46">
        <f>'Monthly Data'!EJ46</f>
        <v>0</v>
      </c>
      <c r="J46">
        <f>'Monthly Data'!EF46</f>
        <v>1</v>
      </c>
      <c r="L46" s="3">
        <f t="shared" si="13"/>
        <v>-2747299.8857901301</v>
      </c>
      <c r="M46" s="3">
        <f t="shared" si="14"/>
        <v>362611.12793093943</v>
      </c>
      <c r="N46" s="3">
        <f t="shared" si="15"/>
        <v>1867161.4503020553</v>
      </c>
      <c r="O46" s="3">
        <f t="shared" si="16"/>
        <v>4773119.9939095499</v>
      </c>
      <c r="P46" s="3">
        <f t="shared" si="17"/>
        <v>3008205.1793550956</v>
      </c>
      <c r="Q46" s="3">
        <f t="shared" si="18"/>
        <v>0</v>
      </c>
      <c r="R46" s="3">
        <f t="shared" si="19"/>
        <v>193845.03320349701</v>
      </c>
      <c r="S46" s="47">
        <f t="shared" si="8"/>
        <v>7457642.8989110058</v>
      </c>
      <c r="T46" s="47">
        <f>'Monthly Data'!BL46+'Monthly Data'!BM46</f>
        <v>4096.5361538461539</v>
      </c>
      <c r="U46" s="47">
        <f t="shared" si="9"/>
        <v>7461739.4350648522</v>
      </c>
      <c r="V46" s="47">
        <f t="shared" si="10"/>
        <v>100978.28027146123</v>
      </c>
      <c r="W46" s="18">
        <f t="shared" si="12"/>
        <v>1.3718456304712905E-2</v>
      </c>
    </row>
    <row r="47" spans="1:23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Data'!BK47</f>
        <v>7005375.5368262846</v>
      </c>
      <c r="E47" s="3">
        <f>'Monthly Data'!CN47</f>
        <v>364.80833333333339</v>
      </c>
      <c r="F47" s="3">
        <f>'Monthly Data'!CW47</f>
        <v>25.358333333333334</v>
      </c>
      <c r="G47" s="3">
        <f>'Monthly Data'!DQ47</f>
        <v>31</v>
      </c>
      <c r="H47" s="3">
        <f>'Monthly Data'!DD47</f>
        <v>214.7</v>
      </c>
      <c r="I47">
        <f>'Monthly Data'!EJ47</f>
        <v>0</v>
      </c>
      <c r="J47">
        <f>'Monthly Data'!EF47</f>
        <v>1</v>
      </c>
      <c r="L47" s="3">
        <f t="shared" si="13"/>
        <v>-2747299.8857901301</v>
      </c>
      <c r="M47" s="3">
        <f t="shared" si="14"/>
        <v>1432092.3223810489</v>
      </c>
      <c r="N47" s="3">
        <f t="shared" si="15"/>
        <v>258051.24413067289</v>
      </c>
      <c r="O47" s="3">
        <f t="shared" si="16"/>
        <v>4932223.9937065355</v>
      </c>
      <c r="P47" s="3">
        <f t="shared" si="17"/>
        <v>2995647.736584133</v>
      </c>
      <c r="Q47" s="3">
        <f t="shared" si="18"/>
        <v>0</v>
      </c>
      <c r="R47" s="3">
        <f t="shared" si="19"/>
        <v>193845.03320349701</v>
      </c>
      <c r="S47" s="47">
        <f t="shared" si="8"/>
        <v>7064560.4442157568</v>
      </c>
      <c r="T47" s="47">
        <f>'Monthly Data'!BL47+'Monthly Data'!BM47</f>
        <v>4348.7312820512825</v>
      </c>
      <c r="U47" s="47">
        <f t="shared" si="9"/>
        <v>7068909.1754978085</v>
      </c>
      <c r="V47" s="47">
        <f t="shared" si="10"/>
        <v>63533.638671523891</v>
      </c>
      <c r="W47" s="18">
        <f t="shared" si="12"/>
        <v>9.0692694970507144E-3</v>
      </c>
    </row>
    <row r="48" spans="1:23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Data'!BK48</f>
        <v>7576031.0543192187</v>
      </c>
      <c r="E48" s="3">
        <f>'Monthly Data'!CN48</f>
        <v>563.52499999999998</v>
      </c>
      <c r="F48" s="3">
        <f>'Monthly Data'!CW48</f>
        <v>0</v>
      </c>
      <c r="G48" s="3">
        <f>'Monthly Data'!DQ48</f>
        <v>30</v>
      </c>
      <c r="H48" s="3">
        <f>'Monthly Data'!DD48</f>
        <v>214.8</v>
      </c>
      <c r="I48">
        <f>'Monthly Data'!EJ48</f>
        <v>0</v>
      </c>
      <c r="J48">
        <f>'Monthly Data'!EF48</f>
        <v>1</v>
      </c>
      <c r="L48" s="3">
        <f t="shared" si="13"/>
        <v>-2747299.8857901301</v>
      </c>
      <c r="M48" s="3">
        <f t="shared" si="14"/>
        <v>2212174.8661711318</v>
      </c>
      <c r="N48" s="3">
        <f t="shared" si="15"/>
        <v>0</v>
      </c>
      <c r="O48" s="3">
        <f t="shared" si="16"/>
        <v>4773119.9939095499</v>
      </c>
      <c r="P48" s="3">
        <f t="shared" si="17"/>
        <v>2997043.0080031292</v>
      </c>
      <c r="Q48" s="3">
        <f t="shared" si="18"/>
        <v>0</v>
      </c>
      <c r="R48" s="3">
        <f t="shared" si="19"/>
        <v>193845.03320349701</v>
      </c>
      <c r="S48" s="47">
        <f t="shared" si="8"/>
        <v>7428883.0154971769</v>
      </c>
      <c r="T48" s="47">
        <f>'Monthly Data'!BL48+'Monthly Data'!BM48</f>
        <v>4600.9264102564102</v>
      </c>
      <c r="U48" s="47">
        <f t="shared" si="9"/>
        <v>7433483.9419074329</v>
      </c>
      <c r="V48" s="47">
        <f t="shared" si="10"/>
        <v>-142547.11241178587</v>
      </c>
      <c r="W48" s="18">
        <f t="shared" si="12"/>
        <v>1.8815539612990029E-2</v>
      </c>
    </row>
    <row r="49" spans="1:23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Data'!BK49</f>
        <v>7915376.2458921522</v>
      </c>
      <c r="E49" s="3">
        <f>'Monthly Data'!CN49</f>
        <v>646.91666666666663</v>
      </c>
      <c r="F49" s="3">
        <f>'Monthly Data'!CW49</f>
        <v>0</v>
      </c>
      <c r="G49" s="3">
        <f>'Monthly Data'!DQ49</f>
        <v>31</v>
      </c>
      <c r="H49" s="3">
        <f>'Monthly Data'!DD49</f>
        <v>214.1</v>
      </c>
      <c r="I49">
        <f>'Monthly Data'!EJ49</f>
        <v>0</v>
      </c>
      <c r="J49">
        <f>'Monthly Data'!EF49</f>
        <v>0</v>
      </c>
      <c r="L49" s="3">
        <f t="shared" si="13"/>
        <v>-2747299.8857901301</v>
      </c>
      <c r="M49" s="3">
        <f t="shared" si="14"/>
        <v>2539537.3594910754</v>
      </c>
      <c r="N49" s="3">
        <f t="shared" si="15"/>
        <v>0</v>
      </c>
      <c r="O49" s="3">
        <f t="shared" si="16"/>
        <v>4932223.9937065355</v>
      </c>
      <c r="P49" s="3">
        <f t="shared" si="17"/>
        <v>2987276.1080701575</v>
      </c>
      <c r="Q49" s="3">
        <f t="shared" si="18"/>
        <v>0</v>
      </c>
      <c r="R49" s="3">
        <f t="shared" si="19"/>
        <v>0</v>
      </c>
      <c r="S49" s="47">
        <f t="shared" si="8"/>
        <v>7711737.5754776383</v>
      </c>
      <c r="T49" s="47">
        <f>'Monthly Data'!BL49+'Monthly Data'!BM49</f>
        <v>4853.1215384615389</v>
      </c>
      <c r="U49" s="47">
        <f t="shared" si="9"/>
        <v>7716590.6970160995</v>
      </c>
      <c r="V49" s="47">
        <f t="shared" si="10"/>
        <v>-198785.54887605272</v>
      </c>
      <c r="W49" s="18">
        <f t="shared" si="12"/>
        <v>2.5113847112348778E-2</v>
      </c>
    </row>
    <row r="50" spans="1:23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Data'!BK50</f>
        <v>8848511.1979011837</v>
      </c>
      <c r="E50" s="3">
        <f>'Monthly Data'!CN50</f>
        <v>841.93333333333351</v>
      </c>
      <c r="F50" s="3">
        <f>'Monthly Data'!CW50</f>
        <v>0</v>
      </c>
      <c r="G50" s="3">
        <f>'Monthly Data'!DQ50</f>
        <v>31</v>
      </c>
      <c r="H50" s="3">
        <f>'Monthly Data'!DD50</f>
        <v>216.3</v>
      </c>
      <c r="I50">
        <f>'Monthly Data'!EJ50</f>
        <v>0</v>
      </c>
      <c r="J50">
        <f>'Monthly Data'!EF50</f>
        <v>0</v>
      </c>
      <c r="L50" s="3">
        <f t="shared" si="13"/>
        <v>-2747299.8857901301</v>
      </c>
      <c r="M50" s="3">
        <f t="shared" si="14"/>
        <v>3305095.17588693</v>
      </c>
      <c r="N50" s="3">
        <f t="shared" si="15"/>
        <v>0</v>
      </c>
      <c r="O50" s="3">
        <f t="shared" si="16"/>
        <v>4932223.9937065355</v>
      </c>
      <c r="P50" s="3">
        <f t="shared" si="17"/>
        <v>3017972.0792880673</v>
      </c>
      <c r="Q50" s="3">
        <f t="shared" si="18"/>
        <v>0</v>
      </c>
      <c r="R50" s="3">
        <f t="shared" si="19"/>
        <v>0</v>
      </c>
      <c r="S50" s="47">
        <f t="shared" si="8"/>
        <v>8507991.3630914018</v>
      </c>
      <c r="T50" s="47">
        <f ca="1">'Monthly Data'!BL50+'Monthly Data'!BM50</f>
        <v>14475.728575628906</v>
      </c>
      <c r="U50" s="47">
        <f t="shared" ca="1" si="9"/>
        <v>8522467.09166703</v>
      </c>
      <c r="V50" s="47">
        <f t="shared" ca="1" si="10"/>
        <v>-326044.10623415373</v>
      </c>
      <c r="W50" s="18">
        <f t="shared" ca="1" si="12"/>
        <v>3.6847340636410056E-2</v>
      </c>
    </row>
    <row r="51" spans="1:23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Data'!BK51</f>
        <v>7882026.7376251901</v>
      </c>
      <c r="E51" s="3">
        <f>'Monthly Data'!CN51</f>
        <v>695.30416666666645</v>
      </c>
      <c r="F51" s="3">
        <f>'Monthly Data'!CW51</f>
        <v>0</v>
      </c>
      <c r="G51" s="3">
        <f>'Monthly Data'!DQ51</f>
        <v>28</v>
      </c>
      <c r="H51" s="3">
        <f>'Monthly Data'!DD51</f>
        <v>218</v>
      </c>
      <c r="I51">
        <f>'Monthly Data'!EJ51</f>
        <v>0</v>
      </c>
      <c r="J51">
        <f>'Monthly Data'!EF51</f>
        <v>0</v>
      </c>
      <c r="L51" s="3">
        <f t="shared" si="13"/>
        <v>-2747299.8857901301</v>
      </c>
      <c r="M51" s="3">
        <f t="shared" si="14"/>
        <v>2729487.42619061</v>
      </c>
      <c r="N51" s="3">
        <f t="shared" si="15"/>
        <v>0</v>
      </c>
      <c r="O51" s="3">
        <f t="shared" si="16"/>
        <v>4454911.9943155805</v>
      </c>
      <c r="P51" s="3">
        <f t="shared" si="17"/>
        <v>3041691.6934109968</v>
      </c>
      <c r="Q51" s="3">
        <f t="shared" si="18"/>
        <v>0</v>
      </c>
      <c r="R51" s="3">
        <f t="shared" si="19"/>
        <v>0</v>
      </c>
      <c r="S51" s="47">
        <f t="shared" si="8"/>
        <v>7478791.2281270567</v>
      </c>
      <c r="T51" s="47">
        <f ca="1">'Monthly Data'!BL51+'Monthly Data'!BM51</f>
        <v>12994.493647219504</v>
      </c>
      <c r="U51" s="47">
        <f t="shared" ca="1" si="9"/>
        <v>7491785.7217742763</v>
      </c>
      <c r="V51" s="47">
        <f t="shared" ca="1" si="10"/>
        <v>-390241.01585091371</v>
      </c>
      <c r="W51" s="18">
        <f t="shared" ca="1" si="12"/>
        <v>4.951023751138544E-2</v>
      </c>
    </row>
    <row r="52" spans="1:23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Data'!BK52</f>
        <v>8167883.940929207</v>
      </c>
      <c r="E52" s="3">
        <f>'Monthly Data'!CN52</f>
        <v>673.45833333333326</v>
      </c>
      <c r="F52" s="3">
        <f>'Monthly Data'!CW52</f>
        <v>0</v>
      </c>
      <c r="G52" s="3">
        <f>'Monthly Data'!DQ52</f>
        <v>31</v>
      </c>
      <c r="H52" s="3">
        <f>'Monthly Data'!DD52</f>
        <v>220.1</v>
      </c>
      <c r="I52">
        <f>'Monthly Data'!EJ52</f>
        <v>0</v>
      </c>
      <c r="J52">
        <f>'Monthly Data'!EF52</f>
        <v>0</v>
      </c>
      <c r="L52" s="3">
        <f t="shared" si="13"/>
        <v>-2747299.8857901301</v>
      </c>
      <c r="M52" s="3">
        <f t="shared" si="14"/>
        <v>2643729.3791996809</v>
      </c>
      <c r="N52" s="3">
        <f t="shared" si="15"/>
        <v>0</v>
      </c>
      <c r="O52" s="3">
        <f t="shared" si="16"/>
        <v>4932223.9937065355</v>
      </c>
      <c r="P52" s="3">
        <f t="shared" si="17"/>
        <v>3070992.39320991</v>
      </c>
      <c r="Q52" s="3">
        <f t="shared" si="18"/>
        <v>0</v>
      </c>
      <c r="R52" s="3">
        <f t="shared" si="19"/>
        <v>0</v>
      </c>
      <c r="S52" s="47">
        <f t="shared" si="8"/>
        <v>7899645.8803259963</v>
      </c>
      <c r="T52" s="47">
        <f ca="1">'Monthly Data'!BL52+'Monthly Data'!BM52</f>
        <v>12842.755523725471</v>
      </c>
      <c r="U52" s="47">
        <f t="shared" ca="1" si="9"/>
        <v>7912488.6358497217</v>
      </c>
      <c r="V52" s="47">
        <f t="shared" ca="1" si="10"/>
        <v>-255395.30507948529</v>
      </c>
      <c r="W52" s="18">
        <f t="shared" ca="1" si="12"/>
        <v>3.1268233844472408E-2</v>
      </c>
    </row>
    <row r="53" spans="1:23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Data'!BK53</f>
        <v>7072987.0649232231</v>
      </c>
      <c r="E53" s="3">
        <f>'Monthly Data'!CN53</f>
        <v>426.6541666666667</v>
      </c>
      <c r="F53" s="3">
        <f>'Monthly Data'!CW53</f>
        <v>0.84583333333333144</v>
      </c>
      <c r="G53" s="3">
        <f>'Monthly Data'!DQ53</f>
        <v>30</v>
      </c>
      <c r="H53" s="3">
        <f>'Monthly Data'!DD53</f>
        <v>219.6</v>
      </c>
      <c r="I53">
        <f>'Monthly Data'!EJ53</f>
        <v>0</v>
      </c>
      <c r="J53">
        <f>'Monthly Data'!EF53</f>
        <v>0</v>
      </c>
      <c r="L53" s="3">
        <f t="shared" si="13"/>
        <v>-2747299.8857901301</v>
      </c>
      <c r="M53" s="3">
        <f t="shared" si="14"/>
        <v>1674874.4493095947</v>
      </c>
      <c r="N53" s="3">
        <f t="shared" si="15"/>
        <v>8607.3615771486166</v>
      </c>
      <c r="O53" s="3">
        <f t="shared" si="16"/>
        <v>4773119.9939095499</v>
      </c>
      <c r="P53" s="3">
        <f t="shared" si="17"/>
        <v>3064016.0361149306</v>
      </c>
      <c r="Q53" s="3">
        <f t="shared" si="18"/>
        <v>0</v>
      </c>
      <c r="R53" s="3">
        <f t="shared" si="19"/>
        <v>0</v>
      </c>
      <c r="S53" s="47">
        <f t="shared" si="8"/>
        <v>6773317.9551210944</v>
      </c>
      <c r="T53" s="47">
        <f ca="1">'Monthly Data'!BL53+'Monthly Data'!BM53</f>
        <v>10133.499348216406</v>
      </c>
      <c r="U53" s="47">
        <f t="shared" ca="1" si="9"/>
        <v>6783451.4544693111</v>
      </c>
      <c r="V53" s="47">
        <f t="shared" ca="1" si="10"/>
        <v>-289535.61045391206</v>
      </c>
      <c r="W53" s="18">
        <f t="shared" ca="1" si="12"/>
        <v>4.0935407883013704E-2</v>
      </c>
    </row>
    <row r="54" spans="1:23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Data'!BK54</f>
        <v>6838483.0169672398</v>
      </c>
      <c r="E54" s="3">
        <f>'Monthly Data'!CN54</f>
        <v>267.53464912280702</v>
      </c>
      <c r="F54" s="3">
        <f>'Monthly Data'!CW54</f>
        <v>27.579166666666666</v>
      </c>
      <c r="G54" s="3">
        <f>'Monthly Data'!DQ54</f>
        <v>31</v>
      </c>
      <c r="H54" s="3">
        <f>'Monthly Data'!DD54</f>
        <v>218.7</v>
      </c>
      <c r="I54">
        <f>'Monthly Data'!EJ54</f>
        <v>0</v>
      </c>
      <c r="J54">
        <f>'Monthly Data'!EF54</f>
        <v>0</v>
      </c>
      <c r="L54" s="3">
        <f t="shared" si="13"/>
        <v>-2747299.8857901301</v>
      </c>
      <c r="M54" s="3">
        <f t="shared" si="14"/>
        <v>1050234.5532485452</v>
      </c>
      <c r="N54" s="3">
        <f t="shared" si="15"/>
        <v>280650.86837018136</v>
      </c>
      <c r="O54" s="3">
        <f t="shared" si="16"/>
        <v>4932223.9937065355</v>
      </c>
      <c r="P54" s="3">
        <f t="shared" si="17"/>
        <v>3051458.5933439676</v>
      </c>
      <c r="Q54" s="3">
        <f t="shared" si="18"/>
        <v>0</v>
      </c>
      <c r="R54" s="3">
        <f t="shared" si="19"/>
        <v>0</v>
      </c>
      <c r="S54" s="47">
        <f t="shared" si="8"/>
        <v>6567268.1228790991</v>
      </c>
      <c r="T54" s="47">
        <f ca="1">'Monthly Data'!BL54+'Monthly Data'!BM54</f>
        <v>8410.7229152452583</v>
      </c>
      <c r="U54" s="47">
        <f t="shared" ca="1" si="9"/>
        <v>6575678.8457943443</v>
      </c>
      <c r="V54" s="47">
        <f t="shared" ca="1" si="10"/>
        <v>-262804.17117289547</v>
      </c>
      <c r="W54" s="18">
        <f t="shared" ref="W54:W85" ca="1" si="20">ABS(V54/D54)</f>
        <v>3.8430185542735328E-2</v>
      </c>
    </row>
    <row r="55" spans="1:23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Data'!BK55</f>
        <v>7093708.9495712565</v>
      </c>
      <c r="E55" s="3">
        <f>'Monthly Data'!CN55</f>
        <v>80.695833333333368</v>
      </c>
      <c r="F55" s="3">
        <f>'Monthly Data'!CW55</f>
        <v>173.67083333333326</v>
      </c>
      <c r="G55" s="3">
        <f>'Monthly Data'!DQ55</f>
        <v>30</v>
      </c>
      <c r="H55" s="3">
        <f>'Monthly Data'!DD55</f>
        <v>217.8</v>
      </c>
      <c r="I55">
        <f>'Monthly Data'!EJ55</f>
        <v>0</v>
      </c>
      <c r="J55">
        <f>'Monthly Data'!EF55</f>
        <v>0</v>
      </c>
      <c r="L55" s="3">
        <f t="shared" si="13"/>
        <v>-2747299.8857901301</v>
      </c>
      <c r="M55" s="3">
        <f t="shared" si="14"/>
        <v>316779.72459914774</v>
      </c>
      <c r="N55" s="3">
        <f t="shared" si="15"/>
        <v>1767307.5758479415</v>
      </c>
      <c r="O55" s="3">
        <f t="shared" si="16"/>
        <v>4773119.9939095499</v>
      </c>
      <c r="P55" s="3">
        <f t="shared" si="17"/>
        <v>3038901.150573005</v>
      </c>
      <c r="Q55" s="3">
        <f t="shared" si="18"/>
        <v>0</v>
      </c>
      <c r="R55" s="3">
        <f t="shared" si="19"/>
        <v>0</v>
      </c>
      <c r="S55" s="47">
        <f t="shared" ref="S55:S109" si="21">SUM(L55:R55)</f>
        <v>7148808.5591395143</v>
      </c>
      <c r="T55" s="47">
        <f ca="1">'Monthly Data'!BL55+'Monthly Data'!BM55</f>
        <v>6708.053398478587</v>
      </c>
      <c r="U55" s="47">
        <f t="shared" ref="U55:U118" ca="1" si="22">S55+T55</f>
        <v>7155516.6125379931</v>
      </c>
      <c r="V55" s="47">
        <f t="shared" ref="V55:V118" ca="1" si="23">U55-D55</f>
        <v>61807.662966736592</v>
      </c>
      <c r="W55" s="18">
        <f t="shared" ca="1" si="20"/>
        <v>8.7130249360558056E-3</v>
      </c>
    </row>
    <row r="56" spans="1:23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Data'!BK56</f>
        <v>8594557.7626252621</v>
      </c>
      <c r="E56" s="3">
        <f>'Monthly Data'!CN56</f>
        <v>0.97500000000000497</v>
      </c>
      <c r="F56" s="3">
        <f>'Monthly Data'!CW56</f>
        <v>321.60000000000002</v>
      </c>
      <c r="G56" s="3">
        <f>'Monthly Data'!DQ56</f>
        <v>31</v>
      </c>
      <c r="H56" s="3">
        <f>'Monthly Data'!DD56</f>
        <v>216.2</v>
      </c>
      <c r="I56">
        <f>'Monthly Data'!EJ56</f>
        <v>0</v>
      </c>
      <c r="J56">
        <f>'Monthly Data'!EF56</f>
        <v>0</v>
      </c>
      <c r="L56" s="3">
        <f t="shared" si="13"/>
        <v>-2747299.8857901301</v>
      </c>
      <c r="M56" s="3">
        <f t="shared" si="14"/>
        <v>3827.4619484794193</v>
      </c>
      <c r="N56" s="3">
        <f t="shared" si="15"/>
        <v>3272663.0343381297</v>
      </c>
      <c r="O56" s="3">
        <f t="shared" si="16"/>
        <v>4932223.9937065355</v>
      </c>
      <c r="P56" s="3">
        <f t="shared" si="17"/>
        <v>3016576.8078690707</v>
      </c>
      <c r="Q56" s="3">
        <f t="shared" si="18"/>
        <v>0</v>
      </c>
      <c r="R56" s="3">
        <f t="shared" si="19"/>
        <v>0</v>
      </c>
      <c r="S56" s="47">
        <f t="shared" si="21"/>
        <v>8477991.4120720848</v>
      </c>
      <c r="T56" s="47">
        <f ca="1">'Monthly Data'!BL56+'Monthly Data'!BM56</f>
        <v>6340.8884615384613</v>
      </c>
      <c r="U56" s="47">
        <f t="shared" ca="1" si="22"/>
        <v>8484332.3005336225</v>
      </c>
      <c r="V56" s="47">
        <f t="shared" ca="1" si="23"/>
        <v>-110225.46209163964</v>
      </c>
      <c r="W56" s="18">
        <f t="shared" ca="1" si="20"/>
        <v>1.2825030110446377E-2</v>
      </c>
    </row>
    <row r="57" spans="1:23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Data'!BK57</f>
        <v>8002819.7729993081</v>
      </c>
      <c r="E57" s="3">
        <f>'Monthly Data'!CN57</f>
        <v>19.091666666666661</v>
      </c>
      <c r="F57" s="3">
        <f>'Monthly Data'!CW57</f>
        <v>252.07083333333335</v>
      </c>
      <c r="G57" s="3">
        <f>'Monthly Data'!DQ57</f>
        <v>31</v>
      </c>
      <c r="H57" s="3">
        <f>'Monthly Data'!DD57</f>
        <v>213.3</v>
      </c>
      <c r="I57">
        <f>'Monthly Data'!EJ57</f>
        <v>0</v>
      </c>
      <c r="J57">
        <f>'Monthly Data'!EF57</f>
        <v>0</v>
      </c>
      <c r="L57" s="3">
        <f t="shared" si="13"/>
        <v>-2747299.8857901301</v>
      </c>
      <c r="M57" s="3">
        <f t="shared" si="14"/>
        <v>74946.284820224813</v>
      </c>
      <c r="N57" s="3">
        <f t="shared" si="15"/>
        <v>2565120.9523781333</v>
      </c>
      <c r="O57" s="3">
        <f t="shared" si="16"/>
        <v>4932223.9937065355</v>
      </c>
      <c r="P57" s="3">
        <f t="shared" si="17"/>
        <v>2976113.936718191</v>
      </c>
      <c r="Q57" s="3">
        <f t="shared" si="18"/>
        <v>0</v>
      </c>
      <c r="R57" s="3">
        <f t="shared" si="19"/>
        <v>0</v>
      </c>
      <c r="S57" s="47">
        <f t="shared" si="21"/>
        <v>7801105.2818329548</v>
      </c>
      <c r="T57" s="47">
        <f ca="1">'Monthly Data'!BL57+'Monthly Data'!BM57</f>
        <v>6572.1640843400528</v>
      </c>
      <c r="U57" s="47">
        <f t="shared" ca="1" si="22"/>
        <v>7807677.4459172953</v>
      </c>
      <c r="V57" s="47">
        <f t="shared" ca="1" si="23"/>
        <v>-195142.32708201278</v>
      </c>
      <c r="W57" s="18">
        <f t="shared" ca="1" si="20"/>
        <v>2.4384196148013099E-2</v>
      </c>
    </row>
    <row r="58" spans="1:23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Data'!BK58</f>
        <v>6884944.2493633153</v>
      </c>
      <c r="E58" s="3">
        <f>'Monthly Data'!CN58</f>
        <v>113.56666666666666</v>
      </c>
      <c r="F58" s="3">
        <f>'Monthly Data'!CW58</f>
        <v>131.93750000000003</v>
      </c>
      <c r="G58" s="3">
        <f>'Monthly Data'!DQ58</f>
        <v>30</v>
      </c>
      <c r="H58" s="3">
        <f>'Monthly Data'!DD58</f>
        <v>209.5</v>
      </c>
      <c r="I58">
        <f>'Monthly Data'!EJ58</f>
        <v>0</v>
      </c>
      <c r="J58">
        <f>'Monthly Data'!EF58</f>
        <v>1</v>
      </c>
      <c r="L58" s="3">
        <f t="shared" si="13"/>
        <v>-2747299.8857901301</v>
      </c>
      <c r="M58" s="3">
        <f t="shared" si="14"/>
        <v>445817.53362288256</v>
      </c>
      <c r="N58" s="3">
        <f t="shared" si="15"/>
        <v>1342621.2036473476</v>
      </c>
      <c r="O58" s="3">
        <f t="shared" si="16"/>
        <v>4773119.9939095499</v>
      </c>
      <c r="P58" s="3">
        <f t="shared" si="17"/>
        <v>2923093.6227963478</v>
      </c>
      <c r="Q58" s="3">
        <f t="shared" si="18"/>
        <v>0</v>
      </c>
      <c r="R58" s="3">
        <f t="shared" si="19"/>
        <v>193845.03320349701</v>
      </c>
      <c r="S58" s="47">
        <f t="shared" si="21"/>
        <v>6931197.5013894942</v>
      </c>
      <c r="T58" s="47">
        <f ca="1">'Monthly Data'!BL58+'Monthly Data'!BM58</f>
        <v>7425.4072718173929</v>
      </c>
      <c r="U58" s="47">
        <f t="shared" ca="1" si="22"/>
        <v>6938622.9086613115</v>
      </c>
      <c r="V58" s="47">
        <f t="shared" ca="1" si="23"/>
        <v>53678.659297996201</v>
      </c>
      <c r="W58" s="18">
        <f t="shared" ca="1" si="20"/>
        <v>7.7965278081896057E-3</v>
      </c>
    </row>
    <row r="59" spans="1:23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Data'!BK59</f>
        <v>6770671.0458273515</v>
      </c>
      <c r="E59" s="3">
        <f>'Monthly Data'!CN59</f>
        <v>303.96666666666664</v>
      </c>
      <c r="F59" s="3">
        <f>'Monthly Data'!CW59</f>
        <v>16.670833333333334</v>
      </c>
      <c r="G59" s="3">
        <f>'Monthly Data'!DQ59</f>
        <v>31</v>
      </c>
      <c r="H59" s="3">
        <f>'Monthly Data'!DD59</f>
        <v>206.9</v>
      </c>
      <c r="I59">
        <f>'Monthly Data'!EJ59</f>
        <v>0</v>
      </c>
      <c r="J59">
        <f>'Monthly Data'!EF59</f>
        <v>1</v>
      </c>
      <c r="L59" s="3">
        <f t="shared" si="13"/>
        <v>-2747299.8857901301</v>
      </c>
      <c r="M59" s="3">
        <f t="shared" si="14"/>
        <v>1193252.1541259366</v>
      </c>
      <c r="N59" s="3">
        <f t="shared" si="15"/>
        <v>169645.58458212655</v>
      </c>
      <c r="O59" s="3">
        <f t="shared" si="16"/>
        <v>4932223.9937065355</v>
      </c>
      <c r="P59" s="3">
        <f t="shared" si="17"/>
        <v>2886816.5659024552</v>
      </c>
      <c r="Q59" s="3">
        <f t="shared" si="18"/>
        <v>0</v>
      </c>
      <c r="R59" s="3">
        <f t="shared" si="19"/>
        <v>193845.03320349701</v>
      </c>
      <c r="S59" s="47">
        <f t="shared" si="21"/>
        <v>6628483.4457304208</v>
      </c>
      <c r="T59" s="47">
        <f ca="1">'Monthly Data'!BL59+'Monthly Data'!BM59</f>
        <v>9744.1029002380892</v>
      </c>
      <c r="U59" s="47">
        <f t="shared" ca="1" si="22"/>
        <v>6638227.5486306585</v>
      </c>
      <c r="V59" s="47">
        <f t="shared" ca="1" si="23"/>
        <v>-132443.49719669297</v>
      </c>
      <c r="W59" s="18">
        <f t="shared" ca="1" si="20"/>
        <v>1.9561354598421322E-2</v>
      </c>
    </row>
    <row r="60" spans="1:23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Data'!BK60</f>
        <v>7487770.5730713475</v>
      </c>
      <c r="E60" s="3">
        <f>'Monthly Data'!CN60</f>
        <v>589.72500000000002</v>
      </c>
      <c r="F60" s="3">
        <f>'Monthly Data'!CW60</f>
        <v>0</v>
      </c>
      <c r="G60" s="3">
        <f>'Monthly Data'!DQ60</f>
        <v>30</v>
      </c>
      <c r="H60" s="3">
        <f>'Monthly Data'!DD60</f>
        <v>205.5</v>
      </c>
      <c r="I60">
        <f>'Monthly Data'!EJ60</f>
        <v>0</v>
      </c>
      <c r="J60">
        <f>'Monthly Data'!EF60</f>
        <v>1</v>
      </c>
      <c r="L60" s="3">
        <f t="shared" si="13"/>
        <v>-2747299.8857901301</v>
      </c>
      <c r="M60" s="3">
        <f t="shared" si="14"/>
        <v>2315025.6385302711</v>
      </c>
      <c r="N60" s="3">
        <f t="shared" si="15"/>
        <v>0</v>
      </c>
      <c r="O60" s="3">
        <f t="shared" si="16"/>
        <v>4773119.9939095499</v>
      </c>
      <c r="P60" s="3">
        <f t="shared" si="17"/>
        <v>2867282.7660365128</v>
      </c>
      <c r="Q60" s="3">
        <f t="shared" si="18"/>
        <v>0</v>
      </c>
      <c r="R60" s="3">
        <f t="shared" si="19"/>
        <v>193845.03320349701</v>
      </c>
      <c r="S60" s="47">
        <f t="shared" si="21"/>
        <v>7401973.5458897008</v>
      </c>
      <c r="T60" s="47">
        <f ca="1">'Monthly Data'!BL60+'Monthly Data'!BM60</f>
        <v>13291.36006188429</v>
      </c>
      <c r="U60" s="47">
        <f t="shared" ca="1" si="22"/>
        <v>7415264.9059515847</v>
      </c>
      <c r="V60" s="47">
        <f t="shared" ca="1" si="23"/>
        <v>-72505.66711976286</v>
      </c>
      <c r="W60" s="18">
        <f t="shared" ca="1" si="20"/>
        <v>9.6832116331820716E-3</v>
      </c>
    </row>
    <row r="61" spans="1:23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Data'!BK61</f>
        <v>8053422.4128653649</v>
      </c>
      <c r="E61" s="3">
        <f>'Monthly Data'!CN61</f>
        <v>676.42916666666656</v>
      </c>
      <c r="F61" s="3">
        <f>'Monthly Data'!CW61</f>
        <v>0</v>
      </c>
      <c r="G61" s="3">
        <f>'Monthly Data'!DQ61</f>
        <v>31</v>
      </c>
      <c r="H61" s="3">
        <f>'Monthly Data'!DD61</f>
        <v>206.4</v>
      </c>
      <c r="I61">
        <f>'Monthly Data'!EJ61</f>
        <v>0</v>
      </c>
      <c r="J61">
        <f>'Monthly Data'!EF61</f>
        <v>0</v>
      </c>
      <c r="L61" s="3">
        <f t="shared" si="13"/>
        <v>-2747299.8857901301</v>
      </c>
      <c r="M61" s="3">
        <f t="shared" si="14"/>
        <v>2655391.6884700474</v>
      </c>
      <c r="N61" s="3">
        <f t="shared" si="15"/>
        <v>0</v>
      </c>
      <c r="O61" s="3">
        <f t="shared" si="16"/>
        <v>4932223.9937065355</v>
      </c>
      <c r="P61" s="3">
        <f t="shared" si="17"/>
        <v>2879840.2088074759</v>
      </c>
      <c r="Q61" s="3">
        <f t="shared" si="18"/>
        <v>0</v>
      </c>
      <c r="R61" s="3">
        <f t="shared" si="19"/>
        <v>0</v>
      </c>
      <c r="S61" s="47">
        <f t="shared" si="21"/>
        <v>7720156.0051939283</v>
      </c>
      <c r="T61" s="47">
        <f ca="1">'Monthly Data'!BL61+'Monthly Data'!BM61</f>
        <v>14466.368195755915</v>
      </c>
      <c r="U61" s="47">
        <f t="shared" ca="1" si="22"/>
        <v>7734622.3733896846</v>
      </c>
      <c r="V61" s="47">
        <f t="shared" ca="1" si="23"/>
        <v>-318800.03947568033</v>
      </c>
      <c r="W61" s="18">
        <f t="shared" ca="1" si="20"/>
        <v>3.9585659752106928E-2</v>
      </c>
    </row>
    <row r="62" spans="1:23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Data'!BK62</f>
        <v>8228992.69431803</v>
      </c>
      <c r="E62" s="3">
        <f>'Monthly Data'!CN62</f>
        <v>690.82083333333321</v>
      </c>
      <c r="F62" s="3">
        <f>'Monthly Data'!CW62</f>
        <v>0</v>
      </c>
      <c r="G62" s="3">
        <f>'Monthly Data'!DQ62</f>
        <v>31</v>
      </c>
      <c r="H62" s="3">
        <f>'Monthly Data'!DD62</f>
        <v>207.2</v>
      </c>
      <c r="I62">
        <f>'Monthly Data'!EJ62</f>
        <v>0</v>
      </c>
      <c r="J62">
        <f>'Monthly Data'!EF62</f>
        <v>0</v>
      </c>
      <c r="L62" s="3">
        <f t="shared" si="13"/>
        <v>-2747299.8857901301</v>
      </c>
      <c r="M62" s="3">
        <f t="shared" si="14"/>
        <v>2711887.6438976023</v>
      </c>
      <c r="N62" s="3">
        <f t="shared" si="15"/>
        <v>0</v>
      </c>
      <c r="O62" s="3">
        <f t="shared" si="16"/>
        <v>4932223.9937065355</v>
      </c>
      <c r="P62" s="3">
        <f t="shared" si="17"/>
        <v>2891002.3801594428</v>
      </c>
      <c r="Q62" s="3">
        <f t="shared" si="18"/>
        <v>0</v>
      </c>
      <c r="R62" s="3">
        <f t="shared" si="19"/>
        <v>0</v>
      </c>
      <c r="S62" s="47">
        <f t="shared" si="21"/>
        <v>7787814.131973451</v>
      </c>
      <c r="T62" s="47">
        <f ca="1">'Monthly Data'!BL62+'Monthly Data'!BM62</f>
        <v>38939.447564369635</v>
      </c>
      <c r="U62" s="47">
        <f t="shared" ca="1" si="22"/>
        <v>7826753.579537821</v>
      </c>
      <c r="V62" s="47">
        <f t="shared" ca="1" si="23"/>
        <v>-402239.11478020903</v>
      </c>
      <c r="W62" s="18">
        <f t="shared" ca="1" si="20"/>
        <v>4.8880723281957444E-2</v>
      </c>
    </row>
    <row r="63" spans="1:23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Data'!BK63</f>
        <v>7733363.3640699657</v>
      </c>
      <c r="E63" s="3">
        <f>'Monthly Data'!CN63</f>
        <v>678.4000000000002</v>
      </c>
      <c r="F63" s="3">
        <f>'Monthly Data'!CW63</f>
        <v>0</v>
      </c>
      <c r="G63" s="3">
        <f>'Monthly Data'!DQ63</f>
        <v>29</v>
      </c>
      <c r="H63" s="3">
        <f>'Monthly Data'!DD63</f>
        <v>209.7</v>
      </c>
      <c r="I63">
        <f>'Monthly Data'!EJ63</f>
        <v>0</v>
      </c>
      <c r="J63">
        <f>'Monthly Data'!EF63</f>
        <v>0</v>
      </c>
      <c r="L63" s="3">
        <f t="shared" si="13"/>
        <v>-2747299.8857901301</v>
      </c>
      <c r="M63" s="3">
        <f t="shared" si="14"/>
        <v>2663128.3957419749</v>
      </c>
      <c r="N63" s="3">
        <f t="shared" si="15"/>
        <v>0</v>
      </c>
      <c r="O63" s="3">
        <f t="shared" si="16"/>
        <v>4614015.9941125652</v>
      </c>
      <c r="P63" s="3">
        <f t="shared" si="17"/>
        <v>2925884.1656343392</v>
      </c>
      <c r="Q63" s="3">
        <f t="shared" si="18"/>
        <v>0</v>
      </c>
      <c r="R63" s="3">
        <f t="shared" si="19"/>
        <v>0</v>
      </c>
      <c r="S63" s="47">
        <f t="shared" si="21"/>
        <v>7455728.6696987487</v>
      </c>
      <c r="T63" s="47">
        <f ca="1">'Monthly Data'!BL63+'Monthly Data'!BM63</f>
        <v>38721.615291529903</v>
      </c>
      <c r="U63" s="47">
        <f t="shared" ca="1" si="22"/>
        <v>7494450.284990279</v>
      </c>
      <c r="V63" s="47">
        <f t="shared" ca="1" si="23"/>
        <v>-238913.07907968666</v>
      </c>
      <c r="W63" s="18">
        <f t="shared" ca="1" si="20"/>
        <v>3.0893812670138122E-2</v>
      </c>
    </row>
    <row r="64" spans="1:23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Data'!BK64</f>
        <v>7090902.7368619405</v>
      </c>
      <c r="E64" s="3">
        <f>'Monthly Data'!CN64</f>
        <v>543.57083333333344</v>
      </c>
      <c r="F64" s="3">
        <f>'Monthly Data'!CW64</f>
        <v>0</v>
      </c>
      <c r="G64" s="3">
        <f>'Monthly Data'!DQ64</f>
        <v>31</v>
      </c>
      <c r="H64" s="3">
        <f>'Monthly Data'!DD64</f>
        <v>208.2</v>
      </c>
      <c r="I64">
        <f>'Monthly Data'!EJ64</f>
        <v>0.5</v>
      </c>
      <c r="J64">
        <f>'Monthly Data'!EF64</f>
        <v>0</v>
      </c>
      <c r="L64" s="3">
        <f t="shared" si="13"/>
        <v>-2747299.8857901301</v>
      </c>
      <c r="M64" s="3">
        <f t="shared" si="14"/>
        <v>2133842.749627253</v>
      </c>
      <c r="N64" s="3">
        <f t="shared" si="15"/>
        <v>0</v>
      </c>
      <c r="O64" s="3">
        <f t="shared" si="16"/>
        <v>4932223.9937065355</v>
      </c>
      <c r="P64" s="3">
        <f t="shared" si="17"/>
        <v>2904955.0943494011</v>
      </c>
      <c r="Q64" s="3">
        <f t="shared" si="18"/>
        <v>-399040.66353784653</v>
      </c>
      <c r="R64" s="3">
        <f t="shared" si="19"/>
        <v>0</v>
      </c>
      <c r="S64" s="47">
        <f t="shared" si="21"/>
        <v>6824681.2883552127</v>
      </c>
      <c r="T64" s="47">
        <f ca="1">'Monthly Data'!BL64+'Monthly Data'!BM64</f>
        <v>32004.803633285759</v>
      </c>
      <c r="U64" s="47">
        <f t="shared" ca="1" si="22"/>
        <v>6856686.0919884983</v>
      </c>
      <c r="V64" s="47">
        <f t="shared" ca="1" si="23"/>
        <v>-234216.64487344213</v>
      </c>
      <c r="W64" s="18">
        <f t="shared" ca="1" si="20"/>
        <v>3.3030582080314085E-2</v>
      </c>
    </row>
    <row r="65" spans="1:23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Data'!BK65</f>
        <v>5606829.434943906</v>
      </c>
      <c r="E65" s="3">
        <f>'Monthly Data'!CN65</f>
        <v>439.67500000000013</v>
      </c>
      <c r="F65" s="3">
        <f>'Monthly Data'!CW65</f>
        <v>0</v>
      </c>
      <c r="G65" s="3">
        <f>'Monthly Data'!DQ65</f>
        <v>30</v>
      </c>
      <c r="H65" s="3">
        <f>'Monthly Data'!DD65</f>
        <v>202.5</v>
      </c>
      <c r="I65">
        <f>'Monthly Data'!EJ65</f>
        <v>1</v>
      </c>
      <c r="J65">
        <f>'Monthly Data'!EF65</f>
        <v>0</v>
      </c>
      <c r="L65" s="3">
        <f t="shared" si="13"/>
        <v>-2747299.8857901301</v>
      </c>
      <c r="M65" s="3">
        <f t="shared" si="14"/>
        <v>1725989.0586642879</v>
      </c>
      <c r="N65" s="3">
        <f t="shared" si="15"/>
        <v>0</v>
      </c>
      <c r="O65" s="3">
        <f t="shared" si="16"/>
        <v>4773119.9939095499</v>
      </c>
      <c r="P65" s="3">
        <f t="shared" si="17"/>
        <v>2825424.623466637</v>
      </c>
      <c r="Q65" s="3">
        <f t="shared" si="18"/>
        <v>-798081.32707569306</v>
      </c>
      <c r="R65" s="3">
        <f t="shared" si="19"/>
        <v>0</v>
      </c>
      <c r="S65" s="47">
        <f t="shared" si="21"/>
        <v>5779152.4631746514</v>
      </c>
      <c r="T65" s="47">
        <f ca="1">'Monthly Data'!BL65+'Monthly Data'!BM65</f>
        <v>27128.587325294808</v>
      </c>
      <c r="U65" s="47">
        <f t="shared" ca="1" si="22"/>
        <v>5806281.0504999459</v>
      </c>
      <c r="V65" s="47">
        <f t="shared" ca="1" si="23"/>
        <v>199451.61555603985</v>
      </c>
      <c r="W65" s="18">
        <f t="shared" ca="1" si="20"/>
        <v>3.5572977182608961E-2</v>
      </c>
    </row>
    <row r="66" spans="1:23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Data'!BK66</f>
        <v>5816148.1730658598</v>
      </c>
      <c r="E66" s="3">
        <f>'Monthly Data'!CN66</f>
        <v>265.14107142857148</v>
      </c>
      <c r="F66" s="3">
        <f>'Monthly Data'!CW66</f>
        <v>77.750595238095229</v>
      </c>
      <c r="G66" s="3">
        <f>'Monthly Data'!DQ66</f>
        <v>31</v>
      </c>
      <c r="H66" s="3">
        <f>'Monthly Data'!DD66</f>
        <v>195.4</v>
      </c>
      <c r="I66">
        <f>'Monthly Data'!EJ66</f>
        <v>1</v>
      </c>
      <c r="J66">
        <f>'Monthly Data'!EF66</f>
        <v>0</v>
      </c>
      <c r="L66" s="3">
        <f t="shared" ref="L66:L97" si="24">$AA$8</f>
        <v>-2747299.8857901301</v>
      </c>
      <c r="M66" s="3">
        <f t="shared" ref="M66:M97" si="25">E66*$AA$9</f>
        <v>1040838.3198686318</v>
      </c>
      <c r="N66" s="3">
        <f t="shared" ref="N66:N97" si="26">F66*$AA$10</f>
        <v>791204.90961909341</v>
      </c>
      <c r="O66" s="3">
        <f t="shared" ref="O66:O97" si="27">G66*$AA$11</f>
        <v>4932223.9937065355</v>
      </c>
      <c r="P66" s="3">
        <f t="shared" ref="P66:P97" si="28">H66*$AA$12</f>
        <v>2726360.35271793</v>
      </c>
      <c r="Q66" s="3">
        <f t="shared" ref="Q66:Q97" si="29">I66*$AA$13</f>
        <v>-798081.32707569306</v>
      </c>
      <c r="R66" s="3">
        <f t="shared" ref="R66:R97" si="30">J66*$AA$14</f>
        <v>0</v>
      </c>
      <c r="S66" s="47">
        <f t="shared" si="21"/>
        <v>5945246.3630463677</v>
      </c>
      <c r="T66" s="47">
        <f ca="1">'Monthly Data'!BL66+'Monthly Data'!BM66</f>
        <v>19010.949947849283</v>
      </c>
      <c r="U66" s="47">
        <f t="shared" ca="1" si="22"/>
        <v>5964257.3129942166</v>
      </c>
      <c r="V66" s="47">
        <f t="shared" ca="1" si="23"/>
        <v>148109.13992835674</v>
      </c>
      <c r="W66" s="18">
        <f t="shared" ca="1" si="20"/>
        <v>2.5465159332466618E-2</v>
      </c>
    </row>
    <row r="67" spans="1:23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Data'!BK67</f>
        <v>6661167.3443278447</v>
      </c>
      <c r="E67" s="3">
        <f>'Monthly Data'!CN67</f>
        <v>53.275000000000006</v>
      </c>
      <c r="F67" s="3">
        <f>'Monthly Data'!CW67</f>
        <v>222.53623188405788</v>
      </c>
      <c r="G67" s="3">
        <f>'Monthly Data'!DQ67</f>
        <v>30</v>
      </c>
      <c r="H67" s="3">
        <f>'Monthly Data'!DD67</f>
        <v>193</v>
      </c>
      <c r="I67">
        <f>'Monthly Data'!EJ67</f>
        <v>0.5</v>
      </c>
      <c r="J67">
        <f>'Monthly Data'!EF67</f>
        <v>0</v>
      </c>
      <c r="L67" s="3">
        <f t="shared" si="24"/>
        <v>-2747299.8857901301</v>
      </c>
      <c r="M67" s="3">
        <f t="shared" si="25"/>
        <v>209136.44646691286</v>
      </c>
      <c r="N67" s="3">
        <f t="shared" si="26"/>
        <v>2264571.2061189502</v>
      </c>
      <c r="O67" s="3">
        <f t="shared" si="27"/>
        <v>4773119.9939095499</v>
      </c>
      <c r="P67" s="3">
        <f t="shared" si="28"/>
        <v>2692873.8386620292</v>
      </c>
      <c r="Q67" s="3">
        <f t="shared" si="29"/>
        <v>-399040.66353784653</v>
      </c>
      <c r="R67" s="3">
        <f t="shared" si="30"/>
        <v>0</v>
      </c>
      <c r="S67" s="47">
        <f t="shared" si="21"/>
        <v>6793360.9358294653</v>
      </c>
      <c r="T67" s="47">
        <f ca="1">'Monthly Data'!BL67+'Monthly Data'!BM67</f>
        <v>10092.67969741295</v>
      </c>
      <c r="U67" s="47">
        <f t="shared" ca="1" si="22"/>
        <v>6803453.6155268783</v>
      </c>
      <c r="V67" s="47">
        <f t="shared" ca="1" si="23"/>
        <v>142286.2711990336</v>
      </c>
      <c r="W67" s="18">
        <f t="shared" ca="1" si="20"/>
        <v>2.1360560971372986E-2</v>
      </c>
    </row>
    <row r="68" spans="1:23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Data'!BK68</f>
        <v>8285283.7617298001</v>
      </c>
      <c r="E68" s="3">
        <f>'Monthly Data'!CN68</f>
        <v>0</v>
      </c>
      <c r="F68" s="3">
        <f>'Monthly Data'!CW68</f>
        <v>370.88750000000005</v>
      </c>
      <c r="G68" s="3">
        <f>'Monthly Data'!DQ68</f>
        <v>31</v>
      </c>
      <c r="H68" s="3">
        <f>'Monthly Data'!DD68</f>
        <v>198.5</v>
      </c>
      <c r="I68">
        <f>'Monthly Data'!EJ68</f>
        <v>0.5</v>
      </c>
      <c r="J68">
        <f>'Monthly Data'!EF68</f>
        <v>0</v>
      </c>
      <c r="L68" s="3">
        <f t="shared" si="24"/>
        <v>-2747299.8857901301</v>
      </c>
      <c r="M68" s="3">
        <f t="shared" si="25"/>
        <v>0</v>
      </c>
      <c r="N68" s="3">
        <f t="shared" si="26"/>
        <v>3774222.0495898104</v>
      </c>
      <c r="O68" s="3">
        <f t="shared" si="27"/>
        <v>4932223.9937065355</v>
      </c>
      <c r="P68" s="3">
        <f t="shared" si="28"/>
        <v>2769613.766706802</v>
      </c>
      <c r="Q68" s="3">
        <f t="shared" si="29"/>
        <v>-399040.66353784653</v>
      </c>
      <c r="R68" s="3">
        <f t="shared" si="30"/>
        <v>0</v>
      </c>
      <c r="S68" s="47">
        <f t="shared" si="21"/>
        <v>8329719.2606751714</v>
      </c>
      <c r="T68" s="47">
        <f ca="1">'Monthly Data'!BL68+'Monthly Data'!BM68</f>
        <v>8812.7258974358974</v>
      </c>
      <c r="U68" s="47">
        <f t="shared" ca="1" si="22"/>
        <v>8338531.9865726074</v>
      </c>
      <c r="V68" s="47">
        <f t="shared" ca="1" si="23"/>
        <v>53248.224842807278</v>
      </c>
      <c r="W68" s="18">
        <f t="shared" ca="1" si="20"/>
        <v>6.426843832285368E-3</v>
      </c>
    </row>
    <row r="69" spans="1:23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Data'!BK69</f>
        <v>7647765.4241517754</v>
      </c>
      <c r="E69" s="3">
        <f>'Monthly Data'!CN69</f>
        <v>19.720833333333321</v>
      </c>
      <c r="F69" s="3">
        <f>'Monthly Data'!CW69</f>
        <v>278.93106060606061</v>
      </c>
      <c r="G69" s="3">
        <f>'Monthly Data'!DQ69</f>
        <v>31</v>
      </c>
      <c r="H69" s="3">
        <f>'Monthly Data'!DD69</f>
        <v>205.7</v>
      </c>
      <c r="I69">
        <f>'Monthly Data'!EJ69</f>
        <v>0.5</v>
      </c>
      <c r="J69">
        <f>'Monthly Data'!EF69</f>
        <v>0</v>
      </c>
      <c r="L69" s="3">
        <f t="shared" si="24"/>
        <v>-2747299.8857901301</v>
      </c>
      <c r="M69" s="3">
        <f t="shared" si="25"/>
        <v>77416.142744243538</v>
      </c>
      <c r="N69" s="3">
        <f t="shared" si="26"/>
        <v>2838455.7561386288</v>
      </c>
      <c r="O69" s="3">
        <f t="shared" si="27"/>
        <v>4932223.9937065355</v>
      </c>
      <c r="P69" s="3">
        <f t="shared" si="28"/>
        <v>2870073.3088745046</v>
      </c>
      <c r="Q69" s="3">
        <f t="shared" si="29"/>
        <v>-399040.66353784653</v>
      </c>
      <c r="R69" s="3">
        <f t="shared" si="30"/>
        <v>0</v>
      </c>
      <c r="S69" s="47">
        <f t="shared" si="21"/>
        <v>7571828.6521359356</v>
      </c>
      <c r="T69" s="47">
        <f ca="1">'Monthly Data'!BL69+'Monthly Data'!BM69</f>
        <v>9188.3527300816786</v>
      </c>
      <c r="U69" s="47">
        <f t="shared" ca="1" si="22"/>
        <v>7581017.004866017</v>
      </c>
      <c r="V69" s="47">
        <f t="shared" ca="1" si="23"/>
        <v>-66748.419285758398</v>
      </c>
      <c r="W69" s="18">
        <f t="shared" ca="1" si="20"/>
        <v>8.7278329791556815E-3</v>
      </c>
    </row>
    <row r="70" spans="1:23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Data'!BK70</f>
        <v>6522270.1684037289</v>
      </c>
      <c r="E70" s="3">
        <f>'Monthly Data'!CN70</f>
        <v>132.75869565217394</v>
      </c>
      <c r="F70" s="3">
        <f>'Monthly Data'!CW70</f>
        <v>120.81213768115938</v>
      </c>
      <c r="G70" s="3">
        <f>'Monthly Data'!DQ70</f>
        <v>30</v>
      </c>
      <c r="H70" s="3">
        <f>'Monthly Data'!DD70</f>
        <v>211.9</v>
      </c>
      <c r="I70">
        <f>'Monthly Data'!EJ70</f>
        <v>0.5</v>
      </c>
      <c r="J70">
        <f>'Monthly Data'!EF70</f>
        <v>1</v>
      </c>
      <c r="L70" s="3">
        <f t="shared" si="24"/>
        <v>-2747299.8857901301</v>
      </c>
      <c r="M70" s="3">
        <f t="shared" si="25"/>
        <v>521157.80096251622</v>
      </c>
      <c r="N70" s="3">
        <f t="shared" si="26"/>
        <v>1229407.3914443376</v>
      </c>
      <c r="O70" s="3">
        <f t="shared" si="27"/>
        <v>4773119.9939095499</v>
      </c>
      <c r="P70" s="3">
        <f t="shared" si="28"/>
        <v>2956580.1368522486</v>
      </c>
      <c r="Q70" s="3">
        <f t="shared" si="29"/>
        <v>-399040.66353784653</v>
      </c>
      <c r="R70" s="3">
        <f t="shared" si="30"/>
        <v>193845.03320349701</v>
      </c>
      <c r="S70" s="47">
        <f t="shared" si="21"/>
        <v>6527769.8070441717</v>
      </c>
      <c r="T70" s="47">
        <f ca="1">'Monthly Data'!BL70+'Monthly Data'!BM70</f>
        <v>13454.497899157235</v>
      </c>
      <c r="U70" s="47">
        <f t="shared" ca="1" si="22"/>
        <v>6541224.3049433287</v>
      </c>
      <c r="V70" s="47">
        <f t="shared" ca="1" si="23"/>
        <v>18954.136539599858</v>
      </c>
      <c r="W70" s="18">
        <f t="shared" ca="1" si="20"/>
        <v>2.9060643073972395E-3</v>
      </c>
    </row>
    <row r="71" spans="1:23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Data'!BK71</f>
        <v>6476553.7334356941</v>
      </c>
      <c r="E71" s="3">
        <f>'Monthly Data'!CN71</f>
        <v>349.83333333333326</v>
      </c>
      <c r="F71" s="3">
        <f>'Monthly Data'!CW71</f>
        <v>10.262500000000003</v>
      </c>
      <c r="G71" s="3">
        <f>'Monthly Data'!DQ71</f>
        <v>31</v>
      </c>
      <c r="H71" s="3">
        <f>'Monthly Data'!DD71</f>
        <v>216.7</v>
      </c>
      <c r="I71">
        <f>'Monthly Data'!EJ71</f>
        <v>0.5</v>
      </c>
      <c r="J71">
        <f>'Monthly Data'!EF71</f>
        <v>1</v>
      </c>
      <c r="L71" s="3">
        <f t="shared" si="24"/>
        <v>-2747299.8857901301</v>
      </c>
      <c r="M71" s="3">
        <f t="shared" si="25"/>
        <v>1373306.4324544033</v>
      </c>
      <c r="N71" s="3">
        <f t="shared" si="26"/>
        <v>104433.16041634037</v>
      </c>
      <c r="O71" s="3">
        <f t="shared" si="27"/>
        <v>4932223.9937065355</v>
      </c>
      <c r="P71" s="3">
        <f t="shared" si="28"/>
        <v>3023553.1649640501</v>
      </c>
      <c r="Q71" s="3">
        <f t="shared" si="29"/>
        <v>-399040.66353784653</v>
      </c>
      <c r="R71" s="3">
        <f t="shared" si="30"/>
        <v>193845.03320349701</v>
      </c>
      <c r="S71" s="47">
        <f t="shared" si="21"/>
        <v>6481021.2354168491</v>
      </c>
      <c r="T71" s="47">
        <f ca="1">'Monthly Data'!BL71+'Monthly Data'!BM71</f>
        <v>23762.552229196033</v>
      </c>
      <c r="U71" s="47">
        <f t="shared" ca="1" si="22"/>
        <v>6504783.787646045</v>
      </c>
      <c r="V71" s="47">
        <f t="shared" ca="1" si="23"/>
        <v>28230.054210350849</v>
      </c>
      <c r="W71" s="18">
        <f t="shared" ca="1" si="20"/>
        <v>4.3588079976255084E-3</v>
      </c>
    </row>
    <row r="72" spans="1:23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Data'!BK72</f>
        <v>6721712.0986476596</v>
      </c>
      <c r="E72" s="3">
        <f>'Monthly Data'!CN72</f>
        <v>426.30072463768113</v>
      </c>
      <c r="F72" s="3">
        <f>'Monthly Data'!CW72</f>
        <v>1.8291666666666622</v>
      </c>
      <c r="G72" s="3">
        <f>'Monthly Data'!DQ72</f>
        <v>30</v>
      </c>
      <c r="H72" s="3">
        <f>'Monthly Data'!DD72</f>
        <v>217</v>
      </c>
      <c r="I72">
        <f>'Monthly Data'!EJ72</f>
        <v>0.5</v>
      </c>
      <c r="J72">
        <f>'Monthly Data'!EF72</f>
        <v>1</v>
      </c>
      <c r="L72" s="3">
        <f t="shared" si="24"/>
        <v>-2747299.8857901301</v>
      </c>
      <c r="M72" s="3">
        <f t="shared" si="25"/>
        <v>1673486.9765742761</v>
      </c>
      <c r="N72" s="3">
        <f t="shared" si="26"/>
        <v>18613.949420533208</v>
      </c>
      <c r="O72" s="3">
        <f t="shared" si="27"/>
        <v>4773119.9939095499</v>
      </c>
      <c r="P72" s="3">
        <f t="shared" si="28"/>
        <v>3027738.9792210381</v>
      </c>
      <c r="Q72" s="3">
        <f t="shared" si="29"/>
        <v>-399040.66353784653</v>
      </c>
      <c r="R72" s="3">
        <f t="shared" si="30"/>
        <v>193845.03320349701</v>
      </c>
      <c r="S72" s="47">
        <f t="shared" si="21"/>
        <v>6540464.3830009168</v>
      </c>
      <c r="T72" s="47">
        <f ca="1">'Monthly Data'!BL72+'Monthly Data'!BM72</f>
        <v>27874.847995883501</v>
      </c>
      <c r="U72" s="47">
        <f t="shared" ca="1" si="22"/>
        <v>6568339.2309968006</v>
      </c>
      <c r="V72" s="47">
        <f t="shared" ca="1" si="23"/>
        <v>-153372.86765085906</v>
      </c>
      <c r="W72" s="18">
        <f t="shared" ca="1" si="20"/>
        <v>2.2817530028058794E-2</v>
      </c>
    </row>
    <row r="73" spans="1:23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Data'!BK73</f>
        <v>7493816.7189596146</v>
      </c>
      <c r="E73" s="3">
        <f>'Monthly Data'!CN73</f>
        <v>644.90416666666681</v>
      </c>
      <c r="F73" s="3">
        <f>'Monthly Data'!CW73</f>
        <v>0</v>
      </c>
      <c r="G73" s="3">
        <f>'Monthly Data'!DQ73</f>
        <v>31</v>
      </c>
      <c r="H73" s="3">
        <f>'Monthly Data'!DD73</f>
        <v>216.1</v>
      </c>
      <c r="I73">
        <f>'Monthly Data'!EJ73</f>
        <v>0.5</v>
      </c>
      <c r="J73">
        <f>'Monthly Data'!EF73</f>
        <v>0</v>
      </c>
      <c r="L73" s="3">
        <f t="shared" si="24"/>
        <v>-2747299.8857901301</v>
      </c>
      <c r="M73" s="3">
        <f t="shared" si="25"/>
        <v>2531637.0854692147</v>
      </c>
      <c r="N73" s="3">
        <f t="shared" si="26"/>
        <v>0</v>
      </c>
      <c r="O73" s="3">
        <f t="shared" si="27"/>
        <v>4932223.9937065355</v>
      </c>
      <c r="P73" s="3">
        <f t="shared" si="28"/>
        <v>3015181.536450075</v>
      </c>
      <c r="Q73" s="3">
        <f t="shared" si="29"/>
        <v>-399040.66353784653</v>
      </c>
      <c r="R73" s="3">
        <f t="shared" si="30"/>
        <v>0</v>
      </c>
      <c r="S73" s="47">
        <f t="shared" si="21"/>
        <v>7332702.0662978478</v>
      </c>
      <c r="T73" s="47">
        <f ca="1">'Monthly Data'!BL73+'Monthly Data'!BM73</f>
        <v>38871.23869035369</v>
      </c>
      <c r="U73" s="47">
        <f t="shared" ca="1" si="22"/>
        <v>7371573.3049882017</v>
      </c>
      <c r="V73" s="47">
        <f t="shared" ca="1" si="23"/>
        <v>-122243.41397141293</v>
      </c>
      <c r="W73" s="18">
        <f t="shared" ca="1" si="20"/>
        <v>1.6312570557287968E-2</v>
      </c>
    </row>
    <row r="74" spans="1:23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Data'!BK74</f>
        <v>7460255.9984212983</v>
      </c>
      <c r="E74" s="3">
        <f>'Monthly Data'!CN74</f>
        <v>715.50416666666661</v>
      </c>
      <c r="F74" s="3">
        <f>'Monthly Data'!CW74</f>
        <v>0</v>
      </c>
      <c r="G74" s="3">
        <f>'Monthly Data'!DQ74</f>
        <v>31</v>
      </c>
      <c r="H74" s="3">
        <f>'Monthly Data'!DD74</f>
        <v>209.4</v>
      </c>
      <c r="I74">
        <f>'Monthly Data'!EJ74</f>
        <v>0.5</v>
      </c>
      <c r="J74">
        <f>'Monthly Data'!EF74</f>
        <v>0</v>
      </c>
      <c r="L74" s="3">
        <f t="shared" si="24"/>
        <v>-2747299.8857901301</v>
      </c>
      <c r="M74" s="3">
        <f t="shared" si="25"/>
        <v>2808784.5865591066</v>
      </c>
      <c r="N74" s="3">
        <f t="shared" si="26"/>
        <v>0</v>
      </c>
      <c r="O74" s="3">
        <f t="shared" si="27"/>
        <v>4932223.9937065355</v>
      </c>
      <c r="P74" s="3">
        <f t="shared" si="28"/>
        <v>2921698.3513773521</v>
      </c>
      <c r="Q74" s="3">
        <f t="shared" si="29"/>
        <v>-399040.66353784653</v>
      </c>
      <c r="R74" s="3">
        <f t="shared" si="30"/>
        <v>0</v>
      </c>
      <c r="S74" s="47">
        <f t="shared" si="21"/>
        <v>7516366.3823150173</v>
      </c>
      <c r="T74" s="47">
        <f ca="1">'Monthly Data'!BL74+'Monthly Data'!BM74</f>
        <v>74455.079553567397</v>
      </c>
      <c r="U74" s="47">
        <f t="shared" ca="1" si="22"/>
        <v>7590821.4618685851</v>
      </c>
      <c r="V74" s="47">
        <f t="shared" ca="1" si="23"/>
        <v>130565.46344728675</v>
      </c>
      <c r="W74" s="18">
        <f t="shared" ca="1" si="20"/>
        <v>1.750147226514966E-2</v>
      </c>
    </row>
    <row r="75" spans="1:23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Data'!BK75</f>
        <v>7169135.3982962752</v>
      </c>
      <c r="E75" s="3">
        <f>'Monthly Data'!CN75</f>
        <v>709.45416666666654</v>
      </c>
      <c r="F75" s="3">
        <f>'Monthly Data'!CW75</f>
        <v>0</v>
      </c>
      <c r="G75" s="3">
        <f>'Monthly Data'!DQ75</f>
        <v>28</v>
      </c>
      <c r="H75" s="3">
        <f>'Monthly Data'!DD75</f>
        <v>208.2</v>
      </c>
      <c r="I75">
        <f>'Monthly Data'!EJ75</f>
        <v>0.5</v>
      </c>
      <c r="J75">
        <f>'Monthly Data'!EF75</f>
        <v>0</v>
      </c>
      <c r="L75" s="3">
        <f t="shared" si="24"/>
        <v>-2747299.8857901301</v>
      </c>
      <c r="M75" s="3">
        <f t="shared" si="25"/>
        <v>2785034.694468542</v>
      </c>
      <c r="N75" s="3">
        <f t="shared" si="26"/>
        <v>0</v>
      </c>
      <c r="O75" s="3">
        <f t="shared" si="27"/>
        <v>4454911.9943155805</v>
      </c>
      <c r="P75" s="3">
        <f t="shared" si="28"/>
        <v>2904955.0943494011</v>
      </c>
      <c r="Q75" s="3">
        <f t="shared" si="29"/>
        <v>-399040.66353784653</v>
      </c>
      <c r="R75" s="3">
        <f t="shared" si="30"/>
        <v>0</v>
      </c>
      <c r="S75" s="47">
        <f t="shared" si="21"/>
        <v>6998561.2338055465</v>
      </c>
      <c r="T75" s="47">
        <f ca="1">'Monthly Data'!BL75+'Monthly Data'!BM75</f>
        <v>74839.363234284843</v>
      </c>
      <c r="U75" s="47">
        <f t="shared" ca="1" si="22"/>
        <v>7073400.5970398318</v>
      </c>
      <c r="V75" s="47">
        <f t="shared" ca="1" si="23"/>
        <v>-95734.801256443374</v>
      </c>
      <c r="W75" s="18">
        <f t="shared" ca="1" si="20"/>
        <v>1.3353744341220627E-2</v>
      </c>
    </row>
    <row r="76" spans="1:23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Data'!BK76</f>
        <v>7277328.8749612924</v>
      </c>
      <c r="E76" s="3">
        <f>'Monthly Data'!CN76</f>
        <v>554.59637681159427</v>
      </c>
      <c r="F76" s="3">
        <f>'Monthly Data'!CW76</f>
        <v>0.29583333333332895</v>
      </c>
      <c r="G76" s="3">
        <f>'Monthly Data'!DQ76</f>
        <v>31</v>
      </c>
      <c r="H76" s="3">
        <f>'Monthly Data'!DD76</f>
        <v>207.5</v>
      </c>
      <c r="I76">
        <f>'Monthly Data'!EJ76</f>
        <v>0.5</v>
      </c>
      <c r="J76">
        <f>'Monthly Data'!EF76</f>
        <v>0</v>
      </c>
      <c r="L76" s="3">
        <f t="shared" si="24"/>
        <v>-2747299.8857901301</v>
      </c>
      <c r="M76" s="3">
        <f t="shared" si="25"/>
        <v>2177124.645139405</v>
      </c>
      <c r="N76" s="3">
        <f t="shared" si="26"/>
        <v>3010.4565122046506</v>
      </c>
      <c r="O76" s="3">
        <f t="shared" si="27"/>
        <v>4932223.9937065355</v>
      </c>
      <c r="P76" s="3">
        <f t="shared" si="28"/>
        <v>2895188.1944164303</v>
      </c>
      <c r="Q76" s="3">
        <f t="shared" si="29"/>
        <v>-399040.66353784653</v>
      </c>
      <c r="R76" s="3">
        <f t="shared" si="30"/>
        <v>0</v>
      </c>
      <c r="S76" s="47">
        <f t="shared" si="21"/>
        <v>6861206.7404465992</v>
      </c>
      <c r="T76" s="47">
        <f ca="1">'Monthly Data'!BL76+'Monthly Data'!BM76</f>
        <v>59464.776095372697</v>
      </c>
      <c r="U76" s="47">
        <f t="shared" ca="1" si="22"/>
        <v>6920671.5165419718</v>
      </c>
      <c r="V76" s="47">
        <f t="shared" ca="1" si="23"/>
        <v>-356657.35841932055</v>
      </c>
      <c r="W76" s="18">
        <f t="shared" ca="1" si="20"/>
        <v>4.9009377554235872E-2</v>
      </c>
    </row>
    <row r="77" spans="1:23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Data'!BK77</f>
        <v>6112729.2399962805</v>
      </c>
      <c r="E77" s="3">
        <f>'Monthly Data'!CN77</f>
        <v>379.79583333333329</v>
      </c>
      <c r="F77" s="3">
        <f>'Monthly Data'!CW77</f>
        <v>11.054166666666664</v>
      </c>
      <c r="G77" s="3">
        <f>'Monthly Data'!DQ77</f>
        <v>30</v>
      </c>
      <c r="H77" s="3">
        <f>'Monthly Data'!DD77</f>
        <v>209.2</v>
      </c>
      <c r="I77">
        <f>'Monthly Data'!EJ77</f>
        <v>0.5</v>
      </c>
      <c r="J77">
        <f>'Monthly Data'!EF77</f>
        <v>0</v>
      </c>
      <c r="L77" s="3">
        <f t="shared" si="24"/>
        <v>-2747299.8857901301</v>
      </c>
      <c r="M77" s="3">
        <f t="shared" si="25"/>
        <v>1490927.2823326741</v>
      </c>
      <c r="N77" s="3">
        <f t="shared" si="26"/>
        <v>112489.31164618385</v>
      </c>
      <c r="O77" s="3">
        <f t="shared" si="27"/>
        <v>4773119.9939095499</v>
      </c>
      <c r="P77" s="3">
        <f t="shared" si="28"/>
        <v>2918907.8085393598</v>
      </c>
      <c r="Q77" s="3">
        <f t="shared" si="29"/>
        <v>-399040.66353784653</v>
      </c>
      <c r="R77" s="3">
        <f t="shared" si="30"/>
        <v>0</v>
      </c>
      <c r="S77" s="47">
        <f t="shared" si="21"/>
        <v>6149103.8470997903</v>
      </c>
      <c r="T77" s="47">
        <f ca="1">'Monthly Data'!BL77+'Monthly Data'!BM77</f>
        <v>42919.820830960467</v>
      </c>
      <c r="U77" s="47">
        <f t="shared" ca="1" si="22"/>
        <v>6192023.6679307511</v>
      </c>
      <c r="V77" s="47">
        <f t="shared" ca="1" si="23"/>
        <v>79294.427934470586</v>
      </c>
      <c r="W77" s="18">
        <f t="shared" ca="1" si="20"/>
        <v>1.2972017051833108E-2</v>
      </c>
    </row>
    <row r="78" spans="1:23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Data'!BK78</f>
        <v>6173245.5438212873</v>
      </c>
      <c r="E78" s="3">
        <f>'Monthly Data'!CN78</f>
        <v>221.92222222222222</v>
      </c>
      <c r="F78" s="3">
        <f>'Monthly Data'!CW78</f>
        <v>83.256944444444414</v>
      </c>
      <c r="G78" s="3">
        <f>'Monthly Data'!DQ78</f>
        <v>31</v>
      </c>
      <c r="H78" s="3">
        <f>'Monthly Data'!DD78</f>
        <v>207.8</v>
      </c>
      <c r="I78">
        <f>'Monthly Data'!EJ78</f>
        <v>0.5</v>
      </c>
      <c r="J78">
        <f>'Monthly Data'!EF78</f>
        <v>0</v>
      </c>
      <c r="L78" s="3">
        <f t="shared" si="24"/>
        <v>-2747299.8857901301</v>
      </c>
      <c r="M78" s="3">
        <f t="shared" si="25"/>
        <v>871178.3190538924</v>
      </c>
      <c r="N78" s="3">
        <f t="shared" si="26"/>
        <v>847238.57100521307</v>
      </c>
      <c r="O78" s="3">
        <f t="shared" si="27"/>
        <v>4932223.9937065355</v>
      </c>
      <c r="P78" s="3">
        <f t="shared" si="28"/>
        <v>2899374.0086734183</v>
      </c>
      <c r="Q78" s="3">
        <f t="shared" si="29"/>
        <v>-399040.66353784653</v>
      </c>
      <c r="R78" s="3">
        <f t="shared" si="30"/>
        <v>0</v>
      </c>
      <c r="S78" s="47">
        <f t="shared" si="21"/>
        <v>6403674.3431110829</v>
      </c>
      <c r="T78" s="47">
        <f ca="1">'Monthly Data'!BL78+'Monthly Data'!BM78</f>
        <v>28986.298120183481</v>
      </c>
      <c r="U78" s="47">
        <f t="shared" ca="1" si="22"/>
        <v>6432660.6412312668</v>
      </c>
      <c r="V78" s="47">
        <f t="shared" ca="1" si="23"/>
        <v>259415.09740997944</v>
      </c>
      <c r="W78" s="18">
        <f t="shared" ca="1" si="20"/>
        <v>4.2022481621458309E-2</v>
      </c>
    </row>
    <row r="79" spans="1:23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Data'!BK79</f>
        <v>6978955.3145062942</v>
      </c>
      <c r="E79" s="3">
        <f>'Monthly Data'!CN79</f>
        <v>36.066666666666677</v>
      </c>
      <c r="F79" s="3">
        <f>'Monthly Data'!CW79</f>
        <v>241.67500000000001</v>
      </c>
      <c r="G79" s="3">
        <f>'Monthly Data'!DQ79</f>
        <v>30</v>
      </c>
      <c r="H79" s="3">
        <f>'Monthly Data'!DD79</f>
        <v>208</v>
      </c>
      <c r="I79">
        <f>'Monthly Data'!EJ79</f>
        <v>0.5</v>
      </c>
      <c r="J79">
        <f>'Monthly Data'!EF79</f>
        <v>0</v>
      </c>
      <c r="L79" s="3">
        <f t="shared" si="24"/>
        <v>-2747299.8857901301</v>
      </c>
      <c r="M79" s="3">
        <f t="shared" si="25"/>
        <v>141583.37874375083</v>
      </c>
      <c r="N79" s="3">
        <f t="shared" si="26"/>
        <v>2459330.9664915032</v>
      </c>
      <c r="O79" s="3">
        <f t="shared" si="27"/>
        <v>4773119.9939095499</v>
      </c>
      <c r="P79" s="3">
        <f t="shared" si="28"/>
        <v>2902164.5515114097</v>
      </c>
      <c r="Q79" s="3">
        <f t="shared" si="29"/>
        <v>-399040.66353784653</v>
      </c>
      <c r="R79" s="3">
        <f t="shared" si="30"/>
        <v>0</v>
      </c>
      <c r="S79" s="47">
        <f t="shared" si="21"/>
        <v>7129858.3413282363</v>
      </c>
      <c r="T79" s="47">
        <f ca="1">'Monthly Data'!BL79+'Monthly Data'!BM79</f>
        <v>13755.660603324945</v>
      </c>
      <c r="U79" s="47">
        <f t="shared" ca="1" si="22"/>
        <v>7143614.0019315612</v>
      </c>
      <c r="V79" s="47">
        <f t="shared" ca="1" si="23"/>
        <v>164658.68742526695</v>
      </c>
      <c r="W79" s="18">
        <f t="shared" ca="1" si="20"/>
        <v>2.3593601048427868E-2</v>
      </c>
    </row>
    <row r="80" spans="1:23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Data'!BK80</f>
        <v>7519407.1822012914</v>
      </c>
      <c r="E80" s="3">
        <f>'Monthly Data'!CN80</f>
        <v>25.516666666666669</v>
      </c>
      <c r="F80" s="3">
        <f>'Monthly Data'!CW80</f>
        <v>254.87499999999994</v>
      </c>
      <c r="G80" s="3">
        <f>'Monthly Data'!DQ80</f>
        <v>31</v>
      </c>
      <c r="H80" s="3">
        <f>'Monthly Data'!DD80</f>
        <v>210.4</v>
      </c>
      <c r="I80">
        <f>'Monthly Data'!EJ80</f>
        <v>0.5</v>
      </c>
      <c r="J80">
        <f>'Monthly Data'!EF80</f>
        <v>0</v>
      </c>
      <c r="L80" s="3">
        <f t="shared" si="24"/>
        <v>-2747299.8857901301</v>
      </c>
      <c r="M80" s="3">
        <f t="shared" si="25"/>
        <v>100168.27766020448</v>
      </c>
      <c r="N80" s="3">
        <f t="shared" si="26"/>
        <v>2593656.6880501569</v>
      </c>
      <c r="O80" s="3">
        <f t="shared" si="27"/>
        <v>4932223.9937065355</v>
      </c>
      <c r="P80" s="3">
        <f t="shared" si="28"/>
        <v>2935651.0655673104</v>
      </c>
      <c r="Q80" s="3">
        <f t="shared" si="29"/>
        <v>-399040.66353784653</v>
      </c>
      <c r="R80" s="3">
        <f t="shared" si="30"/>
        <v>0</v>
      </c>
      <c r="S80" s="47">
        <f t="shared" si="21"/>
        <v>7415359.47565623</v>
      </c>
      <c r="T80" s="47">
        <f ca="1">'Monthly Data'!BL80+'Monthly Data'!BM80</f>
        <v>13272.660386418946</v>
      </c>
      <c r="U80" s="47">
        <f t="shared" ca="1" si="22"/>
        <v>7428632.1360426489</v>
      </c>
      <c r="V80" s="47">
        <f t="shared" ca="1" si="23"/>
        <v>-90775.046158642508</v>
      </c>
      <c r="W80" s="18">
        <f t="shared" ca="1" si="20"/>
        <v>1.2072101424898271E-2</v>
      </c>
    </row>
    <row r="81" spans="1:23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Data'!BK81</f>
        <v>8401728.8523062784</v>
      </c>
      <c r="E81" s="3">
        <f>'Monthly Data'!CN81</f>
        <v>8.524999999999995</v>
      </c>
      <c r="F81" s="3">
        <f>'Monthly Data'!CW81</f>
        <v>328.06249999999989</v>
      </c>
      <c r="G81" s="3">
        <f>'Monthly Data'!DQ81</f>
        <v>31</v>
      </c>
      <c r="H81" s="3">
        <f>'Monthly Data'!DD81</f>
        <v>212.2</v>
      </c>
      <c r="I81">
        <f>'Monthly Data'!EJ81</f>
        <v>0.5</v>
      </c>
      <c r="J81">
        <f>'Monthly Data'!EF81</f>
        <v>0</v>
      </c>
      <c r="L81" s="3">
        <f t="shared" si="24"/>
        <v>-2747299.8857901301</v>
      </c>
      <c r="M81" s="3">
        <f t="shared" si="25"/>
        <v>33465.757036704475</v>
      </c>
      <c r="N81" s="3">
        <f t="shared" si="26"/>
        <v>3338426.6688512196</v>
      </c>
      <c r="O81" s="3">
        <f t="shared" si="27"/>
        <v>4932223.9937065355</v>
      </c>
      <c r="P81" s="3">
        <f t="shared" si="28"/>
        <v>2960765.9511092361</v>
      </c>
      <c r="Q81" s="3">
        <f t="shared" si="29"/>
        <v>-399040.66353784653</v>
      </c>
      <c r="R81" s="3">
        <f t="shared" si="30"/>
        <v>0</v>
      </c>
      <c r="S81" s="47">
        <f t="shared" si="21"/>
        <v>8118541.8213757183</v>
      </c>
      <c r="T81" s="47">
        <f ca="1">'Monthly Data'!BL81+'Monthly Data'!BM81</f>
        <v>13204.92745947673</v>
      </c>
      <c r="U81" s="47">
        <f t="shared" ca="1" si="22"/>
        <v>8131746.7488351949</v>
      </c>
      <c r="V81" s="47">
        <f t="shared" ca="1" si="23"/>
        <v>-269982.10347108357</v>
      </c>
      <c r="W81" s="18">
        <f t="shared" ca="1" si="20"/>
        <v>3.2134112897129898E-2</v>
      </c>
    </row>
    <row r="82" spans="1:23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Data'!BK82</f>
        <v>6863974.3981612772</v>
      </c>
      <c r="E82" s="3">
        <f>'Monthly Data'!CN82</f>
        <v>93.104166666666671</v>
      </c>
      <c r="F82" s="3">
        <f>'Monthly Data'!CW82</f>
        <v>149.55833333333328</v>
      </c>
      <c r="G82" s="3">
        <f>'Monthly Data'!DQ82</f>
        <v>30</v>
      </c>
      <c r="H82" s="3">
        <f>'Monthly Data'!DD82</f>
        <v>216.7</v>
      </c>
      <c r="I82">
        <f>'Monthly Data'!EJ82</f>
        <v>0.5</v>
      </c>
      <c r="J82">
        <f>'Monthly Data'!EF82</f>
        <v>1</v>
      </c>
      <c r="L82" s="3">
        <f t="shared" si="24"/>
        <v>-2747299.8857901301</v>
      </c>
      <c r="M82" s="3">
        <f t="shared" si="25"/>
        <v>365489.90272979572</v>
      </c>
      <c r="N82" s="3">
        <f t="shared" si="26"/>
        <v>1521934.1697052857</v>
      </c>
      <c r="O82" s="3">
        <f t="shared" si="27"/>
        <v>4773119.9939095499</v>
      </c>
      <c r="P82" s="3">
        <f t="shared" si="28"/>
        <v>3023553.1649640501</v>
      </c>
      <c r="Q82" s="3">
        <f t="shared" si="29"/>
        <v>-399040.66353784653</v>
      </c>
      <c r="R82" s="3">
        <f t="shared" si="30"/>
        <v>193845.03320349701</v>
      </c>
      <c r="S82" s="47">
        <f t="shared" si="21"/>
        <v>6731601.7151842015</v>
      </c>
      <c r="T82" s="47">
        <f ca="1">'Monthly Data'!BL82+'Monthly Data'!BM82</f>
        <v>18002.804195472931</v>
      </c>
      <c r="U82" s="47">
        <f t="shared" ca="1" si="22"/>
        <v>6749604.5193796745</v>
      </c>
      <c r="V82" s="47">
        <f t="shared" ca="1" si="23"/>
        <v>-114369.87878160272</v>
      </c>
      <c r="W82" s="18">
        <f t="shared" ca="1" si="20"/>
        <v>1.6662340525663986E-2</v>
      </c>
    </row>
    <row r="83" spans="1:23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Data'!BK83</f>
        <v>6691547.1686162641</v>
      </c>
      <c r="E83" s="3">
        <f>'Monthly Data'!CN83</f>
        <v>214.18749999999994</v>
      </c>
      <c r="F83" s="3">
        <f>'Monthly Data'!CW83</f>
        <v>77.979166666666686</v>
      </c>
      <c r="G83" s="3">
        <f>'Monthly Data'!DQ83</f>
        <v>31</v>
      </c>
      <c r="H83" s="3">
        <f>'Monthly Data'!DD83</f>
        <v>221.3</v>
      </c>
      <c r="I83">
        <f>'Monthly Data'!EJ83</f>
        <v>0.5</v>
      </c>
      <c r="J83">
        <f>'Monthly Data'!EF83</f>
        <v>1</v>
      </c>
      <c r="L83" s="3">
        <f t="shared" si="24"/>
        <v>-2747299.8857901301</v>
      </c>
      <c r="M83" s="3">
        <f t="shared" si="25"/>
        <v>840814.87804095517</v>
      </c>
      <c r="N83" s="3">
        <f t="shared" si="26"/>
        <v>793530.89613958984</v>
      </c>
      <c r="O83" s="3">
        <f t="shared" si="27"/>
        <v>4932223.9937065355</v>
      </c>
      <c r="P83" s="3">
        <f t="shared" si="28"/>
        <v>3087735.6502378606</v>
      </c>
      <c r="Q83" s="3">
        <f t="shared" si="29"/>
        <v>-399040.66353784653</v>
      </c>
      <c r="R83" s="3">
        <f t="shared" si="30"/>
        <v>193845.03320349701</v>
      </c>
      <c r="S83" s="47">
        <f t="shared" si="21"/>
        <v>6701809.9020004608</v>
      </c>
      <c r="T83" s="47">
        <f ca="1">'Monthly Data'!BL83+'Monthly Data'!BM83</f>
        <v>28955.783319781789</v>
      </c>
      <c r="U83" s="47">
        <f t="shared" ca="1" si="22"/>
        <v>6730765.6853202423</v>
      </c>
      <c r="V83" s="47">
        <f t="shared" ca="1" si="23"/>
        <v>39218.516703978181</v>
      </c>
      <c r="W83" s="18">
        <f t="shared" ca="1" si="20"/>
        <v>5.8609041699526901E-3</v>
      </c>
    </row>
    <row r="84" spans="1:23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Data'!BK84</f>
        <v>7046351.0427012723</v>
      </c>
      <c r="E84" s="3">
        <f>'Monthly Data'!CN84</f>
        <v>506.31260351966881</v>
      </c>
      <c r="F84" s="3">
        <f>'Monthly Data'!CW84</f>
        <v>0</v>
      </c>
      <c r="G84" s="3">
        <f>'Monthly Data'!DQ84</f>
        <v>30</v>
      </c>
      <c r="H84" s="3">
        <f>'Monthly Data'!DD84</f>
        <v>227.6</v>
      </c>
      <c r="I84">
        <f>'Monthly Data'!EJ84</f>
        <v>0.5</v>
      </c>
      <c r="J84">
        <f>'Monthly Data'!EF84</f>
        <v>1</v>
      </c>
      <c r="L84" s="3">
        <f t="shared" si="24"/>
        <v>-2747299.8857901301</v>
      </c>
      <c r="M84" s="3">
        <f t="shared" si="25"/>
        <v>1987581.768212379</v>
      </c>
      <c r="N84" s="3">
        <f t="shared" si="26"/>
        <v>0</v>
      </c>
      <c r="O84" s="3">
        <f t="shared" si="27"/>
        <v>4773119.9939095499</v>
      </c>
      <c r="P84" s="3">
        <f t="shared" si="28"/>
        <v>3175637.7496346002</v>
      </c>
      <c r="Q84" s="3">
        <f t="shared" si="29"/>
        <v>-399040.66353784653</v>
      </c>
      <c r="R84" s="3">
        <f t="shared" si="30"/>
        <v>193845.03320349701</v>
      </c>
      <c r="S84" s="47">
        <f t="shared" si="21"/>
        <v>6983843.9956320487</v>
      </c>
      <c r="T84" s="47">
        <f ca="1">'Monthly Data'!BL84+'Monthly Data'!BM84</f>
        <v>58042.519243000286</v>
      </c>
      <c r="U84" s="47">
        <f t="shared" ca="1" si="22"/>
        <v>7041886.5148750488</v>
      </c>
      <c r="V84" s="47">
        <f t="shared" ca="1" si="23"/>
        <v>-4464.5278262235224</v>
      </c>
      <c r="W84" s="18">
        <f t="shared" ca="1" si="20"/>
        <v>6.3359429570968571E-4</v>
      </c>
    </row>
    <row r="85" spans="1:23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Data'!BK85</f>
        <v>7644135.1950562792</v>
      </c>
      <c r="E85" s="3">
        <f>'Monthly Data'!CN85</f>
        <v>595.04583333333335</v>
      </c>
      <c r="F85" s="3">
        <f>'Monthly Data'!CW85</f>
        <v>0</v>
      </c>
      <c r="G85" s="3">
        <f>'Monthly Data'!DQ85</f>
        <v>31</v>
      </c>
      <c r="H85" s="3">
        <f>'Monthly Data'!DD85</f>
        <v>228.8</v>
      </c>
      <c r="I85">
        <f>'Monthly Data'!EJ85</f>
        <v>0.5</v>
      </c>
      <c r="J85">
        <f>'Monthly Data'!EF85</f>
        <v>0</v>
      </c>
      <c r="L85" s="3">
        <f t="shared" si="24"/>
        <v>-2747299.8857901301</v>
      </c>
      <c r="M85" s="3">
        <f t="shared" si="25"/>
        <v>2335913.1124969725</v>
      </c>
      <c r="N85" s="3">
        <f t="shared" si="26"/>
        <v>0</v>
      </c>
      <c r="O85" s="3">
        <f t="shared" si="27"/>
        <v>4932223.9937065355</v>
      </c>
      <c r="P85" s="3">
        <f t="shared" si="28"/>
        <v>3192381.0066625508</v>
      </c>
      <c r="Q85" s="3">
        <f t="shared" si="29"/>
        <v>-399040.66353784653</v>
      </c>
      <c r="R85" s="3">
        <f t="shared" si="30"/>
        <v>0</v>
      </c>
      <c r="S85" s="47">
        <f t="shared" si="21"/>
        <v>7314177.5635380819</v>
      </c>
      <c r="T85" s="47">
        <f ca="1">'Monthly Data'!BL85+'Monthly Data'!BM85</f>
        <v>66931.401545316403</v>
      </c>
      <c r="U85" s="47">
        <f t="shared" ca="1" si="22"/>
        <v>7381108.9650833979</v>
      </c>
      <c r="V85" s="47">
        <f t="shared" ca="1" si="23"/>
        <v>-263026.22997288126</v>
      </c>
      <c r="W85" s="18">
        <f t="shared" ca="1" si="20"/>
        <v>3.4408892995899554E-2</v>
      </c>
    </row>
    <row r="86" spans="1:23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Data'!BK86</f>
        <v>8425755.0109702256</v>
      </c>
      <c r="E86" s="3">
        <f>'Monthly Data'!CN86</f>
        <v>887.49166666666656</v>
      </c>
      <c r="F86" s="3">
        <f>'Monthly Data'!CW86</f>
        <v>0</v>
      </c>
      <c r="G86" s="3">
        <f>'Monthly Data'!DQ86</f>
        <v>31</v>
      </c>
      <c r="H86" s="3">
        <f>'Monthly Data'!DD86</f>
        <v>226.2</v>
      </c>
      <c r="I86">
        <f>'Monthly Data'!EJ86</f>
        <v>0.25</v>
      </c>
      <c r="J86">
        <f>'Monthly Data'!EF86</f>
        <v>0</v>
      </c>
      <c r="L86" s="3">
        <f t="shared" si="24"/>
        <v>-2747299.8857901301</v>
      </c>
      <c r="M86" s="3">
        <f t="shared" si="25"/>
        <v>3483939.0602658768</v>
      </c>
      <c r="N86" s="3">
        <f t="shared" si="26"/>
        <v>0</v>
      </c>
      <c r="O86" s="3">
        <f t="shared" si="27"/>
        <v>4932223.9937065355</v>
      </c>
      <c r="P86" s="3">
        <f t="shared" si="28"/>
        <v>3156103.9497686578</v>
      </c>
      <c r="Q86" s="3">
        <f t="shared" si="29"/>
        <v>-199520.33176892326</v>
      </c>
      <c r="R86" s="3">
        <f t="shared" si="30"/>
        <v>0</v>
      </c>
      <c r="S86" s="47">
        <f t="shared" si="21"/>
        <v>8625446.7861820161</v>
      </c>
      <c r="T86" s="47">
        <f ca="1">'Monthly Data'!BL86+'Monthly Data'!BM86</f>
        <v>142374.77670539098</v>
      </c>
      <c r="U86" s="47">
        <f t="shared" ca="1" si="22"/>
        <v>8767821.5628874078</v>
      </c>
      <c r="V86" s="47">
        <f t="shared" ca="1" si="23"/>
        <v>342066.55191718228</v>
      </c>
      <c r="W86" s="18">
        <f t="shared" ref="W86:W109" ca="1" si="31">ABS(V86/D86)</f>
        <v>4.0597732959457754E-2</v>
      </c>
    </row>
    <row r="87" spans="1:23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Data'!BK87</f>
        <v>7701078.7445397414</v>
      </c>
      <c r="E87" s="3">
        <f>'Monthly Data'!CN87</f>
        <v>692.85</v>
      </c>
      <c r="F87" s="3">
        <f>'Monthly Data'!CW87</f>
        <v>0</v>
      </c>
      <c r="G87" s="3">
        <f>'Monthly Data'!DQ87</f>
        <v>28</v>
      </c>
      <c r="H87" s="3">
        <f>'Monthly Data'!DD87</f>
        <v>226.3</v>
      </c>
      <c r="I87">
        <f>'Monthly Data'!EJ87</f>
        <v>0.25</v>
      </c>
      <c r="J87">
        <f>'Monthly Data'!EF87</f>
        <v>0</v>
      </c>
      <c r="L87" s="3">
        <f t="shared" si="24"/>
        <v>-2747299.8857901301</v>
      </c>
      <c r="M87" s="3">
        <f t="shared" si="25"/>
        <v>2719853.3446194381</v>
      </c>
      <c r="N87" s="3">
        <f t="shared" si="26"/>
        <v>0</v>
      </c>
      <c r="O87" s="3">
        <f t="shared" si="27"/>
        <v>4454911.9943155805</v>
      </c>
      <c r="P87" s="3">
        <f t="shared" si="28"/>
        <v>3157499.221187654</v>
      </c>
      <c r="Q87" s="3">
        <f t="shared" si="29"/>
        <v>-199520.33176892326</v>
      </c>
      <c r="R87" s="3">
        <f t="shared" si="30"/>
        <v>0</v>
      </c>
      <c r="S87" s="47">
        <f t="shared" si="21"/>
        <v>7385444.3425636189</v>
      </c>
      <c r="T87" s="47">
        <f ca="1">'Monthly Data'!BL87+'Monthly Data'!BM87</f>
        <v>114290.20415977585</v>
      </c>
      <c r="U87" s="47">
        <f t="shared" ca="1" si="22"/>
        <v>7499734.5467233947</v>
      </c>
      <c r="V87" s="47">
        <f t="shared" ca="1" si="23"/>
        <v>-201344.19781634677</v>
      </c>
      <c r="W87" s="18">
        <f t="shared" ca="1" si="31"/>
        <v>2.6144934300159555E-2</v>
      </c>
    </row>
    <row r="88" spans="1:23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Data'!BK88</f>
        <v>7981422.560379277</v>
      </c>
      <c r="E88" s="3">
        <f>'Monthly Data'!CN88</f>
        <v>606.7208333333333</v>
      </c>
      <c r="F88" s="3">
        <f>'Monthly Data'!CW88</f>
        <v>0</v>
      </c>
      <c r="G88" s="3">
        <f>'Monthly Data'!DQ88</f>
        <v>31</v>
      </c>
      <c r="H88" s="3">
        <f>'Monthly Data'!DD88</f>
        <v>227.8</v>
      </c>
      <c r="I88">
        <f>'Monthly Data'!EJ88</f>
        <v>0.25</v>
      </c>
      <c r="J88">
        <f>'Monthly Data'!EF88</f>
        <v>0</v>
      </c>
      <c r="L88" s="3">
        <f t="shared" si="24"/>
        <v>-2747299.8857901301</v>
      </c>
      <c r="M88" s="3">
        <f t="shared" si="25"/>
        <v>2381744.5158287641</v>
      </c>
      <c r="N88" s="3">
        <f t="shared" si="26"/>
        <v>0</v>
      </c>
      <c r="O88" s="3">
        <f t="shared" si="27"/>
        <v>4932223.9937065355</v>
      </c>
      <c r="P88" s="3">
        <f t="shared" si="28"/>
        <v>3178428.2924725921</v>
      </c>
      <c r="Q88" s="3">
        <f t="shared" si="29"/>
        <v>-199520.33176892326</v>
      </c>
      <c r="R88" s="3">
        <f t="shared" si="30"/>
        <v>0</v>
      </c>
      <c r="S88" s="47">
        <f t="shared" si="21"/>
        <v>7545576.5844488377</v>
      </c>
      <c r="T88" s="47">
        <f ca="1">'Monthly Data'!BL88+'Monthly Data'!BM88</f>
        <v>100992.39909506007</v>
      </c>
      <c r="U88" s="47">
        <f t="shared" ca="1" si="22"/>
        <v>7646568.983543898</v>
      </c>
      <c r="V88" s="47">
        <f t="shared" ca="1" si="23"/>
        <v>-334853.576835379</v>
      </c>
      <c r="W88" s="18">
        <f t="shared" ca="1" si="31"/>
        <v>4.1954122125751322E-2</v>
      </c>
    </row>
    <row r="89" spans="1:23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Data'!BK89</f>
        <v>6881723.2862388026</v>
      </c>
      <c r="E89" s="3">
        <f>'Monthly Data'!CN89</f>
        <v>414.33333333333331</v>
      </c>
      <c r="F89" s="3">
        <f>'Monthly Data'!CW89</f>
        <v>2.2541666666666629</v>
      </c>
      <c r="G89" s="3">
        <f>'Monthly Data'!DQ89</f>
        <v>30</v>
      </c>
      <c r="H89" s="3">
        <f>'Monthly Data'!DD89</f>
        <v>232.8</v>
      </c>
      <c r="I89">
        <f>'Monthly Data'!EJ89</f>
        <v>0.25</v>
      </c>
      <c r="J89">
        <f>'Monthly Data'!EF89</f>
        <v>0</v>
      </c>
      <c r="L89" s="3">
        <f t="shared" si="24"/>
        <v>-2747299.8857901301</v>
      </c>
      <c r="M89" s="3">
        <f t="shared" si="25"/>
        <v>1626507.7613538099</v>
      </c>
      <c r="N89" s="3">
        <f t="shared" si="26"/>
        <v>22938.830607080807</v>
      </c>
      <c r="O89" s="3">
        <f t="shared" si="27"/>
        <v>4773119.9939095499</v>
      </c>
      <c r="P89" s="3">
        <f t="shared" si="28"/>
        <v>3248191.8634223854</v>
      </c>
      <c r="Q89" s="3">
        <f t="shared" si="29"/>
        <v>-199520.33176892326</v>
      </c>
      <c r="R89" s="3">
        <f t="shared" si="30"/>
        <v>0</v>
      </c>
      <c r="S89" s="47">
        <f t="shared" si="21"/>
        <v>6723938.231733772</v>
      </c>
      <c r="T89" s="47">
        <f ca="1">'Monthly Data'!BL89+'Monthly Data'!BM89</f>
        <v>72640.345844247131</v>
      </c>
      <c r="U89" s="47">
        <f t="shared" ca="1" si="22"/>
        <v>6796578.5775780194</v>
      </c>
      <c r="V89" s="47">
        <f t="shared" ca="1" si="23"/>
        <v>-85144.708660783246</v>
      </c>
      <c r="W89" s="18">
        <f t="shared" ca="1" si="31"/>
        <v>1.2372585342256472E-2</v>
      </c>
    </row>
    <row r="90" spans="1:23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Data'!BK90</f>
        <v>6816779.1859883284</v>
      </c>
      <c r="E90" s="3">
        <f>'Monthly Data'!CN90</f>
        <v>158.97916666666669</v>
      </c>
      <c r="F90" s="3">
        <f>'Monthly Data'!CW90</f>
        <v>109.43749999999997</v>
      </c>
      <c r="G90" s="3">
        <f>'Monthly Data'!DQ90</f>
        <v>31</v>
      </c>
      <c r="H90" s="3">
        <f>'Monthly Data'!DD90</f>
        <v>235</v>
      </c>
      <c r="I90">
        <f>'Monthly Data'!EJ90</f>
        <v>0.25</v>
      </c>
      <c r="J90">
        <f>'Monthly Data'!EF90</f>
        <v>0</v>
      </c>
      <c r="L90" s="3">
        <f t="shared" si="24"/>
        <v>-2747299.8857901301</v>
      </c>
      <c r="M90" s="3">
        <f t="shared" si="25"/>
        <v>624088.93437705783</v>
      </c>
      <c r="N90" s="3">
        <f t="shared" si="26"/>
        <v>1113656.9055360041</v>
      </c>
      <c r="O90" s="3">
        <f t="shared" si="27"/>
        <v>4932223.9937065355</v>
      </c>
      <c r="P90" s="3">
        <f t="shared" si="28"/>
        <v>3278887.8346402948</v>
      </c>
      <c r="Q90" s="3">
        <f t="shared" si="29"/>
        <v>-199520.33176892326</v>
      </c>
      <c r="R90" s="3">
        <f t="shared" si="30"/>
        <v>0</v>
      </c>
      <c r="S90" s="47">
        <f t="shared" si="21"/>
        <v>7002037.4507008391</v>
      </c>
      <c r="T90" s="47">
        <f ca="1">'Monthly Data'!BL90+'Monthly Data'!BM90</f>
        <v>35947.873945679137</v>
      </c>
      <c r="U90" s="47">
        <f t="shared" ca="1" si="22"/>
        <v>7037985.3246465186</v>
      </c>
      <c r="V90" s="47">
        <f t="shared" ca="1" si="23"/>
        <v>221206.13865819015</v>
      </c>
      <c r="W90" s="18">
        <f t="shared" ca="1" si="31"/>
        <v>3.2450242647271352E-2</v>
      </c>
    </row>
    <row r="91" spans="1:23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Data'!BK91</f>
        <v>7330553.5173578653</v>
      </c>
      <c r="E91" s="3">
        <f>'Monthly Data'!CN91</f>
        <v>75.529010989011013</v>
      </c>
      <c r="F91" s="3">
        <f>'Monthly Data'!CW91</f>
        <v>180.92250416250408</v>
      </c>
      <c r="G91" s="3">
        <f>'Monthly Data'!DQ91</f>
        <v>30</v>
      </c>
      <c r="H91" s="3">
        <f>'Monthly Data'!DD91</f>
        <v>236.3</v>
      </c>
      <c r="I91">
        <f>'Monthly Data'!EJ91</f>
        <v>0.25</v>
      </c>
      <c r="J91">
        <f>'Monthly Data'!EF91</f>
        <v>0</v>
      </c>
      <c r="L91" s="3">
        <f t="shared" si="24"/>
        <v>-2747299.8857901301</v>
      </c>
      <c r="M91" s="3">
        <f t="shared" si="25"/>
        <v>296496.83647868934</v>
      </c>
      <c r="N91" s="3">
        <f t="shared" si="26"/>
        <v>1841101.9634717458</v>
      </c>
      <c r="O91" s="3">
        <f t="shared" si="27"/>
        <v>4773119.9939095499</v>
      </c>
      <c r="P91" s="3">
        <f t="shared" si="28"/>
        <v>3297026.3630872411</v>
      </c>
      <c r="Q91" s="3">
        <f t="shared" si="29"/>
        <v>-199520.33176892326</v>
      </c>
      <c r="R91" s="3">
        <f t="shared" si="30"/>
        <v>0</v>
      </c>
      <c r="S91" s="47">
        <f t="shared" si="21"/>
        <v>7260924.9393881718</v>
      </c>
      <c r="T91" s="47">
        <f ca="1">'Monthly Data'!BL91+'Monthly Data'!BM91</f>
        <v>25528.4949094892</v>
      </c>
      <c r="U91" s="47">
        <f t="shared" ca="1" si="22"/>
        <v>7286453.4342976613</v>
      </c>
      <c r="V91" s="47">
        <f t="shared" ca="1" si="23"/>
        <v>-44100.083060204051</v>
      </c>
      <c r="W91" s="18">
        <f t="shared" ca="1" si="31"/>
        <v>6.0159281227236639E-3</v>
      </c>
    </row>
    <row r="92" spans="1:23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Data'!BK92</f>
        <v>8153321.3920173803</v>
      </c>
      <c r="E92" s="3">
        <f>'Monthly Data'!CN92</f>
        <v>8.9945652173913082</v>
      </c>
      <c r="F92" s="3">
        <f>'Monthly Data'!CW92</f>
        <v>283.8543382913806</v>
      </c>
      <c r="G92" s="3">
        <f>'Monthly Data'!DQ92</f>
        <v>31</v>
      </c>
      <c r="H92" s="3">
        <f>'Monthly Data'!DD92</f>
        <v>236.4</v>
      </c>
      <c r="I92">
        <f>'Monthly Data'!EJ92</f>
        <v>0.25</v>
      </c>
      <c r="J92">
        <f>'Monthly Data'!EF92</f>
        <v>0</v>
      </c>
      <c r="L92" s="3">
        <f t="shared" si="24"/>
        <v>-2747299.8857901301</v>
      </c>
      <c r="M92" s="3">
        <f t="shared" si="25"/>
        <v>35309.083192493919</v>
      </c>
      <c r="N92" s="3">
        <f t="shared" si="26"/>
        <v>2888555.970344252</v>
      </c>
      <c r="O92" s="3">
        <f t="shared" si="27"/>
        <v>4932223.9937065355</v>
      </c>
      <c r="P92" s="3">
        <f t="shared" si="28"/>
        <v>3298421.6345062368</v>
      </c>
      <c r="Q92" s="3">
        <f t="shared" si="29"/>
        <v>-199520.33176892326</v>
      </c>
      <c r="R92" s="3">
        <f t="shared" si="30"/>
        <v>0</v>
      </c>
      <c r="S92" s="47">
        <f t="shared" si="21"/>
        <v>8207690.4641904635</v>
      </c>
      <c r="T92" s="47">
        <f ca="1">'Monthly Data'!BL92+'Monthly Data'!BM92</f>
        <v>20899.897411290891</v>
      </c>
      <c r="U92" s="47">
        <f t="shared" ca="1" si="22"/>
        <v>8228590.3616017541</v>
      </c>
      <c r="V92" s="47">
        <f t="shared" ca="1" si="23"/>
        <v>75268.969584373757</v>
      </c>
      <c r="W92" s="18">
        <f t="shared" ca="1" si="31"/>
        <v>9.2316941728884695E-3</v>
      </c>
    </row>
    <row r="93" spans="1:23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Data'!BK93</f>
        <v>8384767.4178069057</v>
      </c>
      <c r="E93" s="3">
        <f>'Monthly Data'!CN93</f>
        <v>7.3916666666666764</v>
      </c>
      <c r="F93" s="3">
        <f>'Monthly Data'!CW93</f>
        <v>290.28333333333336</v>
      </c>
      <c r="G93" s="3">
        <f>'Monthly Data'!DQ93</f>
        <v>31</v>
      </c>
      <c r="H93" s="3">
        <f>'Monthly Data'!DD93</f>
        <v>235.2</v>
      </c>
      <c r="I93">
        <f>'Monthly Data'!EJ93</f>
        <v>0.25</v>
      </c>
      <c r="J93">
        <f>'Monthly Data'!EF93</f>
        <v>0</v>
      </c>
      <c r="L93" s="3">
        <f t="shared" si="24"/>
        <v>-2747299.8857901301</v>
      </c>
      <c r="M93" s="3">
        <f t="shared" si="25"/>
        <v>29016.741438472069</v>
      </c>
      <c r="N93" s="3">
        <f t="shared" si="26"/>
        <v>2953978.6520038974</v>
      </c>
      <c r="O93" s="3">
        <f t="shared" si="27"/>
        <v>4932223.9937065355</v>
      </c>
      <c r="P93" s="3">
        <f t="shared" si="28"/>
        <v>3281678.3774782862</v>
      </c>
      <c r="Q93" s="3">
        <f t="shared" si="29"/>
        <v>-199520.33176892326</v>
      </c>
      <c r="R93" s="3">
        <f t="shared" si="30"/>
        <v>0</v>
      </c>
      <c r="S93" s="47">
        <f t="shared" si="21"/>
        <v>8250077.5470681386</v>
      </c>
      <c r="T93" s="47">
        <f ca="1">'Monthly Data'!BL93+'Monthly Data'!BM93</f>
        <v>21738.990238234917</v>
      </c>
      <c r="U93" s="47">
        <f t="shared" ca="1" si="22"/>
        <v>8271816.5373063739</v>
      </c>
      <c r="V93" s="47">
        <f t="shared" ca="1" si="23"/>
        <v>-112950.88050053176</v>
      </c>
      <c r="W93" s="18">
        <f t="shared" ca="1" si="31"/>
        <v>1.347096167040431E-2</v>
      </c>
    </row>
    <row r="94" spans="1:23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Data'!BK94</f>
        <v>7075278.6078964211</v>
      </c>
      <c r="E94" s="3">
        <f>'Monthly Data'!CN94</f>
        <v>111.79166666666666</v>
      </c>
      <c r="F94" s="3">
        <f>'Monthly Data'!CW94</f>
        <v>139.79166666666663</v>
      </c>
      <c r="G94" s="3">
        <f>'Monthly Data'!DQ94</f>
        <v>30</v>
      </c>
      <c r="H94" s="3">
        <f>'Monthly Data'!DD94</f>
        <v>233.8</v>
      </c>
      <c r="I94">
        <f>'Monthly Data'!EJ94</f>
        <v>0.25</v>
      </c>
      <c r="J94">
        <f>'Monthly Data'!EF94</f>
        <v>1</v>
      </c>
      <c r="L94" s="3">
        <f t="shared" si="24"/>
        <v>-2747299.8857901301</v>
      </c>
      <c r="M94" s="3">
        <f t="shared" si="25"/>
        <v>438849.59007565083</v>
      </c>
      <c r="N94" s="3">
        <f t="shared" si="26"/>
        <v>1422546.7040065844</v>
      </c>
      <c r="O94" s="3">
        <f t="shared" si="27"/>
        <v>4773119.9939095499</v>
      </c>
      <c r="P94" s="3">
        <f t="shared" si="28"/>
        <v>3262144.5776123442</v>
      </c>
      <c r="Q94" s="3">
        <f t="shared" si="29"/>
        <v>-199520.33176892326</v>
      </c>
      <c r="R94" s="3">
        <f t="shared" si="30"/>
        <v>193845.03320349701</v>
      </c>
      <c r="S94" s="47">
        <f t="shared" si="21"/>
        <v>7143685.6812485717</v>
      </c>
      <c r="T94" s="47">
        <f ca="1">'Monthly Data'!BL94+'Monthly Data'!BM94</f>
        <v>33380.7286340508</v>
      </c>
      <c r="U94" s="47">
        <f t="shared" ca="1" si="22"/>
        <v>7177066.4098826228</v>
      </c>
      <c r="V94" s="47">
        <f t="shared" ca="1" si="23"/>
        <v>101787.80198620167</v>
      </c>
      <c r="W94" s="18">
        <f t="shared" ca="1" si="31"/>
        <v>1.4386401953500542E-2</v>
      </c>
    </row>
    <row r="95" spans="1:23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Data'!BK95</f>
        <v>6746329.7405359466</v>
      </c>
      <c r="E95" s="3">
        <f>'Monthly Data'!CN95</f>
        <v>330.85561594202903</v>
      </c>
      <c r="F95" s="3">
        <f>'Monthly Data'!CW95</f>
        <v>11.604166666666668</v>
      </c>
      <c r="G95" s="3">
        <f>'Monthly Data'!DQ95</f>
        <v>31</v>
      </c>
      <c r="H95" s="3">
        <f>'Monthly Data'!DD95</f>
        <v>234</v>
      </c>
      <c r="I95">
        <f>'Monthly Data'!EJ95</f>
        <v>0.25</v>
      </c>
      <c r="J95">
        <f>'Monthly Data'!EF95</f>
        <v>1</v>
      </c>
      <c r="L95" s="3">
        <f t="shared" si="24"/>
        <v>-2747299.8857901301</v>
      </c>
      <c r="M95" s="3">
        <f t="shared" si="25"/>
        <v>1298807.467137262</v>
      </c>
      <c r="N95" s="3">
        <f t="shared" si="26"/>
        <v>118086.21671112784</v>
      </c>
      <c r="O95" s="3">
        <f t="shared" si="27"/>
        <v>4932223.9937065355</v>
      </c>
      <c r="P95" s="3">
        <f t="shared" si="28"/>
        <v>3264935.120450336</v>
      </c>
      <c r="Q95" s="3">
        <f t="shared" si="29"/>
        <v>-199520.33176892326</v>
      </c>
      <c r="R95" s="3">
        <f t="shared" si="30"/>
        <v>193845.03320349701</v>
      </c>
      <c r="S95" s="47">
        <f t="shared" si="21"/>
        <v>6861077.6136497045</v>
      </c>
      <c r="T95" s="47">
        <f ca="1">'Monthly Data'!BL95+'Monthly Data'!BM95</f>
        <v>64448.55508699394</v>
      </c>
      <c r="U95" s="47">
        <f t="shared" ca="1" si="22"/>
        <v>6925526.1687366981</v>
      </c>
      <c r="V95" s="47">
        <f t="shared" ca="1" si="23"/>
        <v>179196.42820075154</v>
      </c>
      <c r="W95" s="18">
        <f t="shared" ca="1" si="31"/>
        <v>2.6562061905162034E-2</v>
      </c>
    </row>
    <row r="96" spans="1:23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Data'!BK96</f>
        <v>7203577.4867354631</v>
      </c>
      <c r="E96" s="3">
        <f>'Monthly Data'!CN96</f>
        <v>471.83333333333348</v>
      </c>
      <c r="F96" s="3">
        <f>'Monthly Data'!CW96</f>
        <v>6.5791666666666675</v>
      </c>
      <c r="G96" s="3">
        <f>'Monthly Data'!DQ96</f>
        <v>30</v>
      </c>
      <c r="H96" s="3">
        <f>'Monthly Data'!DD96</f>
        <v>234.2</v>
      </c>
      <c r="I96">
        <f>'Monthly Data'!EJ96</f>
        <v>0.25</v>
      </c>
      <c r="J96">
        <f>'Monthly Data'!EF96</f>
        <v>1</v>
      </c>
      <c r="L96" s="3">
        <f t="shared" si="24"/>
        <v>-2747299.8857901301</v>
      </c>
      <c r="M96" s="3">
        <f t="shared" si="25"/>
        <v>1852229.8762641342</v>
      </c>
      <c r="N96" s="3">
        <f t="shared" si="26"/>
        <v>66950.856799594563</v>
      </c>
      <c r="O96" s="3">
        <f t="shared" si="27"/>
        <v>4773119.9939095499</v>
      </c>
      <c r="P96" s="3">
        <f t="shared" si="28"/>
        <v>3267725.6632883274</v>
      </c>
      <c r="Q96" s="3">
        <f t="shared" si="29"/>
        <v>-199520.33176892326</v>
      </c>
      <c r="R96" s="3">
        <f t="shared" si="30"/>
        <v>193845.03320349701</v>
      </c>
      <c r="S96" s="47">
        <f t="shared" si="21"/>
        <v>7207051.2059060484</v>
      </c>
      <c r="T96" s="47">
        <f ca="1">'Monthly Data'!BL96+'Monthly Data'!BM96</f>
        <v>87171.688529973879</v>
      </c>
      <c r="U96" s="47">
        <f t="shared" ca="1" si="22"/>
        <v>7294222.8944360223</v>
      </c>
      <c r="V96" s="47">
        <f t="shared" ca="1" si="23"/>
        <v>90645.407700559124</v>
      </c>
      <c r="W96" s="18">
        <f t="shared" ca="1" si="31"/>
        <v>1.258338761087417E-2</v>
      </c>
    </row>
    <row r="97" spans="1:23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Data'!BK97</f>
        <v>7949682.6551650083</v>
      </c>
      <c r="E97" s="3">
        <f>'Monthly Data'!CN97</f>
        <v>647.12083333333328</v>
      </c>
      <c r="F97" s="3">
        <f>'Monthly Data'!CW97</f>
        <v>0</v>
      </c>
      <c r="G97" s="3">
        <f>'Monthly Data'!DQ97</f>
        <v>31</v>
      </c>
      <c r="H97" s="3">
        <f>'Monthly Data'!DD97</f>
        <v>236.7</v>
      </c>
      <c r="I97">
        <f>'Monthly Data'!EJ97</f>
        <v>0.25</v>
      </c>
      <c r="J97">
        <f>'Monthly Data'!EF97</f>
        <v>0</v>
      </c>
      <c r="L97" s="3">
        <f t="shared" si="24"/>
        <v>-2747299.8857901301</v>
      </c>
      <c r="M97" s="3">
        <f t="shared" si="25"/>
        <v>2540338.8365657567</v>
      </c>
      <c r="N97" s="3">
        <f t="shared" si="26"/>
        <v>0</v>
      </c>
      <c r="O97" s="3">
        <f t="shared" si="27"/>
        <v>4932223.9937065355</v>
      </c>
      <c r="P97" s="3">
        <f t="shared" si="28"/>
        <v>3302607.4487632243</v>
      </c>
      <c r="Q97" s="3">
        <f t="shared" si="29"/>
        <v>-199520.33176892326</v>
      </c>
      <c r="R97" s="3">
        <f t="shared" si="30"/>
        <v>0</v>
      </c>
      <c r="S97" s="47">
        <f t="shared" si="21"/>
        <v>7828350.0614764635</v>
      </c>
      <c r="T97" s="47">
        <f ca="1">'Monthly Data'!BL97+'Monthly Data'!BM97</f>
        <v>114538.61120058114</v>
      </c>
      <c r="U97" s="47">
        <f t="shared" ca="1" si="22"/>
        <v>7942888.6726770448</v>
      </c>
      <c r="V97" s="47">
        <f t="shared" ca="1" si="23"/>
        <v>-6793.9824879635125</v>
      </c>
      <c r="W97" s="18">
        <f t="shared" ca="1" si="31"/>
        <v>8.5462310669085352E-4</v>
      </c>
    </row>
    <row r="98" spans="1:23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Data'!BK98</f>
        <v>8069617.4113503518</v>
      </c>
      <c r="E98" s="3">
        <f>'Monthly Data'!CN98</f>
        <v>666.07083333333355</v>
      </c>
      <c r="F98" s="3">
        <f>'Monthly Data'!CW98</f>
        <v>0</v>
      </c>
      <c r="G98" s="3">
        <f>'Monthly Data'!DQ98</f>
        <v>31</v>
      </c>
      <c r="H98" s="3">
        <f>'Monthly Data'!DD98</f>
        <v>238.7</v>
      </c>
      <c r="I98">
        <f>'Monthly Data'!EJ98</f>
        <v>0</v>
      </c>
      <c r="J98">
        <f>'Monthly Data'!EF98</f>
        <v>0</v>
      </c>
      <c r="L98" s="3">
        <f t="shared" ref="L98:L121" si="32">$AA$8</f>
        <v>-2747299.8857901301</v>
      </c>
      <c r="M98" s="3">
        <f t="shared" ref="M98:M121" si="33">E98*$AA$9</f>
        <v>2614728.9944362035</v>
      </c>
      <c r="N98" s="3">
        <f t="shared" ref="N98:N121" si="34">F98*$AA$10</f>
        <v>0</v>
      </c>
      <c r="O98" s="3">
        <f t="shared" ref="O98:O121" si="35">G98*$AA$11</f>
        <v>4932223.9937065355</v>
      </c>
      <c r="P98" s="3">
        <f t="shared" ref="P98:P121" si="36">H98*$AA$12</f>
        <v>3330512.8771431418</v>
      </c>
      <c r="Q98" s="3">
        <f t="shared" ref="Q98:Q121" si="37">I98*$AA$13</f>
        <v>0</v>
      </c>
      <c r="R98" s="3">
        <f t="shared" ref="R98:R121" si="38">J98*$AA$14</f>
        <v>0</v>
      </c>
      <c r="S98" s="47">
        <f t="shared" si="21"/>
        <v>8130165.9794957507</v>
      </c>
      <c r="T98" s="47">
        <f ca="1">'Monthly Data'!BL98+'Monthly Data'!BM98</f>
        <v>157357.89469239517</v>
      </c>
      <c r="U98" s="47">
        <f t="shared" ca="1" si="22"/>
        <v>8287523.8741881456</v>
      </c>
      <c r="V98" s="47">
        <f t="shared" ca="1" si="23"/>
        <v>217906.46283779386</v>
      </c>
      <c r="W98" s="18">
        <f t="shared" ca="1" si="31"/>
        <v>2.7003320198464017E-2</v>
      </c>
    </row>
    <row r="99" spans="1:23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Data'!BK99</f>
        <v>7458260.393399395</v>
      </c>
      <c r="E99" s="3">
        <f>'Monthly Data'!CN99</f>
        <v>629.43333333333328</v>
      </c>
      <c r="F99" s="3">
        <f>'Monthly Data'!CW99</f>
        <v>0</v>
      </c>
      <c r="G99" s="3">
        <f>'Monthly Data'!DQ99</f>
        <v>28</v>
      </c>
      <c r="H99" s="3">
        <f>'Monthly Data'!DD99</f>
        <v>239.4</v>
      </c>
      <c r="I99">
        <f>'Monthly Data'!EJ99</f>
        <v>0</v>
      </c>
      <c r="J99">
        <f>'Monthly Data'!EF99</f>
        <v>0</v>
      </c>
      <c r="L99" s="3">
        <f t="shared" si="32"/>
        <v>-2747299.8857901301</v>
      </c>
      <c r="M99" s="3">
        <f t="shared" si="33"/>
        <v>2470904.7512183418</v>
      </c>
      <c r="N99" s="3">
        <f t="shared" si="34"/>
        <v>0</v>
      </c>
      <c r="O99" s="3">
        <f t="shared" si="35"/>
        <v>4454911.9943155805</v>
      </c>
      <c r="P99" s="3">
        <f t="shared" si="36"/>
        <v>3340279.777076113</v>
      </c>
      <c r="Q99" s="3">
        <f t="shared" si="37"/>
        <v>0</v>
      </c>
      <c r="R99" s="3">
        <f t="shared" si="38"/>
        <v>0</v>
      </c>
      <c r="S99" s="47">
        <f t="shared" si="21"/>
        <v>7518796.6368199047</v>
      </c>
      <c r="T99" s="47">
        <f ca="1">'Monthly Data'!BL99+'Monthly Data'!BM99</f>
        <v>151921.44017598926</v>
      </c>
      <c r="U99" s="47">
        <f t="shared" ca="1" si="22"/>
        <v>7670718.0769958943</v>
      </c>
      <c r="V99" s="47">
        <f t="shared" ca="1" si="23"/>
        <v>212457.68359649926</v>
      </c>
      <c r="W99" s="18">
        <f t="shared" ca="1" si="31"/>
        <v>2.8486224989479527E-2</v>
      </c>
    </row>
    <row r="100" spans="1:23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Data'!BK100</f>
        <v>7801283.0373284277</v>
      </c>
      <c r="E100" s="3">
        <f>'Monthly Data'!CN100</f>
        <v>613.0333333333333</v>
      </c>
      <c r="F100" s="3">
        <f>'Monthly Data'!CW100</f>
        <v>0</v>
      </c>
      <c r="G100" s="3">
        <f>'Monthly Data'!DQ100</f>
        <v>31</v>
      </c>
      <c r="H100" s="3">
        <f>'Monthly Data'!DD100</f>
        <v>236.5</v>
      </c>
      <c r="I100">
        <f>'Monthly Data'!EJ100</f>
        <v>0</v>
      </c>
      <c r="J100">
        <f>'Monthly Data'!EF100</f>
        <v>0</v>
      </c>
      <c r="L100" s="3">
        <f t="shared" si="32"/>
        <v>-2747299.8857901301</v>
      </c>
      <c r="M100" s="3">
        <f t="shared" si="33"/>
        <v>2406524.8784439191</v>
      </c>
      <c r="N100" s="3">
        <f t="shared" si="34"/>
        <v>0</v>
      </c>
      <c r="O100" s="3">
        <f t="shared" si="35"/>
        <v>4932223.9937065355</v>
      </c>
      <c r="P100" s="3">
        <f t="shared" si="36"/>
        <v>3299816.9059252325</v>
      </c>
      <c r="Q100" s="3">
        <f t="shared" si="37"/>
        <v>0</v>
      </c>
      <c r="R100" s="3">
        <f t="shared" si="38"/>
        <v>0</v>
      </c>
      <c r="S100" s="47">
        <f t="shared" si="21"/>
        <v>7891265.8922855575</v>
      </c>
      <c r="T100" s="47">
        <f ca="1">'Monthly Data'!BL100+'Monthly Data'!BM100</f>
        <v>148264.13306656689</v>
      </c>
      <c r="U100" s="47">
        <f t="shared" ca="1" si="22"/>
        <v>8039530.0253521241</v>
      </c>
      <c r="V100" s="47">
        <f t="shared" ca="1" si="23"/>
        <v>238246.98802369647</v>
      </c>
      <c r="W100" s="18">
        <f t="shared" ca="1" si="31"/>
        <v>3.0539462147919305E-2</v>
      </c>
    </row>
    <row r="101" spans="1:23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Data'!BK101</f>
        <v>6714726.1745674694</v>
      </c>
      <c r="E101" s="3">
        <f>'Monthly Data'!CN101</f>
        <v>361.4</v>
      </c>
      <c r="F101" s="3">
        <f>'Monthly Data'!CW101</f>
        <v>22.716666666666676</v>
      </c>
      <c r="G101" s="3">
        <f>'Monthly Data'!DQ101</f>
        <v>30</v>
      </c>
      <c r="H101" s="3">
        <f>'Monthly Data'!DD101</f>
        <v>233.1</v>
      </c>
      <c r="I101">
        <f>'Monthly Data'!EJ101</f>
        <v>0</v>
      </c>
      <c r="J101">
        <f>'Monthly Data'!EF101</f>
        <v>0</v>
      </c>
      <c r="L101" s="3">
        <f t="shared" si="32"/>
        <v>-2747299.8857901301</v>
      </c>
      <c r="M101" s="3">
        <f t="shared" si="33"/>
        <v>1418712.5622363642</v>
      </c>
      <c r="N101" s="3">
        <f t="shared" si="34"/>
        <v>231169.13950056344</v>
      </c>
      <c r="O101" s="3">
        <f t="shared" si="35"/>
        <v>4773119.9939095499</v>
      </c>
      <c r="P101" s="3">
        <f t="shared" si="36"/>
        <v>3252377.677679373</v>
      </c>
      <c r="Q101" s="3">
        <f t="shared" si="37"/>
        <v>0</v>
      </c>
      <c r="R101" s="3">
        <f t="shared" si="38"/>
        <v>0</v>
      </c>
      <c r="S101" s="47">
        <f t="shared" si="21"/>
        <v>6928079.4875357207</v>
      </c>
      <c r="T101" s="47">
        <f ca="1">'Monthly Data'!BL101+'Monthly Data'!BM101</f>
        <v>95528.635270622894</v>
      </c>
      <c r="U101" s="47">
        <f t="shared" ca="1" si="22"/>
        <v>7023608.1228063432</v>
      </c>
      <c r="V101" s="47">
        <f t="shared" ca="1" si="23"/>
        <v>308881.94823887385</v>
      </c>
      <c r="W101" s="18">
        <f t="shared" ca="1" si="31"/>
        <v>4.6000676752655602E-2</v>
      </c>
    </row>
    <row r="102" spans="1:23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Data'!BK102</f>
        <v>6881883.396516473</v>
      </c>
      <c r="E102" s="3">
        <f>'Monthly Data'!CN102</f>
        <v>219.04750000000001</v>
      </c>
      <c r="F102" s="3">
        <f>'Monthly Data'!CW102</f>
        <v>68.049999999999983</v>
      </c>
      <c r="G102" s="3">
        <f>'Monthly Data'!DQ102</f>
        <v>31</v>
      </c>
      <c r="H102" s="3">
        <f>'Monthly Data'!DD102</f>
        <v>230</v>
      </c>
      <c r="I102">
        <f>'Monthly Data'!EJ102</f>
        <v>0</v>
      </c>
      <c r="J102">
        <f>'Monthly Data'!EF102</f>
        <v>0</v>
      </c>
      <c r="L102" s="3">
        <f t="shared" si="32"/>
        <v>-2747299.8857901301</v>
      </c>
      <c r="M102" s="3">
        <f t="shared" si="33"/>
        <v>859893.30375337577</v>
      </c>
      <c r="N102" s="3">
        <f t="shared" si="34"/>
        <v>692489.79939897277</v>
      </c>
      <c r="O102" s="3">
        <f t="shared" si="35"/>
        <v>4932223.9937065355</v>
      </c>
      <c r="P102" s="3">
        <f t="shared" si="36"/>
        <v>3209124.263690501</v>
      </c>
      <c r="Q102" s="3">
        <f t="shared" si="37"/>
        <v>0</v>
      </c>
      <c r="R102" s="3">
        <f t="shared" si="38"/>
        <v>0</v>
      </c>
      <c r="S102" s="47">
        <f t="shared" si="21"/>
        <v>6946431.4747592546</v>
      </c>
      <c r="T102" s="47">
        <f ca="1">'Monthly Data'!BL102+'Monthly Data'!BM102</f>
        <v>66939.326516528992</v>
      </c>
      <c r="U102" s="47">
        <f t="shared" ca="1" si="22"/>
        <v>7013370.8012757832</v>
      </c>
      <c r="V102" s="47">
        <f t="shared" ca="1" si="23"/>
        <v>131487.40475931019</v>
      </c>
      <c r="W102" s="18">
        <f t="shared" ca="1" si="31"/>
        <v>1.9106311046459684E-2</v>
      </c>
    </row>
    <row r="103" spans="1:23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Data'!BK103</f>
        <v>7263613.3872355353</v>
      </c>
      <c r="E103" s="3">
        <f>'Monthly Data'!CN103</f>
        <v>55.599999999999994</v>
      </c>
      <c r="F103" s="3">
        <f>'Monthly Data'!CW103</f>
        <v>205.54166666666669</v>
      </c>
      <c r="G103" s="3">
        <f>'Monthly Data'!DQ103</f>
        <v>30</v>
      </c>
      <c r="H103" s="3">
        <f>'Monthly Data'!DD103</f>
        <v>231</v>
      </c>
      <c r="I103">
        <f>'Monthly Data'!EJ103</f>
        <v>0</v>
      </c>
      <c r="J103">
        <f>'Monthly Data'!EF103</f>
        <v>0</v>
      </c>
      <c r="L103" s="3">
        <f t="shared" si="32"/>
        <v>-2747299.8857901301</v>
      </c>
      <c r="M103" s="3">
        <f t="shared" si="33"/>
        <v>218263.4711132868</v>
      </c>
      <c r="N103" s="3">
        <f t="shared" si="34"/>
        <v>2091631.264043065</v>
      </c>
      <c r="O103" s="3">
        <f t="shared" si="35"/>
        <v>4773119.9939095499</v>
      </c>
      <c r="P103" s="3">
        <f t="shared" si="36"/>
        <v>3223076.9778804597</v>
      </c>
      <c r="Q103" s="3">
        <f t="shared" si="37"/>
        <v>0</v>
      </c>
      <c r="R103" s="3">
        <f t="shared" si="38"/>
        <v>0</v>
      </c>
      <c r="S103" s="47">
        <f t="shared" si="21"/>
        <v>7558791.8211562317</v>
      </c>
      <c r="T103" s="47">
        <f ca="1">'Monthly Data'!BL103+'Monthly Data'!BM103</f>
        <v>37424.177169463583</v>
      </c>
      <c r="U103" s="47">
        <f t="shared" ca="1" si="22"/>
        <v>7596215.9983256953</v>
      </c>
      <c r="V103" s="47">
        <f t="shared" ca="1" si="23"/>
        <v>332602.61109015997</v>
      </c>
      <c r="W103" s="18">
        <f t="shared" ca="1" si="31"/>
        <v>4.5790241489813858E-2</v>
      </c>
    </row>
    <row r="104" spans="1:23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Data'!BK104</f>
        <v>7844398.4712245679</v>
      </c>
      <c r="E104" s="3">
        <f>'Monthly Data'!CN104</f>
        <v>7.3166666666666593</v>
      </c>
      <c r="F104" s="3">
        <f>'Monthly Data'!CW104</f>
        <v>285.78333333333342</v>
      </c>
      <c r="G104" s="3">
        <f>'Monthly Data'!DQ104</f>
        <v>31</v>
      </c>
      <c r="H104" s="3">
        <f>'Monthly Data'!DD104</f>
        <v>232.9</v>
      </c>
      <c r="I104">
        <f>'Monthly Data'!EJ104</f>
        <v>0</v>
      </c>
      <c r="J104">
        <f>'Monthly Data'!EF104</f>
        <v>0</v>
      </c>
      <c r="L104" s="3">
        <f t="shared" si="32"/>
        <v>-2747299.8857901301</v>
      </c>
      <c r="M104" s="3">
        <f t="shared" si="33"/>
        <v>28722.321288588973</v>
      </c>
      <c r="N104" s="3">
        <f t="shared" si="34"/>
        <v>2908185.7923816293</v>
      </c>
      <c r="O104" s="3">
        <f t="shared" si="35"/>
        <v>4932223.9937065355</v>
      </c>
      <c r="P104" s="3">
        <f t="shared" si="36"/>
        <v>3249587.1348413816</v>
      </c>
      <c r="Q104" s="3">
        <f t="shared" si="37"/>
        <v>0</v>
      </c>
      <c r="R104" s="3">
        <f t="shared" si="38"/>
        <v>0</v>
      </c>
      <c r="S104" s="47">
        <f t="shared" si="21"/>
        <v>8371419.3564280057</v>
      </c>
      <c r="T104" s="47">
        <f ca="1">'Monthly Data'!BL104+'Monthly Data'!BM104</f>
        <v>34000.849992168543</v>
      </c>
      <c r="U104" s="47">
        <f t="shared" ca="1" si="22"/>
        <v>8405420.2064201739</v>
      </c>
      <c r="V104" s="47">
        <f t="shared" ca="1" si="23"/>
        <v>561021.73519560602</v>
      </c>
      <c r="W104" s="18">
        <f t="shared" ca="1" si="31"/>
        <v>7.1518770655721986E-2</v>
      </c>
    </row>
    <row r="105" spans="1:23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Data'!BK105</f>
        <v>7568406.6978435908</v>
      </c>
      <c r="E105" s="3">
        <f>'Monthly Data'!CN105</f>
        <v>32.211775362318839</v>
      </c>
      <c r="F105" s="3">
        <f>'Monthly Data'!CW105</f>
        <v>227.80489130434788</v>
      </c>
      <c r="G105" s="3">
        <f>'Monthly Data'!DQ105</f>
        <v>31</v>
      </c>
      <c r="H105" s="3">
        <f>'Monthly Data'!DD105</f>
        <v>236.1</v>
      </c>
      <c r="I105">
        <f>'Monthly Data'!EJ105</f>
        <v>0</v>
      </c>
      <c r="J105">
        <f>'Monthly Data'!EF105</f>
        <v>0</v>
      </c>
      <c r="L105" s="3">
        <f t="shared" si="32"/>
        <v>-2747299.8857901301</v>
      </c>
      <c r="M105" s="3">
        <f t="shared" si="33"/>
        <v>126450.6097356324</v>
      </c>
      <c r="N105" s="3">
        <f t="shared" si="34"/>
        <v>2318186.0908369245</v>
      </c>
      <c r="O105" s="3">
        <f t="shared" si="35"/>
        <v>4932223.9937065355</v>
      </c>
      <c r="P105" s="3">
        <f t="shared" si="36"/>
        <v>3294235.8202492492</v>
      </c>
      <c r="Q105" s="3">
        <f t="shared" si="37"/>
        <v>0</v>
      </c>
      <c r="R105" s="3">
        <f t="shared" si="38"/>
        <v>0</v>
      </c>
      <c r="S105" s="47">
        <f t="shared" si="21"/>
        <v>7923796.6287382115</v>
      </c>
      <c r="T105" s="47">
        <f ca="1">'Monthly Data'!BL105+'Monthly Data'!BM105</f>
        <v>37157.758444546482</v>
      </c>
      <c r="U105" s="47">
        <f t="shared" ca="1" si="22"/>
        <v>7960954.3871827582</v>
      </c>
      <c r="V105" s="47">
        <f t="shared" ca="1" si="23"/>
        <v>392547.68933916744</v>
      </c>
      <c r="W105" s="18">
        <f t="shared" ca="1" si="31"/>
        <v>5.1866621999979615E-2</v>
      </c>
    </row>
    <row r="106" spans="1:23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Data'!BK106</f>
        <v>8912811.1403226145</v>
      </c>
      <c r="E106" s="3">
        <f>'Monthly Data'!CN106</f>
        <v>95.22083333333336</v>
      </c>
      <c r="F106" s="3">
        <f>'Monthly Data'!CW106</f>
        <v>162.99166666666662</v>
      </c>
      <c r="G106" s="3">
        <f>'Monthly Data'!DQ106</f>
        <v>30</v>
      </c>
      <c r="H106" s="3">
        <f>'Monthly Data'!DD106</f>
        <v>236.5</v>
      </c>
      <c r="I106">
        <f>'Monthly Data'!EJ106</f>
        <v>0</v>
      </c>
      <c r="J106">
        <f>'Monthly Data'!EF106</f>
        <v>1</v>
      </c>
      <c r="L106" s="3">
        <f t="shared" si="32"/>
        <v>-2747299.8857901301</v>
      </c>
      <c r="M106" s="3">
        <f t="shared" si="33"/>
        <v>373799.09362649464</v>
      </c>
      <c r="N106" s="3">
        <f t="shared" si="34"/>
        <v>1658634.3358369467</v>
      </c>
      <c r="O106" s="3">
        <f t="shared" si="35"/>
        <v>4773119.9939095499</v>
      </c>
      <c r="P106" s="3">
        <f t="shared" si="36"/>
        <v>3299816.9059252325</v>
      </c>
      <c r="Q106" s="3">
        <f t="shared" si="37"/>
        <v>0</v>
      </c>
      <c r="R106" s="3">
        <f t="shared" si="38"/>
        <v>193845.03320349701</v>
      </c>
      <c r="S106" s="47">
        <f t="shared" si="21"/>
        <v>7551915.4767115908</v>
      </c>
      <c r="T106" s="47">
        <f ca="1">'Monthly Data'!BL106+'Monthly Data'!BM106</f>
        <v>46614.126608044629</v>
      </c>
      <c r="U106" s="47">
        <f t="shared" ca="1" si="22"/>
        <v>7598529.6033196356</v>
      </c>
      <c r="V106" s="47">
        <f t="shared" ca="1" si="23"/>
        <v>-1314281.5370029788</v>
      </c>
      <c r="W106" s="18">
        <f t="shared" ca="1" si="31"/>
        <v>0.14745982118447606</v>
      </c>
    </row>
    <row r="107" spans="1:23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Data'!BK107</f>
        <v>8758512.7671116646</v>
      </c>
      <c r="E107" s="3">
        <f>'Monthly Data'!CN107</f>
        <v>261.85000000000002</v>
      </c>
      <c r="F107" s="3">
        <f>'Monthly Data'!CW107</f>
        <v>54.625</v>
      </c>
      <c r="G107" s="3">
        <f>'Monthly Data'!DQ107</f>
        <v>31</v>
      </c>
      <c r="H107" s="3">
        <f>'Monthly Data'!DD107</f>
        <v>235.5</v>
      </c>
      <c r="I107">
        <f>'Monthly Data'!EJ107</f>
        <v>0</v>
      </c>
      <c r="J107">
        <f>'Monthly Data'!EF107</f>
        <v>1</v>
      </c>
      <c r="L107" s="3">
        <f t="shared" si="32"/>
        <v>-2747299.8857901301</v>
      </c>
      <c r="M107" s="3">
        <f t="shared" si="33"/>
        <v>1027918.8832916215</v>
      </c>
      <c r="N107" s="3">
        <f t="shared" si="34"/>
        <v>555874.43485920492</v>
      </c>
      <c r="O107" s="3">
        <f t="shared" si="35"/>
        <v>4932223.9937065355</v>
      </c>
      <c r="P107" s="3">
        <f t="shared" si="36"/>
        <v>3285864.1917352742</v>
      </c>
      <c r="Q107" s="3">
        <f t="shared" si="37"/>
        <v>0</v>
      </c>
      <c r="R107" s="3">
        <f t="shared" si="38"/>
        <v>193845.03320349701</v>
      </c>
      <c r="S107" s="47">
        <f t="shared" si="21"/>
        <v>7248426.6510060029</v>
      </c>
      <c r="T107" s="47">
        <f ca="1">'Monthly Data'!BL107+'Monthly Data'!BM107</f>
        <v>82257.348790669465</v>
      </c>
      <c r="U107" s="47">
        <f t="shared" ca="1" si="22"/>
        <v>7330683.9997966727</v>
      </c>
      <c r="V107" s="47">
        <f t="shared" ca="1" si="23"/>
        <v>-1427828.7673149919</v>
      </c>
      <c r="W107" s="18">
        <f t="shared" ca="1" si="31"/>
        <v>0.1630218286232919</v>
      </c>
    </row>
    <row r="108" spans="1:23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Data'!BK108</f>
        <v>7282107.7767806789</v>
      </c>
      <c r="E108" s="3">
        <f>'Monthly Data'!CN108</f>
        <v>510.59311594202899</v>
      </c>
      <c r="F108" s="3">
        <f>'Monthly Data'!CW108</f>
        <v>0</v>
      </c>
      <c r="G108" s="3">
        <f>'Monthly Data'!DQ108</f>
        <v>30</v>
      </c>
      <c r="H108" s="3">
        <f>'Monthly Data'!DD108</f>
        <v>237.3</v>
      </c>
      <c r="I108">
        <f>'Monthly Data'!EJ108</f>
        <v>0</v>
      </c>
      <c r="J108">
        <f>'Monthly Data'!EF108</f>
        <v>1</v>
      </c>
      <c r="L108" s="3">
        <f t="shared" si="32"/>
        <v>-2747299.8857901301</v>
      </c>
      <c r="M108" s="3">
        <f t="shared" si="33"/>
        <v>2004385.3563319449</v>
      </c>
      <c r="N108" s="3">
        <f t="shared" si="34"/>
        <v>0</v>
      </c>
      <c r="O108" s="3">
        <f t="shared" si="35"/>
        <v>4773119.9939095499</v>
      </c>
      <c r="P108" s="3">
        <f t="shared" si="36"/>
        <v>3310979.0772771998</v>
      </c>
      <c r="Q108" s="3">
        <f t="shared" si="37"/>
        <v>0</v>
      </c>
      <c r="R108" s="3">
        <f t="shared" si="38"/>
        <v>193845.03320349701</v>
      </c>
      <c r="S108" s="47">
        <f t="shared" si="21"/>
        <v>7535029.5749320611</v>
      </c>
      <c r="T108" s="47">
        <f ca="1">'Monthly Data'!BL108+'Monthly Data'!BM108</f>
        <v>136016.33027347585</v>
      </c>
      <c r="U108" s="47">
        <f t="shared" ca="1" si="22"/>
        <v>7671045.9052055366</v>
      </c>
      <c r="V108" s="47">
        <f t="shared" ca="1" si="23"/>
        <v>388938.12842485774</v>
      </c>
      <c r="W108" s="18">
        <f t="shared" ca="1" si="31"/>
        <v>5.3410103276005344E-2</v>
      </c>
    </row>
    <row r="109" spans="1:23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Data'!BK109</f>
        <v>7619252.9243397219</v>
      </c>
      <c r="E109" s="3">
        <f>'Monthly Data'!CN109</f>
        <v>551.67916666666667</v>
      </c>
      <c r="F109" s="3">
        <f>'Monthly Data'!CW109</f>
        <v>0</v>
      </c>
      <c r="G109" s="3">
        <f>'Monthly Data'!DQ109</f>
        <v>31</v>
      </c>
      <c r="H109" s="3">
        <f>'Monthly Data'!DD109</f>
        <v>239.4</v>
      </c>
      <c r="I109">
        <f>'Monthly Data'!EJ109</f>
        <v>0</v>
      </c>
      <c r="J109">
        <f>'Monthly Data'!EF109</f>
        <v>0</v>
      </c>
      <c r="L109" s="3">
        <f t="shared" si="32"/>
        <v>-2747299.8857901301</v>
      </c>
      <c r="M109" s="3">
        <f t="shared" si="33"/>
        <v>2165672.8391646068</v>
      </c>
      <c r="N109" s="3">
        <f t="shared" si="34"/>
        <v>0</v>
      </c>
      <c r="O109" s="3">
        <f t="shared" si="35"/>
        <v>4932223.9937065355</v>
      </c>
      <c r="P109" s="3">
        <f t="shared" si="36"/>
        <v>3340279.777076113</v>
      </c>
      <c r="Q109" s="3">
        <f t="shared" si="37"/>
        <v>0</v>
      </c>
      <c r="R109" s="3">
        <f t="shared" si="38"/>
        <v>0</v>
      </c>
      <c r="S109" s="47">
        <f t="shared" si="21"/>
        <v>7690876.7241571257</v>
      </c>
      <c r="T109" s="47">
        <f ca="1">'Monthly Data'!BL109+'Monthly Data'!BM109</f>
        <v>145638.87114127917</v>
      </c>
      <c r="U109" s="47">
        <f t="shared" ca="1" si="22"/>
        <v>7836515.5952984048</v>
      </c>
      <c r="V109" s="47">
        <f t="shared" ca="1" si="23"/>
        <v>217262.67095868289</v>
      </c>
      <c r="W109" s="18">
        <f t="shared" ca="1" si="31"/>
        <v>2.8514957190177631E-2</v>
      </c>
    </row>
    <row r="110" spans="1:23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Data'!BK110</f>
        <v>8695928.7202509195</v>
      </c>
      <c r="E110" s="3">
        <f>'Monthly Data'!CN110</f>
        <v>698.99583333333328</v>
      </c>
      <c r="F110" s="3">
        <f>'Monthly Data'!CW110</f>
        <v>0</v>
      </c>
      <c r="G110" s="3">
        <f>'Monthly Data'!DQ110</f>
        <v>31</v>
      </c>
      <c r="H110" s="3">
        <f>'Monthly Data'!DD110</f>
        <v>242.1</v>
      </c>
      <c r="I110">
        <f>'Monthly Data'!EJ110</f>
        <v>0</v>
      </c>
      <c r="J110">
        <f>'Monthly Data'!EF110</f>
        <v>0</v>
      </c>
      <c r="L110" s="3">
        <f t="shared" si="32"/>
        <v>-2747299.8857901301</v>
      </c>
      <c r="M110" s="3">
        <f t="shared" si="33"/>
        <v>2743979.440234853</v>
      </c>
      <c r="N110" s="3">
        <f t="shared" si="34"/>
        <v>0</v>
      </c>
      <c r="O110" s="3">
        <f t="shared" si="35"/>
        <v>4932223.9937065355</v>
      </c>
      <c r="P110" s="3">
        <f t="shared" si="36"/>
        <v>3377952.1053890013</v>
      </c>
      <c r="Q110" s="3">
        <f t="shared" si="37"/>
        <v>0</v>
      </c>
      <c r="R110" s="3">
        <f t="shared" si="38"/>
        <v>0</v>
      </c>
      <c r="S110" s="47">
        <f t="shared" ref="S110:S121" si="39">SUM(L110:R110)</f>
        <v>8306855.6535402592</v>
      </c>
      <c r="T110" s="47">
        <f ca="1">'Monthly Data'!BL110+'Monthly Data'!BM110</f>
        <v>220301.89272342634</v>
      </c>
      <c r="U110" s="47">
        <f t="shared" ca="1" si="22"/>
        <v>8527157.5462636854</v>
      </c>
      <c r="V110" s="47">
        <f t="shared" ca="1" si="23"/>
        <v>-168771.17398723401</v>
      </c>
      <c r="W110" s="18">
        <f t="shared" ref="W110:W121" ca="1" si="40">ABS(V110/D110)</f>
        <v>1.9408067777073976E-2</v>
      </c>
    </row>
    <row r="111" spans="1:23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Data'!BK111</f>
        <v>7439587.2339374386</v>
      </c>
      <c r="E111" s="3">
        <f>'Monthly Data'!CN111</f>
        <v>600.96666666666647</v>
      </c>
      <c r="F111" s="3">
        <f>'Monthly Data'!CW111</f>
        <v>0</v>
      </c>
      <c r="G111" s="3">
        <f>'Monthly Data'!DQ111</f>
        <v>29</v>
      </c>
      <c r="H111" s="3">
        <f>'Monthly Data'!DD111</f>
        <v>243.2</v>
      </c>
      <c r="I111">
        <f>'Monthly Data'!EJ111</f>
        <v>0</v>
      </c>
      <c r="J111">
        <f>'Monthly Data'!EF111</f>
        <v>0</v>
      </c>
      <c r="L111" s="3">
        <f t="shared" si="32"/>
        <v>-2747299.8857901301</v>
      </c>
      <c r="M111" s="3">
        <f t="shared" si="33"/>
        <v>2359155.9476627377</v>
      </c>
      <c r="N111" s="3">
        <f t="shared" si="34"/>
        <v>0</v>
      </c>
      <c r="O111" s="3">
        <f t="shared" si="35"/>
        <v>4614015.9941125652</v>
      </c>
      <c r="P111" s="3">
        <f t="shared" si="36"/>
        <v>3393300.0909979558</v>
      </c>
      <c r="Q111" s="3">
        <f t="shared" si="37"/>
        <v>0</v>
      </c>
      <c r="R111" s="3">
        <f t="shared" si="38"/>
        <v>0</v>
      </c>
      <c r="S111" s="47">
        <f t="shared" si="39"/>
        <v>7619172.146983129</v>
      </c>
      <c r="T111" s="47">
        <f ca="1">'Monthly Data'!BL111+'Monthly Data'!BM111</f>
        <v>196089.44206807925</v>
      </c>
      <c r="U111" s="47">
        <f t="shared" ca="1" si="22"/>
        <v>7815261.5890512085</v>
      </c>
      <c r="V111" s="47">
        <f t="shared" ca="1" si="23"/>
        <v>375674.35511376988</v>
      </c>
      <c r="W111" s="18">
        <f t="shared" ca="1" si="40"/>
        <v>5.0496666454832653E-2</v>
      </c>
    </row>
    <row r="112" spans="1:23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Data'!BK112</f>
        <v>7425840.6469437685</v>
      </c>
      <c r="E112" s="3">
        <f>'Monthly Data'!CN112</f>
        <v>522.11249999999995</v>
      </c>
      <c r="F112" s="3">
        <f>'Monthly Data'!CW112</f>
        <v>0</v>
      </c>
      <c r="G112" s="3">
        <f>'Monthly Data'!DQ112</f>
        <v>31</v>
      </c>
      <c r="H112" s="3">
        <f>'Monthly Data'!DD112</f>
        <v>244.6</v>
      </c>
      <c r="I112">
        <f>'Monthly Data'!EJ112</f>
        <v>0</v>
      </c>
      <c r="J112">
        <f>'Monthly Data'!EF112</f>
        <v>0</v>
      </c>
      <c r="L112" s="3">
        <f t="shared" si="32"/>
        <v>-2747299.8857901301</v>
      </c>
      <c r="M112" s="3">
        <f t="shared" si="33"/>
        <v>2049605.8734107185</v>
      </c>
      <c r="N112" s="3">
        <f t="shared" si="34"/>
        <v>0</v>
      </c>
      <c r="O112" s="3">
        <f t="shared" si="35"/>
        <v>4932223.9937065355</v>
      </c>
      <c r="P112" s="3">
        <f t="shared" si="36"/>
        <v>3412833.8908638982</v>
      </c>
      <c r="Q112" s="3">
        <f t="shared" si="37"/>
        <v>0</v>
      </c>
      <c r="R112" s="3">
        <f t="shared" si="38"/>
        <v>0</v>
      </c>
      <c r="S112" s="47">
        <f t="shared" si="39"/>
        <v>7647363.8721910222</v>
      </c>
      <c r="T112" s="47">
        <f ca="1">'Monthly Data'!BL112+'Monthly Data'!BM112</f>
        <v>174987.17988953926</v>
      </c>
      <c r="U112" s="47">
        <f t="shared" ca="1" si="22"/>
        <v>7822351.0520805614</v>
      </c>
      <c r="V112" s="47">
        <f t="shared" ca="1" si="23"/>
        <v>396510.40513679292</v>
      </c>
      <c r="W112" s="18">
        <f t="shared" ca="1" si="40"/>
        <v>5.3396029350560266E-2</v>
      </c>
    </row>
    <row r="113" spans="1:23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Data'!BK113</f>
        <v>6834517.2750639049</v>
      </c>
      <c r="E113" s="3">
        <f>'Monthly Data'!CN113</f>
        <v>368.29791666666671</v>
      </c>
      <c r="F113" s="3">
        <f>'Monthly Data'!CW113</f>
        <v>2.3833333333333346</v>
      </c>
      <c r="G113" s="3">
        <f>'Monthly Data'!DQ113</f>
        <v>30</v>
      </c>
      <c r="H113" s="3">
        <f>'Monthly Data'!DD113</f>
        <v>246.7</v>
      </c>
      <c r="I113">
        <f>'Monthly Data'!EJ113</f>
        <v>0</v>
      </c>
      <c r="J113">
        <f>'Monthly Data'!EF113</f>
        <v>0</v>
      </c>
      <c r="L113" s="3">
        <f t="shared" si="32"/>
        <v>-2747299.8857901301</v>
      </c>
      <c r="M113" s="3">
        <f t="shared" si="33"/>
        <v>1445791.0376881065</v>
      </c>
      <c r="N113" s="3">
        <f t="shared" si="34"/>
        <v>24253.255281423753</v>
      </c>
      <c r="O113" s="3">
        <f t="shared" si="35"/>
        <v>4773119.9939095499</v>
      </c>
      <c r="P113" s="3">
        <f t="shared" si="36"/>
        <v>3442134.5906628114</v>
      </c>
      <c r="Q113" s="3">
        <f t="shared" si="37"/>
        <v>0</v>
      </c>
      <c r="R113" s="3">
        <f t="shared" si="38"/>
        <v>0</v>
      </c>
      <c r="S113" s="47">
        <f t="shared" si="39"/>
        <v>6937998.9917517621</v>
      </c>
      <c r="T113" s="47">
        <f ca="1">'Monthly Data'!BL113+'Monthly Data'!BM113</f>
        <v>134692.08609825006</v>
      </c>
      <c r="U113" s="47">
        <f t="shared" ca="1" si="22"/>
        <v>7072691.0778500121</v>
      </c>
      <c r="V113" s="47">
        <f t="shared" ca="1" si="23"/>
        <v>238173.80278610718</v>
      </c>
      <c r="W113" s="18">
        <f t="shared" ca="1" si="40"/>
        <v>3.4848664975227553E-2</v>
      </c>
    </row>
    <row r="114" spans="1:23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Data'!BK114</f>
        <v>7270914.2434742991</v>
      </c>
      <c r="E114" s="3">
        <f>'Monthly Data'!CN114</f>
        <v>143.5708333333333</v>
      </c>
      <c r="F114" s="3">
        <f>'Monthly Data'!CW114</f>
        <v>110.05000000000001</v>
      </c>
      <c r="G114" s="3">
        <f>'Monthly Data'!DQ114</f>
        <v>31</v>
      </c>
      <c r="H114" s="3">
        <f>'Monthly Data'!DD114</f>
        <v>247</v>
      </c>
      <c r="I114">
        <f>'Monthly Data'!EJ114</f>
        <v>0</v>
      </c>
      <c r="J114">
        <f>'Monthly Data'!EF114</f>
        <v>0</v>
      </c>
      <c r="L114" s="3">
        <f t="shared" si="32"/>
        <v>-2747299.8857901301</v>
      </c>
      <c r="M114" s="3">
        <f t="shared" si="33"/>
        <v>563601.95025108824</v>
      </c>
      <c r="N114" s="3">
        <f t="shared" si="34"/>
        <v>1119889.8225401468</v>
      </c>
      <c r="O114" s="3">
        <f t="shared" si="35"/>
        <v>4932223.9937065355</v>
      </c>
      <c r="P114" s="3">
        <f t="shared" si="36"/>
        <v>3446320.404919799</v>
      </c>
      <c r="Q114" s="3">
        <f t="shared" si="37"/>
        <v>0</v>
      </c>
      <c r="R114" s="3">
        <f t="shared" si="38"/>
        <v>0</v>
      </c>
      <c r="S114" s="47">
        <f t="shared" si="39"/>
        <v>7314736.2856274396</v>
      </c>
      <c r="T114" s="47">
        <f ca="1">'Monthly Data'!BL114+'Monthly Data'!BM114</f>
        <v>75762.533457665297</v>
      </c>
      <c r="U114" s="47">
        <f t="shared" ca="1" si="22"/>
        <v>7390498.8190851053</v>
      </c>
      <c r="V114" s="47">
        <f t="shared" ca="1" si="23"/>
        <v>119584.57561080623</v>
      </c>
      <c r="W114" s="18">
        <f t="shared" ca="1" si="40"/>
        <v>1.6446979238977314E-2</v>
      </c>
    </row>
    <row r="115" spans="1:23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Data'!BK115</f>
        <v>7750039.6865972029</v>
      </c>
      <c r="E115" s="3">
        <f>'Monthly Data'!CN115</f>
        <v>60.86249999999999</v>
      </c>
      <c r="F115" s="3">
        <f>'Monthly Data'!CW115</f>
        <v>204.15416666666667</v>
      </c>
      <c r="G115" s="3">
        <f>'Monthly Data'!DQ115</f>
        <v>30</v>
      </c>
      <c r="H115" s="3">
        <f>'Monthly Data'!DD115</f>
        <v>244.4</v>
      </c>
      <c r="I115">
        <f>'Monthly Data'!EJ115</f>
        <v>0</v>
      </c>
      <c r="J115">
        <f>'Monthly Data'!EF115</f>
        <v>0</v>
      </c>
      <c r="L115" s="3">
        <f t="shared" si="32"/>
        <v>-2747299.8857901301</v>
      </c>
      <c r="M115" s="3">
        <f t="shared" si="33"/>
        <v>238921.95163007942</v>
      </c>
      <c r="N115" s="3">
        <f t="shared" si="34"/>
        <v>2077511.7989928655</v>
      </c>
      <c r="O115" s="3">
        <f t="shared" si="35"/>
        <v>4773119.9939095499</v>
      </c>
      <c r="P115" s="3">
        <f t="shared" si="36"/>
        <v>3410043.3480259064</v>
      </c>
      <c r="Q115" s="3">
        <f t="shared" si="37"/>
        <v>0</v>
      </c>
      <c r="R115" s="3">
        <f t="shared" si="38"/>
        <v>0</v>
      </c>
      <c r="S115" s="47">
        <f t="shared" si="39"/>
        <v>7752297.2067682706</v>
      </c>
      <c r="T115" s="47">
        <f ca="1">'Monthly Data'!BL115+'Monthly Data'!BM115</f>
        <v>61589.196017723865</v>
      </c>
      <c r="U115" s="47">
        <f t="shared" ca="1" si="22"/>
        <v>7813886.4027859941</v>
      </c>
      <c r="V115" s="47">
        <f t="shared" ca="1" si="23"/>
        <v>63846.716188791208</v>
      </c>
      <c r="W115" s="18">
        <f t="shared" ca="1" si="40"/>
        <v>8.2382437730230875E-3</v>
      </c>
    </row>
    <row r="116" spans="1:23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Data'!BK116</f>
        <v>9494258.8072430845</v>
      </c>
      <c r="E116" s="3">
        <f>'Monthly Data'!CN116</f>
        <v>5.5666666666666629</v>
      </c>
      <c r="F116" s="3">
        <f>'Monthly Data'!CW116</f>
        <v>303.14166666666665</v>
      </c>
      <c r="G116" s="3">
        <f>'Monthly Data'!DQ116</f>
        <v>31</v>
      </c>
      <c r="H116" s="3">
        <f>'Monthly Data'!DD116</f>
        <v>240.9</v>
      </c>
      <c r="I116">
        <f>'Monthly Data'!EJ116</f>
        <v>0</v>
      </c>
      <c r="J116">
        <f>'Monthly Data'!EF116</f>
        <v>0</v>
      </c>
      <c r="L116" s="3">
        <f t="shared" si="32"/>
        <v>-2747299.8857901301</v>
      </c>
      <c r="M116" s="3">
        <f t="shared" si="33"/>
        <v>21852.517791318267</v>
      </c>
      <c r="N116" s="3">
        <f t="shared" si="34"/>
        <v>3084827.5082949349</v>
      </c>
      <c r="O116" s="3">
        <f t="shared" si="35"/>
        <v>4932223.9937065355</v>
      </c>
      <c r="P116" s="3">
        <f t="shared" si="36"/>
        <v>3361208.8483610512</v>
      </c>
      <c r="Q116" s="3">
        <f t="shared" si="37"/>
        <v>0</v>
      </c>
      <c r="R116" s="3">
        <f t="shared" si="38"/>
        <v>0</v>
      </c>
      <c r="S116" s="47">
        <f t="shared" si="39"/>
        <v>8652812.9823637102</v>
      </c>
      <c r="T116" s="47">
        <f ca="1">'Monthly Data'!BL116+'Monthly Data'!BM116</f>
        <v>54851.551535756349</v>
      </c>
      <c r="U116" s="47">
        <f t="shared" ca="1" si="22"/>
        <v>8707664.5338994674</v>
      </c>
      <c r="V116" s="47">
        <f t="shared" ca="1" si="23"/>
        <v>-786594.2733436171</v>
      </c>
      <c r="W116" s="18">
        <f t="shared" ca="1" si="40"/>
        <v>8.2849466115620468E-2</v>
      </c>
    </row>
    <row r="117" spans="1:23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Data'!BK117</f>
        <v>8093683.0596164232</v>
      </c>
      <c r="E117" s="3">
        <f>'Monthly Data'!CN117</f>
        <v>26.975000000000016</v>
      </c>
      <c r="F117" s="3">
        <f>'Monthly Data'!CW117</f>
        <v>262.86666666666667</v>
      </c>
      <c r="G117" s="3">
        <f>'Monthly Data'!DQ117</f>
        <v>31</v>
      </c>
      <c r="H117" s="3">
        <f>'Monthly Data'!DD117</f>
        <v>238.3</v>
      </c>
      <c r="I117">
        <f>'Monthly Data'!EJ117</f>
        <v>0</v>
      </c>
      <c r="J117">
        <f>'Monthly Data'!EF117</f>
        <v>0</v>
      </c>
      <c r="L117" s="3">
        <f t="shared" si="32"/>
        <v>-2747299.8857901301</v>
      </c>
      <c r="M117" s="3">
        <f t="shared" si="33"/>
        <v>105893.11390793012</v>
      </c>
      <c r="N117" s="3">
        <f t="shared" si="34"/>
        <v>2674981.4146756311</v>
      </c>
      <c r="O117" s="3">
        <f t="shared" si="35"/>
        <v>4932223.9937065355</v>
      </c>
      <c r="P117" s="3">
        <f t="shared" si="36"/>
        <v>3324931.7914671586</v>
      </c>
      <c r="Q117" s="3">
        <f t="shared" si="37"/>
        <v>0</v>
      </c>
      <c r="R117" s="3">
        <f t="shared" si="38"/>
        <v>0</v>
      </c>
      <c r="S117" s="47">
        <f t="shared" si="39"/>
        <v>8290730.4279671255</v>
      </c>
      <c r="T117" s="47">
        <f ca="1">'Monthly Data'!BL117+'Monthly Data'!BM117</f>
        <v>59008.843944020446</v>
      </c>
      <c r="U117" s="47">
        <f t="shared" ca="1" si="22"/>
        <v>8349739.2719111461</v>
      </c>
      <c r="V117" s="47">
        <f t="shared" ca="1" si="23"/>
        <v>256056.21229472291</v>
      </c>
      <c r="W117" s="18">
        <f t="shared" ca="1" si="40"/>
        <v>3.1636550431820093E-2</v>
      </c>
    </row>
    <row r="118" spans="1:23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Data'!BK118</f>
        <v>7279137.2633291967</v>
      </c>
      <c r="E118" s="3">
        <f>'Monthly Data'!CN118</f>
        <v>69.33750000000002</v>
      </c>
      <c r="F118" s="3">
        <f>'Monthly Data'!CW118</f>
        <v>171.29999999999998</v>
      </c>
      <c r="G118" s="3">
        <f>'Monthly Data'!DQ118</f>
        <v>30</v>
      </c>
      <c r="H118" s="3">
        <f>'Monthly Data'!DD118</f>
        <v>240.5</v>
      </c>
      <c r="I118">
        <f>'Monthly Data'!EJ118</f>
        <v>0</v>
      </c>
      <c r="J118">
        <f>'Monthly Data'!EF118</f>
        <v>1</v>
      </c>
      <c r="L118" s="3">
        <f t="shared" si="32"/>
        <v>-2747299.8857901301</v>
      </c>
      <c r="M118" s="3">
        <f t="shared" si="33"/>
        <v>272191.42856686201</v>
      </c>
      <c r="N118" s="3">
        <f t="shared" si="34"/>
        <v>1743181.522954358</v>
      </c>
      <c r="O118" s="3">
        <f t="shared" si="35"/>
        <v>4773119.9939095499</v>
      </c>
      <c r="P118" s="3">
        <f t="shared" si="36"/>
        <v>3355627.7626850675</v>
      </c>
      <c r="Q118" s="3">
        <f t="shared" si="37"/>
        <v>0</v>
      </c>
      <c r="R118" s="3">
        <f t="shared" si="38"/>
        <v>193845.03320349701</v>
      </c>
      <c r="S118" s="47">
        <f t="shared" si="39"/>
        <v>7590665.8555292031</v>
      </c>
      <c r="T118" s="47">
        <f ca="1">'Monthly Data'!BL118+'Monthly Data'!BM118</f>
        <v>66848.033598318099</v>
      </c>
      <c r="U118" s="47">
        <f t="shared" ca="1" si="22"/>
        <v>7657513.8891275208</v>
      </c>
      <c r="V118" s="47">
        <f t="shared" ca="1" si="23"/>
        <v>378376.62579832412</v>
      </c>
      <c r="W118" s="18">
        <f t="shared" ca="1" si="40"/>
        <v>5.1980971385786071E-2</v>
      </c>
    </row>
    <row r="119" spans="1:23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Data'!BK119</f>
        <v>6959104.644346375</v>
      </c>
      <c r="E119" s="3">
        <f>'Monthly Data'!CN119</f>
        <v>295.94166666666661</v>
      </c>
      <c r="F119" s="3">
        <f>'Monthly Data'!CW119</f>
        <v>31.104166666666679</v>
      </c>
      <c r="G119" s="3">
        <f>'Monthly Data'!DQ119</f>
        <v>31</v>
      </c>
      <c r="H119" s="3">
        <f>'Monthly Data'!DD119</f>
        <v>242.1</v>
      </c>
      <c r="I119">
        <f>'Monthly Data'!EJ119</f>
        <v>0</v>
      </c>
      <c r="J119">
        <f>'Monthly Data'!EF119</f>
        <v>1</v>
      </c>
      <c r="L119" s="3">
        <f t="shared" si="32"/>
        <v>-2747299.8857901301</v>
      </c>
      <c r="M119" s="3">
        <f t="shared" si="33"/>
        <v>1161749.1980884522</v>
      </c>
      <c r="N119" s="3">
        <f t="shared" si="34"/>
        <v>316521.94174095854</v>
      </c>
      <c r="O119" s="3">
        <f t="shared" si="35"/>
        <v>4932223.9937065355</v>
      </c>
      <c r="P119" s="3">
        <f t="shared" si="36"/>
        <v>3377952.1053890013</v>
      </c>
      <c r="Q119" s="3">
        <f t="shared" si="37"/>
        <v>0</v>
      </c>
      <c r="R119" s="3">
        <f t="shared" si="38"/>
        <v>193845.03320349701</v>
      </c>
      <c r="S119" s="47">
        <f t="shared" si="39"/>
        <v>7234992.386338314</v>
      </c>
      <c r="T119" s="47">
        <f ca="1">'Monthly Data'!BL119+'Monthly Data'!BM119</f>
        <v>125742.09196249726</v>
      </c>
      <c r="U119" s="47">
        <f t="shared" ref="U119:U121" ca="1" si="41">S119+T119</f>
        <v>7360734.4783008117</v>
      </c>
      <c r="V119" s="47">
        <f t="shared" ref="V119:V121" ca="1" si="42">U119-D119</f>
        <v>401629.8339544367</v>
      </c>
      <c r="W119" s="18">
        <f t="shared" ca="1" si="40"/>
        <v>5.7712860271575822E-2</v>
      </c>
    </row>
    <row r="120" spans="1:23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Data'!BK120</f>
        <v>7022199.0330502577</v>
      </c>
      <c r="E120" s="3">
        <f>'Monthly Data'!CN120</f>
        <v>426.29166666666663</v>
      </c>
      <c r="F120" s="3">
        <f>'Monthly Data'!CW120</f>
        <v>9.5041666666666629</v>
      </c>
      <c r="G120" s="3">
        <f>'Monthly Data'!DQ120</f>
        <v>30</v>
      </c>
      <c r="H120" s="3">
        <f>'Monthly Data'!DD120</f>
        <v>241.6</v>
      </c>
      <c r="I120">
        <f>'Monthly Data'!EJ120</f>
        <v>0</v>
      </c>
      <c r="J120">
        <f>'Monthly Data'!EF120</f>
        <v>1</v>
      </c>
      <c r="L120" s="3">
        <f t="shared" si="32"/>
        <v>-2747299.8857901301</v>
      </c>
      <c r="M120" s="3">
        <f t="shared" si="33"/>
        <v>1673451.4185851598</v>
      </c>
      <c r="N120" s="3">
        <f t="shared" si="34"/>
        <v>96716.215554069102</v>
      </c>
      <c r="O120" s="3">
        <f t="shared" si="35"/>
        <v>4773119.9939095499</v>
      </c>
      <c r="P120" s="3">
        <f t="shared" si="36"/>
        <v>3370975.7482940219</v>
      </c>
      <c r="Q120" s="3">
        <f t="shared" si="37"/>
        <v>0</v>
      </c>
      <c r="R120" s="3">
        <f t="shared" si="38"/>
        <v>193845.03320349701</v>
      </c>
      <c r="S120" s="47">
        <f t="shared" si="39"/>
        <v>7360808.5237561679</v>
      </c>
      <c r="T120" s="47">
        <f ca="1">'Monthly Data'!BL120+'Monthly Data'!BM120</f>
        <v>164534.73084234702</v>
      </c>
      <c r="U120" s="47">
        <f t="shared" ca="1" si="41"/>
        <v>7525343.2545985151</v>
      </c>
      <c r="V120" s="47">
        <f t="shared" ca="1" si="42"/>
        <v>503144.2215482574</v>
      </c>
      <c r="W120" s="18">
        <f t="shared" ca="1" si="40"/>
        <v>7.1650521322478788E-2</v>
      </c>
    </row>
    <row r="121" spans="1:23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Data'!BK121</f>
        <v>8021614.9422146287</v>
      </c>
      <c r="E121" s="3">
        <f>'Monthly Data'!CN121</f>
        <v>660.57500000000016</v>
      </c>
      <c r="F121" s="3">
        <f>'Monthly Data'!CW121</f>
        <v>0</v>
      </c>
      <c r="G121" s="3">
        <f>'Monthly Data'!DQ121</f>
        <v>31</v>
      </c>
      <c r="H121" s="3">
        <f>'Monthly Data'!DD121</f>
        <v>239.5</v>
      </c>
      <c r="I121">
        <f>'Monthly Data'!EJ121</f>
        <v>0</v>
      </c>
      <c r="J121">
        <f>'Monthly Data'!EF121</f>
        <v>0</v>
      </c>
      <c r="L121" s="3">
        <f t="shared" si="32"/>
        <v>-2747299.8857901301</v>
      </c>
      <c r="M121" s="3">
        <f t="shared" si="33"/>
        <v>2593154.5401197746</v>
      </c>
      <c r="N121" s="3">
        <f t="shared" si="34"/>
        <v>0</v>
      </c>
      <c r="O121" s="3">
        <f t="shared" si="35"/>
        <v>4932223.9937065355</v>
      </c>
      <c r="P121" s="3">
        <f t="shared" si="36"/>
        <v>3341675.0484951087</v>
      </c>
      <c r="Q121" s="3">
        <f t="shared" si="37"/>
        <v>0</v>
      </c>
      <c r="R121" s="3">
        <f t="shared" si="38"/>
        <v>0</v>
      </c>
      <c r="S121" s="47">
        <f t="shared" si="39"/>
        <v>8119753.6965312883</v>
      </c>
      <c r="T121" s="47">
        <f ca="1">'Monthly Data'!BL121+'Monthly Data'!BM121</f>
        <v>231140.47950136819</v>
      </c>
      <c r="U121" s="47">
        <f t="shared" ca="1" si="41"/>
        <v>8350894.1760326568</v>
      </c>
      <c r="V121" s="47">
        <f t="shared" ca="1" si="42"/>
        <v>329279.23381802812</v>
      </c>
      <c r="W121" s="18">
        <f t="shared" ca="1" si="40"/>
        <v>4.104899526966322E-2</v>
      </c>
    </row>
    <row r="122" spans="1:23">
      <c r="W122" s="17">
        <f ca="1">AVERAGE(W2:W121)</f>
        <v>3.1644705483130947E-2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52814-A756-463C-A715-F56609CD6BE8}">
  <sheetPr codeName="Sheet17">
    <tabColor theme="9" tint="0.79998168889431442"/>
  </sheetPr>
  <dimension ref="A1:AB123"/>
  <sheetViews>
    <sheetView workbookViewId="0"/>
  </sheetViews>
  <sheetFormatPr defaultRowHeight="15"/>
  <cols>
    <col min="4" max="4" width="24.85546875" customWidth="1"/>
    <col min="7" max="7" width="9.42578125" style="3" bestFit="1" customWidth="1"/>
    <col min="8" max="8" width="9.42578125" style="3" customWidth="1"/>
    <col min="11" max="11" width="13.5703125" bestFit="1" customWidth="1"/>
    <col min="12" max="13" width="11.42578125" bestFit="1" customWidth="1"/>
    <col min="14" max="14" width="11.85546875" customWidth="1"/>
    <col min="15" max="16" width="11.42578125" bestFit="1" customWidth="1"/>
    <col min="17" max="19" width="12.5703125" customWidth="1"/>
    <col min="20" max="20" width="12" customWidth="1"/>
    <col min="25" max="25" width="13.5703125" bestFit="1" customWidth="1"/>
    <col min="26" max="26" width="14.140625" bestFit="1" customWidth="1"/>
    <col min="27" max="27" width="13.5703125" bestFit="1" customWidth="1"/>
    <col min="28" max="28" width="8.5703125" bestFit="1" customWidth="1"/>
  </cols>
  <sheetData>
    <row r="1" spans="1:28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Data'!BQ1</f>
        <v>WRZ_GS50to2999kWh_No_CDM</v>
      </c>
      <c r="E1" s="760" t="str">
        <f>'Monthly Data'!CT1</f>
        <v>HDD14</v>
      </c>
      <c r="F1" s="760" t="str">
        <f>'Monthly Data'!CW1</f>
        <v>CDD12</v>
      </c>
      <c r="G1" s="760" t="str">
        <f>'Monthly Data'!DQ1</f>
        <v>Month Days</v>
      </c>
      <c r="H1" s="760" t="str">
        <f>'Monthly Data'!EJ1</f>
        <v>COVID_AM</v>
      </c>
      <c r="I1" s="760" t="str">
        <f>'Monthly Data'!EF1</f>
        <v>Fall</v>
      </c>
      <c r="J1" s="760"/>
      <c r="K1" s="760" t="str">
        <f>X8</f>
        <v>const</v>
      </c>
      <c r="L1" s="760" t="str">
        <f>E1</f>
        <v>HDD14</v>
      </c>
      <c r="M1" s="760" t="str">
        <f>F1</f>
        <v>CDD12</v>
      </c>
      <c r="N1" s="760" t="str">
        <f>G1</f>
        <v>Month Days</v>
      </c>
      <c r="O1" s="760" t="str">
        <f>H1</f>
        <v>COVID_AM</v>
      </c>
      <c r="P1" s="760" t="str">
        <f>I1</f>
        <v>Fall</v>
      </c>
      <c r="Q1" s="760" t="s">
        <v>424</v>
      </c>
      <c r="R1" s="760" t="s">
        <v>630</v>
      </c>
      <c r="S1" s="760" t="s">
        <v>631</v>
      </c>
      <c r="T1" s="760" t="s">
        <v>425</v>
      </c>
      <c r="U1" s="760"/>
    </row>
    <row r="2" spans="1:28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Data'!BQ2</f>
        <v>30960535.811358269</v>
      </c>
      <c r="E2" s="3">
        <f>'Monthly Data'!CT2</f>
        <v>673.89184782608697</v>
      </c>
      <c r="F2" s="3">
        <f>'Monthly Data'!CW2</f>
        <v>0</v>
      </c>
      <c r="G2" s="3">
        <f>'Monthly Data'!DQ2</f>
        <v>31</v>
      </c>
      <c r="H2" s="3">
        <f>'Monthly Data'!EJ2</f>
        <v>0</v>
      </c>
      <c r="I2">
        <f>'Monthly Data'!EF2</f>
        <v>0</v>
      </c>
      <c r="K2" s="3">
        <f t="shared" ref="K2:K33" si="0">$Y$8</f>
        <v>14171159.489767401</v>
      </c>
      <c r="L2" s="3">
        <f t="shared" ref="L2:L33" si="1">E2*$Y$9</f>
        <v>5572184.7647457486</v>
      </c>
      <c r="M2" s="3">
        <f t="shared" ref="M2:M33" si="2">F2*$Y$10</f>
        <v>0</v>
      </c>
      <c r="N2" s="3">
        <f t="shared" ref="N2:N33" si="3">G2*$Y$11</f>
        <v>12751836.461500322</v>
      </c>
      <c r="O2" s="3">
        <f t="shared" ref="O2:O33" si="4">H2*$Y$12</f>
        <v>0</v>
      </c>
      <c r="P2" s="3">
        <f t="shared" ref="P2:P33" si="5">I2*$Y$13</f>
        <v>0</v>
      </c>
      <c r="Q2" s="47">
        <f t="shared" ref="Q2:Q21" si="6">SUM(K2:P2)</f>
        <v>32495180.716013469</v>
      </c>
      <c r="R2" s="47">
        <f>'Monthly Data'!BR2+'Monthly Data'!BS2</f>
        <v>0</v>
      </c>
      <c r="S2" s="47">
        <f>Q2+R2</f>
        <v>32495180.716013469</v>
      </c>
      <c r="T2" s="47">
        <f t="shared" ref="T2:T54" si="7">S2-D2</f>
        <v>1534644.9046551995</v>
      </c>
      <c r="U2" s="18">
        <f t="shared" ref="U2:U21" si="8">ABS(T2/D2)</f>
        <v>4.9567776023184823E-2</v>
      </c>
    </row>
    <row r="3" spans="1:28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Data'!BQ3</f>
        <v>30350660.207000062</v>
      </c>
      <c r="E3" s="3">
        <f>'Monthly Data'!CT3</f>
        <v>753.85434782608695</v>
      </c>
      <c r="F3" s="3">
        <f>'Monthly Data'!CW3</f>
        <v>0</v>
      </c>
      <c r="G3" s="3">
        <f>'Monthly Data'!DQ3</f>
        <v>28</v>
      </c>
      <c r="H3" s="3">
        <f>'Monthly Data'!EJ3</f>
        <v>0</v>
      </c>
      <c r="I3">
        <f>'Monthly Data'!EF3</f>
        <v>0</v>
      </c>
      <c r="K3" s="3">
        <f t="shared" si="0"/>
        <v>14171159.489767401</v>
      </c>
      <c r="L3" s="3">
        <f t="shared" si="1"/>
        <v>6233367.7508411231</v>
      </c>
      <c r="M3" s="3">
        <f t="shared" si="2"/>
        <v>0</v>
      </c>
      <c r="N3" s="3">
        <f t="shared" si="3"/>
        <v>11517787.771677712</v>
      </c>
      <c r="O3" s="3">
        <f t="shared" si="4"/>
        <v>0</v>
      </c>
      <c r="P3" s="3">
        <f t="shared" si="5"/>
        <v>0</v>
      </c>
      <c r="Q3" s="47">
        <f t="shared" si="6"/>
        <v>31922315.012286238</v>
      </c>
      <c r="R3" s="47">
        <f>'Monthly Data'!BR3+'Monthly Data'!BS3</f>
        <v>0</v>
      </c>
      <c r="S3" s="47">
        <f t="shared" ref="S3:S54" si="9">Q3+R3</f>
        <v>31922315.012286238</v>
      </c>
      <c r="T3" s="47">
        <f t="shared" si="7"/>
        <v>1571654.8052861765</v>
      </c>
      <c r="U3" s="18">
        <f t="shared" si="8"/>
        <v>5.1783216396844335E-2</v>
      </c>
      <c r="X3" s="684" t="s">
        <v>717</v>
      </c>
      <c r="Y3" s="684"/>
      <c r="Z3" s="684"/>
      <c r="AA3" s="684"/>
      <c r="AB3" s="684"/>
    </row>
    <row r="4" spans="1:28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Data'!BQ4</f>
        <v>29463172.879981596</v>
      </c>
      <c r="E4" s="3">
        <f>'Monthly Data'!CT4</f>
        <v>513.79999999999995</v>
      </c>
      <c r="F4" s="3">
        <f>'Monthly Data'!CW4</f>
        <v>0</v>
      </c>
      <c r="G4" s="3">
        <f>'Monthly Data'!DQ4</f>
        <v>31</v>
      </c>
      <c r="H4" s="3">
        <f>'Monthly Data'!EJ4</f>
        <v>0</v>
      </c>
      <c r="I4">
        <f>'Monthly Data'!EF4</f>
        <v>0</v>
      </c>
      <c r="K4" s="3">
        <f t="shared" si="0"/>
        <v>14171159.489767401</v>
      </c>
      <c r="L4" s="3">
        <f t="shared" si="1"/>
        <v>4248439.1840650737</v>
      </c>
      <c r="M4" s="3">
        <f t="shared" si="2"/>
        <v>0</v>
      </c>
      <c r="N4" s="3">
        <f t="shared" si="3"/>
        <v>12751836.461500322</v>
      </c>
      <c r="O4" s="3">
        <f t="shared" si="4"/>
        <v>0</v>
      </c>
      <c r="P4" s="3">
        <f t="shared" si="5"/>
        <v>0</v>
      </c>
      <c r="Q4" s="47">
        <f t="shared" si="6"/>
        <v>31171435.1353328</v>
      </c>
      <c r="R4" s="47">
        <f>'Monthly Data'!BR4+'Monthly Data'!BS4</f>
        <v>0</v>
      </c>
      <c r="S4" s="47">
        <f t="shared" si="9"/>
        <v>31171435.1353328</v>
      </c>
      <c r="T4" s="47">
        <f t="shared" si="7"/>
        <v>1708262.2553512044</v>
      </c>
      <c r="U4" s="18">
        <f t="shared" si="8"/>
        <v>5.7979575462215847E-2</v>
      </c>
      <c r="X4" s="684" t="s">
        <v>703</v>
      </c>
      <c r="Y4" s="684"/>
      <c r="Z4" s="684"/>
      <c r="AA4" s="684"/>
      <c r="AB4" s="684"/>
    </row>
    <row r="5" spans="1:28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Data'!BQ5</f>
        <v>28235382.482081909</v>
      </c>
      <c r="E5" s="3">
        <f>'Monthly Data'!CT5</f>
        <v>226.75037878787884</v>
      </c>
      <c r="F5" s="3">
        <f>'Monthly Data'!CW5</f>
        <v>1.5333333333333332</v>
      </c>
      <c r="G5" s="3">
        <f>'Monthly Data'!DQ5</f>
        <v>30</v>
      </c>
      <c r="H5" s="3">
        <f>'Monthly Data'!EJ5</f>
        <v>0</v>
      </c>
      <c r="I5">
        <f>'Monthly Data'!EF5</f>
        <v>0</v>
      </c>
      <c r="K5" s="3">
        <f t="shared" si="0"/>
        <v>14171159.489767401</v>
      </c>
      <c r="L5" s="3">
        <f t="shared" si="1"/>
        <v>1874922.5267497518</v>
      </c>
      <c r="M5" s="3">
        <f t="shared" si="2"/>
        <v>25022.792365122787</v>
      </c>
      <c r="N5" s="3">
        <f t="shared" si="3"/>
        <v>12340486.89822612</v>
      </c>
      <c r="O5" s="3">
        <f t="shared" si="4"/>
        <v>0</v>
      </c>
      <c r="P5" s="3">
        <f t="shared" si="5"/>
        <v>0</v>
      </c>
      <c r="Q5" s="47">
        <f t="shared" si="6"/>
        <v>28411591.707108393</v>
      </c>
      <c r="R5" s="47">
        <f>'Monthly Data'!BR5+'Monthly Data'!BS5</f>
        <v>0</v>
      </c>
      <c r="S5" s="47">
        <f t="shared" si="9"/>
        <v>28411591.707108393</v>
      </c>
      <c r="T5" s="47">
        <f t="shared" si="7"/>
        <v>176209.22502648458</v>
      </c>
      <c r="U5" s="18">
        <f t="shared" si="8"/>
        <v>6.240723855549201E-3</v>
      </c>
      <c r="X5" s="684" t="s">
        <v>712</v>
      </c>
      <c r="Y5" s="684"/>
      <c r="Z5" s="684"/>
      <c r="AA5" s="684"/>
      <c r="AB5" s="684"/>
    </row>
    <row r="6" spans="1:28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Data'!BQ6</f>
        <v>27993987.585965626</v>
      </c>
      <c r="E6" s="3">
        <f>'Monthly Data'!CT6</f>
        <v>35.578442028985506</v>
      </c>
      <c r="F6" s="3">
        <f>'Monthly Data'!CW6</f>
        <v>105.49404761904762</v>
      </c>
      <c r="G6" s="3">
        <f>'Monthly Data'!DQ6</f>
        <v>31</v>
      </c>
      <c r="H6" s="3">
        <f>'Monthly Data'!EJ6</f>
        <v>0</v>
      </c>
      <c r="I6">
        <f>'Monthly Data'!EF6</f>
        <v>0</v>
      </c>
      <c r="K6" s="3">
        <f t="shared" si="0"/>
        <v>14171159.489767401</v>
      </c>
      <c r="L6" s="3">
        <f t="shared" si="1"/>
        <v>294186.15652769507</v>
      </c>
      <c r="M6" s="3">
        <f t="shared" si="2"/>
        <v>1721579.7713007422</v>
      </c>
      <c r="N6" s="3">
        <f t="shared" si="3"/>
        <v>12751836.461500322</v>
      </c>
      <c r="O6" s="3">
        <f t="shared" si="4"/>
        <v>0</v>
      </c>
      <c r="P6" s="3">
        <f t="shared" si="5"/>
        <v>0</v>
      </c>
      <c r="Q6" s="47">
        <f t="shared" si="6"/>
        <v>28938761.879096158</v>
      </c>
      <c r="R6" s="47">
        <f>'Monthly Data'!BR6+'Monthly Data'!BS6</f>
        <v>0</v>
      </c>
      <c r="S6" s="47">
        <f t="shared" si="9"/>
        <v>28938761.879096158</v>
      </c>
      <c r="T6" s="47">
        <f t="shared" si="7"/>
        <v>944774.29313053191</v>
      </c>
      <c r="U6" s="18">
        <f t="shared" si="8"/>
        <v>3.3749185971782759E-2</v>
      </c>
      <c r="X6" s="685"/>
      <c r="Y6" s="685"/>
      <c r="Z6" s="685"/>
      <c r="AA6" s="685"/>
      <c r="AB6" s="685"/>
    </row>
    <row r="7" spans="1:28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Data'!BQ7</f>
        <v>29018437.288246401</v>
      </c>
      <c r="E7" s="3">
        <f>'Monthly Data'!CT7</f>
        <v>5.9875000000000078</v>
      </c>
      <c r="F7" s="3">
        <f>'Monthly Data'!CW7</f>
        <v>150.2583333333333</v>
      </c>
      <c r="G7" s="3">
        <f>'Monthly Data'!DQ7</f>
        <v>30</v>
      </c>
      <c r="H7" s="3">
        <f>'Monthly Data'!EJ7</f>
        <v>0</v>
      </c>
      <c r="I7">
        <f>'Monthly Data'!EF7</f>
        <v>0</v>
      </c>
      <c r="K7" s="3">
        <f t="shared" si="0"/>
        <v>14171159.489767401</v>
      </c>
      <c r="L7" s="3">
        <f t="shared" si="1"/>
        <v>49508.621281801599</v>
      </c>
      <c r="M7" s="3">
        <f t="shared" si="2"/>
        <v>2452097.6583452658</v>
      </c>
      <c r="N7" s="3">
        <f t="shared" si="3"/>
        <v>12340486.89822612</v>
      </c>
      <c r="O7" s="3">
        <f t="shared" si="4"/>
        <v>0</v>
      </c>
      <c r="P7" s="3">
        <f t="shared" si="5"/>
        <v>0</v>
      </c>
      <c r="Q7" s="47">
        <f t="shared" si="6"/>
        <v>29013252.667620584</v>
      </c>
      <c r="R7" s="47">
        <f>'Monthly Data'!BR7+'Monthly Data'!BS7</f>
        <v>0</v>
      </c>
      <c r="S7" s="47">
        <f t="shared" si="9"/>
        <v>29013252.667620584</v>
      </c>
      <c r="T7" s="47">
        <f t="shared" si="7"/>
        <v>-5184.6206258162856</v>
      </c>
      <c r="U7" s="18">
        <f t="shared" si="8"/>
        <v>1.7866643108022426E-4</v>
      </c>
      <c r="X7" s="685"/>
      <c r="Y7" s="685" t="s">
        <v>409</v>
      </c>
      <c r="Z7" s="685" t="s">
        <v>410</v>
      </c>
      <c r="AA7" s="685" t="s">
        <v>411</v>
      </c>
      <c r="AB7" s="685" t="s">
        <v>412</v>
      </c>
    </row>
    <row r="8" spans="1:28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Data'!BQ8</f>
        <v>30826227.312123951</v>
      </c>
      <c r="E8" s="3">
        <f>'Monthly Data'!CT8</f>
        <v>0</v>
      </c>
      <c r="F8" s="3">
        <f>'Monthly Data'!CW8</f>
        <v>267.53749999999997</v>
      </c>
      <c r="G8" s="3">
        <f>'Monthly Data'!DQ8</f>
        <v>31</v>
      </c>
      <c r="H8" s="3">
        <f>'Monthly Data'!EJ8</f>
        <v>0</v>
      </c>
      <c r="I8">
        <f>'Monthly Data'!EF8</f>
        <v>0</v>
      </c>
      <c r="K8" s="3">
        <f t="shared" si="0"/>
        <v>14171159.489767401</v>
      </c>
      <c r="L8" s="3">
        <f t="shared" si="1"/>
        <v>0</v>
      </c>
      <c r="M8" s="3">
        <f t="shared" si="2"/>
        <v>4366001.2906852411</v>
      </c>
      <c r="N8" s="3">
        <f t="shared" si="3"/>
        <v>12751836.461500322</v>
      </c>
      <c r="O8" s="3">
        <f t="shared" si="4"/>
        <v>0</v>
      </c>
      <c r="P8" s="3">
        <f t="shared" si="5"/>
        <v>0</v>
      </c>
      <c r="Q8" s="47">
        <f t="shared" si="6"/>
        <v>31288997.241952963</v>
      </c>
      <c r="R8" s="47">
        <f>'Monthly Data'!BR8+'Monthly Data'!BS8</f>
        <v>0</v>
      </c>
      <c r="S8" s="47">
        <f t="shared" si="9"/>
        <v>31288997.241952963</v>
      </c>
      <c r="T8" s="47">
        <f t="shared" si="7"/>
        <v>462769.9298290126</v>
      </c>
      <c r="U8" s="18">
        <f t="shared" si="8"/>
        <v>1.5012214279202608E-2</v>
      </c>
      <c r="X8" s="685" t="s">
        <v>413</v>
      </c>
      <c r="Y8" s="686">
        <v>14171159.489767401</v>
      </c>
      <c r="Z8" s="686">
        <v>2671483.3624322801</v>
      </c>
      <c r="AA8" s="687">
        <v>5.3046033110478099</v>
      </c>
      <c r="AB8" s="694">
        <v>5.61235889018975E-7</v>
      </c>
    </row>
    <row r="9" spans="1:28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Data'!BQ9</f>
        <v>30869004.476001501</v>
      </c>
      <c r="E9" s="3">
        <f>'Monthly Data'!CT9</f>
        <v>0</v>
      </c>
      <c r="F9" s="3">
        <f>'Monthly Data'!CW9</f>
        <v>229.94166666666666</v>
      </c>
      <c r="G9" s="3">
        <f>'Monthly Data'!DQ9</f>
        <v>31</v>
      </c>
      <c r="H9" s="3">
        <f>'Monthly Data'!EJ9</f>
        <v>0</v>
      </c>
      <c r="I9">
        <f>'Monthly Data'!EF9</f>
        <v>0</v>
      </c>
      <c r="K9" s="3">
        <f t="shared" si="0"/>
        <v>14171159.489767401</v>
      </c>
      <c r="L9" s="3">
        <f t="shared" si="1"/>
        <v>0</v>
      </c>
      <c r="M9" s="3">
        <f t="shared" si="2"/>
        <v>3752466.9007110493</v>
      </c>
      <c r="N9" s="3">
        <f t="shared" si="3"/>
        <v>12751836.461500322</v>
      </c>
      <c r="O9" s="3">
        <f t="shared" si="4"/>
        <v>0</v>
      </c>
      <c r="P9" s="3">
        <f t="shared" si="5"/>
        <v>0</v>
      </c>
      <c r="Q9" s="47">
        <f t="shared" si="6"/>
        <v>30675462.851978771</v>
      </c>
      <c r="R9" s="47">
        <f>'Monthly Data'!BR9+'Monthly Data'!BS9</f>
        <v>0</v>
      </c>
      <c r="S9" s="47">
        <f t="shared" si="9"/>
        <v>30675462.851978771</v>
      </c>
      <c r="T9" s="47">
        <f t="shared" si="7"/>
        <v>-193541.62402272969</v>
      </c>
      <c r="U9" s="18">
        <f t="shared" si="8"/>
        <v>6.2697721325349126E-3</v>
      </c>
      <c r="X9" s="685" t="s">
        <v>46</v>
      </c>
      <c r="Y9" s="686">
        <v>8268.6632620962901</v>
      </c>
      <c r="Z9" s="686">
        <v>747.36311558351395</v>
      </c>
      <c r="AA9" s="687">
        <v>11.063782905101499</v>
      </c>
      <c r="AB9" s="694">
        <v>9.0562490740468402E-20</v>
      </c>
    </row>
    <row r="10" spans="1:28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Data'!BQ10</f>
        <v>30320627.029879056</v>
      </c>
      <c r="E10" s="3">
        <f>'Monthly Data'!CT10</f>
        <v>6.0041666666666682</v>
      </c>
      <c r="F10" s="3">
        <f>'Monthly Data'!CW10</f>
        <v>188.96011904761906</v>
      </c>
      <c r="G10" s="3">
        <f>'Monthly Data'!DQ10</f>
        <v>30</v>
      </c>
      <c r="H10" s="3">
        <f>'Monthly Data'!EJ10</f>
        <v>0</v>
      </c>
      <c r="I10">
        <f>'Monthly Data'!EF10</f>
        <v>1</v>
      </c>
      <c r="K10" s="3">
        <f t="shared" si="0"/>
        <v>14171159.489767401</v>
      </c>
      <c r="L10" s="3">
        <f t="shared" si="1"/>
        <v>49646.432336169819</v>
      </c>
      <c r="M10" s="3">
        <f t="shared" si="2"/>
        <v>3083680.3201418188</v>
      </c>
      <c r="N10" s="3">
        <f t="shared" si="3"/>
        <v>12340486.89822612</v>
      </c>
      <c r="O10" s="3">
        <f t="shared" si="4"/>
        <v>0</v>
      </c>
      <c r="P10" s="3">
        <f t="shared" si="5"/>
        <v>581324.19044200005</v>
      </c>
      <c r="Q10" s="47">
        <f t="shared" si="6"/>
        <v>30226297.33091351</v>
      </c>
      <c r="R10" s="47">
        <f>'Monthly Data'!BR10+'Monthly Data'!BS10</f>
        <v>0</v>
      </c>
      <c r="S10" s="47">
        <f t="shared" si="9"/>
        <v>30226297.33091351</v>
      </c>
      <c r="T10" s="47">
        <f t="shared" si="7"/>
        <v>-94329.698965545744</v>
      </c>
      <c r="U10" s="18">
        <f t="shared" si="8"/>
        <v>3.1110734904192384E-3</v>
      </c>
      <c r="X10" s="685" t="s">
        <v>49</v>
      </c>
      <c r="Y10" s="686">
        <v>16319.212412036601</v>
      </c>
      <c r="Z10" s="686">
        <v>1414.4951474061299</v>
      </c>
      <c r="AA10" s="687">
        <v>11.537128594581899</v>
      </c>
      <c r="AB10" s="694">
        <v>7.1289167711257602E-21</v>
      </c>
    </row>
    <row r="11" spans="1:28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Data'!BQ11</f>
        <v>29464417.063756607</v>
      </c>
      <c r="E11" s="3">
        <f>'Monthly Data'!CT11</f>
        <v>157.34583333333333</v>
      </c>
      <c r="F11" s="3">
        <f>'Monthly Data'!CW11</f>
        <v>13.895833333333337</v>
      </c>
      <c r="G11" s="3">
        <f>'Monthly Data'!DQ11</f>
        <v>31</v>
      </c>
      <c r="H11" s="3">
        <f>'Monthly Data'!EJ11</f>
        <v>0</v>
      </c>
      <c r="I11">
        <f>'Monthly Data'!EF11</f>
        <v>1</v>
      </c>
      <c r="K11" s="3">
        <f t="shared" si="0"/>
        <v>14171159.489767401</v>
      </c>
      <c r="L11" s="3">
        <f t="shared" si="1"/>
        <v>1301039.7115272591</v>
      </c>
      <c r="M11" s="3">
        <f t="shared" si="2"/>
        <v>226769.05580892533</v>
      </c>
      <c r="N11" s="3">
        <f t="shared" si="3"/>
        <v>12751836.461500322</v>
      </c>
      <c r="O11" s="3">
        <f t="shared" si="4"/>
        <v>0</v>
      </c>
      <c r="P11" s="3">
        <f t="shared" si="5"/>
        <v>581324.19044200005</v>
      </c>
      <c r="Q11" s="47">
        <f t="shared" si="6"/>
        <v>29032128.909045909</v>
      </c>
      <c r="R11" s="47">
        <f>'Monthly Data'!BR11+'Monthly Data'!BS11</f>
        <v>0</v>
      </c>
      <c r="S11" s="47">
        <f t="shared" si="9"/>
        <v>29032128.909045909</v>
      </c>
      <c r="T11" s="47">
        <f t="shared" si="7"/>
        <v>-432288.15471069887</v>
      </c>
      <c r="U11" s="18">
        <f t="shared" si="8"/>
        <v>1.4671532573520519E-2</v>
      </c>
      <c r="X11" s="685" t="s">
        <v>414</v>
      </c>
      <c r="Y11" s="686">
        <v>411349.56327420397</v>
      </c>
      <c r="Z11" s="686">
        <v>86373.133276397697</v>
      </c>
      <c r="AA11" s="687">
        <v>4.7624712415823502</v>
      </c>
      <c r="AB11" s="694">
        <v>5.6702550323116599E-6</v>
      </c>
    </row>
    <row r="12" spans="1:28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Data'!BQ12</f>
        <v>29327632.05763416</v>
      </c>
      <c r="E12" s="3">
        <f>'Monthly Data'!CT12</f>
        <v>252.04166666666663</v>
      </c>
      <c r="F12" s="3">
        <f>'Monthly Data'!CW12</f>
        <v>3.5374999999999979</v>
      </c>
      <c r="G12" s="3">
        <f>'Monthly Data'!DQ12</f>
        <v>30</v>
      </c>
      <c r="H12" s="3">
        <f>'Monthly Data'!EJ12</f>
        <v>0</v>
      </c>
      <c r="I12">
        <f>'Monthly Data'!EF12</f>
        <v>1</v>
      </c>
      <c r="K12" s="3">
        <f t="shared" si="0"/>
        <v>14171159.489767401</v>
      </c>
      <c r="L12" s="3">
        <f t="shared" si="1"/>
        <v>2084047.6696841854</v>
      </c>
      <c r="M12" s="3">
        <f t="shared" si="2"/>
        <v>57729.21390757944</v>
      </c>
      <c r="N12" s="3">
        <f t="shared" si="3"/>
        <v>12340486.89822612</v>
      </c>
      <c r="O12" s="3">
        <f t="shared" si="4"/>
        <v>0</v>
      </c>
      <c r="P12" s="3">
        <f t="shared" si="5"/>
        <v>581324.19044200005</v>
      </c>
      <c r="Q12" s="47">
        <f t="shared" si="6"/>
        <v>29234747.462027285</v>
      </c>
      <c r="R12" s="47">
        <f>'Monthly Data'!BR12+'Monthly Data'!BS12</f>
        <v>0</v>
      </c>
      <c r="S12" s="47">
        <f t="shared" si="9"/>
        <v>29234747.462027285</v>
      </c>
      <c r="T12" s="47">
        <f t="shared" si="7"/>
        <v>-92884.595606874675</v>
      </c>
      <c r="U12" s="18">
        <f t="shared" si="8"/>
        <v>3.1671358746024727E-3</v>
      </c>
      <c r="X12" s="685" t="s">
        <v>213</v>
      </c>
      <c r="Y12" s="686">
        <v>-2916763.1734708999</v>
      </c>
      <c r="Z12" s="686">
        <v>482130.44605945598</v>
      </c>
      <c r="AA12" s="687">
        <v>-6.0497386076945903</v>
      </c>
      <c r="AB12" s="694">
        <v>1.88970614254578E-8</v>
      </c>
    </row>
    <row r="13" spans="1:28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Data'!BQ13</f>
        <v>29450665.411511712</v>
      </c>
      <c r="E13" s="3">
        <f>'Monthly Data'!CT13</f>
        <v>313.62590579710144</v>
      </c>
      <c r="F13" s="3">
        <f>'Monthly Data'!CW13</f>
        <v>0</v>
      </c>
      <c r="G13" s="3">
        <f>'Monthly Data'!DQ13</f>
        <v>31</v>
      </c>
      <c r="H13" s="3">
        <f>'Monthly Data'!EJ13</f>
        <v>0</v>
      </c>
      <c r="I13">
        <f>'Monthly Data'!EF13</f>
        <v>0</v>
      </c>
      <c r="K13" s="3">
        <f t="shared" si="0"/>
        <v>14171159.489767401</v>
      </c>
      <c r="L13" s="3">
        <f t="shared" si="1"/>
        <v>2593267.0053061647</v>
      </c>
      <c r="M13" s="3">
        <f t="shared" si="2"/>
        <v>0</v>
      </c>
      <c r="N13" s="3">
        <f t="shared" si="3"/>
        <v>12751836.461500322</v>
      </c>
      <c r="O13" s="3">
        <f t="shared" si="4"/>
        <v>0</v>
      </c>
      <c r="P13" s="3">
        <f t="shared" si="5"/>
        <v>0</v>
      </c>
      <c r="Q13" s="47">
        <f t="shared" si="6"/>
        <v>29516262.956573889</v>
      </c>
      <c r="R13" s="47">
        <f>'Monthly Data'!BR13+'Monthly Data'!BS13</f>
        <v>0</v>
      </c>
      <c r="S13" s="47">
        <f t="shared" si="9"/>
        <v>29516262.956573889</v>
      </c>
      <c r="T13" s="47">
        <f t="shared" si="7"/>
        <v>65597.545062176883</v>
      </c>
      <c r="U13" s="18">
        <f t="shared" si="8"/>
        <v>2.2273705583757721E-3</v>
      </c>
      <c r="X13" s="685" t="s">
        <v>117</v>
      </c>
      <c r="Y13" s="686">
        <v>581324.19044200005</v>
      </c>
      <c r="Z13" s="686">
        <v>241976.58874074</v>
      </c>
      <c r="AA13" s="687">
        <v>2.4023984860157102</v>
      </c>
      <c r="AB13" s="694">
        <v>1.7902820944089199E-2</v>
      </c>
    </row>
    <row r="14" spans="1:28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Data'!BQ14</f>
        <v>32091613.609311491</v>
      </c>
      <c r="E14" s="3">
        <f>'Monthly Data'!CT14</f>
        <v>551.87916666666672</v>
      </c>
      <c r="F14" s="3">
        <f>'Monthly Data'!CW14</f>
        <v>0</v>
      </c>
      <c r="G14" s="3">
        <f>'Monthly Data'!DQ14</f>
        <v>31</v>
      </c>
      <c r="H14" s="3">
        <f>'Monthly Data'!EJ14</f>
        <v>0</v>
      </c>
      <c r="I14">
        <f>'Monthly Data'!EF14</f>
        <v>0</v>
      </c>
      <c r="K14" s="3">
        <f t="shared" si="0"/>
        <v>14171159.489767401</v>
      </c>
      <c r="L14" s="3">
        <f t="shared" si="1"/>
        <v>4563302.9905329822</v>
      </c>
      <c r="M14" s="3">
        <f t="shared" si="2"/>
        <v>0</v>
      </c>
      <c r="N14" s="3">
        <f t="shared" si="3"/>
        <v>12751836.461500322</v>
      </c>
      <c r="O14" s="3">
        <f t="shared" si="4"/>
        <v>0</v>
      </c>
      <c r="P14" s="3">
        <f t="shared" si="5"/>
        <v>0</v>
      </c>
      <c r="Q14" s="47">
        <f t="shared" si="6"/>
        <v>31486298.941800706</v>
      </c>
      <c r="R14" s="47">
        <f>'Monthly Data'!BR14+'Monthly Data'!BS14</f>
        <v>0</v>
      </c>
      <c r="S14" s="47">
        <f t="shared" si="9"/>
        <v>31486298.941800706</v>
      </c>
      <c r="T14" s="47">
        <f t="shared" si="7"/>
        <v>-605314.66751078516</v>
      </c>
      <c r="U14" s="18">
        <f t="shared" si="8"/>
        <v>1.8862082626320512E-2</v>
      </c>
      <c r="Y14" s="3"/>
      <c r="Z14" s="3"/>
      <c r="AA14" s="360"/>
      <c r="AB14" s="108"/>
    </row>
    <row r="15" spans="1:28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Data'!BQ15</f>
        <v>31457795.834528334</v>
      </c>
      <c r="E15" s="3">
        <f>'Monthly Data'!CT15</f>
        <v>487.70833333333337</v>
      </c>
      <c r="F15" s="3">
        <f>'Monthly Data'!CW15</f>
        <v>0</v>
      </c>
      <c r="G15" s="3">
        <f>'Monthly Data'!DQ15</f>
        <v>29</v>
      </c>
      <c r="H15" s="3">
        <f>'Monthly Data'!EJ15</f>
        <v>0</v>
      </c>
      <c r="I15">
        <f>'Monthly Data'!EF15</f>
        <v>0</v>
      </c>
      <c r="K15" s="3">
        <f t="shared" si="0"/>
        <v>14171159.489767401</v>
      </c>
      <c r="L15" s="3">
        <f t="shared" si="1"/>
        <v>4032695.9784515449</v>
      </c>
      <c r="M15" s="3">
        <f t="shared" si="2"/>
        <v>0</v>
      </c>
      <c r="N15" s="3">
        <f t="shared" si="3"/>
        <v>11929137.334951915</v>
      </c>
      <c r="O15" s="3">
        <f t="shared" si="4"/>
        <v>0</v>
      </c>
      <c r="P15" s="3">
        <f t="shared" si="5"/>
        <v>0</v>
      </c>
      <c r="Q15" s="47">
        <f t="shared" si="6"/>
        <v>30132992.80317086</v>
      </c>
      <c r="R15" s="47">
        <f>'Monthly Data'!BR15+'Monthly Data'!BS15</f>
        <v>0</v>
      </c>
      <c r="S15" s="47">
        <f t="shared" si="9"/>
        <v>30132992.80317086</v>
      </c>
      <c r="T15" s="47">
        <f t="shared" si="7"/>
        <v>-1324803.0313574746</v>
      </c>
      <c r="U15" s="18">
        <f t="shared" si="8"/>
        <v>4.2113663599512588E-2</v>
      </c>
      <c r="X15" s="691" t="s">
        <v>407</v>
      </c>
      <c r="Y15" s="692"/>
      <c r="Z15" s="692"/>
      <c r="AA15" s="693"/>
      <c r="AB15" s="108"/>
    </row>
    <row r="16" spans="1:28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Data'!BQ16</f>
        <v>30537664.059745174</v>
      </c>
      <c r="E16" s="3">
        <f>'Monthly Data'!CT16</f>
        <v>391.07934782608697</v>
      </c>
      <c r="F16" s="3">
        <f>'Monthly Data'!CW16</f>
        <v>0</v>
      </c>
      <c r="G16" s="3">
        <f>'Monthly Data'!DQ16</f>
        <v>31</v>
      </c>
      <c r="H16" s="3">
        <f>'Monthly Data'!EJ16</f>
        <v>0</v>
      </c>
      <c r="I16">
        <f>'Monthly Data'!EF16</f>
        <v>0</v>
      </c>
      <c r="K16" s="3">
        <f t="shared" si="0"/>
        <v>14171159.489767401</v>
      </c>
      <c r="L16" s="3">
        <f t="shared" si="1"/>
        <v>3233703.4359341417</v>
      </c>
      <c r="M16" s="3">
        <f t="shared" si="2"/>
        <v>0</v>
      </c>
      <c r="N16" s="3">
        <f t="shared" si="3"/>
        <v>12751836.461500322</v>
      </c>
      <c r="O16" s="3">
        <f t="shared" si="4"/>
        <v>0</v>
      </c>
      <c r="P16" s="3">
        <f t="shared" si="5"/>
        <v>0</v>
      </c>
      <c r="Q16" s="47">
        <f t="shared" si="6"/>
        <v>30156699.387201868</v>
      </c>
      <c r="R16" s="47">
        <f>'Monthly Data'!BR16+'Monthly Data'!BS16</f>
        <v>0</v>
      </c>
      <c r="S16" s="47">
        <f t="shared" si="9"/>
        <v>30156699.387201868</v>
      </c>
      <c r="T16" s="47">
        <f t="shared" si="7"/>
        <v>-380964.6725433059</v>
      </c>
      <c r="U16" s="18">
        <f t="shared" si="8"/>
        <v>1.2475239487800067E-2</v>
      </c>
      <c r="X16" s="685" t="s">
        <v>415</v>
      </c>
      <c r="Y16" s="689">
        <v>85240371213512</v>
      </c>
      <c r="Z16" s="685" t="s">
        <v>416</v>
      </c>
      <c r="AA16" s="686">
        <v>864709.52030406799</v>
      </c>
    </row>
    <row r="17" spans="1:27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Data'!BQ17</f>
        <v>29266561.75496202</v>
      </c>
      <c r="E17" s="3">
        <f>'Monthly Data'!CT17</f>
        <v>286.81666666666661</v>
      </c>
      <c r="F17" s="3">
        <f>'Monthly Data'!CW17</f>
        <v>3.2208333333333368</v>
      </c>
      <c r="G17" s="3">
        <f>'Monthly Data'!DQ17</f>
        <v>30</v>
      </c>
      <c r="H17" s="3">
        <f>'Monthly Data'!EJ17</f>
        <v>0</v>
      </c>
      <c r="I17">
        <f>'Monthly Data'!EF17</f>
        <v>0</v>
      </c>
      <c r="K17" s="3">
        <f t="shared" si="0"/>
        <v>14171159.489767401</v>
      </c>
      <c r="L17" s="3">
        <f t="shared" si="1"/>
        <v>2371590.4346235837</v>
      </c>
      <c r="M17" s="3">
        <f t="shared" si="2"/>
        <v>52561.463310434607</v>
      </c>
      <c r="N17" s="3">
        <f t="shared" si="3"/>
        <v>12340486.89822612</v>
      </c>
      <c r="O17" s="3">
        <f t="shared" si="4"/>
        <v>0</v>
      </c>
      <c r="P17" s="3">
        <f t="shared" si="5"/>
        <v>0</v>
      </c>
      <c r="Q17" s="47">
        <f t="shared" si="6"/>
        <v>28935798.285927542</v>
      </c>
      <c r="R17" s="47">
        <f>'Monthly Data'!BR17+'Monthly Data'!BS17</f>
        <v>0</v>
      </c>
      <c r="S17" s="47">
        <f t="shared" si="9"/>
        <v>28935798.285927542</v>
      </c>
      <c r="T17" s="47">
        <f t="shared" si="7"/>
        <v>-330763.46903447807</v>
      </c>
      <c r="U17" s="18">
        <f t="shared" si="8"/>
        <v>1.1301753578156428E-2</v>
      </c>
      <c r="X17" s="685" t="s">
        <v>417</v>
      </c>
      <c r="Y17" s="690">
        <v>0.72680791025468705</v>
      </c>
      <c r="Z17" s="685" t="s">
        <v>418</v>
      </c>
      <c r="AA17" s="690">
        <v>0.714825801055331</v>
      </c>
    </row>
    <row r="18" spans="1:27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Data'!BQ18</f>
        <v>29012775.430178858</v>
      </c>
      <c r="E18" s="3">
        <f>'Monthly Data'!CT18</f>
        <v>75.344444444444463</v>
      </c>
      <c r="F18" s="3">
        <f>'Monthly Data'!CW18</f>
        <v>98.295833333333348</v>
      </c>
      <c r="G18" s="3">
        <f>'Monthly Data'!DQ18</f>
        <v>31</v>
      </c>
      <c r="H18" s="3">
        <f>'Monthly Data'!EJ18</f>
        <v>0</v>
      </c>
      <c r="I18">
        <f>'Monthly Data'!EF18</f>
        <v>0</v>
      </c>
      <c r="K18" s="3">
        <f t="shared" si="0"/>
        <v>14171159.489767401</v>
      </c>
      <c r="L18" s="3">
        <f t="shared" si="1"/>
        <v>622997.83978083287</v>
      </c>
      <c r="M18" s="3">
        <f t="shared" si="2"/>
        <v>1604110.5833848147</v>
      </c>
      <c r="N18" s="3">
        <f t="shared" si="3"/>
        <v>12751836.461500322</v>
      </c>
      <c r="O18" s="3">
        <f t="shared" si="4"/>
        <v>0</v>
      </c>
      <c r="P18" s="3">
        <f t="shared" si="5"/>
        <v>0</v>
      </c>
      <c r="Q18" s="47">
        <f t="shared" si="6"/>
        <v>29150104.374433368</v>
      </c>
      <c r="R18" s="47">
        <f>'Monthly Data'!BR18+'Monthly Data'!BS18</f>
        <v>0</v>
      </c>
      <c r="S18" s="47">
        <f t="shared" si="9"/>
        <v>29150104.374433368</v>
      </c>
      <c r="T18" s="47">
        <f t="shared" si="7"/>
        <v>137328.9442545101</v>
      </c>
      <c r="U18" s="18">
        <f t="shared" si="8"/>
        <v>4.7333956237658546E-3</v>
      </c>
      <c r="X18" s="685" t="s">
        <v>555</v>
      </c>
      <c r="Y18" s="687">
        <v>65.629857990954093</v>
      </c>
      <c r="Z18" s="685" t="s">
        <v>419</v>
      </c>
      <c r="AA18" s="690">
        <v>6.0269110097108895E-32</v>
      </c>
    </row>
    <row r="19" spans="1:27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Data'!BQ19</f>
        <v>30064514.055395704</v>
      </c>
      <c r="E19" s="3">
        <f>'Monthly Data'!CT19</f>
        <v>3.9749999999999996</v>
      </c>
      <c r="F19" s="3">
        <f>'Monthly Data'!CW19</f>
        <v>203.85416666666669</v>
      </c>
      <c r="G19" s="3">
        <f>'Monthly Data'!DQ19</f>
        <v>30</v>
      </c>
      <c r="H19" s="3">
        <f>'Monthly Data'!EJ19</f>
        <v>0</v>
      </c>
      <c r="I19">
        <f>'Monthly Data'!EF19</f>
        <v>0</v>
      </c>
      <c r="K19" s="3">
        <f t="shared" si="0"/>
        <v>14171159.489767401</v>
      </c>
      <c r="L19" s="3">
        <f t="shared" si="1"/>
        <v>32867.936466832747</v>
      </c>
      <c r="M19" s="3">
        <f t="shared" si="2"/>
        <v>3326739.4469120447</v>
      </c>
      <c r="N19" s="3">
        <f t="shared" si="3"/>
        <v>12340486.89822612</v>
      </c>
      <c r="O19" s="3">
        <f t="shared" si="4"/>
        <v>0</v>
      </c>
      <c r="P19" s="3">
        <f t="shared" si="5"/>
        <v>0</v>
      </c>
      <c r="Q19" s="47">
        <f t="shared" si="6"/>
        <v>29871253.7713724</v>
      </c>
      <c r="R19" s="47">
        <f>'Monthly Data'!BR19+'Monthly Data'!BS19</f>
        <v>0</v>
      </c>
      <c r="S19" s="47">
        <f t="shared" si="9"/>
        <v>29871253.7713724</v>
      </c>
      <c r="T19" s="47">
        <f t="shared" si="7"/>
        <v>-193260.28402330354</v>
      </c>
      <c r="U19" s="18">
        <f t="shared" si="8"/>
        <v>6.4281858561628389E-3</v>
      </c>
      <c r="X19" s="685" t="s">
        <v>420</v>
      </c>
      <c r="Y19" s="690">
        <v>-3.8831896251147399E-2</v>
      </c>
      <c r="Z19" s="685" t="s">
        <v>421</v>
      </c>
      <c r="AA19" s="690">
        <v>1.9987685162064099</v>
      </c>
    </row>
    <row r="20" spans="1:27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Data'!BQ20</f>
        <v>30682142.130612545</v>
      </c>
      <c r="E20" s="3">
        <f>'Monthly Data'!CT20</f>
        <v>0</v>
      </c>
      <c r="F20" s="3">
        <f>'Monthly Data'!CW20</f>
        <v>313.22916666666657</v>
      </c>
      <c r="G20" s="3">
        <f>'Monthly Data'!DQ20</f>
        <v>31</v>
      </c>
      <c r="H20" s="3">
        <f>'Monthly Data'!EJ20</f>
        <v>0</v>
      </c>
      <c r="I20">
        <f>'Monthly Data'!EF20</f>
        <v>0</v>
      </c>
      <c r="K20" s="3">
        <f t="shared" si="0"/>
        <v>14171159.489767401</v>
      </c>
      <c r="L20" s="3">
        <f t="shared" si="1"/>
        <v>0</v>
      </c>
      <c r="M20" s="3">
        <f t="shared" si="2"/>
        <v>5111653.3044785466</v>
      </c>
      <c r="N20" s="3">
        <f t="shared" si="3"/>
        <v>12751836.461500322</v>
      </c>
      <c r="O20" s="3">
        <f t="shared" si="4"/>
        <v>0</v>
      </c>
      <c r="P20" s="3">
        <f t="shared" si="5"/>
        <v>0</v>
      </c>
      <c r="Q20" s="47">
        <f t="shared" si="6"/>
        <v>32034649.255746268</v>
      </c>
      <c r="R20" s="47">
        <f>'Monthly Data'!BR20+'Monthly Data'!BS20</f>
        <v>0</v>
      </c>
      <c r="S20" s="47">
        <f t="shared" si="9"/>
        <v>32034649.255746268</v>
      </c>
      <c r="T20" s="47">
        <f t="shared" si="7"/>
        <v>1352507.125133723</v>
      </c>
      <c r="U20" s="18">
        <f t="shared" si="8"/>
        <v>4.4081248283648483E-2</v>
      </c>
    </row>
    <row r="21" spans="1:27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Data'!BQ21</f>
        <v>32761836.175829388</v>
      </c>
      <c r="E21" s="3">
        <f>'Monthly Data'!CT21</f>
        <v>0</v>
      </c>
      <c r="F21" s="3">
        <f>'Monthly Data'!CW21</f>
        <v>328.02499999999998</v>
      </c>
      <c r="G21" s="3">
        <f>'Monthly Data'!DQ21</f>
        <v>31</v>
      </c>
      <c r="H21" s="3">
        <f>'Monthly Data'!EJ21</f>
        <v>0</v>
      </c>
      <c r="I21">
        <f>'Monthly Data'!EF21</f>
        <v>0</v>
      </c>
      <c r="K21" s="3">
        <f t="shared" si="0"/>
        <v>14171159.489767401</v>
      </c>
      <c r="L21" s="3">
        <f t="shared" si="1"/>
        <v>0</v>
      </c>
      <c r="M21" s="3">
        <f t="shared" si="2"/>
        <v>5353109.6514583053</v>
      </c>
      <c r="N21" s="3">
        <f t="shared" si="3"/>
        <v>12751836.461500322</v>
      </c>
      <c r="O21" s="3">
        <f t="shared" si="4"/>
        <v>0</v>
      </c>
      <c r="P21" s="3">
        <f t="shared" si="5"/>
        <v>0</v>
      </c>
      <c r="Q21" s="47">
        <f t="shared" si="6"/>
        <v>32276105.602726027</v>
      </c>
      <c r="R21" s="47">
        <f>'Monthly Data'!BR21+'Monthly Data'!BS21</f>
        <v>0</v>
      </c>
      <c r="S21" s="47">
        <f t="shared" si="9"/>
        <v>32276105.602726027</v>
      </c>
      <c r="T21" s="47">
        <f t="shared" si="7"/>
        <v>-485730.57310336083</v>
      </c>
      <c r="U21" s="18">
        <f t="shared" si="8"/>
        <v>1.4826109577512538E-2</v>
      </c>
      <c r="X21" s="691" t="s">
        <v>408</v>
      </c>
      <c r="Y21" s="692"/>
      <c r="Z21" s="692"/>
      <c r="AA21" s="693"/>
    </row>
    <row r="22" spans="1:27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Data'!BQ22</f>
        <v>30687846.741046228</v>
      </c>
      <c r="E22" s="3">
        <f>'Monthly Data'!CT22</f>
        <v>4.9124999999999979</v>
      </c>
      <c r="F22" s="3">
        <f>'Monthly Data'!CW22</f>
        <v>176.5541666666667</v>
      </c>
      <c r="G22" s="3">
        <f>'Monthly Data'!DQ22</f>
        <v>30</v>
      </c>
      <c r="H22" s="3">
        <f>'Monthly Data'!EJ22</f>
        <v>0</v>
      </c>
      <c r="I22">
        <f>'Monthly Data'!EF22</f>
        <v>1</v>
      </c>
      <c r="K22" s="3">
        <f t="shared" si="0"/>
        <v>14171159.489767401</v>
      </c>
      <c r="L22" s="3">
        <f t="shared" si="1"/>
        <v>40619.80827504801</v>
      </c>
      <c r="M22" s="3">
        <f t="shared" si="2"/>
        <v>2881224.9480634457</v>
      </c>
      <c r="N22" s="3">
        <f t="shared" si="3"/>
        <v>12340486.89822612</v>
      </c>
      <c r="O22" s="3">
        <f t="shared" si="4"/>
        <v>0</v>
      </c>
      <c r="P22" s="3">
        <f t="shared" si="5"/>
        <v>581324.19044200005</v>
      </c>
      <c r="Q22" s="47">
        <f t="shared" ref="Q22:Q53" si="10">SUM(K22:P22)</f>
        <v>30014815.334774014</v>
      </c>
      <c r="R22" s="47">
        <f>'Monthly Data'!BR22+'Monthly Data'!BS22</f>
        <v>0</v>
      </c>
      <c r="S22" s="47">
        <f t="shared" si="9"/>
        <v>30014815.334774014</v>
      </c>
      <c r="T22" s="47">
        <f t="shared" si="7"/>
        <v>-673031.40627221391</v>
      </c>
      <c r="U22" s="18">
        <f t="shared" ref="U22:U53" si="11">ABS(T22/D22)</f>
        <v>2.1931529179986663E-2</v>
      </c>
      <c r="X22" s="685" t="s">
        <v>422</v>
      </c>
      <c r="Y22" s="686">
        <v>29772408.989143901</v>
      </c>
      <c r="Z22" s="685" t="s">
        <v>423</v>
      </c>
      <c r="AA22" s="686">
        <v>1616996.0966212</v>
      </c>
    </row>
    <row r="23" spans="1:27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Data'!BQ23</f>
        <v>29520808.096263073</v>
      </c>
      <c r="E23" s="3">
        <f>'Monthly Data'!CT23</f>
        <v>121.96666666666667</v>
      </c>
      <c r="F23" s="3">
        <f>'Monthly Data'!CW23</f>
        <v>52.383333333333333</v>
      </c>
      <c r="G23" s="3">
        <f>'Monthly Data'!DQ23</f>
        <v>31</v>
      </c>
      <c r="H23" s="3">
        <f>'Monthly Data'!EJ23</f>
        <v>0</v>
      </c>
      <c r="I23">
        <f>'Monthly Data'!EF23</f>
        <v>1</v>
      </c>
      <c r="K23" s="3">
        <f t="shared" si="0"/>
        <v>14171159.489767401</v>
      </c>
      <c r="L23" s="3">
        <f t="shared" si="1"/>
        <v>1008501.2958670108</v>
      </c>
      <c r="M23" s="3">
        <f t="shared" si="2"/>
        <v>854854.74351718393</v>
      </c>
      <c r="N23" s="3">
        <f t="shared" si="3"/>
        <v>12751836.461500322</v>
      </c>
      <c r="O23" s="3">
        <f t="shared" si="4"/>
        <v>0</v>
      </c>
      <c r="P23" s="3">
        <f t="shared" si="5"/>
        <v>581324.19044200005</v>
      </c>
      <c r="Q23" s="47">
        <f t="shared" si="10"/>
        <v>29367676.18109392</v>
      </c>
      <c r="R23" s="47">
        <f>'Monthly Data'!BR23+'Monthly Data'!BS23</f>
        <v>0</v>
      </c>
      <c r="S23" s="47">
        <f t="shared" si="9"/>
        <v>29367676.18109392</v>
      </c>
      <c r="T23" s="47">
        <f t="shared" si="7"/>
        <v>-153131.91516915336</v>
      </c>
      <c r="U23" s="18">
        <f t="shared" si="11"/>
        <v>5.1872535016593176E-3</v>
      </c>
    </row>
    <row r="24" spans="1:27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Data'!BQ24</f>
        <v>28673815.061479915</v>
      </c>
      <c r="E24" s="3">
        <f>'Monthly Data'!CT24</f>
        <v>257.33511904761906</v>
      </c>
      <c r="F24" s="3">
        <f>'Monthly Data'!CW24</f>
        <v>1.3291666666666675</v>
      </c>
      <c r="G24" s="3">
        <f>'Monthly Data'!DQ24</f>
        <v>30</v>
      </c>
      <c r="H24" s="3">
        <f>'Monthly Data'!EJ24</f>
        <v>0</v>
      </c>
      <c r="I24">
        <f>'Monthly Data'!EF24</f>
        <v>1</v>
      </c>
      <c r="K24" s="3">
        <f t="shared" si="0"/>
        <v>14171159.489767401</v>
      </c>
      <c r="L24" s="3">
        <f t="shared" si="1"/>
        <v>2127817.4449162232</v>
      </c>
      <c r="M24" s="3">
        <f t="shared" si="2"/>
        <v>21690.953164331997</v>
      </c>
      <c r="N24" s="3">
        <f t="shared" si="3"/>
        <v>12340486.89822612</v>
      </c>
      <c r="O24" s="3">
        <f t="shared" si="4"/>
        <v>0</v>
      </c>
      <c r="P24" s="3">
        <f t="shared" si="5"/>
        <v>581324.19044200005</v>
      </c>
      <c r="Q24" s="47">
        <f t="shared" si="10"/>
        <v>29242478.976516075</v>
      </c>
      <c r="R24" s="47">
        <f>'Monthly Data'!BR24+'Monthly Data'!BS24</f>
        <v>0</v>
      </c>
      <c r="S24" s="47">
        <f t="shared" si="9"/>
        <v>29242478.976516075</v>
      </c>
      <c r="T24" s="47">
        <f t="shared" si="7"/>
        <v>568663.9150361605</v>
      </c>
      <c r="U24" s="18">
        <f t="shared" si="11"/>
        <v>1.9832167914066563E-2</v>
      </c>
      <c r="Y24" s="3"/>
      <c r="AA24" s="3"/>
    </row>
    <row r="25" spans="1:27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Data'!BQ25</f>
        <v>29112228.606696755</v>
      </c>
      <c r="E25" s="3">
        <f>'Monthly Data'!CT25</f>
        <v>492.67083333333335</v>
      </c>
      <c r="F25" s="3">
        <f>'Monthly Data'!CW25</f>
        <v>0</v>
      </c>
      <c r="G25" s="3">
        <f>'Monthly Data'!DQ25</f>
        <v>31</v>
      </c>
      <c r="H25" s="3">
        <f>'Monthly Data'!EJ25</f>
        <v>0</v>
      </c>
      <c r="I25">
        <f>'Monthly Data'!EF25</f>
        <v>0</v>
      </c>
      <c r="K25" s="3">
        <f t="shared" si="0"/>
        <v>14171159.489767401</v>
      </c>
      <c r="L25" s="3">
        <f t="shared" si="1"/>
        <v>4073729.2198896976</v>
      </c>
      <c r="M25" s="3">
        <f t="shared" si="2"/>
        <v>0</v>
      </c>
      <c r="N25" s="3">
        <f t="shared" si="3"/>
        <v>12751836.461500322</v>
      </c>
      <c r="O25" s="3">
        <f t="shared" si="4"/>
        <v>0</v>
      </c>
      <c r="P25" s="3">
        <f t="shared" si="5"/>
        <v>0</v>
      </c>
      <c r="Q25" s="47">
        <f t="shared" si="10"/>
        <v>30996725.17115742</v>
      </c>
      <c r="R25" s="47">
        <f>'Monthly Data'!BR25+'Monthly Data'!BS25</f>
        <v>0</v>
      </c>
      <c r="S25" s="47">
        <f t="shared" si="9"/>
        <v>30996725.17115742</v>
      </c>
      <c r="T25" s="47">
        <f t="shared" si="7"/>
        <v>1884496.564460665</v>
      </c>
      <c r="U25" s="18">
        <f t="shared" si="11"/>
        <v>6.4732129921072745E-2</v>
      </c>
    </row>
    <row r="26" spans="1:27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Data'!BQ26</f>
        <v>31081845.352016058</v>
      </c>
      <c r="E26" s="3">
        <f>'Monthly Data'!CT26</f>
        <v>496.21666666666664</v>
      </c>
      <c r="F26" s="3">
        <f>'Monthly Data'!CW26</f>
        <v>0</v>
      </c>
      <c r="G26" s="3">
        <f>'Monthly Data'!DQ26</f>
        <v>31</v>
      </c>
      <c r="H26" s="3">
        <f>'Monthly Data'!EJ26</f>
        <v>0</v>
      </c>
      <c r="I26">
        <f>'Monthly Data'!EF26</f>
        <v>0</v>
      </c>
      <c r="K26" s="3">
        <f t="shared" si="0"/>
        <v>14171159.489767401</v>
      </c>
      <c r="L26" s="3">
        <f t="shared" si="1"/>
        <v>4103048.5217065471</v>
      </c>
      <c r="M26" s="3">
        <f t="shared" si="2"/>
        <v>0</v>
      </c>
      <c r="N26" s="3">
        <f t="shared" si="3"/>
        <v>12751836.461500322</v>
      </c>
      <c r="O26" s="3">
        <f t="shared" si="4"/>
        <v>0</v>
      </c>
      <c r="P26" s="3">
        <f t="shared" si="5"/>
        <v>0</v>
      </c>
      <c r="Q26" s="47">
        <f t="shared" si="10"/>
        <v>31026044.472974271</v>
      </c>
      <c r="R26" s="47">
        <f>'Monthly Data'!BR26+'Monthly Data'!BS26</f>
        <v>64.96546153846154</v>
      </c>
      <c r="S26" s="47">
        <f t="shared" si="9"/>
        <v>31026109.438435808</v>
      </c>
      <c r="T26" s="47">
        <f t="shared" si="7"/>
        <v>-55735.913580249995</v>
      </c>
      <c r="U26" s="18">
        <f t="shared" si="11"/>
        <v>1.7931983429238317E-3</v>
      </c>
    </row>
    <row r="27" spans="1:27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Data'!BQ27</f>
        <v>28375028.608550981</v>
      </c>
      <c r="E27" s="3">
        <f>'Monthly Data'!CT27</f>
        <v>418.08333333333331</v>
      </c>
      <c r="F27" s="3">
        <f>'Monthly Data'!CW27</f>
        <v>0</v>
      </c>
      <c r="G27" s="3">
        <f>'Monthly Data'!DQ27</f>
        <v>28</v>
      </c>
      <c r="H27" s="3">
        <f>'Monthly Data'!EJ27</f>
        <v>0</v>
      </c>
      <c r="I27">
        <f>'Monthly Data'!EF27</f>
        <v>0</v>
      </c>
      <c r="K27" s="3">
        <f t="shared" si="0"/>
        <v>14171159.489767401</v>
      </c>
      <c r="L27" s="3">
        <f t="shared" si="1"/>
        <v>3456990.2988280905</v>
      </c>
      <c r="M27" s="3">
        <f t="shared" si="2"/>
        <v>0</v>
      </c>
      <c r="N27" s="3">
        <f t="shared" si="3"/>
        <v>11517787.771677712</v>
      </c>
      <c r="O27" s="3">
        <f t="shared" si="4"/>
        <v>0</v>
      </c>
      <c r="P27" s="3">
        <f t="shared" si="5"/>
        <v>0</v>
      </c>
      <c r="Q27" s="47">
        <f t="shared" si="10"/>
        <v>29145937.5602732</v>
      </c>
      <c r="R27" s="47">
        <f>'Monthly Data'!BR27+'Monthly Data'!BS27</f>
        <v>129.93092307692308</v>
      </c>
      <c r="S27" s="47">
        <f t="shared" si="9"/>
        <v>29146067.491196278</v>
      </c>
      <c r="T27" s="47">
        <f t="shared" si="7"/>
        <v>771038.8826452978</v>
      </c>
      <c r="U27" s="18">
        <f t="shared" si="11"/>
        <v>2.7173149084083768E-2</v>
      </c>
    </row>
    <row r="28" spans="1:27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Data'!BQ28</f>
        <v>29607471.415085904</v>
      </c>
      <c r="E28" s="3">
        <f>'Monthly Data'!CT28</f>
        <v>475.67916666666662</v>
      </c>
      <c r="F28" s="3">
        <f>'Monthly Data'!CW28</f>
        <v>0</v>
      </c>
      <c r="G28" s="3">
        <f>'Monthly Data'!DQ28</f>
        <v>31</v>
      </c>
      <c r="H28" s="3">
        <f>'Monthly Data'!EJ28</f>
        <v>0</v>
      </c>
      <c r="I28">
        <f>'Monthly Data'!EF28</f>
        <v>0</v>
      </c>
      <c r="K28" s="3">
        <f t="shared" si="0"/>
        <v>14171159.489767401</v>
      </c>
      <c r="L28" s="3">
        <f t="shared" si="1"/>
        <v>3933230.8499612445</v>
      </c>
      <c r="M28" s="3">
        <f t="shared" si="2"/>
        <v>0</v>
      </c>
      <c r="N28" s="3">
        <f t="shared" si="3"/>
        <v>12751836.461500322</v>
      </c>
      <c r="O28" s="3">
        <f t="shared" si="4"/>
        <v>0</v>
      </c>
      <c r="P28" s="3">
        <f t="shared" si="5"/>
        <v>0</v>
      </c>
      <c r="Q28" s="47">
        <f t="shared" si="10"/>
        <v>30856226.80122897</v>
      </c>
      <c r="R28" s="47">
        <f>'Monthly Data'!BR28+'Monthly Data'!BS28</f>
        <v>194.89638461538465</v>
      </c>
      <c r="S28" s="47">
        <f t="shared" si="9"/>
        <v>30856421.697613586</v>
      </c>
      <c r="T28" s="47">
        <f t="shared" si="7"/>
        <v>1248950.2825276814</v>
      </c>
      <c r="U28" s="18">
        <f t="shared" si="11"/>
        <v>4.2183618621727467E-2</v>
      </c>
    </row>
    <row r="29" spans="1:27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Data'!BQ29</f>
        <v>27997864.411620829</v>
      </c>
      <c r="E29" s="3">
        <f>'Monthly Data'!CT29</f>
        <v>174.03750000000005</v>
      </c>
      <c r="F29" s="3">
        <f>'Monthly Data'!CW29</f>
        <v>12.412500000000001</v>
      </c>
      <c r="G29" s="3">
        <f>'Monthly Data'!DQ29</f>
        <v>30</v>
      </c>
      <c r="H29" s="3">
        <f>'Monthly Data'!EJ29</f>
        <v>0</v>
      </c>
      <c r="I29">
        <f>'Monthly Data'!EF29</f>
        <v>0</v>
      </c>
      <c r="K29" s="3">
        <f t="shared" si="0"/>
        <v>14171159.489767401</v>
      </c>
      <c r="L29" s="3">
        <f t="shared" si="1"/>
        <v>1439057.4824770836</v>
      </c>
      <c r="M29" s="3">
        <f t="shared" si="2"/>
        <v>202562.22406440432</v>
      </c>
      <c r="N29" s="3">
        <f t="shared" si="3"/>
        <v>12340486.89822612</v>
      </c>
      <c r="O29" s="3">
        <f t="shared" si="4"/>
        <v>0</v>
      </c>
      <c r="P29" s="3">
        <f t="shared" si="5"/>
        <v>0</v>
      </c>
      <c r="Q29" s="47">
        <f t="shared" si="10"/>
        <v>28153266.094535008</v>
      </c>
      <c r="R29" s="47">
        <f>'Monthly Data'!BR29+'Monthly Data'!BS29</f>
        <v>259.86184615384616</v>
      </c>
      <c r="S29" s="47">
        <f t="shared" si="9"/>
        <v>28153525.956381161</v>
      </c>
      <c r="T29" s="47">
        <f t="shared" si="7"/>
        <v>155661.54476033151</v>
      </c>
      <c r="U29" s="18">
        <f t="shared" si="11"/>
        <v>5.5597649332040635E-3</v>
      </c>
    </row>
    <row r="30" spans="1:27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Data'!BQ30</f>
        <v>27866768.488155752</v>
      </c>
      <c r="E30" s="3">
        <f>'Monthly Data'!CT30</f>
        <v>88.129166666666677</v>
      </c>
      <c r="F30" s="3">
        <f>'Monthly Data'!CW30</f>
        <v>54.529166666666683</v>
      </c>
      <c r="G30" s="3">
        <f>'Monthly Data'!DQ30</f>
        <v>31</v>
      </c>
      <c r="H30" s="3">
        <f>'Monthly Data'!EJ30</f>
        <v>0</v>
      </c>
      <c r="I30">
        <f>'Monthly Data'!EF30</f>
        <v>0</v>
      </c>
      <c r="K30" s="3">
        <f t="shared" si="0"/>
        <v>14171159.489767401</v>
      </c>
      <c r="L30" s="3">
        <f t="shared" si="1"/>
        <v>728710.40273582772</v>
      </c>
      <c r="M30" s="3">
        <f t="shared" si="2"/>
        <v>889873.05348467943</v>
      </c>
      <c r="N30" s="3">
        <f t="shared" si="3"/>
        <v>12751836.461500322</v>
      </c>
      <c r="O30" s="3">
        <f t="shared" si="4"/>
        <v>0</v>
      </c>
      <c r="P30" s="3">
        <f t="shared" si="5"/>
        <v>0</v>
      </c>
      <c r="Q30" s="47">
        <f t="shared" si="10"/>
        <v>28541579.407488231</v>
      </c>
      <c r="R30" s="47">
        <f>'Monthly Data'!BR30+'Monthly Data'!BS30</f>
        <v>324.82730769230773</v>
      </c>
      <c r="S30" s="47">
        <f t="shared" si="9"/>
        <v>28541904.234795924</v>
      </c>
      <c r="T30" s="47">
        <f t="shared" si="7"/>
        <v>675135.74664017186</v>
      </c>
      <c r="U30" s="18">
        <f t="shared" si="11"/>
        <v>2.4227270805623754E-2</v>
      </c>
    </row>
    <row r="31" spans="1:27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Data'!BQ31</f>
        <v>29353114.094690681</v>
      </c>
      <c r="E31" s="3">
        <f>'Monthly Data'!CT31</f>
        <v>4.091666666666665</v>
      </c>
      <c r="F31" s="3">
        <f>'Monthly Data'!CW31</f>
        <v>168.62166666666667</v>
      </c>
      <c r="G31" s="3">
        <f>'Monthly Data'!DQ31</f>
        <v>30</v>
      </c>
      <c r="H31" s="3">
        <f>'Monthly Data'!EJ31</f>
        <v>0</v>
      </c>
      <c r="I31">
        <f>'Monthly Data'!EF31</f>
        <v>0</v>
      </c>
      <c r="K31" s="3">
        <f t="shared" si="0"/>
        <v>14171159.489767401</v>
      </c>
      <c r="L31" s="3">
        <f t="shared" si="1"/>
        <v>33832.613847410641</v>
      </c>
      <c r="M31" s="3">
        <f t="shared" si="2"/>
        <v>2751772.7956049652</v>
      </c>
      <c r="N31" s="3">
        <f t="shared" si="3"/>
        <v>12340486.89822612</v>
      </c>
      <c r="O31" s="3">
        <f t="shared" si="4"/>
        <v>0</v>
      </c>
      <c r="P31" s="3">
        <f t="shared" si="5"/>
        <v>0</v>
      </c>
      <c r="Q31" s="47">
        <f t="shared" si="10"/>
        <v>29297251.797445897</v>
      </c>
      <c r="R31" s="47">
        <f>'Monthly Data'!BR31+'Monthly Data'!BS31</f>
        <v>389.7927692307693</v>
      </c>
      <c r="S31" s="47">
        <f t="shared" si="9"/>
        <v>29297641.590215128</v>
      </c>
      <c r="T31" s="47">
        <f t="shared" si="7"/>
        <v>-55472.504475552589</v>
      </c>
      <c r="U31" s="18">
        <f t="shared" si="11"/>
        <v>1.8898337088393057E-3</v>
      </c>
    </row>
    <row r="32" spans="1:27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Data'!BQ32</f>
        <v>28778390.731225602</v>
      </c>
      <c r="E32" s="3">
        <f>'Monthly Data'!CT32</f>
        <v>0</v>
      </c>
      <c r="F32" s="3">
        <f>'Monthly Data'!CW32</f>
        <v>260.16666666666657</v>
      </c>
      <c r="G32" s="3">
        <f>'Monthly Data'!DQ32</f>
        <v>31</v>
      </c>
      <c r="H32" s="3">
        <f>'Monthly Data'!EJ32</f>
        <v>0</v>
      </c>
      <c r="I32">
        <f>'Monthly Data'!EF32</f>
        <v>0</v>
      </c>
      <c r="K32" s="3">
        <f t="shared" si="0"/>
        <v>14171159.489767401</v>
      </c>
      <c r="L32" s="3">
        <f t="shared" si="1"/>
        <v>0</v>
      </c>
      <c r="M32" s="3">
        <f t="shared" si="2"/>
        <v>4245715.0958648538</v>
      </c>
      <c r="N32" s="3">
        <f t="shared" si="3"/>
        <v>12751836.461500322</v>
      </c>
      <c r="O32" s="3">
        <f t="shared" si="4"/>
        <v>0</v>
      </c>
      <c r="P32" s="3">
        <f t="shared" si="5"/>
        <v>0</v>
      </c>
      <c r="Q32" s="47">
        <f t="shared" si="10"/>
        <v>31168711.047132574</v>
      </c>
      <c r="R32" s="47">
        <f>'Monthly Data'!BR32+'Monthly Data'!BS32</f>
        <v>454.75823076923086</v>
      </c>
      <c r="S32" s="47">
        <f t="shared" si="9"/>
        <v>31169165.805363342</v>
      </c>
      <c r="T32" s="47">
        <f t="shared" si="7"/>
        <v>2390775.0741377398</v>
      </c>
      <c r="U32" s="18">
        <f t="shared" si="11"/>
        <v>8.3075356661401561E-2</v>
      </c>
    </row>
    <row r="33" spans="1:21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Data'!BQ33</f>
        <v>29739442.397760529</v>
      </c>
      <c r="E33" s="3">
        <f>'Monthly Data'!CT33</f>
        <v>0</v>
      </c>
      <c r="F33" s="3">
        <f>'Monthly Data'!CW33</f>
        <v>217.42409420289852</v>
      </c>
      <c r="G33" s="3">
        <f>'Monthly Data'!DQ33</f>
        <v>31</v>
      </c>
      <c r="H33" s="3">
        <f>'Monthly Data'!EJ33</f>
        <v>0</v>
      </c>
      <c r="I33">
        <f>'Monthly Data'!EF33</f>
        <v>0</v>
      </c>
      <c r="K33" s="3">
        <f t="shared" si="0"/>
        <v>14171159.489767401</v>
      </c>
      <c r="L33" s="3">
        <f t="shared" si="1"/>
        <v>0</v>
      </c>
      <c r="M33" s="3">
        <f t="shared" si="2"/>
        <v>3548189.9767917567</v>
      </c>
      <c r="N33" s="3">
        <f t="shared" si="3"/>
        <v>12751836.461500322</v>
      </c>
      <c r="O33" s="3">
        <f t="shared" si="4"/>
        <v>0</v>
      </c>
      <c r="P33" s="3">
        <f t="shared" si="5"/>
        <v>0</v>
      </c>
      <c r="Q33" s="47">
        <f t="shared" si="10"/>
        <v>30471185.928059481</v>
      </c>
      <c r="R33" s="47">
        <f>'Monthly Data'!BR33+'Monthly Data'!BS33</f>
        <v>519.72369230769232</v>
      </c>
      <c r="S33" s="47">
        <f t="shared" si="9"/>
        <v>30471705.65175179</v>
      </c>
      <c r="T33" s="47">
        <f t="shared" si="7"/>
        <v>732263.25399126112</v>
      </c>
      <c r="U33" s="18">
        <f t="shared" si="11"/>
        <v>2.462262890464963E-2</v>
      </c>
    </row>
    <row r="34" spans="1:21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Data'!BQ34</f>
        <v>30376531.484295454</v>
      </c>
      <c r="E34" s="3">
        <f>'Monthly Data'!CT34</f>
        <v>16.833333333333329</v>
      </c>
      <c r="F34" s="3">
        <f>'Monthly Data'!CW34</f>
        <v>161.3125</v>
      </c>
      <c r="G34" s="3">
        <f>'Monthly Data'!DQ34</f>
        <v>30</v>
      </c>
      <c r="H34" s="3">
        <f>'Monthly Data'!EJ34</f>
        <v>0</v>
      </c>
      <c r="I34">
        <f>'Monthly Data'!EF34</f>
        <v>1</v>
      </c>
      <c r="K34" s="3">
        <f t="shared" ref="K34:K65" si="12">$Y$8</f>
        <v>14171159.489767401</v>
      </c>
      <c r="L34" s="3">
        <f t="shared" ref="L34:L65" si="13">E34*$Y$9</f>
        <v>139189.16491195417</v>
      </c>
      <c r="M34" s="3">
        <f t="shared" ref="M34:M65" si="14">F34*$Y$10</f>
        <v>2632492.9522166541</v>
      </c>
      <c r="N34" s="3">
        <f t="shared" ref="N34:N65" si="15">G34*$Y$11</f>
        <v>12340486.89822612</v>
      </c>
      <c r="O34" s="3">
        <f t="shared" ref="O34:O65" si="16">H34*$Y$12</f>
        <v>0</v>
      </c>
      <c r="P34" s="3">
        <f t="shared" ref="P34:P65" si="17">I34*$Y$13</f>
        <v>581324.19044200005</v>
      </c>
      <c r="Q34" s="47">
        <f t="shared" si="10"/>
        <v>29864652.695564128</v>
      </c>
      <c r="R34" s="47">
        <f>'Monthly Data'!BR34+'Monthly Data'!BS34</f>
        <v>584.68915384615389</v>
      </c>
      <c r="S34" s="47">
        <f t="shared" si="9"/>
        <v>29865237.384717975</v>
      </c>
      <c r="T34" s="47">
        <f t="shared" si="7"/>
        <v>-511294.09957747906</v>
      </c>
      <c r="U34" s="18">
        <f t="shared" si="11"/>
        <v>1.6831878907630257E-2</v>
      </c>
    </row>
    <row r="35" spans="1:21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Data'!BQ35</f>
        <v>28297044.540830374</v>
      </c>
      <c r="E35" s="3">
        <f>'Monthly Data'!CT35</f>
        <v>82.137500000000017</v>
      </c>
      <c r="F35" s="3">
        <f>'Monthly Data'!CW35</f>
        <v>59.400000000000006</v>
      </c>
      <c r="G35" s="3">
        <f>'Monthly Data'!DQ35</f>
        <v>31</v>
      </c>
      <c r="H35" s="3">
        <f>'Monthly Data'!EJ35</f>
        <v>0</v>
      </c>
      <c r="I35">
        <f>'Monthly Data'!EF35</f>
        <v>1</v>
      </c>
      <c r="K35" s="3">
        <f t="shared" si="12"/>
        <v>14171159.489767401</v>
      </c>
      <c r="L35" s="3">
        <f t="shared" si="13"/>
        <v>679167.32869043411</v>
      </c>
      <c r="M35" s="3">
        <f t="shared" si="14"/>
        <v>969361.21727497422</v>
      </c>
      <c r="N35" s="3">
        <f t="shared" si="15"/>
        <v>12751836.461500322</v>
      </c>
      <c r="O35" s="3">
        <f t="shared" si="16"/>
        <v>0</v>
      </c>
      <c r="P35" s="3">
        <f t="shared" si="17"/>
        <v>581324.19044200005</v>
      </c>
      <c r="Q35" s="47">
        <f t="shared" si="10"/>
        <v>29152848.68767513</v>
      </c>
      <c r="R35" s="47">
        <f>'Monthly Data'!BR35+'Monthly Data'!BS35</f>
        <v>649.65461538461545</v>
      </c>
      <c r="S35" s="47">
        <f t="shared" si="9"/>
        <v>29153498.342290513</v>
      </c>
      <c r="T35" s="47">
        <f t="shared" si="7"/>
        <v>856453.80146013945</v>
      </c>
      <c r="U35" s="18">
        <f t="shared" si="11"/>
        <v>3.0266546042444293E-2</v>
      </c>
    </row>
    <row r="36" spans="1:21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Data'!BQ36</f>
        <v>29995513.077365302</v>
      </c>
      <c r="E36" s="3">
        <f>'Monthly Data'!CT36</f>
        <v>322.61174242424249</v>
      </c>
      <c r="F36" s="3">
        <f>'Monthly Data'!CW36</f>
        <v>0</v>
      </c>
      <c r="G36" s="3">
        <f>'Monthly Data'!DQ36</f>
        <v>30</v>
      </c>
      <c r="H36" s="3">
        <f>'Monthly Data'!EJ36</f>
        <v>0</v>
      </c>
      <c r="I36">
        <f>'Monthly Data'!EF36</f>
        <v>1</v>
      </c>
      <c r="K36" s="3">
        <f t="shared" si="12"/>
        <v>14171159.489767401</v>
      </c>
      <c r="L36" s="3">
        <f t="shared" si="13"/>
        <v>2667567.8625042052</v>
      </c>
      <c r="M36" s="3">
        <f t="shared" si="14"/>
        <v>0</v>
      </c>
      <c r="N36" s="3">
        <f t="shared" si="15"/>
        <v>12340486.89822612</v>
      </c>
      <c r="O36" s="3">
        <f t="shared" si="16"/>
        <v>0</v>
      </c>
      <c r="P36" s="3">
        <f t="shared" si="17"/>
        <v>581324.19044200005</v>
      </c>
      <c r="Q36" s="47">
        <f t="shared" si="10"/>
        <v>29760538.440939724</v>
      </c>
      <c r="R36" s="47">
        <f>'Monthly Data'!BR36+'Monthly Data'!BS36</f>
        <v>714.62007692307702</v>
      </c>
      <c r="S36" s="47">
        <f t="shared" si="9"/>
        <v>29761253.061016649</v>
      </c>
      <c r="T36" s="47">
        <f t="shared" si="7"/>
        <v>-234260.01634865254</v>
      </c>
      <c r="U36" s="18">
        <f t="shared" si="11"/>
        <v>7.8098352825118301E-3</v>
      </c>
    </row>
    <row r="37" spans="1:21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Data'!BQ37</f>
        <v>30565136.973900225</v>
      </c>
      <c r="E37" s="3">
        <f>'Monthly Data'!CT37</f>
        <v>612.31250000000011</v>
      </c>
      <c r="F37" s="3">
        <f>'Monthly Data'!CW37</f>
        <v>0</v>
      </c>
      <c r="G37" s="3">
        <f>'Monthly Data'!DQ37</f>
        <v>31</v>
      </c>
      <c r="H37" s="3">
        <f>'Monthly Data'!EJ37</f>
        <v>0</v>
      </c>
      <c r="I37">
        <f>'Monthly Data'!EF37</f>
        <v>0</v>
      </c>
      <c r="K37" s="3">
        <f t="shared" si="12"/>
        <v>14171159.489767401</v>
      </c>
      <c r="L37" s="3">
        <f t="shared" si="13"/>
        <v>5063005.8736723354</v>
      </c>
      <c r="M37" s="3">
        <f t="shared" si="14"/>
        <v>0</v>
      </c>
      <c r="N37" s="3">
        <f t="shared" si="15"/>
        <v>12751836.461500322</v>
      </c>
      <c r="O37" s="3">
        <f t="shared" si="16"/>
        <v>0</v>
      </c>
      <c r="P37" s="3">
        <f t="shared" si="17"/>
        <v>0</v>
      </c>
      <c r="Q37" s="47">
        <f t="shared" si="10"/>
        <v>31986001.824940056</v>
      </c>
      <c r="R37" s="47">
        <f>'Monthly Data'!BR37+'Monthly Data'!BS37</f>
        <v>779.58553846153859</v>
      </c>
      <c r="S37" s="47">
        <f t="shared" si="9"/>
        <v>31986781.410478517</v>
      </c>
      <c r="T37" s="47">
        <f t="shared" si="7"/>
        <v>1421644.4365782924</v>
      </c>
      <c r="U37" s="18">
        <f t="shared" si="11"/>
        <v>4.6511960270037206E-2</v>
      </c>
    </row>
    <row r="38" spans="1:21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Data'!BQ38</f>
        <v>34117666.299289048</v>
      </c>
      <c r="E38" s="3">
        <f>'Monthly Data'!CT38</f>
        <v>626.53750000000002</v>
      </c>
      <c r="F38" s="3">
        <f>'Monthly Data'!CW38</f>
        <v>0</v>
      </c>
      <c r="G38" s="3">
        <f>'Monthly Data'!DQ38</f>
        <v>31</v>
      </c>
      <c r="H38" s="3">
        <f>'Monthly Data'!EJ38</f>
        <v>0</v>
      </c>
      <c r="I38">
        <f>'Monthly Data'!EF38</f>
        <v>0</v>
      </c>
      <c r="K38" s="3">
        <f t="shared" si="12"/>
        <v>14171159.489767401</v>
      </c>
      <c r="L38" s="3">
        <f t="shared" si="13"/>
        <v>5180627.6085756542</v>
      </c>
      <c r="M38" s="3">
        <f t="shared" si="14"/>
        <v>0</v>
      </c>
      <c r="N38" s="3">
        <f t="shared" si="15"/>
        <v>12751836.461500322</v>
      </c>
      <c r="O38" s="3">
        <f t="shared" si="16"/>
        <v>0</v>
      </c>
      <c r="P38" s="3">
        <f t="shared" si="17"/>
        <v>0</v>
      </c>
      <c r="Q38" s="47">
        <f t="shared" si="10"/>
        <v>32103623.559843376</v>
      </c>
      <c r="R38" s="47">
        <f>'Monthly Data'!BR38+'Monthly Data'!BS38</f>
        <v>958.61573076923082</v>
      </c>
      <c r="S38" s="47">
        <f t="shared" si="9"/>
        <v>32104582.175574146</v>
      </c>
      <c r="T38" s="47">
        <f t="shared" si="7"/>
        <v>-2013084.1237149015</v>
      </c>
      <c r="U38" s="18">
        <f t="shared" si="11"/>
        <v>5.9004156557942847E-2</v>
      </c>
    </row>
    <row r="39" spans="1:21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Data'!BQ39</f>
        <v>29574927.725466501</v>
      </c>
      <c r="E39" s="3">
        <f>'Monthly Data'!CT39</f>
        <v>464.49583333333334</v>
      </c>
      <c r="F39" s="3">
        <f>'Monthly Data'!CW39</f>
        <v>0</v>
      </c>
      <c r="G39" s="3">
        <f>'Monthly Data'!DQ39</f>
        <v>28</v>
      </c>
      <c r="H39" s="3">
        <f>'Monthly Data'!EJ39</f>
        <v>0</v>
      </c>
      <c r="I39">
        <f>'Monthly Data'!EF39</f>
        <v>0</v>
      </c>
      <c r="K39" s="3">
        <f t="shared" si="12"/>
        <v>14171159.489767401</v>
      </c>
      <c r="L39" s="3">
        <f t="shared" si="13"/>
        <v>3840759.6324801347</v>
      </c>
      <c r="M39" s="3">
        <f t="shared" si="14"/>
        <v>0</v>
      </c>
      <c r="N39" s="3">
        <f t="shared" si="15"/>
        <v>11517787.771677712</v>
      </c>
      <c r="O39" s="3">
        <f t="shared" si="16"/>
        <v>0</v>
      </c>
      <c r="P39" s="3">
        <f t="shared" si="17"/>
        <v>0</v>
      </c>
      <c r="Q39" s="47">
        <f t="shared" si="10"/>
        <v>29529706.89392525</v>
      </c>
      <c r="R39" s="47">
        <f>'Monthly Data'!BR39+'Monthly Data'!BS39</f>
        <v>1072.6804615384615</v>
      </c>
      <c r="S39" s="47">
        <f t="shared" si="9"/>
        <v>29530779.574386787</v>
      </c>
      <c r="T39" s="47">
        <f t="shared" si="7"/>
        <v>-44148.151079714298</v>
      </c>
      <c r="U39" s="18">
        <f t="shared" si="11"/>
        <v>1.4927560090603038E-3</v>
      </c>
    </row>
    <row r="40" spans="1:21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Data'!BQ40</f>
        <v>29828539.501643956</v>
      </c>
      <c r="E40" s="3">
        <f>'Monthly Data'!CT40</f>
        <v>443.2791666666667</v>
      </c>
      <c r="F40" s="3">
        <f>'Monthly Data'!CW40</f>
        <v>0</v>
      </c>
      <c r="G40" s="3">
        <f>'Monthly Data'!DQ40</f>
        <v>31</v>
      </c>
      <c r="H40" s="3">
        <f>'Monthly Data'!EJ40</f>
        <v>0</v>
      </c>
      <c r="I40">
        <f>'Monthly Data'!EF40</f>
        <v>0</v>
      </c>
      <c r="K40" s="3">
        <f t="shared" si="12"/>
        <v>14171159.489767401</v>
      </c>
      <c r="L40" s="3">
        <f t="shared" si="13"/>
        <v>3665326.1602693251</v>
      </c>
      <c r="M40" s="3">
        <f t="shared" si="14"/>
        <v>0</v>
      </c>
      <c r="N40" s="3">
        <f t="shared" si="15"/>
        <v>12751836.461500322</v>
      </c>
      <c r="O40" s="3">
        <f t="shared" si="16"/>
        <v>0</v>
      </c>
      <c r="P40" s="3">
        <f t="shared" si="17"/>
        <v>0</v>
      </c>
      <c r="Q40" s="47">
        <f t="shared" si="10"/>
        <v>30588322.111537047</v>
      </c>
      <c r="R40" s="47">
        <f>'Monthly Data'!BR40+'Monthly Data'!BS40</f>
        <v>1186.7451923076924</v>
      </c>
      <c r="S40" s="47">
        <f t="shared" si="9"/>
        <v>30589508.856729355</v>
      </c>
      <c r="T40" s="47">
        <f t="shared" si="7"/>
        <v>760969.355085399</v>
      </c>
      <c r="U40" s="18">
        <f t="shared" si="11"/>
        <v>2.5511452045563925E-2</v>
      </c>
    </row>
    <row r="41" spans="1:21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Data'!BQ41</f>
        <v>28679599.017821409</v>
      </c>
      <c r="E41" s="3">
        <f>'Monthly Data'!CT41</f>
        <v>332.51666666666671</v>
      </c>
      <c r="F41" s="3">
        <f>'Monthly Data'!CW41</f>
        <v>0</v>
      </c>
      <c r="G41" s="3">
        <f>'Monthly Data'!DQ41</f>
        <v>30</v>
      </c>
      <c r="H41" s="3">
        <f>'Monthly Data'!EJ41</f>
        <v>0</v>
      </c>
      <c r="I41">
        <f>'Monthly Data'!EF41</f>
        <v>0</v>
      </c>
      <c r="K41" s="3">
        <f t="shared" si="12"/>
        <v>14171159.489767401</v>
      </c>
      <c r="L41" s="3">
        <f t="shared" si="13"/>
        <v>2749468.3457013853</v>
      </c>
      <c r="M41" s="3">
        <f t="shared" si="14"/>
        <v>0</v>
      </c>
      <c r="N41" s="3">
        <f t="shared" si="15"/>
        <v>12340486.89822612</v>
      </c>
      <c r="O41" s="3">
        <f t="shared" si="16"/>
        <v>0</v>
      </c>
      <c r="P41" s="3">
        <f t="shared" si="17"/>
        <v>0</v>
      </c>
      <c r="Q41" s="47">
        <f t="shared" si="10"/>
        <v>29261114.733694904</v>
      </c>
      <c r="R41" s="47">
        <f>'Monthly Data'!BR41+'Monthly Data'!BS41</f>
        <v>1300.809923076923</v>
      </c>
      <c r="S41" s="47">
        <f t="shared" si="9"/>
        <v>29262415.543617979</v>
      </c>
      <c r="T41" s="47">
        <f t="shared" si="7"/>
        <v>582816.52579656988</v>
      </c>
      <c r="U41" s="18">
        <f t="shared" si="11"/>
        <v>2.0321641367245392E-2</v>
      </c>
    </row>
    <row r="42" spans="1:21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Data'!BQ42</f>
        <v>28601957.463998862</v>
      </c>
      <c r="E42" s="3">
        <f>'Monthly Data'!CT42</f>
        <v>22.062500000000014</v>
      </c>
      <c r="F42" s="3">
        <f>'Monthly Data'!CW42</f>
        <v>127.46720779220779</v>
      </c>
      <c r="G42" s="3">
        <f>'Monthly Data'!DQ42</f>
        <v>31</v>
      </c>
      <c r="H42" s="3">
        <f>'Monthly Data'!EJ42</f>
        <v>0</v>
      </c>
      <c r="I42">
        <f>'Monthly Data'!EF42</f>
        <v>0</v>
      </c>
      <c r="K42" s="3">
        <f t="shared" si="12"/>
        <v>14171159.489767401</v>
      </c>
      <c r="L42" s="3">
        <f t="shared" si="13"/>
        <v>182427.38321999952</v>
      </c>
      <c r="M42" s="3">
        <f t="shared" si="14"/>
        <v>2080164.4395302457</v>
      </c>
      <c r="N42" s="3">
        <f t="shared" si="15"/>
        <v>12751836.461500322</v>
      </c>
      <c r="O42" s="3">
        <f t="shared" si="16"/>
        <v>0</v>
      </c>
      <c r="P42" s="3">
        <f t="shared" si="17"/>
        <v>0</v>
      </c>
      <c r="Q42" s="47">
        <f t="shared" si="10"/>
        <v>29185587.774017967</v>
      </c>
      <c r="R42" s="47">
        <f>'Monthly Data'!BR42+'Monthly Data'!BS42</f>
        <v>1414.8746538461537</v>
      </c>
      <c r="S42" s="47">
        <f t="shared" si="9"/>
        <v>29187002.648671813</v>
      </c>
      <c r="T42" s="47">
        <f t="shared" si="7"/>
        <v>585045.1846729517</v>
      </c>
      <c r="U42" s="18">
        <f t="shared" si="11"/>
        <v>2.0454725359596283E-2</v>
      </c>
    </row>
    <row r="43" spans="1:21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Data'!BQ43</f>
        <v>29234741.490176316</v>
      </c>
      <c r="E43" s="3">
        <f>'Monthly Data'!CT43</f>
        <v>3.3208333333333275</v>
      </c>
      <c r="F43" s="3">
        <f>'Monthly Data'!CW43</f>
        <v>198.19393939393944</v>
      </c>
      <c r="G43" s="3">
        <f>'Monthly Data'!DQ43</f>
        <v>30</v>
      </c>
      <c r="H43" s="3">
        <f>'Monthly Data'!EJ43</f>
        <v>0</v>
      </c>
      <c r="I43">
        <f>'Monthly Data'!EF43</f>
        <v>0</v>
      </c>
      <c r="K43" s="3">
        <f t="shared" si="12"/>
        <v>14171159.489767401</v>
      </c>
      <c r="L43" s="3">
        <f t="shared" si="13"/>
        <v>27458.852582878048</v>
      </c>
      <c r="M43" s="3">
        <f t="shared" si="14"/>
        <v>3234368.9957480063</v>
      </c>
      <c r="N43" s="3">
        <f t="shared" si="15"/>
        <v>12340486.89822612</v>
      </c>
      <c r="O43" s="3">
        <f t="shared" si="16"/>
        <v>0</v>
      </c>
      <c r="P43" s="3">
        <f t="shared" si="17"/>
        <v>0</v>
      </c>
      <c r="Q43" s="47">
        <f t="shared" si="10"/>
        <v>29773474.236324403</v>
      </c>
      <c r="R43" s="47">
        <f>'Monthly Data'!BR43+'Monthly Data'!BS43</f>
        <v>1528.9393846153846</v>
      </c>
      <c r="S43" s="47">
        <f t="shared" si="9"/>
        <v>29775003.17570902</v>
      </c>
      <c r="T43" s="47">
        <f t="shared" si="7"/>
        <v>540261.685532704</v>
      </c>
      <c r="U43" s="18">
        <f t="shared" si="11"/>
        <v>1.848012528909301E-2</v>
      </c>
    </row>
    <row r="44" spans="1:21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Data'!BQ44</f>
        <v>30800006.446353767</v>
      </c>
      <c r="E44" s="3">
        <f>'Monthly Data'!CT44</f>
        <v>0</v>
      </c>
      <c r="F44" s="3">
        <f>'Monthly Data'!CW44</f>
        <v>318.39861424807077</v>
      </c>
      <c r="G44" s="3">
        <f>'Monthly Data'!DQ44</f>
        <v>31</v>
      </c>
      <c r="H44" s="3">
        <f>'Monthly Data'!EJ44</f>
        <v>0</v>
      </c>
      <c r="I44">
        <f>'Monthly Data'!EF44</f>
        <v>0</v>
      </c>
      <c r="K44" s="3">
        <f t="shared" si="12"/>
        <v>14171159.489767401</v>
      </c>
      <c r="L44" s="3">
        <f t="shared" si="13"/>
        <v>0</v>
      </c>
      <c r="M44" s="3">
        <f t="shared" si="14"/>
        <v>5196014.6176123703</v>
      </c>
      <c r="N44" s="3">
        <f t="shared" si="15"/>
        <v>12751836.461500322</v>
      </c>
      <c r="O44" s="3">
        <f t="shared" si="16"/>
        <v>0</v>
      </c>
      <c r="P44" s="3">
        <f t="shared" si="17"/>
        <v>0</v>
      </c>
      <c r="Q44" s="47">
        <f t="shared" si="10"/>
        <v>32119010.568880096</v>
      </c>
      <c r="R44" s="47">
        <f>'Monthly Data'!BR44+'Monthly Data'!BS44</f>
        <v>1643.0041153846155</v>
      </c>
      <c r="S44" s="47">
        <f t="shared" si="9"/>
        <v>32120653.57299548</v>
      </c>
      <c r="T44" s="47">
        <f t="shared" si="7"/>
        <v>1320647.1266417131</v>
      </c>
      <c r="U44" s="18">
        <f t="shared" si="11"/>
        <v>4.2878144488117692E-2</v>
      </c>
    </row>
    <row r="45" spans="1:21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Data'!BQ45</f>
        <v>32149348.072531223</v>
      </c>
      <c r="E45" s="3">
        <f>'Monthly Data'!CT45</f>
        <v>0</v>
      </c>
      <c r="F45" s="3">
        <f>'Monthly Data'!CW45</f>
        <v>314.24583333333334</v>
      </c>
      <c r="G45" s="3">
        <f>'Monthly Data'!DQ45</f>
        <v>31</v>
      </c>
      <c r="H45" s="3">
        <f>'Monthly Data'!EJ45</f>
        <v>0</v>
      </c>
      <c r="I45">
        <f>'Monthly Data'!EF45</f>
        <v>0</v>
      </c>
      <c r="K45" s="3">
        <f t="shared" si="12"/>
        <v>14171159.489767401</v>
      </c>
      <c r="L45" s="3">
        <f t="shared" si="13"/>
        <v>0</v>
      </c>
      <c r="M45" s="3">
        <f t="shared" si="14"/>
        <v>5128244.5037641181</v>
      </c>
      <c r="N45" s="3">
        <f t="shared" si="15"/>
        <v>12751836.461500322</v>
      </c>
      <c r="O45" s="3">
        <f t="shared" si="16"/>
        <v>0</v>
      </c>
      <c r="P45" s="3">
        <f t="shared" si="17"/>
        <v>0</v>
      </c>
      <c r="Q45" s="47">
        <f t="shared" si="10"/>
        <v>32051240.455031842</v>
      </c>
      <c r="R45" s="47">
        <f>'Monthly Data'!BR45+'Monthly Data'!BS45</f>
        <v>1757.0688461538462</v>
      </c>
      <c r="S45" s="47">
        <f t="shared" si="9"/>
        <v>32052997.523877997</v>
      </c>
      <c r="T45" s="47">
        <f t="shared" si="7"/>
        <v>-96350.548653226346</v>
      </c>
      <c r="U45" s="18">
        <f t="shared" si="11"/>
        <v>2.9969674170640297E-3</v>
      </c>
    </row>
    <row r="46" spans="1:21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Data'!BQ46</f>
        <v>31771305.148708679</v>
      </c>
      <c r="E46" s="3">
        <f>'Monthly Data'!CT46</f>
        <v>13.695833333333338</v>
      </c>
      <c r="F46" s="3">
        <f>'Monthly Data'!CW46</f>
        <v>183.48333333333329</v>
      </c>
      <c r="G46" s="3">
        <f>'Monthly Data'!DQ46</f>
        <v>30</v>
      </c>
      <c r="H46" s="3">
        <f>'Monthly Data'!EJ46</f>
        <v>0</v>
      </c>
      <c r="I46">
        <f>'Monthly Data'!EF46</f>
        <v>1</v>
      </c>
      <c r="K46" s="3">
        <f t="shared" si="12"/>
        <v>14171159.489767401</v>
      </c>
      <c r="L46" s="3">
        <f t="shared" si="13"/>
        <v>113246.23392712715</v>
      </c>
      <c r="M46" s="3">
        <f t="shared" si="14"/>
        <v>2994303.4907351816</v>
      </c>
      <c r="N46" s="3">
        <f t="shared" si="15"/>
        <v>12340486.89822612</v>
      </c>
      <c r="O46" s="3">
        <f t="shared" si="16"/>
        <v>0</v>
      </c>
      <c r="P46" s="3">
        <f t="shared" si="17"/>
        <v>581324.19044200005</v>
      </c>
      <c r="Q46" s="47">
        <f t="shared" si="10"/>
        <v>30200520.303097829</v>
      </c>
      <c r="R46" s="47">
        <f>'Monthly Data'!BR46+'Monthly Data'!BS46</f>
        <v>1871.1335769230768</v>
      </c>
      <c r="S46" s="47">
        <f t="shared" si="9"/>
        <v>30202391.436674751</v>
      </c>
      <c r="T46" s="47">
        <f t="shared" si="7"/>
        <v>-1568913.7120339274</v>
      </c>
      <c r="U46" s="18">
        <f t="shared" si="11"/>
        <v>4.9381468740124917E-2</v>
      </c>
    </row>
    <row r="47" spans="1:21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Data'!BQ47</f>
        <v>29349297.864886131</v>
      </c>
      <c r="E47" s="3">
        <f>'Monthly Data'!CT47</f>
        <v>194.17916666666662</v>
      </c>
      <c r="F47" s="3">
        <f>'Monthly Data'!CW47</f>
        <v>25.358333333333334</v>
      </c>
      <c r="G47" s="3">
        <f>'Monthly Data'!DQ47</f>
        <v>31</v>
      </c>
      <c r="H47" s="3">
        <f>'Monthly Data'!EJ47</f>
        <v>0</v>
      </c>
      <c r="I47">
        <f>'Monthly Data'!EF47</f>
        <v>1</v>
      </c>
      <c r="K47" s="3">
        <f t="shared" si="12"/>
        <v>14171159.489767401</v>
      </c>
      <c r="L47" s="3">
        <f t="shared" si="13"/>
        <v>1605602.1416811389</v>
      </c>
      <c r="M47" s="3">
        <f t="shared" si="14"/>
        <v>413828.02808189479</v>
      </c>
      <c r="N47" s="3">
        <f t="shared" si="15"/>
        <v>12751836.461500322</v>
      </c>
      <c r="O47" s="3">
        <f t="shared" si="16"/>
        <v>0</v>
      </c>
      <c r="P47" s="3">
        <f t="shared" si="17"/>
        <v>581324.19044200005</v>
      </c>
      <c r="Q47" s="47">
        <f t="shared" si="10"/>
        <v>29523750.311472755</v>
      </c>
      <c r="R47" s="47">
        <f>'Monthly Data'!BR47+'Monthly Data'!BS47</f>
        <v>1985.1983076923075</v>
      </c>
      <c r="S47" s="47">
        <f t="shared" si="9"/>
        <v>29525735.509780448</v>
      </c>
      <c r="T47" s="47">
        <f t="shared" si="7"/>
        <v>176437.64489431679</v>
      </c>
      <c r="U47" s="18">
        <f t="shared" si="11"/>
        <v>6.0116479006269178E-3</v>
      </c>
    </row>
    <row r="48" spans="1:21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Data'!BQ48</f>
        <v>29367522.431063585</v>
      </c>
      <c r="E48" s="3">
        <f>'Monthly Data'!CT48</f>
        <v>383.52500000000003</v>
      </c>
      <c r="F48" s="3">
        <f>'Monthly Data'!CW48</f>
        <v>0</v>
      </c>
      <c r="G48" s="3">
        <f>'Monthly Data'!DQ48</f>
        <v>30</v>
      </c>
      <c r="H48" s="3">
        <f>'Monthly Data'!EJ48</f>
        <v>0</v>
      </c>
      <c r="I48">
        <f>'Monthly Data'!EF48</f>
        <v>1</v>
      </c>
      <c r="K48" s="3">
        <f t="shared" si="12"/>
        <v>14171159.489767401</v>
      </c>
      <c r="L48" s="3">
        <f t="shared" si="13"/>
        <v>3171239.0775954798</v>
      </c>
      <c r="M48" s="3">
        <f t="shared" si="14"/>
        <v>0</v>
      </c>
      <c r="N48" s="3">
        <f t="shared" si="15"/>
        <v>12340486.89822612</v>
      </c>
      <c r="O48" s="3">
        <f t="shared" si="16"/>
        <v>0</v>
      </c>
      <c r="P48" s="3">
        <f t="shared" si="17"/>
        <v>581324.19044200005</v>
      </c>
      <c r="Q48" s="47">
        <f t="shared" si="10"/>
        <v>30264209.656031001</v>
      </c>
      <c r="R48" s="47">
        <f>'Monthly Data'!BR48+'Monthly Data'!BS48</f>
        <v>2099.2630384615386</v>
      </c>
      <c r="S48" s="47">
        <f t="shared" si="9"/>
        <v>30266308.919069462</v>
      </c>
      <c r="T48" s="47">
        <f t="shared" si="7"/>
        <v>898786.48800587654</v>
      </c>
      <c r="U48" s="18">
        <f t="shared" si="11"/>
        <v>3.0604777441326902E-2</v>
      </c>
    </row>
    <row r="49" spans="1:21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Data'!BQ49</f>
        <v>29763770.377241038</v>
      </c>
      <c r="E49" s="3">
        <f>'Monthly Data'!CT49</f>
        <v>460.91666666666657</v>
      </c>
      <c r="F49" s="3">
        <f>'Monthly Data'!CW49</f>
        <v>0</v>
      </c>
      <c r="G49" s="3">
        <f>'Monthly Data'!DQ49</f>
        <v>31</v>
      </c>
      <c r="H49" s="3">
        <f>'Monthly Data'!EJ49</f>
        <v>0</v>
      </c>
      <c r="I49">
        <f>'Monthly Data'!EF49</f>
        <v>0</v>
      </c>
      <c r="K49" s="3">
        <f t="shared" si="12"/>
        <v>14171159.489767401</v>
      </c>
      <c r="L49" s="3">
        <f t="shared" si="13"/>
        <v>3811164.7085545477</v>
      </c>
      <c r="M49" s="3">
        <f t="shared" si="14"/>
        <v>0</v>
      </c>
      <c r="N49" s="3">
        <f t="shared" si="15"/>
        <v>12751836.461500322</v>
      </c>
      <c r="O49" s="3">
        <f t="shared" si="16"/>
        <v>0</v>
      </c>
      <c r="P49" s="3">
        <f t="shared" si="17"/>
        <v>0</v>
      </c>
      <c r="Q49" s="47">
        <f t="shared" si="10"/>
        <v>30734160.65982227</v>
      </c>
      <c r="R49" s="47">
        <f>'Monthly Data'!BR49+'Monthly Data'!BS49</f>
        <v>2213.3277692307693</v>
      </c>
      <c r="S49" s="47">
        <f t="shared" si="9"/>
        <v>30736373.987591501</v>
      </c>
      <c r="T49" s="47">
        <f t="shared" si="7"/>
        <v>972603.61035046354</v>
      </c>
      <c r="U49" s="18">
        <f t="shared" si="11"/>
        <v>3.2677432933502538E-2</v>
      </c>
    </row>
    <row r="50" spans="1:21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Data'!BQ50</f>
        <v>31781938.343248449</v>
      </c>
      <c r="E50" s="3">
        <f>'Monthly Data'!CT50</f>
        <v>655.93333333333339</v>
      </c>
      <c r="F50" s="3">
        <f>'Monthly Data'!CW50</f>
        <v>0</v>
      </c>
      <c r="G50" s="3">
        <f>'Monthly Data'!DQ50</f>
        <v>31</v>
      </c>
      <c r="H50" s="3">
        <f>'Monthly Data'!EJ50</f>
        <v>0</v>
      </c>
      <c r="I50">
        <f>'Monthly Data'!EF50</f>
        <v>0</v>
      </c>
      <c r="K50" s="3">
        <f t="shared" si="12"/>
        <v>14171159.489767401</v>
      </c>
      <c r="L50" s="3">
        <f t="shared" si="13"/>
        <v>5423691.8557176935</v>
      </c>
      <c r="M50" s="3">
        <f t="shared" si="14"/>
        <v>0</v>
      </c>
      <c r="N50" s="3">
        <f t="shared" si="15"/>
        <v>12751836.461500322</v>
      </c>
      <c r="O50" s="3">
        <f t="shared" si="16"/>
        <v>0</v>
      </c>
      <c r="P50" s="3">
        <f t="shared" si="17"/>
        <v>0</v>
      </c>
      <c r="Q50" s="47">
        <f t="shared" si="10"/>
        <v>32346687.806985416</v>
      </c>
      <c r="R50" s="47">
        <f ca="1">'Monthly Data'!BR50+'Monthly Data'!BS50</f>
        <v>8955.1353898122816</v>
      </c>
      <c r="S50" s="47">
        <f t="shared" ca="1" si="9"/>
        <v>32355642.942375228</v>
      </c>
      <c r="T50" s="47">
        <f t="shared" ca="1" si="7"/>
        <v>573704.59912677854</v>
      </c>
      <c r="U50" s="18">
        <f t="shared" ca="1" si="11"/>
        <v>1.8051277833677274E-2</v>
      </c>
    </row>
    <row r="51" spans="1:21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Data'!BQ51</f>
        <v>31088843.840579573</v>
      </c>
      <c r="E51" s="3">
        <f>'Monthly Data'!CT51</f>
        <v>527.30416666666656</v>
      </c>
      <c r="F51" s="3">
        <f>'Monthly Data'!CW51</f>
        <v>0</v>
      </c>
      <c r="G51" s="3">
        <f>'Monthly Data'!DQ51</f>
        <v>28</v>
      </c>
      <c r="H51" s="3">
        <f>'Monthly Data'!EJ51</f>
        <v>0</v>
      </c>
      <c r="I51">
        <f>'Monthly Data'!EF51</f>
        <v>0</v>
      </c>
      <c r="K51" s="3">
        <f t="shared" si="12"/>
        <v>14171159.489767401</v>
      </c>
      <c r="L51" s="3">
        <f t="shared" si="13"/>
        <v>4360100.5908669652</v>
      </c>
      <c r="M51" s="3">
        <f t="shared" si="14"/>
        <v>0</v>
      </c>
      <c r="N51" s="3">
        <f t="shared" si="15"/>
        <v>11517787.771677712</v>
      </c>
      <c r="O51" s="3">
        <f t="shared" si="16"/>
        <v>0</v>
      </c>
      <c r="P51" s="3">
        <f t="shared" si="17"/>
        <v>0</v>
      </c>
      <c r="Q51" s="47">
        <f t="shared" si="10"/>
        <v>30049047.852312081</v>
      </c>
      <c r="R51" s="47">
        <f ca="1">'Monthly Data'!BR51+'Monthly Data'!BS51</f>
        <v>7853.8437826286818</v>
      </c>
      <c r="S51" s="47">
        <f t="shared" ca="1" si="9"/>
        <v>30056901.69609471</v>
      </c>
      <c r="T51" s="47">
        <f t="shared" ca="1" si="7"/>
        <v>-1031942.1444848627</v>
      </c>
      <c r="U51" s="18">
        <f t="shared" ca="1" si="11"/>
        <v>3.3193326512126246E-2</v>
      </c>
    </row>
    <row r="52" spans="1:21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Data'!BQ52</f>
        <v>30315223.027910694</v>
      </c>
      <c r="E52" s="3">
        <f>'Monthly Data'!CT52</f>
        <v>487.45833333333331</v>
      </c>
      <c r="F52" s="3">
        <f>'Monthly Data'!CW52</f>
        <v>0</v>
      </c>
      <c r="G52" s="3">
        <f>'Monthly Data'!DQ52</f>
        <v>31</v>
      </c>
      <c r="H52" s="3">
        <f>'Monthly Data'!EJ52</f>
        <v>0</v>
      </c>
      <c r="I52">
        <f>'Monthly Data'!EF52</f>
        <v>0</v>
      </c>
      <c r="K52" s="3">
        <f t="shared" si="12"/>
        <v>14171159.489767401</v>
      </c>
      <c r="L52" s="3">
        <f t="shared" si="13"/>
        <v>4030628.8126360206</v>
      </c>
      <c r="M52" s="3">
        <f t="shared" si="14"/>
        <v>0</v>
      </c>
      <c r="N52" s="3">
        <f t="shared" si="15"/>
        <v>12751836.461500322</v>
      </c>
      <c r="O52" s="3">
        <f t="shared" si="16"/>
        <v>0</v>
      </c>
      <c r="P52" s="3">
        <f t="shared" si="17"/>
        <v>0</v>
      </c>
      <c r="Q52" s="47">
        <f t="shared" si="10"/>
        <v>30953624.763903745</v>
      </c>
      <c r="R52" s="47">
        <f ca="1">'Monthly Data'!BR52+'Monthly Data'!BS52</f>
        <v>7699.480030989409</v>
      </c>
      <c r="S52" s="47">
        <f t="shared" ca="1" si="9"/>
        <v>30961324.243934736</v>
      </c>
      <c r="T52" s="47">
        <f t="shared" ca="1" si="7"/>
        <v>646101.21602404118</v>
      </c>
      <c r="U52" s="18">
        <f t="shared" ca="1" si="11"/>
        <v>2.1312764726460601E-2</v>
      </c>
    </row>
    <row r="53" spans="1:21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Data'!BQ53</f>
        <v>28903900.405241817</v>
      </c>
      <c r="E53" s="3">
        <f>'Monthly Data'!CT53</f>
        <v>246.6541666666667</v>
      </c>
      <c r="F53" s="3">
        <f>'Monthly Data'!CW53</f>
        <v>0.84583333333333144</v>
      </c>
      <c r="G53" s="3">
        <f>'Monthly Data'!DQ53</f>
        <v>30</v>
      </c>
      <c r="H53" s="3">
        <f>'Monthly Data'!EJ53</f>
        <v>0</v>
      </c>
      <c r="I53">
        <f>'Monthly Data'!EF53</f>
        <v>0</v>
      </c>
      <c r="K53" s="3">
        <f t="shared" si="12"/>
        <v>14171159.489767401</v>
      </c>
      <c r="L53" s="3">
        <f t="shared" si="13"/>
        <v>2039500.2463596424</v>
      </c>
      <c r="M53" s="3">
        <f t="shared" si="14"/>
        <v>13803.333831847594</v>
      </c>
      <c r="N53" s="3">
        <f t="shared" si="15"/>
        <v>12340486.89822612</v>
      </c>
      <c r="O53" s="3">
        <f t="shared" si="16"/>
        <v>0</v>
      </c>
      <c r="P53" s="3">
        <f t="shared" si="17"/>
        <v>0</v>
      </c>
      <c r="Q53" s="47">
        <f t="shared" si="10"/>
        <v>28564949.968185008</v>
      </c>
      <c r="R53" s="47">
        <f ca="1">'Monthly Data'!BR53+'Monthly Data'!BS53</f>
        <v>5723.5360577529409</v>
      </c>
      <c r="S53" s="47">
        <f t="shared" ca="1" si="9"/>
        <v>28570673.504242759</v>
      </c>
      <c r="T53" s="47">
        <f t="shared" ca="1" si="7"/>
        <v>-333226.90099905804</v>
      </c>
      <c r="U53" s="18">
        <f t="shared" ca="1" si="11"/>
        <v>1.1528786645646836E-2</v>
      </c>
    </row>
    <row r="54" spans="1:21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Data'!BQ54</f>
        <v>27805038.452572934</v>
      </c>
      <c r="E54" s="3">
        <f>'Monthly Data'!CT54</f>
        <v>92.742982456140368</v>
      </c>
      <c r="F54" s="3">
        <f>'Monthly Data'!CW54</f>
        <v>27.579166666666666</v>
      </c>
      <c r="G54" s="3">
        <f>'Monthly Data'!DQ54</f>
        <v>31</v>
      </c>
      <c r="H54" s="3">
        <f>'Monthly Data'!EJ54</f>
        <v>0</v>
      </c>
      <c r="I54">
        <f>'Monthly Data'!EF54</f>
        <v>0</v>
      </c>
      <c r="K54" s="3">
        <f t="shared" si="12"/>
        <v>14171159.489767401</v>
      </c>
      <c r="L54" s="3">
        <f t="shared" si="13"/>
        <v>766860.49185232865</v>
      </c>
      <c r="M54" s="3">
        <f t="shared" si="14"/>
        <v>450070.27898029273</v>
      </c>
      <c r="N54" s="3">
        <f t="shared" si="15"/>
        <v>12751836.461500322</v>
      </c>
      <c r="O54" s="3">
        <f t="shared" si="16"/>
        <v>0</v>
      </c>
      <c r="P54" s="3">
        <f t="shared" si="17"/>
        <v>0</v>
      </c>
      <c r="Q54" s="47">
        <f t="shared" ref="Q54:Q85" si="18">SUM(K54:P54)</f>
        <v>28139926.722100344</v>
      </c>
      <c r="R54" s="47">
        <f ca="1">'Monthly Data'!BR54+'Monthly Data'!BS54</f>
        <v>4450.2076483040191</v>
      </c>
      <c r="S54" s="47">
        <f t="shared" ca="1" si="9"/>
        <v>28144376.929748647</v>
      </c>
      <c r="T54" s="47">
        <f t="shared" ca="1" si="7"/>
        <v>339338.47717571259</v>
      </c>
      <c r="U54" s="18">
        <f t="shared" ref="U54:U85" ca="1" si="19">ABS(T54/D54)</f>
        <v>1.2204208160133364E-2</v>
      </c>
    </row>
    <row r="55" spans="1:21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Data'!BQ55</f>
        <v>28301260.449904054</v>
      </c>
      <c r="E55" s="3">
        <f>'Monthly Data'!CT55</f>
        <v>9.0750000000000011</v>
      </c>
      <c r="F55" s="3">
        <f>'Monthly Data'!CW55</f>
        <v>173.67083333333326</v>
      </c>
      <c r="G55" s="3">
        <f>'Monthly Data'!DQ55</f>
        <v>30</v>
      </c>
      <c r="H55" s="3">
        <f>'Monthly Data'!EJ55</f>
        <v>0</v>
      </c>
      <c r="I55">
        <f>'Monthly Data'!EF55</f>
        <v>0</v>
      </c>
      <c r="K55" s="3">
        <f t="shared" si="12"/>
        <v>14171159.489767401</v>
      </c>
      <c r="L55" s="3">
        <f t="shared" si="13"/>
        <v>75038.119103523844</v>
      </c>
      <c r="M55" s="3">
        <f t="shared" si="14"/>
        <v>2834171.2189420718</v>
      </c>
      <c r="N55" s="3">
        <f t="shared" si="15"/>
        <v>12340486.89822612</v>
      </c>
      <c r="O55" s="3">
        <f t="shared" si="16"/>
        <v>0</v>
      </c>
      <c r="P55" s="3">
        <f t="shared" si="17"/>
        <v>0</v>
      </c>
      <c r="Q55" s="47">
        <f t="shared" si="18"/>
        <v>29420855.726039115</v>
      </c>
      <c r="R55" s="47">
        <f ca="1">'Monthly Data'!BR55+'Monthly Data'!BS55</f>
        <v>3191.2002954930063</v>
      </c>
      <c r="S55" s="47">
        <f t="shared" ref="S55:S118" ca="1" si="20">Q55+R55</f>
        <v>29424046.926334608</v>
      </c>
      <c r="T55" s="47">
        <f t="shared" ref="T55:T118" ca="1" si="21">S55-D55</f>
        <v>1122786.4764305539</v>
      </c>
      <c r="U55" s="18">
        <f t="shared" ca="1" si="19"/>
        <v>3.9672666820546515E-2</v>
      </c>
    </row>
    <row r="56" spans="1:21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Data'!BQ56</f>
        <v>31410357.227235176</v>
      </c>
      <c r="E56" s="3">
        <f>'Monthly Data'!CT56</f>
        <v>0</v>
      </c>
      <c r="F56" s="3">
        <f>'Monthly Data'!CW56</f>
        <v>321.60000000000002</v>
      </c>
      <c r="G56" s="3">
        <f>'Monthly Data'!DQ56</f>
        <v>31</v>
      </c>
      <c r="H56" s="3">
        <f>'Monthly Data'!EJ56</f>
        <v>0</v>
      </c>
      <c r="I56">
        <f>'Monthly Data'!EF56</f>
        <v>0</v>
      </c>
      <c r="K56" s="3">
        <f t="shared" si="12"/>
        <v>14171159.489767401</v>
      </c>
      <c r="L56" s="3">
        <f t="shared" si="13"/>
        <v>0</v>
      </c>
      <c r="M56" s="3">
        <f t="shared" si="14"/>
        <v>5248258.7117109708</v>
      </c>
      <c r="N56" s="3">
        <f t="shared" si="15"/>
        <v>12751836.461500322</v>
      </c>
      <c r="O56" s="3">
        <f t="shared" si="16"/>
        <v>0</v>
      </c>
      <c r="P56" s="3">
        <f t="shared" si="17"/>
        <v>0</v>
      </c>
      <c r="Q56" s="47">
        <f t="shared" si="18"/>
        <v>32171254.662978694</v>
      </c>
      <c r="R56" s="47">
        <f ca="1">'Monthly Data'!BR56+'Monthly Data'!BS56</f>
        <v>2883.3998076923081</v>
      </c>
      <c r="S56" s="47">
        <f t="shared" ca="1" si="20"/>
        <v>32174138.062786385</v>
      </c>
      <c r="T56" s="47">
        <f t="shared" ca="1" si="21"/>
        <v>763780.83555120975</v>
      </c>
      <c r="U56" s="18">
        <f t="shared" ca="1" si="19"/>
        <v>2.4316209778376972E-2</v>
      </c>
    </row>
    <row r="57" spans="1:21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Data'!BQ57</f>
        <v>31815147.094566301</v>
      </c>
      <c r="E57" s="3">
        <f>'Monthly Data'!CT57</f>
        <v>0</v>
      </c>
      <c r="F57" s="3">
        <f>'Monthly Data'!CW57</f>
        <v>252.07083333333335</v>
      </c>
      <c r="G57" s="3">
        <f>'Monthly Data'!DQ57</f>
        <v>31</v>
      </c>
      <c r="H57" s="3">
        <f>'Monthly Data'!EJ57</f>
        <v>0</v>
      </c>
      <c r="I57">
        <f>'Monthly Data'!EF57</f>
        <v>0</v>
      </c>
      <c r="K57" s="3">
        <f t="shared" si="12"/>
        <v>14171159.489767401</v>
      </c>
      <c r="L57" s="3">
        <f t="shared" si="13"/>
        <v>0</v>
      </c>
      <c r="M57" s="3">
        <f t="shared" si="14"/>
        <v>4113597.4720457429</v>
      </c>
      <c r="N57" s="3">
        <f t="shared" si="15"/>
        <v>12751836.461500322</v>
      </c>
      <c r="O57" s="3">
        <f t="shared" si="16"/>
        <v>0</v>
      </c>
      <c r="P57" s="3">
        <f t="shared" si="17"/>
        <v>0</v>
      </c>
      <c r="Q57" s="47">
        <f t="shared" si="18"/>
        <v>31036593.423313469</v>
      </c>
      <c r="R57" s="47">
        <f ca="1">'Monthly Data'!BR57+'Monthly Data'!BS57</f>
        <v>3001.8357980928799</v>
      </c>
      <c r="S57" s="47">
        <f t="shared" ca="1" si="20"/>
        <v>31039595.259111561</v>
      </c>
      <c r="T57" s="47">
        <f t="shared" ca="1" si="21"/>
        <v>-775551.83545473963</v>
      </c>
      <c r="U57" s="18">
        <f t="shared" ca="1" si="19"/>
        <v>2.4376811244955578E-2</v>
      </c>
    </row>
    <row r="58" spans="1:21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Data'!BQ58</f>
        <v>29087051.461897422</v>
      </c>
      <c r="E58" s="3">
        <f>'Monthly Data'!CT58</f>
        <v>4.9833333333333325</v>
      </c>
      <c r="F58" s="3">
        <f>'Monthly Data'!CW58</f>
        <v>131.93750000000003</v>
      </c>
      <c r="G58" s="3">
        <f>'Monthly Data'!DQ58</f>
        <v>30</v>
      </c>
      <c r="H58" s="3">
        <f>'Monthly Data'!EJ58</f>
        <v>0</v>
      </c>
      <c r="I58">
        <f>'Monthly Data'!EF58</f>
        <v>1</v>
      </c>
      <c r="K58" s="3">
        <f t="shared" si="12"/>
        <v>14171159.489767401</v>
      </c>
      <c r="L58" s="3">
        <f t="shared" si="13"/>
        <v>41205.505256113174</v>
      </c>
      <c r="M58" s="3">
        <f t="shared" si="14"/>
        <v>2153116.0876130792</v>
      </c>
      <c r="N58" s="3">
        <f t="shared" si="15"/>
        <v>12340486.89822612</v>
      </c>
      <c r="O58" s="3">
        <f t="shared" si="16"/>
        <v>0</v>
      </c>
      <c r="P58" s="3">
        <f t="shared" si="17"/>
        <v>581324.19044200005</v>
      </c>
      <c r="Q58" s="47">
        <f t="shared" si="18"/>
        <v>29287292.171304714</v>
      </c>
      <c r="R58" s="47">
        <f ca="1">'Monthly Data'!BR58+'Monthly Data'!BS58</f>
        <v>3563.2652654683939</v>
      </c>
      <c r="S58" s="47">
        <f t="shared" ca="1" si="20"/>
        <v>29290855.436570182</v>
      </c>
      <c r="T58" s="47">
        <f t="shared" ca="1" si="21"/>
        <v>203803.97467276081</v>
      </c>
      <c r="U58" s="18">
        <f t="shared" ca="1" si="19"/>
        <v>7.0066907585918017E-3</v>
      </c>
    </row>
    <row r="59" spans="1:21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Data'!BQ59</f>
        <v>28212934.369228542</v>
      </c>
      <c r="E59" s="3">
        <f>'Monthly Data'!CT59</f>
        <v>125.30000000000004</v>
      </c>
      <c r="F59" s="3">
        <f>'Monthly Data'!CW59</f>
        <v>16.670833333333334</v>
      </c>
      <c r="G59" s="3">
        <f>'Monthly Data'!DQ59</f>
        <v>31</v>
      </c>
      <c r="H59" s="3">
        <f>'Monthly Data'!EJ59</f>
        <v>0</v>
      </c>
      <c r="I59">
        <f>'Monthly Data'!EF59</f>
        <v>1</v>
      </c>
      <c r="K59" s="3">
        <f t="shared" si="12"/>
        <v>14171159.489767401</v>
      </c>
      <c r="L59" s="3">
        <f t="shared" si="13"/>
        <v>1036063.5067406655</v>
      </c>
      <c r="M59" s="3">
        <f t="shared" si="14"/>
        <v>272054.87025232683</v>
      </c>
      <c r="N59" s="3">
        <f t="shared" si="15"/>
        <v>12751836.461500322</v>
      </c>
      <c r="O59" s="3">
        <f t="shared" si="16"/>
        <v>0</v>
      </c>
      <c r="P59" s="3">
        <f t="shared" si="17"/>
        <v>581324.19044200005</v>
      </c>
      <c r="Q59" s="47">
        <f t="shared" si="18"/>
        <v>28812438.518702712</v>
      </c>
      <c r="R59" s="47">
        <f ca="1">'Monthly Data'!BR59+'Monthly Data'!BS59</f>
        <v>5168.4563516565404</v>
      </c>
      <c r="S59" s="47">
        <f t="shared" ca="1" si="20"/>
        <v>28817606.975054368</v>
      </c>
      <c r="T59" s="47">
        <f t="shared" ca="1" si="21"/>
        <v>604672.60582582653</v>
      </c>
      <c r="U59" s="18">
        <f t="shared" ca="1" si="19"/>
        <v>2.1432460654831231E-2</v>
      </c>
    </row>
    <row r="60" spans="1:21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Data'!BQ60</f>
        <v>29251571.706559666</v>
      </c>
      <c r="E60" s="3">
        <f>'Monthly Data'!CT60</f>
        <v>409.72499999999997</v>
      </c>
      <c r="F60" s="3">
        <f>'Monthly Data'!CW60</f>
        <v>0</v>
      </c>
      <c r="G60" s="3">
        <f>'Monthly Data'!DQ60</f>
        <v>30</v>
      </c>
      <c r="H60" s="3">
        <f>'Monthly Data'!EJ60</f>
        <v>0</v>
      </c>
      <c r="I60">
        <f>'Monthly Data'!EF60</f>
        <v>1</v>
      </c>
      <c r="K60" s="3">
        <f t="shared" si="12"/>
        <v>14171159.489767401</v>
      </c>
      <c r="L60" s="3">
        <f t="shared" si="13"/>
        <v>3387878.055062402</v>
      </c>
      <c r="M60" s="3">
        <f t="shared" si="14"/>
        <v>0</v>
      </c>
      <c r="N60" s="3">
        <f t="shared" si="15"/>
        <v>12340486.89822612</v>
      </c>
      <c r="O60" s="3">
        <f t="shared" si="16"/>
        <v>0</v>
      </c>
      <c r="P60" s="3">
        <f t="shared" si="17"/>
        <v>581324.19044200005</v>
      </c>
      <c r="Q60" s="47">
        <f t="shared" si="18"/>
        <v>30480848.63349792</v>
      </c>
      <c r="R60" s="47">
        <f ca="1">'Monthly Data'!BR60+'Monthly Data'!BS60</f>
        <v>7648.6846201533208</v>
      </c>
      <c r="S60" s="47">
        <f t="shared" ca="1" si="20"/>
        <v>30488497.318118073</v>
      </c>
      <c r="T60" s="47">
        <f t="shared" ca="1" si="21"/>
        <v>1236925.6115584075</v>
      </c>
      <c r="U60" s="18">
        <f t="shared" ca="1" si="19"/>
        <v>4.2285782930461376E-2</v>
      </c>
    </row>
    <row r="61" spans="1:21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Data'!BQ61</f>
        <v>30157879.923890781</v>
      </c>
      <c r="E61" s="3">
        <f>'Monthly Data'!CT61</f>
        <v>490.42916666666656</v>
      </c>
      <c r="F61" s="3">
        <f>'Monthly Data'!CW61</f>
        <v>0</v>
      </c>
      <c r="G61" s="3">
        <f>'Monthly Data'!DQ61</f>
        <v>31</v>
      </c>
      <c r="H61" s="3">
        <f>'Monthly Data'!EJ61</f>
        <v>0</v>
      </c>
      <c r="I61">
        <f>'Monthly Data'!EF61</f>
        <v>0</v>
      </c>
      <c r="K61" s="3">
        <f t="shared" si="12"/>
        <v>14171159.489767401</v>
      </c>
      <c r="L61" s="3">
        <f t="shared" si="13"/>
        <v>4055193.6330771642</v>
      </c>
      <c r="M61" s="3">
        <f t="shared" si="14"/>
        <v>0</v>
      </c>
      <c r="N61" s="3">
        <f t="shared" si="15"/>
        <v>12751836.461500322</v>
      </c>
      <c r="O61" s="3">
        <f t="shared" si="16"/>
        <v>0</v>
      </c>
      <c r="P61" s="3">
        <f t="shared" si="17"/>
        <v>0</v>
      </c>
      <c r="Q61" s="47">
        <f t="shared" si="18"/>
        <v>30978189.584344886</v>
      </c>
      <c r="R61" s="47">
        <f ca="1">'Monthly Data'!BR61+'Monthly Data'!BS61</f>
        <v>8439.2896594835729</v>
      </c>
      <c r="S61" s="47">
        <f t="shared" ca="1" si="20"/>
        <v>30986628.874004371</v>
      </c>
      <c r="T61" s="47">
        <f t="shared" ca="1" si="21"/>
        <v>828748.95011359081</v>
      </c>
      <c r="U61" s="18">
        <f t="shared" ca="1" si="19"/>
        <v>2.748034517695204E-2</v>
      </c>
    </row>
    <row r="62" spans="1:21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Data'!BQ62</f>
        <v>31853984.364236817</v>
      </c>
      <c r="E62" s="3">
        <f>'Monthly Data'!CT62</f>
        <v>504.82083333333333</v>
      </c>
      <c r="F62" s="3">
        <f>'Monthly Data'!CW62</f>
        <v>0</v>
      </c>
      <c r="G62" s="3">
        <f>'Monthly Data'!DQ62</f>
        <v>31</v>
      </c>
      <c r="H62" s="3">
        <f>'Monthly Data'!EJ62</f>
        <v>0</v>
      </c>
      <c r="I62">
        <f>'Monthly Data'!EF62</f>
        <v>0</v>
      </c>
      <c r="K62" s="3">
        <f t="shared" si="12"/>
        <v>14171159.489767401</v>
      </c>
      <c r="L62" s="3">
        <f t="shared" si="13"/>
        <v>4174193.4785241676</v>
      </c>
      <c r="M62" s="3">
        <f t="shared" si="14"/>
        <v>0</v>
      </c>
      <c r="N62" s="3">
        <f t="shared" si="15"/>
        <v>12751836.461500322</v>
      </c>
      <c r="O62" s="3">
        <f t="shared" si="16"/>
        <v>0</v>
      </c>
      <c r="P62" s="3">
        <f t="shared" si="17"/>
        <v>0</v>
      </c>
      <c r="Q62" s="47">
        <f t="shared" si="18"/>
        <v>31097189.42979189</v>
      </c>
      <c r="R62" s="47">
        <f ca="1">'Monthly Data'!BR62+'Monthly Data'!BS62</f>
        <v>24447.392290642616</v>
      </c>
      <c r="S62" s="47">
        <f t="shared" ca="1" si="20"/>
        <v>31121636.822082534</v>
      </c>
      <c r="T62" s="47">
        <f t="shared" ca="1" si="21"/>
        <v>-732347.54215428233</v>
      </c>
      <c r="U62" s="18">
        <f t="shared" ca="1" si="19"/>
        <v>2.2990767301829449E-2</v>
      </c>
    </row>
    <row r="63" spans="1:21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Data'!BQ63</f>
        <v>29807134.200992443</v>
      </c>
      <c r="E63" s="3">
        <f>'Monthly Data'!CT63</f>
        <v>504.40000000000003</v>
      </c>
      <c r="F63" s="3">
        <f>'Monthly Data'!CW63</f>
        <v>0</v>
      </c>
      <c r="G63" s="3">
        <f>'Monthly Data'!DQ63</f>
        <v>29</v>
      </c>
      <c r="H63" s="3">
        <f>'Monthly Data'!EJ63</f>
        <v>0</v>
      </c>
      <c r="I63">
        <f>'Monthly Data'!EF63</f>
        <v>0</v>
      </c>
      <c r="K63" s="3">
        <f t="shared" si="12"/>
        <v>14171159.489767401</v>
      </c>
      <c r="L63" s="3">
        <f t="shared" si="13"/>
        <v>4170713.7494013691</v>
      </c>
      <c r="M63" s="3">
        <f t="shared" si="14"/>
        <v>0</v>
      </c>
      <c r="N63" s="3">
        <f t="shared" si="15"/>
        <v>11929137.334951915</v>
      </c>
      <c r="O63" s="3">
        <f t="shared" si="16"/>
        <v>0</v>
      </c>
      <c r="P63" s="3">
        <f t="shared" si="17"/>
        <v>0</v>
      </c>
      <c r="Q63" s="47">
        <f t="shared" si="18"/>
        <v>30271010.574120685</v>
      </c>
      <c r="R63" s="47">
        <f ca="1">'Monthly Data'!BR63+'Monthly Data'!BS63</f>
        <v>24257.623062030172</v>
      </c>
      <c r="S63" s="47">
        <f t="shared" ca="1" si="20"/>
        <v>30295268.197182715</v>
      </c>
      <c r="T63" s="47">
        <f t="shared" ca="1" si="21"/>
        <v>488133.99619027227</v>
      </c>
      <c r="U63" s="18">
        <f t="shared" ca="1" si="19"/>
        <v>1.6376414884394341E-2</v>
      </c>
    </row>
    <row r="64" spans="1:21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Data'!BQ64</f>
        <v>28772846.337748069</v>
      </c>
      <c r="E64" s="3">
        <f>'Monthly Data'!CT64</f>
        <v>357.57083333333344</v>
      </c>
      <c r="F64" s="3">
        <f>'Monthly Data'!CW64</f>
        <v>0</v>
      </c>
      <c r="G64" s="3">
        <f>'Monthly Data'!DQ64</f>
        <v>31</v>
      </c>
      <c r="H64" s="3">
        <f>'Monthly Data'!EJ64</f>
        <v>0.5</v>
      </c>
      <c r="I64">
        <f>'Monthly Data'!EF64</f>
        <v>0</v>
      </c>
      <c r="K64" s="3">
        <f t="shared" si="12"/>
        <v>14171159.489767401</v>
      </c>
      <c r="L64" s="3">
        <f t="shared" si="13"/>
        <v>2956632.8131804899</v>
      </c>
      <c r="M64" s="3">
        <f t="shared" si="14"/>
        <v>0</v>
      </c>
      <c r="N64" s="3">
        <f t="shared" si="15"/>
        <v>12751836.461500322</v>
      </c>
      <c r="O64" s="3">
        <f t="shared" si="16"/>
        <v>-1458381.58673545</v>
      </c>
      <c r="P64" s="3">
        <f t="shared" si="17"/>
        <v>0</v>
      </c>
      <c r="Q64" s="47">
        <f t="shared" si="18"/>
        <v>28421247.177712761</v>
      </c>
      <c r="R64" s="47">
        <f ca="1">'Monthly Data'!BR64+'Monthly Data'!BS64</f>
        <v>19713.584093819692</v>
      </c>
      <c r="S64" s="47">
        <f t="shared" ca="1" si="20"/>
        <v>28440960.761806581</v>
      </c>
      <c r="T64" s="47">
        <f t="shared" ca="1" si="21"/>
        <v>-331885.57594148815</v>
      </c>
      <c r="U64" s="18">
        <f t="shared" ca="1" si="19"/>
        <v>1.1534680025940856E-2</v>
      </c>
    </row>
    <row r="65" spans="1:21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Data'!BQ65</f>
        <v>25950731.334503699</v>
      </c>
      <c r="E65" s="3">
        <f>'Monthly Data'!CT65</f>
        <v>259.67500000000007</v>
      </c>
      <c r="F65" s="3">
        <f>'Monthly Data'!CW65</f>
        <v>0</v>
      </c>
      <c r="G65" s="3">
        <f>'Monthly Data'!DQ65</f>
        <v>30</v>
      </c>
      <c r="H65" s="3">
        <f>'Monthly Data'!EJ65</f>
        <v>1</v>
      </c>
      <c r="I65">
        <f>'Monthly Data'!EF65</f>
        <v>0</v>
      </c>
      <c r="K65" s="3">
        <f t="shared" si="12"/>
        <v>14171159.489767401</v>
      </c>
      <c r="L65" s="3">
        <f t="shared" si="13"/>
        <v>2147165.1325848545</v>
      </c>
      <c r="M65" s="3">
        <f t="shared" si="14"/>
        <v>0</v>
      </c>
      <c r="N65" s="3">
        <f t="shared" si="15"/>
        <v>12340486.89822612</v>
      </c>
      <c r="O65" s="3">
        <f t="shared" si="16"/>
        <v>-2916763.1734708999</v>
      </c>
      <c r="P65" s="3">
        <f t="shared" si="17"/>
        <v>0</v>
      </c>
      <c r="Q65" s="47">
        <f t="shared" si="18"/>
        <v>25742048.347107477</v>
      </c>
      <c r="R65" s="47">
        <f ca="1">'Monthly Data'!BR65+'Monthly Data'!BS65</f>
        <v>16402.730855425718</v>
      </c>
      <c r="S65" s="47">
        <f t="shared" ca="1" si="20"/>
        <v>25758451.077962901</v>
      </c>
      <c r="T65" s="47">
        <f t="shared" ca="1" si="21"/>
        <v>-192280.25654079765</v>
      </c>
      <c r="U65" s="18">
        <f t="shared" ca="1" si="19"/>
        <v>7.4094349813234256E-3</v>
      </c>
    </row>
    <row r="66" spans="1:21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Data'!BQ66</f>
        <v>25312504.351259321</v>
      </c>
      <c r="E66" s="3">
        <f>'Monthly Data'!CT66</f>
        <v>122.05</v>
      </c>
      <c r="F66" s="3">
        <f>'Monthly Data'!CW66</f>
        <v>77.750595238095229</v>
      </c>
      <c r="G66" s="3">
        <f>'Monthly Data'!DQ66</f>
        <v>31</v>
      </c>
      <c r="H66" s="3">
        <f>'Monthly Data'!EJ66</f>
        <v>1</v>
      </c>
      <c r="I66">
        <f>'Monthly Data'!EF66</f>
        <v>0</v>
      </c>
      <c r="K66" s="3">
        <f t="shared" ref="K66:K97" si="22">$Y$8</f>
        <v>14171159.489767401</v>
      </c>
      <c r="L66" s="3">
        <f t="shared" ref="L66:L97" si="23">E66*$Y$9</f>
        <v>1009190.3511388522</v>
      </c>
      <c r="M66" s="3">
        <f t="shared" ref="M66:M97" si="24">F66*$Y$10</f>
        <v>1268828.4788527575</v>
      </c>
      <c r="N66" s="3">
        <f t="shared" ref="N66:N97" si="25">G66*$Y$11</f>
        <v>12751836.461500322</v>
      </c>
      <c r="O66" s="3">
        <f t="shared" ref="O66:O97" si="26">H66*$Y$12</f>
        <v>-2916763.1734708999</v>
      </c>
      <c r="P66" s="3">
        <f t="shared" ref="P66:P97" si="27">I66*$Y$13</f>
        <v>0</v>
      </c>
      <c r="Q66" s="47">
        <f t="shared" si="18"/>
        <v>26284251.607788436</v>
      </c>
      <c r="R66" s="47">
        <f ca="1">'Monthly Data'!BR66+'Monthly Data'!BS66</f>
        <v>10920.148667141664</v>
      </c>
      <c r="S66" s="47">
        <f t="shared" ca="1" si="20"/>
        <v>26295171.756455578</v>
      </c>
      <c r="T66" s="47">
        <f t="shared" ca="1" si="21"/>
        <v>982667.40519625694</v>
      </c>
      <c r="U66" s="18">
        <f t="shared" ca="1" si="19"/>
        <v>3.8821421679967764E-2</v>
      </c>
    </row>
    <row r="67" spans="1:21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Data'!BQ67</f>
        <v>30027398.508014951</v>
      </c>
      <c r="E67" s="3">
        <f>'Monthly Data'!CT67</f>
        <v>3.4333333333333353</v>
      </c>
      <c r="F67" s="3">
        <f>'Monthly Data'!CW67</f>
        <v>222.53623188405788</v>
      </c>
      <c r="G67" s="3">
        <f>'Monthly Data'!DQ67</f>
        <v>30</v>
      </c>
      <c r="H67" s="3">
        <f>'Monthly Data'!EJ67</f>
        <v>0.5</v>
      </c>
      <c r="I67">
        <f>'Monthly Data'!EF67</f>
        <v>0</v>
      </c>
      <c r="K67" s="3">
        <f t="shared" si="22"/>
        <v>14171159.489767401</v>
      </c>
      <c r="L67" s="3">
        <f t="shared" si="23"/>
        <v>28389.077199863947</v>
      </c>
      <c r="M67" s="3">
        <f t="shared" si="24"/>
        <v>3631616.0374901723</v>
      </c>
      <c r="N67" s="3">
        <f t="shared" si="25"/>
        <v>12340486.89822612</v>
      </c>
      <c r="O67" s="3">
        <f t="shared" si="26"/>
        <v>-1458381.58673545</v>
      </c>
      <c r="P67" s="3">
        <f t="shared" si="27"/>
        <v>0</v>
      </c>
      <c r="Q67" s="47">
        <f t="shared" si="18"/>
        <v>28713269.915948108</v>
      </c>
      <c r="R67" s="47">
        <f ca="1">'Monthly Data'!BR67+'Monthly Data'!BS67</f>
        <v>4901.1481761283121</v>
      </c>
      <c r="S67" s="47">
        <f t="shared" ca="1" si="20"/>
        <v>28718171.064124238</v>
      </c>
      <c r="T67" s="47">
        <f t="shared" ca="1" si="21"/>
        <v>-1309227.4438907132</v>
      </c>
      <c r="U67" s="18">
        <f t="shared" ca="1" si="19"/>
        <v>4.3601094631666226E-2</v>
      </c>
    </row>
    <row r="68" spans="1:21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Data'!BQ68</f>
        <v>30695599.024770577</v>
      </c>
      <c r="E68" s="3">
        <f>'Monthly Data'!CT68</f>
        <v>0</v>
      </c>
      <c r="F68" s="3">
        <f>'Monthly Data'!CW68</f>
        <v>370.88750000000005</v>
      </c>
      <c r="G68" s="3">
        <f>'Monthly Data'!DQ68</f>
        <v>31</v>
      </c>
      <c r="H68" s="3">
        <f>'Monthly Data'!EJ68</f>
        <v>0.5</v>
      </c>
      <c r="I68">
        <f>'Monthly Data'!EF68</f>
        <v>0</v>
      </c>
      <c r="K68" s="3">
        <f t="shared" si="22"/>
        <v>14171159.489767401</v>
      </c>
      <c r="L68" s="3">
        <f t="shared" si="23"/>
        <v>0</v>
      </c>
      <c r="M68" s="3">
        <f t="shared" si="24"/>
        <v>6052591.8934692256</v>
      </c>
      <c r="N68" s="3">
        <f t="shared" si="25"/>
        <v>12751836.461500322</v>
      </c>
      <c r="O68" s="3">
        <f t="shared" si="26"/>
        <v>-1458381.58673545</v>
      </c>
      <c r="P68" s="3">
        <f t="shared" si="27"/>
        <v>0</v>
      </c>
      <c r="Q68" s="47">
        <f t="shared" si="18"/>
        <v>31517206.258001499</v>
      </c>
      <c r="R68" s="47">
        <f ca="1">'Monthly Data'!BR68+'Monthly Data'!BS68</f>
        <v>3999.7651153846155</v>
      </c>
      <c r="S68" s="47">
        <f t="shared" ca="1" si="20"/>
        <v>31521206.023116883</v>
      </c>
      <c r="T68" s="47">
        <f t="shared" ca="1" si="21"/>
        <v>825606.99834630638</v>
      </c>
      <c r="U68" s="18">
        <f t="shared" ca="1" si="19"/>
        <v>2.6896591843021612E-2</v>
      </c>
    </row>
    <row r="69" spans="1:21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Data'!BQ69</f>
        <v>29742716.571526203</v>
      </c>
      <c r="E69" s="3">
        <f>'Monthly Data'!CT69</f>
        <v>0</v>
      </c>
      <c r="F69" s="3">
        <f>'Monthly Data'!CW69</f>
        <v>278.93106060606061</v>
      </c>
      <c r="G69" s="3">
        <f>'Monthly Data'!DQ69</f>
        <v>31</v>
      </c>
      <c r="H69" s="3">
        <f>'Monthly Data'!EJ69</f>
        <v>0.5</v>
      </c>
      <c r="I69">
        <f>'Monthly Data'!EF69</f>
        <v>0</v>
      </c>
      <c r="K69" s="3">
        <f t="shared" si="22"/>
        <v>14171159.489767401</v>
      </c>
      <c r="L69" s="3">
        <f t="shared" si="23"/>
        <v>0</v>
      </c>
      <c r="M69" s="3">
        <f t="shared" si="24"/>
        <v>4551935.2263449579</v>
      </c>
      <c r="N69" s="3">
        <f t="shared" si="25"/>
        <v>12751836.461500322</v>
      </c>
      <c r="O69" s="3">
        <f t="shared" si="26"/>
        <v>-1458381.58673545</v>
      </c>
      <c r="P69" s="3">
        <f t="shared" si="27"/>
        <v>0</v>
      </c>
      <c r="Q69" s="47">
        <f t="shared" si="18"/>
        <v>30016549.590877235</v>
      </c>
      <c r="R69" s="47">
        <f ca="1">'Monthly Data'!BR69+'Monthly Data'!BS69</f>
        <v>4207.6092459571419</v>
      </c>
      <c r="S69" s="47">
        <f t="shared" ca="1" si="20"/>
        <v>30020757.200123191</v>
      </c>
      <c r="T69" s="47">
        <f t="shared" ca="1" si="21"/>
        <v>278040.62859698758</v>
      </c>
      <c r="U69" s="18">
        <f t="shared" ca="1" si="19"/>
        <v>9.34819211716411E-3</v>
      </c>
    </row>
    <row r="70" spans="1:21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Data'!BQ70</f>
        <v>27312271.008281827</v>
      </c>
      <c r="E70" s="3">
        <f>'Monthly Data'!CT70</f>
        <v>23.967028985507248</v>
      </c>
      <c r="F70" s="3">
        <f>'Monthly Data'!CW70</f>
        <v>120.81213768115938</v>
      </c>
      <c r="G70" s="3">
        <f>'Monthly Data'!DQ70</f>
        <v>30</v>
      </c>
      <c r="H70" s="3">
        <f>'Monthly Data'!EJ70</f>
        <v>0.5</v>
      </c>
      <c r="I70">
        <f>'Monthly Data'!EF70</f>
        <v>1</v>
      </c>
      <c r="K70" s="3">
        <f t="shared" si="22"/>
        <v>14171159.489767401</v>
      </c>
      <c r="L70" s="3">
        <f t="shared" si="23"/>
        <v>198175.29207406071</v>
      </c>
      <c r="M70" s="3">
        <f t="shared" si="24"/>
        <v>1971558.936771051</v>
      </c>
      <c r="N70" s="3">
        <f t="shared" si="25"/>
        <v>12340486.89822612</v>
      </c>
      <c r="O70" s="3">
        <f t="shared" si="26"/>
        <v>-1458381.58673545</v>
      </c>
      <c r="P70" s="3">
        <f t="shared" si="27"/>
        <v>581324.19044200005</v>
      </c>
      <c r="Q70" s="47">
        <f t="shared" si="18"/>
        <v>27804323.22054518</v>
      </c>
      <c r="R70" s="47">
        <f ca="1">'Monthly Data'!BR70+'Monthly Data'!BS70</f>
        <v>7022.0728561532915</v>
      </c>
      <c r="S70" s="47">
        <f t="shared" ca="1" si="20"/>
        <v>27811345.293401334</v>
      </c>
      <c r="T70" s="47">
        <f t="shared" ca="1" si="21"/>
        <v>499074.28511950746</v>
      </c>
      <c r="U70" s="18">
        <f t="shared" ca="1" si="19"/>
        <v>1.8272895907051247E-2</v>
      </c>
    </row>
    <row r="71" spans="1:21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Data'!BQ71</f>
        <v>27262530.595037457</v>
      </c>
      <c r="E71" s="3">
        <f>'Monthly Data'!CT71</f>
        <v>167.76250000000005</v>
      </c>
      <c r="F71" s="3">
        <f>'Monthly Data'!CW71</f>
        <v>10.262500000000003</v>
      </c>
      <c r="G71" s="3">
        <f>'Monthly Data'!DQ71</f>
        <v>31</v>
      </c>
      <c r="H71" s="3">
        <f>'Monthly Data'!EJ71</f>
        <v>0.5</v>
      </c>
      <c r="I71">
        <f>'Monthly Data'!EF71</f>
        <v>1</v>
      </c>
      <c r="K71" s="3">
        <f t="shared" si="22"/>
        <v>14171159.489767401</v>
      </c>
      <c r="L71" s="3">
        <f t="shared" si="23"/>
        <v>1387171.6205074291</v>
      </c>
      <c r="M71" s="3">
        <f t="shared" si="24"/>
        <v>167475.91737852566</v>
      </c>
      <c r="N71" s="3">
        <f t="shared" si="25"/>
        <v>12751836.461500322</v>
      </c>
      <c r="O71" s="3">
        <f t="shared" si="26"/>
        <v>-1458381.58673545</v>
      </c>
      <c r="P71" s="3">
        <f t="shared" si="27"/>
        <v>581324.19044200005</v>
      </c>
      <c r="Q71" s="47">
        <f t="shared" si="18"/>
        <v>27600586.092860226</v>
      </c>
      <c r="R71" s="47">
        <f ca="1">'Monthly Data'!BR71+'Monthly Data'!BS71</f>
        <v>13884.572422282137</v>
      </c>
      <c r="S71" s="47">
        <f t="shared" ca="1" si="20"/>
        <v>27614470.665282506</v>
      </c>
      <c r="T71" s="47">
        <f t="shared" ca="1" si="21"/>
        <v>351940.07024504989</v>
      </c>
      <c r="U71" s="18">
        <f t="shared" ca="1" si="19"/>
        <v>1.2909295746342522E-2</v>
      </c>
    </row>
    <row r="72" spans="1:21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Data'!BQ72</f>
        <v>27701048.071793083</v>
      </c>
      <c r="E72" s="3">
        <f>'Monthly Data'!CT72</f>
        <v>246.30072463768118</v>
      </c>
      <c r="F72" s="3">
        <f>'Monthly Data'!CW72</f>
        <v>1.8291666666666622</v>
      </c>
      <c r="G72" s="3">
        <f>'Monthly Data'!DQ72</f>
        <v>30</v>
      </c>
      <c r="H72" s="3">
        <f>'Monthly Data'!EJ72</f>
        <v>0.5</v>
      </c>
      <c r="I72">
        <f>'Monthly Data'!EF72</f>
        <v>1</v>
      </c>
      <c r="K72" s="3">
        <f t="shared" si="22"/>
        <v>14171159.489767401</v>
      </c>
      <c r="L72" s="3">
        <f t="shared" si="23"/>
        <v>2036577.7532392889</v>
      </c>
      <c r="M72" s="3">
        <f t="shared" si="24"/>
        <v>29850.559370350209</v>
      </c>
      <c r="N72" s="3">
        <f t="shared" si="25"/>
        <v>12340486.89822612</v>
      </c>
      <c r="O72" s="3">
        <f t="shared" si="26"/>
        <v>-1458381.58673545</v>
      </c>
      <c r="P72" s="3">
        <f t="shared" si="27"/>
        <v>581324.19044200005</v>
      </c>
      <c r="Q72" s="47">
        <f t="shared" si="18"/>
        <v>27701017.304309707</v>
      </c>
      <c r="R72" s="47">
        <f ca="1">'Monthly Data'!BR72+'Monthly Data'!BS72</f>
        <v>16595.958032449824</v>
      </c>
      <c r="S72" s="47">
        <f t="shared" ca="1" si="20"/>
        <v>27717613.262342159</v>
      </c>
      <c r="T72" s="47">
        <f t="shared" ca="1" si="21"/>
        <v>16565.190549075603</v>
      </c>
      <c r="U72" s="18">
        <f t="shared" ca="1" si="19"/>
        <v>5.9799869326761332E-4</v>
      </c>
    </row>
    <row r="73" spans="1:21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Data'!BQ73</f>
        <v>30670360.18854871</v>
      </c>
      <c r="E73" s="3">
        <f>'Monthly Data'!CT73</f>
        <v>458.90416666666681</v>
      </c>
      <c r="F73" s="3">
        <f>'Monthly Data'!CW73</f>
        <v>0</v>
      </c>
      <c r="G73" s="3">
        <f>'Monthly Data'!DQ73</f>
        <v>31</v>
      </c>
      <c r="H73" s="3">
        <f>'Monthly Data'!EJ73</f>
        <v>0.5</v>
      </c>
      <c r="I73">
        <f>'Monthly Data'!EF73</f>
        <v>0</v>
      </c>
      <c r="K73" s="3">
        <f t="shared" si="22"/>
        <v>14171159.489767401</v>
      </c>
      <c r="L73" s="3">
        <f t="shared" si="23"/>
        <v>3794524.023739581</v>
      </c>
      <c r="M73" s="3">
        <f t="shared" si="24"/>
        <v>0</v>
      </c>
      <c r="N73" s="3">
        <f t="shared" si="25"/>
        <v>12751836.461500322</v>
      </c>
      <c r="O73" s="3">
        <f t="shared" si="26"/>
        <v>-1458381.58673545</v>
      </c>
      <c r="P73" s="3">
        <f t="shared" si="27"/>
        <v>0</v>
      </c>
      <c r="Q73" s="47">
        <f t="shared" si="18"/>
        <v>29259138.388271853</v>
      </c>
      <c r="R73" s="47">
        <f ca="1">'Monthly Data'!BR73+'Monthly Data'!BS73</f>
        <v>23919.638043163512</v>
      </c>
      <c r="S73" s="47">
        <f t="shared" ca="1" si="20"/>
        <v>29283058.026315019</v>
      </c>
      <c r="T73" s="47">
        <f t="shared" ca="1" si="21"/>
        <v>-1387302.1622336917</v>
      </c>
      <c r="U73" s="18">
        <f t="shared" ca="1" si="19"/>
        <v>4.5232666121464857E-2</v>
      </c>
    </row>
    <row r="74" spans="1:21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Data'!BQ74</f>
        <v>30132179.904004361</v>
      </c>
      <c r="E74" s="3">
        <f>'Monthly Data'!CT74</f>
        <v>529.50416666666661</v>
      </c>
      <c r="F74" s="3">
        <f>'Monthly Data'!CW74</f>
        <v>0</v>
      </c>
      <c r="G74" s="3">
        <f>'Monthly Data'!DQ74</f>
        <v>31</v>
      </c>
      <c r="H74" s="3">
        <f>'Monthly Data'!EJ74</f>
        <v>0.5</v>
      </c>
      <c r="I74">
        <f>'Monthly Data'!EF74</f>
        <v>0</v>
      </c>
      <c r="K74" s="3">
        <f t="shared" si="22"/>
        <v>14171159.489767401</v>
      </c>
      <c r="L74" s="3">
        <f t="shared" si="23"/>
        <v>4378291.650043577</v>
      </c>
      <c r="M74" s="3">
        <f t="shared" si="24"/>
        <v>0</v>
      </c>
      <c r="N74" s="3">
        <f t="shared" si="25"/>
        <v>12751836.461500322</v>
      </c>
      <c r="O74" s="3">
        <f t="shared" si="26"/>
        <v>-1458381.58673545</v>
      </c>
      <c r="P74" s="3">
        <f t="shared" si="27"/>
        <v>0</v>
      </c>
      <c r="Q74" s="47">
        <f t="shared" si="18"/>
        <v>29842906.014575854</v>
      </c>
      <c r="R74" s="47">
        <f ca="1">'Monthly Data'!BR74+'Monthly Data'!BS74</f>
        <v>43943.517773672022</v>
      </c>
      <c r="S74" s="47">
        <f t="shared" ca="1" si="20"/>
        <v>29886849.532349527</v>
      </c>
      <c r="T74" s="47">
        <f t="shared" ca="1" si="21"/>
        <v>-245330.3716548346</v>
      </c>
      <c r="U74" s="18">
        <f t="shared" ca="1" si="19"/>
        <v>8.1418062827320319E-3</v>
      </c>
    </row>
    <row r="75" spans="1:21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Data'!BQ75</f>
        <v>28423629.341019243</v>
      </c>
      <c r="E75" s="3">
        <f>'Monthly Data'!CT75</f>
        <v>541.45416666666677</v>
      </c>
      <c r="F75" s="3">
        <f>'Monthly Data'!CW75</f>
        <v>0</v>
      </c>
      <c r="G75" s="3">
        <f>'Monthly Data'!DQ75</f>
        <v>28</v>
      </c>
      <c r="H75" s="3">
        <f>'Monthly Data'!EJ75</f>
        <v>0.5</v>
      </c>
      <c r="I75">
        <f>'Monthly Data'!EF75</f>
        <v>0</v>
      </c>
      <c r="K75" s="3">
        <f t="shared" si="22"/>
        <v>14171159.489767401</v>
      </c>
      <c r="L75" s="3">
        <f t="shared" si="23"/>
        <v>4477102.176025629</v>
      </c>
      <c r="M75" s="3">
        <f t="shared" si="24"/>
        <v>0</v>
      </c>
      <c r="N75" s="3">
        <f t="shared" si="25"/>
        <v>11517787.771677712</v>
      </c>
      <c r="O75" s="3">
        <f t="shared" si="26"/>
        <v>-1458381.58673545</v>
      </c>
      <c r="P75" s="3">
        <f t="shared" si="27"/>
        <v>0</v>
      </c>
      <c r="Q75" s="47">
        <f t="shared" si="18"/>
        <v>28707667.850735292</v>
      </c>
      <c r="R75" s="47">
        <f ca="1">'Monthly Data'!BR75+'Monthly Data'!BS75</f>
        <v>44115.649625430415</v>
      </c>
      <c r="S75" s="47">
        <f t="shared" ca="1" si="20"/>
        <v>28751783.500360724</v>
      </c>
      <c r="T75" s="47">
        <f t="shared" ca="1" si="21"/>
        <v>328154.15934148058</v>
      </c>
      <c r="U75" s="18">
        <f t="shared" ca="1" si="19"/>
        <v>1.1545118162229501E-2</v>
      </c>
    </row>
    <row r="76" spans="1:21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Data'!BQ76</f>
        <v>29118151.958034121</v>
      </c>
      <c r="E76" s="3">
        <f>'Monthly Data'!CT76</f>
        <v>368.59637681159427</v>
      </c>
      <c r="F76" s="3">
        <f>'Monthly Data'!CW76</f>
        <v>0.29583333333332895</v>
      </c>
      <c r="G76" s="3">
        <f>'Monthly Data'!DQ76</f>
        <v>31</v>
      </c>
      <c r="H76" s="3">
        <f>'Monthly Data'!EJ76</f>
        <v>0.5</v>
      </c>
      <c r="I76">
        <f>'Monthly Data'!EF76</f>
        <v>0</v>
      </c>
      <c r="K76" s="3">
        <f t="shared" si="22"/>
        <v>14171159.489767401</v>
      </c>
      <c r="L76" s="3">
        <f t="shared" si="23"/>
        <v>3047799.3194838306</v>
      </c>
      <c r="M76" s="3">
        <f t="shared" si="24"/>
        <v>4827.7670052274225</v>
      </c>
      <c r="N76" s="3">
        <f t="shared" si="25"/>
        <v>12751836.461500322</v>
      </c>
      <c r="O76" s="3">
        <f t="shared" si="26"/>
        <v>-1458381.58673545</v>
      </c>
      <c r="P76" s="3">
        <f t="shared" si="27"/>
        <v>0</v>
      </c>
      <c r="Q76" s="47">
        <f t="shared" si="18"/>
        <v>28517241.451021329</v>
      </c>
      <c r="R76" s="47">
        <f ca="1">'Monthly Data'!BR76+'Monthly Data'!BS76</f>
        <v>34636.858145000908</v>
      </c>
      <c r="S76" s="47">
        <f t="shared" ca="1" si="20"/>
        <v>28551878.309166331</v>
      </c>
      <c r="T76" s="47">
        <f t="shared" ca="1" si="21"/>
        <v>-566273.64886778966</v>
      </c>
      <c r="U76" s="18">
        <f t="shared" ca="1" si="19"/>
        <v>1.9447444662144726E-2</v>
      </c>
    </row>
    <row r="77" spans="1:21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Data'!BQ77</f>
        <v>25603962.015049003</v>
      </c>
      <c r="E77" s="3">
        <f>'Monthly Data'!CT77</f>
        <v>203.50416666666672</v>
      </c>
      <c r="F77" s="3">
        <f>'Monthly Data'!CW77</f>
        <v>11.054166666666664</v>
      </c>
      <c r="G77" s="3">
        <f>'Monthly Data'!DQ77</f>
        <v>30</v>
      </c>
      <c r="H77" s="3">
        <f>'Monthly Data'!EJ77</f>
        <v>0.5</v>
      </c>
      <c r="I77">
        <f>'Monthly Data'!EF77</f>
        <v>0</v>
      </c>
      <c r="K77" s="3">
        <f t="shared" si="22"/>
        <v>14171159.489767401</v>
      </c>
      <c r="L77" s="3">
        <f t="shared" si="23"/>
        <v>1682707.4266001876</v>
      </c>
      <c r="M77" s="3">
        <f t="shared" si="24"/>
        <v>180395.29387138787</v>
      </c>
      <c r="N77" s="3">
        <f t="shared" si="25"/>
        <v>12340486.89822612</v>
      </c>
      <c r="O77" s="3">
        <f t="shared" si="26"/>
        <v>-1458381.58673545</v>
      </c>
      <c r="P77" s="3">
        <f t="shared" si="27"/>
        <v>0</v>
      </c>
      <c r="Q77" s="47">
        <f t="shared" si="18"/>
        <v>26916367.521729648</v>
      </c>
      <c r="R77" s="47">
        <f ca="1">'Monthly Data'!BR77+'Monthly Data'!BS77</f>
        <v>24441.319051184772</v>
      </c>
      <c r="S77" s="47">
        <f t="shared" ca="1" si="20"/>
        <v>26940808.840780832</v>
      </c>
      <c r="T77" s="47">
        <f t="shared" ca="1" si="21"/>
        <v>1336846.8257318288</v>
      </c>
      <c r="U77" s="18">
        <f t="shared" ca="1" si="19"/>
        <v>5.2212498399508749E-2</v>
      </c>
    </row>
    <row r="78" spans="1:21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Data'!BQ78</f>
        <v>25741172.322063882</v>
      </c>
      <c r="E78" s="3">
        <f>'Monthly Data'!CT78</f>
        <v>83.376388888888897</v>
      </c>
      <c r="F78" s="3">
        <f>'Monthly Data'!CW78</f>
        <v>83.256944444444414</v>
      </c>
      <c r="G78" s="3">
        <f>'Monthly Data'!DQ78</f>
        <v>31</v>
      </c>
      <c r="H78" s="3">
        <f>'Monthly Data'!EJ78</f>
        <v>0.5</v>
      </c>
      <c r="I78">
        <f>'Monthly Data'!EF78</f>
        <v>0</v>
      </c>
      <c r="K78" s="3">
        <f t="shared" si="22"/>
        <v>14171159.489767401</v>
      </c>
      <c r="L78" s="3">
        <f t="shared" si="23"/>
        <v>689411.28373180889</v>
      </c>
      <c r="M78" s="3">
        <f t="shared" si="24"/>
        <v>1358687.7611660189</v>
      </c>
      <c r="N78" s="3">
        <f t="shared" si="25"/>
        <v>12751836.461500322</v>
      </c>
      <c r="O78" s="3">
        <f t="shared" si="26"/>
        <v>-1458381.58673545</v>
      </c>
      <c r="P78" s="3">
        <f t="shared" si="27"/>
        <v>0</v>
      </c>
      <c r="Q78" s="47">
        <f t="shared" si="18"/>
        <v>27512713.409430102</v>
      </c>
      <c r="R78" s="47">
        <f ca="1">'Monthly Data'!BR78+'Monthly Data'!BS78</f>
        <v>15845.052878047714</v>
      </c>
      <c r="S78" s="47">
        <f t="shared" ca="1" si="20"/>
        <v>27528558.46230815</v>
      </c>
      <c r="T78" s="47">
        <f t="shared" ca="1" si="21"/>
        <v>1787386.1402442679</v>
      </c>
      <c r="U78" s="18">
        <f t="shared" ca="1" si="19"/>
        <v>6.9436858503612961E-2</v>
      </c>
    </row>
    <row r="79" spans="1:21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Data'!BQ79</f>
        <v>28325941.91907876</v>
      </c>
      <c r="E79" s="3">
        <f>'Monthly Data'!CT79</f>
        <v>0</v>
      </c>
      <c r="F79" s="3">
        <f>'Monthly Data'!CW79</f>
        <v>241.67500000000001</v>
      </c>
      <c r="G79" s="3">
        <f>'Monthly Data'!DQ79</f>
        <v>30</v>
      </c>
      <c r="H79" s="3">
        <f>'Monthly Data'!EJ79</f>
        <v>0.5</v>
      </c>
      <c r="I79">
        <f>'Monthly Data'!EF79</f>
        <v>0</v>
      </c>
      <c r="K79" s="3">
        <f t="shared" si="22"/>
        <v>14171159.489767401</v>
      </c>
      <c r="L79" s="3">
        <f t="shared" si="23"/>
        <v>0</v>
      </c>
      <c r="M79" s="3">
        <f t="shared" si="24"/>
        <v>3943945.6596789458</v>
      </c>
      <c r="N79" s="3">
        <f t="shared" si="25"/>
        <v>12340486.89822612</v>
      </c>
      <c r="O79" s="3">
        <f t="shared" si="26"/>
        <v>-1458381.58673545</v>
      </c>
      <c r="P79" s="3">
        <f t="shared" si="27"/>
        <v>0</v>
      </c>
      <c r="Q79" s="47">
        <f t="shared" si="18"/>
        <v>28997210.460937016</v>
      </c>
      <c r="R79" s="47">
        <f ca="1">'Monthly Data'!BR79+'Monthly Data'!BS79</f>
        <v>6454.4178894149636</v>
      </c>
      <c r="S79" s="47">
        <f t="shared" ca="1" si="20"/>
        <v>29003664.878826432</v>
      </c>
      <c r="T79" s="47">
        <f t="shared" ca="1" si="21"/>
        <v>677722.95974767208</v>
      </c>
      <c r="U79" s="18">
        <f t="shared" ca="1" si="19"/>
        <v>2.3925875498996066E-2</v>
      </c>
    </row>
    <row r="80" spans="1:21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Data'!BQ80</f>
        <v>29366265.796093643</v>
      </c>
      <c r="E80" s="3">
        <f>'Monthly Data'!CT80</f>
        <v>0</v>
      </c>
      <c r="F80" s="3">
        <f>'Monthly Data'!CW80</f>
        <v>254.87499999999994</v>
      </c>
      <c r="G80" s="3">
        <f>'Monthly Data'!DQ80</f>
        <v>31</v>
      </c>
      <c r="H80" s="3">
        <f>'Monthly Data'!EJ80</f>
        <v>0.5</v>
      </c>
      <c r="I80">
        <f>'Monthly Data'!EF80</f>
        <v>0</v>
      </c>
      <c r="K80" s="3">
        <f t="shared" si="22"/>
        <v>14171159.489767401</v>
      </c>
      <c r="L80" s="3">
        <f t="shared" si="23"/>
        <v>0</v>
      </c>
      <c r="M80" s="3">
        <f t="shared" si="24"/>
        <v>4159359.2635178277</v>
      </c>
      <c r="N80" s="3">
        <f t="shared" si="25"/>
        <v>12751836.461500322</v>
      </c>
      <c r="O80" s="3">
        <f t="shared" si="26"/>
        <v>-1458381.58673545</v>
      </c>
      <c r="P80" s="3">
        <f t="shared" si="27"/>
        <v>0</v>
      </c>
      <c r="Q80" s="47">
        <f t="shared" si="18"/>
        <v>29623973.628050104</v>
      </c>
      <c r="R80" s="47">
        <f ca="1">'Monthly Data'!BR80+'Monthly Data'!BS80</f>
        <v>6095.414579333009</v>
      </c>
      <c r="S80" s="47">
        <f t="shared" ca="1" si="20"/>
        <v>29630069.042629436</v>
      </c>
      <c r="T80" s="47">
        <f t="shared" ca="1" si="21"/>
        <v>263803.24653579295</v>
      </c>
      <c r="U80" s="18">
        <f t="shared" ca="1" si="19"/>
        <v>8.9832070705729485E-3</v>
      </c>
    </row>
    <row r="81" spans="1:21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Data'!BQ81</f>
        <v>31713417.193108521</v>
      </c>
      <c r="E81" s="3">
        <f>'Monthly Data'!CT81</f>
        <v>0</v>
      </c>
      <c r="F81" s="3">
        <f>'Monthly Data'!CW81</f>
        <v>328.06249999999989</v>
      </c>
      <c r="G81" s="3">
        <f>'Monthly Data'!DQ81</f>
        <v>31</v>
      </c>
      <c r="H81" s="3">
        <f>'Monthly Data'!EJ81</f>
        <v>0.5</v>
      </c>
      <c r="I81">
        <f>'Monthly Data'!EF81</f>
        <v>0</v>
      </c>
      <c r="K81" s="3">
        <f t="shared" si="22"/>
        <v>14171159.489767401</v>
      </c>
      <c r="L81" s="3">
        <f t="shared" si="23"/>
        <v>0</v>
      </c>
      <c r="M81" s="3">
        <f t="shared" si="24"/>
        <v>5353721.6219237559</v>
      </c>
      <c r="N81" s="3">
        <f t="shared" si="25"/>
        <v>12751836.461500322</v>
      </c>
      <c r="O81" s="3">
        <f t="shared" si="26"/>
        <v>-1458381.58673545</v>
      </c>
      <c r="P81" s="3">
        <f t="shared" si="27"/>
        <v>0</v>
      </c>
      <c r="Q81" s="47">
        <f t="shared" si="18"/>
        <v>30818335.986456029</v>
      </c>
      <c r="R81" s="47">
        <f ca="1">'Monthly Data'!BR81+'Monthly Data'!BS81</f>
        <v>5990.7259865729211</v>
      </c>
      <c r="S81" s="47">
        <f t="shared" ca="1" si="20"/>
        <v>30824326.712442603</v>
      </c>
      <c r="T81" s="47">
        <f t="shared" ca="1" si="21"/>
        <v>-889090.48066591844</v>
      </c>
      <c r="U81" s="18">
        <f t="shared" ca="1" si="19"/>
        <v>2.8035152290656399E-2</v>
      </c>
    </row>
    <row r="82" spans="1:21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Data'!BQ82</f>
        <v>27785546.9301234</v>
      </c>
      <c r="E82" s="3">
        <f>'Monthly Data'!CT82</f>
        <v>5.9833333333333432</v>
      </c>
      <c r="F82" s="3">
        <f>'Monthly Data'!CW82</f>
        <v>149.55833333333328</v>
      </c>
      <c r="G82" s="3">
        <f>'Monthly Data'!DQ82</f>
        <v>30</v>
      </c>
      <c r="H82" s="3">
        <f>'Monthly Data'!EJ82</f>
        <v>0.5</v>
      </c>
      <c r="I82">
        <f>'Monthly Data'!EF82</f>
        <v>1</v>
      </c>
      <c r="K82" s="3">
        <f t="shared" si="22"/>
        <v>14171159.489767401</v>
      </c>
      <c r="L82" s="3">
        <f t="shared" si="23"/>
        <v>49474.168518209553</v>
      </c>
      <c r="M82" s="3">
        <f t="shared" si="24"/>
        <v>2440674.2096568397</v>
      </c>
      <c r="N82" s="3">
        <f t="shared" si="25"/>
        <v>12340486.89822612</v>
      </c>
      <c r="O82" s="3">
        <f t="shared" si="26"/>
        <v>-1458381.58673545</v>
      </c>
      <c r="P82" s="3">
        <f t="shared" si="27"/>
        <v>581324.19044200005</v>
      </c>
      <c r="Q82" s="47">
        <f t="shared" si="18"/>
        <v>28124737.369875122</v>
      </c>
      <c r="R82" s="47">
        <f ca="1">'Monthly Data'!BR82+'Monthly Data'!BS82</f>
        <v>8865.7956746459877</v>
      </c>
      <c r="S82" s="47">
        <f t="shared" ca="1" si="20"/>
        <v>28133603.165549766</v>
      </c>
      <c r="T82" s="47">
        <f t="shared" ca="1" si="21"/>
        <v>348056.23542636633</v>
      </c>
      <c r="U82" s="18">
        <f t="shared" ca="1" si="19"/>
        <v>1.2526520939165856E-2</v>
      </c>
    </row>
    <row r="83" spans="1:21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Data'!BQ83</f>
        <v>27946596.03713828</v>
      </c>
      <c r="E83" s="3">
        <f>'Monthly Data'!CT83</f>
        <v>72.749999999999986</v>
      </c>
      <c r="F83" s="3">
        <f>'Monthly Data'!CW83</f>
        <v>77.979166666666686</v>
      </c>
      <c r="G83" s="3">
        <f>'Monthly Data'!DQ83</f>
        <v>31</v>
      </c>
      <c r="H83" s="3">
        <f>'Monthly Data'!EJ83</f>
        <v>0.5</v>
      </c>
      <c r="I83">
        <f>'Monthly Data'!EF83</f>
        <v>1</v>
      </c>
      <c r="K83" s="3">
        <f t="shared" si="22"/>
        <v>14171159.489767401</v>
      </c>
      <c r="L83" s="3">
        <f t="shared" si="23"/>
        <v>601545.25231750496</v>
      </c>
      <c r="M83" s="3">
        <f t="shared" si="24"/>
        <v>1272558.5845469378</v>
      </c>
      <c r="N83" s="3">
        <f t="shared" si="25"/>
        <v>12751836.461500322</v>
      </c>
      <c r="O83" s="3">
        <f t="shared" si="26"/>
        <v>-1458381.58673545</v>
      </c>
      <c r="P83" s="3">
        <f t="shared" si="27"/>
        <v>581324.19044200005</v>
      </c>
      <c r="Q83" s="47">
        <f t="shared" si="18"/>
        <v>27920042.391838718</v>
      </c>
      <c r="R83" s="47">
        <f ca="1">'Monthly Data'!BR83+'Monthly Data'!BS83</f>
        <v>15510.324604518224</v>
      </c>
      <c r="S83" s="47">
        <f t="shared" ca="1" si="20"/>
        <v>27935552.716443237</v>
      </c>
      <c r="T83" s="47">
        <f t="shared" ca="1" si="21"/>
        <v>-11043.32069504261</v>
      </c>
      <c r="U83" s="18">
        <f t="shared" ca="1" si="19"/>
        <v>3.9515798920080009E-4</v>
      </c>
    </row>
    <row r="84" spans="1:21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Data'!BQ84</f>
        <v>28645834.94415316</v>
      </c>
      <c r="E84" s="3">
        <f>'Monthly Data'!CT84</f>
        <v>326.31260351966864</v>
      </c>
      <c r="F84" s="3">
        <f>'Monthly Data'!CW84</f>
        <v>0</v>
      </c>
      <c r="G84" s="3">
        <f>'Monthly Data'!DQ84</f>
        <v>30</v>
      </c>
      <c r="H84" s="3">
        <f>'Monthly Data'!EJ84</f>
        <v>0.5</v>
      </c>
      <c r="I84">
        <f>'Monthly Data'!EF84</f>
        <v>1</v>
      </c>
      <c r="K84" s="3">
        <f t="shared" si="22"/>
        <v>14171159.489767401</v>
      </c>
      <c r="L84" s="3">
        <f t="shared" si="23"/>
        <v>2698169.0366820768</v>
      </c>
      <c r="M84" s="3">
        <f t="shared" si="24"/>
        <v>0</v>
      </c>
      <c r="N84" s="3">
        <f t="shared" si="25"/>
        <v>12340486.89822612</v>
      </c>
      <c r="O84" s="3">
        <f t="shared" si="26"/>
        <v>-1458381.58673545</v>
      </c>
      <c r="P84" s="3">
        <f t="shared" si="27"/>
        <v>581324.19044200005</v>
      </c>
      <c r="Q84" s="47">
        <f t="shared" si="18"/>
        <v>28332758.028382149</v>
      </c>
      <c r="R84" s="47">
        <f ca="1">'Monthly Data'!BR84+'Monthly Data'!BS84</f>
        <v>33260.185800508465</v>
      </c>
      <c r="S84" s="47">
        <f t="shared" ca="1" si="20"/>
        <v>28366018.214182656</v>
      </c>
      <c r="T84" s="47">
        <f t="shared" ca="1" si="21"/>
        <v>-279816.7299705036</v>
      </c>
      <c r="U84" s="18">
        <f t="shared" ca="1" si="19"/>
        <v>9.7681471151399059E-3</v>
      </c>
    </row>
    <row r="85" spans="1:21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Data'!BQ85</f>
        <v>30267892.201168038</v>
      </c>
      <c r="E85" s="3">
        <f>'Monthly Data'!CT85</f>
        <v>409.04583333333335</v>
      </c>
      <c r="F85" s="3">
        <f>'Monthly Data'!CW85</f>
        <v>0</v>
      </c>
      <c r="G85" s="3">
        <f>'Monthly Data'!DQ85</f>
        <v>31</v>
      </c>
      <c r="H85" s="3">
        <f>'Monthly Data'!EJ85</f>
        <v>0.5</v>
      </c>
      <c r="I85">
        <f>'Monthly Data'!EF85</f>
        <v>0</v>
      </c>
      <c r="K85" s="3">
        <f t="shared" si="22"/>
        <v>14171159.489767401</v>
      </c>
      <c r="L85" s="3">
        <f t="shared" si="23"/>
        <v>3382262.2545968955</v>
      </c>
      <c r="M85" s="3">
        <f t="shared" si="24"/>
        <v>0</v>
      </c>
      <c r="N85" s="3">
        <f t="shared" si="25"/>
        <v>12751836.461500322</v>
      </c>
      <c r="O85" s="3">
        <f t="shared" si="26"/>
        <v>-1458381.58673545</v>
      </c>
      <c r="P85" s="3">
        <f t="shared" si="27"/>
        <v>0</v>
      </c>
      <c r="Q85" s="47">
        <f t="shared" si="18"/>
        <v>28846876.619129166</v>
      </c>
      <c r="R85" s="47">
        <f ca="1">'Monthly Data'!BR85+'Monthly Data'!BS85</f>
        <v>38640.636840075807</v>
      </c>
      <c r="S85" s="47">
        <f t="shared" ca="1" si="20"/>
        <v>28885517.255969241</v>
      </c>
      <c r="T85" s="47">
        <f t="shared" ca="1" si="21"/>
        <v>-1382374.9451987967</v>
      </c>
      <c r="U85" s="18">
        <f t="shared" ca="1" si="19"/>
        <v>4.5671331720464198E-2</v>
      </c>
    </row>
    <row r="86" spans="1:21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Data'!BQ86</f>
        <v>31854856.03099012</v>
      </c>
      <c r="E86" s="3">
        <f>'Monthly Data'!CT86</f>
        <v>701.49166666666656</v>
      </c>
      <c r="F86" s="3">
        <f>'Monthly Data'!CW86</f>
        <v>0</v>
      </c>
      <c r="G86" s="3">
        <f>'Monthly Data'!DQ86</f>
        <v>31</v>
      </c>
      <c r="H86" s="3">
        <f>'Monthly Data'!EJ86</f>
        <v>0.25</v>
      </c>
      <c r="I86">
        <f>'Monthly Data'!EF86</f>
        <v>0</v>
      </c>
      <c r="K86" s="3">
        <f t="shared" si="22"/>
        <v>14171159.489767401</v>
      </c>
      <c r="L86" s="3">
        <f t="shared" si="23"/>
        <v>5800398.3728333628</v>
      </c>
      <c r="M86" s="3">
        <f t="shared" si="24"/>
        <v>0</v>
      </c>
      <c r="N86" s="3">
        <f t="shared" si="25"/>
        <v>12751836.461500322</v>
      </c>
      <c r="O86" s="3">
        <f t="shared" si="26"/>
        <v>-729190.79336772498</v>
      </c>
      <c r="P86" s="3">
        <f t="shared" si="27"/>
        <v>0</v>
      </c>
      <c r="Q86" s="47">
        <f t="shared" ref="Q86:Q109" si="28">SUM(K86:P86)</f>
        <v>31994203.530733358</v>
      </c>
      <c r="R86" s="47">
        <f ca="1">'Monthly Data'!BR86+'Monthly Data'!BS86</f>
        <v>79054.704667400307</v>
      </c>
      <c r="S86" s="47">
        <f t="shared" ca="1" si="20"/>
        <v>32073258.235400759</v>
      </c>
      <c r="T86" s="47">
        <f t="shared" ca="1" si="21"/>
        <v>218402.20441063866</v>
      </c>
      <c r="U86" s="18">
        <f t="shared" ref="U86:U109" ca="1" si="29">ABS(T86/D86)</f>
        <v>6.8561667394812656E-3</v>
      </c>
    </row>
    <row r="87" spans="1:21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Data'!BQ87</f>
        <v>29443816.856110644</v>
      </c>
      <c r="E87" s="3">
        <f>'Monthly Data'!CT87</f>
        <v>524.84999999999991</v>
      </c>
      <c r="F87" s="3">
        <f>'Monthly Data'!CW87</f>
        <v>0</v>
      </c>
      <c r="G87" s="3">
        <f>'Monthly Data'!DQ87</f>
        <v>28</v>
      </c>
      <c r="H87" s="3">
        <f>'Monthly Data'!EJ87</f>
        <v>0.25</v>
      </c>
      <c r="I87">
        <f>'Monthly Data'!EF87</f>
        <v>0</v>
      </c>
      <c r="K87" s="3">
        <f t="shared" si="22"/>
        <v>14171159.489767401</v>
      </c>
      <c r="L87" s="3">
        <f t="shared" si="23"/>
        <v>4339807.9131112369</v>
      </c>
      <c r="M87" s="3">
        <f t="shared" si="24"/>
        <v>0</v>
      </c>
      <c r="N87" s="3">
        <f t="shared" si="25"/>
        <v>11517787.771677712</v>
      </c>
      <c r="O87" s="3">
        <f t="shared" si="26"/>
        <v>-729190.79336772498</v>
      </c>
      <c r="P87" s="3">
        <f t="shared" si="27"/>
        <v>0</v>
      </c>
      <c r="Q87" s="47">
        <f t="shared" si="28"/>
        <v>29299564.381188627</v>
      </c>
      <c r="R87" s="47">
        <f ca="1">'Monthly Data'!BR87+'Monthly Data'!BS87</f>
        <v>62996.620626242213</v>
      </c>
      <c r="S87" s="47">
        <f t="shared" ca="1" si="20"/>
        <v>29362561.001814868</v>
      </c>
      <c r="T87" s="47">
        <f t="shared" ca="1" si="21"/>
        <v>-81255.854295775294</v>
      </c>
      <c r="U87" s="18">
        <f t="shared" ca="1" si="29"/>
        <v>2.7596916083558578E-3</v>
      </c>
    </row>
    <row r="88" spans="1:21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Data'!BQ88</f>
        <v>31092110.021231167</v>
      </c>
      <c r="E88" s="3">
        <f>'Monthly Data'!CT88</f>
        <v>420.72083333333353</v>
      </c>
      <c r="F88" s="3">
        <f>'Monthly Data'!CW88</f>
        <v>0</v>
      </c>
      <c r="G88" s="3">
        <f>'Monthly Data'!DQ88</f>
        <v>31</v>
      </c>
      <c r="H88" s="3">
        <f>'Monthly Data'!EJ88</f>
        <v>0.25</v>
      </c>
      <c r="I88">
        <f>'Monthly Data'!EF88</f>
        <v>0</v>
      </c>
      <c r="K88" s="3">
        <f t="shared" si="22"/>
        <v>14171159.489767401</v>
      </c>
      <c r="L88" s="3">
        <f t="shared" si="23"/>
        <v>3478798.898181871</v>
      </c>
      <c r="M88" s="3">
        <f t="shared" si="24"/>
        <v>0</v>
      </c>
      <c r="N88" s="3">
        <f t="shared" si="25"/>
        <v>12751836.461500322</v>
      </c>
      <c r="O88" s="3">
        <f t="shared" si="26"/>
        <v>-729190.79336772498</v>
      </c>
      <c r="P88" s="3">
        <f t="shared" si="27"/>
        <v>0</v>
      </c>
      <c r="Q88" s="47">
        <f t="shared" si="28"/>
        <v>29672604.056081872</v>
      </c>
      <c r="R88" s="47">
        <f ca="1">'Monthly Data'!BR88+'Monthly Data'!BS88</f>
        <v>55340.673319902162</v>
      </c>
      <c r="S88" s="47">
        <f t="shared" ca="1" si="20"/>
        <v>29727944.729401775</v>
      </c>
      <c r="T88" s="47">
        <f t="shared" ca="1" si="21"/>
        <v>-1364165.2918293923</v>
      </c>
      <c r="U88" s="18">
        <f t="shared" ca="1" si="29"/>
        <v>4.3874966700486892E-2</v>
      </c>
    </row>
    <row r="89" spans="1:21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Data'!BQ89</f>
        <v>27951904.86635169</v>
      </c>
      <c r="E89" s="3">
        <f>'Monthly Data'!CT89</f>
        <v>234.33333333333331</v>
      </c>
      <c r="F89" s="3">
        <f>'Monthly Data'!CW89</f>
        <v>2.2541666666666629</v>
      </c>
      <c r="G89" s="3">
        <f>'Monthly Data'!DQ89</f>
        <v>30</v>
      </c>
      <c r="H89" s="3">
        <f>'Monthly Data'!EJ89</f>
        <v>0.25</v>
      </c>
      <c r="I89">
        <f>'Monthly Data'!EF89</f>
        <v>0</v>
      </c>
      <c r="K89" s="3">
        <f t="shared" si="22"/>
        <v>14171159.489767401</v>
      </c>
      <c r="L89" s="3">
        <f t="shared" si="23"/>
        <v>1937623.4244178971</v>
      </c>
      <c r="M89" s="3">
        <f t="shared" si="24"/>
        <v>36786.224645465772</v>
      </c>
      <c r="N89" s="3">
        <f t="shared" si="25"/>
        <v>12340486.89822612</v>
      </c>
      <c r="O89" s="3">
        <f t="shared" si="26"/>
        <v>-729190.79336772498</v>
      </c>
      <c r="P89" s="3">
        <f t="shared" si="27"/>
        <v>0</v>
      </c>
      <c r="Q89" s="47">
        <f t="shared" si="28"/>
        <v>27756865.243689157</v>
      </c>
      <c r="R89" s="47">
        <f ca="1">'Monthly Data'!BR89+'Monthly Data'!BS89</f>
        <v>39130.60139755901</v>
      </c>
      <c r="S89" s="47">
        <f t="shared" ca="1" si="20"/>
        <v>27795995.845086716</v>
      </c>
      <c r="T89" s="47">
        <f t="shared" ca="1" si="21"/>
        <v>-155909.02126497403</v>
      </c>
      <c r="U89" s="18">
        <f t="shared" ca="1" si="29"/>
        <v>5.5777601566130196E-3</v>
      </c>
    </row>
    <row r="90" spans="1:21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Data'!BQ90</f>
        <v>28052966.62147221</v>
      </c>
      <c r="E90" s="3">
        <f>'Monthly Data'!CT90</f>
        <v>39.324999999999996</v>
      </c>
      <c r="F90" s="3">
        <f>'Monthly Data'!CW90</f>
        <v>109.43749999999997</v>
      </c>
      <c r="G90" s="3">
        <f>'Monthly Data'!DQ90</f>
        <v>31</v>
      </c>
      <c r="H90" s="3">
        <f>'Monthly Data'!EJ90</f>
        <v>0.25</v>
      </c>
      <c r="I90">
        <f>'Monthly Data'!EF90</f>
        <v>0</v>
      </c>
      <c r="K90" s="3">
        <f t="shared" si="22"/>
        <v>14171159.489767401</v>
      </c>
      <c r="L90" s="3">
        <f t="shared" si="23"/>
        <v>325165.18278193654</v>
      </c>
      <c r="M90" s="3">
        <f t="shared" si="24"/>
        <v>1785933.808342255</v>
      </c>
      <c r="N90" s="3">
        <f t="shared" si="25"/>
        <v>12751836.461500322</v>
      </c>
      <c r="O90" s="3">
        <f t="shared" si="26"/>
        <v>-729190.79336772498</v>
      </c>
      <c r="P90" s="3">
        <f t="shared" si="27"/>
        <v>0</v>
      </c>
      <c r="Q90" s="47">
        <f t="shared" si="28"/>
        <v>28304904.149024192</v>
      </c>
      <c r="R90" s="47">
        <f ca="1">'Monthly Data'!BR90+'Monthly Data'!BS90</f>
        <v>18181.336950914258</v>
      </c>
      <c r="S90" s="47">
        <f t="shared" ca="1" si="20"/>
        <v>28323085.485975105</v>
      </c>
      <c r="T90" s="47">
        <f t="shared" ca="1" si="21"/>
        <v>270118.86450289562</v>
      </c>
      <c r="U90" s="18">
        <f t="shared" ca="1" si="29"/>
        <v>9.6288876733679248E-3</v>
      </c>
    </row>
    <row r="91" spans="1:21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Data'!BQ91</f>
        <v>28697392.686592735</v>
      </c>
      <c r="E91" s="3">
        <f>'Monthly Data'!CT91</f>
        <v>0</v>
      </c>
      <c r="F91" s="3">
        <f>'Monthly Data'!CW91</f>
        <v>180.92250416250408</v>
      </c>
      <c r="G91" s="3">
        <f>'Monthly Data'!DQ91</f>
        <v>30</v>
      </c>
      <c r="H91" s="3">
        <f>'Monthly Data'!EJ91</f>
        <v>0.25</v>
      </c>
      <c r="I91">
        <f>'Monthly Data'!EF91</f>
        <v>0</v>
      </c>
      <c r="K91" s="3">
        <f t="shared" si="22"/>
        <v>14171159.489767401</v>
      </c>
      <c r="L91" s="3">
        <f t="shared" si="23"/>
        <v>0</v>
      </c>
      <c r="M91" s="3">
        <f t="shared" si="24"/>
        <v>2952512.7755454802</v>
      </c>
      <c r="N91" s="3">
        <f t="shared" si="25"/>
        <v>12340486.89822612</v>
      </c>
      <c r="O91" s="3">
        <f t="shared" si="26"/>
        <v>-729190.79336772498</v>
      </c>
      <c r="P91" s="3">
        <f t="shared" si="27"/>
        <v>0</v>
      </c>
      <c r="Q91" s="47">
        <f t="shared" si="28"/>
        <v>28734968.370171275</v>
      </c>
      <c r="R91" s="47">
        <f ca="1">'Monthly Data'!BR91+'Monthly Data'!BS91</f>
        <v>12160.968827378972</v>
      </c>
      <c r="S91" s="47">
        <f t="shared" ca="1" si="20"/>
        <v>28747129.338998653</v>
      </c>
      <c r="T91" s="47">
        <f t="shared" ca="1" si="21"/>
        <v>49736.652405917645</v>
      </c>
      <c r="U91" s="18">
        <f t="shared" ca="1" si="29"/>
        <v>1.7331418553976974E-3</v>
      </c>
    </row>
    <row r="92" spans="1:21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Data'!BQ92</f>
        <v>31120710.961713254</v>
      </c>
      <c r="E92" s="3">
        <f>'Monthly Data'!CT92</f>
        <v>0</v>
      </c>
      <c r="F92" s="3">
        <f>'Monthly Data'!CW92</f>
        <v>283.8543382913806</v>
      </c>
      <c r="G92" s="3">
        <f>'Monthly Data'!DQ92</f>
        <v>31</v>
      </c>
      <c r="H92" s="3">
        <f>'Monthly Data'!EJ92</f>
        <v>0.25</v>
      </c>
      <c r="I92">
        <f>'Monthly Data'!EF92</f>
        <v>0</v>
      </c>
      <c r="K92" s="3">
        <f t="shared" si="22"/>
        <v>14171159.489767401</v>
      </c>
      <c r="L92" s="3">
        <f t="shared" si="23"/>
        <v>0</v>
      </c>
      <c r="M92" s="3">
        <f t="shared" si="24"/>
        <v>4632279.2406551344</v>
      </c>
      <c r="N92" s="3">
        <f t="shared" si="25"/>
        <v>12751836.461500322</v>
      </c>
      <c r="O92" s="3">
        <f t="shared" si="26"/>
        <v>-729190.79336772498</v>
      </c>
      <c r="P92" s="3">
        <f t="shared" si="27"/>
        <v>0</v>
      </c>
      <c r="Q92" s="47">
        <f t="shared" si="28"/>
        <v>30826084.398555133</v>
      </c>
      <c r="R92" s="47">
        <f ca="1">'Monthly Data'!BR92+'Monthly Data'!BS92</f>
        <v>9431.0384784631406</v>
      </c>
      <c r="S92" s="47">
        <f t="shared" ca="1" si="20"/>
        <v>30835515.437033597</v>
      </c>
      <c r="T92" s="47">
        <f t="shared" ca="1" si="21"/>
        <v>-285195.52467965707</v>
      </c>
      <c r="U92" s="18">
        <f t="shared" ca="1" si="29"/>
        <v>9.1641712501531018E-3</v>
      </c>
    </row>
    <row r="93" spans="1:21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Data'!BQ93</f>
        <v>32564028.696833782</v>
      </c>
      <c r="E93" s="3">
        <f>'Monthly Data'!CT93</f>
        <v>0</v>
      </c>
      <c r="F93" s="3">
        <f>'Monthly Data'!CW93</f>
        <v>290.28333333333336</v>
      </c>
      <c r="G93" s="3">
        <f>'Monthly Data'!DQ93</f>
        <v>31</v>
      </c>
      <c r="H93" s="3">
        <f>'Monthly Data'!EJ93</f>
        <v>0.25</v>
      </c>
      <c r="I93">
        <f>'Monthly Data'!EF93</f>
        <v>0</v>
      </c>
      <c r="K93" s="3">
        <f t="shared" si="22"/>
        <v>14171159.489767401</v>
      </c>
      <c r="L93" s="3">
        <f t="shared" si="23"/>
        <v>0</v>
      </c>
      <c r="M93" s="3">
        <f t="shared" si="24"/>
        <v>4737195.3763406919</v>
      </c>
      <c r="N93" s="3">
        <f t="shared" si="25"/>
        <v>12751836.461500322</v>
      </c>
      <c r="O93" s="3">
        <f t="shared" si="26"/>
        <v>-729190.79336772498</v>
      </c>
      <c r="P93" s="3">
        <f t="shared" si="27"/>
        <v>0</v>
      </c>
      <c r="Q93" s="47">
        <f t="shared" si="28"/>
        <v>30931000.534240689</v>
      </c>
      <c r="R93" s="47">
        <f ca="1">'Monthly Data'!BR93+'Monthly Data'!BS93</f>
        <v>9807.9590213889915</v>
      </c>
      <c r="S93" s="47">
        <f t="shared" ca="1" si="20"/>
        <v>30940808.493262079</v>
      </c>
      <c r="T93" s="47">
        <f t="shared" ca="1" si="21"/>
        <v>-1623220.2035717033</v>
      </c>
      <c r="U93" s="18">
        <f t="shared" ca="1" si="29"/>
        <v>4.9847032708502985E-2</v>
      </c>
    </row>
    <row r="94" spans="1:21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Data'!BQ94</f>
        <v>29097166.971954301</v>
      </c>
      <c r="E94" s="3">
        <f>'Monthly Data'!CT94</f>
        <v>22.833333333333329</v>
      </c>
      <c r="F94" s="3">
        <f>'Monthly Data'!CW94</f>
        <v>139.79166666666663</v>
      </c>
      <c r="G94" s="3">
        <f>'Monthly Data'!DQ94</f>
        <v>30</v>
      </c>
      <c r="H94" s="3">
        <f>'Monthly Data'!EJ94</f>
        <v>0.25</v>
      </c>
      <c r="I94">
        <f>'Monthly Data'!EF94</f>
        <v>1</v>
      </c>
      <c r="K94" s="3">
        <f t="shared" si="22"/>
        <v>14171159.489767401</v>
      </c>
      <c r="L94" s="3">
        <f t="shared" si="23"/>
        <v>188801.14448453192</v>
      </c>
      <c r="M94" s="3">
        <f t="shared" si="24"/>
        <v>2281289.9017659491</v>
      </c>
      <c r="N94" s="3">
        <f t="shared" si="25"/>
        <v>12340486.89822612</v>
      </c>
      <c r="O94" s="3">
        <f t="shared" si="26"/>
        <v>-729190.79336772498</v>
      </c>
      <c r="P94" s="3">
        <f t="shared" si="27"/>
        <v>581324.19044200005</v>
      </c>
      <c r="Q94" s="47">
        <f t="shared" si="28"/>
        <v>28833870.831318274</v>
      </c>
      <c r="R94" s="47">
        <f ca="1">'Monthly Data'!BR94+'Monthly Data'!BS94</f>
        <v>16323.158622579809</v>
      </c>
      <c r="S94" s="47">
        <f t="shared" ca="1" si="20"/>
        <v>28850193.989940856</v>
      </c>
      <c r="T94" s="47">
        <f t="shared" ca="1" si="21"/>
        <v>-246972.98201344535</v>
      </c>
      <c r="U94" s="18">
        <f t="shared" ca="1" si="29"/>
        <v>8.4878703913509376E-3</v>
      </c>
    </row>
    <row r="95" spans="1:21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Data'!BQ95</f>
        <v>28193029.677074824</v>
      </c>
      <c r="E95" s="3">
        <f>'Monthly Data'!CT95</f>
        <v>147.2764492753623</v>
      </c>
      <c r="F95" s="3">
        <f>'Monthly Data'!CW95</f>
        <v>11.604166666666668</v>
      </c>
      <c r="G95" s="3">
        <f>'Monthly Data'!DQ95</f>
        <v>31</v>
      </c>
      <c r="H95" s="3">
        <f>'Monthly Data'!EJ95</f>
        <v>0.25</v>
      </c>
      <c r="I95">
        <f>'Monthly Data'!EF95</f>
        <v>1</v>
      </c>
      <c r="K95" s="3">
        <f t="shared" si="22"/>
        <v>14171159.489767401</v>
      </c>
      <c r="L95" s="3">
        <f t="shared" si="23"/>
        <v>1217779.3654951761</v>
      </c>
      <c r="M95" s="3">
        <f t="shared" si="24"/>
        <v>189370.86069800807</v>
      </c>
      <c r="N95" s="3">
        <f t="shared" si="25"/>
        <v>12751836.461500322</v>
      </c>
      <c r="O95" s="3">
        <f t="shared" si="26"/>
        <v>-729190.79336772498</v>
      </c>
      <c r="P95" s="3">
        <f t="shared" si="27"/>
        <v>581324.19044200005</v>
      </c>
      <c r="Q95" s="47">
        <f t="shared" si="28"/>
        <v>28182279.574535184</v>
      </c>
      <c r="R95" s="47">
        <f ca="1">'Monthly Data'!BR95+'Monthly Data'!BS95</f>
        <v>33876.649607566178</v>
      </c>
      <c r="S95" s="47">
        <f t="shared" ca="1" si="20"/>
        <v>28216156.224142749</v>
      </c>
      <c r="T95" s="47">
        <f t="shared" ca="1" si="21"/>
        <v>23126.547067925334</v>
      </c>
      <c r="U95" s="18">
        <f t="shared" ca="1" si="29"/>
        <v>8.2029307714774255E-4</v>
      </c>
    </row>
    <row r="96" spans="1:21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Data'!BQ96</f>
        <v>29262681.72219535</v>
      </c>
      <c r="E96" s="3">
        <f>'Monthly Data'!CT96</f>
        <v>294.14166666666671</v>
      </c>
      <c r="F96" s="3">
        <f>'Monthly Data'!CW96</f>
        <v>6.5791666666666675</v>
      </c>
      <c r="G96" s="3">
        <f>'Monthly Data'!DQ96</f>
        <v>30</v>
      </c>
      <c r="H96" s="3">
        <f>'Monthly Data'!EJ96</f>
        <v>0.25</v>
      </c>
      <c r="I96">
        <f>'Monthly Data'!EF96</f>
        <v>1</v>
      </c>
      <c r="K96" s="3">
        <f t="shared" si="22"/>
        <v>14171159.489767401</v>
      </c>
      <c r="L96" s="3">
        <f t="shared" si="23"/>
        <v>2432158.3930184399</v>
      </c>
      <c r="M96" s="3">
        <f t="shared" si="24"/>
        <v>107366.81832752415</v>
      </c>
      <c r="N96" s="3">
        <f t="shared" si="25"/>
        <v>12340486.89822612</v>
      </c>
      <c r="O96" s="3">
        <f t="shared" si="26"/>
        <v>-729190.79336772498</v>
      </c>
      <c r="P96" s="3">
        <f t="shared" si="27"/>
        <v>581324.19044200005</v>
      </c>
      <c r="Q96" s="47">
        <f t="shared" si="28"/>
        <v>28903304.99641376</v>
      </c>
      <c r="R96" s="47">
        <f ca="1">'Monthly Data'!BR96+'Monthly Data'!BS96</f>
        <v>46688.519290238874</v>
      </c>
      <c r="S96" s="47">
        <f t="shared" ca="1" si="20"/>
        <v>28949993.515703999</v>
      </c>
      <c r="T96" s="47">
        <f t="shared" ca="1" si="21"/>
        <v>-312688.20649135113</v>
      </c>
      <c r="U96" s="18">
        <f t="shared" ca="1" si="29"/>
        <v>1.0685562227681317E-2</v>
      </c>
    </row>
    <row r="97" spans="1:26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Data'!BQ97</f>
        <v>31117470.75731587</v>
      </c>
      <c r="E97" s="3">
        <f>'Monthly Data'!CT97</f>
        <v>461.12083333333328</v>
      </c>
      <c r="F97" s="3">
        <f>'Monthly Data'!CW97</f>
        <v>0</v>
      </c>
      <c r="G97" s="3">
        <f>'Monthly Data'!DQ97</f>
        <v>31</v>
      </c>
      <c r="H97" s="3">
        <f>'Monthly Data'!EJ97</f>
        <v>0.25</v>
      </c>
      <c r="I97">
        <f>'Monthly Data'!EF97</f>
        <v>0</v>
      </c>
      <c r="K97" s="3">
        <f t="shared" si="22"/>
        <v>14171159.489767401</v>
      </c>
      <c r="L97" s="3">
        <f t="shared" si="23"/>
        <v>3812852.8939705594</v>
      </c>
      <c r="M97" s="3">
        <f t="shared" si="24"/>
        <v>0</v>
      </c>
      <c r="N97" s="3">
        <f t="shared" si="25"/>
        <v>12751836.461500322</v>
      </c>
      <c r="O97" s="3">
        <f t="shared" si="26"/>
        <v>-729190.79336772498</v>
      </c>
      <c r="P97" s="3">
        <f t="shared" si="27"/>
        <v>0</v>
      </c>
      <c r="Q97" s="47">
        <f t="shared" si="28"/>
        <v>30006658.051870558</v>
      </c>
      <c r="R97" s="47">
        <f ca="1">'Monthly Data'!BR97+'Monthly Data'!BS97</f>
        <v>62139.082798901654</v>
      </c>
      <c r="S97" s="47">
        <f t="shared" ca="1" si="20"/>
        <v>30068797.13466946</v>
      </c>
      <c r="T97" s="47">
        <f t="shared" ca="1" si="21"/>
        <v>-1048673.62264641</v>
      </c>
      <c r="U97" s="18">
        <f t="shared" ca="1" si="29"/>
        <v>3.3700477484978814E-2</v>
      </c>
    </row>
    <row r="98" spans="1:26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Data'!BQ98</f>
        <v>31783693.030599564</v>
      </c>
      <c r="E98" s="3">
        <f>'Monthly Data'!CT98</f>
        <v>480.07083333333327</v>
      </c>
      <c r="F98" s="3">
        <f>'Monthly Data'!CW98</f>
        <v>0</v>
      </c>
      <c r="G98" s="3">
        <f>'Monthly Data'!DQ98</f>
        <v>31</v>
      </c>
      <c r="H98" s="3">
        <f>'Monthly Data'!EJ98</f>
        <v>0</v>
      </c>
      <c r="I98">
        <f>'Monthly Data'!EF98</f>
        <v>0</v>
      </c>
      <c r="K98" s="3">
        <f t="shared" ref="K98:K121" si="30">$Y$8</f>
        <v>14171159.489767401</v>
      </c>
      <c r="L98" s="3">
        <f t="shared" ref="L98:L121" si="31">E98*$Y$9</f>
        <v>3969544.0627872837</v>
      </c>
      <c r="M98" s="3">
        <f t="shared" ref="M98:M121" si="32">F98*$Y$10</f>
        <v>0</v>
      </c>
      <c r="N98" s="3">
        <f t="shared" ref="N98:N121" si="33">G98*$Y$11</f>
        <v>12751836.461500322</v>
      </c>
      <c r="O98" s="3">
        <f t="shared" ref="O98:O121" si="34">H98*$Y$12</f>
        <v>0</v>
      </c>
      <c r="P98" s="3">
        <f t="shared" ref="P98:P121" si="35">I98*$Y$13</f>
        <v>0</v>
      </c>
      <c r="Q98" s="47">
        <f t="shared" si="28"/>
        <v>30892540.014055006</v>
      </c>
      <c r="R98" s="47">
        <f ca="1">'Monthly Data'!BR98+'Monthly Data'!BS98</f>
        <v>82567.810546721666</v>
      </c>
      <c r="S98" s="47">
        <f t="shared" ca="1" si="20"/>
        <v>30975107.824601728</v>
      </c>
      <c r="T98" s="47">
        <f t="shared" ca="1" si="21"/>
        <v>-808585.20599783584</v>
      </c>
      <c r="U98" s="18">
        <f t="shared" ca="1" si="29"/>
        <v>2.5440253441265468E-2</v>
      </c>
    </row>
    <row r="99" spans="1:26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Data'!BQ99</f>
        <v>29895600.29545911</v>
      </c>
      <c r="E99" s="3">
        <f>'Monthly Data'!CT99</f>
        <v>461.43333333333328</v>
      </c>
      <c r="F99" s="3">
        <f>'Monthly Data'!CW99</f>
        <v>0</v>
      </c>
      <c r="G99" s="3">
        <f>'Monthly Data'!DQ99</f>
        <v>28</v>
      </c>
      <c r="H99" s="3">
        <f>'Monthly Data'!EJ99</f>
        <v>0</v>
      </c>
      <c r="I99">
        <f>'Monthly Data'!EF99</f>
        <v>0</v>
      </c>
      <c r="K99" s="3">
        <f t="shared" si="30"/>
        <v>14171159.489767401</v>
      </c>
      <c r="L99" s="3">
        <f t="shared" si="31"/>
        <v>3815436.8512399644</v>
      </c>
      <c r="M99" s="3">
        <f t="shared" si="32"/>
        <v>0</v>
      </c>
      <c r="N99" s="3">
        <f t="shared" si="33"/>
        <v>11517787.771677712</v>
      </c>
      <c r="O99" s="3">
        <f t="shared" si="34"/>
        <v>0</v>
      </c>
      <c r="P99" s="3">
        <f t="shared" si="35"/>
        <v>0</v>
      </c>
      <c r="Q99" s="47">
        <f t="shared" si="28"/>
        <v>29504384.112685077</v>
      </c>
      <c r="R99" s="47">
        <f ca="1">'Monthly Data'!BR99+'Monthly Data'!BS99</f>
        <v>79516.908304616096</v>
      </c>
      <c r="S99" s="47">
        <f t="shared" ca="1" si="20"/>
        <v>29583901.020989694</v>
      </c>
      <c r="T99" s="47">
        <f t="shared" ca="1" si="21"/>
        <v>-311699.27446941659</v>
      </c>
      <c r="U99" s="18">
        <f t="shared" ca="1" si="29"/>
        <v>1.0426259094612029E-2</v>
      </c>
    </row>
    <row r="100" spans="1:26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Data'!BQ100</f>
        <v>31308960.980318651</v>
      </c>
      <c r="E100" s="3">
        <f>'Monthly Data'!CT100</f>
        <v>427.0333333333333</v>
      </c>
      <c r="F100" s="3">
        <f>'Monthly Data'!CW100</f>
        <v>0</v>
      </c>
      <c r="G100" s="3">
        <f>'Monthly Data'!DQ100</f>
        <v>31</v>
      </c>
      <c r="H100" s="3">
        <f>'Monthly Data'!EJ100</f>
        <v>0</v>
      </c>
      <c r="I100">
        <f>'Monthly Data'!EF100</f>
        <v>0</v>
      </c>
      <c r="K100" s="3">
        <f t="shared" si="30"/>
        <v>14171159.489767401</v>
      </c>
      <c r="L100" s="3">
        <f t="shared" si="31"/>
        <v>3530994.8350238521</v>
      </c>
      <c r="M100" s="3">
        <f t="shared" si="32"/>
        <v>0</v>
      </c>
      <c r="N100" s="3">
        <f t="shared" si="33"/>
        <v>12751836.461500322</v>
      </c>
      <c r="O100" s="3">
        <f t="shared" si="34"/>
        <v>0</v>
      </c>
      <c r="P100" s="3">
        <f t="shared" si="35"/>
        <v>0</v>
      </c>
      <c r="Q100" s="47">
        <f t="shared" si="28"/>
        <v>30453990.786291577</v>
      </c>
      <c r="R100" s="47">
        <f ca="1">'Monthly Data'!BR100+'Monthly Data'!BS100</f>
        <v>77427.111226874185</v>
      </c>
      <c r="S100" s="47">
        <f t="shared" ca="1" si="20"/>
        <v>30531417.897518452</v>
      </c>
      <c r="T100" s="47">
        <f t="shared" ca="1" si="21"/>
        <v>-777543.08280019835</v>
      </c>
      <c r="U100" s="18">
        <f t="shared" ca="1" si="29"/>
        <v>2.4834522081041758E-2</v>
      </c>
    </row>
    <row r="101" spans="1:26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Data'!BQ101</f>
        <v>27567578.815178193</v>
      </c>
      <c r="E101" s="3">
        <f>'Monthly Data'!CT101</f>
        <v>193.11666666666667</v>
      </c>
      <c r="F101" s="3">
        <f>'Monthly Data'!CW101</f>
        <v>22.716666666666676</v>
      </c>
      <c r="G101" s="3">
        <f>'Monthly Data'!DQ101</f>
        <v>30</v>
      </c>
      <c r="H101" s="3">
        <f>'Monthly Data'!EJ101</f>
        <v>0</v>
      </c>
      <c r="I101">
        <f>'Monthly Data'!EF101</f>
        <v>0</v>
      </c>
      <c r="K101" s="3">
        <f t="shared" si="30"/>
        <v>14171159.489767401</v>
      </c>
      <c r="L101" s="3">
        <f t="shared" si="31"/>
        <v>1596816.6869651619</v>
      </c>
      <c r="M101" s="3">
        <f t="shared" si="32"/>
        <v>370718.10862676491</v>
      </c>
      <c r="N101" s="3">
        <f t="shared" si="33"/>
        <v>12340486.89822612</v>
      </c>
      <c r="O101" s="3">
        <f t="shared" si="34"/>
        <v>0</v>
      </c>
      <c r="P101" s="3">
        <f t="shared" si="35"/>
        <v>0</v>
      </c>
      <c r="Q101" s="47">
        <f t="shared" si="28"/>
        <v>28479181.183585446</v>
      </c>
      <c r="R101" s="47">
        <f ca="1">'Monthly Data'!BR101+'Monthly Data'!BS101</f>
        <v>48825.006994992247</v>
      </c>
      <c r="S101" s="47">
        <f t="shared" ca="1" si="20"/>
        <v>28528006.190580439</v>
      </c>
      <c r="T101" s="47">
        <f t="shared" ca="1" si="21"/>
        <v>960427.37540224567</v>
      </c>
      <c r="U101" s="18">
        <f t="shared" ca="1" si="29"/>
        <v>3.4839018030609646E-2</v>
      </c>
      <c r="Z101" s="3"/>
    </row>
    <row r="102" spans="1:26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Data'!BQ102</f>
        <v>28278825.080037739</v>
      </c>
      <c r="E102" s="3">
        <f>'Monthly Data'!CT102</f>
        <v>68.776666666666671</v>
      </c>
      <c r="F102" s="3">
        <f>'Monthly Data'!CW102</f>
        <v>68.049999999999983</v>
      </c>
      <c r="G102" s="3">
        <f>'Monthly Data'!DQ102</f>
        <v>31</v>
      </c>
      <c r="H102" s="3">
        <f>'Monthly Data'!EJ102</f>
        <v>0</v>
      </c>
      <c r="I102">
        <f>'Monthly Data'!EF102</f>
        <v>0</v>
      </c>
      <c r="K102" s="3">
        <f t="shared" si="30"/>
        <v>14171159.489767401</v>
      </c>
      <c r="L102" s="3">
        <f t="shared" si="31"/>
        <v>568691.09695610916</v>
      </c>
      <c r="M102" s="3">
        <f t="shared" si="32"/>
        <v>1110522.4046390904</v>
      </c>
      <c r="N102" s="3">
        <f t="shared" si="33"/>
        <v>12751836.461500322</v>
      </c>
      <c r="O102" s="3">
        <f t="shared" si="34"/>
        <v>0</v>
      </c>
      <c r="P102" s="3">
        <f t="shared" si="35"/>
        <v>0</v>
      </c>
      <c r="Q102" s="47">
        <f t="shared" si="28"/>
        <v>28602209.452862926</v>
      </c>
      <c r="R102" s="47">
        <f ca="1">'Monthly Data'!BR102+'Monthly Data'!BS102</f>
        <v>33266.806206259658</v>
      </c>
      <c r="S102" s="47">
        <f t="shared" ca="1" si="20"/>
        <v>28635476.259069186</v>
      </c>
      <c r="T102" s="47">
        <f t="shared" ca="1" si="21"/>
        <v>356651.17903144658</v>
      </c>
      <c r="U102" s="18">
        <f t="shared" ca="1" si="29"/>
        <v>1.2611951805706725E-2</v>
      </c>
      <c r="Z102" s="3"/>
    </row>
    <row r="103" spans="1:26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Data'!BQ103</f>
        <v>29666692.394897282</v>
      </c>
      <c r="E103" s="3">
        <f>'Monthly Data'!CT103</f>
        <v>0</v>
      </c>
      <c r="F103" s="3">
        <f>'Monthly Data'!CW103</f>
        <v>205.54166666666669</v>
      </c>
      <c r="G103" s="3">
        <f>'Monthly Data'!DQ103</f>
        <v>30</v>
      </c>
      <c r="H103" s="3">
        <f>'Monthly Data'!EJ103</f>
        <v>0</v>
      </c>
      <c r="I103">
        <f>'Monthly Data'!EF103</f>
        <v>0</v>
      </c>
      <c r="K103" s="3">
        <f t="shared" si="30"/>
        <v>14171159.489767401</v>
      </c>
      <c r="L103" s="3">
        <f t="shared" si="31"/>
        <v>0</v>
      </c>
      <c r="M103" s="3">
        <f t="shared" si="32"/>
        <v>3354278.1178573566</v>
      </c>
      <c r="N103" s="3">
        <f t="shared" si="33"/>
        <v>12340486.89822612</v>
      </c>
      <c r="O103" s="3">
        <f t="shared" si="34"/>
        <v>0</v>
      </c>
      <c r="P103" s="3">
        <f t="shared" si="35"/>
        <v>0</v>
      </c>
      <c r="Q103" s="47">
        <f t="shared" si="28"/>
        <v>29865924.505850878</v>
      </c>
      <c r="R103" s="47">
        <f ca="1">'Monthly Data'!BR103+'Monthly Data'!BS103</f>
        <v>17208.461263203688</v>
      </c>
      <c r="S103" s="47">
        <f t="shared" ca="1" si="20"/>
        <v>29883132.96711408</v>
      </c>
      <c r="T103" s="47">
        <f t="shared" ca="1" si="21"/>
        <v>216440.57221679762</v>
      </c>
      <c r="U103" s="18">
        <f t="shared" ca="1" si="29"/>
        <v>7.2957432980976919E-3</v>
      </c>
      <c r="Z103" s="3"/>
    </row>
    <row r="104" spans="1:26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Data'!BQ104</f>
        <v>31689097.029756822</v>
      </c>
      <c r="E104" s="3">
        <f>'Monthly Data'!CT104</f>
        <v>0</v>
      </c>
      <c r="F104" s="3">
        <f>'Monthly Data'!CW104</f>
        <v>285.78333333333342</v>
      </c>
      <c r="G104" s="3">
        <f>'Monthly Data'!DQ104</f>
        <v>31</v>
      </c>
      <c r="H104" s="3">
        <f>'Monthly Data'!EJ104</f>
        <v>0</v>
      </c>
      <c r="I104">
        <f>'Monthly Data'!EF104</f>
        <v>0</v>
      </c>
      <c r="K104" s="3">
        <f t="shared" si="30"/>
        <v>14171159.489767401</v>
      </c>
      <c r="L104" s="3">
        <f t="shared" si="31"/>
        <v>0</v>
      </c>
      <c r="M104" s="3">
        <f t="shared" si="32"/>
        <v>4663758.9204865275</v>
      </c>
      <c r="N104" s="3">
        <f t="shared" si="33"/>
        <v>12751836.461500322</v>
      </c>
      <c r="O104" s="3">
        <f t="shared" si="34"/>
        <v>0</v>
      </c>
      <c r="P104" s="3">
        <f t="shared" si="35"/>
        <v>0</v>
      </c>
      <c r="Q104" s="47">
        <f t="shared" si="28"/>
        <v>31586754.871754251</v>
      </c>
      <c r="R104" s="47">
        <f ca="1">'Monthly Data'!BR104+'Monthly Data'!BS104</f>
        <v>15245.061425084699</v>
      </c>
      <c r="S104" s="47">
        <f t="shared" ca="1" si="20"/>
        <v>31601999.933179338</v>
      </c>
      <c r="T104" s="47">
        <f t="shared" ca="1" si="21"/>
        <v>-87097.096577484161</v>
      </c>
      <c r="U104" s="18">
        <f t="shared" ca="1" si="29"/>
        <v>2.7484877999426078E-3</v>
      </c>
      <c r="Z104" s="3"/>
    </row>
    <row r="105" spans="1:26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Data'!BQ105</f>
        <v>31359468.704616368</v>
      </c>
      <c r="E105" s="3">
        <f>'Monthly Data'!CT105</f>
        <v>0</v>
      </c>
      <c r="F105" s="3">
        <f>'Monthly Data'!CW105</f>
        <v>227.80489130434788</v>
      </c>
      <c r="G105" s="3">
        <f>'Monthly Data'!DQ105</f>
        <v>31</v>
      </c>
      <c r="H105" s="3">
        <f>'Monthly Data'!EJ105</f>
        <v>0</v>
      </c>
      <c r="I105">
        <f>'Monthly Data'!EF105</f>
        <v>0</v>
      </c>
      <c r="K105" s="3">
        <f t="shared" si="30"/>
        <v>14171159.489767401</v>
      </c>
      <c r="L105" s="3">
        <f t="shared" si="31"/>
        <v>0</v>
      </c>
      <c r="M105" s="3">
        <f t="shared" si="32"/>
        <v>3717596.4096965627</v>
      </c>
      <c r="N105" s="3">
        <f t="shared" si="33"/>
        <v>12751836.461500322</v>
      </c>
      <c r="O105" s="3">
        <f t="shared" si="34"/>
        <v>0</v>
      </c>
      <c r="P105" s="3">
        <f t="shared" si="35"/>
        <v>0</v>
      </c>
      <c r="Q105" s="47">
        <f t="shared" si="28"/>
        <v>30640592.360964283</v>
      </c>
      <c r="R105" s="47">
        <f ca="1">'Monthly Data'!BR105+'Monthly Data'!BS105</f>
        <v>16836.340879746105</v>
      </c>
      <c r="S105" s="47">
        <f t="shared" ca="1" si="20"/>
        <v>30657428.701844029</v>
      </c>
      <c r="T105" s="47">
        <f t="shared" ca="1" si="21"/>
        <v>-702040.00277233869</v>
      </c>
      <c r="U105" s="18">
        <f t="shared" ca="1" si="29"/>
        <v>2.2386858954309793E-2</v>
      </c>
      <c r="Z105" s="3"/>
    </row>
    <row r="106" spans="1:26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Data'!BQ106</f>
        <v>29984097.46947591</v>
      </c>
      <c r="E106" s="3">
        <f>'Monthly Data'!CT106</f>
        <v>2.3583333333333378</v>
      </c>
      <c r="F106" s="3">
        <f>'Monthly Data'!CW106</f>
        <v>162.99166666666662</v>
      </c>
      <c r="G106" s="3">
        <f>'Monthly Data'!DQ106</f>
        <v>30</v>
      </c>
      <c r="H106" s="3">
        <f>'Monthly Data'!EJ106</f>
        <v>0</v>
      </c>
      <c r="I106">
        <f>'Monthly Data'!EF106</f>
        <v>1</v>
      </c>
      <c r="K106" s="3">
        <f t="shared" si="30"/>
        <v>14171159.489767401</v>
      </c>
      <c r="L106" s="3">
        <f t="shared" si="31"/>
        <v>19500.264193110455</v>
      </c>
      <c r="M106" s="3">
        <f t="shared" si="32"/>
        <v>2659895.6297251983</v>
      </c>
      <c r="N106" s="3">
        <f t="shared" si="33"/>
        <v>12340486.89822612</v>
      </c>
      <c r="O106" s="3">
        <f t="shared" si="34"/>
        <v>0</v>
      </c>
      <c r="P106" s="3">
        <f t="shared" si="35"/>
        <v>581324.19044200005</v>
      </c>
      <c r="Q106" s="47">
        <f t="shared" si="28"/>
        <v>29772366.472353827</v>
      </c>
      <c r="R106" s="47">
        <f ca="1">'Monthly Data'!BR106+'Monthly Data'!BS106</f>
        <v>21830.622939640391</v>
      </c>
      <c r="S106" s="47">
        <f t="shared" ca="1" si="20"/>
        <v>29794197.095293466</v>
      </c>
      <c r="T106" s="47">
        <f t="shared" ca="1" si="21"/>
        <v>-189900.37418244407</v>
      </c>
      <c r="U106" s="18">
        <f t="shared" ca="1" si="29"/>
        <v>6.3333696929101973E-3</v>
      </c>
      <c r="Z106" s="3"/>
    </row>
    <row r="107" spans="1:26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Data'!BQ107</f>
        <v>29329714.694335449</v>
      </c>
      <c r="E107" s="3">
        <f>'Monthly Data'!CT107</f>
        <v>111.18333333333332</v>
      </c>
      <c r="F107" s="3">
        <f>'Monthly Data'!CW107</f>
        <v>54.625</v>
      </c>
      <c r="G107" s="3">
        <f>'Monthly Data'!DQ107</f>
        <v>31</v>
      </c>
      <c r="H107" s="3">
        <f>'Monthly Data'!EJ107</f>
        <v>0</v>
      </c>
      <c r="I107">
        <f>'Monthly Data'!EF107</f>
        <v>1</v>
      </c>
      <c r="K107" s="3">
        <f t="shared" si="30"/>
        <v>14171159.489767401</v>
      </c>
      <c r="L107" s="3">
        <f t="shared" si="31"/>
        <v>919337.54369073908</v>
      </c>
      <c r="M107" s="3">
        <f t="shared" si="32"/>
        <v>891436.97800749936</v>
      </c>
      <c r="N107" s="3">
        <f t="shared" si="33"/>
        <v>12751836.461500322</v>
      </c>
      <c r="O107" s="3">
        <f t="shared" si="34"/>
        <v>0</v>
      </c>
      <c r="P107" s="3">
        <f t="shared" si="35"/>
        <v>581324.19044200005</v>
      </c>
      <c r="Q107" s="47">
        <f t="shared" si="28"/>
        <v>29315094.663407963</v>
      </c>
      <c r="R107" s="47">
        <f ca="1">'Monthly Data'!BR107+'Monthly Data'!BS107</f>
        <v>40971.186829487735</v>
      </c>
      <c r="S107" s="47">
        <f t="shared" ca="1" si="20"/>
        <v>29356065.850237451</v>
      </c>
      <c r="T107" s="47">
        <f t="shared" ca="1" si="21"/>
        <v>26351.155902002007</v>
      </c>
      <c r="U107" s="18">
        <f t="shared" ca="1" si="29"/>
        <v>8.9844569497606801E-4</v>
      </c>
      <c r="Z107" s="3"/>
    </row>
    <row r="108" spans="1:26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Data'!BQ108</f>
        <v>30099408.709194995</v>
      </c>
      <c r="E108" s="3">
        <f>'Monthly Data'!CT108</f>
        <v>330.59311594202904</v>
      </c>
      <c r="F108" s="3">
        <f>'Monthly Data'!CW108</f>
        <v>0</v>
      </c>
      <c r="G108" s="3">
        <f>'Monthly Data'!DQ108</f>
        <v>30</v>
      </c>
      <c r="H108" s="3">
        <f>'Monthly Data'!EJ108</f>
        <v>0</v>
      </c>
      <c r="I108">
        <f>'Monthly Data'!EF108</f>
        <v>1</v>
      </c>
      <c r="K108" s="3">
        <f t="shared" si="30"/>
        <v>14171159.489767401</v>
      </c>
      <c r="L108" s="3">
        <f t="shared" si="31"/>
        <v>2733563.1524917949</v>
      </c>
      <c r="M108" s="3">
        <f t="shared" si="32"/>
        <v>0</v>
      </c>
      <c r="N108" s="3">
        <f t="shared" si="33"/>
        <v>12340486.89822612</v>
      </c>
      <c r="O108" s="3">
        <f t="shared" si="34"/>
        <v>0</v>
      </c>
      <c r="P108" s="3">
        <f t="shared" si="35"/>
        <v>581324.19044200005</v>
      </c>
      <c r="Q108" s="47">
        <f t="shared" si="28"/>
        <v>29826533.730927315</v>
      </c>
      <c r="R108" s="47">
        <f ca="1">'Monthly Data'!BR108+'Monthly Data'!BS108</f>
        <v>69897.983018823346</v>
      </c>
      <c r="S108" s="47">
        <f t="shared" ca="1" si="20"/>
        <v>29896431.713946138</v>
      </c>
      <c r="T108" s="47">
        <f t="shared" ca="1" si="21"/>
        <v>-202976.99524885789</v>
      </c>
      <c r="U108" s="18">
        <f t="shared" ca="1" si="29"/>
        <v>6.7435542408795209E-3</v>
      </c>
      <c r="Z108" s="3"/>
    </row>
    <row r="109" spans="1:26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Data'!BQ109</f>
        <v>30825578.294054538</v>
      </c>
      <c r="E109" s="3">
        <f>'Monthly Data'!CT109</f>
        <v>365.67916666666667</v>
      </c>
      <c r="F109" s="3">
        <f>'Monthly Data'!CW109</f>
        <v>0</v>
      </c>
      <c r="G109" s="3">
        <f>'Monthly Data'!DQ109</f>
        <v>31</v>
      </c>
      <c r="H109" s="3">
        <f>'Monthly Data'!EJ109</f>
        <v>0</v>
      </c>
      <c r="I109">
        <f>'Monthly Data'!EF109</f>
        <v>0</v>
      </c>
      <c r="K109" s="3">
        <f t="shared" si="30"/>
        <v>14171159.489767401</v>
      </c>
      <c r="L109" s="3">
        <f t="shared" si="31"/>
        <v>3023677.8911306532</v>
      </c>
      <c r="M109" s="3">
        <f t="shared" si="32"/>
        <v>0</v>
      </c>
      <c r="N109" s="3">
        <f t="shared" si="33"/>
        <v>12751836.461500322</v>
      </c>
      <c r="O109" s="3">
        <f t="shared" si="34"/>
        <v>0</v>
      </c>
      <c r="P109" s="3">
        <f t="shared" si="35"/>
        <v>0</v>
      </c>
      <c r="Q109" s="47">
        <f t="shared" si="28"/>
        <v>29946673.842398375</v>
      </c>
      <c r="R109" s="47">
        <f ca="1">'Monthly Data'!BR109+'Monthly Data'!BS109</f>
        <v>74982.032482844486</v>
      </c>
      <c r="S109" s="47">
        <f t="shared" ca="1" si="20"/>
        <v>30021655.874881219</v>
      </c>
      <c r="T109" s="47">
        <f t="shared" ca="1" si="21"/>
        <v>-803922.41917331889</v>
      </c>
      <c r="U109" s="18">
        <f t="shared" ca="1" si="29"/>
        <v>2.6079718975730453E-2</v>
      </c>
      <c r="Z109" s="3"/>
    </row>
    <row r="110" spans="1:26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Data'!BQ110</f>
        <v>33151191.468044974</v>
      </c>
      <c r="E110" s="3">
        <f>'Monthly Data'!CT110</f>
        <v>512.99583333333328</v>
      </c>
      <c r="F110" s="3">
        <f>'Monthly Data'!CW110</f>
        <v>0</v>
      </c>
      <c r="G110" s="3">
        <f>'Monthly Data'!DQ110</f>
        <v>31</v>
      </c>
      <c r="H110" s="3">
        <f>'Monthly Data'!EJ110</f>
        <v>0</v>
      </c>
      <c r="I110">
        <f>'Monthly Data'!EF110</f>
        <v>0</v>
      </c>
      <c r="K110" s="3">
        <f t="shared" si="30"/>
        <v>14171159.489767401</v>
      </c>
      <c r="L110" s="3">
        <f t="shared" si="31"/>
        <v>4241789.8006918039</v>
      </c>
      <c r="M110" s="3">
        <f t="shared" si="32"/>
        <v>0</v>
      </c>
      <c r="N110" s="3">
        <f t="shared" si="33"/>
        <v>12751836.461500322</v>
      </c>
      <c r="O110" s="3">
        <f t="shared" si="34"/>
        <v>0</v>
      </c>
      <c r="P110" s="3">
        <f t="shared" si="35"/>
        <v>0</v>
      </c>
      <c r="Q110" s="47">
        <f t="shared" ref="Q110:Q121" si="36">SUM(K110:P110)</f>
        <v>31164785.751959525</v>
      </c>
      <c r="R110" s="47">
        <f ca="1">'Monthly Data'!BR110+'Monthly Data'!BS110</f>
        <v>113066.54489966863</v>
      </c>
      <c r="S110" s="47">
        <f t="shared" ca="1" si="20"/>
        <v>31277852.296859194</v>
      </c>
      <c r="T110" s="47">
        <f t="shared" ca="1" si="21"/>
        <v>-1873339.1711857803</v>
      </c>
      <c r="U110" s="18">
        <f t="shared" ref="U110:U121" ca="1" si="37">ABS(T110/D110)</f>
        <v>5.6508954527065051E-2</v>
      </c>
      <c r="Z110" s="3"/>
    </row>
    <row r="111" spans="1:26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Data'!BQ111</f>
        <v>29996964.766140696</v>
      </c>
      <c r="E111" s="3">
        <f>'Monthly Data'!CT111</f>
        <v>426.96666666666664</v>
      </c>
      <c r="F111" s="3">
        <f>'Monthly Data'!CW111</f>
        <v>0</v>
      </c>
      <c r="G111" s="3">
        <f>'Monthly Data'!DQ111</f>
        <v>29</v>
      </c>
      <c r="H111" s="3">
        <f>'Monthly Data'!EJ111</f>
        <v>0</v>
      </c>
      <c r="I111">
        <f>'Monthly Data'!EF111</f>
        <v>0</v>
      </c>
      <c r="K111" s="3">
        <f t="shared" si="30"/>
        <v>14171159.489767401</v>
      </c>
      <c r="L111" s="3">
        <f t="shared" si="31"/>
        <v>3530443.590806379</v>
      </c>
      <c r="M111" s="3">
        <f t="shared" si="32"/>
        <v>0</v>
      </c>
      <c r="N111" s="3">
        <f t="shared" si="33"/>
        <v>11929137.334951915</v>
      </c>
      <c r="O111" s="3">
        <f t="shared" si="34"/>
        <v>0</v>
      </c>
      <c r="P111" s="3">
        <f t="shared" si="35"/>
        <v>0</v>
      </c>
      <c r="Q111" s="47">
        <f t="shared" si="36"/>
        <v>29630740.415525693</v>
      </c>
      <c r="R111" s="47">
        <f ca="1">'Monthly Data'!BR111+'Monthly Data'!BS111</f>
        <v>100062.43789403167</v>
      </c>
      <c r="S111" s="47">
        <f t="shared" ca="1" si="20"/>
        <v>29730802.853419725</v>
      </c>
      <c r="T111" s="47">
        <f t="shared" ca="1" si="21"/>
        <v>-266161.91272097081</v>
      </c>
      <c r="U111" s="18">
        <f t="shared" ca="1" si="37"/>
        <v>8.8729614744690148E-3</v>
      </c>
      <c r="Z111" s="3"/>
    </row>
    <row r="112" spans="1:26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Data'!BQ112</f>
        <v>30363099.224236418</v>
      </c>
      <c r="E112" s="3">
        <f>'Monthly Data'!CT112</f>
        <v>336.11249999999995</v>
      </c>
      <c r="F112" s="3">
        <f>'Monthly Data'!CW112</f>
        <v>0</v>
      </c>
      <c r="G112" s="3">
        <f>'Monthly Data'!DQ112</f>
        <v>31</v>
      </c>
      <c r="H112" s="3">
        <f>'Monthly Data'!EJ112</f>
        <v>0</v>
      </c>
      <c r="I112">
        <f>'Monthly Data'!EF112</f>
        <v>0</v>
      </c>
      <c r="K112" s="3">
        <f t="shared" si="30"/>
        <v>14171159.489767401</v>
      </c>
      <c r="L112" s="3">
        <f t="shared" si="31"/>
        <v>2779201.0806813389</v>
      </c>
      <c r="M112" s="3">
        <f t="shared" si="32"/>
        <v>0</v>
      </c>
      <c r="N112" s="3">
        <f t="shared" si="33"/>
        <v>12751836.461500322</v>
      </c>
      <c r="O112" s="3">
        <f t="shared" si="34"/>
        <v>0</v>
      </c>
      <c r="P112" s="3">
        <f t="shared" si="35"/>
        <v>0</v>
      </c>
      <c r="Q112" s="47">
        <f t="shared" si="36"/>
        <v>29702197.031949066</v>
      </c>
      <c r="R112" s="47">
        <f ca="1">'Monthly Data'!BR112+'Monthly Data'!BS112</f>
        <v>88704.682613495504</v>
      </c>
      <c r="S112" s="47">
        <f t="shared" ca="1" si="20"/>
        <v>29790901.714562561</v>
      </c>
      <c r="T112" s="47">
        <f t="shared" ca="1" si="21"/>
        <v>-572197.5096738562</v>
      </c>
      <c r="U112" s="18">
        <f t="shared" ca="1" si="37"/>
        <v>1.8845161537960425E-2</v>
      </c>
      <c r="Z112" s="3"/>
    </row>
    <row r="113" spans="1:26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Data'!BQ113</f>
        <v>28549696.772332143</v>
      </c>
      <c r="E113" s="3">
        <f>'Monthly Data'!CT113</f>
        <v>188.29791666666671</v>
      </c>
      <c r="F113" s="3">
        <f>'Monthly Data'!CW113</f>
        <v>2.3833333333333346</v>
      </c>
      <c r="G113" s="3">
        <f>'Monthly Data'!DQ113</f>
        <v>30</v>
      </c>
      <c r="H113" s="3">
        <f>'Monthly Data'!EJ113</f>
        <v>0</v>
      </c>
      <c r="I113">
        <f>'Monthly Data'!EF113</f>
        <v>0</v>
      </c>
      <c r="K113" s="3">
        <f t="shared" si="30"/>
        <v>14171159.489767401</v>
      </c>
      <c r="L113" s="3">
        <f t="shared" si="31"/>
        <v>1556972.0658709358</v>
      </c>
      <c r="M113" s="3">
        <f t="shared" si="32"/>
        <v>38894.122915353917</v>
      </c>
      <c r="N113" s="3">
        <f t="shared" si="33"/>
        <v>12340486.89822612</v>
      </c>
      <c r="O113" s="3">
        <f t="shared" si="34"/>
        <v>0</v>
      </c>
      <c r="P113" s="3">
        <f t="shared" si="35"/>
        <v>0</v>
      </c>
      <c r="Q113" s="47">
        <f t="shared" si="36"/>
        <v>28107512.576779809</v>
      </c>
      <c r="R113" s="47">
        <f ca="1">'Monthly Data'!BR113+'Monthly Data'!BS113</f>
        <v>67187.365727336553</v>
      </c>
      <c r="S113" s="47">
        <f t="shared" ca="1" si="20"/>
        <v>28174699.942507144</v>
      </c>
      <c r="T113" s="47">
        <f t="shared" ca="1" si="21"/>
        <v>-374996.82982499897</v>
      </c>
      <c r="U113" s="18">
        <f t="shared" ca="1" si="37"/>
        <v>1.3134879603639536E-2</v>
      </c>
    </row>
    <row r="114" spans="1:26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Data'!BQ114</f>
        <v>29264298.910427865</v>
      </c>
      <c r="E114" s="3">
        <f>'Monthly Data'!CT114</f>
        <v>15.562499999999984</v>
      </c>
      <c r="F114" s="3">
        <f>'Monthly Data'!CW114</f>
        <v>110.05000000000001</v>
      </c>
      <c r="G114" s="3">
        <f>'Monthly Data'!DQ114</f>
        <v>31</v>
      </c>
      <c r="H114" s="3">
        <f>'Monthly Data'!EJ114</f>
        <v>0</v>
      </c>
      <c r="I114">
        <f>'Monthly Data'!EF114</f>
        <v>0</v>
      </c>
      <c r="K114" s="3">
        <f t="shared" si="30"/>
        <v>14171159.489767401</v>
      </c>
      <c r="L114" s="3">
        <f t="shared" si="31"/>
        <v>128681.07201637338</v>
      </c>
      <c r="M114" s="3">
        <f t="shared" si="32"/>
        <v>1795929.3259446281</v>
      </c>
      <c r="N114" s="3">
        <f t="shared" si="33"/>
        <v>12751836.461500322</v>
      </c>
      <c r="O114" s="3">
        <f t="shared" si="34"/>
        <v>0</v>
      </c>
      <c r="P114" s="3">
        <f t="shared" si="35"/>
        <v>0</v>
      </c>
      <c r="Q114" s="47">
        <f t="shared" si="36"/>
        <v>28847606.349228725</v>
      </c>
      <c r="R114" s="47">
        <f ca="1">'Monthly Data'!BR114+'Monthly Data'!BS114</f>
        <v>35806.057092242379</v>
      </c>
      <c r="S114" s="47">
        <f t="shared" ca="1" si="20"/>
        <v>28883412.406320967</v>
      </c>
      <c r="T114" s="47">
        <f t="shared" ca="1" si="21"/>
        <v>-380886.50410689786</v>
      </c>
      <c r="U114" s="18">
        <f t="shared" ca="1" si="37"/>
        <v>1.3015398225418449E-2</v>
      </c>
      <c r="Z114" s="3"/>
    </row>
    <row r="115" spans="1:26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Data'!BQ115</f>
        <v>30387346.358523585</v>
      </c>
      <c r="E115" s="3">
        <f>'Monthly Data'!CT115</f>
        <v>2.4583333333333321</v>
      </c>
      <c r="F115" s="3">
        <f>'Monthly Data'!CW115</f>
        <v>204.15416666666667</v>
      </c>
      <c r="G115" s="3">
        <f>'Monthly Data'!DQ115</f>
        <v>30</v>
      </c>
      <c r="H115" s="3">
        <f>'Monthly Data'!EJ115</f>
        <v>0</v>
      </c>
      <c r="I115">
        <f>'Monthly Data'!EF115</f>
        <v>0</v>
      </c>
      <c r="K115" s="3">
        <f t="shared" si="30"/>
        <v>14171159.489767401</v>
      </c>
      <c r="L115" s="3">
        <f t="shared" si="31"/>
        <v>20327.130519320035</v>
      </c>
      <c r="M115" s="3">
        <f t="shared" si="32"/>
        <v>3331635.2106356556</v>
      </c>
      <c r="N115" s="3">
        <f t="shared" si="33"/>
        <v>12340486.89822612</v>
      </c>
      <c r="O115" s="3">
        <f t="shared" si="34"/>
        <v>0</v>
      </c>
      <c r="P115" s="3">
        <f t="shared" si="35"/>
        <v>0</v>
      </c>
      <c r="Q115" s="47">
        <f t="shared" si="36"/>
        <v>29863608.729148496</v>
      </c>
      <c r="R115" s="47">
        <f ca="1">'Monthly Data'!BR115+'Monthly Data'!BS115</f>
        <v>28116.06898451646</v>
      </c>
      <c r="S115" s="47">
        <f t="shared" ca="1" si="20"/>
        <v>29891724.798133012</v>
      </c>
      <c r="T115" s="47">
        <f t="shared" ca="1" si="21"/>
        <v>-495621.56039057299</v>
      </c>
      <c r="U115" s="18">
        <f t="shared" ca="1" si="37"/>
        <v>1.631012970145556E-2</v>
      </c>
      <c r="Z115" s="3"/>
    </row>
    <row r="116" spans="1:26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Data'!BQ116</f>
        <v>33245124.90661931</v>
      </c>
      <c r="E116" s="3">
        <f>'Monthly Data'!CT116</f>
        <v>0</v>
      </c>
      <c r="F116" s="3">
        <f>'Monthly Data'!CW116</f>
        <v>303.14166666666665</v>
      </c>
      <c r="G116" s="3">
        <f>'Monthly Data'!DQ116</f>
        <v>31</v>
      </c>
      <c r="H116" s="3">
        <f>'Monthly Data'!EJ116</f>
        <v>0</v>
      </c>
      <c r="I116">
        <f>'Monthly Data'!EF116</f>
        <v>0</v>
      </c>
      <c r="K116" s="3">
        <f t="shared" si="30"/>
        <v>14171159.489767401</v>
      </c>
      <c r="L116" s="3">
        <f t="shared" si="31"/>
        <v>0</v>
      </c>
      <c r="M116" s="3">
        <f t="shared" si="32"/>
        <v>4947033.2492721286</v>
      </c>
      <c r="N116" s="3">
        <f t="shared" si="33"/>
        <v>12751836.461500322</v>
      </c>
      <c r="O116" s="3">
        <f t="shared" si="34"/>
        <v>0</v>
      </c>
      <c r="P116" s="3">
        <f t="shared" si="35"/>
        <v>0</v>
      </c>
      <c r="Q116" s="47">
        <f t="shared" si="36"/>
        <v>31870029.20053985</v>
      </c>
      <c r="R116" s="47">
        <f ca="1">'Monthly Data'!BR116+'Monthly Data'!BS116</f>
        <v>24362.1014813193</v>
      </c>
      <c r="S116" s="47">
        <f t="shared" ca="1" si="20"/>
        <v>31894391.302021168</v>
      </c>
      <c r="T116" s="47">
        <f t="shared" ca="1" si="21"/>
        <v>-1350733.6045981422</v>
      </c>
      <c r="U116" s="18">
        <f t="shared" ca="1" si="37"/>
        <v>4.0629524129993648E-2</v>
      </c>
      <c r="Z116" s="3"/>
    </row>
    <row r="117" spans="1:26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Data'!BQ117</f>
        <v>32960597.234715033</v>
      </c>
      <c r="E117" s="3">
        <f>'Monthly Data'!CT117</f>
        <v>0</v>
      </c>
      <c r="F117" s="3">
        <f>'Monthly Data'!CW117</f>
        <v>262.86666666666667</v>
      </c>
      <c r="G117" s="3">
        <f>'Monthly Data'!DQ117</f>
        <v>31</v>
      </c>
      <c r="H117" s="3">
        <f>'Monthly Data'!EJ117</f>
        <v>0</v>
      </c>
      <c r="I117">
        <f>'Monthly Data'!EF117</f>
        <v>0</v>
      </c>
      <c r="K117" s="3">
        <f t="shared" si="30"/>
        <v>14171159.489767401</v>
      </c>
      <c r="L117" s="3">
        <f t="shared" si="31"/>
        <v>0</v>
      </c>
      <c r="M117" s="3">
        <f t="shared" si="32"/>
        <v>4289776.9693773547</v>
      </c>
      <c r="N117" s="3">
        <f t="shared" si="33"/>
        <v>12751836.461500322</v>
      </c>
      <c r="O117" s="3">
        <f t="shared" si="34"/>
        <v>0</v>
      </c>
      <c r="P117" s="3">
        <f t="shared" si="35"/>
        <v>0</v>
      </c>
      <c r="Q117" s="47">
        <f t="shared" si="36"/>
        <v>31212772.920645081</v>
      </c>
      <c r="R117" s="47">
        <f ca="1">'Monthly Data'!BR117+'Monthly Data'!BS117</f>
        <v>26375.275833946787</v>
      </c>
      <c r="S117" s="47">
        <f t="shared" ca="1" si="20"/>
        <v>31239148.196479026</v>
      </c>
      <c r="T117" s="47">
        <f t="shared" ca="1" si="21"/>
        <v>-1721449.0382360071</v>
      </c>
      <c r="U117" s="18">
        <f t="shared" ca="1" si="37"/>
        <v>5.222748319690422E-2</v>
      </c>
      <c r="Z117" s="3"/>
    </row>
    <row r="118" spans="1:26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Data'!BQ118</f>
        <v>30943335.362810757</v>
      </c>
      <c r="E118" s="3">
        <f>'Monthly Data'!CT118</f>
        <v>2.5625000000000036</v>
      </c>
      <c r="F118" s="3">
        <f>'Monthly Data'!CW118</f>
        <v>171.29999999999998</v>
      </c>
      <c r="G118" s="3">
        <f>'Monthly Data'!DQ118</f>
        <v>30</v>
      </c>
      <c r="H118" s="3">
        <f>'Monthly Data'!EJ118</f>
        <v>0</v>
      </c>
      <c r="I118">
        <f>'Monthly Data'!EF118</f>
        <v>1</v>
      </c>
      <c r="K118" s="3">
        <f t="shared" si="30"/>
        <v>14171159.489767401</v>
      </c>
      <c r="L118" s="3">
        <f t="shared" si="31"/>
        <v>21188.449609121773</v>
      </c>
      <c r="M118" s="3">
        <f t="shared" si="32"/>
        <v>2795481.0861818693</v>
      </c>
      <c r="N118" s="3">
        <f t="shared" si="33"/>
        <v>12340486.89822612</v>
      </c>
      <c r="O118" s="3">
        <f t="shared" si="34"/>
        <v>0</v>
      </c>
      <c r="P118" s="3">
        <f t="shared" si="35"/>
        <v>581324.19044200005</v>
      </c>
      <c r="Q118" s="47">
        <f t="shared" si="36"/>
        <v>29909640.114226509</v>
      </c>
      <c r="R118" s="47">
        <f ca="1">'Monthly Data'!BR118+'Monthly Data'!BS118</f>
        <v>30337.431069197297</v>
      </c>
      <c r="S118" s="47">
        <f t="shared" ca="1" si="20"/>
        <v>29939977.545295708</v>
      </c>
      <c r="T118" s="47">
        <f t="shared" ca="1" si="21"/>
        <v>-1003357.8175150491</v>
      </c>
      <c r="U118" s="18">
        <f t="shared" ca="1" si="37"/>
        <v>3.2425651784162048E-2</v>
      </c>
      <c r="Z118" s="3"/>
    </row>
    <row r="119" spans="1:26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Data'!BQ119</f>
        <v>30379680.950906478</v>
      </c>
      <c r="E119" s="3">
        <f>'Monthly Data'!CT119</f>
        <v>122.06250000000001</v>
      </c>
      <c r="F119" s="3">
        <f>'Monthly Data'!CW119</f>
        <v>31.104166666666679</v>
      </c>
      <c r="G119" s="3">
        <f>'Monthly Data'!DQ119</f>
        <v>31</v>
      </c>
      <c r="H119" s="3">
        <f>'Monthly Data'!EJ119</f>
        <v>0</v>
      </c>
      <c r="I119">
        <f>'Monthly Data'!EF119</f>
        <v>1</v>
      </c>
      <c r="K119" s="3">
        <f t="shared" si="30"/>
        <v>14171159.489767401</v>
      </c>
      <c r="L119" s="3">
        <f t="shared" si="31"/>
        <v>1009293.7094296286</v>
      </c>
      <c r="M119" s="3">
        <f t="shared" si="32"/>
        <v>507595.50273272197</v>
      </c>
      <c r="N119" s="3">
        <f t="shared" si="33"/>
        <v>12751836.461500322</v>
      </c>
      <c r="O119" s="3">
        <f t="shared" si="34"/>
        <v>0</v>
      </c>
      <c r="P119" s="3">
        <f t="shared" si="35"/>
        <v>581324.19044200005</v>
      </c>
      <c r="Q119" s="47">
        <f t="shared" si="36"/>
        <v>29021209.353872072</v>
      </c>
      <c r="R119" s="47">
        <f ca="1">'Monthly Data'!BR119+'Monthly Data'!BS119</f>
        <v>61325.045308656023</v>
      </c>
      <c r="S119" s="47">
        <f t="shared" ref="S119:S121" ca="1" si="38">Q119+R119</f>
        <v>29082534.399180729</v>
      </c>
      <c r="T119" s="47">
        <f t="shared" ref="T119:T121" ca="1" si="39">S119-D119</f>
        <v>-1297146.5517257489</v>
      </c>
      <c r="U119" s="18">
        <f t="shared" ca="1" si="37"/>
        <v>4.2697833259734884E-2</v>
      </c>
      <c r="Z119" s="3"/>
    </row>
    <row r="120" spans="1:26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Data'!BQ120</f>
        <v>30484744.409002203</v>
      </c>
      <c r="E120" s="3">
        <f>'Monthly Data'!CT120</f>
        <v>251.79583333333335</v>
      </c>
      <c r="F120" s="3">
        <f>'Monthly Data'!CW120</f>
        <v>9.5041666666666629</v>
      </c>
      <c r="G120" s="3">
        <f>'Monthly Data'!DQ120</f>
        <v>30</v>
      </c>
      <c r="H120" s="3">
        <f>'Monthly Data'!EJ120</f>
        <v>0</v>
      </c>
      <c r="I120">
        <f>'Monthly Data'!EF120</f>
        <v>1</v>
      </c>
      <c r="K120" s="3">
        <f t="shared" si="30"/>
        <v>14171159.489767401</v>
      </c>
      <c r="L120" s="3">
        <f t="shared" si="31"/>
        <v>2082014.9566322539</v>
      </c>
      <c r="M120" s="3">
        <f t="shared" si="32"/>
        <v>155100.51463273112</v>
      </c>
      <c r="N120" s="3">
        <f t="shared" si="33"/>
        <v>12340486.89822612</v>
      </c>
      <c r="O120" s="3">
        <f t="shared" si="34"/>
        <v>0</v>
      </c>
      <c r="P120" s="3">
        <f t="shared" si="35"/>
        <v>581324.19044200005</v>
      </c>
      <c r="Q120" s="47">
        <f t="shared" si="36"/>
        <v>29330086.049700506</v>
      </c>
      <c r="R120" s="47">
        <f ca="1">'Monthly Data'!BR120+'Monthly Data'!BS120</f>
        <v>81672.144707362808</v>
      </c>
      <c r="S120" s="47">
        <f t="shared" ca="1" si="38"/>
        <v>29411758.194407869</v>
      </c>
      <c r="T120" s="47">
        <f t="shared" ca="1" si="39"/>
        <v>-1072986.2145943344</v>
      </c>
      <c r="U120" s="18">
        <f t="shared" ca="1" si="37"/>
        <v>3.5197481080978969E-2</v>
      </c>
      <c r="Z120" s="3"/>
    </row>
    <row r="121" spans="1:26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Data'!BQ121</f>
        <v>33328046.777097926</v>
      </c>
      <c r="E121" s="3">
        <f>'Monthly Data'!CT121</f>
        <v>474.57499999999999</v>
      </c>
      <c r="F121" s="3">
        <f>'Monthly Data'!CW121</f>
        <v>0</v>
      </c>
      <c r="G121" s="3">
        <f>'Monthly Data'!DQ121</f>
        <v>31</v>
      </c>
      <c r="H121" s="3">
        <f>'Monthly Data'!EJ121</f>
        <v>0</v>
      </c>
      <c r="I121">
        <f>'Monthly Data'!EF121</f>
        <v>0</v>
      </c>
      <c r="K121" s="3">
        <f t="shared" si="30"/>
        <v>14171159.489767401</v>
      </c>
      <c r="L121" s="3">
        <f t="shared" si="31"/>
        <v>3924100.8676093468</v>
      </c>
      <c r="M121" s="3">
        <f t="shared" si="32"/>
        <v>0</v>
      </c>
      <c r="N121" s="3">
        <f t="shared" si="33"/>
        <v>12751836.461500322</v>
      </c>
      <c r="O121" s="3">
        <f t="shared" si="34"/>
        <v>0</v>
      </c>
      <c r="P121" s="3">
        <f t="shared" si="35"/>
        <v>0</v>
      </c>
      <c r="Q121" s="47">
        <f t="shared" si="36"/>
        <v>30847096.818877071</v>
      </c>
      <c r="R121" s="47">
        <f ca="1">'Monthly Data'!BR121+'Monthly Data'!BS121</f>
        <v>116741.87638601621</v>
      </c>
      <c r="S121" s="47">
        <f t="shared" ca="1" si="38"/>
        <v>30963838.695263088</v>
      </c>
      <c r="T121" s="47">
        <f t="shared" ca="1" si="39"/>
        <v>-2364208.0818348378</v>
      </c>
      <c r="U121" s="18">
        <f t="shared" ca="1" si="37"/>
        <v>7.0937492906408592E-2</v>
      </c>
      <c r="Z121" s="3"/>
    </row>
    <row r="122" spans="1:26">
      <c r="U122" s="17">
        <f ca="1">AVERAGE(U2:U121)</f>
        <v>2.2697853329464387E-2</v>
      </c>
      <c r="Z122" s="3"/>
    </row>
    <row r="123" spans="1:26">
      <c r="Z123" s="3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DACEC-FB7D-4106-B09A-C863CAF2675E}">
  <sheetPr codeName="Sheet18">
    <tabColor theme="9" tint="0.79998168889431442"/>
  </sheetPr>
  <dimension ref="A1:Y123"/>
  <sheetViews>
    <sheetView workbookViewId="0"/>
  </sheetViews>
  <sheetFormatPr defaultRowHeight="15"/>
  <cols>
    <col min="4" max="4" width="24.85546875" customWidth="1"/>
    <col min="6" max="7" width="13.42578125" style="3" customWidth="1"/>
    <col min="8" max="8" width="8.5703125" customWidth="1"/>
    <col min="9" max="9" width="13.5703125" bestFit="1" customWidth="1"/>
    <col min="10" max="10" width="11.42578125" bestFit="1" customWidth="1"/>
    <col min="11" max="12" width="13.42578125" customWidth="1"/>
    <col min="13" max="15" width="12.5703125" customWidth="1"/>
    <col min="16" max="16" width="12" customWidth="1"/>
    <col min="21" max="21" width="13.5703125" bestFit="1" customWidth="1"/>
    <col min="22" max="22" width="12.5703125" bestFit="1" customWidth="1"/>
    <col min="23" max="23" width="13.5703125" bestFit="1" customWidth="1"/>
    <col min="24" max="24" width="8.5703125" bestFit="1" customWidth="1"/>
    <col min="25" max="25" width="10.42578125" bestFit="1" customWidth="1"/>
  </cols>
  <sheetData>
    <row r="1" spans="1:24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Data'!BW1</f>
        <v>WRZ_GS3000to4999kWh_No_CDM</v>
      </c>
      <c r="E1" s="760" t="str">
        <f>'Monthly Data'!DQ1</f>
        <v>Month Days</v>
      </c>
      <c r="F1" s="760" t="str">
        <f>'Monthly Data'!CJ1</f>
        <v>WRZ_GS3000-4999Customers</v>
      </c>
      <c r="G1" s="760" t="str">
        <f>'Monthly Data'!ED1</f>
        <v>Dec</v>
      </c>
      <c r="H1" s="760"/>
      <c r="I1" s="760" t="str">
        <f>T8</f>
        <v>const</v>
      </c>
      <c r="J1" s="760" t="str">
        <f>E1</f>
        <v>Month Days</v>
      </c>
      <c r="K1" s="760" t="str">
        <f>F1</f>
        <v>WRZ_GS3000-4999Customers</v>
      </c>
      <c r="L1" s="760" t="str">
        <f>G1</f>
        <v>Dec</v>
      </c>
      <c r="M1" s="760" t="s">
        <v>424</v>
      </c>
      <c r="N1" s="760" t="s">
        <v>632</v>
      </c>
      <c r="O1" s="760" t="s">
        <v>633</v>
      </c>
      <c r="P1" s="760" t="s">
        <v>425</v>
      </c>
      <c r="Q1" s="760"/>
    </row>
    <row r="2" spans="1:24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Data'!BW2</f>
        <v>4961499.7319686143</v>
      </c>
      <c r="E2" s="3">
        <f>'Monthly Data'!DQ2</f>
        <v>31</v>
      </c>
      <c r="F2" s="3">
        <f>'Monthly Data'!CJ2</f>
        <v>2</v>
      </c>
      <c r="G2" s="3">
        <f>'Monthly Data'!ED2</f>
        <v>0</v>
      </c>
      <c r="I2" s="3">
        <f t="shared" ref="I2:I33" si="0">$U$8</f>
        <v>-4783589.0194705203</v>
      </c>
      <c r="J2" s="3">
        <f t="shared" ref="J2:J33" si="1">E2*$U$9</f>
        <v>6077130.7489015264</v>
      </c>
      <c r="K2" s="3">
        <f t="shared" ref="K2:K33" si="2">F2*$U$10</f>
        <v>4177893.15812696</v>
      </c>
      <c r="L2" s="3">
        <f t="shared" ref="L2:L33" si="3">G2*$U$11</f>
        <v>0</v>
      </c>
      <c r="M2" s="47">
        <f t="shared" ref="M2:M54" si="4">SUM(I2:L2)</f>
        <v>5471434.8875579666</v>
      </c>
      <c r="N2" s="47">
        <f>'Monthly Data'!BX2</f>
        <v>0</v>
      </c>
      <c r="O2" s="47">
        <f t="shared" ref="O2:O54" si="5">M2+N2</f>
        <v>5471434.8875579666</v>
      </c>
      <c r="P2" s="47">
        <f t="shared" ref="P2:P54" si="6">O2-D2</f>
        <v>509935.15558935236</v>
      </c>
      <c r="Q2" s="18">
        <f t="shared" ref="Q2:Q21" si="7">ABS(P2/D2)</f>
        <v>0.10277843054261766</v>
      </c>
    </row>
    <row r="3" spans="1:24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Data'!BW3</f>
        <v>4556169.4062275626</v>
      </c>
      <c r="E3" s="3">
        <f>'Monthly Data'!DQ3</f>
        <v>28</v>
      </c>
      <c r="F3" s="3">
        <f>'Monthly Data'!CJ3</f>
        <v>2</v>
      </c>
      <c r="G3" s="3">
        <f>'Monthly Data'!ED3</f>
        <v>0</v>
      </c>
      <c r="I3" s="3">
        <f t="shared" si="0"/>
        <v>-4783589.0194705203</v>
      </c>
      <c r="J3" s="3">
        <f t="shared" si="1"/>
        <v>5489021.3215884762</v>
      </c>
      <c r="K3" s="3">
        <f t="shared" si="2"/>
        <v>4177893.15812696</v>
      </c>
      <c r="L3" s="3">
        <f t="shared" si="3"/>
        <v>0</v>
      </c>
      <c r="M3" s="47">
        <f t="shared" si="4"/>
        <v>4883325.4602449164</v>
      </c>
      <c r="N3" s="47">
        <f>'Monthly Data'!BX3</f>
        <v>0</v>
      </c>
      <c r="O3" s="47">
        <f t="shared" si="5"/>
        <v>4883325.4602449164</v>
      </c>
      <c r="P3" s="47">
        <f t="shared" si="6"/>
        <v>327156.0540173538</v>
      </c>
      <c r="Q3" s="18">
        <f t="shared" si="7"/>
        <v>7.1805067996414548E-2</v>
      </c>
      <c r="T3" s="684" t="s">
        <v>718</v>
      </c>
      <c r="U3" s="684"/>
      <c r="V3" s="684"/>
      <c r="W3" s="684"/>
      <c r="X3" s="684"/>
    </row>
    <row r="4" spans="1:24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Data'!BW4</f>
        <v>5053235.1504865102</v>
      </c>
      <c r="E4" s="3">
        <f>'Monthly Data'!DQ4</f>
        <v>31</v>
      </c>
      <c r="F4" s="3">
        <f>'Monthly Data'!CJ4</f>
        <v>2</v>
      </c>
      <c r="G4" s="3">
        <f>'Monthly Data'!ED4</f>
        <v>0</v>
      </c>
      <c r="I4" s="3">
        <f t="shared" si="0"/>
        <v>-4783589.0194705203</v>
      </c>
      <c r="J4" s="3">
        <f t="shared" si="1"/>
        <v>6077130.7489015264</v>
      </c>
      <c r="K4" s="3">
        <f t="shared" si="2"/>
        <v>4177893.15812696</v>
      </c>
      <c r="L4" s="3">
        <f t="shared" si="3"/>
        <v>0</v>
      </c>
      <c r="M4" s="47">
        <f t="shared" si="4"/>
        <v>5471434.8875579666</v>
      </c>
      <c r="N4" s="47">
        <f>'Monthly Data'!BX4</f>
        <v>0</v>
      </c>
      <c r="O4" s="47">
        <f t="shared" si="5"/>
        <v>5471434.8875579666</v>
      </c>
      <c r="P4" s="47">
        <f t="shared" si="6"/>
        <v>418199.73707145639</v>
      </c>
      <c r="Q4" s="18">
        <f t="shared" si="7"/>
        <v>8.2758811853668318E-2</v>
      </c>
      <c r="T4" s="684" t="s">
        <v>704</v>
      </c>
      <c r="U4" s="684"/>
      <c r="V4" s="684"/>
      <c r="W4" s="684"/>
      <c r="X4" s="684"/>
    </row>
    <row r="5" spans="1:24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Data'!BW5</f>
        <v>4931988.0547454571</v>
      </c>
      <c r="E5" s="3">
        <f>'Monthly Data'!DQ5</f>
        <v>30</v>
      </c>
      <c r="F5" s="3">
        <f>'Monthly Data'!CJ5</f>
        <v>2</v>
      </c>
      <c r="G5" s="3">
        <f>'Monthly Data'!ED5</f>
        <v>0</v>
      </c>
      <c r="I5" s="3">
        <f t="shared" si="0"/>
        <v>-4783589.0194705203</v>
      </c>
      <c r="J5" s="3">
        <f t="shared" si="1"/>
        <v>5881094.27313051</v>
      </c>
      <c r="K5" s="3">
        <f t="shared" si="2"/>
        <v>4177893.15812696</v>
      </c>
      <c r="L5" s="3">
        <f t="shared" si="3"/>
        <v>0</v>
      </c>
      <c r="M5" s="47">
        <f t="shared" si="4"/>
        <v>5275398.4117869493</v>
      </c>
      <c r="N5" s="47">
        <f>'Monthly Data'!BX5</f>
        <v>0</v>
      </c>
      <c r="O5" s="47">
        <f t="shared" si="5"/>
        <v>5275398.4117869493</v>
      </c>
      <c r="P5" s="47">
        <f t="shared" si="6"/>
        <v>343410.35704149213</v>
      </c>
      <c r="Q5" s="18">
        <f t="shared" si="7"/>
        <v>6.9629194805342187E-2</v>
      </c>
      <c r="T5" s="684" t="s">
        <v>713</v>
      </c>
      <c r="U5" s="684"/>
      <c r="V5" s="684"/>
      <c r="W5" s="684"/>
      <c r="X5" s="684"/>
    </row>
    <row r="6" spans="1:24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Data'!BW6</f>
        <v>5176295.1590044042</v>
      </c>
      <c r="E6" s="3">
        <f>'Monthly Data'!DQ6</f>
        <v>31</v>
      </c>
      <c r="F6" s="3">
        <f>'Monthly Data'!CJ6</f>
        <v>2</v>
      </c>
      <c r="G6" s="3">
        <f>'Monthly Data'!ED6</f>
        <v>0</v>
      </c>
      <c r="I6" s="3">
        <f t="shared" si="0"/>
        <v>-4783589.0194705203</v>
      </c>
      <c r="J6" s="3">
        <f t="shared" si="1"/>
        <v>6077130.7489015264</v>
      </c>
      <c r="K6" s="3">
        <f t="shared" si="2"/>
        <v>4177893.15812696</v>
      </c>
      <c r="L6" s="3">
        <f t="shared" si="3"/>
        <v>0</v>
      </c>
      <c r="M6" s="47">
        <f t="shared" si="4"/>
        <v>5471434.8875579666</v>
      </c>
      <c r="N6" s="47">
        <f>'Monthly Data'!BX6</f>
        <v>0</v>
      </c>
      <c r="O6" s="47">
        <f t="shared" si="5"/>
        <v>5471434.8875579666</v>
      </c>
      <c r="P6" s="47">
        <f t="shared" si="6"/>
        <v>295139.72855356243</v>
      </c>
      <c r="Q6" s="18">
        <f t="shared" si="7"/>
        <v>5.7017561689880307E-2</v>
      </c>
      <c r="T6" s="685"/>
      <c r="U6" s="685"/>
      <c r="V6" s="685"/>
      <c r="W6" s="685"/>
      <c r="X6" s="685"/>
    </row>
    <row r="7" spans="1:24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Data'!BW7</f>
        <v>5034175.6032633521</v>
      </c>
      <c r="E7" s="3">
        <f>'Monthly Data'!DQ7</f>
        <v>30</v>
      </c>
      <c r="F7" s="3">
        <f>'Monthly Data'!CJ7</f>
        <v>2</v>
      </c>
      <c r="G7" s="3">
        <f>'Monthly Data'!ED7</f>
        <v>0</v>
      </c>
      <c r="I7" s="3">
        <f t="shared" si="0"/>
        <v>-4783589.0194705203</v>
      </c>
      <c r="J7" s="3">
        <f t="shared" si="1"/>
        <v>5881094.27313051</v>
      </c>
      <c r="K7" s="3">
        <f t="shared" si="2"/>
        <v>4177893.15812696</v>
      </c>
      <c r="L7" s="3">
        <f t="shared" si="3"/>
        <v>0</v>
      </c>
      <c r="M7" s="47">
        <f t="shared" si="4"/>
        <v>5275398.4117869493</v>
      </c>
      <c r="N7" s="47">
        <f>'Monthly Data'!BX7</f>
        <v>0</v>
      </c>
      <c r="O7" s="47">
        <f t="shared" si="5"/>
        <v>5275398.4117869493</v>
      </c>
      <c r="P7" s="47">
        <f t="shared" si="6"/>
        <v>241222.8085235972</v>
      </c>
      <c r="Q7" s="18">
        <f t="shared" si="7"/>
        <v>4.7917042934939938E-2</v>
      </c>
      <c r="T7" s="685"/>
      <c r="U7" s="685" t="s">
        <v>409</v>
      </c>
      <c r="V7" s="685" t="s">
        <v>410</v>
      </c>
      <c r="W7" s="685" t="s">
        <v>411</v>
      </c>
      <c r="X7" s="685" t="s">
        <v>412</v>
      </c>
    </row>
    <row r="8" spans="1:24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Data'!BW8</f>
        <v>5268928.7375222994</v>
      </c>
      <c r="E8" s="3">
        <f>'Monthly Data'!DQ8</f>
        <v>31</v>
      </c>
      <c r="F8" s="3">
        <f>'Monthly Data'!CJ8</f>
        <v>2</v>
      </c>
      <c r="G8" s="3">
        <f>'Monthly Data'!ED8</f>
        <v>0</v>
      </c>
      <c r="I8" s="3">
        <f t="shared" si="0"/>
        <v>-4783589.0194705203</v>
      </c>
      <c r="J8" s="3">
        <f t="shared" si="1"/>
        <v>6077130.7489015264</v>
      </c>
      <c r="K8" s="3">
        <f t="shared" si="2"/>
        <v>4177893.15812696</v>
      </c>
      <c r="L8" s="3">
        <f t="shared" si="3"/>
        <v>0</v>
      </c>
      <c r="M8" s="47">
        <f t="shared" si="4"/>
        <v>5471434.8875579666</v>
      </c>
      <c r="N8" s="47">
        <f>'Monthly Data'!BX8</f>
        <v>0</v>
      </c>
      <c r="O8" s="47">
        <f t="shared" si="5"/>
        <v>5471434.8875579666</v>
      </c>
      <c r="P8" s="47">
        <f t="shared" si="6"/>
        <v>202506.15003566723</v>
      </c>
      <c r="Q8" s="18">
        <f t="shared" si="7"/>
        <v>3.8434027128424447E-2</v>
      </c>
      <c r="T8" s="685" t="s">
        <v>413</v>
      </c>
      <c r="U8" s="686">
        <v>-4783589.0194705203</v>
      </c>
      <c r="V8" s="686">
        <v>831906.06281337701</v>
      </c>
      <c r="W8" s="687">
        <v>-5.7501552558628601</v>
      </c>
      <c r="X8" s="694">
        <v>7.3551856326381994E-8</v>
      </c>
    </row>
    <row r="9" spans="1:24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Data'!BW9</f>
        <v>5335374.8017812464</v>
      </c>
      <c r="E9" s="3">
        <f>'Monthly Data'!DQ9</f>
        <v>31</v>
      </c>
      <c r="F9" s="3">
        <f>'Monthly Data'!CJ9</f>
        <v>2</v>
      </c>
      <c r="G9" s="3">
        <f>'Monthly Data'!ED9</f>
        <v>0</v>
      </c>
      <c r="I9" s="3">
        <f t="shared" si="0"/>
        <v>-4783589.0194705203</v>
      </c>
      <c r="J9" s="3">
        <f t="shared" si="1"/>
        <v>6077130.7489015264</v>
      </c>
      <c r="K9" s="3">
        <f t="shared" si="2"/>
        <v>4177893.15812696</v>
      </c>
      <c r="L9" s="3">
        <f t="shared" si="3"/>
        <v>0</v>
      </c>
      <c r="M9" s="47">
        <f t="shared" si="4"/>
        <v>5471434.8875579666</v>
      </c>
      <c r="N9" s="47">
        <f>'Monthly Data'!BX9</f>
        <v>0</v>
      </c>
      <c r="O9" s="47">
        <f t="shared" si="5"/>
        <v>5471434.8875579666</v>
      </c>
      <c r="P9" s="47">
        <f t="shared" si="6"/>
        <v>136060.0857767202</v>
      </c>
      <c r="Q9" s="18">
        <f t="shared" si="7"/>
        <v>2.5501504736142572E-2</v>
      </c>
      <c r="T9" s="685" t="s">
        <v>414</v>
      </c>
      <c r="U9" s="686">
        <v>196036.47577101699</v>
      </c>
      <c r="V9" s="686">
        <v>19916.5953651358</v>
      </c>
      <c r="W9" s="687">
        <v>9.8428708409762002</v>
      </c>
      <c r="X9" s="694">
        <v>5.5196676282774098E-17</v>
      </c>
    </row>
    <row r="10" spans="1:24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Data'!BW10</f>
        <v>5190918.426040194</v>
      </c>
      <c r="E10" s="3">
        <f>'Monthly Data'!DQ10</f>
        <v>30</v>
      </c>
      <c r="F10" s="3">
        <f>'Monthly Data'!CJ10</f>
        <v>2</v>
      </c>
      <c r="G10" s="3">
        <f>'Monthly Data'!ED10</f>
        <v>0</v>
      </c>
      <c r="I10" s="3">
        <f t="shared" si="0"/>
        <v>-4783589.0194705203</v>
      </c>
      <c r="J10" s="3">
        <f t="shared" si="1"/>
        <v>5881094.27313051</v>
      </c>
      <c r="K10" s="3">
        <f t="shared" si="2"/>
        <v>4177893.15812696</v>
      </c>
      <c r="L10" s="3">
        <f t="shared" si="3"/>
        <v>0</v>
      </c>
      <c r="M10" s="47">
        <f t="shared" si="4"/>
        <v>5275398.4117869493</v>
      </c>
      <c r="N10" s="47">
        <f>'Monthly Data'!BX10</f>
        <v>0</v>
      </c>
      <c r="O10" s="47">
        <f t="shared" si="5"/>
        <v>5275398.4117869493</v>
      </c>
      <c r="P10" s="47">
        <f t="shared" si="6"/>
        <v>84479.985746755265</v>
      </c>
      <c r="Q10" s="18">
        <f t="shared" si="7"/>
        <v>1.627457394108954E-2</v>
      </c>
      <c r="T10" s="685" t="s">
        <v>432</v>
      </c>
      <c r="U10" s="686">
        <v>2088946.57906348</v>
      </c>
      <c r="V10" s="686">
        <v>198903.635991524</v>
      </c>
      <c r="W10" s="687">
        <v>10.5023046393808</v>
      </c>
      <c r="X10" s="694">
        <v>1.54197983064939E-18</v>
      </c>
    </row>
    <row r="11" spans="1:24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Data'!BW11</f>
        <v>5201081.9802991422</v>
      </c>
      <c r="E11" s="3">
        <f>'Monthly Data'!DQ11</f>
        <v>31</v>
      </c>
      <c r="F11" s="3">
        <f>'Monthly Data'!CJ11</f>
        <v>2</v>
      </c>
      <c r="G11" s="3">
        <f>'Monthly Data'!ED11</f>
        <v>0</v>
      </c>
      <c r="I11" s="3">
        <f t="shared" si="0"/>
        <v>-4783589.0194705203</v>
      </c>
      <c r="J11" s="3">
        <f t="shared" si="1"/>
        <v>6077130.7489015264</v>
      </c>
      <c r="K11" s="3">
        <f t="shared" si="2"/>
        <v>4177893.15812696</v>
      </c>
      <c r="L11" s="3">
        <f t="shared" si="3"/>
        <v>0</v>
      </c>
      <c r="M11" s="47">
        <f t="shared" si="4"/>
        <v>5471434.8875579666</v>
      </c>
      <c r="N11" s="47">
        <f>'Monthly Data'!BX11</f>
        <v>0</v>
      </c>
      <c r="O11" s="47">
        <f t="shared" si="5"/>
        <v>5471434.8875579666</v>
      </c>
      <c r="P11" s="47">
        <f t="shared" si="6"/>
        <v>270352.90725882445</v>
      </c>
      <c r="Q11" s="18">
        <f t="shared" si="7"/>
        <v>5.1980128035450615E-2</v>
      </c>
      <c r="T11" s="685" t="s">
        <v>115</v>
      </c>
      <c r="U11" s="686">
        <v>-252014.73853491701</v>
      </c>
      <c r="V11" s="686">
        <v>68755.500062415405</v>
      </c>
      <c r="W11" s="687">
        <v>-3.6653756907613402</v>
      </c>
      <c r="X11" s="694">
        <v>3.7394458253460001E-4</v>
      </c>
    </row>
    <row r="12" spans="1:24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Data'!BW12</f>
        <v>5046101.9445580896</v>
      </c>
      <c r="E12" s="3">
        <f>'Monthly Data'!DQ12</f>
        <v>30</v>
      </c>
      <c r="F12" s="3">
        <f>'Monthly Data'!CJ12</f>
        <v>2</v>
      </c>
      <c r="G12" s="3">
        <f>'Monthly Data'!ED12</f>
        <v>0</v>
      </c>
      <c r="I12" s="3">
        <f t="shared" si="0"/>
        <v>-4783589.0194705203</v>
      </c>
      <c r="J12" s="3">
        <f t="shared" si="1"/>
        <v>5881094.27313051</v>
      </c>
      <c r="K12" s="3">
        <f t="shared" si="2"/>
        <v>4177893.15812696</v>
      </c>
      <c r="L12" s="3">
        <f t="shared" si="3"/>
        <v>0</v>
      </c>
      <c r="M12" s="47">
        <f t="shared" si="4"/>
        <v>5275398.4117869493</v>
      </c>
      <c r="N12" s="47">
        <f>'Monthly Data'!BX12</f>
        <v>0</v>
      </c>
      <c r="O12" s="47">
        <f t="shared" si="5"/>
        <v>5275398.4117869493</v>
      </c>
      <c r="P12" s="47">
        <f t="shared" si="6"/>
        <v>229296.46722885966</v>
      </c>
      <c r="Q12" s="18">
        <f t="shared" si="7"/>
        <v>4.5440316059437089E-2</v>
      </c>
      <c r="T12" s="685"/>
      <c r="U12" s="686"/>
      <c r="V12" s="686"/>
      <c r="W12" s="687"/>
      <c r="X12" s="688"/>
    </row>
    <row r="13" spans="1:24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Data'!BW13</f>
        <v>4795113.368817037</v>
      </c>
      <c r="E13" s="3">
        <f>'Monthly Data'!DQ13</f>
        <v>31</v>
      </c>
      <c r="F13" s="3">
        <f>'Monthly Data'!CJ13</f>
        <v>2</v>
      </c>
      <c r="G13" s="3">
        <f>'Monthly Data'!ED13</f>
        <v>1</v>
      </c>
      <c r="I13" s="3">
        <f t="shared" si="0"/>
        <v>-4783589.0194705203</v>
      </c>
      <c r="J13" s="3">
        <f t="shared" si="1"/>
        <v>6077130.7489015264</v>
      </c>
      <c r="K13" s="3">
        <f t="shared" si="2"/>
        <v>4177893.15812696</v>
      </c>
      <c r="L13" s="3">
        <f t="shared" si="3"/>
        <v>-252014.73853491701</v>
      </c>
      <c r="M13" s="47">
        <f t="shared" si="4"/>
        <v>5219420.1490230495</v>
      </c>
      <c r="N13" s="47">
        <f>'Monthly Data'!BX13</f>
        <v>0</v>
      </c>
      <c r="O13" s="47">
        <f t="shared" si="5"/>
        <v>5219420.1490230495</v>
      </c>
      <c r="P13" s="47">
        <f t="shared" si="6"/>
        <v>424306.78020601254</v>
      </c>
      <c r="Q13" s="18">
        <f t="shared" si="7"/>
        <v>8.8487330240262868E-2</v>
      </c>
      <c r="T13" s="691" t="s">
        <v>407</v>
      </c>
      <c r="U13" s="692"/>
      <c r="V13" s="692"/>
      <c r="W13" s="693"/>
    </row>
    <row r="14" spans="1:24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Data'!BW14</f>
        <v>5328902.2709846376</v>
      </c>
      <c r="E14" s="3">
        <f>'Monthly Data'!DQ14</f>
        <v>31</v>
      </c>
      <c r="F14" s="3">
        <f>'Monthly Data'!CJ14</f>
        <v>2</v>
      </c>
      <c r="G14" s="3">
        <f>'Monthly Data'!ED14</f>
        <v>0</v>
      </c>
      <c r="I14" s="3">
        <f t="shared" si="0"/>
        <v>-4783589.0194705203</v>
      </c>
      <c r="J14" s="3">
        <f t="shared" si="1"/>
        <v>6077130.7489015264</v>
      </c>
      <c r="K14" s="3">
        <f t="shared" si="2"/>
        <v>4177893.15812696</v>
      </c>
      <c r="L14" s="3">
        <f t="shared" si="3"/>
        <v>0</v>
      </c>
      <c r="M14" s="47">
        <f t="shared" si="4"/>
        <v>5471434.8875579666</v>
      </c>
      <c r="N14" s="47">
        <f>'Monthly Data'!BX14</f>
        <v>0</v>
      </c>
      <c r="O14" s="47">
        <f t="shared" si="5"/>
        <v>5471434.8875579666</v>
      </c>
      <c r="P14" s="47">
        <f t="shared" si="6"/>
        <v>142532.61657332908</v>
      </c>
      <c r="Q14" s="18">
        <f t="shared" si="7"/>
        <v>2.6747087735011679E-2</v>
      </c>
      <c r="T14" s="685" t="s">
        <v>415</v>
      </c>
      <c r="U14" s="689">
        <v>8479632072447</v>
      </c>
      <c r="V14" s="685" t="s">
        <v>416</v>
      </c>
      <c r="W14" s="686">
        <v>270370.62800277001</v>
      </c>
    </row>
    <row r="15" spans="1:24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Data'!BW15</f>
        <v>4984537.1230635466</v>
      </c>
      <c r="E15" s="3">
        <f>'Monthly Data'!DQ15</f>
        <v>29</v>
      </c>
      <c r="F15" s="3">
        <f>'Monthly Data'!CJ15</f>
        <v>2</v>
      </c>
      <c r="G15" s="3">
        <f>'Monthly Data'!ED15</f>
        <v>0</v>
      </c>
      <c r="I15" s="3">
        <f t="shared" si="0"/>
        <v>-4783589.0194705203</v>
      </c>
      <c r="J15" s="3">
        <f t="shared" si="1"/>
        <v>5685057.7973594926</v>
      </c>
      <c r="K15" s="3">
        <f t="shared" si="2"/>
        <v>4177893.15812696</v>
      </c>
      <c r="L15" s="3">
        <f t="shared" si="3"/>
        <v>0</v>
      </c>
      <c r="M15" s="47">
        <f t="shared" si="4"/>
        <v>5079361.9360159319</v>
      </c>
      <c r="N15" s="47">
        <f>'Monthly Data'!BX15</f>
        <v>0</v>
      </c>
      <c r="O15" s="47">
        <f t="shared" si="5"/>
        <v>5079361.9360159319</v>
      </c>
      <c r="P15" s="47">
        <f t="shared" si="6"/>
        <v>94824.812952385284</v>
      </c>
      <c r="Q15" s="18">
        <f t="shared" si="7"/>
        <v>1.9023795111010228E-2</v>
      </c>
      <c r="T15" s="685" t="s">
        <v>417</v>
      </c>
      <c r="U15" s="690">
        <v>0.94878419981014805</v>
      </c>
      <c r="V15" s="685" t="s">
        <v>418</v>
      </c>
      <c r="W15" s="690">
        <v>0.947459653253514</v>
      </c>
    </row>
    <row r="16" spans="1:24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Data'!BW16</f>
        <v>5317016.7251424547</v>
      </c>
      <c r="E16" s="3">
        <f>'Monthly Data'!DQ16</f>
        <v>31</v>
      </c>
      <c r="F16" s="3">
        <f>'Monthly Data'!CJ16</f>
        <v>2</v>
      </c>
      <c r="G16" s="3">
        <f>'Monthly Data'!ED16</f>
        <v>0</v>
      </c>
      <c r="I16" s="3">
        <f t="shared" si="0"/>
        <v>-4783589.0194705203</v>
      </c>
      <c r="J16" s="3">
        <f t="shared" si="1"/>
        <v>6077130.7489015264</v>
      </c>
      <c r="K16" s="3">
        <f t="shared" si="2"/>
        <v>4177893.15812696</v>
      </c>
      <c r="L16" s="3">
        <f t="shared" si="3"/>
        <v>0</v>
      </c>
      <c r="M16" s="47">
        <f t="shared" si="4"/>
        <v>5471434.8875579666</v>
      </c>
      <c r="N16" s="47">
        <f>'Monthly Data'!BX16</f>
        <v>0</v>
      </c>
      <c r="O16" s="47">
        <f t="shared" si="5"/>
        <v>5471434.8875579666</v>
      </c>
      <c r="P16" s="47">
        <f t="shared" si="6"/>
        <v>154418.16241551191</v>
      </c>
      <c r="Q16" s="18">
        <f t="shared" si="7"/>
        <v>2.9042256287312072E-2</v>
      </c>
      <c r="T16" s="685" t="s">
        <v>705</v>
      </c>
      <c r="U16" s="687">
        <v>73.871564278375203</v>
      </c>
      <c r="V16" s="685" t="s">
        <v>419</v>
      </c>
      <c r="W16" s="690">
        <v>8.6614229512431804E-27</v>
      </c>
    </row>
    <row r="17" spans="1:23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Data'!BW17</f>
        <v>5218908.4372213623</v>
      </c>
      <c r="E17" s="3">
        <f>'Monthly Data'!DQ17</f>
        <v>30</v>
      </c>
      <c r="F17" s="3">
        <f>'Monthly Data'!CJ17</f>
        <v>2</v>
      </c>
      <c r="G17" s="3">
        <f>'Monthly Data'!ED17</f>
        <v>0</v>
      </c>
      <c r="I17" s="3">
        <f t="shared" si="0"/>
        <v>-4783589.0194705203</v>
      </c>
      <c r="J17" s="3">
        <f t="shared" si="1"/>
        <v>5881094.27313051</v>
      </c>
      <c r="K17" s="3">
        <f t="shared" si="2"/>
        <v>4177893.15812696</v>
      </c>
      <c r="L17" s="3">
        <f t="shared" si="3"/>
        <v>0</v>
      </c>
      <c r="M17" s="47">
        <f t="shared" si="4"/>
        <v>5275398.4117869493</v>
      </c>
      <c r="N17" s="47">
        <f>'Monthly Data'!BX17</f>
        <v>0</v>
      </c>
      <c r="O17" s="47">
        <f t="shared" si="5"/>
        <v>5275398.4117869493</v>
      </c>
      <c r="P17" s="47">
        <f t="shared" si="6"/>
        <v>56489.974565587007</v>
      </c>
      <c r="Q17" s="18">
        <f t="shared" si="7"/>
        <v>1.0824097652815548E-2</v>
      </c>
      <c r="T17" s="685" t="s">
        <v>420</v>
      </c>
      <c r="U17" s="690">
        <v>2.0873650551647801E-2</v>
      </c>
      <c r="V17" s="685" t="s">
        <v>421</v>
      </c>
      <c r="W17" s="690">
        <v>1.8269975095859201</v>
      </c>
    </row>
    <row r="18" spans="1:23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Data'!BW18</f>
        <v>5372406.2993002702</v>
      </c>
      <c r="E18" s="3">
        <f>'Monthly Data'!DQ18</f>
        <v>31</v>
      </c>
      <c r="F18" s="3">
        <f>'Monthly Data'!CJ18</f>
        <v>2</v>
      </c>
      <c r="G18" s="3">
        <f>'Monthly Data'!ED18</f>
        <v>0</v>
      </c>
      <c r="I18" s="3">
        <f t="shared" si="0"/>
        <v>-4783589.0194705203</v>
      </c>
      <c r="J18" s="3">
        <f t="shared" si="1"/>
        <v>6077130.7489015264</v>
      </c>
      <c r="K18" s="3">
        <f t="shared" si="2"/>
        <v>4177893.15812696</v>
      </c>
      <c r="L18" s="3">
        <f t="shared" si="3"/>
        <v>0</v>
      </c>
      <c r="M18" s="47">
        <f t="shared" si="4"/>
        <v>5471434.8875579666</v>
      </c>
      <c r="N18" s="47">
        <f>'Monthly Data'!BX18</f>
        <v>0</v>
      </c>
      <c r="O18" s="47">
        <f t="shared" si="5"/>
        <v>5471434.8875579666</v>
      </c>
      <c r="P18" s="47">
        <f t="shared" si="6"/>
        <v>99028.58825769648</v>
      </c>
      <c r="Q18" s="18">
        <f t="shared" si="7"/>
        <v>1.8432818134137486E-2</v>
      </c>
    </row>
    <row r="19" spans="1:23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Data'!BW19</f>
        <v>5221735.3513791785</v>
      </c>
      <c r="E19" s="3">
        <f>'Monthly Data'!DQ19</f>
        <v>30</v>
      </c>
      <c r="F19" s="3">
        <f>'Monthly Data'!CJ19</f>
        <v>2</v>
      </c>
      <c r="G19" s="3">
        <f>'Monthly Data'!ED19</f>
        <v>0</v>
      </c>
      <c r="I19" s="3">
        <f t="shared" si="0"/>
        <v>-4783589.0194705203</v>
      </c>
      <c r="J19" s="3">
        <f t="shared" si="1"/>
        <v>5881094.27313051</v>
      </c>
      <c r="K19" s="3">
        <f t="shared" si="2"/>
        <v>4177893.15812696</v>
      </c>
      <c r="L19" s="3">
        <f t="shared" si="3"/>
        <v>0</v>
      </c>
      <c r="M19" s="47">
        <f t="shared" si="4"/>
        <v>5275398.4117869493</v>
      </c>
      <c r="N19" s="47">
        <f>'Monthly Data'!BX19</f>
        <v>0</v>
      </c>
      <c r="O19" s="47">
        <f t="shared" si="5"/>
        <v>5275398.4117869493</v>
      </c>
      <c r="P19" s="47">
        <f t="shared" si="6"/>
        <v>53663.060407770798</v>
      </c>
      <c r="Q19" s="18">
        <f t="shared" si="7"/>
        <v>1.0276863302464604E-2</v>
      </c>
      <c r="T19" s="691" t="s">
        <v>408</v>
      </c>
      <c r="U19" s="692"/>
      <c r="V19" s="692"/>
      <c r="W19" s="693"/>
    </row>
    <row r="20" spans="1:23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Data'!BW20</f>
        <v>5527921.7034580866</v>
      </c>
      <c r="E20" s="3">
        <f>'Monthly Data'!DQ20</f>
        <v>31</v>
      </c>
      <c r="F20" s="3">
        <f>'Monthly Data'!CJ20</f>
        <v>2</v>
      </c>
      <c r="G20" s="3">
        <f>'Monthly Data'!ED20</f>
        <v>0</v>
      </c>
      <c r="I20" s="3">
        <f t="shared" si="0"/>
        <v>-4783589.0194705203</v>
      </c>
      <c r="J20" s="3">
        <f t="shared" si="1"/>
        <v>6077130.7489015264</v>
      </c>
      <c r="K20" s="3">
        <f t="shared" si="2"/>
        <v>4177893.15812696</v>
      </c>
      <c r="L20" s="3">
        <f t="shared" si="3"/>
        <v>0</v>
      </c>
      <c r="M20" s="47">
        <f t="shared" si="4"/>
        <v>5471434.8875579666</v>
      </c>
      <c r="N20" s="47">
        <f>'Monthly Data'!BX20</f>
        <v>0</v>
      </c>
      <c r="O20" s="47">
        <f t="shared" si="5"/>
        <v>5471434.8875579666</v>
      </c>
      <c r="P20" s="47">
        <f t="shared" si="6"/>
        <v>-56486.815900119953</v>
      </c>
      <c r="Q20" s="18">
        <f t="shared" si="7"/>
        <v>1.0218454408423269E-2</v>
      </c>
      <c r="T20" s="685" t="s">
        <v>422</v>
      </c>
      <c r="U20" s="686">
        <v>6753071.6339127198</v>
      </c>
      <c r="V20" s="685" t="s">
        <v>423</v>
      </c>
      <c r="W20" s="686">
        <v>1176212.0558696201</v>
      </c>
    </row>
    <row r="21" spans="1:23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Data'!BW21</f>
        <v>5671269.4755369956</v>
      </c>
      <c r="E21" s="3">
        <f>'Monthly Data'!DQ21</f>
        <v>31</v>
      </c>
      <c r="F21" s="3">
        <f>'Monthly Data'!CJ21</f>
        <v>2</v>
      </c>
      <c r="G21" s="3">
        <f>'Monthly Data'!ED21</f>
        <v>0</v>
      </c>
      <c r="I21" s="3">
        <f t="shared" si="0"/>
        <v>-4783589.0194705203</v>
      </c>
      <c r="J21" s="3">
        <f t="shared" si="1"/>
        <v>6077130.7489015264</v>
      </c>
      <c r="K21" s="3">
        <f t="shared" si="2"/>
        <v>4177893.15812696</v>
      </c>
      <c r="L21" s="3">
        <f t="shared" si="3"/>
        <v>0</v>
      </c>
      <c r="M21" s="47">
        <f t="shared" si="4"/>
        <v>5471434.8875579666</v>
      </c>
      <c r="N21" s="47">
        <f>'Monthly Data'!BX21</f>
        <v>0</v>
      </c>
      <c r="O21" s="47">
        <f t="shared" si="5"/>
        <v>5471434.8875579666</v>
      </c>
      <c r="P21" s="47">
        <f t="shared" si="6"/>
        <v>-199834.58797902893</v>
      </c>
      <c r="Q21" s="18">
        <f t="shared" si="7"/>
        <v>3.5236306234611992E-2</v>
      </c>
      <c r="U21" s="107"/>
      <c r="W21" s="107"/>
    </row>
    <row r="22" spans="1:23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Data'!BW22</f>
        <v>5428731.0976159032</v>
      </c>
      <c r="E22" s="3">
        <f>'Monthly Data'!DQ22</f>
        <v>30</v>
      </c>
      <c r="F22" s="3">
        <f>'Monthly Data'!CJ22</f>
        <v>2</v>
      </c>
      <c r="G22" s="3">
        <f>'Monthly Data'!ED22</f>
        <v>0</v>
      </c>
      <c r="I22" s="3">
        <f t="shared" si="0"/>
        <v>-4783589.0194705203</v>
      </c>
      <c r="J22" s="3">
        <f t="shared" si="1"/>
        <v>5881094.27313051</v>
      </c>
      <c r="K22" s="3">
        <f t="shared" si="2"/>
        <v>4177893.15812696</v>
      </c>
      <c r="L22" s="3">
        <f t="shared" si="3"/>
        <v>0</v>
      </c>
      <c r="M22" s="47">
        <f t="shared" si="4"/>
        <v>5275398.4117869493</v>
      </c>
      <c r="N22" s="47">
        <f>'Monthly Data'!BX22</f>
        <v>0</v>
      </c>
      <c r="O22" s="47">
        <f t="shared" si="5"/>
        <v>5275398.4117869493</v>
      </c>
      <c r="P22" s="47">
        <f t="shared" si="6"/>
        <v>-153332.68582895398</v>
      </c>
      <c r="Q22" s="18">
        <f t="shared" ref="Q22:Q53" si="8">ABS(P22/D22)</f>
        <v>2.8244664005607496E-2</v>
      </c>
    </row>
    <row r="23" spans="1:23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Data'!BW23</f>
        <v>5451040.8496948117</v>
      </c>
      <c r="E23" s="3">
        <f>'Monthly Data'!DQ23</f>
        <v>31</v>
      </c>
      <c r="F23" s="3">
        <f>'Monthly Data'!CJ23</f>
        <v>2</v>
      </c>
      <c r="G23" s="3">
        <f>'Monthly Data'!ED23</f>
        <v>0</v>
      </c>
      <c r="I23" s="3">
        <f t="shared" si="0"/>
        <v>-4783589.0194705203</v>
      </c>
      <c r="J23" s="3">
        <f t="shared" si="1"/>
        <v>6077130.7489015264</v>
      </c>
      <c r="K23" s="3">
        <f t="shared" si="2"/>
        <v>4177893.15812696</v>
      </c>
      <c r="L23" s="3">
        <f t="shared" si="3"/>
        <v>0</v>
      </c>
      <c r="M23" s="47">
        <f t="shared" si="4"/>
        <v>5471434.8875579666</v>
      </c>
      <c r="N23" s="47">
        <f>'Monthly Data'!BX23</f>
        <v>0</v>
      </c>
      <c r="O23" s="47">
        <f t="shared" si="5"/>
        <v>5471434.8875579666</v>
      </c>
      <c r="P23" s="47">
        <f t="shared" si="6"/>
        <v>20394.037863154896</v>
      </c>
      <c r="Q23" s="18">
        <f t="shared" si="8"/>
        <v>3.7413107744912054E-3</v>
      </c>
    </row>
    <row r="24" spans="1:23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Data'!BW24</f>
        <v>5173386.5017737206</v>
      </c>
      <c r="E24" s="3">
        <f>'Monthly Data'!DQ24</f>
        <v>30</v>
      </c>
      <c r="F24" s="3">
        <f>'Monthly Data'!CJ24</f>
        <v>2</v>
      </c>
      <c r="G24" s="3">
        <f>'Monthly Data'!ED24</f>
        <v>0</v>
      </c>
      <c r="I24" s="3">
        <f t="shared" si="0"/>
        <v>-4783589.0194705203</v>
      </c>
      <c r="J24" s="3">
        <f t="shared" si="1"/>
        <v>5881094.27313051</v>
      </c>
      <c r="K24" s="3">
        <f t="shared" si="2"/>
        <v>4177893.15812696</v>
      </c>
      <c r="L24" s="3">
        <f t="shared" si="3"/>
        <v>0</v>
      </c>
      <c r="M24" s="47">
        <f t="shared" si="4"/>
        <v>5275398.4117869493</v>
      </c>
      <c r="N24" s="47">
        <f>'Monthly Data'!BX24</f>
        <v>0</v>
      </c>
      <c r="O24" s="47">
        <f t="shared" si="5"/>
        <v>5275398.4117869493</v>
      </c>
      <c r="P24" s="47">
        <f t="shared" si="6"/>
        <v>102011.91001322865</v>
      </c>
      <c r="Q24" s="18">
        <f t="shared" si="8"/>
        <v>1.9718594382664698E-2</v>
      </c>
      <c r="U24" s="3"/>
      <c r="W24" s="3"/>
    </row>
    <row r="25" spans="1:23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Data'!BW25</f>
        <v>5076208.173852629</v>
      </c>
      <c r="E25" s="3">
        <f>'Monthly Data'!DQ25</f>
        <v>31</v>
      </c>
      <c r="F25" s="3">
        <f>'Monthly Data'!CJ25</f>
        <v>2</v>
      </c>
      <c r="G25" s="3">
        <f>'Monthly Data'!ED25</f>
        <v>1</v>
      </c>
      <c r="I25" s="3">
        <f t="shared" si="0"/>
        <v>-4783589.0194705203</v>
      </c>
      <c r="J25" s="3">
        <f t="shared" si="1"/>
        <v>6077130.7489015264</v>
      </c>
      <c r="K25" s="3">
        <f t="shared" si="2"/>
        <v>4177893.15812696</v>
      </c>
      <c r="L25" s="3">
        <f t="shared" si="3"/>
        <v>-252014.73853491701</v>
      </c>
      <c r="M25" s="47">
        <f t="shared" si="4"/>
        <v>5219420.1490230495</v>
      </c>
      <c r="N25" s="47">
        <f>'Monthly Data'!BX25</f>
        <v>0</v>
      </c>
      <c r="O25" s="47">
        <f t="shared" si="5"/>
        <v>5219420.1490230495</v>
      </c>
      <c r="P25" s="47">
        <f t="shared" si="6"/>
        <v>143211.97517042048</v>
      </c>
      <c r="Q25" s="18">
        <f t="shared" si="8"/>
        <v>2.8212392058328175E-2</v>
      </c>
    </row>
    <row r="26" spans="1:23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Data'!BW26</f>
        <v>5304499.1938257366</v>
      </c>
      <c r="E26" s="3">
        <f>'Monthly Data'!DQ26</f>
        <v>31</v>
      </c>
      <c r="F26" s="3">
        <f>'Monthly Data'!CJ26</f>
        <v>2</v>
      </c>
      <c r="G26" s="3">
        <f>'Monthly Data'!ED26</f>
        <v>0</v>
      </c>
      <c r="I26" s="3">
        <f t="shared" si="0"/>
        <v>-4783589.0194705203</v>
      </c>
      <c r="J26" s="3">
        <f t="shared" si="1"/>
        <v>6077130.7489015264</v>
      </c>
      <c r="K26" s="3">
        <f t="shared" si="2"/>
        <v>4177893.15812696</v>
      </c>
      <c r="L26" s="3">
        <f t="shared" si="3"/>
        <v>0</v>
      </c>
      <c r="M26" s="47">
        <f t="shared" si="4"/>
        <v>5471434.8875579666</v>
      </c>
      <c r="N26" s="47">
        <f>'Monthly Data'!BX26</f>
        <v>13.949153846153845</v>
      </c>
      <c r="O26" s="47">
        <f t="shared" si="5"/>
        <v>5471448.8367118128</v>
      </c>
      <c r="P26" s="47">
        <f t="shared" si="6"/>
        <v>166949.64288607612</v>
      </c>
      <c r="Q26" s="18">
        <f t="shared" si="8"/>
        <v>3.1473214866428866E-2</v>
      </c>
    </row>
    <row r="27" spans="1:23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Data'!BW27</f>
        <v>4766754.0953466827</v>
      </c>
      <c r="E27" s="3">
        <f>'Monthly Data'!DQ27</f>
        <v>28</v>
      </c>
      <c r="F27" s="3">
        <f>'Monthly Data'!CJ27</f>
        <v>2</v>
      </c>
      <c r="G27" s="3">
        <f>'Monthly Data'!ED27</f>
        <v>0</v>
      </c>
      <c r="I27" s="3">
        <f t="shared" si="0"/>
        <v>-4783589.0194705203</v>
      </c>
      <c r="J27" s="3">
        <f t="shared" si="1"/>
        <v>5489021.3215884762</v>
      </c>
      <c r="K27" s="3">
        <f t="shared" si="2"/>
        <v>4177893.15812696</v>
      </c>
      <c r="L27" s="3">
        <f t="shared" si="3"/>
        <v>0</v>
      </c>
      <c r="M27" s="47">
        <f t="shared" si="4"/>
        <v>4883325.4602449164</v>
      </c>
      <c r="N27" s="47">
        <f>'Monthly Data'!BX27</f>
        <v>27.898307692307689</v>
      </c>
      <c r="O27" s="47">
        <f t="shared" si="5"/>
        <v>4883353.3585526086</v>
      </c>
      <c r="P27" s="47">
        <f t="shared" si="6"/>
        <v>116599.26320592593</v>
      </c>
      <c r="Q27" s="18">
        <f t="shared" si="8"/>
        <v>2.4460935234681066E-2</v>
      </c>
    </row>
    <row r="28" spans="1:23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Data'!BW28</f>
        <v>5448561.5468676304</v>
      </c>
      <c r="E28" s="3">
        <f>'Monthly Data'!DQ28</f>
        <v>31</v>
      </c>
      <c r="F28" s="3">
        <f>'Monthly Data'!CJ28</f>
        <v>2</v>
      </c>
      <c r="G28" s="3">
        <f>'Monthly Data'!ED28</f>
        <v>0</v>
      </c>
      <c r="I28" s="3">
        <f t="shared" si="0"/>
        <v>-4783589.0194705203</v>
      </c>
      <c r="J28" s="3">
        <f t="shared" si="1"/>
        <v>6077130.7489015264</v>
      </c>
      <c r="K28" s="3">
        <f t="shared" si="2"/>
        <v>4177893.15812696</v>
      </c>
      <c r="L28" s="3">
        <f t="shared" si="3"/>
        <v>0</v>
      </c>
      <c r="M28" s="47">
        <f t="shared" si="4"/>
        <v>5471434.8875579666</v>
      </c>
      <c r="N28" s="47">
        <f>'Monthly Data'!BX28</f>
        <v>41.847461538461538</v>
      </c>
      <c r="O28" s="47">
        <f t="shared" si="5"/>
        <v>5471476.735019505</v>
      </c>
      <c r="P28" s="47">
        <f t="shared" si="6"/>
        <v>22915.188151874579</v>
      </c>
      <c r="Q28" s="18">
        <f t="shared" si="8"/>
        <v>4.2057317247427414E-3</v>
      </c>
    </row>
    <row r="29" spans="1:23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Data'!BW29</f>
        <v>5267316.7683885768</v>
      </c>
      <c r="E29" s="3">
        <f>'Monthly Data'!DQ29</f>
        <v>30</v>
      </c>
      <c r="F29" s="3">
        <f>'Monthly Data'!CJ29</f>
        <v>2</v>
      </c>
      <c r="G29" s="3">
        <f>'Monthly Data'!ED29</f>
        <v>0</v>
      </c>
      <c r="I29" s="3">
        <f t="shared" si="0"/>
        <v>-4783589.0194705203</v>
      </c>
      <c r="J29" s="3">
        <f t="shared" si="1"/>
        <v>5881094.27313051</v>
      </c>
      <c r="K29" s="3">
        <f t="shared" si="2"/>
        <v>4177893.15812696</v>
      </c>
      <c r="L29" s="3">
        <f t="shared" si="3"/>
        <v>0</v>
      </c>
      <c r="M29" s="47">
        <f t="shared" si="4"/>
        <v>5275398.4117869493</v>
      </c>
      <c r="N29" s="47">
        <f>'Monthly Data'!BX29</f>
        <v>55.796615384615379</v>
      </c>
      <c r="O29" s="47">
        <f t="shared" si="5"/>
        <v>5275454.2084023338</v>
      </c>
      <c r="P29" s="47">
        <f t="shared" si="6"/>
        <v>8137.4400137569755</v>
      </c>
      <c r="Q29" s="18">
        <f t="shared" si="8"/>
        <v>1.5448928499218497E-3</v>
      </c>
    </row>
    <row r="30" spans="1:23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Data'!BW30</f>
        <v>5431804.5599095244</v>
      </c>
      <c r="E30" s="3">
        <f>'Monthly Data'!DQ30</f>
        <v>31</v>
      </c>
      <c r="F30" s="3">
        <f>'Monthly Data'!CJ30</f>
        <v>2</v>
      </c>
      <c r="G30" s="3">
        <f>'Monthly Data'!ED30</f>
        <v>0</v>
      </c>
      <c r="I30" s="3">
        <f t="shared" si="0"/>
        <v>-4783589.0194705203</v>
      </c>
      <c r="J30" s="3">
        <f t="shared" si="1"/>
        <v>6077130.7489015264</v>
      </c>
      <c r="K30" s="3">
        <f t="shared" si="2"/>
        <v>4177893.15812696</v>
      </c>
      <c r="L30" s="3">
        <f t="shared" si="3"/>
        <v>0</v>
      </c>
      <c r="M30" s="47">
        <f t="shared" si="4"/>
        <v>5471434.8875579666</v>
      </c>
      <c r="N30" s="47">
        <f>'Monthly Data'!BX30</f>
        <v>69.745769230769227</v>
      </c>
      <c r="O30" s="47">
        <f t="shared" si="5"/>
        <v>5471504.6333271973</v>
      </c>
      <c r="P30" s="47">
        <f t="shared" si="6"/>
        <v>39700.073417672887</v>
      </c>
      <c r="Q30" s="18">
        <f t="shared" si="8"/>
        <v>7.3088184561511836E-3</v>
      </c>
    </row>
    <row r="31" spans="1:23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Data'!BW31</f>
        <v>5227679.6814304721</v>
      </c>
      <c r="E31" s="3">
        <f>'Monthly Data'!DQ31</f>
        <v>30</v>
      </c>
      <c r="F31" s="3">
        <f>'Monthly Data'!CJ31</f>
        <v>2</v>
      </c>
      <c r="G31" s="3">
        <f>'Monthly Data'!ED31</f>
        <v>0</v>
      </c>
      <c r="I31" s="3">
        <f t="shared" si="0"/>
        <v>-4783589.0194705203</v>
      </c>
      <c r="J31" s="3">
        <f t="shared" si="1"/>
        <v>5881094.27313051</v>
      </c>
      <c r="K31" s="3">
        <f t="shared" si="2"/>
        <v>4177893.15812696</v>
      </c>
      <c r="L31" s="3">
        <f t="shared" si="3"/>
        <v>0</v>
      </c>
      <c r="M31" s="47">
        <f t="shared" si="4"/>
        <v>5275398.4117869493</v>
      </c>
      <c r="N31" s="47">
        <f>'Monthly Data'!BX31</f>
        <v>83.694923076923075</v>
      </c>
      <c r="O31" s="47">
        <f t="shared" si="5"/>
        <v>5275482.106710026</v>
      </c>
      <c r="P31" s="47">
        <f t="shared" si="6"/>
        <v>47802.42527955398</v>
      </c>
      <c r="Q31" s="18">
        <f t="shared" si="8"/>
        <v>9.144099905232449E-3</v>
      </c>
    </row>
    <row r="32" spans="1:23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Data'!BW32</f>
        <v>5301374.0629514186</v>
      </c>
      <c r="E32" s="3">
        <f>'Monthly Data'!DQ32</f>
        <v>31</v>
      </c>
      <c r="F32" s="3">
        <f>'Monthly Data'!CJ32</f>
        <v>2</v>
      </c>
      <c r="G32" s="3">
        <f>'Monthly Data'!ED32</f>
        <v>0</v>
      </c>
      <c r="I32" s="3">
        <f t="shared" si="0"/>
        <v>-4783589.0194705203</v>
      </c>
      <c r="J32" s="3">
        <f t="shared" si="1"/>
        <v>6077130.7489015264</v>
      </c>
      <c r="K32" s="3">
        <f t="shared" si="2"/>
        <v>4177893.15812696</v>
      </c>
      <c r="L32" s="3">
        <f t="shared" si="3"/>
        <v>0</v>
      </c>
      <c r="M32" s="47">
        <f t="shared" si="4"/>
        <v>5471434.8875579666</v>
      </c>
      <c r="N32" s="47">
        <f>'Monthly Data'!BX32</f>
        <v>97.644076923076909</v>
      </c>
      <c r="O32" s="47">
        <f t="shared" si="5"/>
        <v>5471532.5316348895</v>
      </c>
      <c r="P32" s="47">
        <f t="shared" si="6"/>
        <v>170158.46868347097</v>
      </c>
      <c r="Q32" s="18">
        <f t="shared" si="8"/>
        <v>3.2097050059647962E-2</v>
      </c>
    </row>
    <row r="33" spans="1:17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Data'!BW33</f>
        <v>5397939.9144723658</v>
      </c>
      <c r="E33" s="3">
        <f>'Monthly Data'!DQ33</f>
        <v>31</v>
      </c>
      <c r="F33" s="3">
        <f>'Monthly Data'!CJ33</f>
        <v>2</v>
      </c>
      <c r="G33" s="3">
        <f>'Monthly Data'!ED33</f>
        <v>0</v>
      </c>
      <c r="I33" s="3">
        <f t="shared" si="0"/>
        <v>-4783589.0194705203</v>
      </c>
      <c r="J33" s="3">
        <f t="shared" si="1"/>
        <v>6077130.7489015264</v>
      </c>
      <c r="K33" s="3">
        <f t="shared" si="2"/>
        <v>4177893.15812696</v>
      </c>
      <c r="L33" s="3">
        <f t="shared" si="3"/>
        <v>0</v>
      </c>
      <c r="M33" s="47">
        <f t="shared" si="4"/>
        <v>5471434.8875579666</v>
      </c>
      <c r="N33" s="47">
        <f>'Monthly Data'!BX33</f>
        <v>111.59323076923076</v>
      </c>
      <c r="O33" s="47">
        <f t="shared" si="5"/>
        <v>5471546.4807887357</v>
      </c>
      <c r="P33" s="47">
        <f t="shared" si="6"/>
        <v>73606.566316369921</v>
      </c>
      <c r="Q33" s="18">
        <f t="shared" si="8"/>
        <v>1.3636047729805967E-2</v>
      </c>
    </row>
    <row r="34" spans="1:17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Data'!BW34</f>
        <v>5281850.3759933123</v>
      </c>
      <c r="E34" s="3">
        <f>'Monthly Data'!DQ34</f>
        <v>30</v>
      </c>
      <c r="F34" s="3">
        <f>'Monthly Data'!CJ34</f>
        <v>2</v>
      </c>
      <c r="G34" s="3">
        <f>'Monthly Data'!ED34</f>
        <v>0</v>
      </c>
      <c r="I34" s="3">
        <f t="shared" ref="I34:I65" si="9">$U$8</f>
        <v>-4783589.0194705203</v>
      </c>
      <c r="J34" s="3">
        <f t="shared" ref="J34:J65" si="10">E34*$U$9</f>
        <v>5881094.27313051</v>
      </c>
      <c r="K34" s="3">
        <f t="shared" ref="K34:K65" si="11">F34*$U$10</f>
        <v>4177893.15812696</v>
      </c>
      <c r="L34" s="3">
        <f t="shared" ref="L34:L65" si="12">G34*$U$11</f>
        <v>0</v>
      </c>
      <c r="M34" s="47">
        <f t="shared" si="4"/>
        <v>5275398.4117869493</v>
      </c>
      <c r="N34" s="47">
        <f>'Monthly Data'!BX34</f>
        <v>125.54238461538459</v>
      </c>
      <c r="O34" s="47">
        <f t="shared" si="5"/>
        <v>5275523.9541715644</v>
      </c>
      <c r="P34" s="47">
        <f t="shared" si="6"/>
        <v>-6326.4218217479065</v>
      </c>
      <c r="Q34" s="18">
        <f t="shared" si="8"/>
        <v>1.197766193927474E-3</v>
      </c>
    </row>
    <row r="35" spans="1:17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Data'!BW35</f>
        <v>5422763.9075142592</v>
      </c>
      <c r="E35" s="3">
        <f>'Monthly Data'!DQ35</f>
        <v>31</v>
      </c>
      <c r="F35" s="3">
        <f>'Monthly Data'!CJ35</f>
        <v>2</v>
      </c>
      <c r="G35" s="3">
        <f>'Monthly Data'!ED35</f>
        <v>0</v>
      </c>
      <c r="I35" s="3">
        <f t="shared" si="9"/>
        <v>-4783589.0194705203</v>
      </c>
      <c r="J35" s="3">
        <f t="shared" si="10"/>
        <v>6077130.7489015264</v>
      </c>
      <c r="K35" s="3">
        <f t="shared" si="11"/>
        <v>4177893.15812696</v>
      </c>
      <c r="L35" s="3">
        <f t="shared" si="12"/>
        <v>0</v>
      </c>
      <c r="M35" s="47">
        <f t="shared" si="4"/>
        <v>5471434.8875579666</v>
      </c>
      <c r="N35" s="47">
        <f>'Monthly Data'!BX35</f>
        <v>139.49153846153845</v>
      </c>
      <c r="O35" s="47">
        <f t="shared" si="5"/>
        <v>5471574.3790964279</v>
      </c>
      <c r="P35" s="47">
        <f t="shared" si="6"/>
        <v>48810.471582168713</v>
      </c>
      <c r="Q35" s="18">
        <f t="shared" si="8"/>
        <v>9.0010320225323882E-3</v>
      </c>
    </row>
    <row r="36" spans="1:17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Data'!BW36</f>
        <v>5270443.6290352065</v>
      </c>
      <c r="E36" s="3">
        <f>'Monthly Data'!DQ36</f>
        <v>30</v>
      </c>
      <c r="F36" s="3">
        <f>'Monthly Data'!CJ36</f>
        <v>2</v>
      </c>
      <c r="G36" s="3">
        <f>'Monthly Data'!ED36</f>
        <v>0</v>
      </c>
      <c r="I36" s="3">
        <f t="shared" si="9"/>
        <v>-4783589.0194705203</v>
      </c>
      <c r="J36" s="3">
        <f t="shared" si="10"/>
        <v>5881094.27313051</v>
      </c>
      <c r="K36" s="3">
        <f t="shared" si="11"/>
        <v>4177893.15812696</v>
      </c>
      <c r="L36" s="3">
        <f t="shared" si="12"/>
        <v>0</v>
      </c>
      <c r="M36" s="47">
        <f t="shared" si="4"/>
        <v>5275398.4117869493</v>
      </c>
      <c r="N36" s="47">
        <f>'Monthly Data'!BX36</f>
        <v>153.44069230769227</v>
      </c>
      <c r="O36" s="47">
        <f t="shared" si="5"/>
        <v>5275551.8524792567</v>
      </c>
      <c r="P36" s="47">
        <f t="shared" si="6"/>
        <v>5108.2234440501779</v>
      </c>
      <c r="Q36" s="18">
        <f t="shared" si="8"/>
        <v>9.6922077221519882E-4</v>
      </c>
    </row>
    <row r="37" spans="1:17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Data'!BW37</f>
        <v>4958321.0705561535</v>
      </c>
      <c r="E37" s="3">
        <f>'Monthly Data'!DQ37</f>
        <v>31</v>
      </c>
      <c r="F37" s="3">
        <f>'Monthly Data'!CJ37</f>
        <v>2</v>
      </c>
      <c r="G37" s="3">
        <f>'Monthly Data'!ED37</f>
        <v>1</v>
      </c>
      <c r="I37" s="3">
        <f t="shared" si="9"/>
        <v>-4783589.0194705203</v>
      </c>
      <c r="J37" s="3">
        <f t="shared" si="10"/>
        <v>6077130.7489015264</v>
      </c>
      <c r="K37" s="3">
        <f t="shared" si="11"/>
        <v>4177893.15812696</v>
      </c>
      <c r="L37" s="3">
        <f t="shared" si="12"/>
        <v>-252014.73853491701</v>
      </c>
      <c r="M37" s="47">
        <f t="shared" si="4"/>
        <v>5219420.1490230495</v>
      </c>
      <c r="N37" s="47">
        <f>'Monthly Data'!BX37</f>
        <v>167.38984615384615</v>
      </c>
      <c r="O37" s="47">
        <f t="shared" si="5"/>
        <v>5219587.5388692031</v>
      </c>
      <c r="P37" s="47">
        <f t="shared" si="6"/>
        <v>261266.46831304953</v>
      </c>
      <c r="Q37" s="18">
        <f t="shared" si="8"/>
        <v>5.2692527288020978E-2</v>
      </c>
    </row>
    <row r="38" spans="1:17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Data'!BW38</f>
        <v>5361949.1227206625</v>
      </c>
      <c r="E38" s="3">
        <f>'Monthly Data'!DQ38</f>
        <v>31</v>
      </c>
      <c r="F38" s="3">
        <f>'Monthly Data'!CJ38</f>
        <v>2.0833333333333335</v>
      </c>
      <c r="G38" s="3">
        <f>'Monthly Data'!ED38</f>
        <v>0</v>
      </c>
      <c r="I38" s="3">
        <f t="shared" si="9"/>
        <v>-4783589.0194705203</v>
      </c>
      <c r="J38" s="3">
        <f t="shared" si="10"/>
        <v>6077130.7489015264</v>
      </c>
      <c r="K38" s="3">
        <f t="shared" si="11"/>
        <v>4351972.0397155834</v>
      </c>
      <c r="L38" s="3">
        <f t="shared" si="12"/>
        <v>0</v>
      </c>
      <c r="M38" s="47">
        <f t="shared" si="4"/>
        <v>5645513.7691465896</v>
      </c>
      <c r="N38" s="47">
        <f>'Monthly Data'!BX38</f>
        <v>196.25644871794873</v>
      </c>
      <c r="O38" s="47">
        <f t="shared" si="5"/>
        <v>5645710.0255953074</v>
      </c>
      <c r="P38" s="47">
        <f t="shared" si="6"/>
        <v>283760.90287464485</v>
      </c>
      <c r="Q38" s="18">
        <f t="shared" si="8"/>
        <v>5.292122255920699E-2</v>
      </c>
    </row>
    <row r="39" spans="1:17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Data'!BW39</f>
        <v>4910902.2361246245</v>
      </c>
      <c r="E39" s="3">
        <f>'Monthly Data'!DQ39</f>
        <v>28</v>
      </c>
      <c r="F39" s="3">
        <f>'Monthly Data'!CJ39</f>
        <v>2.166666666666667</v>
      </c>
      <c r="G39" s="3">
        <f>'Monthly Data'!ED39</f>
        <v>0</v>
      </c>
      <c r="I39" s="3">
        <f t="shared" si="9"/>
        <v>-4783589.0194705203</v>
      </c>
      <c r="J39" s="3">
        <f t="shared" si="10"/>
        <v>5489021.3215884762</v>
      </c>
      <c r="K39" s="3">
        <f t="shared" si="11"/>
        <v>4526050.9213042073</v>
      </c>
      <c r="L39" s="3">
        <f t="shared" si="12"/>
        <v>0</v>
      </c>
      <c r="M39" s="47">
        <f t="shared" si="4"/>
        <v>5231483.2234221632</v>
      </c>
      <c r="N39" s="47">
        <f>'Monthly Data'!BX39</f>
        <v>211.17389743589746</v>
      </c>
      <c r="O39" s="47">
        <f t="shared" si="5"/>
        <v>5231694.3973195991</v>
      </c>
      <c r="P39" s="47">
        <f t="shared" si="6"/>
        <v>320792.16119497456</v>
      </c>
      <c r="Q39" s="18">
        <f t="shared" si="8"/>
        <v>6.5322449067551303E-2</v>
      </c>
    </row>
    <row r="40" spans="1:17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Data'!BW40</f>
        <v>5100154.0995285865</v>
      </c>
      <c r="E40" s="3">
        <f>'Monthly Data'!DQ40</f>
        <v>31</v>
      </c>
      <c r="F40" s="3">
        <f>'Monthly Data'!CJ40</f>
        <v>2.2500000000000004</v>
      </c>
      <c r="G40" s="3">
        <f>'Monthly Data'!ED40</f>
        <v>0</v>
      </c>
      <c r="I40" s="3">
        <f t="shared" si="9"/>
        <v>-4783589.0194705203</v>
      </c>
      <c r="J40" s="3">
        <f t="shared" si="10"/>
        <v>6077130.7489015264</v>
      </c>
      <c r="K40" s="3">
        <f t="shared" si="11"/>
        <v>4700129.8028928312</v>
      </c>
      <c r="L40" s="3">
        <f t="shared" si="12"/>
        <v>0</v>
      </c>
      <c r="M40" s="47">
        <f t="shared" si="4"/>
        <v>5993671.5323238373</v>
      </c>
      <c r="N40" s="47">
        <f>'Monthly Data'!BX40</f>
        <v>226.09134615384616</v>
      </c>
      <c r="O40" s="47">
        <f t="shared" si="5"/>
        <v>5993897.6236699913</v>
      </c>
      <c r="P40" s="47">
        <f t="shared" si="6"/>
        <v>893743.52414140478</v>
      </c>
      <c r="Q40" s="18">
        <f t="shared" si="8"/>
        <v>0.17523853332667233</v>
      </c>
    </row>
    <row r="41" spans="1:17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Data'!BW41</f>
        <v>6655878.1829325482</v>
      </c>
      <c r="E41" s="3">
        <f>'Monthly Data'!DQ41</f>
        <v>30</v>
      </c>
      <c r="F41" s="3">
        <f>'Monthly Data'!CJ41</f>
        <v>2.3333333333333339</v>
      </c>
      <c r="G41" s="3">
        <f>'Monthly Data'!ED41</f>
        <v>0</v>
      </c>
      <c r="I41" s="3">
        <f t="shared" si="9"/>
        <v>-4783589.0194705203</v>
      </c>
      <c r="J41" s="3">
        <f t="shared" si="10"/>
        <v>5881094.27313051</v>
      </c>
      <c r="K41" s="3">
        <f t="shared" si="11"/>
        <v>4874208.684481455</v>
      </c>
      <c r="L41" s="3">
        <f t="shared" si="12"/>
        <v>0</v>
      </c>
      <c r="M41" s="47">
        <f t="shared" si="4"/>
        <v>5971713.9381414447</v>
      </c>
      <c r="N41" s="47">
        <f>'Monthly Data'!BX41</f>
        <v>241.00879487179489</v>
      </c>
      <c r="O41" s="47">
        <f t="shared" si="5"/>
        <v>5971954.9469363168</v>
      </c>
      <c r="P41" s="47">
        <f t="shared" si="6"/>
        <v>-683923.23599623144</v>
      </c>
      <c r="Q41" s="18">
        <f t="shared" si="8"/>
        <v>0.1027547706251586</v>
      </c>
    </row>
    <row r="42" spans="1:17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Data'!BW42</f>
        <v>6153004.4563365113</v>
      </c>
      <c r="E42" s="3">
        <f>'Monthly Data'!DQ42</f>
        <v>31</v>
      </c>
      <c r="F42" s="3">
        <f>'Monthly Data'!CJ42</f>
        <v>2.4166666666666674</v>
      </c>
      <c r="G42" s="3">
        <f>'Monthly Data'!ED42</f>
        <v>0</v>
      </c>
      <c r="I42" s="3">
        <f t="shared" si="9"/>
        <v>-4783589.0194705203</v>
      </c>
      <c r="J42" s="3">
        <f t="shared" si="10"/>
        <v>6077130.7489015264</v>
      </c>
      <c r="K42" s="3">
        <f t="shared" si="11"/>
        <v>5048287.5660700779</v>
      </c>
      <c r="L42" s="3">
        <f t="shared" si="12"/>
        <v>0</v>
      </c>
      <c r="M42" s="47">
        <f t="shared" si="4"/>
        <v>6341829.2955010841</v>
      </c>
      <c r="N42" s="47">
        <f>'Monthly Data'!BX42</f>
        <v>255.92624358974359</v>
      </c>
      <c r="O42" s="47">
        <f t="shared" si="5"/>
        <v>6342085.2217446743</v>
      </c>
      <c r="P42" s="47">
        <f t="shared" si="6"/>
        <v>189080.76540816296</v>
      </c>
      <c r="Q42" s="18">
        <f t="shared" si="8"/>
        <v>3.0729827476956083E-2</v>
      </c>
    </row>
    <row r="43" spans="1:17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Data'!BW43</f>
        <v>6441648.5897404738</v>
      </c>
      <c r="E43" s="3">
        <f>'Monthly Data'!DQ43</f>
        <v>30</v>
      </c>
      <c r="F43" s="3">
        <f>'Monthly Data'!CJ43</f>
        <v>2.5000000000000009</v>
      </c>
      <c r="G43" s="3">
        <f>'Monthly Data'!ED43</f>
        <v>0</v>
      </c>
      <c r="I43" s="3">
        <f t="shared" si="9"/>
        <v>-4783589.0194705203</v>
      </c>
      <c r="J43" s="3">
        <f t="shared" si="10"/>
        <v>5881094.27313051</v>
      </c>
      <c r="K43" s="3">
        <f t="shared" si="11"/>
        <v>5222366.4476587018</v>
      </c>
      <c r="L43" s="3">
        <f t="shared" si="12"/>
        <v>0</v>
      </c>
      <c r="M43" s="47">
        <f t="shared" si="4"/>
        <v>6319871.7013186915</v>
      </c>
      <c r="N43" s="47">
        <f>'Monthly Data'!BX43</f>
        <v>270.84369230769232</v>
      </c>
      <c r="O43" s="47">
        <f t="shared" si="5"/>
        <v>6320142.5450109988</v>
      </c>
      <c r="P43" s="47">
        <f t="shared" si="6"/>
        <v>-121506.04472947493</v>
      </c>
      <c r="Q43" s="18">
        <f t="shared" si="8"/>
        <v>1.8862569579314828E-2</v>
      </c>
    </row>
    <row r="44" spans="1:17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Data'!BW44</f>
        <v>6620384.0731444359</v>
      </c>
      <c r="E44" s="3">
        <f>'Monthly Data'!DQ44</f>
        <v>31</v>
      </c>
      <c r="F44" s="3">
        <f>'Monthly Data'!CJ44</f>
        <v>2.5833333333333344</v>
      </c>
      <c r="G44" s="3">
        <f>'Monthly Data'!ED44</f>
        <v>0</v>
      </c>
      <c r="I44" s="3">
        <f t="shared" si="9"/>
        <v>-4783589.0194705203</v>
      </c>
      <c r="J44" s="3">
        <f t="shared" si="10"/>
        <v>6077130.7489015264</v>
      </c>
      <c r="K44" s="3">
        <f t="shared" si="11"/>
        <v>5396445.3292473257</v>
      </c>
      <c r="L44" s="3">
        <f t="shared" si="12"/>
        <v>0</v>
      </c>
      <c r="M44" s="47">
        <f t="shared" si="4"/>
        <v>6689987.0586783318</v>
      </c>
      <c r="N44" s="47">
        <f>'Monthly Data'!BX44</f>
        <v>285.761141025641</v>
      </c>
      <c r="O44" s="47">
        <f t="shared" si="5"/>
        <v>6690272.8198193572</v>
      </c>
      <c r="P44" s="47">
        <f t="shared" si="6"/>
        <v>69888.746674921364</v>
      </c>
      <c r="Q44" s="18">
        <f t="shared" si="8"/>
        <v>1.0556600025431276E-2</v>
      </c>
    </row>
    <row r="45" spans="1:17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Data'!BW45</f>
        <v>6591282.4365483979</v>
      </c>
      <c r="E45" s="3">
        <f>'Monthly Data'!DQ45</f>
        <v>31</v>
      </c>
      <c r="F45" s="3">
        <f>'Monthly Data'!CJ45</f>
        <v>2.6666666666666679</v>
      </c>
      <c r="G45" s="3">
        <f>'Monthly Data'!ED45</f>
        <v>0</v>
      </c>
      <c r="I45" s="3">
        <f t="shared" si="9"/>
        <v>-4783589.0194705203</v>
      </c>
      <c r="J45" s="3">
        <f t="shared" si="10"/>
        <v>6077130.7489015264</v>
      </c>
      <c r="K45" s="3">
        <f t="shared" si="11"/>
        <v>5570524.2108359495</v>
      </c>
      <c r="L45" s="3">
        <f t="shared" si="12"/>
        <v>0</v>
      </c>
      <c r="M45" s="47">
        <f t="shared" si="4"/>
        <v>6864065.9402669556</v>
      </c>
      <c r="N45" s="47">
        <f>'Monthly Data'!BX45</f>
        <v>300.67858974358973</v>
      </c>
      <c r="O45" s="47">
        <f t="shared" si="5"/>
        <v>6864366.6188566992</v>
      </c>
      <c r="P45" s="47">
        <f t="shared" si="6"/>
        <v>273084.18230830133</v>
      </c>
      <c r="Q45" s="18">
        <f t="shared" si="8"/>
        <v>4.1431115255213528E-2</v>
      </c>
    </row>
    <row r="46" spans="1:17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Data'!BW46</f>
        <v>6695014.8499523606</v>
      </c>
      <c r="E46" s="3">
        <f>'Monthly Data'!DQ46</f>
        <v>30</v>
      </c>
      <c r="F46" s="3">
        <f>'Monthly Data'!CJ46</f>
        <v>2.7500000000000013</v>
      </c>
      <c r="G46" s="3">
        <f>'Monthly Data'!ED46</f>
        <v>0</v>
      </c>
      <c r="I46" s="3">
        <f t="shared" si="9"/>
        <v>-4783589.0194705203</v>
      </c>
      <c r="J46" s="3">
        <f t="shared" si="10"/>
        <v>5881094.27313051</v>
      </c>
      <c r="K46" s="3">
        <f t="shared" si="11"/>
        <v>5744603.0924245724</v>
      </c>
      <c r="L46" s="3">
        <f t="shared" si="12"/>
        <v>0</v>
      </c>
      <c r="M46" s="47">
        <f t="shared" si="4"/>
        <v>6842108.3460845621</v>
      </c>
      <c r="N46" s="47">
        <f>'Monthly Data'!BX46</f>
        <v>315.59603846153846</v>
      </c>
      <c r="O46" s="47">
        <f t="shared" si="5"/>
        <v>6842423.9421230238</v>
      </c>
      <c r="P46" s="47">
        <f t="shared" si="6"/>
        <v>147409.09217066318</v>
      </c>
      <c r="Q46" s="18">
        <f t="shared" si="8"/>
        <v>2.2017739388839757E-2</v>
      </c>
    </row>
    <row r="47" spans="1:17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Data'!BW47</f>
        <v>6518820.4933563229</v>
      </c>
      <c r="E47" s="3">
        <f>'Monthly Data'!DQ47</f>
        <v>31</v>
      </c>
      <c r="F47" s="3">
        <f>'Monthly Data'!CJ47</f>
        <v>2.8333333333333348</v>
      </c>
      <c r="G47" s="3">
        <f>'Monthly Data'!ED47</f>
        <v>0</v>
      </c>
      <c r="I47" s="3">
        <f t="shared" si="9"/>
        <v>-4783589.0194705203</v>
      </c>
      <c r="J47" s="3">
        <f t="shared" si="10"/>
        <v>6077130.7489015264</v>
      </c>
      <c r="K47" s="3">
        <f t="shared" si="11"/>
        <v>5918681.9740131963</v>
      </c>
      <c r="L47" s="3">
        <f t="shared" si="12"/>
        <v>0</v>
      </c>
      <c r="M47" s="47">
        <f t="shared" si="4"/>
        <v>7212223.7034442024</v>
      </c>
      <c r="N47" s="47">
        <f>'Monthly Data'!BX47</f>
        <v>330.51348717948713</v>
      </c>
      <c r="O47" s="47">
        <f t="shared" si="5"/>
        <v>7212554.2169313822</v>
      </c>
      <c r="P47" s="47">
        <f t="shared" si="6"/>
        <v>693733.72357505932</v>
      </c>
      <c r="Q47" s="18">
        <f t="shared" si="8"/>
        <v>0.10642012988117718</v>
      </c>
    </row>
    <row r="48" spans="1:17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Data'!BW48</f>
        <v>6877594.1167602856</v>
      </c>
      <c r="E48" s="3">
        <f>'Monthly Data'!DQ48</f>
        <v>30</v>
      </c>
      <c r="F48" s="3">
        <f>'Monthly Data'!CJ48</f>
        <v>2.9166666666666683</v>
      </c>
      <c r="G48" s="3">
        <f>'Monthly Data'!ED48</f>
        <v>0</v>
      </c>
      <c r="I48" s="3">
        <f t="shared" si="9"/>
        <v>-4783589.0194705203</v>
      </c>
      <c r="J48" s="3">
        <f t="shared" si="10"/>
        <v>5881094.27313051</v>
      </c>
      <c r="K48" s="3">
        <f t="shared" si="11"/>
        <v>6092760.8556018202</v>
      </c>
      <c r="L48" s="3">
        <f t="shared" si="12"/>
        <v>0</v>
      </c>
      <c r="M48" s="47">
        <f t="shared" si="4"/>
        <v>7190266.1092618098</v>
      </c>
      <c r="N48" s="47">
        <f>'Monthly Data'!BX48</f>
        <v>345.43093589743592</v>
      </c>
      <c r="O48" s="47">
        <f t="shared" si="5"/>
        <v>7190611.5401977077</v>
      </c>
      <c r="P48" s="47">
        <f t="shared" si="6"/>
        <v>313017.42343742214</v>
      </c>
      <c r="Q48" s="18">
        <f t="shared" si="8"/>
        <v>4.5512633941950341E-2</v>
      </c>
    </row>
    <row r="49" spans="1:17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Data'!BW49</f>
        <v>7093929.670164247</v>
      </c>
      <c r="E49" s="3">
        <f>'Monthly Data'!DQ49</f>
        <v>31</v>
      </c>
      <c r="F49" s="3">
        <f>'Monthly Data'!CJ49</f>
        <v>3</v>
      </c>
      <c r="G49" s="3">
        <f>'Monthly Data'!ED49</f>
        <v>1</v>
      </c>
      <c r="I49" s="3">
        <f t="shared" si="9"/>
        <v>-4783589.0194705203</v>
      </c>
      <c r="J49" s="3">
        <f t="shared" si="10"/>
        <v>6077130.7489015264</v>
      </c>
      <c r="K49" s="3">
        <f t="shared" si="11"/>
        <v>6266839.7371904403</v>
      </c>
      <c r="L49" s="3">
        <f t="shared" si="12"/>
        <v>-252014.73853491701</v>
      </c>
      <c r="M49" s="47">
        <f t="shared" si="4"/>
        <v>7308366.7280865293</v>
      </c>
      <c r="N49" s="47">
        <f>'Monthly Data'!BX49</f>
        <v>360.34838461538459</v>
      </c>
      <c r="O49" s="47">
        <f t="shared" si="5"/>
        <v>7308727.0764711443</v>
      </c>
      <c r="P49" s="47">
        <f t="shared" si="6"/>
        <v>214797.40630689729</v>
      </c>
      <c r="Q49" s="18">
        <f t="shared" si="8"/>
        <v>3.0279043674522933E-2</v>
      </c>
    </row>
    <row r="50" spans="1:17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Data'!BW50</f>
        <v>7152421.7608437315</v>
      </c>
      <c r="E50" s="3">
        <f>'Monthly Data'!DQ50</f>
        <v>31</v>
      </c>
      <c r="F50" s="3">
        <f>'Monthly Data'!CJ50</f>
        <v>3</v>
      </c>
      <c r="G50" s="3">
        <f>'Monthly Data'!ED50</f>
        <v>0</v>
      </c>
      <c r="I50" s="3">
        <f t="shared" si="9"/>
        <v>-4783589.0194705203</v>
      </c>
      <c r="J50" s="3">
        <f t="shared" si="10"/>
        <v>6077130.7489015264</v>
      </c>
      <c r="K50" s="3">
        <f t="shared" si="11"/>
        <v>6266839.7371904403</v>
      </c>
      <c r="L50" s="3">
        <f t="shared" si="12"/>
        <v>0</v>
      </c>
      <c r="M50" s="47">
        <f t="shared" si="4"/>
        <v>7560381.4666214464</v>
      </c>
      <c r="N50" s="47">
        <f>'Monthly Data'!BX50</f>
        <v>384.09134615384619</v>
      </c>
      <c r="O50" s="47">
        <f t="shared" si="5"/>
        <v>7560765.5579676004</v>
      </c>
      <c r="P50" s="47">
        <f t="shared" si="6"/>
        <v>408343.79712386895</v>
      </c>
      <c r="Q50" s="18">
        <f t="shared" si="8"/>
        <v>5.7091683177768714E-2</v>
      </c>
    </row>
    <row r="51" spans="1:17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Data'!BW51</f>
        <v>6707065.6734305676</v>
      </c>
      <c r="E51" s="3">
        <f>'Monthly Data'!DQ51</f>
        <v>28</v>
      </c>
      <c r="F51" s="3">
        <f>'Monthly Data'!CJ51</f>
        <v>3</v>
      </c>
      <c r="G51" s="3">
        <f>'Monthly Data'!ED51</f>
        <v>0</v>
      </c>
      <c r="I51" s="3">
        <f t="shared" si="9"/>
        <v>-4783589.0194705203</v>
      </c>
      <c r="J51" s="3">
        <f t="shared" si="10"/>
        <v>5489021.3215884762</v>
      </c>
      <c r="K51" s="3">
        <f t="shared" si="11"/>
        <v>6266839.7371904403</v>
      </c>
      <c r="L51" s="3">
        <f t="shared" si="12"/>
        <v>0</v>
      </c>
      <c r="M51" s="47">
        <f t="shared" si="4"/>
        <v>6972272.0393083962</v>
      </c>
      <c r="N51" s="47">
        <f>'Monthly Data'!BX51</f>
        <v>392.916858974359</v>
      </c>
      <c r="O51" s="47">
        <f t="shared" si="5"/>
        <v>6972664.9561673701</v>
      </c>
      <c r="P51" s="47">
        <f t="shared" si="6"/>
        <v>265599.28273680247</v>
      </c>
      <c r="Q51" s="18">
        <f t="shared" si="8"/>
        <v>3.9599922778294827E-2</v>
      </c>
    </row>
    <row r="52" spans="1:17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Data'!BW52</f>
        <v>7276994.9760174053</v>
      </c>
      <c r="E52" s="3">
        <f>'Monthly Data'!DQ52</f>
        <v>31</v>
      </c>
      <c r="F52" s="3">
        <f>'Monthly Data'!CJ52</f>
        <v>3</v>
      </c>
      <c r="G52" s="3">
        <f>'Monthly Data'!ED52</f>
        <v>0</v>
      </c>
      <c r="I52" s="3">
        <f t="shared" si="9"/>
        <v>-4783589.0194705203</v>
      </c>
      <c r="J52" s="3">
        <f t="shared" si="10"/>
        <v>6077130.7489015264</v>
      </c>
      <c r="K52" s="3">
        <f t="shared" si="11"/>
        <v>6266839.7371904403</v>
      </c>
      <c r="L52" s="3">
        <f t="shared" si="12"/>
        <v>0</v>
      </c>
      <c r="M52" s="47">
        <f t="shared" si="4"/>
        <v>7560381.4666214464</v>
      </c>
      <c r="N52" s="47">
        <f>'Monthly Data'!BX52</f>
        <v>401.74237179487181</v>
      </c>
      <c r="O52" s="47">
        <f t="shared" si="5"/>
        <v>7560783.2089932412</v>
      </c>
      <c r="P52" s="47">
        <f t="shared" si="6"/>
        <v>283788.23297583591</v>
      </c>
      <c r="Q52" s="18">
        <f t="shared" si="8"/>
        <v>3.8997997650281342E-2</v>
      </c>
    </row>
    <row r="53" spans="1:17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Data'!BW53</f>
        <v>6869445.5186042413</v>
      </c>
      <c r="E53" s="3">
        <f>'Monthly Data'!DQ53</f>
        <v>30</v>
      </c>
      <c r="F53" s="3">
        <f>'Monthly Data'!CJ53</f>
        <v>3</v>
      </c>
      <c r="G53" s="3">
        <f>'Monthly Data'!ED53</f>
        <v>0</v>
      </c>
      <c r="I53" s="3">
        <f t="shared" si="9"/>
        <v>-4783589.0194705203</v>
      </c>
      <c r="J53" s="3">
        <f t="shared" si="10"/>
        <v>5881094.27313051</v>
      </c>
      <c r="K53" s="3">
        <f t="shared" si="11"/>
        <v>6266839.7371904403</v>
      </c>
      <c r="L53" s="3">
        <f t="shared" si="12"/>
        <v>0</v>
      </c>
      <c r="M53" s="47">
        <f t="shared" si="4"/>
        <v>7364344.99085043</v>
      </c>
      <c r="N53" s="47">
        <f>'Monthly Data'!BX53</f>
        <v>410.56788461538463</v>
      </c>
      <c r="O53" s="47">
        <f t="shared" si="5"/>
        <v>7364755.5587350456</v>
      </c>
      <c r="P53" s="47">
        <f t="shared" si="6"/>
        <v>495310.04013080429</v>
      </c>
      <c r="Q53" s="18">
        <f t="shared" si="8"/>
        <v>7.2103350814760256E-2</v>
      </c>
    </row>
    <row r="54" spans="1:17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Data'!BW54</f>
        <v>6956877.9711910784</v>
      </c>
      <c r="E54" s="3">
        <f>'Monthly Data'!DQ54</f>
        <v>31</v>
      </c>
      <c r="F54" s="3">
        <f>'Monthly Data'!CJ54</f>
        <v>3</v>
      </c>
      <c r="G54" s="3">
        <f>'Monthly Data'!ED54</f>
        <v>0</v>
      </c>
      <c r="I54" s="3">
        <f t="shared" si="9"/>
        <v>-4783589.0194705203</v>
      </c>
      <c r="J54" s="3">
        <f t="shared" si="10"/>
        <v>6077130.7489015264</v>
      </c>
      <c r="K54" s="3">
        <f t="shared" si="11"/>
        <v>6266839.7371904403</v>
      </c>
      <c r="L54" s="3">
        <f t="shared" si="12"/>
        <v>0</v>
      </c>
      <c r="M54" s="47">
        <f t="shared" si="4"/>
        <v>7560381.4666214464</v>
      </c>
      <c r="N54" s="47">
        <f>'Monthly Data'!BX54</f>
        <v>419.39339743589744</v>
      </c>
      <c r="O54" s="47">
        <f t="shared" si="5"/>
        <v>7560800.860018882</v>
      </c>
      <c r="P54" s="47">
        <f t="shared" si="6"/>
        <v>603922.88882780354</v>
      </c>
      <c r="Q54" s="18">
        <f t="shared" ref="Q54:Q85" si="13">ABS(P54/D54)</f>
        <v>8.6809469898522118E-2</v>
      </c>
    </row>
    <row r="55" spans="1:17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Data'!BW55</f>
        <v>6805757.1837779153</v>
      </c>
      <c r="E55" s="3">
        <f>'Monthly Data'!DQ55</f>
        <v>30</v>
      </c>
      <c r="F55" s="3">
        <f>'Monthly Data'!CJ55</f>
        <v>3</v>
      </c>
      <c r="G55" s="3">
        <f>'Monthly Data'!ED55</f>
        <v>0</v>
      </c>
      <c r="I55" s="3">
        <f t="shared" si="9"/>
        <v>-4783589.0194705203</v>
      </c>
      <c r="J55" s="3">
        <f t="shared" si="10"/>
        <v>5881094.27313051</v>
      </c>
      <c r="K55" s="3">
        <f t="shared" si="11"/>
        <v>6266839.7371904403</v>
      </c>
      <c r="L55" s="3">
        <f t="shared" si="12"/>
        <v>0</v>
      </c>
      <c r="M55" s="47">
        <f t="shared" ref="M55:M118" si="14">SUM(I55:L55)</f>
        <v>7364344.99085043</v>
      </c>
      <c r="N55" s="47">
        <f>'Monthly Data'!BX55</f>
        <v>428.21891025641025</v>
      </c>
      <c r="O55" s="47">
        <f t="shared" ref="O55:O118" si="15">M55+N55</f>
        <v>7364773.2097606864</v>
      </c>
      <c r="P55" s="47">
        <f t="shared" ref="P55:P118" si="16">O55-D55</f>
        <v>559016.02598277107</v>
      </c>
      <c r="Q55" s="18">
        <f t="shared" si="13"/>
        <v>8.2138696824981053E-2</v>
      </c>
    </row>
    <row r="56" spans="1:17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Data'!BW56</f>
        <v>7007173.3463647515</v>
      </c>
      <c r="E56" s="3">
        <f>'Monthly Data'!DQ56</f>
        <v>31</v>
      </c>
      <c r="F56" s="3">
        <f>'Monthly Data'!CJ56</f>
        <v>3</v>
      </c>
      <c r="G56" s="3">
        <f>'Monthly Data'!ED56</f>
        <v>0</v>
      </c>
      <c r="I56" s="3">
        <f t="shared" si="9"/>
        <v>-4783589.0194705203</v>
      </c>
      <c r="J56" s="3">
        <f t="shared" si="10"/>
        <v>6077130.7489015264</v>
      </c>
      <c r="K56" s="3">
        <f t="shared" si="11"/>
        <v>6266839.7371904403</v>
      </c>
      <c r="L56" s="3">
        <f t="shared" si="12"/>
        <v>0</v>
      </c>
      <c r="M56" s="47">
        <f t="shared" si="14"/>
        <v>7560381.4666214464</v>
      </c>
      <c r="N56" s="47">
        <f>'Monthly Data'!BX56</f>
        <v>437.04442307692307</v>
      </c>
      <c r="O56" s="47">
        <f t="shared" si="15"/>
        <v>7560818.5110445237</v>
      </c>
      <c r="P56" s="47">
        <f t="shared" si="16"/>
        <v>553645.16467977222</v>
      </c>
      <c r="Q56" s="18">
        <f t="shared" si="13"/>
        <v>7.90111985693914E-2</v>
      </c>
    </row>
    <row r="57" spans="1:17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Data'!BW57</f>
        <v>7081320.3489515893</v>
      </c>
      <c r="E57" s="3">
        <f>'Monthly Data'!DQ57</f>
        <v>31</v>
      </c>
      <c r="F57" s="3">
        <f>'Monthly Data'!CJ57</f>
        <v>3</v>
      </c>
      <c r="G57" s="3">
        <f>'Monthly Data'!ED57</f>
        <v>0</v>
      </c>
      <c r="I57" s="3">
        <f t="shared" si="9"/>
        <v>-4783589.0194705203</v>
      </c>
      <c r="J57" s="3">
        <f t="shared" si="10"/>
        <v>6077130.7489015264</v>
      </c>
      <c r="K57" s="3">
        <f t="shared" si="11"/>
        <v>6266839.7371904403</v>
      </c>
      <c r="L57" s="3">
        <f t="shared" si="12"/>
        <v>0</v>
      </c>
      <c r="M57" s="47">
        <f t="shared" si="14"/>
        <v>7560381.4666214464</v>
      </c>
      <c r="N57" s="47">
        <f>'Monthly Data'!BX57</f>
        <v>445.86993589743588</v>
      </c>
      <c r="O57" s="47">
        <f t="shared" si="15"/>
        <v>7560827.3365573436</v>
      </c>
      <c r="P57" s="47">
        <f t="shared" si="16"/>
        <v>479506.98760575429</v>
      </c>
      <c r="Q57" s="18">
        <f t="shared" si="13"/>
        <v>6.7714347604221403E-2</v>
      </c>
    </row>
    <row r="58" spans="1:17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Data'!BW58</f>
        <v>6729557.7915384257</v>
      </c>
      <c r="E58" s="3">
        <f>'Monthly Data'!DQ58</f>
        <v>30</v>
      </c>
      <c r="F58" s="3">
        <f>'Monthly Data'!CJ58</f>
        <v>3</v>
      </c>
      <c r="G58" s="3">
        <f>'Monthly Data'!ED58</f>
        <v>0</v>
      </c>
      <c r="I58" s="3">
        <f t="shared" si="9"/>
        <v>-4783589.0194705203</v>
      </c>
      <c r="J58" s="3">
        <f t="shared" si="10"/>
        <v>5881094.27313051</v>
      </c>
      <c r="K58" s="3">
        <f t="shared" si="11"/>
        <v>6266839.7371904403</v>
      </c>
      <c r="L58" s="3">
        <f t="shared" si="12"/>
        <v>0</v>
      </c>
      <c r="M58" s="47">
        <f t="shared" si="14"/>
        <v>7364344.99085043</v>
      </c>
      <c r="N58" s="47">
        <f>'Monthly Data'!BX58</f>
        <v>454.69544871794869</v>
      </c>
      <c r="O58" s="47">
        <f t="shared" si="15"/>
        <v>7364799.686299148</v>
      </c>
      <c r="P58" s="47">
        <f t="shared" si="16"/>
        <v>635241.89476072229</v>
      </c>
      <c r="Q58" s="18">
        <f t="shared" si="13"/>
        <v>9.4395785642774219E-2</v>
      </c>
    </row>
    <row r="59" spans="1:17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Data'!BW59</f>
        <v>7263855.0041252626</v>
      </c>
      <c r="E59" s="3">
        <f>'Monthly Data'!DQ59</f>
        <v>31</v>
      </c>
      <c r="F59" s="3">
        <f>'Monthly Data'!CJ59</f>
        <v>3</v>
      </c>
      <c r="G59" s="3">
        <f>'Monthly Data'!ED59</f>
        <v>0</v>
      </c>
      <c r="I59" s="3">
        <f t="shared" si="9"/>
        <v>-4783589.0194705203</v>
      </c>
      <c r="J59" s="3">
        <f t="shared" si="10"/>
        <v>6077130.7489015264</v>
      </c>
      <c r="K59" s="3">
        <f t="shared" si="11"/>
        <v>6266839.7371904403</v>
      </c>
      <c r="L59" s="3">
        <f t="shared" si="12"/>
        <v>0</v>
      </c>
      <c r="M59" s="47">
        <f t="shared" si="14"/>
        <v>7560381.4666214464</v>
      </c>
      <c r="N59" s="47">
        <f>'Monthly Data'!BX59</f>
        <v>463.52096153846151</v>
      </c>
      <c r="O59" s="47">
        <f t="shared" si="15"/>
        <v>7560844.9875829853</v>
      </c>
      <c r="P59" s="47">
        <f t="shared" si="16"/>
        <v>296989.9834577227</v>
      </c>
      <c r="Q59" s="18">
        <f t="shared" si="13"/>
        <v>4.0886001068173472E-2</v>
      </c>
    </row>
    <row r="60" spans="1:17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Data'!BW60</f>
        <v>6948933.1667120997</v>
      </c>
      <c r="E60" s="3">
        <f>'Monthly Data'!DQ60</f>
        <v>30</v>
      </c>
      <c r="F60" s="3">
        <f>'Monthly Data'!CJ60</f>
        <v>3</v>
      </c>
      <c r="G60" s="3">
        <f>'Monthly Data'!ED60</f>
        <v>0</v>
      </c>
      <c r="I60" s="3">
        <f t="shared" si="9"/>
        <v>-4783589.0194705203</v>
      </c>
      <c r="J60" s="3">
        <f t="shared" si="10"/>
        <v>5881094.27313051</v>
      </c>
      <c r="K60" s="3">
        <f t="shared" si="11"/>
        <v>6266839.7371904403</v>
      </c>
      <c r="L60" s="3">
        <f t="shared" si="12"/>
        <v>0</v>
      </c>
      <c r="M60" s="47">
        <f t="shared" si="14"/>
        <v>7364344.99085043</v>
      </c>
      <c r="N60" s="47">
        <f>'Monthly Data'!BX60</f>
        <v>472.34647435897432</v>
      </c>
      <c r="O60" s="47">
        <f t="shared" si="15"/>
        <v>7364817.3373247888</v>
      </c>
      <c r="P60" s="47">
        <f t="shared" si="16"/>
        <v>415884.17061268911</v>
      </c>
      <c r="Q60" s="18">
        <f t="shared" si="13"/>
        <v>5.9848635845992093E-2</v>
      </c>
    </row>
    <row r="61" spans="1:17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Data'!BW61</f>
        <v>7116269.7292989362</v>
      </c>
      <c r="E61" s="3">
        <f>'Monthly Data'!DQ61</f>
        <v>31</v>
      </c>
      <c r="F61" s="3">
        <f>'Monthly Data'!CJ61</f>
        <v>3</v>
      </c>
      <c r="G61" s="3">
        <f>'Monthly Data'!ED61</f>
        <v>1</v>
      </c>
      <c r="I61" s="3">
        <f t="shared" si="9"/>
        <v>-4783589.0194705203</v>
      </c>
      <c r="J61" s="3">
        <f t="shared" si="10"/>
        <v>6077130.7489015264</v>
      </c>
      <c r="K61" s="3">
        <f t="shared" si="11"/>
        <v>6266839.7371904403</v>
      </c>
      <c r="L61" s="3">
        <f t="shared" si="12"/>
        <v>-252014.73853491701</v>
      </c>
      <c r="M61" s="47">
        <f t="shared" si="14"/>
        <v>7308366.7280865293</v>
      </c>
      <c r="N61" s="47">
        <f>'Monthly Data'!BX61</f>
        <v>481.17198717948713</v>
      </c>
      <c r="O61" s="47">
        <f t="shared" si="15"/>
        <v>7308847.900073709</v>
      </c>
      <c r="P61" s="47">
        <f t="shared" si="16"/>
        <v>192578.17077477276</v>
      </c>
      <c r="Q61" s="18">
        <f t="shared" si="13"/>
        <v>2.7061673896633585E-2</v>
      </c>
    </row>
    <row r="62" spans="1:17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Data'!BW62</f>
        <v>7589077.7560578836</v>
      </c>
      <c r="E62" s="3">
        <f>'Monthly Data'!DQ62</f>
        <v>31</v>
      </c>
      <c r="F62" s="3">
        <f>'Monthly Data'!CJ62</f>
        <v>3</v>
      </c>
      <c r="G62" s="3">
        <f>'Monthly Data'!ED62</f>
        <v>0</v>
      </c>
      <c r="I62" s="3">
        <f t="shared" si="9"/>
        <v>-4783589.0194705203</v>
      </c>
      <c r="J62" s="3">
        <f t="shared" si="10"/>
        <v>6077130.7489015264</v>
      </c>
      <c r="K62" s="3">
        <f t="shared" si="11"/>
        <v>6266839.7371904403</v>
      </c>
      <c r="L62" s="3">
        <f t="shared" si="12"/>
        <v>0</v>
      </c>
      <c r="M62" s="47">
        <f t="shared" si="14"/>
        <v>7560381.4666214464</v>
      </c>
      <c r="N62" s="47">
        <f>'Monthly Data'!BX62</f>
        <v>502.39644871794872</v>
      </c>
      <c r="O62" s="47">
        <f t="shared" si="15"/>
        <v>7560883.8630701648</v>
      </c>
      <c r="P62" s="47">
        <f t="shared" si="16"/>
        <v>-28193.892987718806</v>
      </c>
      <c r="Q62" s="18">
        <f t="shared" si="13"/>
        <v>3.7150618156749538E-3</v>
      </c>
    </row>
    <row r="63" spans="1:17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Data'!BW63</f>
        <v>7068068.9421894243</v>
      </c>
      <c r="E63" s="3">
        <f>'Monthly Data'!DQ63</f>
        <v>29</v>
      </c>
      <c r="F63" s="3">
        <f>'Monthly Data'!CJ63</f>
        <v>3</v>
      </c>
      <c r="G63" s="3">
        <f>'Monthly Data'!ED63</f>
        <v>0</v>
      </c>
      <c r="I63" s="3">
        <f t="shared" si="9"/>
        <v>-4783589.0194705203</v>
      </c>
      <c r="J63" s="3">
        <f t="shared" si="10"/>
        <v>5685057.7973594926</v>
      </c>
      <c r="K63" s="3">
        <f t="shared" si="11"/>
        <v>6266839.7371904403</v>
      </c>
      <c r="L63" s="3">
        <f t="shared" si="12"/>
        <v>0</v>
      </c>
      <c r="M63" s="47">
        <f t="shared" si="14"/>
        <v>7168308.5150794126</v>
      </c>
      <c r="N63" s="47">
        <f>'Monthly Data'!BX63</f>
        <v>514.79539743589737</v>
      </c>
      <c r="O63" s="47">
        <f t="shared" si="15"/>
        <v>7168823.3104768489</v>
      </c>
      <c r="P63" s="47">
        <f t="shared" si="16"/>
        <v>100754.36828742456</v>
      </c>
      <c r="Q63" s="18">
        <f t="shared" si="13"/>
        <v>1.4254864958379227E-2</v>
      </c>
    </row>
    <row r="64" spans="1:17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Data'!BW64</f>
        <v>7529941.3183209635</v>
      </c>
      <c r="E64" s="3">
        <f>'Monthly Data'!DQ64</f>
        <v>31</v>
      </c>
      <c r="F64" s="3">
        <f>'Monthly Data'!CJ64</f>
        <v>3</v>
      </c>
      <c r="G64" s="3">
        <f>'Monthly Data'!ED64</f>
        <v>0</v>
      </c>
      <c r="I64" s="3">
        <f t="shared" si="9"/>
        <v>-4783589.0194705203</v>
      </c>
      <c r="J64" s="3">
        <f t="shared" si="10"/>
        <v>6077130.7489015264</v>
      </c>
      <c r="K64" s="3">
        <f t="shared" si="11"/>
        <v>6266839.7371904403</v>
      </c>
      <c r="L64" s="3">
        <f t="shared" si="12"/>
        <v>0</v>
      </c>
      <c r="M64" s="47">
        <f t="shared" si="14"/>
        <v>7560381.4666214464</v>
      </c>
      <c r="N64" s="47">
        <f>'Monthly Data'!BX64</f>
        <v>527.19434615384614</v>
      </c>
      <c r="O64" s="47">
        <f t="shared" si="15"/>
        <v>7560908.6609676005</v>
      </c>
      <c r="P64" s="47">
        <f t="shared" si="16"/>
        <v>30967.342646637</v>
      </c>
      <c r="Q64" s="18">
        <f t="shared" si="13"/>
        <v>4.1125609533358412E-3</v>
      </c>
    </row>
    <row r="65" spans="1:17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Data'!BW65</f>
        <v>7704115.2444525044</v>
      </c>
      <c r="E65" s="3">
        <f>'Monthly Data'!DQ65</f>
        <v>30</v>
      </c>
      <c r="F65" s="3">
        <f>'Monthly Data'!CJ65</f>
        <v>3</v>
      </c>
      <c r="G65" s="3">
        <f>'Monthly Data'!ED65</f>
        <v>0</v>
      </c>
      <c r="I65" s="3">
        <f t="shared" si="9"/>
        <v>-4783589.0194705203</v>
      </c>
      <c r="J65" s="3">
        <f t="shared" si="10"/>
        <v>5881094.27313051</v>
      </c>
      <c r="K65" s="3">
        <f t="shared" si="11"/>
        <v>6266839.7371904403</v>
      </c>
      <c r="L65" s="3">
        <f t="shared" si="12"/>
        <v>0</v>
      </c>
      <c r="M65" s="47">
        <f t="shared" si="14"/>
        <v>7364344.99085043</v>
      </c>
      <c r="N65" s="47">
        <f>'Monthly Data'!BX65</f>
        <v>539.5932948717948</v>
      </c>
      <c r="O65" s="47">
        <f t="shared" si="15"/>
        <v>7364884.584145302</v>
      </c>
      <c r="P65" s="47">
        <f t="shared" si="16"/>
        <v>-339230.66030720249</v>
      </c>
      <c r="Q65" s="18">
        <f t="shared" si="13"/>
        <v>4.403239691299686E-2</v>
      </c>
    </row>
    <row r="66" spans="1:17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Data'!BW66</f>
        <v>7873956.4205840444</v>
      </c>
      <c r="E66" s="3">
        <f>'Monthly Data'!DQ66</f>
        <v>31</v>
      </c>
      <c r="F66" s="3">
        <f>'Monthly Data'!CJ66</f>
        <v>3</v>
      </c>
      <c r="G66" s="3">
        <f>'Monthly Data'!ED66</f>
        <v>0</v>
      </c>
      <c r="I66" s="3">
        <f t="shared" ref="I66:I97" si="17">$U$8</f>
        <v>-4783589.0194705203</v>
      </c>
      <c r="J66" s="3">
        <f t="shared" ref="J66:J97" si="18">E66*$U$9</f>
        <v>6077130.7489015264</v>
      </c>
      <c r="K66" s="3">
        <f t="shared" ref="K66:K97" si="19">F66*$U$10</f>
        <v>6266839.7371904403</v>
      </c>
      <c r="L66" s="3">
        <f t="shared" ref="L66:L97" si="20">G66*$U$11</f>
        <v>0</v>
      </c>
      <c r="M66" s="47">
        <f t="shared" si="14"/>
        <v>7560381.4666214464</v>
      </c>
      <c r="N66" s="47">
        <f>'Monthly Data'!BX66</f>
        <v>551.99224358974357</v>
      </c>
      <c r="O66" s="47">
        <f t="shared" si="15"/>
        <v>7560933.4588650363</v>
      </c>
      <c r="P66" s="47">
        <f t="shared" si="16"/>
        <v>-313022.96171900816</v>
      </c>
      <c r="Q66" s="18">
        <f t="shared" si="13"/>
        <v>3.9754215669863958E-2</v>
      </c>
    </row>
    <row r="67" spans="1:17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Data'!BW67</f>
        <v>7698535.3567155842</v>
      </c>
      <c r="E67" s="3">
        <f>'Monthly Data'!DQ67</f>
        <v>30</v>
      </c>
      <c r="F67" s="3">
        <f>'Monthly Data'!CJ67</f>
        <v>3</v>
      </c>
      <c r="G67" s="3">
        <f>'Monthly Data'!ED67</f>
        <v>0</v>
      </c>
      <c r="I67" s="3">
        <f t="shared" si="17"/>
        <v>-4783589.0194705203</v>
      </c>
      <c r="J67" s="3">
        <f t="shared" si="18"/>
        <v>5881094.27313051</v>
      </c>
      <c r="K67" s="3">
        <f t="shared" si="19"/>
        <v>6266839.7371904403</v>
      </c>
      <c r="L67" s="3">
        <f t="shared" si="20"/>
        <v>0</v>
      </c>
      <c r="M67" s="47">
        <f t="shared" si="14"/>
        <v>7364344.99085043</v>
      </c>
      <c r="N67" s="47">
        <f>'Monthly Data'!BX67</f>
        <v>564.39119230769222</v>
      </c>
      <c r="O67" s="47">
        <f t="shared" si="15"/>
        <v>7364909.3820427377</v>
      </c>
      <c r="P67" s="47">
        <f t="shared" si="16"/>
        <v>-333625.9746728465</v>
      </c>
      <c r="Q67" s="18">
        <f t="shared" si="13"/>
        <v>4.3336291802806098E-2</v>
      </c>
    </row>
    <row r="68" spans="1:17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Data'!BW68</f>
        <v>8101935.5328471242</v>
      </c>
      <c r="E68" s="3">
        <f>'Monthly Data'!DQ68</f>
        <v>31</v>
      </c>
      <c r="F68" s="3">
        <f>'Monthly Data'!CJ68</f>
        <v>3</v>
      </c>
      <c r="G68" s="3">
        <f>'Monthly Data'!ED68</f>
        <v>0</v>
      </c>
      <c r="I68" s="3">
        <f t="shared" si="17"/>
        <v>-4783589.0194705203</v>
      </c>
      <c r="J68" s="3">
        <f t="shared" si="18"/>
        <v>6077130.7489015264</v>
      </c>
      <c r="K68" s="3">
        <f t="shared" si="19"/>
        <v>6266839.7371904403</v>
      </c>
      <c r="L68" s="3">
        <f t="shared" si="20"/>
        <v>0</v>
      </c>
      <c r="M68" s="47">
        <f t="shared" si="14"/>
        <v>7560381.4666214464</v>
      </c>
      <c r="N68" s="47">
        <f>'Monthly Data'!BX68</f>
        <v>576.79014102564099</v>
      </c>
      <c r="O68" s="47">
        <f t="shared" si="15"/>
        <v>7560958.256762472</v>
      </c>
      <c r="P68" s="47">
        <f t="shared" si="16"/>
        <v>-540977.27608465217</v>
      </c>
      <c r="Q68" s="18">
        <f t="shared" si="13"/>
        <v>6.6771362706035481E-2</v>
      </c>
    </row>
    <row r="69" spans="1:17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Data'!BW69</f>
        <v>7895898.7089786651</v>
      </c>
      <c r="E69" s="3">
        <f>'Monthly Data'!DQ69</f>
        <v>31</v>
      </c>
      <c r="F69" s="3">
        <f>'Monthly Data'!CJ69</f>
        <v>3</v>
      </c>
      <c r="G69" s="3">
        <f>'Monthly Data'!ED69</f>
        <v>0</v>
      </c>
      <c r="I69" s="3">
        <f t="shared" si="17"/>
        <v>-4783589.0194705203</v>
      </c>
      <c r="J69" s="3">
        <f t="shared" si="18"/>
        <v>6077130.7489015264</v>
      </c>
      <c r="K69" s="3">
        <f t="shared" si="19"/>
        <v>6266839.7371904403</v>
      </c>
      <c r="L69" s="3">
        <f t="shared" si="20"/>
        <v>0</v>
      </c>
      <c r="M69" s="47">
        <f t="shared" si="14"/>
        <v>7560381.4666214464</v>
      </c>
      <c r="N69" s="47">
        <f>'Monthly Data'!BX69</f>
        <v>589.18908974358965</v>
      </c>
      <c r="O69" s="47">
        <f t="shared" si="15"/>
        <v>7560970.6557111898</v>
      </c>
      <c r="P69" s="47">
        <f t="shared" si="16"/>
        <v>-334928.05326747522</v>
      </c>
      <c r="Q69" s="18">
        <f t="shared" si="13"/>
        <v>4.2417977435123176E-2</v>
      </c>
    </row>
    <row r="70" spans="1:17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Data'!BW70</f>
        <v>7196079.4451102046</v>
      </c>
      <c r="E70" s="3">
        <f>'Monthly Data'!DQ70</f>
        <v>30</v>
      </c>
      <c r="F70" s="3">
        <f>'Monthly Data'!CJ70</f>
        <v>3</v>
      </c>
      <c r="G70" s="3">
        <f>'Monthly Data'!ED70</f>
        <v>0</v>
      </c>
      <c r="I70" s="3">
        <f t="shared" si="17"/>
        <v>-4783589.0194705203</v>
      </c>
      <c r="J70" s="3">
        <f t="shared" si="18"/>
        <v>5881094.27313051</v>
      </c>
      <c r="K70" s="3">
        <f t="shared" si="19"/>
        <v>6266839.7371904403</v>
      </c>
      <c r="L70" s="3">
        <f t="shared" si="20"/>
        <v>0</v>
      </c>
      <c r="M70" s="47">
        <f t="shared" si="14"/>
        <v>7364344.99085043</v>
      </c>
      <c r="N70" s="47">
        <f>'Monthly Data'!BX70</f>
        <v>601.58803846153842</v>
      </c>
      <c r="O70" s="47">
        <f t="shared" si="15"/>
        <v>7364946.5788888913</v>
      </c>
      <c r="P70" s="47">
        <f t="shared" si="16"/>
        <v>168867.13377868664</v>
      </c>
      <c r="Q70" s="18">
        <f t="shared" si="13"/>
        <v>2.3466546619831059E-2</v>
      </c>
    </row>
    <row r="71" spans="1:17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Data'!BW71</f>
        <v>7153203.5412417445</v>
      </c>
      <c r="E71" s="3">
        <f>'Monthly Data'!DQ71</f>
        <v>31</v>
      </c>
      <c r="F71" s="3">
        <f>'Monthly Data'!CJ71</f>
        <v>3</v>
      </c>
      <c r="G71" s="3">
        <f>'Monthly Data'!ED71</f>
        <v>0</v>
      </c>
      <c r="I71" s="3">
        <f t="shared" si="17"/>
        <v>-4783589.0194705203</v>
      </c>
      <c r="J71" s="3">
        <f t="shared" si="18"/>
        <v>6077130.7489015264</v>
      </c>
      <c r="K71" s="3">
        <f t="shared" si="19"/>
        <v>6266839.7371904403</v>
      </c>
      <c r="L71" s="3">
        <f t="shared" si="20"/>
        <v>0</v>
      </c>
      <c r="M71" s="47">
        <f t="shared" si="14"/>
        <v>7560381.4666214464</v>
      </c>
      <c r="N71" s="47">
        <f>'Monthly Data'!BX71</f>
        <v>613.98698717948707</v>
      </c>
      <c r="O71" s="47">
        <f t="shared" si="15"/>
        <v>7560995.4536086256</v>
      </c>
      <c r="P71" s="47">
        <f t="shared" si="16"/>
        <v>407791.91236688104</v>
      </c>
      <c r="Q71" s="18">
        <f t="shared" si="13"/>
        <v>5.7008291462106404E-2</v>
      </c>
    </row>
    <row r="72" spans="1:17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Data'!BW72</f>
        <v>6955041.4173732847</v>
      </c>
      <c r="E72" s="3">
        <f>'Monthly Data'!DQ72</f>
        <v>30</v>
      </c>
      <c r="F72" s="3">
        <f>'Monthly Data'!CJ72</f>
        <v>3</v>
      </c>
      <c r="G72" s="3">
        <f>'Monthly Data'!ED72</f>
        <v>0</v>
      </c>
      <c r="I72" s="3">
        <f t="shared" si="17"/>
        <v>-4783589.0194705203</v>
      </c>
      <c r="J72" s="3">
        <f t="shared" si="18"/>
        <v>5881094.27313051</v>
      </c>
      <c r="K72" s="3">
        <f t="shared" si="19"/>
        <v>6266839.7371904403</v>
      </c>
      <c r="L72" s="3">
        <f t="shared" si="20"/>
        <v>0</v>
      </c>
      <c r="M72" s="47">
        <f t="shared" si="14"/>
        <v>7364344.99085043</v>
      </c>
      <c r="N72" s="47">
        <f>'Monthly Data'!BX72</f>
        <v>626.38593589743584</v>
      </c>
      <c r="O72" s="47">
        <f t="shared" si="15"/>
        <v>7364971.376786327</v>
      </c>
      <c r="P72" s="47">
        <f t="shared" si="16"/>
        <v>409929.95941304229</v>
      </c>
      <c r="Q72" s="18">
        <f t="shared" si="13"/>
        <v>5.8939973871192389E-2</v>
      </c>
    </row>
    <row r="73" spans="1:17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Data'!BW73</f>
        <v>7580986.8535048245</v>
      </c>
      <c r="E73" s="3">
        <f>'Monthly Data'!DQ73</f>
        <v>31</v>
      </c>
      <c r="F73" s="3">
        <f>'Monthly Data'!CJ73</f>
        <v>3</v>
      </c>
      <c r="G73" s="3">
        <f>'Monthly Data'!ED73</f>
        <v>1</v>
      </c>
      <c r="I73" s="3">
        <f t="shared" si="17"/>
        <v>-4783589.0194705203</v>
      </c>
      <c r="J73" s="3">
        <f t="shared" si="18"/>
        <v>6077130.7489015264</v>
      </c>
      <c r="K73" s="3">
        <f t="shared" si="19"/>
        <v>6266839.7371904403</v>
      </c>
      <c r="L73" s="3">
        <f t="shared" si="20"/>
        <v>-252014.73853491701</v>
      </c>
      <c r="M73" s="47">
        <f t="shared" si="14"/>
        <v>7308366.7280865293</v>
      </c>
      <c r="N73" s="47">
        <f>'Monthly Data'!BX73</f>
        <v>638.7848846153845</v>
      </c>
      <c r="O73" s="47">
        <f t="shared" si="15"/>
        <v>7309005.5129711451</v>
      </c>
      <c r="P73" s="47">
        <f t="shared" si="16"/>
        <v>-271981.34053367935</v>
      </c>
      <c r="Q73" s="18">
        <f t="shared" si="13"/>
        <v>3.5876772482191753E-2</v>
      </c>
    </row>
    <row r="74" spans="1:17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Data'!BW74</f>
        <v>8173206.3217348102</v>
      </c>
      <c r="E74" s="3">
        <f>'Monthly Data'!DQ74</f>
        <v>31</v>
      </c>
      <c r="F74" s="3">
        <f>'Monthly Data'!CJ74</f>
        <v>3</v>
      </c>
      <c r="G74" s="3">
        <f>'Monthly Data'!ED74</f>
        <v>0</v>
      </c>
      <c r="I74" s="3">
        <f t="shared" si="17"/>
        <v>-4783589.0194705203</v>
      </c>
      <c r="J74" s="3">
        <f t="shared" si="18"/>
        <v>6077130.7489015264</v>
      </c>
      <c r="K74" s="3">
        <f t="shared" si="19"/>
        <v>6266839.7371904403</v>
      </c>
      <c r="L74" s="3">
        <f t="shared" si="20"/>
        <v>0</v>
      </c>
      <c r="M74" s="47">
        <f t="shared" si="14"/>
        <v>7560381.4666214464</v>
      </c>
      <c r="N74" s="47">
        <f>'Monthly Data'!BX74</f>
        <v>670.64301282051292</v>
      </c>
      <c r="O74" s="47">
        <f t="shared" si="15"/>
        <v>7561052.1096342672</v>
      </c>
      <c r="P74" s="47">
        <f t="shared" ca="1" si="16"/>
        <v>-612154.21210054308</v>
      </c>
      <c r="Q74" s="18">
        <f t="shared" ca="1" si="13"/>
        <v>7.4897682501010185E-2</v>
      </c>
    </row>
    <row r="75" spans="1:17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Data'!BW75</f>
        <v>7618713.8693286031</v>
      </c>
      <c r="E75" s="3">
        <f>'Monthly Data'!DQ75</f>
        <v>28</v>
      </c>
      <c r="F75" s="3">
        <f>'Monthly Data'!CJ75</f>
        <v>3</v>
      </c>
      <c r="G75" s="3">
        <f>'Monthly Data'!ED75</f>
        <v>0</v>
      </c>
      <c r="I75" s="3">
        <f t="shared" si="17"/>
        <v>-4783589.0194705203</v>
      </c>
      <c r="J75" s="3">
        <f t="shared" si="18"/>
        <v>5489021.3215884762</v>
      </c>
      <c r="K75" s="3">
        <f t="shared" si="19"/>
        <v>6266839.7371904403</v>
      </c>
      <c r="L75" s="3">
        <f t="shared" si="20"/>
        <v>0</v>
      </c>
      <c r="M75" s="47">
        <f t="shared" si="14"/>
        <v>6972272.0393083962</v>
      </c>
      <c r="N75" s="47">
        <f>'Monthly Data'!BX75</f>
        <v>690.10219230769235</v>
      </c>
      <c r="O75" s="47">
        <f t="shared" si="15"/>
        <v>6972962.141500704</v>
      </c>
      <c r="P75" s="47">
        <f t="shared" ca="1" si="16"/>
        <v>-645751.72782789916</v>
      </c>
      <c r="Q75" s="18">
        <f t="shared" ca="1" si="13"/>
        <v>8.4758627099458958E-2</v>
      </c>
    </row>
    <row r="76" spans="1:17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Data'!BW76</f>
        <v>7949162.0869223978</v>
      </c>
      <c r="E76" s="3">
        <f>'Monthly Data'!DQ76</f>
        <v>31</v>
      </c>
      <c r="F76" s="3">
        <f>'Monthly Data'!CJ76</f>
        <v>3</v>
      </c>
      <c r="G76" s="3">
        <f>'Monthly Data'!ED76</f>
        <v>0</v>
      </c>
      <c r="I76" s="3">
        <f t="shared" si="17"/>
        <v>-4783589.0194705203</v>
      </c>
      <c r="J76" s="3">
        <f t="shared" si="18"/>
        <v>6077130.7489015264</v>
      </c>
      <c r="K76" s="3">
        <f t="shared" si="19"/>
        <v>6266839.7371904403</v>
      </c>
      <c r="L76" s="3">
        <f t="shared" si="20"/>
        <v>0</v>
      </c>
      <c r="M76" s="47">
        <f t="shared" si="14"/>
        <v>7560381.4666214464</v>
      </c>
      <c r="N76" s="47">
        <f>'Monthly Data'!BX76</f>
        <v>709.56137179487189</v>
      </c>
      <c r="O76" s="47">
        <f t="shared" si="15"/>
        <v>7561091.0279932413</v>
      </c>
      <c r="P76" s="47">
        <f t="shared" ca="1" si="16"/>
        <v>-388071.05892915651</v>
      </c>
      <c r="Q76" s="18">
        <f t="shared" ca="1" si="13"/>
        <v>4.8819115107439248E-2</v>
      </c>
    </row>
    <row r="77" spans="1:17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Data'!BW77</f>
        <v>7597359.0045161927</v>
      </c>
      <c r="E77" s="3">
        <f>'Monthly Data'!DQ77</f>
        <v>30</v>
      </c>
      <c r="F77" s="3">
        <f>'Monthly Data'!CJ77</f>
        <v>3</v>
      </c>
      <c r="G77" s="3">
        <f>'Monthly Data'!ED77</f>
        <v>0</v>
      </c>
      <c r="I77" s="3">
        <f t="shared" si="17"/>
        <v>-4783589.0194705203</v>
      </c>
      <c r="J77" s="3">
        <f t="shared" si="18"/>
        <v>5881094.27313051</v>
      </c>
      <c r="K77" s="3">
        <f t="shared" si="19"/>
        <v>6266839.7371904403</v>
      </c>
      <c r="L77" s="3">
        <f t="shared" si="20"/>
        <v>0</v>
      </c>
      <c r="M77" s="47">
        <f t="shared" si="14"/>
        <v>7364344.99085043</v>
      </c>
      <c r="N77" s="47">
        <f>'Monthly Data'!BX77</f>
        <v>729.02055128205143</v>
      </c>
      <c r="O77" s="47">
        <f t="shared" si="15"/>
        <v>7365074.011401712</v>
      </c>
      <c r="P77" s="47">
        <f t="shared" ca="1" si="16"/>
        <v>-232284.99311448075</v>
      </c>
      <c r="Q77" s="18">
        <f t="shared" ca="1" si="13"/>
        <v>3.0574439483036234E-2</v>
      </c>
    </row>
    <row r="78" spans="1:17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Data'!BW78</f>
        <v>7863141.4721099855</v>
      </c>
      <c r="E78" s="3">
        <f>'Monthly Data'!DQ78</f>
        <v>31</v>
      </c>
      <c r="F78" s="3">
        <f>'Monthly Data'!CJ78</f>
        <v>3</v>
      </c>
      <c r="G78" s="3">
        <f>'Monthly Data'!ED78</f>
        <v>0</v>
      </c>
      <c r="I78" s="3">
        <f t="shared" si="17"/>
        <v>-4783589.0194705203</v>
      </c>
      <c r="J78" s="3">
        <f t="shared" si="18"/>
        <v>6077130.7489015264</v>
      </c>
      <c r="K78" s="3">
        <f t="shared" si="19"/>
        <v>6266839.7371904403</v>
      </c>
      <c r="L78" s="3">
        <f t="shared" si="20"/>
        <v>0</v>
      </c>
      <c r="M78" s="47">
        <f t="shared" si="14"/>
        <v>7560381.4666214464</v>
      </c>
      <c r="N78" s="47">
        <f>'Monthly Data'!BX78</f>
        <v>748.47973076923086</v>
      </c>
      <c r="O78" s="47">
        <f t="shared" si="15"/>
        <v>7561129.9463522155</v>
      </c>
      <c r="P78" s="47">
        <f t="shared" ca="1" si="16"/>
        <v>-302011.52575777005</v>
      </c>
      <c r="Q78" s="18">
        <f t="shared" ca="1" si="13"/>
        <v>3.8408507188759593E-2</v>
      </c>
    </row>
    <row r="79" spans="1:17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Data'!BW79</f>
        <v>7672024.0597037803</v>
      </c>
      <c r="E79" s="3">
        <f>'Monthly Data'!DQ79</f>
        <v>30</v>
      </c>
      <c r="F79" s="3">
        <f>'Monthly Data'!CJ79</f>
        <v>3</v>
      </c>
      <c r="G79" s="3">
        <f>'Monthly Data'!ED79</f>
        <v>0</v>
      </c>
      <c r="I79" s="3">
        <f t="shared" si="17"/>
        <v>-4783589.0194705203</v>
      </c>
      <c r="J79" s="3">
        <f t="shared" si="18"/>
        <v>5881094.27313051</v>
      </c>
      <c r="K79" s="3">
        <f t="shared" si="19"/>
        <v>6266839.7371904403</v>
      </c>
      <c r="L79" s="3">
        <f t="shared" si="20"/>
        <v>0</v>
      </c>
      <c r="M79" s="47">
        <f t="shared" si="14"/>
        <v>7364344.99085043</v>
      </c>
      <c r="N79" s="47">
        <f>'Monthly Data'!BX79</f>
        <v>767.9389102564104</v>
      </c>
      <c r="O79" s="47">
        <f t="shared" si="15"/>
        <v>7365112.9297606861</v>
      </c>
      <c r="P79" s="47">
        <f t="shared" ca="1" si="16"/>
        <v>-306911.12994309422</v>
      </c>
      <c r="Q79" s="18">
        <f t="shared" ca="1" si="13"/>
        <v>4.0003932150721663E-2</v>
      </c>
    </row>
    <row r="80" spans="1:17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Data'!BW80</f>
        <v>7904835.8172975751</v>
      </c>
      <c r="E80" s="3">
        <f>'Monthly Data'!DQ80</f>
        <v>31</v>
      </c>
      <c r="F80" s="3">
        <f>'Monthly Data'!CJ80</f>
        <v>3</v>
      </c>
      <c r="G80" s="3">
        <f>'Monthly Data'!ED80</f>
        <v>0</v>
      </c>
      <c r="I80" s="3">
        <f t="shared" si="17"/>
        <v>-4783589.0194705203</v>
      </c>
      <c r="J80" s="3">
        <f t="shared" si="18"/>
        <v>6077130.7489015264</v>
      </c>
      <c r="K80" s="3">
        <f t="shared" si="19"/>
        <v>6266839.7371904403</v>
      </c>
      <c r="L80" s="3">
        <f t="shared" si="20"/>
        <v>0</v>
      </c>
      <c r="M80" s="47">
        <f t="shared" si="14"/>
        <v>7560381.4666214464</v>
      </c>
      <c r="N80" s="47">
        <f>'Monthly Data'!BX80</f>
        <v>787.39808974358982</v>
      </c>
      <c r="O80" s="47">
        <f t="shared" si="15"/>
        <v>7561168.8647111896</v>
      </c>
      <c r="P80" s="47">
        <f t="shared" ca="1" si="16"/>
        <v>-343666.95258638542</v>
      </c>
      <c r="Q80" s="18">
        <f t="shared" ca="1" si="13"/>
        <v>4.3475533272223581E-2</v>
      </c>
    </row>
    <row r="81" spans="1:17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Data'!BW81</f>
        <v>8125227.8048913684</v>
      </c>
      <c r="E81" s="3">
        <f>'Monthly Data'!DQ81</f>
        <v>31</v>
      </c>
      <c r="F81" s="3">
        <f>'Monthly Data'!CJ81</f>
        <v>3</v>
      </c>
      <c r="G81" s="3">
        <f>'Monthly Data'!ED81</f>
        <v>0</v>
      </c>
      <c r="I81" s="3">
        <f t="shared" si="17"/>
        <v>-4783589.0194705203</v>
      </c>
      <c r="J81" s="3">
        <f t="shared" si="18"/>
        <v>6077130.7489015264</v>
      </c>
      <c r="K81" s="3">
        <f t="shared" si="19"/>
        <v>6266839.7371904403</v>
      </c>
      <c r="L81" s="3">
        <f t="shared" si="20"/>
        <v>0</v>
      </c>
      <c r="M81" s="47">
        <f t="shared" si="14"/>
        <v>7560381.4666214464</v>
      </c>
      <c r="N81" s="47">
        <f>'Monthly Data'!BX81</f>
        <v>806.85726923076936</v>
      </c>
      <c r="O81" s="47">
        <f t="shared" si="15"/>
        <v>7561188.3238906777</v>
      </c>
      <c r="P81" s="47">
        <f t="shared" ca="1" si="16"/>
        <v>-564039.48100069072</v>
      </c>
      <c r="Q81" s="18">
        <f t="shared" ca="1" si="13"/>
        <v>6.9418297498211712E-2</v>
      </c>
    </row>
    <row r="82" spans="1:17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Data'!BW82</f>
        <v>7866131.5424851626</v>
      </c>
      <c r="E82" s="3">
        <f>'Monthly Data'!DQ82</f>
        <v>30</v>
      </c>
      <c r="F82" s="3">
        <f>'Monthly Data'!CJ82</f>
        <v>3</v>
      </c>
      <c r="G82" s="3">
        <f>'Monthly Data'!ED82</f>
        <v>0</v>
      </c>
      <c r="I82" s="3">
        <f t="shared" si="17"/>
        <v>-4783589.0194705203</v>
      </c>
      <c r="J82" s="3">
        <f t="shared" si="18"/>
        <v>5881094.27313051</v>
      </c>
      <c r="K82" s="3">
        <f t="shared" si="19"/>
        <v>6266839.7371904403</v>
      </c>
      <c r="L82" s="3">
        <f t="shared" si="20"/>
        <v>0</v>
      </c>
      <c r="M82" s="47">
        <f t="shared" si="14"/>
        <v>7364344.99085043</v>
      </c>
      <c r="N82" s="47">
        <f>'Monthly Data'!BX82</f>
        <v>826.31644871794879</v>
      </c>
      <c r="O82" s="47">
        <f t="shared" si="15"/>
        <v>7365171.3072991483</v>
      </c>
      <c r="P82" s="47">
        <f t="shared" ca="1" si="16"/>
        <v>-500960.23518601432</v>
      </c>
      <c r="Q82" s="18">
        <f t="shared" ca="1" si="13"/>
        <v>6.3685718002593303E-2</v>
      </c>
    </row>
    <row r="83" spans="1:17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Data'!BW83</f>
        <v>7942289.2900789566</v>
      </c>
      <c r="E83" s="3">
        <f>'Monthly Data'!DQ83</f>
        <v>31</v>
      </c>
      <c r="F83" s="3">
        <f>'Monthly Data'!CJ83</f>
        <v>3</v>
      </c>
      <c r="G83" s="3">
        <f>'Monthly Data'!ED83</f>
        <v>0</v>
      </c>
      <c r="I83" s="3">
        <f t="shared" si="17"/>
        <v>-4783589.0194705203</v>
      </c>
      <c r="J83" s="3">
        <f t="shared" si="18"/>
        <v>6077130.7489015264</v>
      </c>
      <c r="K83" s="3">
        <f t="shared" si="19"/>
        <v>6266839.7371904403</v>
      </c>
      <c r="L83" s="3">
        <f t="shared" si="20"/>
        <v>0</v>
      </c>
      <c r="M83" s="47">
        <f t="shared" si="14"/>
        <v>7560381.4666214464</v>
      </c>
      <c r="N83" s="47">
        <f>'Monthly Data'!BX83</f>
        <v>845.77562820512833</v>
      </c>
      <c r="O83" s="47">
        <f t="shared" si="15"/>
        <v>7561227.2422496518</v>
      </c>
      <c r="P83" s="47">
        <f t="shared" ca="1" si="16"/>
        <v>-381062.04782930482</v>
      </c>
      <c r="Q83" s="18">
        <f t="shared" ca="1" si="13"/>
        <v>4.7978867793862061E-2</v>
      </c>
    </row>
    <row r="84" spans="1:17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Data'!BW84</f>
        <v>7837906.3576727509</v>
      </c>
      <c r="E84" s="3">
        <f>'Monthly Data'!DQ84</f>
        <v>30</v>
      </c>
      <c r="F84" s="3">
        <f>'Monthly Data'!CJ84</f>
        <v>3</v>
      </c>
      <c r="G84" s="3">
        <f>'Monthly Data'!ED84</f>
        <v>0</v>
      </c>
      <c r="I84" s="3">
        <f t="shared" si="17"/>
        <v>-4783589.0194705203</v>
      </c>
      <c r="J84" s="3">
        <f t="shared" si="18"/>
        <v>5881094.27313051</v>
      </c>
      <c r="K84" s="3">
        <f t="shared" si="19"/>
        <v>6266839.7371904403</v>
      </c>
      <c r="L84" s="3">
        <f t="shared" si="20"/>
        <v>0</v>
      </c>
      <c r="M84" s="47">
        <f t="shared" si="14"/>
        <v>7364344.99085043</v>
      </c>
      <c r="N84" s="47">
        <f>'Monthly Data'!BX84</f>
        <v>865.23480769230787</v>
      </c>
      <c r="O84" s="47">
        <f t="shared" si="15"/>
        <v>7365210.2256581225</v>
      </c>
      <c r="P84" s="47">
        <f t="shared" ca="1" si="16"/>
        <v>-472696.1320146285</v>
      </c>
      <c r="Q84" s="18">
        <f t="shared" ca="1" si="13"/>
        <v>6.0308979266113928E-2</v>
      </c>
    </row>
    <row r="85" spans="1:17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Data'!BW85</f>
        <v>7841044.105266545</v>
      </c>
      <c r="E85" s="3">
        <f>'Monthly Data'!DQ85</f>
        <v>31</v>
      </c>
      <c r="F85" s="3">
        <f>'Monthly Data'!CJ85</f>
        <v>3</v>
      </c>
      <c r="G85" s="3">
        <f>'Monthly Data'!ED85</f>
        <v>1</v>
      </c>
      <c r="I85" s="3">
        <f t="shared" si="17"/>
        <v>-4783589.0194705203</v>
      </c>
      <c r="J85" s="3">
        <f t="shared" si="18"/>
        <v>6077130.7489015264</v>
      </c>
      <c r="K85" s="3">
        <f t="shared" si="19"/>
        <v>6266839.7371904403</v>
      </c>
      <c r="L85" s="3">
        <f t="shared" si="20"/>
        <v>-252014.73853491701</v>
      </c>
      <c r="M85" s="47">
        <f t="shared" si="14"/>
        <v>7308366.7280865293</v>
      </c>
      <c r="N85" s="47">
        <f>'Monthly Data'!BX85</f>
        <v>884.69398717948729</v>
      </c>
      <c r="O85" s="47">
        <f t="shared" si="15"/>
        <v>7309251.4220737088</v>
      </c>
      <c r="P85" s="47">
        <f t="shared" ca="1" si="16"/>
        <v>-531792.68319283612</v>
      </c>
      <c r="Q85" s="18">
        <f t="shared" ca="1" si="13"/>
        <v>6.7821667121557225E-2</v>
      </c>
    </row>
    <row r="86" spans="1:17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Data'!BW86</f>
        <v>8613193.4880363885</v>
      </c>
      <c r="E86" s="3">
        <f>'Monthly Data'!DQ86</f>
        <v>31</v>
      </c>
      <c r="F86" s="3">
        <f>'Monthly Data'!CJ86</f>
        <v>3</v>
      </c>
      <c r="G86" s="3">
        <f>'Monthly Data'!ED86</f>
        <v>0</v>
      </c>
      <c r="I86" s="3">
        <f t="shared" si="17"/>
        <v>-4783589.0194705203</v>
      </c>
      <c r="J86" s="3">
        <f t="shared" si="18"/>
        <v>6077130.7489015264</v>
      </c>
      <c r="K86" s="3">
        <f t="shared" si="19"/>
        <v>6266839.7371904403</v>
      </c>
      <c r="L86" s="3">
        <f t="shared" si="20"/>
        <v>0</v>
      </c>
      <c r="M86" s="47">
        <f t="shared" si="14"/>
        <v>7560381.4666214464</v>
      </c>
      <c r="N86" s="47">
        <f>'Monthly Data'!BX86</f>
        <v>962.3623076923077</v>
      </c>
      <c r="O86" s="47">
        <f t="shared" si="15"/>
        <v>7561343.8289291384</v>
      </c>
      <c r="P86" s="47">
        <f t="shared" ca="1" si="16"/>
        <v>-1051849.6591072502</v>
      </c>
      <c r="Q86" s="18">
        <f t="shared" ref="Q86:Q109" ca="1" si="21">ABS(P86/D86)</f>
        <v>0.12212075121361843</v>
      </c>
    </row>
    <row r="87" spans="1:17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Data'!BW87</f>
        <v>7956515.2173078153</v>
      </c>
      <c r="E87" s="3">
        <f>'Monthly Data'!DQ87</f>
        <v>28</v>
      </c>
      <c r="F87" s="3">
        <f>'Monthly Data'!CJ87</f>
        <v>3</v>
      </c>
      <c r="G87" s="3">
        <f>'Monthly Data'!ED87</f>
        <v>0</v>
      </c>
      <c r="I87" s="3">
        <f t="shared" si="17"/>
        <v>-4783589.0194705203</v>
      </c>
      <c r="J87" s="3">
        <f t="shared" si="18"/>
        <v>5489021.3215884762</v>
      </c>
      <c r="K87" s="3">
        <f t="shared" si="19"/>
        <v>6266839.7371904403</v>
      </c>
      <c r="L87" s="3">
        <f t="shared" si="20"/>
        <v>0</v>
      </c>
      <c r="M87" s="47">
        <f t="shared" si="14"/>
        <v>6972272.0393083962</v>
      </c>
      <c r="N87" s="47">
        <f>'Monthly Data'!BX87</f>
        <v>1020.5714487179487</v>
      </c>
      <c r="O87" s="47">
        <f t="shared" si="15"/>
        <v>6973292.6107571144</v>
      </c>
      <c r="P87" s="47">
        <f t="shared" ca="1" si="16"/>
        <v>-983222.60655070096</v>
      </c>
      <c r="Q87" s="18">
        <f t="shared" ca="1" si="21"/>
        <v>0.12357452725181696</v>
      </c>
    </row>
    <row r="88" spans="1:17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Data'!BW88</f>
        <v>8821067.446579244</v>
      </c>
      <c r="E88" s="3">
        <f>'Monthly Data'!DQ88</f>
        <v>31</v>
      </c>
      <c r="F88" s="3">
        <f>'Monthly Data'!CJ88</f>
        <v>3</v>
      </c>
      <c r="G88" s="3">
        <f>'Monthly Data'!ED88</f>
        <v>0</v>
      </c>
      <c r="I88" s="3">
        <f t="shared" si="17"/>
        <v>-4783589.0194705203</v>
      </c>
      <c r="J88" s="3">
        <f t="shared" si="18"/>
        <v>6077130.7489015264</v>
      </c>
      <c r="K88" s="3">
        <f t="shared" si="19"/>
        <v>6266839.7371904403</v>
      </c>
      <c r="L88" s="3">
        <f t="shared" si="20"/>
        <v>0</v>
      </c>
      <c r="M88" s="47">
        <f t="shared" si="14"/>
        <v>7560381.4666214464</v>
      </c>
      <c r="N88" s="47">
        <f>'Monthly Data'!BX88</f>
        <v>1078.7805897435896</v>
      </c>
      <c r="O88" s="47">
        <f t="shared" si="15"/>
        <v>7561460.2472111899</v>
      </c>
      <c r="P88" s="47">
        <f t="shared" ca="1" si="16"/>
        <v>-1259607.199368054</v>
      </c>
      <c r="Q88" s="18">
        <f t="shared" ca="1" si="21"/>
        <v>0.14279532573538162</v>
      </c>
    </row>
    <row r="89" spans="1:17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Data'!BW89</f>
        <v>7838012.6858506724</v>
      </c>
      <c r="E89" s="3">
        <f>'Monthly Data'!DQ89</f>
        <v>30</v>
      </c>
      <c r="F89" s="3">
        <f>'Monthly Data'!CJ89</f>
        <v>3</v>
      </c>
      <c r="G89" s="3">
        <f>'Monthly Data'!ED89</f>
        <v>0</v>
      </c>
      <c r="I89" s="3">
        <f t="shared" si="17"/>
        <v>-4783589.0194705203</v>
      </c>
      <c r="J89" s="3">
        <f t="shared" si="18"/>
        <v>5881094.27313051</v>
      </c>
      <c r="K89" s="3">
        <f t="shared" si="19"/>
        <v>6266839.7371904403</v>
      </c>
      <c r="L89" s="3">
        <f t="shared" si="20"/>
        <v>0</v>
      </c>
      <c r="M89" s="47">
        <f t="shared" si="14"/>
        <v>7364344.99085043</v>
      </c>
      <c r="N89" s="47">
        <f>'Monthly Data'!BX89</f>
        <v>1136.9897307692308</v>
      </c>
      <c r="O89" s="47">
        <f t="shared" si="15"/>
        <v>7365481.9805811988</v>
      </c>
      <c r="P89" s="47">
        <f t="shared" ca="1" si="16"/>
        <v>-472530.7052694736</v>
      </c>
      <c r="Q89" s="18">
        <f t="shared" ca="1" si="21"/>
        <v>6.0287055432111623E-2</v>
      </c>
    </row>
    <row r="90" spans="1:17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Data'!BW90</f>
        <v>7761282.4951221002</v>
      </c>
      <c r="E90" s="3">
        <f>'Monthly Data'!DQ90</f>
        <v>31</v>
      </c>
      <c r="F90" s="3">
        <f>'Monthly Data'!CJ90</f>
        <v>3</v>
      </c>
      <c r="G90" s="3">
        <f>'Monthly Data'!ED90</f>
        <v>0</v>
      </c>
      <c r="I90" s="3">
        <f t="shared" si="17"/>
        <v>-4783589.0194705203</v>
      </c>
      <c r="J90" s="3">
        <f t="shared" si="18"/>
        <v>6077130.7489015264</v>
      </c>
      <c r="K90" s="3">
        <f t="shared" si="19"/>
        <v>6266839.7371904403</v>
      </c>
      <c r="L90" s="3">
        <f t="shared" si="20"/>
        <v>0</v>
      </c>
      <c r="M90" s="47">
        <f t="shared" si="14"/>
        <v>7560381.4666214464</v>
      </c>
      <c r="N90" s="47">
        <f>'Monthly Data'!BX90</f>
        <v>1195.1988717948718</v>
      </c>
      <c r="O90" s="47">
        <f t="shared" si="15"/>
        <v>7561576.6654932415</v>
      </c>
      <c r="P90" s="47">
        <f t="shared" ca="1" si="16"/>
        <v>-199705.82962885872</v>
      </c>
      <c r="Q90" s="18">
        <f t="shared" ca="1" si="21"/>
        <v>2.5731034755450806E-2</v>
      </c>
    </row>
    <row r="91" spans="1:17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Data'!BW91</f>
        <v>7284019.9943935275</v>
      </c>
      <c r="E91" s="3">
        <f>'Monthly Data'!DQ91</f>
        <v>30</v>
      </c>
      <c r="F91" s="3">
        <f>'Monthly Data'!CJ91</f>
        <v>3</v>
      </c>
      <c r="G91" s="3">
        <f>'Monthly Data'!ED91</f>
        <v>0</v>
      </c>
      <c r="I91" s="3">
        <f t="shared" si="17"/>
        <v>-4783589.0194705203</v>
      </c>
      <c r="J91" s="3">
        <f t="shared" si="18"/>
        <v>5881094.27313051</v>
      </c>
      <c r="K91" s="3">
        <f t="shared" si="19"/>
        <v>6266839.7371904403</v>
      </c>
      <c r="L91" s="3">
        <f t="shared" si="20"/>
        <v>0</v>
      </c>
      <c r="M91" s="47">
        <f t="shared" si="14"/>
        <v>7364344.99085043</v>
      </c>
      <c r="N91" s="47">
        <f>'Monthly Data'!BX91</f>
        <v>1253.4080128205128</v>
      </c>
      <c r="O91" s="47">
        <f t="shared" si="15"/>
        <v>7365598.3988632504</v>
      </c>
      <c r="P91" s="47">
        <f t="shared" ca="1" si="16"/>
        <v>81578.404469722882</v>
      </c>
      <c r="Q91" s="18">
        <f t="shared" ca="1" si="21"/>
        <v>1.1199640381618029E-2</v>
      </c>
    </row>
    <row r="92" spans="1:17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Data'!BW92</f>
        <v>7888180.0936649563</v>
      </c>
      <c r="E92" s="3">
        <f>'Monthly Data'!DQ92</f>
        <v>31</v>
      </c>
      <c r="F92" s="3">
        <f>'Monthly Data'!CJ92</f>
        <v>3</v>
      </c>
      <c r="G92" s="3">
        <f>'Monthly Data'!ED92</f>
        <v>0</v>
      </c>
      <c r="I92" s="3">
        <f t="shared" si="17"/>
        <v>-4783589.0194705203</v>
      </c>
      <c r="J92" s="3">
        <f t="shared" si="18"/>
        <v>6077130.7489015264</v>
      </c>
      <c r="K92" s="3">
        <f t="shared" si="19"/>
        <v>6266839.7371904403</v>
      </c>
      <c r="L92" s="3">
        <f t="shared" si="20"/>
        <v>0</v>
      </c>
      <c r="M92" s="47">
        <f t="shared" si="14"/>
        <v>7560381.4666214464</v>
      </c>
      <c r="N92" s="47">
        <f>'Monthly Data'!BX92</f>
        <v>1311.617153846154</v>
      </c>
      <c r="O92" s="47">
        <f t="shared" si="15"/>
        <v>7561693.0837752922</v>
      </c>
      <c r="P92" s="47">
        <f t="shared" ca="1" si="16"/>
        <v>-326487.00988966413</v>
      </c>
      <c r="Q92" s="18">
        <f t="shared" ca="1" si="21"/>
        <v>4.1389396034690912E-2</v>
      </c>
    </row>
    <row r="93" spans="1:17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Data'!BW93</f>
        <v>8194582.362936384</v>
      </c>
      <c r="E93" s="3">
        <f>'Monthly Data'!DQ93</f>
        <v>31</v>
      </c>
      <c r="F93" s="3">
        <f>'Monthly Data'!CJ93</f>
        <v>3</v>
      </c>
      <c r="G93" s="3">
        <f>'Monthly Data'!ED93</f>
        <v>0</v>
      </c>
      <c r="I93" s="3">
        <f t="shared" si="17"/>
        <v>-4783589.0194705203</v>
      </c>
      <c r="J93" s="3">
        <f t="shared" si="18"/>
        <v>6077130.7489015264</v>
      </c>
      <c r="K93" s="3">
        <f t="shared" si="19"/>
        <v>6266839.7371904403</v>
      </c>
      <c r="L93" s="3">
        <f t="shared" si="20"/>
        <v>0</v>
      </c>
      <c r="M93" s="47">
        <f t="shared" si="14"/>
        <v>7560381.4666214464</v>
      </c>
      <c r="N93" s="47">
        <f>'Monthly Data'!BX93</f>
        <v>1369.826294871795</v>
      </c>
      <c r="O93" s="47">
        <f t="shared" si="15"/>
        <v>7561751.2929163184</v>
      </c>
      <c r="P93" s="47">
        <f t="shared" ca="1" si="16"/>
        <v>-632831.07002006564</v>
      </c>
      <c r="Q93" s="18">
        <f t="shared" ca="1" si="21"/>
        <v>7.72255426807745E-2</v>
      </c>
    </row>
    <row r="94" spans="1:17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Data'!BW94</f>
        <v>7535129.8122078124</v>
      </c>
      <c r="E94" s="3">
        <f>'Monthly Data'!DQ94</f>
        <v>30</v>
      </c>
      <c r="F94" s="3">
        <f>'Monthly Data'!CJ94</f>
        <v>3</v>
      </c>
      <c r="G94" s="3">
        <f>'Monthly Data'!ED94</f>
        <v>0</v>
      </c>
      <c r="I94" s="3">
        <f t="shared" si="17"/>
        <v>-4783589.0194705203</v>
      </c>
      <c r="J94" s="3">
        <f t="shared" si="18"/>
        <v>5881094.27313051</v>
      </c>
      <c r="K94" s="3">
        <f t="shared" si="19"/>
        <v>6266839.7371904403</v>
      </c>
      <c r="L94" s="3">
        <f t="shared" si="20"/>
        <v>0</v>
      </c>
      <c r="M94" s="47">
        <f t="shared" si="14"/>
        <v>7364344.99085043</v>
      </c>
      <c r="N94" s="47">
        <f>'Monthly Data'!BX94</f>
        <v>1428.0354358974359</v>
      </c>
      <c r="O94" s="47">
        <f t="shared" si="15"/>
        <v>7365773.0262863273</v>
      </c>
      <c r="P94" s="47">
        <f t="shared" ca="1" si="16"/>
        <v>-169356.78592148516</v>
      </c>
      <c r="Q94" s="18">
        <f t="shared" ca="1" si="21"/>
        <v>2.2475629503702365E-2</v>
      </c>
    </row>
    <row r="95" spans="1:17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Data'!BW95</f>
        <v>8087523.1914792405</v>
      </c>
      <c r="E95" s="3">
        <f>'Monthly Data'!DQ95</f>
        <v>31</v>
      </c>
      <c r="F95" s="3">
        <f>'Monthly Data'!CJ95</f>
        <v>3</v>
      </c>
      <c r="G95" s="3">
        <f>'Monthly Data'!ED95</f>
        <v>0</v>
      </c>
      <c r="I95" s="3">
        <f t="shared" si="17"/>
        <v>-4783589.0194705203</v>
      </c>
      <c r="J95" s="3">
        <f t="shared" si="18"/>
        <v>6077130.7489015264</v>
      </c>
      <c r="K95" s="3">
        <f t="shared" si="19"/>
        <v>6266839.7371904403</v>
      </c>
      <c r="L95" s="3">
        <f t="shared" si="20"/>
        <v>0</v>
      </c>
      <c r="M95" s="47">
        <f t="shared" si="14"/>
        <v>7560381.4666214464</v>
      </c>
      <c r="N95" s="47">
        <f>'Monthly Data'!BX95</f>
        <v>1486.2445769230771</v>
      </c>
      <c r="O95" s="47">
        <f t="shared" si="15"/>
        <v>7561867.711198369</v>
      </c>
      <c r="P95" s="47">
        <f t="shared" ca="1" si="16"/>
        <v>-525655.4802808715</v>
      </c>
      <c r="Q95" s="18">
        <f t="shared" ca="1" si="21"/>
        <v>6.4995854458220967E-2</v>
      </c>
    </row>
    <row r="96" spans="1:17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Data'!BW96</f>
        <v>8003596.1307506682</v>
      </c>
      <c r="E96" s="3">
        <f>'Monthly Data'!DQ96</f>
        <v>30</v>
      </c>
      <c r="F96" s="3">
        <f>'Monthly Data'!CJ96</f>
        <v>3</v>
      </c>
      <c r="G96" s="3">
        <f>'Monthly Data'!ED96</f>
        <v>0</v>
      </c>
      <c r="I96" s="3">
        <f t="shared" si="17"/>
        <v>-4783589.0194705203</v>
      </c>
      <c r="J96" s="3">
        <f t="shared" si="18"/>
        <v>5881094.27313051</v>
      </c>
      <c r="K96" s="3">
        <f t="shared" si="19"/>
        <v>6266839.7371904403</v>
      </c>
      <c r="L96" s="3">
        <f t="shared" si="20"/>
        <v>0</v>
      </c>
      <c r="M96" s="47">
        <f t="shared" si="14"/>
        <v>7364344.99085043</v>
      </c>
      <c r="N96" s="47">
        <f>'Monthly Data'!BX96</f>
        <v>1544.4537179487181</v>
      </c>
      <c r="O96" s="47">
        <f t="shared" si="15"/>
        <v>7365889.4445683789</v>
      </c>
      <c r="P96" s="47">
        <f t="shared" ca="1" si="16"/>
        <v>-637706.68618228938</v>
      </c>
      <c r="Q96" s="18">
        <f t="shared" ca="1" si="21"/>
        <v>7.9677519425568263E-2</v>
      </c>
    </row>
    <row r="97" spans="1:25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Data'!BW97</f>
        <v>7602952.2100220965</v>
      </c>
      <c r="E97" s="3">
        <f>'Monthly Data'!DQ97</f>
        <v>31</v>
      </c>
      <c r="F97" s="3">
        <f>'Monthly Data'!CJ97</f>
        <v>3</v>
      </c>
      <c r="G97" s="3">
        <f>'Monthly Data'!ED97</f>
        <v>1</v>
      </c>
      <c r="I97" s="3">
        <f t="shared" si="17"/>
        <v>-4783589.0194705203</v>
      </c>
      <c r="J97" s="3">
        <f t="shared" si="18"/>
        <v>6077130.7489015264</v>
      </c>
      <c r="K97" s="3">
        <f t="shared" si="19"/>
        <v>6266839.7371904403</v>
      </c>
      <c r="L97" s="3">
        <f t="shared" si="20"/>
        <v>-252014.73853491701</v>
      </c>
      <c r="M97" s="47">
        <f t="shared" si="14"/>
        <v>7308366.7280865293</v>
      </c>
      <c r="N97" s="47">
        <f>'Monthly Data'!BX97</f>
        <v>1602.6628589743591</v>
      </c>
      <c r="O97" s="47">
        <f t="shared" si="15"/>
        <v>7309969.3909455035</v>
      </c>
      <c r="P97" s="47">
        <f t="shared" ca="1" si="16"/>
        <v>-292982.81907659303</v>
      </c>
      <c r="Q97" s="18">
        <f t="shared" ca="1" si="21"/>
        <v>3.8535401904853162E-2</v>
      </c>
    </row>
    <row r="98" spans="1:25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Data'!BW98</f>
        <v>8282723.9155689562</v>
      </c>
      <c r="E98" s="3">
        <f>'Monthly Data'!DQ98</f>
        <v>31</v>
      </c>
      <c r="F98" s="3">
        <f>'Monthly Data'!CJ98</f>
        <v>3</v>
      </c>
      <c r="G98" s="3">
        <f>'Monthly Data'!ED98</f>
        <v>0</v>
      </c>
      <c r="I98" s="3">
        <f t="shared" ref="I98:I121" si="22">$U$8</f>
        <v>-4783589.0194705203</v>
      </c>
      <c r="J98" s="3">
        <f t="shared" ref="J98:J121" si="23">E98*$U$9</f>
        <v>6077130.7489015264</v>
      </c>
      <c r="K98" s="3">
        <f t="shared" ref="K98:K121" si="24">F98*$U$10</f>
        <v>6266839.7371904403</v>
      </c>
      <c r="L98" s="3">
        <f t="shared" ref="L98:L121" si="25">G98*$U$11</f>
        <v>0</v>
      </c>
      <c r="M98" s="47">
        <f t="shared" si="14"/>
        <v>7560381.4666214464</v>
      </c>
      <c r="N98" s="47">
        <f>'Monthly Data'!BX98</f>
        <v>1746.7328205128206</v>
      </c>
      <c r="O98" s="47">
        <f t="shared" si="15"/>
        <v>7562128.1994419592</v>
      </c>
      <c r="P98" s="47">
        <f t="shared" ca="1" si="16"/>
        <v>-720595.71612699702</v>
      </c>
      <c r="Q98" s="18">
        <f t="shared" ca="1" si="21"/>
        <v>8.6999847329512006E-2</v>
      </c>
    </row>
    <row r="99" spans="1:25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Data'!BW99</f>
        <v>7755718.0544409184</v>
      </c>
      <c r="E99" s="3">
        <f>'Monthly Data'!DQ99</f>
        <v>28</v>
      </c>
      <c r="F99" s="3">
        <f>'Monthly Data'!CJ99</f>
        <v>3</v>
      </c>
      <c r="G99" s="3">
        <f>'Monthly Data'!ED99</f>
        <v>0</v>
      </c>
      <c r="I99" s="3">
        <f t="shared" si="22"/>
        <v>-4783589.0194705203</v>
      </c>
      <c r="J99" s="3">
        <f t="shared" si="23"/>
        <v>5489021.3215884762</v>
      </c>
      <c r="K99" s="3">
        <f t="shared" si="24"/>
        <v>6266839.7371904403</v>
      </c>
      <c r="L99" s="3">
        <f t="shared" si="25"/>
        <v>0</v>
      </c>
      <c r="M99" s="47">
        <f t="shared" si="14"/>
        <v>6972272.0393083962</v>
      </c>
      <c r="N99" s="47">
        <f>'Monthly Data'!BX99</f>
        <v>1832.5936410256411</v>
      </c>
      <c r="O99" s="47">
        <f t="shared" si="15"/>
        <v>6974104.6329494221</v>
      </c>
      <c r="P99" s="47">
        <f t="shared" ca="1" si="16"/>
        <v>-781613.42149149626</v>
      </c>
      <c r="Q99" s="18">
        <f t="shared" ca="1" si="21"/>
        <v>0.10077898861265915</v>
      </c>
    </row>
    <row r="100" spans="1:25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Data'!BW100</f>
        <v>8190782.6233128794</v>
      </c>
      <c r="E100" s="3">
        <f>'Monthly Data'!DQ100</f>
        <v>31</v>
      </c>
      <c r="F100" s="3">
        <f>'Monthly Data'!CJ100</f>
        <v>3</v>
      </c>
      <c r="G100" s="3">
        <f>'Monthly Data'!ED100</f>
        <v>0</v>
      </c>
      <c r="I100" s="3">
        <f t="shared" si="22"/>
        <v>-4783589.0194705203</v>
      </c>
      <c r="J100" s="3">
        <f t="shared" si="23"/>
        <v>6077130.7489015264</v>
      </c>
      <c r="K100" s="3">
        <f t="shared" si="24"/>
        <v>6266839.7371904403</v>
      </c>
      <c r="L100" s="3">
        <f t="shared" si="25"/>
        <v>0</v>
      </c>
      <c r="M100" s="47">
        <f t="shared" si="14"/>
        <v>7560381.4666214464</v>
      </c>
      <c r="N100" s="47">
        <f>'Monthly Data'!BX100</f>
        <v>1918.4544615384616</v>
      </c>
      <c r="O100" s="47">
        <f t="shared" si="15"/>
        <v>7562299.9210829847</v>
      </c>
      <c r="P100" s="47">
        <f t="shared" ca="1" si="16"/>
        <v>-628482.7022298947</v>
      </c>
      <c r="Q100" s="18">
        <f t="shared" ca="1" si="21"/>
        <v>7.6730482437793693E-2</v>
      </c>
    </row>
    <row r="101" spans="1:25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Data'!BW101</f>
        <v>7437666.8621848412</v>
      </c>
      <c r="E101" s="3">
        <f>'Monthly Data'!DQ101</f>
        <v>30</v>
      </c>
      <c r="F101" s="3">
        <f>'Monthly Data'!CJ101</f>
        <v>3</v>
      </c>
      <c r="G101" s="3">
        <f>'Monthly Data'!ED101</f>
        <v>0</v>
      </c>
      <c r="I101" s="3">
        <f t="shared" si="22"/>
        <v>-4783589.0194705203</v>
      </c>
      <c r="J101" s="3">
        <f t="shared" si="23"/>
        <v>5881094.27313051</v>
      </c>
      <c r="K101" s="3">
        <f t="shared" si="24"/>
        <v>6266839.7371904403</v>
      </c>
      <c r="L101" s="3">
        <f t="shared" si="25"/>
        <v>0</v>
      </c>
      <c r="M101" s="47">
        <f t="shared" si="14"/>
        <v>7364344.99085043</v>
      </c>
      <c r="N101" s="47">
        <f>'Monthly Data'!BX101</f>
        <v>2004.3152820512821</v>
      </c>
      <c r="O101" s="47">
        <f t="shared" si="15"/>
        <v>7366349.3061324814</v>
      </c>
      <c r="P101" s="47">
        <f t="shared" ca="1" si="16"/>
        <v>-71317.556052359752</v>
      </c>
      <c r="Q101" s="18">
        <f t="shared" ca="1" si="21"/>
        <v>9.5886999745791197E-3</v>
      </c>
      <c r="Y101" s="3"/>
    </row>
    <row r="102" spans="1:25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Data'!BW102</f>
        <v>7603477.8910568031</v>
      </c>
      <c r="E102" s="3">
        <f>'Monthly Data'!DQ102</f>
        <v>31</v>
      </c>
      <c r="F102" s="3">
        <f>'Monthly Data'!CJ102</f>
        <v>3</v>
      </c>
      <c r="G102" s="3">
        <f>'Monthly Data'!ED102</f>
        <v>0</v>
      </c>
      <c r="I102" s="3">
        <f t="shared" si="22"/>
        <v>-4783589.0194705203</v>
      </c>
      <c r="J102" s="3">
        <f t="shared" si="23"/>
        <v>6077130.7489015264</v>
      </c>
      <c r="K102" s="3">
        <f t="shared" si="24"/>
        <v>6266839.7371904403</v>
      </c>
      <c r="L102" s="3">
        <f t="shared" si="25"/>
        <v>0</v>
      </c>
      <c r="M102" s="47">
        <f t="shared" si="14"/>
        <v>7560381.4666214464</v>
      </c>
      <c r="N102" s="47">
        <f>'Monthly Data'!BX102</f>
        <v>2090.1761025641026</v>
      </c>
      <c r="O102" s="47">
        <f t="shared" si="15"/>
        <v>7562471.6427240102</v>
      </c>
      <c r="P102" s="47">
        <f t="shared" ca="1" si="16"/>
        <v>-41006.248332792893</v>
      </c>
      <c r="Q102" s="18">
        <f t="shared" ca="1" si="21"/>
        <v>5.3930910197061751E-3</v>
      </c>
      <c r="Y102" s="3"/>
    </row>
    <row r="103" spans="1:25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Data'!BW103</f>
        <v>7280009.0799287651</v>
      </c>
      <c r="E103" s="3">
        <f>'Monthly Data'!DQ103</f>
        <v>30</v>
      </c>
      <c r="F103" s="3">
        <f>'Monthly Data'!CJ103</f>
        <v>3</v>
      </c>
      <c r="G103" s="3">
        <f>'Monthly Data'!ED103</f>
        <v>0</v>
      </c>
      <c r="I103" s="3">
        <f t="shared" si="22"/>
        <v>-4783589.0194705203</v>
      </c>
      <c r="J103" s="3">
        <f t="shared" si="23"/>
        <v>5881094.27313051</v>
      </c>
      <c r="K103" s="3">
        <f t="shared" si="24"/>
        <v>6266839.7371904403</v>
      </c>
      <c r="L103" s="3">
        <f t="shared" si="25"/>
        <v>0</v>
      </c>
      <c r="M103" s="47">
        <f t="shared" si="14"/>
        <v>7364344.99085043</v>
      </c>
      <c r="N103" s="47">
        <f>'Monthly Data'!BX103</f>
        <v>2176.0369230769229</v>
      </c>
      <c r="O103" s="47">
        <f t="shared" si="15"/>
        <v>7366521.0277735069</v>
      </c>
      <c r="P103" s="47">
        <f t="shared" ca="1" si="16"/>
        <v>86511.947844741866</v>
      </c>
      <c r="Q103" s="18">
        <f t="shared" ca="1" si="21"/>
        <v>1.1883494497727794E-2</v>
      </c>
      <c r="Y103" s="3"/>
    </row>
    <row r="104" spans="1:25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Data'!BW104</f>
        <v>7337484.0588007262</v>
      </c>
      <c r="E104" s="3">
        <f>'Monthly Data'!DQ104</f>
        <v>31</v>
      </c>
      <c r="F104" s="3">
        <f>'Monthly Data'!CJ104</f>
        <v>3</v>
      </c>
      <c r="G104" s="3">
        <f>'Monthly Data'!ED104</f>
        <v>0</v>
      </c>
      <c r="I104" s="3">
        <f t="shared" si="22"/>
        <v>-4783589.0194705203</v>
      </c>
      <c r="J104" s="3">
        <f t="shared" si="23"/>
        <v>6077130.7489015264</v>
      </c>
      <c r="K104" s="3">
        <f t="shared" si="24"/>
        <v>6266839.7371904403</v>
      </c>
      <c r="L104" s="3">
        <f t="shared" si="25"/>
        <v>0</v>
      </c>
      <c r="M104" s="47">
        <f t="shared" si="14"/>
        <v>7560381.4666214464</v>
      </c>
      <c r="N104" s="47">
        <f>'Monthly Data'!BX104</f>
        <v>2261.8977435897436</v>
      </c>
      <c r="O104" s="47">
        <f t="shared" si="15"/>
        <v>7562643.3643650366</v>
      </c>
      <c r="P104" s="47">
        <f t="shared" ca="1" si="16"/>
        <v>225159.3055643104</v>
      </c>
      <c r="Q104" s="18">
        <f t="shared" ca="1" si="21"/>
        <v>3.0686173047865063E-2</v>
      </c>
      <c r="Y104" s="3"/>
    </row>
    <row r="105" spans="1:25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Data'!BW105</f>
        <v>8114182.9676726889</v>
      </c>
      <c r="E105" s="3">
        <f>'Monthly Data'!DQ105</f>
        <v>31</v>
      </c>
      <c r="F105" s="3">
        <f>'Monthly Data'!CJ105</f>
        <v>3</v>
      </c>
      <c r="G105" s="3">
        <f>'Monthly Data'!ED105</f>
        <v>0</v>
      </c>
      <c r="I105" s="3">
        <f t="shared" si="22"/>
        <v>-4783589.0194705203</v>
      </c>
      <c r="J105" s="3">
        <f t="shared" si="23"/>
        <v>6077130.7489015264</v>
      </c>
      <c r="K105" s="3">
        <f t="shared" si="24"/>
        <v>6266839.7371904403</v>
      </c>
      <c r="L105" s="3">
        <f t="shared" si="25"/>
        <v>0</v>
      </c>
      <c r="M105" s="47">
        <f t="shared" si="14"/>
        <v>7560381.4666214464</v>
      </c>
      <c r="N105" s="47">
        <f>'Monthly Data'!BX105</f>
        <v>2347.7585641025644</v>
      </c>
      <c r="O105" s="47">
        <f t="shared" si="15"/>
        <v>7562729.2251855489</v>
      </c>
      <c r="P105" s="47">
        <f t="shared" ca="1" si="16"/>
        <v>-551453.74248714</v>
      </c>
      <c r="Q105" s="18">
        <f t="shared" ca="1" si="21"/>
        <v>6.7961709106654278E-2</v>
      </c>
      <c r="Y105" s="3"/>
    </row>
    <row r="106" spans="1:25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Data'!BW106</f>
        <v>7750544.736544651</v>
      </c>
      <c r="E106" s="3">
        <f>'Monthly Data'!DQ106</f>
        <v>30</v>
      </c>
      <c r="F106" s="3">
        <f>'Monthly Data'!CJ106</f>
        <v>3</v>
      </c>
      <c r="G106" s="3">
        <f>'Monthly Data'!ED106</f>
        <v>0</v>
      </c>
      <c r="I106" s="3">
        <f t="shared" si="22"/>
        <v>-4783589.0194705203</v>
      </c>
      <c r="J106" s="3">
        <f t="shared" si="23"/>
        <v>5881094.27313051</v>
      </c>
      <c r="K106" s="3">
        <f t="shared" si="24"/>
        <v>6266839.7371904403</v>
      </c>
      <c r="L106" s="3">
        <f t="shared" si="25"/>
        <v>0</v>
      </c>
      <c r="M106" s="47">
        <f t="shared" si="14"/>
        <v>7364344.99085043</v>
      </c>
      <c r="N106" s="47">
        <f>'Monthly Data'!BX106</f>
        <v>2433.6193846153847</v>
      </c>
      <c r="O106" s="47">
        <f t="shared" si="15"/>
        <v>7366778.6102350457</v>
      </c>
      <c r="P106" s="47">
        <f t="shared" ca="1" si="16"/>
        <v>-383766.12630960532</v>
      </c>
      <c r="Q106" s="18">
        <f t="shared" ca="1" si="21"/>
        <v>4.9514729526055998E-2</v>
      </c>
      <c r="Y106" s="3"/>
    </row>
    <row r="107" spans="1:25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Data'!BW107</f>
        <v>7932968.7854166124</v>
      </c>
      <c r="E107" s="3">
        <f>'Monthly Data'!DQ107</f>
        <v>31</v>
      </c>
      <c r="F107" s="3">
        <f>'Monthly Data'!CJ107</f>
        <v>3</v>
      </c>
      <c r="G107" s="3">
        <f>'Monthly Data'!ED107</f>
        <v>0</v>
      </c>
      <c r="I107" s="3">
        <f t="shared" si="22"/>
        <v>-4783589.0194705203</v>
      </c>
      <c r="J107" s="3">
        <f t="shared" si="23"/>
        <v>6077130.7489015264</v>
      </c>
      <c r="K107" s="3">
        <f t="shared" si="24"/>
        <v>6266839.7371904403</v>
      </c>
      <c r="L107" s="3">
        <f t="shared" si="25"/>
        <v>0</v>
      </c>
      <c r="M107" s="47">
        <f t="shared" si="14"/>
        <v>7560381.4666214464</v>
      </c>
      <c r="N107" s="47">
        <f>'Monthly Data'!BX107</f>
        <v>2519.4802051282054</v>
      </c>
      <c r="O107" s="47">
        <f t="shared" si="15"/>
        <v>7562900.9468265744</v>
      </c>
      <c r="P107" s="47">
        <f t="shared" ca="1" si="16"/>
        <v>-370067.83859003801</v>
      </c>
      <c r="Q107" s="18">
        <f t="shared" ca="1" si="21"/>
        <v>4.6649350148754341E-2</v>
      </c>
      <c r="Y107" s="3"/>
    </row>
    <row r="108" spans="1:25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Data'!BW108</f>
        <v>7746105.9642885737</v>
      </c>
      <c r="E108" s="3">
        <f>'Monthly Data'!DQ108</f>
        <v>30</v>
      </c>
      <c r="F108" s="3">
        <f>'Monthly Data'!CJ108</f>
        <v>3</v>
      </c>
      <c r="G108" s="3">
        <f>'Monthly Data'!ED108</f>
        <v>0</v>
      </c>
      <c r="I108" s="3">
        <f t="shared" si="22"/>
        <v>-4783589.0194705203</v>
      </c>
      <c r="J108" s="3">
        <f t="shared" si="23"/>
        <v>5881094.27313051</v>
      </c>
      <c r="K108" s="3">
        <f t="shared" si="24"/>
        <v>6266839.7371904403</v>
      </c>
      <c r="L108" s="3">
        <f t="shared" si="25"/>
        <v>0</v>
      </c>
      <c r="M108" s="47">
        <f t="shared" si="14"/>
        <v>7364344.99085043</v>
      </c>
      <c r="N108" s="47">
        <f>'Monthly Data'!BX108</f>
        <v>2605.3410256410257</v>
      </c>
      <c r="O108" s="47">
        <f t="shared" si="15"/>
        <v>7366950.3318760712</v>
      </c>
      <c r="P108" s="47">
        <f t="shared" ca="1" si="16"/>
        <v>-379155.63241250254</v>
      </c>
      <c r="Q108" s="18">
        <f t="shared" ca="1" si="21"/>
        <v>4.8947901585713119E-2</v>
      </c>
      <c r="Y108" s="3"/>
    </row>
    <row r="109" spans="1:25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Data'!BW109</f>
        <v>7782241.0131605361</v>
      </c>
      <c r="E109" s="3">
        <f>'Monthly Data'!DQ109</f>
        <v>31</v>
      </c>
      <c r="F109" s="3">
        <f>'Monthly Data'!CJ109</f>
        <v>3</v>
      </c>
      <c r="G109" s="3">
        <f>'Monthly Data'!ED109</f>
        <v>1</v>
      </c>
      <c r="I109" s="3">
        <f t="shared" si="22"/>
        <v>-4783589.0194705203</v>
      </c>
      <c r="J109" s="3">
        <f t="shared" si="23"/>
        <v>6077130.7489015264</v>
      </c>
      <c r="K109" s="3">
        <f t="shared" si="24"/>
        <v>6266839.7371904403</v>
      </c>
      <c r="L109" s="3">
        <f t="shared" si="25"/>
        <v>-252014.73853491701</v>
      </c>
      <c r="M109" s="47">
        <f t="shared" si="14"/>
        <v>7308366.7280865293</v>
      </c>
      <c r="N109" s="47">
        <f>'Monthly Data'!BX109</f>
        <v>2691.2018461538464</v>
      </c>
      <c r="O109" s="47">
        <f t="shared" si="15"/>
        <v>7311057.9299326828</v>
      </c>
      <c r="P109" s="47">
        <f t="shared" ca="1" si="16"/>
        <v>-471183.08322785329</v>
      </c>
      <c r="Q109" s="18">
        <f t="shared" ca="1" si="21"/>
        <v>6.0545938172698106E-2</v>
      </c>
      <c r="Y109" s="3"/>
    </row>
    <row r="110" spans="1:25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Data'!BW110</f>
        <v>8093028.2402706258</v>
      </c>
      <c r="E110" s="3">
        <f>'Monthly Data'!DQ110</f>
        <v>31</v>
      </c>
      <c r="F110" s="3">
        <f>'Monthly Data'!CJ110</f>
        <v>3</v>
      </c>
      <c r="G110" s="3">
        <f>'Monthly Data'!ED110</f>
        <v>0</v>
      </c>
      <c r="I110" s="3">
        <f t="shared" si="22"/>
        <v>-4783589.0194705203</v>
      </c>
      <c r="J110" s="3">
        <f t="shared" si="23"/>
        <v>6077130.7489015264</v>
      </c>
      <c r="K110" s="3">
        <f t="shared" si="24"/>
        <v>6266839.7371904403</v>
      </c>
      <c r="L110" s="3">
        <f t="shared" si="25"/>
        <v>0</v>
      </c>
      <c r="M110" s="47">
        <f t="shared" si="14"/>
        <v>7560381.4666214464</v>
      </c>
      <c r="N110" s="47">
        <f>'Monthly Data'!BX110</f>
        <v>2978.5560256410258</v>
      </c>
      <c r="O110" s="47">
        <f t="shared" si="15"/>
        <v>7563360.0226470875</v>
      </c>
      <c r="P110" s="47">
        <f t="shared" ca="1" si="16"/>
        <v>-529668.21762353834</v>
      </c>
      <c r="Q110" s="18">
        <f t="shared" ref="Q110:Q121" ca="1" si="26">ABS(P110/D110)</f>
        <v>6.5447469340083081E-2</v>
      </c>
      <c r="Y110" s="3"/>
    </row>
    <row r="111" spans="1:25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Data'!BW111</f>
        <v>7650906.7997247428</v>
      </c>
      <c r="E111" s="3">
        <f>'Monthly Data'!DQ111</f>
        <v>29</v>
      </c>
      <c r="F111" s="3">
        <f>'Monthly Data'!CJ111</f>
        <v>3</v>
      </c>
      <c r="G111" s="3">
        <f>'Monthly Data'!ED111</f>
        <v>0</v>
      </c>
      <c r="I111" s="3">
        <f t="shared" si="22"/>
        <v>-4783589.0194705203</v>
      </c>
      <c r="J111" s="3">
        <f t="shared" si="23"/>
        <v>5685057.7973594926</v>
      </c>
      <c r="K111" s="3">
        <f t="shared" si="24"/>
        <v>6266839.7371904403</v>
      </c>
      <c r="L111" s="3">
        <f t="shared" si="25"/>
        <v>0</v>
      </c>
      <c r="M111" s="47">
        <f t="shared" si="14"/>
        <v>7168308.5150794126</v>
      </c>
      <c r="N111" s="47">
        <f>'Monthly Data'!BX111</f>
        <v>3180.0493846153845</v>
      </c>
      <c r="O111" s="47">
        <f t="shared" si="15"/>
        <v>7171488.564464028</v>
      </c>
      <c r="P111" s="47">
        <f t="shared" ca="1" si="16"/>
        <v>-479418.23526071478</v>
      </c>
      <c r="Q111" s="18">
        <f t="shared" ca="1" si="26"/>
        <v>6.2661622708299475E-2</v>
      </c>
      <c r="Y111" s="3"/>
    </row>
    <row r="112" spans="1:25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Data'!BW112</f>
        <v>8076069.3391788602</v>
      </c>
      <c r="E112" s="3">
        <f>'Monthly Data'!DQ112</f>
        <v>31</v>
      </c>
      <c r="F112" s="3">
        <f>'Monthly Data'!CJ112</f>
        <v>3</v>
      </c>
      <c r="G112" s="3">
        <f>'Monthly Data'!ED112</f>
        <v>0</v>
      </c>
      <c r="I112" s="3">
        <f t="shared" si="22"/>
        <v>-4783589.0194705203</v>
      </c>
      <c r="J112" s="3">
        <f t="shared" si="23"/>
        <v>6077130.7489015264</v>
      </c>
      <c r="K112" s="3">
        <f t="shared" si="24"/>
        <v>6266839.7371904403</v>
      </c>
      <c r="L112" s="3">
        <f t="shared" si="25"/>
        <v>0</v>
      </c>
      <c r="M112" s="47">
        <f t="shared" si="14"/>
        <v>7560381.4666214464</v>
      </c>
      <c r="N112" s="47">
        <f>'Monthly Data'!BX112</f>
        <v>3381.5427435897436</v>
      </c>
      <c r="O112" s="47">
        <f t="shared" si="15"/>
        <v>7563763.0093650362</v>
      </c>
      <c r="P112" s="47">
        <f t="shared" ca="1" si="16"/>
        <v>-512306.32981382404</v>
      </c>
      <c r="Q112" s="18">
        <f t="shared" ca="1" si="26"/>
        <v>6.3435107884538433E-2</v>
      </c>
      <c r="Y112" s="3"/>
    </row>
    <row r="113" spans="1:25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Data'!BW113</f>
        <v>7137617.0086329775</v>
      </c>
      <c r="E113" s="3">
        <f>'Monthly Data'!DQ113</f>
        <v>30</v>
      </c>
      <c r="F113" s="3">
        <f>'Monthly Data'!CJ113</f>
        <v>3</v>
      </c>
      <c r="G113" s="3">
        <f>'Monthly Data'!ED113</f>
        <v>0</v>
      </c>
      <c r="I113" s="3">
        <f t="shared" si="22"/>
        <v>-4783589.0194705203</v>
      </c>
      <c r="J113" s="3">
        <f t="shared" si="23"/>
        <v>5881094.27313051</v>
      </c>
      <c r="K113" s="3">
        <f t="shared" si="24"/>
        <v>6266839.7371904403</v>
      </c>
      <c r="L113" s="3">
        <f t="shared" si="25"/>
        <v>0</v>
      </c>
      <c r="M113" s="47">
        <f t="shared" si="14"/>
        <v>7364344.99085043</v>
      </c>
      <c r="N113" s="47">
        <f>'Monthly Data'!BX113</f>
        <v>3583.0361025641023</v>
      </c>
      <c r="O113" s="47">
        <f t="shared" si="15"/>
        <v>7367928.0269529941</v>
      </c>
      <c r="P113" s="47">
        <f t="shared" ca="1" si="16"/>
        <v>230311.01832001656</v>
      </c>
      <c r="Q113" s="18">
        <f t="shared" ca="1" si="26"/>
        <v>3.2267214399631476E-2</v>
      </c>
    </row>
    <row r="114" spans="1:25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Data'!BW114</f>
        <v>7558282.8880870938</v>
      </c>
      <c r="E114" s="3">
        <f>'Monthly Data'!DQ114</f>
        <v>31</v>
      </c>
      <c r="F114" s="3">
        <f>'Monthly Data'!CJ114</f>
        <v>3</v>
      </c>
      <c r="G114" s="3">
        <f>'Monthly Data'!ED114</f>
        <v>0</v>
      </c>
      <c r="I114" s="3">
        <f t="shared" si="22"/>
        <v>-4783589.0194705203</v>
      </c>
      <c r="J114" s="3">
        <f t="shared" si="23"/>
        <v>6077130.7489015264</v>
      </c>
      <c r="K114" s="3">
        <f t="shared" si="24"/>
        <v>6266839.7371904403</v>
      </c>
      <c r="L114" s="3">
        <f t="shared" si="25"/>
        <v>0</v>
      </c>
      <c r="M114" s="47">
        <f t="shared" si="14"/>
        <v>7560381.4666214464</v>
      </c>
      <c r="N114" s="47">
        <f>'Monthly Data'!BX114</f>
        <v>3784.529461538461</v>
      </c>
      <c r="O114" s="47">
        <f t="shared" si="15"/>
        <v>7564165.9960829848</v>
      </c>
      <c r="P114" s="47">
        <f t="shared" ca="1" si="16"/>
        <v>5883.1079958910123</v>
      </c>
      <c r="Q114" s="18">
        <f t="shared" ca="1" si="26"/>
        <v>7.7836567948040287E-4</v>
      </c>
      <c r="Y114" s="3"/>
    </row>
    <row r="115" spans="1:25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Data'!BW115</f>
        <v>7582526.3875412112</v>
      </c>
      <c r="E115" s="3">
        <f>'Monthly Data'!DQ115</f>
        <v>30</v>
      </c>
      <c r="F115" s="3">
        <f>'Monthly Data'!CJ115</f>
        <v>3</v>
      </c>
      <c r="G115" s="3">
        <f>'Monthly Data'!ED115</f>
        <v>0</v>
      </c>
      <c r="I115" s="3">
        <f t="shared" si="22"/>
        <v>-4783589.0194705203</v>
      </c>
      <c r="J115" s="3">
        <f t="shared" si="23"/>
        <v>5881094.27313051</v>
      </c>
      <c r="K115" s="3">
        <f t="shared" si="24"/>
        <v>6266839.7371904403</v>
      </c>
      <c r="L115" s="3">
        <f t="shared" si="25"/>
        <v>0</v>
      </c>
      <c r="M115" s="47">
        <f t="shared" si="14"/>
        <v>7364344.99085043</v>
      </c>
      <c r="N115" s="47">
        <f>'Monthly Data'!BX115</f>
        <v>3986.0228205128205</v>
      </c>
      <c r="O115" s="47">
        <f t="shared" si="15"/>
        <v>7368331.0136709427</v>
      </c>
      <c r="P115" s="47">
        <f t="shared" ca="1" si="16"/>
        <v>-214195.37387026846</v>
      </c>
      <c r="Q115" s="18">
        <f t="shared" ca="1" si="26"/>
        <v>2.824854974751043E-2</v>
      </c>
      <c r="Y115" s="3"/>
    </row>
    <row r="116" spans="1:25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Data'!BW116</f>
        <v>7978016.9469953291</v>
      </c>
      <c r="E116" s="3">
        <f>'Monthly Data'!DQ116</f>
        <v>31</v>
      </c>
      <c r="F116" s="3">
        <f>'Monthly Data'!CJ116</f>
        <v>3</v>
      </c>
      <c r="G116" s="3">
        <f>'Monthly Data'!ED116</f>
        <v>0</v>
      </c>
      <c r="I116" s="3">
        <f t="shared" si="22"/>
        <v>-4783589.0194705203</v>
      </c>
      <c r="J116" s="3">
        <f t="shared" si="23"/>
        <v>6077130.7489015264</v>
      </c>
      <c r="K116" s="3">
        <f t="shared" si="24"/>
        <v>6266839.7371904403</v>
      </c>
      <c r="L116" s="3">
        <f t="shared" si="25"/>
        <v>0</v>
      </c>
      <c r="M116" s="47">
        <f t="shared" si="14"/>
        <v>7560381.4666214464</v>
      </c>
      <c r="N116" s="47">
        <f>'Monthly Data'!BX116</f>
        <v>4187.5161794871792</v>
      </c>
      <c r="O116" s="47">
        <f t="shared" si="15"/>
        <v>7564568.9828009335</v>
      </c>
      <c r="P116" s="47">
        <f t="shared" ca="1" si="16"/>
        <v>-413447.96419439558</v>
      </c>
      <c r="Q116" s="18">
        <f t="shared" ca="1" si="26"/>
        <v>5.1823400093190808E-2</v>
      </c>
      <c r="Y116" s="3"/>
    </row>
    <row r="117" spans="1:25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Data'!BW117</f>
        <v>7771439.4064494465</v>
      </c>
      <c r="E117" s="3">
        <f>'Monthly Data'!DQ117</f>
        <v>31</v>
      </c>
      <c r="F117" s="3">
        <f>'Monthly Data'!CJ117</f>
        <v>3</v>
      </c>
      <c r="G117" s="3">
        <f>'Monthly Data'!ED117</f>
        <v>0</v>
      </c>
      <c r="I117" s="3">
        <f t="shared" si="22"/>
        <v>-4783589.0194705203</v>
      </c>
      <c r="J117" s="3">
        <f t="shared" si="23"/>
        <v>6077130.7489015264</v>
      </c>
      <c r="K117" s="3">
        <f t="shared" si="24"/>
        <v>6266839.7371904403</v>
      </c>
      <c r="L117" s="3">
        <f t="shared" si="25"/>
        <v>0</v>
      </c>
      <c r="M117" s="47">
        <f t="shared" si="14"/>
        <v>7560381.4666214464</v>
      </c>
      <c r="N117" s="47">
        <f>'Monthly Data'!BX117</f>
        <v>4389.0095384615379</v>
      </c>
      <c r="O117" s="47">
        <f t="shared" si="15"/>
        <v>7564770.4761599079</v>
      </c>
      <c r="P117" s="47">
        <f t="shared" ca="1" si="16"/>
        <v>-206668.93028953858</v>
      </c>
      <c r="Q117" s="18">
        <f t="shared" ca="1" si="26"/>
        <v>2.6593391453071862E-2</v>
      </c>
      <c r="Y117" s="3"/>
    </row>
    <row r="118" spans="1:25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Data'!BW118</f>
        <v>7335264.9959035637</v>
      </c>
      <c r="E118" s="3">
        <f>'Monthly Data'!DQ118</f>
        <v>30</v>
      </c>
      <c r="F118" s="3">
        <f>'Monthly Data'!CJ118</f>
        <v>3</v>
      </c>
      <c r="G118" s="3">
        <f>'Monthly Data'!ED118</f>
        <v>0</v>
      </c>
      <c r="I118" s="3">
        <f t="shared" si="22"/>
        <v>-4783589.0194705203</v>
      </c>
      <c r="J118" s="3">
        <f t="shared" si="23"/>
        <v>5881094.27313051</v>
      </c>
      <c r="K118" s="3">
        <f t="shared" si="24"/>
        <v>6266839.7371904403</v>
      </c>
      <c r="L118" s="3">
        <f t="shared" si="25"/>
        <v>0</v>
      </c>
      <c r="M118" s="47">
        <f t="shared" si="14"/>
        <v>7364344.99085043</v>
      </c>
      <c r="N118" s="47">
        <f>'Monthly Data'!BX118</f>
        <v>4590.5028974358975</v>
      </c>
      <c r="O118" s="47">
        <f t="shared" si="15"/>
        <v>7368935.4937478658</v>
      </c>
      <c r="P118" s="47">
        <f t="shared" ca="1" si="16"/>
        <v>33670.497844302095</v>
      </c>
      <c r="Q118" s="18">
        <f t="shared" ca="1" si="26"/>
        <v>4.5902224204722869E-3</v>
      </c>
      <c r="Y118" s="3"/>
    </row>
    <row r="119" spans="1:25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Data'!BW119</f>
        <v>7009523.5953576807</v>
      </c>
      <c r="E119" s="3">
        <f>'Monthly Data'!DQ119</f>
        <v>31</v>
      </c>
      <c r="F119" s="3">
        <f>'Monthly Data'!CJ119</f>
        <v>3</v>
      </c>
      <c r="G119" s="3">
        <f>'Monthly Data'!ED119</f>
        <v>0</v>
      </c>
      <c r="I119" s="3">
        <f t="shared" si="22"/>
        <v>-4783589.0194705203</v>
      </c>
      <c r="J119" s="3">
        <f t="shared" si="23"/>
        <v>6077130.7489015264</v>
      </c>
      <c r="K119" s="3">
        <f t="shared" si="24"/>
        <v>6266839.7371904403</v>
      </c>
      <c r="L119" s="3">
        <f t="shared" si="25"/>
        <v>0</v>
      </c>
      <c r="M119" s="47">
        <f t="shared" ref="M119:M121" si="27">SUM(I119:L119)</f>
        <v>7560381.4666214464</v>
      </c>
      <c r="N119" s="47">
        <f>'Monthly Data'!BX119</f>
        <v>4791.9962564102552</v>
      </c>
      <c r="O119" s="47">
        <f t="shared" ref="O119:O121" si="28">M119+N119</f>
        <v>7565173.4628778566</v>
      </c>
      <c r="P119" s="47">
        <f t="shared" ref="P119:P121" ca="1" si="29">O119-D119</f>
        <v>555649.86752017587</v>
      </c>
      <c r="Q119" s="18">
        <f t="shared" ca="1" si="26"/>
        <v>7.9270703630725456E-2</v>
      </c>
      <c r="Y119" s="3"/>
    </row>
    <row r="120" spans="1:25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Data'!BW120</f>
        <v>6650952.9148117974</v>
      </c>
      <c r="E120" s="3">
        <f>'Monthly Data'!DQ120</f>
        <v>30</v>
      </c>
      <c r="F120" s="3">
        <f>'Monthly Data'!CJ120</f>
        <v>3</v>
      </c>
      <c r="G120" s="3">
        <f>'Monthly Data'!ED120</f>
        <v>0</v>
      </c>
      <c r="I120" s="3">
        <f t="shared" si="22"/>
        <v>-4783589.0194705203</v>
      </c>
      <c r="J120" s="3">
        <f t="shared" si="23"/>
        <v>5881094.27313051</v>
      </c>
      <c r="K120" s="3">
        <f t="shared" si="24"/>
        <v>6266839.7371904403</v>
      </c>
      <c r="L120" s="3">
        <f t="shared" si="25"/>
        <v>0</v>
      </c>
      <c r="M120" s="47">
        <f t="shared" si="27"/>
        <v>7364344.99085043</v>
      </c>
      <c r="N120" s="47">
        <f>'Monthly Data'!BX120</f>
        <v>4993.4896153846148</v>
      </c>
      <c r="O120" s="47">
        <f t="shared" si="28"/>
        <v>7369338.4804658145</v>
      </c>
      <c r="P120" s="47">
        <f t="shared" ca="1" si="29"/>
        <v>718385.56565401703</v>
      </c>
      <c r="Q120" s="18">
        <f t="shared" ca="1" si="26"/>
        <v>0.10801242691918009</v>
      </c>
      <c r="Y120" s="3"/>
    </row>
    <row r="121" spans="1:25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Data'!BW121</f>
        <v>7765491.5642659152</v>
      </c>
      <c r="E121" s="3">
        <f>'Monthly Data'!DQ121</f>
        <v>31</v>
      </c>
      <c r="F121" s="3">
        <f>'Monthly Data'!CJ121</f>
        <v>3</v>
      </c>
      <c r="G121" s="3">
        <f>'Monthly Data'!ED121</f>
        <v>1</v>
      </c>
      <c r="I121" s="3">
        <f t="shared" si="22"/>
        <v>-4783589.0194705203</v>
      </c>
      <c r="J121" s="3">
        <f t="shared" si="23"/>
        <v>6077130.7489015264</v>
      </c>
      <c r="K121" s="3">
        <f t="shared" si="24"/>
        <v>6266839.7371904403</v>
      </c>
      <c r="L121" s="3">
        <f t="shared" si="25"/>
        <v>-252014.73853491701</v>
      </c>
      <c r="M121" s="47">
        <f t="shared" si="27"/>
        <v>7308366.7280865293</v>
      </c>
      <c r="N121" s="47">
        <f>'Monthly Data'!BX121</f>
        <v>5194.9829743589744</v>
      </c>
      <c r="O121" s="47">
        <f t="shared" si="28"/>
        <v>7313561.7110608881</v>
      </c>
      <c r="P121" s="47">
        <f t="shared" ca="1" si="29"/>
        <v>-451929.85320502706</v>
      </c>
      <c r="Q121" s="18">
        <f t="shared" ca="1" si="26"/>
        <v>5.8197198395611001E-2</v>
      </c>
      <c r="Y121" s="3"/>
    </row>
    <row r="122" spans="1:25">
      <c r="Q122" s="17">
        <f ca="1">AVERAGE(Q2:Q121)</f>
        <v>4.7200256715095777E-2</v>
      </c>
      <c r="Y122" s="3"/>
    </row>
    <row r="123" spans="1:25">
      <c r="Y123" s="3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2C4BD-20BD-4C3B-930E-09B20ECA6DDD}">
  <sheetPr codeName="Sheet19">
    <tabColor rgb="FFFF0000"/>
  </sheetPr>
  <dimension ref="B1:BR18"/>
  <sheetViews>
    <sheetView workbookViewId="0"/>
  </sheetViews>
  <sheetFormatPr defaultColWidth="8.5703125" defaultRowHeight="12.75"/>
  <cols>
    <col min="1" max="1" width="13.42578125" style="106" customWidth="1"/>
    <col min="2" max="2" width="8.85546875" style="106" bestFit="1" customWidth="1"/>
    <col min="3" max="3" width="19.42578125" style="106" customWidth="1"/>
    <col min="4" max="4" width="16.140625" style="106" customWidth="1"/>
    <col min="5" max="5" width="8.85546875" style="106" bestFit="1" customWidth="1"/>
    <col min="6" max="7" width="20.42578125" style="106" customWidth="1"/>
    <col min="8" max="8" width="8.85546875" style="106" bestFit="1" customWidth="1"/>
    <col min="9" max="9" width="18.42578125" style="106" customWidth="1"/>
    <col min="10" max="10" width="15.42578125" style="106" customWidth="1"/>
    <col min="11" max="11" width="8.85546875" style="106" bestFit="1" customWidth="1"/>
    <col min="12" max="13" width="20.42578125" style="106" customWidth="1"/>
    <col min="14" max="14" width="8.85546875" style="106" bestFit="1" customWidth="1"/>
    <col min="15" max="15" width="17.5703125" style="106" customWidth="1"/>
    <col min="16" max="16" width="16.140625" style="106" customWidth="1"/>
    <col min="17" max="17" width="8.85546875" style="106" bestFit="1" customWidth="1"/>
    <col min="18" max="18" width="22.85546875" style="106" customWidth="1"/>
    <col min="19" max="20" width="8.5703125" style="106"/>
    <col min="21" max="21" width="5.85546875" style="106" bestFit="1" customWidth="1"/>
    <col min="22" max="22" width="18.42578125" style="106" customWidth="1"/>
    <col min="23" max="23" width="15.5703125" style="106" customWidth="1"/>
    <col min="24" max="24" width="9.42578125" style="106" bestFit="1" customWidth="1"/>
    <col min="25" max="28" width="8.5703125" style="106"/>
    <col min="29" max="29" width="5.85546875" style="106" bestFit="1" customWidth="1"/>
    <col min="30" max="30" width="17" style="106" bestFit="1" customWidth="1"/>
    <col min="31" max="31" width="12.5703125" style="106" customWidth="1"/>
    <col min="32" max="32" width="9.42578125" style="106" bestFit="1" customWidth="1"/>
    <col min="33" max="36" width="8.5703125" style="106"/>
    <col min="37" max="37" width="5.85546875" style="106" bestFit="1" customWidth="1"/>
    <col min="38" max="38" width="17" style="106" bestFit="1" customWidth="1"/>
    <col min="39" max="39" width="16.140625" style="106" bestFit="1" customWidth="1"/>
    <col min="40" max="40" width="9.42578125" style="106" bestFit="1" customWidth="1"/>
    <col min="41" max="42" width="8.5703125" style="106"/>
    <col min="43" max="43" width="13.42578125" style="106" customWidth="1"/>
    <col min="44" max="44" width="8.85546875" style="106" bestFit="1" customWidth="1"/>
    <col min="45" max="45" width="19.42578125" style="106" customWidth="1"/>
    <col min="46" max="46" width="14.42578125" style="106" customWidth="1"/>
    <col min="47" max="47" width="8.85546875" style="106" bestFit="1" customWidth="1"/>
    <col min="48" max="49" width="20.42578125" style="106" customWidth="1"/>
    <col min="50" max="50" width="8.85546875" style="106" bestFit="1" customWidth="1"/>
    <col min="51" max="51" width="17.5703125" style="106" customWidth="1"/>
    <col min="52" max="52" width="16.140625" style="106" customWidth="1"/>
    <col min="53" max="53" width="8.85546875" style="106" bestFit="1" customWidth="1"/>
    <col min="54" max="54" width="22.85546875" style="106" customWidth="1"/>
    <col min="55" max="56" width="8.5703125" style="106"/>
    <col min="57" max="57" width="5.85546875" style="106" bestFit="1" customWidth="1"/>
    <col min="58" max="58" width="18.42578125" style="106" customWidth="1"/>
    <col min="59" max="59" width="15.5703125" style="106" customWidth="1"/>
    <col min="60" max="60" width="9.42578125" style="106" bestFit="1" customWidth="1"/>
    <col min="61" max="64" width="8.5703125" style="106"/>
    <col min="65" max="65" width="5.85546875" style="106" bestFit="1" customWidth="1"/>
    <col min="66" max="66" width="17" style="106" bestFit="1" customWidth="1"/>
    <col min="67" max="67" width="12.5703125" style="106" customWidth="1"/>
    <col min="68" max="68" width="9.42578125" style="106" bestFit="1" customWidth="1"/>
    <col min="69" max="16384" width="8.5703125" style="106"/>
  </cols>
  <sheetData>
    <row r="1" spans="2:70" ht="14.85" customHeight="1">
      <c r="B1" s="831" t="s">
        <v>390</v>
      </c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1"/>
      <c r="S1" s="831"/>
      <c r="T1" s="831"/>
      <c r="U1" s="831"/>
      <c r="V1" s="831"/>
      <c r="W1" s="831"/>
      <c r="X1" s="831"/>
      <c r="Y1" s="831"/>
      <c r="Z1" s="831"/>
      <c r="AA1" s="831"/>
      <c r="AB1" s="831"/>
      <c r="AC1" s="831"/>
      <c r="AD1" s="831"/>
      <c r="AE1" s="831"/>
      <c r="AF1" s="831"/>
      <c r="AG1" s="831"/>
      <c r="AH1" s="831"/>
      <c r="AI1" s="831"/>
      <c r="AJ1" s="831"/>
      <c r="AK1" s="831"/>
      <c r="AL1" s="831"/>
      <c r="AM1" s="831"/>
      <c r="AN1" s="831"/>
      <c r="AO1" s="831"/>
      <c r="AP1" s="831"/>
      <c r="AQ1" s="831" t="s">
        <v>391</v>
      </c>
      <c r="AR1" s="831"/>
      <c r="AS1" s="831"/>
      <c r="AT1" s="831"/>
      <c r="AU1" s="831"/>
      <c r="AV1" s="831"/>
      <c r="AW1" s="831"/>
      <c r="AX1" s="831"/>
      <c r="AY1" s="831"/>
      <c r="AZ1" s="831"/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831"/>
      <c r="BM1" s="831"/>
      <c r="BN1" s="831"/>
      <c r="BO1" s="831"/>
      <c r="BP1" s="831"/>
      <c r="BQ1" s="831"/>
      <c r="BR1" s="831"/>
    </row>
    <row r="2" spans="2:70" ht="14.25">
      <c r="B2" s="105"/>
      <c r="C2" s="830" t="s">
        <v>516</v>
      </c>
      <c r="D2" s="830"/>
      <c r="E2" s="104" t="s">
        <v>433</v>
      </c>
      <c r="F2" s="103"/>
      <c r="G2" s="103"/>
      <c r="H2" s="105"/>
      <c r="I2" s="830" t="s">
        <v>719</v>
      </c>
      <c r="J2" s="830"/>
      <c r="K2" s="104" t="s">
        <v>433</v>
      </c>
      <c r="N2" s="105"/>
      <c r="O2" s="830" t="s">
        <v>720</v>
      </c>
      <c r="P2" s="830"/>
      <c r="Q2" s="104" t="s">
        <v>433</v>
      </c>
      <c r="U2" s="105"/>
      <c r="V2" s="830" t="s">
        <v>721</v>
      </c>
      <c r="W2" s="830"/>
      <c r="X2" s="104" t="s">
        <v>433</v>
      </c>
      <c r="AC2" s="105"/>
      <c r="AD2" s="830" t="s">
        <v>722</v>
      </c>
      <c r="AE2" s="830"/>
      <c r="AF2" s="104" t="s">
        <v>433</v>
      </c>
      <c r="AK2" s="105"/>
      <c r="AL2" s="830" t="s">
        <v>723</v>
      </c>
      <c r="AM2" s="830"/>
      <c r="AN2" s="104" t="s">
        <v>433</v>
      </c>
      <c r="AR2" s="105"/>
      <c r="AS2" s="830" t="s">
        <v>724</v>
      </c>
      <c r="AT2" s="830"/>
      <c r="AU2" s="104" t="s">
        <v>433</v>
      </c>
      <c r="AV2" s="103"/>
      <c r="AX2" s="105"/>
      <c r="AY2" s="830" t="s">
        <v>725</v>
      </c>
      <c r="AZ2" s="830"/>
      <c r="BA2" s="104" t="s">
        <v>433</v>
      </c>
      <c r="BE2" s="105"/>
      <c r="BF2" s="830" t="s">
        <v>726</v>
      </c>
      <c r="BG2" s="830"/>
      <c r="BH2" s="104" t="s">
        <v>433</v>
      </c>
      <c r="BM2" s="105"/>
      <c r="BN2" s="830" t="s">
        <v>727</v>
      </c>
      <c r="BO2" s="830"/>
      <c r="BP2" s="104" t="s">
        <v>433</v>
      </c>
    </row>
    <row r="3" spans="2:70" ht="14.25">
      <c r="B3" s="104" t="s">
        <v>35</v>
      </c>
      <c r="C3" s="104" t="s">
        <v>350</v>
      </c>
      <c r="D3" s="104" t="s">
        <v>424</v>
      </c>
      <c r="E3" s="104" t="s">
        <v>435</v>
      </c>
      <c r="F3" s="103"/>
      <c r="G3" s="103"/>
      <c r="H3" s="104" t="s">
        <v>35</v>
      </c>
      <c r="I3" s="104" t="s">
        <v>350</v>
      </c>
      <c r="J3" s="104" t="s">
        <v>424</v>
      </c>
      <c r="K3" s="104" t="s">
        <v>435</v>
      </c>
      <c r="N3" s="104" t="s">
        <v>35</v>
      </c>
      <c r="O3" s="104" t="s">
        <v>434</v>
      </c>
      <c r="P3" s="104" t="s">
        <v>424</v>
      </c>
      <c r="Q3" s="104" t="s">
        <v>435</v>
      </c>
      <c r="U3" s="104" t="s">
        <v>35</v>
      </c>
      <c r="V3" s="104" t="s">
        <v>434</v>
      </c>
      <c r="W3" s="104" t="s">
        <v>424</v>
      </c>
      <c r="X3" s="104" t="s">
        <v>435</v>
      </c>
      <c r="AC3" s="104" t="s">
        <v>35</v>
      </c>
      <c r="AD3" s="104" t="s">
        <v>434</v>
      </c>
      <c r="AE3" s="104" t="s">
        <v>424</v>
      </c>
      <c r="AF3" s="104" t="s">
        <v>435</v>
      </c>
      <c r="AK3" s="104" t="s">
        <v>35</v>
      </c>
      <c r="AL3" s="104" t="s">
        <v>434</v>
      </c>
      <c r="AM3" s="104" t="s">
        <v>424</v>
      </c>
      <c r="AN3" s="104" t="s">
        <v>435</v>
      </c>
      <c r="AR3" s="104" t="s">
        <v>35</v>
      </c>
      <c r="AS3" s="104" t="s">
        <v>350</v>
      </c>
      <c r="AT3" s="104" t="s">
        <v>424</v>
      </c>
      <c r="AU3" s="104" t="s">
        <v>435</v>
      </c>
      <c r="AV3" s="103"/>
      <c r="AX3" s="104" t="s">
        <v>35</v>
      </c>
      <c r="AY3" s="104" t="s">
        <v>434</v>
      </c>
      <c r="AZ3" s="104" t="s">
        <v>424</v>
      </c>
      <c r="BA3" s="104" t="s">
        <v>435</v>
      </c>
      <c r="BE3" s="104" t="s">
        <v>35</v>
      </c>
      <c r="BF3" s="104" t="s">
        <v>434</v>
      </c>
      <c r="BG3" s="104" t="s">
        <v>424</v>
      </c>
      <c r="BH3" s="104" t="s">
        <v>435</v>
      </c>
      <c r="BM3" s="104" t="s">
        <v>35</v>
      </c>
      <c r="BN3" s="104" t="s">
        <v>434</v>
      </c>
      <c r="BO3" s="104" t="s">
        <v>424</v>
      </c>
      <c r="BP3" s="104" t="s">
        <v>435</v>
      </c>
    </row>
    <row r="4" spans="2:70" ht="14.25">
      <c r="B4" s="100">
        <v>2014</v>
      </c>
      <c r="C4" s="102">
        <f>SUMIFS('VRZ Residential'!D:D,'VRZ Residential'!B:B,'Model Summary'!B4)</f>
        <v>0</v>
      </c>
      <c r="D4" s="102">
        <f>SUMIFS('VRZ Residential'!W:W,'VRZ Residential'!B:B,'Model Summary'!B4)</f>
        <v>0</v>
      </c>
      <c r="E4" s="101"/>
      <c r="F4" s="101"/>
      <c r="G4" s="101"/>
      <c r="H4" s="100">
        <v>2014</v>
      </c>
      <c r="I4" s="102">
        <f>SUMIFS('VRZ Seasonal'!D:D,'VRZ Seasonal'!B:B,'Model Summary'!H4)</f>
        <v>0</v>
      </c>
      <c r="J4" s="102">
        <f>SUMIFS('VRZ Seasonal'!U:U,'VRZ Seasonal'!B:B,'Model Summary'!H4)</f>
        <v>0</v>
      </c>
      <c r="K4" s="101"/>
      <c r="N4" s="100">
        <v>2014</v>
      </c>
      <c r="O4" s="102">
        <f>SUMIFS('VRZ GS &lt; 50'!D:D,'VRZ GS &lt; 50'!B:B,'Model Summary'!N4)</f>
        <v>0</v>
      </c>
      <c r="P4" s="102">
        <f>SUMIFS('VRZ GS &lt; 50'!S:S,'VRZ GS &lt; 50'!B:B,'Model Summary'!N4)</f>
        <v>0</v>
      </c>
      <c r="Q4" s="101"/>
      <c r="U4" s="100">
        <v>2014</v>
      </c>
      <c r="V4" s="102"/>
      <c r="W4" s="102"/>
      <c r="X4" s="101"/>
      <c r="AC4" s="100">
        <v>2014</v>
      </c>
      <c r="AD4" s="102"/>
      <c r="AE4" s="102"/>
      <c r="AF4" s="101"/>
      <c r="AK4" s="100">
        <v>2014</v>
      </c>
      <c r="AL4" s="102"/>
      <c r="AM4" s="102"/>
      <c r="AN4" s="101"/>
      <c r="AR4" s="100">
        <v>2014</v>
      </c>
      <c r="AS4" s="102">
        <f>SUMIFS('WRZ Residential'!D:D,'WRZ Residential'!B:B,'Model Summary'!AR4)</f>
        <v>0</v>
      </c>
      <c r="AT4" s="102">
        <f>SUMIFS('WRZ Residential'!W:W,'WRZ Residential'!B:B,'Model Summary'!AR4)</f>
        <v>0</v>
      </c>
      <c r="AU4" s="101"/>
      <c r="AV4" s="101"/>
      <c r="AX4" s="100">
        <v>2014</v>
      </c>
      <c r="AY4" s="102">
        <f>SUMIFS('WRZ GS &lt; 50'!D:D,'WRZ GS &lt; 50'!B:B,'Model Summary'!AX4)</f>
        <v>0</v>
      </c>
      <c r="AZ4" s="102">
        <f>SUMIFS('WRZ GS &lt; 50'!U:U,'WRZ GS &lt; 50'!B:B,'Model Summary'!AX4)</f>
        <v>0</v>
      </c>
      <c r="BA4" s="101"/>
      <c r="BE4" s="100">
        <v>2014</v>
      </c>
      <c r="BF4" s="102"/>
      <c r="BG4" s="102"/>
      <c r="BH4" s="101"/>
      <c r="BM4" s="100">
        <v>2014</v>
      </c>
      <c r="BN4" s="102"/>
      <c r="BO4" s="102"/>
      <c r="BP4" s="101"/>
    </row>
    <row r="5" spans="2:70" ht="14.25">
      <c r="B5" s="100">
        <f>B4+1</f>
        <v>2015</v>
      </c>
      <c r="C5" s="102">
        <f>SUMIFS('VRZ Residential'!D:D,'VRZ Residential'!B:B,'Model Summary'!B5)</f>
        <v>878094131.46809757</v>
      </c>
      <c r="D5" s="102">
        <f>SUMIFS('VRZ Residential'!W:W,'VRZ Residential'!B:B,'Model Summary'!B5)</f>
        <v>904732393.94130039</v>
      </c>
      <c r="E5" s="101">
        <f>ABS(C5-D5)/C5</f>
        <v>3.0336454280437963E-2</v>
      </c>
      <c r="F5" s="101"/>
      <c r="G5" s="101"/>
      <c r="H5" s="100">
        <f>H4+1</f>
        <v>2015</v>
      </c>
      <c r="I5" s="102">
        <f>SUMIFS('VRZ Seasonal'!D:D,'VRZ Seasonal'!B:B,'Model Summary'!H5)</f>
        <v>9601461.6604606025</v>
      </c>
      <c r="J5" s="102">
        <f>SUMIFS('VRZ Seasonal'!U:U,'VRZ Seasonal'!B:B,'Model Summary'!H5)</f>
        <v>9099773.9656174667</v>
      </c>
      <c r="K5" s="101">
        <f>ABS(I5-J5)/I5</f>
        <v>5.2251179308366758E-2</v>
      </c>
      <c r="N5" s="100">
        <f>N4+1</f>
        <v>2015</v>
      </c>
      <c r="O5" s="102">
        <f>SUMIFS('VRZ GS &lt; 50'!D:D,'VRZ GS &lt; 50'!B:B,'Model Summary'!N5)</f>
        <v>272272004.60137492</v>
      </c>
      <c r="P5" s="102">
        <f>SUMIFS('VRZ GS &lt; 50'!S:S,'VRZ GS &lt; 50'!B:B,'Model Summary'!N5)</f>
        <v>282269537.10252368</v>
      </c>
      <c r="Q5" s="101">
        <f>ABS(O5-P5)/O5</f>
        <v>3.6718914659573026E-2</v>
      </c>
      <c r="U5" s="100">
        <f>U4+1</f>
        <v>2015</v>
      </c>
      <c r="V5" s="102">
        <f>SUMIFS('VRZ GS 50-2,999'!D:D,'VRZ GS 50-2,999'!B:B,'Model Summary'!U5)</f>
        <v>964961705.79950273</v>
      </c>
      <c r="W5" s="102">
        <f>SUMIFS('VRZ GS 50-2,999'!U:U,'VRZ GS 50-2,999'!B:B,'Model Summary'!U5)</f>
        <v>957243852.91863775</v>
      </c>
      <c r="X5" s="101">
        <f>ABS(V5-W5)/V5</f>
        <v>7.9980923952525981E-3</v>
      </c>
      <c r="AC5" s="100">
        <f>AC4+1</f>
        <v>2015</v>
      </c>
      <c r="AD5" s="102">
        <f>SUMIFS('VRZ GS 3,000-4,999'!D:D,'VRZ GS 3,000-4,999'!B:B,'Model Summary'!AC5)</f>
        <v>83209871.975079209</v>
      </c>
      <c r="AE5" s="102">
        <f>SUMIFS('VRZ GS 3,000-4,999'!M:M,'VRZ GS 3,000-4,999'!B:B,'Model Summary'!AC5)</f>
        <v>85043267.734339997</v>
      </c>
      <c r="AF5" s="101">
        <f>ABS(AD5-AE5)/AD5</f>
        <v>2.2033392381734202E-2</v>
      </c>
      <c r="AK5" s="100">
        <f>AK4+1</f>
        <v>2015</v>
      </c>
      <c r="AL5" s="102">
        <f>SUMIFS('VRZ Large Use'!D:D,'VRZ Large Use'!B:B,'Model Summary'!AK5)</f>
        <v>214801968.2137368</v>
      </c>
      <c r="AM5" s="102">
        <f>SUMIFS('VRZ Large Use'!Q:Q,'VRZ Large Use'!B:B,'Model Summary'!AK5)</f>
        <v>220911577.70774004</v>
      </c>
      <c r="AN5" s="101">
        <f>ABS(AL5-AM5)/AL5</f>
        <v>2.8442986555523193E-2</v>
      </c>
      <c r="AR5" s="100">
        <f>AR4+1</f>
        <v>2015</v>
      </c>
      <c r="AS5" s="102">
        <f>SUMIFS('WRZ Residential'!D:D,'WRZ Residential'!B:B,'Model Summary'!AR5)</f>
        <v>341819651.24851882</v>
      </c>
      <c r="AT5" s="102">
        <f>SUMIFS('WRZ Residential'!W:W,'WRZ Residential'!B:B,'Model Summary'!AR5)</f>
        <v>346682335.14129239</v>
      </c>
      <c r="AU5" s="101">
        <f>ABS(AS5-AT5)/AS5</f>
        <v>1.422587576522384E-2</v>
      </c>
      <c r="AV5" s="101"/>
      <c r="AX5" s="100">
        <f>AX4+1</f>
        <v>2015</v>
      </c>
      <c r="AY5" s="102">
        <f>SUMIFS('WRZ GS &lt; 50'!D:D,'WRZ GS &lt; 50'!B:B,'Model Summary'!AX5)</f>
        <v>80816258.045444056</v>
      </c>
      <c r="AZ5" s="102">
        <f>SUMIFS('WRZ GS &lt; 50'!U:U,'WRZ GS &lt; 50'!B:B,'Model Summary'!AX5)</f>
        <v>85511416.327246577</v>
      </c>
      <c r="BA5" s="101">
        <f>ABS(AY5-AZ5)/AY5</f>
        <v>5.8096704739315823E-2</v>
      </c>
      <c r="BE5" s="100">
        <f>BE4+1</f>
        <v>2015</v>
      </c>
      <c r="BF5" s="102">
        <f>SUMIFS('WRZ GS 50-2,999'!D:D,'WRZ GS 50-2,999'!B:B,'Model Summary'!BE5)</f>
        <v>356280749.60554087</v>
      </c>
      <c r="BG5" s="102">
        <f>SUMIFS('WRZ GS 50-2,999'!S:S,'WRZ GS 50-2,999'!B:B,'Model Summary'!BE5)</f>
        <v>361926433.86995</v>
      </c>
      <c r="BH5" s="101">
        <f>ABS(BF5-BG5)/BF5</f>
        <v>1.5846167020417998E-2</v>
      </c>
      <c r="BM5" s="100">
        <f>BM4+1</f>
        <v>2015</v>
      </c>
      <c r="BN5" s="102">
        <f>SUMIFS('WRZ GS 3,000-4,999'!D:D,'WRZ GS 3,000-4,999'!B:B,'Model Summary'!BM5)</f>
        <v>60550882.364713915</v>
      </c>
      <c r="BO5" s="102">
        <f>SUMIFS('WRZ GS 3,000-4,999'!O:O,'WRZ GS 3,000-4,999'!B:B,'Model Summary'!BM5)</f>
        <v>64032948.581763573</v>
      </c>
      <c r="BP5" s="101">
        <f>ABS(BN5-BO5)/BN5</f>
        <v>5.7506448809057087E-2</v>
      </c>
    </row>
    <row r="6" spans="2:70" ht="14.25">
      <c r="B6" s="100">
        <f t="shared" ref="B6:B14" si="0">B5+1</f>
        <v>2016</v>
      </c>
      <c r="C6" s="102">
        <f>SUMIFS('VRZ Residential'!D:D,'VRZ Residential'!B:B,'Model Summary'!B6)</f>
        <v>974889836.79758954</v>
      </c>
      <c r="D6" s="102">
        <f>SUMIFS('VRZ Residential'!W:W,'VRZ Residential'!B:B,'Model Summary'!B6)</f>
        <v>961872791.32502735</v>
      </c>
      <c r="E6" s="101">
        <f>ABS(C6-D6)/C6</f>
        <v>1.3352324520401011E-2</v>
      </c>
      <c r="F6" s="101"/>
      <c r="G6" s="101"/>
      <c r="H6" s="100">
        <f t="shared" ref="H6:H14" si="1">H5+1</f>
        <v>2016</v>
      </c>
      <c r="I6" s="102">
        <f>SUMIFS('VRZ Seasonal'!D:D,'VRZ Seasonal'!B:B,'Model Summary'!H6)</f>
        <v>9667321.9468687549</v>
      </c>
      <c r="J6" s="102">
        <f>SUMIFS('VRZ Seasonal'!U:U,'VRZ Seasonal'!B:B,'Model Summary'!H6)</f>
        <v>9679219.3937567882</v>
      </c>
      <c r="K6" s="101">
        <f>ABS(I6-J6)/I6</f>
        <v>1.2306869424046525E-3</v>
      </c>
      <c r="N6" s="100">
        <f t="shared" ref="N6:N14" si="2">N5+1</f>
        <v>2016</v>
      </c>
      <c r="O6" s="102">
        <f>SUMIFS('VRZ GS &lt; 50'!D:D,'VRZ GS &lt; 50'!B:B,'Model Summary'!N6)</f>
        <v>290368097.2255671</v>
      </c>
      <c r="P6" s="102">
        <f>SUMIFS('VRZ GS &lt; 50'!S:S,'VRZ GS &lt; 50'!B:B,'Model Summary'!N6)</f>
        <v>286676838.46787173</v>
      </c>
      <c r="Q6" s="101">
        <f>ABS(O6-P6)/O6</f>
        <v>1.2712342688349438E-2</v>
      </c>
      <c r="U6" s="100">
        <f t="shared" ref="U6:U14" si="3">U5+1</f>
        <v>2016</v>
      </c>
      <c r="V6" s="102">
        <f>SUMIFS('VRZ GS 50-2,999'!D:D,'VRZ GS 50-2,999'!B:B,'Model Summary'!U6)</f>
        <v>988864474.407547</v>
      </c>
      <c r="W6" s="102">
        <f>SUMIFS('VRZ GS 50-2,999'!U:U,'VRZ GS 50-2,999'!B:B,'Model Summary'!U6)</f>
        <v>970830635.17524815</v>
      </c>
      <c r="X6" s="101">
        <f>ABS(V6-W6)/V6</f>
        <v>1.8236916887021719E-2</v>
      </c>
      <c r="AC6" s="100">
        <f t="shared" ref="AC6:AC14" si="4">AC5+1</f>
        <v>2016</v>
      </c>
      <c r="AD6" s="102">
        <f>SUMIFS('VRZ GS 3,000-4,999'!D:D,'VRZ GS 3,000-4,999'!B:B,'Model Summary'!AC6)</f>
        <v>81776858.437469766</v>
      </c>
      <c r="AE6" s="102">
        <f>SUMIFS('VRZ GS 3,000-4,999'!M:M,'VRZ GS 3,000-4,999'!B:B,'Model Summary'!AC6)</f>
        <v>87440501.024150014</v>
      </c>
      <c r="AF6" s="101">
        <f>ABS(AD6-AE6)/AD6</f>
        <v>6.925727760758775E-2</v>
      </c>
      <c r="AK6" s="100">
        <f t="shared" ref="AK6:AK14" si="5">AK5+1</f>
        <v>2016</v>
      </c>
      <c r="AL6" s="102">
        <f>SUMIFS('VRZ Large Use'!D:D,'VRZ Large Use'!B:B,'Model Summary'!AK6)</f>
        <v>222929336.24786574</v>
      </c>
      <c r="AM6" s="102">
        <f>SUMIFS('VRZ Large Use'!Q:Q,'VRZ Large Use'!B:B,'Model Summary'!AK6)</f>
        <v>233856153.54065007</v>
      </c>
      <c r="AN6" s="101">
        <f>ABS(AL6-AM6)/AL6</f>
        <v>4.9014712359952778E-2</v>
      </c>
      <c r="AR6" s="100">
        <f t="shared" ref="AR6:AR14" si="6">AR5+1</f>
        <v>2016</v>
      </c>
      <c r="AS6" s="102">
        <f>SUMIFS('WRZ Residential'!D:D,'WRZ Residential'!B:B,'Model Summary'!AR6)</f>
        <v>378173307.04498887</v>
      </c>
      <c r="AT6" s="102">
        <f>SUMIFS('WRZ Residential'!W:W,'WRZ Residential'!B:B,'Model Summary'!AR6)</f>
        <v>369877850.1950022</v>
      </c>
      <c r="AU6" s="101">
        <f>ABS(AS6-AT6)/AS6</f>
        <v>2.1935595917138104E-2</v>
      </c>
      <c r="AV6" s="101"/>
      <c r="AX6" s="100">
        <f t="shared" ref="AX6:AX14" si="7">AX5+1</f>
        <v>2016</v>
      </c>
      <c r="AY6" s="102">
        <f>SUMIFS('WRZ GS &lt; 50'!D:D,'WRZ GS &lt; 50'!B:B,'Model Summary'!AX6)</f>
        <v>90604838.92675291</v>
      </c>
      <c r="AZ6" s="102">
        <f>SUMIFS('WRZ GS &lt; 50'!U:U,'WRZ GS &lt; 50'!B:B,'Model Summary'!AX6)</f>
        <v>89149764.498054951</v>
      </c>
      <c r="BA6" s="101">
        <f>ABS(AY6-AZ6)/AY6</f>
        <v>1.605956641978333E-2</v>
      </c>
      <c r="BE6" s="100">
        <f t="shared" ref="BE6:BE14" si="8">BE5+1</f>
        <v>2016</v>
      </c>
      <c r="BF6" s="102">
        <f>SUMIFS('WRZ GS 50-2,999'!D:D,'WRZ GS 50-2,999'!B:B,'Model Summary'!BE6)</f>
        <v>363869601.55604947</v>
      </c>
      <c r="BG6" s="102">
        <f>SUMIFS('WRZ GS 50-2,999'!S:S,'WRZ GS 50-2,999'!B:B,'Model Summary'!BE6)</f>
        <v>363665598.08592051</v>
      </c>
      <c r="BH6" s="101">
        <f>ABS(BF6-BG6)/BF6</f>
        <v>5.6064993958427527E-4</v>
      </c>
      <c r="BM6" s="100">
        <f t="shared" ref="BM6:BM14" si="9">BM5+1</f>
        <v>2016</v>
      </c>
      <c r="BN6" s="102">
        <f>SUMIFS('WRZ GS 3,000-4,999'!D:D,'WRZ GS 3,000-4,999'!B:B,'Model Summary'!BM6)</f>
        <v>63772064.009023599</v>
      </c>
      <c r="BO6" s="102">
        <f>SUMIFS('WRZ GS 3,000-4,999'!O:O,'WRZ GS 3,000-4,999'!B:B,'Model Summary'!BM6)</f>
        <v>64228985.05753459</v>
      </c>
      <c r="BP6" s="101">
        <f>ABS(BN6-BO6)/BN6</f>
        <v>7.1649092061115936E-3</v>
      </c>
    </row>
    <row r="7" spans="2:70" ht="14.25">
      <c r="B7" s="100">
        <f t="shared" si="0"/>
        <v>2017</v>
      </c>
      <c r="C7" s="102">
        <f>SUMIFS('VRZ Residential'!D:D,'VRZ Residential'!B:B,'Model Summary'!B7)</f>
        <v>935011269.33828282</v>
      </c>
      <c r="D7" s="102">
        <f>SUMIFS('VRZ Residential'!W:W,'VRZ Residential'!B:B,'Model Summary'!B7)</f>
        <v>927286403.40398109</v>
      </c>
      <c r="E7" s="101">
        <f>ABS(C7-D7)/C7</f>
        <v>8.2617891223586027E-3</v>
      </c>
      <c r="F7" s="101"/>
      <c r="G7" s="101"/>
      <c r="H7" s="100">
        <f t="shared" si="1"/>
        <v>2017</v>
      </c>
      <c r="I7" s="102">
        <f>SUMIFS('VRZ Seasonal'!D:D,'VRZ Seasonal'!B:B,'Model Summary'!H7)</f>
        <v>10291111.895164648</v>
      </c>
      <c r="J7" s="102">
        <f>SUMIFS('VRZ Seasonal'!U:U,'VRZ Seasonal'!B:B,'Model Summary'!H7)</f>
        <v>9624837.5005474668</v>
      </c>
      <c r="K7" s="101">
        <f>ABS(I7-J7)/I7</f>
        <v>6.4742702382843104E-2</v>
      </c>
      <c r="N7" s="100">
        <f t="shared" si="2"/>
        <v>2017</v>
      </c>
      <c r="O7" s="102">
        <f>SUMIFS('VRZ GS &lt; 50'!D:D,'VRZ GS &lt; 50'!B:B,'Model Summary'!N7)</f>
        <v>282359272.34811705</v>
      </c>
      <c r="P7" s="102">
        <f>SUMIFS('VRZ GS &lt; 50'!S:S,'VRZ GS &lt; 50'!B:B,'Model Summary'!N7)</f>
        <v>281440660.0451439</v>
      </c>
      <c r="Q7" s="101">
        <f>ABS(O7-P7)/O7</f>
        <v>3.2533456235876897E-3</v>
      </c>
      <c r="U7" s="100">
        <f t="shared" si="3"/>
        <v>2017</v>
      </c>
      <c r="V7" s="102">
        <f>SUMIFS('VRZ GS 50-2,999'!D:D,'VRZ GS 50-2,999'!B:B,'Model Summary'!U7)</f>
        <v>975660838.91877925</v>
      </c>
      <c r="W7" s="102">
        <f>SUMIFS('VRZ GS 50-2,999'!U:U,'VRZ GS 50-2,999'!B:B,'Model Summary'!U7)</f>
        <v>968234874.64959645</v>
      </c>
      <c r="X7" s="101">
        <f>ABS(V7-W7)/V7</f>
        <v>7.6112148535265644E-3</v>
      </c>
      <c r="AC7" s="100">
        <f t="shared" si="4"/>
        <v>2017</v>
      </c>
      <c r="AD7" s="102">
        <f>SUMIFS('VRZ GS 3,000-4,999'!D:D,'VRZ GS 3,000-4,999'!B:B,'Model Summary'!AC7)</f>
        <v>91924306.042175293</v>
      </c>
      <c r="AE7" s="102">
        <f>SUMIFS('VRZ GS 3,000-4,999'!M:M,'VRZ GS 3,000-4,999'!B:B,'Model Summary'!AC7)</f>
        <v>90611201.810369998</v>
      </c>
      <c r="AF7" s="101">
        <f>ABS(AD7-AE7)/AD7</f>
        <v>1.4284624908702999E-2</v>
      </c>
      <c r="AK7" s="100">
        <f t="shared" si="5"/>
        <v>2017</v>
      </c>
      <c r="AL7" s="102">
        <f>SUMIFS('VRZ Large Use'!D:D,'VRZ Large Use'!B:B,'Model Summary'!AK7)</f>
        <v>233715442.88221914</v>
      </c>
      <c r="AM7" s="102">
        <f>SUMIFS('VRZ Large Use'!Q:Q,'VRZ Large Use'!B:B,'Model Summary'!AK7)</f>
        <v>250408889.27107006</v>
      </c>
      <c r="AN7" s="101">
        <f>ABS(AL7-AM7)/AL7</f>
        <v>7.1426372955866624E-2</v>
      </c>
      <c r="AR7" s="100">
        <f t="shared" si="6"/>
        <v>2017</v>
      </c>
      <c r="AS7" s="102">
        <f>SUMIFS('WRZ Residential'!D:D,'WRZ Residential'!B:B,'Model Summary'!AR7)</f>
        <v>359527893.87480748</v>
      </c>
      <c r="AT7" s="102">
        <f>SUMIFS('WRZ Residential'!W:W,'WRZ Residential'!B:B,'Model Summary'!AR7)</f>
        <v>356304439.96606356</v>
      </c>
      <c r="AU7" s="101">
        <f>ABS(AS7-AT7)/AS7</f>
        <v>8.9657964337709183E-3</v>
      </c>
      <c r="AV7" s="101"/>
      <c r="AX7" s="100">
        <f t="shared" si="7"/>
        <v>2017</v>
      </c>
      <c r="AY7" s="102">
        <f>SUMIFS('WRZ GS &lt; 50'!D:D,'WRZ GS &lt; 50'!B:B,'Model Summary'!AX7)</f>
        <v>88683309.006846577</v>
      </c>
      <c r="AZ7" s="102">
        <f>SUMIFS('WRZ GS &lt; 50'!U:U,'WRZ GS &lt; 50'!B:B,'Model Summary'!AX7)</f>
        <v>86749801.755838051</v>
      </c>
      <c r="BA7" s="101">
        <f>ABS(AY7-AZ7)/AY7</f>
        <v>2.1802380545579935E-2</v>
      </c>
      <c r="BE7" s="100">
        <f t="shared" si="8"/>
        <v>2017</v>
      </c>
      <c r="BF7" s="102">
        <f>SUMIFS('WRZ GS 50-2,999'!D:D,'WRZ GS 50-2,999'!B:B,'Model Summary'!BE7)</f>
        <v>352034151.57549763</v>
      </c>
      <c r="BG7" s="102">
        <f>SUMIFS('WRZ GS 50-2,999'!S:S,'WRZ GS 50-2,999'!B:B,'Model Summary'!BE7)</f>
        <v>359429312.06425661</v>
      </c>
      <c r="BH7" s="101">
        <f>ABS(BF7-BG7)/BF7</f>
        <v>2.100694053591845E-2</v>
      </c>
      <c r="BM7" s="100">
        <f t="shared" si="9"/>
        <v>2017</v>
      </c>
      <c r="BN7" s="102">
        <f>SUMIFS('WRZ GS 3,000-4,999'!D:D,'WRZ GS 3,000-4,999'!B:B,'Model Summary'!BM7)</f>
        <v>63079308.806291334</v>
      </c>
      <c r="BO7" s="102">
        <f>SUMIFS('WRZ GS 3,000-4,999'!O:O,'WRZ GS 3,000-4,999'!B:B,'Model Summary'!BM7)</f>
        <v>64034036.61576356</v>
      </c>
      <c r="BP7" s="101">
        <f>ABS(BN7-BO7)/BN7</f>
        <v>1.5135356229157095E-2</v>
      </c>
    </row>
    <row r="8" spans="2:70" ht="14.25">
      <c r="B8" s="100">
        <f t="shared" si="0"/>
        <v>2018</v>
      </c>
      <c r="C8" s="102">
        <f>SUMIFS('VRZ Residential'!D:D,'VRZ Residential'!B:B,'Model Summary'!B8)</f>
        <v>1022506392.9810692</v>
      </c>
      <c r="D8" s="102">
        <f>SUMIFS('VRZ Residential'!W:W,'VRZ Residential'!B:B,'Model Summary'!B8)</f>
        <v>1016089981.9611855</v>
      </c>
      <c r="E8" s="101">
        <f>ABS(C8-D8)/C8</f>
        <v>6.2751793670228389E-3</v>
      </c>
      <c r="F8" s="101"/>
      <c r="G8" s="101"/>
      <c r="H8" s="100">
        <f t="shared" si="1"/>
        <v>2018</v>
      </c>
      <c r="I8" s="102">
        <f>SUMIFS('VRZ Seasonal'!D:D,'VRZ Seasonal'!B:B,'Model Summary'!H8)</f>
        <v>11007634.208581543</v>
      </c>
      <c r="J8" s="102">
        <f>SUMIFS('VRZ Seasonal'!U:U,'VRZ Seasonal'!B:B,'Model Summary'!H8)</f>
        <v>10660636.149817426</v>
      </c>
      <c r="K8" s="101">
        <f>ABS(I8-J8)/I8</f>
        <v>3.1523400231958786E-2</v>
      </c>
      <c r="N8" s="100">
        <f t="shared" si="2"/>
        <v>2018</v>
      </c>
      <c r="O8" s="102">
        <f>SUMIFS('VRZ GS &lt; 50'!D:D,'VRZ GS &lt; 50'!B:B,'Model Summary'!N8)</f>
        <v>292989511.13009322</v>
      </c>
      <c r="P8" s="102">
        <f>SUMIFS('VRZ GS &lt; 50'!S:S,'VRZ GS &lt; 50'!B:B,'Model Summary'!N8)</f>
        <v>293289801.64355356</v>
      </c>
      <c r="Q8" s="101">
        <f>ABS(O8-P8)/O8</f>
        <v>1.0249189887449695E-3</v>
      </c>
      <c r="U8" s="100">
        <f t="shared" si="3"/>
        <v>2018</v>
      </c>
      <c r="V8" s="102">
        <f>SUMIFS('VRZ GS 50-2,999'!D:D,'VRZ GS 50-2,999'!B:B,'Model Summary'!U8)</f>
        <v>1009073271.0393625</v>
      </c>
      <c r="W8" s="102">
        <f>SUMIFS('VRZ GS 50-2,999'!U:U,'VRZ GS 50-2,999'!B:B,'Model Summary'!U8)</f>
        <v>1000241973.4549356</v>
      </c>
      <c r="X8" s="101">
        <f>ABS(V8-W8)/V8</f>
        <v>8.7518893205154602E-3</v>
      </c>
      <c r="AC8" s="100">
        <f t="shared" si="4"/>
        <v>2018</v>
      </c>
      <c r="AD8" s="102">
        <f>SUMIFS('VRZ GS 3,000-4,999'!D:D,'VRZ GS 3,000-4,999'!B:B,'Model Summary'!AC8)</f>
        <v>85850728.608598396</v>
      </c>
      <c r="AE8" s="102">
        <f>SUMIFS('VRZ GS 3,000-4,999'!M:M,'VRZ GS 3,000-4,999'!B:B,'Model Summary'!AC8)</f>
        <v>94290579.245609999</v>
      </c>
      <c r="AF8" s="101">
        <f>ABS(AD8-AE8)/AD8</f>
        <v>9.8308433414580329E-2</v>
      </c>
      <c r="AK8" s="100">
        <f t="shared" si="5"/>
        <v>2018</v>
      </c>
      <c r="AL8" s="102">
        <f>SUMIFS('VRZ Large Use'!D:D,'VRZ Large Use'!B:B,'Model Summary'!AK8)</f>
        <v>266466614.46949729</v>
      </c>
      <c r="AM8" s="102">
        <f>SUMIFS('VRZ Large Use'!Q:Q,'VRZ Large Use'!B:B,'Model Summary'!AK8)</f>
        <v>270234553.03471005</v>
      </c>
      <c r="AN8" s="101">
        <f>ABS(AL8-AM8)/AL8</f>
        <v>1.4140377670629639E-2</v>
      </c>
      <c r="AR8" s="100">
        <f t="shared" si="6"/>
        <v>2018</v>
      </c>
      <c r="AS8" s="102">
        <f>SUMIFS('WRZ Residential'!D:D,'WRZ Residential'!B:B,'Model Summary'!AR8)</f>
        <v>390439562.14697731</v>
      </c>
      <c r="AT8" s="102">
        <f>SUMIFS('WRZ Residential'!W:W,'WRZ Residential'!B:B,'Model Summary'!AR8)</f>
        <v>389240905.57871598</v>
      </c>
      <c r="AU8" s="101">
        <f>ABS(AS8-AT8)/AS8</f>
        <v>3.070018216571256E-3</v>
      </c>
      <c r="AV8" s="101"/>
      <c r="AX8" s="100">
        <f t="shared" si="7"/>
        <v>2018</v>
      </c>
      <c r="AY8" s="102">
        <f>SUMIFS('WRZ GS &lt; 50'!D:D,'WRZ GS &lt; 50'!B:B,'Model Summary'!AX8)</f>
        <v>92324972.869182795</v>
      </c>
      <c r="AZ8" s="102">
        <f>SUMIFS('WRZ GS &lt; 50'!U:U,'WRZ GS &lt; 50'!B:B,'Model Summary'!AX8)</f>
        <v>90992960.447278589</v>
      </c>
      <c r="BA8" s="101">
        <f>ABS(AY8-AZ8)/AY8</f>
        <v>1.4427433667286995E-2</v>
      </c>
      <c r="BE8" s="100">
        <f t="shared" si="8"/>
        <v>2018</v>
      </c>
      <c r="BF8" s="102">
        <f>SUMIFS('WRZ GS 50-2,999'!D:D,'WRZ GS 50-2,999'!B:B,'Model Summary'!BE8)</f>
        <v>363238681.83918047</v>
      </c>
      <c r="BG8" s="102">
        <f>SUMIFS('WRZ GS 50-2,999'!S:S,'WRZ GS 50-2,999'!B:B,'Model Summary'!BE8)</f>
        <v>365353752.9246788</v>
      </c>
      <c r="BH8" s="101">
        <f>ABS(BF8-BG8)/BF8</f>
        <v>5.8228134591534362E-3</v>
      </c>
      <c r="BM8" s="100">
        <f t="shared" si="9"/>
        <v>2018</v>
      </c>
      <c r="BN8" s="102">
        <f>SUMIFS('WRZ GS 3,000-4,999'!D:D,'WRZ GS 3,000-4,999'!B:B,'Model Summary'!BM8)</f>
        <v>75020562.327309459</v>
      </c>
      <c r="BO8" s="102">
        <f>SUMIFS('WRZ GS 3,000-4,999'!O:O,'WRZ GS 3,000-4,999'!B:B,'Model Summary'!BM8)</f>
        <v>77614440.974676207</v>
      </c>
      <c r="BP8" s="101">
        <f>ABS(BN8-BO8)/BN8</f>
        <v>3.4575569242600933E-2</v>
      </c>
    </row>
    <row r="9" spans="2:70" ht="14.25">
      <c r="B9" s="100">
        <f t="shared" si="0"/>
        <v>2019</v>
      </c>
      <c r="C9" s="102">
        <f>SUMIFS('VRZ Residential'!D:D,'VRZ Residential'!B:B,'Model Summary'!B9)</f>
        <v>1001595945.1586077</v>
      </c>
      <c r="D9" s="102">
        <f ca="1">SUMIFS('VRZ Residential'!W:W,'VRZ Residential'!B:B,'Model Summary'!B9)</f>
        <v>995817359.12360227</v>
      </c>
      <c r="E9" s="101">
        <f t="shared" ref="E9:E12" ca="1" si="10">ABS(C9-D9)/C9</f>
        <v>5.7693784234423813E-3</v>
      </c>
      <c r="F9" s="101"/>
      <c r="G9" s="101"/>
      <c r="H9" s="100">
        <f t="shared" si="1"/>
        <v>2019</v>
      </c>
      <c r="I9" s="102">
        <f>SUMIFS('VRZ Seasonal'!D:D,'VRZ Seasonal'!B:B,'Model Summary'!H9)</f>
        <v>11383189.062024178</v>
      </c>
      <c r="J9" s="102">
        <f ca="1">SUMIFS('VRZ Seasonal'!U:U,'VRZ Seasonal'!B:B,'Model Summary'!H9)</f>
        <v>10790387.406646518</v>
      </c>
      <c r="K9" s="101">
        <f t="shared" ref="K9:K12" ca="1" si="11">ABS(I9-J9)/I9</f>
        <v>5.2076940139325678E-2</v>
      </c>
      <c r="N9" s="100">
        <f t="shared" si="2"/>
        <v>2019</v>
      </c>
      <c r="O9" s="102">
        <f>SUMIFS('VRZ GS &lt; 50'!D:D,'VRZ GS &lt; 50'!B:B,'Model Summary'!N9)</f>
        <v>304389877.06990516</v>
      </c>
      <c r="P9" s="102">
        <f ca="1">SUMIFS('VRZ GS &lt; 50'!S:S,'VRZ GS &lt; 50'!B:B,'Model Summary'!N9)</f>
        <v>290463596.81136048</v>
      </c>
      <c r="Q9" s="101">
        <f t="shared" ref="Q9:Q12" ca="1" si="12">ABS(O9-P9)/O9</f>
        <v>4.5751456627272861E-2</v>
      </c>
      <c r="U9" s="100">
        <f t="shared" si="3"/>
        <v>2019</v>
      </c>
      <c r="V9" s="102">
        <f>SUMIFS('VRZ GS 50-2,999'!D:D,'VRZ GS 50-2,999'!B:B,'Model Summary'!U9)</f>
        <v>997005194.91286576</v>
      </c>
      <c r="W9" s="102">
        <f ca="1">SUMIFS('VRZ GS 50-2,999'!U:U,'VRZ GS 50-2,999'!B:B,'Model Summary'!U9)</f>
        <v>997963689.13678932</v>
      </c>
      <c r="X9" s="101">
        <f t="shared" ref="X9:X12" ca="1" si="13">ABS(V9-W9)/V9</f>
        <v>9.6137334972194656E-4</v>
      </c>
      <c r="AC9" s="100">
        <f t="shared" si="4"/>
        <v>2019</v>
      </c>
      <c r="AD9" s="102">
        <f>SUMIFS('VRZ GS 3,000-4,999'!D:D,'VRZ GS 3,000-4,999'!B:B,'Model Summary'!AC9)</f>
        <v>95790916.003111556</v>
      </c>
      <c r="AE9" s="102">
        <f>SUMIFS('VRZ GS 3,000-4,999'!M:M,'VRZ GS 3,000-4,999'!B:B,'Model Summary'!AC9)</f>
        <v>97064476.966140002</v>
      </c>
      <c r="AF9" s="101">
        <f t="shared" ref="AF9:AF12" si="14">ABS(AD9-AE9)/AD9</f>
        <v>1.3295216458594853E-2</v>
      </c>
      <c r="AK9" s="100">
        <f t="shared" si="5"/>
        <v>2019</v>
      </c>
      <c r="AL9" s="102">
        <f>SUMIFS('VRZ Large Use'!D:D,'VRZ Large Use'!B:B,'Model Summary'!AK9)</f>
        <v>278341289.36218399</v>
      </c>
      <c r="AM9" s="102">
        <f>SUMIFS('VRZ Large Use'!Q:Q,'VRZ Large Use'!B:B,'Model Summary'!AK9)</f>
        <v>284615656.08954006</v>
      </c>
      <c r="AN9" s="101">
        <f t="shared" ref="AN9:AN12" si="15">ABS(AL9-AM9)/AL9</f>
        <v>2.2541990596270208E-2</v>
      </c>
      <c r="AR9" s="100">
        <f t="shared" si="6"/>
        <v>2019</v>
      </c>
      <c r="AS9" s="102">
        <f>SUMIFS('WRZ Residential'!D:D,'WRZ Residential'!B:B,'Model Summary'!AR9)</f>
        <v>376217358.44924873</v>
      </c>
      <c r="AT9" s="102">
        <f ca="1">SUMIFS('WRZ Residential'!W:W,'WRZ Residential'!B:B,'Model Summary'!AR9)</f>
        <v>380152081.54588997</v>
      </c>
      <c r="AU9" s="101">
        <f t="shared" ref="AU9:AU12" ca="1" si="16">ABS(AS9-AT9)/AS9</f>
        <v>1.0458643144112214E-2</v>
      </c>
      <c r="AV9" s="101"/>
      <c r="AX9" s="100">
        <f t="shared" si="7"/>
        <v>2019</v>
      </c>
      <c r="AY9" s="102">
        <f>SUMIFS('WRZ GS &lt; 50'!D:D,'WRZ GS &lt; 50'!B:B,'Model Summary'!AX9)</f>
        <v>91697786.724669263</v>
      </c>
      <c r="AZ9" s="102">
        <f ca="1">SUMIFS('WRZ GS &lt; 50'!U:U,'WRZ GS &lt; 50'!B:B,'Model Summary'!AX9)</f>
        <v>89460135.845176846</v>
      </c>
      <c r="BA9" s="101">
        <f t="shared" ref="BA9:BA12" ca="1" si="17">ABS(AY9-AZ9)/AY9</f>
        <v>2.4402452440985978E-2</v>
      </c>
      <c r="BE9" s="100">
        <f t="shared" si="8"/>
        <v>2019</v>
      </c>
      <c r="BF9" s="102">
        <f>SUMIFS('WRZ GS 50-2,999'!D:D,'WRZ GS 50-2,999'!B:B,'Model Summary'!BE9)</f>
        <v>358131146.3028354</v>
      </c>
      <c r="BG9" s="102">
        <f ca="1">SUMIFS('WRZ GS 50-2,999'!S:S,'WRZ GS 50-2,999'!B:B,'Model Summary'!BE9)</f>
        <v>362310288.16837567</v>
      </c>
      <c r="BH9" s="101">
        <f t="shared" ref="BH9:BH12" ca="1" si="18">ABS(BF9-BG9)/BF9</f>
        <v>1.1669305807896381E-2</v>
      </c>
      <c r="BM9" s="100">
        <f t="shared" si="9"/>
        <v>2019</v>
      </c>
      <c r="BN9" s="102">
        <f>SUMIFS('WRZ GS 3,000-4,999'!D:D,'WRZ GS 3,000-4,999'!B:B,'Model Summary'!BM9)</f>
        <v>83915672.470856011</v>
      </c>
      <c r="BO9" s="102">
        <f>SUMIFS('WRZ GS 3,000-4,999'!O:O,'WRZ GS 3,000-4,999'!B:B,'Model Summary'!BM9)</f>
        <v>89105499.11052531</v>
      </c>
      <c r="BP9" s="101">
        <f t="shared" ref="BP9:BP12" si="19">ABS(BN9-BO9)/BN9</f>
        <v>6.1845737355816707E-2</v>
      </c>
    </row>
    <row r="10" spans="2:70" ht="14.25">
      <c r="B10" s="100">
        <f t="shared" si="0"/>
        <v>2020</v>
      </c>
      <c r="C10" s="102">
        <f>SUMIFS('VRZ Residential'!D:D,'VRZ Residential'!B:B,'Model Summary'!B10)</f>
        <v>1080125964.3227444</v>
      </c>
      <c r="D10" s="102">
        <f ca="1">SUMIFS('VRZ Residential'!W:W,'VRZ Residential'!B:B,'Model Summary'!B10)</f>
        <v>1068144809.6479985</v>
      </c>
      <c r="E10" s="101">
        <f t="shared" ca="1" si="10"/>
        <v>1.1092367992707486E-2</v>
      </c>
      <c r="F10" s="101"/>
      <c r="G10" s="101"/>
      <c r="H10" s="100">
        <f t="shared" si="1"/>
        <v>2020</v>
      </c>
      <c r="I10" s="102">
        <f>SUMIFS('VRZ Seasonal'!D:D,'VRZ Seasonal'!B:B,'Model Summary'!H10)</f>
        <v>12906205.214640219</v>
      </c>
      <c r="J10" s="102">
        <f ca="1">SUMIFS('VRZ Seasonal'!U:U,'VRZ Seasonal'!B:B,'Model Summary'!H10)</f>
        <v>12077096.583815088</v>
      </c>
      <c r="K10" s="101">
        <f t="shared" ca="1" si="11"/>
        <v>6.4241085356726443E-2</v>
      </c>
      <c r="N10" s="100">
        <f t="shared" si="2"/>
        <v>2020</v>
      </c>
      <c r="O10" s="102">
        <f>SUMIFS('VRZ GS &lt; 50'!D:D,'VRZ GS &lt; 50'!B:B,'Model Summary'!N10)</f>
        <v>282865050.5329631</v>
      </c>
      <c r="P10" s="102">
        <f ca="1">SUMIFS('VRZ GS &lt; 50'!S:S,'VRZ GS &lt; 50'!B:B,'Model Summary'!N10)</f>
        <v>273356079.12575173</v>
      </c>
      <c r="Q10" s="101">
        <f t="shared" ca="1" si="12"/>
        <v>3.3616635880943713E-2</v>
      </c>
      <c r="U10" s="100">
        <f t="shared" si="3"/>
        <v>2020</v>
      </c>
      <c r="V10" s="102">
        <f>SUMIFS('VRZ GS 50-2,999'!D:D,'VRZ GS 50-2,999'!B:B,'Model Summary'!U10)</f>
        <v>952250074.65027785</v>
      </c>
      <c r="W10" s="102">
        <f ca="1">SUMIFS('VRZ GS 50-2,999'!U:U,'VRZ GS 50-2,999'!B:B,'Model Summary'!U10)</f>
        <v>948686044.31995451</v>
      </c>
      <c r="X10" s="101">
        <f t="shared" ca="1" si="13"/>
        <v>3.7427461810725085E-3</v>
      </c>
      <c r="AC10" s="100">
        <f t="shared" si="4"/>
        <v>2020</v>
      </c>
      <c r="AD10" s="102">
        <f>SUMIFS('VRZ GS 3,000-4,999'!D:D,'VRZ GS 3,000-4,999'!B:B,'Model Summary'!AC10)</f>
        <v>92144168.225704566</v>
      </c>
      <c r="AE10" s="102">
        <f>SUMIFS('VRZ GS 3,000-4,999'!M:M,'VRZ GS 3,000-4,999'!B:B,'Model Summary'!AC10)</f>
        <v>91600779.706669986</v>
      </c>
      <c r="AF10" s="101">
        <f t="shared" si="14"/>
        <v>5.8971558319737003E-3</v>
      </c>
      <c r="AK10" s="100">
        <f t="shared" si="5"/>
        <v>2020</v>
      </c>
      <c r="AL10" s="102">
        <f>SUMIFS('VRZ Large Use'!D:D,'VRZ Large Use'!B:B,'Model Summary'!AK10)</f>
        <v>283776483.27153635</v>
      </c>
      <c r="AM10" s="102">
        <f>SUMIFS('VRZ Large Use'!Q:Q,'VRZ Large Use'!B:B,'Model Summary'!AK10)</f>
        <v>276141611.22537005</v>
      </c>
      <c r="AN10" s="101">
        <f t="shared" si="15"/>
        <v>2.6904526964839238E-2</v>
      </c>
      <c r="AR10" s="100">
        <f t="shared" si="6"/>
        <v>2020</v>
      </c>
      <c r="AS10" s="102">
        <f>SUMIFS('WRZ Residential'!D:D,'WRZ Residential'!B:B,'Model Summary'!AR10)</f>
        <v>416955296.65327436</v>
      </c>
      <c r="AT10" s="102">
        <f ca="1">SUMIFS('WRZ Residential'!W:W,'WRZ Residential'!B:B,'Model Summary'!AR10)</f>
        <v>413990777.09875786</v>
      </c>
      <c r="AU10" s="101">
        <f t="shared" ca="1" si="16"/>
        <v>7.1099218029161684E-3</v>
      </c>
      <c r="AV10" s="101"/>
      <c r="AX10" s="100">
        <f t="shared" si="7"/>
        <v>2020</v>
      </c>
      <c r="AY10" s="102">
        <f>SUMIFS('WRZ GS &lt; 50'!D:D,'WRZ GS &lt; 50'!B:B,'Model Summary'!AX10)</f>
        <v>84284805.65291582</v>
      </c>
      <c r="AZ10" s="102">
        <f ca="1">SUMIFS('WRZ GS &lt; 50'!U:U,'WRZ GS &lt; 50'!B:B,'Model Summary'!AX10)</f>
        <v>83657351.55555065</v>
      </c>
      <c r="BA10" s="101">
        <f t="shared" ca="1" si="17"/>
        <v>7.4444509007830168E-3</v>
      </c>
      <c r="BE10" s="100">
        <f t="shared" si="8"/>
        <v>2020</v>
      </c>
      <c r="BF10" s="102">
        <f>SUMIFS('WRZ GS 50-2,999'!D:D,'WRZ GS 50-2,999'!B:B,'Model Summary'!BE10)</f>
        <v>345109124.5567131</v>
      </c>
      <c r="BG10" s="102">
        <f ca="1">SUMIFS('WRZ GS 50-2,999'!S:S,'WRZ GS 50-2,999'!B:B,'Model Summary'!BE10)</f>
        <v>344598110.15019566</v>
      </c>
      <c r="BH10" s="101">
        <f t="shared" ca="1" si="18"/>
        <v>1.4807328179857182E-3</v>
      </c>
      <c r="BM10" s="100">
        <f t="shared" si="9"/>
        <v>2020</v>
      </c>
      <c r="BN10" s="102">
        <f>SUMIFS('WRZ GS 3,000-4,999'!D:D,'WRZ GS 3,000-4,999'!B:B,'Model Summary'!BM10)</f>
        <v>90346840.537376255</v>
      </c>
      <c r="BO10" s="102">
        <f>SUMIFS('WRZ GS 3,000-4,999'!O:O,'WRZ GS 3,000-4,999'!B:B,'Model Summary'!BM10)</f>
        <v>89303191.094296351</v>
      </c>
      <c r="BP10" s="101">
        <f t="shared" si="19"/>
        <v>1.1551587602536568E-2</v>
      </c>
    </row>
    <row r="11" spans="2:70" ht="14.25">
      <c r="B11" s="100">
        <f t="shared" si="0"/>
        <v>2021</v>
      </c>
      <c r="C11" s="102">
        <f ca="1">SUMIFS('VRZ Residential'!D:D,'VRZ Residential'!B:B,'Model Summary'!B11)</f>
        <v>1072364552.8944829</v>
      </c>
      <c r="D11" s="102">
        <f ca="1">SUMIFS('VRZ Residential'!W:W,'VRZ Residential'!B:B,'Model Summary'!B11)</f>
        <v>1074840453.9123971</v>
      </c>
      <c r="E11" s="101">
        <f t="shared" ca="1" si="10"/>
        <v>2.3088240013449191E-3</v>
      </c>
      <c r="F11" s="101"/>
      <c r="G11" s="101"/>
      <c r="H11" s="100">
        <f t="shared" si="1"/>
        <v>2021</v>
      </c>
      <c r="I11" s="102">
        <f ca="1">SUMIFS('VRZ Seasonal'!D:D,'VRZ Seasonal'!B:B,'Model Summary'!H11)</f>
        <v>13122276.719551934</v>
      </c>
      <c r="J11" s="102">
        <f ca="1">SUMIFS('VRZ Seasonal'!U:U,'VRZ Seasonal'!B:B,'Model Summary'!H11)</f>
        <v>12476256.657979658</v>
      </c>
      <c r="K11" s="101">
        <f t="shared" ca="1" si="11"/>
        <v>4.9230790919819495E-2</v>
      </c>
      <c r="N11" s="100">
        <f t="shared" si="2"/>
        <v>2021</v>
      </c>
      <c r="O11" s="102">
        <f ca="1">SUMIFS('VRZ GS &lt; 50'!D:D,'VRZ GS &lt; 50'!B:B,'Model Summary'!N11)</f>
        <v>282636503.79152179</v>
      </c>
      <c r="P11" s="102">
        <f ca="1">SUMIFS('VRZ GS &lt; 50'!S:S,'VRZ GS &lt; 50'!B:B,'Model Summary'!N11)</f>
        <v>275842029.37728107</v>
      </c>
      <c r="Q11" s="101">
        <f t="shared" ca="1" si="12"/>
        <v>2.403962093747259E-2</v>
      </c>
      <c r="U11" s="100">
        <f t="shared" si="3"/>
        <v>2021</v>
      </c>
      <c r="V11" s="102">
        <f ca="1">SUMIFS('VRZ GS 50-2,999'!D:D,'VRZ GS 50-2,999'!B:B,'Model Summary'!U11)</f>
        <v>980354846.84774089</v>
      </c>
      <c r="W11" s="102">
        <f ca="1">SUMIFS('VRZ GS 50-2,999'!U:U,'VRZ GS 50-2,999'!B:B,'Model Summary'!U11)</f>
        <v>988007958.69065523</v>
      </c>
      <c r="X11" s="101">
        <f t="shared" ca="1" si="13"/>
        <v>7.8064711645200336E-3</v>
      </c>
      <c r="AC11" s="100">
        <f t="shared" si="4"/>
        <v>2021</v>
      </c>
      <c r="AD11" s="102">
        <f ca="1">SUMIFS('VRZ GS 3,000-4,999'!D:D,'VRZ GS 3,000-4,999'!B:B,'Model Summary'!AC11)</f>
        <v>101045231.10211928</v>
      </c>
      <c r="AE11" s="102">
        <f>SUMIFS('VRZ GS 3,000-4,999'!M:M,'VRZ GS 3,000-4,999'!B:B,'Model Summary'!AC11)</f>
        <v>98036923.848089993</v>
      </c>
      <c r="AF11" s="101">
        <f t="shared" ca="1" si="14"/>
        <v>2.9771887512326092E-2</v>
      </c>
      <c r="AK11" s="100">
        <f t="shared" si="5"/>
        <v>2021</v>
      </c>
      <c r="AL11" s="102">
        <f ca="1">SUMIFS('VRZ Large Use'!D:D,'VRZ Large Use'!B:B,'Model Summary'!AK11)</f>
        <v>305489306.39160782</v>
      </c>
      <c r="AM11" s="102">
        <f>SUMIFS('VRZ Large Use'!Q:Q,'VRZ Large Use'!B:B,'Model Summary'!AK11)</f>
        <v>312525376.9539901</v>
      </c>
      <c r="AN11" s="101">
        <f t="shared" ca="1" si="15"/>
        <v>2.3032133744684068E-2</v>
      </c>
      <c r="AR11" s="100">
        <f t="shared" si="6"/>
        <v>2021</v>
      </c>
      <c r="AS11" s="102">
        <f ca="1">SUMIFS('WRZ Residential'!D:D,'WRZ Residential'!B:B,'Model Summary'!AR11)</f>
        <v>415398276.8319459</v>
      </c>
      <c r="AT11" s="102">
        <f ca="1">SUMIFS('WRZ Residential'!W:W,'WRZ Residential'!B:B,'Model Summary'!AR11)</f>
        <v>421975818.41834146</v>
      </c>
      <c r="AU11" s="101">
        <f t="shared" ca="1" si="16"/>
        <v>1.5834301568507906E-2</v>
      </c>
      <c r="AV11" s="101"/>
      <c r="AX11" s="100">
        <f t="shared" si="7"/>
        <v>2021</v>
      </c>
      <c r="AY11" s="102">
        <f ca="1">SUMIFS('WRZ GS &lt; 50'!D:D,'WRZ GS &lt; 50'!B:B,'Model Summary'!AX11)</f>
        <v>85338794.20904538</v>
      </c>
      <c r="AZ11" s="102">
        <f ca="1">SUMIFS('WRZ GS &lt; 50'!U:U,'WRZ GS &lt; 50'!B:B,'Model Summary'!AX11)</f>
        <v>84816936.456080198</v>
      </c>
      <c r="BA11" s="101">
        <f t="shared" ca="1" si="17"/>
        <v>6.1151292070853796E-3</v>
      </c>
      <c r="BE11" s="100">
        <f t="shared" si="8"/>
        <v>2021</v>
      </c>
      <c r="BF11" s="102">
        <f ca="1">SUMIFS('WRZ GS 50-2,999'!D:D,'WRZ GS 50-2,999'!B:B,'Model Summary'!BE11)</f>
        <v>343070590.56103444</v>
      </c>
      <c r="BG11" s="102">
        <f ca="1">SUMIFS('WRZ GS 50-2,999'!S:S,'WRZ GS 50-2,999'!B:B,'Model Summary'!BE11)</f>
        <v>344438630.63100892</v>
      </c>
      <c r="BH11" s="101">
        <f t="shared" ca="1" si="18"/>
        <v>3.9876343458565824E-3</v>
      </c>
      <c r="BM11" s="100">
        <f t="shared" si="9"/>
        <v>2021</v>
      </c>
      <c r="BN11" s="102">
        <f ca="1">SUMIFS('WRZ GS 3,000-4,999'!D:D,'WRZ GS 3,000-4,999'!B:B,'Model Summary'!BM11)</f>
        <v>94391041.732008129</v>
      </c>
      <c r="BO11" s="102">
        <f>SUMIFS('WRZ GS 3,000-4,999'!O:O,'WRZ GS 3,000-4,999'!B:B,'Model Summary'!BM11)</f>
        <v>89109639.552525327</v>
      </c>
      <c r="BP11" s="101">
        <f t="shared" ca="1" si="19"/>
        <v>5.5952366692567944E-2</v>
      </c>
    </row>
    <row r="12" spans="2:70" ht="14.25">
      <c r="B12" s="100">
        <f t="shared" si="0"/>
        <v>2022</v>
      </c>
      <c r="C12" s="102">
        <f ca="1">SUMIFS('VRZ Residential'!D:D,'VRZ Residential'!B:B,'Model Summary'!B12)</f>
        <v>1063884143.4152569</v>
      </c>
      <c r="D12" s="102">
        <f ca="1">SUMIFS('VRZ Residential'!W:W,'VRZ Residential'!B:B,'Model Summary'!B12)</f>
        <v>1082204018.2046368</v>
      </c>
      <c r="E12" s="101">
        <f t="shared" ca="1" si="10"/>
        <v>1.7219802459476373E-2</v>
      </c>
      <c r="F12" s="101"/>
      <c r="G12" s="101"/>
      <c r="H12" s="100">
        <f t="shared" si="1"/>
        <v>2022</v>
      </c>
      <c r="I12" s="102">
        <f ca="1">SUMIFS('VRZ Seasonal'!D:D,'VRZ Seasonal'!B:B,'Model Summary'!H12)</f>
        <v>13129117.130221883</v>
      </c>
      <c r="J12" s="102">
        <f ca="1">SUMIFS('VRZ Seasonal'!U:U,'VRZ Seasonal'!B:B,'Model Summary'!H12)</f>
        <v>12587898.524345379</v>
      </c>
      <c r="K12" s="101">
        <f t="shared" ca="1" si="11"/>
        <v>4.1222772293703872E-2</v>
      </c>
      <c r="N12" s="100">
        <f t="shared" si="2"/>
        <v>2022</v>
      </c>
      <c r="O12" s="102">
        <f ca="1">SUMIFS('VRZ GS &lt; 50'!D:D,'VRZ GS &lt; 50'!B:B,'Model Summary'!N12)</f>
        <v>296928609.36078614</v>
      </c>
      <c r="P12" s="102">
        <f ca="1">SUMIFS('VRZ GS &lt; 50'!S:S,'VRZ GS &lt; 50'!B:B,'Model Summary'!N12)</f>
        <v>289555171.50907171</v>
      </c>
      <c r="Q12" s="101">
        <f t="shared" ca="1" si="12"/>
        <v>2.4832359089909255E-2</v>
      </c>
      <c r="U12" s="100">
        <f t="shared" si="3"/>
        <v>2022</v>
      </c>
      <c r="V12" s="102">
        <f ca="1">SUMIFS('VRZ GS 50-2,999'!D:D,'VRZ GS 50-2,999'!B:B,'Model Summary'!U12)</f>
        <v>1005336735.4703821</v>
      </c>
      <c r="W12" s="102">
        <f ca="1">SUMIFS('VRZ GS 50-2,999'!U:U,'VRZ GS 50-2,999'!B:B,'Model Summary'!U12)</f>
        <v>1012299699.7686362</v>
      </c>
      <c r="X12" s="101">
        <f t="shared" ca="1" si="13"/>
        <v>6.9260020574064317E-3</v>
      </c>
      <c r="AC12" s="100">
        <f t="shared" si="4"/>
        <v>2022</v>
      </c>
      <c r="AD12" s="102">
        <f ca="1">SUMIFS('VRZ GS 3,000-4,999'!D:D,'VRZ GS 3,000-4,999'!B:B,'Model Summary'!AC12)</f>
        <v>112112282.14879882</v>
      </c>
      <c r="AE12" s="102">
        <f>SUMIFS('VRZ GS 3,000-4,999'!M:M,'VRZ GS 3,000-4,999'!B:B,'Model Summary'!AC12)</f>
        <v>102915842.06420998</v>
      </c>
      <c r="AF12" s="101">
        <f t="shared" ca="1" si="14"/>
        <v>8.2028836701254965E-2</v>
      </c>
      <c r="AK12" s="100">
        <f t="shared" si="5"/>
        <v>2022</v>
      </c>
      <c r="AL12" s="102">
        <f ca="1">SUMIFS('VRZ Large Use'!D:D,'VRZ Large Use'!B:B,'Model Summary'!AK12)</f>
        <v>310171780.75168276</v>
      </c>
      <c r="AM12" s="102">
        <f>SUMIFS('VRZ Large Use'!Q:Q,'VRZ Large Use'!B:B,'Model Summary'!AK12)</f>
        <v>328255228.07031006</v>
      </c>
      <c r="AN12" s="101">
        <f t="shared" ca="1" si="15"/>
        <v>5.8301394391208461E-2</v>
      </c>
      <c r="AR12" s="100">
        <f t="shared" si="6"/>
        <v>2022</v>
      </c>
      <c r="AS12" s="102">
        <f ca="1">SUMIFS('WRZ Residential'!D:D,'WRZ Residential'!B:B,'Model Summary'!AR12)</f>
        <v>414003895.92591512</v>
      </c>
      <c r="AT12" s="102">
        <f ca="1">SUMIFS('WRZ Residential'!W:W,'WRZ Residential'!B:B,'Model Summary'!AR12)</f>
        <v>420131194.02619231</v>
      </c>
      <c r="AU12" s="101">
        <f t="shared" ca="1" si="16"/>
        <v>1.4800097681625801E-2</v>
      </c>
      <c r="AV12" s="101"/>
      <c r="AX12" s="100">
        <f t="shared" si="7"/>
        <v>2022</v>
      </c>
      <c r="AY12" s="102">
        <f ca="1">SUMIFS('WRZ GS &lt; 50'!D:D,'WRZ GS &lt; 50'!B:B,'Model Summary'!AX12)</f>
        <v>90650269.605631351</v>
      </c>
      <c r="AZ12" s="102">
        <f ca="1">SUMIFS('WRZ GS &lt; 50'!U:U,'WRZ GS &lt; 50'!B:B,'Model Summary'!AX12)</f>
        <v>90875253.474317402</v>
      </c>
      <c r="BA12" s="101">
        <f t="shared" ca="1" si="17"/>
        <v>2.481888577550064E-3</v>
      </c>
      <c r="BE12" s="100">
        <f t="shared" si="8"/>
        <v>2022</v>
      </c>
      <c r="BF12" s="102">
        <f ca="1">SUMIFS('WRZ GS 50-2,999'!D:D,'WRZ GS 50-2,999'!B:B,'Model Summary'!BE12)</f>
        <v>358448135.86983597</v>
      </c>
      <c r="BG12" s="102">
        <f ca="1">SUMIFS('WRZ GS 50-2,999'!S:S,'WRZ GS 50-2,999'!B:B,'Model Summary'!BE12)</f>
        <v>353891439.43143064</v>
      </c>
      <c r="BH12" s="101">
        <f t="shared" ca="1" si="18"/>
        <v>1.2712289400941445E-2</v>
      </c>
      <c r="BM12" s="100">
        <f t="shared" si="9"/>
        <v>2022</v>
      </c>
      <c r="BN12" s="102">
        <f ca="1">SUMIFS('WRZ GS 3,000-4,999'!D:D,'WRZ GS 3,000-4,999'!B:B,'Model Summary'!BM12)</f>
        <v>95586055.128350899</v>
      </c>
      <c r="BO12" s="102">
        <f>SUMIFS('WRZ GS 3,000-4,999'!O:O,'WRZ GS 3,000-4,999'!B:B,'Model Summary'!BM12)</f>
        <v>89115697.68152532</v>
      </c>
      <c r="BP12" s="101">
        <f t="shared" ca="1" si="19"/>
        <v>6.7691437188587E-2</v>
      </c>
    </row>
    <row r="13" spans="2:70" ht="14.25">
      <c r="B13" s="100">
        <f t="shared" si="0"/>
        <v>2023</v>
      </c>
      <c r="C13" s="102">
        <f ca="1">SUMIFS('VRZ Residential'!D:D,'VRZ Residential'!B:B,'Model Summary'!B13)</f>
        <v>1054812661.8323101</v>
      </c>
      <c r="D13" s="102">
        <f ca="1">SUMIFS('VRZ Residential'!W:W,'VRZ Residential'!B:B,'Model Summary'!B13)</f>
        <v>1063949994.3613451</v>
      </c>
      <c r="E13" s="101">
        <f ca="1">ABS(C13-D13)/C13</f>
        <v>8.6625169185612118E-3</v>
      </c>
      <c r="F13" s="101"/>
      <c r="G13" s="101"/>
      <c r="H13" s="100">
        <f t="shared" si="1"/>
        <v>2023</v>
      </c>
      <c r="I13" s="102">
        <f ca="1">SUMIFS('VRZ Seasonal'!D:D,'VRZ Seasonal'!B:B,'Model Summary'!H13)</f>
        <v>12701637.48140604</v>
      </c>
      <c r="J13" s="102">
        <f ca="1">SUMIFS('VRZ Seasonal'!U:U,'VRZ Seasonal'!B:B,'Model Summary'!H13)</f>
        <v>12101626.26657591</v>
      </c>
      <c r="K13" s="101">
        <f ca="1">ABS(I13-J13)/I13</f>
        <v>4.7238886774125639E-2</v>
      </c>
      <c r="N13" s="100">
        <f t="shared" si="2"/>
        <v>2023</v>
      </c>
      <c r="O13" s="102">
        <f ca="1">SUMIFS('VRZ GS &lt; 50'!D:D,'VRZ GS &lt; 50'!B:B,'Model Summary'!N13)</f>
        <v>295206528.36460227</v>
      </c>
      <c r="P13" s="102">
        <f ca="1">SUMIFS('VRZ GS &lt; 50'!S:S,'VRZ GS &lt; 50'!B:B,'Model Summary'!N13)</f>
        <v>295573217.13061035</v>
      </c>
      <c r="Q13" s="101">
        <f ca="1">ABS(O13-P13)/O13</f>
        <v>1.2421431464929896E-3</v>
      </c>
      <c r="U13" s="100">
        <f t="shared" si="3"/>
        <v>2023</v>
      </c>
      <c r="V13" s="102">
        <f ca="1">SUMIFS('VRZ GS 50-2,999'!D:D,'VRZ GS 50-2,999'!B:B,'Model Summary'!U13)</f>
        <v>1005880548.0865182</v>
      </c>
      <c r="W13" s="102">
        <f ca="1">SUMIFS('VRZ GS 50-2,999'!U:U,'VRZ GS 50-2,999'!B:B,'Model Summary'!U13)</f>
        <v>1010776173.6762941</v>
      </c>
      <c r="X13" s="101">
        <f ca="1">ABS(V13-W13)/V13</f>
        <v>4.8670049332287472E-3</v>
      </c>
      <c r="AC13" s="100">
        <f t="shared" si="4"/>
        <v>2023</v>
      </c>
      <c r="AD13" s="102">
        <f ca="1">SUMIFS('VRZ GS 3,000-4,999'!D:D,'VRZ GS 3,000-4,999'!B:B,'Model Summary'!AC13)</f>
        <v>113345272.397007</v>
      </c>
      <c r="AE13" s="102">
        <f>SUMIFS('VRZ GS 3,000-4,999'!M:M,'VRZ GS 3,000-4,999'!B:B,'Model Summary'!AC13)</f>
        <v>105367079.23533997</v>
      </c>
      <c r="AF13" s="101">
        <f ca="1">ABS(AD13-AE13)/AD13</f>
        <v>7.0388406970538164E-2</v>
      </c>
      <c r="AK13" s="100">
        <f t="shared" si="5"/>
        <v>2023</v>
      </c>
      <c r="AL13" s="102">
        <f ca="1">SUMIFS('VRZ Large Use'!D:D,'VRZ Large Use'!B:B,'Model Summary'!AK13)</f>
        <v>326291975.52706087</v>
      </c>
      <c r="AM13" s="102">
        <f>SUMIFS('VRZ Large Use'!Q:Q,'VRZ Large Use'!B:B,'Model Summary'!AK13)</f>
        <v>330259709.39774007</v>
      </c>
      <c r="AN13" s="101">
        <f ca="1">ABS(AL13-AM13)/AL13</f>
        <v>1.2160071862846464E-2</v>
      </c>
      <c r="AR13" s="100">
        <f t="shared" si="6"/>
        <v>2023</v>
      </c>
      <c r="AS13" s="102">
        <f ca="1">SUMIFS('WRZ Residential'!D:D,'WRZ Residential'!B:B,'Model Summary'!AR13)</f>
        <v>412979207.31059444</v>
      </c>
      <c r="AT13" s="102">
        <f ca="1">SUMIFS('WRZ Residential'!W:W,'WRZ Residential'!B:B,'Model Summary'!AR13)</f>
        <v>413876077.68018186</v>
      </c>
      <c r="AU13" s="101">
        <f ca="1">ABS(AS13-AT13)/AS13</f>
        <v>2.1717082935676733E-3</v>
      </c>
      <c r="AV13" s="101"/>
      <c r="AX13" s="100">
        <f t="shared" si="7"/>
        <v>2023</v>
      </c>
      <c r="AY13" s="102">
        <f ca="1">SUMIFS('WRZ GS &lt; 50'!D:D,'WRZ GS &lt; 50'!B:B,'Model Summary'!AX13)</f>
        <v>92174873.578020483</v>
      </c>
      <c r="AZ13" s="102">
        <f ca="1">SUMIFS('WRZ GS &lt; 50'!U:U,'WRZ GS &lt; 50'!B:B,'Model Summary'!AX13)</f>
        <v>92434116.596167177</v>
      </c>
      <c r="BA13" s="101">
        <f ca="1">ABS(AY13-AZ13)/AY13</f>
        <v>2.8125128691091732E-3</v>
      </c>
      <c r="BE13" s="100">
        <f t="shared" si="8"/>
        <v>2023</v>
      </c>
      <c r="BF13" s="102">
        <f ca="1">SUMIFS('WRZ GS 50-2,999'!D:D,'WRZ GS 50-2,999'!B:B,'Model Summary'!BE13)</f>
        <v>361788715.49792469</v>
      </c>
      <c r="BG13" s="102">
        <f ca="1">SUMIFS('WRZ GS 50-2,999'!S:S,'WRZ GS 50-2,999'!B:B,'Model Summary'!BE13)</f>
        <v>359464821.32925528</v>
      </c>
      <c r="BH13" s="101">
        <f ca="1">ABS(BF13-BG13)/BF13</f>
        <v>6.4233461938442713E-3</v>
      </c>
      <c r="BM13" s="100">
        <f t="shared" si="9"/>
        <v>2023</v>
      </c>
      <c r="BN13" s="102">
        <f ca="1">SUMIFS('WRZ GS 3,000-4,999'!D:D,'WRZ GS 3,000-4,999'!B:B,'Model Summary'!BM13)</f>
        <v>93213905.952376962</v>
      </c>
      <c r="BO13" s="102">
        <f>SUMIFS('WRZ GS 3,000-4,999'!O:O,'WRZ GS 3,000-4,999'!B:B,'Model Summary'!BM13)</f>
        <v>89126935.138525322</v>
      </c>
      <c r="BP13" s="101">
        <f ca="1">ABS(BN13-BO13)/BN13</f>
        <v>4.3845076247954626E-2</v>
      </c>
    </row>
    <row r="14" spans="2:70" ht="14.25">
      <c r="B14" s="100">
        <f t="shared" si="0"/>
        <v>2024</v>
      </c>
      <c r="C14" s="102">
        <f ca="1">SUMIFS('VRZ Residential'!D:D,'VRZ Residential'!B:B,'Model Summary'!B14)</f>
        <v>1101179119.6681473</v>
      </c>
      <c r="D14" s="102">
        <f ca="1">SUMIFS('VRZ Residential'!W:W,'VRZ Residential'!B:B,'Model Summary'!B14)</f>
        <v>1100949199.8336267</v>
      </c>
      <c r="E14" s="101">
        <f t="shared" ref="E14:E15" ca="1" si="20">ABS(C14-D14)/C14</f>
        <v>2.0879421922735631E-4</v>
      </c>
      <c r="F14" s="101"/>
      <c r="G14" s="101"/>
      <c r="H14" s="100">
        <f t="shared" si="1"/>
        <v>2024</v>
      </c>
      <c r="I14" s="102">
        <f ca="1">SUMIFS('VRZ Seasonal'!D:D,'VRZ Seasonal'!B:B,'Model Summary'!H14)</f>
        <v>12782898.807484668</v>
      </c>
      <c r="J14" s="102">
        <f ca="1">SUMIFS('VRZ Seasonal'!U:U,'VRZ Seasonal'!B:B,'Model Summary'!H14)</f>
        <v>12630704.530265052</v>
      </c>
      <c r="K14" s="101">
        <f t="shared" ref="K14:K15" ca="1" si="21">ABS(I14-J14)/I14</f>
        <v>1.1906084802181395E-2</v>
      </c>
      <c r="N14" s="100">
        <f t="shared" si="2"/>
        <v>2024</v>
      </c>
      <c r="O14" s="102">
        <f ca="1">SUMIFS('VRZ GS &lt; 50'!D:D,'VRZ GS &lt; 50'!B:B,'Model Summary'!N14)</f>
        <v>278064927.64951092</v>
      </c>
      <c r="P14" s="102">
        <f ca="1">SUMIFS('VRZ GS &lt; 50'!S:S,'VRZ GS &lt; 50'!B:B,'Model Summary'!N14)</f>
        <v>299466511.85462397</v>
      </c>
      <c r="Q14" s="101">
        <f t="shared" ref="Q14:Q15" ca="1" si="22">ABS(O14-P14)/O14</f>
        <v>7.6966140196180532E-2</v>
      </c>
      <c r="U14" s="100">
        <f t="shared" si="3"/>
        <v>2024</v>
      </c>
      <c r="V14" s="102">
        <f ca="1">SUMIFS('VRZ GS 50-2,999'!D:D,'VRZ GS 50-2,999'!B:B,'Model Summary'!U14)</f>
        <v>1049632145.8452027</v>
      </c>
      <c r="W14" s="102">
        <f ca="1">SUMIFS('VRZ GS 50-2,999'!U:U,'VRZ GS 50-2,999'!B:B,'Model Summary'!U14)</f>
        <v>1014462508.8938382</v>
      </c>
      <c r="X14" s="101">
        <f t="shared" ref="X14:X15" ca="1" si="23">ABS(V14-W14)/V14</f>
        <v>3.3506630956928844E-2</v>
      </c>
      <c r="AC14" s="100">
        <f t="shared" si="4"/>
        <v>2024</v>
      </c>
      <c r="AD14" s="102">
        <f ca="1">SUMIFS('VRZ GS 3,000-4,999'!D:D,'VRZ GS 3,000-4,999'!B:B,'Model Summary'!AC14)</f>
        <v>102416484.51217289</v>
      </c>
      <c r="AE14" s="102">
        <f>SUMIFS('VRZ GS 3,000-4,999'!M:M,'VRZ GS 3,000-4,999'!B:B,'Model Summary'!AC14)</f>
        <v>107316693.46996999</v>
      </c>
      <c r="AF14" s="101">
        <f t="shared" ref="AF14:AF15" ca="1" si="24">ABS(AD14-AE14)/AD14</f>
        <v>4.7845900795537188E-2</v>
      </c>
      <c r="AK14" s="100">
        <f t="shared" si="5"/>
        <v>2024</v>
      </c>
      <c r="AL14" s="102">
        <f ca="1">SUMIFS('VRZ Large Use'!D:D,'VRZ Large Use'!B:B,'Model Summary'!AK14)</f>
        <v>346655983.09377205</v>
      </c>
      <c r="AM14" s="102">
        <f>SUMIFS('VRZ Large Use'!Q:Q,'VRZ Large Use'!B:B,'Model Summary'!AK14)</f>
        <v>339476594.18367004</v>
      </c>
      <c r="AN14" s="101">
        <f t="shared" ref="AN14:AN15" ca="1" si="25">ABS(AL14-AM14)/AL14</f>
        <v>2.0710413955728414E-2</v>
      </c>
      <c r="AR14" s="100">
        <f t="shared" si="6"/>
        <v>2024</v>
      </c>
      <c r="AS14" s="102">
        <f ca="1">SUMIFS('WRZ Residential'!D:D,'WRZ Residential'!B:B,'Model Summary'!AR14)</f>
        <v>432055274.59441376</v>
      </c>
      <c r="AT14" s="102">
        <f ca="1">SUMIFS('WRZ Residential'!W:W,'WRZ Residential'!B:B,'Model Summary'!AR14)</f>
        <v>428723017.94853163</v>
      </c>
      <c r="AU14" s="101">
        <f t="shared" ref="AU14:AU15" ca="1" si="26">ABS(AS14-AT14)/AS14</f>
        <v>7.7125702238220375E-3</v>
      </c>
      <c r="AV14" s="101"/>
      <c r="AX14" s="100">
        <f t="shared" si="7"/>
        <v>2024</v>
      </c>
      <c r="AY14" s="102">
        <f ca="1">SUMIFS('WRZ GS &lt; 50'!D:D,'WRZ GS &lt; 50'!B:B,'Model Summary'!AX14)</f>
        <v>92286825.556067497</v>
      </c>
      <c r="AZ14" s="102">
        <f ca="1">SUMIFS('WRZ GS &lt; 50'!U:U,'WRZ GS &lt; 50'!B:B,'Model Summary'!AX14)</f>
        <v>94393736.090986684</v>
      </c>
      <c r="BA14" s="101">
        <f t="shared" ref="BA14:BA15" ca="1" si="27">ABS(AY14-AZ14)/AY14</f>
        <v>2.283002500328896E-2</v>
      </c>
      <c r="BE14" s="100">
        <f t="shared" si="8"/>
        <v>2024</v>
      </c>
      <c r="BF14" s="102">
        <f ca="1">SUMIFS('WRZ GS 50-2,999'!D:D,'WRZ GS 50-2,999'!B:B,'Model Summary'!BE14)</f>
        <v>373054127.14085734</v>
      </c>
      <c r="BG14" s="102">
        <f ca="1">SUMIFS('WRZ GS 50-2,999'!S:S,'WRZ GS 50-2,999'!B:B,'Model Summary'!BE14)</f>
        <v>360281042.34445018</v>
      </c>
      <c r="BH14" s="101">
        <f t="shared" ref="BH14:BH15" ca="1" si="28">ABS(BF14-BG14)/BF14</f>
        <v>3.4239226608487078E-2</v>
      </c>
      <c r="BM14" s="100">
        <f t="shared" si="9"/>
        <v>2024</v>
      </c>
      <c r="BN14" s="102">
        <f ca="1">SUMIFS('WRZ GS 3,000-4,999'!D:D,'WRZ GS 3,000-4,999'!B:B,'Model Summary'!BM14)</f>
        <v>90609120.087219253</v>
      </c>
      <c r="BO14" s="102">
        <f>SUMIFS('WRZ GS 3,000-4,999'!O:O,'WRZ GS 3,000-4,999'!B:B,'Model Summary'!BM14)</f>
        <v>89345385.240296334</v>
      </c>
      <c r="BP14" s="101">
        <f t="shared" ref="BP14:BP15" ca="1" si="29">ABS(BN14-BO14)/BN14</f>
        <v>1.3947104283834376E-2</v>
      </c>
    </row>
    <row r="15" spans="2:70" s="699" customFormat="1" ht="15">
      <c r="B15" s="698" t="s">
        <v>65</v>
      </c>
      <c r="C15" s="696">
        <f ca="1">SUM(C5:C14)</f>
        <v>10184464017.876589</v>
      </c>
      <c r="D15" s="696">
        <f ca="1">SUM(D5:D14)</f>
        <v>10195887405.715099</v>
      </c>
      <c r="E15" s="697">
        <f t="shared" ca="1" si="20"/>
        <v>1.1216484066770001E-3</v>
      </c>
      <c r="F15" s="697"/>
      <c r="G15" s="697"/>
      <c r="H15" s="698" t="s">
        <v>65</v>
      </c>
      <c r="I15" s="696">
        <f ca="1">SUM(I5:I14)</f>
        <v>116592854.12640448</v>
      </c>
      <c r="J15" s="696">
        <f ca="1">SUM(J5:J14)</f>
        <v>111728436.97936676</v>
      </c>
      <c r="K15" s="697">
        <f t="shared" ca="1" si="21"/>
        <v>4.1721400367847099E-2</v>
      </c>
      <c r="N15" s="698" t="s">
        <v>65</v>
      </c>
      <c r="O15" s="696">
        <f ca="1">SUM(O5:O14)</f>
        <v>2878080382.0744414</v>
      </c>
      <c r="P15" s="696">
        <f ca="1">SUM(P5:P14)</f>
        <v>2867933443.0677919</v>
      </c>
      <c r="Q15" s="697">
        <f t="shared" ca="1" si="22"/>
        <v>3.5255926380123748E-3</v>
      </c>
      <c r="U15" s="698" t="s">
        <v>65</v>
      </c>
      <c r="V15" s="696">
        <f ca="1">SUM(V5:V14)</f>
        <v>9929019835.9781799</v>
      </c>
      <c r="W15" s="696">
        <f ca="1">SUM(W5:W14)</f>
        <v>9868747410.6845875</v>
      </c>
      <c r="X15" s="697">
        <f t="shared" ca="1" si="23"/>
        <v>6.0703298300596635E-3</v>
      </c>
      <c r="AC15" s="698" t="s">
        <v>65</v>
      </c>
      <c r="AD15" s="696">
        <f ca="1">SUM(AD5:AD14)</f>
        <v>959616119.45223677</v>
      </c>
      <c r="AE15" s="696">
        <f>SUM(AE5:AE14)</f>
        <v>959687345.10488999</v>
      </c>
      <c r="AF15" s="697">
        <f t="shared" ca="1" si="24"/>
        <v>7.4223068172170746E-5</v>
      </c>
      <c r="AK15" s="698" t="s">
        <v>65</v>
      </c>
      <c r="AL15" s="696">
        <f ca="1">SUM(AL5:AL14)</f>
        <v>2788640180.2111626</v>
      </c>
      <c r="AM15" s="696">
        <f>SUM(AM5:AM14)</f>
        <v>2846685349.4747906</v>
      </c>
      <c r="AN15" s="697">
        <f t="shared" ca="1" si="25"/>
        <v>2.0814865135893111E-2</v>
      </c>
      <c r="AR15" s="698" t="s">
        <v>65</v>
      </c>
      <c r="AS15" s="696">
        <f ca="1">SUM(AS5:AS14)</f>
        <v>3937569724.0806851</v>
      </c>
      <c r="AT15" s="696">
        <f ca="1">SUM(AT5:AT14)</f>
        <v>3940954497.5989695</v>
      </c>
      <c r="AU15" s="697">
        <f t="shared" ca="1" si="26"/>
        <v>8.5960979880161307E-4</v>
      </c>
      <c r="AV15" s="697"/>
      <c r="AX15" s="698" t="s">
        <v>65</v>
      </c>
      <c r="AY15" s="696">
        <f ca="1">SUM(AY5:AY14)</f>
        <v>888862734.17457604</v>
      </c>
      <c r="AZ15" s="696">
        <f ca="1">SUM(AZ5:AZ14)</f>
        <v>888041473.04669714</v>
      </c>
      <c r="BA15" s="697">
        <f t="shared" ca="1" si="27"/>
        <v>9.2394595509907548E-4</v>
      </c>
      <c r="BE15" s="698" t="s">
        <v>65</v>
      </c>
      <c r="BF15" s="696">
        <f ca="1">SUM(BF5:BF14)</f>
        <v>3575025024.5054693</v>
      </c>
      <c r="BG15" s="696">
        <f ca="1">SUM(BG5:BG14)</f>
        <v>3575359428.9995222</v>
      </c>
      <c r="BH15" s="697">
        <f t="shared" ca="1" si="28"/>
        <v>9.3539063855684453E-5</v>
      </c>
      <c r="BM15" s="698" t="s">
        <v>65</v>
      </c>
      <c r="BN15" s="696">
        <f ca="1">SUM(BN5:BN14)</f>
        <v>810485453.41552579</v>
      </c>
      <c r="BO15" s="696">
        <f>SUM(BO5:BO14)</f>
        <v>805016759.04743195</v>
      </c>
      <c r="BP15" s="697">
        <f t="shared" ca="1" si="29"/>
        <v>6.7474306232737733E-3</v>
      </c>
    </row>
    <row r="16" spans="2:70" ht="14.25"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N16" s="100"/>
      <c r="O16" s="100"/>
      <c r="P16" s="100"/>
      <c r="Q16" s="100"/>
      <c r="U16" s="100"/>
      <c r="V16" s="100"/>
      <c r="W16" s="100"/>
      <c r="X16" s="100"/>
      <c r="AC16" s="100"/>
      <c r="AD16" s="100"/>
      <c r="AE16" s="100"/>
      <c r="AF16" s="100"/>
      <c r="AK16" s="100"/>
      <c r="AL16" s="100"/>
      <c r="AM16" s="100"/>
      <c r="AN16" s="100"/>
      <c r="AR16" s="100"/>
      <c r="AS16" s="100"/>
      <c r="AT16" s="100"/>
      <c r="AU16" s="100"/>
      <c r="AV16" s="100"/>
      <c r="AX16" s="100"/>
      <c r="AY16" s="100"/>
      <c r="AZ16" s="100"/>
      <c r="BA16" s="100"/>
      <c r="BE16" s="100"/>
      <c r="BF16" s="100"/>
      <c r="BG16" s="100"/>
      <c r="BH16" s="100"/>
      <c r="BM16" s="100"/>
      <c r="BN16" s="100"/>
      <c r="BO16" s="100"/>
      <c r="BP16" s="100"/>
    </row>
    <row r="17" spans="2:68" ht="14.25">
      <c r="B17" s="829" t="s">
        <v>436</v>
      </c>
      <c r="C17" s="829"/>
      <c r="D17" s="829"/>
      <c r="E17" s="99">
        <f ca="1">AVERAGE(E5:E14)</f>
        <v>1.0348743130498016E-2</v>
      </c>
      <c r="F17" s="99"/>
      <c r="G17" s="99"/>
      <c r="H17" s="829" t="s">
        <v>436</v>
      </c>
      <c r="I17" s="829"/>
      <c r="J17" s="829"/>
      <c r="K17" s="99">
        <f ca="1">AVERAGE(K5:K14)</f>
        <v>4.1566452915145581E-2</v>
      </c>
      <c r="N17" s="829" t="s">
        <v>436</v>
      </c>
      <c r="O17" s="829"/>
      <c r="P17" s="829"/>
      <c r="Q17" s="99">
        <f ca="1">AVERAGE(Q5:Q14)</f>
        <v>2.6015787783852707E-2</v>
      </c>
      <c r="U17" s="829" t="s">
        <v>436</v>
      </c>
      <c r="V17" s="829"/>
      <c r="W17" s="829"/>
      <c r="X17" s="99">
        <f ca="1">AVERAGE(X5:X14)</f>
        <v>1.0040834209919487E-2</v>
      </c>
      <c r="AC17" s="829" t="s">
        <v>436</v>
      </c>
      <c r="AD17" s="829"/>
      <c r="AE17" s="829"/>
      <c r="AF17" s="99">
        <f ca="1">AVERAGE(AF5:AF14)</f>
        <v>4.531111325828302E-2</v>
      </c>
      <c r="AK17" s="829" t="s">
        <v>436</v>
      </c>
      <c r="AL17" s="829"/>
      <c r="AM17" s="829"/>
      <c r="AN17" s="99">
        <f ca="1">AVERAGE(AN5:AN14)</f>
        <v>3.2667498105754908E-2</v>
      </c>
      <c r="AR17" s="829" t="s">
        <v>436</v>
      </c>
      <c r="AS17" s="829"/>
      <c r="AT17" s="829"/>
      <c r="AU17" s="99">
        <f ca="1">AVERAGE(AU5:AU14)</f>
        <v>1.0628452904725591E-2</v>
      </c>
      <c r="AV17" s="99"/>
      <c r="AX17" s="829" t="s">
        <v>436</v>
      </c>
      <c r="AY17" s="829"/>
      <c r="AZ17" s="829"/>
      <c r="BA17" s="99">
        <f ca="1">AVERAGE(BA5:BA14)</f>
        <v>1.7647254437076862E-2</v>
      </c>
      <c r="BE17" s="829" t="s">
        <v>436</v>
      </c>
      <c r="BF17" s="829"/>
      <c r="BG17" s="829"/>
      <c r="BH17" s="99">
        <f ca="1">AVERAGE(BH5:BH14)</f>
        <v>1.1374910613008564E-2</v>
      </c>
      <c r="BM17" s="829" t="s">
        <v>436</v>
      </c>
      <c r="BN17" s="829"/>
      <c r="BO17" s="829"/>
      <c r="BP17" s="99">
        <f ca="1">AVERAGE(BP5:BP14)</f>
        <v>3.69215592858224E-2</v>
      </c>
    </row>
    <row r="18" spans="2:68" ht="14.25">
      <c r="B18" s="829" t="s">
        <v>437</v>
      </c>
      <c r="C18" s="829"/>
      <c r="D18" s="829"/>
      <c r="E18" s="99">
        <f ca="1">'VRZ Residential'!Y122</f>
        <v>2.2134473391589807E-2</v>
      </c>
      <c r="F18" s="99"/>
      <c r="G18" s="99"/>
      <c r="H18" s="829" t="s">
        <v>437</v>
      </c>
      <c r="I18" s="829"/>
      <c r="J18" s="829"/>
      <c r="K18" s="99">
        <f ca="1">'VRZ Seasonal'!W122</f>
        <v>7.352389847934436E-2</v>
      </c>
      <c r="N18" s="829" t="s">
        <v>437</v>
      </c>
      <c r="O18" s="829"/>
      <c r="P18" s="829"/>
      <c r="Q18" s="99">
        <f ca="1">'VRZ GS &lt; 50'!U122</f>
        <v>3.2408816578406184E-2</v>
      </c>
      <c r="U18" s="829" t="s">
        <v>437</v>
      </c>
      <c r="V18" s="829"/>
      <c r="W18" s="829"/>
      <c r="X18" s="99">
        <f ca="1">'VRZ GS 50-2,999'!W122</f>
        <v>1.9699164036491041E-2</v>
      </c>
      <c r="AC18" s="829" t="s">
        <v>437</v>
      </c>
      <c r="AD18" s="829"/>
      <c r="AE18" s="829"/>
      <c r="AF18" s="99">
        <f ca="1">'VRZ GS 3,000-4,999'!O122</f>
        <v>6.2630696130820354E-2</v>
      </c>
      <c r="AK18" s="829" t="s">
        <v>437</v>
      </c>
      <c r="AL18" s="829"/>
      <c r="AM18" s="829"/>
      <c r="AN18" s="99">
        <f ca="1">'VRZ Large Use'!S122</f>
        <v>5.4561254023856212E-2</v>
      </c>
      <c r="AR18" s="829" t="s">
        <v>437</v>
      </c>
      <c r="AS18" s="829"/>
      <c r="AT18" s="829"/>
      <c r="AU18" s="99">
        <f ca="1">'WRZ Residential'!Y122</f>
        <v>2.3415058000702801E-2</v>
      </c>
      <c r="AV18" s="99"/>
      <c r="AX18" s="829" t="s">
        <v>437</v>
      </c>
      <c r="AY18" s="829"/>
      <c r="AZ18" s="829"/>
      <c r="BA18" s="99">
        <f ca="1">'WRZ GS &lt; 50'!W122</f>
        <v>3.1644705483130947E-2</v>
      </c>
      <c r="BE18" s="829" t="s">
        <v>437</v>
      </c>
      <c r="BF18" s="829"/>
      <c r="BG18" s="829"/>
      <c r="BH18" s="99">
        <f ca="1">'WRZ GS 50-2,999'!U122</f>
        <v>2.2697853329464387E-2</v>
      </c>
      <c r="BM18" s="829" t="s">
        <v>437</v>
      </c>
      <c r="BN18" s="829"/>
      <c r="BO18" s="829"/>
      <c r="BP18" s="99">
        <f ca="1">'WRZ GS 3,000-4,999'!Q122</f>
        <v>4.7200256715095777E-2</v>
      </c>
    </row>
  </sheetData>
  <mergeCells count="32">
    <mergeCell ref="B1:AP1"/>
    <mergeCell ref="AQ1:BR1"/>
    <mergeCell ref="AR18:AT18"/>
    <mergeCell ref="AX18:AZ18"/>
    <mergeCell ref="BE18:BG18"/>
    <mergeCell ref="BM18:BO18"/>
    <mergeCell ref="AR17:AT17"/>
    <mergeCell ref="AX17:AZ17"/>
    <mergeCell ref="BE17:BG17"/>
    <mergeCell ref="BM17:BO17"/>
    <mergeCell ref="AS2:AT2"/>
    <mergeCell ref="AY2:AZ2"/>
    <mergeCell ref="BF2:BG2"/>
    <mergeCell ref="BN2:BO2"/>
    <mergeCell ref="AC18:AE18"/>
    <mergeCell ref="AD2:AE2"/>
    <mergeCell ref="AC17:AE17"/>
    <mergeCell ref="AL2:AM2"/>
    <mergeCell ref="AK17:AM17"/>
    <mergeCell ref="AK18:AM18"/>
    <mergeCell ref="B18:D18"/>
    <mergeCell ref="H18:J18"/>
    <mergeCell ref="N18:P18"/>
    <mergeCell ref="V2:W2"/>
    <mergeCell ref="U17:W17"/>
    <mergeCell ref="U18:W18"/>
    <mergeCell ref="C2:D2"/>
    <mergeCell ref="I2:J2"/>
    <mergeCell ref="O2:P2"/>
    <mergeCell ref="B17:D17"/>
    <mergeCell ref="H17:J17"/>
    <mergeCell ref="N17:P1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8E887-56AD-4A5F-B95F-89DC7AB6753E}">
  <sheetPr codeName="Sheet54">
    <tabColor theme="3" tint="0.499984740745262"/>
  </sheetPr>
  <dimension ref="A1:EU236"/>
  <sheetViews>
    <sheetView workbookViewId="0">
      <pane xSplit="3" ySplit="4" topLeftCell="D5" activePane="bottomRight" state="frozen"/>
      <selection activeCell="G6" sqref="G6"/>
      <selection pane="topRight" activeCell="G6" sqref="G6"/>
      <selection pane="bottomLeft" activeCell="G6" sqref="G6"/>
      <selection pane="bottomRight"/>
    </sheetView>
  </sheetViews>
  <sheetFormatPr defaultColWidth="8.85546875" defaultRowHeight="14.25"/>
  <cols>
    <col min="1" max="3" width="8.85546875" style="413"/>
    <col min="4" max="4" width="11.85546875" style="413" customWidth="1"/>
    <col min="5" max="5" width="11.5703125" style="413" bestFit="1" customWidth="1"/>
    <col min="6" max="6" width="10.42578125" style="413" bestFit="1" customWidth="1"/>
    <col min="7" max="9" width="9.42578125" style="413" bestFit="1" customWidth="1"/>
    <col min="10" max="10" width="9" style="413" bestFit="1" customWidth="1"/>
    <col min="11" max="12" width="9.42578125" style="413" bestFit="1" customWidth="1"/>
    <col min="13" max="13" width="9" style="413" bestFit="1" customWidth="1"/>
    <col min="14" max="14" width="9.42578125" style="413" bestFit="1" customWidth="1"/>
    <col min="15" max="125" width="9" style="413" bestFit="1" customWidth="1"/>
    <col min="126" max="128" width="8.85546875" style="413"/>
    <col min="129" max="129" width="9.5703125" style="413" customWidth="1"/>
    <col min="130" max="139" width="8.85546875" style="413"/>
    <col min="140" max="140" width="9.5703125" style="413" customWidth="1"/>
    <col min="141" max="16384" width="8.85546875" style="413"/>
  </cols>
  <sheetData>
    <row r="1" spans="2:151" ht="15" thickBot="1">
      <c r="B1" s="357" t="s">
        <v>217</v>
      </c>
    </row>
    <row r="2" spans="2:151">
      <c r="B2" s="357" t="s">
        <v>219</v>
      </c>
      <c r="C2" s="653"/>
      <c r="D2" s="845" t="s">
        <v>73</v>
      </c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7"/>
      <c r="P2" s="832" t="s">
        <v>84</v>
      </c>
      <c r="Q2" s="833"/>
      <c r="R2" s="833"/>
      <c r="S2" s="833"/>
      <c r="T2" s="833"/>
      <c r="U2" s="833"/>
      <c r="V2" s="833"/>
      <c r="W2" s="833"/>
      <c r="X2" s="833"/>
      <c r="Y2" s="833"/>
      <c r="Z2" s="834"/>
      <c r="AA2" s="832" t="s">
        <v>357</v>
      </c>
      <c r="AB2" s="833"/>
      <c r="AC2" s="833"/>
      <c r="AD2" s="833"/>
      <c r="AE2" s="833"/>
      <c r="AF2" s="833"/>
      <c r="AG2" s="833"/>
      <c r="AH2" s="833"/>
      <c r="AI2" s="833"/>
      <c r="AJ2" s="833"/>
      <c r="AK2" s="834"/>
      <c r="AL2" s="832" t="s">
        <v>352</v>
      </c>
      <c r="AM2" s="833"/>
      <c r="AN2" s="833"/>
      <c r="AO2" s="833"/>
      <c r="AP2" s="833"/>
      <c r="AQ2" s="833"/>
      <c r="AR2" s="833"/>
      <c r="AS2" s="833"/>
      <c r="AT2" s="833"/>
      <c r="AU2" s="833"/>
      <c r="AV2" s="834"/>
      <c r="AW2" s="832" t="s">
        <v>538</v>
      </c>
      <c r="AX2" s="833"/>
      <c r="AY2" s="833"/>
      <c r="AZ2" s="833"/>
      <c r="BA2" s="833"/>
      <c r="BB2" s="833"/>
      <c r="BC2" s="833"/>
      <c r="BD2" s="833"/>
      <c r="BE2" s="833"/>
      <c r="BF2" s="833"/>
      <c r="BG2" s="834"/>
      <c r="BH2" s="832" t="s">
        <v>354</v>
      </c>
      <c r="BI2" s="833"/>
      <c r="BJ2" s="833"/>
      <c r="BK2" s="833"/>
      <c r="BL2" s="833"/>
      <c r="BM2" s="833"/>
      <c r="BN2" s="833"/>
      <c r="BO2" s="833"/>
      <c r="BP2" s="833"/>
      <c r="BQ2" s="833"/>
      <c r="BR2" s="834"/>
      <c r="BS2" s="832" t="s">
        <v>353</v>
      </c>
      <c r="BT2" s="833"/>
      <c r="BU2" s="833"/>
      <c r="BV2" s="833"/>
      <c r="BW2" s="833"/>
      <c r="BX2" s="833"/>
      <c r="BY2" s="833"/>
      <c r="BZ2" s="833"/>
      <c r="CA2" s="833"/>
      <c r="CB2" s="833"/>
      <c r="CC2" s="834"/>
      <c r="CD2" s="832" t="s">
        <v>355</v>
      </c>
      <c r="CE2" s="833"/>
      <c r="CF2" s="833"/>
      <c r="CG2" s="833"/>
      <c r="CH2" s="833"/>
      <c r="CI2" s="833"/>
      <c r="CJ2" s="833"/>
      <c r="CK2" s="833"/>
      <c r="CL2" s="833"/>
      <c r="CM2" s="833"/>
      <c r="CN2" s="834"/>
      <c r="CO2" s="832" t="s">
        <v>682</v>
      </c>
      <c r="CP2" s="833"/>
      <c r="CQ2" s="833"/>
      <c r="CR2" s="833"/>
      <c r="CS2" s="833"/>
      <c r="CT2" s="833"/>
      <c r="CU2" s="833"/>
      <c r="CV2" s="833"/>
      <c r="CW2" s="833"/>
      <c r="CX2" s="833"/>
      <c r="CY2" s="834"/>
      <c r="CZ2" s="832" t="s">
        <v>356</v>
      </c>
      <c r="DA2" s="833"/>
      <c r="DB2" s="833"/>
      <c r="DC2" s="833"/>
      <c r="DD2" s="833"/>
      <c r="DE2" s="833"/>
      <c r="DF2" s="833"/>
      <c r="DG2" s="833"/>
      <c r="DH2" s="833"/>
      <c r="DI2" s="833"/>
      <c r="DJ2" s="834"/>
      <c r="DK2" s="832" t="s">
        <v>683</v>
      </c>
      <c r="DL2" s="833"/>
      <c r="DM2" s="833"/>
      <c r="DN2" s="833"/>
      <c r="DO2" s="833"/>
      <c r="DP2" s="833"/>
      <c r="DQ2" s="833"/>
      <c r="DR2" s="833"/>
      <c r="DS2" s="833"/>
      <c r="DT2" s="833"/>
      <c r="DU2" s="834"/>
      <c r="DW2" s="832" t="s">
        <v>390</v>
      </c>
      <c r="DX2" s="833"/>
      <c r="DY2" s="833"/>
      <c r="DZ2" s="833"/>
      <c r="EA2" s="833"/>
      <c r="EB2" s="833"/>
      <c r="EC2" s="833"/>
      <c r="ED2" s="833"/>
      <c r="EE2" s="833"/>
      <c r="EF2" s="833"/>
      <c r="EG2" s="834"/>
      <c r="EH2" s="832" t="s">
        <v>391</v>
      </c>
      <c r="EI2" s="833"/>
      <c r="EJ2" s="833"/>
      <c r="EK2" s="833"/>
      <c r="EL2" s="833"/>
      <c r="EM2" s="833"/>
      <c r="EN2" s="833"/>
      <c r="EO2" s="833"/>
      <c r="EP2" s="833"/>
      <c r="EQ2" s="833"/>
      <c r="ER2" s="834"/>
    </row>
    <row r="3" spans="2:151" ht="14.45" customHeight="1">
      <c r="B3" s="354"/>
      <c r="C3" s="330"/>
      <c r="D3" s="838" t="s">
        <v>690</v>
      </c>
      <c r="E3" s="838" t="s">
        <v>358</v>
      </c>
      <c r="F3" s="835" t="s">
        <v>220</v>
      </c>
      <c r="G3" s="836"/>
      <c r="H3" s="836"/>
      <c r="I3" s="836"/>
      <c r="J3" s="840"/>
      <c r="K3" s="835" t="s">
        <v>221</v>
      </c>
      <c r="L3" s="836"/>
      <c r="M3" s="836"/>
      <c r="N3" s="836"/>
      <c r="O3" s="837"/>
      <c r="P3" s="838" t="s">
        <v>358</v>
      </c>
      <c r="Q3" s="835" t="s">
        <v>220</v>
      </c>
      <c r="R3" s="836"/>
      <c r="S3" s="836"/>
      <c r="T3" s="836"/>
      <c r="U3" s="840"/>
      <c r="V3" s="835" t="s">
        <v>221</v>
      </c>
      <c r="W3" s="836"/>
      <c r="X3" s="836"/>
      <c r="Y3" s="836"/>
      <c r="Z3" s="837"/>
      <c r="AA3" s="838" t="s">
        <v>358</v>
      </c>
      <c r="AB3" s="835" t="s">
        <v>220</v>
      </c>
      <c r="AC3" s="836"/>
      <c r="AD3" s="836"/>
      <c r="AE3" s="836"/>
      <c r="AF3" s="840"/>
      <c r="AG3" s="835" t="s">
        <v>221</v>
      </c>
      <c r="AH3" s="836"/>
      <c r="AI3" s="836"/>
      <c r="AJ3" s="836"/>
      <c r="AK3" s="837"/>
      <c r="AL3" s="838" t="s">
        <v>358</v>
      </c>
      <c r="AM3" s="835" t="s">
        <v>220</v>
      </c>
      <c r="AN3" s="836"/>
      <c r="AO3" s="836"/>
      <c r="AP3" s="836"/>
      <c r="AQ3" s="840"/>
      <c r="AR3" s="835" t="s">
        <v>221</v>
      </c>
      <c r="AS3" s="836"/>
      <c r="AT3" s="836"/>
      <c r="AU3" s="836"/>
      <c r="AV3" s="837"/>
      <c r="AW3" s="838" t="s">
        <v>358</v>
      </c>
      <c r="AX3" s="835" t="s">
        <v>220</v>
      </c>
      <c r="AY3" s="836"/>
      <c r="AZ3" s="836"/>
      <c r="BA3" s="836"/>
      <c r="BB3" s="840"/>
      <c r="BC3" s="835" t="s">
        <v>221</v>
      </c>
      <c r="BD3" s="836"/>
      <c r="BE3" s="836"/>
      <c r="BF3" s="836"/>
      <c r="BG3" s="837"/>
      <c r="BH3" s="838" t="s">
        <v>358</v>
      </c>
      <c r="BI3" s="835" t="s">
        <v>220</v>
      </c>
      <c r="BJ3" s="836"/>
      <c r="BK3" s="836"/>
      <c r="BL3" s="836"/>
      <c r="BM3" s="840"/>
      <c r="BN3" s="835" t="s">
        <v>221</v>
      </c>
      <c r="BO3" s="836"/>
      <c r="BP3" s="836"/>
      <c r="BQ3" s="836"/>
      <c r="BR3" s="837"/>
      <c r="BS3" s="838" t="s">
        <v>358</v>
      </c>
      <c r="BT3" s="835" t="s">
        <v>220</v>
      </c>
      <c r="BU3" s="836"/>
      <c r="BV3" s="836"/>
      <c r="BW3" s="836"/>
      <c r="BX3" s="840"/>
      <c r="BY3" s="835" t="s">
        <v>221</v>
      </c>
      <c r="BZ3" s="836"/>
      <c r="CA3" s="836"/>
      <c r="CB3" s="836"/>
      <c r="CC3" s="837"/>
      <c r="CD3" s="838" t="s">
        <v>358</v>
      </c>
      <c r="CE3" s="835" t="s">
        <v>220</v>
      </c>
      <c r="CF3" s="836"/>
      <c r="CG3" s="836"/>
      <c r="CH3" s="836"/>
      <c r="CI3" s="840"/>
      <c r="CJ3" s="835" t="s">
        <v>221</v>
      </c>
      <c r="CK3" s="836"/>
      <c r="CL3" s="836"/>
      <c r="CM3" s="836"/>
      <c r="CN3" s="837"/>
      <c r="CO3" s="838" t="s">
        <v>358</v>
      </c>
      <c r="CP3" s="835" t="s">
        <v>220</v>
      </c>
      <c r="CQ3" s="836"/>
      <c r="CR3" s="836"/>
      <c r="CS3" s="836"/>
      <c r="CT3" s="840"/>
      <c r="CU3" s="835" t="s">
        <v>221</v>
      </c>
      <c r="CV3" s="836"/>
      <c r="CW3" s="836"/>
      <c r="CX3" s="836"/>
      <c r="CY3" s="837"/>
      <c r="CZ3" s="838" t="s">
        <v>358</v>
      </c>
      <c r="DA3" s="835" t="s">
        <v>220</v>
      </c>
      <c r="DB3" s="836"/>
      <c r="DC3" s="836"/>
      <c r="DD3" s="836"/>
      <c r="DE3" s="840"/>
      <c r="DF3" s="835" t="s">
        <v>221</v>
      </c>
      <c r="DG3" s="836"/>
      <c r="DH3" s="836"/>
      <c r="DI3" s="836"/>
      <c r="DJ3" s="837"/>
      <c r="DK3" s="838" t="s">
        <v>358</v>
      </c>
      <c r="DL3" s="835" t="s">
        <v>220</v>
      </c>
      <c r="DM3" s="836"/>
      <c r="DN3" s="836"/>
      <c r="DO3" s="836"/>
      <c r="DP3" s="840"/>
      <c r="DQ3" s="835" t="s">
        <v>221</v>
      </c>
      <c r="DR3" s="836"/>
      <c r="DS3" s="836"/>
      <c r="DT3" s="836"/>
      <c r="DU3" s="837"/>
      <c r="DW3" s="838" t="s">
        <v>358</v>
      </c>
      <c r="DX3" s="835" t="s">
        <v>220</v>
      </c>
      <c r="DY3" s="836"/>
      <c r="DZ3" s="836"/>
      <c r="EA3" s="836"/>
      <c r="EB3" s="840"/>
      <c r="EC3" s="835" t="s">
        <v>221</v>
      </c>
      <c r="ED3" s="836"/>
      <c r="EE3" s="836"/>
      <c r="EF3" s="836"/>
      <c r="EG3" s="837"/>
      <c r="EH3" s="838" t="s">
        <v>358</v>
      </c>
      <c r="EI3" s="835" t="s">
        <v>220</v>
      </c>
      <c r="EJ3" s="836"/>
      <c r="EK3" s="836"/>
      <c r="EL3" s="836"/>
      <c r="EM3" s="840"/>
      <c r="EN3" s="835" t="s">
        <v>221</v>
      </c>
      <c r="EO3" s="836"/>
      <c r="EP3" s="836"/>
      <c r="EQ3" s="836"/>
      <c r="ER3" s="837"/>
    </row>
    <row r="4" spans="2:151" s="647" customFormat="1" ht="42.75">
      <c r="B4" s="667" t="s">
        <v>223</v>
      </c>
      <c r="C4" s="666"/>
      <c r="D4" s="839"/>
      <c r="E4" s="839"/>
      <c r="F4" s="625" t="s">
        <v>65</v>
      </c>
      <c r="G4" s="624" t="s">
        <v>224</v>
      </c>
      <c r="H4" s="624" t="s">
        <v>684</v>
      </c>
      <c r="I4" s="624" t="s">
        <v>685</v>
      </c>
      <c r="J4" s="649" t="s">
        <v>686</v>
      </c>
      <c r="K4" s="625" t="s">
        <v>65</v>
      </c>
      <c r="L4" s="624" t="s">
        <v>224</v>
      </c>
      <c r="M4" s="624" t="s">
        <v>684</v>
      </c>
      <c r="N4" s="624" t="s">
        <v>685</v>
      </c>
      <c r="O4" s="648" t="s">
        <v>686</v>
      </c>
      <c r="P4" s="839"/>
      <c r="Q4" s="625" t="s">
        <v>65</v>
      </c>
      <c r="R4" s="624" t="s">
        <v>224</v>
      </c>
      <c r="S4" s="624" t="s">
        <v>684</v>
      </c>
      <c r="T4" s="624" t="s">
        <v>685</v>
      </c>
      <c r="U4" s="649" t="s">
        <v>686</v>
      </c>
      <c r="V4" s="625" t="s">
        <v>65</v>
      </c>
      <c r="W4" s="624" t="s">
        <v>224</v>
      </c>
      <c r="X4" s="624" t="s">
        <v>684</v>
      </c>
      <c r="Y4" s="624" t="s">
        <v>685</v>
      </c>
      <c r="Z4" s="648" t="s">
        <v>686</v>
      </c>
      <c r="AA4" s="839"/>
      <c r="AB4" s="625" t="s">
        <v>65</v>
      </c>
      <c r="AC4" s="624" t="s">
        <v>224</v>
      </c>
      <c r="AD4" s="624" t="s">
        <v>684</v>
      </c>
      <c r="AE4" s="624" t="s">
        <v>685</v>
      </c>
      <c r="AF4" s="649" t="s">
        <v>686</v>
      </c>
      <c r="AG4" s="625" t="s">
        <v>65</v>
      </c>
      <c r="AH4" s="624" t="s">
        <v>224</v>
      </c>
      <c r="AI4" s="624" t="s">
        <v>684</v>
      </c>
      <c r="AJ4" s="624" t="s">
        <v>685</v>
      </c>
      <c r="AK4" s="648" t="s">
        <v>686</v>
      </c>
      <c r="AL4" s="839"/>
      <c r="AM4" s="625" t="s">
        <v>65</v>
      </c>
      <c r="AN4" s="624" t="s">
        <v>224</v>
      </c>
      <c r="AO4" s="624" t="s">
        <v>684</v>
      </c>
      <c r="AP4" s="624" t="s">
        <v>685</v>
      </c>
      <c r="AQ4" s="649" t="s">
        <v>686</v>
      </c>
      <c r="AR4" s="625" t="s">
        <v>65</v>
      </c>
      <c r="AS4" s="624" t="s">
        <v>224</v>
      </c>
      <c r="AT4" s="624" t="s">
        <v>684</v>
      </c>
      <c r="AU4" s="624" t="s">
        <v>685</v>
      </c>
      <c r="AV4" s="648" t="s">
        <v>686</v>
      </c>
      <c r="AW4" s="839"/>
      <c r="AX4" s="625" t="s">
        <v>65</v>
      </c>
      <c r="AY4" s="624" t="s">
        <v>224</v>
      </c>
      <c r="AZ4" s="624" t="s">
        <v>684</v>
      </c>
      <c r="BA4" s="624" t="s">
        <v>685</v>
      </c>
      <c r="BB4" s="649" t="s">
        <v>686</v>
      </c>
      <c r="BC4" s="625" t="s">
        <v>65</v>
      </c>
      <c r="BD4" s="624" t="s">
        <v>224</v>
      </c>
      <c r="BE4" s="624" t="s">
        <v>684</v>
      </c>
      <c r="BF4" s="624" t="s">
        <v>685</v>
      </c>
      <c r="BG4" s="648" t="s">
        <v>686</v>
      </c>
      <c r="BH4" s="839"/>
      <c r="BI4" s="625" t="s">
        <v>65</v>
      </c>
      <c r="BJ4" s="624" t="s">
        <v>224</v>
      </c>
      <c r="BK4" s="624" t="s">
        <v>684</v>
      </c>
      <c r="BL4" s="624" t="s">
        <v>685</v>
      </c>
      <c r="BM4" s="649" t="s">
        <v>686</v>
      </c>
      <c r="BN4" s="625" t="s">
        <v>65</v>
      </c>
      <c r="BO4" s="624" t="s">
        <v>224</v>
      </c>
      <c r="BP4" s="624" t="s">
        <v>684</v>
      </c>
      <c r="BQ4" s="624" t="s">
        <v>685</v>
      </c>
      <c r="BR4" s="648" t="s">
        <v>686</v>
      </c>
      <c r="BS4" s="839"/>
      <c r="BT4" s="625" t="s">
        <v>65</v>
      </c>
      <c r="BU4" s="624" t="s">
        <v>224</v>
      </c>
      <c r="BV4" s="624" t="s">
        <v>684</v>
      </c>
      <c r="BW4" s="624" t="s">
        <v>685</v>
      </c>
      <c r="BX4" s="649" t="s">
        <v>686</v>
      </c>
      <c r="BY4" s="625" t="s">
        <v>65</v>
      </c>
      <c r="BZ4" s="624" t="s">
        <v>224</v>
      </c>
      <c r="CA4" s="624" t="s">
        <v>684</v>
      </c>
      <c r="CB4" s="624" t="s">
        <v>685</v>
      </c>
      <c r="CC4" s="648" t="s">
        <v>686</v>
      </c>
      <c r="CD4" s="839"/>
      <c r="CE4" s="625" t="s">
        <v>65</v>
      </c>
      <c r="CF4" s="624" t="s">
        <v>224</v>
      </c>
      <c r="CG4" s="624" t="s">
        <v>684</v>
      </c>
      <c r="CH4" s="624" t="s">
        <v>685</v>
      </c>
      <c r="CI4" s="649" t="s">
        <v>686</v>
      </c>
      <c r="CJ4" s="625" t="s">
        <v>65</v>
      </c>
      <c r="CK4" s="624" t="s">
        <v>224</v>
      </c>
      <c r="CL4" s="624" t="s">
        <v>684</v>
      </c>
      <c r="CM4" s="624" t="s">
        <v>685</v>
      </c>
      <c r="CN4" s="648" t="s">
        <v>686</v>
      </c>
      <c r="CO4" s="839"/>
      <c r="CP4" s="625" t="s">
        <v>65</v>
      </c>
      <c r="CQ4" s="624" t="s">
        <v>224</v>
      </c>
      <c r="CR4" s="624" t="s">
        <v>684</v>
      </c>
      <c r="CS4" s="624" t="s">
        <v>685</v>
      </c>
      <c r="CT4" s="649" t="s">
        <v>686</v>
      </c>
      <c r="CU4" s="625" t="s">
        <v>65</v>
      </c>
      <c r="CV4" s="624" t="s">
        <v>224</v>
      </c>
      <c r="CW4" s="624" t="s">
        <v>684</v>
      </c>
      <c r="CX4" s="624" t="s">
        <v>685</v>
      </c>
      <c r="CY4" s="648" t="s">
        <v>686</v>
      </c>
      <c r="CZ4" s="839"/>
      <c r="DA4" s="625" t="s">
        <v>65</v>
      </c>
      <c r="DB4" s="624" t="s">
        <v>224</v>
      </c>
      <c r="DC4" s="624" t="s">
        <v>684</v>
      </c>
      <c r="DD4" s="624" t="s">
        <v>685</v>
      </c>
      <c r="DE4" s="649" t="s">
        <v>686</v>
      </c>
      <c r="DF4" s="625" t="s">
        <v>65</v>
      </c>
      <c r="DG4" s="624" t="s">
        <v>224</v>
      </c>
      <c r="DH4" s="624" t="s">
        <v>684</v>
      </c>
      <c r="DI4" s="624" t="s">
        <v>685</v>
      </c>
      <c r="DJ4" s="648" t="s">
        <v>686</v>
      </c>
      <c r="DK4" s="839"/>
      <c r="DL4" s="625" t="s">
        <v>65</v>
      </c>
      <c r="DM4" s="624" t="s">
        <v>224</v>
      </c>
      <c r="DN4" s="624" t="s">
        <v>684</v>
      </c>
      <c r="DO4" s="624" t="s">
        <v>685</v>
      </c>
      <c r="DP4" s="649" t="s">
        <v>686</v>
      </c>
      <c r="DQ4" s="625" t="s">
        <v>65</v>
      </c>
      <c r="DR4" s="624" t="s">
        <v>224</v>
      </c>
      <c r="DS4" s="624" t="s">
        <v>684</v>
      </c>
      <c r="DT4" s="624" t="s">
        <v>685</v>
      </c>
      <c r="DU4" s="648" t="s">
        <v>686</v>
      </c>
      <c r="DV4" s="663"/>
      <c r="DW4" s="839"/>
      <c r="DX4" s="625" t="s">
        <v>65</v>
      </c>
      <c r="DY4" s="624" t="s">
        <v>224</v>
      </c>
      <c r="DZ4" s="624" t="s">
        <v>684</v>
      </c>
      <c r="EA4" s="624" t="s">
        <v>685</v>
      </c>
      <c r="EB4" s="649" t="s">
        <v>686</v>
      </c>
      <c r="EC4" s="625" t="s">
        <v>65</v>
      </c>
      <c r="ED4" s="624" t="s">
        <v>224</v>
      </c>
      <c r="EE4" s="624" t="s">
        <v>684</v>
      </c>
      <c r="EF4" s="624" t="s">
        <v>685</v>
      </c>
      <c r="EG4" s="648" t="s">
        <v>686</v>
      </c>
      <c r="EH4" s="839"/>
      <c r="EI4" s="625" t="s">
        <v>65</v>
      </c>
      <c r="EJ4" s="624" t="s">
        <v>224</v>
      </c>
      <c r="EK4" s="624" t="s">
        <v>684</v>
      </c>
      <c r="EL4" s="624" t="s">
        <v>685</v>
      </c>
      <c r="EM4" s="649" t="s">
        <v>686</v>
      </c>
      <c r="EN4" s="625" t="s">
        <v>65</v>
      </c>
      <c r="EO4" s="624" t="s">
        <v>224</v>
      </c>
      <c r="EP4" s="624" t="s">
        <v>684</v>
      </c>
      <c r="EQ4" s="624" t="s">
        <v>685</v>
      </c>
      <c r="ER4" s="648" t="s">
        <v>686</v>
      </c>
      <c r="ES4" s="663"/>
      <c r="ET4" s="663"/>
      <c r="EU4" s="663"/>
    </row>
    <row r="5" spans="2:151">
      <c r="B5" s="354" t="s">
        <v>222</v>
      </c>
      <c r="C5" s="330">
        <v>2017</v>
      </c>
      <c r="D5" s="626">
        <v>168225</v>
      </c>
      <c r="E5" s="646">
        <v>1320</v>
      </c>
      <c r="F5" s="645">
        <v>595</v>
      </c>
      <c r="G5" s="163">
        <v>414</v>
      </c>
      <c r="H5" s="163">
        <v>0</v>
      </c>
      <c r="I5" s="163">
        <v>181</v>
      </c>
      <c r="J5" s="644">
        <v>0</v>
      </c>
      <c r="K5" s="645">
        <v>725</v>
      </c>
      <c r="L5" s="163">
        <v>628</v>
      </c>
      <c r="M5" s="163">
        <v>0</v>
      </c>
      <c r="N5" s="163">
        <v>88</v>
      </c>
      <c r="O5" s="643">
        <v>9</v>
      </c>
      <c r="P5" s="646">
        <f>Q5+V5</f>
        <v>2</v>
      </c>
      <c r="Q5" s="645">
        <v>0</v>
      </c>
      <c r="R5" s="163">
        <v>0</v>
      </c>
      <c r="S5" s="163">
        <v>0</v>
      </c>
      <c r="T5" s="163">
        <v>0</v>
      </c>
      <c r="U5" s="644">
        <v>0</v>
      </c>
      <c r="V5" s="645">
        <v>2</v>
      </c>
      <c r="W5" s="163">
        <v>1</v>
      </c>
      <c r="X5" s="163">
        <v>0</v>
      </c>
      <c r="Y5" s="163">
        <v>1</v>
      </c>
      <c r="Z5" s="643">
        <v>0</v>
      </c>
      <c r="AA5" s="646">
        <f>AB5+AG5</f>
        <v>1</v>
      </c>
      <c r="AB5" s="645">
        <v>0</v>
      </c>
      <c r="AC5" s="163">
        <v>0</v>
      </c>
      <c r="AD5" s="163">
        <v>0</v>
      </c>
      <c r="AE5" s="163">
        <v>0</v>
      </c>
      <c r="AF5" s="644">
        <v>0</v>
      </c>
      <c r="AG5" s="645">
        <v>1</v>
      </c>
      <c r="AH5" s="163">
        <v>1</v>
      </c>
      <c r="AI5" s="163">
        <v>0</v>
      </c>
      <c r="AJ5" s="163">
        <v>0</v>
      </c>
      <c r="AK5" s="643">
        <v>0</v>
      </c>
      <c r="AL5" s="646">
        <v>11</v>
      </c>
      <c r="AM5" s="645">
        <v>4</v>
      </c>
      <c r="AN5" s="163">
        <v>3</v>
      </c>
      <c r="AO5" s="163">
        <v>0</v>
      </c>
      <c r="AP5" s="163">
        <v>1</v>
      </c>
      <c r="AQ5" s="644">
        <v>0</v>
      </c>
      <c r="AR5" s="645">
        <v>7</v>
      </c>
      <c r="AS5" s="163">
        <v>6</v>
      </c>
      <c r="AT5" s="163">
        <v>0</v>
      </c>
      <c r="AU5" s="163">
        <v>1</v>
      </c>
      <c r="AV5" s="643">
        <v>0</v>
      </c>
      <c r="AW5" s="646">
        <v>4</v>
      </c>
      <c r="AX5" s="645">
        <v>1</v>
      </c>
      <c r="AY5" s="163">
        <v>1</v>
      </c>
      <c r="AZ5" s="163">
        <v>0</v>
      </c>
      <c r="BA5" s="163">
        <v>0</v>
      </c>
      <c r="BB5" s="644">
        <v>0</v>
      </c>
      <c r="BC5" s="645">
        <v>3</v>
      </c>
      <c r="BD5" s="163">
        <v>3</v>
      </c>
      <c r="BE5" s="163">
        <v>0</v>
      </c>
      <c r="BF5" s="163">
        <v>0</v>
      </c>
      <c r="BG5" s="643">
        <v>0</v>
      </c>
      <c r="BH5" s="646">
        <v>6</v>
      </c>
      <c r="BI5" s="645">
        <v>5</v>
      </c>
      <c r="BJ5" s="163">
        <v>3</v>
      </c>
      <c r="BK5" s="163">
        <v>0</v>
      </c>
      <c r="BL5" s="163">
        <v>2</v>
      </c>
      <c r="BM5" s="644">
        <v>0</v>
      </c>
      <c r="BN5" s="645">
        <v>1</v>
      </c>
      <c r="BO5" s="163">
        <v>1</v>
      </c>
      <c r="BP5" s="163">
        <v>0</v>
      </c>
      <c r="BQ5" s="163">
        <v>0</v>
      </c>
      <c r="BR5" s="643">
        <v>0</v>
      </c>
      <c r="BS5" s="646">
        <v>5</v>
      </c>
      <c r="BT5" s="645">
        <v>2</v>
      </c>
      <c r="BU5" s="163">
        <v>1</v>
      </c>
      <c r="BV5" s="163">
        <v>0</v>
      </c>
      <c r="BW5" s="163">
        <v>1</v>
      </c>
      <c r="BX5" s="644">
        <v>0</v>
      </c>
      <c r="BY5" s="645">
        <v>3</v>
      </c>
      <c r="BZ5" s="163">
        <v>3</v>
      </c>
      <c r="CA5" s="163">
        <v>0</v>
      </c>
      <c r="CB5" s="163">
        <v>0</v>
      </c>
      <c r="CC5" s="643">
        <v>0</v>
      </c>
      <c r="CD5" s="646">
        <v>4</v>
      </c>
      <c r="CE5" s="645">
        <v>3</v>
      </c>
      <c r="CF5" s="163">
        <v>2</v>
      </c>
      <c r="CG5" s="163">
        <v>0</v>
      </c>
      <c r="CH5" s="163">
        <v>1</v>
      </c>
      <c r="CI5" s="644">
        <v>0</v>
      </c>
      <c r="CJ5" s="645">
        <v>1</v>
      </c>
      <c r="CK5" s="163">
        <v>1</v>
      </c>
      <c r="CL5" s="163">
        <v>0</v>
      </c>
      <c r="CM5" s="163">
        <v>0</v>
      </c>
      <c r="CN5" s="643">
        <v>0</v>
      </c>
      <c r="CO5" s="646">
        <v>1</v>
      </c>
      <c r="CP5" s="645">
        <v>0</v>
      </c>
      <c r="CQ5" s="163">
        <v>0</v>
      </c>
      <c r="CR5" s="163">
        <v>0</v>
      </c>
      <c r="CS5" s="163">
        <v>0</v>
      </c>
      <c r="CT5" s="644">
        <v>0</v>
      </c>
      <c r="CU5" s="645">
        <v>1</v>
      </c>
      <c r="CV5" s="163">
        <v>1</v>
      </c>
      <c r="CW5" s="163">
        <v>0</v>
      </c>
      <c r="CX5" s="163">
        <v>0</v>
      </c>
      <c r="CY5" s="643">
        <v>0</v>
      </c>
      <c r="CZ5" s="646">
        <v>1</v>
      </c>
      <c r="DA5" s="645">
        <v>0</v>
      </c>
      <c r="DB5" s="163">
        <v>0</v>
      </c>
      <c r="DC5" s="163">
        <v>0</v>
      </c>
      <c r="DD5" s="163">
        <v>0</v>
      </c>
      <c r="DE5" s="644">
        <v>0</v>
      </c>
      <c r="DF5" s="645">
        <v>1</v>
      </c>
      <c r="DG5" s="163">
        <v>1</v>
      </c>
      <c r="DH5" s="163">
        <v>0</v>
      </c>
      <c r="DI5" s="163">
        <v>0</v>
      </c>
      <c r="DJ5" s="643">
        <v>0</v>
      </c>
      <c r="DK5" s="646">
        <v>0</v>
      </c>
      <c r="DL5" s="645">
        <v>0</v>
      </c>
      <c r="DM5" s="163">
        <v>0</v>
      </c>
      <c r="DN5" s="163">
        <v>0</v>
      </c>
      <c r="DO5" s="163">
        <v>0</v>
      </c>
      <c r="DP5" s="644">
        <v>0</v>
      </c>
      <c r="DQ5" s="645">
        <v>0</v>
      </c>
      <c r="DR5" s="163">
        <v>0</v>
      </c>
      <c r="DS5" s="163">
        <v>0</v>
      </c>
      <c r="DT5" s="163">
        <v>0</v>
      </c>
      <c r="DU5" s="643">
        <v>0</v>
      </c>
      <c r="DW5" s="646">
        <f>P5+AA5+AW5+BH5+BS5+CD5+CO5+CZ5+DK5</f>
        <v>24</v>
      </c>
      <c r="DX5" s="645">
        <f t="shared" ref="DX5:EG20" si="0">Q5+AB5+AX5+BI5+BT5+CE5+CP5+DA5+DL5</f>
        <v>11</v>
      </c>
      <c r="DY5" s="163">
        <f t="shared" si="0"/>
        <v>7</v>
      </c>
      <c r="DZ5" s="163">
        <f t="shared" si="0"/>
        <v>0</v>
      </c>
      <c r="EA5" s="163">
        <f t="shared" si="0"/>
        <v>4</v>
      </c>
      <c r="EB5" s="644">
        <f t="shared" si="0"/>
        <v>0</v>
      </c>
      <c r="EC5" s="645">
        <f t="shared" si="0"/>
        <v>13</v>
      </c>
      <c r="ED5" s="163">
        <f t="shared" si="0"/>
        <v>12</v>
      </c>
      <c r="EE5" s="163">
        <f t="shared" si="0"/>
        <v>0</v>
      </c>
      <c r="EF5" s="163">
        <f t="shared" si="0"/>
        <v>1</v>
      </c>
      <c r="EG5" s="643">
        <f t="shared" si="0"/>
        <v>0</v>
      </c>
      <c r="EH5" s="646">
        <f>AL5</f>
        <v>11</v>
      </c>
      <c r="EI5" s="645">
        <f t="shared" ref="EI5:ER20" si="1">AM5</f>
        <v>4</v>
      </c>
      <c r="EJ5" s="163">
        <f t="shared" si="1"/>
        <v>3</v>
      </c>
      <c r="EK5" s="163">
        <f t="shared" si="1"/>
        <v>0</v>
      </c>
      <c r="EL5" s="163">
        <f t="shared" si="1"/>
        <v>1</v>
      </c>
      <c r="EM5" s="644">
        <f t="shared" si="1"/>
        <v>0</v>
      </c>
      <c r="EN5" s="645">
        <f t="shared" si="1"/>
        <v>7</v>
      </c>
      <c r="EO5" s="163">
        <f t="shared" si="1"/>
        <v>6</v>
      </c>
      <c r="EP5" s="163">
        <f t="shared" si="1"/>
        <v>0</v>
      </c>
      <c r="EQ5" s="163">
        <f t="shared" si="1"/>
        <v>1</v>
      </c>
      <c r="ER5" s="643">
        <f t="shared" si="1"/>
        <v>0</v>
      </c>
    </row>
    <row r="6" spans="2:151">
      <c r="B6" s="354" t="s">
        <v>225</v>
      </c>
      <c r="C6" s="330">
        <v>2017</v>
      </c>
      <c r="D6" s="626">
        <v>234021</v>
      </c>
      <c r="E6" s="646">
        <v>2089</v>
      </c>
      <c r="F6" s="645">
        <v>832</v>
      </c>
      <c r="G6" s="163">
        <v>605</v>
      </c>
      <c r="H6" s="163">
        <v>0</v>
      </c>
      <c r="I6" s="163">
        <v>227</v>
      </c>
      <c r="J6" s="644">
        <v>0</v>
      </c>
      <c r="K6" s="645">
        <v>1257</v>
      </c>
      <c r="L6" s="163">
        <v>937</v>
      </c>
      <c r="M6" s="163">
        <v>0</v>
      </c>
      <c r="N6" s="163">
        <v>153</v>
      </c>
      <c r="O6" s="643">
        <v>167</v>
      </c>
      <c r="P6" s="646">
        <f t="shared" ref="P6:P36" si="2">Q6+V6</f>
        <v>3</v>
      </c>
      <c r="Q6" s="645">
        <v>1</v>
      </c>
      <c r="R6" s="163">
        <v>1</v>
      </c>
      <c r="S6" s="163">
        <v>0</v>
      </c>
      <c r="T6" s="163">
        <v>0</v>
      </c>
      <c r="U6" s="644">
        <v>0</v>
      </c>
      <c r="V6" s="645">
        <v>2</v>
      </c>
      <c r="W6" s="163">
        <v>2</v>
      </c>
      <c r="X6" s="163">
        <v>0</v>
      </c>
      <c r="Y6" s="163">
        <v>0</v>
      </c>
      <c r="Z6" s="643">
        <v>0</v>
      </c>
      <c r="AA6" s="646">
        <f t="shared" ref="AA6:AA36" si="3">AB6+AG6</f>
        <v>3</v>
      </c>
      <c r="AB6" s="645">
        <v>0</v>
      </c>
      <c r="AC6" s="163">
        <v>0</v>
      </c>
      <c r="AD6" s="163">
        <v>0</v>
      </c>
      <c r="AE6" s="163">
        <v>0</v>
      </c>
      <c r="AF6" s="644">
        <v>0</v>
      </c>
      <c r="AG6" s="645">
        <v>3</v>
      </c>
      <c r="AH6" s="163">
        <v>3</v>
      </c>
      <c r="AI6" s="163">
        <v>0</v>
      </c>
      <c r="AJ6" s="163">
        <v>0</v>
      </c>
      <c r="AK6" s="643">
        <v>0</v>
      </c>
      <c r="AL6" s="646">
        <v>13</v>
      </c>
      <c r="AM6" s="645">
        <v>6</v>
      </c>
      <c r="AN6" s="163">
        <v>6</v>
      </c>
      <c r="AO6" s="163">
        <v>0</v>
      </c>
      <c r="AP6" s="163">
        <v>0</v>
      </c>
      <c r="AQ6" s="644">
        <v>0</v>
      </c>
      <c r="AR6" s="645">
        <v>7</v>
      </c>
      <c r="AS6" s="163">
        <v>6</v>
      </c>
      <c r="AT6" s="163">
        <v>0</v>
      </c>
      <c r="AU6" s="163">
        <v>0</v>
      </c>
      <c r="AV6" s="643">
        <v>1</v>
      </c>
      <c r="AW6" s="646">
        <v>12</v>
      </c>
      <c r="AX6" s="645">
        <v>5</v>
      </c>
      <c r="AY6" s="163">
        <v>4</v>
      </c>
      <c r="AZ6" s="163">
        <v>0</v>
      </c>
      <c r="BA6" s="163">
        <v>1</v>
      </c>
      <c r="BB6" s="644">
        <v>0</v>
      </c>
      <c r="BC6" s="645">
        <v>7</v>
      </c>
      <c r="BD6" s="163">
        <v>6</v>
      </c>
      <c r="BE6" s="163">
        <v>0</v>
      </c>
      <c r="BF6" s="163">
        <v>1</v>
      </c>
      <c r="BG6" s="643">
        <v>0</v>
      </c>
      <c r="BH6" s="646">
        <v>18</v>
      </c>
      <c r="BI6" s="645">
        <v>4</v>
      </c>
      <c r="BJ6" s="163">
        <v>4</v>
      </c>
      <c r="BK6" s="163">
        <v>0</v>
      </c>
      <c r="BL6" s="163">
        <v>0</v>
      </c>
      <c r="BM6" s="644">
        <v>0</v>
      </c>
      <c r="BN6" s="645">
        <v>14</v>
      </c>
      <c r="BO6" s="163">
        <v>11</v>
      </c>
      <c r="BP6" s="163">
        <v>0</v>
      </c>
      <c r="BQ6" s="163">
        <v>0</v>
      </c>
      <c r="BR6" s="643">
        <v>3</v>
      </c>
      <c r="BS6" s="646">
        <v>27</v>
      </c>
      <c r="BT6" s="645">
        <v>16</v>
      </c>
      <c r="BU6" s="163">
        <v>15</v>
      </c>
      <c r="BV6" s="163">
        <v>0</v>
      </c>
      <c r="BW6" s="163">
        <v>1</v>
      </c>
      <c r="BX6" s="644">
        <v>0</v>
      </c>
      <c r="BY6" s="645">
        <v>11</v>
      </c>
      <c r="BZ6" s="163">
        <v>9</v>
      </c>
      <c r="CA6" s="163">
        <v>0</v>
      </c>
      <c r="CB6" s="163">
        <v>0</v>
      </c>
      <c r="CC6" s="643">
        <v>2</v>
      </c>
      <c r="CD6" s="646">
        <v>11</v>
      </c>
      <c r="CE6" s="645">
        <v>5</v>
      </c>
      <c r="CF6" s="163">
        <v>4</v>
      </c>
      <c r="CG6" s="163">
        <v>0</v>
      </c>
      <c r="CH6" s="163">
        <v>1</v>
      </c>
      <c r="CI6" s="644">
        <v>0</v>
      </c>
      <c r="CJ6" s="645">
        <v>6</v>
      </c>
      <c r="CK6" s="163">
        <v>4</v>
      </c>
      <c r="CL6" s="163">
        <v>0</v>
      </c>
      <c r="CM6" s="163">
        <v>1</v>
      </c>
      <c r="CN6" s="643">
        <v>1</v>
      </c>
      <c r="CO6" s="646">
        <v>3</v>
      </c>
      <c r="CP6" s="645">
        <v>2</v>
      </c>
      <c r="CQ6" s="163">
        <v>2</v>
      </c>
      <c r="CR6" s="163">
        <v>0</v>
      </c>
      <c r="CS6" s="163">
        <v>0</v>
      </c>
      <c r="CT6" s="644">
        <v>0</v>
      </c>
      <c r="CU6" s="645">
        <v>1</v>
      </c>
      <c r="CV6" s="163">
        <v>1</v>
      </c>
      <c r="CW6" s="163">
        <v>0</v>
      </c>
      <c r="CX6" s="163">
        <v>0</v>
      </c>
      <c r="CY6" s="643">
        <v>0</v>
      </c>
      <c r="CZ6" s="646">
        <v>1</v>
      </c>
      <c r="DA6" s="645">
        <v>1</v>
      </c>
      <c r="DB6" s="163">
        <v>0</v>
      </c>
      <c r="DC6" s="163">
        <v>0</v>
      </c>
      <c r="DD6" s="163">
        <v>1</v>
      </c>
      <c r="DE6" s="644">
        <v>0</v>
      </c>
      <c r="DF6" s="645">
        <v>0</v>
      </c>
      <c r="DG6" s="163">
        <v>0</v>
      </c>
      <c r="DH6" s="163">
        <v>0</v>
      </c>
      <c r="DI6" s="163">
        <v>0</v>
      </c>
      <c r="DJ6" s="643">
        <v>0</v>
      </c>
      <c r="DK6" s="646">
        <v>0</v>
      </c>
      <c r="DL6" s="645">
        <v>0</v>
      </c>
      <c r="DM6" s="163">
        <v>0</v>
      </c>
      <c r="DN6" s="163">
        <v>0</v>
      </c>
      <c r="DO6" s="163">
        <v>0</v>
      </c>
      <c r="DP6" s="644">
        <v>0</v>
      </c>
      <c r="DQ6" s="645">
        <v>0</v>
      </c>
      <c r="DR6" s="163">
        <v>0</v>
      </c>
      <c r="DS6" s="163">
        <v>0</v>
      </c>
      <c r="DT6" s="163">
        <v>0</v>
      </c>
      <c r="DU6" s="643">
        <v>0</v>
      </c>
      <c r="DW6" s="646">
        <f t="shared" ref="DW6:EG45" si="4">P6+AA6+AW6+BH6+BS6+CD6+CO6+CZ6+DK6</f>
        <v>78</v>
      </c>
      <c r="DX6" s="645">
        <f t="shared" si="0"/>
        <v>34</v>
      </c>
      <c r="DY6" s="163">
        <f t="shared" si="0"/>
        <v>30</v>
      </c>
      <c r="DZ6" s="163">
        <f t="shared" si="0"/>
        <v>0</v>
      </c>
      <c r="EA6" s="163">
        <f t="shared" si="0"/>
        <v>4</v>
      </c>
      <c r="EB6" s="644">
        <f t="shared" si="0"/>
        <v>0</v>
      </c>
      <c r="EC6" s="645">
        <f t="shared" si="0"/>
        <v>44</v>
      </c>
      <c r="ED6" s="163">
        <f t="shared" si="0"/>
        <v>36</v>
      </c>
      <c r="EE6" s="163">
        <f t="shared" si="0"/>
        <v>0</v>
      </c>
      <c r="EF6" s="163">
        <f t="shared" si="0"/>
        <v>2</v>
      </c>
      <c r="EG6" s="643">
        <f t="shared" si="0"/>
        <v>6</v>
      </c>
      <c r="EH6" s="646">
        <f t="shared" ref="EH6:ER34" si="5">AL6</f>
        <v>13</v>
      </c>
      <c r="EI6" s="645">
        <f t="shared" si="1"/>
        <v>6</v>
      </c>
      <c r="EJ6" s="163">
        <f t="shared" si="1"/>
        <v>6</v>
      </c>
      <c r="EK6" s="163">
        <f t="shared" si="1"/>
        <v>0</v>
      </c>
      <c r="EL6" s="163">
        <f t="shared" si="1"/>
        <v>0</v>
      </c>
      <c r="EM6" s="644">
        <f t="shared" si="1"/>
        <v>0</v>
      </c>
      <c r="EN6" s="645">
        <f t="shared" si="1"/>
        <v>7</v>
      </c>
      <c r="EO6" s="163">
        <f t="shared" si="1"/>
        <v>6</v>
      </c>
      <c r="EP6" s="163">
        <f t="shared" si="1"/>
        <v>0</v>
      </c>
      <c r="EQ6" s="163">
        <f t="shared" si="1"/>
        <v>0</v>
      </c>
      <c r="ER6" s="643">
        <f t="shared" si="1"/>
        <v>1</v>
      </c>
    </row>
    <row r="7" spans="2:151">
      <c r="B7" s="354" t="s">
        <v>226</v>
      </c>
      <c r="C7" s="330">
        <v>2017</v>
      </c>
      <c r="D7" s="626">
        <v>219632</v>
      </c>
      <c r="E7" s="646">
        <v>2129</v>
      </c>
      <c r="F7" s="645">
        <v>950</v>
      </c>
      <c r="G7" s="163">
        <v>685</v>
      </c>
      <c r="H7" s="163">
        <v>0</v>
      </c>
      <c r="I7" s="163">
        <v>265</v>
      </c>
      <c r="J7" s="644">
        <v>0</v>
      </c>
      <c r="K7" s="645">
        <v>1179</v>
      </c>
      <c r="L7" s="163">
        <v>984</v>
      </c>
      <c r="M7" s="163">
        <v>0</v>
      </c>
      <c r="N7" s="163">
        <v>98</v>
      </c>
      <c r="O7" s="643">
        <v>97</v>
      </c>
      <c r="P7" s="646">
        <f t="shared" si="2"/>
        <v>3</v>
      </c>
      <c r="Q7" s="645">
        <v>1</v>
      </c>
      <c r="R7" s="163">
        <v>1</v>
      </c>
      <c r="S7" s="163">
        <v>0</v>
      </c>
      <c r="T7" s="163">
        <v>0</v>
      </c>
      <c r="U7" s="644">
        <v>0</v>
      </c>
      <c r="V7" s="645">
        <v>2</v>
      </c>
      <c r="W7" s="163">
        <v>2</v>
      </c>
      <c r="X7" s="163">
        <v>0</v>
      </c>
      <c r="Y7" s="163">
        <v>0</v>
      </c>
      <c r="Z7" s="643">
        <v>0</v>
      </c>
      <c r="AA7" s="646">
        <f t="shared" si="3"/>
        <v>4</v>
      </c>
      <c r="AB7" s="645">
        <v>2</v>
      </c>
      <c r="AC7" s="163">
        <v>2</v>
      </c>
      <c r="AD7" s="163">
        <v>0</v>
      </c>
      <c r="AE7" s="163">
        <v>0</v>
      </c>
      <c r="AF7" s="644">
        <v>0</v>
      </c>
      <c r="AG7" s="645">
        <v>2</v>
      </c>
      <c r="AH7" s="163">
        <v>2</v>
      </c>
      <c r="AI7" s="163">
        <v>0</v>
      </c>
      <c r="AJ7" s="163">
        <v>0</v>
      </c>
      <c r="AK7" s="643">
        <v>0</v>
      </c>
      <c r="AL7" s="646">
        <v>20</v>
      </c>
      <c r="AM7" s="645">
        <v>9</v>
      </c>
      <c r="AN7" s="163">
        <v>5</v>
      </c>
      <c r="AO7" s="163">
        <v>0</v>
      </c>
      <c r="AP7" s="163">
        <v>4</v>
      </c>
      <c r="AQ7" s="644">
        <v>0</v>
      </c>
      <c r="AR7" s="645">
        <v>11</v>
      </c>
      <c r="AS7" s="163">
        <v>9</v>
      </c>
      <c r="AT7" s="163">
        <v>0</v>
      </c>
      <c r="AU7" s="163">
        <v>1</v>
      </c>
      <c r="AV7" s="643">
        <v>1</v>
      </c>
      <c r="AW7" s="646">
        <v>8</v>
      </c>
      <c r="AX7" s="645">
        <v>3</v>
      </c>
      <c r="AY7" s="163">
        <v>2</v>
      </c>
      <c r="AZ7" s="163">
        <v>0</v>
      </c>
      <c r="BA7" s="163">
        <v>1</v>
      </c>
      <c r="BB7" s="644">
        <v>0</v>
      </c>
      <c r="BC7" s="645">
        <v>5</v>
      </c>
      <c r="BD7" s="163">
        <v>4</v>
      </c>
      <c r="BE7" s="163">
        <v>0</v>
      </c>
      <c r="BF7" s="163">
        <v>0</v>
      </c>
      <c r="BG7" s="643">
        <v>1</v>
      </c>
      <c r="BH7" s="646">
        <v>12</v>
      </c>
      <c r="BI7" s="645">
        <v>9</v>
      </c>
      <c r="BJ7" s="163">
        <v>9</v>
      </c>
      <c r="BK7" s="163">
        <v>0</v>
      </c>
      <c r="BL7" s="163">
        <v>0</v>
      </c>
      <c r="BM7" s="644">
        <v>0</v>
      </c>
      <c r="BN7" s="645">
        <v>3</v>
      </c>
      <c r="BO7" s="163">
        <v>3</v>
      </c>
      <c r="BP7" s="163">
        <v>0</v>
      </c>
      <c r="BQ7" s="163">
        <v>0</v>
      </c>
      <c r="BR7" s="643">
        <v>0</v>
      </c>
      <c r="BS7" s="646">
        <v>16</v>
      </c>
      <c r="BT7" s="645">
        <v>8</v>
      </c>
      <c r="BU7" s="163">
        <v>7</v>
      </c>
      <c r="BV7" s="163">
        <v>0</v>
      </c>
      <c r="BW7" s="163">
        <v>1</v>
      </c>
      <c r="BX7" s="644">
        <v>0</v>
      </c>
      <c r="BY7" s="645">
        <v>8</v>
      </c>
      <c r="BZ7" s="163">
        <v>7</v>
      </c>
      <c r="CA7" s="163">
        <v>0</v>
      </c>
      <c r="CB7" s="163">
        <v>1</v>
      </c>
      <c r="CC7" s="643">
        <v>0</v>
      </c>
      <c r="CD7" s="646">
        <v>7</v>
      </c>
      <c r="CE7" s="645">
        <v>4</v>
      </c>
      <c r="CF7" s="163">
        <v>2</v>
      </c>
      <c r="CG7" s="163">
        <v>0</v>
      </c>
      <c r="CH7" s="163">
        <v>2</v>
      </c>
      <c r="CI7" s="644">
        <v>0</v>
      </c>
      <c r="CJ7" s="645">
        <v>3</v>
      </c>
      <c r="CK7" s="163">
        <v>3</v>
      </c>
      <c r="CL7" s="163">
        <v>0</v>
      </c>
      <c r="CM7" s="163">
        <v>0</v>
      </c>
      <c r="CN7" s="643">
        <v>0</v>
      </c>
      <c r="CO7" s="646">
        <v>2</v>
      </c>
      <c r="CP7" s="645">
        <v>1</v>
      </c>
      <c r="CQ7" s="163">
        <v>1</v>
      </c>
      <c r="CR7" s="163">
        <v>0</v>
      </c>
      <c r="CS7" s="163">
        <v>0</v>
      </c>
      <c r="CT7" s="644">
        <v>0</v>
      </c>
      <c r="CU7" s="645">
        <v>1</v>
      </c>
      <c r="CV7" s="163">
        <v>1</v>
      </c>
      <c r="CW7" s="163">
        <v>0</v>
      </c>
      <c r="CX7" s="163">
        <v>0</v>
      </c>
      <c r="CY7" s="643">
        <v>0</v>
      </c>
      <c r="CZ7" s="646">
        <v>0</v>
      </c>
      <c r="DA7" s="645">
        <v>0</v>
      </c>
      <c r="DB7" s="163">
        <v>0</v>
      </c>
      <c r="DC7" s="163">
        <v>0</v>
      </c>
      <c r="DD7" s="163">
        <v>0</v>
      </c>
      <c r="DE7" s="644">
        <v>0</v>
      </c>
      <c r="DF7" s="645">
        <v>0</v>
      </c>
      <c r="DG7" s="163">
        <v>0</v>
      </c>
      <c r="DH7" s="163">
        <v>0</v>
      </c>
      <c r="DI7" s="163">
        <v>0</v>
      </c>
      <c r="DJ7" s="643">
        <v>0</v>
      </c>
      <c r="DK7" s="646">
        <v>0</v>
      </c>
      <c r="DL7" s="645">
        <v>0</v>
      </c>
      <c r="DM7" s="163">
        <v>0</v>
      </c>
      <c r="DN7" s="163">
        <v>0</v>
      </c>
      <c r="DO7" s="163">
        <v>0</v>
      </c>
      <c r="DP7" s="644">
        <v>0</v>
      </c>
      <c r="DQ7" s="645">
        <v>0</v>
      </c>
      <c r="DR7" s="163">
        <v>0</v>
      </c>
      <c r="DS7" s="163">
        <v>0</v>
      </c>
      <c r="DT7" s="163">
        <v>0</v>
      </c>
      <c r="DU7" s="643">
        <v>0</v>
      </c>
      <c r="DW7" s="646">
        <f t="shared" si="4"/>
        <v>52</v>
      </c>
      <c r="DX7" s="645">
        <f t="shared" si="0"/>
        <v>28</v>
      </c>
      <c r="DY7" s="163">
        <f t="shared" si="0"/>
        <v>24</v>
      </c>
      <c r="DZ7" s="163">
        <f t="shared" si="0"/>
        <v>0</v>
      </c>
      <c r="EA7" s="163">
        <f t="shared" si="0"/>
        <v>4</v>
      </c>
      <c r="EB7" s="644">
        <f t="shared" si="0"/>
        <v>0</v>
      </c>
      <c r="EC7" s="645">
        <f t="shared" si="0"/>
        <v>24</v>
      </c>
      <c r="ED7" s="163">
        <f t="shared" si="0"/>
        <v>22</v>
      </c>
      <c r="EE7" s="163">
        <f t="shared" si="0"/>
        <v>0</v>
      </c>
      <c r="EF7" s="163">
        <f t="shared" si="0"/>
        <v>1</v>
      </c>
      <c r="EG7" s="643">
        <f t="shared" si="0"/>
        <v>1</v>
      </c>
      <c r="EH7" s="646">
        <f t="shared" si="5"/>
        <v>20</v>
      </c>
      <c r="EI7" s="645">
        <f t="shared" si="1"/>
        <v>9</v>
      </c>
      <c r="EJ7" s="163">
        <f t="shared" si="1"/>
        <v>5</v>
      </c>
      <c r="EK7" s="163">
        <f t="shared" si="1"/>
        <v>0</v>
      </c>
      <c r="EL7" s="163">
        <f t="shared" si="1"/>
        <v>4</v>
      </c>
      <c r="EM7" s="644">
        <f t="shared" si="1"/>
        <v>0</v>
      </c>
      <c r="EN7" s="645">
        <f t="shared" si="1"/>
        <v>11</v>
      </c>
      <c r="EO7" s="163">
        <f t="shared" si="1"/>
        <v>9</v>
      </c>
      <c r="EP7" s="163">
        <f t="shared" si="1"/>
        <v>0</v>
      </c>
      <c r="EQ7" s="163">
        <f t="shared" si="1"/>
        <v>1</v>
      </c>
      <c r="ER7" s="643">
        <f t="shared" si="1"/>
        <v>1</v>
      </c>
    </row>
    <row r="8" spans="2:151">
      <c r="B8" s="354" t="s">
        <v>227</v>
      </c>
      <c r="C8" s="330">
        <v>2017</v>
      </c>
      <c r="D8" s="626">
        <v>179517</v>
      </c>
      <c r="E8" s="646">
        <v>2640</v>
      </c>
      <c r="F8" s="645">
        <v>1186</v>
      </c>
      <c r="G8" s="163">
        <v>828</v>
      </c>
      <c r="H8" s="163">
        <v>0</v>
      </c>
      <c r="I8" s="163">
        <v>358</v>
      </c>
      <c r="J8" s="644">
        <v>0</v>
      </c>
      <c r="K8" s="645">
        <v>1454</v>
      </c>
      <c r="L8" s="163">
        <v>1108</v>
      </c>
      <c r="M8" s="163">
        <v>0</v>
      </c>
      <c r="N8" s="163">
        <v>97</v>
      </c>
      <c r="O8" s="643">
        <v>249</v>
      </c>
      <c r="P8" s="646">
        <f t="shared" si="2"/>
        <v>2</v>
      </c>
      <c r="Q8" s="645">
        <v>1</v>
      </c>
      <c r="R8" s="163">
        <v>1</v>
      </c>
      <c r="S8" s="163">
        <v>0</v>
      </c>
      <c r="T8" s="163">
        <v>0</v>
      </c>
      <c r="U8" s="644">
        <v>0</v>
      </c>
      <c r="V8" s="645">
        <v>1</v>
      </c>
      <c r="W8" s="163">
        <v>1</v>
      </c>
      <c r="X8" s="163">
        <v>0</v>
      </c>
      <c r="Y8" s="163">
        <v>0</v>
      </c>
      <c r="Z8" s="643">
        <v>0</v>
      </c>
      <c r="AA8" s="646">
        <f t="shared" si="3"/>
        <v>4</v>
      </c>
      <c r="AB8" s="645">
        <v>0</v>
      </c>
      <c r="AC8" s="163">
        <v>0</v>
      </c>
      <c r="AD8" s="163">
        <v>0</v>
      </c>
      <c r="AE8" s="163">
        <v>0</v>
      </c>
      <c r="AF8" s="644">
        <v>0</v>
      </c>
      <c r="AG8" s="645">
        <v>4</v>
      </c>
      <c r="AH8" s="163">
        <v>4</v>
      </c>
      <c r="AI8" s="163">
        <v>0</v>
      </c>
      <c r="AJ8" s="163">
        <v>0</v>
      </c>
      <c r="AK8" s="643">
        <v>0</v>
      </c>
      <c r="AL8" s="646">
        <v>27</v>
      </c>
      <c r="AM8" s="645">
        <v>11</v>
      </c>
      <c r="AN8" s="163">
        <v>6</v>
      </c>
      <c r="AO8" s="163">
        <v>0</v>
      </c>
      <c r="AP8" s="163">
        <v>5</v>
      </c>
      <c r="AQ8" s="644">
        <v>0</v>
      </c>
      <c r="AR8" s="645">
        <v>16</v>
      </c>
      <c r="AS8" s="163">
        <v>9</v>
      </c>
      <c r="AT8" s="163">
        <v>0</v>
      </c>
      <c r="AU8" s="163">
        <v>0</v>
      </c>
      <c r="AV8" s="643">
        <v>7</v>
      </c>
      <c r="AW8" s="646">
        <v>15</v>
      </c>
      <c r="AX8" s="645">
        <v>5</v>
      </c>
      <c r="AY8" s="163">
        <v>5</v>
      </c>
      <c r="AZ8" s="163">
        <v>0</v>
      </c>
      <c r="BA8" s="163">
        <v>0</v>
      </c>
      <c r="BB8" s="644">
        <v>0</v>
      </c>
      <c r="BC8" s="645">
        <v>10</v>
      </c>
      <c r="BD8" s="163">
        <v>9</v>
      </c>
      <c r="BE8" s="163">
        <v>0</v>
      </c>
      <c r="BF8" s="163">
        <v>0</v>
      </c>
      <c r="BG8" s="643">
        <v>1</v>
      </c>
      <c r="BH8" s="646">
        <v>14</v>
      </c>
      <c r="BI8" s="645">
        <v>6</v>
      </c>
      <c r="BJ8" s="163">
        <v>4</v>
      </c>
      <c r="BK8" s="163">
        <v>0</v>
      </c>
      <c r="BL8" s="163">
        <v>2</v>
      </c>
      <c r="BM8" s="644">
        <v>0</v>
      </c>
      <c r="BN8" s="645">
        <v>8</v>
      </c>
      <c r="BO8" s="163">
        <v>6</v>
      </c>
      <c r="BP8" s="163">
        <v>0</v>
      </c>
      <c r="BQ8" s="163">
        <v>1</v>
      </c>
      <c r="BR8" s="643">
        <v>1</v>
      </c>
      <c r="BS8" s="646">
        <v>22</v>
      </c>
      <c r="BT8" s="645">
        <v>11</v>
      </c>
      <c r="BU8" s="163">
        <v>9</v>
      </c>
      <c r="BV8" s="163">
        <v>0</v>
      </c>
      <c r="BW8" s="163">
        <v>2</v>
      </c>
      <c r="BX8" s="644">
        <v>0</v>
      </c>
      <c r="BY8" s="645">
        <v>11</v>
      </c>
      <c r="BZ8" s="163">
        <v>9</v>
      </c>
      <c r="CA8" s="163">
        <v>0</v>
      </c>
      <c r="CB8" s="163">
        <v>1</v>
      </c>
      <c r="CC8" s="643">
        <v>1</v>
      </c>
      <c r="CD8" s="646">
        <v>4</v>
      </c>
      <c r="CE8" s="645">
        <v>2</v>
      </c>
      <c r="CF8" s="163">
        <v>1</v>
      </c>
      <c r="CG8" s="163">
        <v>0</v>
      </c>
      <c r="CH8" s="163">
        <v>1</v>
      </c>
      <c r="CI8" s="644">
        <v>0</v>
      </c>
      <c r="CJ8" s="645">
        <v>2</v>
      </c>
      <c r="CK8" s="163">
        <v>1</v>
      </c>
      <c r="CL8" s="163">
        <v>0</v>
      </c>
      <c r="CM8" s="163">
        <v>0</v>
      </c>
      <c r="CN8" s="643">
        <v>1</v>
      </c>
      <c r="CO8" s="646">
        <v>3</v>
      </c>
      <c r="CP8" s="645">
        <v>0</v>
      </c>
      <c r="CQ8" s="163">
        <v>0</v>
      </c>
      <c r="CR8" s="163">
        <v>0</v>
      </c>
      <c r="CS8" s="163">
        <v>0</v>
      </c>
      <c r="CT8" s="644">
        <v>0</v>
      </c>
      <c r="CU8" s="645">
        <v>3</v>
      </c>
      <c r="CV8" s="163">
        <v>3</v>
      </c>
      <c r="CW8" s="163">
        <v>0</v>
      </c>
      <c r="CX8" s="163">
        <v>0</v>
      </c>
      <c r="CY8" s="643">
        <v>0</v>
      </c>
      <c r="CZ8" s="646">
        <v>5</v>
      </c>
      <c r="DA8" s="645">
        <v>0</v>
      </c>
      <c r="DB8" s="163">
        <v>0</v>
      </c>
      <c r="DC8" s="163">
        <v>0</v>
      </c>
      <c r="DD8" s="163">
        <v>0</v>
      </c>
      <c r="DE8" s="644">
        <v>0</v>
      </c>
      <c r="DF8" s="645">
        <v>5</v>
      </c>
      <c r="DG8" s="163">
        <v>5</v>
      </c>
      <c r="DH8" s="163">
        <v>0</v>
      </c>
      <c r="DI8" s="163">
        <v>0</v>
      </c>
      <c r="DJ8" s="643">
        <v>0</v>
      </c>
      <c r="DK8" s="646">
        <v>0</v>
      </c>
      <c r="DL8" s="645">
        <v>0</v>
      </c>
      <c r="DM8" s="163">
        <v>0</v>
      </c>
      <c r="DN8" s="163">
        <v>0</v>
      </c>
      <c r="DO8" s="163">
        <v>0</v>
      </c>
      <c r="DP8" s="644">
        <v>0</v>
      </c>
      <c r="DQ8" s="645">
        <v>0</v>
      </c>
      <c r="DR8" s="163">
        <v>0</v>
      </c>
      <c r="DS8" s="163">
        <v>0</v>
      </c>
      <c r="DT8" s="163">
        <v>0</v>
      </c>
      <c r="DU8" s="643">
        <v>0</v>
      </c>
      <c r="DW8" s="646">
        <f t="shared" si="4"/>
        <v>69</v>
      </c>
      <c r="DX8" s="645">
        <f t="shared" si="0"/>
        <v>25</v>
      </c>
      <c r="DY8" s="163">
        <f t="shared" si="0"/>
        <v>20</v>
      </c>
      <c r="DZ8" s="163">
        <f t="shared" si="0"/>
        <v>0</v>
      </c>
      <c r="EA8" s="163">
        <f t="shared" si="0"/>
        <v>5</v>
      </c>
      <c r="EB8" s="644">
        <f t="shared" si="0"/>
        <v>0</v>
      </c>
      <c r="EC8" s="645">
        <f t="shared" si="0"/>
        <v>44</v>
      </c>
      <c r="ED8" s="163">
        <f t="shared" si="0"/>
        <v>38</v>
      </c>
      <c r="EE8" s="163">
        <f t="shared" si="0"/>
        <v>0</v>
      </c>
      <c r="EF8" s="163">
        <f t="shared" si="0"/>
        <v>2</v>
      </c>
      <c r="EG8" s="643">
        <f t="shared" si="0"/>
        <v>4</v>
      </c>
      <c r="EH8" s="646">
        <f t="shared" si="5"/>
        <v>27</v>
      </c>
      <c r="EI8" s="645">
        <f t="shared" si="1"/>
        <v>11</v>
      </c>
      <c r="EJ8" s="163">
        <f t="shared" si="1"/>
        <v>6</v>
      </c>
      <c r="EK8" s="163">
        <f t="shared" si="1"/>
        <v>0</v>
      </c>
      <c r="EL8" s="163">
        <f t="shared" si="1"/>
        <v>5</v>
      </c>
      <c r="EM8" s="644">
        <f t="shared" si="1"/>
        <v>0</v>
      </c>
      <c r="EN8" s="645">
        <f t="shared" si="1"/>
        <v>16</v>
      </c>
      <c r="EO8" s="163">
        <f t="shared" si="1"/>
        <v>9</v>
      </c>
      <c r="EP8" s="163">
        <f t="shared" si="1"/>
        <v>0</v>
      </c>
      <c r="EQ8" s="163">
        <f t="shared" si="1"/>
        <v>0</v>
      </c>
      <c r="ER8" s="643">
        <f t="shared" si="1"/>
        <v>7</v>
      </c>
    </row>
    <row r="9" spans="2:151">
      <c r="B9" s="354" t="s">
        <v>228</v>
      </c>
      <c r="C9" s="330">
        <v>2018</v>
      </c>
      <c r="D9" s="626">
        <v>165397</v>
      </c>
      <c r="E9" s="646">
        <v>2747</v>
      </c>
      <c r="F9" s="645">
        <v>928</v>
      </c>
      <c r="G9" s="163">
        <v>754</v>
      </c>
      <c r="H9" s="163">
        <v>0</v>
      </c>
      <c r="I9" s="163">
        <v>174</v>
      </c>
      <c r="J9" s="644">
        <v>0</v>
      </c>
      <c r="K9" s="645">
        <v>1819</v>
      </c>
      <c r="L9" s="163">
        <v>1251</v>
      </c>
      <c r="M9" s="163">
        <v>0</v>
      </c>
      <c r="N9" s="163">
        <v>359</v>
      </c>
      <c r="O9" s="643">
        <v>209</v>
      </c>
      <c r="P9" s="646">
        <f t="shared" si="2"/>
        <v>5</v>
      </c>
      <c r="Q9" s="645">
        <v>0</v>
      </c>
      <c r="R9" s="163">
        <v>0</v>
      </c>
      <c r="S9" s="163">
        <v>0</v>
      </c>
      <c r="T9" s="163">
        <v>0</v>
      </c>
      <c r="U9" s="644">
        <v>0</v>
      </c>
      <c r="V9" s="645">
        <v>5</v>
      </c>
      <c r="W9" s="163">
        <v>3</v>
      </c>
      <c r="X9" s="163">
        <v>0</v>
      </c>
      <c r="Y9" s="163">
        <v>1</v>
      </c>
      <c r="Z9" s="643">
        <v>1</v>
      </c>
      <c r="AA9" s="646">
        <f t="shared" si="3"/>
        <v>4</v>
      </c>
      <c r="AB9" s="645">
        <v>0</v>
      </c>
      <c r="AC9" s="163">
        <v>0</v>
      </c>
      <c r="AD9" s="163">
        <v>0</v>
      </c>
      <c r="AE9" s="163">
        <v>0</v>
      </c>
      <c r="AF9" s="644">
        <v>0</v>
      </c>
      <c r="AG9" s="645">
        <v>4</v>
      </c>
      <c r="AH9" s="163">
        <v>3</v>
      </c>
      <c r="AI9" s="163">
        <v>0</v>
      </c>
      <c r="AJ9" s="163">
        <v>0</v>
      </c>
      <c r="AK9" s="643">
        <v>1</v>
      </c>
      <c r="AL9" s="646">
        <v>27</v>
      </c>
      <c r="AM9" s="645">
        <v>10</v>
      </c>
      <c r="AN9" s="163">
        <v>8</v>
      </c>
      <c r="AO9" s="163">
        <v>0</v>
      </c>
      <c r="AP9" s="163">
        <v>2</v>
      </c>
      <c r="AQ9" s="644">
        <v>0</v>
      </c>
      <c r="AR9" s="645">
        <v>17</v>
      </c>
      <c r="AS9" s="163">
        <v>14</v>
      </c>
      <c r="AT9" s="163">
        <v>0</v>
      </c>
      <c r="AU9" s="163">
        <v>3</v>
      </c>
      <c r="AV9" s="643">
        <v>0</v>
      </c>
      <c r="AW9" s="646">
        <v>24</v>
      </c>
      <c r="AX9" s="645">
        <v>8</v>
      </c>
      <c r="AY9" s="163">
        <v>7</v>
      </c>
      <c r="AZ9" s="163">
        <v>0</v>
      </c>
      <c r="BA9" s="163">
        <v>1</v>
      </c>
      <c r="BB9" s="644">
        <v>0</v>
      </c>
      <c r="BC9" s="645">
        <v>16</v>
      </c>
      <c r="BD9" s="163">
        <v>14</v>
      </c>
      <c r="BE9" s="163">
        <v>0</v>
      </c>
      <c r="BF9" s="163">
        <v>0</v>
      </c>
      <c r="BG9" s="643">
        <v>2</v>
      </c>
      <c r="BH9" s="646">
        <v>15</v>
      </c>
      <c r="BI9" s="645">
        <v>7</v>
      </c>
      <c r="BJ9" s="163">
        <v>6</v>
      </c>
      <c r="BK9" s="163">
        <v>0</v>
      </c>
      <c r="BL9" s="163">
        <v>1</v>
      </c>
      <c r="BM9" s="644">
        <v>0</v>
      </c>
      <c r="BN9" s="645">
        <v>8</v>
      </c>
      <c r="BO9" s="163">
        <v>6</v>
      </c>
      <c r="BP9" s="163">
        <v>0</v>
      </c>
      <c r="BQ9" s="163">
        <v>2</v>
      </c>
      <c r="BR9" s="643">
        <v>0</v>
      </c>
      <c r="BS9" s="646">
        <v>30</v>
      </c>
      <c r="BT9" s="645">
        <v>7</v>
      </c>
      <c r="BU9" s="163">
        <v>7</v>
      </c>
      <c r="BV9" s="163">
        <v>0</v>
      </c>
      <c r="BW9" s="163">
        <v>0</v>
      </c>
      <c r="BX9" s="644">
        <v>0</v>
      </c>
      <c r="BY9" s="645">
        <v>23</v>
      </c>
      <c r="BZ9" s="163">
        <v>15</v>
      </c>
      <c r="CA9" s="163">
        <v>0</v>
      </c>
      <c r="CB9" s="163">
        <v>4</v>
      </c>
      <c r="CC9" s="643">
        <v>4</v>
      </c>
      <c r="CD9" s="646">
        <v>10</v>
      </c>
      <c r="CE9" s="645">
        <v>6</v>
      </c>
      <c r="CF9" s="163">
        <v>5</v>
      </c>
      <c r="CG9" s="163">
        <v>0</v>
      </c>
      <c r="CH9" s="163">
        <v>1</v>
      </c>
      <c r="CI9" s="644">
        <v>0</v>
      </c>
      <c r="CJ9" s="645">
        <v>4</v>
      </c>
      <c r="CK9" s="163">
        <v>4</v>
      </c>
      <c r="CL9" s="163">
        <v>0</v>
      </c>
      <c r="CM9" s="163">
        <v>0</v>
      </c>
      <c r="CN9" s="643">
        <v>0</v>
      </c>
      <c r="CO9" s="646">
        <v>4</v>
      </c>
      <c r="CP9" s="645">
        <v>2</v>
      </c>
      <c r="CQ9" s="163">
        <v>2</v>
      </c>
      <c r="CR9" s="163">
        <v>0</v>
      </c>
      <c r="CS9" s="163">
        <v>0</v>
      </c>
      <c r="CT9" s="644">
        <v>0</v>
      </c>
      <c r="CU9" s="645">
        <v>2</v>
      </c>
      <c r="CV9" s="163">
        <v>2</v>
      </c>
      <c r="CW9" s="163">
        <v>0</v>
      </c>
      <c r="CX9" s="163">
        <v>0</v>
      </c>
      <c r="CY9" s="643">
        <v>0</v>
      </c>
      <c r="CZ9" s="646">
        <v>2</v>
      </c>
      <c r="DA9" s="645">
        <v>0</v>
      </c>
      <c r="DB9" s="163">
        <v>0</v>
      </c>
      <c r="DC9" s="163">
        <v>0</v>
      </c>
      <c r="DD9" s="163">
        <v>0</v>
      </c>
      <c r="DE9" s="644">
        <v>0</v>
      </c>
      <c r="DF9" s="645">
        <v>2</v>
      </c>
      <c r="DG9" s="163">
        <v>2</v>
      </c>
      <c r="DH9" s="163">
        <v>0</v>
      </c>
      <c r="DI9" s="163">
        <v>0</v>
      </c>
      <c r="DJ9" s="643">
        <v>0</v>
      </c>
      <c r="DK9" s="646">
        <v>0</v>
      </c>
      <c r="DL9" s="645">
        <v>0</v>
      </c>
      <c r="DM9" s="163">
        <v>0</v>
      </c>
      <c r="DN9" s="163">
        <v>0</v>
      </c>
      <c r="DO9" s="163">
        <v>0</v>
      </c>
      <c r="DP9" s="644">
        <v>0</v>
      </c>
      <c r="DQ9" s="645">
        <v>0</v>
      </c>
      <c r="DR9" s="163">
        <v>0</v>
      </c>
      <c r="DS9" s="163">
        <v>0</v>
      </c>
      <c r="DT9" s="163">
        <v>0</v>
      </c>
      <c r="DU9" s="643">
        <v>0</v>
      </c>
      <c r="DW9" s="646">
        <f t="shared" si="4"/>
        <v>94</v>
      </c>
      <c r="DX9" s="645">
        <f t="shared" si="0"/>
        <v>30</v>
      </c>
      <c r="DY9" s="163">
        <f t="shared" si="0"/>
        <v>27</v>
      </c>
      <c r="DZ9" s="163">
        <f t="shared" si="0"/>
        <v>0</v>
      </c>
      <c r="EA9" s="163">
        <f t="shared" si="0"/>
        <v>3</v>
      </c>
      <c r="EB9" s="644">
        <f t="shared" si="0"/>
        <v>0</v>
      </c>
      <c r="EC9" s="645">
        <f t="shared" si="0"/>
        <v>64</v>
      </c>
      <c r="ED9" s="163">
        <f t="shared" si="0"/>
        <v>49</v>
      </c>
      <c r="EE9" s="163">
        <f t="shared" si="0"/>
        <v>0</v>
      </c>
      <c r="EF9" s="163">
        <f t="shared" si="0"/>
        <v>7</v>
      </c>
      <c r="EG9" s="643">
        <f t="shared" si="0"/>
        <v>8</v>
      </c>
      <c r="EH9" s="646">
        <f t="shared" si="5"/>
        <v>27</v>
      </c>
      <c r="EI9" s="645">
        <f t="shared" si="1"/>
        <v>10</v>
      </c>
      <c r="EJ9" s="163">
        <f t="shared" si="1"/>
        <v>8</v>
      </c>
      <c r="EK9" s="163">
        <f t="shared" si="1"/>
        <v>0</v>
      </c>
      <c r="EL9" s="163">
        <f t="shared" si="1"/>
        <v>2</v>
      </c>
      <c r="EM9" s="644">
        <f t="shared" si="1"/>
        <v>0</v>
      </c>
      <c r="EN9" s="645">
        <f t="shared" si="1"/>
        <v>17</v>
      </c>
      <c r="EO9" s="163">
        <f t="shared" si="1"/>
        <v>14</v>
      </c>
      <c r="EP9" s="163">
        <f t="shared" si="1"/>
        <v>0</v>
      </c>
      <c r="EQ9" s="163">
        <f t="shared" si="1"/>
        <v>3</v>
      </c>
      <c r="ER9" s="643">
        <f t="shared" si="1"/>
        <v>0</v>
      </c>
    </row>
    <row r="10" spans="2:151">
      <c r="B10" s="354" t="s">
        <v>229</v>
      </c>
      <c r="C10" s="330">
        <v>2018</v>
      </c>
      <c r="D10" s="626">
        <v>239881</v>
      </c>
      <c r="E10" s="646">
        <v>6949</v>
      </c>
      <c r="F10" s="645">
        <v>3617</v>
      </c>
      <c r="G10" s="163">
        <v>3306</v>
      </c>
      <c r="H10" s="163">
        <v>0</v>
      </c>
      <c r="I10" s="163">
        <v>311</v>
      </c>
      <c r="J10" s="644">
        <v>0</v>
      </c>
      <c r="K10" s="645">
        <v>3332</v>
      </c>
      <c r="L10" s="163">
        <v>2218</v>
      </c>
      <c r="M10" s="163">
        <v>0</v>
      </c>
      <c r="N10" s="163">
        <v>707</v>
      </c>
      <c r="O10" s="643">
        <v>407</v>
      </c>
      <c r="P10" s="646">
        <f t="shared" si="2"/>
        <v>13</v>
      </c>
      <c r="Q10" s="645">
        <v>8</v>
      </c>
      <c r="R10" s="163">
        <v>7</v>
      </c>
      <c r="S10" s="163">
        <v>0</v>
      </c>
      <c r="T10" s="163">
        <v>1</v>
      </c>
      <c r="U10" s="644">
        <v>0</v>
      </c>
      <c r="V10" s="645">
        <v>5</v>
      </c>
      <c r="W10" s="163">
        <v>3</v>
      </c>
      <c r="X10" s="163">
        <v>0</v>
      </c>
      <c r="Y10" s="163">
        <v>1</v>
      </c>
      <c r="Z10" s="643">
        <v>1</v>
      </c>
      <c r="AA10" s="646">
        <f t="shared" si="3"/>
        <v>13</v>
      </c>
      <c r="AB10" s="645">
        <v>5</v>
      </c>
      <c r="AC10" s="163">
        <v>4</v>
      </c>
      <c r="AD10" s="163">
        <v>0</v>
      </c>
      <c r="AE10" s="163">
        <v>1</v>
      </c>
      <c r="AF10" s="644">
        <v>0</v>
      </c>
      <c r="AG10" s="645">
        <v>8</v>
      </c>
      <c r="AH10" s="163">
        <v>7</v>
      </c>
      <c r="AI10" s="163">
        <v>0</v>
      </c>
      <c r="AJ10" s="163">
        <v>0</v>
      </c>
      <c r="AK10" s="643">
        <v>1</v>
      </c>
      <c r="AL10" s="646">
        <v>56</v>
      </c>
      <c r="AM10" s="645">
        <v>30</v>
      </c>
      <c r="AN10" s="163">
        <v>28</v>
      </c>
      <c r="AO10" s="163">
        <v>0</v>
      </c>
      <c r="AP10" s="163">
        <v>2</v>
      </c>
      <c r="AQ10" s="644">
        <v>0</v>
      </c>
      <c r="AR10" s="645">
        <v>26</v>
      </c>
      <c r="AS10" s="163">
        <v>17</v>
      </c>
      <c r="AT10" s="163">
        <v>0</v>
      </c>
      <c r="AU10" s="163">
        <v>7</v>
      </c>
      <c r="AV10" s="643">
        <v>2</v>
      </c>
      <c r="AW10" s="646">
        <v>41</v>
      </c>
      <c r="AX10" s="645">
        <v>20</v>
      </c>
      <c r="AY10" s="163">
        <v>18</v>
      </c>
      <c r="AZ10" s="163">
        <v>0</v>
      </c>
      <c r="BA10" s="163">
        <v>2</v>
      </c>
      <c r="BB10" s="644">
        <v>0</v>
      </c>
      <c r="BC10" s="645">
        <v>21</v>
      </c>
      <c r="BD10" s="163">
        <v>16</v>
      </c>
      <c r="BE10" s="163">
        <v>0</v>
      </c>
      <c r="BF10" s="163">
        <v>3</v>
      </c>
      <c r="BG10" s="643">
        <v>2</v>
      </c>
      <c r="BH10" s="646">
        <v>53</v>
      </c>
      <c r="BI10" s="645">
        <v>33</v>
      </c>
      <c r="BJ10" s="163">
        <v>31</v>
      </c>
      <c r="BK10" s="163">
        <v>0</v>
      </c>
      <c r="BL10" s="163">
        <v>2</v>
      </c>
      <c r="BM10" s="644">
        <v>0</v>
      </c>
      <c r="BN10" s="645">
        <v>20</v>
      </c>
      <c r="BO10" s="163">
        <v>12</v>
      </c>
      <c r="BP10" s="163">
        <v>0</v>
      </c>
      <c r="BQ10" s="163">
        <v>7</v>
      </c>
      <c r="BR10" s="643">
        <v>1</v>
      </c>
      <c r="BS10" s="646">
        <v>75</v>
      </c>
      <c r="BT10" s="645">
        <v>41</v>
      </c>
      <c r="BU10" s="163">
        <v>40</v>
      </c>
      <c r="BV10" s="163">
        <v>0</v>
      </c>
      <c r="BW10" s="163">
        <v>1</v>
      </c>
      <c r="BX10" s="644">
        <v>0</v>
      </c>
      <c r="BY10" s="645">
        <v>34</v>
      </c>
      <c r="BZ10" s="163">
        <v>20</v>
      </c>
      <c r="CA10" s="163">
        <v>0</v>
      </c>
      <c r="CB10" s="163">
        <v>9</v>
      </c>
      <c r="CC10" s="643">
        <v>5</v>
      </c>
      <c r="CD10" s="646">
        <v>18</v>
      </c>
      <c r="CE10" s="645">
        <v>11</v>
      </c>
      <c r="CF10" s="163">
        <v>11</v>
      </c>
      <c r="CG10" s="163">
        <v>0</v>
      </c>
      <c r="CH10" s="163">
        <v>0</v>
      </c>
      <c r="CI10" s="644">
        <v>0</v>
      </c>
      <c r="CJ10" s="645">
        <v>7</v>
      </c>
      <c r="CK10" s="163">
        <v>5</v>
      </c>
      <c r="CL10" s="163">
        <v>0</v>
      </c>
      <c r="CM10" s="163">
        <v>1</v>
      </c>
      <c r="CN10" s="643">
        <v>1</v>
      </c>
      <c r="CO10" s="646">
        <v>20</v>
      </c>
      <c r="CP10" s="645">
        <v>10</v>
      </c>
      <c r="CQ10" s="163">
        <v>10</v>
      </c>
      <c r="CR10" s="163">
        <v>0</v>
      </c>
      <c r="CS10" s="163">
        <v>0</v>
      </c>
      <c r="CT10" s="644">
        <v>0</v>
      </c>
      <c r="CU10" s="645">
        <v>10</v>
      </c>
      <c r="CV10" s="163">
        <v>9</v>
      </c>
      <c r="CW10" s="163">
        <v>0</v>
      </c>
      <c r="CX10" s="163">
        <v>1</v>
      </c>
      <c r="CY10" s="643">
        <v>0</v>
      </c>
      <c r="CZ10" s="646">
        <v>1</v>
      </c>
      <c r="DA10" s="645">
        <v>0</v>
      </c>
      <c r="DB10" s="163">
        <v>0</v>
      </c>
      <c r="DC10" s="163">
        <v>0</v>
      </c>
      <c r="DD10" s="163">
        <v>0</v>
      </c>
      <c r="DE10" s="644">
        <v>0</v>
      </c>
      <c r="DF10" s="645">
        <v>1</v>
      </c>
      <c r="DG10" s="163">
        <v>1</v>
      </c>
      <c r="DH10" s="163">
        <v>0</v>
      </c>
      <c r="DI10" s="163">
        <v>0</v>
      </c>
      <c r="DJ10" s="643">
        <v>0</v>
      </c>
      <c r="DK10" s="646">
        <v>0</v>
      </c>
      <c r="DL10" s="645">
        <v>0</v>
      </c>
      <c r="DM10" s="163">
        <v>0</v>
      </c>
      <c r="DN10" s="163">
        <v>0</v>
      </c>
      <c r="DO10" s="163">
        <v>0</v>
      </c>
      <c r="DP10" s="644">
        <v>0</v>
      </c>
      <c r="DQ10" s="645">
        <v>0</v>
      </c>
      <c r="DR10" s="163">
        <v>0</v>
      </c>
      <c r="DS10" s="163">
        <v>0</v>
      </c>
      <c r="DT10" s="163">
        <v>0</v>
      </c>
      <c r="DU10" s="643">
        <v>0</v>
      </c>
      <c r="DW10" s="646">
        <f t="shared" si="4"/>
        <v>234</v>
      </c>
      <c r="DX10" s="645">
        <f t="shared" si="0"/>
        <v>128</v>
      </c>
      <c r="DY10" s="163">
        <f t="shared" si="0"/>
        <v>121</v>
      </c>
      <c r="DZ10" s="163">
        <f t="shared" si="0"/>
        <v>0</v>
      </c>
      <c r="EA10" s="163">
        <f t="shared" si="0"/>
        <v>7</v>
      </c>
      <c r="EB10" s="644">
        <f t="shared" si="0"/>
        <v>0</v>
      </c>
      <c r="EC10" s="645">
        <f t="shared" si="0"/>
        <v>106</v>
      </c>
      <c r="ED10" s="163">
        <f t="shared" si="0"/>
        <v>73</v>
      </c>
      <c r="EE10" s="163">
        <f t="shared" si="0"/>
        <v>0</v>
      </c>
      <c r="EF10" s="163">
        <f t="shared" si="0"/>
        <v>22</v>
      </c>
      <c r="EG10" s="643">
        <f t="shared" si="0"/>
        <v>11</v>
      </c>
      <c r="EH10" s="646">
        <f t="shared" si="5"/>
        <v>56</v>
      </c>
      <c r="EI10" s="645">
        <f t="shared" si="1"/>
        <v>30</v>
      </c>
      <c r="EJ10" s="163">
        <f t="shared" si="1"/>
        <v>28</v>
      </c>
      <c r="EK10" s="163">
        <f t="shared" si="1"/>
        <v>0</v>
      </c>
      <c r="EL10" s="163">
        <f t="shared" si="1"/>
        <v>2</v>
      </c>
      <c r="EM10" s="644">
        <f t="shared" si="1"/>
        <v>0</v>
      </c>
      <c r="EN10" s="645">
        <f t="shared" si="1"/>
        <v>26</v>
      </c>
      <c r="EO10" s="163">
        <f t="shared" si="1"/>
        <v>17</v>
      </c>
      <c r="EP10" s="163">
        <f t="shared" si="1"/>
        <v>0</v>
      </c>
      <c r="EQ10" s="163">
        <f t="shared" si="1"/>
        <v>7</v>
      </c>
      <c r="ER10" s="643">
        <f t="shared" si="1"/>
        <v>2</v>
      </c>
    </row>
    <row r="11" spans="2:151">
      <c r="B11" s="354" t="s">
        <v>230</v>
      </c>
      <c r="C11" s="330">
        <v>2018</v>
      </c>
      <c r="D11" s="626">
        <v>218772</v>
      </c>
      <c r="E11" s="646">
        <v>5178</v>
      </c>
      <c r="F11" s="645">
        <v>2526</v>
      </c>
      <c r="G11" s="163">
        <v>2275</v>
      </c>
      <c r="H11" s="163">
        <v>0</v>
      </c>
      <c r="I11" s="163">
        <v>251</v>
      </c>
      <c r="J11" s="644">
        <v>0</v>
      </c>
      <c r="K11" s="645">
        <v>2652</v>
      </c>
      <c r="L11" s="163">
        <v>1603</v>
      </c>
      <c r="M11" s="163">
        <v>0</v>
      </c>
      <c r="N11" s="163">
        <v>844</v>
      </c>
      <c r="O11" s="643">
        <v>205</v>
      </c>
      <c r="P11" s="646">
        <f t="shared" si="2"/>
        <v>9</v>
      </c>
      <c r="Q11" s="645">
        <v>4</v>
      </c>
      <c r="R11" s="163">
        <v>4</v>
      </c>
      <c r="S11" s="163">
        <v>0</v>
      </c>
      <c r="T11" s="163">
        <v>0</v>
      </c>
      <c r="U11" s="644">
        <v>0</v>
      </c>
      <c r="V11" s="645">
        <v>5</v>
      </c>
      <c r="W11" s="163">
        <v>3</v>
      </c>
      <c r="X11" s="163">
        <v>0</v>
      </c>
      <c r="Y11" s="163">
        <v>2</v>
      </c>
      <c r="Z11" s="643">
        <v>0</v>
      </c>
      <c r="AA11" s="646">
        <f t="shared" si="3"/>
        <v>7</v>
      </c>
      <c r="AB11" s="645">
        <v>3</v>
      </c>
      <c r="AC11" s="163">
        <v>3</v>
      </c>
      <c r="AD11" s="163">
        <v>0</v>
      </c>
      <c r="AE11" s="163">
        <v>0</v>
      </c>
      <c r="AF11" s="644">
        <v>0</v>
      </c>
      <c r="AG11" s="645">
        <v>4</v>
      </c>
      <c r="AH11" s="163">
        <v>3</v>
      </c>
      <c r="AI11" s="163">
        <v>0</v>
      </c>
      <c r="AJ11" s="163">
        <v>0</v>
      </c>
      <c r="AK11" s="643">
        <v>1</v>
      </c>
      <c r="AL11" s="646">
        <v>42</v>
      </c>
      <c r="AM11" s="645">
        <v>24</v>
      </c>
      <c r="AN11" s="163">
        <v>22</v>
      </c>
      <c r="AO11" s="163">
        <v>0</v>
      </c>
      <c r="AP11" s="163">
        <v>2</v>
      </c>
      <c r="AQ11" s="644">
        <v>0</v>
      </c>
      <c r="AR11" s="645">
        <v>18</v>
      </c>
      <c r="AS11" s="163">
        <v>10</v>
      </c>
      <c r="AT11" s="163">
        <v>0</v>
      </c>
      <c r="AU11" s="163">
        <v>7</v>
      </c>
      <c r="AV11" s="643">
        <v>1</v>
      </c>
      <c r="AW11" s="646">
        <v>23</v>
      </c>
      <c r="AX11" s="645">
        <v>11</v>
      </c>
      <c r="AY11" s="163">
        <v>9</v>
      </c>
      <c r="AZ11" s="163">
        <v>0</v>
      </c>
      <c r="BA11" s="163">
        <v>2</v>
      </c>
      <c r="BB11" s="644">
        <v>0</v>
      </c>
      <c r="BC11" s="645">
        <v>12</v>
      </c>
      <c r="BD11" s="163">
        <v>6</v>
      </c>
      <c r="BE11" s="163">
        <v>0</v>
      </c>
      <c r="BF11" s="163">
        <v>5</v>
      </c>
      <c r="BG11" s="643">
        <v>1</v>
      </c>
      <c r="BH11" s="646">
        <v>41</v>
      </c>
      <c r="BI11" s="645">
        <v>19</v>
      </c>
      <c r="BJ11" s="163">
        <v>18</v>
      </c>
      <c r="BK11" s="163">
        <v>0</v>
      </c>
      <c r="BL11" s="163">
        <v>1</v>
      </c>
      <c r="BM11" s="644">
        <v>0</v>
      </c>
      <c r="BN11" s="645">
        <v>22</v>
      </c>
      <c r="BO11" s="163">
        <v>9</v>
      </c>
      <c r="BP11" s="163">
        <v>0</v>
      </c>
      <c r="BQ11" s="163">
        <v>11</v>
      </c>
      <c r="BR11" s="643">
        <v>2</v>
      </c>
      <c r="BS11" s="646">
        <v>49</v>
      </c>
      <c r="BT11" s="645">
        <v>18</v>
      </c>
      <c r="BU11" s="163">
        <v>15</v>
      </c>
      <c r="BV11" s="163">
        <v>0</v>
      </c>
      <c r="BW11" s="163">
        <v>3</v>
      </c>
      <c r="BX11" s="644">
        <v>0</v>
      </c>
      <c r="BY11" s="645">
        <v>31</v>
      </c>
      <c r="BZ11" s="163">
        <v>14</v>
      </c>
      <c r="CA11" s="163">
        <v>0</v>
      </c>
      <c r="CB11" s="163">
        <v>14</v>
      </c>
      <c r="CC11" s="643">
        <v>3</v>
      </c>
      <c r="CD11" s="646">
        <v>12</v>
      </c>
      <c r="CE11" s="645">
        <v>7</v>
      </c>
      <c r="CF11" s="163">
        <v>6</v>
      </c>
      <c r="CG11" s="163">
        <v>0</v>
      </c>
      <c r="CH11" s="163">
        <v>1</v>
      </c>
      <c r="CI11" s="644">
        <v>0</v>
      </c>
      <c r="CJ11" s="645">
        <v>5</v>
      </c>
      <c r="CK11" s="163">
        <v>1</v>
      </c>
      <c r="CL11" s="163">
        <v>0</v>
      </c>
      <c r="CM11" s="163">
        <v>4</v>
      </c>
      <c r="CN11" s="643">
        <v>0</v>
      </c>
      <c r="CO11" s="646">
        <v>12</v>
      </c>
      <c r="CP11" s="645">
        <v>4</v>
      </c>
      <c r="CQ11" s="163">
        <v>4</v>
      </c>
      <c r="CR11" s="163">
        <v>0</v>
      </c>
      <c r="CS11" s="163">
        <v>0</v>
      </c>
      <c r="CT11" s="644">
        <v>0</v>
      </c>
      <c r="CU11" s="645">
        <v>8</v>
      </c>
      <c r="CV11" s="163">
        <v>1</v>
      </c>
      <c r="CW11" s="163">
        <v>0</v>
      </c>
      <c r="CX11" s="163">
        <v>7</v>
      </c>
      <c r="CY11" s="643">
        <v>0</v>
      </c>
      <c r="CZ11" s="646">
        <v>3</v>
      </c>
      <c r="DA11" s="645">
        <v>1</v>
      </c>
      <c r="DB11" s="163">
        <v>0</v>
      </c>
      <c r="DC11" s="163">
        <v>0</v>
      </c>
      <c r="DD11" s="163">
        <v>1</v>
      </c>
      <c r="DE11" s="644">
        <v>0</v>
      </c>
      <c r="DF11" s="645">
        <v>2</v>
      </c>
      <c r="DG11" s="163">
        <v>1</v>
      </c>
      <c r="DH11" s="163">
        <v>0</v>
      </c>
      <c r="DI11" s="163">
        <v>1</v>
      </c>
      <c r="DJ11" s="643">
        <v>0</v>
      </c>
      <c r="DK11" s="646">
        <v>0</v>
      </c>
      <c r="DL11" s="645">
        <v>0</v>
      </c>
      <c r="DM11" s="163">
        <v>0</v>
      </c>
      <c r="DN11" s="163">
        <v>0</v>
      </c>
      <c r="DO11" s="163">
        <v>0</v>
      </c>
      <c r="DP11" s="644">
        <v>0</v>
      </c>
      <c r="DQ11" s="645">
        <v>0</v>
      </c>
      <c r="DR11" s="163">
        <v>0</v>
      </c>
      <c r="DS11" s="163">
        <v>0</v>
      </c>
      <c r="DT11" s="163">
        <v>0</v>
      </c>
      <c r="DU11" s="643">
        <v>0</v>
      </c>
      <c r="DW11" s="646">
        <f t="shared" si="4"/>
        <v>156</v>
      </c>
      <c r="DX11" s="645">
        <f t="shared" si="0"/>
        <v>67</v>
      </c>
      <c r="DY11" s="163">
        <f t="shared" si="0"/>
        <v>59</v>
      </c>
      <c r="DZ11" s="163">
        <f t="shared" si="0"/>
        <v>0</v>
      </c>
      <c r="EA11" s="163">
        <f t="shared" si="0"/>
        <v>8</v>
      </c>
      <c r="EB11" s="644">
        <f t="shared" si="0"/>
        <v>0</v>
      </c>
      <c r="EC11" s="645">
        <f t="shared" si="0"/>
        <v>89</v>
      </c>
      <c r="ED11" s="163">
        <f t="shared" si="0"/>
        <v>38</v>
      </c>
      <c r="EE11" s="163">
        <f t="shared" si="0"/>
        <v>0</v>
      </c>
      <c r="EF11" s="163">
        <f t="shared" si="0"/>
        <v>44</v>
      </c>
      <c r="EG11" s="643">
        <f t="shared" si="0"/>
        <v>7</v>
      </c>
      <c r="EH11" s="646">
        <f t="shared" si="5"/>
        <v>42</v>
      </c>
      <c r="EI11" s="645">
        <f t="shared" si="1"/>
        <v>24</v>
      </c>
      <c r="EJ11" s="163">
        <f t="shared" si="1"/>
        <v>22</v>
      </c>
      <c r="EK11" s="163">
        <f t="shared" si="1"/>
        <v>0</v>
      </c>
      <c r="EL11" s="163">
        <f t="shared" si="1"/>
        <v>2</v>
      </c>
      <c r="EM11" s="644">
        <f t="shared" si="1"/>
        <v>0</v>
      </c>
      <c r="EN11" s="645">
        <f t="shared" si="1"/>
        <v>18</v>
      </c>
      <c r="EO11" s="163">
        <f t="shared" si="1"/>
        <v>10</v>
      </c>
      <c r="EP11" s="163">
        <f t="shared" si="1"/>
        <v>0</v>
      </c>
      <c r="EQ11" s="163">
        <f t="shared" si="1"/>
        <v>7</v>
      </c>
      <c r="ER11" s="643">
        <f t="shared" si="1"/>
        <v>1</v>
      </c>
    </row>
    <row r="12" spans="2:151">
      <c r="B12" s="354" t="s">
        <v>231</v>
      </c>
      <c r="C12" s="330">
        <v>2018</v>
      </c>
      <c r="D12" s="626">
        <v>174523</v>
      </c>
      <c r="E12" s="646">
        <v>1886</v>
      </c>
      <c r="F12" s="645">
        <v>1145</v>
      </c>
      <c r="G12" s="163">
        <v>981</v>
      </c>
      <c r="H12" s="163">
        <v>0</v>
      </c>
      <c r="I12" s="163">
        <v>164</v>
      </c>
      <c r="J12" s="644">
        <v>0</v>
      </c>
      <c r="K12" s="645">
        <v>741</v>
      </c>
      <c r="L12" s="163">
        <v>446</v>
      </c>
      <c r="M12" s="163">
        <v>0</v>
      </c>
      <c r="N12" s="163">
        <v>242</v>
      </c>
      <c r="O12" s="643">
        <v>53</v>
      </c>
      <c r="P12" s="646">
        <f t="shared" si="2"/>
        <v>4</v>
      </c>
      <c r="Q12" s="645">
        <v>2</v>
      </c>
      <c r="R12" s="163">
        <v>2</v>
      </c>
      <c r="S12" s="163">
        <v>0</v>
      </c>
      <c r="T12" s="163">
        <v>0</v>
      </c>
      <c r="U12" s="644">
        <v>0</v>
      </c>
      <c r="V12" s="645">
        <v>2</v>
      </c>
      <c r="W12" s="163">
        <v>1</v>
      </c>
      <c r="X12" s="163">
        <v>0</v>
      </c>
      <c r="Y12" s="163">
        <v>1</v>
      </c>
      <c r="Z12" s="643">
        <v>0</v>
      </c>
      <c r="AA12" s="646">
        <f t="shared" si="3"/>
        <v>3</v>
      </c>
      <c r="AB12" s="645">
        <v>1</v>
      </c>
      <c r="AC12" s="163">
        <v>1</v>
      </c>
      <c r="AD12" s="163">
        <v>0</v>
      </c>
      <c r="AE12" s="163">
        <v>0</v>
      </c>
      <c r="AF12" s="644">
        <v>0</v>
      </c>
      <c r="AG12" s="645">
        <v>2</v>
      </c>
      <c r="AH12" s="163">
        <v>1</v>
      </c>
      <c r="AI12" s="163">
        <v>0</v>
      </c>
      <c r="AJ12" s="163">
        <v>0</v>
      </c>
      <c r="AK12" s="643">
        <v>1</v>
      </c>
      <c r="AL12" s="646">
        <v>15</v>
      </c>
      <c r="AM12" s="645">
        <v>10</v>
      </c>
      <c r="AN12" s="163">
        <v>9</v>
      </c>
      <c r="AO12" s="163">
        <v>0</v>
      </c>
      <c r="AP12" s="163">
        <v>1</v>
      </c>
      <c r="AQ12" s="644">
        <v>0</v>
      </c>
      <c r="AR12" s="645">
        <v>5</v>
      </c>
      <c r="AS12" s="163">
        <v>0</v>
      </c>
      <c r="AT12" s="163">
        <v>0</v>
      </c>
      <c r="AU12" s="163">
        <v>5</v>
      </c>
      <c r="AV12" s="643">
        <v>0</v>
      </c>
      <c r="AW12" s="646">
        <v>10</v>
      </c>
      <c r="AX12" s="645">
        <v>7</v>
      </c>
      <c r="AY12" s="163">
        <v>7</v>
      </c>
      <c r="AZ12" s="163">
        <v>0</v>
      </c>
      <c r="BA12" s="163">
        <v>0</v>
      </c>
      <c r="BB12" s="644">
        <v>0</v>
      </c>
      <c r="BC12" s="645">
        <v>3</v>
      </c>
      <c r="BD12" s="163">
        <v>2</v>
      </c>
      <c r="BE12" s="163">
        <v>0</v>
      </c>
      <c r="BF12" s="163">
        <v>1</v>
      </c>
      <c r="BG12" s="643">
        <v>0</v>
      </c>
      <c r="BH12" s="646">
        <v>18</v>
      </c>
      <c r="BI12" s="645">
        <v>12</v>
      </c>
      <c r="BJ12" s="163">
        <v>9</v>
      </c>
      <c r="BK12" s="163">
        <v>0</v>
      </c>
      <c r="BL12" s="163">
        <v>3</v>
      </c>
      <c r="BM12" s="644">
        <v>0</v>
      </c>
      <c r="BN12" s="645">
        <v>6</v>
      </c>
      <c r="BO12" s="163">
        <v>4</v>
      </c>
      <c r="BP12" s="163">
        <v>0</v>
      </c>
      <c r="BQ12" s="163">
        <v>2</v>
      </c>
      <c r="BR12" s="643">
        <v>0</v>
      </c>
      <c r="BS12" s="646">
        <v>19</v>
      </c>
      <c r="BT12" s="645">
        <v>12</v>
      </c>
      <c r="BU12" s="163">
        <v>10</v>
      </c>
      <c r="BV12" s="163">
        <v>0</v>
      </c>
      <c r="BW12" s="163">
        <v>2</v>
      </c>
      <c r="BX12" s="644">
        <v>0</v>
      </c>
      <c r="BY12" s="645">
        <v>7</v>
      </c>
      <c r="BZ12" s="163">
        <v>5</v>
      </c>
      <c r="CA12" s="163">
        <v>0</v>
      </c>
      <c r="CB12" s="163">
        <v>1</v>
      </c>
      <c r="CC12" s="643">
        <v>1</v>
      </c>
      <c r="CD12" s="646">
        <v>4</v>
      </c>
      <c r="CE12" s="645">
        <v>4</v>
      </c>
      <c r="CF12" s="163">
        <v>3</v>
      </c>
      <c r="CG12" s="163">
        <v>0</v>
      </c>
      <c r="CH12" s="163">
        <v>1</v>
      </c>
      <c r="CI12" s="644">
        <v>0</v>
      </c>
      <c r="CJ12" s="645">
        <v>0</v>
      </c>
      <c r="CK12" s="163">
        <v>0</v>
      </c>
      <c r="CL12" s="163">
        <v>0</v>
      </c>
      <c r="CM12" s="163">
        <v>0</v>
      </c>
      <c r="CN12" s="643">
        <v>0</v>
      </c>
      <c r="CO12" s="646">
        <v>3</v>
      </c>
      <c r="CP12" s="645">
        <v>2</v>
      </c>
      <c r="CQ12" s="163">
        <v>2</v>
      </c>
      <c r="CR12" s="163">
        <v>0</v>
      </c>
      <c r="CS12" s="163">
        <v>0</v>
      </c>
      <c r="CT12" s="644">
        <v>0</v>
      </c>
      <c r="CU12" s="645">
        <v>1</v>
      </c>
      <c r="CV12" s="163">
        <v>1</v>
      </c>
      <c r="CW12" s="163">
        <v>0</v>
      </c>
      <c r="CX12" s="163">
        <v>0</v>
      </c>
      <c r="CY12" s="643">
        <v>0</v>
      </c>
      <c r="CZ12" s="646">
        <v>1</v>
      </c>
      <c r="DA12" s="645">
        <v>0</v>
      </c>
      <c r="DB12" s="163">
        <v>0</v>
      </c>
      <c r="DC12" s="163">
        <v>0</v>
      </c>
      <c r="DD12" s="163">
        <v>0</v>
      </c>
      <c r="DE12" s="644">
        <v>0</v>
      </c>
      <c r="DF12" s="645">
        <v>1</v>
      </c>
      <c r="DG12" s="163">
        <v>1</v>
      </c>
      <c r="DH12" s="163">
        <v>0</v>
      </c>
      <c r="DI12" s="163">
        <v>0</v>
      </c>
      <c r="DJ12" s="643">
        <v>0</v>
      </c>
      <c r="DK12" s="646">
        <v>0</v>
      </c>
      <c r="DL12" s="645">
        <v>0</v>
      </c>
      <c r="DM12" s="163">
        <v>0</v>
      </c>
      <c r="DN12" s="163">
        <v>0</v>
      </c>
      <c r="DO12" s="163">
        <v>0</v>
      </c>
      <c r="DP12" s="644">
        <v>0</v>
      </c>
      <c r="DQ12" s="645">
        <v>0</v>
      </c>
      <c r="DR12" s="163">
        <v>0</v>
      </c>
      <c r="DS12" s="163">
        <v>0</v>
      </c>
      <c r="DT12" s="163">
        <v>0</v>
      </c>
      <c r="DU12" s="643">
        <v>0</v>
      </c>
      <c r="DW12" s="646">
        <f t="shared" si="4"/>
        <v>62</v>
      </c>
      <c r="DX12" s="645">
        <f t="shared" si="0"/>
        <v>40</v>
      </c>
      <c r="DY12" s="163">
        <f t="shared" si="0"/>
        <v>34</v>
      </c>
      <c r="DZ12" s="163">
        <f t="shared" si="0"/>
        <v>0</v>
      </c>
      <c r="EA12" s="163">
        <f t="shared" si="0"/>
        <v>6</v>
      </c>
      <c r="EB12" s="644">
        <f t="shared" si="0"/>
        <v>0</v>
      </c>
      <c r="EC12" s="645">
        <f t="shared" si="0"/>
        <v>22</v>
      </c>
      <c r="ED12" s="163">
        <f t="shared" si="0"/>
        <v>15</v>
      </c>
      <c r="EE12" s="163">
        <f t="shared" si="0"/>
        <v>0</v>
      </c>
      <c r="EF12" s="163">
        <f t="shared" si="0"/>
        <v>5</v>
      </c>
      <c r="EG12" s="643">
        <f t="shared" si="0"/>
        <v>2</v>
      </c>
      <c r="EH12" s="646">
        <f t="shared" si="5"/>
        <v>15</v>
      </c>
      <c r="EI12" s="645">
        <f t="shared" si="1"/>
        <v>10</v>
      </c>
      <c r="EJ12" s="163">
        <f t="shared" si="1"/>
        <v>9</v>
      </c>
      <c r="EK12" s="163">
        <f t="shared" si="1"/>
        <v>0</v>
      </c>
      <c r="EL12" s="163">
        <f t="shared" si="1"/>
        <v>1</v>
      </c>
      <c r="EM12" s="644">
        <f t="shared" si="1"/>
        <v>0</v>
      </c>
      <c r="EN12" s="645">
        <f t="shared" si="1"/>
        <v>5</v>
      </c>
      <c r="EO12" s="163">
        <f t="shared" si="1"/>
        <v>0</v>
      </c>
      <c r="EP12" s="163">
        <f t="shared" si="1"/>
        <v>0</v>
      </c>
      <c r="EQ12" s="163">
        <f t="shared" si="1"/>
        <v>5</v>
      </c>
      <c r="ER12" s="643">
        <f t="shared" si="1"/>
        <v>0</v>
      </c>
    </row>
    <row r="13" spans="2:151">
      <c r="B13" s="354" t="s">
        <v>232</v>
      </c>
      <c r="C13" s="330">
        <v>2019</v>
      </c>
      <c r="D13" s="626">
        <v>168959</v>
      </c>
      <c r="E13" s="646">
        <v>1343</v>
      </c>
      <c r="F13" s="645">
        <v>850</v>
      </c>
      <c r="G13" s="163">
        <v>565</v>
      </c>
      <c r="H13" s="163">
        <v>0</v>
      </c>
      <c r="I13" s="163">
        <v>285</v>
      </c>
      <c r="J13" s="644">
        <v>0</v>
      </c>
      <c r="K13" s="645">
        <v>493</v>
      </c>
      <c r="L13" s="163">
        <v>280</v>
      </c>
      <c r="M13" s="163">
        <v>0</v>
      </c>
      <c r="N13" s="163">
        <v>189</v>
      </c>
      <c r="O13" s="643">
        <v>24</v>
      </c>
      <c r="P13" s="646">
        <f t="shared" si="2"/>
        <v>3</v>
      </c>
      <c r="Q13" s="645">
        <v>0</v>
      </c>
      <c r="R13" s="163">
        <v>0</v>
      </c>
      <c r="S13" s="163">
        <v>0</v>
      </c>
      <c r="T13" s="163">
        <v>0</v>
      </c>
      <c r="U13" s="644">
        <v>0</v>
      </c>
      <c r="V13" s="645">
        <v>3</v>
      </c>
      <c r="W13" s="163">
        <v>2</v>
      </c>
      <c r="X13" s="163">
        <v>0</v>
      </c>
      <c r="Y13" s="163">
        <v>1</v>
      </c>
      <c r="Z13" s="643">
        <v>0</v>
      </c>
      <c r="AA13" s="646">
        <f t="shared" si="3"/>
        <v>0</v>
      </c>
      <c r="AB13" s="645">
        <v>0</v>
      </c>
      <c r="AC13" s="163">
        <v>0</v>
      </c>
      <c r="AD13" s="163">
        <v>0</v>
      </c>
      <c r="AE13" s="163">
        <v>0</v>
      </c>
      <c r="AF13" s="644">
        <v>0</v>
      </c>
      <c r="AG13" s="645">
        <v>0</v>
      </c>
      <c r="AH13" s="163">
        <v>0</v>
      </c>
      <c r="AI13" s="163">
        <v>0</v>
      </c>
      <c r="AJ13" s="163">
        <v>0</v>
      </c>
      <c r="AK13" s="643">
        <v>0</v>
      </c>
      <c r="AL13" s="646">
        <v>11</v>
      </c>
      <c r="AM13" s="645">
        <v>8</v>
      </c>
      <c r="AN13" s="163">
        <v>4</v>
      </c>
      <c r="AO13" s="163">
        <v>0</v>
      </c>
      <c r="AP13" s="163">
        <v>4</v>
      </c>
      <c r="AQ13" s="644">
        <v>0</v>
      </c>
      <c r="AR13" s="645">
        <v>3</v>
      </c>
      <c r="AS13" s="163">
        <v>0</v>
      </c>
      <c r="AT13" s="163">
        <v>0</v>
      </c>
      <c r="AU13" s="163">
        <v>3</v>
      </c>
      <c r="AV13" s="643">
        <v>0</v>
      </c>
      <c r="AW13" s="646">
        <v>4</v>
      </c>
      <c r="AX13" s="645">
        <v>2</v>
      </c>
      <c r="AY13" s="163">
        <v>2</v>
      </c>
      <c r="AZ13" s="163">
        <v>0</v>
      </c>
      <c r="BA13" s="163">
        <v>0</v>
      </c>
      <c r="BB13" s="644">
        <v>0</v>
      </c>
      <c r="BC13" s="645">
        <v>2</v>
      </c>
      <c r="BD13" s="163">
        <v>1</v>
      </c>
      <c r="BE13" s="163">
        <v>0</v>
      </c>
      <c r="BF13" s="163">
        <v>1</v>
      </c>
      <c r="BG13" s="643">
        <v>0</v>
      </c>
      <c r="BH13" s="646">
        <v>3</v>
      </c>
      <c r="BI13" s="645">
        <v>2</v>
      </c>
      <c r="BJ13" s="163">
        <v>2</v>
      </c>
      <c r="BK13" s="163">
        <v>0</v>
      </c>
      <c r="BL13" s="163">
        <v>0</v>
      </c>
      <c r="BM13" s="644">
        <v>0</v>
      </c>
      <c r="BN13" s="645">
        <v>1</v>
      </c>
      <c r="BO13" s="163">
        <v>0</v>
      </c>
      <c r="BP13" s="163">
        <v>0</v>
      </c>
      <c r="BQ13" s="163">
        <v>1</v>
      </c>
      <c r="BR13" s="643">
        <v>0</v>
      </c>
      <c r="BS13" s="646">
        <v>10</v>
      </c>
      <c r="BT13" s="645">
        <v>5</v>
      </c>
      <c r="BU13" s="163">
        <v>3</v>
      </c>
      <c r="BV13" s="163">
        <v>0</v>
      </c>
      <c r="BW13" s="163">
        <v>2</v>
      </c>
      <c r="BX13" s="644">
        <v>0</v>
      </c>
      <c r="BY13" s="645">
        <v>5</v>
      </c>
      <c r="BZ13" s="163">
        <v>1</v>
      </c>
      <c r="CA13" s="163">
        <v>0</v>
      </c>
      <c r="CB13" s="163">
        <v>4</v>
      </c>
      <c r="CC13" s="643">
        <v>0</v>
      </c>
      <c r="CD13" s="646">
        <v>0</v>
      </c>
      <c r="CE13" s="645">
        <v>0</v>
      </c>
      <c r="CF13" s="163">
        <v>0</v>
      </c>
      <c r="CG13" s="163">
        <v>0</v>
      </c>
      <c r="CH13" s="163">
        <v>0</v>
      </c>
      <c r="CI13" s="644">
        <v>0</v>
      </c>
      <c r="CJ13" s="645">
        <v>0</v>
      </c>
      <c r="CK13" s="163">
        <v>0</v>
      </c>
      <c r="CL13" s="163">
        <v>0</v>
      </c>
      <c r="CM13" s="163">
        <v>0</v>
      </c>
      <c r="CN13" s="643">
        <v>0</v>
      </c>
      <c r="CO13" s="646">
        <v>0</v>
      </c>
      <c r="CP13" s="645">
        <v>0</v>
      </c>
      <c r="CQ13" s="163">
        <v>0</v>
      </c>
      <c r="CR13" s="163">
        <v>0</v>
      </c>
      <c r="CS13" s="163">
        <v>0</v>
      </c>
      <c r="CT13" s="644">
        <v>0</v>
      </c>
      <c r="CU13" s="645">
        <v>0</v>
      </c>
      <c r="CV13" s="163">
        <v>0</v>
      </c>
      <c r="CW13" s="163">
        <v>0</v>
      </c>
      <c r="CX13" s="163">
        <v>0</v>
      </c>
      <c r="CY13" s="643">
        <v>0</v>
      </c>
      <c r="CZ13" s="646">
        <v>0</v>
      </c>
      <c r="DA13" s="645">
        <v>0</v>
      </c>
      <c r="DB13" s="163">
        <v>0</v>
      </c>
      <c r="DC13" s="163">
        <v>0</v>
      </c>
      <c r="DD13" s="163">
        <v>0</v>
      </c>
      <c r="DE13" s="644">
        <v>0</v>
      </c>
      <c r="DF13" s="645">
        <v>0</v>
      </c>
      <c r="DG13" s="163">
        <v>0</v>
      </c>
      <c r="DH13" s="163">
        <v>0</v>
      </c>
      <c r="DI13" s="163">
        <v>0</v>
      </c>
      <c r="DJ13" s="643">
        <v>0</v>
      </c>
      <c r="DK13" s="646">
        <v>0</v>
      </c>
      <c r="DL13" s="645">
        <v>0</v>
      </c>
      <c r="DM13" s="163">
        <v>0</v>
      </c>
      <c r="DN13" s="163">
        <v>0</v>
      </c>
      <c r="DO13" s="163">
        <v>0</v>
      </c>
      <c r="DP13" s="644">
        <v>0</v>
      </c>
      <c r="DQ13" s="645">
        <v>0</v>
      </c>
      <c r="DR13" s="163">
        <v>0</v>
      </c>
      <c r="DS13" s="163">
        <v>0</v>
      </c>
      <c r="DT13" s="163">
        <v>0</v>
      </c>
      <c r="DU13" s="643">
        <v>0</v>
      </c>
      <c r="DW13" s="646">
        <f t="shared" si="4"/>
        <v>20</v>
      </c>
      <c r="DX13" s="645">
        <f t="shared" si="0"/>
        <v>9</v>
      </c>
      <c r="DY13" s="163">
        <f t="shared" si="0"/>
        <v>7</v>
      </c>
      <c r="DZ13" s="163">
        <f t="shared" si="0"/>
        <v>0</v>
      </c>
      <c r="EA13" s="163">
        <f t="shared" si="0"/>
        <v>2</v>
      </c>
      <c r="EB13" s="644">
        <f t="shared" si="0"/>
        <v>0</v>
      </c>
      <c r="EC13" s="645">
        <f t="shared" si="0"/>
        <v>11</v>
      </c>
      <c r="ED13" s="163">
        <f t="shared" si="0"/>
        <v>4</v>
      </c>
      <c r="EE13" s="163">
        <f t="shared" si="0"/>
        <v>0</v>
      </c>
      <c r="EF13" s="163">
        <f t="shared" si="0"/>
        <v>7</v>
      </c>
      <c r="EG13" s="643">
        <f t="shared" si="0"/>
        <v>0</v>
      </c>
      <c r="EH13" s="646">
        <f t="shared" si="5"/>
        <v>11</v>
      </c>
      <c r="EI13" s="645">
        <f t="shared" si="1"/>
        <v>8</v>
      </c>
      <c r="EJ13" s="163">
        <f t="shared" si="1"/>
        <v>4</v>
      </c>
      <c r="EK13" s="163">
        <f t="shared" si="1"/>
        <v>0</v>
      </c>
      <c r="EL13" s="163">
        <f t="shared" si="1"/>
        <v>4</v>
      </c>
      <c r="EM13" s="644">
        <f t="shared" si="1"/>
        <v>0</v>
      </c>
      <c r="EN13" s="645">
        <f t="shared" si="1"/>
        <v>3</v>
      </c>
      <c r="EO13" s="163">
        <f t="shared" si="1"/>
        <v>0</v>
      </c>
      <c r="EP13" s="163">
        <f t="shared" si="1"/>
        <v>0</v>
      </c>
      <c r="EQ13" s="163">
        <f t="shared" si="1"/>
        <v>3</v>
      </c>
      <c r="ER13" s="643">
        <f t="shared" si="1"/>
        <v>0</v>
      </c>
    </row>
    <row r="14" spans="2:151">
      <c r="B14" s="354" t="s">
        <v>233</v>
      </c>
      <c r="C14" s="330">
        <v>2019</v>
      </c>
      <c r="D14" s="626">
        <v>222792</v>
      </c>
      <c r="E14" s="646">
        <v>2875</v>
      </c>
      <c r="F14" s="645">
        <v>1992</v>
      </c>
      <c r="G14" s="163">
        <v>1656</v>
      </c>
      <c r="H14" s="163">
        <v>0</v>
      </c>
      <c r="I14" s="163">
        <v>336</v>
      </c>
      <c r="J14" s="644">
        <v>0</v>
      </c>
      <c r="K14" s="645">
        <v>883</v>
      </c>
      <c r="L14" s="163">
        <v>497</v>
      </c>
      <c r="M14" s="163">
        <v>0</v>
      </c>
      <c r="N14" s="163">
        <v>349</v>
      </c>
      <c r="O14" s="643">
        <v>37</v>
      </c>
      <c r="P14" s="646">
        <f t="shared" si="2"/>
        <v>5</v>
      </c>
      <c r="Q14" s="645">
        <v>1</v>
      </c>
      <c r="R14" s="163">
        <v>1</v>
      </c>
      <c r="S14" s="163">
        <v>0</v>
      </c>
      <c r="T14" s="163">
        <v>0</v>
      </c>
      <c r="U14" s="644">
        <v>0</v>
      </c>
      <c r="V14" s="645">
        <v>4</v>
      </c>
      <c r="W14" s="163">
        <v>2</v>
      </c>
      <c r="X14" s="163">
        <v>0</v>
      </c>
      <c r="Y14" s="163">
        <v>1</v>
      </c>
      <c r="Z14" s="643">
        <v>1</v>
      </c>
      <c r="AA14" s="646">
        <f t="shared" si="3"/>
        <v>2</v>
      </c>
      <c r="AB14" s="645">
        <v>2</v>
      </c>
      <c r="AC14" s="163">
        <v>0</v>
      </c>
      <c r="AD14" s="163">
        <v>0</v>
      </c>
      <c r="AE14" s="163">
        <v>2</v>
      </c>
      <c r="AF14" s="644">
        <v>0</v>
      </c>
      <c r="AG14" s="645">
        <v>0</v>
      </c>
      <c r="AH14" s="163">
        <v>0</v>
      </c>
      <c r="AI14" s="163">
        <v>0</v>
      </c>
      <c r="AJ14" s="163">
        <v>0</v>
      </c>
      <c r="AK14" s="643">
        <v>0</v>
      </c>
      <c r="AL14" s="646">
        <v>21</v>
      </c>
      <c r="AM14" s="645">
        <v>17</v>
      </c>
      <c r="AN14" s="163">
        <v>13</v>
      </c>
      <c r="AO14" s="163">
        <v>0</v>
      </c>
      <c r="AP14" s="163">
        <v>4</v>
      </c>
      <c r="AQ14" s="644">
        <v>0</v>
      </c>
      <c r="AR14" s="645">
        <v>4</v>
      </c>
      <c r="AS14" s="163">
        <v>2</v>
      </c>
      <c r="AT14" s="163">
        <v>0</v>
      </c>
      <c r="AU14" s="163">
        <v>2</v>
      </c>
      <c r="AV14" s="643">
        <v>0</v>
      </c>
      <c r="AW14" s="646">
        <v>16</v>
      </c>
      <c r="AX14" s="645">
        <v>9</v>
      </c>
      <c r="AY14" s="163">
        <v>8</v>
      </c>
      <c r="AZ14" s="163">
        <v>0</v>
      </c>
      <c r="BA14" s="163">
        <v>1</v>
      </c>
      <c r="BB14" s="644">
        <v>0</v>
      </c>
      <c r="BC14" s="645">
        <v>7</v>
      </c>
      <c r="BD14" s="163">
        <v>4</v>
      </c>
      <c r="BE14" s="163">
        <v>0</v>
      </c>
      <c r="BF14" s="163">
        <v>3</v>
      </c>
      <c r="BG14" s="643">
        <v>0</v>
      </c>
      <c r="BH14" s="646">
        <v>14</v>
      </c>
      <c r="BI14" s="645">
        <v>9</v>
      </c>
      <c r="BJ14" s="163">
        <v>9</v>
      </c>
      <c r="BK14" s="163">
        <v>0</v>
      </c>
      <c r="BL14" s="163">
        <v>0</v>
      </c>
      <c r="BM14" s="644">
        <v>0</v>
      </c>
      <c r="BN14" s="645">
        <v>5</v>
      </c>
      <c r="BO14" s="163">
        <v>3</v>
      </c>
      <c r="BP14" s="163">
        <v>0</v>
      </c>
      <c r="BQ14" s="163">
        <v>2</v>
      </c>
      <c r="BR14" s="643">
        <v>0</v>
      </c>
      <c r="BS14" s="646">
        <v>22</v>
      </c>
      <c r="BT14" s="645">
        <v>18</v>
      </c>
      <c r="BU14" s="163">
        <v>9</v>
      </c>
      <c r="BV14" s="163">
        <v>0</v>
      </c>
      <c r="BW14" s="163">
        <v>9</v>
      </c>
      <c r="BX14" s="644">
        <v>0</v>
      </c>
      <c r="BY14" s="645">
        <v>4</v>
      </c>
      <c r="BZ14" s="163">
        <v>2</v>
      </c>
      <c r="CA14" s="163">
        <v>0</v>
      </c>
      <c r="CB14" s="163">
        <v>2</v>
      </c>
      <c r="CC14" s="643">
        <v>0</v>
      </c>
      <c r="CD14" s="646">
        <v>5</v>
      </c>
      <c r="CE14" s="645">
        <v>3</v>
      </c>
      <c r="CF14" s="163">
        <v>2</v>
      </c>
      <c r="CG14" s="163">
        <v>0</v>
      </c>
      <c r="CH14" s="163">
        <v>1</v>
      </c>
      <c r="CI14" s="644">
        <v>0</v>
      </c>
      <c r="CJ14" s="645">
        <v>2</v>
      </c>
      <c r="CK14" s="163">
        <v>1</v>
      </c>
      <c r="CL14" s="163">
        <v>0</v>
      </c>
      <c r="CM14" s="163">
        <v>1</v>
      </c>
      <c r="CN14" s="643">
        <v>0</v>
      </c>
      <c r="CO14" s="646">
        <v>6</v>
      </c>
      <c r="CP14" s="645">
        <v>5</v>
      </c>
      <c r="CQ14" s="163">
        <v>4</v>
      </c>
      <c r="CR14" s="163">
        <v>0</v>
      </c>
      <c r="CS14" s="163">
        <v>1</v>
      </c>
      <c r="CT14" s="644">
        <v>0</v>
      </c>
      <c r="CU14" s="645">
        <v>1</v>
      </c>
      <c r="CV14" s="163">
        <v>1</v>
      </c>
      <c r="CW14" s="163">
        <v>0</v>
      </c>
      <c r="CX14" s="163">
        <v>0</v>
      </c>
      <c r="CY14" s="643">
        <v>0</v>
      </c>
      <c r="CZ14" s="646">
        <v>0</v>
      </c>
      <c r="DA14" s="645">
        <v>0</v>
      </c>
      <c r="DB14" s="163">
        <v>0</v>
      </c>
      <c r="DC14" s="163">
        <v>0</v>
      </c>
      <c r="DD14" s="163">
        <v>0</v>
      </c>
      <c r="DE14" s="644">
        <v>0</v>
      </c>
      <c r="DF14" s="645">
        <v>0</v>
      </c>
      <c r="DG14" s="163">
        <v>0</v>
      </c>
      <c r="DH14" s="163">
        <v>0</v>
      </c>
      <c r="DI14" s="163">
        <v>0</v>
      </c>
      <c r="DJ14" s="643">
        <v>0</v>
      </c>
      <c r="DK14" s="646">
        <v>0</v>
      </c>
      <c r="DL14" s="645">
        <v>0</v>
      </c>
      <c r="DM14" s="163">
        <v>0</v>
      </c>
      <c r="DN14" s="163">
        <v>0</v>
      </c>
      <c r="DO14" s="163">
        <v>0</v>
      </c>
      <c r="DP14" s="644">
        <v>0</v>
      </c>
      <c r="DQ14" s="645">
        <v>0</v>
      </c>
      <c r="DR14" s="163">
        <v>0</v>
      </c>
      <c r="DS14" s="163">
        <v>0</v>
      </c>
      <c r="DT14" s="163">
        <v>0</v>
      </c>
      <c r="DU14" s="643">
        <v>0</v>
      </c>
      <c r="DW14" s="646">
        <f t="shared" si="4"/>
        <v>70</v>
      </c>
      <c r="DX14" s="645">
        <f t="shared" si="0"/>
        <v>47</v>
      </c>
      <c r="DY14" s="163">
        <f t="shared" si="0"/>
        <v>33</v>
      </c>
      <c r="DZ14" s="163">
        <f t="shared" si="0"/>
        <v>0</v>
      </c>
      <c r="EA14" s="163">
        <f t="shared" si="0"/>
        <v>14</v>
      </c>
      <c r="EB14" s="644">
        <f t="shared" si="0"/>
        <v>0</v>
      </c>
      <c r="EC14" s="645">
        <f t="shared" si="0"/>
        <v>23</v>
      </c>
      <c r="ED14" s="163">
        <f t="shared" si="0"/>
        <v>13</v>
      </c>
      <c r="EE14" s="163">
        <f t="shared" si="0"/>
        <v>0</v>
      </c>
      <c r="EF14" s="163">
        <f t="shared" si="0"/>
        <v>9</v>
      </c>
      <c r="EG14" s="643">
        <f t="shared" si="0"/>
        <v>1</v>
      </c>
      <c r="EH14" s="646">
        <f t="shared" si="5"/>
        <v>21</v>
      </c>
      <c r="EI14" s="645">
        <f t="shared" si="1"/>
        <v>17</v>
      </c>
      <c r="EJ14" s="163">
        <f t="shared" si="1"/>
        <v>13</v>
      </c>
      <c r="EK14" s="163">
        <f t="shared" si="1"/>
        <v>0</v>
      </c>
      <c r="EL14" s="163">
        <f t="shared" si="1"/>
        <v>4</v>
      </c>
      <c r="EM14" s="644">
        <f t="shared" si="1"/>
        <v>0</v>
      </c>
      <c r="EN14" s="645">
        <f t="shared" si="1"/>
        <v>4</v>
      </c>
      <c r="EO14" s="163">
        <f t="shared" si="1"/>
        <v>2</v>
      </c>
      <c r="EP14" s="163">
        <f t="shared" si="1"/>
        <v>0</v>
      </c>
      <c r="EQ14" s="163">
        <f t="shared" si="1"/>
        <v>2</v>
      </c>
      <c r="ER14" s="643">
        <f t="shared" si="1"/>
        <v>0</v>
      </c>
    </row>
    <row r="15" spans="2:151">
      <c r="B15" s="354" t="s">
        <v>234</v>
      </c>
      <c r="C15" s="330">
        <v>2019</v>
      </c>
      <c r="D15" s="626">
        <v>219590</v>
      </c>
      <c r="E15" s="646">
        <v>3149</v>
      </c>
      <c r="F15" s="645">
        <v>2181</v>
      </c>
      <c r="G15" s="163">
        <v>1844</v>
      </c>
      <c r="H15" s="163">
        <v>0</v>
      </c>
      <c r="I15" s="163">
        <v>337</v>
      </c>
      <c r="J15" s="644">
        <v>0</v>
      </c>
      <c r="K15" s="645">
        <v>968</v>
      </c>
      <c r="L15" s="163">
        <v>644</v>
      </c>
      <c r="M15" s="163">
        <v>0</v>
      </c>
      <c r="N15" s="163">
        <v>306</v>
      </c>
      <c r="O15" s="643">
        <v>18</v>
      </c>
      <c r="P15" s="646">
        <f t="shared" si="2"/>
        <v>6</v>
      </c>
      <c r="Q15" s="645">
        <v>4</v>
      </c>
      <c r="R15" s="163">
        <v>4</v>
      </c>
      <c r="S15" s="163">
        <v>0</v>
      </c>
      <c r="T15" s="163">
        <v>0</v>
      </c>
      <c r="U15" s="644">
        <v>0</v>
      </c>
      <c r="V15" s="645">
        <v>2</v>
      </c>
      <c r="W15" s="163">
        <v>2</v>
      </c>
      <c r="X15" s="163">
        <v>0</v>
      </c>
      <c r="Y15" s="163">
        <v>0</v>
      </c>
      <c r="Z15" s="643">
        <v>0</v>
      </c>
      <c r="AA15" s="646">
        <f t="shared" si="3"/>
        <v>1</v>
      </c>
      <c r="AB15" s="645">
        <v>1</v>
      </c>
      <c r="AC15" s="163">
        <v>0</v>
      </c>
      <c r="AD15" s="163">
        <v>0</v>
      </c>
      <c r="AE15" s="163">
        <v>1</v>
      </c>
      <c r="AF15" s="644">
        <v>0</v>
      </c>
      <c r="AG15" s="645">
        <v>0</v>
      </c>
      <c r="AH15" s="163">
        <v>0</v>
      </c>
      <c r="AI15" s="163">
        <v>0</v>
      </c>
      <c r="AJ15" s="163">
        <v>0</v>
      </c>
      <c r="AK15" s="643">
        <v>0</v>
      </c>
      <c r="AL15" s="646">
        <v>29</v>
      </c>
      <c r="AM15" s="645">
        <v>24</v>
      </c>
      <c r="AN15" s="163">
        <v>23</v>
      </c>
      <c r="AO15" s="163">
        <v>0</v>
      </c>
      <c r="AP15" s="163">
        <v>1</v>
      </c>
      <c r="AQ15" s="644">
        <v>0</v>
      </c>
      <c r="AR15" s="645">
        <v>5</v>
      </c>
      <c r="AS15" s="163">
        <v>3</v>
      </c>
      <c r="AT15" s="163">
        <v>0</v>
      </c>
      <c r="AU15" s="163">
        <v>2</v>
      </c>
      <c r="AV15" s="643">
        <v>0</v>
      </c>
      <c r="AW15" s="646">
        <v>17</v>
      </c>
      <c r="AX15" s="645">
        <v>13</v>
      </c>
      <c r="AY15" s="163">
        <v>10</v>
      </c>
      <c r="AZ15" s="163">
        <v>0</v>
      </c>
      <c r="BA15" s="163">
        <v>3</v>
      </c>
      <c r="BB15" s="644">
        <v>0</v>
      </c>
      <c r="BC15" s="645">
        <v>4</v>
      </c>
      <c r="BD15" s="163">
        <v>4</v>
      </c>
      <c r="BE15" s="163">
        <v>0</v>
      </c>
      <c r="BF15" s="163">
        <v>0</v>
      </c>
      <c r="BG15" s="643">
        <v>0</v>
      </c>
      <c r="BH15" s="646">
        <v>18</v>
      </c>
      <c r="BI15" s="645">
        <v>16</v>
      </c>
      <c r="BJ15" s="163">
        <v>16</v>
      </c>
      <c r="BK15" s="163">
        <v>0</v>
      </c>
      <c r="BL15" s="163">
        <v>0</v>
      </c>
      <c r="BM15" s="644">
        <v>0</v>
      </c>
      <c r="BN15" s="645">
        <v>2</v>
      </c>
      <c r="BO15" s="163">
        <v>1</v>
      </c>
      <c r="BP15" s="163">
        <v>0</v>
      </c>
      <c r="BQ15" s="163">
        <v>1</v>
      </c>
      <c r="BR15" s="643">
        <v>0</v>
      </c>
      <c r="BS15" s="646">
        <v>35</v>
      </c>
      <c r="BT15" s="645">
        <v>27</v>
      </c>
      <c r="BU15" s="163">
        <v>25</v>
      </c>
      <c r="BV15" s="163">
        <v>0</v>
      </c>
      <c r="BW15" s="163">
        <v>2</v>
      </c>
      <c r="BX15" s="644">
        <v>0</v>
      </c>
      <c r="BY15" s="645">
        <v>8</v>
      </c>
      <c r="BZ15" s="163">
        <v>6</v>
      </c>
      <c r="CA15" s="163">
        <v>0</v>
      </c>
      <c r="CB15" s="163">
        <v>2</v>
      </c>
      <c r="CC15" s="643">
        <v>0</v>
      </c>
      <c r="CD15" s="646">
        <v>3</v>
      </c>
      <c r="CE15" s="645">
        <v>1</v>
      </c>
      <c r="CF15" s="163">
        <v>1</v>
      </c>
      <c r="CG15" s="163">
        <v>0</v>
      </c>
      <c r="CH15" s="163">
        <v>0</v>
      </c>
      <c r="CI15" s="644">
        <v>0</v>
      </c>
      <c r="CJ15" s="645">
        <v>2</v>
      </c>
      <c r="CK15" s="163">
        <v>1</v>
      </c>
      <c r="CL15" s="163">
        <v>0</v>
      </c>
      <c r="CM15" s="163">
        <v>1</v>
      </c>
      <c r="CN15" s="643">
        <v>0</v>
      </c>
      <c r="CO15" s="646">
        <v>5</v>
      </c>
      <c r="CP15" s="645">
        <v>2</v>
      </c>
      <c r="CQ15" s="163">
        <v>2</v>
      </c>
      <c r="CR15" s="163">
        <v>0</v>
      </c>
      <c r="CS15" s="163">
        <v>0</v>
      </c>
      <c r="CT15" s="644">
        <v>0</v>
      </c>
      <c r="CU15" s="645">
        <v>3</v>
      </c>
      <c r="CV15" s="163">
        <v>3</v>
      </c>
      <c r="CW15" s="163">
        <v>0</v>
      </c>
      <c r="CX15" s="163">
        <v>0</v>
      </c>
      <c r="CY15" s="643">
        <v>0</v>
      </c>
      <c r="CZ15" s="646">
        <v>0</v>
      </c>
      <c r="DA15" s="645">
        <v>0</v>
      </c>
      <c r="DB15" s="163">
        <v>0</v>
      </c>
      <c r="DC15" s="163">
        <v>0</v>
      </c>
      <c r="DD15" s="163">
        <v>0</v>
      </c>
      <c r="DE15" s="644">
        <v>0</v>
      </c>
      <c r="DF15" s="645">
        <v>0</v>
      </c>
      <c r="DG15" s="163">
        <v>0</v>
      </c>
      <c r="DH15" s="163">
        <v>0</v>
      </c>
      <c r="DI15" s="163">
        <v>0</v>
      </c>
      <c r="DJ15" s="643">
        <v>0</v>
      </c>
      <c r="DK15" s="646">
        <v>0</v>
      </c>
      <c r="DL15" s="645">
        <v>0</v>
      </c>
      <c r="DM15" s="163">
        <v>0</v>
      </c>
      <c r="DN15" s="163">
        <v>0</v>
      </c>
      <c r="DO15" s="163">
        <v>0</v>
      </c>
      <c r="DP15" s="644">
        <v>0</v>
      </c>
      <c r="DQ15" s="645">
        <v>1</v>
      </c>
      <c r="DR15" s="163">
        <v>1</v>
      </c>
      <c r="DS15" s="163">
        <v>0</v>
      </c>
      <c r="DT15" s="163">
        <v>0</v>
      </c>
      <c r="DU15" s="643">
        <v>0</v>
      </c>
      <c r="DW15" s="646">
        <f t="shared" si="4"/>
        <v>85</v>
      </c>
      <c r="DX15" s="645">
        <f t="shared" si="0"/>
        <v>64</v>
      </c>
      <c r="DY15" s="163">
        <f t="shared" si="0"/>
        <v>58</v>
      </c>
      <c r="DZ15" s="163">
        <f t="shared" si="0"/>
        <v>0</v>
      </c>
      <c r="EA15" s="163">
        <f t="shared" si="0"/>
        <v>6</v>
      </c>
      <c r="EB15" s="644">
        <f t="shared" si="0"/>
        <v>0</v>
      </c>
      <c r="EC15" s="645">
        <f t="shared" si="0"/>
        <v>22</v>
      </c>
      <c r="ED15" s="163">
        <f t="shared" si="0"/>
        <v>18</v>
      </c>
      <c r="EE15" s="163">
        <f t="shared" si="0"/>
        <v>0</v>
      </c>
      <c r="EF15" s="163">
        <f t="shared" si="0"/>
        <v>4</v>
      </c>
      <c r="EG15" s="643">
        <f t="shared" si="0"/>
        <v>0</v>
      </c>
      <c r="EH15" s="646">
        <f t="shared" si="5"/>
        <v>29</v>
      </c>
      <c r="EI15" s="645">
        <f t="shared" si="1"/>
        <v>24</v>
      </c>
      <c r="EJ15" s="163">
        <f t="shared" si="1"/>
        <v>23</v>
      </c>
      <c r="EK15" s="163">
        <f t="shared" si="1"/>
        <v>0</v>
      </c>
      <c r="EL15" s="163">
        <f t="shared" si="1"/>
        <v>1</v>
      </c>
      <c r="EM15" s="644">
        <f t="shared" si="1"/>
        <v>0</v>
      </c>
      <c r="EN15" s="645">
        <f t="shared" si="1"/>
        <v>5</v>
      </c>
      <c r="EO15" s="163">
        <f t="shared" si="1"/>
        <v>3</v>
      </c>
      <c r="EP15" s="163">
        <f t="shared" si="1"/>
        <v>0</v>
      </c>
      <c r="EQ15" s="163">
        <f t="shared" si="1"/>
        <v>2</v>
      </c>
      <c r="ER15" s="643">
        <f t="shared" si="1"/>
        <v>0</v>
      </c>
    </row>
    <row r="16" spans="2:151">
      <c r="B16" s="354" t="s">
        <v>235</v>
      </c>
      <c r="C16" s="330">
        <v>2019</v>
      </c>
      <c r="D16" s="626">
        <v>184737</v>
      </c>
      <c r="E16" s="646">
        <v>2278</v>
      </c>
      <c r="F16" s="645">
        <v>1539</v>
      </c>
      <c r="G16" s="163">
        <v>1194</v>
      </c>
      <c r="H16" s="163">
        <v>0</v>
      </c>
      <c r="I16" s="163">
        <v>345</v>
      </c>
      <c r="J16" s="644">
        <v>0</v>
      </c>
      <c r="K16" s="645">
        <v>739</v>
      </c>
      <c r="L16" s="163">
        <v>442</v>
      </c>
      <c r="M16" s="163">
        <v>0</v>
      </c>
      <c r="N16" s="163">
        <v>284</v>
      </c>
      <c r="O16" s="643">
        <v>13</v>
      </c>
      <c r="P16" s="646">
        <f t="shared" si="2"/>
        <v>7</v>
      </c>
      <c r="Q16" s="645">
        <v>6</v>
      </c>
      <c r="R16" s="163">
        <v>4</v>
      </c>
      <c r="S16" s="163">
        <v>0</v>
      </c>
      <c r="T16" s="163">
        <v>2</v>
      </c>
      <c r="U16" s="644">
        <v>0</v>
      </c>
      <c r="V16" s="645">
        <v>1</v>
      </c>
      <c r="W16" s="163">
        <v>0</v>
      </c>
      <c r="X16" s="163">
        <v>0</v>
      </c>
      <c r="Y16" s="163">
        <v>1</v>
      </c>
      <c r="Z16" s="643">
        <v>0</v>
      </c>
      <c r="AA16" s="646">
        <f t="shared" si="3"/>
        <v>0</v>
      </c>
      <c r="AB16" s="645">
        <v>0</v>
      </c>
      <c r="AC16" s="163">
        <v>0</v>
      </c>
      <c r="AD16" s="163">
        <v>0</v>
      </c>
      <c r="AE16" s="163">
        <v>0</v>
      </c>
      <c r="AF16" s="644">
        <v>0</v>
      </c>
      <c r="AG16" s="645">
        <v>0</v>
      </c>
      <c r="AH16" s="163">
        <v>0</v>
      </c>
      <c r="AI16" s="163">
        <v>0</v>
      </c>
      <c r="AJ16" s="163">
        <v>0</v>
      </c>
      <c r="AK16" s="643">
        <v>0</v>
      </c>
      <c r="AL16" s="646">
        <v>29</v>
      </c>
      <c r="AM16" s="645">
        <v>21</v>
      </c>
      <c r="AN16" s="163">
        <v>18</v>
      </c>
      <c r="AO16" s="163">
        <v>0</v>
      </c>
      <c r="AP16" s="163">
        <v>3</v>
      </c>
      <c r="AQ16" s="644">
        <v>0</v>
      </c>
      <c r="AR16" s="645">
        <v>8</v>
      </c>
      <c r="AS16" s="163">
        <v>6</v>
      </c>
      <c r="AT16" s="163">
        <v>0</v>
      </c>
      <c r="AU16" s="163">
        <v>2</v>
      </c>
      <c r="AV16" s="643">
        <v>0</v>
      </c>
      <c r="AW16" s="646">
        <v>10</v>
      </c>
      <c r="AX16" s="645">
        <v>8</v>
      </c>
      <c r="AY16" s="163">
        <v>7</v>
      </c>
      <c r="AZ16" s="163">
        <v>0</v>
      </c>
      <c r="BA16" s="163">
        <v>1</v>
      </c>
      <c r="BB16" s="644">
        <v>0</v>
      </c>
      <c r="BC16" s="645">
        <v>2</v>
      </c>
      <c r="BD16" s="163">
        <v>1</v>
      </c>
      <c r="BE16" s="163">
        <v>0</v>
      </c>
      <c r="BF16" s="163">
        <v>1</v>
      </c>
      <c r="BG16" s="643">
        <v>0</v>
      </c>
      <c r="BH16" s="646">
        <v>21</v>
      </c>
      <c r="BI16" s="645">
        <v>18</v>
      </c>
      <c r="BJ16" s="163">
        <v>13</v>
      </c>
      <c r="BK16" s="163">
        <v>0</v>
      </c>
      <c r="BL16" s="163">
        <v>5</v>
      </c>
      <c r="BM16" s="644">
        <v>0</v>
      </c>
      <c r="BN16" s="645">
        <v>3</v>
      </c>
      <c r="BO16" s="163">
        <v>2</v>
      </c>
      <c r="BP16" s="163">
        <v>0</v>
      </c>
      <c r="BQ16" s="163">
        <v>1</v>
      </c>
      <c r="BR16" s="643">
        <v>0</v>
      </c>
      <c r="BS16" s="646">
        <v>32</v>
      </c>
      <c r="BT16" s="645">
        <v>25</v>
      </c>
      <c r="BU16" s="163">
        <v>12</v>
      </c>
      <c r="BV16" s="163">
        <v>0</v>
      </c>
      <c r="BW16" s="163">
        <v>13</v>
      </c>
      <c r="BX16" s="644">
        <v>0</v>
      </c>
      <c r="BY16" s="645">
        <v>7</v>
      </c>
      <c r="BZ16" s="163">
        <v>5</v>
      </c>
      <c r="CA16" s="163">
        <v>0</v>
      </c>
      <c r="CB16" s="163">
        <v>2</v>
      </c>
      <c r="CC16" s="643">
        <v>0</v>
      </c>
      <c r="CD16" s="646">
        <v>6</v>
      </c>
      <c r="CE16" s="645">
        <v>4</v>
      </c>
      <c r="CF16" s="163">
        <v>3</v>
      </c>
      <c r="CG16" s="163">
        <v>0</v>
      </c>
      <c r="CH16" s="163">
        <v>1</v>
      </c>
      <c r="CI16" s="644">
        <v>0</v>
      </c>
      <c r="CJ16" s="645">
        <v>2</v>
      </c>
      <c r="CK16" s="163">
        <v>2</v>
      </c>
      <c r="CL16" s="163">
        <v>0</v>
      </c>
      <c r="CM16" s="163">
        <v>0</v>
      </c>
      <c r="CN16" s="643">
        <v>0</v>
      </c>
      <c r="CO16" s="646">
        <v>5</v>
      </c>
      <c r="CP16" s="645">
        <v>5</v>
      </c>
      <c r="CQ16" s="163">
        <v>5</v>
      </c>
      <c r="CR16" s="163">
        <v>0</v>
      </c>
      <c r="CS16" s="163">
        <v>0</v>
      </c>
      <c r="CT16" s="644">
        <v>0</v>
      </c>
      <c r="CU16" s="645">
        <v>0</v>
      </c>
      <c r="CV16" s="163">
        <v>0</v>
      </c>
      <c r="CW16" s="163">
        <v>0</v>
      </c>
      <c r="CX16" s="163">
        <v>0</v>
      </c>
      <c r="CY16" s="643">
        <v>0</v>
      </c>
      <c r="CZ16" s="646">
        <v>0</v>
      </c>
      <c r="DA16" s="645">
        <v>0</v>
      </c>
      <c r="DB16" s="163">
        <v>0</v>
      </c>
      <c r="DC16" s="163">
        <v>0</v>
      </c>
      <c r="DD16" s="163">
        <v>0</v>
      </c>
      <c r="DE16" s="644">
        <v>0</v>
      </c>
      <c r="DF16" s="645">
        <v>0</v>
      </c>
      <c r="DG16" s="163">
        <v>0</v>
      </c>
      <c r="DH16" s="163">
        <v>0</v>
      </c>
      <c r="DI16" s="163">
        <v>0</v>
      </c>
      <c r="DJ16" s="643">
        <v>0</v>
      </c>
      <c r="DK16" s="646">
        <v>0</v>
      </c>
      <c r="DL16" s="645">
        <v>0</v>
      </c>
      <c r="DM16" s="163">
        <v>0</v>
      </c>
      <c r="DN16" s="163">
        <v>0</v>
      </c>
      <c r="DO16" s="163">
        <v>0</v>
      </c>
      <c r="DP16" s="644">
        <v>0</v>
      </c>
      <c r="DQ16" s="645">
        <v>0</v>
      </c>
      <c r="DR16" s="163">
        <v>0</v>
      </c>
      <c r="DS16" s="163">
        <v>0</v>
      </c>
      <c r="DT16" s="163">
        <v>0</v>
      </c>
      <c r="DU16" s="643">
        <v>0</v>
      </c>
      <c r="DW16" s="646">
        <f t="shared" si="4"/>
        <v>81</v>
      </c>
      <c r="DX16" s="645">
        <f t="shared" si="0"/>
        <v>66</v>
      </c>
      <c r="DY16" s="163">
        <f t="shared" si="0"/>
        <v>44</v>
      </c>
      <c r="DZ16" s="163">
        <f t="shared" si="0"/>
        <v>0</v>
      </c>
      <c r="EA16" s="163">
        <f t="shared" si="0"/>
        <v>22</v>
      </c>
      <c r="EB16" s="644">
        <f t="shared" si="0"/>
        <v>0</v>
      </c>
      <c r="EC16" s="645">
        <f t="shared" si="0"/>
        <v>15</v>
      </c>
      <c r="ED16" s="163">
        <f t="shared" si="0"/>
        <v>10</v>
      </c>
      <c r="EE16" s="163">
        <f t="shared" si="0"/>
        <v>0</v>
      </c>
      <c r="EF16" s="163">
        <f t="shared" si="0"/>
        <v>5</v>
      </c>
      <c r="EG16" s="643">
        <f t="shared" si="0"/>
        <v>0</v>
      </c>
      <c r="EH16" s="646">
        <f t="shared" si="5"/>
        <v>29</v>
      </c>
      <c r="EI16" s="645">
        <f t="shared" si="1"/>
        <v>21</v>
      </c>
      <c r="EJ16" s="163">
        <f t="shared" si="1"/>
        <v>18</v>
      </c>
      <c r="EK16" s="163">
        <f t="shared" si="1"/>
        <v>0</v>
      </c>
      <c r="EL16" s="163">
        <f t="shared" si="1"/>
        <v>3</v>
      </c>
      <c r="EM16" s="644">
        <f t="shared" si="1"/>
        <v>0</v>
      </c>
      <c r="EN16" s="645">
        <f t="shared" si="1"/>
        <v>8</v>
      </c>
      <c r="EO16" s="163">
        <f t="shared" si="1"/>
        <v>6</v>
      </c>
      <c r="EP16" s="163">
        <f t="shared" si="1"/>
        <v>0</v>
      </c>
      <c r="EQ16" s="163">
        <f t="shared" si="1"/>
        <v>2</v>
      </c>
      <c r="ER16" s="643">
        <f t="shared" si="1"/>
        <v>0</v>
      </c>
    </row>
    <row r="17" spans="2:148">
      <c r="B17" s="354" t="s">
        <v>236</v>
      </c>
      <c r="C17" s="330">
        <v>2020</v>
      </c>
      <c r="D17" s="626">
        <v>139080</v>
      </c>
      <c r="E17" s="646">
        <v>1712</v>
      </c>
      <c r="F17" s="645">
        <v>1184</v>
      </c>
      <c r="G17" s="163">
        <v>740</v>
      </c>
      <c r="H17" s="163">
        <v>0</v>
      </c>
      <c r="I17" s="163">
        <v>444</v>
      </c>
      <c r="J17" s="644">
        <v>0</v>
      </c>
      <c r="K17" s="645">
        <v>528</v>
      </c>
      <c r="L17" s="163">
        <v>253</v>
      </c>
      <c r="M17" s="163">
        <v>0</v>
      </c>
      <c r="N17" s="163">
        <v>234</v>
      </c>
      <c r="O17" s="643">
        <v>41</v>
      </c>
      <c r="P17" s="646">
        <f t="shared" si="2"/>
        <v>3</v>
      </c>
      <c r="Q17" s="645">
        <v>2</v>
      </c>
      <c r="R17" s="163">
        <v>0</v>
      </c>
      <c r="S17" s="163">
        <v>0</v>
      </c>
      <c r="T17" s="163">
        <v>2</v>
      </c>
      <c r="U17" s="644">
        <v>0</v>
      </c>
      <c r="V17" s="645">
        <v>1</v>
      </c>
      <c r="W17" s="163">
        <v>0</v>
      </c>
      <c r="X17" s="163">
        <v>0</v>
      </c>
      <c r="Y17" s="163">
        <v>1</v>
      </c>
      <c r="Z17" s="643">
        <v>0</v>
      </c>
      <c r="AA17" s="646">
        <f t="shared" si="3"/>
        <v>1</v>
      </c>
      <c r="AB17" s="645">
        <v>0</v>
      </c>
      <c r="AC17" s="163">
        <v>0</v>
      </c>
      <c r="AD17" s="163">
        <v>0</v>
      </c>
      <c r="AE17" s="163">
        <v>0</v>
      </c>
      <c r="AF17" s="644">
        <v>0</v>
      </c>
      <c r="AG17" s="645">
        <v>1</v>
      </c>
      <c r="AH17" s="163">
        <v>0</v>
      </c>
      <c r="AI17" s="163">
        <v>0</v>
      </c>
      <c r="AJ17" s="163">
        <v>1</v>
      </c>
      <c r="AK17" s="643">
        <v>0</v>
      </c>
      <c r="AL17" s="646">
        <v>16</v>
      </c>
      <c r="AM17" s="645">
        <v>10</v>
      </c>
      <c r="AN17" s="163">
        <v>8</v>
      </c>
      <c r="AO17" s="163">
        <v>0</v>
      </c>
      <c r="AP17" s="163">
        <v>2</v>
      </c>
      <c r="AQ17" s="644">
        <v>0</v>
      </c>
      <c r="AR17" s="645">
        <v>6</v>
      </c>
      <c r="AS17" s="163">
        <v>4</v>
      </c>
      <c r="AT17" s="163">
        <v>0</v>
      </c>
      <c r="AU17" s="163">
        <v>1</v>
      </c>
      <c r="AV17" s="643">
        <v>1</v>
      </c>
      <c r="AW17" s="646">
        <v>12</v>
      </c>
      <c r="AX17" s="645">
        <v>10</v>
      </c>
      <c r="AY17" s="163">
        <v>9</v>
      </c>
      <c r="AZ17" s="163">
        <v>0</v>
      </c>
      <c r="BA17" s="163">
        <v>1</v>
      </c>
      <c r="BB17" s="644">
        <v>0</v>
      </c>
      <c r="BC17" s="645">
        <v>2</v>
      </c>
      <c r="BD17" s="163">
        <v>2</v>
      </c>
      <c r="BE17" s="163">
        <v>0</v>
      </c>
      <c r="BF17" s="163">
        <v>0</v>
      </c>
      <c r="BG17" s="643">
        <v>0</v>
      </c>
      <c r="BH17" s="646">
        <v>13</v>
      </c>
      <c r="BI17" s="645">
        <v>10</v>
      </c>
      <c r="BJ17" s="163">
        <v>7</v>
      </c>
      <c r="BK17" s="163">
        <v>0</v>
      </c>
      <c r="BL17" s="163">
        <v>3</v>
      </c>
      <c r="BM17" s="644">
        <v>0</v>
      </c>
      <c r="BN17" s="645">
        <v>3</v>
      </c>
      <c r="BO17" s="163">
        <v>0</v>
      </c>
      <c r="BP17" s="163">
        <v>0</v>
      </c>
      <c r="BQ17" s="163">
        <v>2</v>
      </c>
      <c r="BR17" s="643">
        <v>1</v>
      </c>
      <c r="BS17" s="646">
        <v>22</v>
      </c>
      <c r="BT17" s="645">
        <v>12</v>
      </c>
      <c r="BU17" s="163">
        <v>8</v>
      </c>
      <c r="BV17" s="163">
        <v>0</v>
      </c>
      <c r="BW17" s="163">
        <v>4</v>
      </c>
      <c r="BX17" s="644">
        <v>0</v>
      </c>
      <c r="BY17" s="645">
        <v>10</v>
      </c>
      <c r="BZ17" s="163">
        <v>2</v>
      </c>
      <c r="CA17" s="163">
        <v>0</v>
      </c>
      <c r="CB17" s="163">
        <v>8</v>
      </c>
      <c r="CC17" s="643">
        <v>0</v>
      </c>
      <c r="CD17" s="646">
        <v>2</v>
      </c>
      <c r="CE17" s="645">
        <v>0</v>
      </c>
      <c r="CF17" s="163">
        <v>0</v>
      </c>
      <c r="CG17" s="163">
        <v>0</v>
      </c>
      <c r="CH17" s="163">
        <v>0</v>
      </c>
      <c r="CI17" s="644">
        <v>0</v>
      </c>
      <c r="CJ17" s="645">
        <v>2</v>
      </c>
      <c r="CK17" s="163">
        <v>2</v>
      </c>
      <c r="CL17" s="163">
        <v>0</v>
      </c>
      <c r="CM17" s="163">
        <v>0</v>
      </c>
      <c r="CN17" s="643">
        <v>0</v>
      </c>
      <c r="CO17" s="646">
        <v>1</v>
      </c>
      <c r="CP17" s="645">
        <v>1</v>
      </c>
      <c r="CQ17" s="163">
        <v>1</v>
      </c>
      <c r="CR17" s="163">
        <v>0</v>
      </c>
      <c r="CS17" s="163">
        <v>0</v>
      </c>
      <c r="CT17" s="644">
        <v>0</v>
      </c>
      <c r="CU17" s="645">
        <v>0</v>
      </c>
      <c r="CV17" s="163">
        <v>0</v>
      </c>
      <c r="CW17" s="163">
        <v>0</v>
      </c>
      <c r="CX17" s="163">
        <v>0</v>
      </c>
      <c r="CY17" s="643">
        <v>0</v>
      </c>
      <c r="CZ17" s="646">
        <v>1</v>
      </c>
      <c r="DA17" s="645">
        <v>1</v>
      </c>
      <c r="DB17" s="163">
        <v>0</v>
      </c>
      <c r="DC17" s="163">
        <v>0</v>
      </c>
      <c r="DD17" s="163">
        <v>1</v>
      </c>
      <c r="DE17" s="644">
        <v>0</v>
      </c>
      <c r="DF17" s="645">
        <v>0</v>
      </c>
      <c r="DG17" s="163">
        <v>0</v>
      </c>
      <c r="DH17" s="163">
        <v>0</v>
      </c>
      <c r="DI17" s="163">
        <v>0</v>
      </c>
      <c r="DJ17" s="643">
        <v>0</v>
      </c>
      <c r="DK17" s="646">
        <v>0</v>
      </c>
      <c r="DL17" s="645">
        <v>0</v>
      </c>
      <c r="DM17" s="163">
        <v>0</v>
      </c>
      <c r="DN17" s="163">
        <v>0</v>
      </c>
      <c r="DO17" s="163">
        <v>0</v>
      </c>
      <c r="DP17" s="644">
        <v>0</v>
      </c>
      <c r="DQ17" s="645">
        <v>0</v>
      </c>
      <c r="DR17" s="163">
        <v>0</v>
      </c>
      <c r="DS17" s="163">
        <v>0</v>
      </c>
      <c r="DT17" s="163">
        <v>0</v>
      </c>
      <c r="DU17" s="643">
        <v>0</v>
      </c>
      <c r="DW17" s="646">
        <f t="shared" si="4"/>
        <v>55</v>
      </c>
      <c r="DX17" s="645">
        <f t="shared" si="0"/>
        <v>36</v>
      </c>
      <c r="DY17" s="163">
        <f t="shared" si="0"/>
        <v>25</v>
      </c>
      <c r="DZ17" s="163">
        <f t="shared" si="0"/>
        <v>0</v>
      </c>
      <c r="EA17" s="163">
        <f t="shared" si="0"/>
        <v>11</v>
      </c>
      <c r="EB17" s="644">
        <f t="shared" si="0"/>
        <v>0</v>
      </c>
      <c r="EC17" s="645">
        <f t="shared" si="0"/>
        <v>19</v>
      </c>
      <c r="ED17" s="163">
        <f t="shared" si="0"/>
        <v>6</v>
      </c>
      <c r="EE17" s="163">
        <f t="shared" si="0"/>
        <v>0</v>
      </c>
      <c r="EF17" s="163">
        <f t="shared" si="0"/>
        <v>12</v>
      </c>
      <c r="EG17" s="643">
        <f t="shared" si="0"/>
        <v>1</v>
      </c>
      <c r="EH17" s="646">
        <f t="shared" si="5"/>
        <v>16</v>
      </c>
      <c r="EI17" s="645">
        <f t="shared" si="1"/>
        <v>10</v>
      </c>
      <c r="EJ17" s="163">
        <f t="shared" si="1"/>
        <v>8</v>
      </c>
      <c r="EK17" s="163">
        <f t="shared" si="1"/>
        <v>0</v>
      </c>
      <c r="EL17" s="163">
        <f t="shared" si="1"/>
        <v>2</v>
      </c>
      <c r="EM17" s="644">
        <f t="shared" si="1"/>
        <v>0</v>
      </c>
      <c r="EN17" s="645">
        <f t="shared" si="1"/>
        <v>6</v>
      </c>
      <c r="EO17" s="163">
        <f t="shared" si="1"/>
        <v>4</v>
      </c>
      <c r="EP17" s="163">
        <f t="shared" si="1"/>
        <v>0</v>
      </c>
      <c r="EQ17" s="163">
        <f t="shared" si="1"/>
        <v>1</v>
      </c>
      <c r="ER17" s="643">
        <f t="shared" si="1"/>
        <v>1</v>
      </c>
    </row>
    <row r="18" spans="2:148">
      <c r="B18" s="354" t="s">
        <v>237</v>
      </c>
      <c r="C18" s="330">
        <v>2020</v>
      </c>
      <c r="D18" s="626">
        <v>109197</v>
      </c>
      <c r="E18" s="646">
        <v>1761</v>
      </c>
      <c r="F18" s="645">
        <v>1337</v>
      </c>
      <c r="G18" s="163">
        <v>1122</v>
      </c>
      <c r="H18" s="163">
        <v>0</v>
      </c>
      <c r="I18" s="163">
        <v>215</v>
      </c>
      <c r="J18" s="644">
        <v>0</v>
      </c>
      <c r="K18" s="645">
        <v>424</v>
      </c>
      <c r="L18" s="163">
        <v>210</v>
      </c>
      <c r="M18" s="163">
        <v>0</v>
      </c>
      <c r="N18" s="163">
        <v>192</v>
      </c>
      <c r="O18" s="643">
        <v>22</v>
      </c>
      <c r="P18" s="646">
        <f t="shared" si="2"/>
        <v>5</v>
      </c>
      <c r="Q18" s="645">
        <v>3</v>
      </c>
      <c r="R18" s="163">
        <v>2</v>
      </c>
      <c r="S18" s="163">
        <v>0</v>
      </c>
      <c r="T18" s="163">
        <v>1</v>
      </c>
      <c r="U18" s="644">
        <v>0</v>
      </c>
      <c r="V18" s="645">
        <v>2</v>
      </c>
      <c r="W18" s="163">
        <v>1</v>
      </c>
      <c r="X18" s="163">
        <v>0</v>
      </c>
      <c r="Y18" s="163">
        <v>1</v>
      </c>
      <c r="Z18" s="643">
        <v>0</v>
      </c>
      <c r="AA18" s="646">
        <f t="shared" si="3"/>
        <v>1</v>
      </c>
      <c r="AB18" s="645">
        <v>1</v>
      </c>
      <c r="AC18" s="163">
        <v>0</v>
      </c>
      <c r="AD18" s="163">
        <v>0</v>
      </c>
      <c r="AE18" s="163">
        <v>1</v>
      </c>
      <c r="AF18" s="644">
        <v>0</v>
      </c>
      <c r="AG18" s="645">
        <v>0</v>
      </c>
      <c r="AH18" s="163">
        <v>0</v>
      </c>
      <c r="AI18" s="163">
        <v>0</v>
      </c>
      <c r="AJ18" s="163">
        <v>0</v>
      </c>
      <c r="AK18" s="643">
        <v>0</v>
      </c>
      <c r="AL18" s="646">
        <v>18</v>
      </c>
      <c r="AM18" s="645">
        <v>13</v>
      </c>
      <c r="AN18" s="163">
        <v>12</v>
      </c>
      <c r="AO18" s="163">
        <v>0</v>
      </c>
      <c r="AP18" s="163">
        <v>1</v>
      </c>
      <c r="AQ18" s="644">
        <v>0</v>
      </c>
      <c r="AR18" s="645">
        <v>5</v>
      </c>
      <c r="AS18" s="163">
        <v>4</v>
      </c>
      <c r="AT18" s="163">
        <v>0</v>
      </c>
      <c r="AU18" s="163">
        <v>1</v>
      </c>
      <c r="AV18" s="643">
        <v>0</v>
      </c>
      <c r="AW18" s="646">
        <v>9</v>
      </c>
      <c r="AX18" s="645">
        <v>7</v>
      </c>
      <c r="AY18" s="163">
        <v>6</v>
      </c>
      <c r="AZ18" s="163">
        <v>0</v>
      </c>
      <c r="BA18" s="163">
        <v>1</v>
      </c>
      <c r="BB18" s="644">
        <v>0</v>
      </c>
      <c r="BC18" s="645">
        <v>2</v>
      </c>
      <c r="BD18" s="163">
        <v>1</v>
      </c>
      <c r="BE18" s="163">
        <v>0</v>
      </c>
      <c r="BF18" s="163">
        <v>1</v>
      </c>
      <c r="BG18" s="643">
        <v>0</v>
      </c>
      <c r="BH18" s="646">
        <v>7</v>
      </c>
      <c r="BI18" s="645">
        <v>5</v>
      </c>
      <c r="BJ18" s="163">
        <v>5</v>
      </c>
      <c r="BK18" s="163">
        <v>0</v>
      </c>
      <c r="BL18" s="163">
        <v>0</v>
      </c>
      <c r="BM18" s="644">
        <v>0</v>
      </c>
      <c r="BN18" s="645">
        <v>2</v>
      </c>
      <c r="BO18" s="163">
        <v>1</v>
      </c>
      <c r="BP18" s="163">
        <v>0</v>
      </c>
      <c r="BQ18" s="163">
        <v>1</v>
      </c>
      <c r="BR18" s="643">
        <v>0</v>
      </c>
      <c r="BS18" s="646">
        <v>18</v>
      </c>
      <c r="BT18" s="645">
        <v>15</v>
      </c>
      <c r="BU18" s="163">
        <v>14</v>
      </c>
      <c r="BV18" s="163">
        <v>0</v>
      </c>
      <c r="BW18" s="163">
        <v>1</v>
      </c>
      <c r="BX18" s="644">
        <v>0</v>
      </c>
      <c r="BY18" s="645">
        <v>3</v>
      </c>
      <c r="BZ18" s="163">
        <v>1</v>
      </c>
      <c r="CA18" s="163">
        <v>0</v>
      </c>
      <c r="CB18" s="163">
        <v>1</v>
      </c>
      <c r="CC18" s="643">
        <v>1</v>
      </c>
      <c r="CD18" s="646">
        <v>3</v>
      </c>
      <c r="CE18" s="645">
        <v>3</v>
      </c>
      <c r="CF18" s="163">
        <v>3</v>
      </c>
      <c r="CG18" s="163">
        <v>0</v>
      </c>
      <c r="CH18" s="163">
        <v>0</v>
      </c>
      <c r="CI18" s="644">
        <v>0</v>
      </c>
      <c r="CJ18" s="645">
        <v>0</v>
      </c>
      <c r="CK18" s="163">
        <v>0</v>
      </c>
      <c r="CL18" s="163">
        <v>0</v>
      </c>
      <c r="CM18" s="163">
        <v>0</v>
      </c>
      <c r="CN18" s="643">
        <v>0</v>
      </c>
      <c r="CO18" s="646">
        <v>1</v>
      </c>
      <c r="CP18" s="645">
        <v>1</v>
      </c>
      <c r="CQ18" s="163">
        <v>1</v>
      </c>
      <c r="CR18" s="163">
        <v>0</v>
      </c>
      <c r="CS18" s="163">
        <v>0</v>
      </c>
      <c r="CT18" s="644">
        <v>0</v>
      </c>
      <c r="CU18" s="645">
        <v>0</v>
      </c>
      <c r="CV18" s="163">
        <v>0</v>
      </c>
      <c r="CW18" s="163">
        <v>0</v>
      </c>
      <c r="CX18" s="163">
        <v>0</v>
      </c>
      <c r="CY18" s="643">
        <v>0</v>
      </c>
      <c r="CZ18" s="646">
        <v>0</v>
      </c>
      <c r="DA18" s="645">
        <v>0</v>
      </c>
      <c r="DB18" s="163">
        <v>0</v>
      </c>
      <c r="DC18" s="163">
        <v>0</v>
      </c>
      <c r="DD18" s="163">
        <v>0</v>
      </c>
      <c r="DE18" s="644">
        <v>0</v>
      </c>
      <c r="DF18" s="645">
        <v>0</v>
      </c>
      <c r="DG18" s="163">
        <v>0</v>
      </c>
      <c r="DH18" s="163">
        <v>0</v>
      </c>
      <c r="DI18" s="163">
        <v>0</v>
      </c>
      <c r="DJ18" s="643">
        <v>0</v>
      </c>
      <c r="DK18" s="646">
        <v>0</v>
      </c>
      <c r="DL18" s="645">
        <v>0</v>
      </c>
      <c r="DM18" s="163">
        <v>0</v>
      </c>
      <c r="DN18" s="163">
        <v>0</v>
      </c>
      <c r="DO18" s="163">
        <v>0</v>
      </c>
      <c r="DP18" s="644">
        <v>0</v>
      </c>
      <c r="DQ18" s="645">
        <v>0</v>
      </c>
      <c r="DR18" s="163">
        <v>0</v>
      </c>
      <c r="DS18" s="163">
        <v>0</v>
      </c>
      <c r="DT18" s="163">
        <v>0</v>
      </c>
      <c r="DU18" s="643">
        <v>0</v>
      </c>
      <c r="DW18" s="646">
        <f t="shared" si="4"/>
        <v>44</v>
      </c>
      <c r="DX18" s="645">
        <f t="shared" si="0"/>
        <v>35</v>
      </c>
      <c r="DY18" s="163">
        <f t="shared" si="0"/>
        <v>31</v>
      </c>
      <c r="DZ18" s="163">
        <f t="shared" si="0"/>
        <v>0</v>
      </c>
      <c r="EA18" s="163">
        <f t="shared" si="0"/>
        <v>4</v>
      </c>
      <c r="EB18" s="644">
        <f t="shared" si="0"/>
        <v>0</v>
      </c>
      <c r="EC18" s="645">
        <f t="shared" si="0"/>
        <v>9</v>
      </c>
      <c r="ED18" s="163">
        <f t="shared" si="0"/>
        <v>4</v>
      </c>
      <c r="EE18" s="163">
        <f t="shared" si="0"/>
        <v>0</v>
      </c>
      <c r="EF18" s="163">
        <f t="shared" si="0"/>
        <v>4</v>
      </c>
      <c r="EG18" s="643">
        <f t="shared" si="0"/>
        <v>1</v>
      </c>
      <c r="EH18" s="646">
        <f t="shared" si="5"/>
        <v>18</v>
      </c>
      <c r="EI18" s="645">
        <f t="shared" si="1"/>
        <v>13</v>
      </c>
      <c r="EJ18" s="163">
        <f t="shared" si="1"/>
        <v>12</v>
      </c>
      <c r="EK18" s="163">
        <f t="shared" si="1"/>
        <v>0</v>
      </c>
      <c r="EL18" s="163">
        <f t="shared" si="1"/>
        <v>1</v>
      </c>
      <c r="EM18" s="644">
        <f t="shared" si="1"/>
        <v>0</v>
      </c>
      <c r="EN18" s="645">
        <f t="shared" si="1"/>
        <v>5</v>
      </c>
      <c r="EO18" s="163">
        <f t="shared" si="1"/>
        <v>4</v>
      </c>
      <c r="EP18" s="163">
        <f t="shared" si="1"/>
        <v>0</v>
      </c>
      <c r="EQ18" s="163">
        <f t="shared" si="1"/>
        <v>1</v>
      </c>
      <c r="ER18" s="643">
        <f t="shared" si="1"/>
        <v>0</v>
      </c>
    </row>
    <row r="19" spans="2:148">
      <c r="B19" s="354" t="s">
        <v>238</v>
      </c>
      <c r="C19" s="330">
        <v>2020</v>
      </c>
      <c r="D19" s="626">
        <v>198406</v>
      </c>
      <c r="E19" s="646">
        <v>3568</v>
      </c>
      <c r="F19" s="645">
        <v>2807</v>
      </c>
      <c r="G19" s="163">
        <v>1479</v>
      </c>
      <c r="H19" s="163">
        <v>0</v>
      </c>
      <c r="I19" s="163">
        <v>1328</v>
      </c>
      <c r="J19" s="644">
        <v>0</v>
      </c>
      <c r="K19" s="645">
        <v>761</v>
      </c>
      <c r="L19" s="163">
        <v>324</v>
      </c>
      <c r="M19" s="163">
        <v>0</v>
      </c>
      <c r="N19" s="163">
        <v>405</v>
      </c>
      <c r="O19" s="643">
        <v>32</v>
      </c>
      <c r="P19" s="646">
        <f t="shared" si="2"/>
        <v>7</v>
      </c>
      <c r="Q19" s="645">
        <v>6</v>
      </c>
      <c r="R19" s="163">
        <v>4</v>
      </c>
      <c r="S19" s="163">
        <v>0</v>
      </c>
      <c r="T19" s="163">
        <v>2</v>
      </c>
      <c r="U19" s="644">
        <v>0</v>
      </c>
      <c r="V19" s="645">
        <v>1</v>
      </c>
      <c r="W19" s="163">
        <v>1</v>
      </c>
      <c r="X19" s="163">
        <v>0</v>
      </c>
      <c r="Y19" s="163">
        <v>0</v>
      </c>
      <c r="Z19" s="643">
        <v>0</v>
      </c>
      <c r="AA19" s="646">
        <f t="shared" si="3"/>
        <v>7</v>
      </c>
      <c r="AB19" s="645">
        <v>5</v>
      </c>
      <c r="AC19" s="163">
        <v>3</v>
      </c>
      <c r="AD19" s="163">
        <v>0</v>
      </c>
      <c r="AE19" s="163">
        <v>2</v>
      </c>
      <c r="AF19" s="644">
        <v>0</v>
      </c>
      <c r="AG19" s="645">
        <v>2</v>
      </c>
      <c r="AH19" s="163">
        <v>2</v>
      </c>
      <c r="AI19" s="163">
        <v>0</v>
      </c>
      <c r="AJ19" s="163">
        <v>0</v>
      </c>
      <c r="AK19" s="643">
        <v>0</v>
      </c>
      <c r="AL19" s="646">
        <v>29</v>
      </c>
      <c r="AM19" s="645">
        <v>25</v>
      </c>
      <c r="AN19" s="163">
        <v>13</v>
      </c>
      <c r="AO19" s="163">
        <v>0</v>
      </c>
      <c r="AP19" s="163">
        <v>12</v>
      </c>
      <c r="AQ19" s="644">
        <v>0</v>
      </c>
      <c r="AR19" s="645">
        <v>4</v>
      </c>
      <c r="AS19" s="163">
        <v>0</v>
      </c>
      <c r="AT19" s="163">
        <v>0</v>
      </c>
      <c r="AU19" s="163">
        <v>3</v>
      </c>
      <c r="AV19" s="643">
        <v>1</v>
      </c>
      <c r="AW19" s="646">
        <v>14</v>
      </c>
      <c r="AX19" s="645">
        <v>11</v>
      </c>
      <c r="AY19" s="163">
        <v>3</v>
      </c>
      <c r="AZ19" s="163">
        <v>0</v>
      </c>
      <c r="BA19" s="163">
        <v>8</v>
      </c>
      <c r="BB19" s="644">
        <v>0</v>
      </c>
      <c r="BC19" s="645">
        <v>3</v>
      </c>
      <c r="BD19" s="163">
        <v>1</v>
      </c>
      <c r="BE19" s="163">
        <v>0</v>
      </c>
      <c r="BF19" s="163">
        <v>2</v>
      </c>
      <c r="BG19" s="643">
        <v>0</v>
      </c>
      <c r="BH19" s="646">
        <v>18</v>
      </c>
      <c r="BI19" s="645">
        <v>16</v>
      </c>
      <c r="BJ19" s="163">
        <v>10</v>
      </c>
      <c r="BK19" s="163">
        <v>0</v>
      </c>
      <c r="BL19" s="163">
        <v>6</v>
      </c>
      <c r="BM19" s="644">
        <v>0</v>
      </c>
      <c r="BN19" s="645">
        <v>2</v>
      </c>
      <c r="BO19" s="163">
        <v>1</v>
      </c>
      <c r="BP19" s="163">
        <v>0</v>
      </c>
      <c r="BQ19" s="163">
        <v>1</v>
      </c>
      <c r="BR19" s="643">
        <v>0</v>
      </c>
      <c r="BS19" s="646">
        <v>32</v>
      </c>
      <c r="BT19" s="645">
        <v>31</v>
      </c>
      <c r="BU19" s="163">
        <v>18</v>
      </c>
      <c r="BV19" s="163">
        <v>0</v>
      </c>
      <c r="BW19" s="163">
        <v>13</v>
      </c>
      <c r="BX19" s="644">
        <v>0</v>
      </c>
      <c r="BY19" s="645">
        <v>1</v>
      </c>
      <c r="BZ19" s="163">
        <v>1</v>
      </c>
      <c r="CA19" s="163">
        <v>0</v>
      </c>
      <c r="CB19" s="163">
        <v>0</v>
      </c>
      <c r="CC19" s="643">
        <v>0</v>
      </c>
      <c r="CD19" s="646">
        <v>6</v>
      </c>
      <c r="CE19" s="645">
        <v>6</v>
      </c>
      <c r="CF19" s="163">
        <v>3</v>
      </c>
      <c r="CG19" s="163">
        <v>0</v>
      </c>
      <c r="CH19" s="163">
        <v>3</v>
      </c>
      <c r="CI19" s="644">
        <v>0</v>
      </c>
      <c r="CJ19" s="645">
        <v>0</v>
      </c>
      <c r="CK19" s="163">
        <v>0</v>
      </c>
      <c r="CL19" s="163">
        <v>0</v>
      </c>
      <c r="CM19" s="163">
        <v>0</v>
      </c>
      <c r="CN19" s="643">
        <v>0</v>
      </c>
      <c r="CO19" s="646">
        <v>5</v>
      </c>
      <c r="CP19" s="645">
        <v>5</v>
      </c>
      <c r="CQ19" s="163">
        <v>2</v>
      </c>
      <c r="CR19" s="163">
        <v>0</v>
      </c>
      <c r="CS19" s="163">
        <v>3</v>
      </c>
      <c r="CT19" s="644">
        <v>0</v>
      </c>
      <c r="CU19" s="645">
        <v>0</v>
      </c>
      <c r="CV19" s="163">
        <v>0</v>
      </c>
      <c r="CW19" s="163">
        <v>0</v>
      </c>
      <c r="CX19" s="163">
        <v>0</v>
      </c>
      <c r="CY19" s="643">
        <v>0</v>
      </c>
      <c r="CZ19" s="646">
        <v>4</v>
      </c>
      <c r="DA19" s="645">
        <v>3</v>
      </c>
      <c r="DB19" s="163">
        <v>3</v>
      </c>
      <c r="DC19" s="163">
        <v>0</v>
      </c>
      <c r="DD19" s="163">
        <v>0</v>
      </c>
      <c r="DE19" s="644">
        <v>0</v>
      </c>
      <c r="DF19" s="645">
        <v>1</v>
      </c>
      <c r="DG19" s="163">
        <v>1</v>
      </c>
      <c r="DH19" s="163">
        <v>0</v>
      </c>
      <c r="DI19" s="163">
        <v>0</v>
      </c>
      <c r="DJ19" s="643">
        <v>0</v>
      </c>
      <c r="DK19" s="646">
        <v>0</v>
      </c>
      <c r="DL19" s="645">
        <v>0</v>
      </c>
      <c r="DM19" s="163">
        <v>0</v>
      </c>
      <c r="DN19" s="163">
        <v>0</v>
      </c>
      <c r="DO19" s="163">
        <v>0</v>
      </c>
      <c r="DP19" s="644">
        <v>0</v>
      </c>
      <c r="DQ19" s="645">
        <v>0</v>
      </c>
      <c r="DR19" s="163">
        <v>0</v>
      </c>
      <c r="DS19" s="163">
        <v>0</v>
      </c>
      <c r="DT19" s="163">
        <v>0</v>
      </c>
      <c r="DU19" s="643">
        <v>0</v>
      </c>
      <c r="DW19" s="646">
        <f t="shared" si="4"/>
        <v>93</v>
      </c>
      <c r="DX19" s="645">
        <f t="shared" si="0"/>
        <v>83</v>
      </c>
      <c r="DY19" s="163">
        <f t="shared" si="0"/>
        <v>46</v>
      </c>
      <c r="DZ19" s="163">
        <f t="shared" si="0"/>
        <v>0</v>
      </c>
      <c r="EA19" s="163">
        <f t="shared" si="0"/>
        <v>37</v>
      </c>
      <c r="EB19" s="644">
        <f t="shared" si="0"/>
        <v>0</v>
      </c>
      <c r="EC19" s="645">
        <f t="shared" si="0"/>
        <v>10</v>
      </c>
      <c r="ED19" s="163">
        <f t="shared" si="0"/>
        <v>7</v>
      </c>
      <c r="EE19" s="163">
        <f t="shared" si="0"/>
        <v>0</v>
      </c>
      <c r="EF19" s="163">
        <f t="shared" si="0"/>
        <v>3</v>
      </c>
      <c r="EG19" s="643">
        <f t="shared" si="0"/>
        <v>0</v>
      </c>
      <c r="EH19" s="646">
        <f t="shared" si="5"/>
        <v>29</v>
      </c>
      <c r="EI19" s="645">
        <f t="shared" si="1"/>
        <v>25</v>
      </c>
      <c r="EJ19" s="163">
        <f t="shared" si="1"/>
        <v>13</v>
      </c>
      <c r="EK19" s="163">
        <f t="shared" si="1"/>
        <v>0</v>
      </c>
      <c r="EL19" s="163">
        <f t="shared" si="1"/>
        <v>12</v>
      </c>
      <c r="EM19" s="644">
        <f t="shared" si="1"/>
        <v>0</v>
      </c>
      <c r="EN19" s="645">
        <f t="shared" si="1"/>
        <v>4</v>
      </c>
      <c r="EO19" s="163">
        <f t="shared" si="1"/>
        <v>0</v>
      </c>
      <c r="EP19" s="163">
        <f t="shared" si="1"/>
        <v>0</v>
      </c>
      <c r="EQ19" s="163">
        <f t="shared" si="1"/>
        <v>3</v>
      </c>
      <c r="ER19" s="643">
        <f t="shared" si="1"/>
        <v>1</v>
      </c>
    </row>
    <row r="20" spans="2:148">
      <c r="B20" s="354" t="s">
        <v>239</v>
      </c>
      <c r="C20" s="330">
        <v>2020</v>
      </c>
      <c r="D20" s="626">
        <v>153874</v>
      </c>
      <c r="E20" s="646">
        <v>3476</v>
      </c>
      <c r="F20" s="645">
        <v>2833</v>
      </c>
      <c r="G20" s="163">
        <v>1358</v>
      </c>
      <c r="H20" s="163">
        <v>0</v>
      </c>
      <c r="I20" s="163">
        <v>1475</v>
      </c>
      <c r="J20" s="644">
        <v>0</v>
      </c>
      <c r="K20" s="645">
        <v>643</v>
      </c>
      <c r="L20" s="163">
        <v>219</v>
      </c>
      <c r="M20" s="163">
        <v>0</v>
      </c>
      <c r="N20" s="163">
        <v>384</v>
      </c>
      <c r="O20" s="643">
        <v>40</v>
      </c>
      <c r="P20" s="646">
        <f t="shared" si="2"/>
        <v>3</v>
      </c>
      <c r="Q20" s="645">
        <v>3</v>
      </c>
      <c r="R20" s="163">
        <v>2</v>
      </c>
      <c r="S20" s="163">
        <v>0</v>
      </c>
      <c r="T20" s="163">
        <v>1</v>
      </c>
      <c r="U20" s="644">
        <v>0</v>
      </c>
      <c r="V20" s="645">
        <v>0</v>
      </c>
      <c r="W20" s="163">
        <v>0</v>
      </c>
      <c r="X20" s="163">
        <v>0</v>
      </c>
      <c r="Y20" s="163">
        <v>0</v>
      </c>
      <c r="Z20" s="643">
        <v>0</v>
      </c>
      <c r="AA20" s="646">
        <f t="shared" si="3"/>
        <v>3</v>
      </c>
      <c r="AB20" s="645">
        <v>3</v>
      </c>
      <c r="AC20" s="163">
        <v>1</v>
      </c>
      <c r="AD20" s="163">
        <v>0</v>
      </c>
      <c r="AE20" s="163">
        <v>2</v>
      </c>
      <c r="AF20" s="644">
        <v>0</v>
      </c>
      <c r="AG20" s="645">
        <v>0</v>
      </c>
      <c r="AH20" s="163">
        <v>0</v>
      </c>
      <c r="AI20" s="163">
        <v>0</v>
      </c>
      <c r="AJ20" s="163">
        <v>0</v>
      </c>
      <c r="AK20" s="643">
        <v>0</v>
      </c>
      <c r="AL20" s="646">
        <v>34</v>
      </c>
      <c r="AM20" s="645">
        <v>32</v>
      </c>
      <c r="AN20" s="163">
        <v>18</v>
      </c>
      <c r="AO20" s="163">
        <v>0</v>
      </c>
      <c r="AP20" s="163">
        <v>14</v>
      </c>
      <c r="AQ20" s="644">
        <v>0</v>
      </c>
      <c r="AR20" s="645">
        <v>2</v>
      </c>
      <c r="AS20" s="163">
        <v>0</v>
      </c>
      <c r="AT20" s="163">
        <v>0</v>
      </c>
      <c r="AU20" s="163">
        <v>1</v>
      </c>
      <c r="AV20" s="643">
        <v>1</v>
      </c>
      <c r="AW20" s="646">
        <v>8</v>
      </c>
      <c r="AX20" s="645">
        <v>7</v>
      </c>
      <c r="AY20" s="163">
        <v>2</v>
      </c>
      <c r="AZ20" s="163">
        <v>0</v>
      </c>
      <c r="BA20" s="163">
        <v>5</v>
      </c>
      <c r="BB20" s="644">
        <v>0</v>
      </c>
      <c r="BC20" s="645">
        <v>1</v>
      </c>
      <c r="BD20" s="163">
        <v>1</v>
      </c>
      <c r="BE20" s="163">
        <v>0</v>
      </c>
      <c r="BF20" s="163">
        <v>0</v>
      </c>
      <c r="BG20" s="643">
        <v>0</v>
      </c>
      <c r="BH20" s="646">
        <v>21</v>
      </c>
      <c r="BI20" s="645">
        <v>19</v>
      </c>
      <c r="BJ20" s="163">
        <v>10</v>
      </c>
      <c r="BK20" s="163">
        <v>0</v>
      </c>
      <c r="BL20" s="163">
        <v>9</v>
      </c>
      <c r="BM20" s="644">
        <v>0</v>
      </c>
      <c r="BN20" s="645">
        <v>2</v>
      </c>
      <c r="BO20" s="163">
        <v>0</v>
      </c>
      <c r="BP20" s="163">
        <v>0</v>
      </c>
      <c r="BQ20" s="163">
        <v>2</v>
      </c>
      <c r="BR20" s="643">
        <v>0</v>
      </c>
      <c r="BS20" s="646">
        <v>50</v>
      </c>
      <c r="BT20" s="645">
        <v>41</v>
      </c>
      <c r="BU20" s="163">
        <v>15</v>
      </c>
      <c r="BV20" s="163">
        <v>0</v>
      </c>
      <c r="BW20" s="163">
        <v>26</v>
      </c>
      <c r="BX20" s="644">
        <v>0</v>
      </c>
      <c r="BY20" s="645">
        <v>9</v>
      </c>
      <c r="BZ20" s="163">
        <v>1</v>
      </c>
      <c r="CA20" s="163">
        <v>0</v>
      </c>
      <c r="CB20" s="163">
        <v>8</v>
      </c>
      <c r="CC20" s="643">
        <v>0</v>
      </c>
      <c r="CD20" s="646">
        <v>4</v>
      </c>
      <c r="CE20" s="645">
        <v>4</v>
      </c>
      <c r="CF20" s="163">
        <v>2</v>
      </c>
      <c r="CG20" s="163">
        <v>0</v>
      </c>
      <c r="CH20" s="163">
        <v>2</v>
      </c>
      <c r="CI20" s="644">
        <v>0</v>
      </c>
      <c r="CJ20" s="645">
        <v>0</v>
      </c>
      <c r="CK20" s="163">
        <v>0</v>
      </c>
      <c r="CL20" s="163">
        <v>0</v>
      </c>
      <c r="CM20" s="163">
        <v>0</v>
      </c>
      <c r="CN20" s="643">
        <v>0</v>
      </c>
      <c r="CO20" s="646">
        <v>3</v>
      </c>
      <c r="CP20" s="645">
        <v>1</v>
      </c>
      <c r="CQ20" s="163">
        <v>0</v>
      </c>
      <c r="CR20" s="163">
        <v>0</v>
      </c>
      <c r="CS20" s="163">
        <v>1</v>
      </c>
      <c r="CT20" s="644">
        <v>0</v>
      </c>
      <c r="CU20" s="645">
        <v>2</v>
      </c>
      <c r="CV20" s="163">
        <v>1</v>
      </c>
      <c r="CW20" s="163">
        <v>0</v>
      </c>
      <c r="CX20" s="163">
        <v>1</v>
      </c>
      <c r="CY20" s="643">
        <v>0</v>
      </c>
      <c r="CZ20" s="646">
        <v>1</v>
      </c>
      <c r="DA20" s="645">
        <v>1</v>
      </c>
      <c r="DB20" s="163">
        <v>1</v>
      </c>
      <c r="DC20" s="163">
        <v>0</v>
      </c>
      <c r="DD20" s="163">
        <v>0</v>
      </c>
      <c r="DE20" s="644">
        <v>0</v>
      </c>
      <c r="DF20" s="645">
        <v>0</v>
      </c>
      <c r="DG20" s="163">
        <v>0</v>
      </c>
      <c r="DH20" s="163">
        <v>0</v>
      </c>
      <c r="DI20" s="163">
        <v>0</v>
      </c>
      <c r="DJ20" s="643">
        <v>0</v>
      </c>
      <c r="DK20" s="646">
        <v>0</v>
      </c>
      <c r="DL20" s="645">
        <v>0</v>
      </c>
      <c r="DM20" s="163">
        <v>0</v>
      </c>
      <c r="DN20" s="163">
        <v>0</v>
      </c>
      <c r="DO20" s="163">
        <v>0</v>
      </c>
      <c r="DP20" s="644">
        <v>0</v>
      </c>
      <c r="DQ20" s="645">
        <v>0</v>
      </c>
      <c r="DR20" s="163">
        <v>0</v>
      </c>
      <c r="DS20" s="163">
        <v>0</v>
      </c>
      <c r="DT20" s="163">
        <v>0</v>
      </c>
      <c r="DU20" s="643">
        <v>0</v>
      </c>
      <c r="DW20" s="646">
        <f t="shared" si="4"/>
        <v>93</v>
      </c>
      <c r="DX20" s="645">
        <f t="shared" si="0"/>
        <v>79</v>
      </c>
      <c r="DY20" s="163">
        <f t="shared" si="0"/>
        <v>33</v>
      </c>
      <c r="DZ20" s="163">
        <f t="shared" si="0"/>
        <v>0</v>
      </c>
      <c r="EA20" s="163">
        <f t="shared" si="0"/>
        <v>46</v>
      </c>
      <c r="EB20" s="644">
        <f t="shared" si="0"/>
        <v>0</v>
      </c>
      <c r="EC20" s="645">
        <f t="shared" si="0"/>
        <v>14</v>
      </c>
      <c r="ED20" s="163">
        <f t="shared" si="0"/>
        <v>3</v>
      </c>
      <c r="EE20" s="163">
        <f t="shared" si="0"/>
        <v>0</v>
      </c>
      <c r="EF20" s="163">
        <f t="shared" si="0"/>
        <v>11</v>
      </c>
      <c r="EG20" s="643">
        <f t="shared" si="0"/>
        <v>0</v>
      </c>
      <c r="EH20" s="646">
        <f t="shared" si="5"/>
        <v>34</v>
      </c>
      <c r="EI20" s="645">
        <f t="shared" si="1"/>
        <v>32</v>
      </c>
      <c r="EJ20" s="163">
        <f t="shared" si="1"/>
        <v>18</v>
      </c>
      <c r="EK20" s="163">
        <f t="shared" si="1"/>
        <v>0</v>
      </c>
      <c r="EL20" s="163">
        <f t="shared" si="1"/>
        <v>14</v>
      </c>
      <c r="EM20" s="644">
        <f t="shared" si="1"/>
        <v>0</v>
      </c>
      <c r="EN20" s="645">
        <f t="shared" si="1"/>
        <v>2</v>
      </c>
      <c r="EO20" s="163">
        <f t="shared" si="1"/>
        <v>0</v>
      </c>
      <c r="EP20" s="163">
        <f t="shared" si="1"/>
        <v>0</v>
      </c>
      <c r="EQ20" s="163">
        <f t="shared" si="1"/>
        <v>1</v>
      </c>
      <c r="ER20" s="643">
        <f t="shared" si="1"/>
        <v>1</v>
      </c>
    </row>
    <row r="21" spans="2:148">
      <c r="B21" s="354" t="s">
        <v>240</v>
      </c>
      <c r="C21" s="330">
        <v>2021</v>
      </c>
      <c r="D21" s="626">
        <v>141819</v>
      </c>
      <c r="E21" s="646">
        <v>3362</v>
      </c>
      <c r="F21" s="645">
        <v>2600</v>
      </c>
      <c r="G21" s="163">
        <v>1018</v>
      </c>
      <c r="H21" s="163">
        <v>0</v>
      </c>
      <c r="I21" s="163">
        <v>1582</v>
      </c>
      <c r="J21" s="644">
        <v>0</v>
      </c>
      <c r="K21" s="645">
        <v>762</v>
      </c>
      <c r="L21" s="163">
        <v>183</v>
      </c>
      <c r="M21" s="163">
        <v>0</v>
      </c>
      <c r="N21" s="163">
        <v>512</v>
      </c>
      <c r="O21" s="643">
        <v>67</v>
      </c>
      <c r="P21" s="646">
        <f t="shared" si="2"/>
        <v>5</v>
      </c>
      <c r="Q21" s="645">
        <v>4</v>
      </c>
      <c r="R21" s="163">
        <v>1</v>
      </c>
      <c r="S21" s="163">
        <v>0</v>
      </c>
      <c r="T21" s="163">
        <v>3</v>
      </c>
      <c r="U21" s="644">
        <v>0</v>
      </c>
      <c r="V21" s="645">
        <v>1</v>
      </c>
      <c r="W21" s="163">
        <v>1</v>
      </c>
      <c r="X21" s="163">
        <v>0</v>
      </c>
      <c r="Y21" s="163">
        <v>0</v>
      </c>
      <c r="Z21" s="643">
        <v>0</v>
      </c>
      <c r="AA21" s="646">
        <f t="shared" si="3"/>
        <v>4</v>
      </c>
      <c r="AB21" s="645">
        <v>4</v>
      </c>
      <c r="AC21" s="163">
        <v>3</v>
      </c>
      <c r="AD21" s="163">
        <v>0</v>
      </c>
      <c r="AE21" s="163">
        <v>1</v>
      </c>
      <c r="AF21" s="644">
        <v>0</v>
      </c>
      <c r="AG21" s="645">
        <v>0</v>
      </c>
      <c r="AH21" s="163">
        <v>0</v>
      </c>
      <c r="AI21" s="163">
        <v>0</v>
      </c>
      <c r="AJ21" s="163">
        <v>0</v>
      </c>
      <c r="AK21" s="643">
        <v>0</v>
      </c>
      <c r="AL21" s="646">
        <v>30</v>
      </c>
      <c r="AM21" s="645">
        <v>24</v>
      </c>
      <c r="AN21" s="163">
        <v>12</v>
      </c>
      <c r="AO21" s="163">
        <v>0</v>
      </c>
      <c r="AP21" s="163">
        <v>12</v>
      </c>
      <c r="AQ21" s="644">
        <v>0</v>
      </c>
      <c r="AR21" s="645">
        <v>6</v>
      </c>
      <c r="AS21" s="163">
        <v>3</v>
      </c>
      <c r="AT21" s="163">
        <v>0</v>
      </c>
      <c r="AU21" s="163">
        <v>3</v>
      </c>
      <c r="AV21" s="643">
        <v>0</v>
      </c>
      <c r="AW21" s="646">
        <v>11</v>
      </c>
      <c r="AX21" s="645">
        <v>11</v>
      </c>
      <c r="AY21" s="163">
        <v>4</v>
      </c>
      <c r="AZ21" s="163">
        <v>0</v>
      </c>
      <c r="BA21" s="163">
        <v>7</v>
      </c>
      <c r="BB21" s="644">
        <v>0</v>
      </c>
      <c r="BC21" s="645">
        <v>0</v>
      </c>
      <c r="BD21" s="163">
        <v>0</v>
      </c>
      <c r="BE21" s="163">
        <v>0</v>
      </c>
      <c r="BF21" s="163">
        <v>0</v>
      </c>
      <c r="BG21" s="643">
        <v>0</v>
      </c>
      <c r="BH21" s="646">
        <v>29</v>
      </c>
      <c r="BI21" s="645">
        <v>24</v>
      </c>
      <c r="BJ21" s="163">
        <v>13</v>
      </c>
      <c r="BK21" s="163">
        <v>0</v>
      </c>
      <c r="BL21" s="163">
        <v>11</v>
      </c>
      <c r="BM21" s="644">
        <v>0</v>
      </c>
      <c r="BN21" s="645">
        <v>5</v>
      </c>
      <c r="BO21" s="163">
        <v>0</v>
      </c>
      <c r="BP21" s="163">
        <v>0</v>
      </c>
      <c r="BQ21" s="163">
        <v>4</v>
      </c>
      <c r="BR21" s="643">
        <v>1</v>
      </c>
      <c r="BS21" s="646">
        <v>31</v>
      </c>
      <c r="BT21" s="645">
        <v>28</v>
      </c>
      <c r="BU21" s="163">
        <v>15</v>
      </c>
      <c r="BV21" s="163">
        <v>0</v>
      </c>
      <c r="BW21" s="163">
        <v>13</v>
      </c>
      <c r="BX21" s="644">
        <v>0</v>
      </c>
      <c r="BY21" s="645">
        <v>3</v>
      </c>
      <c r="BZ21" s="163">
        <v>1</v>
      </c>
      <c r="CA21" s="163">
        <v>0</v>
      </c>
      <c r="CB21" s="163">
        <v>2</v>
      </c>
      <c r="CC21" s="643">
        <v>0</v>
      </c>
      <c r="CD21" s="646">
        <v>3</v>
      </c>
      <c r="CE21" s="645">
        <v>3</v>
      </c>
      <c r="CF21" s="163">
        <v>0</v>
      </c>
      <c r="CG21" s="163">
        <v>0</v>
      </c>
      <c r="CH21" s="163">
        <v>3</v>
      </c>
      <c r="CI21" s="644">
        <v>0</v>
      </c>
      <c r="CJ21" s="645">
        <v>0</v>
      </c>
      <c r="CK21" s="163">
        <v>0</v>
      </c>
      <c r="CL21" s="163">
        <v>0</v>
      </c>
      <c r="CM21" s="163">
        <v>0</v>
      </c>
      <c r="CN21" s="643">
        <v>0</v>
      </c>
      <c r="CO21" s="646">
        <v>5</v>
      </c>
      <c r="CP21" s="645">
        <v>4</v>
      </c>
      <c r="CQ21" s="163">
        <v>3</v>
      </c>
      <c r="CR21" s="163">
        <v>0</v>
      </c>
      <c r="CS21" s="163">
        <v>1</v>
      </c>
      <c r="CT21" s="644">
        <v>0</v>
      </c>
      <c r="CU21" s="645">
        <v>1</v>
      </c>
      <c r="CV21" s="163">
        <v>0</v>
      </c>
      <c r="CW21" s="163">
        <v>0</v>
      </c>
      <c r="CX21" s="163">
        <v>1</v>
      </c>
      <c r="CY21" s="643">
        <v>0</v>
      </c>
      <c r="CZ21" s="646">
        <v>1</v>
      </c>
      <c r="DA21" s="645">
        <v>1</v>
      </c>
      <c r="DB21" s="163">
        <v>0</v>
      </c>
      <c r="DC21" s="163">
        <v>0</v>
      </c>
      <c r="DD21" s="163">
        <v>1</v>
      </c>
      <c r="DE21" s="644">
        <v>0</v>
      </c>
      <c r="DF21" s="645">
        <v>0</v>
      </c>
      <c r="DG21" s="163">
        <v>0</v>
      </c>
      <c r="DH21" s="163">
        <v>0</v>
      </c>
      <c r="DI21" s="163">
        <v>0</v>
      </c>
      <c r="DJ21" s="643">
        <v>0</v>
      </c>
      <c r="DK21" s="646">
        <v>0</v>
      </c>
      <c r="DL21" s="645">
        <v>0</v>
      </c>
      <c r="DM21" s="163">
        <v>0</v>
      </c>
      <c r="DN21" s="163">
        <v>0</v>
      </c>
      <c r="DO21" s="163">
        <v>0</v>
      </c>
      <c r="DP21" s="644">
        <v>0</v>
      </c>
      <c r="DQ21" s="645">
        <v>0</v>
      </c>
      <c r="DR21" s="163">
        <v>0</v>
      </c>
      <c r="DS21" s="163">
        <v>0</v>
      </c>
      <c r="DT21" s="163">
        <v>0</v>
      </c>
      <c r="DU21" s="643">
        <v>0</v>
      </c>
      <c r="DW21" s="646">
        <f t="shared" si="4"/>
        <v>89</v>
      </c>
      <c r="DX21" s="645">
        <f t="shared" si="4"/>
        <v>79</v>
      </c>
      <c r="DY21" s="163">
        <f t="shared" si="4"/>
        <v>39</v>
      </c>
      <c r="DZ21" s="163">
        <f t="shared" si="4"/>
        <v>0</v>
      </c>
      <c r="EA21" s="163">
        <f t="shared" si="4"/>
        <v>40</v>
      </c>
      <c r="EB21" s="644">
        <f t="shared" si="4"/>
        <v>0</v>
      </c>
      <c r="EC21" s="645">
        <f t="shared" si="4"/>
        <v>10</v>
      </c>
      <c r="ED21" s="163">
        <f t="shared" si="4"/>
        <v>2</v>
      </c>
      <c r="EE21" s="163">
        <f t="shared" si="4"/>
        <v>0</v>
      </c>
      <c r="EF21" s="163">
        <f t="shared" si="4"/>
        <v>7</v>
      </c>
      <c r="EG21" s="643">
        <f t="shared" si="4"/>
        <v>1</v>
      </c>
      <c r="EH21" s="646">
        <f t="shared" si="5"/>
        <v>30</v>
      </c>
      <c r="EI21" s="645">
        <f t="shared" si="5"/>
        <v>24</v>
      </c>
      <c r="EJ21" s="163">
        <f t="shared" si="5"/>
        <v>12</v>
      </c>
      <c r="EK21" s="163">
        <f t="shared" si="5"/>
        <v>0</v>
      </c>
      <c r="EL21" s="163">
        <f t="shared" si="5"/>
        <v>12</v>
      </c>
      <c r="EM21" s="644">
        <f t="shared" si="5"/>
        <v>0</v>
      </c>
      <c r="EN21" s="645">
        <f t="shared" si="5"/>
        <v>6</v>
      </c>
      <c r="EO21" s="163">
        <f t="shared" si="5"/>
        <v>3</v>
      </c>
      <c r="EP21" s="163">
        <f t="shared" si="5"/>
        <v>0</v>
      </c>
      <c r="EQ21" s="163">
        <f t="shared" si="5"/>
        <v>3</v>
      </c>
      <c r="ER21" s="643">
        <f t="shared" si="5"/>
        <v>0</v>
      </c>
    </row>
    <row r="22" spans="2:148">
      <c r="B22" s="354" t="s">
        <v>241</v>
      </c>
      <c r="C22" s="330">
        <v>2021</v>
      </c>
      <c r="D22" s="626">
        <v>180181</v>
      </c>
      <c r="E22" s="646">
        <v>5148</v>
      </c>
      <c r="F22" s="645">
        <v>3762</v>
      </c>
      <c r="G22" s="163">
        <v>1702</v>
      </c>
      <c r="H22" s="163">
        <v>0</v>
      </c>
      <c r="I22" s="163">
        <v>2060</v>
      </c>
      <c r="J22" s="644">
        <v>0</v>
      </c>
      <c r="K22" s="645">
        <v>1386</v>
      </c>
      <c r="L22" s="163">
        <v>267</v>
      </c>
      <c r="M22" s="163">
        <v>0</v>
      </c>
      <c r="N22" s="163">
        <v>1063</v>
      </c>
      <c r="O22" s="643">
        <v>56</v>
      </c>
      <c r="P22" s="646">
        <f t="shared" si="2"/>
        <v>3</v>
      </c>
      <c r="Q22" s="645">
        <v>3</v>
      </c>
      <c r="R22" s="163">
        <v>2</v>
      </c>
      <c r="S22" s="163">
        <v>0</v>
      </c>
      <c r="T22" s="163">
        <v>1</v>
      </c>
      <c r="U22" s="644">
        <v>0</v>
      </c>
      <c r="V22" s="645">
        <v>0</v>
      </c>
      <c r="W22" s="163">
        <v>0</v>
      </c>
      <c r="X22" s="163">
        <v>0</v>
      </c>
      <c r="Y22" s="163">
        <v>0</v>
      </c>
      <c r="Z22" s="643">
        <v>0</v>
      </c>
      <c r="AA22" s="646">
        <f t="shared" si="3"/>
        <v>4</v>
      </c>
      <c r="AB22" s="645">
        <v>3</v>
      </c>
      <c r="AC22" s="163">
        <v>0</v>
      </c>
      <c r="AD22" s="163">
        <v>0</v>
      </c>
      <c r="AE22" s="163">
        <v>3</v>
      </c>
      <c r="AF22" s="644">
        <v>0</v>
      </c>
      <c r="AG22" s="645">
        <v>1</v>
      </c>
      <c r="AH22" s="163">
        <v>1</v>
      </c>
      <c r="AI22" s="163">
        <v>0</v>
      </c>
      <c r="AJ22" s="163">
        <v>0</v>
      </c>
      <c r="AK22" s="643">
        <v>0</v>
      </c>
      <c r="AL22" s="646">
        <v>56</v>
      </c>
      <c r="AM22" s="645">
        <v>39</v>
      </c>
      <c r="AN22" s="163">
        <v>18</v>
      </c>
      <c r="AO22" s="163">
        <v>0</v>
      </c>
      <c r="AP22" s="163">
        <v>21</v>
      </c>
      <c r="AQ22" s="644">
        <v>0</v>
      </c>
      <c r="AR22" s="645">
        <v>17</v>
      </c>
      <c r="AS22" s="163">
        <v>3</v>
      </c>
      <c r="AT22" s="163">
        <v>0</v>
      </c>
      <c r="AU22" s="163">
        <v>14</v>
      </c>
      <c r="AV22" s="643">
        <v>0</v>
      </c>
      <c r="AW22" s="646">
        <v>24</v>
      </c>
      <c r="AX22" s="645">
        <v>20</v>
      </c>
      <c r="AY22" s="163">
        <v>11</v>
      </c>
      <c r="AZ22" s="163">
        <v>0</v>
      </c>
      <c r="BA22" s="163">
        <v>9</v>
      </c>
      <c r="BB22" s="644">
        <v>0</v>
      </c>
      <c r="BC22" s="645">
        <v>4</v>
      </c>
      <c r="BD22" s="163">
        <v>2</v>
      </c>
      <c r="BE22" s="163">
        <v>0</v>
      </c>
      <c r="BF22" s="163">
        <v>2</v>
      </c>
      <c r="BG22" s="643">
        <v>0</v>
      </c>
      <c r="BH22" s="646">
        <v>45</v>
      </c>
      <c r="BI22" s="645">
        <v>38</v>
      </c>
      <c r="BJ22" s="163">
        <v>17</v>
      </c>
      <c r="BK22" s="163">
        <v>0</v>
      </c>
      <c r="BL22" s="163">
        <v>21</v>
      </c>
      <c r="BM22" s="644">
        <v>0</v>
      </c>
      <c r="BN22" s="645">
        <v>7</v>
      </c>
      <c r="BO22" s="163">
        <v>2</v>
      </c>
      <c r="BP22" s="163">
        <v>0</v>
      </c>
      <c r="BQ22" s="163">
        <v>4</v>
      </c>
      <c r="BR22" s="643">
        <v>1</v>
      </c>
      <c r="BS22" s="646">
        <v>46</v>
      </c>
      <c r="BT22" s="645">
        <v>38</v>
      </c>
      <c r="BU22" s="163">
        <v>16</v>
      </c>
      <c r="BV22" s="163">
        <v>0</v>
      </c>
      <c r="BW22" s="163">
        <v>22</v>
      </c>
      <c r="BX22" s="644">
        <v>0</v>
      </c>
      <c r="BY22" s="645">
        <v>8</v>
      </c>
      <c r="BZ22" s="163">
        <v>3</v>
      </c>
      <c r="CA22" s="163">
        <v>0</v>
      </c>
      <c r="CB22" s="163">
        <v>5</v>
      </c>
      <c r="CC22" s="643">
        <v>0</v>
      </c>
      <c r="CD22" s="646">
        <v>8</v>
      </c>
      <c r="CE22" s="645">
        <v>6</v>
      </c>
      <c r="CF22" s="163">
        <v>0</v>
      </c>
      <c r="CG22" s="163">
        <v>0</v>
      </c>
      <c r="CH22" s="163">
        <v>6</v>
      </c>
      <c r="CI22" s="644">
        <v>0</v>
      </c>
      <c r="CJ22" s="645">
        <v>2</v>
      </c>
      <c r="CK22" s="163">
        <v>0</v>
      </c>
      <c r="CL22" s="163">
        <v>0</v>
      </c>
      <c r="CM22" s="163">
        <v>2</v>
      </c>
      <c r="CN22" s="643">
        <v>0</v>
      </c>
      <c r="CO22" s="646">
        <v>6</v>
      </c>
      <c r="CP22" s="645">
        <v>4</v>
      </c>
      <c r="CQ22" s="163">
        <v>1</v>
      </c>
      <c r="CR22" s="163">
        <v>0</v>
      </c>
      <c r="CS22" s="163">
        <v>3</v>
      </c>
      <c r="CT22" s="644">
        <v>0</v>
      </c>
      <c r="CU22" s="645">
        <v>2</v>
      </c>
      <c r="CV22" s="163">
        <v>0</v>
      </c>
      <c r="CW22" s="163">
        <v>0</v>
      </c>
      <c r="CX22" s="163">
        <v>2</v>
      </c>
      <c r="CY22" s="643">
        <v>0</v>
      </c>
      <c r="CZ22" s="646">
        <v>1</v>
      </c>
      <c r="DA22" s="645">
        <v>1</v>
      </c>
      <c r="DB22" s="163">
        <v>0</v>
      </c>
      <c r="DC22" s="163">
        <v>0</v>
      </c>
      <c r="DD22" s="163">
        <v>1</v>
      </c>
      <c r="DE22" s="644">
        <v>0</v>
      </c>
      <c r="DF22" s="645">
        <v>0</v>
      </c>
      <c r="DG22" s="163">
        <v>0</v>
      </c>
      <c r="DH22" s="163">
        <v>0</v>
      </c>
      <c r="DI22" s="163">
        <v>0</v>
      </c>
      <c r="DJ22" s="643">
        <v>0</v>
      </c>
      <c r="DK22" s="646">
        <v>0</v>
      </c>
      <c r="DL22" s="645">
        <v>0</v>
      </c>
      <c r="DM22" s="163">
        <v>0</v>
      </c>
      <c r="DN22" s="163">
        <v>0</v>
      </c>
      <c r="DO22" s="163">
        <v>0</v>
      </c>
      <c r="DP22" s="644">
        <v>0</v>
      </c>
      <c r="DQ22" s="645">
        <v>0</v>
      </c>
      <c r="DR22" s="163">
        <v>0</v>
      </c>
      <c r="DS22" s="163">
        <v>0</v>
      </c>
      <c r="DT22" s="163">
        <v>0</v>
      </c>
      <c r="DU22" s="643">
        <v>0</v>
      </c>
      <c r="DW22" s="646">
        <f t="shared" si="4"/>
        <v>137</v>
      </c>
      <c r="DX22" s="645">
        <f t="shared" si="4"/>
        <v>113</v>
      </c>
      <c r="DY22" s="163">
        <f t="shared" si="4"/>
        <v>47</v>
      </c>
      <c r="DZ22" s="163">
        <f t="shared" si="4"/>
        <v>0</v>
      </c>
      <c r="EA22" s="163">
        <f t="shared" si="4"/>
        <v>66</v>
      </c>
      <c r="EB22" s="644">
        <f t="shared" si="4"/>
        <v>0</v>
      </c>
      <c r="EC22" s="645">
        <f t="shared" si="4"/>
        <v>24</v>
      </c>
      <c r="ED22" s="163">
        <f t="shared" si="4"/>
        <v>8</v>
      </c>
      <c r="EE22" s="163">
        <f t="shared" si="4"/>
        <v>0</v>
      </c>
      <c r="EF22" s="163">
        <f t="shared" si="4"/>
        <v>15</v>
      </c>
      <c r="EG22" s="643">
        <f t="shared" si="4"/>
        <v>1</v>
      </c>
      <c r="EH22" s="646">
        <f t="shared" si="5"/>
        <v>56</v>
      </c>
      <c r="EI22" s="645">
        <f t="shared" si="5"/>
        <v>39</v>
      </c>
      <c r="EJ22" s="163">
        <f t="shared" si="5"/>
        <v>18</v>
      </c>
      <c r="EK22" s="163">
        <f t="shared" si="5"/>
        <v>0</v>
      </c>
      <c r="EL22" s="163">
        <f t="shared" si="5"/>
        <v>21</v>
      </c>
      <c r="EM22" s="644">
        <f t="shared" si="5"/>
        <v>0</v>
      </c>
      <c r="EN22" s="645">
        <f t="shared" si="5"/>
        <v>17</v>
      </c>
      <c r="EO22" s="163">
        <f t="shared" si="5"/>
        <v>3</v>
      </c>
      <c r="EP22" s="163">
        <f t="shared" si="5"/>
        <v>0</v>
      </c>
      <c r="EQ22" s="163">
        <f t="shared" si="5"/>
        <v>14</v>
      </c>
      <c r="ER22" s="643">
        <f t="shared" si="5"/>
        <v>0</v>
      </c>
    </row>
    <row r="23" spans="2:148">
      <c r="B23" s="354" t="s">
        <v>242</v>
      </c>
      <c r="C23" s="330">
        <v>2021</v>
      </c>
      <c r="D23" s="626">
        <v>174638</v>
      </c>
      <c r="E23" s="646">
        <v>5171</v>
      </c>
      <c r="F23" s="645">
        <v>3672</v>
      </c>
      <c r="G23" s="163">
        <v>2018</v>
      </c>
      <c r="H23" s="163">
        <v>0</v>
      </c>
      <c r="I23" s="163">
        <v>1654</v>
      </c>
      <c r="J23" s="644">
        <v>0</v>
      </c>
      <c r="K23" s="645">
        <v>1499</v>
      </c>
      <c r="L23" s="163">
        <v>382</v>
      </c>
      <c r="M23" s="163">
        <v>0</v>
      </c>
      <c r="N23" s="163">
        <v>987</v>
      </c>
      <c r="O23" s="643">
        <v>130</v>
      </c>
      <c r="P23" s="646">
        <f t="shared" si="2"/>
        <v>9</v>
      </c>
      <c r="Q23" s="645">
        <v>5</v>
      </c>
      <c r="R23" s="163">
        <v>4</v>
      </c>
      <c r="S23" s="163">
        <v>0</v>
      </c>
      <c r="T23" s="163">
        <v>1</v>
      </c>
      <c r="U23" s="644">
        <v>0</v>
      </c>
      <c r="V23" s="645">
        <v>4</v>
      </c>
      <c r="W23" s="163">
        <v>2</v>
      </c>
      <c r="X23" s="163">
        <v>0</v>
      </c>
      <c r="Y23" s="163">
        <v>1</v>
      </c>
      <c r="Z23" s="643">
        <v>1</v>
      </c>
      <c r="AA23" s="646">
        <f t="shared" si="3"/>
        <v>3</v>
      </c>
      <c r="AB23" s="645">
        <v>2</v>
      </c>
      <c r="AC23" s="163">
        <v>0</v>
      </c>
      <c r="AD23" s="163">
        <v>0</v>
      </c>
      <c r="AE23" s="163">
        <v>2</v>
      </c>
      <c r="AF23" s="644">
        <v>0</v>
      </c>
      <c r="AG23" s="645">
        <v>1</v>
      </c>
      <c r="AH23" s="163">
        <v>1</v>
      </c>
      <c r="AI23" s="163">
        <v>0</v>
      </c>
      <c r="AJ23" s="163">
        <v>0</v>
      </c>
      <c r="AK23" s="643">
        <v>0</v>
      </c>
      <c r="AL23" s="646">
        <v>58</v>
      </c>
      <c r="AM23" s="645">
        <v>43</v>
      </c>
      <c r="AN23" s="163">
        <v>26</v>
      </c>
      <c r="AO23" s="163">
        <v>0</v>
      </c>
      <c r="AP23" s="163">
        <v>17</v>
      </c>
      <c r="AQ23" s="644">
        <v>0</v>
      </c>
      <c r="AR23" s="645">
        <v>15</v>
      </c>
      <c r="AS23" s="163">
        <v>3</v>
      </c>
      <c r="AT23" s="163">
        <v>0</v>
      </c>
      <c r="AU23" s="163">
        <v>12</v>
      </c>
      <c r="AV23" s="643">
        <v>0</v>
      </c>
      <c r="AW23" s="646">
        <v>29</v>
      </c>
      <c r="AX23" s="645">
        <v>23</v>
      </c>
      <c r="AY23" s="163">
        <v>17</v>
      </c>
      <c r="AZ23" s="163">
        <v>0</v>
      </c>
      <c r="BA23" s="163">
        <v>6</v>
      </c>
      <c r="BB23" s="644">
        <v>0</v>
      </c>
      <c r="BC23" s="645">
        <v>6</v>
      </c>
      <c r="BD23" s="163">
        <v>3</v>
      </c>
      <c r="BE23" s="163">
        <v>0</v>
      </c>
      <c r="BF23" s="163">
        <v>2</v>
      </c>
      <c r="BG23" s="643">
        <v>1</v>
      </c>
      <c r="BH23" s="646">
        <v>51</v>
      </c>
      <c r="BI23" s="645">
        <v>40</v>
      </c>
      <c r="BJ23" s="163">
        <v>25</v>
      </c>
      <c r="BK23" s="163">
        <v>0</v>
      </c>
      <c r="BL23" s="163">
        <v>15</v>
      </c>
      <c r="BM23" s="644">
        <v>0</v>
      </c>
      <c r="BN23" s="645">
        <v>11</v>
      </c>
      <c r="BO23" s="163">
        <v>0</v>
      </c>
      <c r="BP23" s="163">
        <v>0</v>
      </c>
      <c r="BQ23" s="163">
        <v>10</v>
      </c>
      <c r="BR23" s="643">
        <v>1</v>
      </c>
      <c r="BS23" s="646">
        <v>52</v>
      </c>
      <c r="BT23" s="645">
        <v>39</v>
      </c>
      <c r="BU23" s="163">
        <v>22</v>
      </c>
      <c r="BV23" s="163">
        <v>0</v>
      </c>
      <c r="BW23" s="163">
        <v>17</v>
      </c>
      <c r="BX23" s="644">
        <v>0</v>
      </c>
      <c r="BY23" s="645">
        <v>13</v>
      </c>
      <c r="BZ23" s="163">
        <v>4</v>
      </c>
      <c r="CA23" s="163">
        <v>0</v>
      </c>
      <c r="CB23" s="163">
        <v>7</v>
      </c>
      <c r="CC23" s="643">
        <v>2</v>
      </c>
      <c r="CD23" s="646">
        <v>7</v>
      </c>
      <c r="CE23" s="645">
        <v>6</v>
      </c>
      <c r="CF23" s="163">
        <v>2</v>
      </c>
      <c r="CG23" s="163">
        <v>0</v>
      </c>
      <c r="CH23" s="163">
        <v>4</v>
      </c>
      <c r="CI23" s="644">
        <v>0</v>
      </c>
      <c r="CJ23" s="645">
        <v>1</v>
      </c>
      <c r="CK23" s="163">
        <v>0</v>
      </c>
      <c r="CL23" s="163">
        <v>0</v>
      </c>
      <c r="CM23" s="163">
        <v>1</v>
      </c>
      <c r="CN23" s="643">
        <v>0</v>
      </c>
      <c r="CO23" s="646">
        <v>14</v>
      </c>
      <c r="CP23" s="645">
        <v>9</v>
      </c>
      <c r="CQ23" s="163">
        <v>6</v>
      </c>
      <c r="CR23" s="163">
        <v>0</v>
      </c>
      <c r="CS23" s="163">
        <v>3</v>
      </c>
      <c r="CT23" s="644">
        <v>0</v>
      </c>
      <c r="CU23" s="645">
        <v>5</v>
      </c>
      <c r="CV23" s="163">
        <v>0</v>
      </c>
      <c r="CW23" s="163">
        <v>0</v>
      </c>
      <c r="CX23" s="163">
        <v>5</v>
      </c>
      <c r="CY23" s="643">
        <v>0</v>
      </c>
      <c r="CZ23" s="646">
        <v>4</v>
      </c>
      <c r="DA23" s="645">
        <v>3</v>
      </c>
      <c r="DB23" s="163">
        <v>2</v>
      </c>
      <c r="DC23" s="163">
        <v>0</v>
      </c>
      <c r="DD23" s="163">
        <v>1</v>
      </c>
      <c r="DE23" s="644">
        <v>0</v>
      </c>
      <c r="DF23" s="645">
        <v>1</v>
      </c>
      <c r="DG23" s="163">
        <v>1</v>
      </c>
      <c r="DH23" s="163">
        <v>0</v>
      </c>
      <c r="DI23" s="163">
        <v>0</v>
      </c>
      <c r="DJ23" s="643">
        <v>0</v>
      </c>
      <c r="DK23" s="646">
        <v>0</v>
      </c>
      <c r="DL23" s="645">
        <v>0</v>
      </c>
      <c r="DM23" s="163">
        <v>0</v>
      </c>
      <c r="DN23" s="163">
        <v>0</v>
      </c>
      <c r="DO23" s="163">
        <v>0</v>
      </c>
      <c r="DP23" s="644">
        <v>0</v>
      </c>
      <c r="DQ23" s="645">
        <v>0</v>
      </c>
      <c r="DR23" s="163">
        <v>0</v>
      </c>
      <c r="DS23" s="163">
        <v>0</v>
      </c>
      <c r="DT23" s="163">
        <v>0</v>
      </c>
      <c r="DU23" s="643">
        <v>0</v>
      </c>
      <c r="DW23" s="646">
        <f t="shared" si="4"/>
        <v>169</v>
      </c>
      <c r="DX23" s="645">
        <f t="shared" si="4"/>
        <v>127</v>
      </c>
      <c r="DY23" s="163">
        <f t="shared" si="4"/>
        <v>78</v>
      </c>
      <c r="DZ23" s="163">
        <f t="shared" si="4"/>
        <v>0</v>
      </c>
      <c r="EA23" s="163">
        <f t="shared" si="4"/>
        <v>49</v>
      </c>
      <c r="EB23" s="644">
        <f t="shared" si="4"/>
        <v>0</v>
      </c>
      <c r="EC23" s="645">
        <f t="shared" si="4"/>
        <v>42</v>
      </c>
      <c r="ED23" s="163">
        <f t="shared" si="4"/>
        <v>11</v>
      </c>
      <c r="EE23" s="163">
        <f t="shared" si="4"/>
        <v>0</v>
      </c>
      <c r="EF23" s="163">
        <f t="shared" si="4"/>
        <v>26</v>
      </c>
      <c r="EG23" s="643">
        <f t="shared" si="4"/>
        <v>5</v>
      </c>
      <c r="EH23" s="646">
        <f t="shared" si="5"/>
        <v>58</v>
      </c>
      <c r="EI23" s="645">
        <f t="shared" si="5"/>
        <v>43</v>
      </c>
      <c r="EJ23" s="163">
        <f t="shared" si="5"/>
        <v>26</v>
      </c>
      <c r="EK23" s="163">
        <f t="shared" si="5"/>
        <v>0</v>
      </c>
      <c r="EL23" s="163">
        <f t="shared" si="5"/>
        <v>17</v>
      </c>
      <c r="EM23" s="644">
        <f t="shared" si="5"/>
        <v>0</v>
      </c>
      <c r="EN23" s="645">
        <f t="shared" si="5"/>
        <v>15</v>
      </c>
      <c r="EO23" s="163">
        <f t="shared" si="5"/>
        <v>3</v>
      </c>
      <c r="EP23" s="163">
        <f t="shared" si="5"/>
        <v>0</v>
      </c>
      <c r="EQ23" s="163">
        <f t="shared" si="5"/>
        <v>12</v>
      </c>
      <c r="ER23" s="643">
        <f t="shared" si="5"/>
        <v>0</v>
      </c>
    </row>
    <row r="24" spans="2:148">
      <c r="B24" s="354" t="s">
        <v>243</v>
      </c>
      <c r="C24" s="330">
        <v>2021</v>
      </c>
      <c r="D24" s="626">
        <v>130630</v>
      </c>
      <c r="E24" s="646">
        <v>6129</v>
      </c>
      <c r="F24" s="645">
        <v>4787</v>
      </c>
      <c r="G24" s="163">
        <v>2342</v>
      </c>
      <c r="H24" s="163">
        <v>0</v>
      </c>
      <c r="I24" s="163">
        <v>2445</v>
      </c>
      <c r="J24" s="644">
        <v>0</v>
      </c>
      <c r="K24" s="645">
        <v>1342</v>
      </c>
      <c r="L24" s="163">
        <v>199</v>
      </c>
      <c r="M24" s="163">
        <v>0</v>
      </c>
      <c r="N24" s="163">
        <v>1114</v>
      </c>
      <c r="O24" s="643">
        <v>29</v>
      </c>
      <c r="P24" s="646">
        <f t="shared" si="2"/>
        <v>12</v>
      </c>
      <c r="Q24" s="645">
        <v>6</v>
      </c>
      <c r="R24" s="163">
        <v>2</v>
      </c>
      <c r="S24" s="163">
        <v>0</v>
      </c>
      <c r="T24" s="163">
        <v>4</v>
      </c>
      <c r="U24" s="644">
        <v>0</v>
      </c>
      <c r="V24" s="645">
        <v>6</v>
      </c>
      <c r="W24" s="163">
        <v>0</v>
      </c>
      <c r="X24" s="163">
        <v>0</v>
      </c>
      <c r="Y24" s="163">
        <v>6</v>
      </c>
      <c r="Z24" s="643">
        <v>0</v>
      </c>
      <c r="AA24" s="646">
        <f t="shared" si="3"/>
        <v>4</v>
      </c>
      <c r="AB24" s="645">
        <v>3</v>
      </c>
      <c r="AC24" s="163">
        <v>3</v>
      </c>
      <c r="AD24" s="163">
        <v>0</v>
      </c>
      <c r="AE24" s="163">
        <v>0</v>
      </c>
      <c r="AF24" s="644">
        <v>0</v>
      </c>
      <c r="AG24" s="645">
        <v>1</v>
      </c>
      <c r="AH24" s="163">
        <v>1</v>
      </c>
      <c r="AI24" s="163">
        <v>0</v>
      </c>
      <c r="AJ24" s="163">
        <v>0</v>
      </c>
      <c r="AK24" s="643">
        <v>0</v>
      </c>
      <c r="AL24" s="646">
        <v>54</v>
      </c>
      <c r="AM24" s="645">
        <v>49</v>
      </c>
      <c r="AN24" s="163">
        <v>33</v>
      </c>
      <c r="AO24" s="163">
        <v>0</v>
      </c>
      <c r="AP24" s="163">
        <v>16</v>
      </c>
      <c r="AQ24" s="644">
        <v>0</v>
      </c>
      <c r="AR24" s="645">
        <v>5</v>
      </c>
      <c r="AS24" s="163">
        <v>0</v>
      </c>
      <c r="AT24" s="163">
        <v>0</v>
      </c>
      <c r="AU24" s="163">
        <v>5</v>
      </c>
      <c r="AV24" s="643">
        <v>0</v>
      </c>
      <c r="AW24" s="646">
        <v>33</v>
      </c>
      <c r="AX24" s="645">
        <v>22</v>
      </c>
      <c r="AY24" s="163">
        <v>13</v>
      </c>
      <c r="AZ24" s="163">
        <v>0</v>
      </c>
      <c r="BA24" s="163">
        <v>9</v>
      </c>
      <c r="BB24" s="644">
        <v>0</v>
      </c>
      <c r="BC24" s="645">
        <v>11</v>
      </c>
      <c r="BD24" s="163">
        <v>2</v>
      </c>
      <c r="BE24" s="163">
        <v>0</v>
      </c>
      <c r="BF24" s="163">
        <v>8</v>
      </c>
      <c r="BG24" s="643">
        <v>1</v>
      </c>
      <c r="BH24" s="646">
        <v>34</v>
      </c>
      <c r="BI24" s="645">
        <v>26</v>
      </c>
      <c r="BJ24" s="163">
        <v>11</v>
      </c>
      <c r="BK24" s="163">
        <v>0</v>
      </c>
      <c r="BL24" s="163">
        <v>15</v>
      </c>
      <c r="BM24" s="644">
        <v>0</v>
      </c>
      <c r="BN24" s="645">
        <v>8</v>
      </c>
      <c r="BO24" s="163">
        <v>2</v>
      </c>
      <c r="BP24" s="163">
        <v>0</v>
      </c>
      <c r="BQ24" s="163">
        <v>6</v>
      </c>
      <c r="BR24" s="643">
        <v>0</v>
      </c>
      <c r="BS24" s="646">
        <v>75</v>
      </c>
      <c r="BT24" s="645">
        <v>52</v>
      </c>
      <c r="BU24" s="163">
        <v>19</v>
      </c>
      <c r="BV24" s="163">
        <v>0</v>
      </c>
      <c r="BW24" s="163">
        <v>33</v>
      </c>
      <c r="BX24" s="644">
        <v>0</v>
      </c>
      <c r="BY24" s="645">
        <v>23</v>
      </c>
      <c r="BZ24" s="163">
        <v>4</v>
      </c>
      <c r="CA24" s="163">
        <v>0</v>
      </c>
      <c r="CB24" s="163">
        <v>19</v>
      </c>
      <c r="CC24" s="643">
        <v>0</v>
      </c>
      <c r="CD24" s="646">
        <v>11</v>
      </c>
      <c r="CE24" s="645">
        <v>8</v>
      </c>
      <c r="CF24" s="163">
        <v>4</v>
      </c>
      <c r="CG24" s="163">
        <v>0</v>
      </c>
      <c r="CH24" s="163">
        <v>4</v>
      </c>
      <c r="CI24" s="644">
        <v>0</v>
      </c>
      <c r="CJ24" s="645">
        <v>3</v>
      </c>
      <c r="CK24" s="163">
        <v>0</v>
      </c>
      <c r="CL24" s="163">
        <v>0</v>
      </c>
      <c r="CM24" s="163">
        <v>3</v>
      </c>
      <c r="CN24" s="643">
        <v>0</v>
      </c>
      <c r="CO24" s="646">
        <v>6</v>
      </c>
      <c r="CP24" s="645">
        <v>5</v>
      </c>
      <c r="CQ24" s="163">
        <v>5</v>
      </c>
      <c r="CR24" s="163">
        <v>0</v>
      </c>
      <c r="CS24" s="163">
        <v>0</v>
      </c>
      <c r="CT24" s="644">
        <v>0</v>
      </c>
      <c r="CU24" s="645">
        <v>1</v>
      </c>
      <c r="CV24" s="163">
        <v>0</v>
      </c>
      <c r="CW24" s="163">
        <v>0</v>
      </c>
      <c r="CX24" s="163">
        <v>1</v>
      </c>
      <c r="CY24" s="643">
        <v>0</v>
      </c>
      <c r="CZ24" s="646">
        <v>2</v>
      </c>
      <c r="DA24" s="645">
        <v>2</v>
      </c>
      <c r="DB24" s="163">
        <v>1</v>
      </c>
      <c r="DC24" s="163">
        <v>0</v>
      </c>
      <c r="DD24" s="163">
        <v>1</v>
      </c>
      <c r="DE24" s="644">
        <v>0</v>
      </c>
      <c r="DF24" s="645">
        <v>0</v>
      </c>
      <c r="DG24" s="163">
        <v>0</v>
      </c>
      <c r="DH24" s="163">
        <v>0</v>
      </c>
      <c r="DI24" s="163">
        <v>0</v>
      </c>
      <c r="DJ24" s="643">
        <v>0</v>
      </c>
      <c r="DK24" s="646">
        <v>0</v>
      </c>
      <c r="DL24" s="645">
        <v>0</v>
      </c>
      <c r="DM24" s="163">
        <v>0</v>
      </c>
      <c r="DN24" s="163">
        <v>0</v>
      </c>
      <c r="DO24" s="163">
        <v>0</v>
      </c>
      <c r="DP24" s="644">
        <v>0</v>
      </c>
      <c r="DQ24" s="645">
        <v>0</v>
      </c>
      <c r="DR24" s="163">
        <v>0</v>
      </c>
      <c r="DS24" s="163">
        <v>0</v>
      </c>
      <c r="DT24" s="163">
        <v>0</v>
      </c>
      <c r="DU24" s="643">
        <v>0</v>
      </c>
      <c r="DW24" s="646">
        <f t="shared" si="4"/>
        <v>177</v>
      </c>
      <c r="DX24" s="645">
        <f t="shared" si="4"/>
        <v>124</v>
      </c>
      <c r="DY24" s="163">
        <f t="shared" si="4"/>
        <v>58</v>
      </c>
      <c r="DZ24" s="163">
        <f t="shared" si="4"/>
        <v>0</v>
      </c>
      <c r="EA24" s="163">
        <f t="shared" si="4"/>
        <v>66</v>
      </c>
      <c r="EB24" s="644">
        <f t="shared" si="4"/>
        <v>0</v>
      </c>
      <c r="EC24" s="645">
        <f t="shared" si="4"/>
        <v>53</v>
      </c>
      <c r="ED24" s="163">
        <f t="shared" si="4"/>
        <v>9</v>
      </c>
      <c r="EE24" s="163">
        <f t="shared" si="4"/>
        <v>0</v>
      </c>
      <c r="EF24" s="163">
        <f t="shared" si="4"/>
        <v>43</v>
      </c>
      <c r="EG24" s="643">
        <f t="shared" si="4"/>
        <v>1</v>
      </c>
      <c r="EH24" s="646">
        <f t="shared" si="5"/>
        <v>54</v>
      </c>
      <c r="EI24" s="645">
        <f t="shared" si="5"/>
        <v>49</v>
      </c>
      <c r="EJ24" s="163">
        <f t="shared" si="5"/>
        <v>33</v>
      </c>
      <c r="EK24" s="163">
        <f t="shared" si="5"/>
        <v>0</v>
      </c>
      <c r="EL24" s="163">
        <f t="shared" si="5"/>
        <v>16</v>
      </c>
      <c r="EM24" s="644">
        <f t="shared" si="5"/>
        <v>0</v>
      </c>
      <c r="EN24" s="645">
        <f t="shared" si="5"/>
        <v>5</v>
      </c>
      <c r="EO24" s="163">
        <f t="shared" si="5"/>
        <v>0</v>
      </c>
      <c r="EP24" s="163">
        <f t="shared" si="5"/>
        <v>0</v>
      </c>
      <c r="EQ24" s="163">
        <f t="shared" si="5"/>
        <v>5</v>
      </c>
      <c r="ER24" s="643">
        <f t="shared" si="5"/>
        <v>0</v>
      </c>
    </row>
    <row r="25" spans="2:148">
      <c r="B25" s="354" t="s">
        <v>244</v>
      </c>
      <c r="C25" s="330">
        <v>2022</v>
      </c>
      <c r="D25" s="626">
        <v>135138</v>
      </c>
      <c r="E25" s="646">
        <v>7124</v>
      </c>
      <c r="F25" s="645">
        <v>5686</v>
      </c>
      <c r="G25" s="163">
        <v>2869</v>
      </c>
      <c r="H25" s="163">
        <v>0</v>
      </c>
      <c r="I25" s="163">
        <v>2813</v>
      </c>
      <c r="J25" s="644">
        <v>4</v>
      </c>
      <c r="K25" s="645">
        <v>1438</v>
      </c>
      <c r="L25" s="163">
        <v>152</v>
      </c>
      <c r="M25" s="163">
        <v>0</v>
      </c>
      <c r="N25" s="163">
        <v>1045</v>
      </c>
      <c r="O25" s="643">
        <v>241</v>
      </c>
      <c r="P25" s="646">
        <f t="shared" si="2"/>
        <v>9</v>
      </c>
      <c r="Q25" s="645">
        <v>6</v>
      </c>
      <c r="R25" s="163">
        <v>1</v>
      </c>
      <c r="S25" s="163">
        <v>0</v>
      </c>
      <c r="T25" s="163">
        <v>5</v>
      </c>
      <c r="U25" s="644">
        <v>0</v>
      </c>
      <c r="V25" s="645">
        <v>3</v>
      </c>
      <c r="W25" s="163">
        <v>0</v>
      </c>
      <c r="X25" s="163">
        <v>0</v>
      </c>
      <c r="Y25" s="163">
        <v>3</v>
      </c>
      <c r="Z25" s="643">
        <v>0</v>
      </c>
      <c r="AA25" s="646">
        <f t="shared" si="3"/>
        <v>5</v>
      </c>
      <c r="AB25" s="645">
        <v>5</v>
      </c>
      <c r="AC25" s="163">
        <v>2</v>
      </c>
      <c r="AD25" s="163">
        <v>0</v>
      </c>
      <c r="AE25" s="163">
        <v>3</v>
      </c>
      <c r="AF25" s="644">
        <v>0</v>
      </c>
      <c r="AG25" s="645">
        <v>0</v>
      </c>
      <c r="AH25" s="163">
        <v>0</v>
      </c>
      <c r="AI25" s="163">
        <v>0</v>
      </c>
      <c r="AJ25" s="163">
        <v>0</v>
      </c>
      <c r="AK25" s="643">
        <v>0</v>
      </c>
      <c r="AL25" s="646">
        <v>81</v>
      </c>
      <c r="AM25" s="645">
        <v>60</v>
      </c>
      <c r="AN25" s="163">
        <v>28</v>
      </c>
      <c r="AO25" s="163">
        <v>0</v>
      </c>
      <c r="AP25" s="163">
        <v>32</v>
      </c>
      <c r="AQ25" s="644">
        <v>0</v>
      </c>
      <c r="AR25" s="645">
        <v>21</v>
      </c>
      <c r="AS25" s="163">
        <v>0</v>
      </c>
      <c r="AT25" s="163">
        <v>0</v>
      </c>
      <c r="AU25" s="163">
        <v>20</v>
      </c>
      <c r="AV25" s="643">
        <v>1</v>
      </c>
      <c r="AW25" s="646">
        <v>39</v>
      </c>
      <c r="AX25" s="645">
        <v>31</v>
      </c>
      <c r="AY25" s="163">
        <v>17</v>
      </c>
      <c r="AZ25" s="163">
        <v>0</v>
      </c>
      <c r="BA25" s="163">
        <v>14</v>
      </c>
      <c r="BB25" s="644">
        <v>0</v>
      </c>
      <c r="BC25" s="645">
        <v>8</v>
      </c>
      <c r="BD25" s="163">
        <v>1</v>
      </c>
      <c r="BE25" s="163">
        <v>0</v>
      </c>
      <c r="BF25" s="163">
        <v>7</v>
      </c>
      <c r="BG25" s="643">
        <v>0</v>
      </c>
      <c r="BH25" s="646">
        <v>56</v>
      </c>
      <c r="BI25" s="645">
        <v>45</v>
      </c>
      <c r="BJ25" s="163">
        <v>22</v>
      </c>
      <c r="BK25" s="163">
        <v>0</v>
      </c>
      <c r="BL25" s="163">
        <v>23</v>
      </c>
      <c r="BM25" s="644">
        <v>0</v>
      </c>
      <c r="BN25" s="645">
        <v>11</v>
      </c>
      <c r="BO25" s="163">
        <v>1</v>
      </c>
      <c r="BP25" s="163">
        <v>0</v>
      </c>
      <c r="BQ25" s="163">
        <v>8</v>
      </c>
      <c r="BR25" s="643">
        <v>2</v>
      </c>
      <c r="BS25" s="646">
        <v>88</v>
      </c>
      <c r="BT25" s="645">
        <v>70</v>
      </c>
      <c r="BU25" s="163">
        <v>35</v>
      </c>
      <c r="BV25" s="163">
        <v>0</v>
      </c>
      <c r="BW25" s="163">
        <v>35</v>
      </c>
      <c r="BX25" s="644">
        <v>0</v>
      </c>
      <c r="BY25" s="645">
        <v>18</v>
      </c>
      <c r="BZ25" s="163">
        <v>1</v>
      </c>
      <c r="CA25" s="163">
        <v>0</v>
      </c>
      <c r="CB25" s="163">
        <v>14</v>
      </c>
      <c r="CC25" s="643">
        <v>3</v>
      </c>
      <c r="CD25" s="646">
        <v>12</v>
      </c>
      <c r="CE25" s="645">
        <v>9</v>
      </c>
      <c r="CF25" s="163">
        <v>5</v>
      </c>
      <c r="CG25" s="163">
        <v>0</v>
      </c>
      <c r="CH25" s="163">
        <v>4</v>
      </c>
      <c r="CI25" s="644">
        <v>0</v>
      </c>
      <c r="CJ25" s="645">
        <v>3</v>
      </c>
      <c r="CK25" s="163">
        <v>0</v>
      </c>
      <c r="CL25" s="163">
        <v>0</v>
      </c>
      <c r="CM25" s="163">
        <v>3</v>
      </c>
      <c r="CN25" s="643">
        <v>0</v>
      </c>
      <c r="CO25" s="646">
        <v>4</v>
      </c>
      <c r="CP25" s="645">
        <v>3</v>
      </c>
      <c r="CQ25" s="163">
        <v>1</v>
      </c>
      <c r="CR25" s="163">
        <v>0</v>
      </c>
      <c r="CS25" s="163">
        <v>2</v>
      </c>
      <c r="CT25" s="644">
        <v>0</v>
      </c>
      <c r="CU25" s="645">
        <v>1</v>
      </c>
      <c r="CV25" s="163">
        <v>0</v>
      </c>
      <c r="CW25" s="163">
        <v>0</v>
      </c>
      <c r="CX25" s="163">
        <v>1</v>
      </c>
      <c r="CY25" s="643">
        <v>0</v>
      </c>
      <c r="CZ25" s="646">
        <v>3</v>
      </c>
      <c r="DA25" s="645">
        <v>3</v>
      </c>
      <c r="DB25" s="163">
        <v>1</v>
      </c>
      <c r="DC25" s="163">
        <v>0</v>
      </c>
      <c r="DD25" s="163">
        <v>2</v>
      </c>
      <c r="DE25" s="644">
        <v>0</v>
      </c>
      <c r="DF25" s="645">
        <v>0</v>
      </c>
      <c r="DG25" s="163">
        <v>0</v>
      </c>
      <c r="DH25" s="163">
        <v>0</v>
      </c>
      <c r="DI25" s="163">
        <v>0</v>
      </c>
      <c r="DJ25" s="643">
        <v>0</v>
      </c>
      <c r="DK25" s="646">
        <v>0</v>
      </c>
      <c r="DL25" s="645">
        <v>0</v>
      </c>
      <c r="DM25" s="163">
        <v>0</v>
      </c>
      <c r="DN25" s="163">
        <v>0</v>
      </c>
      <c r="DO25" s="163">
        <v>0</v>
      </c>
      <c r="DP25" s="644">
        <v>0</v>
      </c>
      <c r="DQ25" s="645">
        <v>0</v>
      </c>
      <c r="DR25" s="163">
        <v>0</v>
      </c>
      <c r="DS25" s="163">
        <v>0</v>
      </c>
      <c r="DT25" s="163">
        <v>0</v>
      </c>
      <c r="DU25" s="643">
        <v>0</v>
      </c>
      <c r="DW25" s="646">
        <f t="shared" si="4"/>
        <v>216</v>
      </c>
      <c r="DX25" s="645">
        <f t="shared" si="4"/>
        <v>172</v>
      </c>
      <c r="DY25" s="163">
        <f t="shared" si="4"/>
        <v>84</v>
      </c>
      <c r="DZ25" s="163">
        <f t="shared" si="4"/>
        <v>0</v>
      </c>
      <c r="EA25" s="163">
        <f t="shared" si="4"/>
        <v>88</v>
      </c>
      <c r="EB25" s="644">
        <f t="shared" si="4"/>
        <v>0</v>
      </c>
      <c r="EC25" s="645">
        <f t="shared" si="4"/>
        <v>44</v>
      </c>
      <c r="ED25" s="163">
        <f t="shared" si="4"/>
        <v>3</v>
      </c>
      <c r="EE25" s="163">
        <f t="shared" si="4"/>
        <v>0</v>
      </c>
      <c r="EF25" s="163">
        <f t="shared" si="4"/>
        <v>36</v>
      </c>
      <c r="EG25" s="643">
        <f t="shared" si="4"/>
        <v>5</v>
      </c>
      <c r="EH25" s="646">
        <f t="shared" si="5"/>
        <v>81</v>
      </c>
      <c r="EI25" s="645">
        <f t="shared" si="5"/>
        <v>60</v>
      </c>
      <c r="EJ25" s="163">
        <f t="shared" si="5"/>
        <v>28</v>
      </c>
      <c r="EK25" s="163">
        <f t="shared" si="5"/>
        <v>0</v>
      </c>
      <c r="EL25" s="163">
        <f t="shared" si="5"/>
        <v>32</v>
      </c>
      <c r="EM25" s="644">
        <f t="shared" si="5"/>
        <v>0</v>
      </c>
      <c r="EN25" s="645">
        <f t="shared" si="5"/>
        <v>21</v>
      </c>
      <c r="EO25" s="163">
        <f t="shared" si="5"/>
        <v>0</v>
      </c>
      <c r="EP25" s="163">
        <f t="shared" si="5"/>
        <v>0</v>
      </c>
      <c r="EQ25" s="163">
        <f t="shared" si="5"/>
        <v>20</v>
      </c>
      <c r="ER25" s="643">
        <f t="shared" si="5"/>
        <v>1</v>
      </c>
    </row>
    <row r="26" spans="2:148">
      <c r="B26" s="354" t="s">
        <v>245</v>
      </c>
      <c r="C26" s="330">
        <v>2022</v>
      </c>
      <c r="D26" s="626">
        <v>169244</v>
      </c>
      <c r="E26" s="646">
        <v>9534</v>
      </c>
      <c r="F26" s="645">
        <v>7875</v>
      </c>
      <c r="G26" s="163">
        <v>2904</v>
      </c>
      <c r="H26" s="163">
        <v>59</v>
      </c>
      <c r="I26" s="163">
        <v>4868</v>
      </c>
      <c r="J26" s="644">
        <v>44</v>
      </c>
      <c r="K26" s="645">
        <v>1659</v>
      </c>
      <c r="L26" s="163">
        <v>271</v>
      </c>
      <c r="M26" s="163">
        <v>0</v>
      </c>
      <c r="N26" s="163">
        <v>1271</v>
      </c>
      <c r="O26" s="643">
        <v>117</v>
      </c>
      <c r="P26" s="646">
        <f t="shared" si="2"/>
        <v>13</v>
      </c>
      <c r="Q26" s="645">
        <v>11</v>
      </c>
      <c r="R26" s="163">
        <v>2</v>
      </c>
      <c r="S26" s="163">
        <v>1</v>
      </c>
      <c r="T26" s="163">
        <v>8</v>
      </c>
      <c r="U26" s="644">
        <v>0</v>
      </c>
      <c r="V26" s="645">
        <v>2</v>
      </c>
      <c r="W26" s="163">
        <v>0</v>
      </c>
      <c r="X26" s="163">
        <v>0</v>
      </c>
      <c r="Y26" s="163">
        <v>2</v>
      </c>
      <c r="Z26" s="643">
        <v>0</v>
      </c>
      <c r="AA26" s="646">
        <f t="shared" si="3"/>
        <v>14</v>
      </c>
      <c r="AB26" s="645">
        <v>9</v>
      </c>
      <c r="AC26" s="163">
        <v>4</v>
      </c>
      <c r="AD26" s="163">
        <v>0</v>
      </c>
      <c r="AE26" s="163">
        <v>5</v>
      </c>
      <c r="AF26" s="644">
        <v>0</v>
      </c>
      <c r="AG26" s="645">
        <v>5</v>
      </c>
      <c r="AH26" s="163">
        <v>0</v>
      </c>
      <c r="AI26" s="163">
        <v>0</v>
      </c>
      <c r="AJ26" s="163">
        <v>4</v>
      </c>
      <c r="AK26" s="643">
        <v>1</v>
      </c>
      <c r="AL26" s="646">
        <v>80</v>
      </c>
      <c r="AM26" s="645">
        <v>60</v>
      </c>
      <c r="AN26" s="163">
        <v>20</v>
      </c>
      <c r="AO26" s="163">
        <v>1</v>
      </c>
      <c r="AP26" s="163">
        <v>38</v>
      </c>
      <c r="AQ26" s="644">
        <v>1</v>
      </c>
      <c r="AR26" s="645">
        <v>20</v>
      </c>
      <c r="AS26" s="163">
        <v>1</v>
      </c>
      <c r="AT26" s="163">
        <v>0</v>
      </c>
      <c r="AU26" s="163">
        <v>18</v>
      </c>
      <c r="AV26" s="643">
        <v>1</v>
      </c>
      <c r="AW26" s="646">
        <v>67</v>
      </c>
      <c r="AX26" s="645">
        <v>54</v>
      </c>
      <c r="AY26" s="163">
        <v>29</v>
      </c>
      <c r="AZ26" s="163">
        <v>0</v>
      </c>
      <c r="BA26" s="163">
        <v>25</v>
      </c>
      <c r="BB26" s="644">
        <v>0</v>
      </c>
      <c r="BC26" s="645">
        <v>13</v>
      </c>
      <c r="BD26" s="163">
        <v>1</v>
      </c>
      <c r="BE26" s="163">
        <v>0</v>
      </c>
      <c r="BF26" s="163">
        <v>11</v>
      </c>
      <c r="BG26" s="643">
        <v>1</v>
      </c>
      <c r="BH26" s="646">
        <v>82</v>
      </c>
      <c r="BI26" s="645">
        <v>70</v>
      </c>
      <c r="BJ26" s="163">
        <v>20</v>
      </c>
      <c r="BK26" s="163">
        <v>2</v>
      </c>
      <c r="BL26" s="163">
        <v>48</v>
      </c>
      <c r="BM26" s="644">
        <v>0</v>
      </c>
      <c r="BN26" s="645">
        <v>12</v>
      </c>
      <c r="BO26" s="163">
        <v>2</v>
      </c>
      <c r="BP26" s="163">
        <v>0</v>
      </c>
      <c r="BQ26" s="163">
        <v>9</v>
      </c>
      <c r="BR26" s="643">
        <v>1</v>
      </c>
      <c r="BS26" s="646">
        <v>101</v>
      </c>
      <c r="BT26" s="645">
        <v>93</v>
      </c>
      <c r="BU26" s="163">
        <v>27</v>
      </c>
      <c r="BV26" s="163">
        <v>1</v>
      </c>
      <c r="BW26" s="163">
        <v>65</v>
      </c>
      <c r="BX26" s="644">
        <v>0</v>
      </c>
      <c r="BY26" s="645">
        <v>8</v>
      </c>
      <c r="BZ26" s="163">
        <v>1</v>
      </c>
      <c r="CA26" s="163">
        <v>0</v>
      </c>
      <c r="CB26" s="163">
        <v>7</v>
      </c>
      <c r="CC26" s="643">
        <v>0</v>
      </c>
      <c r="CD26" s="646">
        <v>16</v>
      </c>
      <c r="CE26" s="645">
        <v>13</v>
      </c>
      <c r="CF26" s="163">
        <v>4</v>
      </c>
      <c r="CG26" s="163">
        <v>0</v>
      </c>
      <c r="CH26" s="163">
        <v>9</v>
      </c>
      <c r="CI26" s="644">
        <v>0</v>
      </c>
      <c r="CJ26" s="645">
        <v>3</v>
      </c>
      <c r="CK26" s="163">
        <v>1</v>
      </c>
      <c r="CL26" s="163">
        <v>0</v>
      </c>
      <c r="CM26" s="163">
        <v>1</v>
      </c>
      <c r="CN26" s="643">
        <v>1</v>
      </c>
      <c r="CO26" s="646">
        <v>14</v>
      </c>
      <c r="CP26" s="645">
        <v>13</v>
      </c>
      <c r="CQ26" s="163">
        <v>5</v>
      </c>
      <c r="CR26" s="163">
        <v>1</v>
      </c>
      <c r="CS26" s="163">
        <v>7</v>
      </c>
      <c r="CT26" s="644">
        <v>0</v>
      </c>
      <c r="CU26" s="645">
        <v>1</v>
      </c>
      <c r="CV26" s="163">
        <v>0</v>
      </c>
      <c r="CW26" s="163">
        <v>0</v>
      </c>
      <c r="CX26" s="163">
        <v>1</v>
      </c>
      <c r="CY26" s="643">
        <v>0</v>
      </c>
      <c r="CZ26" s="646">
        <v>4</v>
      </c>
      <c r="DA26" s="645">
        <v>3</v>
      </c>
      <c r="DB26" s="163">
        <v>0</v>
      </c>
      <c r="DC26" s="163">
        <v>0</v>
      </c>
      <c r="DD26" s="163">
        <v>3</v>
      </c>
      <c r="DE26" s="644">
        <v>0</v>
      </c>
      <c r="DF26" s="645">
        <v>1</v>
      </c>
      <c r="DG26" s="163">
        <v>0</v>
      </c>
      <c r="DH26" s="163">
        <v>0</v>
      </c>
      <c r="DI26" s="163">
        <v>1</v>
      </c>
      <c r="DJ26" s="643">
        <v>0</v>
      </c>
      <c r="DK26" s="646">
        <v>0</v>
      </c>
      <c r="DL26" s="645">
        <v>0</v>
      </c>
      <c r="DM26" s="163">
        <v>0</v>
      </c>
      <c r="DN26" s="163">
        <v>0</v>
      </c>
      <c r="DO26" s="163">
        <v>0</v>
      </c>
      <c r="DP26" s="644">
        <v>0</v>
      </c>
      <c r="DQ26" s="645">
        <v>0</v>
      </c>
      <c r="DR26" s="163">
        <v>0</v>
      </c>
      <c r="DS26" s="163">
        <v>0</v>
      </c>
      <c r="DT26" s="163">
        <v>0</v>
      </c>
      <c r="DU26" s="643">
        <v>0</v>
      </c>
      <c r="DW26" s="646">
        <f t="shared" si="4"/>
        <v>311</v>
      </c>
      <c r="DX26" s="645">
        <f t="shared" si="4"/>
        <v>266</v>
      </c>
      <c r="DY26" s="163">
        <f t="shared" si="4"/>
        <v>91</v>
      </c>
      <c r="DZ26" s="163">
        <f t="shared" si="4"/>
        <v>5</v>
      </c>
      <c r="EA26" s="163">
        <f t="shared" si="4"/>
        <v>170</v>
      </c>
      <c r="EB26" s="644">
        <f t="shared" si="4"/>
        <v>0</v>
      </c>
      <c r="EC26" s="645">
        <f t="shared" si="4"/>
        <v>45</v>
      </c>
      <c r="ED26" s="163">
        <f t="shared" si="4"/>
        <v>5</v>
      </c>
      <c r="EE26" s="163">
        <f t="shared" si="4"/>
        <v>0</v>
      </c>
      <c r="EF26" s="163">
        <f t="shared" si="4"/>
        <v>36</v>
      </c>
      <c r="EG26" s="643">
        <f t="shared" si="4"/>
        <v>4</v>
      </c>
      <c r="EH26" s="646">
        <f t="shared" si="5"/>
        <v>80</v>
      </c>
      <c r="EI26" s="645">
        <f t="shared" si="5"/>
        <v>60</v>
      </c>
      <c r="EJ26" s="163">
        <f t="shared" si="5"/>
        <v>20</v>
      </c>
      <c r="EK26" s="163">
        <f t="shared" si="5"/>
        <v>1</v>
      </c>
      <c r="EL26" s="163">
        <f t="shared" si="5"/>
        <v>38</v>
      </c>
      <c r="EM26" s="644">
        <f t="shared" si="5"/>
        <v>1</v>
      </c>
      <c r="EN26" s="645">
        <f t="shared" si="5"/>
        <v>20</v>
      </c>
      <c r="EO26" s="163">
        <f t="shared" si="5"/>
        <v>1</v>
      </c>
      <c r="EP26" s="163">
        <f t="shared" si="5"/>
        <v>0</v>
      </c>
      <c r="EQ26" s="163">
        <f t="shared" si="5"/>
        <v>18</v>
      </c>
      <c r="ER26" s="643">
        <f t="shared" si="5"/>
        <v>1</v>
      </c>
    </row>
    <row r="27" spans="2:148">
      <c r="B27" s="354" t="s">
        <v>246</v>
      </c>
      <c r="C27" s="330">
        <v>2022</v>
      </c>
      <c r="D27" s="626">
        <v>153779</v>
      </c>
      <c r="E27" s="646">
        <v>11013</v>
      </c>
      <c r="F27" s="645">
        <v>9716</v>
      </c>
      <c r="G27" s="163">
        <v>3995</v>
      </c>
      <c r="H27" s="163">
        <v>469</v>
      </c>
      <c r="I27" s="163">
        <v>5206</v>
      </c>
      <c r="J27" s="644">
        <v>46</v>
      </c>
      <c r="K27" s="645">
        <v>1297</v>
      </c>
      <c r="L27" s="163">
        <v>201</v>
      </c>
      <c r="M27" s="163">
        <v>0</v>
      </c>
      <c r="N27" s="163">
        <v>1001</v>
      </c>
      <c r="O27" s="643">
        <v>95</v>
      </c>
      <c r="P27" s="646">
        <f t="shared" si="2"/>
        <v>15</v>
      </c>
      <c r="Q27" s="645">
        <v>11</v>
      </c>
      <c r="R27" s="163">
        <v>4</v>
      </c>
      <c r="S27" s="163">
        <v>0</v>
      </c>
      <c r="T27" s="163">
        <v>7</v>
      </c>
      <c r="U27" s="644">
        <v>0</v>
      </c>
      <c r="V27" s="645">
        <v>4</v>
      </c>
      <c r="W27" s="163">
        <v>0</v>
      </c>
      <c r="X27" s="163">
        <v>0</v>
      </c>
      <c r="Y27" s="163">
        <v>3</v>
      </c>
      <c r="Z27" s="643">
        <v>1</v>
      </c>
      <c r="AA27" s="646">
        <f t="shared" si="3"/>
        <v>7</v>
      </c>
      <c r="AB27" s="645">
        <v>5</v>
      </c>
      <c r="AC27" s="163">
        <v>1</v>
      </c>
      <c r="AD27" s="163">
        <v>1</v>
      </c>
      <c r="AE27" s="163">
        <v>3</v>
      </c>
      <c r="AF27" s="644">
        <v>0</v>
      </c>
      <c r="AG27" s="645">
        <v>2</v>
      </c>
      <c r="AH27" s="163">
        <v>1</v>
      </c>
      <c r="AI27" s="163">
        <v>0</v>
      </c>
      <c r="AJ27" s="163">
        <v>1</v>
      </c>
      <c r="AK27" s="643">
        <v>0</v>
      </c>
      <c r="AL27" s="646">
        <v>104</v>
      </c>
      <c r="AM27" s="645">
        <v>89</v>
      </c>
      <c r="AN27" s="163">
        <v>36</v>
      </c>
      <c r="AO27" s="163">
        <v>5</v>
      </c>
      <c r="AP27" s="163">
        <v>48</v>
      </c>
      <c r="AQ27" s="644">
        <v>0</v>
      </c>
      <c r="AR27" s="645">
        <v>15</v>
      </c>
      <c r="AS27" s="163">
        <v>2</v>
      </c>
      <c r="AT27" s="163">
        <v>0</v>
      </c>
      <c r="AU27" s="163">
        <v>12</v>
      </c>
      <c r="AV27" s="643">
        <v>1</v>
      </c>
      <c r="AW27" s="646">
        <v>48</v>
      </c>
      <c r="AX27" s="645">
        <v>42</v>
      </c>
      <c r="AY27" s="163">
        <v>19</v>
      </c>
      <c r="AZ27" s="163">
        <v>0</v>
      </c>
      <c r="BA27" s="163">
        <v>23</v>
      </c>
      <c r="BB27" s="644">
        <v>0</v>
      </c>
      <c r="BC27" s="645">
        <v>6</v>
      </c>
      <c r="BD27" s="163">
        <v>1</v>
      </c>
      <c r="BE27" s="163">
        <v>0</v>
      </c>
      <c r="BF27" s="163">
        <v>5</v>
      </c>
      <c r="BG27" s="643">
        <v>0</v>
      </c>
      <c r="BH27" s="646">
        <v>105</v>
      </c>
      <c r="BI27" s="645">
        <v>97</v>
      </c>
      <c r="BJ27" s="163">
        <v>42</v>
      </c>
      <c r="BK27" s="163">
        <v>1</v>
      </c>
      <c r="BL27" s="163">
        <v>54</v>
      </c>
      <c r="BM27" s="644">
        <v>0</v>
      </c>
      <c r="BN27" s="645">
        <v>8</v>
      </c>
      <c r="BO27" s="163">
        <v>3</v>
      </c>
      <c r="BP27" s="163">
        <v>0</v>
      </c>
      <c r="BQ27" s="163">
        <v>5</v>
      </c>
      <c r="BR27" s="643">
        <v>0</v>
      </c>
      <c r="BS27" s="646">
        <v>123</v>
      </c>
      <c r="BT27" s="645">
        <v>112</v>
      </c>
      <c r="BU27" s="163">
        <v>46</v>
      </c>
      <c r="BV27" s="163">
        <v>0</v>
      </c>
      <c r="BW27" s="163">
        <v>66</v>
      </c>
      <c r="BX27" s="644">
        <v>0</v>
      </c>
      <c r="BY27" s="645">
        <v>11</v>
      </c>
      <c r="BZ27" s="163">
        <v>4</v>
      </c>
      <c r="CA27" s="163">
        <v>0</v>
      </c>
      <c r="CB27" s="163">
        <v>7</v>
      </c>
      <c r="CC27" s="643">
        <v>0</v>
      </c>
      <c r="CD27" s="646">
        <v>23</v>
      </c>
      <c r="CE27" s="645">
        <v>21</v>
      </c>
      <c r="CF27" s="163">
        <v>7</v>
      </c>
      <c r="CG27" s="163">
        <v>2</v>
      </c>
      <c r="CH27" s="163">
        <v>12</v>
      </c>
      <c r="CI27" s="644">
        <v>0</v>
      </c>
      <c r="CJ27" s="645">
        <v>2</v>
      </c>
      <c r="CK27" s="163">
        <v>0</v>
      </c>
      <c r="CL27" s="163">
        <v>0</v>
      </c>
      <c r="CM27" s="163">
        <v>2</v>
      </c>
      <c r="CN27" s="643">
        <v>0</v>
      </c>
      <c r="CO27" s="646">
        <v>13</v>
      </c>
      <c r="CP27" s="645">
        <v>10</v>
      </c>
      <c r="CQ27" s="163">
        <v>2</v>
      </c>
      <c r="CR27" s="163">
        <v>0</v>
      </c>
      <c r="CS27" s="163">
        <v>8</v>
      </c>
      <c r="CT27" s="644">
        <v>0</v>
      </c>
      <c r="CU27" s="645">
        <v>3</v>
      </c>
      <c r="CV27" s="163">
        <v>0</v>
      </c>
      <c r="CW27" s="163">
        <v>0</v>
      </c>
      <c r="CX27" s="163">
        <v>3</v>
      </c>
      <c r="CY27" s="643">
        <v>0</v>
      </c>
      <c r="CZ27" s="646">
        <v>7</v>
      </c>
      <c r="DA27" s="645">
        <v>5</v>
      </c>
      <c r="DB27" s="163">
        <v>3</v>
      </c>
      <c r="DC27" s="163">
        <v>0</v>
      </c>
      <c r="DD27" s="163">
        <v>2</v>
      </c>
      <c r="DE27" s="644">
        <v>0</v>
      </c>
      <c r="DF27" s="645">
        <v>2</v>
      </c>
      <c r="DG27" s="163">
        <v>0</v>
      </c>
      <c r="DH27" s="163">
        <v>0</v>
      </c>
      <c r="DI27" s="163">
        <v>2</v>
      </c>
      <c r="DJ27" s="643">
        <v>0</v>
      </c>
      <c r="DK27" s="646">
        <v>0</v>
      </c>
      <c r="DL27" s="645">
        <v>0</v>
      </c>
      <c r="DM27" s="163">
        <v>0</v>
      </c>
      <c r="DN27" s="163">
        <v>0</v>
      </c>
      <c r="DO27" s="163">
        <v>0</v>
      </c>
      <c r="DP27" s="644">
        <v>0</v>
      </c>
      <c r="DQ27" s="645">
        <v>0</v>
      </c>
      <c r="DR27" s="163">
        <v>0</v>
      </c>
      <c r="DS27" s="163">
        <v>0</v>
      </c>
      <c r="DT27" s="163">
        <v>0</v>
      </c>
      <c r="DU27" s="643">
        <v>0</v>
      </c>
      <c r="DW27" s="646">
        <f t="shared" si="4"/>
        <v>341</v>
      </c>
      <c r="DX27" s="645">
        <f t="shared" si="4"/>
        <v>303</v>
      </c>
      <c r="DY27" s="163">
        <f t="shared" si="4"/>
        <v>124</v>
      </c>
      <c r="DZ27" s="163">
        <f t="shared" si="4"/>
        <v>4</v>
      </c>
      <c r="EA27" s="163">
        <f t="shared" si="4"/>
        <v>175</v>
      </c>
      <c r="EB27" s="644">
        <f t="shared" si="4"/>
        <v>0</v>
      </c>
      <c r="EC27" s="645">
        <f t="shared" si="4"/>
        <v>38</v>
      </c>
      <c r="ED27" s="163">
        <f t="shared" si="4"/>
        <v>9</v>
      </c>
      <c r="EE27" s="163">
        <f t="shared" si="4"/>
        <v>0</v>
      </c>
      <c r="EF27" s="163">
        <f t="shared" si="4"/>
        <v>28</v>
      </c>
      <c r="EG27" s="643">
        <f t="shared" si="4"/>
        <v>1</v>
      </c>
      <c r="EH27" s="646">
        <f t="shared" si="5"/>
        <v>104</v>
      </c>
      <c r="EI27" s="645">
        <f t="shared" si="5"/>
        <v>89</v>
      </c>
      <c r="EJ27" s="163">
        <f t="shared" si="5"/>
        <v>36</v>
      </c>
      <c r="EK27" s="163">
        <f t="shared" si="5"/>
        <v>5</v>
      </c>
      <c r="EL27" s="163">
        <f t="shared" si="5"/>
        <v>48</v>
      </c>
      <c r="EM27" s="644">
        <f t="shared" si="5"/>
        <v>0</v>
      </c>
      <c r="EN27" s="645">
        <f t="shared" si="5"/>
        <v>15</v>
      </c>
      <c r="EO27" s="163">
        <f t="shared" si="5"/>
        <v>2</v>
      </c>
      <c r="EP27" s="163">
        <f t="shared" si="5"/>
        <v>0</v>
      </c>
      <c r="EQ27" s="163">
        <f t="shared" si="5"/>
        <v>12</v>
      </c>
      <c r="ER27" s="643">
        <f t="shared" si="5"/>
        <v>1</v>
      </c>
    </row>
    <row r="28" spans="2:148">
      <c r="B28" s="354" t="s">
        <v>247</v>
      </c>
      <c r="C28" s="330">
        <v>2022</v>
      </c>
      <c r="D28" s="626">
        <v>136338</v>
      </c>
      <c r="E28" s="646">
        <v>10991</v>
      </c>
      <c r="F28" s="645">
        <v>9506</v>
      </c>
      <c r="G28" s="163">
        <v>2594</v>
      </c>
      <c r="H28" s="163">
        <v>344</v>
      </c>
      <c r="I28" s="163">
        <v>6486</v>
      </c>
      <c r="J28" s="644">
        <v>82</v>
      </c>
      <c r="K28" s="645">
        <v>1485</v>
      </c>
      <c r="L28" s="163">
        <v>171</v>
      </c>
      <c r="M28" s="163">
        <v>0</v>
      </c>
      <c r="N28" s="163">
        <v>1248</v>
      </c>
      <c r="O28" s="643">
        <v>66</v>
      </c>
      <c r="P28" s="646">
        <f t="shared" si="2"/>
        <v>12</v>
      </c>
      <c r="Q28" s="645">
        <v>11</v>
      </c>
      <c r="R28" s="163">
        <v>4</v>
      </c>
      <c r="S28" s="163">
        <v>0</v>
      </c>
      <c r="T28" s="163">
        <v>7</v>
      </c>
      <c r="U28" s="644">
        <v>0</v>
      </c>
      <c r="V28" s="645">
        <v>1</v>
      </c>
      <c r="W28" s="163">
        <v>0</v>
      </c>
      <c r="X28" s="163">
        <v>0</v>
      </c>
      <c r="Y28" s="163">
        <v>1</v>
      </c>
      <c r="Z28" s="643">
        <v>0</v>
      </c>
      <c r="AA28" s="646">
        <f t="shared" si="3"/>
        <v>6</v>
      </c>
      <c r="AB28" s="645">
        <v>5</v>
      </c>
      <c r="AC28" s="163">
        <v>4</v>
      </c>
      <c r="AD28" s="163">
        <v>0</v>
      </c>
      <c r="AE28" s="163">
        <v>1</v>
      </c>
      <c r="AF28" s="644">
        <v>0</v>
      </c>
      <c r="AG28" s="645">
        <v>1</v>
      </c>
      <c r="AH28" s="163">
        <v>1</v>
      </c>
      <c r="AI28" s="163">
        <v>0</v>
      </c>
      <c r="AJ28" s="163">
        <v>0</v>
      </c>
      <c r="AK28" s="643">
        <v>0</v>
      </c>
      <c r="AL28" s="646">
        <v>106</v>
      </c>
      <c r="AM28" s="645">
        <v>89</v>
      </c>
      <c r="AN28" s="163">
        <v>34</v>
      </c>
      <c r="AO28" s="163">
        <v>3</v>
      </c>
      <c r="AP28" s="163">
        <v>52</v>
      </c>
      <c r="AQ28" s="644">
        <v>0</v>
      </c>
      <c r="AR28" s="645">
        <v>17</v>
      </c>
      <c r="AS28" s="163">
        <v>1</v>
      </c>
      <c r="AT28" s="163">
        <v>0</v>
      </c>
      <c r="AU28" s="163">
        <v>15</v>
      </c>
      <c r="AV28" s="643">
        <v>1</v>
      </c>
      <c r="AW28" s="646">
        <v>65</v>
      </c>
      <c r="AX28" s="645">
        <v>51</v>
      </c>
      <c r="AY28" s="163">
        <v>22</v>
      </c>
      <c r="AZ28" s="163">
        <v>0</v>
      </c>
      <c r="BA28" s="163">
        <v>29</v>
      </c>
      <c r="BB28" s="644">
        <v>0</v>
      </c>
      <c r="BC28" s="645">
        <v>14</v>
      </c>
      <c r="BD28" s="163">
        <v>3</v>
      </c>
      <c r="BE28" s="163">
        <v>0</v>
      </c>
      <c r="BF28" s="163">
        <v>11</v>
      </c>
      <c r="BG28" s="643">
        <v>0</v>
      </c>
      <c r="BH28" s="646">
        <v>94</v>
      </c>
      <c r="BI28" s="645">
        <v>83</v>
      </c>
      <c r="BJ28" s="163">
        <v>17</v>
      </c>
      <c r="BK28" s="163">
        <v>2</v>
      </c>
      <c r="BL28" s="163">
        <v>63</v>
      </c>
      <c r="BM28" s="644">
        <v>1</v>
      </c>
      <c r="BN28" s="645">
        <v>11</v>
      </c>
      <c r="BO28" s="163">
        <v>3</v>
      </c>
      <c r="BP28" s="163">
        <v>0</v>
      </c>
      <c r="BQ28" s="163">
        <v>8</v>
      </c>
      <c r="BR28" s="643">
        <v>0</v>
      </c>
      <c r="BS28" s="646">
        <v>141</v>
      </c>
      <c r="BT28" s="645">
        <v>126</v>
      </c>
      <c r="BU28" s="163">
        <v>28</v>
      </c>
      <c r="BV28" s="163">
        <v>1</v>
      </c>
      <c r="BW28" s="163">
        <v>96</v>
      </c>
      <c r="BX28" s="644">
        <v>1</v>
      </c>
      <c r="BY28" s="645">
        <v>15</v>
      </c>
      <c r="BZ28" s="163">
        <v>1</v>
      </c>
      <c r="CA28" s="163">
        <v>0</v>
      </c>
      <c r="CB28" s="163">
        <v>13</v>
      </c>
      <c r="CC28" s="643">
        <v>1</v>
      </c>
      <c r="CD28" s="646">
        <v>32</v>
      </c>
      <c r="CE28" s="645">
        <v>24</v>
      </c>
      <c r="CF28" s="163">
        <v>5</v>
      </c>
      <c r="CG28" s="163">
        <v>0</v>
      </c>
      <c r="CH28" s="163">
        <v>19</v>
      </c>
      <c r="CI28" s="644">
        <v>0</v>
      </c>
      <c r="CJ28" s="645">
        <v>8</v>
      </c>
      <c r="CK28" s="163">
        <v>0</v>
      </c>
      <c r="CL28" s="163">
        <v>0</v>
      </c>
      <c r="CM28" s="163">
        <v>8</v>
      </c>
      <c r="CN28" s="643">
        <v>0</v>
      </c>
      <c r="CO28" s="646">
        <v>18</v>
      </c>
      <c r="CP28" s="645">
        <v>17</v>
      </c>
      <c r="CQ28" s="163">
        <v>8</v>
      </c>
      <c r="CR28" s="163">
        <v>1</v>
      </c>
      <c r="CS28" s="163">
        <v>8</v>
      </c>
      <c r="CT28" s="644">
        <v>0</v>
      </c>
      <c r="CU28" s="645">
        <v>1</v>
      </c>
      <c r="CV28" s="163">
        <v>0</v>
      </c>
      <c r="CW28" s="163">
        <v>0</v>
      </c>
      <c r="CX28" s="163">
        <v>1</v>
      </c>
      <c r="CY28" s="643">
        <v>0</v>
      </c>
      <c r="CZ28" s="646">
        <v>8</v>
      </c>
      <c r="DA28" s="645">
        <v>8</v>
      </c>
      <c r="DB28" s="163">
        <v>0</v>
      </c>
      <c r="DC28" s="163">
        <v>1</v>
      </c>
      <c r="DD28" s="163">
        <v>7</v>
      </c>
      <c r="DE28" s="644">
        <v>0</v>
      </c>
      <c r="DF28" s="645">
        <v>0</v>
      </c>
      <c r="DG28" s="163">
        <v>0</v>
      </c>
      <c r="DH28" s="163">
        <v>0</v>
      </c>
      <c r="DI28" s="163">
        <v>0</v>
      </c>
      <c r="DJ28" s="643">
        <v>0</v>
      </c>
      <c r="DK28" s="646">
        <v>0</v>
      </c>
      <c r="DL28" s="645">
        <v>0</v>
      </c>
      <c r="DM28" s="163">
        <v>0</v>
      </c>
      <c r="DN28" s="163">
        <v>0</v>
      </c>
      <c r="DO28" s="163">
        <v>0</v>
      </c>
      <c r="DP28" s="644">
        <v>0</v>
      </c>
      <c r="DQ28" s="645">
        <v>0</v>
      </c>
      <c r="DR28" s="163">
        <v>0</v>
      </c>
      <c r="DS28" s="163">
        <v>0</v>
      </c>
      <c r="DT28" s="163">
        <v>0</v>
      </c>
      <c r="DU28" s="643">
        <v>0</v>
      </c>
      <c r="DW28" s="646">
        <f t="shared" si="4"/>
        <v>376</v>
      </c>
      <c r="DX28" s="645">
        <f t="shared" si="4"/>
        <v>325</v>
      </c>
      <c r="DY28" s="163">
        <f t="shared" si="4"/>
        <v>88</v>
      </c>
      <c r="DZ28" s="163">
        <f t="shared" si="4"/>
        <v>5</v>
      </c>
      <c r="EA28" s="163">
        <f t="shared" si="4"/>
        <v>230</v>
      </c>
      <c r="EB28" s="644">
        <f t="shared" si="4"/>
        <v>2</v>
      </c>
      <c r="EC28" s="645">
        <f t="shared" si="4"/>
        <v>51</v>
      </c>
      <c r="ED28" s="163">
        <f t="shared" si="4"/>
        <v>8</v>
      </c>
      <c r="EE28" s="163">
        <f t="shared" si="4"/>
        <v>0</v>
      </c>
      <c r="EF28" s="163">
        <f t="shared" si="4"/>
        <v>42</v>
      </c>
      <c r="EG28" s="643">
        <f t="shared" si="4"/>
        <v>1</v>
      </c>
      <c r="EH28" s="646">
        <f t="shared" si="5"/>
        <v>106</v>
      </c>
      <c r="EI28" s="645">
        <f t="shared" si="5"/>
        <v>89</v>
      </c>
      <c r="EJ28" s="163">
        <f t="shared" si="5"/>
        <v>34</v>
      </c>
      <c r="EK28" s="163">
        <f t="shared" si="5"/>
        <v>3</v>
      </c>
      <c r="EL28" s="163">
        <f t="shared" si="5"/>
        <v>52</v>
      </c>
      <c r="EM28" s="644">
        <f t="shared" si="5"/>
        <v>0</v>
      </c>
      <c r="EN28" s="645">
        <f t="shared" si="5"/>
        <v>17</v>
      </c>
      <c r="EO28" s="163">
        <f t="shared" si="5"/>
        <v>1</v>
      </c>
      <c r="EP28" s="163">
        <f t="shared" si="5"/>
        <v>0</v>
      </c>
      <c r="EQ28" s="163">
        <f t="shared" si="5"/>
        <v>15</v>
      </c>
      <c r="ER28" s="643">
        <f t="shared" si="5"/>
        <v>1</v>
      </c>
    </row>
    <row r="29" spans="2:148">
      <c r="B29" s="354" t="s">
        <v>248</v>
      </c>
      <c r="C29" s="330">
        <v>2023</v>
      </c>
      <c r="D29" s="626">
        <v>143618</v>
      </c>
      <c r="E29" s="646">
        <v>8520</v>
      </c>
      <c r="F29" s="645">
        <v>6760</v>
      </c>
      <c r="G29" s="163">
        <v>2365</v>
      </c>
      <c r="H29" s="163">
        <v>354</v>
      </c>
      <c r="I29" s="163">
        <v>3938</v>
      </c>
      <c r="J29" s="644">
        <v>103</v>
      </c>
      <c r="K29" s="645">
        <v>1760</v>
      </c>
      <c r="L29" s="163">
        <v>85</v>
      </c>
      <c r="M29" s="163">
        <v>0</v>
      </c>
      <c r="N29" s="163">
        <v>1480</v>
      </c>
      <c r="O29" s="643">
        <v>195</v>
      </c>
      <c r="P29" s="646">
        <f t="shared" si="2"/>
        <v>19</v>
      </c>
      <c r="Q29" s="645">
        <v>9</v>
      </c>
      <c r="R29" s="163">
        <v>7</v>
      </c>
      <c r="S29" s="163">
        <v>0</v>
      </c>
      <c r="T29" s="163">
        <v>2</v>
      </c>
      <c r="U29" s="644">
        <v>0</v>
      </c>
      <c r="V29" s="645">
        <v>10</v>
      </c>
      <c r="W29" s="163">
        <v>0</v>
      </c>
      <c r="X29" s="163">
        <v>0</v>
      </c>
      <c r="Y29" s="163">
        <v>8</v>
      </c>
      <c r="Z29" s="643">
        <v>2</v>
      </c>
      <c r="AA29" s="646">
        <f t="shared" si="3"/>
        <v>12</v>
      </c>
      <c r="AB29" s="645">
        <v>11</v>
      </c>
      <c r="AC29" s="163">
        <v>2</v>
      </c>
      <c r="AD29" s="163">
        <v>0</v>
      </c>
      <c r="AE29" s="163">
        <v>9</v>
      </c>
      <c r="AF29" s="644">
        <v>0</v>
      </c>
      <c r="AG29" s="645">
        <v>1</v>
      </c>
      <c r="AH29" s="163">
        <v>0</v>
      </c>
      <c r="AI29" s="163">
        <v>0</v>
      </c>
      <c r="AJ29" s="163">
        <v>1</v>
      </c>
      <c r="AK29" s="643">
        <v>0</v>
      </c>
      <c r="AL29" s="646">
        <v>90</v>
      </c>
      <c r="AM29" s="645">
        <v>73</v>
      </c>
      <c r="AN29" s="163">
        <v>22</v>
      </c>
      <c r="AO29" s="163">
        <v>2</v>
      </c>
      <c r="AP29" s="163">
        <v>49</v>
      </c>
      <c r="AQ29" s="644">
        <v>0</v>
      </c>
      <c r="AR29" s="645">
        <v>17</v>
      </c>
      <c r="AS29" s="163">
        <v>0</v>
      </c>
      <c r="AT29" s="163">
        <v>0</v>
      </c>
      <c r="AU29" s="163">
        <v>17</v>
      </c>
      <c r="AV29" s="643">
        <v>0</v>
      </c>
      <c r="AW29" s="646">
        <v>53</v>
      </c>
      <c r="AX29" s="645">
        <v>42</v>
      </c>
      <c r="AY29" s="163">
        <v>14</v>
      </c>
      <c r="AZ29" s="163">
        <v>3</v>
      </c>
      <c r="BA29" s="163">
        <v>25</v>
      </c>
      <c r="BB29" s="644">
        <v>0</v>
      </c>
      <c r="BC29" s="645">
        <v>11</v>
      </c>
      <c r="BD29" s="163">
        <v>0</v>
      </c>
      <c r="BE29" s="163">
        <v>0</v>
      </c>
      <c r="BF29" s="163">
        <v>11</v>
      </c>
      <c r="BG29" s="643">
        <v>0</v>
      </c>
      <c r="BH29" s="646">
        <v>67</v>
      </c>
      <c r="BI29" s="645">
        <v>59</v>
      </c>
      <c r="BJ29" s="163">
        <v>20</v>
      </c>
      <c r="BK29" s="163">
        <v>2</v>
      </c>
      <c r="BL29" s="163">
        <v>37</v>
      </c>
      <c r="BM29" s="644">
        <v>0</v>
      </c>
      <c r="BN29" s="645">
        <v>8</v>
      </c>
      <c r="BO29" s="163">
        <v>0</v>
      </c>
      <c r="BP29" s="163">
        <v>0</v>
      </c>
      <c r="BQ29" s="163">
        <v>7</v>
      </c>
      <c r="BR29" s="643">
        <v>1</v>
      </c>
      <c r="BS29" s="646">
        <v>121</v>
      </c>
      <c r="BT29" s="645">
        <v>101</v>
      </c>
      <c r="BU29" s="163">
        <v>29</v>
      </c>
      <c r="BV29" s="163">
        <v>2</v>
      </c>
      <c r="BW29" s="163">
        <v>70</v>
      </c>
      <c r="BX29" s="644">
        <v>0</v>
      </c>
      <c r="BY29" s="645">
        <v>20</v>
      </c>
      <c r="BZ29" s="163">
        <v>0</v>
      </c>
      <c r="CA29" s="163">
        <v>0</v>
      </c>
      <c r="CB29" s="163">
        <v>19</v>
      </c>
      <c r="CC29" s="643">
        <v>1</v>
      </c>
      <c r="CD29" s="646">
        <v>13</v>
      </c>
      <c r="CE29" s="645">
        <v>9</v>
      </c>
      <c r="CF29" s="163">
        <v>4</v>
      </c>
      <c r="CG29" s="163">
        <v>0</v>
      </c>
      <c r="CH29" s="163">
        <v>5</v>
      </c>
      <c r="CI29" s="644">
        <v>0</v>
      </c>
      <c r="CJ29" s="645">
        <v>4</v>
      </c>
      <c r="CK29" s="163">
        <v>0</v>
      </c>
      <c r="CL29" s="163">
        <v>0</v>
      </c>
      <c r="CM29" s="163">
        <v>4</v>
      </c>
      <c r="CN29" s="643">
        <v>0</v>
      </c>
      <c r="CO29" s="646">
        <v>9</v>
      </c>
      <c r="CP29" s="645">
        <v>8</v>
      </c>
      <c r="CQ29" s="163">
        <v>2</v>
      </c>
      <c r="CR29" s="163">
        <v>1</v>
      </c>
      <c r="CS29" s="163">
        <v>5</v>
      </c>
      <c r="CT29" s="644">
        <v>0</v>
      </c>
      <c r="CU29" s="645">
        <v>1</v>
      </c>
      <c r="CV29" s="163">
        <v>0</v>
      </c>
      <c r="CW29" s="163">
        <v>0</v>
      </c>
      <c r="CX29" s="163">
        <v>1</v>
      </c>
      <c r="CY29" s="643">
        <v>0</v>
      </c>
      <c r="CZ29" s="646">
        <v>6</v>
      </c>
      <c r="DA29" s="645">
        <v>3</v>
      </c>
      <c r="DB29" s="163">
        <v>2</v>
      </c>
      <c r="DC29" s="163">
        <v>0</v>
      </c>
      <c r="DD29" s="163">
        <v>1</v>
      </c>
      <c r="DE29" s="644">
        <v>0</v>
      </c>
      <c r="DF29" s="645">
        <v>3</v>
      </c>
      <c r="DG29" s="163">
        <v>0</v>
      </c>
      <c r="DH29" s="163">
        <v>0</v>
      </c>
      <c r="DI29" s="163">
        <v>0</v>
      </c>
      <c r="DJ29" s="643">
        <v>3</v>
      </c>
      <c r="DK29" s="646">
        <v>1</v>
      </c>
      <c r="DL29" s="645">
        <v>1</v>
      </c>
      <c r="DM29" s="163">
        <v>0</v>
      </c>
      <c r="DN29" s="163">
        <v>1</v>
      </c>
      <c r="DO29" s="163">
        <v>0</v>
      </c>
      <c r="DP29" s="644">
        <v>0</v>
      </c>
      <c r="DQ29" s="645">
        <v>0</v>
      </c>
      <c r="DR29" s="163">
        <v>0</v>
      </c>
      <c r="DS29" s="163">
        <v>0</v>
      </c>
      <c r="DT29" s="163">
        <v>0</v>
      </c>
      <c r="DU29" s="643">
        <v>0</v>
      </c>
      <c r="DW29" s="646">
        <f t="shared" si="4"/>
        <v>301</v>
      </c>
      <c r="DX29" s="645">
        <f t="shared" si="4"/>
        <v>243</v>
      </c>
      <c r="DY29" s="163">
        <f t="shared" si="4"/>
        <v>80</v>
      </c>
      <c r="DZ29" s="163">
        <f t="shared" si="4"/>
        <v>9</v>
      </c>
      <c r="EA29" s="163">
        <f t="shared" si="4"/>
        <v>154</v>
      </c>
      <c r="EB29" s="644">
        <f t="shared" si="4"/>
        <v>0</v>
      </c>
      <c r="EC29" s="645">
        <f t="shared" si="4"/>
        <v>58</v>
      </c>
      <c r="ED29" s="163">
        <f t="shared" si="4"/>
        <v>0</v>
      </c>
      <c r="EE29" s="163">
        <f t="shared" si="4"/>
        <v>0</v>
      </c>
      <c r="EF29" s="163">
        <f t="shared" si="4"/>
        <v>51</v>
      </c>
      <c r="EG29" s="643">
        <f t="shared" si="4"/>
        <v>7</v>
      </c>
      <c r="EH29" s="646">
        <f t="shared" si="5"/>
        <v>90</v>
      </c>
      <c r="EI29" s="645">
        <f t="shared" si="5"/>
        <v>73</v>
      </c>
      <c r="EJ29" s="163">
        <f t="shared" si="5"/>
        <v>22</v>
      </c>
      <c r="EK29" s="163">
        <f t="shared" si="5"/>
        <v>2</v>
      </c>
      <c r="EL29" s="163">
        <f t="shared" si="5"/>
        <v>49</v>
      </c>
      <c r="EM29" s="644">
        <f t="shared" si="5"/>
        <v>0</v>
      </c>
      <c r="EN29" s="645">
        <f t="shared" si="5"/>
        <v>17</v>
      </c>
      <c r="EO29" s="163">
        <f t="shared" si="5"/>
        <v>0</v>
      </c>
      <c r="EP29" s="163">
        <f t="shared" si="5"/>
        <v>0</v>
      </c>
      <c r="EQ29" s="163">
        <f t="shared" si="5"/>
        <v>17</v>
      </c>
      <c r="ER29" s="643">
        <f t="shared" si="5"/>
        <v>0</v>
      </c>
    </row>
    <row r="30" spans="2:148">
      <c r="B30" s="354" t="s">
        <v>249</v>
      </c>
      <c r="C30" s="330">
        <v>2023</v>
      </c>
      <c r="D30" s="626">
        <v>183652</v>
      </c>
      <c r="E30" s="646">
        <v>12797</v>
      </c>
      <c r="F30" s="645">
        <v>9486</v>
      </c>
      <c r="G30" s="163">
        <v>2192</v>
      </c>
      <c r="H30" s="163">
        <v>382</v>
      </c>
      <c r="I30" s="163">
        <v>6743</v>
      </c>
      <c r="J30" s="644">
        <v>169</v>
      </c>
      <c r="K30" s="645">
        <v>3311</v>
      </c>
      <c r="L30" s="163">
        <v>210</v>
      </c>
      <c r="M30" s="163">
        <v>0</v>
      </c>
      <c r="N30" s="163">
        <v>2843</v>
      </c>
      <c r="O30" s="643">
        <v>258</v>
      </c>
      <c r="P30" s="646">
        <f t="shared" si="2"/>
        <v>26</v>
      </c>
      <c r="Q30" s="645">
        <v>12</v>
      </c>
      <c r="R30" s="163">
        <v>1</v>
      </c>
      <c r="S30" s="163">
        <v>1</v>
      </c>
      <c r="T30" s="163">
        <v>10</v>
      </c>
      <c r="U30" s="644">
        <v>0</v>
      </c>
      <c r="V30" s="645">
        <v>14</v>
      </c>
      <c r="W30" s="163">
        <v>1</v>
      </c>
      <c r="X30" s="163">
        <v>0</v>
      </c>
      <c r="Y30" s="163">
        <v>13</v>
      </c>
      <c r="Z30" s="643">
        <v>0</v>
      </c>
      <c r="AA30" s="646">
        <f t="shared" si="3"/>
        <v>5</v>
      </c>
      <c r="AB30" s="645">
        <v>4</v>
      </c>
      <c r="AC30" s="163">
        <v>2</v>
      </c>
      <c r="AD30" s="163">
        <v>0</v>
      </c>
      <c r="AE30" s="163">
        <v>2</v>
      </c>
      <c r="AF30" s="644">
        <v>0</v>
      </c>
      <c r="AG30" s="645">
        <v>1</v>
      </c>
      <c r="AH30" s="163">
        <v>0</v>
      </c>
      <c r="AI30" s="163">
        <v>0</v>
      </c>
      <c r="AJ30" s="163">
        <v>0</v>
      </c>
      <c r="AK30" s="643">
        <v>1</v>
      </c>
      <c r="AL30" s="646">
        <v>150</v>
      </c>
      <c r="AM30" s="645">
        <v>118</v>
      </c>
      <c r="AN30" s="163">
        <v>19</v>
      </c>
      <c r="AO30" s="163">
        <v>3</v>
      </c>
      <c r="AP30" s="163">
        <v>96</v>
      </c>
      <c r="AQ30" s="644">
        <v>0</v>
      </c>
      <c r="AR30" s="645">
        <v>32</v>
      </c>
      <c r="AS30" s="163">
        <v>1</v>
      </c>
      <c r="AT30" s="163">
        <v>0</v>
      </c>
      <c r="AU30" s="163">
        <v>28</v>
      </c>
      <c r="AV30" s="643">
        <v>3</v>
      </c>
      <c r="AW30" s="646">
        <v>65</v>
      </c>
      <c r="AX30" s="645">
        <v>49</v>
      </c>
      <c r="AY30" s="163">
        <v>13</v>
      </c>
      <c r="AZ30" s="163">
        <v>1</v>
      </c>
      <c r="BA30" s="163">
        <v>35</v>
      </c>
      <c r="BB30" s="644">
        <v>0</v>
      </c>
      <c r="BC30" s="645">
        <v>16</v>
      </c>
      <c r="BD30" s="163">
        <v>0</v>
      </c>
      <c r="BE30" s="163">
        <v>0</v>
      </c>
      <c r="BF30" s="163">
        <v>14</v>
      </c>
      <c r="BG30" s="643">
        <v>2</v>
      </c>
      <c r="BH30" s="646">
        <v>100</v>
      </c>
      <c r="BI30" s="645">
        <v>69</v>
      </c>
      <c r="BJ30" s="163">
        <v>14</v>
      </c>
      <c r="BK30" s="163">
        <v>3</v>
      </c>
      <c r="BL30" s="163">
        <v>52</v>
      </c>
      <c r="BM30" s="644">
        <v>0</v>
      </c>
      <c r="BN30" s="645">
        <v>31</v>
      </c>
      <c r="BO30" s="163">
        <v>0</v>
      </c>
      <c r="BP30" s="163">
        <v>0</v>
      </c>
      <c r="BQ30" s="163">
        <v>27</v>
      </c>
      <c r="BR30" s="643">
        <v>4</v>
      </c>
      <c r="BS30" s="646">
        <v>169</v>
      </c>
      <c r="BT30" s="645">
        <v>134</v>
      </c>
      <c r="BU30" s="163">
        <v>30</v>
      </c>
      <c r="BV30" s="163">
        <v>0</v>
      </c>
      <c r="BW30" s="163">
        <v>104</v>
      </c>
      <c r="BX30" s="644">
        <v>0</v>
      </c>
      <c r="BY30" s="645">
        <v>35</v>
      </c>
      <c r="BZ30" s="163">
        <v>2</v>
      </c>
      <c r="CA30" s="163">
        <v>0</v>
      </c>
      <c r="CB30" s="163">
        <v>31</v>
      </c>
      <c r="CC30" s="643">
        <v>2</v>
      </c>
      <c r="CD30" s="646">
        <v>24</v>
      </c>
      <c r="CE30" s="645">
        <v>17</v>
      </c>
      <c r="CF30" s="163">
        <v>2</v>
      </c>
      <c r="CG30" s="163">
        <v>3</v>
      </c>
      <c r="CH30" s="163">
        <v>12</v>
      </c>
      <c r="CI30" s="644">
        <v>0</v>
      </c>
      <c r="CJ30" s="645">
        <v>7</v>
      </c>
      <c r="CK30" s="163">
        <v>0</v>
      </c>
      <c r="CL30" s="163">
        <v>0</v>
      </c>
      <c r="CM30" s="163">
        <v>6</v>
      </c>
      <c r="CN30" s="643">
        <v>1</v>
      </c>
      <c r="CO30" s="646">
        <v>9</v>
      </c>
      <c r="CP30" s="645">
        <v>8</v>
      </c>
      <c r="CQ30" s="163">
        <v>0</v>
      </c>
      <c r="CR30" s="163">
        <v>2</v>
      </c>
      <c r="CS30" s="163">
        <v>6</v>
      </c>
      <c r="CT30" s="644">
        <v>0</v>
      </c>
      <c r="CU30" s="645">
        <v>1</v>
      </c>
      <c r="CV30" s="163">
        <v>0</v>
      </c>
      <c r="CW30" s="163">
        <v>0</v>
      </c>
      <c r="CX30" s="163">
        <v>1</v>
      </c>
      <c r="CY30" s="643">
        <v>0</v>
      </c>
      <c r="CZ30" s="646">
        <v>6</v>
      </c>
      <c r="DA30" s="645">
        <v>5</v>
      </c>
      <c r="DB30" s="163">
        <v>0</v>
      </c>
      <c r="DC30" s="163">
        <v>0</v>
      </c>
      <c r="DD30" s="163">
        <v>5</v>
      </c>
      <c r="DE30" s="644">
        <v>0</v>
      </c>
      <c r="DF30" s="645">
        <v>1</v>
      </c>
      <c r="DG30" s="163">
        <v>0</v>
      </c>
      <c r="DH30" s="163">
        <v>0</v>
      </c>
      <c r="DI30" s="163">
        <v>1</v>
      </c>
      <c r="DJ30" s="643">
        <v>0</v>
      </c>
      <c r="DK30" s="646">
        <v>0</v>
      </c>
      <c r="DL30" s="645">
        <v>0</v>
      </c>
      <c r="DM30" s="163">
        <v>0</v>
      </c>
      <c r="DN30" s="163">
        <v>0</v>
      </c>
      <c r="DO30" s="163">
        <v>0</v>
      </c>
      <c r="DP30" s="644">
        <v>0</v>
      </c>
      <c r="DQ30" s="645">
        <v>0</v>
      </c>
      <c r="DR30" s="163">
        <v>0</v>
      </c>
      <c r="DS30" s="163">
        <v>0</v>
      </c>
      <c r="DT30" s="163">
        <v>0</v>
      </c>
      <c r="DU30" s="643">
        <v>0</v>
      </c>
      <c r="DW30" s="646">
        <f t="shared" si="4"/>
        <v>404</v>
      </c>
      <c r="DX30" s="645">
        <f t="shared" si="4"/>
        <v>298</v>
      </c>
      <c r="DY30" s="163">
        <f t="shared" si="4"/>
        <v>62</v>
      </c>
      <c r="DZ30" s="163">
        <f t="shared" si="4"/>
        <v>10</v>
      </c>
      <c r="EA30" s="163">
        <f t="shared" si="4"/>
        <v>226</v>
      </c>
      <c r="EB30" s="644">
        <f t="shared" si="4"/>
        <v>0</v>
      </c>
      <c r="EC30" s="645">
        <f t="shared" si="4"/>
        <v>106</v>
      </c>
      <c r="ED30" s="163">
        <f t="shared" si="4"/>
        <v>3</v>
      </c>
      <c r="EE30" s="163">
        <f t="shared" si="4"/>
        <v>0</v>
      </c>
      <c r="EF30" s="163">
        <f t="shared" si="4"/>
        <v>93</v>
      </c>
      <c r="EG30" s="643">
        <f t="shared" si="4"/>
        <v>10</v>
      </c>
      <c r="EH30" s="646">
        <f t="shared" si="5"/>
        <v>150</v>
      </c>
      <c r="EI30" s="645">
        <f t="shared" si="5"/>
        <v>118</v>
      </c>
      <c r="EJ30" s="163">
        <f t="shared" si="5"/>
        <v>19</v>
      </c>
      <c r="EK30" s="163">
        <f t="shared" si="5"/>
        <v>3</v>
      </c>
      <c r="EL30" s="163">
        <f t="shared" si="5"/>
        <v>96</v>
      </c>
      <c r="EM30" s="644">
        <f t="shared" si="5"/>
        <v>0</v>
      </c>
      <c r="EN30" s="645">
        <f t="shared" si="5"/>
        <v>32</v>
      </c>
      <c r="EO30" s="163">
        <f t="shared" si="5"/>
        <v>1</v>
      </c>
      <c r="EP30" s="163">
        <f t="shared" si="5"/>
        <v>0</v>
      </c>
      <c r="EQ30" s="163">
        <f t="shared" si="5"/>
        <v>28</v>
      </c>
      <c r="ER30" s="643">
        <f t="shared" si="5"/>
        <v>3</v>
      </c>
    </row>
    <row r="31" spans="2:148">
      <c r="B31" s="354" t="s">
        <v>250</v>
      </c>
      <c r="C31" s="330">
        <v>2023</v>
      </c>
      <c r="D31" s="626">
        <v>178596</v>
      </c>
      <c r="E31" s="646">
        <v>14710</v>
      </c>
      <c r="F31" s="645">
        <v>11458</v>
      </c>
      <c r="G31" s="163">
        <v>3129</v>
      </c>
      <c r="H31" s="163">
        <v>523</v>
      </c>
      <c r="I31" s="163">
        <v>7730</v>
      </c>
      <c r="J31" s="644">
        <v>76</v>
      </c>
      <c r="K31" s="645">
        <v>3252</v>
      </c>
      <c r="L31" s="163">
        <v>322</v>
      </c>
      <c r="M31" s="163">
        <v>0</v>
      </c>
      <c r="N31" s="163">
        <v>2825</v>
      </c>
      <c r="O31" s="643">
        <v>105</v>
      </c>
      <c r="P31" s="646">
        <f t="shared" si="2"/>
        <v>25</v>
      </c>
      <c r="Q31" s="645">
        <v>18</v>
      </c>
      <c r="R31" s="163">
        <v>8</v>
      </c>
      <c r="S31" s="163">
        <v>0</v>
      </c>
      <c r="T31" s="163">
        <v>10</v>
      </c>
      <c r="U31" s="644">
        <v>0</v>
      </c>
      <c r="V31" s="645">
        <v>7</v>
      </c>
      <c r="W31" s="163">
        <v>1</v>
      </c>
      <c r="X31" s="163">
        <v>0</v>
      </c>
      <c r="Y31" s="163">
        <v>6</v>
      </c>
      <c r="Z31" s="643">
        <v>0</v>
      </c>
      <c r="AA31" s="646">
        <f t="shared" si="3"/>
        <v>15</v>
      </c>
      <c r="AB31" s="645">
        <v>9</v>
      </c>
      <c r="AC31" s="163">
        <v>1</v>
      </c>
      <c r="AD31" s="163">
        <v>0</v>
      </c>
      <c r="AE31" s="163">
        <v>8</v>
      </c>
      <c r="AF31" s="644">
        <v>0</v>
      </c>
      <c r="AG31" s="645">
        <v>6</v>
      </c>
      <c r="AH31" s="163">
        <v>2</v>
      </c>
      <c r="AI31" s="163">
        <v>0</v>
      </c>
      <c r="AJ31" s="163">
        <v>4</v>
      </c>
      <c r="AK31" s="643">
        <v>0</v>
      </c>
      <c r="AL31" s="646">
        <v>138</v>
      </c>
      <c r="AM31" s="645">
        <v>92</v>
      </c>
      <c r="AN31" s="163">
        <v>33</v>
      </c>
      <c r="AO31" s="163">
        <v>4</v>
      </c>
      <c r="AP31" s="163">
        <v>55</v>
      </c>
      <c r="AQ31" s="644">
        <v>0</v>
      </c>
      <c r="AR31" s="645">
        <v>46</v>
      </c>
      <c r="AS31" s="163">
        <v>1</v>
      </c>
      <c r="AT31" s="163">
        <v>0</v>
      </c>
      <c r="AU31" s="163">
        <v>45</v>
      </c>
      <c r="AV31" s="643">
        <v>0</v>
      </c>
      <c r="AW31" s="646">
        <v>82</v>
      </c>
      <c r="AX31" s="645">
        <v>69</v>
      </c>
      <c r="AY31" s="163">
        <v>16</v>
      </c>
      <c r="AZ31" s="163">
        <v>4</v>
      </c>
      <c r="BA31" s="163">
        <v>49</v>
      </c>
      <c r="BB31" s="644">
        <v>0</v>
      </c>
      <c r="BC31" s="645">
        <v>13</v>
      </c>
      <c r="BD31" s="163">
        <v>1</v>
      </c>
      <c r="BE31" s="163">
        <v>0</v>
      </c>
      <c r="BF31" s="163">
        <v>12</v>
      </c>
      <c r="BG31" s="643">
        <v>0</v>
      </c>
      <c r="BH31" s="646">
        <v>126</v>
      </c>
      <c r="BI31" s="645">
        <v>104</v>
      </c>
      <c r="BJ31" s="163">
        <v>28</v>
      </c>
      <c r="BK31" s="163">
        <v>2</v>
      </c>
      <c r="BL31" s="163">
        <v>74</v>
      </c>
      <c r="BM31" s="644">
        <v>0</v>
      </c>
      <c r="BN31" s="645">
        <v>22</v>
      </c>
      <c r="BO31" s="163">
        <v>1</v>
      </c>
      <c r="BP31" s="163">
        <v>0</v>
      </c>
      <c r="BQ31" s="163">
        <v>20</v>
      </c>
      <c r="BR31" s="643">
        <v>1</v>
      </c>
      <c r="BS31" s="646">
        <v>171</v>
      </c>
      <c r="BT31" s="645">
        <v>135</v>
      </c>
      <c r="BU31" s="163">
        <v>44</v>
      </c>
      <c r="BV31" s="163">
        <v>2</v>
      </c>
      <c r="BW31" s="163">
        <v>89</v>
      </c>
      <c r="BX31" s="644">
        <v>0</v>
      </c>
      <c r="BY31" s="645">
        <v>36</v>
      </c>
      <c r="BZ31" s="163">
        <v>3</v>
      </c>
      <c r="CA31" s="163">
        <v>0</v>
      </c>
      <c r="CB31" s="163">
        <v>32</v>
      </c>
      <c r="CC31" s="643">
        <v>1</v>
      </c>
      <c r="CD31" s="646">
        <v>28</v>
      </c>
      <c r="CE31" s="645">
        <v>22</v>
      </c>
      <c r="CF31" s="163">
        <v>4</v>
      </c>
      <c r="CG31" s="163">
        <v>2</v>
      </c>
      <c r="CH31" s="163">
        <v>16</v>
      </c>
      <c r="CI31" s="644">
        <v>0</v>
      </c>
      <c r="CJ31" s="645">
        <v>6</v>
      </c>
      <c r="CK31" s="163">
        <v>0</v>
      </c>
      <c r="CL31" s="163">
        <v>0</v>
      </c>
      <c r="CM31" s="163">
        <v>6</v>
      </c>
      <c r="CN31" s="643">
        <v>0</v>
      </c>
      <c r="CO31" s="646">
        <v>28</v>
      </c>
      <c r="CP31" s="645">
        <v>22</v>
      </c>
      <c r="CQ31" s="163">
        <v>6</v>
      </c>
      <c r="CR31" s="163">
        <v>1</v>
      </c>
      <c r="CS31" s="163">
        <v>15</v>
      </c>
      <c r="CT31" s="644">
        <v>0</v>
      </c>
      <c r="CU31" s="645">
        <v>6</v>
      </c>
      <c r="CV31" s="163">
        <v>0</v>
      </c>
      <c r="CW31" s="163">
        <v>0</v>
      </c>
      <c r="CX31" s="163">
        <v>6</v>
      </c>
      <c r="CY31" s="643">
        <v>0</v>
      </c>
      <c r="CZ31" s="646">
        <v>3</v>
      </c>
      <c r="DA31" s="645">
        <v>2</v>
      </c>
      <c r="DB31" s="163">
        <v>0</v>
      </c>
      <c r="DC31" s="163">
        <v>0</v>
      </c>
      <c r="DD31" s="163">
        <v>2</v>
      </c>
      <c r="DE31" s="644">
        <v>0</v>
      </c>
      <c r="DF31" s="645">
        <v>1</v>
      </c>
      <c r="DG31" s="163">
        <v>0</v>
      </c>
      <c r="DH31" s="163">
        <v>0</v>
      </c>
      <c r="DI31" s="163">
        <v>1</v>
      </c>
      <c r="DJ31" s="643">
        <v>0</v>
      </c>
      <c r="DK31" s="646">
        <v>0</v>
      </c>
      <c r="DL31" s="645">
        <v>0</v>
      </c>
      <c r="DM31" s="163">
        <v>0</v>
      </c>
      <c r="DN31" s="163">
        <v>0</v>
      </c>
      <c r="DO31" s="163">
        <v>0</v>
      </c>
      <c r="DP31" s="644">
        <v>0</v>
      </c>
      <c r="DQ31" s="645">
        <v>0</v>
      </c>
      <c r="DR31" s="163">
        <v>0</v>
      </c>
      <c r="DS31" s="163">
        <v>0</v>
      </c>
      <c r="DT31" s="163">
        <v>0</v>
      </c>
      <c r="DU31" s="643">
        <v>0</v>
      </c>
      <c r="DW31" s="646">
        <f t="shared" si="4"/>
        <v>478</v>
      </c>
      <c r="DX31" s="645">
        <f t="shared" si="4"/>
        <v>381</v>
      </c>
      <c r="DY31" s="163">
        <f t="shared" si="4"/>
        <v>107</v>
      </c>
      <c r="DZ31" s="163">
        <f t="shared" si="4"/>
        <v>11</v>
      </c>
      <c r="EA31" s="163">
        <f t="shared" si="4"/>
        <v>263</v>
      </c>
      <c r="EB31" s="644">
        <f t="shared" si="4"/>
        <v>0</v>
      </c>
      <c r="EC31" s="645">
        <f t="shared" si="4"/>
        <v>97</v>
      </c>
      <c r="ED31" s="163">
        <f t="shared" si="4"/>
        <v>8</v>
      </c>
      <c r="EE31" s="163">
        <f t="shared" si="4"/>
        <v>0</v>
      </c>
      <c r="EF31" s="163">
        <f t="shared" si="4"/>
        <v>87</v>
      </c>
      <c r="EG31" s="643">
        <f t="shared" si="4"/>
        <v>2</v>
      </c>
      <c r="EH31" s="646">
        <f t="shared" si="5"/>
        <v>138</v>
      </c>
      <c r="EI31" s="645">
        <f t="shared" si="5"/>
        <v>92</v>
      </c>
      <c r="EJ31" s="163">
        <f t="shared" si="5"/>
        <v>33</v>
      </c>
      <c r="EK31" s="163">
        <f t="shared" si="5"/>
        <v>4</v>
      </c>
      <c r="EL31" s="163">
        <f t="shared" si="5"/>
        <v>55</v>
      </c>
      <c r="EM31" s="644">
        <f t="shared" si="5"/>
        <v>0</v>
      </c>
      <c r="EN31" s="645">
        <f t="shared" si="5"/>
        <v>46</v>
      </c>
      <c r="EO31" s="163">
        <f t="shared" si="5"/>
        <v>1</v>
      </c>
      <c r="EP31" s="163">
        <f t="shared" si="5"/>
        <v>0</v>
      </c>
      <c r="EQ31" s="163">
        <f t="shared" si="5"/>
        <v>45</v>
      </c>
      <c r="ER31" s="643">
        <f t="shared" si="5"/>
        <v>0</v>
      </c>
    </row>
    <row r="32" spans="2:148">
      <c r="B32" s="354" t="s">
        <v>251</v>
      </c>
      <c r="C32" s="330">
        <v>2023</v>
      </c>
      <c r="D32" s="626">
        <v>171135</v>
      </c>
      <c r="E32" s="646">
        <v>14105</v>
      </c>
      <c r="F32" s="645">
        <v>10931</v>
      </c>
      <c r="G32" s="163">
        <v>2488</v>
      </c>
      <c r="H32" s="163">
        <v>550</v>
      </c>
      <c r="I32" s="163">
        <v>7734</v>
      </c>
      <c r="J32" s="644">
        <v>159</v>
      </c>
      <c r="K32" s="645">
        <v>3174</v>
      </c>
      <c r="L32" s="163">
        <v>210</v>
      </c>
      <c r="M32" s="163">
        <v>0</v>
      </c>
      <c r="N32" s="163">
        <v>2902</v>
      </c>
      <c r="O32" s="643">
        <v>62</v>
      </c>
      <c r="P32" s="646">
        <f t="shared" si="2"/>
        <v>27</v>
      </c>
      <c r="Q32" s="645">
        <v>20</v>
      </c>
      <c r="R32" s="163">
        <v>5</v>
      </c>
      <c r="S32" s="163">
        <v>1</v>
      </c>
      <c r="T32" s="163">
        <v>14</v>
      </c>
      <c r="U32" s="644">
        <v>0</v>
      </c>
      <c r="V32" s="645">
        <v>7</v>
      </c>
      <c r="W32" s="163">
        <v>0</v>
      </c>
      <c r="X32" s="163">
        <v>0</v>
      </c>
      <c r="Y32" s="163">
        <v>7</v>
      </c>
      <c r="Z32" s="643">
        <v>0</v>
      </c>
      <c r="AA32" s="646">
        <f t="shared" si="3"/>
        <v>9</v>
      </c>
      <c r="AB32" s="645">
        <v>8</v>
      </c>
      <c r="AC32" s="163">
        <v>3</v>
      </c>
      <c r="AD32" s="163">
        <v>1</v>
      </c>
      <c r="AE32" s="163">
        <v>4</v>
      </c>
      <c r="AF32" s="644">
        <v>0</v>
      </c>
      <c r="AG32" s="645">
        <v>1</v>
      </c>
      <c r="AH32" s="163">
        <v>0</v>
      </c>
      <c r="AI32" s="163">
        <v>0</v>
      </c>
      <c r="AJ32" s="163">
        <v>1</v>
      </c>
      <c r="AK32" s="643">
        <v>0</v>
      </c>
      <c r="AL32" s="646">
        <v>160</v>
      </c>
      <c r="AM32" s="645">
        <v>125</v>
      </c>
      <c r="AN32" s="163">
        <v>20</v>
      </c>
      <c r="AO32" s="163">
        <v>8</v>
      </c>
      <c r="AP32" s="163">
        <v>97</v>
      </c>
      <c r="AQ32" s="644">
        <v>0</v>
      </c>
      <c r="AR32" s="645">
        <v>35</v>
      </c>
      <c r="AS32" s="163">
        <v>1</v>
      </c>
      <c r="AT32" s="163">
        <v>0</v>
      </c>
      <c r="AU32" s="163">
        <v>34</v>
      </c>
      <c r="AV32" s="643">
        <v>0</v>
      </c>
      <c r="AW32" s="646">
        <v>74</v>
      </c>
      <c r="AX32" s="645">
        <v>55</v>
      </c>
      <c r="AY32" s="163">
        <v>12</v>
      </c>
      <c r="AZ32" s="163">
        <v>2</v>
      </c>
      <c r="BA32" s="163">
        <v>41</v>
      </c>
      <c r="BB32" s="644">
        <v>0</v>
      </c>
      <c r="BC32" s="645">
        <v>19</v>
      </c>
      <c r="BD32" s="163">
        <v>1</v>
      </c>
      <c r="BE32" s="163">
        <v>0</v>
      </c>
      <c r="BF32" s="163">
        <v>17</v>
      </c>
      <c r="BG32" s="643">
        <v>1</v>
      </c>
      <c r="BH32" s="646">
        <v>108</v>
      </c>
      <c r="BI32" s="645">
        <v>89</v>
      </c>
      <c r="BJ32" s="163">
        <v>25</v>
      </c>
      <c r="BK32" s="163">
        <v>1</v>
      </c>
      <c r="BL32" s="163">
        <v>63</v>
      </c>
      <c r="BM32" s="644">
        <v>0</v>
      </c>
      <c r="BN32" s="645">
        <v>19</v>
      </c>
      <c r="BO32" s="163">
        <v>0</v>
      </c>
      <c r="BP32" s="163">
        <v>0</v>
      </c>
      <c r="BQ32" s="163">
        <v>19</v>
      </c>
      <c r="BR32" s="643">
        <v>0</v>
      </c>
      <c r="BS32" s="646">
        <v>151</v>
      </c>
      <c r="BT32" s="645">
        <v>116</v>
      </c>
      <c r="BU32" s="163">
        <v>27</v>
      </c>
      <c r="BV32" s="163">
        <v>2</v>
      </c>
      <c r="BW32" s="163">
        <v>87</v>
      </c>
      <c r="BX32" s="644">
        <v>0</v>
      </c>
      <c r="BY32" s="645">
        <v>35</v>
      </c>
      <c r="BZ32" s="163">
        <v>3</v>
      </c>
      <c r="CA32" s="163">
        <v>0</v>
      </c>
      <c r="CB32" s="163">
        <v>31</v>
      </c>
      <c r="CC32" s="643">
        <v>1</v>
      </c>
      <c r="CD32" s="646">
        <v>22</v>
      </c>
      <c r="CE32" s="645">
        <v>19</v>
      </c>
      <c r="CF32" s="163">
        <v>5</v>
      </c>
      <c r="CG32" s="163">
        <v>2</v>
      </c>
      <c r="CH32" s="163">
        <v>12</v>
      </c>
      <c r="CI32" s="644">
        <v>0</v>
      </c>
      <c r="CJ32" s="645">
        <v>3</v>
      </c>
      <c r="CK32" s="163">
        <v>0</v>
      </c>
      <c r="CL32" s="163">
        <v>0</v>
      </c>
      <c r="CM32" s="163">
        <v>3</v>
      </c>
      <c r="CN32" s="643">
        <v>0</v>
      </c>
      <c r="CO32" s="646">
        <v>19</v>
      </c>
      <c r="CP32" s="645">
        <v>16</v>
      </c>
      <c r="CQ32" s="163">
        <v>2</v>
      </c>
      <c r="CR32" s="163">
        <v>3</v>
      </c>
      <c r="CS32" s="163">
        <v>10</v>
      </c>
      <c r="CT32" s="644">
        <v>1</v>
      </c>
      <c r="CU32" s="645">
        <v>3</v>
      </c>
      <c r="CV32" s="163">
        <v>0</v>
      </c>
      <c r="CW32" s="163">
        <v>0</v>
      </c>
      <c r="CX32" s="163">
        <v>3</v>
      </c>
      <c r="CY32" s="643">
        <v>0</v>
      </c>
      <c r="CZ32" s="646">
        <v>4</v>
      </c>
      <c r="DA32" s="645">
        <v>3</v>
      </c>
      <c r="DB32" s="163">
        <v>1</v>
      </c>
      <c r="DC32" s="163">
        <v>0</v>
      </c>
      <c r="DD32" s="163">
        <v>2</v>
      </c>
      <c r="DE32" s="644">
        <v>0</v>
      </c>
      <c r="DF32" s="645">
        <v>1</v>
      </c>
      <c r="DG32" s="163">
        <v>0</v>
      </c>
      <c r="DH32" s="163">
        <v>0</v>
      </c>
      <c r="DI32" s="163">
        <v>1</v>
      </c>
      <c r="DJ32" s="643">
        <v>0</v>
      </c>
      <c r="DK32" s="646">
        <v>0</v>
      </c>
      <c r="DL32" s="645">
        <v>0</v>
      </c>
      <c r="DM32" s="163">
        <v>0</v>
      </c>
      <c r="DN32" s="163">
        <v>0</v>
      </c>
      <c r="DO32" s="163">
        <v>0</v>
      </c>
      <c r="DP32" s="644">
        <v>0</v>
      </c>
      <c r="DQ32" s="645">
        <v>0</v>
      </c>
      <c r="DR32" s="163">
        <v>0</v>
      </c>
      <c r="DS32" s="163">
        <v>0</v>
      </c>
      <c r="DT32" s="163">
        <v>0</v>
      </c>
      <c r="DU32" s="643">
        <v>0</v>
      </c>
      <c r="DW32" s="646">
        <f t="shared" si="4"/>
        <v>414</v>
      </c>
      <c r="DX32" s="645">
        <f t="shared" si="4"/>
        <v>326</v>
      </c>
      <c r="DY32" s="163">
        <f t="shared" si="4"/>
        <v>80</v>
      </c>
      <c r="DZ32" s="163">
        <f t="shared" si="4"/>
        <v>12</v>
      </c>
      <c r="EA32" s="163">
        <f t="shared" si="4"/>
        <v>233</v>
      </c>
      <c r="EB32" s="644">
        <f t="shared" si="4"/>
        <v>1</v>
      </c>
      <c r="EC32" s="645">
        <f t="shared" si="4"/>
        <v>88</v>
      </c>
      <c r="ED32" s="163">
        <f t="shared" si="4"/>
        <v>4</v>
      </c>
      <c r="EE32" s="163">
        <f t="shared" si="4"/>
        <v>0</v>
      </c>
      <c r="EF32" s="163">
        <f t="shared" si="4"/>
        <v>82</v>
      </c>
      <c r="EG32" s="643">
        <f t="shared" si="4"/>
        <v>2</v>
      </c>
      <c r="EH32" s="646">
        <f t="shared" si="5"/>
        <v>160</v>
      </c>
      <c r="EI32" s="645">
        <f t="shared" si="5"/>
        <v>125</v>
      </c>
      <c r="EJ32" s="163">
        <f t="shared" si="5"/>
        <v>20</v>
      </c>
      <c r="EK32" s="163">
        <f t="shared" si="5"/>
        <v>8</v>
      </c>
      <c r="EL32" s="163">
        <f t="shared" si="5"/>
        <v>97</v>
      </c>
      <c r="EM32" s="644">
        <f t="shared" si="5"/>
        <v>0</v>
      </c>
      <c r="EN32" s="645">
        <f t="shared" si="5"/>
        <v>35</v>
      </c>
      <c r="EO32" s="163">
        <f t="shared" si="5"/>
        <v>1</v>
      </c>
      <c r="EP32" s="163">
        <f t="shared" si="5"/>
        <v>0</v>
      </c>
      <c r="EQ32" s="163">
        <f t="shared" si="5"/>
        <v>34</v>
      </c>
      <c r="ER32" s="643">
        <f t="shared" si="5"/>
        <v>0</v>
      </c>
    </row>
    <row r="33" spans="1:148">
      <c r="B33" s="354" t="s">
        <v>359</v>
      </c>
      <c r="C33" s="330">
        <v>2024</v>
      </c>
      <c r="D33" s="626">
        <v>163027</v>
      </c>
      <c r="E33" s="646">
        <v>11026</v>
      </c>
      <c r="F33" s="645">
        <v>8144</v>
      </c>
      <c r="G33" s="163">
        <v>1596</v>
      </c>
      <c r="H33" s="163">
        <v>469</v>
      </c>
      <c r="I33" s="163">
        <v>6030</v>
      </c>
      <c r="J33" s="644">
        <v>49</v>
      </c>
      <c r="K33" s="645">
        <v>2882</v>
      </c>
      <c r="L33" s="163">
        <v>388</v>
      </c>
      <c r="M33" s="163">
        <v>0</v>
      </c>
      <c r="N33" s="163">
        <v>2423</v>
      </c>
      <c r="O33" s="643">
        <v>71</v>
      </c>
      <c r="P33" s="646">
        <f t="shared" si="2"/>
        <v>20</v>
      </c>
      <c r="Q33" s="645">
        <v>9</v>
      </c>
      <c r="R33" s="163">
        <v>1</v>
      </c>
      <c r="S33" s="163">
        <v>1</v>
      </c>
      <c r="T33" s="163">
        <v>7</v>
      </c>
      <c r="U33" s="644">
        <v>0</v>
      </c>
      <c r="V33" s="645">
        <v>11</v>
      </c>
      <c r="W33" s="163">
        <v>3</v>
      </c>
      <c r="X33" s="163">
        <v>0</v>
      </c>
      <c r="Y33" s="163">
        <v>8</v>
      </c>
      <c r="Z33" s="643">
        <v>0</v>
      </c>
      <c r="AA33" s="646">
        <f t="shared" si="3"/>
        <v>13</v>
      </c>
      <c r="AB33" s="645">
        <v>12</v>
      </c>
      <c r="AC33" s="163">
        <v>0</v>
      </c>
      <c r="AD33" s="163">
        <v>2</v>
      </c>
      <c r="AE33" s="163">
        <v>10</v>
      </c>
      <c r="AF33" s="644">
        <v>0</v>
      </c>
      <c r="AG33" s="645">
        <v>1</v>
      </c>
      <c r="AH33" s="163">
        <v>0</v>
      </c>
      <c r="AI33" s="163">
        <v>0</v>
      </c>
      <c r="AJ33" s="163">
        <v>1</v>
      </c>
      <c r="AK33" s="643">
        <v>0</v>
      </c>
      <c r="AL33" s="646">
        <v>161</v>
      </c>
      <c r="AM33" s="645">
        <v>109</v>
      </c>
      <c r="AN33" s="163">
        <v>19</v>
      </c>
      <c r="AO33" s="163">
        <v>7</v>
      </c>
      <c r="AP33" s="163">
        <v>83</v>
      </c>
      <c r="AQ33" s="644">
        <v>0</v>
      </c>
      <c r="AR33" s="645">
        <v>52</v>
      </c>
      <c r="AS33" s="163">
        <v>6</v>
      </c>
      <c r="AT33" s="163">
        <v>0</v>
      </c>
      <c r="AU33" s="163">
        <v>45</v>
      </c>
      <c r="AV33" s="643">
        <v>1</v>
      </c>
      <c r="AW33" s="646">
        <v>64</v>
      </c>
      <c r="AX33" s="645">
        <v>48</v>
      </c>
      <c r="AY33" s="163">
        <v>8</v>
      </c>
      <c r="AZ33" s="163">
        <v>4</v>
      </c>
      <c r="BA33" s="163">
        <v>36</v>
      </c>
      <c r="BB33" s="644">
        <v>0</v>
      </c>
      <c r="BC33" s="645">
        <v>16</v>
      </c>
      <c r="BD33" s="163">
        <v>3</v>
      </c>
      <c r="BE33" s="163">
        <v>0</v>
      </c>
      <c r="BF33" s="163">
        <v>13</v>
      </c>
      <c r="BG33" s="643">
        <v>0</v>
      </c>
      <c r="BH33" s="646">
        <v>83</v>
      </c>
      <c r="BI33" s="645">
        <v>68</v>
      </c>
      <c r="BJ33" s="163">
        <v>12</v>
      </c>
      <c r="BK33" s="163">
        <v>3</v>
      </c>
      <c r="BL33" s="163">
        <v>53</v>
      </c>
      <c r="BM33" s="644">
        <v>0</v>
      </c>
      <c r="BN33" s="645">
        <v>15</v>
      </c>
      <c r="BO33" s="163">
        <v>2</v>
      </c>
      <c r="BP33" s="163">
        <v>0</v>
      </c>
      <c r="BQ33" s="163">
        <v>12</v>
      </c>
      <c r="BR33" s="643">
        <v>1</v>
      </c>
      <c r="BS33" s="646">
        <v>174</v>
      </c>
      <c r="BT33" s="645">
        <v>142</v>
      </c>
      <c r="BU33" s="163">
        <v>27</v>
      </c>
      <c r="BV33" s="163">
        <v>0</v>
      </c>
      <c r="BW33" s="163">
        <v>115</v>
      </c>
      <c r="BX33" s="644">
        <v>0</v>
      </c>
      <c r="BY33" s="645">
        <v>32</v>
      </c>
      <c r="BZ33" s="163">
        <v>5</v>
      </c>
      <c r="CA33" s="163">
        <v>0</v>
      </c>
      <c r="CB33" s="163">
        <v>27</v>
      </c>
      <c r="CC33" s="643">
        <v>0</v>
      </c>
      <c r="CD33" s="646">
        <v>18</v>
      </c>
      <c r="CE33" s="645">
        <v>16</v>
      </c>
      <c r="CF33" s="163">
        <v>2</v>
      </c>
      <c r="CG33" s="163">
        <v>1</v>
      </c>
      <c r="CH33" s="163">
        <v>13</v>
      </c>
      <c r="CI33" s="644">
        <v>0</v>
      </c>
      <c r="CJ33" s="645">
        <v>2</v>
      </c>
      <c r="CK33" s="163">
        <v>0</v>
      </c>
      <c r="CL33" s="163">
        <v>0</v>
      </c>
      <c r="CM33" s="163">
        <v>2</v>
      </c>
      <c r="CN33" s="643">
        <v>0</v>
      </c>
      <c r="CO33" s="646">
        <v>17</v>
      </c>
      <c r="CP33" s="645">
        <v>13</v>
      </c>
      <c r="CQ33" s="163">
        <v>2</v>
      </c>
      <c r="CR33" s="163">
        <v>2</v>
      </c>
      <c r="CS33" s="163">
        <v>9</v>
      </c>
      <c r="CT33" s="644">
        <v>0</v>
      </c>
      <c r="CU33" s="645">
        <v>4</v>
      </c>
      <c r="CV33" s="163">
        <v>1</v>
      </c>
      <c r="CW33" s="163">
        <v>0</v>
      </c>
      <c r="CX33" s="163">
        <v>3</v>
      </c>
      <c r="CY33" s="643">
        <v>0</v>
      </c>
      <c r="CZ33" s="646">
        <v>4</v>
      </c>
      <c r="DA33" s="645">
        <v>3</v>
      </c>
      <c r="DB33" s="163">
        <v>1</v>
      </c>
      <c r="DC33" s="163">
        <v>0</v>
      </c>
      <c r="DD33" s="163">
        <v>2</v>
      </c>
      <c r="DE33" s="644">
        <v>0</v>
      </c>
      <c r="DF33" s="645">
        <v>1</v>
      </c>
      <c r="DG33" s="163">
        <v>0</v>
      </c>
      <c r="DH33" s="163">
        <v>0</v>
      </c>
      <c r="DI33" s="163">
        <v>1</v>
      </c>
      <c r="DJ33" s="643">
        <v>0</v>
      </c>
      <c r="DK33" s="646">
        <v>0</v>
      </c>
      <c r="DL33" s="645">
        <v>0</v>
      </c>
      <c r="DM33" s="163">
        <v>0</v>
      </c>
      <c r="DN33" s="163">
        <v>0</v>
      </c>
      <c r="DO33" s="163">
        <v>0</v>
      </c>
      <c r="DP33" s="644">
        <v>0</v>
      </c>
      <c r="DQ33" s="645">
        <v>0</v>
      </c>
      <c r="DR33" s="163">
        <v>0</v>
      </c>
      <c r="DS33" s="163">
        <v>0</v>
      </c>
      <c r="DT33" s="163">
        <v>0</v>
      </c>
      <c r="DU33" s="643">
        <v>0</v>
      </c>
      <c r="DW33" s="646">
        <f t="shared" si="4"/>
        <v>393</v>
      </c>
      <c r="DX33" s="645">
        <f t="shared" si="4"/>
        <v>311</v>
      </c>
      <c r="DY33" s="163">
        <f t="shared" si="4"/>
        <v>53</v>
      </c>
      <c r="DZ33" s="163">
        <f t="shared" si="4"/>
        <v>13</v>
      </c>
      <c r="EA33" s="163">
        <f t="shared" si="4"/>
        <v>245</v>
      </c>
      <c r="EB33" s="644">
        <f t="shared" si="4"/>
        <v>0</v>
      </c>
      <c r="EC33" s="645">
        <f t="shared" si="4"/>
        <v>82</v>
      </c>
      <c r="ED33" s="163">
        <f t="shared" si="4"/>
        <v>14</v>
      </c>
      <c r="EE33" s="163">
        <f t="shared" si="4"/>
        <v>0</v>
      </c>
      <c r="EF33" s="163">
        <f t="shared" si="4"/>
        <v>67</v>
      </c>
      <c r="EG33" s="643">
        <f t="shared" si="4"/>
        <v>1</v>
      </c>
      <c r="EH33" s="646">
        <f t="shared" si="5"/>
        <v>161</v>
      </c>
      <c r="EI33" s="645">
        <f t="shared" si="5"/>
        <v>109</v>
      </c>
      <c r="EJ33" s="163">
        <f t="shared" si="5"/>
        <v>19</v>
      </c>
      <c r="EK33" s="163">
        <f t="shared" si="5"/>
        <v>7</v>
      </c>
      <c r="EL33" s="163">
        <f t="shared" si="5"/>
        <v>83</v>
      </c>
      <c r="EM33" s="644">
        <f t="shared" si="5"/>
        <v>0</v>
      </c>
      <c r="EN33" s="645">
        <f t="shared" si="5"/>
        <v>52</v>
      </c>
      <c r="EO33" s="163">
        <f t="shared" si="5"/>
        <v>6</v>
      </c>
      <c r="EP33" s="163">
        <f t="shared" si="5"/>
        <v>0</v>
      </c>
      <c r="EQ33" s="163">
        <f t="shared" si="5"/>
        <v>45</v>
      </c>
      <c r="ER33" s="643">
        <f t="shared" si="5"/>
        <v>1</v>
      </c>
    </row>
    <row r="34" spans="1:148">
      <c r="B34" s="354" t="s">
        <v>360</v>
      </c>
      <c r="C34" s="330">
        <v>2024</v>
      </c>
      <c r="D34" s="626">
        <v>190530</v>
      </c>
      <c r="E34" s="646">
        <v>14370</v>
      </c>
      <c r="F34" s="645">
        <v>10462</v>
      </c>
      <c r="G34" s="163">
        <v>2474</v>
      </c>
      <c r="H34" s="163">
        <v>730</v>
      </c>
      <c r="I34" s="163">
        <v>7209</v>
      </c>
      <c r="J34" s="644">
        <v>49</v>
      </c>
      <c r="K34" s="645">
        <v>3908</v>
      </c>
      <c r="L34" s="163">
        <v>196</v>
      </c>
      <c r="M34" s="163">
        <v>0</v>
      </c>
      <c r="N34" s="163">
        <v>3578</v>
      </c>
      <c r="O34" s="643">
        <v>134</v>
      </c>
      <c r="P34" s="646">
        <f t="shared" si="2"/>
        <v>32</v>
      </c>
      <c r="Q34" s="645">
        <v>21</v>
      </c>
      <c r="R34" s="163">
        <v>8</v>
      </c>
      <c r="S34" s="163">
        <v>0</v>
      </c>
      <c r="T34" s="163">
        <v>13</v>
      </c>
      <c r="U34" s="644">
        <v>0</v>
      </c>
      <c r="V34" s="645">
        <v>11</v>
      </c>
      <c r="W34" s="163">
        <v>0</v>
      </c>
      <c r="X34" s="163">
        <v>0</v>
      </c>
      <c r="Y34" s="163">
        <v>11</v>
      </c>
      <c r="Z34" s="643">
        <v>0</v>
      </c>
      <c r="AA34" s="646">
        <f t="shared" si="3"/>
        <v>10</v>
      </c>
      <c r="AB34" s="645">
        <v>9</v>
      </c>
      <c r="AC34" s="163">
        <v>1</v>
      </c>
      <c r="AD34" s="163">
        <v>1</v>
      </c>
      <c r="AE34" s="163">
        <v>7</v>
      </c>
      <c r="AF34" s="644">
        <v>0</v>
      </c>
      <c r="AG34" s="645">
        <v>1</v>
      </c>
      <c r="AH34" s="163">
        <v>0</v>
      </c>
      <c r="AI34" s="163">
        <v>0</v>
      </c>
      <c r="AJ34" s="163">
        <v>1</v>
      </c>
      <c r="AK34" s="643">
        <v>0</v>
      </c>
      <c r="AL34" s="646">
        <v>173</v>
      </c>
      <c r="AM34" s="645">
        <v>123</v>
      </c>
      <c r="AN34" s="163">
        <v>24</v>
      </c>
      <c r="AO34" s="163">
        <v>8</v>
      </c>
      <c r="AP34" s="163">
        <v>91</v>
      </c>
      <c r="AQ34" s="644">
        <v>0</v>
      </c>
      <c r="AR34" s="645">
        <v>50</v>
      </c>
      <c r="AS34" s="163">
        <v>2</v>
      </c>
      <c r="AT34" s="163">
        <v>0</v>
      </c>
      <c r="AU34" s="163">
        <v>47</v>
      </c>
      <c r="AV34" s="643">
        <v>1</v>
      </c>
      <c r="AW34" s="646">
        <v>98</v>
      </c>
      <c r="AX34" s="645">
        <v>79</v>
      </c>
      <c r="AY34" s="163">
        <v>17</v>
      </c>
      <c r="AZ34" s="163">
        <v>4</v>
      </c>
      <c r="BA34" s="163">
        <v>58</v>
      </c>
      <c r="BB34" s="644">
        <v>0</v>
      </c>
      <c r="BC34" s="645">
        <v>19</v>
      </c>
      <c r="BD34" s="163">
        <v>0</v>
      </c>
      <c r="BE34" s="163">
        <v>0</v>
      </c>
      <c r="BF34" s="163">
        <v>17</v>
      </c>
      <c r="BG34" s="643">
        <v>2</v>
      </c>
      <c r="BH34" s="646">
        <v>115</v>
      </c>
      <c r="BI34" s="645">
        <v>95</v>
      </c>
      <c r="BJ34" s="163">
        <v>18</v>
      </c>
      <c r="BK34" s="163">
        <v>5</v>
      </c>
      <c r="BL34" s="163">
        <v>72</v>
      </c>
      <c r="BM34" s="644">
        <v>0</v>
      </c>
      <c r="BN34" s="645">
        <v>20</v>
      </c>
      <c r="BO34" s="163">
        <v>0</v>
      </c>
      <c r="BP34" s="163">
        <v>0</v>
      </c>
      <c r="BQ34" s="163">
        <v>19</v>
      </c>
      <c r="BR34" s="643">
        <v>1</v>
      </c>
      <c r="BS34" s="646">
        <v>194</v>
      </c>
      <c r="BT34" s="645">
        <v>146</v>
      </c>
      <c r="BU34" s="163">
        <v>35</v>
      </c>
      <c r="BV34" s="163">
        <v>2</v>
      </c>
      <c r="BW34" s="163">
        <v>109</v>
      </c>
      <c r="BX34" s="644">
        <v>0</v>
      </c>
      <c r="BY34" s="645">
        <v>48</v>
      </c>
      <c r="BZ34" s="163">
        <v>0</v>
      </c>
      <c r="CA34" s="163">
        <v>0</v>
      </c>
      <c r="CB34" s="163">
        <v>47</v>
      </c>
      <c r="CC34" s="643">
        <v>1</v>
      </c>
      <c r="CD34" s="646">
        <v>24</v>
      </c>
      <c r="CE34" s="645">
        <v>19</v>
      </c>
      <c r="CF34" s="163">
        <v>3</v>
      </c>
      <c r="CG34" s="163">
        <v>1</v>
      </c>
      <c r="CH34" s="163">
        <v>15</v>
      </c>
      <c r="CI34" s="644">
        <v>0</v>
      </c>
      <c r="CJ34" s="645">
        <v>5</v>
      </c>
      <c r="CK34" s="163">
        <v>0</v>
      </c>
      <c r="CL34" s="163">
        <v>0</v>
      </c>
      <c r="CM34" s="163">
        <v>5</v>
      </c>
      <c r="CN34" s="643">
        <v>0</v>
      </c>
      <c r="CO34" s="646">
        <v>19</v>
      </c>
      <c r="CP34" s="645">
        <v>14</v>
      </c>
      <c r="CQ34" s="163">
        <v>4</v>
      </c>
      <c r="CR34" s="163">
        <v>1</v>
      </c>
      <c r="CS34" s="163">
        <v>9</v>
      </c>
      <c r="CT34" s="644">
        <v>0</v>
      </c>
      <c r="CU34" s="645">
        <v>5</v>
      </c>
      <c r="CV34" s="163">
        <v>0</v>
      </c>
      <c r="CW34" s="163">
        <v>0</v>
      </c>
      <c r="CX34" s="163">
        <v>5</v>
      </c>
      <c r="CY34" s="643">
        <v>0</v>
      </c>
      <c r="CZ34" s="646">
        <v>4</v>
      </c>
      <c r="DA34" s="645">
        <v>2</v>
      </c>
      <c r="DB34" s="163">
        <v>0</v>
      </c>
      <c r="DC34" s="163">
        <v>0</v>
      </c>
      <c r="DD34" s="163">
        <v>2</v>
      </c>
      <c r="DE34" s="644">
        <v>0</v>
      </c>
      <c r="DF34" s="645">
        <v>2</v>
      </c>
      <c r="DG34" s="163">
        <v>0</v>
      </c>
      <c r="DH34" s="163">
        <v>0</v>
      </c>
      <c r="DI34" s="163">
        <v>2</v>
      </c>
      <c r="DJ34" s="643">
        <v>0</v>
      </c>
      <c r="DK34" s="646">
        <v>0</v>
      </c>
      <c r="DL34" s="645">
        <v>0</v>
      </c>
      <c r="DM34" s="163">
        <v>0</v>
      </c>
      <c r="DN34" s="163">
        <v>0</v>
      </c>
      <c r="DO34" s="163">
        <v>0</v>
      </c>
      <c r="DP34" s="644">
        <v>0</v>
      </c>
      <c r="DQ34" s="645">
        <v>0</v>
      </c>
      <c r="DR34" s="163">
        <v>0</v>
      </c>
      <c r="DS34" s="163">
        <v>0</v>
      </c>
      <c r="DT34" s="163">
        <v>0</v>
      </c>
      <c r="DU34" s="643">
        <v>0</v>
      </c>
      <c r="DW34" s="646">
        <f t="shared" si="4"/>
        <v>496</v>
      </c>
      <c r="DX34" s="645">
        <f t="shared" si="4"/>
        <v>385</v>
      </c>
      <c r="DY34" s="163">
        <f t="shared" si="4"/>
        <v>86</v>
      </c>
      <c r="DZ34" s="163">
        <f t="shared" si="4"/>
        <v>14</v>
      </c>
      <c r="EA34" s="163">
        <f t="shared" si="4"/>
        <v>285</v>
      </c>
      <c r="EB34" s="644">
        <f t="shared" si="4"/>
        <v>0</v>
      </c>
      <c r="EC34" s="645">
        <f t="shared" si="4"/>
        <v>111</v>
      </c>
      <c r="ED34" s="163">
        <f t="shared" si="4"/>
        <v>0</v>
      </c>
      <c r="EE34" s="163">
        <f t="shared" si="4"/>
        <v>0</v>
      </c>
      <c r="EF34" s="163">
        <f t="shared" si="4"/>
        <v>107</v>
      </c>
      <c r="EG34" s="643">
        <f t="shared" si="4"/>
        <v>4</v>
      </c>
      <c r="EH34" s="646">
        <f t="shared" si="5"/>
        <v>173</v>
      </c>
      <c r="EI34" s="645">
        <f t="shared" si="5"/>
        <v>123</v>
      </c>
      <c r="EJ34" s="163">
        <f t="shared" si="5"/>
        <v>24</v>
      </c>
      <c r="EK34" s="163">
        <f t="shared" si="5"/>
        <v>8</v>
      </c>
      <c r="EL34" s="163">
        <f t="shared" si="5"/>
        <v>91</v>
      </c>
      <c r="EM34" s="644">
        <f t="shared" si="5"/>
        <v>0</v>
      </c>
      <c r="EN34" s="645">
        <f t="shared" si="5"/>
        <v>50</v>
      </c>
      <c r="EO34" s="163">
        <f t="shared" si="5"/>
        <v>2</v>
      </c>
      <c r="EP34" s="163">
        <f t="shared" si="5"/>
        <v>0</v>
      </c>
      <c r="EQ34" s="163">
        <f t="shared" si="5"/>
        <v>47</v>
      </c>
      <c r="ER34" s="643">
        <f t="shared" si="5"/>
        <v>1</v>
      </c>
    </row>
    <row r="35" spans="1:148">
      <c r="B35" s="354" t="s">
        <v>687</v>
      </c>
      <c r="C35" s="330">
        <v>2024</v>
      </c>
      <c r="D35" s="626">
        <v>182361</v>
      </c>
      <c r="E35" s="646">
        <v>15946</v>
      </c>
      <c r="F35" s="645">
        <v>11771</v>
      </c>
      <c r="G35" s="163">
        <v>2542</v>
      </c>
      <c r="H35" s="163">
        <v>967</v>
      </c>
      <c r="I35" s="163">
        <v>8192</v>
      </c>
      <c r="J35" s="644">
        <v>70</v>
      </c>
      <c r="K35" s="645">
        <v>4175</v>
      </c>
      <c r="L35" s="163">
        <v>435</v>
      </c>
      <c r="M35" s="163">
        <v>0</v>
      </c>
      <c r="N35" s="163">
        <v>3645</v>
      </c>
      <c r="O35" s="643">
        <v>95</v>
      </c>
      <c r="P35" s="646">
        <f t="shared" si="2"/>
        <v>31</v>
      </c>
      <c r="Q35" s="645">
        <v>20</v>
      </c>
      <c r="R35" s="163">
        <v>4</v>
      </c>
      <c r="S35" s="163">
        <v>3</v>
      </c>
      <c r="T35" s="163">
        <v>13</v>
      </c>
      <c r="U35" s="644">
        <v>0</v>
      </c>
      <c r="V35" s="645">
        <v>11</v>
      </c>
      <c r="W35" s="163">
        <v>2</v>
      </c>
      <c r="X35" s="163">
        <v>0</v>
      </c>
      <c r="Y35" s="163">
        <v>9</v>
      </c>
      <c r="Z35" s="643">
        <v>0</v>
      </c>
      <c r="AA35" s="646">
        <f t="shared" si="3"/>
        <v>13</v>
      </c>
      <c r="AB35" s="645">
        <v>11</v>
      </c>
      <c r="AC35" s="163">
        <v>5</v>
      </c>
      <c r="AD35" s="163">
        <v>0</v>
      </c>
      <c r="AE35" s="163">
        <v>6</v>
      </c>
      <c r="AF35" s="644">
        <v>0</v>
      </c>
      <c r="AG35" s="645">
        <v>2</v>
      </c>
      <c r="AH35" s="163">
        <v>0</v>
      </c>
      <c r="AI35" s="163">
        <v>0</v>
      </c>
      <c r="AJ35" s="163">
        <v>2</v>
      </c>
      <c r="AK35" s="643">
        <v>0</v>
      </c>
      <c r="AL35" s="646">
        <v>211</v>
      </c>
      <c r="AM35" s="645">
        <v>160</v>
      </c>
      <c r="AN35" s="163">
        <v>30</v>
      </c>
      <c r="AO35" s="163">
        <v>22</v>
      </c>
      <c r="AP35" s="163">
        <v>107</v>
      </c>
      <c r="AQ35" s="644">
        <v>1</v>
      </c>
      <c r="AR35" s="645">
        <v>51</v>
      </c>
      <c r="AS35" s="163">
        <v>3</v>
      </c>
      <c r="AT35" s="163">
        <v>0</v>
      </c>
      <c r="AU35" s="163">
        <v>48</v>
      </c>
      <c r="AV35" s="643">
        <v>0</v>
      </c>
      <c r="AW35" s="646">
        <v>106</v>
      </c>
      <c r="AX35" s="645">
        <v>84</v>
      </c>
      <c r="AY35" s="163">
        <v>15</v>
      </c>
      <c r="AZ35" s="163">
        <v>2</v>
      </c>
      <c r="BA35" s="163">
        <v>67</v>
      </c>
      <c r="BB35" s="644">
        <v>0</v>
      </c>
      <c r="BC35" s="645">
        <v>22</v>
      </c>
      <c r="BD35" s="163">
        <v>4</v>
      </c>
      <c r="BE35" s="163">
        <v>0</v>
      </c>
      <c r="BF35" s="163">
        <v>18</v>
      </c>
      <c r="BG35" s="643">
        <v>0</v>
      </c>
      <c r="BH35" s="646">
        <v>106</v>
      </c>
      <c r="BI35" s="645">
        <v>77</v>
      </c>
      <c r="BJ35" s="163">
        <v>14</v>
      </c>
      <c r="BK35" s="163">
        <v>3</v>
      </c>
      <c r="BL35" s="163">
        <v>58</v>
      </c>
      <c r="BM35" s="644">
        <v>2</v>
      </c>
      <c r="BN35" s="645">
        <v>29</v>
      </c>
      <c r="BO35" s="163">
        <v>4</v>
      </c>
      <c r="BP35" s="163">
        <v>0</v>
      </c>
      <c r="BQ35" s="163">
        <v>25</v>
      </c>
      <c r="BR35" s="643">
        <v>0</v>
      </c>
      <c r="BS35" s="646">
        <v>188</v>
      </c>
      <c r="BT35" s="645">
        <v>149</v>
      </c>
      <c r="BU35" s="163">
        <v>31</v>
      </c>
      <c r="BV35" s="163">
        <v>4</v>
      </c>
      <c r="BW35" s="163">
        <v>113</v>
      </c>
      <c r="BX35" s="644">
        <v>1</v>
      </c>
      <c r="BY35" s="645">
        <v>39</v>
      </c>
      <c r="BZ35" s="163">
        <v>2</v>
      </c>
      <c r="CA35" s="163">
        <v>0</v>
      </c>
      <c r="CB35" s="163">
        <v>36</v>
      </c>
      <c r="CC35" s="643">
        <v>1</v>
      </c>
      <c r="CD35" s="646">
        <v>19</v>
      </c>
      <c r="CE35" s="645">
        <v>12</v>
      </c>
      <c r="CF35" s="163">
        <v>0</v>
      </c>
      <c r="CG35" s="163">
        <v>1</v>
      </c>
      <c r="CH35" s="163">
        <v>11</v>
      </c>
      <c r="CI35" s="644">
        <v>0</v>
      </c>
      <c r="CJ35" s="645">
        <v>7</v>
      </c>
      <c r="CK35" s="163">
        <v>0</v>
      </c>
      <c r="CL35" s="163">
        <v>0</v>
      </c>
      <c r="CM35" s="163">
        <v>7</v>
      </c>
      <c r="CN35" s="643">
        <v>0</v>
      </c>
      <c r="CO35" s="646">
        <v>20</v>
      </c>
      <c r="CP35" s="645">
        <v>12</v>
      </c>
      <c r="CQ35" s="163">
        <v>1</v>
      </c>
      <c r="CR35" s="163">
        <v>2</v>
      </c>
      <c r="CS35" s="163">
        <v>9</v>
      </c>
      <c r="CT35" s="644">
        <v>0</v>
      </c>
      <c r="CU35" s="645">
        <v>8</v>
      </c>
      <c r="CV35" s="163">
        <v>0</v>
      </c>
      <c r="CW35" s="163">
        <v>0</v>
      </c>
      <c r="CX35" s="163">
        <v>8</v>
      </c>
      <c r="CY35" s="643">
        <v>0</v>
      </c>
      <c r="CZ35" s="646">
        <v>6</v>
      </c>
      <c r="DA35" s="645">
        <v>5</v>
      </c>
      <c r="DB35" s="163">
        <v>1</v>
      </c>
      <c r="DC35" s="163">
        <v>2</v>
      </c>
      <c r="DD35" s="163">
        <v>2</v>
      </c>
      <c r="DE35" s="644">
        <v>0</v>
      </c>
      <c r="DF35" s="645">
        <v>1</v>
      </c>
      <c r="DG35" s="163">
        <v>0</v>
      </c>
      <c r="DH35" s="163">
        <v>0</v>
      </c>
      <c r="DI35" s="163">
        <v>1</v>
      </c>
      <c r="DJ35" s="643">
        <v>0</v>
      </c>
      <c r="DK35" s="646">
        <v>1</v>
      </c>
      <c r="DL35" s="645">
        <v>1</v>
      </c>
      <c r="DM35" s="163">
        <v>0</v>
      </c>
      <c r="DN35" s="163">
        <v>1</v>
      </c>
      <c r="DO35" s="163">
        <v>0</v>
      </c>
      <c r="DP35" s="644">
        <v>0</v>
      </c>
      <c r="DQ35" s="645">
        <v>0</v>
      </c>
      <c r="DR35" s="163">
        <v>0</v>
      </c>
      <c r="DS35" s="163">
        <v>0</v>
      </c>
      <c r="DT35" s="163">
        <v>0</v>
      </c>
      <c r="DU35" s="643">
        <v>0</v>
      </c>
      <c r="DW35" s="646">
        <f t="shared" si="4"/>
        <v>490</v>
      </c>
      <c r="DX35" s="645">
        <f t="shared" si="4"/>
        <v>371</v>
      </c>
      <c r="DY35" s="163">
        <f t="shared" si="4"/>
        <v>71</v>
      </c>
      <c r="DZ35" s="163">
        <f t="shared" si="4"/>
        <v>18</v>
      </c>
      <c r="EA35" s="163">
        <f t="shared" si="4"/>
        <v>279</v>
      </c>
      <c r="EB35" s="644">
        <f t="shared" si="4"/>
        <v>3</v>
      </c>
      <c r="EC35" s="645">
        <f t="shared" si="4"/>
        <v>119</v>
      </c>
      <c r="ED35" s="163">
        <f t="shared" si="4"/>
        <v>12</v>
      </c>
      <c r="EE35" s="163">
        <f t="shared" si="4"/>
        <v>0</v>
      </c>
      <c r="EF35" s="163">
        <f t="shared" si="4"/>
        <v>106</v>
      </c>
      <c r="EG35" s="643">
        <f t="shared" si="4"/>
        <v>1</v>
      </c>
      <c r="EH35" s="646">
        <f t="shared" ref="EH35:ER61" si="6">AL35</f>
        <v>211</v>
      </c>
      <c r="EI35" s="645">
        <f t="shared" si="6"/>
        <v>160</v>
      </c>
      <c r="EJ35" s="163">
        <f t="shared" si="6"/>
        <v>30</v>
      </c>
      <c r="EK35" s="163">
        <f t="shared" si="6"/>
        <v>22</v>
      </c>
      <c r="EL35" s="163">
        <f t="shared" si="6"/>
        <v>107</v>
      </c>
      <c r="EM35" s="644">
        <f t="shared" si="6"/>
        <v>1</v>
      </c>
      <c r="EN35" s="645">
        <f t="shared" si="6"/>
        <v>51</v>
      </c>
      <c r="EO35" s="163">
        <f t="shared" si="6"/>
        <v>3</v>
      </c>
      <c r="EP35" s="163">
        <f t="shared" si="6"/>
        <v>0</v>
      </c>
      <c r="EQ35" s="163">
        <f t="shared" si="6"/>
        <v>48</v>
      </c>
      <c r="ER35" s="643">
        <f t="shared" si="6"/>
        <v>0</v>
      </c>
    </row>
    <row r="36" spans="1:148" ht="15" thickBot="1">
      <c r="B36" s="651" t="s">
        <v>688</v>
      </c>
      <c r="C36" s="339">
        <v>2024</v>
      </c>
      <c r="D36" s="627">
        <v>163345</v>
      </c>
      <c r="E36" s="642">
        <v>15251</v>
      </c>
      <c r="F36" s="641">
        <v>11282</v>
      </c>
      <c r="G36" s="640">
        <v>1816</v>
      </c>
      <c r="H36" s="640">
        <v>1914</v>
      </c>
      <c r="I36" s="640">
        <v>7442</v>
      </c>
      <c r="J36" s="652">
        <v>110</v>
      </c>
      <c r="K36" s="641">
        <v>3969</v>
      </c>
      <c r="L36" s="640">
        <v>341</v>
      </c>
      <c r="M36" s="640">
        <v>0</v>
      </c>
      <c r="N36" s="640">
        <v>3574</v>
      </c>
      <c r="O36" s="639">
        <v>54</v>
      </c>
      <c r="P36" s="642">
        <f t="shared" si="2"/>
        <v>27</v>
      </c>
      <c r="Q36" s="641">
        <v>15</v>
      </c>
      <c r="R36" s="640">
        <v>3</v>
      </c>
      <c r="S36" s="640">
        <v>1</v>
      </c>
      <c r="T36" s="640">
        <v>10</v>
      </c>
      <c r="U36" s="652">
        <v>1</v>
      </c>
      <c r="V36" s="641">
        <v>12</v>
      </c>
      <c r="W36" s="640">
        <v>0</v>
      </c>
      <c r="X36" s="640">
        <v>0</v>
      </c>
      <c r="Y36" s="640">
        <v>12</v>
      </c>
      <c r="Z36" s="639">
        <v>0</v>
      </c>
      <c r="AA36" s="642">
        <f t="shared" si="3"/>
        <v>24</v>
      </c>
      <c r="AB36" s="641">
        <v>18</v>
      </c>
      <c r="AC36" s="640">
        <v>3</v>
      </c>
      <c r="AD36" s="640">
        <v>4</v>
      </c>
      <c r="AE36" s="640">
        <v>10</v>
      </c>
      <c r="AF36" s="652">
        <v>1</v>
      </c>
      <c r="AG36" s="641">
        <v>6</v>
      </c>
      <c r="AH36" s="640">
        <v>0</v>
      </c>
      <c r="AI36" s="640">
        <v>0</v>
      </c>
      <c r="AJ36" s="640">
        <v>6</v>
      </c>
      <c r="AK36" s="639">
        <v>0</v>
      </c>
      <c r="AL36" s="642">
        <v>202</v>
      </c>
      <c r="AM36" s="641">
        <v>147</v>
      </c>
      <c r="AN36" s="640">
        <v>28</v>
      </c>
      <c r="AO36" s="640">
        <v>32</v>
      </c>
      <c r="AP36" s="640">
        <v>86</v>
      </c>
      <c r="AQ36" s="652">
        <v>1</v>
      </c>
      <c r="AR36" s="641">
        <v>55</v>
      </c>
      <c r="AS36" s="640">
        <v>3</v>
      </c>
      <c r="AT36" s="640">
        <v>0</v>
      </c>
      <c r="AU36" s="640">
        <v>52</v>
      </c>
      <c r="AV36" s="639">
        <v>0</v>
      </c>
      <c r="AW36" s="642">
        <v>119</v>
      </c>
      <c r="AX36" s="641">
        <v>99</v>
      </c>
      <c r="AY36" s="640">
        <v>14</v>
      </c>
      <c r="AZ36" s="640">
        <v>13</v>
      </c>
      <c r="BA36" s="640">
        <v>71</v>
      </c>
      <c r="BB36" s="652">
        <v>1</v>
      </c>
      <c r="BC36" s="641">
        <v>20</v>
      </c>
      <c r="BD36" s="640">
        <v>0</v>
      </c>
      <c r="BE36" s="640">
        <v>0</v>
      </c>
      <c r="BF36" s="640">
        <v>20</v>
      </c>
      <c r="BG36" s="639">
        <v>0</v>
      </c>
      <c r="BH36" s="642">
        <v>129</v>
      </c>
      <c r="BI36" s="641">
        <v>100</v>
      </c>
      <c r="BJ36" s="640">
        <v>15</v>
      </c>
      <c r="BK36" s="640">
        <v>16</v>
      </c>
      <c r="BL36" s="640">
        <v>69</v>
      </c>
      <c r="BM36" s="652">
        <v>0</v>
      </c>
      <c r="BN36" s="641">
        <v>29</v>
      </c>
      <c r="BO36" s="640">
        <v>4</v>
      </c>
      <c r="BP36" s="640">
        <v>0</v>
      </c>
      <c r="BQ36" s="640">
        <v>25</v>
      </c>
      <c r="BR36" s="639">
        <v>0</v>
      </c>
      <c r="BS36" s="642">
        <v>174</v>
      </c>
      <c r="BT36" s="641">
        <v>135</v>
      </c>
      <c r="BU36" s="640">
        <v>18</v>
      </c>
      <c r="BV36" s="640">
        <v>7</v>
      </c>
      <c r="BW36" s="640">
        <v>110</v>
      </c>
      <c r="BX36" s="652">
        <v>0</v>
      </c>
      <c r="BY36" s="641">
        <v>39</v>
      </c>
      <c r="BZ36" s="640">
        <v>2</v>
      </c>
      <c r="CA36" s="640">
        <v>0</v>
      </c>
      <c r="CB36" s="640">
        <v>36</v>
      </c>
      <c r="CC36" s="639">
        <v>1</v>
      </c>
      <c r="CD36" s="642">
        <v>24</v>
      </c>
      <c r="CE36" s="641">
        <v>20</v>
      </c>
      <c r="CF36" s="640">
        <v>2</v>
      </c>
      <c r="CG36" s="640">
        <v>5</v>
      </c>
      <c r="CH36" s="640">
        <v>13</v>
      </c>
      <c r="CI36" s="652">
        <v>0</v>
      </c>
      <c r="CJ36" s="641">
        <v>4</v>
      </c>
      <c r="CK36" s="640">
        <v>0</v>
      </c>
      <c r="CL36" s="640">
        <v>0</v>
      </c>
      <c r="CM36" s="640">
        <v>4</v>
      </c>
      <c r="CN36" s="639">
        <v>0</v>
      </c>
      <c r="CO36" s="642">
        <v>26</v>
      </c>
      <c r="CP36" s="641">
        <v>16</v>
      </c>
      <c r="CQ36" s="640">
        <v>4</v>
      </c>
      <c r="CR36" s="640">
        <v>0</v>
      </c>
      <c r="CS36" s="640">
        <v>12</v>
      </c>
      <c r="CT36" s="652">
        <v>0</v>
      </c>
      <c r="CU36" s="641">
        <v>10</v>
      </c>
      <c r="CV36" s="640">
        <v>0</v>
      </c>
      <c r="CW36" s="640">
        <v>0</v>
      </c>
      <c r="CX36" s="640">
        <v>10</v>
      </c>
      <c r="CY36" s="639">
        <v>0</v>
      </c>
      <c r="CZ36" s="642">
        <v>6</v>
      </c>
      <c r="DA36" s="641">
        <v>4</v>
      </c>
      <c r="DB36" s="640">
        <v>0</v>
      </c>
      <c r="DC36" s="640">
        <v>1</v>
      </c>
      <c r="DD36" s="640">
        <v>3</v>
      </c>
      <c r="DE36" s="652">
        <v>0</v>
      </c>
      <c r="DF36" s="641">
        <v>2</v>
      </c>
      <c r="DG36" s="640">
        <v>0</v>
      </c>
      <c r="DH36" s="640">
        <v>0</v>
      </c>
      <c r="DI36" s="640">
        <v>2</v>
      </c>
      <c r="DJ36" s="639">
        <v>0</v>
      </c>
      <c r="DK36" s="642">
        <v>0</v>
      </c>
      <c r="DL36" s="641">
        <v>0</v>
      </c>
      <c r="DM36" s="640">
        <v>0</v>
      </c>
      <c r="DN36" s="640">
        <v>0</v>
      </c>
      <c r="DO36" s="640">
        <v>0</v>
      </c>
      <c r="DP36" s="652">
        <v>0</v>
      </c>
      <c r="DQ36" s="641">
        <v>0</v>
      </c>
      <c r="DR36" s="640">
        <v>0</v>
      </c>
      <c r="DS36" s="640">
        <v>0</v>
      </c>
      <c r="DT36" s="640">
        <v>0</v>
      </c>
      <c r="DU36" s="639">
        <v>0</v>
      </c>
      <c r="DW36" s="642">
        <f t="shared" si="4"/>
        <v>529</v>
      </c>
      <c r="DX36" s="641">
        <f t="shared" si="4"/>
        <v>407</v>
      </c>
      <c r="DY36" s="640">
        <f t="shared" si="4"/>
        <v>59</v>
      </c>
      <c r="DZ36" s="640">
        <f t="shared" si="4"/>
        <v>47</v>
      </c>
      <c r="EA36" s="640">
        <f t="shared" si="4"/>
        <v>298</v>
      </c>
      <c r="EB36" s="652">
        <f t="shared" si="4"/>
        <v>3</v>
      </c>
      <c r="EC36" s="641">
        <f t="shared" si="4"/>
        <v>122</v>
      </c>
      <c r="ED36" s="640">
        <f t="shared" si="4"/>
        <v>6</v>
      </c>
      <c r="EE36" s="640">
        <f t="shared" si="4"/>
        <v>0</v>
      </c>
      <c r="EF36" s="640">
        <f t="shared" si="4"/>
        <v>115</v>
      </c>
      <c r="EG36" s="639">
        <f t="shared" si="4"/>
        <v>1</v>
      </c>
      <c r="EH36" s="642">
        <f t="shared" si="6"/>
        <v>202</v>
      </c>
      <c r="EI36" s="641">
        <f t="shared" si="6"/>
        <v>147</v>
      </c>
      <c r="EJ36" s="640">
        <f t="shared" si="6"/>
        <v>28</v>
      </c>
      <c r="EK36" s="640">
        <f t="shared" si="6"/>
        <v>32</v>
      </c>
      <c r="EL36" s="640">
        <f t="shared" si="6"/>
        <v>86</v>
      </c>
      <c r="EM36" s="652">
        <f t="shared" si="6"/>
        <v>1</v>
      </c>
      <c r="EN36" s="641">
        <f t="shared" si="6"/>
        <v>55</v>
      </c>
      <c r="EO36" s="640">
        <f t="shared" si="6"/>
        <v>3</v>
      </c>
      <c r="EP36" s="640">
        <f t="shared" si="6"/>
        <v>0</v>
      </c>
      <c r="EQ36" s="640">
        <f t="shared" si="6"/>
        <v>52</v>
      </c>
      <c r="ER36" s="639">
        <f t="shared" si="6"/>
        <v>0</v>
      </c>
    </row>
    <row r="37" spans="1:148">
      <c r="DW37" s="638"/>
      <c r="DX37" s="638"/>
      <c r="DY37" s="638"/>
      <c r="DZ37" s="638"/>
      <c r="EA37" s="638"/>
      <c r="EB37" s="638"/>
      <c r="EC37" s="638"/>
      <c r="ED37" s="638"/>
      <c r="EE37" s="638"/>
      <c r="EF37" s="638"/>
      <c r="EG37" s="638"/>
      <c r="EH37" s="638"/>
      <c r="EI37" s="638"/>
      <c r="EJ37" s="638"/>
      <c r="EK37" s="638"/>
      <c r="EL37" s="638"/>
      <c r="EM37" s="638"/>
      <c r="EN37" s="638"/>
      <c r="EO37" s="638"/>
      <c r="EP37" s="638"/>
      <c r="EQ37" s="638"/>
      <c r="ER37" s="638"/>
    </row>
    <row r="38" spans="1:148" ht="15">
      <c r="A38" s="841" t="s">
        <v>689</v>
      </c>
      <c r="B38" s="841"/>
      <c r="C38" s="841"/>
      <c r="D38" s="841"/>
      <c r="E38" s="841"/>
      <c r="F38" s="841"/>
      <c r="G38" s="841"/>
      <c r="H38" s="841"/>
      <c r="I38" s="841"/>
      <c r="J38" s="841"/>
      <c r="K38" s="841"/>
      <c r="L38" s="841"/>
      <c r="M38" s="841"/>
      <c r="N38" s="841"/>
      <c r="O38" s="841"/>
      <c r="P38" s="841"/>
      <c r="Q38" s="841"/>
      <c r="R38" s="841"/>
      <c r="S38" s="841"/>
      <c r="T38" s="841"/>
      <c r="U38" s="841"/>
      <c r="V38" s="841"/>
      <c r="W38" s="841"/>
      <c r="X38" s="841"/>
      <c r="Y38" s="841"/>
      <c r="Z38" s="841"/>
      <c r="AA38" s="841"/>
      <c r="AB38" s="841"/>
      <c r="AC38" s="841"/>
      <c r="AD38" s="841"/>
      <c r="AE38" s="841"/>
      <c r="AF38" s="841"/>
      <c r="AG38" s="841"/>
      <c r="AH38" s="841"/>
      <c r="AI38" s="841"/>
      <c r="AJ38" s="841"/>
      <c r="AK38" s="841"/>
      <c r="AL38" s="841"/>
      <c r="AM38" s="841"/>
      <c r="AN38" s="841"/>
      <c r="AO38" s="841"/>
      <c r="AP38" s="841"/>
      <c r="AQ38" s="841"/>
      <c r="AR38" s="841"/>
      <c r="AS38" s="841"/>
      <c r="AT38" s="841"/>
      <c r="AU38" s="841"/>
      <c r="AV38" s="841"/>
      <c r="AW38" s="841"/>
      <c r="AX38" s="841"/>
      <c r="AY38" s="841"/>
      <c r="AZ38" s="841"/>
      <c r="BA38" s="841"/>
      <c r="BB38" s="841"/>
      <c r="BC38" s="841"/>
      <c r="BD38" s="841"/>
      <c r="BE38" s="841"/>
      <c r="BF38" s="841"/>
      <c r="BG38" s="841"/>
      <c r="BH38" s="841"/>
      <c r="BI38" s="841"/>
      <c r="BJ38" s="841"/>
      <c r="BK38" s="841"/>
      <c r="BL38" s="841"/>
      <c r="BM38" s="841"/>
      <c r="BN38" s="841"/>
      <c r="BO38" s="841"/>
      <c r="BP38" s="841"/>
      <c r="BQ38" s="841"/>
      <c r="BR38" s="841"/>
      <c r="BS38" s="841"/>
      <c r="BT38" s="841"/>
      <c r="BU38" s="841"/>
      <c r="BV38" s="841"/>
      <c r="BW38" s="841"/>
      <c r="BX38" s="841"/>
      <c r="BY38" s="841"/>
      <c r="BZ38" s="841"/>
      <c r="CA38" s="841"/>
      <c r="CB38" s="841"/>
      <c r="CC38" s="841"/>
      <c r="CD38" s="841"/>
      <c r="CE38" s="841"/>
      <c r="CF38" s="841"/>
      <c r="CG38" s="841"/>
      <c r="CH38" s="841"/>
      <c r="CI38" s="841"/>
      <c r="CJ38" s="841"/>
      <c r="CK38" s="841"/>
      <c r="CL38" s="841"/>
      <c r="CM38" s="841"/>
      <c r="CN38" s="841"/>
      <c r="CO38" s="841"/>
      <c r="CP38" s="841"/>
      <c r="CQ38" s="841"/>
      <c r="CR38" s="841"/>
      <c r="CS38" s="841"/>
      <c r="CT38" s="841"/>
      <c r="CU38" s="841"/>
      <c r="CV38" s="841"/>
      <c r="CW38" s="841"/>
      <c r="CX38" s="841"/>
      <c r="CY38" s="841"/>
      <c r="CZ38" s="841"/>
      <c r="DA38" s="841"/>
      <c r="DB38" s="841"/>
      <c r="DC38" s="841"/>
      <c r="DD38" s="841"/>
      <c r="DE38" s="841"/>
      <c r="DF38" s="841"/>
      <c r="DG38" s="841"/>
      <c r="DH38" s="841"/>
      <c r="DI38" s="841"/>
      <c r="DJ38" s="841"/>
      <c r="DK38" s="841"/>
      <c r="DL38" s="841"/>
      <c r="DM38" s="841"/>
      <c r="DN38" s="841"/>
      <c r="DO38" s="841"/>
      <c r="DP38" s="841"/>
      <c r="DQ38" s="841"/>
      <c r="DR38" s="841"/>
      <c r="DS38" s="841"/>
      <c r="DT38" s="841"/>
      <c r="DU38" s="841"/>
      <c r="DW38" s="638"/>
      <c r="DX38" s="638"/>
      <c r="DY38" s="638"/>
      <c r="DZ38" s="638"/>
      <c r="EA38" s="638"/>
      <c r="EB38" s="638"/>
      <c r="EC38" s="638"/>
      <c r="ED38" s="638"/>
      <c r="EE38" s="638"/>
      <c r="EF38" s="638"/>
      <c r="EG38" s="638"/>
      <c r="EH38" s="638"/>
      <c r="EI38" s="638"/>
      <c r="EJ38" s="638"/>
      <c r="EK38" s="638"/>
      <c r="EL38" s="638"/>
      <c r="EM38" s="638"/>
      <c r="EN38" s="638"/>
      <c r="EO38" s="638"/>
      <c r="EP38" s="638"/>
      <c r="EQ38" s="638"/>
      <c r="ER38" s="638"/>
    </row>
    <row r="39" spans="1:148" ht="15" thickBot="1">
      <c r="DW39" s="638"/>
      <c r="DX39" s="638"/>
      <c r="DY39" s="638"/>
      <c r="DZ39" s="638"/>
      <c r="EA39" s="638"/>
      <c r="EB39" s="638"/>
      <c r="EC39" s="638"/>
      <c r="ED39" s="638"/>
      <c r="EE39" s="638"/>
      <c r="EF39" s="638"/>
      <c r="EG39" s="638"/>
      <c r="EH39" s="638"/>
      <c r="EI39" s="638"/>
      <c r="EJ39" s="638"/>
      <c r="EK39" s="638"/>
      <c r="EL39" s="638"/>
      <c r="EM39" s="638"/>
      <c r="EN39" s="638"/>
      <c r="EO39" s="638"/>
      <c r="EP39" s="638"/>
      <c r="EQ39" s="638"/>
      <c r="ER39" s="638"/>
    </row>
    <row r="40" spans="1:148">
      <c r="A40" s="662" t="s">
        <v>222</v>
      </c>
      <c r="B40" s="661">
        <v>42736</v>
      </c>
      <c r="C40" s="660">
        <v>2017</v>
      </c>
      <c r="D40" s="637">
        <f>SUMIFS(D$5:D$36,$B$5:$B$36,$A40)</f>
        <v>168225</v>
      </c>
      <c r="E40" s="637">
        <f>SUMIFS(E$5:E$36,$B$5:$B$36,$A40)</f>
        <v>1320</v>
      </c>
      <c r="F40" s="636">
        <f t="shared" ref="F40:AH49" si="7">SUMIFS(F$5:F$36,$B$5:$B$36,$A40)</f>
        <v>595</v>
      </c>
      <c r="G40" s="635">
        <f t="shared" si="7"/>
        <v>414</v>
      </c>
      <c r="H40" s="635">
        <f t="shared" si="7"/>
        <v>0</v>
      </c>
      <c r="I40" s="635">
        <f t="shared" si="7"/>
        <v>181</v>
      </c>
      <c r="J40" s="634">
        <f t="shared" si="7"/>
        <v>0</v>
      </c>
      <c r="K40" s="636">
        <f t="shared" si="7"/>
        <v>725</v>
      </c>
      <c r="L40" s="635">
        <f t="shared" si="7"/>
        <v>628</v>
      </c>
      <c r="M40" s="635">
        <f t="shared" si="7"/>
        <v>0</v>
      </c>
      <c r="N40" s="635">
        <f t="shared" si="7"/>
        <v>88</v>
      </c>
      <c r="O40" s="633">
        <f t="shared" si="7"/>
        <v>9</v>
      </c>
      <c r="P40" s="637">
        <f t="shared" si="7"/>
        <v>2</v>
      </c>
      <c r="Q40" s="636">
        <f t="shared" si="7"/>
        <v>0</v>
      </c>
      <c r="R40" s="635">
        <f t="shared" si="7"/>
        <v>0</v>
      </c>
      <c r="S40" s="635">
        <f t="shared" si="7"/>
        <v>0</v>
      </c>
      <c r="T40" s="635">
        <f t="shared" si="7"/>
        <v>0</v>
      </c>
      <c r="U40" s="634">
        <f t="shared" si="7"/>
        <v>0</v>
      </c>
      <c r="V40" s="636">
        <f t="shared" si="7"/>
        <v>2</v>
      </c>
      <c r="W40" s="635">
        <f t="shared" si="7"/>
        <v>1</v>
      </c>
      <c r="X40" s="635">
        <f t="shared" si="7"/>
        <v>0</v>
      </c>
      <c r="Y40" s="635">
        <f t="shared" si="7"/>
        <v>1</v>
      </c>
      <c r="Z40" s="633">
        <f t="shared" si="7"/>
        <v>0</v>
      </c>
      <c r="AA40" s="637">
        <f t="shared" si="7"/>
        <v>1</v>
      </c>
      <c r="AB40" s="636">
        <f t="shared" si="7"/>
        <v>0</v>
      </c>
      <c r="AC40" s="635">
        <f t="shared" si="7"/>
        <v>0</v>
      </c>
      <c r="AD40" s="635">
        <f t="shared" si="7"/>
        <v>0</v>
      </c>
      <c r="AE40" s="635">
        <f t="shared" si="7"/>
        <v>0</v>
      </c>
      <c r="AF40" s="634">
        <f t="shared" si="7"/>
        <v>0</v>
      </c>
      <c r="AG40" s="636">
        <f t="shared" si="7"/>
        <v>1</v>
      </c>
      <c r="AH40" s="635">
        <f t="shared" si="7"/>
        <v>1</v>
      </c>
      <c r="AI40" s="635">
        <f t="shared" ref="AI40:CT43" si="8">SUMIFS(AI$5:AI$36,$B$5:$B$36,$A40)</f>
        <v>0</v>
      </c>
      <c r="AJ40" s="635">
        <f t="shared" si="8"/>
        <v>0</v>
      </c>
      <c r="AK40" s="633">
        <f t="shared" si="8"/>
        <v>0</v>
      </c>
      <c r="AL40" s="637">
        <f t="shared" si="8"/>
        <v>11</v>
      </c>
      <c r="AM40" s="636">
        <f t="shared" si="8"/>
        <v>4</v>
      </c>
      <c r="AN40" s="635">
        <f t="shared" si="8"/>
        <v>3</v>
      </c>
      <c r="AO40" s="635">
        <f t="shared" si="8"/>
        <v>0</v>
      </c>
      <c r="AP40" s="635">
        <f t="shared" si="8"/>
        <v>1</v>
      </c>
      <c r="AQ40" s="634">
        <f t="shared" si="8"/>
        <v>0</v>
      </c>
      <c r="AR40" s="636">
        <f t="shared" si="8"/>
        <v>7</v>
      </c>
      <c r="AS40" s="635">
        <f t="shared" si="8"/>
        <v>6</v>
      </c>
      <c r="AT40" s="635">
        <f t="shared" si="8"/>
        <v>0</v>
      </c>
      <c r="AU40" s="635">
        <f t="shared" si="8"/>
        <v>1</v>
      </c>
      <c r="AV40" s="633">
        <f t="shared" si="8"/>
        <v>0</v>
      </c>
      <c r="AW40" s="637">
        <f t="shared" si="8"/>
        <v>4</v>
      </c>
      <c r="AX40" s="636">
        <f t="shared" si="8"/>
        <v>1</v>
      </c>
      <c r="AY40" s="635">
        <f t="shared" si="8"/>
        <v>1</v>
      </c>
      <c r="AZ40" s="635">
        <f t="shared" si="8"/>
        <v>0</v>
      </c>
      <c r="BA40" s="635">
        <f t="shared" si="8"/>
        <v>0</v>
      </c>
      <c r="BB40" s="634">
        <f t="shared" si="8"/>
        <v>0</v>
      </c>
      <c r="BC40" s="636">
        <f t="shared" si="8"/>
        <v>3</v>
      </c>
      <c r="BD40" s="635">
        <f t="shared" si="8"/>
        <v>3</v>
      </c>
      <c r="BE40" s="635">
        <f t="shared" si="8"/>
        <v>0</v>
      </c>
      <c r="BF40" s="635">
        <f t="shared" si="8"/>
        <v>0</v>
      </c>
      <c r="BG40" s="633">
        <f t="shared" si="8"/>
        <v>0</v>
      </c>
      <c r="BH40" s="637">
        <f t="shared" si="8"/>
        <v>6</v>
      </c>
      <c r="BI40" s="636">
        <f t="shared" si="8"/>
        <v>5</v>
      </c>
      <c r="BJ40" s="635">
        <f t="shared" si="8"/>
        <v>3</v>
      </c>
      <c r="BK40" s="635">
        <f t="shared" si="8"/>
        <v>0</v>
      </c>
      <c r="BL40" s="635">
        <f t="shared" si="8"/>
        <v>2</v>
      </c>
      <c r="BM40" s="634">
        <f t="shared" si="8"/>
        <v>0</v>
      </c>
      <c r="BN40" s="636">
        <f t="shared" si="8"/>
        <v>1</v>
      </c>
      <c r="BO40" s="635">
        <f t="shared" si="8"/>
        <v>1</v>
      </c>
      <c r="BP40" s="635">
        <f t="shared" si="8"/>
        <v>0</v>
      </c>
      <c r="BQ40" s="635">
        <f t="shared" si="8"/>
        <v>0</v>
      </c>
      <c r="BR40" s="633">
        <f t="shared" si="8"/>
        <v>0</v>
      </c>
      <c r="BS40" s="637">
        <f t="shared" si="8"/>
        <v>5</v>
      </c>
      <c r="BT40" s="636">
        <f t="shared" si="8"/>
        <v>2</v>
      </c>
      <c r="BU40" s="635">
        <f t="shared" si="8"/>
        <v>1</v>
      </c>
      <c r="BV40" s="635">
        <f t="shared" si="8"/>
        <v>0</v>
      </c>
      <c r="BW40" s="635">
        <f t="shared" si="8"/>
        <v>1</v>
      </c>
      <c r="BX40" s="634">
        <f t="shared" si="8"/>
        <v>0</v>
      </c>
      <c r="BY40" s="636">
        <f t="shared" si="8"/>
        <v>3</v>
      </c>
      <c r="BZ40" s="635">
        <f t="shared" si="8"/>
        <v>3</v>
      </c>
      <c r="CA40" s="635">
        <f t="shared" si="8"/>
        <v>0</v>
      </c>
      <c r="CB40" s="635">
        <f t="shared" si="8"/>
        <v>0</v>
      </c>
      <c r="CC40" s="633">
        <f t="shared" si="8"/>
        <v>0</v>
      </c>
      <c r="CD40" s="637">
        <f t="shared" si="8"/>
        <v>4</v>
      </c>
      <c r="CE40" s="636">
        <f t="shared" si="8"/>
        <v>3</v>
      </c>
      <c r="CF40" s="635">
        <f t="shared" si="8"/>
        <v>2</v>
      </c>
      <c r="CG40" s="635">
        <f t="shared" si="8"/>
        <v>0</v>
      </c>
      <c r="CH40" s="635">
        <f t="shared" si="8"/>
        <v>1</v>
      </c>
      <c r="CI40" s="634">
        <f t="shared" si="8"/>
        <v>0</v>
      </c>
      <c r="CJ40" s="636">
        <f t="shared" si="8"/>
        <v>1</v>
      </c>
      <c r="CK40" s="635">
        <f t="shared" si="8"/>
        <v>1</v>
      </c>
      <c r="CL40" s="635">
        <f t="shared" si="8"/>
        <v>0</v>
      </c>
      <c r="CM40" s="635">
        <f t="shared" si="8"/>
        <v>0</v>
      </c>
      <c r="CN40" s="633">
        <f t="shared" si="8"/>
        <v>0</v>
      </c>
      <c r="CO40" s="637">
        <f t="shared" si="8"/>
        <v>1</v>
      </c>
      <c r="CP40" s="636">
        <f t="shared" si="8"/>
        <v>0</v>
      </c>
      <c r="CQ40" s="635">
        <f t="shared" si="8"/>
        <v>0</v>
      </c>
      <c r="CR40" s="635">
        <f t="shared" si="8"/>
        <v>0</v>
      </c>
      <c r="CS40" s="635">
        <f t="shared" si="8"/>
        <v>0</v>
      </c>
      <c r="CT40" s="634">
        <f t="shared" si="8"/>
        <v>0</v>
      </c>
      <c r="CU40" s="636">
        <f t="shared" ref="CU40:DU55" si="9">SUMIFS(CU$5:CU$36,$B$5:$B$36,$A40)</f>
        <v>1</v>
      </c>
      <c r="CV40" s="635">
        <f t="shared" si="9"/>
        <v>1</v>
      </c>
      <c r="CW40" s="635">
        <f t="shared" si="9"/>
        <v>0</v>
      </c>
      <c r="CX40" s="635">
        <f t="shared" si="9"/>
        <v>0</v>
      </c>
      <c r="CY40" s="633">
        <f t="shared" si="9"/>
        <v>0</v>
      </c>
      <c r="CZ40" s="637">
        <f t="shared" si="9"/>
        <v>1</v>
      </c>
      <c r="DA40" s="636">
        <f t="shared" si="9"/>
        <v>0</v>
      </c>
      <c r="DB40" s="635">
        <f t="shared" si="9"/>
        <v>0</v>
      </c>
      <c r="DC40" s="635">
        <f t="shared" si="9"/>
        <v>0</v>
      </c>
      <c r="DD40" s="635">
        <f t="shared" si="9"/>
        <v>0</v>
      </c>
      <c r="DE40" s="634">
        <f t="shared" si="9"/>
        <v>0</v>
      </c>
      <c r="DF40" s="636">
        <f t="shared" si="9"/>
        <v>1</v>
      </c>
      <c r="DG40" s="635">
        <f t="shared" si="9"/>
        <v>1</v>
      </c>
      <c r="DH40" s="635">
        <f t="shared" si="9"/>
        <v>0</v>
      </c>
      <c r="DI40" s="635">
        <f t="shared" si="9"/>
        <v>0</v>
      </c>
      <c r="DJ40" s="633">
        <f t="shared" si="9"/>
        <v>0</v>
      </c>
      <c r="DK40" s="637">
        <f t="shared" si="9"/>
        <v>0</v>
      </c>
      <c r="DL40" s="636">
        <f t="shared" si="9"/>
        <v>0</v>
      </c>
      <c r="DM40" s="635">
        <f t="shared" si="9"/>
        <v>0</v>
      </c>
      <c r="DN40" s="635">
        <f t="shared" si="9"/>
        <v>0</v>
      </c>
      <c r="DO40" s="635">
        <f t="shared" si="9"/>
        <v>0</v>
      </c>
      <c r="DP40" s="634">
        <f t="shared" si="9"/>
        <v>0</v>
      </c>
      <c r="DQ40" s="636">
        <f t="shared" si="9"/>
        <v>0</v>
      </c>
      <c r="DR40" s="635">
        <f t="shared" si="9"/>
        <v>0</v>
      </c>
      <c r="DS40" s="635">
        <f t="shared" si="9"/>
        <v>0</v>
      </c>
      <c r="DT40" s="635">
        <f t="shared" si="9"/>
        <v>0</v>
      </c>
      <c r="DU40" s="633">
        <f t="shared" si="9"/>
        <v>0</v>
      </c>
      <c r="DW40" s="637">
        <f t="shared" si="4"/>
        <v>24</v>
      </c>
      <c r="DX40" s="636">
        <f t="shared" si="4"/>
        <v>11</v>
      </c>
      <c r="DY40" s="635">
        <f t="shared" si="4"/>
        <v>7</v>
      </c>
      <c r="DZ40" s="635">
        <f t="shared" si="4"/>
        <v>0</v>
      </c>
      <c r="EA40" s="635">
        <f t="shared" si="4"/>
        <v>4</v>
      </c>
      <c r="EB40" s="634">
        <f t="shared" si="4"/>
        <v>0</v>
      </c>
      <c r="EC40" s="636">
        <f t="shared" si="4"/>
        <v>13</v>
      </c>
      <c r="ED40" s="635">
        <f t="shared" si="4"/>
        <v>12</v>
      </c>
      <c r="EE40" s="635">
        <f t="shared" si="4"/>
        <v>0</v>
      </c>
      <c r="EF40" s="635">
        <f t="shared" si="4"/>
        <v>1</v>
      </c>
      <c r="EG40" s="633">
        <f t="shared" si="4"/>
        <v>0</v>
      </c>
      <c r="EH40" s="637">
        <f t="shared" si="6"/>
        <v>11</v>
      </c>
      <c r="EI40" s="636">
        <f t="shared" si="6"/>
        <v>4</v>
      </c>
      <c r="EJ40" s="635">
        <f t="shared" si="6"/>
        <v>3</v>
      </c>
      <c r="EK40" s="635">
        <f t="shared" si="6"/>
        <v>0</v>
      </c>
      <c r="EL40" s="635">
        <f t="shared" si="6"/>
        <v>1</v>
      </c>
      <c r="EM40" s="634">
        <f t="shared" si="6"/>
        <v>0</v>
      </c>
      <c r="EN40" s="636">
        <f t="shared" si="6"/>
        <v>7</v>
      </c>
      <c r="EO40" s="635">
        <f t="shared" si="6"/>
        <v>6</v>
      </c>
      <c r="EP40" s="635">
        <f t="shared" si="6"/>
        <v>0</v>
      </c>
      <c r="EQ40" s="635">
        <f t="shared" si="6"/>
        <v>1</v>
      </c>
      <c r="ER40" s="633">
        <f t="shared" si="6"/>
        <v>0</v>
      </c>
    </row>
    <row r="41" spans="1:148">
      <c r="A41" s="654" t="s">
        <v>222</v>
      </c>
      <c r="B41" s="658">
        <v>42767</v>
      </c>
      <c r="C41" s="659">
        <v>2017</v>
      </c>
      <c r="D41" s="646">
        <f t="shared" ref="D41:D104" si="10">SUMIFS(D$5:D$36,$B$5:$B$36,$A41)</f>
        <v>168225</v>
      </c>
      <c r="E41" s="646">
        <f t="shared" ref="E41:T64" si="11">SUMIFS(E$5:E$36,$B$5:$B$36,$A41)</f>
        <v>1320</v>
      </c>
      <c r="F41" s="645">
        <f t="shared" si="11"/>
        <v>595</v>
      </c>
      <c r="G41" s="163">
        <f t="shared" si="11"/>
        <v>414</v>
      </c>
      <c r="H41" s="163">
        <f t="shared" si="11"/>
        <v>0</v>
      </c>
      <c r="I41" s="163">
        <f t="shared" si="11"/>
        <v>181</v>
      </c>
      <c r="J41" s="644">
        <f t="shared" si="11"/>
        <v>0</v>
      </c>
      <c r="K41" s="645">
        <f t="shared" si="11"/>
        <v>725</v>
      </c>
      <c r="L41" s="163">
        <f t="shared" si="11"/>
        <v>628</v>
      </c>
      <c r="M41" s="163">
        <f t="shared" si="11"/>
        <v>0</v>
      </c>
      <c r="N41" s="163">
        <f t="shared" si="11"/>
        <v>88</v>
      </c>
      <c r="O41" s="643">
        <f t="shared" si="11"/>
        <v>9</v>
      </c>
      <c r="P41" s="646">
        <f t="shared" si="11"/>
        <v>2</v>
      </c>
      <c r="Q41" s="645">
        <f t="shared" si="11"/>
        <v>0</v>
      </c>
      <c r="R41" s="163">
        <f t="shared" si="11"/>
        <v>0</v>
      </c>
      <c r="S41" s="163">
        <f t="shared" si="11"/>
        <v>0</v>
      </c>
      <c r="T41" s="163">
        <f t="shared" si="11"/>
        <v>0</v>
      </c>
      <c r="U41" s="644">
        <f t="shared" si="7"/>
        <v>0</v>
      </c>
      <c r="V41" s="645">
        <f t="shared" si="7"/>
        <v>2</v>
      </c>
      <c r="W41" s="163">
        <f t="shared" si="7"/>
        <v>1</v>
      </c>
      <c r="X41" s="163">
        <f t="shared" si="7"/>
        <v>0</v>
      </c>
      <c r="Y41" s="163">
        <f t="shared" si="7"/>
        <v>1</v>
      </c>
      <c r="Z41" s="643">
        <f t="shared" si="7"/>
        <v>0</v>
      </c>
      <c r="AA41" s="646">
        <f t="shared" si="7"/>
        <v>1</v>
      </c>
      <c r="AB41" s="645">
        <f t="shared" si="7"/>
        <v>0</v>
      </c>
      <c r="AC41" s="163">
        <f t="shared" si="7"/>
        <v>0</v>
      </c>
      <c r="AD41" s="163">
        <f t="shared" si="7"/>
        <v>0</v>
      </c>
      <c r="AE41" s="163">
        <f t="shared" si="7"/>
        <v>0</v>
      </c>
      <c r="AF41" s="644">
        <f t="shared" si="7"/>
        <v>0</v>
      </c>
      <c r="AG41" s="645">
        <f t="shared" si="7"/>
        <v>1</v>
      </c>
      <c r="AH41" s="163">
        <f t="shared" si="7"/>
        <v>1</v>
      </c>
      <c r="AI41" s="163">
        <f t="shared" si="8"/>
        <v>0</v>
      </c>
      <c r="AJ41" s="163">
        <f t="shared" si="8"/>
        <v>0</v>
      </c>
      <c r="AK41" s="643">
        <f t="shared" si="8"/>
        <v>0</v>
      </c>
      <c r="AL41" s="646">
        <f t="shared" si="8"/>
        <v>11</v>
      </c>
      <c r="AM41" s="645">
        <f t="shared" si="8"/>
        <v>4</v>
      </c>
      <c r="AN41" s="163">
        <f t="shared" si="8"/>
        <v>3</v>
      </c>
      <c r="AO41" s="163">
        <f t="shared" si="8"/>
        <v>0</v>
      </c>
      <c r="AP41" s="163">
        <f t="shared" si="8"/>
        <v>1</v>
      </c>
      <c r="AQ41" s="644">
        <f t="shared" si="8"/>
        <v>0</v>
      </c>
      <c r="AR41" s="645">
        <f t="shared" si="8"/>
        <v>7</v>
      </c>
      <c r="AS41" s="163">
        <f t="shared" si="8"/>
        <v>6</v>
      </c>
      <c r="AT41" s="163">
        <f t="shared" si="8"/>
        <v>0</v>
      </c>
      <c r="AU41" s="163">
        <f t="shared" si="8"/>
        <v>1</v>
      </c>
      <c r="AV41" s="643">
        <f t="shared" si="8"/>
        <v>0</v>
      </c>
      <c r="AW41" s="646">
        <f t="shared" si="8"/>
        <v>4</v>
      </c>
      <c r="AX41" s="645">
        <f t="shared" si="8"/>
        <v>1</v>
      </c>
      <c r="AY41" s="163">
        <f t="shared" si="8"/>
        <v>1</v>
      </c>
      <c r="AZ41" s="163">
        <f t="shared" si="8"/>
        <v>0</v>
      </c>
      <c r="BA41" s="163">
        <f t="shared" si="8"/>
        <v>0</v>
      </c>
      <c r="BB41" s="644">
        <f t="shared" si="8"/>
        <v>0</v>
      </c>
      <c r="BC41" s="645">
        <f t="shared" si="8"/>
        <v>3</v>
      </c>
      <c r="BD41" s="163">
        <f t="shared" si="8"/>
        <v>3</v>
      </c>
      <c r="BE41" s="163">
        <f t="shared" si="8"/>
        <v>0</v>
      </c>
      <c r="BF41" s="163">
        <f t="shared" si="8"/>
        <v>0</v>
      </c>
      <c r="BG41" s="643">
        <f t="shared" si="8"/>
        <v>0</v>
      </c>
      <c r="BH41" s="646">
        <f t="shared" si="8"/>
        <v>6</v>
      </c>
      <c r="BI41" s="645">
        <f t="shared" si="8"/>
        <v>5</v>
      </c>
      <c r="BJ41" s="163">
        <f t="shared" si="8"/>
        <v>3</v>
      </c>
      <c r="BK41" s="163">
        <f t="shared" si="8"/>
        <v>0</v>
      </c>
      <c r="BL41" s="163">
        <f t="shared" si="8"/>
        <v>2</v>
      </c>
      <c r="BM41" s="644">
        <f t="shared" si="8"/>
        <v>0</v>
      </c>
      <c r="BN41" s="645">
        <f t="shared" si="8"/>
        <v>1</v>
      </c>
      <c r="BO41" s="163">
        <f t="shared" si="8"/>
        <v>1</v>
      </c>
      <c r="BP41" s="163">
        <f t="shared" si="8"/>
        <v>0</v>
      </c>
      <c r="BQ41" s="163">
        <f t="shared" si="8"/>
        <v>0</v>
      </c>
      <c r="BR41" s="643">
        <f t="shared" si="8"/>
        <v>0</v>
      </c>
      <c r="BS41" s="646">
        <f t="shared" si="8"/>
        <v>5</v>
      </c>
      <c r="BT41" s="645">
        <f t="shared" si="8"/>
        <v>2</v>
      </c>
      <c r="BU41" s="163">
        <f t="shared" si="8"/>
        <v>1</v>
      </c>
      <c r="BV41" s="163">
        <f t="shared" si="8"/>
        <v>0</v>
      </c>
      <c r="BW41" s="163">
        <f t="shared" si="8"/>
        <v>1</v>
      </c>
      <c r="BX41" s="644">
        <f t="shared" si="8"/>
        <v>0</v>
      </c>
      <c r="BY41" s="645">
        <f t="shared" si="8"/>
        <v>3</v>
      </c>
      <c r="BZ41" s="163">
        <f t="shared" si="8"/>
        <v>3</v>
      </c>
      <c r="CA41" s="163">
        <f t="shared" si="8"/>
        <v>0</v>
      </c>
      <c r="CB41" s="163">
        <f t="shared" si="8"/>
        <v>0</v>
      </c>
      <c r="CC41" s="643">
        <f t="shared" si="8"/>
        <v>0</v>
      </c>
      <c r="CD41" s="646">
        <f t="shared" si="8"/>
        <v>4</v>
      </c>
      <c r="CE41" s="645">
        <f t="shared" si="8"/>
        <v>3</v>
      </c>
      <c r="CF41" s="163">
        <f t="shared" si="8"/>
        <v>2</v>
      </c>
      <c r="CG41" s="163">
        <f t="shared" si="8"/>
        <v>0</v>
      </c>
      <c r="CH41" s="163">
        <f t="shared" si="8"/>
        <v>1</v>
      </c>
      <c r="CI41" s="644">
        <f t="shared" si="8"/>
        <v>0</v>
      </c>
      <c r="CJ41" s="645">
        <f t="shared" si="8"/>
        <v>1</v>
      </c>
      <c r="CK41" s="163">
        <f t="shared" si="8"/>
        <v>1</v>
      </c>
      <c r="CL41" s="163">
        <f t="shared" si="8"/>
        <v>0</v>
      </c>
      <c r="CM41" s="163">
        <f t="shared" si="8"/>
        <v>0</v>
      </c>
      <c r="CN41" s="643">
        <f t="shared" si="8"/>
        <v>0</v>
      </c>
      <c r="CO41" s="646">
        <f t="shared" si="8"/>
        <v>1</v>
      </c>
      <c r="CP41" s="645">
        <f t="shared" si="8"/>
        <v>0</v>
      </c>
      <c r="CQ41" s="163">
        <f t="shared" si="8"/>
        <v>0</v>
      </c>
      <c r="CR41" s="163">
        <f t="shared" si="8"/>
        <v>0</v>
      </c>
      <c r="CS41" s="163">
        <f t="shared" si="8"/>
        <v>0</v>
      </c>
      <c r="CT41" s="644">
        <f t="shared" si="8"/>
        <v>0</v>
      </c>
      <c r="CU41" s="645">
        <f t="shared" si="9"/>
        <v>1</v>
      </c>
      <c r="CV41" s="163">
        <f t="shared" si="9"/>
        <v>1</v>
      </c>
      <c r="CW41" s="163">
        <f t="shared" si="9"/>
        <v>0</v>
      </c>
      <c r="CX41" s="163">
        <f t="shared" si="9"/>
        <v>0</v>
      </c>
      <c r="CY41" s="643">
        <f t="shared" si="9"/>
        <v>0</v>
      </c>
      <c r="CZ41" s="646">
        <f t="shared" si="9"/>
        <v>1</v>
      </c>
      <c r="DA41" s="645">
        <f t="shared" si="9"/>
        <v>0</v>
      </c>
      <c r="DB41" s="163">
        <f t="shared" si="9"/>
        <v>0</v>
      </c>
      <c r="DC41" s="163">
        <f t="shared" si="9"/>
        <v>0</v>
      </c>
      <c r="DD41" s="163">
        <f t="shared" si="9"/>
        <v>0</v>
      </c>
      <c r="DE41" s="644">
        <f t="shared" si="9"/>
        <v>0</v>
      </c>
      <c r="DF41" s="645">
        <f t="shared" si="9"/>
        <v>1</v>
      </c>
      <c r="DG41" s="163">
        <f t="shared" si="9"/>
        <v>1</v>
      </c>
      <c r="DH41" s="163">
        <f t="shared" si="9"/>
        <v>0</v>
      </c>
      <c r="DI41" s="163">
        <f t="shared" si="9"/>
        <v>0</v>
      </c>
      <c r="DJ41" s="643">
        <f t="shared" si="9"/>
        <v>0</v>
      </c>
      <c r="DK41" s="646">
        <f t="shared" si="9"/>
        <v>0</v>
      </c>
      <c r="DL41" s="645">
        <f t="shared" si="9"/>
        <v>0</v>
      </c>
      <c r="DM41" s="163">
        <f t="shared" si="9"/>
        <v>0</v>
      </c>
      <c r="DN41" s="163">
        <f t="shared" si="9"/>
        <v>0</v>
      </c>
      <c r="DO41" s="163">
        <f t="shared" si="9"/>
        <v>0</v>
      </c>
      <c r="DP41" s="644">
        <f t="shared" si="9"/>
        <v>0</v>
      </c>
      <c r="DQ41" s="645">
        <f t="shared" si="9"/>
        <v>0</v>
      </c>
      <c r="DR41" s="163">
        <f t="shared" si="9"/>
        <v>0</v>
      </c>
      <c r="DS41" s="163">
        <f t="shared" si="9"/>
        <v>0</v>
      </c>
      <c r="DT41" s="163">
        <f t="shared" si="9"/>
        <v>0</v>
      </c>
      <c r="DU41" s="643">
        <f t="shared" si="9"/>
        <v>0</v>
      </c>
      <c r="DW41" s="646">
        <f t="shared" si="4"/>
        <v>24</v>
      </c>
      <c r="DX41" s="645">
        <f t="shared" si="4"/>
        <v>11</v>
      </c>
      <c r="DY41" s="163">
        <f t="shared" si="4"/>
        <v>7</v>
      </c>
      <c r="DZ41" s="163">
        <f t="shared" si="4"/>
        <v>0</v>
      </c>
      <c r="EA41" s="163">
        <f t="shared" si="4"/>
        <v>4</v>
      </c>
      <c r="EB41" s="644">
        <f t="shared" si="4"/>
        <v>0</v>
      </c>
      <c r="EC41" s="645">
        <f t="shared" si="4"/>
        <v>13</v>
      </c>
      <c r="ED41" s="163">
        <f t="shared" si="4"/>
        <v>12</v>
      </c>
      <c r="EE41" s="163">
        <f t="shared" si="4"/>
        <v>0</v>
      </c>
      <c r="EF41" s="163">
        <f t="shared" si="4"/>
        <v>1</v>
      </c>
      <c r="EG41" s="643">
        <f t="shared" si="4"/>
        <v>0</v>
      </c>
      <c r="EH41" s="646">
        <f t="shared" si="6"/>
        <v>11</v>
      </c>
      <c r="EI41" s="645">
        <f t="shared" si="6"/>
        <v>4</v>
      </c>
      <c r="EJ41" s="163">
        <f t="shared" si="6"/>
        <v>3</v>
      </c>
      <c r="EK41" s="163">
        <f t="shared" si="6"/>
        <v>0</v>
      </c>
      <c r="EL41" s="163">
        <f t="shared" si="6"/>
        <v>1</v>
      </c>
      <c r="EM41" s="644">
        <f t="shared" si="6"/>
        <v>0</v>
      </c>
      <c r="EN41" s="645">
        <f t="shared" si="6"/>
        <v>7</v>
      </c>
      <c r="EO41" s="163">
        <f t="shared" si="6"/>
        <v>6</v>
      </c>
      <c r="EP41" s="163">
        <f t="shared" si="6"/>
        <v>0</v>
      </c>
      <c r="EQ41" s="163">
        <f t="shared" si="6"/>
        <v>1</v>
      </c>
      <c r="ER41" s="643">
        <f t="shared" si="6"/>
        <v>0</v>
      </c>
    </row>
    <row r="42" spans="1:148">
      <c r="A42" s="654" t="s">
        <v>222</v>
      </c>
      <c r="B42" s="658">
        <v>42795</v>
      </c>
      <c r="C42" s="659">
        <v>2017</v>
      </c>
      <c r="D42" s="646">
        <f t="shared" si="10"/>
        <v>168225</v>
      </c>
      <c r="E42" s="646">
        <f t="shared" si="11"/>
        <v>1320</v>
      </c>
      <c r="F42" s="645">
        <f t="shared" si="7"/>
        <v>595</v>
      </c>
      <c r="G42" s="163">
        <f t="shared" si="7"/>
        <v>414</v>
      </c>
      <c r="H42" s="163">
        <f t="shared" si="7"/>
        <v>0</v>
      </c>
      <c r="I42" s="163">
        <f t="shared" si="7"/>
        <v>181</v>
      </c>
      <c r="J42" s="644">
        <f t="shared" si="7"/>
        <v>0</v>
      </c>
      <c r="K42" s="645">
        <f t="shared" si="7"/>
        <v>725</v>
      </c>
      <c r="L42" s="163">
        <f t="shared" si="7"/>
        <v>628</v>
      </c>
      <c r="M42" s="163">
        <f t="shared" si="7"/>
        <v>0</v>
      </c>
      <c r="N42" s="163">
        <f t="shared" si="7"/>
        <v>88</v>
      </c>
      <c r="O42" s="643">
        <f t="shared" si="7"/>
        <v>9</v>
      </c>
      <c r="P42" s="646">
        <f t="shared" si="7"/>
        <v>2</v>
      </c>
      <c r="Q42" s="645">
        <f t="shared" si="7"/>
        <v>0</v>
      </c>
      <c r="R42" s="163">
        <f t="shared" si="7"/>
        <v>0</v>
      </c>
      <c r="S42" s="163">
        <f t="shared" si="7"/>
        <v>0</v>
      </c>
      <c r="T42" s="163">
        <f t="shared" si="7"/>
        <v>0</v>
      </c>
      <c r="U42" s="644">
        <f t="shared" si="7"/>
        <v>0</v>
      </c>
      <c r="V42" s="645">
        <f t="shared" si="7"/>
        <v>2</v>
      </c>
      <c r="W42" s="163">
        <f t="shared" si="7"/>
        <v>1</v>
      </c>
      <c r="X42" s="163">
        <f t="shared" si="7"/>
        <v>0</v>
      </c>
      <c r="Y42" s="163">
        <f t="shared" si="7"/>
        <v>1</v>
      </c>
      <c r="Z42" s="643">
        <f t="shared" si="7"/>
        <v>0</v>
      </c>
      <c r="AA42" s="646">
        <f t="shared" si="7"/>
        <v>1</v>
      </c>
      <c r="AB42" s="645">
        <f t="shared" si="7"/>
        <v>0</v>
      </c>
      <c r="AC42" s="163">
        <f t="shared" si="7"/>
        <v>0</v>
      </c>
      <c r="AD42" s="163">
        <f t="shared" si="7"/>
        <v>0</v>
      </c>
      <c r="AE42" s="163">
        <f t="shared" si="7"/>
        <v>0</v>
      </c>
      <c r="AF42" s="644">
        <f t="shared" si="7"/>
        <v>0</v>
      </c>
      <c r="AG42" s="645">
        <f t="shared" si="7"/>
        <v>1</v>
      </c>
      <c r="AH42" s="163">
        <f t="shared" si="7"/>
        <v>1</v>
      </c>
      <c r="AI42" s="163">
        <f t="shared" si="8"/>
        <v>0</v>
      </c>
      <c r="AJ42" s="163">
        <f t="shared" si="8"/>
        <v>0</v>
      </c>
      <c r="AK42" s="643">
        <f t="shared" si="8"/>
        <v>0</v>
      </c>
      <c r="AL42" s="646">
        <f t="shared" si="8"/>
        <v>11</v>
      </c>
      <c r="AM42" s="645">
        <f t="shared" si="8"/>
        <v>4</v>
      </c>
      <c r="AN42" s="163">
        <f t="shared" si="8"/>
        <v>3</v>
      </c>
      <c r="AO42" s="163">
        <f t="shared" si="8"/>
        <v>0</v>
      </c>
      <c r="AP42" s="163">
        <f t="shared" si="8"/>
        <v>1</v>
      </c>
      <c r="AQ42" s="644">
        <f t="shared" si="8"/>
        <v>0</v>
      </c>
      <c r="AR42" s="645">
        <f t="shared" si="8"/>
        <v>7</v>
      </c>
      <c r="AS42" s="163">
        <f t="shared" si="8"/>
        <v>6</v>
      </c>
      <c r="AT42" s="163">
        <f t="shared" si="8"/>
        <v>0</v>
      </c>
      <c r="AU42" s="163">
        <f t="shared" si="8"/>
        <v>1</v>
      </c>
      <c r="AV42" s="643">
        <f t="shared" si="8"/>
        <v>0</v>
      </c>
      <c r="AW42" s="646">
        <f t="shared" si="8"/>
        <v>4</v>
      </c>
      <c r="AX42" s="645">
        <f t="shared" si="8"/>
        <v>1</v>
      </c>
      <c r="AY42" s="163">
        <f t="shared" si="8"/>
        <v>1</v>
      </c>
      <c r="AZ42" s="163">
        <f t="shared" si="8"/>
        <v>0</v>
      </c>
      <c r="BA42" s="163">
        <f t="shared" si="8"/>
        <v>0</v>
      </c>
      <c r="BB42" s="644">
        <f t="shared" si="8"/>
        <v>0</v>
      </c>
      <c r="BC42" s="645">
        <f t="shared" si="8"/>
        <v>3</v>
      </c>
      <c r="BD42" s="163">
        <f t="shared" si="8"/>
        <v>3</v>
      </c>
      <c r="BE42" s="163">
        <f t="shared" si="8"/>
        <v>0</v>
      </c>
      <c r="BF42" s="163">
        <f t="shared" si="8"/>
        <v>0</v>
      </c>
      <c r="BG42" s="643">
        <f t="shared" si="8"/>
        <v>0</v>
      </c>
      <c r="BH42" s="646">
        <f t="shared" si="8"/>
        <v>6</v>
      </c>
      <c r="BI42" s="645">
        <f t="shared" si="8"/>
        <v>5</v>
      </c>
      <c r="BJ42" s="163">
        <f t="shared" si="8"/>
        <v>3</v>
      </c>
      <c r="BK42" s="163">
        <f t="shared" si="8"/>
        <v>0</v>
      </c>
      <c r="BL42" s="163">
        <f t="shared" si="8"/>
        <v>2</v>
      </c>
      <c r="BM42" s="644">
        <f t="shared" si="8"/>
        <v>0</v>
      </c>
      <c r="BN42" s="645">
        <f t="shared" si="8"/>
        <v>1</v>
      </c>
      <c r="BO42" s="163">
        <f t="shared" si="8"/>
        <v>1</v>
      </c>
      <c r="BP42" s="163">
        <f t="shared" si="8"/>
        <v>0</v>
      </c>
      <c r="BQ42" s="163">
        <f t="shared" si="8"/>
        <v>0</v>
      </c>
      <c r="BR42" s="643">
        <f t="shared" si="8"/>
        <v>0</v>
      </c>
      <c r="BS42" s="646">
        <f t="shared" si="8"/>
        <v>5</v>
      </c>
      <c r="BT42" s="645">
        <f t="shared" si="8"/>
        <v>2</v>
      </c>
      <c r="BU42" s="163">
        <f t="shared" si="8"/>
        <v>1</v>
      </c>
      <c r="BV42" s="163">
        <f t="shared" si="8"/>
        <v>0</v>
      </c>
      <c r="BW42" s="163">
        <f t="shared" si="8"/>
        <v>1</v>
      </c>
      <c r="BX42" s="644">
        <f t="shared" si="8"/>
        <v>0</v>
      </c>
      <c r="BY42" s="645">
        <f t="shared" si="8"/>
        <v>3</v>
      </c>
      <c r="BZ42" s="163">
        <f t="shared" si="8"/>
        <v>3</v>
      </c>
      <c r="CA42" s="163">
        <f t="shared" si="8"/>
        <v>0</v>
      </c>
      <c r="CB42" s="163">
        <f t="shared" si="8"/>
        <v>0</v>
      </c>
      <c r="CC42" s="643">
        <f t="shared" si="8"/>
        <v>0</v>
      </c>
      <c r="CD42" s="646">
        <f t="shared" si="8"/>
        <v>4</v>
      </c>
      <c r="CE42" s="645">
        <f t="shared" si="8"/>
        <v>3</v>
      </c>
      <c r="CF42" s="163">
        <f t="shared" si="8"/>
        <v>2</v>
      </c>
      <c r="CG42" s="163">
        <f t="shared" si="8"/>
        <v>0</v>
      </c>
      <c r="CH42" s="163">
        <f t="shared" si="8"/>
        <v>1</v>
      </c>
      <c r="CI42" s="644">
        <f t="shared" si="8"/>
        <v>0</v>
      </c>
      <c r="CJ42" s="645">
        <f t="shared" si="8"/>
        <v>1</v>
      </c>
      <c r="CK42" s="163">
        <f t="shared" si="8"/>
        <v>1</v>
      </c>
      <c r="CL42" s="163">
        <f t="shared" si="8"/>
        <v>0</v>
      </c>
      <c r="CM42" s="163">
        <f t="shared" si="8"/>
        <v>0</v>
      </c>
      <c r="CN42" s="643">
        <f t="shared" si="8"/>
        <v>0</v>
      </c>
      <c r="CO42" s="646">
        <f t="shared" si="8"/>
        <v>1</v>
      </c>
      <c r="CP42" s="645">
        <f t="shared" si="8"/>
        <v>0</v>
      </c>
      <c r="CQ42" s="163">
        <f t="shared" si="8"/>
        <v>0</v>
      </c>
      <c r="CR42" s="163">
        <f t="shared" si="8"/>
        <v>0</v>
      </c>
      <c r="CS42" s="163">
        <f t="shared" si="8"/>
        <v>0</v>
      </c>
      <c r="CT42" s="644">
        <f t="shared" si="8"/>
        <v>0</v>
      </c>
      <c r="CU42" s="645">
        <f t="shared" si="9"/>
        <v>1</v>
      </c>
      <c r="CV42" s="163">
        <f t="shared" si="9"/>
        <v>1</v>
      </c>
      <c r="CW42" s="163">
        <f t="shared" si="9"/>
        <v>0</v>
      </c>
      <c r="CX42" s="163">
        <f t="shared" si="9"/>
        <v>0</v>
      </c>
      <c r="CY42" s="643">
        <f t="shared" si="9"/>
        <v>0</v>
      </c>
      <c r="CZ42" s="646">
        <f t="shared" si="9"/>
        <v>1</v>
      </c>
      <c r="DA42" s="645">
        <f t="shared" si="9"/>
        <v>0</v>
      </c>
      <c r="DB42" s="163">
        <f t="shared" si="9"/>
        <v>0</v>
      </c>
      <c r="DC42" s="163">
        <f t="shared" si="9"/>
        <v>0</v>
      </c>
      <c r="DD42" s="163">
        <f t="shared" si="9"/>
        <v>0</v>
      </c>
      <c r="DE42" s="644">
        <f t="shared" si="9"/>
        <v>0</v>
      </c>
      <c r="DF42" s="645">
        <f t="shared" si="9"/>
        <v>1</v>
      </c>
      <c r="DG42" s="163">
        <f t="shared" si="9"/>
        <v>1</v>
      </c>
      <c r="DH42" s="163">
        <f t="shared" si="9"/>
        <v>0</v>
      </c>
      <c r="DI42" s="163">
        <f t="shared" si="9"/>
        <v>0</v>
      </c>
      <c r="DJ42" s="643">
        <f t="shared" si="9"/>
        <v>0</v>
      </c>
      <c r="DK42" s="646">
        <f t="shared" si="9"/>
        <v>0</v>
      </c>
      <c r="DL42" s="645">
        <f t="shared" si="9"/>
        <v>0</v>
      </c>
      <c r="DM42" s="163">
        <f t="shared" si="9"/>
        <v>0</v>
      </c>
      <c r="DN42" s="163">
        <f t="shared" si="9"/>
        <v>0</v>
      </c>
      <c r="DO42" s="163">
        <f t="shared" si="9"/>
        <v>0</v>
      </c>
      <c r="DP42" s="644">
        <f t="shared" si="9"/>
        <v>0</v>
      </c>
      <c r="DQ42" s="645">
        <f t="shared" si="9"/>
        <v>0</v>
      </c>
      <c r="DR42" s="163">
        <f t="shared" si="9"/>
        <v>0</v>
      </c>
      <c r="DS42" s="163">
        <f t="shared" si="9"/>
        <v>0</v>
      </c>
      <c r="DT42" s="163">
        <f t="shared" si="9"/>
        <v>0</v>
      </c>
      <c r="DU42" s="643">
        <f t="shared" si="9"/>
        <v>0</v>
      </c>
      <c r="DW42" s="646">
        <f t="shared" si="4"/>
        <v>24</v>
      </c>
      <c r="DX42" s="645">
        <f t="shared" si="4"/>
        <v>11</v>
      </c>
      <c r="DY42" s="163">
        <f t="shared" si="4"/>
        <v>7</v>
      </c>
      <c r="DZ42" s="163">
        <f t="shared" si="4"/>
        <v>0</v>
      </c>
      <c r="EA42" s="163">
        <f t="shared" si="4"/>
        <v>4</v>
      </c>
      <c r="EB42" s="644">
        <f t="shared" si="4"/>
        <v>0</v>
      </c>
      <c r="EC42" s="645">
        <f t="shared" si="4"/>
        <v>13</v>
      </c>
      <c r="ED42" s="163">
        <f t="shared" si="4"/>
        <v>12</v>
      </c>
      <c r="EE42" s="163">
        <f t="shared" si="4"/>
        <v>0</v>
      </c>
      <c r="EF42" s="163">
        <f t="shared" si="4"/>
        <v>1</v>
      </c>
      <c r="EG42" s="643">
        <f t="shared" si="4"/>
        <v>0</v>
      </c>
      <c r="EH42" s="646">
        <f t="shared" si="6"/>
        <v>11</v>
      </c>
      <c r="EI42" s="645">
        <f t="shared" si="6"/>
        <v>4</v>
      </c>
      <c r="EJ42" s="163">
        <f t="shared" si="6"/>
        <v>3</v>
      </c>
      <c r="EK42" s="163">
        <f t="shared" si="6"/>
        <v>0</v>
      </c>
      <c r="EL42" s="163">
        <f t="shared" si="6"/>
        <v>1</v>
      </c>
      <c r="EM42" s="644">
        <f t="shared" si="6"/>
        <v>0</v>
      </c>
      <c r="EN42" s="645">
        <f t="shared" si="6"/>
        <v>7</v>
      </c>
      <c r="EO42" s="163">
        <f t="shared" si="6"/>
        <v>6</v>
      </c>
      <c r="EP42" s="163">
        <f t="shared" si="6"/>
        <v>0</v>
      </c>
      <c r="EQ42" s="163">
        <f t="shared" si="6"/>
        <v>1</v>
      </c>
      <c r="ER42" s="643">
        <f t="shared" si="6"/>
        <v>0</v>
      </c>
    </row>
    <row r="43" spans="1:148">
      <c r="A43" s="654" t="s">
        <v>225</v>
      </c>
      <c r="B43" s="658">
        <v>42826</v>
      </c>
      <c r="C43" s="659">
        <v>2017</v>
      </c>
      <c r="D43" s="646">
        <f t="shared" si="10"/>
        <v>234021</v>
      </c>
      <c r="E43" s="646">
        <f t="shared" si="11"/>
        <v>2089</v>
      </c>
      <c r="F43" s="645">
        <f t="shared" si="7"/>
        <v>832</v>
      </c>
      <c r="G43" s="163">
        <f t="shared" si="7"/>
        <v>605</v>
      </c>
      <c r="H43" s="163">
        <f t="shared" si="7"/>
        <v>0</v>
      </c>
      <c r="I43" s="163">
        <f t="shared" si="7"/>
        <v>227</v>
      </c>
      <c r="J43" s="644">
        <f t="shared" si="7"/>
        <v>0</v>
      </c>
      <c r="K43" s="645">
        <f t="shared" si="7"/>
        <v>1257</v>
      </c>
      <c r="L43" s="163">
        <f t="shared" si="7"/>
        <v>937</v>
      </c>
      <c r="M43" s="163">
        <f t="shared" si="7"/>
        <v>0</v>
      </c>
      <c r="N43" s="163">
        <f t="shared" si="7"/>
        <v>153</v>
      </c>
      <c r="O43" s="643">
        <f t="shared" si="7"/>
        <v>167</v>
      </c>
      <c r="P43" s="646">
        <f t="shared" si="7"/>
        <v>3</v>
      </c>
      <c r="Q43" s="645">
        <f t="shared" si="7"/>
        <v>1</v>
      </c>
      <c r="R43" s="163">
        <f t="shared" si="7"/>
        <v>1</v>
      </c>
      <c r="S43" s="163">
        <f t="shared" si="7"/>
        <v>0</v>
      </c>
      <c r="T43" s="163">
        <f t="shared" si="7"/>
        <v>0</v>
      </c>
      <c r="U43" s="644">
        <f t="shared" si="7"/>
        <v>0</v>
      </c>
      <c r="V43" s="645">
        <f t="shared" si="7"/>
        <v>2</v>
      </c>
      <c r="W43" s="163">
        <f t="shared" si="7"/>
        <v>2</v>
      </c>
      <c r="X43" s="163">
        <f t="shared" si="7"/>
        <v>0</v>
      </c>
      <c r="Y43" s="163">
        <f t="shared" si="7"/>
        <v>0</v>
      </c>
      <c r="Z43" s="643">
        <f t="shared" si="7"/>
        <v>0</v>
      </c>
      <c r="AA43" s="646">
        <f t="shared" si="7"/>
        <v>3</v>
      </c>
      <c r="AB43" s="645">
        <f t="shared" si="7"/>
        <v>0</v>
      </c>
      <c r="AC43" s="163">
        <f t="shared" si="7"/>
        <v>0</v>
      </c>
      <c r="AD43" s="163">
        <f t="shared" si="7"/>
        <v>0</v>
      </c>
      <c r="AE43" s="163">
        <f t="shared" si="7"/>
        <v>0</v>
      </c>
      <c r="AF43" s="644">
        <f t="shared" si="7"/>
        <v>0</v>
      </c>
      <c r="AG43" s="645">
        <f t="shared" si="7"/>
        <v>3</v>
      </c>
      <c r="AH43" s="163">
        <f t="shared" si="7"/>
        <v>3</v>
      </c>
      <c r="AI43" s="163">
        <f t="shared" si="8"/>
        <v>0</v>
      </c>
      <c r="AJ43" s="163">
        <f t="shared" si="8"/>
        <v>0</v>
      </c>
      <c r="AK43" s="643">
        <f t="shared" si="8"/>
        <v>0</v>
      </c>
      <c r="AL43" s="646">
        <f t="shared" si="8"/>
        <v>13</v>
      </c>
      <c r="AM43" s="645">
        <f t="shared" si="8"/>
        <v>6</v>
      </c>
      <c r="AN43" s="163">
        <f t="shared" si="8"/>
        <v>6</v>
      </c>
      <c r="AO43" s="163">
        <f t="shared" si="8"/>
        <v>0</v>
      </c>
      <c r="AP43" s="163">
        <f t="shared" si="8"/>
        <v>0</v>
      </c>
      <c r="AQ43" s="644">
        <f t="shared" si="8"/>
        <v>0</v>
      </c>
      <c r="AR43" s="645">
        <f t="shared" si="8"/>
        <v>7</v>
      </c>
      <c r="AS43" s="163">
        <f t="shared" si="8"/>
        <v>6</v>
      </c>
      <c r="AT43" s="163">
        <f t="shared" si="8"/>
        <v>0</v>
      </c>
      <c r="AU43" s="163">
        <f t="shared" si="8"/>
        <v>0</v>
      </c>
      <c r="AV43" s="643">
        <f t="shared" si="8"/>
        <v>1</v>
      </c>
      <c r="AW43" s="646">
        <f t="shared" si="8"/>
        <v>12</v>
      </c>
      <c r="AX43" s="645">
        <f t="shared" si="8"/>
        <v>5</v>
      </c>
      <c r="AY43" s="163">
        <f t="shared" si="8"/>
        <v>4</v>
      </c>
      <c r="AZ43" s="163">
        <f t="shared" si="8"/>
        <v>0</v>
      </c>
      <c r="BA43" s="163">
        <f t="shared" si="8"/>
        <v>1</v>
      </c>
      <c r="BB43" s="644">
        <f t="shared" si="8"/>
        <v>0</v>
      </c>
      <c r="BC43" s="645">
        <f t="shared" si="8"/>
        <v>7</v>
      </c>
      <c r="BD43" s="163">
        <f t="shared" si="8"/>
        <v>6</v>
      </c>
      <c r="BE43" s="163">
        <f t="shared" si="8"/>
        <v>0</v>
      </c>
      <c r="BF43" s="163">
        <f t="shared" si="8"/>
        <v>1</v>
      </c>
      <c r="BG43" s="643">
        <f t="shared" si="8"/>
        <v>0</v>
      </c>
      <c r="BH43" s="646">
        <f t="shared" si="8"/>
        <v>18</v>
      </c>
      <c r="BI43" s="645">
        <f t="shared" si="8"/>
        <v>4</v>
      </c>
      <c r="BJ43" s="163">
        <f t="shared" si="8"/>
        <v>4</v>
      </c>
      <c r="BK43" s="163">
        <f t="shared" si="8"/>
        <v>0</v>
      </c>
      <c r="BL43" s="163">
        <f t="shared" si="8"/>
        <v>0</v>
      </c>
      <c r="BM43" s="644">
        <f t="shared" si="8"/>
        <v>0</v>
      </c>
      <c r="BN43" s="645">
        <f t="shared" si="8"/>
        <v>14</v>
      </c>
      <c r="BO43" s="163">
        <f t="shared" si="8"/>
        <v>11</v>
      </c>
      <c r="BP43" s="163">
        <f t="shared" si="8"/>
        <v>0</v>
      </c>
      <c r="BQ43" s="163">
        <f t="shared" si="8"/>
        <v>0</v>
      </c>
      <c r="BR43" s="643">
        <f t="shared" si="8"/>
        <v>3</v>
      </c>
      <c r="BS43" s="646">
        <f t="shared" si="8"/>
        <v>27</v>
      </c>
      <c r="BT43" s="645">
        <f t="shared" si="8"/>
        <v>16</v>
      </c>
      <c r="BU43" s="163">
        <f t="shared" si="8"/>
        <v>15</v>
      </c>
      <c r="BV43" s="163">
        <f t="shared" si="8"/>
        <v>0</v>
      </c>
      <c r="BW43" s="163">
        <f t="shared" si="8"/>
        <v>1</v>
      </c>
      <c r="BX43" s="644">
        <f t="shared" si="8"/>
        <v>0</v>
      </c>
      <c r="BY43" s="645">
        <f t="shared" si="8"/>
        <v>11</v>
      </c>
      <c r="BZ43" s="163">
        <f t="shared" si="8"/>
        <v>9</v>
      </c>
      <c r="CA43" s="163">
        <f t="shared" si="8"/>
        <v>0</v>
      </c>
      <c r="CB43" s="163">
        <f t="shared" si="8"/>
        <v>0</v>
      </c>
      <c r="CC43" s="643">
        <f t="shared" si="8"/>
        <v>2</v>
      </c>
      <c r="CD43" s="646">
        <f t="shared" si="8"/>
        <v>11</v>
      </c>
      <c r="CE43" s="645">
        <f t="shared" si="8"/>
        <v>5</v>
      </c>
      <c r="CF43" s="163">
        <f t="shared" si="8"/>
        <v>4</v>
      </c>
      <c r="CG43" s="163">
        <f t="shared" si="8"/>
        <v>0</v>
      </c>
      <c r="CH43" s="163">
        <f t="shared" si="8"/>
        <v>1</v>
      </c>
      <c r="CI43" s="644">
        <f t="shared" si="8"/>
        <v>0</v>
      </c>
      <c r="CJ43" s="645">
        <f t="shared" si="8"/>
        <v>6</v>
      </c>
      <c r="CK43" s="163">
        <f t="shared" si="8"/>
        <v>4</v>
      </c>
      <c r="CL43" s="163">
        <f t="shared" si="8"/>
        <v>0</v>
      </c>
      <c r="CM43" s="163">
        <f t="shared" si="8"/>
        <v>1</v>
      </c>
      <c r="CN43" s="643">
        <f t="shared" si="8"/>
        <v>1</v>
      </c>
      <c r="CO43" s="646">
        <f t="shared" si="8"/>
        <v>3</v>
      </c>
      <c r="CP43" s="645">
        <f t="shared" si="8"/>
        <v>2</v>
      </c>
      <c r="CQ43" s="163">
        <f t="shared" si="8"/>
        <v>2</v>
      </c>
      <c r="CR43" s="163">
        <f t="shared" si="8"/>
        <v>0</v>
      </c>
      <c r="CS43" s="163">
        <f t="shared" si="8"/>
        <v>0</v>
      </c>
      <c r="CT43" s="644">
        <f t="shared" ref="CT43:DT46" si="12">SUMIFS(CT$5:CT$36,$B$5:$B$36,$A43)</f>
        <v>0</v>
      </c>
      <c r="CU43" s="645">
        <f t="shared" si="12"/>
        <v>1</v>
      </c>
      <c r="CV43" s="163">
        <f t="shared" si="12"/>
        <v>1</v>
      </c>
      <c r="CW43" s="163">
        <f t="shared" si="12"/>
        <v>0</v>
      </c>
      <c r="CX43" s="163">
        <f t="shared" si="12"/>
        <v>0</v>
      </c>
      <c r="CY43" s="643">
        <f t="shared" si="12"/>
        <v>0</v>
      </c>
      <c r="CZ43" s="646">
        <f t="shared" si="12"/>
        <v>1</v>
      </c>
      <c r="DA43" s="645">
        <f t="shared" si="12"/>
        <v>1</v>
      </c>
      <c r="DB43" s="163">
        <f t="shared" si="12"/>
        <v>0</v>
      </c>
      <c r="DC43" s="163">
        <f t="shared" si="12"/>
        <v>0</v>
      </c>
      <c r="DD43" s="163">
        <f t="shared" si="12"/>
        <v>1</v>
      </c>
      <c r="DE43" s="644">
        <f t="shared" si="12"/>
        <v>0</v>
      </c>
      <c r="DF43" s="645">
        <f t="shared" si="12"/>
        <v>0</v>
      </c>
      <c r="DG43" s="163">
        <f t="shared" si="12"/>
        <v>0</v>
      </c>
      <c r="DH43" s="163">
        <f t="shared" si="12"/>
        <v>0</v>
      </c>
      <c r="DI43" s="163">
        <f t="shared" si="12"/>
        <v>0</v>
      </c>
      <c r="DJ43" s="643">
        <f t="shared" si="12"/>
        <v>0</v>
      </c>
      <c r="DK43" s="646">
        <f t="shared" si="12"/>
        <v>0</v>
      </c>
      <c r="DL43" s="645">
        <f t="shared" si="12"/>
        <v>0</v>
      </c>
      <c r="DM43" s="163">
        <f t="shared" si="12"/>
        <v>0</v>
      </c>
      <c r="DN43" s="163">
        <f t="shared" si="12"/>
        <v>0</v>
      </c>
      <c r="DO43" s="163">
        <f t="shared" si="12"/>
        <v>0</v>
      </c>
      <c r="DP43" s="644">
        <f t="shared" si="12"/>
        <v>0</v>
      </c>
      <c r="DQ43" s="645">
        <f t="shared" si="12"/>
        <v>0</v>
      </c>
      <c r="DR43" s="163">
        <f t="shared" si="12"/>
        <v>0</v>
      </c>
      <c r="DS43" s="163">
        <f t="shared" si="12"/>
        <v>0</v>
      </c>
      <c r="DT43" s="163">
        <f t="shared" si="12"/>
        <v>0</v>
      </c>
      <c r="DU43" s="643">
        <f t="shared" si="9"/>
        <v>0</v>
      </c>
      <c r="DW43" s="646">
        <f t="shared" si="4"/>
        <v>78</v>
      </c>
      <c r="DX43" s="645">
        <f t="shared" si="4"/>
        <v>34</v>
      </c>
      <c r="DY43" s="163">
        <f t="shared" si="4"/>
        <v>30</v>
      </c>
      <c r="DZ43" s="163">
        <f t="shared" si="4"/>
        <v>0</v>
      </c>
      <c r="EA43" s="163">
        <f t="shared" si="4"/>
        <v>4</v>
      </c>
      <c r="EB43" s="644">
        <f t="shared" si="4"/>
        <v>0</v>
      </c>
      <c r="EC43" s="645">
        <f t="shared" si="4"/>
        <v>44</v>
      </c>
      <c r="ED43" s="163">
        <f t="shared" si="4"/>
        <v>36</v>
      </c>
      <c r="EE43" s="163">
        <f t="shared" si="4"/>
        <v>0</v>
      </c>
      <c r="EF43" s="163">
        <f t="shared" si="4"/>
        <v>2</v>
      </c>
      <c r="EG43" s="643">
        <f t="shared" si="4"/>
        <v>6</v>
      </c>
      <c r="EH43" s="646">
        <f t="shared" si="6"/>
        <v>13</v>
      </c>
      <c r="EI43" s="645">
        <f t="shared" si="6"/>
        <v>6</v>
      </c>
      <c r="EJ43" s="163">
        <f t="shared" si="6"/>
        <v>6</v>
      </c>
      <c r="EK43" s="163">
        <f t="shared" si="6"/>
        <v>0</v>
      </c>
      <c r="EL43" s="163">
        <f t="shared" si="6"/>
        <v>0</v>
      </c>
      <c r="EM43" s="644">
        <f t="shared" si="6"/>
        <v>0</v>
      </c>
      <c r="EN43" s="645">
        <f t="shared" si="6"/>
        <v>7</v>
      </c>
      <c r="EO43" s="163">
        <f t="shared" si="6"/>
        <v>6</v>
      </c>
      <c r="EP43" s="163">
        <f t="shared" si="6"/>
        <v>0</v>
      </c>
      <c r="EQ43" s="163">
        <f t="shared" si="6"/>
        <v>0</v>
      </c>
      <c r="ER43" s="643">
        <f t="shared" si="6"/>
        <v>1</v>
      </c>
    </row>
    <row r="44" spans="1:148">
      <c r="A44" s="654" t="s">
        <v>225</v>
      </c>
      <c r="B44" s="658">
        <v>42856</v>
      </c>
      <c r="C44" s="659">
        <v>2017</v>
      </c>
      <c r="D44" s="646">
        <f t="shared" si="10"/>
        <v>234021</v>
      </c>
      <c r="E44" s="646">
        <f t="shared" si="11"/>
        <v>2089</v>
      </c>
      <c r="F44" s="645">
        <f t="shared" si="7"/>
        <v>832</v>
      </c>
      <c r="G44" s="163">
        <f t="shared" si="7"/>
        <v>605</v>
      </c>
      <c r="H44" s="163">
        <f t="shared" si="7"/>
        <v>0</v>
      </c>
      <c r="I44" s="163">
        <f t="shared" si="7"/>
        <v>227</v>
      </c>
      <c r="J44" s="644">
        <f t="shared" si="7"/>
        <v>0</v>
      </c>
      <c r="K44" s="645">
        <f t="shared" si="7"/>
        <v>1257</v>
      </c>
      <c r="L44" s="163">
        <f t="shared" si="7"/>
        <v>937</v>
      </c>
      <c r="M44" s="163">
        <f t="shared" si="7"/>
        <v>0</v>
      </c>
      <c r="N44" s="163">
        <f t="shared" si="7"/>
        <v>153</v>
      </c>
      <c r="O44" s="643">
        <f t="shared" si="7"/>
        <v>167</v>
      </c>
      <c r="P44" s="646">
        <f t="shared" si="7"/>
        <v>3</v>
      </c>
      <c r="Q44" s="645">
        <f t="shared" si="7"/>
        <v>1</v>
      </c>
      <c r="R44" s="163">
        <f t="shared" si="7"/>
        <v>1</v>
      </c>
      <c r="S44" s="163">
        <f t="shared" si="7"/>
        <v>0</v>
      </c>
      <c r="T44" s="163">
        <f t="shared" si="7"/>
        <v>0</v>
      </c>
      <c r="U44" s="644">
        <f t="shared" si="7"/>
        <v>0</v>
      </c>
      <c r="V44" s="645">
        <f t="shared" si="7"/>
        <v>2</v>
      </c>
      <c r="W44" s="163">
        <f t="shared" si="7"/>
        <v>2</v>
      </c>
      <c r="X44" s="163">
        <f t="shared" si="7"/>
        <v>0</v>
      </c>
      <c r="Y44" s="163">
        <f t="shared" si="7"/>
        <v>0</v>
      </c>
      <c r="Z44" s="643">
        <f t="shared" si="7"/>
        <v>0</v>
      </c>
      <c r="AA44" s="646">
        <f t="shared" si="7"/>
        <v>3</v>
      </c>
      <c r="AB44" s="645">
        <f t="shared" si="7"/>
        <v>0</v>
      </c>
      <c r="AC44" s="163">
        <f t="shared" si="7"/>
        <v>0</v>
      </c>
      <c r="AD44" s="163">
        <f t="shared" si="7"/>
        <v>0</v>
      </c>
      <c r="AE44" s="163">
        <f t="shared" si="7"/>
        <v>0</v>
      </c>
      <c r="AF44" s="644">
        <f t="shared" si="7"/>
        <v>0</v>
      </c>
      <c r="AG44" s="645">
        <f t="shared" si="7"/>
        <v>3</v>
      </c>
      <c r="AH44" s="163">
        <f t="shared" si="7"/>
        <v>3</v>
      </c>
      <c r="AI44" s="163">
        <f t="shared" ref="AI44:CT47" si="13">SUMIFS(AI$5:AI$36,$B$5:$B$36,$A44)</f>
        <v>0</v>
      </c>
      <c r="AJ44" s="163">
        <f t="shared" si="13"/>
        <v>0</v>
      </c>
      <c r="AK44" s="643">
        <f t="shared" si="13"/>
        <v>0</v>
      </c>
      <c r="AL44" s="646">
        <f t="shared" si="13"/>
        <v>13</v>
      </c>
      <c r="AM44" s="645">
        <f t="shared" si="13"/>
        <v>6</v>
      </c>
      <c r="AN44" s="163">
        <f t="shared" si="13"/>
        <v>6</v>
      </c>
      <c r="AO44" s="163">
        <f t="shared" si="13"/>
        <v>0</v>
      </c>
      <c r="AP44" s="163">
        <f t="shared" si="13"/>
        <v>0</v>
      </c>
      <c r="AQ44" s="644">
        <f t="shared" si="13"/>
        <v>0</v>
      </c>
      <c r="AR44" s="645">
        <f t="shared" si="13"/>
        <v>7</v>
      </c>
      <c r="AS44" s="163">
        <f t="shared" si="13"/>
        <v>6</v>
      </c>
      <c r="AT44" s="163">
        <f t="shared" si="13"/>
        <v>0</v>
      </c>
      <c r="AU44" s="163">
        <f t="shared" si="13"/>
        <v>0</v>
      </c>
      <c r="AV44" s="643">
        <f t="shared" si="13"/>
        <v>1</v>
      </c>
      <c r="AW44" s="646">
        <f t="shared" si="13"/>
        <v>12</v>
      </c>
      <c r="AX44" s="645">
        <f t="shared" si="13"/>
        <v>5</v>
      </c>
      <c r="AY44" s="163">
        <f t="shared" si="13"/>
        <v>4</v>
      </c>
      <c r="AZ44" s="163">
        <f t="shared" si="13"/>
        <v>0</v>
      </c>
      <c r="BA44" s="163">
        <f t="shared" si="13"/>
        <v>1</v>
      </c>
      <c r="BB44" s="644">
        <f t="shared" si="13"/>
        <v>0</v>
      </c>
      <c r="BC44" s="645">
        <f t="shared" si="13"/>
        <v>7</v>
      </c>
      <c r="BD44" s="163">
        <f t="shared" si="13"/>
        <v>6</v>
      </c>
      <c r="BE44" s="163">
        <f t="shared" si="13"/>
        <v>0</v>
      </c>
      <c r="BF44" s="163">
        <f t="shared" si="13"/>
        <v>1</v>
      </c>
      <c r="BG44" s="643">
        <f t="shared" si="13"/>
        <v>0</v>
      </c>
      <c r="BH44" s="646">
        <f t="shared" si="13"/>
        <v>18</v>
      </c>
      <c r="BI44" s="645">
        <f t="shared" si="13"/>
        <v>4</v>
      </c>
      <c r="BJ44" s="163">
        <f t="shared" si="13"/>
        <v>4</v>
      </c>
      <c r="BK44" s="163">
        <f t="shared" si="13"/>
        <v>0</v>
      </c>
      <c r="BL44" s="163">
        <f t="shared" si="13"/>
        <v>0</v>
      </c>
      <c r="BM44" s="644">
        <f t="shared" si="13"/>
        <v>0</v>
      </c>
      <c r="BN44" s="645">
        <f t="shared" si="13"/>
        <v>14</v>
      </c>
      <c r="BO44" s="163">
        <f t="shared" si="13"/>
        <v>11</v>
      </c>
      <c r="BP44" s="163">
        <f t="shared" si="13"/>
        <v>0</v>
      </c>
      <c r="BQ44" s="163">
        <f t="shared" si="13"/>
        <v>0</v>
      </c>
      <c r="BR44" s="643">
        <f t="shared" si="13"/>
        <v>3</v>
      </c>
      <c r="BS44" s="646">
        <f t="shared" si="13"/>
        <v>27</v>
      </c>
      <c r="BT44" s="645">
        <f t="shared" si="13"/>
        <v>16</v>
      </c>
      <c r="BU44" s="163">
        <f t="shared" si="13"/>
        <v>15</v>
      </c>
      <c r="BV44" s="163">
        <f t="shared" si="13"/>
        <v>0</v>
      </c>
      <c r="BW44" s="163">
        <f t="shared" si="13"/>
        <v>1</v>
      </c>
      <c r="BX44" s="644">
        <f t="shared" si="13"/>
        <v>0</v>
      </c>
      <c r="BY44" s="645">
        <f t="shared" si="13"/>
        <v>11</v>
      </c>
      <c r="BZ44" s="163">
        <f t="shared" si="13"/>
        <v>9</v>
      </c>
      <c r="CA44" s="163">
        <f t="shared" si="13"/>
        <v>0</v>
      </c>
      <c r="CB44" s="163">
        <f t="shared" si="13"/>
        <v>0</v>
      </c>
      <c r="CC44" s="643">
        <f t="shared" si="13"/>
        <v>2</v>
      </c>
      <c r="CD44" s="646">
        <f t="shared" si="13"/>
        <v>11</v>
      </c>
      <c r="CE44" s="645">
        <f t="shared" si="13"/>
        <v>5</v>
      </c>
      <c r="CF44" s="163">
        <f t="shared" si="13"/>
        <v>4</v>
      </c>
      <c r="CG44" s="163">
        <f t="shared" si="13"/>
        <v>0</v>
      </c>
      <c r="CH44" s="163">
        <f t="shared" si="13"/>
        <v>1</v>
      </c>
      <c r="CI44" s="644">
        <f t="shared" si="13"/>
        <v>0</v>
      </c>
      <c r="CJ44" s="645">
        <f t="shared" si="13"/>
        <v>6</v>
      </c>
      <c r="CK44" s="163">
        <f t="shared" si="13"/>
        <v>4</v>
      </c>
      <c r="CL44" s="163">
        <f t="shared" si="13"/>
        <v>0</v>
      </c>
      <c r="CM44" s="163">
        <f t="shared" si="13"/>
        <v>1</v>
      </c>
      <c r="CN44" s="643">
        <f t="shared" si="13"/>
        <v>1</v>
      </c>
      <c r="CO44" s="646">
        <f t="shared" si="13"/>
        <v>3</v>
      </c>
      <c r="CP44" s="645">
        <f t="shared" si="13"/>
        <v>2</v>
      </c>
      <c r="CQ44" s="163">
        <f t="shared" si="13"/>
        <v>2</v>
      </c>
      <c r="CR44" s="163">
        <f t="shared" si="13"/>
        <v>0</v>
      </c>
      <c r="CS44" s="163">
        <f t="shared" si="13"/>
        <v>0</v>
      </c>
      <c r="CT44" s="644">
        <f t="shared" si="13"/>
        <v>0</v>
      </c>
      <c r="CU44" s="645">
        <f t="shared" si="12"/>
        <v>1</v>
      </c>
      <c r="CV44" s="163">
        <f t="shared" si="12"/>
        <v>1</v>
      </c>
      <c r="CW44" s="163">
        <f t="shared" si="12"/>
        <v>0</v>
      </c>
      <c r="CX44" s="163">
        <f t="shared" si="12"/>
        <v>0</v>
      </c>
      <c r="CY44" s="643">
        <f t="shared" si="12"/>
        <v>0</v>
      </c>
      <c r="CZ44" s="646">
        <f t="shared" si="12"/>
        <v>1</v>
      </c>
      <c r="DA44" s="645">
        <f t="shared" si="12"/>
        <v>1</v>
      </c>
      <c r="DB44" s="163">
        <f t="shared" si="12"/>
        <v>0</v>
      </c>
      <c r="DC44" s="163">
        <f t="shared" si="12"/>
        <v>0</v>
      </c>
      <c r="DD44" s="163">
        <f t="shared" si="12"/>
        <v>1</v>
      </c>
      <c r="DE44" s="644">
        <f t="shared" si="12"/>
        <v>0</v>
      </c>
      <c r="DF44" s="645">
        <f t="shared" si="12"/>
        <v>0</v>
      </c>
      <c r="DG44" s="163">
        <f t="shared" si="12"/>
        <v>0</v>
      </c>
      <c r="DH44" s="163">
        <f t="shared" si="12"/>
        <v>0</v>
      </c>
      <c r="DI44" s="163">
        <f t="shared" si="12"/>
        <v>0</v>
      </c>
      <c r="DJ44" s="643">
        <f t="shared" si="12"/>
        <v>0</v>
      </c>
      <c r="DK44" s="646">
        <f t="shared" si="12"/>
        <v>0</v>
      </c>
      <c r="DL44" s="645">
        <f t="shared" si="12"/>
        <v>0</v>
      </c>
      <c r="DM44" s="163">
        <f t="shared" si="12"/>
        <v>0</v>
      </c>
      <c r="DN44" s="163">
        <f t="shared" si="12"/>
        <v>0</v>
      </c>
      <c r="DO44" s="163">
        <f t="shared" si="12"/>
        <v>0</v>
      </c>
      <c r="DP44" s="644">
        <f t="shared" si="12"/>
        <v>0</v>
      </c>
      <c r="DQ44" s="645">
        <f t="shared" si="12"/>
        <v>0</v>
      </c>
      <c r="DR44" s="163">
        <f t="shared" si="12"/>
        <v>0</v>
      </c>
      <c r="DS44" s="163">
        <f t="shared" si="12"/>
        <v>0</v>
      </c>
      <c r="DT44" s="163">
        <f t="shared" si="12"/>
        <v>0</v>
      </c>
      <c r="DU44" s="643">
        <f t="shared" si="9"/>
        <v>0</v>
      </c>
      <c r="DW44" s="646">
        <f t="shared" si="4"/>
        <v>78</v>
      </c>
      <c r="DX44" s="645">
        <f t="shared" si="4"/>
        <v>34</v>
      </c>
      <c r="DY44" s="163">
        <f t="shared" si="4"/>
        <v>30</v>
      </c>
      <c r="DZ44" s="163">
        <f t="shared" si="4"/>
        <v>0</v>
      </c>
      <c r="EA44" s="163">
        <f t="shared" si="4"/>
        <v>4</v>
      </c>
      <c r="EB44" s="644">
        <f t="shared" si="4"/>
        <v>0</v>
      </c>
      <c r="EC44" s="645">
        <f t="shared" si="4"/>
        <v>44</v>
      </c>
      <c r="ED44" s="163">
        <f t="shared" si="4"/>
        <v>36</v>
      </c>
      <c r="EE44" s="163">
        <f t="shared" si="4"/>
        <v>0</v>
      </c>
      <c r="EF44" s="163">
        <f t="shared" si="4"/>
        <v>2</v>
      </c>
      <c r="EG44" s="643">
        <f t="shared" si="4"/>
        <v>6</v>
      </c>
      <c r="EH44" s="646">
        <f t="shared" si="6"/>
        <v>13</v>
      </c>
      <c r="EI44" s="645">
        <f t="shared" si="6"/>
        <v>6</v>
      </c>
      <c r="EJ44" s="163">
        <f t="shared" si="6"/>
        <v>6</v>
      </c>
      <c r="EK44" s="163">
        <f t="shared" si="6"/>
        <v>0</v>
      </c>
      <c r="EL44" s="163">
        <f t="shared" si="6"/>
        <v>0</v>
      </c>
      <c r="EM44" s="644">
        <f t="shared" si="6"/>
        <v>0</v>
      </c>
      <c r="EN44" s="645">
        <f t="shared" si="6"/>
        <v>7</v>
      </c>
      <c r="EO44" s="163">
        <f t="shared" si="6"/>
        <v>6</v>
      </c>
      <c r="EP44" s="163">
        <f t="shared" si="6"/>
        <v>0</v>
      </c>
      <c r="EQ44" s="163">
        <f t="shared" si="6"/>
        <v>0</v>
      </c>
      <c r="ER44" s="643">
        <f t="shared" si="6"/>
        <v>1</v>
      </c>
    </row>
    <row r="45" spans="1:148">
      <c r="A45" s="654" t="s">
        <v>225</v>
      </c>
      <c r="B45" s="658">
        <v>42887</v>
      </c>
      <c r="C45" s="659">
        <v>2017</v>
      </c>
      <c r="D45" s="646">
        <f t="shared" si="10"/>
        <v>234021</v>
      </c>
      <c r="E45" s="646">
        <f t="shared" si="11"/>
        <v>2089</v>
      </c>
      <c r="F45" s="645">
        <f t="shared" si="7"/>
        <v>832</v>
      </c>
      <c r="G45" s="163">
        <f t="shared" si="7"/>
        <v>605</v>
      </c>
      <c r="H45" s="163">
        <f t="shared" si="7"/>
        <v>0</v>
      </c>
      <c r="I45" s="163">
        <f t="shared" si="7"/>
        <v>227</v>
      </c>
      <c r="J45" s="644">
        <f t="shared" si="7"/>
        <v>0</v>
      </c>
      <c r="K45" s="645">
        <f t="shared" si="7"/>
        <v>1257</v>
      </c>
      <c r="L45" s="163">
        <f t="shared" si="7"/>
        <v>937</v>
      </c>
      <c r="M45" s="163">
        <f t="shared" si="7"/>
        <v>0</v>
      </c>
      <c r="N45" s="163">
        <f t="shared" si="7"/>
        <v>153</v>
      </c>
      <c r="O45" s="643">
        <f t="shared" si="7"/>
        <v>167</v>
      </c>
      <c r="P45" s="646">
        <f t="shared" si="7"/>
        <v>3</v>
      </c>
      <c r="Q45" s="645">
        <f t="shared" si="7"/>
        <v>1</v>
      </c>
      <c r="R45" s="163">
        <f t="shared" si="7"/>
        <v>1</v>
      </c>
      <c r="S45" s="163">
        <f t="shared" si="7"/>
        <v>0</v>
      </c>
      <c r="T45" s="163">
        <f t="shared" si="7"/>
        <v>0</v>
      </c>
      <c r="U45" s="644">
        <f t="shared" si="7"/>
        <v>0</v>
      </c>
      <c r="V45" s="645">
        <f t="shared" si="7"/>
        <v>2</v>
      </c>
      <c r="W45" s="163">
        <f t="shared" si="7"/>
        <v>2</v>
      </c>
      <c r="X45" s="163">
        <f t="shared" si="7"/>
        <v>0</v>
      </c>
      <c r="Y45" s="163">
        <f t="shared" si="7"/>
        <v>0</v>
      </c>
      <c r="Z45" s="643">
        <f t="shared" si="7"/>
        <v>0</v>
      </c>
      <c r="AA45" s="646">
        <f t="shared" si="7"/>
        <v>3</v>
      </c>
      <c r="AB45" s="645">
        <f t="shared" si="7"/>
        <v>0</v>
      </c>
      <c r="AC45" s="163">
        <f t="shared" si="7"/>
        <v>0</v>
      </c>
      <c r="AD45" s="163">
        <f t="shared" si="7"/>
        <v>0</v>
      </c>
      <c r="AE45" s="163">
        <f t="shared" si="7"/>
        <v>0</v>
      </c>
      <c r="AF45" s="644">
        <f t="shared" si="7"/>
        <v>0</v>
      </c>
      <c r="AG45" s="645">
        <f t="shared" si="7"/>
        <v>3</v>
      </c>
      <c r="AH45" s="163">
        <f t="shared" si="7"/>
        <v>3</v>
      </c>
      <c r="AI45" s="163">
        <f t="shared" si="13"/>
        <v>0</v>
      </c>
      <c r="AJ45" s="163">
        <f t="shared" si="13"/>
        <v>0</v>
      </c>
      <c r="AK45" s="643">
        <f t="shared" si="13"/>
        <v>0</v>
      </c>
      <c r="AL45" s="646">
        <f t="shared" si="13"/>
        <v>13</v>
      </c>
      <c r="AM45" s="645">
        <f t="shared" si="13"/>
        <v>6</v>
      </c>
      <c r="AN45" s="163">
        <f t="shared" si="13"/>
        <v>6</v>
      </c>
      <c r="AO45" s="163">
        <f t="shared" si="13"/>
        <v>0</v>
      </c>
      <c r="AP45" s="163">
        <f t="shared" si="13"/>
        <v>0</v>
      </c>
      <c r="AQ45" s="644">
        <f t="shared" si="13"/>
        <v>0</v>
      </c>
      <c r="AR45" s="645">
        <f t="shared" si="13"/>
        <v>7</v>
      </c>
      <c r="AS45" s="163">
        <f t="shared" si="13"/>
        <v>6</v>
      </c>
      <c r="AT45" s="163">
        <f t="shared" si="13"/>
        <v>0</v>
      </c>
      <c r="AU45" s="163">
        <f t="shared" si="13"/>
        <v>0</v>
      </c>
      <c r="AV45" s="643">
        <f t="shared" si="13"/>
        <v>1</v>
      </c>
      <c r="AW45" s="646">
        <f t="shared" si="13"/>
        <v>12</v>
      </c>
      <c r="AX45" s="645">
        <f t="shared" si="13"/>
        <v>5</v>
      </c>
      <c r="AY45" s="163">
        <f t="shared" si="13"/>
        <v>4</v>
      </c>
      <c r="AZ45" s="163">
        <f t="shared" si="13"/>
        <v>0</v>
      </c>
      <c r="BA45" s="163">
        <f t="shared" si="13"/>
        <v>1</v>
      </c>
      <c r="BB45" s="644">
        <f t="shared" si="13"/>
        <v>0</v>
      </c>
      <c r="BC45" s="645">
        <f t="shared" si="13"/>
        <v>7</v>
      </c>
      <c r="BD45" s="163">
        <f t="shared" si="13"/>
        <v>6</v>
      </c>
      <c r="BE45" s="163">
        <f t="shared" si="13"/>
        <v>0</v>
      </c>
      <c r="BF45" s="163">
        <f t="shared" si="13"/>
        <v>1</v>
      </c>
      <c r="BG45" s="643">
        <f t="shared" si="13"/>
        <v>0</v>
      </c>
      <c r="BH45" s="646">
        <f t="shared" si="13"/>
        <v>18</v>
      </c>
      <c r="BI45" s="645">
        <f t="shared" si="13"/>
        <v>4</v>
      </c>
      <c r="BJ45" s="163">
        <f t="shared" si="13"/>
        <v>4</v>
      </c>
      <c r="BK45" s="163">
        <f t="shared" si="13"/>
        <v>0</v>
      </c>
      <c r="BL45" s="163">
        <f t="shared" si="13"/>
        <v>0</v>
      </c>
      <c r="BM45" s="644">
        <f t="shared" si="13"/>
        <v>0</v>
      </c>
      <c r="BN45" s="645">
        <f t="shared" si="13"/>
        <v>14</v>
      </c>
      <c r="BO45" s="163">
        <f t="shared" si="13"/>
        <v>11</v>
      </c>
      <c r="BP45" s="163">
        <f t="shared" si="13"/>
        <v>0</v>
      </c>
      <c r="BQ45" s="163">
        <f t="shared" si="13"/>
        <v>0</v>
      </c>
      <c r="BR45" s="643">
        <f t="shared" si="13"/>
        <v>3</v>
      </c>
      <c r="BS45" s="646">
        <f t="shared" si="13"/>
        <v>27</v>
      </c>
      <c r="BT45" s="645">
        <f t="shared" si="13"/>
        <v>16</v>
      </c>
      <c r="BU45" s="163">
        <f t="shared" si="13"/>
        <v>15</v>
      </c>
      <c r="BV45" s="163">
        <f t="shared" si="13"/>
        <v>0</v>
      </c>
      <c r="BW45" s="163">
        <f t="shared" si="13"/>
        <v>1</v>
      </c>
      <c r="BX45" s="644">
        <f t="shared" si="13"/>
        <v>0</v>
      </c>
      <c r="BY45" s="645">
        <f t="shared" si="13"/>
        <v>11</v>
      </c>
      <c r="BZ45" s="163">
        <f t="shared" si="13"/>
        <v>9</v>
      </c>
      <c r="CA45" s="163">
        <f t="shared" si="13"/>
        <v>0</v>
      </c>
      <c r="CB45" s="163">
        <f t="shared" si="13"/>
        <v>0</v>
      </c>
      <c r="CC45" s="643">
        <f t="shared" si="13"/>
        <v>2</v>
      </c>
      <c r="CD45" s="646">
        <f t="shared" si="13"/>
        <v>11</v>
      </c>
      <c r="CE45" s="645">
        <f t="shared" si="13"/>
        <v>5</v>
      </c>
      <c r="CF45" s="163">
        <f t="shared" si="13"/>
        <v>4</v>
      </c>
      <c r="CG45" s="163">
        <f t="shared" si="13"/>
        <v>0</v>
      </c>
      <c r="CH45" s="163">
        <f t="shared" si="13"/>
        <v>1</v>
      </c>
      <c r="CI45" s="644">
        <f t="shared" si="13"/>
        <v>0</v>
      </c>
      <c r="CJ45" s="645">
        <f t="shared" si="13"/>
        <v>6</v>
      </c>
      <c r="CK45" s="163">
        <f t="shared" si="13"/>
        <v>4</v>
      </c>
      <c r="CL45" s="163">
        <f t="shared" si="13"/>
        <v>0</v>
      </c>
      <c r="CM45" s="163">
        <f t="shared" si="13"/>
        <v>1</v>
      </c>
      <c r="CN45" s="643">
        <f t="shared" si="13"/>
        <v>1</v>
      </c>
      <c r="CO45" s="646">
        <f t="shared" si="13"/>
        <v>3</v>
      </c>
      <c r="CP45" s="645">
        <f t="shared" si="13"/>
        <v>2</v>
      </c>
      <c r="CQ45" s="163">
        <f t="shared" si="13"/>
        <v>2</v>
      </c>
      <c r="CR45" s="163">
        <f t="shared" si="13"/>
        <v>0</v>
      </c>
      <c r="CS45" s="163">
        <f t="shared" si="13"/>
        <v>0</v>
      </c>
      <c r="CT45" s="644">
        <f t="shared" si="13"/>
        <v>0</v>
      </c>
      <c r="CU45" s="645">
        <f t="shared" si="12"/>
        <v>1</v>
      </c>
      <c r="CV45" s="163">
        <f t="shared" si="12"/>
        <v>1</v>
      </c>
      <c r="CW45" s="163">
        <f t="shared" si="12"/>
        <v>0</v>
      </c>
      <c r="CX45" s="163">
        <f t="shared" si="12"/>
        <v>0</v>
      </c>
      <c r="CY45" s="643">
        <f t="shared" si="12"/>
        <v>0</v>
      </c>
      <c r="CZ45" s="646">
        <f t="shared" si="12"/>
        <v>1</v>
      </c>
      <c r="DA45" s="645">
        <f t="shared" si="12"/>
        <v>1</v>
      </c>
      <c r="DB45" s="163">
        <f t="shared" si="12"/>
        <v>0</v>
      </c>
      <c r="DC45" s="163">
        <f t="shared" si="12"/>
        <v>0</v>
      </c>
      <c r="DD45" s="163">
        <f t="shared" si="12"/>
        <v>1</v>
      </c>
      <c r="DE45" s="644">
        <f t="shared" si="12"/>
        <v>0</v>
      </c>
      <c r="DF45" s="645">
        <f t="shared" si="12"/>
        <v>0</v>
      </c>
      <c r="DG45" s="163">
        <f t="shared" si="12"/>
        <v>0</v>
      </c>
      <c r="DH45" s="163">
        <f t="shared" si="12"/>
        <v>0</v>
      </c>
      <c r="DI45" s="163">
        <f t="shared" si="12"/>
        <v>0</v>
      </c>
      <c r="DJ45" s="643">
        <f t="shared" si="12"/>
        <v>0</v>
      </c>
      <c r="DK45" s="646">
        <f t="shared" si="12"/>
        <v>0</v>
      </c>
      <c r="DL45" s="645">
        <f t="shared" si="12"/>
        <v>0</v>
      </c>
      <c r="DM45" s="163">
        <f t="shared" si="12"/>
        <v>0</v>
      </c>
      <c r="DN45" s="163">
        <f t="shared" si="12"/>
        <v>0</v>
      </c>
      <c r="DO45" s="163">
        <f t="shared" si="12"/>
        <v>0</v>
      </c>
      <c r="DP45" s="644">
        <f t="shared" si="12"/>
        <v>0</v>
      </c>
      <c r="DQ45" s="645">
        <f t="shared" si="12"/>
        <v>0</v>
      </c>
      <c r="DR45" s="163">
        <f t="shared" si="12"/>
        <v>0</v>
      </c>
      <c r="DS45" s="163">
        <f t="shared" si="12"/>
        <v>0</v>
      </c>
      <c r="DT45" s="163">
        <f t="shared" si="12"/>
        <v>0</v>
      </c>
      <c r="DU45" s="643">
        <f t="shared" si="9"/>
        <v>0</v>
      </c>
      <c r="DW45" s="646">
        <f t="shared" si="4"/>
        <v>78</v>
      </c>
      <c r="DX45" s="645">
        <f t="shared" si="4"/>
        <v>34</v>
      </c>
      <c r="DY45" s="163">
        <f t="shared" si="4"/>
        <v>30</v>
      </c>
      <c r="DZ45" s="163">
        <f t="shared" si="4"/>
        <v>0</v>
      </c>
      <c r="EA45" s="163">
        <f t="shared" si="4"/>
        <v>4</v>
      </c>
      <c r="EB45" s="644">
        <f t="shared" si="4"/>
        <v>0</v>
      </c>
      <c r="EC45" s="645">
        <f t="shared" si="4"/>
        <v>44</v>
      </c>
      <c r="ED45" s="163">
        <f t="shared" si="4"/>
        <v>36</v>
      </c>
      <c r="EE45" s="163">
        <f t="shared" si="4"/>
        <v>0</v>
      </c>
      <c r="EF45" s="163">
        <f t="shared" ref="EF45:EG110" si="14">Y45+AJ45+BF45+BQ45+CB45+CM45+CX45+DI45+DT45</f>
        <v>2</v>
      </c>
      <c r="EG45" s="643">
        <f t="shared" si="14"/>
        <v>6</v>
      </c>
      <c r="EH45" s="646">
        <f t="shared" si="6"/>
        <v>13</v>
      </c>
      <c r="EI45" s="645">
        <f t="shared" si="6"/>
        <v>6</v>
      </c>
      <c r="EJ45" s="163">
        <f t="shared" si="6"/>
        <v>6</v>
      </c>
      <c r="EK45" s="163">
        <f t="shared" si="6"/>
        <v>0</v>
      </c>
      <c r="EL45" s="163">
        <f t="shared" si="6"/>
        <v>0</v>
      </c>
      <c r="EM45" s="644">
        <f t="shared" si="6"/>
        <v>0</v>
      </c>
      <c r="EN45" s="645">
        <f t="shared" si="6"/>
        <v>7</v>
      </c>
      <c r="EO45" s="163">
        <f t="shared" si="6"/>
        <v>6</v>
      </c>
      <c r="EP45" s="163">
        <f t="shared" si="6"/>
        <v>0</v>
      </c>
      <c r="EQ45" s="163">
        <f t="shared" si="6"/>
        <v>0</v>
      </c>
      <c r="ER45" s="643">
        <f t="shared" si="6"/>
        <v>1</v>
      </c>
    </row>
    <row r="46" spans="1:148">
      <c r="A46" s="654" t="s">
        <v>226</v>
      </c>
      <c r="B46" s="658">
        <v>42917</v>
      </c>
      <c r="C46" s="659">
        <v>2017</v>
      </c>
      <c r="D46" s="646">
        <f t="shared" si="10"/>
        <v>219632</v>
      </c>
      <c r="E46" s="646">
        <f t="shared" si="11"/>
        <v>2129</v>
      </c>
      <c r="F46" s="645">
        <f t="shared" si="7"/>
        <v>950</v>
      </c>
      <c r="G46" s="163">
        <f t="shared" si="7"/>
        <v>685</v>
      </c>
      <c r="H46" s="163">
        <f t="shared" si="7"/>
        <v>0</v>
      </c>
      <c r="I46" s="163">
        <f t="shared" si="7"/>
        <v>265</v>
      </c>
      <c r="J46" s="644">
        <f t="shared" si="7"/>
        <v>0</v>
      </c>
      <c r="K46" s="645">
        <f t="shared" si="7"/>
        <v>1179</v>
      </c>
      <c r="L46" s="163">
        <f t="shared" si="7"/>
        <v>984</v>
      </c>
      <c r="M46" s="163">
        <f t="shared" si="7"/>
        <v>0</v>
      </c>
      <c r="N46" s="163">
        <f t="shared" si="7"/>
        <v>98</v>
      </c>
      <c r="O46" s="643">
        <f t="shared" si="7"/>
        <v>97</v>
      </c>
      <c r="P46" s="646">
        <f t="shared" si="7"/>
        <v>3</v>
      </c>
      <c r="Q46" s="645">
        <f t="shared" si="7"/>
        <v>1</v>
      </c>
      <c r="R46" s="163">
        <f t="shared" si="7"/>
        <v>1</v>
      </c>
      <c r="S46" s="163">
        <f t="shared" si="7"/>
        <v>0</v>
      </c>
      <c r="T46" s="163">
        <f t="shared" si="7"/>
        <v>0</v>
      </c>
      <c r="U46" s="644">
        <f t="shared" si="7"/>
        <v>0</v>
      </c>
      <c r="V46" s="645">
        <f t="shared" si="7"/>
        <v>2</v>
      </c>
      <c r="W46" s="163">
        <f t="shared" si="7"/>
        <v>2</v>
      </c>
      <c r="X46" s="163">
        <f t="shared" si="7"/>
        <v>0</v>
      </c>
      <c r="Y46" s="163">
        <f t="shared" si="7"/>
        <v>0</v>
      </c>
      <c r="Z46" s="643">
        <f t="shared" si="7"/>
        <v>0</v>
      </c>
      <c r="AA46" s="646">
        <f t="shared" si="7"/>
        <v>4</v>
      </c>
      <c r="AB46" s="645">
        <f t="shared" si="7"/>
        <v>2</v>
      </c>
      <c r="AC46" s="163">
        <f t="shared" si="7"/>
        <v>2</v>
      </c>
      <c r="AD46" s="163">
        <f t="shared" si="7"/>
        <v>0</v>
      </c>
      <c r="AE46" s="163">
        <f t="shared" si="7"/>
        <v>0</v>
      </c>
      <c r="AF46" s="644">
        <f t="shared" si="7"/>
        <v>0</v>
      </c>
      <c r="AG46" s="645">
        <f t="shared" si="7"/>
        <v>2</v>
      </c>
      <c r="AH46" s="163">
        <f t="shared" si="7"/>
        <v>2</v>
      </c>
      <c r="AI46" s="163">
        <f t="shared" si="13"/>
        <v>0</v>
      </c>
      <c r="AJ46" s="163">
        <f t="shared" si="13"/>
        <v>0</v>
      </c>
      <c r="AK46" s="643">
        <f t="shared" si="13"/>
        <v>0</v>
      </c>
      <c r="AL46" s="646">
        <f t="shared" si="13"/>
        <v>20</v>
      </c>
      <c r="AM46" s="645">
        <f t="shared" si="13"/>
        <v>9</v>
      </c>
      <c r="AN46" s="163">
        <f t="shared" si="13"/>
        <v>5</v>
      </c>
      <c r="AO46" s="163">
        <f t="shared" si="13"/>
        <v>0</v>
      </c>
      <c r="AP46" s="163">
        <f t="shared" si="13"/>
        <v>4</v>
      </c>
      <c r="AQ46" s="644">
        <f t="shared" si="13"/>
        <v>0</v>
      </c>
      <c r="AR46" s="645">
        <f t="shared" si="13"/>
        <v>11</v>
      </c>
      <c r="AS46" s="163">
        <f t="shared" si="13"/>
        <v>9</v>
      </c>
      <c r="AT46" s="163">
        <f t="shared" si="13"/>
        <v>0</v>
      </c>
      <c r="AU46" s="163">
        <f t="shared" si="13"/>
        <v>1</v>
      </c>
      <c r="AV46" s="643">
        <f t="shared" si="13"/>
        <v>1</v>
      </c>
      <c r="AW46" s="646">
        <f t="shared" si="13"/>
        <v>8</v>
      </c>
      <c r="AX46" s="645">
        <f t="shared" si="13"/>
        <v>3</v>
      </c>
      <c r="AY46" s="163">
        <f t="shared" si="13"/>
        <v>2</v>
      </c>
      <c r="AZ46" s="163">
        <f t="shared" si="13"/>
        <v>0</v>
      </c>
      <c r="BA46" s="163">
        <f t="shared" si="13"/>
        <v>1</v>
      </c>
      <c r="BB46" s="644">
        <f t="shared" si="13"/>
        <v>0</v>
      </c>
      <c r="BC46" s="645">
        <f t="shared" si="13"/>
        <v>5</v>
      </c>
      <c r="BD46" s="163">
        <f t="shared" si="13"/>
        <v>4</v>
      </c>
      <c r="BE46" s="163">
        <f t="shared" si="13"/>
        <v>0</v>
      </c>
      <c r="BF46" s="163">
        <f t="shared" si="13"/>
        <v>0</v>
      </c>
      <c r="BG46" s="643">
        <f t="shared" si="13"/>
        <v>1</v>
      </c>
      <c r="BH46" s="646">
        <f t="shared" si="13"/>
        <v>12</v>
      </c>
      <c r="BI46" s="645">
        <f t="shared" si="13"/>
        <v>9</v>
      </c>
      <c r="BJ46" s="163">
        <f t="shared" si="13"/>
        <v>9</v>
      </c>
      <c r="BK46" s="163">
        <f t="shared" si="13"/>
        <v>0</v>
      </c>
      <c r="BL46" s="163">
        <f t="shared" si="13"/>
        <v>0</v>
      </c>
      <c r="BM46" s="644">
        <f t="shared" si="13"/>
        <v>0</v>
      </c>
      <c r="BN46" s="645">
        <f t="shared" si="13"/>
        <v>3</v>
      </c>
      <c r="BO46" s="163">
        <f t="shared" si="13"/>
        <v>3</v>
      </c>
      <c r="BP46" s="163">
        <f t="shared" si="13"/>
        <v>0</v>
      </c>
      <c r="BQ46" s="163">
        <f t="shared" si="13"/>
        <v>0</v>
      </c>
      <c r="BR46" s="643">
        <f t="shared" si="13"/>
        <v>0</v>
      </c>
      <c r="BS46" s="646">
        <f t="shared" si="13"/>
        <v>16</v>
      </c>
      <c r="BT46" s="645">
        <f t="shared" si="13"/>
        <v>8</v>
      </c>
      <c r="BU46" s="163">
        <f t="shared" si="13"/>
        <v>7</v>
      </c>
      <c r="BV46" s="163">
        <f t="shared" si="13"/>
        <v>0</v>
      </c>
      <c r="BW46" s="163">
        <f t="shared" si="13"/>
        <v>1</v>
      </c>
      <c r="BX46" s="644">
        <f t="shared" si="13"/>
        <v>0</v>
      </c>
      <c r="BY46" s="645">
        <f t="shared" si="13"/>
        <v>8</v>
      </c>
      <c r="BZ46" s="163">
        <f t="shared" si="13"/>
        <v>7</v>
      </c>
      <c r="CA46" s="163">
        <f t="shared" si="13"/>
        <v>0</v>
      </c>
      <c r="CB46" s="163">
        <f t="shared" si="13"/>
        <v>1</v>
      </c>
      <c r="CC46" s="643">
        <f t="shared" si="13"/>
        <v>0</v>
      </c>
      <c r="CD46" s="646">
        <f t="shared" si="13"/>
        <v>7</v>
      </c>
      <c r="CE46" s="645">
        <f t="shared" si="13"/>
        <v>4</v>
      </c>
      <c r="CF46" s="163">
        <f t="shared" si="13"/>
        <v>2</v>
      </c>
      <c r="CG46" s="163">
        <f t="shared" si="13"/>
        <v>0</v>
      </c>
      <c r="CH46" s="163">
        <f t="shared" si="13"/>
        <v>2</v>
      </c>
      <c r="CI46" s="644">
        <f t="shared" si="13"/>
        <v>0</v>
      </c>
      <c r="CJ46" s="645">
        <f t="shared" si="13"/>
        <v>3</v>
      </c>
      <c r="CK46" s="163">
        <f t="shared" si="13"/>
        <v>3</v>
      </c>
      <c r="CL46" s="163">
        <f t="shared" si="13"/>
        <v>0</v>
      </c>
      <c r="CM46" s="163">
        <f t="shared" si="13"/>
        <v>0</v>
      </c>
      <c r="CN46" s="643">
        <f t="shared" si="13"/>
        <v>0</v>
      </c>
      <c r="CO46" s="646">
        <f t="shared" si="13"/>
        <v>2</v>
      </c>
      <c r="CP46" s="645">
        <f t="shared" si="13"/>
        <v>1</v>
      </c>
      <c r="CQ46" s="163">
        <f t="shared" si="13"/>
        <v>1</v>
      </c>
      <c r="CR46" s="163">
        <f t="shared" si="13"/>
        <v>0</v>
      </c>
      <c r="CS46" s="163">
        <f t="shared" si="13"/>
        <v>0</v>
      </c>
      <c r="CT46" s="644">
        <f t="shared" si="13"/>
        <v>0</v>
      </c>
      <c r="CU46" s="645">
        <f t="shared" si="12"/>
        <v>1</v>
      </c>
      <c r="CV46" s="163">
        <f t="shared" si="12"/>
        <v>1</v>
      </c>
      <c r="CW46" s="163">
        <f t="shared" si="12"/>
        <v>0</v>
      </c>
      <c r="CX46" s="163">
        <f t="shared" si="12"/>
        <v>0</v>
      </c>
      <c r="CY46" s="643">
        <f t="shared" si="12"/>
        <v>0</v>
      </c>
      <c r="CZ46" s="646">
        <f t="shared" si="12"/>
        <v>0</v>
      </c>
      <c r="DA46" s="645">
        <f t="shared" si="12"/>
        <v>0</v>
      </c>
      <c r="DB46" s="163">
        <f t="shared" si="12"/>
        <v>0</v>
      </c>
      <c r="DC46" s="163">
        <f t="shared" si="12"/>
        <v>0</v>
      </c>
      <c r="DD46" s="163">
        <f t="shared" si="12"/>
        <v>0</v>
      </c>
      <c r="DE46" s="644">
        <f t="shared" si="12"/>
        <v>0</v>
      </c>
      <c r="DF46" s="645">
        <f t="shared" si="12"/>
        <v>0</v>
      </c>
      <c r="DG46" s="163">
        <f t="shared" si="12"/>
        <v>0</v>
      </c>
      <c r="DH46" s="163">
        <f t="shared" si="12"/>
        <v>0</v>
      </c>
      <c r="DI46" s="163">
        <f t="shared" si="12"/>
        <v>0</v>
      </c>
      <c r="DJ46" s="643">
        <f t="shared" si="12"/>
        <v>0</v>
      </c>
      <c r="DK46" s="646">
        <f t="shared" si="12"/>
        <v>0</v>
      </c>
      <c r="DL46" s="645">
        <f t="shared" si="12"/>
        <v>0</v>
      </c>
      <c r="DM46" s="163">
        <f t="shared" si="12"/>
        <v>0</v>
      </c>
      <c r="DN46" s="163">
        <f t="shared" si="12"/>
        <v>0</v>
      </c>
      <c r="DO46" s="163">
        <f t="shared" si="12"/>
        <v>0</v>
      </c>
      <c r="DP46" s="644">
        <f t="shared" si="12"/>
        <v>0</v>
      </c>
      <c r="DQ46" s="645">
        <f t="shared" si="12"/>
        <v>0</v>
      </c>
      <c r="DR46" s="163">
        <f t="shared" si="12"/>
        <v>0</v>
      </c>
      <c r="DS46" s="163">
        <f t="shared" si="12"/>
        <v>0</v>
      </c>
      <c r="DT46" s="163">
        <f t="shared" si="12"/>
        <v>0</v>
      </c>
      <c r="DU46" s="643">
        <f t="shared" si="9"/>
        <v>0</v>
      </c>
      <c r="DW46" s="646">
        <f t="shared" ref="DW46:EE74" si="15">P46+AA46+AW46+BH46+BS46+CD46+CO46+CZ46+DK46</f>
        <v>52</v>
      </c>
      <c r="DX46" s="645">
        <f t="shared" si="15"/>
        <v>28</v>
      </c>
      <c r="DY46" s="163">
        <f t="shared" si="15"/>
        <v>24</v>
      </c>
      <c r="DZ46" s="163">
        <f t="shared" si="15"/>
        <v>0</v>
      </c>
      <c r="EA46" s="163">
        <f t="shared" si="15"/>
        <v>4</v>
      </c>
      <c r="EB46" s="644">
        <f t="shared" si="15"/>
        <v>0</v>
      </c>
      <c r="EC46" s="645">
        <f t="shared" si="15"/>
        <v>24</v>
      </c>
      <c r="ED46" s="163">
        <f t="shared" si="15"/>
        <v>22</v>
      </c>
      <c r="EE46" s="163">
        <f t="shared" si="15"/>
        <v>0</v>
      </c>
      <c r="EF46" s="163">
        <f t="shared" si="14"/>
        <v>1</v>
      </c>
      <c r="EG46" s="643">
        <f t="shared" si="14"/>
        <v>1</v>
      </c>
      <c r="EH46" s="646">
        <f t="shared" si="6"/>
        <v>20</v>
      </c>
      <c r="EI46" s="645">
        <f t="shared" si="6"/>
        <v>9</v>
      </c>
      <c r="EJ46" s="163">
        <f t="shared" si="6"/>
        <v>5</v>
      </c>
      <c r="EK46" s="163">
        <f t="shared" si="6"/>
        <v>0</v>
      </c>
      <c r="EL46" s="163">
        <f t="shared" si="6"/>
        <v>4</v>
      </c>
      <c r="EM46" s="644">
        <f t="shared" si="6"/>
        <v>0</v>
      </c>
      <c r="EN46" s="645">
        <f t="shared" si="6"/>
        <v>11</v>
      </c>
      <c r="EO46" s="163">
        <f t="shared" si="6"/>
        <v>9</v>
      </c>
      <c r="EP46" s="163">
        <f t="shared" si="6"/>
        <v>0</v>
      </c>
      <c r="EQ46" s="163">
        <f t="shared" si="6"/>
        <v>1</v>
      </c>
      <c r="ER46" s="643">
        <f t="shared" si="6"/>
        <v>1</v>
      </c>
    </row>
    <row r="47" spans="1:148">
      <c r="A47" s="654" t="s">
        <v>226</v>
      </c>
      <c r="B47" s="658">
        <v>42948</v>
      </c>
      <c r="C47" s="659">
        <v>2017</v>
      </c>
      <c r="D47" s="646">
        <f t="shared" si="10"/>
        <v>219632</v>
      </c>
      <c r="E47" s="646">
        <f t="shared" si="11"/>
        <v>2129</v>
      </c>
      <c r="F47" s="645">
        <f t="shared" si="7"/>
        <v>950</v>
      </c>
      <c r="G47" s="163">
        <f t="shared" si="7"/>
        <v>685</v>
      </c>
      <c r="H47" s="163">
        <f t="shared" si="7"/>
        <v>0</v>
      </c>
      <c r="I47" s="163">
        <f t="shared" si="7"/>
        <v>265</v>
      </c>
      <c r="J47" s="644">
        <f t="shared" si="7"/>
        <v>0</v>
      </c>
      <c r="K47" s="645">
        <f t="shared" si="7"/>
        <v>1179</v>
      </c>
      <c r="L47" s="163">
        <f t="shared" si="7"/>
        <v>984</v>
      </c>
      <c r="M47" s="163">
        <f t="shared" si="7"/>
        <v>0</v>
      </c>
      <c r="N47" s="163">
        <f t="shared" si="7"/>
        <v>98</v>
      </c>
      <c r="O47" s="643">
        <f t="shared" si="7"/>
        <v>97</v>
      </c>
      <c r="P47" s="646">
        <f t="shared" si="7"/>
        <v>3</v>
      </c>
      <c r="Q47" s="645">
        <f t="shared" si="7"/>
        <v>1</v>
      </c>
      <c r="R47" s="163">
        <f t="shared" si="7"/>
        <v>1</v>
      </c>
      <c r="S47" s="163">
        <f t="shared" si="7"/>
        <v>0</v>
      </c>
      <c r="T47" s="163">
        <f t="shared" si="7"/>
        <v>0</v>
      </c>
      <c r="U47" s="644">
        <f t="shared" si="7"/>
        <v>0</v>
      </c>
      <c r="V47" s="645">
        <f t="shared" si="7"/>
        <v>2</v>
      </c>
      <c r="W47" s="163">
        <f t="shared" si="7"/>
        <v>2</v>
      </c>
      <c r="X47" s="163">
        <f t="shared" si="7"/>
        <v>0</v>
      </c>
      <c r="Y47" s="163">
        <f t="shared" si="7"/>
        <v>0</v>
      </c>
      <c r="Z47" s="643">
        <f t="shared" si="7"/>
        <v>0</v>
      </c>
      <c r="AA47" s="646">
        <f t="shared" si="7"/>
        <v>4</v>
      </c>
      <c r="AB47" s="645">
        <f t="shared" si="7"/>
        <v>2</v>
      </c>
      <c r="AC47" s="163">
        <f t="shared" si="7"/>
        <v>2</v>
      </c>
      <c r="AD47" s="163">
        <f t="shared" si="7"/>
        <v>0</v>
      </c>
      <c r="AE47" s="163">
        <f t="shared" si="7"/>
        <v>0</v>
      </c>
      <c r="AF47" s="644">
        <f t="shared" si="7"/>
        <v>0</v>
      </c>
      <c r="AG47" s="645">
        <f t="shared" si="7"/>
        <v>2</v>
      </c>
      <c r="AH47" s="163">
        <f t="shared" si="7"/>
        <v>2</v>
      </c>
      <c r="AI47" s="163">
        <f t="shared" si="13"/>
        <v>0</v>
      </c>
      <c r="AJ47" s="163">
        <f t="shared" si="13"/>
        <v>0</v>
      </c>
      <c r="AK47" s="643">
        <f t="shared" si="13"/>
        <v>0</v>
      </c>
      <c r="AL47" s="646">
        <f t="shared" si="13"/>
        <v>20</v>
      </c>
      <c r="AM47" s="645">
        <f t="shared" si="13"/>
        <v>9</v>
      </c>
      <c r="AN47" s="163">
        <f t="shared" si="13"/>
        <v>5</v>
      </c>
      <c r="AO47" s="163">
        <f t="shared" si="13"/>
        <v>0</v>
      </c>
      <c r="AP47" s="163">
        <f t="shared" si="13"/>
        <v>4</v>
      </c>
      <c r="AQ47" s="644">
        <f t="shared" si="13"/>
        <v>0</v>
      </c>
      <c r="AR47" s="645">
        <f t="shared" si="13"/>
        <v>11</v>
      </c>
      <c r="AS47" s="163">
        <f t="shared" si="13"/>
        <v>9</v>
      </c>
      <c r="AT47" s="163">
        <f t="shared" si="13"/>
        <v>0</v>
      </c>
      <c r="AU47" s="163">
        <f t="shared" si="13"/>
        <v>1</v>
      </c>
      <c r="AV47" s="643">
        <f t="shared" si="13"/>
        <v>1</v>
      </c>
      <c r="AW47" s="646">
        <f t="shared" si="13"/>
        <v>8</v>
      </c>
      <c r="AX47" s="645">
        <f t="shared" si="13"/>
        <v>3</v>
      </c>
      <c r="AY47" s="163">
        <f t="shared" si="13"/>
        <v>2</v>
      </c>
      <c r="AZ47" s="163">
        <f t="shared" si="13"/>
        <v>0</v>
      </c>
      <c r="BA47" s="163">
        <f t="shared" si="13"/>
        <v>1</v>
      </c>
      <c r="BB47" s="644">
        <f t="shared" si="13"/>
        <v>0</v>
      </c>
      <c r="BC47" s="645">
        <f t="shared" si="13"/>
        <v>5</v>
      </c>
      <c r="BD47" s="163">
        <f t="shared" si="13"/>
        <v>4</v>
      </c>
      <c r="BE47" s="163">
        <f t="shared" si="13"/>
        <v>0</v>
      </c>
      <c r="BF47" s="163">
        <f t="shared" si="13"/>
        <v>0</v>
      </c>
      <c r="BG47" s="643">
        <f t="shared" si="13"/>
        <v>1</v>
      </c>
      <c r="BH47" s="646">
        <f t="shared" si="13"/>
        <v>12</v>
      </c>
      <c r="BI47" s="645">
        <f t="shared" si="13"/>
        <v>9</v>
      </c>
      <c r="BJ47" s="163">
        <f t="shared" si="13"/>
        <v>9</v>
      </c>
      <c r="BK47" s="163">
        <f t="shared" si="13"/>
        <v>0</v>
      </c>
      <c r="BL47" s="163">
        <f t="shared" si="13"/>
        <v>0</v>
      </c>
      <c r="BM47" s="644">
        <f t="shared" si="13"/>
        <v>0</v>
      </c>
      <c r="BN47" s="645">
        <f t="shared" si="13"/>
        <v>3</v>
      </c>
      <c r="BO47" s="163">
        <f t="shared" si="13"/>
        <v>3</v>
      </c>
      <c r="BP47" s="163">
        <f t="shared" si="13"/>
        <v>0</v>
      </c>
      <c r="BQ47" s="163">
        <f t="shared" si="13"/>
        <v>0</v>
      </c>
      <c r="BR47" s="643">
        <f t="shared" si="13"/>
        <v>0</v>
      </c>
      <c r="BS47" s="646">
        <f t="shared" si="13"/>
        <v>16</v>
      </c>
      <c r="BT47" s="645">
        <f t="shared" si="13"/>
        <v>8</v>
      </c>
      <c r="BU47" s="163">
        <f t="shared" si="13"/>
        <v>7</v>
      </c>
      <c r="BV47" s="163">
        <f t="shared" si="13"/>
        <v>0</v>
      </c>
      <c r="BW47" s="163">
        <f t="shared" si="13"/>
        <v>1</v>
      </c>
      <c r="BX47" s="644">
        <f t="shared" si="13"/>
        <v>0</v>
      </c>
      <c r="BY47" s="645">
        <f t="shared" si="13"/>
        <v>8</v>
      </c>
      <c r="BZ47" s="163">
        <f t="shared" si="13"/>
        <v>7</v>
      </c>
      <c r="CA47" s="163">
        <f t="shared" si="13"/>
        <v>0</v>
      </c>
      <c r="CB47" s="163">
        <f t="shared" si="13"/>
        <v>1</v>
      </c>
      <c r="CC47" s="643">
        <f t="shared" si="13"/>
        <v>0</v>
      </c>
      <c r="CD47" s="646">
        <f t="shared" si="13"/>
        <v>7</v>
      </c>
      <c r="CE47" s="645">
        <f t="shared" si="13"/>
        <v>4</v>
      </c>
      <c r="CF47" s="163">
        <f t="shared" si="13"/>
        <v>2</v>
      </c>
      <c r="CG47" s="163">
        <f t="shared" si="13"/>
        <v>0</v>
      </c>
      <c r="CH47" s="163">
        <f t="shared" si="13"/>
        <v>2</v>
      </c>
      <c r="CI47" s="644">
        <f t="shared" si="13"/>
        <v>0</v>
      </c>
      <c r="CJ47" s="645">
        <f t="shared" si="13"/>
        <v>3</v>
      </c>
      <c r="CK47" s="163">
        <f t="shared" si="13"/>
        <v>3</v>
      </c>
      <c r="CL47" s="163">
        <f t="shared" si="13"/>
        <v>0</v>
      </c>
      <c r="CM47" s="163">
        <f t="shared" si="13"/>
        <v>0</v>
      </c>
      <c r="CN47" s="643">
        <f t="shared" si="13"/>
        <v>0</v>
      </c>
      <c r="CO47" s="646">
        <f t="shared" si="13"/>
        <v>2</v>
      </c>
      <c r="CP47" s="645">
        <f t="shared" si="13"/>
        <v>1</v>
      </c>
      <c r="CQ47" s="163">
        <f t="shared" si="13"/>
        <v>1</v>
      </c>
      <c r="CR47" s="163">
        <f t="shared" si="13"/>
        <v>0</v>
      </c>
      <c r="CS47" s="163">
        <f t="shared" si="13"/>
        <v>0</v>
      </c>
      <c r="CT47" s="644">
        <f t="shared" ref="CT47:DT50" si="16">SUMIFS(CT$5:CT$36,$B$5:$B$36,$A47)</f>
        <v>0</v>
      </c>
      <c r="CU47" s="645">
        <f t="shared" si="16"/>
        <v>1</v>
      </c>
      <c r="CV47" s="163">
        <f t="shared" si="16"/>
        <v>1</v>
      </c>
      <c r="CW47" s="163">
        <f t="shared" si="16"/>
        <v>0</v>
      </c>
      <c r="CX47" s="163">
        <f t="shared" si="16"/>
        <v>0</v>
      </c>
      <c r="CY47" s="643">
        <f t="shared" si="16"/>
        <v>0</v>
      </c>
      <c r="CZ47" s="646">
        <f t="shared" si="16"/>
        <v>0</v>
      </c>
      <c r="DA47" s="645">
        <f t="shared" si="16"/>
        <v>0</v>
      </c>
      <c r="DB47" s="163">
        <f t="shared" si="16"/>
        <v>0</v>
      </c>
      <c r="DC47" s="163">
        <f t="shared" si="16"/>
        <v>0</v>
      </c>
      <c r="DD47" s="163">
        <f t="shared" si="16"/>
        <v>0</v>
      </c>
      <c r="DE47" s="644">
        <f t="shared" si="16"/>
        <v>0</v>
      </c>
      <c r="DF47" s="645">
        <f t="shared" si="16"/>
        <v>0</v>
      </c>
      <c r="DG47" s="163">
        <f t="shared" si="16"/>
        <v>0</v>
      </c>
      <c r="DH47" s="163">
        <f t="shared" si="16"/>
        <v>0</v>
      </c>
      <c r="DI47" s="163">
        <f t="shared" si="16"/>
        <v>0</v>
      </c>
      <c r="DJ47" s="643">
        <f t="shared" si="16"/>
        <v>0</v>
      </c>
      <c r="DK47" s="646">
        <f t="shared" si="16"/>
        <v>0</v>
      </c>
      <c r="DL47" s="645">
        <f t="shared" si="16"/>
        <v>0</v>
      </c>
      <c r="DM47" s="163">
        <f t="shared" si="16"/>
        <v>0</v>
      </c>
      <c r="DN47" s="163">
        <f t="shared" si="16"/>
        <v>0</v>
      </c>
      <c r="DO47" s="163">
        <f t="shared" si="16"/>
        <v>0</v>
      </c>
      <c r="DP47" s="644">
        <f t="shared" si="16"/>
        <v>0</v>
      </c>
      <c r="DQ47" s="645">
        <f t="shared" si="16"/>
        <v>0</v>
      </c>
      <c r="DR47" s="163">
        <f t="shared" si="16"/>
        <v>0</v>
      </c>
      <c r="DS47" s="163">
        <f t="shared" si="16"/>
        <v>0</v>
      </c>
      <c r="DT47" s="163">
        <f t="shared" si="16"/>
        <v>0</v>
      </c>
      <c r="DU47" s="643">
        <f t="shared" si="9"/>
        <v>0</v>
      </c>
      <c r="DW47" s="646">
        <f t="shared" si="15"/>
        <v>52</v>
      </c>
      <c r="DX47" s="645">
        <f t="shared" si="15"/>
        <v>28</v>
      </c>
      <c r="DY47" s="163">
        <f t="shared" si="15"/>
        <v>24</v>
      </c>
      <c r="DZ47" s="163">
        <f t="shared" si="15"/>
        <v>0</v>
      </c>
      <c r="EA47" s="163">
        <f t="shared" si="15"/>
        <v>4</v>
      </c>
      <c r="EB47" s="644">
        <f t="shared" si="15"/>
        <v>0</v>
      </c>
      <c r="EC47" s="645">
        <f t="shared" si="15"/>
        <v>24</v>
      </c>
      <c r="ED47" s="163">
        <f t="shared" si="15"/>
        <v>22</v>
      </c>
      <c r="EE47" s="163">
        <f t="shared" si="15"/>
        <v>0</v>
      </c>
      <c r="EF47" s="163">
        <f t="shared" si="14"/>
        <v>1</v>
      </c>
      <c r="EG47" s="643">
        <f t="shared" si="14"/>
        <v>1</v>
      </c>
      <c r="EH47" s="646">
        <f t="shared" si="6"/>
        <v>20</v>
      </c>
      <c r="EI47" s="645">
        <f t="shared" si="6"/>
        <v>9</v>
      </c>
      <c r="EJ47" s="163">
        <f t="shared" si="6"/>
        <v>5</v>
      </c>
      <c r="EK47" s="163">
        <f t="shared" si="6"/>
        <v>0</v>
      </c>
      <c r="EL47" s="163">
        <f t="shared" si="6"/>
        <v>4</v>
      </c>
      <c r="EM47" s="644">
        <f t="shared" si="6"/>
        <v>0</v>
      </c>
      <c r="EN47" s="645">
        <f t="shared" si="6"/>
        <v>11</v>
      </c>
      <c r="EO47" s="163">
        <f t="shared" si="6"/>
        <v>9</v>
      </c>
      <c r="EP47" s="163">
        <f t="shared" si="6"/>
        <v>0</v>
      </c>
      <c r="EQ47" s="163">
        <f t="shared" si="6"/>
        <v>1</v>
      </c>
      <c r="ER47" s="643">
        <f t="shared" si="6"/>
        <v>1</v>
      </c>
    </row>
    <row r="48" spans="1:148">
      <c r="A48" s="654" t="s">
        <v>226</v>
      </c>
      <c r="B48" s="658">
        <v>42979</v>
      </c>
      <c r="C48" s="659">
        <v>2017</v>
      </c>
      <c r="D48" s="646">
        <f t="shared" si="10"/>
        <v>219632</v>
      </c>
      <c r="E48" s="646">
        <f t="shared" si="11"/>
        <v>2129</v>
      </c>
      <c r="F48" s="645">
        <f t="shared" si="7"/>
        <v>950</v>
      </c>
      <c r="G48" s="163">
        <f t="shared" si="7"/>
        <v>685</v>
      </c>
      <c r="H48" s="163">
        <f t="shared" si="7"/>
        <v>0</v>
      </c>
      <c r="I48" s="163">
        <f t="shared" si="7"/>
        <v>265</v>
      </c>
      <c r="J48" s="644">
        <f t="shared" si="7"/>
        <v>0</v>
      </c>
      <c r="K48" s="645">
        <f t="shared" si="7"/>
        <v>1179</v>
      </c>
      <c r="L48" s="163">
        <f t="shared" si="7"/>
        <v>984</v>
      </c>
      <c r="M48" s="163">
        <f t="shared" si="7"/>
        <v>0</v>
      </c>
      <c r="N48" s="163">
        <f t="shared" si="7"/>
        <v>98</v>
      </c>
      <c r="O48" s="643">
        <f t="shared" si="7"/>
        <v>97</v>
      </c>
      <c r="P48" s="646">
        <f t="shared" si="7"/>
        <v>3</v>
      </c>
      <c r="Q48" s="645">
        <f t="shared" si="7"/>
        <v>1</v>
      </c>
      <c r="R48" s="163">
        <f t="shared" si="7"/>
        <v>1</v>
      </c>
      <c r="S48" s="163">
        <f t="shared" si="7"/>
        <v>0</v>
      </c>
      <c r="T48" s="163">
        <f t="shared" si="7"/>
        <v>0</v>
      </c>
      <c r="U48" s="644">
        <f t="shared" si="7"/>
        <v>0</v>
      </c>
      <c r="V48" s="645">
        <f t="shared" si="7"/>
        <v>2</v>
      </c>
      <c r="W48" s="163">
        <f t="shared" si="7"/>
        <v>2</v>
      </c>
      <c r="X48" s="163">
        <f t="shared" si="7"/>
        <v>0</v>
      </c>
      <c r="Y48" s="163">
        <f t="shared" si="7"/>
        <v>0</v>
      </c>
      <c r="Z48" s="643">
        <f t="shared" si="7"/>
        <v>0</v>
      </c>
      <c r="AA48" s="646">
        <f t="shared" si="7"/>
        <v>4</v>
      </c>
      <c r="AB48" s="645">
        <f t="shared" si="7"/>
        <v>2</v>
      </c>
      <c r="AC48" s="163">
        <f t="shared" si="7"/>
        <v>2</v>
      </c>
      <c r="AD48" s="163">
        <f t="shared" si="7"/>
        <v>0</v>
      </c>
      <c r="AE48" s="163">
        <f t="shared" si="7"/>
        <v>0</v>
      </c>
      <c r="AF48" s="644">
        <f t="shared" si="7"/>
        <v>0</v>
      </c>
      <c r="AG48" s="645">
        <f t="shared" si="7"/>
        <v>2</v>
      </c>
      <c r="AH48" s="163">
        <f t="shared" si="7"/>
        <v>2</v>
      </c>
      <c r="AI48" s="163">
        <f t="shared" ref="AI48:CT51" si="17">SUMIFS(AI$5:AI$36,$B$5:$B$36,$A48)</f>
        <v>0</v>
      </c>
      <c r="AJ48" s="163">
        <f t="shared" si="17"/>
        <v>0</v>
      </c>
      <c r="AK48" s="643">
        <f t="shared" si="17"/>
        <v>0</v>
      </c>
      <c r="AL48" s="646">
        <f t="shared" si="17"/>
        <v>20</v>
      </c>
      <c r="AM48" s="645">
        <f t="shared" si="17"/>
        <v>9</v>
      </c>
      <c r="AN48" s="163">
        <f t="shared" si="17"/>
        <v>5</v>
      </c>
      <c r="AO48" s="163">
        <f t="shared" si="17"/>
        <v>0</v>
      </c>
      <c r="AP48" s="163">
        <f t="shared" si="17"/>
        <v>4</v>
      </c>
      <c r="AQ48" s="644">
        <f t="shared" si="17"/>
        <v>0</v>
      </c>
      <c r="AR48" s="645">
        <f t="shared" si="17"/>
        <v>11</v>
      </c>
      <c r="AS48" s="163">
        <f t="shared" si="17"/>
        <v>9</v>
      </c>
      <c r="AT48" s="163">
        <f t="shared" si="17"/>
        <v>0</v>
      </c>
      <c r="AU48" s="163">
        <f t="shared" si="17"/>
        <v>1</v>
      </c>
      <c r="AV48" s="643">
        <f t="shared" si="17"/>
        <v>1</v>
      </c>
      <c r="AW48" s="646">
        <f t="shared" si="17"/>
        <v>8</v>
      </c>
      <c r="AX48" s="645">
        <f t="shared" si="17"/>
        <v>3</v>
      </c>
      <c r="AY48" s="163">
        <f t="shared" si="17"/>
        <v>2</v>
      </c>
      <c r="AZ48" s="163">
        <f t="shared" si="17"/>
        <v>0</v>
      </c>
      <c r="BA48" s="163">
        <f t="shared" si="17"/>
        <v>1</v>
      </c>
      <c r="BB48" s="644">
        <f t="shared" si="17"/>
        <v>0</v>
      </c>
      <c r="BC48" s="645">
        <f t="shared" si="17"/>
        <v>5</v>
      </c>
      <c r="BD48" s="163">
        <f t="shared" si="17"/>
        <v>4</v>
      </c>
      <c r="BE48" s="163">
        <f t="shared" si="17"/>
        <v>0</v>
      </c>
      <c r="BF48" s="163">
        <f t="shared" si="17"/>
        <v>0</v>
      </c>
      <c r="BG48" s="643">
        <f t="shared" si="17"/>
        <v>1</v>
      </c>
      <c r="BH48" s="646">
        <f t="shared" si="17"/>
        <v>12</v>
      </c>
      <c r="BI48" s="645">
        <f t="shared" si="17"/>
        <v>9</v>
      </c>
      <c r="BJ48" s="163">
        <f t="shared" si="17"/>
        <v>9</v>
      </c>
      <c r="BK48" s="163">
        <f t="shared" si="17"/>
        <v>0</v>
      </c>
      <c r="BL48" s="163">
        <f t="shared" si="17"/>
        <v>0</v>
      </c>
      <c r="BM48" s="644">
        <f t="shared" si="17"/>
        <v>0</v>
      </c>
      <c r="BN48" s="645">
        <f t="shared" si="17"/>
        <v>3</v>
      </c>
      <c r="BO48" s="163">
        <f t="shared" si="17"/>
        <v>3</v>
      </c>
      <c r="BP48" s="163">
        <f t="shared" si="17"/>
        <v>0</v>
      </c>
      <c r="BQ48" s="163">
        <f t="shared" si="17"/>
        <v>0</v>
      </c>
      <c r="BR48" s="643">
        <f t="shared" si="17"/>
        <v>0</v>
      </c>
      <c r="BS48" s="646">
        <f t="shared" si="17"/>
        <v>16</v>
      </c>
      <c r="BT48" s="645">
        <f t="shared" si="17"/>
        <v>8</v>
      </c>
      <c r="BU48" s="163">
        <f t="shared" si="17"/>
        <v>7</v>
      </c>
      <c r="BV48" s="163">
        <f t="shared" si="17"/>
        <v>0</v>
      </c>
      <c r="BW48" s="163">
        <f t="shared" si="17"/>
        <v>1</v>
      </c>
      <c r="BX48" s="644">
        <f t="shared" si="17"/>
        <v>0</v>
      </c>
      <c r="BY48" s="645">
        <f t="shared" si="17"/>
        <v>8</v>
      </c>
      <c r="BZ48" s="163">
        <f t="shared" si="17"/>
        <v>7</v>
      </c>
      <c r="CA48" s="163">
        <f t="shared" si="17"/>
        <v>0</v>
      </c>
      <c r="CB48" s="163">
        <f t="shared" si="17"/>
        <v>1</v>
      </c>
      <c r="CC48" s="643">
        <f t="shared" si="17"/>
        <v>0</v>
      </c>
      <c r="CD48" s="646">
        <f t="shared" si="17"/>
        <v>7</v>
      </c>
      <c r="CE48" s="645">
        <f t="shared" si="17"/>
        <v>4</v>
      </c>
      <c r="CF48" s="163">
        <f t="shared" si="17"/>
        <v>2</v>
      </c>
      <c r="CG48" s="163">
        <f t="shared" si="17"/>
        <v>0</v>
      </c>
      <c r="CH48" s="163">
        <f t="shared" si="17"/>
        <v>2</v>
      </c>
      <c r="CI48" s="644">
        <f t="shared" si="17"/>
        <v>0</v>
      </c>
      <c r="CJ48" s="645">
        <f t="shared" si="17"/>
        <v>3</v>
      </c>
      <c r="CK48" s="163">
        <f t="shared" si="17"/>
        <v>3</v>
      </c>
      <c r="CL48" s="163">
        <f t="shared" si="17"/>
        <v>0</v>
      </c>
      <c r="CM48" s="163">
        <f t="shared" si="17"/>
        <v>0</v>
      </c>
      <c r="CN48" s="643">
        <f t="shared" si="17"/>
        <v>0</v>
      </c>
      <c r="CO48" s="646">
        <f t="shared" si="17"/>
        <v>2</v>
      </c>
      <c r="CP48" s="645">
        <f t="shared" si="17"/>
        <v>1</v>
      </c>
      <c r="CQ48" s="163">
        <f t="shared" si="17"/>
        <v>1</v>
      </c>
      <c r="CR48" s="163">
        <f t="shared" si="17"/>
        <v>0</v>
      </c>
      <c r="CS48" s="163">
        <f t="shared" si="17"/>
        <v>0</v>
      </c>
      <c r="CT48" s="644">
        <f t="shared" si="17"/>
        <v>0</v>
      </c>
      <c r="CU48" s="645">
        <f t="shared" si="16"/>
        <v>1</v>
      </c>
      <c r="CV48" s="163">
        <f t="shared" si="16"/>
        <v>1</v>
      </c>
      <c r="CW48" s="163">
        <f t="shared" si="16"/>
        <v>0</v>
      </c>
      <c r="CX48" s="163">
        <f t="shared" si="16"/>
        <v>0</v>
      </c>
      <c r="CY48" s="643">
        <f t="shared" si="16"/>
        <v>0</v>
      </c>
      <c r="CZ48" s="646">
        <f t="shared" si="16"/>
        <v>0</v>
      </c>
      <c r="DA48" s="645">
        <f t="shared" si="16"/>
        <v>0</v>
      </c>
      <c r="DB48" s="163">
        <f t="shared" si="16"/>
        <v>0</v>
      </c>
      <c r="DC48" s="163">
        <f t="shared" si="16"/>
        <v>0</v>
      </c>
      <c r="DD48" s="163">
        <f t="shared" si="16"/>
        <v>0</v>
      </c>
      <c r="DE48" s="644">
        <f t="shared" si="16"/>
        <v>0</v>
      </c>
      <c r="DF48" s="645">
        <f t="shared" si="16"/>
        <v>0</v>
      </c>
      <c r="DG48" s="163">
        <f t="shared" si="16"/>
        <v>0</v>
      </c>
      <c r="DH48" s="163">
        <f t="shared" si="16"/>
        <v>0</v>
      </c>
      <c r="DI48" s="163">
        <f t="shared" si="16"/>
        <v>0</v>
      </c>
      <c r="DJ48" s="643">
        <f t="shared" si="16"/>
        <v>0</v>
      </c>
      <c r="DK48" s="646">
        <f t="shared" si="16"/>
        <v>0</v>
      </c>
      <c r="DL48" s="645">
        <f t="shared" si="16"/>
        <v>0</v>
      </c>
      <c r="DM48" s="163">
        <f t="shared" si="16"/>
        <v>0</v>
      </c>
      <c r="DN48" s="163">
        <f t="shared" si="16"/>
        <v>0</v>
      </c>
      <c r="DO48" s="163">
        <f t="shared" si="16"/>
        <v>0</v>
      </c>
      <c r="DP48" s="644">
        <f t="shared" si="16"/>
        <v>0</v>
      </c>
      <c r="DQ48" s="645">
        <f t="shared" si="16"/>
        <v>0</v>
      </c>
      <c r="DR48" s="163">
        <f t="shared" si="16"/>
        <v>0</v>
      </c>
      <c r="DS48" s="163">
        <f t="shared" si="16"/>
        <v>0</v>
      </c>
      <c r="DT48" s="163">
        <f t="shared" si="16"/>
        <v>0</v>
      </c>
      <c r="DU48" s="643">
        <f t="shared" si="9"/>
        <v>0</v>
      </c>
      <c r="DW48" s="646">
        <f t="shared" si="15"/>
        <v>52</v>
      </c>
      <c r="DX48" s="645">
        <f t="shared" si="15"/>
        <v>28</v>
      </c>
      <c r="DY48" s="163">
        <f t="shared" si="15"/>
        <v>24</v>
      </c>
      <c r="DZ48" s="163">
        <f t="shared" si="15"/>
        <v>0</v>
      </c>
      <c r="EA48" s="163">
        <f t="shared" si="15"/>
        <v>4</v>
      </c>
      <c r="EB48" s="644">
        <f t="shared" si="15"/>
        <v>0</v>
      </c>
      <c r="EC48" s="645">
        <f t="shared" si="15"/>
        <v>24</v>
      </c>
      <c r="ED48" s="163">
        <f t="shared" si="15"/>
        <v>22</v>
      </c>
      <c r="EE48" s="163">
        <f t="shared" si="15"/>
        <v>0</v>
      </c>
      <c r="EF48" s="163">
        <f t="shared" si="14"/>
        <v>1</v>
      </c>
      <c r="EG48" s="643">
        <f t="shared" si="14"/>
        <v>1</v>
      </c>
      <c r="EH48" s="646">
        <f t="shared" si="6"/>
        <v>20</v>
      </c>
      <c r="EI48" s="645">
        <f t="shared" si="6"/>
        <v>9</v>
      </c>
      <c r="EJ48" s="163">
        <f t="shared" si="6"/>
        <v>5</v>
      </c>
      <c r="EK48" s="163">
        <f t="shared" si="6"/>
        <v>0</v>
      </c>
      <c r="EL48" s="163">
        <f t="shared" si="6"/>
        <v>4</v>
      </c>
      <c r="EM48" s="644">
        <f t="shared" si="6"/>
        <v>0</v>
      </c>
      <c r="EN48" s="645">
        <f t="shared" si="6"/>
        <v>11</v>
      </c>
      <c r="EO48" s="163">
        <f t="shared" si="6"/>
        <v>9</v>
      </c>
      <c r="EP48" s="163">
        <f t="shared" si="6"/>
        <v>0</v>
      </c>
      <c r="EQ48" s="163">
        <f t="shared" si="6"/>
        <v>1</v>
      </c>
      <c r="ER48" s="643">
        <f t="shared" si="6"/>
        <v>1</v>
      </c>
    </row>
    <row r="49" spans="1:148">
      <c r="A49" s="654" t="s">
        <v>227</v>
      </c>
      <c r="B49" s="658">
        <v>43009</v>
      </c>
      <c r="C49" s="659">
        <v>2017</v>
      </c>
      <c r="D49" s="646">
        <f t="shared" si="10"/>
        <v>179517</v>
      </c>
      <c r="E49" s="646">
        <f t="shared" si="11"/>
        <v>2640</v>
      </c>
      <c r="F49" s="645">
        <f t="shared" si="7"/>
        <v>1186</v>
      </c>
      <c r="G49" s="163">
        <f t="shared" si="7"/>
        <v>828</v>
      </c>
      <c r="H49" s="163">
        <f t="shared" si="7"/>
        <v>0</v>
      </c>
      <c r="I49" s="163">
        <f t="shared" si="7"/>
        <v>358</v>
      </c>
      <c r="J49" s="644">
        <f t="shared" si="7"/>
        <v>0</v>
      </c>
      <c r="K49" s="645">
        <f t="shared" si="7"/>
        <v>1454</v>
      </c>
      <c r="L49" s="163">
        <f t="shared" si="7"/>
        <v>1108</v>
      </c>
      <c r="M49" s="163">
        <f t="shared" si="7"/>
        <v>0</v>
      </c>
      <c r="N49" s="163">
        <f t="shared" si="7"/>
        <v>97</v>
      </c>
      <c r="O49" s="643">
        <f t="shared" ref="O49:AQ60" si="18">SUMIFS(O$5:O$36,$B$5:$B$36,$A49)</f>
        <v>249</v>
      </c>
      <c r="P49" s="646">
        <f t="shared" si="18"/>
        <v>2</v>
      </c>
      <c r="Q49" s="645">
        <f t="shared" si="18"/>
        <v>1</v>
      </c>
      <c r="R49" s="163">
        <f t="shared" si="18"/>
        <v>1</v>
      </c>
      <c r="S49" s="163">
        <f t="shared" si="18"/>
        <v>0</v>
      </c>
      <c r="T49" s="163">
        <f t="shared" si="18"/>
        <v>0</v>
      </c>
      <c r="U49" s="644">
        <f t="shared" si="18"/>
        <v>0</v>
      </c>
      <c r="V49" s="645">
        <f t="shared" si="18"/>
        <v>1</v>
      </c>
      <c r="W49" s="163">
        <f t="shared" si="18"/>
        <v>1</v>
      </c>
      <c r="X49" s="163">
        <f t="shared" si="18"/>
        <v>0</v>
      </c>
      <c r="Y49" s="163">
        <f t="shared" si="18"/>
        <v>0</v>
      </c>
      <c r="Z49" s="643">
        <f t="shared" si="18"/>
        <v>0</v>
      </c>
      <c r="AA49" s="646">
        <f t="shared" si="18"/>
        <v>4</v>
      </c>
      <c r="AB49" s="645">
        <f t="shared" si="18"/>
        <v>0</v>
      </c>
      <c r="AC49" s="163">
        <f t="shared" si="18"/>
        <v>0</v>
      </c>
      <c r="AD49" s="163">
        <f t="shared" si="18"/>
        <v>0</v>
      </c>
      <c r="AE49" s="163">
        <f t="shared" si="18"/>
        <v>0</v>
      </c>
      <c r="AF49" s="644">
        <f t="shared" si="18"/>
        <v>0</v>
      </c>
      <c r="AG49" s="645">
        <f t="shared" si="18"/>
        <v>4</v>
      </c>
      <c r="AH49" s="163">
        <f t="shared" si="18"/>
        <v>4</v>
      </c>
      <c r="AI49" s="163">
        <f t="shared" si="17"/>
        <v>0</v>
      </c>
      <c r="AJ49" s="163">
        <f t="shared" si="17"/>
        <v>0</v>
      </c>
      <c r="AK49" s="643">
        <f t="shared" si="17"/>
        <v>0</v>
      </c>
      <c r="AL49" s="646">
        <f t="shared" si="17"/>
        <v>27</v>
      </c>
      <c r="AM49" s="645">
        <f t="shared" si="17"/>
        <v>11</v>
      </c>
      <c r="AN49" s="163">
        <f t="shared" si="17"/>
        <v>6</v>
      </c>
      <c r="AO49" s="163">
        <f t="shared" si="17"/>
        <v>0</v>
      </c>
      <c r="AP49" s="163">
        <f t="shared" si="17"/>
        <v>5</v>
      </c>
      <c r="AQ49" s="644">
        <f t="shared" si="17"/>
        <v>0</v>
      </c>
      <c r="AR49" s="645">
        <f t="shared" si="17"/>
        <v>16</v>
      </c>
      <c r="AS49" s="163">
        <f t="shared" si="17"/>
        <v>9</v>
      </c>
      <c r="AT49" s="163">
        <f t="shared" si="17"/>
        <v>0</v>
      </c>
      <c r="AU49" s="163">
        <f t="shared" si="17"/>
        <v>0</v>
      </c>
      <c r="AV49" s="643">
        <f t="shared" si="17"/>
        <v>7</v>
      </c>
      <c r="AW49" s="646">
        <f t="shared" si="17"/>
        <v>15</v>
      </c>
      <c r="AX49" s="645">
        <f t="shared" si="17"/>
        <v>5</v>
      </c>
      <c r="AY49" s="163">
        <f t="shared" si="17"/>
        <v>5</v>
      </c>
      <c r="AZ49" s="163">
        <f t="shared" si="17"/>
        <v>0</v>
      </c>
      <c r="BA49" s="163">
        <f t="shared" si="17"/>
        <v>0</v>
      </c>
      <c r="BB49" s="644">
        <f t="shared" si="17"/>
        <v>0</v>
      </c>
      <c r="BC49" s="645">
        <f t="shared" si="17"/>
        <v>10</v>
      </c>
      <c r="BD49" s="163">
        <f t="shared" si="17"/>
        <v>9</v>
      </c>
      <c r="BE49" s="163">
        <f t="shared" si="17"/>
        <v>0</v>
      </c>
      <c r="BF49" s="163">
        <f t="shared" si="17"/>
        <v>0</v>
      </c>
      <c r="BG49" s="643">
        <f t="shared" si="17"/>
        <v>1</v>
      </c>
      <c r="BH49" s="646">
        <f t="shared" si="17"/>
        <v>14</v>
      </c>
      <c r="BI49" s="645">
        <f t="shared" si="17"/>
        <v>6</v>
      </c>
      <c r="BJ49" s="163">
        <f t="shared" si="17"/>
        <v>4</v>
      </c>
      <c r="BK49" s="163">
        <f t="shared" si="17"/>
        <v>0</v>
      </c>
      <c r="BL49" s="163">
        <f t="shared" si="17"/>
        <v>2</v>
      </c>
      <c r="BM49" s="644">
        <f t="shared" si="17"/>
        <v>0</v>
      </c>
      <c r="BN49" s="645">
        <f t="shared" si="17"/>
        <v>8</v>
      </c>
      <c r="BO49" s="163">
        <f t="shared" si="17"/>
        <v>6</v>
      </c>
      <c r="BP49" s="163">
        <f t="shared" si="17"/>
        <v>0</v>
      </c>
      <c r="BQ49" s="163">
        <f t="shared" si="17"/>
        <v>1</v>
      </c>
      <c r="BR49" s="643">
        <f t="shared" si="17"/>
        <v>1</v>
      </c>
      <c r="BS49" s="646">
        <f t="shared" si="17"/>
        <v>22</v>
      </c>
      <c r="BT49" s="645">
        <f t="shared" si="17"/>
        <v>11</v>
      </c>
      <c r="BU49" s="163">
        <f t="shared" si="17"/>
        <v>9</v>
      </c>
      <c r="BV49" s="163">
        <f t="shared" si="17"/>
        <v>0</v>
      </c>
      <c r="BW49" s="163">
        <f t="shared" si="17"/>
        <v>2</v>
      </c>
      <c r="BX49" s="644">
        <f t="shared" si="17"/>
        <v>0</v>
      </c>
      <c r="BY49" s="645">
        <f t="shared" si="17"/>
        <v>11</v>
      </c>
      <c r="BZ49" s="163">
        <f t="shared" si="17"/>
        <v>9</v>
      </c>
      <c r="CA49" s="163">
        <f t="shared" si="17"/>
        <v>0</v>
      </c>
      <c r="CB49" s="163">
        <f t="shared" si="17"/>
        <v>1</v>
      </c>
      <c r="CC49" s="643">
        <f t="shared" si="17"/>
        <v>1</v>
      </c>
      <c r="CD49" s="646">
        <f t="shared" si="17"/>
        <v>4</v>
      </c>
      <c r="CE49" s="645">
        <f t="shared" si="17"/>
        <v>2</v>
      </c>
      <c r="CF49" s="163">
        <f t="shared" si="17"/>
        <v>1</v>
      </c>
      <c r="CG49" s="163">
        <f t="shared" si="17"/>
        <v>0</v>
      </c>
      <c r="CH49" s="163">
        <f t="shared" si="17"/>
        <v>1</v>
      </c>
      <c r="CI49" s="644">
        <f t="shared" si="17"/>
        <v>0</v>
      </c>
      <c r="CJ49" s="645">
        <f t="shared" si="17"/>
        <v>2</v>
      </c>
      <c r="CK49" s="163">
        <f t="shared" si="17"/>
        <v>1</v>
      </c>
      <c r="CL49" s="163">
        <f t="shared" si="17"/>
        <v>0</v>
      </c>
      <c r="CM49" s="163">
        <f t="shared" si="17"/>
        <v>0</v>
      </c>
      <c r="CN49" s="643">
        <f t="shared" si="17"/>
        <v>1</v>
      </c>
      <c r="CO49" s="646">
        <f t="shared" si="17"/>
        <v>3</v>
      </c>
      <c r="CP49" s="645">
        <f t="shared" si="17"/>
        <v>0</v>
      </c>
      <c r="CQ49" s="163">
        <f t="shared" si="17"/>
        <v>0</v>
      </c>
      <c r="CR49" s="163">
        <f t="shared" si="17"/>
        <v>0</v>
      </c>
      <c r="CS49" s="163">
        <f t="shared" si="17"/>
        <v>0</v>
      </c>
      <c r="CT49" s="644">
        <f t="shared" si="17"/>
        <v>0</v>
      </c>
      <c r="CU49" s="645">
        <f t="shared" si="16"/>
        <v>3</v>
      </c>
      <c r="CV49" s="163">
        <f t="shared" si="16"/>
        <v>3</v>
      </c>
      <c r="CW49" s="163">
        <f t="shared" si="16"/>
        <v>0</v>
      </c>
      <c r="CX49" s="163">
        <f t="shared" si="16"/>
        <v>0</v>
      </c>
      <c r="CY49" s="643">
        <f t="shared" si="16"/>
        <v>0</v>
      </c>
      <c r="CZ49" s="646">
        <f t="shared" si="16"/>
        <v>5</v>
      </c>
      <c r="DA49" s="645">
        <f t="shared" si="16"/>
        <v>0</v>
      </c>
      <c r="DB49" s="163">
        <f t="shared" si="16"/>
        <v>0</v>
      </c>
      <c r="DC49" s="163">
        <f t="shared" si="16"/>
        <v>0</v>
      </c>
      <c r="DD49" s="163">
        <f t="shared" si="16"/>
        <v>0</v>
      </c>
      <c r="DE49" s="644">
        <f t="shared" si="16"/>
        <v>0</v>
      </c>
      <c r="DF49" s="645">
        <f t="shared" si="16"/>
        <v>5</v>
      </c>
      <c r="DG49" s="163">
        <f t="shared" si="16"/>
        <v>5</v>
      </c>
      <c r="DH49" s="163">
        <f t="shared" si="16"/>
        <v>0</v>
      </c>
      <c r="DI49" s="163">
        <f t="shared" si="16"/>
        <v>0</v>
      </c>
      <c r="DJ49" s="643">
        <f t="shared" si="16"/>
        <v>0</v>
      </c>
      <c r="DK49" s="646">
        <f t="shared" si="16"/>
        <v>0</v>
      </c>
      <c r="DL49" s="645">
        <f t="shared" si="16"/>
        <v>0</v>
      </c>
      <c r="DM49" s="163">
        <f t="shared" si="16"/>
        <v>0</v>
      </c>
      <c r="DN49" s="163">
        <f t="shared" si="16"/>
        <v>0</v>
      </c>
      <c r="DO49" s="163">
        <f t="shared" si="16"/>
        <v>0</v>
      </c>
      <c r="DP49" s="644">
        <f t="shared" si="16"/>
        <v>0</v>
      </c>
      <c r="DQ49" s="645">
        <f t="shared" si="16"/>
        <v>0</v>
      </c>
      <c r="DR49" s="163">
        <f t="shared" si="16"/>
        <v>0</v>
      </c>
      <c r="DS49" s="163">
        <f t="shared" si="16"/>
        <v>0</v>
      </c>
      <c r="DT49" s="163">
        <f t="shared" si="16"/>
        <v>0</v>
      </c>
      <c r="DU49" s="643">
        <f t="shared" si="9"/>
        <v>0</v>
      </c>
      <c r="DW49" s="646">
        <f t="shared" si="15"/>
        <v>69</v>
      </c>
      <c r="DX49" s="645">
        <f t="shared" si="15"/>
        <v>25</v>
      </c>
      <c r="DY49" s="163">
        <f t="shared" si="15"/>
        <v>20</v>
      </c>
      <c r="DZ49" s="163">
        <f t="shared" si="15"/>
        <v>0</v>
      </c>
      <c r="EA49" s="163">
        <f t="shared" si="15"/>
        <v>5</v>
      </c>
      <c r="EB49" s="644">
        <f t="shared" si="15"/>
        <v>0</v>
      </c>
      <c r="EC49" s="645">
        <f t="shared" si="15"/>
        <v>44</v>
      </c>
      <c r="ED49" s="163">
        <f t="shared" si="15"/>
        <v>38</v>
      </c>
      <c r="EE49" s="163">
        <f t="shared" si="15"/>
        <v>0</v>
      </c>
      <c r="EF49" s="163">
        <f t="shared" si="14"/>
        <v>2</v>
      </c>
      <c r="EG49" s="643">
        <f t="shared" si="14"/>
        <v>4</v>
      </c>
      <c r="EH49" s="646">
        <f t="shared" si="6"/>
        <v>27</v>
      </c>
      <c r="EI49" s="645">
        <f t="shared" si="6"/>
        <v>11</v>
      </c>
      <c r="EJ49" s="163">
        <f t="shared" si="6"/>
        <v>6</v>
      </c>
      <c r="EK49" s="163">
        <f t="shared" si="6"/>
        <v>0</v>
      </c>
      <c r="EL49" s="163">
        <f t="shared" si="6"/>
        <v>5</v>
      </c>
      <c r="EM49" s="644">
        <f t="shared" si="6"/>
        <v>0</v>
      </c>
      <c r="EN49" s="645">
        <f t="shared" si="6"/>
        <v>16</v>
      </c>
      <c r="EO49" s="163">
        <f t="shared" si="6"/>
        <v>9</v>
      </c>
      <c r="EP49" s="163">
        <f t="shared" si="6"/>
        <v>0</v>
      </c>
      <c r="EQ49" s="163">
        <f t="shared" si="6"/>
        <v>0</v>
      </c>
      <c r="ER49" s="643">
        <f t="shared" si="6"/>
        <v>7</v>
      </c>
    </row>
    <row r="50" spans="1:148">
      <c r="A50" s="654" t="s">
        <v>227</v>
      </c>
      <c r="B50" s="658">
        <v>43040</v>
      </c>
      <c r="C50" s="659">
        <v>2017</v>
      </c>
      <c r="D50" s="646">
        <f t="shared" si="10"/>
        <v>179517</v>
      </c>
      <c r="E50" s="646">
        <f t="shared" si="11"/>
        <v>2640</v>
      </c>
      <c r="F50" s="645">
        <f t="shared" si="11"/>
        <v>1186</v>
      </c>
      <c r="G50" s="163">
        <f t="shared" si="11"/>
        <v>828</v>
      </c>
      <c r="H50" s="163">
        <f t="shared" si="11"/>
        <v>0</v>
      </c>
      <c r="I50" s="163">
        <f t="shared" si="11"/>
        <v>358</v>
      </c>
      <c r="J50" s="644">
        <f t="shared" si="11"/>
        <v>0</v>
      </c>
      <c r="K50" s="645">
        <f t="shared" si="11"/>
        <v>1454</v>
      </c>
      <c r="L50" s="163">
        <f t="shared" si="11"/>
        <v>1108</v>
      </c>
      <c r="M50" s="163">
        <f t="shared" si="11"/>
        <v>0</v>
      </c>
      <c r="N50" s="163">
        <f t="shared" si="11"/>
        <v>97</v>
      </c>
      <c r="O50" s="643">
        <f t="shared" si="11"/>
        <v>249</v>
      </c>
      <c r="P50" s="646">
        <f t="shared" si="11"/>
        <v>2</v>
      </c>
      <c r="Q50" s="645">
        <f t="shared" si="11"/>
        <v>1</v>
      </c>
      <c r="R50" s="163">
        <f t="shared" si="11"/>
        <v>1</v>
      </c>
      <c r="S50" s="163">
        <f t="shared" si="11"/>
        <v>0</v>
      </c>
      <c r="T50" s="163">
        <f t="shared" si="11"/>
        <v>0</v>
      </c>
      <c r="U50" s="644">
        <f t="shared" si="18"/>
        <v>0</v>
      </c>
      <c r="V50" s="645">
        <f t="shared" si="18"/>
        <v>1</v>
      </c>
      <c r="W50" s="163">
        <f t="shared" si="18"/>
        <v>1</v>
      </c>
      <c r="X50" s="163">
        <f t="shared" si="18"/>
        <v>0</v>
      </c>
      <c r="Y50" s="163">
        <f t="shared" si="18"/>
        <v>0</v>
      </c>
      <c r="Z50" s="643">
        <f t="shared" si="18"/>
        <v>0</v>
      </c>
      <c r="AA50" s="646">
        <f t="shared" si="18"/>
        <v>4</v>
      </c>
      <c r="AB50" s="645">
        <f t="shared" si="18"/>
        <v>0</v>
      </c>
      <c r="AC50" s="163">
        <f t="shared" si="18"/>
        <v>0</v>
      </c>
      <c r="AD50" s="163">
        <f t="shared" si="18"/>
        <v>0</v>
      </c>
      <c r="AE50" s="163">
        <f t="shared" si="18"/>
        <v>0</v>
      </c>
      <c r="AF50" s="644">
        <f t="shared" si="18"/>
        <v>0</v>
      </c>
      <c r="AG50" s="645">
        <f t="shared" si="18"/>
        <v>4</v>
      </c>
      <c r="AH50" s="163">
        <f t="shared" si="18"/>
        <v>4</v>
      </c>
      <c r="AI50" s="163">
        <f t="shared" si="17"/>
        <v>0</v>
      </c>
      <c r="AJ50" s="163">
        <f t="shared" si="17"/>
        <v>0</v>
      </c>
      <c r="AK50" s="643">
        <f t="shared" si="17"/>
        <v>0</v>
      </c>
      <c r="AL50" s="646">
        <f t="shared" si="17"/>
        <v>27</v>
      </c>
      <c r="AM50" s="645">
        <f t="shared" si="17"/>
        <v>11</v>
      </c>
      <c r="AN50" s="163">
        <f t="shared" si="17"/>
        <v>6</v>
      </c>
      <c r="AO50" s="163">
        <f t="shared" si="17"/>
        <v>0</v>
      </c>
      <c r="AP50" s="163">
        <f t="shared" si="17"/>
        <v>5</v>
      </c>
      <c r="AQ50" s="644">
        <f t="shared" si="17"/>
        <v>0</v>
      </c>
      <c r="AR50" s="645">
        <f t="shared" si="17"/>
        <v>16</v>
      </c>
      <c r="AS50" s="163">
        <f t="shared" si="17"/>
        <v>9</v>
      </c>
      <c r="AT50" s="163">
        <f t="shared" si="17"/>
        <v>0</v>
      </c>
      <c r="AU50" s="163">
        <f t="shared" si="17"/>
        <v>0</v>
      </c>
      <c r="AV50" s="643">
        <f t="shared" si="17"/>
        <v>7</v>
      </c>
      <c r="AW50" s="646">
        <f t="shared" si="17"/>
        <v>15</v>
      </c>
      <c r="AX50" s="645">
        <f t="shared" si="17"/>
        <v>5</v>
      </c>
      <c r="AY50" s="163">
        <f t="shared" si="17"/>
        <v>5</v>
      </c>
      <c r="AZ50" s="163">
        <f t="shared" si="17"/>
        <v>0</v>
      </c>
      <c r="BA50" s="163">
        <f t="shared" si="17"/>
        <v>0</v>
      </c>
      <c r="BB50" s="644">
        <f t="shared" si="17"/>
        <v>0</v>
      </c>
      <c r="BC50" s="645">
        <f t="shared" si="17"/>
        <v>10</v>
      </c>
      <c r="BD50" s="163">
        <f t="shared" si="17"/>
        <v>9</v>
      </c>
      <c r="BE50" s="163">
        <f t="shared" si="17"/>
        <v>0</v>
      </c>
      <c r="BF50" s="163">
        <f t="shared" si="17"/>
        <v>0</v>
      </c>
      <c r="BG50" s="643">
        <f t="shared" si="17"/>
        <v>1</v>
      </c>
      <c r="BH50" s="646">
        <f t="shared" si="17"/>
        <v>14</v>
      </c>
      <c r="BI50" s="645">
        <f t="shared" si="17"/>
        <v>6</v>
      </c>
      <c r="BJ50" s="163">
        <f t="shared" si="17"/>
        <v>4</v>
      </c>
      <c r="BK50" s="163">
        <f t="shared" si="17"/>
        <v>0</v>
      </c>
      <c r="BL50" s="163">
        <f t="shared" si="17"/>
        <v>2</v>
      </c>
      <c r="BM50" s="644">
        <f t="shared" si="17"/>
        <v>0</v>
      </c>
      <c r="BN50" s="645">
        <f t="shared" si="17"/>
        <v>8</v>
      </c>
      <c r="BO50" s="163">
        <f t="shared" si="17"/>
        <v>6</v>
      </c>
      <c r="BP50" s="163">
        <f t="shared" si="17"/>
        <v>0</v>
      </c>
      <c r="BQ50" s="163">
        <f t="shared" si="17"/>
        <v>1</v>
      </c>
      <c r="BR50" s="643">
        <f t="shared" si="17"/>
        <v>1</v>
      </c>
      <c r="BS50" s="646">
        <f t="shared" si="17"/>
        <v>22</v>
      </c>
      <c r="BT50" s="645">
        <f t="shared" si="17"/>
        <v>11</v>
      </c>
      <c r="BU50" s="163">
        <f t="shared" si="17"/>
        <v>9</v>
      </c>
      <c r="BV50" s="163">
        <f t="shared" si="17"/>
        <v>0</v>
      </c>
      <c r="BW50" s="163">
        <f t="shared" si="17"/>
        <v>2</v>
      </c>
      <c r="BX50" s="644">
        <f t="shared" si="17"/>
        <v>0</v>
      </c>
      <c r="BY50" s="645">
        <f t="shared" si="17"/>
        <v>11</v>
      </c>
      <c r="BZ50" s="163">
        <f t="shared" si="17"/>
        <v>9</v>
      </c>
      <c r="CA50" s="163">
        <f t="shared" si="17"/>
        <v>0</v>
      </c>
      <c r="CB50" s="163">
        <f t="shared" si="17"/>
        <v>1</v>
      </c>
      <c r="CC50" s="643">
        <f t="shared" si="17"/>
        <v>1</v>
      </c>
      <c r="CD50" s="646">
        <f t="shared" si="17"/>
        <v>4</v>
      </c>
      <c r="CE50" s="645">
        <f t="shared" si="17"/>
        <v>2</v>
      </c>
      <c r="CF50" s="163">
        <f t="shared" si="17"/>
        <v>1</v>
      </c>
      <c r="CG50" s="163">
        <f t="shared" si="17"/>
        <v>0</v>
      </c>
      <c r="CH50" s="163">
        <f t="shared" si="17"/>
        <v>1</v>
      </c>
      <c r="CI50" s="644">
        <f t="shared" si="17"/>
        <v>0</v>
      </c>
      <c r="CJ50" s="645">
        <f t="shared" si="17"/>
        <v>2</v>
      </c>
      <c r="CK50" s="163">
        <f t="shared" si="17"/>
        <v>1</v>
      </c>
      <c r="CL50" s="163">
        <f t="shared" si="17"/>
        <v>0</v>
      </c>
      <c r="CM50" s="163">
        <f t="shared" si="17"/>
        <v>0</v>
      </c>
      <c r="CN50" s="643">
        <f t="shared" si="17"/>
        <v>1</v>
      </c>
      <c r="CO50" s="646">
        <f t="shared" si="17"/>
        <v>3</v>
      </c>
      <c r="CP50" s="645">
        <f t="shared" si="17"/>
        <v>0</v>
      </c>
      <c r="CQ50" s="163">
        <f t="shared" si="17"/>
        <v>0</v>
      </c>
      <c r="CR50" s="163">
        <f t="shared" si="17"/>
        <v>0</v>
      </c>
      <c r="CS50" s="163">
        <f t="shared" si="17"/>
        <v>0</v>
      </c>
      <c r="CT50" s="644">
        <f t="shared" si="17"/>
        <v>0</v>
      </c>
      <c r="CU50" s="645">
        <f t="shared" si="16"/>
        <v>3</v>
      </c>
      <c r="CV50" s="163">
        <f t="shared" si="16"/>
        <v>3</v>
      </c>
      <c r="CW50" s="163">
        <f t="shared" si="16"/>
        <v>0</v>
      </c>
      <c r="CX50" s="163">
        <f t="shared" si="16"/>
        <v>0</v>
      </c>
      <c r="CY50" s="643">
        <f t="shared" si="16"/>
        <v>0</v>
      </c>
      <c r="CZ50" s="646">
        <f t="shared" si="16"/>
        <v>5</v>
      </c>
      <c r="DA50" s="645">
        <f t="shared" si="16"/>
        <v>0</v>
      </c>
      <c r="DB50" s="163">
        <f t="shared" si="16"/>
        <v>0</v>
      </c>
      <c r="DC50" s="163">
        <f t="shared" si="16"/>
        <v>0</v>
      </c>
      <c r="DD50" s="163">
        <f t="shared" si="16"/>
        <v>0</v>
      </c>
      <c r="DE50" s="644">
        <f t="shared" si="16"/>
        <v>0</v>
      </c>
      <c r="DF50" s="645">
        <f t="shared" si="16"/>
        <v>5</v>
      </c>
      <c r="DG50" s="163">
        <f t="shared" si="16"/>
        <v>5</v>
      </c>
      <c r="DH50" s="163">
        <f t="shared" si="16"/>
        <v>0</v>
      </c>
      <c r="DI50" s="163">
        <f t="shared" si="16"/>
        <v>0</v>
      </c>
      <c r="DJ50" s="643">
        <f t="shared" si="16"/>
        <v>0</v>
      </c>
      <c r="DK50" s="646">
        <f t="shared" si="16"/>
        <v>0</v>
      </c>
      <c r="DL50" s="645">
        <f t="shared" si="16"/>
        <v>0</v>
      </c>
      <c r="DM50" s="163">
        <f t="shared" si="16"/>
        <v>0</v>
      </c>
      <c r="DN50" s="163">
        <f t="shared" si="16"/>
        <v>0</v>
      </c>
      <c r="DO50" s="163">
        <f t="shared" si="16"/>
        <v>0</v>
      </c>
      <c r="DP50" s="644">
        <f t="shared" si="16"/>
        <v>0</v>
      </c>
      <c r="DQ50" s="645">
        <f t="shared" si="16"/>
        <v>0</v>
      </c>
      <c r="DR50" s="163">
        <f t="shared" si="16"/>
        <v>0</v>
      </c>
      <c r="DS50" s="163">
        <f t="shared" si="16"/>
        <v>0</v>
      </c>
      <c r="DT50" s="163">
        <f t="shared" si="16"/>
        <v>0</v>
      </c>
      <c r="DU50" s="643">
        <f t="shared" si="9"/>
        <v>0</v>
      </c>
      <c r="DW50" s="646">
        <f t="shared" si="15"/>
        <v>69</v>
      </c>
      <c r="DX50" s="645">
        <f t="shared" si="15"/>
        <v>25</v>
      </c>
      <c r="DY50" s="163">
        <f t="shared" si="15"/>
        <v>20</v>
      </c>
      <c r="DZ50" s="163">
        <f t="shared" si="15"/>
        <v>0</v>
      </c>
      <c r="EA50" s="163">
        <f t="shared" si="15"/>
        <v>5</v>
      </c>
      <c r="EB50" s="644">
        <f t="shared" si="15"/>
        <v>0</v>
      </c>
      <c r="EC50" s="645">
        <f t="shared" si="15"/>
        <v>44</v>
      </c>
      <c r="ED50" s="163">
        <f t="shared" si="15"/>
        <v>38</v>
      </c>
      <c r="EE50" s="163">
        <f t="shared" si="15"/>
        <v>0</v>
      </c>
      <c r="EF50" s="163">
        <f t="shared" si="14"/>
        <v>2</v>
      </c>
      <c r="EG50" s="643">
        <f t="shared" si="14"/>
        <v>4</v>
      </c>
      <c r="EH50" s="646">
        <f t="shared" si="6"/>
        <v>27</v>
      </c>
      <c r="EI50" s="645">
        <f t="shared" si="6"/>
        <v>11</v>
      </c>
      <c r="EJ50" s="163">
        <f t="shared" si="6"/>
        <v>6</v>
      </c>
      <c r="EK50" s="163">
        <f t="shared" si="6"/>
        <v>0</v>
      </c>
      <c r="EL50" s="163">
        <f t="shared" si="6"/>
        <v>5</v>
      </c>
      <c r="EM50" s="644">
        <f t="shared" si="6"/>
        <v>0</v>
      </c>
      <c r="EN50" s="645">
        <f t="shared" si="6"/>
        <v>16</v>
      </c>
      <c r="EO50" s="163">
        <f t="shared" si="6"/>
        <v>9</v>
      </c>
      <c r="EP50" s="163">
        <f t="shared" si="6"/>
        <v>0</v>
      </c>
      <c r="EQ50" s="163">
        <f t="shared" si="6"/>
        <v>0</v>
      </c>
      <c r="ER50" s="643">
        <f t="shared" si="6"/>
        <v>7</v>
      </c>
    </row>
    <row r="51" spans="1:148">
      <c r="A51" s="654" t="s">
        <v>227</v>
      </c>
      <c r="B51" s="658">
        <v>43070</v>
      </c>
      <c r="C51" s="659">
        <v>2017</v>
      </c>
      <c r="D51" s="646">
        <f t="shared" si="10"/>
        <v>179517</v>
      </c>
      <c r="E51" s="646">
        <f t="shared" si="11"/>
        <v>2640</v>
      </c>
      <c r="F51" s="645">
        <f t="shared" si="11"/>
        <v>1186</v>
      </c>
      <c r="G51" s="163">
        <f t="shared" si="11"/>
        <v>828</v>
      </c>
      <c r="H51" s="163">
        <f t="shared" si="11"/>
        <v>0</v>
      </c>
      <c r="I51" s="163">
        <f t="shared" si="11"/>
        <v>358</v>
      </c>
      <c r="J51" s="644">
        <f t="shared" si="11"/>
        <v>0</v>
      </c>
      <c r="K51" s="645">
        <f t="shared" si="11"/>
        <v>1454</v>
      </c>
      <c r="L51" s="163">
        <f t="shared" si="11"/>
        <v>1108</v>
      </c>
      <c r="M51" s="163">
        <f t="shared" si="11"/>
        <v>0</v>
      </c>
      <c r="N51" s="163">
        <f t="shared" si="11"/>
        <v>97</v>
      </c>
      <c r="O51" s="643">
        <f t="shared" si="11"/>
        <v>249</v>
      </c>
      <c r="P51" s="646">
        <f t="shared" si="11"/>
        <v>2</v>
      </c>
      <c r="Q51" s="645">
        <f t="shared" si="11"/>
        <v>1</v>
      </c>
      <c r="R51" s="163">
        <f t="shared" si="11"/>
        <v>1</v>
      </c>
      <c r="S51" s="163">
        <f t="shared" si="11"/>
        <v>0</v>
      </c>
      <c r="T51" s="163">
        <f t="shared" si="11"/>
        <v>0</v>
      </c>
      <c r="U51" s="644">
        <f t="shared" si="18"/>
        <v>0</v>
      </c>
      <c r="V51" s="645">
        <f t="shared" si="18"/>
        <v>1</v>
      </c>
      <c r="W51" s="163">
        <f t="shared" si="18"/>
        <v>1</v>
      </c>
      <c r="X51" s="163">
        <f t="shared" si="18"/>
        <v>0</v>
      </c>
      <c r="Y51" s="163">
        <f t="shared" si="18"/>
        <v>0</v>
      </c>
      <c r="Z51" s="643">
        <f t="shared" si="18"/>
        <v>0</v>
      </c>
      <c r="AA51" s="646">
        <f t="shared" si="18"/>
        <v>4</v>
      </c>
      <c r="AB51" s="645">
        <f t="shared" si="18"/>
        <v>0</v>
      </c>
      <c r="AC51" s="163">
        <f t="shared" si="18"/>
        <v>0</v>
      </c>
      <c r="AD51" s="163">
        <f t="shared" si="18"/>
        <v>0</v>
      </c>
      <c r="AE51" s="163">
        <f t="shared" si="18"/>
        <v>0</v>
      </c>
      <c r="AF51" s="644">
        <f t="shared" si="18"/>
        <v>0</v>
      </c>
      <c r="AG51" s="645">
        <f t="shared" si="18"/>
        <v>4</v>
      </c>
      <c r="AH51" s="163">
        <f t="shared" si="18"/>
        <v>4</v>
      </c>
      <c r="AI51" s="163">
        <f t="shared" si="17"/>
        <v>0</v>
      </c>
      <c r="AJ51" s="163">
        <f t="shared" si="17"/>
        <v>0</v>
      </c>
      <c r="AK51" s="643">
        <f t="shared" si="17"/>
        <v>0</v>
      </c>
      <c r="AL51" s="646">
        <f t="shared" si="17"/>
        <v>27</v>
      </c>
      <c r="AM51" s="645">
        <f t="shared" si="17"/>
        <v>11</v>
      </c>
      <c r="AN51" s="163">
        <f t="shared" si="17"/>
        <v>6</v>
      </c>
      <c r="AO51" s="163">
        <f t="shared" si="17"/>
        <v>0</v>
      </c>
      <c r="AP51" s="163">
        <f t="shared" si="17"/>
        <v>5</v>
      </c>
      <c r="AQ51" s="644">
        <f t="shared" si="17"/>
        <v>0</v>
      </c>
      <c r="AR51" s="645">
        <f t="shared" si="17"/>
        <v>16</v>
      </c>
      <c r="AS51" s="163">
        <f t="shared" si="17"/>
        <v>9</v>
      </c>
      <c r="AT51" s="163">
        <f t="shared" si="17"/>
        <v>0</v>
      </c>
      <c r="AU51" s="163">
        <f t="shared" si="17"/>
        <v>0</v>
      </c>
      <c r="AV51" s="643">
        <f t="shared" si="17"/>
        <v>7</v>
      </c>
      <c r="AW51" s="646">
        <f t="shared" si="17"/>
        <v>15</v>
      </c>
      <c r="AX51" s="645">
        <f t="shared" si="17"/>
        <v>5</v>
      </c>
      <c r="AY51" s="163">
        <f t="shared" si="17"/>
        <v>5</v>
      </c>
      <c r="AZ51" s="163">
        <f t="shared" si="17"/>
        <v>0</v>
      </c>
      <c r="BA51" s="163">
        <f t="shared" si="17"/>
        <v>0</v>
      </c>
      <c r="BB51" s="644">
        <f t="shared" si="17"/>
        <v>0</v>
      </c>
      <c r="BC51" s="645">
        <f t="shared" si="17"/>
        <v>10</v>
      </c>
      <c r="BD51" s="163">
        <f t="shared" si="17"/>
        <v>9</v>
      </c>
      <c r="BE51" s="163">
        <f t="shared" si="17"/>
        <v>0</v>
      </c>
      <c r="BF51" s="163">
        <f t="shared" si="17"/>
        <v>0</v>
      </c>
      <c r="BG51" s="643">
        <f t="shared" si="17"/>
        <v>1</v>
      </c>
      <c r="BH51" s="646">
        <f t="shared" si="17"/>
        <v>14</v>
      </c>
      <c r="BI51" s="645">
        <f t="shared" si="17"/>
        <v>6</v>
      </c>
      <c r="BJ51" s="163">
        <f t="shared" si="17"/>
        <v>4</v>
      </c>
      <c r="BK51" s="163">
        <f t="shared" si="17"/>
        <v>0</v>
      </c>
      <c r="BL51" s="163">
        <f t="shared" si="17"/>
        <v>2</v>
      </c>
      <c r="BM51" s="644">
        <f t="shared" si="17"/>
        <v>0</v>
      </c>
      <c r="BN51" s="645">
        <f t="shared" si="17"/>
        <v>8</v>
      </c>
      <c r="BO51" s="163">
        <f t="shared" si="17"/>
        <v>6</v>
      </c>
      <c r="BP51" s="163">
        <f t="shared" si="17"/>
        <v>0</v>
      </c>
      <c r="BQ51" s="163">
        <f t="shared" si="17"/>
        <v>1</v>
      </c>
      <c r="BR51" s="643">
        <f t="shared" si="17"/>
        <v>1</v>
      </c>
      <c r="BS51" s="646">
        <f t="shared" si="17"/>
        <v>22</v>
      </c>
      <c r="BT51" s="645">
        <f t="shared" si="17"/>
        <v>11</v>
      </c>
      <c r="BU51" s="163">
        <f t="shared" si="17"/>
        <v>9</v>
      </c>
      <c r="BV51" s="163">
        <f t="shared" si="17"/>
        <v>0</v>
      </c>
      <c r="BW51" s="163">
        <f t="shared" si="17"/>
        <v>2</v>
      </c>
      <c r="BX51" s="644">
        <f t="shared" si="17"/>
        <v>0</v>
      </c>
      <c r="BY51" s="645">
        <f t="shared" si="17"/>
        <v>11</v>
      </c>
      <c r="BZ51" s="163">
        <f t="shared" si="17"/>
        <v>9</v>
      </c>
      <c r="CA51" s="163">
        <f t="shared" si="17"/>
        <v>0</v>
      </c>
      <c r="CB51" s="163">
        <f t="shared" si="17"/>
        <v>1</v>
      </c>
      <c r="CC51" s="643">
        <f t="shared" si="17"/>
        <v>1</v>
      </c>
      <c r="CD51" s="646">
        <f t="shared" si="17"/>
        <v>4</v>
      </c>
      <c r="CE51" s="645">
        <f t="shared" si="17"/>
        <v>2</v>
      </c>
      <c r="CF51" s="163">
        <f t="shared" si="17"/>
        <v>1</v>
      </c>
      <c r="CG51" s="163">
        <f t="shared" si="17"/>
        <v>0</v>
      </c>
      <c r="CH51" s="163">
        <f t="shared" si="17"/>
        <v>1</v>
      </c>
      <c r="CI51" s="644">
        <f t="shared" si="17"/>
        <v>0</v>
      </c>
      <c r="CJ51" s="645">
        <f t="shared" si="17"/>
        <v>2</v>
      </c>
      <c r="CK51" s="163">
        <f t="shared" si="17"/>
        <v>1</v>
      </c>
      <c r="CL51" s="163">
        <f t="shared" si="17"/>
        <v>0</v>
      </c>
      <c r="CM51" s="163">
        <f t="shared" si="17"/>
        <v>0</v>
      </c>
      <c r="CN51" s="643">
        <f t="shared" si="17"/>
        <v>1</v>
      </c>
      <c r="CO51" s="646">
        <f t="shared" si="17"/>
        <v>3</v>
      </c>
      <c r="CP51" s="645">
        <f t="shared" si="17"/>
        <v>0</v>
      </c>
      <c r="CQ51" s="163">
        <f t="shared" si="17"/>
        <v>0</v>
      </c>
      <c r="CR51" s="163">
        <f t="shared" si="17"/>
        <v>0</v>
      </c>
      <c r="CS51" s="163">
        <f t="shared" si="17"/>
        <v>0</v>
      </c>
      <c r="CT51" s="644">
        <f t="shared" ref="CT51:DT61" si="19">SUMIFS(CT$5:CT$36,$B$5:$B$36,$A51)</f>
        <v>0</v>
      </c>
      <c r="CU51" s="645">
        <f t="shared" si="19"/>
        <v>3</v>
      </c>
      <c r="CV51" s="163">
        <f t="shared" si="19"/>
        <v>3</v>
      </c>
      <c r="CW51" s="163">
        <f t="shared" si="19"/>
        <v>0</v>
      </c>
      <c r="CX51" s="163">
        <f t="shared" si="19"/>
        <v>0</v>
      </c>
      <c r="CY51" s="643">
        <f t="shared" si="19"/>
        <v>0</v>
      </c>
      <c r="CZ51" s="646">
        <f t="shared" si="19"/>
        <v>5</v>
      </c>
      <c r="DA51" s="645">
        <f t="shared" si="19"/>
        <v>0</v>
      </c>
      <c r="DB51" s="163">
        <f t="shared" si="19"/>
        <v>0</v>
      </c>
      <c r="DC51" s="163">
        <f t="shared" si="19"/>
        <v>0</v>
      </c>
      <c r="DD51" s="163">
        <f t="shared" si="19"/>
        <v>0</v>
      </c>
      <c r="DE51" s="644">
        <f t="shared" si="19"/>
        <v>0</v>
      </c>
      <c r="DF51" s="645">
        <f t="shared" si="19"/>
        <v>5</v>
      </c>
      <c r="DG51" s="163">
        <f t="shared" si="19"/>
        <v>5</v>
      </c>
      <c r="DH51" s="163">
        <f t="shared" si="19"/>
        <v>0</v>
      </c>
      <c r="DI51" s="163">
        <f t="shared" si="19"/>
        <v>0</v>
      </c>
      <c r="DJ51" s="643">
        <f t="shared" si="19"/>
        <v>0</v>
      </c>
      <c r="DK51" s="646">
        <f t="shared" si="19"/>
        <v>0</v>
      </c>
      <c r="DL51" s="645">
        <f t="shared" si="19"/>
        <v>0</v>
      </c>
      <c r="DM51" s="163">
        <f t="shared" si="19"/>
        <v>0</v>
      </c>
      <c r="DN51" s="163">
        <f t="shared" si="19"/>
        <v>0</v>
      </c>
      <c r="DO51" s="163">
        <f t="shared" si="19"/>
        <v>0</v>
      </c>
      <c r="DP51" s="644">
        <f t="shared" si="19"/>
        <v>0</v>
      </c>
      <c r="DQ51" s="645">
        <f t="shared" si="19"/>
        <v>0</v>
      </c>
      <c r="DR51" s="163">
        <f t="shared" si="19"/>
        <v>0</v>
      </c>
      <c r="DS51" s="163">
        <f t="shared" si="19"/>
        <v>0</v>
      </c>
      <c r="DT51" s="163">
        <f t="shared" si="19"/>
        <v>0</v>
      </c>
      <c r="DU51" s="643">
        <f t="shared" si="9"/>
        <v>0</v>
      </c>
      <c r="DW51" s="646">
        <f t="shared" si="15"/>
        <v>69</v>
      </c>
      <c r="DX51" s="645">
        <f t="shared" si="15"/>
        <v>25</v>
      </c>
      <c r="DY51" s="163">
        <f t="shared" si="15"/>
        <v>20</v>
      </c>
      <c r="DZ51" s="163">
        <f t="shared" si="15"/>
        <v>0</v>
      </c>
      <c r="EA51" s="163">
        <f t="shared" si="15"/>
        <v>5</v>
      </c>
      <c r="EB51" s="644">
        <f t="shared" si="15"/>
        <v>0</v>
      </c>
      <c r="EC51" s="645">
        <f t="shared" si="15"/>
        <v>44</v>
      </c>
      <c r="ED51" s="163">
        <f t="shared" si="15"/>
        <v>38</v>
      </c>
      <c r="EE51" s="163">
        <f t="shared" si="15"/>
        <v>0</v>
      </c>
      <c r="EF51" s="163">
        <f t="shared" si="14"/>
        <v>2</v>
      </c>
      <c r="EG51" s="643">
        <f t="shared" si="14"/>
        <v>4</v>
      </c>
      <c r="EH51" s="646">
        <f t="shared" si="6"/>
        <v>27</v>
      </c>
      <c r="EI51" s="645">
        <f t="shared" si="6"/>
        <v>11</v>
      </c>
      <c r="EJ51" s="163">
        <f t="shared" si="6"/>
        <v>6</v>
      </c>
      <c r="EK51" s="163">
        <f t="shared" si="6"/>
        <v>0</v>
      </c>
      <c r="EL51" s="163">
        <f t="shared" si="6"/>
        <v>5</v>
      </c>
      <c r="EM51" s="644">
        <f t="shared" si="6"/>
        <v>0</v>
      </c>
      <c r="EN51" s="645">
        <f t="shared" si="6"/>
        <v>16</v>
      </c>
      <c r="EO51" s="163">
        <f t="shared" si="6"/>
        <v>9</v>
      </c>
      <c r="EP51" s="163">
        <f t="shared" si="6"/>
        <v>0</v>
      </c>
      <c r="EQ51" s="163">
        <f t="shared" si="6"/>
        <v>0</v>
      </c>
      <c r="ER51" s="643">
        <f t="shared" si="6"/>
        <v>7</v>
      </c>
    </row>
    <row r="52" spans="1:148">
      <c r="A52" s="654" t="s">
        <v>228</v>
      </c>
      <c r="B52" s="658">
        <v>43101</v>
      </c>
      <c r="C52" s="659">
        <v>2018</v>
      </c>
      <c r="D52" s="646">
        <f t="shared" si="10"/>
        <v>165397</v>
      </c>
      <c r="E52" s="646">
        <f t="shared" si="11"/>
        <v>2747</v>
      </c>
      <c r="F52" s="645">
        <f t="shared" si="11"/>
        <v>928</v>
      </c>
      <c r="G52" s="163">
        <f t="shared" si="11"/>
        <v>754</v>
      </c>
      <c r="H52" s="163">
        <f t="shared" si="11"/>
        <v>0</v>
      </c>
      <c r="I52" s="163">
        <f t="shared" si="11"/>
        <v>174</v>
      </c>
      <c r="J52" s="644">
        <f t="shared" si="11"/>
        <v>0</v>
      </c>
      <c r="K52" s="645">
        <f t="shared" si="11"/>
        <v>1819</v>
      </c>
      <c r="L52" s="163">
        <f t="shared" si="11"/>
        <v>1251</v>
      </c>
      <c r="M52" s="163">
        <f t="shared" si="11"/>
        <v>0</v>
      </c>
      <c r="N52" s="163">
        <f t="shared" si="11"/>
        <v>359</v>
      </c>
      <c r="O52" s="643">
        <f t="shared" si="11"/>
        <v>209</v>
      </c>
      <c r="P52" s="646">
        <f t="shared" si="11"/>
        <v>5</v>
      </c>
      <c r="Q52" s="645">
        <f t="shared" si="11"/>
        <v>0</v>
      </c>
      <c r="R52" s="163">
        <f t="shared" si="11"/>
        <v>0</v>
      </c>
      <c r="S52" s="163">
        <f t="shared" si="11"/>
        <v>0</v>
      </c>
      <c r="T52" s="163">
        <f t="shared" si="11"/>
        <v>0</v>
      </c>
      <c r="U52" s="644">
        <f t="shared" si="18"/>
        <v>0</v>
      </c>
      <c r="V52" s="645">
        <f t="shared" si="18"/>
        <v>5</v>
      </c>
      <c r="W52" s="163">
        <f t="shared" si="18"/>
        <v>3</v>
      </c>
      <c r="X52" s="163">
        <f t="shared" si="18"/>
        <v>0</v>
      </c>
      <c r="Y52" s="163">
        <f t="shared" si="18"/>
        <v>1</v>
      </c>
      <c r="Z52" s="643">
        <f t="shared" si="18"/>
        <v>1</v>
      </c>
      <c r="AA52" s="646">
        <f t="shared" si="18"/>
        <v>4</v>
      </c>
      <c r="AB52" s="645">
        <f t="shared" si="18"/>
        <v>0</v>
      </c>
      <c r="AC52" s="163">
        <f t="shared" si="18"/>
        <v>0</v>
      </c>
      <c r="AD52" s="163">
        <f t="shared" si="18"/>
        <v>0</v>
      </c>
      <c r="AE52" s="163">
        <f t="shared" si="18"/>
        <v>0</v>
      </c>
      <c r="AF52" s="644">
        <f t="shared" si="18"/>
        <v>0</v>
      </c>
      <c r="AG52" s="645">
        <f t="shared" si="18"/>
        <v>4</v>
      </c>
      <c r="AH52" s="163">
        <f t="shared" si="18"/>
        <v>3</v>
      </c>
      <c r="AI52" s="163">
        <f t="shared" si="18"/>
        <v>0</v>
      </c>
      <c r="AJ52" s="163">
        <f t="shared" si="18"/>
        <v>0</v>
      </c>
      <c r="AK52" s="643">
        <f t="shared" si="18"/>
        <v>1</v>
      </c>
      <c r="AL52" s="646">
        <f t="shared" si="18"/>
        <v>27</v>
      </c>
      <c r="AM52" s="645">
        <f t="shared" si="18"/>
        <v>10</v>
      </c>
      <c r="AN52" s="163">
        <f t="shared" si="18"/>
        <v>8</v>
      </c>
      <c r="AO52" s="163">
        <f t="shared" si="18"/>
        <v>0</v>
      </c>
      <c r="AP52" s="163">
        <f t="shared" si="18"/>
        <v>2</v>
      </c>
      <c r="AQ52" s="644">
        <f t="shared" si="18"/>
        <v>0</v>
      </c>
      <c r="AR52" s="645">
        <f t="shared" ref="AR52:DC56" si="20">SUMIFS(AR$5:AR$36,$B$5:$B$36,$A52)</f>
        <v>17</v>
      </c>
      <c r="AS52" s="163">
        <f t="shared" si="20"/>
        <v>14</v>
      </c>
      <c r="AT52" s="163">
        <f t="shared" si="20"/>
        <v>0</v>
      </c>
      <c r="AU52" s="163">
        <f t="shared" si="20"/>
        <v>3</v>
      </c>
      <c r="AV52" s="643">
        <f t="shared" si="20"/>
        <v>0</v>
      </c>
      <c r="AW52" s="646">
        <f t="shared" si="20"/>
        <v>24</v>
      </c>
      <c r="AX52" s="645">
        <f t="shared" si="20"/>
        <v>8</v>
      </c>
      <c r="AY52" s="163">
        <f t="shared" si="20"/>
        <v>7</v>
      </c>
      <c r="AZ52" s="163">
        <f t="shared" si="20"/>
        <v>0</v>
      </c>
      <c r="BA52" s="163">
        <f t="shared" si="20"/>
        <v>1</v>
      </c>
      <c r="BB52" s="644">
        <f t="shared" si="20"/>
        <v>0</v>
      </c>
      <c r="BC52" s="645">
        <f t="shared" si="20"/>
        <v>16</v>
      </c>
      <c r="BD52" s="163">
        <f t="shared" si="20"/>
        <v>14</v>
      </c>
      <c r="BE52" s="163">
        <f t="shared" si="20"/>
        <v>0</v>
      </c>
      <c r="BF52" s="163">
        <f t="shared" si="20"/>
        <v>0</v>
      </c>
      <c r="BG52" s="643">
        <f t="shared" si="20"/>
        <v>2</v>
      </c>
      <c r="BH52" s="646">
        <f t="shared" si="20"/>
        <v>15</v>
      </c>
      <c r="BI52" s="645">
        <f t="shared" si="20"/>
        <v>7</v>
      </c>
      <c r="BJ52" s="163">
        <f t="shared" si="20"/>
        <v>6</v>
      </c>
      <c r="BK52" s="163">
        <f t="shared" si="20"/>
        <v>0</v>
      </c>
      <c r="BL52" s="163">
        <f t="shared" si="20"/>
        <v>1</v>
      </c>
      <c r="BM52" s="644">
        <f t="shared" si="20"/>
        <v>0</v>
      </c>
      <c r="BN52" s="645">
        <f t="shared" si="20"/>
        <v>8</v>
      </c>
      <c r="BO52" s="163">
        <f t="shared" si="20"/>
        <v>6</v>
      </c>
      <c r="BP52" s="163">
        <f t="shared" si="20"/>
        <v>0</v>
      </c>
      <c r="BQ52" s="163">
        <f t="shared" si="20"/>
        <v>2</v>
      </c>
      <c r="BR52" s="643">
        <f t="shared" si="20"/>
        <v>0</v>
      </c>
      <c r="BS52" s="646">
        <f t="shared" si="20"/>
        <v>30</v>
      </c>
      <c r="BT52" s="645">
        <f t="shared" si="20"/>
        <v>7</v>
      </c>
      <c r="BU52" s="163">
        <f t="shared" si="20"/>
        <v>7</v>
      </c>
      <c r="BV52" s="163">
        <f t="shared" si="20"/>
        <v>0</v>
      </c>
      <c r="BW52" s="163">
        <f t="shared" si="20"/>
        <v>0</v>
      </c>
      <c r="BX52" s="644">
        <f t="shared" si="20"/>
        <v>0</v>
      </c>
      <c r="BY52" s="645">
        <f t="shared" si="20"/>
        <v>23</v>
      </c>
      <c r="BZ52" s="163">
        <f t="shared" si="20"/>
        <v>15</v>
      </c>
      <c r="CA52" s="163">
        <f t="shared" si="20"/>
        <v>0</v>
      </c>
      <c r="CB52" s="163">
        <f t="shared" si="20"/>
        <v>4</v>
      </c>
      <c r="CC52" s="643">
        <f t="shared" si="20"/>
        <v>4</v>
      </c>
      <c r="CD52" s="646">
        <f t="shared" si="20"/>
        <v>10</v>
      </c>
      <c r="CE52" s="645">
        <f t="shared" si="20"/>
        <v>6</v>
      </c>
      <c r="CF52" s="163">
        <f t="shared" si="20"/>
        <v>5</v>
      </c>
      <c r="CG52" s="163">
        <f t="shared" si="20"/>
        <v>0</v>
      </c>
      <c r="CH52" s="163">
        <f t="shared" si="20"/>
        <v>1</v>
      </c>
      <c r="CI52" s="644">
        <f t="shared" si="20"/>
        <v>0</v>
      </c>
      <c r="CJ52" s="645">
        <f t="shared" si="20"/>
        <v>4</v>
      </c>
      <c r="CK52" s="163">
        <f t="shared" si="20"/>
        <v>4</v>
      </c>
      <c r="CL52" s="163">
        <f t="shared" si="20"/>
        <v>0</v>
      </c>
      <c r="CM52" s="163">
        <f t="shared" si="20"/>
        <v>0</v>
      </c>
      <c r="CN52" s="643">
        <f t="shared" si="20"/>
        <v>0</v>
      </c>
      <c r="CO52" s="646">
        <f t="shared" si="20"/>
        <v>4</v>
      </c>
      <c r="CP52" s="645">
        <f t="shared" si="20"/>
        <v>2</v>
      </c>
      <c r="CQ52" s="163">
        <f t="shared" si="20"/>
        <v>2</v>
      </c>
      <c r="CR52" s="163">
        <f t="shared" si="20"/>
        <v>0</v>
      </c>
      <c r="CS52" s="163">
        <f t="shared" si="20"/>
        <v>0</v>
      </c>
      <c r="CT52" s="644">
        <f t="shared" si="20"/>
        <v>0</v>
      </c>
      <c r="CU52" s="645">
        <f t="shared" si="19"/>
        <v>2</v>
      </c>
      <c r="CV52" s="163">
        <f t="shared" si="19"/>
        <v>2</v>
      </c>
      <c r="CW52" s="163">
        <f t="shared" si="19"/>
        <v>0</v>
      </c>
      <c r="CX52" s="163">
        <f t="shared" si="19"/>
        <v>0</v>
      </c>
      <c r="CY52" s="643">
        <f t="shared" si="19"/>
        <v>0</v>
      </c>
      <c r="CZ52" s="646">
        <f t="shared" si="19"/>
        <v>2</v>
      </c>
      <c r="DA52" s="645">
        <f t="shared" si="19"/>
        <v>0</v>
      </c>
      <c r="DB52" s="163">
        <f t="shared" si="19"/>
        <v>0</v>
      </c>
      <c r="DC52" s="163">
        <f t="shared" si="19"/>
        <v>0</v>
      </c>
      <c r="DD52" s="163">
        <f t="shared" si="19"/>
        <v>0</v>
      </c>
      <c r="DE52" s="644">
        <f t="shared" si="19"/>
        <v>0</v>
      </c>
      <c r="DF52" s="645">
        <f t="shared" si="19"/>
        <v>2</v>
      </c>
      <c r="DG52" s="163">
        <f t="shared" si="19"/>
        <v>2</v>
      </c>
      <c r="DH52" s="163">
        <f t="shared" si="19"/>
        <v>0</v>
      </c>
      <c r="DI52" s="163">
        <f t="shared" si="19"/>
        <v>0</v>
      </c>
      <c r="DJ52" s="643">
        <f t="shared" si="19"/>
        <v>0</v>
      </c>
      <c r="DK52" s="646">
        <f t="shared" si="19"/>
        <v>0</v>
      </c>
      <c r="DL52" s="645">
        <f t="shared" si="19"/>
        <v>0</v>
      </c>
      <c r="DM52" s="163">
        <f t="shared" si="19"/>
        <v>0</v>
      </c>
      <c r="DN52" s="163">
        <f t="shared" si="19"/>
        <v>0</v>
      </c>
      <c r="DO52" s="163">
        <f t="shared" si="19"/>
        <v>0</v>
      </c>
      <c r="DP52" s="644">
        <f t="shared" si="19"/>
        <v>0</v>
      </c>
      <c r="DQ52" s="645">
        <f t="shared" si="19"/>
        <v>0</v>
      </c>
      <c r="DR52" s="163">
        <f t="shared" si="19"/>
        <v>0</v>
      </c>
      <c r="DS52" s="163">
        <f t="shared" si="19"/>
        <v>0</v>
      </c>
      <c r="DT52" s="163">
        <f t="shared" si="19"/>
        <v>0</v>
      </c>
      <c r="DU52" s="643">
        <f t="shared" si="9"/>
        <v>0</v>
      </c>
      <c r="DW52" s="646">
        <f t="shared" si="15"/>
        <v>94</v>
      </c>
      <c r="DX52" s="645">
        <f t="shared" si="15"/>
        <v>30</v>
      </c>
      <c r="DY52" s="163">
        <f t="shared" si="15"/>
        <v>27</v>
      </c>
      <c r="DZ52" s="163">
        <f t="shared" si="15"/>
        <v>0</v>
      </c>
      <c r="EA52" s="163">
        <f t="shared" si="15"/>
        <v>3</v>
      </c>
      <c r="EB52" s="644">
        <f t="shared" si="15"/>
        <v>0</v>
      </c>
      <c r="EC52" s="645">
        <f t="shared" si="15"/>
        <v>64</v>
      </c>
      <c r="ED52" s="163">
        <f t="shared" si="15"/>
        <v>49</v>
      </c>
      <c r="EE52" s="163">
        <f t="shared" si="15"/>
        <v>0</v>
      </c>
      <c r="EF52" s="163">
        <f t="shared" si="14"/>
        <v>7</v>
      </c>
      <c r="EG52" s="643">
        <f t="shared" si="14"/>
        <v>8</v>
      </c>
      <c r="EH52" s="646">
        <f t="shared" si="6"/>
        <v>27</v>
      </c>
      <c r="EI52" s="645">
        <f t="shared" si="6"/>
        <v>10</v>
      </c>
      <c r="EJ52" s="163">
        <f t="shared" si="6"/>
        <v>8</v>
      </c>
      <c r="EK52" s="163">
        <f t="shared" si="6"/>
        <v>0</v>
      </c>
      <c r="EL52" s="163">
        <f t="shared" si="6"/>
        <v>2</v>
      </c>
      <c r="EM52" s="644">
        <f t="shared" si="6"/>
        <v>0</v>
      </c>
      <c r="EN52" s="645">
        <f t="shared" si="6"/>
        <v>17</v>
      </c>
      <c r="EO52" s="163">
        <f t="shared" si="6"/>
        <v>14</v>
      </c>
      <c r="EP52" s="163">
        <f t="shared" si="6"/>
        <v>0</v>
      </c>
      <c r="EQ52" s="163">
        <f t="shared" si="6"/>
        <v>3</v>
      </c>
      <c r="ER52" s="643">
        <f t="shared" si="6"/>
        <v>0</v>
      </c>
    </row>
    <row r="53" spans="1:148">
      <c r="A53" s="654" t="s">
        <v>228</v>
      </c>
      <c r="B53" s="658">
        <v>43132</v>
      </c>
      <c r="C53" s="659">
        <v>2018</v>
      </c>
      <c r="D53" s="646">
        <f t="shared" si="10"/>
        <v>165397</v>
      </c>
      <c r="E53" s="646">
        <f t="shared" si="11"/>
        <v>2747</v>
      </c>
      <c r="F53" s="645">
        <f t="shared" si="11"/>
        <v>928</v>
      </c>
      <c r="G53" s="163">
        <f t="shared" si="11"/>
        <v>754</v>
      </c>
      <c r="H53" s="163">
        <f t="shared" si="11"/>
        <v>0</v>
      </c>
      <c r="I53" s="163">
        <f t="shared" si="11"/>
        <v>174</v>
      </c>
      <c r="J53" s="644">
        <f t="shared" si="11"/>
        <v>0</v>
      </c>
      <c r="K53" s="645">
        <f t="shared" si="11"/>
        <v>1819</v>
      </c>
      <c r="L53" s="163">
        <f t="shared" si="11"/>
        <v>1251</v>
      </c>
      <c r="M53" s="163">
        <f t="shared" si="11"/>
        <v>0</v>
      </c>
      <c r="N53" s="163">
        <f t="shared" si="11"/>
        <v>359</v>
      </c>
      <c r="O53" s="643">
        <f t="shared" si="11"/>
        <v>209</v>
      </c>
      <c r="P53" s="646">
        <f t="shared" si="11"/>
        <v>5</v>
      </c>
      <c r="Q53" s="645">
        <f t="shared" si="11"/>
        <v>0</v>
      </c>
      <c r="R53" s="163">
        <f t="shared" si="11"/>
        <v>0</v>
      </c>
      <c r="S53" s="163">
        <f t="shared" si="11"/>
        <v>0</v>
      </c>
      <c r="T53" s="163">
        <f t="shared" si="11"/>
        <v>0</v>
      </c>
      <c r="U53" s="644">
        <f t="shared" si="18"/>
        <v>0</v>
      </c>
      <c r="V53" s="645">
        <f t="shared" si="18"/>
        <v>5</v>
      </c>
      <c r="W53" s="163">
        <f t="shared" si="18"/>
        <v>3</v>
      </c>
      <c r="X53" s="163">
        <f t="shared" si="18"/>
        <v>0</v>
      </c>
      <c r="Y53" s="163">
        <f t="shared" si="18"/>
        <v>1</v>
      </c>
      <c r="Z53" s="643">
        <f t="shared" si="18"/>
        <v>1</v>
      </c>
      <c r="AA53" s="646">
        <f t="shared" si="18"/>
        <v>4</v>
      </c>
      <c r="AB53" s="645">
        <f t="shared" si="18"/>
        <v>0</v>
      </c>
      <c r="AC53" s="163">
        <f t="shared" si="18"/>
        <v>0</v>
      </c>
      <c r="AD53" s="163">
        <f t="shared" si="18"/>
        <v>0</v>
      </c>
      <c r="AE53" s="163">
        <f t="shared" si="18"/>
        <v>0</v>
      </c>
      <c r="AF53" s="644">
        <f t="shared" si="18"/>
        <v>0</v>
      </c>
      <c r="AG53" s="645">
        <f t="shared" si="18"/>
        <v>4</v>
      </c>
      <c r="AH53" s="163">
        <f t="shared" si="18"/>
        <v>3</v>
      </c>
      <c r="AI53" s="163">
        <f t="shared" si="18"/>
        <v>0</v>
      </c>
      <c r="AJ53" s="163">
        <f t="shared" si="18"/>
        <v>0</v>
      </c>
      <c r="AK53" s="643">
        <f t="shared" si="18"/>
        <v>1</v>
      </c>
      <c r="AL53" s="646">
        <f t="shared" si="18"/>
        <v>27</v>
      </c>
      <c r="AM53" s="645">
        <f t="shared" si="18"/>
        <v>10</v>
      </c>
      <c r="AN53" s="163">
        <f t="shared" si="18"/>
        <v>8</v>
      </c>
      <c r="AO53" s="163">
        <f t="shared" si="18"/>
        <v>0</v>
      </c>
      <c r="AP53" s="163">
        <f t="shared" si="18"/>
        <v>2</v>
      </c>
      <c r="AQ53" s="644">
        <f t="shared" si="18"/>
        <v>0</v>
      </c>
      <c r="AR53" s="645">
        <f t="shared" si="20"/>
        <v>17</v>
      </c>
      <c r="AS53" s="163">
        <f t="shared" si="20"/>
        <v>14</v>
      </c>
      <c r="AT53" s="163">
        <f t="shared" si="20"/>
        <v>0</v>
      </c>
      <c r="AU53" s="163">
        <f t="shared" si="20"/>
        <v>3</v>
      </c>
      <c r="AV53" s="643">
        <f t="shared" si="20"/>
        <v>0</v>
      </c>
      <c r="AW53" s="646">
        <f t="shared" si="20"/>
        <v>24</v>
      </c>
      <c r="AX53" s="645">
        <f t="shared" si="20"/>
        <v>8</v>
      </c>
      <c r="AY53" s="163">
        <f t="shared" si="20"/>
        <v>7</v>
      </c>
      <c r="AZ53" s="163">
        <f t="shared" si="20"/>
        <v>0</v>
      </c>
      <c r="BA53" s="163">
        <f t="shared" si="20"/>
        <v>1</v>
      </c>
      <c r="BB53" s="644">
        <f t="shared" si="20"/>
        <v>0</v>
      </c>
      <c r="BC53" s="645">
        <f t="shared" si="20"/>
        <v>16</v>
      </c>
      <c r="BD53" s="163">
        <f t="shared" si="20"/>
        <v>14</v>
      </c>
      <c r="BE53" s="163">
        <f t="shared" si="20"/>
        <v>0</v>
      </c>
      <c r="BF53" s="163">
        <f t="shared" si="20"/>
        <v>0</v>
      </c>
      <c r="BG53" s="643">
        <f t="shared" si="20"/>
        <v>2</v>
      </c>
      <c r="BH53" s="646">
        <f t="shared" si="20"/>
        <v>15</v>
      </c>
      <c r="BI53" s="645">
        <f t="shared" si="20"/>
        <v>7</v>
      </c>
      <c r="BJ53" s="163">
        <f t="shared" si="20"/>
        <v>6</v>
      </c>
      <c r="BK53" s="163">
        <f t="shared" si="20"/>
        <v>0</v>
      </c>
      <c r="BL53" s="163">
        <f t="shared" si="20"/>
        <v>1</v>
      </c>
      <c r="BM53" s="644">
        <f t="shared" si="20"/>
        <v>0</v>
      </c>
      <c r="BN53" s="645">
        <f t="shared" si="20"/>
        <v>8</v>
      </c>
      <c r="BO53" s="163">
        <f t="shared" si="20"/>
        <v>6</v>
      </c>
      <c r="BP53" s="163">
        <f t="shared" si="20"/>
        <v>0</v>
      </c>
      <c r="BQ53" s="163">
        <f t="shared" si="20"/>
        <v>2</v>
      </c>
      <c r="BR53" s="643">
        <f t="shared" si="20"/>
        <v>0</v>
      </c>
      <c r="BS53" s="646">
        <f t="shared" si="20"/>
        <v>30</v>
      </c>
      <c r="BT53" s="645">
        <f t="shared" si="20"/>
        <v>7</v>
      </c>
      <c r="BU53" s="163">
        <f t="shared" si="20"/>
        <v>7</v>
      </c>
      <c r="BV53" s="163">
        <f t="shared" si="20"/>
        <v>0</v>
      </c>
      <c r="BW53" s="163">
        <f t="shared" si="20"/>
        <v>0</v>
      </c>
      <c r="BX53" s="644">
        <f t="shared" si="20"/>
        <v>0</v>
      </c>
      <c r="BY53" s="645">
        <f t="shared" si="20"/>
        <v>23</v>
      </c>
      <c r="BZ53" s="163">
        <f t="shared" si="20"/>
        <v>15</v>
      </c>
      <c r="CA53" s="163">
        <f t="shared" si="20"/>
        <v>0</v>
      </c>
      <c r="CB53" s="163">
        <f t="shared" si="20"/>
        <v>4</v>
      </c>
      <c r="CC53" s="643">
        <f t="shared" si="20"/>
        <v>4</v>
      </c>
      <c r="CD53" s="646">
        <f t="shared" si="20"/>
        <v>10</v>
      </c>
      <c r="CE53" s="645">
        <f t="shared" si="20"/>
        <v>6</v>
      </c>
      <c r="CF53" s="163">
        <f t="shared" si="20"/>
        <v>5</v>
      </c>
      <c r="CG53" s="163">
        <f t="shared" si="20"/>
        <v>0</v>
      </c>
      <c r="CH53" s="163">
        <f t="shared" si="20"/>
        <v>1</v>
      </c>
      <c r="CI53" s="644">
        <f t="shared" si="20"/>
        <v>0</v>
      </c>
      <c r="CJ53" s="645">
        <f t="shared" si="20"/>
        <v>4</v>
      </c>
      <c r="CK53" s="163">
        <f t="shared" si="20"/>
        <v>4</v>
      </c>
      <c r="CL53" s="163">
        <f t="shared" si="20"/>
        <v>0</v>
      </c>
      <c r="CM53" s="163">
        <f t="shared" si="20"/>
        <v>0</v>
      </c>
      <c r="CN53" s="643">
        <f t="shared" si="20"/>
        <v>0</v>
      </c>
      <c r="CO53" s="646">
        <f t="shared" si="20"/>
        <v>4</v>
      </c>
      <c r="CP53" s="645">
        <f t="shared" si="20"/>
        <v>2</v>
      </c>
      <c r="CQ53" s="163">
        <f t="shared" si="20"/>
        <v>2</v>
      </c>
      <c r="CR53" s="163">
        <f t="shared" si="20"/>
        <v>0</v>
      </c>
      <c r="CS53" s="163">
        <f t="shared" si="20"/>
        <v>0</v>
      </c>
      <c r="CT53" s="644">
        <f t="shared" si="20"/>
        <v>0</v>
      </c>
      <c r="CU53" s="645">
        <f t="shared" si="19"/>
        <v>2</v>
      </c>
      <c r="CV53" s="163">
        <f t="shared" si="19"/>
        <v>2</v>
      </c>
      <c r="CW53" s="163">
        <f t="shared" si="19"/>
        <v>0</v>
      </c>
      <c r="CX53" s="163">
        <f t="shared" si="19"/>
        <v>0</v>
      </c>
      <c r="CY53" s="643">
        <f t="shared" si="19"/>
        <v>0</v>
      </c>
      <c r="CZ53" s="646">
        <f t="shared" si="19"/>
        <v>2</v>
      </c>
      <c r="DA53" s="645">
        <f t="shared" si="19"/>
        <v>0</v>
      </c>
      <c r="DB53" s="163">
        <f t="shared" si="19"/>
        <v>0</v>
      </c>
      <c r="DC53" s="163">
        <f t="shared" si="19"/>
        <v>0</v>
      </c>
      <c r="DD53" s="163">
        <f t="shared" si="19"/>
        <v>0</v>
      </c>
      <c r="DE53" s="644">
        <f t="shared" si="19"/>
        <v>0</v>
      </c>
      <c r="DF53" s="645">
        <f t="shared" si="19"/>
        <v>2</v>
      </c>
      <c r="DG53" s="163">
        <f t="shared" si="19"/>
        <v>2</v>
      </c>
      <c r="DH53" s="163">
        <f t="shared" si="19"/>
        <v>0</v>
      </c>
      <c r="DI53" s="163">
        <f t="shared" si="19"/>
        <v>0</v>
      </c>
      <c r="DJ53" s="643">
        <f t="shared" si="19"/>
        <v>0</v>
      </c>
      <c r="DK53" s="646">
        <f t="shared" si="19"/>
        <v>0</v>
      </c>
      <c r="DL53" s="645">
        <f t="shared" si="19"/>
        <v>0</v>
      </c>
      <c r="DM53" s="163">
        <f t="shared" si="19"/>
        <v>0</v>
      </c>
      <c r="DN53" s="163">
        <f t="shared" si="19"/>
        <v>0</v>
      </c>
      <c r="DO53" s="163">
        <f t="shared" si="19"/>
        <v>0</v>
      </c>
      <c r="DP53" s="644">
        <f t="shared" si="19"/>
        <v>0</v>
      </c>
      <c r="DQ53" s="645">
        <f t="shared" si="19"/>
        <v>0</v>
      </c>
      <c r="DR53" s="163">
        <f t="shared" si="19"/>
        <v>0</v>
      </c>
      <c r="DS53" s="163">
        <f t="shared" si="19"/>
        <v>0</v>
      </c>
      <c r="DT53" s="163">
        <f t="shared" si="19"/>
        <v>0</v>
      </c>
      <c r="DU53" s="643">
        <f t="shared" si="9"/>
        <v>0</v>
      </c>
      <c r="DW53" s="646">
        <f t="shared" si="15"/>
        <v>94</v>
      </c>
      <c r="DX53" s="645">
        <f t="shared" si="15"/>
        <v>30</v>
      </c>
      <c r="DY53" s="163">
        <f t="shared" si="15"/>
        <v>27</v>
      </c>
      <c r="DZ53" s="163">
        <f t="shared" si="15"/>
        <v>0</v>
      </c>
      <c r="EA53" s="163">
        <f t="shared" si="15"/>
        <v>3</v>
      </c>
      <c r="EB53" s="644">
        <f t="shared" si="15"/>
        <v>0</v>
      </c>
      <c r="EC53" s="645">
        <f t="shared" si="15"/>
        <v>64</v>
      </c>
      <c r="ED53" s="163">
        <f t="shared" si="15"/>
        <v>49</v>
      </c>
      <c r="EE53" s="163">
        <f t="shared" si="15"/>
        <v>0</v>
      </c>
      <c r="EF53" s="163">
        <f t="shared" si="14"/>
        <v>7</v>
      </c>
      <c r="EG53" s="643">
        <f t="shared" si="14"/>
        <v>8</v>
      </c>
      <c r="EH53" s="646">
        <f t="shared" si="6"/>
        <v>27</v>
      </c>
      <c r="EI53" s="645">
        <f t="shared" si="6"/>
        <v>10</v>
      </c>
      <c r="EJ53" s="163">
        <f t="shared" si="6"/>
        <v>8</v>
      </c>
      <c r="EK53" s="163">
        <f t="shared" si="6"/>
        <v>0</v>
      </c>
      <c r="EL53" s="163">
        <f t="shared" si="6"/>
        <v>2</v>
      </c>
      <c r="EM53" s="644">
        <f t="shared" si="6"/>
        <v>0</v>
      </c>
      <c r="EN53" s="645">
        <f t="shared" si="6"/>
        <v>17</v>
      </c>
      <c r="EO53" s="163">
        <f t="shared" si="6"/>
        <v>14</v>
      </c>
      <c r="EP53" s="163">
        <f t="shared" si="6"/>
        <v>0</v>
      </c>
      <c r="EQ53" s="163">
        <f t="shared" si="6"/>
        <v>3</v>
      </c>
      <c r="ER53" s="643">
        <f t="shared" si="6"/>
        <v>0</v>
      </c>
    </row>
    <row r="54" spans="1:148">
      <c r="A54" s="654" t="s">
        <v>228</v>
      </c>
      <c r="B54" s="658">
        <v>43160</v>
      </c>
      <c r="C54" s="659">
        <v>2018</v>
      </c>
      <c r="D54" s="646">
        <f t="shared" si="10"/>
        <v>165397</v>
      </c>
      <c r="E54" s="646">
        <f t="shared" si="11"/>
        <v>2747</v>
      </c>
      <c r="F54" s="645">
        <f t="shared" si="11"/>
        <v>928</v>
      </c>
      <c r="G54" s="163">
        <f t="shared" si="11"/>
        <v>754</v>
      </c>
      <c r="H54" s="163">
        <f t="shared" si="11"/>
        <v>0</v>
      </c>
      <c r="I54" s="163">
        <f t="shared" si="11"/>
        <v>174</v>
      </c>
      <c r="J54" s="644">
        <f t="shared" si="11"/>
        <v>0</v>
      </c>
      <c r="K54" s="645">
        <f t="shared" si="11"/>
        <v>1819</v>
      </c>
      <c r="L54" s="163">
        <f t="shared" si="11"/>
        <v>1251</v>
      </c>
      <c r="M54" s="163">
        <f t="shared" si="11"/>
        <v>0</v>
      </c>
      <c r="N54" s="163">
        <f t="shared" si="11"/>
        <v>359</v>
      </c>
      <c r="O54" s="643">
        <f t="shared" si="11"/>
        <v>209</v>
      </c>
      <c r="P54" s="646">
        <f t="shared" si="11"/>
        <v>5</v>
      </c>
      <c r="Q54" s="645">
        <f t="shared" si="11"/>
        <v>0</v>
      </c>
      <c r="R54" s="163">
        <f t="shared" si="11"/>
        <v>0</v>
      </c>
      <c r="S54" s="163">
        <f t="shared" si="11"/>
        <v>0</v>
      </c>
      <c r="T54" s="163">
        <f t="shared" si="11"/>
        <v>0</v>
      </c>
      <c r="U54" s="644">
        <f t="shared" si="18"/>
        <v>0</v>
      </c>
      <c r="V54" s="645">
        <f t="shared" si="18"/>
        <v>5</v>
      </c>
      <c r="W54" s="163">
        <f t="shared" si="18"/>
        <v>3</v>
      </c>
      <c r="X54" s="163">
        <f t="shared" si="18"/>
        <v>0</v>
      </c>
      <c r="Y54" s="163">
        <f t="shared" si="18"/>
        <v>1</v>
      </c>
      <c r="Z54" s="643">
        <f t="shared" si="18"/>
        <v>1</v>
      </c>
      <c r="AA54" s="646">
        <f t="shared" si="18"/>
        <v>4</v>
      </c>
      <c r="AB54" s="645">
        <f t="shared" si="18"/>
        <v>0</v>
      </c>
      <c r="AC54" s="163">
        <f t="shared" si="18"/>
        <v>0</v>
      </c>
      <c r="AD54" s="163">
        <f t="shared" si="18"/>
        <v>0</v>
      </c>
      <c r="AE54" s="163">
        <f t="shared" si="18"/>
        <v>0</v>
      </c>
      <c r="AF54" s="644">
        <f t="shared" si="18"/>
        <v>0</v>
      </c>
      <c r="AG54" s="645">
        <f t="shared" si="18"/>
        <v>4</v>
      </c>
      <c r="AH54" s="163">
        <f t="shared" si="18"/>
        <v>3</v>
      </c>
      <c r="AI54" s="163">
        <f t="shared" si="18"/>
        <v>0</v>
      </c>
      <c r="AJ54" s="163">
        <f t="shared" si="18"/>
        <v>0</v>
      </c>
      <c r="AK54" s="643">
        <f t="shared" si="18"/>
        <v>1</v>
      </c>
      <c r="AL54" s="646">
        <f t="shared" si="18"/>
        <v>27</v>
      </c>
      <c r="AM54" s="645">
        <f t="shared" si="18"/>
        <v>10</v>
      </c>
      <c r="AN54" s="163">
        <f t="shared" si="18"/>
        <v>8</v>
      </c>
      <c r="AO54" s="163">
        <f t="shared" si="18"/>
        <v>0</v>
      </c>
      <c r="AP54" s="163">
        <f t="shared" si="18"/>
        <v>2</v>
      </c>
      <c r="AQ54" s="644">
        <f t="shared" si="18"/>
        <v>0</v>
      </c>
      <c r="AR54" s="645">
        <f t="shared" si="20"/>
        <v>17</v>
      </c>
      <c r="AS54" s="163">
        <f t="shared" si="20"/>
        <v>14</v>
      </c>
      <c r="AT54" s="163">
        <f t="shared" si="20"/>
        <v>0</v>
      </c>
      <c r="AU54" s="163">
        <f t="shared" si="20"/>
        <v>3</v>
      </c>
      <c r="AV54" s="643">
        <f t="shared" si="20"/>
        <v>0</v>
      </c>
      <c r="AW54" s="646">
        <f t="shared" si="20"/>
        <v>24</v>
      </c>
      <c r="AX54" s="645">
        <f t="shared" si="20"/>
        <v>8</v>
      </c>
      <c r="AY54" s="163">
        <f t="shared" si="20"/>
        <v>7</v>
      </c>
      <c r="AZ54" s="163">
        <f t="shared" si="20"/>
        <v>0</v>
      </c>
      <c r="BA54" s="163">
        <f t="shared" si="20"/>
        <v>1</v>
      </c>
      <c r="BB54" s="644">
        <f t="shared" si="20"/>
        <v>0</v>
      </c>
      <c r="BC54" s="645">
        <f t="shared" si="20"/>
        <v>16</v>
      </c>
      <c r="BD54" s="163">
        <f t="shared" si="20"/>
        <v>14</v>
      </c>
      <c r="BE54" s="163">
        <f t="shared" si="20"/>
        <v>0</v>
      </c>
      <c r="BF54" s="163">
        <f t="shared" si="20"/>
        <v>0</v>
      </c>
      <c r="BG54" s="643">
        <f t="shared" si="20"/>
        <v>2</v>
      </c>
      <c r="BH54" s="646">
        <f t="shared" si="20"/>
        <v>15</v>
      </c>
      <c r="BI54" s="645">
        <f t="shared" si="20"/>
        <v>7</v>
      </c>
      <c r="BJ54" s="163">
        <f t="shared" si="20"/>
        <v>6</v>
      </c>
      <c r="BK54" s="163">
        <f t="shared" si="20"/>
        <v>0</v>
      </c>
      <c r="BL54" s="163">
        <f t="shared" si="20"/>
        <v>1</v>
      </c>
      <c r="BM54" s="644">
        <f t="shared" si="20"/>
        <v>0</v>
      </c>
      <c r="BN54" s="645">
        <f t="shared" si="20"/>
        <v>8</v>
      </c>
      <c r="BO54" s="163">
        <f t="shared" si="20"/>
        <v>6</v>
      </c>
      <c r="BP54" s="163">
        <f t="shared" si="20"/>
        <v>0</v>
      </c>
      <c r="BQ54" s="163">
        <f t="shared" si="20"/>
        <v>2</v>
      </c>
      <c r="BR54" s="643">
        <f t="shared" si="20"/>
        <v>0</v>
      </c>
      <c r="BS54" s="646">
        <f t="shared" si="20"/>
        <v>30</v>
      </c>
      <c r="BT54" s="645">
        <f t="shared" si="20"/>
        <v>7</v>
      </c>
      <c r="BU54" s="163">
        <f t="shared" si="20"/>
        <v>7</v>
      </c>
      <c r="BV54" s="163">
        <f t="shared" si="20"/>
        <v>0</v>
      </c>
      <c r="BW54" s="163">
        <f t="shared" si="20"/>
        <v>0</v>
      </c>
      <c r="BX54" s="644">
        <f t="shared" si="20"/>
        <v>0</v>
      </c>
      <c r="BY54" s="645">
        <f t="shared" si="20"/>
        <v>23</v>
      </c>
      <c r="BZ54" s="163">
        <f t="shared" si="20"/>
        <v>15</v>
      </c>
      <c r="CA54" s="163">
        <f t="shared" si="20"/>
        <v>0</v>
      </c>
      <c r="CB54" s="163">
        <f t="shared" si="20"/>
        <v>4</v>
      </c>
      <c r="CC54" s="643">
        <f t="shared" si="20"/>
        <v>4</v>
      </c>
      <c r="CD54" s="646">
        <f t="shared" si="20"/>
        <v>10</v>
      </c>
      <c r="CE54" s="645">
        <f t="shared" si="20"/>
        <v>6</v>
      </c>
      <c r="CF54" s="163">
        <f t="shared" si="20"/>
        <v>5</v>
      </c>
      <c r="CG54" s="163">
        <f t="shared" si="20"/>
        <v>0</v>
      </c>
      <c r="CH54" s="163">
        <f t="shared" si="20"/>
        <v>1</v>
      </c>
      <c r="CI54" s="644">
        <f t="shared" si="20"/>
        <v>0</v>
      </c>
      <c r="CJ54" s="645">
        <f t="shared" si="20"/>
        <v>4</v>
      </c>
      <c r="CK54" s="163">
        <f t="shared" si="20"/>
        <v>4</v>
      </c>
      <c r="CL54" s="163">
        <f t="shared" si="20"/>
        <v>0</v>
      </c>
      <c r="CM54" s="163">
        <f t="shared" si="20"/>
        <v>0</v>
      </c>
      <c r="CN54" s="643">
        <f t="shared" si="20"/>
        <v>0</v>
      </c>
      <c r="CO54" s="646">
        <f t="shared" si="20"/>
        <v>4</v>
      </c>
      <c r="CP54" s="645">
        <f t="shared" si="20"/>
        <v>2</v>
      </c>
      <c r="CQ54" s="163">
        <f t="shared" si="20"/>
        <v>2</v>
      </c>
      <c r="CR54" s="163">
        <f t="shared" si="20"/>
        <v>0</v>
      </c>
      <c r="CS54" s="163">
        <f t="shared" si="20"/>
        <v>0</v>
      </c>
      <c r="CT54" s="644">
        <f t="shared" si="20"/>
        <v>0</v>
      </c>
      <c r="CU54" s="645">
        <f t="shared" si="19"/>
        <v>2</v>
      </c>
      <c r="CV54" s="163">
        <f t="shared" si="19"/>
        <v>2</v>
      </c>
      <c r="CW54" s="163">
        <f t="shared" si="19"/>
        <v>0</v>
      </c>
      <c r="CX54" s="163">
        <f t="shared" si="19"/>
        <v>0</v>
      </c>
      <c r="CY54" s="643">
        <f t="shared" si="19"/>
        <v>0</v>
      </c>
      <c r="CZ54" s="646">
        <f t="shared" si="19"/>
        <v>2</v>
      </c>
      <c r="DA54" s="645">
        <f t="shared" si="19"/>
        <v>0</v>
      </c>
      <c r="DB54" s="163">
        <f t="shared" si="19"/>
        <v>0</v>
      </c>
      <c r="DC54" s="163">
        <f t="shared" si="19"/>
        <v>0</v>
      </c>
      <c r="DD54" s="163">
        <f t="shared" si="19"/>
        <v>0</v>
      </c>
      <c r="DE54" s="644">
        <f t="shared" si="19"/>
        <v>0</v>
      </c>
      <c r="DF54" s="645">
        <f t="shared" si="19"/>
        <v>2</v>
      </c>
      <c r="DG54" s="163">
        <f t="shared" si="19"/>
        <v>2</v>
      </c>
      <c r="DH54" s="163">
        <f t="shared" si="19"/>
        <v>0</v>
      </c>
      <c r="DI54" s="163">
        <f t="shared" si="19"/>
        <v>0</v>
      </c>
      <c r="DJ54" s="643">
        <f t="shared" si="19"/>
        <v>0</v>
      </c>
      <c r="DK54" s="646">
        <f t="shared" si="19"/>
        <v>0</v>
      </c>
      <c r="DL54" s="645">
        <f t="shared" si="19"/>
        <v>0</v>
      </c>
      <c r="DM54" s="163">
        <f t="shared" si="19"/>
        <v>0</v>
      </c>
      <c r="DN54" s="163">
        <f t="shared" si="19"/>
        <v>0</v>
      </c>
      <c r="DO54" s="163">
        <f t="shared" si="19"/>
        <v>0</v>
      </c>
      <c r="DP54" s="644">
        <f t="shared" si="19"/>
        <v>0</v>
      </c>
      <c r="DQ54" s="645">
        <f t="shared" si="19"/>
        <v>0</v>
      </c>
      <c r="DR54" s="163">
        <f t="shared" si="19"/>
        <v>0</v>
      </c>
      <c r="DS54" s="163">
        <f t="shared" si="19"/>
        <v>0</v>
      </c>
      <c r="DT54" s="163">
        <f t="shared" si="19"/>
        <v>0</v>
      </c>
      <c r="DU54" s="643">
        <f t="shared" si="9"/>
        <v>0</v>
      </c>
      <c r="DW54" s="646">
        <f t="shared" si="15"/>
        <v>94</v>
      </c>
      <c r="DX54" s="645">
        <f t="shared" si="15"/>
        <v>30</v>
      </c>
      <c r="DY54" s="163">
        <f t="shared" si="15"/>
        <v>27</v>
      </c>
      <c r="DZ54" s="163">
        <f t="shared" si="15"/>
        <v>0</v>
      </c>
      <c r="EA54" s="163">
        <f t="shared" si="15"/>
        <v>3</v>
      </c>
      <c r="EB54" s="644">
        <f t="shared" si="15"/>
        <v>0</v>
      </c>
      <c r="EC54" s="645">
        <f t="shared" si="15"/>
        <v>64</v>
      </c>
      <c r="ED54" s="163">
        <f t="shared" si="15"/>
        <v>49</v>
      </c>
      <c r="EE54" s="163">
        <f t="shared" si="15"/>
        <v>0</v>
      </c>
      <c r="EF54" s="163">
        <f t="shared" si="14"/>
        <v>7</v>
      </c>
      <c r="EG54" s="643">
        <f t="shared" si="14"/>
        <v>8</v>
      </c>
      <c r="EH54" s="646">
        <f t="shared" si="6"/>
        <v>27</v>
      </c>
      <c r="EI54" s="645">
        <f t="shared" si="6"/>
        <v>10</v>
      </c>
      <c r="EJ54" s="163">
        <f t="shared" si="6"/>
        <v>8</v>
      </c>
      <c r="EK54" s="163">
        <f t="shared" si="6"/>
        <v>0</v>
      </c>
      <c r="EL54" s="163">
        <f t="shared" si="6"/>
        <v>2</v>
      </c>
      <c r="EM54" s="644">
        <f t="shared" si="6"/>
        <v>0</v>
      </c>
      <c r="EN54" s="645">
        <f t="shared" si="6"/>
        <v>17</v>
      </c>
      <c r="EO54" s="163">
        <f t="shared" si="6"/>
        <v>14</v>
      </c>
      <c r="EP54" s="163">
        <f t="shared" si="6"/>
        <v>0</v>
      </c>
      <c r="EQ54" s="163">
        <f t="shared" si="6"/>
        <v>3</v>
      </c>
      <c r="ER54" s="643">
        <f t="shared" si="6"/>
        <v>0</v>
      </c>
    </row>
    <row r="55" spans="1:148">
      <c r="A55" s="654" t="s">
        <v>229</v>
      </c>
      <c r="B55" s="658">
        <v>43191</v>
      </c>
      <c r="C55" s="659">
        <v>2018</v>
      </c>
      <c r="D55" s="646">
        <f t="shared" si="10"/>
        <v>239881</v>
      </c>
      <c r="E55" s="646">
        <f t="shared" si="11"/>
        <v>6949</v>
      </c>
      <c r="F55" s="645">
        <f t="shared" si="11"/>
        <v>3617</v>
      </c>
      <c r="G55" s="163">
        <f t="shared" si="11"/>
        <v>3306</v>
      </c>
      <c r="H55" s="163">
        <f t="shared" si="11"/>
        <v>0</v>
      </c>
      <c r="I55" s="163">
        <f t="shared" si="11"/>
        <v>311</v>
      </c>
      <c r="J55" s="644">
        <f t="shared" si="11"/>
        <v>0</v>
      </c>
      <c r="K55" s="645">
        <f t="shared" si="11"/>
        <v>3332</v>
      </c>
      <c r="L55" s="163">
        <f t="shared" si="11"/>
        <v>2218</v>
      </c>
      <c r="M55" s="163">
        <f t="shared" si="11"/>
        <v>0</v>
      </c>
      <c r="N55" s="163">
        <f t="shared" si="11"/>
        <v>707</v>
      </c>
      <c r="O55" s="643">
        <f t="shared" si="11"/>
        <v>407</v>
      </c>
      <c r="P55" s="646">
        <f t="shared" si="11"/>
        <v>13</v>
      </c>
      <c r="Q55" s="645">
        <f t="shared" si="11"/>
        <v>8</v>
      </c>
      <c r="R55" s="163">
        <f t="shared" si="11"/>
        <v>7</v>
      </c>
      <c r="S55" s="163">
        <f t="shared" si="11"/>
        <v>0</v>
      </c>
      <c r="T55" s="163">
        <f t="shared" si="11"/>
        <v>1</v>
      </c>
      <c r="U55" s="644">
        <f t="shared" si="18"/>
        <v>0</v>
      </c>
      <c r="V55" s="645">
        <f t="shared" si="18"/>
        <v>5</v>
      </c>
      <c r="W55" s="163">
        <f t="shared" si="18"/>
        <v>3</v>
      </c>
      <c r="X55" s="163">
        <f t="shared" si="18"/>
        <v>0</v>
      </c>
      <c r="Y55" s="163">
        <f t="shared" si="18"/>
        <v>1</v>
      </c>
      <c r="Z55" s="643">
        <f t="shared" si="18"/>
        <v>1</v>
      </c>
      <c r="AA55" s="646">
        <f t="shared" si="18"/>
        <v>13</v>
      </c>
      <c r="AB55" s="645">
        <f t="shared" si="18"/>
        <v>5</v>
      </c>
      <c r="AC55" s="163">
        <f t="shared" si="18"/>
        <v>4</v>
      </c>
      <c r="AD55" s="163">
        <f t="shared" si="18"/>
        <v>0</v>
      </c>
      <c r="AE55" s="163">
        <f t="shared" si="18"/>
        <v>1</v>
      </c>
      <c r="AF55" s="644">
        <f t="shared" si="18"/>
        <v>0</v>
      </c>
      <c r="AG55" s="645">
        <f t="shared" si="18"/>
        <v>8</v>
      </c>
      <c r="AH55" s="163">
        <f t="shared" si="18"/>
        <v>7</v>
      </c>
      <c r="AI55" s="163">
        <f t="shared" si="18"/>
        <v>0</v>
      </c>
      <c r="AJ55" s="163">
        <f t="shared" si="18"/>
        <v>0</v>
      </c>
      <c r="AK55" s="643">
        <f t="shared" si="18"/>
        <v>1</v>
      </c>
      <c r="AL55" s="646">
        <f t="shared" si="18"/>
        <v>56</v>
      </c>
      <c r="AM55" s="645">
        <f t="shared" si="18"/>
        <v>30</v>
      </c>
      <c r="AN55" s="163">
        <f t="shared" si="18"/>
        <v>28</v>
      </c>
      <c r="AO55" s="163">
        <f t="shared" si="18"/>
        <v>0</v>
      </c>
      <c r="AP55" s="163">
        <f t="shared" si="18"/>
        <v>2</v>
      </c>
      <c r="AQ55" s="644">
        <f t="shared" si="18"/>
        <v>0</v>
      </c>
      <c r="AR55" s="645">
        <f t="shared" si="20"/>
        <v>26</v>
      </c>
      <c r="AS55" s="163">
        <f t="shared" si="20"/>
        <v>17</v>
      </c>
      <c r="AT55" s="163">
        <f t="shared" si="20"/>
        <v>0</v>
      </c>
      <c r="AU55" s="163">
        <f t="shared" si="20"/>
        <v>7</v>
      </c>
      <c r="AV55" s="643">
        <f t="shared" si="20"/>
        <v>2</v>
      </c>
      <c r="AW55" s="646">
        <f t="shared" si="20"/>
        <v>41</v>
      </c>
      <c r="AX55" s="645">
        <f t="shared" si="20"/>
        <v>20</v>
      </c>
      <c r="AY55" s="163">
        <f t="shared" si="20"/>
        <v>18</v>
      </c>
      <c r="AZ55" s="163">
        <f t="shared" si="20"/>
        <v>0</v>
      </c>
      <c r="BA55" s="163">
        <f t="shared" si="20"/>
        <v>2</v>
      </c>
      <c r="BB55" s="644">
        <f t="shared" si="20"/>
        <v>0</v>
      </c>
      <c r="BC55" s="645">
        <f t="shared" si="20"/>
        <v>21</v>
      </c>
      <c r="BD55" s="163">
        <f t="shared" si="20"/>
        <v>16</v>
      </c>
      <c r="BE55" s="163">
        <f t="shared" si="20"/>
        <v>0</v>
      </c>
      <c r="BF55" s="163">
        <f t="shared" si="20"/>
        <v>3</v>
      </c>
      <c r="BG55" s="643">
        <f t="shared" si="20"/>
        <v>2</v>
      </c>
      <c r="BH55" s="646">
        <f t="shared" si="20"/>
        <v>53</v>
      </c>
      <c r="BI55" s="645">
        <f t="shared" si="20"/>
        <v>33</v>
      </c>
      <c r="BJ55" s="163">
        <f t="shared" si="20"/>
        <v>31</v>
      </c>
      <c r="BK55" s="163">
        <f t="shared" si="20"/>
        <v>0</v>
      </c>
      <c r="BL55" s="163">
        <f t="shared" si="20"/>
        <v>2</v>
      </c>
      <c r="BM55" s="644">
        <f t="shared" si="20"/>
        <v>0</v>
      </c>
      <c r="BN55" s="645">
        <f t="shared" si="20"/>
        <v>20</v>
      </c>
      <c r="BO55" s="163">
        <f t="shared" si="20"/>
        <v>12</v>
      </c>
      <c r="BP55" s="163">
        <f t="shared" si="20"/>
        <v>0</v>
      </c>
      <c r="BQ55" s="163">
        <f t="shared" si="20"/>
        <v>7</v>
      </c>
      <c r="BR55" s="643">
        <f t="shared" si="20"/>
        <v>1</v>
      </c>
      <c r="BS55" s="646">
        <f t="shared" si="20"/>
        <v>75</v>
      </c>
      <c r="BT55" s="645">
        <f t="shared" si="20"/>
        <v>41</v>
      </c>
      <c r="BU55" s="163">
        <f t="shared" si="20"/>
        <v>40</v>
      </c>
      <c r="BV55" s="163">
        <f t="shared" si="20"/>
        <v>0</v>
      </c>
      <c r="BW55" s="163">
        <f t="shared" si="20"/>
        <v>1</v>
      </c>
      <c r="BX55" s="644">
        <f t="shared" si="20"/>
        <v>0</v>
      </c>
      <c r="BY55" s="645">
        <f t="shared" si="20"/>
        <v>34</v>
      </c>
      <c r="BZ55" s="163">
        <f t="shared" si="20"/>
        <v>20</v>
      </c>
      <c r="CA55" s="163">
        <f t="shared" si="20"/>
        <v>0</v>
      </c>
      <c r="CB55" s="163">
        <f t="shared" si="20"/>
        <v>9</v>
      </c>
      <c r="CC55" s="643">
        <f t="shared" si="20"/>
        <v>5</v>
      </c>
      <c r="CD55" s="646">
        <f t="shared" si="20"/>
        <v>18</v>
      </c>
      <c r="CE55" s="645">
        <f t="shared" si="20"/>
        <v>11</v>
      </c>
      <c r="CF55" s="163">
        <f t="shared" si="20"/>
        <v>11</v>
      </c>
      <c r="CG55" s="163">
        <f t="shared" si="20"/>
        <v>0</v>
      </c>
      <c r="CH55" s="163">
        <f t="shared" si="20"/>
        <v>0</v>
      </c>
      <c r="CI55" s="644">
        <f t="shared" si="20"/>
        <v>0</v>
      </c>
      <c r="CJ55" s="645">
        <f t="shared" si="20"/>
        <v>7</v>
      </c>
      <c r="CK55" s="163">
        <f t="shared" si="20"/>
        <v>5</v>
      </c>
      <c r="CL55" s="163">
        <f t="shared" si="20"/>
        <v>0</v>
      </c>
      <c r="CM55" s="163">
        <f t="shared" si="20"/>
        <v>1</v>
      </c>
      <c r="CN55" s="643">
        <f t="shared" si="20"/>
        <v>1</v>
      </c>
      <c r="CO55" s="646">
        <f t="shared" si="20"/>
        <v>20</v>
      </c>
      <c r="CP55" s="645">
        <f t="shared" si="20"/>
        <v>10</v>
      </c>
      <c r="CQ55" s="163">
        <f t="shared" si="20"/>
        <v>10</v>
      </c>
      <c r="CR55" s="163">
        <f t="shared" si="20"/>
        <v>0</v>
      </c>
      <c r="CS55" s="163">
        <f t="shared" si="20"/>
        <v>0</v>
      </c>
      <c r="CT55" s="644">
        <f t="shared" si="20"/>
        <v>0</v>
      </c>
      <c r="CU55" s="645">
        <f t="shared" si="20"/>
        <v>10</v>
      </c>
      <c r="CV55" s="163">
        <f t="shared" si="20"/>
        <v>9</v>
      </c>
      <c r="CW55" s="163">
        <f t="shared" si="20"/>
        <v>0</v>
      </c>
      <c r="CX55" s="163">
        <f t="shared" si="20"/>
        <v>1</v>
      </c>
      <c r="CY55" s="643">
        <f t="shared" si="20"/>
        <v>0</v>
      </c>
      <c r="CZ55" s="646">
        <f t="shared" si="20"/>
        <v>1</v>
      </c>
      <c r="DA55" s="645">
        <f t="shared" si="20"/>
        <v>0</v>
      </c>
      <c r="DB55" s="163">
        <f t="shared" si="20"/>
        <v>0</v>
      </c>
      <c r="DC55" s="163">
        <f t="shared" si="20"/>
        <v>0</v>
      </c>
      <c r="DD55" s="163">
        <f t="shared" si="19"/>
        <v>0</v>
      </c>
      <c r="DE55" s="644">
        <f t="shared" si="19"/>
        <v>0</v>
      </c>
      <c r="DF55" s="645">
        <f t="shared" si="19"/>
        <v>1</v>
      </c>
      <c r="DG55" s="163">
        <f t="shared" si="19"/>
        <v>1</v>
      </c>
      <c r="DH55" s="163">
        <f t="shared" si="19"/>
        <v>0</v>
      </c>
      <c r="DI55" s="163">
        <f t="shared" si="19"/>
        <v>0</v>
      </c>
      <c r="DJ55" s="643">
        <f t="shared" si="19"/>
        <v>0</v>
      </c>
      <c r="DK55" s="646">
        <f t="shared" si="19"/>
        <v>0</v>
      </c>
      <c r="DL55" s="645">
        <f t="shared" si="19"/>
        <v>0</v>
      </c>
      <c r="DM55" s="163">
        <f t="shared" si="19"/>
        <v>0</v>
      </c>
      <c r="DN55" s="163">
        <f t="shared" si="19"/>
        <v>0</v>
      </c>
      <c r="DO55" s="163">
        <f t="shared" si="19"/>
        <v>0</v>
      </c>
      <c r="DP55" s="644">
        <f t="shared" si="19"/>
        <v>0</v>
      </c>
      <c r="DQ55" s="645">
        <f t="shared" si="19"/>
        <v>0</v>
      </c>
      <c r="DR55" s="163">
        <f t="shared" si="19"/>
        <v>0</v>
      </c>
      <c r="DS55" s="163">
        <f t="shared" si="19"/>
        <v>0</v>
      </c>
      <c r="DT55" s="163">
        <f t="shared" si="19"/>
        <v>0</v>
      </c>
      <c r="DU55" s="643">
        <f t="shared" si="9"/>
        <v>0</v>
      </c>
      <c r="DW55" s="646">
        <f t="shared" si="15"/>
        <v>234</v>
      </c>
      <c r="DX55" s="645">
        <f t="shared" si="15"/>
        <v>128</v>
      </c>
      <c r="DY55" s="163">
        <f t="shared" si="15"/>
        <v>121</v>
      </c>
      <c r="DZ55" s="163">
        <f t="shared" si="15"/>
        <v>0</v>
      </c>
      <c r="EA55" s="163">
        <f t="shared" si="15"/>
        <v>7</v>
      </c>
      <c r="EB55" s="644">
        <f t="shared" si="15"/>
        <v>0</v>
      </c>
      <c r="EC55" s="645">
        <f t="shared" si="15"/>
        <v>106</v>
      </c>
      <c r="ED55" s="163">
        <f t="shared" si="15"/>
        <v>73</v>
      </c>
      <c r="EE55" s="163">
        <f t="shared" si="15"/>
        <v>0</v>
      </c>
      <c r="EF55" s="163">
        <f t="shared" si="14"/>
        <v>22</v>
      </c>
      <c r="EG55" s="643">
        <f t="shared" si="14"/>
        <v>11</v>
      </c>
      <c r="EH55" s="646">
        <f t="shared" si="6"/>
        <v>56</v>
      </c>
      <c r="EI55" s="645">
        <f t="shared" si="6"/>
        <v>30</v>
      </c>
      <c r="EJ55" s="163">
        <f t="shared" si="6"/>
        <v>28</v>
      </c>
      <c r="EK55" s="163">
        <f t="shared" si="6"/>
        <v>0</v>
      </c>
      <c r="EL55" s="163">
        <f t="shared" si="6"/>
        <v>2</v>
      </c>
      <c r="EM55" s="644">
        <f t="shared" si="6"/>
        <v>0</v>
      </c>
      <c r="EN55" s="645">
        <f t="shared" si="6"/>
        <v>26</v>
      </c>
      <c r="EO55" s="163">
        <f t="shared" si="6"/>
        <v>17</v>
      </c>
      <c r="EP55" s="163">
        <f t="shared" si="6"/>
        <v>0</v>
      </c>
      <c r="EQ55" s="163">
        <f t="shared" si="6"/>
        <v>7</v>
      </c>
      <c r="ER55" s="643">
        <f t="shared" si="6"/>
        <v>2</v>
      </c>
    </row>
    <row r="56" spans="1:148">
      <c r="A56" s="654" t="s">
        <v>229</v>
      </c>
      <c r="B56" s="658">
        <v>43221</v>
      </c>
      <c r="C56" s="659">
        <v>2018</v>
      </c>
      <c r="D56" s="646">
        <f t="shared" si="10"/>
        <v>239881</v>
      </c>
      <c r="E56" s="646">
        <f t="shared" si="11"/>
        <v>6949</v>
      </c>
      <c r="F56" s="645">
        <f t="shared" si="11"/>
        <v>3617</v>
      </c>
      <c r="G56" s="163">
        <f t="shared" si="11"/>
        <v>3306</v>
      </c>
      <c r="H56" s="163">
        <f t="shared" si="11"/>
        <v>0</v>
      </c>
      <c r="I56" s="163">
        <f t="shared" si="11"/>
        <v>311</v>
      </c>
      <c r="J56" s="644">
        <f t="shared" si="11"/>
        <v>0</v>
      </c>
      <c r="K56" s="645">
        <f t="shared" si="11"/>
        <v>3332</v>
      </c>
      <c r="L56" s="163">
        <f t="shared" si="11"/>
        <v>2218</v>
      </c>
      <c r="M56" s="163">
        <f t="shared" si="11"/>
        <v>0</v>
      </c>
      <c r="N56" s="163">
        <f t="shared" si="11"/>
        <v>707</v>
      </c>
      <c r="O56" s="643">
        <f t="shared" si="11"/>
        <v>407</v>
      </c>
      <c r="P56" s="646">
        <f t="shared" si="11"/>
        <v>13</v>
      </c>
      <c r="Q56" s="645">
        <f t="shared" si="11"/>
        <v>8</v>
      </c>
      <c r="R56" s="163">
        <f t="shared" si="11"/>
        <v>7</v>
      </c>
      <c r="S56" s="163">
        <f t="shared" si="11"/>
        <v>0</v>
      </c>
      <c r="T56" s="163">
        <f t="shared" si="11"/>
        <v>1</v>
      </c>
      <c r="U56" s="644">
        <f t="shared" si="18"/>
        <v>0</v>
      </c>
      <c r="V56" s="645">
        <f t="shared" si="18"/>
        <v>5</v>
      </c>
      <c r="W56" s="163">
        <f t="shared" si="18"/>
        <v>3</v>
      </c>
      <c r="X56" s="163">
        <f t="shared" si="18"/>
        <v>0</v>
      </c>
      <c r="Y56" s="163">
        <f t="shared" si="18"/>
        <v>1</v>
      </c>
      <c r="Z56" s="643">
        <f t="shared" si="18"/>
        <v>1</v>
      </c>
      <c r="AA56" s="646">
        <f t="shared" si="18"/>
        <v>13</v>
      </c>
      <c r="AB56" s="645">
        <f t="shared" si="18"/>
        <v>5</v>
      </c>
      <c r="AC56" s="163">
        <f t="shared" si="18"/>
        <v>4</v>
      </c>
      <c r="AD56" s="163">
        <f t="shared" si="18"/>
        <v>0</v>
      </c>
      <c r="AE56" s="163">
        <f t="shared" si="18"/>
        <v>1</v>
      </c>
      <c r="AF56" s="644">
        <f t="shared" si="18"/>
        <v>0</v>
      </c>
      <c r="AG56" s="645">
        <f t="shared" si="18"/>
        <v>8</v>
      </c>
      <c r="AH56" s="163">
        <f t="shared" si="18"/>
        <v>7</v>
      </c>
      <c r="AI56" s="163">
        <f t="shared" si="18"/>
        <v>0</v>
      </c>
      <c r="AJ56" s="163">
        <f t="shared" si="18"/>
        <v>0</v>
      </c>
      <c r="AK56" s="643">
        <f t="shared" si="18"/>
        <v>1</v>
      </c>
      <c r="AL56" s="646">
        <f t="shared" si="18"/>
        <v>56</v>
      </c>
      <c r="AM56" s="645">
        <f t="shared" si="18"/>
        <v>30</v>
      </c>
      <c r="AN56" s="163">
        <f t="shared" si="18"/>
        <v>28</v>
      </c>
      <c r="AO56" s="163">
        <f t="shared" si="18"/>
        <v>0</v>
      </c>
      <c r="AP56" s="163">
        <f t="shared" si="18"/>
        <v>2</v>
      </c>
      <c r="AQ56" s="644">
        <f t="shared" si="18"/>
        <v>0</v>
      </c>
      <c r="AR56" s="645">
        <f t="shared" si="20"/>
        <v>26</v>
      </c>
      <c r="AS56" s="163">
        <f t="shared" si="20"/>
        <v>17</v>
      </c>
      <c r="AT56" s="163">
        <f t="shared" si="20"/>
        <v>0</v>
      </c>
      <c r="AU56" s="163">
        <f t="shared" si="20"/>
        <v>7</v>
      </c>
      <c r="AV56" s="643">
        <f t="shared" si="20"/>
        <v>2</v>
      </c>
      <c r="AW56" s="646">
        <f t="shared" si="20"/>
        <v>41</v>
      </c>
      <c r="AX56" s="645">
        <f t="shared" si="20"/>
        <v>20</v>
      </c>
      <c r="AY56" s="163">
        <f t="shared" si="20"/>
        <v>18</v>
      </c>
      <c r="AZ56" s="163">
        <f t="shared" si="20"/>
        <v>0</v>
      </c>
      <c r="BA56" s="163">
        <f t="shared" si="20"/>
        <v>2</v>
      </c>
      <c r="BB56" s="644">
        <f t="shared" si="20"/>
        <v>0</v>
      </c>
      <c r="BC56" s="645">
        <f t="shared" si="20"/>
        <v>21</v>
      </c>
      <c r="BD56" s="163">
        <f t="shared" si="20"/>
        <v>16</v>
      </c>
      <c r="BE56" s="163">
        <f t="shared" si="20"/>
        <v>0</v>
      </c>
      <c r="BF56" s="163">
        <f t="shared" si="20"/>
        <v>3</v>
      </c>
      <c r="BG56" s="643">
        <f t="shared" si="20"/>
        <v>2</v>
      </c>
      <c r="BH56" s="646">
        <f t="shared" si="20"/>
        <v>53</v>
      </c>
      <c r="BI56" s="645">
        <f t="shared" si="20"/>
        <v>33</v>
      </c>
      <c r="BJ56" s="163">
        <f t="shared" si="20"/>
        <v>31</v>
      </c>
      <c r="BK56" s="163">
        <f t="shared" si="20"/>
        <v>0</v>
      </c>
      <c r="BL56" s="163">
        <f t="shared" si="20"/>
        <v>2</v>
      </c>
      <c r="BM56" s="644">
        <f t="shared" si="20"/>
        <v>0</v>
      </c>
      <c r="BN56" s="645">
        <f t="shared" si="20"/>
        <v>20</v>
      </c>
      <c r="BO56" s="163">
        <f t="shared" si="20"/>
        <v>12</v>
      </c>
      <c r="BP56" s="163">
        <f t="shared" si="20"/>
        <v>0</v>
      </c>
      <c r="BQ56" s="163">
        <f t="shared" si="20"/>
        <v>7</v>
      </c>
      <c r="BR56" s="643">
        <f t="shared" ref="BR56:CT56" si="21">SUMIFS(BR$5:BR$36,$B$5:$B$36,$A56)</f>
        <v>1</v>
      </c>
      <c r="BS56" s="646">
        <f t="shared" si="21"/>
        <v>75</v>
      </c>
      <c r="BT56" s="645">
        <f t="shared" si="21"/>
        <v>41</v>
      </c>
      <c r="BU56" s="163">
        <f t="shared" si="21"/>
        <v>40</v>
      </c>
      <c r="BV56" s="163">
        <f t="shared" si="21"/>
        <v>0</v>
      </c>
      <c r="BW56" s="163">
        <f t="shared" si="21"/>
        <v>1</v>
      </c>
      <c r="BX56" s="644">
        <f t="shared" si="21"/>
        <v>0</v>
      </c>
      <c r="BY56" s="645">
        <f t="shared" si="21"/>
        <v>34</v>
      </c>
      <c r="BZ56" s="163">
        <f t="shared" si="21"/>
        <v>20</v>
      </c>
      <c r="CA56" s="163">
        <f t="shared" si="21"/>
        <v>0</v>
      </c>
      <c r="CB56" s="163">
        <f t="shared" si="21"/>
        <v>9</v>
      </c>
      <c r="CC56" s="643">
        <f t="shared" si="21"/>
        <v>5</v>
      </c>
      <c r="CD56" s="646">
        <f t="shared" si="21"/>
        <v>18</v>
      </c>
      <c r="CE56" s="645">
        <f t="shared" si="21"/>
        <v>11</v>
      </c>
      <c r="CF56" s="163">
        <f t="shared" si="21"/>
        <v>11</v>
      </c>
      <c r="CG56" s="163">
        <f t="shared" si="21"/>
        <v>0</v>
      </c>
      <c r="CH56" s="163">
        <f t="shared" si="21"/>
        <v>0</v>
      </c>
      <c r="CI56" s="644">
        <f t="shared" si="21"/>
        <v>0</v>
      </c>
      <c r="CJ56" s="645">
        <f t="shared" si="21"/>
        <v>7</v>
      </c>
      <c r="CK56" s="163">
        <f t="shared" si="21"/>
        <v>5</v>
      </c>
      <c r="CL56" s="163">
        <f t="shared" si="21"/>
        <v>0</v>
      </c>
      <c r="CM56" s="163">
        <f t="shared" si="21"/>
        <v>1</v>
      </c>
      <c r="CN56" s="643">
        <f t="shared" si="21"/>
        <v>1</v>
      </c>
      <c r="CO56" s="646">
        <f t="shared" si="21"/>
        <v>20</v>
      </c>
      <c r="CP56" s="645">
        <f t="shared" si="21"/>
        <v>10</v>
      </c>
      <c r="CQ56" s="163">
        <f t="shared" si="21"/>
        <v>10</v>
      </c>
      <c r="CR56" s="163">
        <f t="shared" si="21"/>
        <v>0</v>
      </c>
      <c r="CS56" s="163">
        <f t="shared" si="21"/>
        <v>0</v>
      </c>
      <c r="CT56" s="644">
        <f t="shared" si="21"/>
        <v>0</v>
      </c>
      <c r="CU56" s="645">
        <f t="shared" si="19"/>
        <v>10</v>
      </c>
      <c r="CV56" s="163">
        <f t="shared" si="19"/>
        <v>9</v>
      </c>
      <c r="CW56" s="163">
        <f t="shared" si="19"/>
        <v>0</v>
      </c>
      <c r="CX56" s="163">
        <f t="shared" si="19"/>
        <v>1</v>
      </c>
      <c r="CY56" s="643">
        <f t="shared" si="19"/>
        <v>0</v>
      </c>
      <c r="CZ56" s="646">
        <f t="shared" si="19"/>
        <v>1</v>
      </c>
      <c r="DA56" s="645">
        <f t="shared" si="19"/>
        <v>0</v>
      </c>
      <c r="DB56" s="163">
        <f t="shared" si="19"/>
        <v>0</v>
      </c>
      <c r="DC56" s="163">
        <f t="shared" si="19"/>
        <v>0</v>
      </c>
      <c r="DD56" s="163">
        <f t="shared" si="19"/>
        <v>0</v>
      </c>
      <c r="DE56" s="644">
        <f t="shared" si="19"/>
        <v>0</v>
      </c>
      <c r="DF56" s="645">
        <f t="shared" si="19"/>
        <v>1</v>
      </c>
      <c r="DG56" s="163">
        <f t="shared" si="19"/>
        <v>1</v>
      </c>
      <c r="DH56" s="163">
        <f t="shared" si="19"/>
        <v>0</v>
      </c>
      <c r="DI56" s="163">
        <f t="shared" si="19"/>
        <v>0</v>
      </c>
      <c r="DJ56" s="643">
        <f t="shared" si="19"/>
        <v>0</v>
      </c>
      <c r="DK56" s="646">
        <f t="shared" si="19"/>
        <v>0</v>
      </c>
      <c r="DL56" s="645">
        <f t="shared" si="19"/>
        <v>0</v>
      </c>
      <c r="DM56" s="163">
        <f t="shared" si="19"/>
        <v>0</v>
      </c>
      <c r="DN56" s="163">
        <f t="shared" si="19"/>
        <v>0</v>
      </c>
      <c r="DO56" s="163">
        <f t="shared" si="19"/>
        <v>0</v>
      </c>
      <c r="DP56" s="644">
        <f t="shared" si="19"/>
        <v>0</v>
      </c>
      <c r="DQ56" s="645">
        <f t="shared" si="19"/>
        <v>0</v>
      </c>
      <c r="DR56" s="163">
        <f t="shared" si="19"/>
        <v>0</v>
      </c>
      <c r="DS56" s="163">
        <f t="shared" si="19"/>
        <v>0</v>
      </c>
      <c r="DT56" s="163">
        <f t="shared" si="19"/>
        <v>0</v>
      </c>
      <c r="DU56" s="643">
        <f t="shared" ref="DU56:DU70" si="22">SUMIFS(DU$5:DU$36,$B$5:$B$36,$A56)</f>
        <v>0</v>
      </c>
      <c r="DW56" s="646">
        <f t="shared" si="15"/>
        <v>234</v>
      </c>
      <c r="DX56" s="645">
        <f t="shared" si="15"/>
        <v>128</v>
      </c>
      <c r="DY56" s="163">
        <f t="shared" si="15"/>
        <v>121</v>
      </c>
      <c r="DZ56" s="163">
        <f t="shared" si="15"/>
        <v>0</v>
      </c>
      <c r="EA56" s="163">
        <f t="shared" si="15"/>
        <v>7</v>
      </c>
      <c r="EB56" s="644">
        <f t="shared" si="15"/>
        <v>0</v>
      </c>
      <c r="EC56" s="645">
        <f t="shared" si="15"/>
        <v>106</v>
      </c>
      <c r="ED56" s="163">
        <f t="shared" si="15"/>
        <v>73</v>
      </c>
      <c r="EE56" s="163">
        <f t="shared" si="15"/>
        <v>0</v>
      </c>
      <c r="EF56" s="163">
        <f t="shared" si="14"/>
        <v>22</v>
      </c>
      <c r="EG56" s="643">
        <f t="shared" si="14"/>
        <v>11</v>
      </c>
      <c r="EH56" s="646">
        <f t="shared" si="6"/>
        <v>56</v>
      </c>
      <c r="EI56" s="645">
        <f t="shared" si="6"/>
        <v>30</v>
      </c>
      <c r="EJ56" s="163">
        <f t="shared" si="6"/>
        <v>28</v>
      </c>
      <c r="EK56" s="163">
        <f t="shared" si="6"/>
        <v>0</v>
      </c>
      <c r="EL56" s="163">
        <f t="shared" si="6"/>
        <v>2</v>
      </c>
      <c r="EM56" s="644">
        <f t="shared" si="6"/>
        <v>0</v>
      </c>
      <c r="EN56" s="645">
        <f t="shared" si="6"/>
        <v>26</v>
      </c>
      <c r="EO56" s="163">
        <f t="shared" si="6"/>
        <v>17</v>
      </c>
      <c r="EP56" s="163">
        <f t="shared" si="6"/>
        <v>0</v>
      </c>
      <c r="EQ56" s="163">
        <f t="shared" si="6"/>
        <v>7</v>
      </c>
      <c r="ER56" s="643">
        <f t="shared" si="6"/>
        <v>2</v>
      </c>
    </row>
    <row r="57" spans="1:148">
      <c r="A57" s="654" t="s">
        <v>229</v>
      </c>
      <c r="B57" s="658">
        <v>43252</v>
      </c>
      <c r="C57" s="659">
        <v>2018</v>
      </c>
      <c r="D57" s="646">
        <f t="shared" si="10"/>
        <v>239881</v>
      </c>
      <c r="E57" s="646">
        <f t="shared" si="11"/>
        <v>6949</v>
      </c>
      <c r="F57" s="645">
        <f t="shared" si="11"/>
        <v>3617</v>
      </c>
      <c r="G57" s="163">
        <f t="shared" si="11"/>
        <v>3306</v>
      </c>
      <c r="H57" s="163">
        <f t="shared" si="11"/>
        <v>0</v>
      </c>
      <c r="I57" s="163">
        <f t="shared" si="11"/>
        <v>311</v>
      </c>
      <c r="J57" s="644">
        <f t="shared" si="11"/>
        <v>0</v>
      </c>
      <c r="K57" s="645">
        <f t="shared" si="11"/>
        <v>3332</v>
      </c>
      <c r="L57" s="163">
        <f t="shared" si="11"/>
        <v>2218</v>
      </c>
      <c r="M57" s="163">
        <f t="shared" si="11"/>
        <v>0</v>
      </c>
      <c r="N57" s="163">
        <f t="shared" si="11"/>
        <v>707</v>
      </c>
      <c r="O57" s="643">
        <f t="shared" si="11"/>
        <v>407</v>
      </c>
      <c r="P57" s="646">
        <f t="shared" si="11"/>
        <v>13</v>
      </c>
      <c r="Q57" s="645">
        <f t="shared" si="11"/>
        <v>8</v>
      </c>
      <c r="R57" s="163">
        <f t="shared" si="11"/>
        <v>7</v>
      </c>
      <c r="S57" s="163">
        <f t="shared" si="11"/>
        <v>0</v>
      </c>
      <c r="T57" s="163">
        <f t="shared" si="11"/>
        <v>1</v>
      </c>
      <c r="U57" s="644">
        <f t="shared" si="18"/>
        <v>0</v>
      </c>
      <c r="V57" s="645">
        <f t="shared" si="18"/>
        <v>5</v>
      </c>
      <c r="W57" s="163">
        <f t="shared" si="18"/>
        <v>3</v>
      </c>
      <c r="X57" s="163">
        <f t="shared" si="18"/>
        <v>0</v>
      </c>
      <c r="Y57" s="163">
        <f t="shared" si="18"/>
        <v>1</v>
      </c>
      <c r="Z57" s="643">
        <f t="shared" si="18"/>
        <v>1</v>
      </c>
      <c r="AA57" s="646">
        <f t="shared" si="18"/>
        <v>13</v>
      </c>
      <c r="AB57" s="645">
        <f t="shared" si="18"/>
        <v>5</v>
      </c>
      <c r="AC57" s="163">
        <f t="shared" si="18"/>
        <v>4</v>
      </c>
      <c r="AD57" s="163">
        <f t="shared" si="18"/>
        <v>0</v>
      </c>
      <c r="AE57" s="163">
        <f t="shared" si="18"/>
        <v>1</v>
      </c>
      <c r="AF57" s="644">
        <f t="shared" si="18"/>
        <v>0</v>
      </c>
      <c r="AG57" s="645">
        <f t="shared" si="18"/>
        <v>8</v>
      </c>
      <c r="AH57" s="163">
        <f t="shared" si="18"/>
        <v>7</v>
      </c>
      <c r="AI57" s="163">
        <f t="shared" si="18"/>
        <v>0</v>
      </c>
      <c r="AJ57" s="163">
        <f t="shared" si="18"/>
        <v>0</v>
      </c>
      <c r="AK57" s="643">
        <f t="shared" si="18"/>
        <v>1</v>
      </c>
      <c r="AL57" s="646">
        <f t="shared" si="18"/>
        <v>56</v>
      </c>
      <c r="AM57" s="645">
        <f t="shared" si="18"/>
        <v>30</v>
      </c>
      <c r="AN57" s="163">
        <f t="shared" si="18"/>
        <v>28</v>
      </c>
      <c r="AO57" s="163">
        <f t="shared" si="18"/>
        <v>0</v>
      </c>
      <c r="AP57" s="163">
        <f t="shared" si="18"/>
        <v>2</v>
      </c>
      <c r="AQ57" s="644">
        <f t="shared" si="18"/>
        <v>0</v>
      </c>
      <c r="AR57" s="645">
        <f t="shared" ref="AR57:DC61" si="23">SUMIFS(AR$5:AR$36,$B$5:$B$36,$A57)</f>
        <v>26</v>
      </c>
      <c r="AS57" s="163">
        <f t="shared" si="23"/>
        <v>17</v>
      </c>
      <c r="AT57" s="163">
        <f t="shared" si="23"/>
        <v>0</v>
      </c>
      <c r="AU57" s="163">
        <f t="shared" si="23"/>
        <v>7</v>
      </c>
      <c r="AV57" s="643">
        <f t="shared" si="23"/>
        <v>2</v>
      </c>
      <c r="AW57" s="646">
        <f t="shared" si="23"/>
        <v>41</v>
      </c>
      <c r="AX57" s="645">
        <f t="shared" si="23"/>
        <v>20</v>
      </c>
      <c r="AY57" s="163">
        <f t="shared" si="23"/>
        <v>18</v>
      </c>
      <c r="AZ57" s="163">
        <f t="shared" si="23"/>
        <v>0</v>
      </c>
      <c r="BA57" s="163">
        <f t="shared" si="23"/>
        <v>2</v>
      </c>
      <c r="BB57" s="644">
        <f t="shared" si="23"/>
        <v>0</v>
      </c>
      <c r="BC57" s="645">
        <f t="shared" si="23"/>
        <v>21</v>
      </c>
      <c r="BD57" s="163">
        <f t="shared" si="23"/>
        <v>16</v>
      </c>
      <c r="BE57" s="163">
        <f t="shared" si="23"/>
        <v>0</v>
      </c>
      <c r="BF57" s="163">
        <f t="shared" si="23"/>
        <v>3</v>
      </c>
      <c r="BG57" s="643">
        <f t="shared" si="23"/>
        <v>2</v>
      </c>
      <c r="BH57" s="646">
        <f t="shared" si="23"/>
        <v>53</v>
      </c>
      <c r="BI57" s="645">
        <f t="shared" si="23"/>
        <v>33</v>
      </c>
      <c r="BJ57" s="163">
        <f t="shared" si="23"/>
        <v>31</v>
      </c>
      <c r="BK57" s="163">
        <f t="shared" si="23"/>
        <v>0</v>
      </c>
      <c r="BL57" s="163">
        <f t="shared" si="23"/>
        <v>2</v>
      </c>
      <c r="BM57" s="644">
        <f t="shared" si="23"/>
        <v>0</v>
      </c>
      <c r="BN57" s="645">
        <f t="shared" si="23"/>
        <v>20</v>
      </c>
      <c r="BO57" s="163">
        <f t="shared" si="23"/>
        <v>12</v>
      </c>
      <c r="BP57" s="163">
        <f t="shared" si="23"/>
        <v>0</v>
      </c>
      <c r="BQ57" s="163">
        <f t="shared" si="23"/>
        <v>7</v>
      </c>
      <c r="BR57" s="643">
        <f t="shared" si="23"/>
        <v>1</v>
      </c>
      <c r="BS57" s="646">
        <f t="shared" si="23"/>
        <v>75</v>
      </c>
      <c r="BT57" s="645">
        <f t="shared" si="23"/>
        <v>41</v>
      </c>
      <c r="BU57" s="163">
        <f t="shared" si="23"/>
        <v>40</v>
      </c>
      <c r="BV57" s="163">
        <f t="shared" si="23"/>
        <v>0</v>
      </c>
      <c r="BW57" s="163">
        <f t="shared" si="23"/>
        <v>1</v>
      </c>
      <c r="BX57" s="644">
        <f t="shared" si="23"/>
        <v>0</v>
      </c>
      <c r="BY57" s="645">
        <f t="shared" si="23"/>
        <v>34</v>
      </c>
      <c r="BZ57" s="163">
        <f t="shared" si="23"/>
        <v>20</v>
      </c>
      <c r="CA57" s="163">
        <f t="shared" si="23"/>
        <v>0</v>
      </c>
      <c r="CB57" s="163">
        <f t="shared" si="23"/>
        <v>9</v>
      </c>
      <c r="CC57" s="643">
        <f t="shared" si="23"/>
        <v>5</v>
      </c>
      <c r="CD57" s="646">
        <f t="shared" si="23"/>
        <v>18</v>
      </c>
      <c r="CE57" s="645">
        <f t="shared" si="23"/>
        <v>11</v>
      </c>
      <c r="CF57" s="163">
        <f t="shared" si="23"/>
        <v>11</v>
      </c>
      <c r="CG57" s="163">
        <f t="shared" si="23"/>
        <v>0</v>
      </c>
      <c r="CH57" s="163">
        <f t="shared" si="23"/>
        <v>0</v>
      </c>
      <c r="CI57" s="644">
        <f t="shared" si="23"/>
        <v>0</v>
      </c>
      <c r="CJ57" s="645">
        <f t="shared" si="23"/>
        <v>7</v>
      </c>
      <c r="CK57" s="163">
        <f t="shared" si="23"/>
        <v>5</v>
      </c>
      <c r="CL57" s="163">
        <f t="shared" si="23"/>
        <v>0</v>
      </c>
      <c r="CM57" s="163">
        <f t="shared" si="23"/>
        <v>1</v>
      </c>
      <c r="CN57" s="643">
        <f t="shared" si="23"/>
        <v>1</v>
      </c>
      <c r="CO57" s="646">
        <f t="shared" si="23"/>
        <v>20</v>
      </c>
      <c r="CP57" s="645">
        <f t="shared" si="23"/>
        <v>10</v>
      </c>
      <c r="CQ57" s="163">
        <f t="shared" si="23"/>
        <v>10</v>
      </c>
      <c r="CR57" s="163">
        <f t="shared" si="23"/>
        <v>0</v>
      </c>
      <c r="CS57" s="163">
        <f t="shared" si="23"/>
        <v>0</v>
      </c>
      <c r="CT57" s="644">
        <f t="shared" si="23"/>
        <v>0</v>
      </c>
      <c r="CU57" s="645">
        <f t="shared" si="19"/>
        <v>10</v>
      </c>
      <c r="CV57" s="163">
        <f t="shared" si="19"/>
        <v>9</v>
      </c>
      <c r="CW57" s="163">
        <f t="shared" si="19"/>
        <v>0</v>
      </c>
      <c r="CX57" s="163">
        <f t="shared" si="19"/>
        <v>1</v>
      </c>
      <c r="CY57" s="643">
        <f t="shared" si="19"/>
        <v>0</v>
      </c>
      <c r="CZ57" s="646">
        <f t="shared" si="19"/>
        <v>1</v>
      </c>
      <c r="DA57" s="645">
        <f t="shared" si="19"/>
        <v>0</v>
      </c>
      <c r="DB57" s="163">
        <f t="shared" si="19"/>
        <v>0</v>
      </c>
      <c r="DC57" s="163">
        <f t="shared" si="19"/>
        <v>0</v>
      </c>
      <c r="DD57" s="163">
        <f t="shared" si="19"/>
        <v>0</v>
      </c>
      <c r="DE57" s="644">
        <f t="shared" si="19"/>
        <v>0</v>
      </c>
      <c r="DF57" s="645">
        <f t="shared" si="19"/>
        <v>1</v>
      </c>
      <c r="DG57" s="163">
        <f t="shared" si="19"/>
        <v>1</v>
      </c>
      <c r="DH57" s="163">
        <f t="shared" si="19"/>
        <v>0</v>
      </c>
      <c r="DI57" s="163">
        <f t="shared" si="19"/>
        <v>0</v>
      </c>
      <c r="DJ57" s="643">
        <f t="shared" si="19"/>
        <v>0</v>
      </c>
      <c r="DK57" s="646">
        <f t="shared" si="19"/>
        <v>0</v>
      </c>
      <c r="DL57" s="645">
        <f t="shared" si="19"/>
        <v>0</v>
      </c>
      <c r="DM57" s="163">
        <f t="shared" si="19"/>
        <v>0</v>
      </c>
      <c r="DN57" s="163">
        <f t="shared" si="19"/>
        <v>0</v>
      </c>
      <c r="DO57" s="163">
        <f t="shared" si="19"/>
        <v>0</v>
      </c>
      <c r="DP57" s="644">
        <f t="shared" si="19"/>
        <v>0</v>
      </c>
      <c r="DQ57" s="645">
        <f t="shared" si="19"/>
        <v>0</v>
      </c>
      <c r="DR57" s="163">
        <f t="shared" si="19"/>
        <v>0</v>
      </c>
      <c r="DS57" s="163">
        <f t="shared" si="19"/>
        <v>0</v>
      </c>
      <c r="DT57" s="163">
        <f t="shared" si="19"/>
        <v>0</v>
      </c>
      <c r="DU57" s="643">
        <f t="shared" si="22"/>
        <v>0</v>
      </c>
      <c r="DW57" s="646">
        <f t="shared" si="15"/>
        <v>234</v>
      </c>
      <c r="DX57" s="645">
        <f t="shared" si="15"/>
        <v>128</v>
      </c>
      <c r="DY57" s="163">
        <f t="shared" si="15"/>
        <v>121</v>
      </c>
      <c r="DZ57" s="163">
        <f t="shared" si="15"/>
        <v>0</v>
      </c>
      <c r="EA57" s="163">
        <f t="shared" si="15"/>
        <v>7</v>
      </c>
      <c r="EB57" s="644">
        <f t="shared" si="15"/>
        <v>0</v>
      </c>
      <c r="EC57" s="645">
        <f t="shared" si="15"/>
        <v>106</v>
      </c>
      <c r="ED57" s="163">
        <f t="shared" si="15"/>
        <v>73</v>
      </c>
      <c r="EE57" s="163">
        <f t="shared" si="15"/>
        <v>0</v>
      </c>
      <c r="EF57" s="163">
        <f t="shared" si="14"/>
        <v>22</v>
      </c>
      <c r="EG57" s="643">
        <f t="shared" si="14"/>
        <v>11</v>
      </c>
      <c r="EH57" s="646">
        <f t="shared" si="6"/>
        <v>56</v>
      </c>
      <c r="EI57" s="645">
        <f t="shared" si="6"/>
        <v>30</v>
      </c>
      <c r="EJ57" s="163">
        <f t="shared" si="6"/>
        <v>28</v>
      </c>
      <c r="EK57" s="163">
        <f t="shared" si="6"/>
        <v>0</v>
      </c>
      <c r="EL57" s="163">
        <f t="shared" si="6"/>
        <v>2</v>
      </c>
      <c r="EM57" s="644">
        <f t="shared" si="6"/>
        <v>0</v>
      </c>
      <c r="EN57" s="645">
        <f t="shared" si="6"/>
        <v>26</v>
      </c>
      <c r="EO57" s="163">
        <f t="shared" si="6"/>
        <v>17</v>
      </c>
      <c r="EP57" s="163">
        <f t="shared" si="6"/>
        <v>0</v>
      </c>
      <c r="EQ57" s="163">
        <f t="shared" si="6"/>
        <v>7</v>
      </c>
      <c r="ER57" s="643">
        <f t="shared" si="6"/>
        <v>2</v>
      </c>
    </row>
    <row r="58" spans="1:148">
      <c r="A58" s="654" t="s">
        <v>230</v>
      </c>
      <c r="B58" s="658">
        <v>43282</v>
      </c>
      <c r="C58" s="659">
        <v>2018</v>
      </c>
      <c r="D58" s="646">
        <f t="shared" si="10"/>
        <v>218772</v>
      </c>
      <c r="E58" s="646">
        <f t="shared" si="11"/>
        <v>5178</v>
      </c>
      <c r="F58" s="645">
        <f t="shared" si="11"/>
        <v>2526</v>
      </c>
      <c r="G58" s="163">
        <f t="shared" si="11"/>
        <v>2275</v>
      </c>
      <c r="H58" s="163">
        <f t="shared" si="11"/>
        <v>0</v>
      </c>
      <c r="I58" s="163">
        <f t="shared" si="11"/>
        <v>251</v>
      </c>
      <c r="J58" s="644">
        <f t="shared" si="11"/>
        <v>0</v>
      </c>
      <c r="K58" s="645">
        <f t="shared" si="11"/>
        <v>2652</v>
      </c>
      <c r="L58" s="163">
        <f t="shared" si="11"/>
        <v>1603</v>
      </c>
      <c r="M58" s="163">
        <f t="shared" si="11"/>
        <v>0</v>
      </c>
      <c r="N58" s="163">
        <f t="shared" si="11"/>
        <v>844</v>
      </c>
      <c r="O58" s="643">
        <f t="shared" si="11"/>
        <v>205</v>
      </c>
      <c r="P58" s="646">
        <f t="shared" si="11"/>
        <v>9</v>
      </c>
      <c r="Q58" s="645">
        <f t="shared" si="11"/>
        <v>4</v>
      </c>
      <c r="R58" s="163">
        <f t="shared" si="11"/>
        <v>4</v>
      </c>
      <c r="S58" s="163">
        <f t="shared" si="11"/>
        <v>0</v>
      </c>
      <c r="T58" s="163">
        <f t="shared" si="11"/>
        <v>0</v>
      </c>
      <c r="U58" s="644">
        <f t="shared" si="18"/>
        <v>0</v>
      </c>
      <c r="V58" s="645">
        <f t="shared" si="18"/>
        <v>5</v>
      </c>
      <c r="W58" s="163">
        <f t="shared" si="18"/>
        <v>3</v>
      </c>
      <c r="X58" s="163">
        <f t="shared" si="18"/>
        <v>0</v>
      </c>
      <c r="Y58" s="163">
        <f t="shared" si="18"/>
        <v>2</v>
      </c>
      <c r="Z58" s="643">
        <f t="shared" si="18"/>
        <v>0</v>
      </c>
      <c r="AA58" s="646">
        <f t="shared" si="18"/>
        <v>7</v>
      </c>
      <c r="AB58" s="645">
        <f t="shared" si="18"/>
        <v>3</v>
      </c>
      <c r="AC58" s="163">
        <f t="shared" si="18"/>
        <v>3</v>
      </c>
      <c r="AD58" s="163">
        <f t="shared" si="18"/>
        <v>0</v>
      </c>
      <c r="AE58" s="163">
        <f t="shared" si="18"/>
        <v>0</v>
      </c>
      <c r="AF58" s="644">
        <f t="shared" si="18"/>
        <v>0</v>
      </c>
      <c r="AG58" s="645">
        <f t="shared" si="18"/>
        <v>4</v>
      </c>
      <c r="AH58" s="163">
        <f t="shared" si="18"/>
        <v>3</v>
      </c>
      <c r="AI58" s="163">
        <f t="shared" si="18"/>
        <v>0</v>
      </c>
      <c r="AJ58" s="163">
        <f t="shared" si="18"/>
        <v>0</v>
      </c>
      <c r="AK58" s="643">
        <f t="shared" si="18"/>
        <v>1</v>
      </c>
      <c r="AL58" s="646">
        <f t="shared" si="18"/>
        <v>42</v>
      </c>
      <c r="AM58" s="645">
        <f t="shared" si="18"/>
        <v>24</v>
      </c>
      <c r="AN58" s="163">
        <f t="shared" si="18"/>
        <v>22</v>
      </c>
      <c r="AO58" s="163">
        <f t="shared" si="18"/>
        <v>0</v>
      </c>
      <c r="AP58" s="163">
        <f t="shared" si="18"/>
        <v>2</v>
      </c>
      <c r="AQ58" s="644">
        <f t="shared" si="18"/>
        <v>0</v>
      </c>
      <c r="AR58" s="645">
        <f t="shared" si="23"/>
        <v>18</v>
      </c>
      <c r="AS58" s="163">
        <f t="shared" si="23"/>
        <v>10</v>
      </c>
      <c r="AT58" s="163">
        <f t="shared" si="23"/>
        <v>0</v>
      </c>
      <c r="AU58" s="163">
        <f t="shared" si="23"/>
        <v>7</v>
      </c>
      <c r="AV58" s="643">
        <f t="shared" si="23"/>
        <v>1</v>
      </c>
      <c r="AW58" s="646">
        <f t="shared" si="23"/>
        <v>23</v>
      </c>
      <c r="AX58" s="645">
        <f t="shared" si="23"/>
        <v>11</v>
      </c>
      <c r="AY58" s="163">
        <f t="shared" si="23"/>
        <v>9</v>
      </c>
      <c r="AZ58" s="163">
        <f t="shared" si="23"/>
        <v>0</v>
      </c>
      <c r="BA58" s="163">
        <f t="shared" si="23"/>
        <v>2</v>
      </c>
      <c r="BB58" s="644">
        <f t="shared" si="23"/>
        <v>0</v>
      </c>
      <c r="BC58" s="645">
        <f t="shared" si="23"/>
        <v>12</v>
      </c>
      <c r="BD58" s="163">
        <f t="shared" si="23"/>
        <v>6</v>
      </c>
      <c r="BE58" s="163">
        <f t="shared" si="23"/>
        <v>0</v>
      </c>
      <c r="BF58" s="163">
        <f t="shared" si="23"/>
        <v>5</v>
      </c>
      <c r="BG58" s="643">
        <f t="shared" si="23"/>
        <v>1</v>
      </c>
      <c r="BH58" s="646">
        <f t="shared" si="23"/>
        <v>41</v>
      </c>
      <c r="BI58" s="645">
        <f t="shared" si="23"/>
        <v>19</v>
      </c>
      <c r="BJ58" s="163">
        <f t="shared" si="23"/>
        <v>18</v>
      </c>
      <c r="BK58" s="163">
        <f t="shared" si="23"/>
        <v>0</v>
      </c>
      <c r="BL58" s="163">
        <f t="shared" si="23"/>
        <v>1</v>
      </c>
      <c r="BM58" s="644">
        <f t="shared" si="23"/>
        <v>0</v>
      </c>
      <c r="BN58" s="645">
        <f t="shared" si="23"/>
        <v>22</v>
      </c>
      <c r="BO58" s="163">
        <f t="shared" si="23"/>
        <v>9</v>
      </c>
      <c r="BP58" s="163">
        <f t="shared" si="23"/>
        <v>0</v>
      </c>
      <c r="BQ58" s="163">
        <f t="shared" si="23"/>
        <v>11</v>
      </c>
      <c r="BR58" s="643">
        <f t="shared" si="23"/>
        <v>2</v>
      </c>
      <c r="BS58" s="646">
        <f t="shared" si="23"/>
        <v>49</v>
      </c>
      <c r="BT58" s="645">
        <f t="shared" si="23"/>
        <v>18</v>
      </c>
      <c r="BU58" s="163">
        <f t="shared" si="23"/>
        <v>15</v>
      </c>
      <c r="BV58" s="163">
        <f t="shared" si="23"/>
        <v>0</v>
      </c>
      <c r="BW58" s="163">
        <f t="shared" si="23"/>
        <v>3</v>
      </c>
      <c r="BX58" s="644">
        <f t="shared" si="23"/>
        <v>0</v>
      </c>
      <c r="BY58" s="645">
        <f t="shared" si="23"/>
        <v>31</v>
      </c>
      <c r="BZ58" s="163">
        <f t="shared" si="23"/>
        <v>14</v>
      </c>
      <c r="CA58" s="163">
        <f t="shared" si="23"/>
        <v>0</v>
      </c>
      <c r="CB58" s="163">
        <f t="shared" si="23"/>
        <v>14</v>
      </c>
      <c r="CC58" s="643">
        <f t="shared" si="23"/>
        <v>3</v>
      </c>
      <c r="CD58" s="646">
        <f t="shared" si="23"/>
        <v>12</v>
      </c>
      <c r="CE58" s="645">
        <f t="shared" si="23"/>
        <v>7</v>
      </c>
      <c r="CF58" s="163">
        <f t="shared" si="23"/>
        <v>6</v>
      </c>
      <c r="CG58" s="163">
        <f t="shared" si="23"/>
        <v>0</v>
      </c>
      <c r="CH58" s="163">
        <f t="shared" si="23"/>
        <v>1</v>
      </c>
      <c r="CI58" s="644">
        <f t="shared" si="23"/>
        <v>0</v>
      </c>
      <c r="CJ58" s="645">
        <f t="shared" si="23"/>
        <v>5</v>
      </c>
      <c r="CK58" s="163">
        <f t="shared" si="23"/>
        <v>1</v>
      </c>
      <c r="CL58" s="163">
        <f t="shared" si="23"/>
        <v>0</v>
      </c>
      <c r="CM58" s="163">
        <f t="shared" si="23"/>
        <v>4</v>
      </c>
      <c r="CN58" s="643">
        <f t="shared" si="23"/>
        <v>0</v>
      </c>
      <c r="CO58" s="646">
        <f t="shared" si="23"/>
        <v>12</v>
      </c>
      <c r="CP58" s="645">
        <f t="shared" si="23"/>
        <v>4</v>
      </c>
      <c r="CQ58" s="163">
        <f t="shared" si="23"/>
        <v>4</v>
      </c>
      <c r="CR58" s="163">
        <f t="shared" si="23"/>
        <v>0</v>
      </c>
      <c r="CS58" s="163">
        <f t="shared" si="23"/>
        <v>0</v>
      </c>
      <c r="CT58" s="644">
        <f t="shared" si="23"/>
        <v>0</v>
      </c>
      <c r="CU58" s="645">
        <f t="shared" si="19"/>
        <v>8</v>
      </c>
      <c r="CV58" s="163">
        <f t="shared" si="19"/>
        <v>1</v>
      </c>
      <c r="CW58" s="163">
        <f t="shared" si="19"/>
        <v>0</v>
      </c>
      <c r="CX58" s="163">
        <f t="shared" si="19"/>
        <v>7</v>
      </c>
      <c r="CY58" s="643">
        <f t="shared" si="19"/>
        <v>0</v>
      </c>
      <c r="CZ58" s="646">
        <f t="shared" si="19"/>
        <v>3</v>
      </c>
      <c r="DA58" s="645">
        <f t="shared" si="19"/>
        <v>1</v>
      </c>
      <c r="DB58" s="163">
        <f t="shared" si="19"/>
        <v>0</v>
      </c>
      <c r="DC58" s="163">
        <f t="shared" si="19"/>
        <v>0</v>
      </c>
      <c r="DD58" s="163">
        <f t="shared" si="19"/>
        <v>1</v>
      </c>
      <c r="DE58" s="644">
        <f t="shared" si="19"/>
        <v>0</v>
      </c>
      <c r="DF58" s="645">
        <f t="shared" si="19"/>
        <v>2</v>
      </c>
      <c r="DG58" s="163">
        <f t="shared" si="19"/>
        <v>1</v>
      </c>
      <c r="DH58" s="163">
        <f t="shared" si="19"/>
        <v>0</v>
      </c>
      <c r="DI58" s="163">
        <f t="shared" si="19"/>
        <v>1</v>
      </c>
      <c r="DJ58" s="643">
        <f t="shared" si="19"/>
        <v>0</v>
      </c>
      <c r="DK58" s="646">
        <f t="shared" si="19"/>
        <v>0</v>
      </c>
      <c r="DL58" s="645">
        <f t="shared" si="19"/>
        <v>0</v>
      </c>
      <c r="DM58" s="163">
        <f t="shared" si="19"/>
        <v>0</v>
      </c>
      <c r="DN58" s="163">
        <f t="shared" si="19"/>
        <v>0</v>
      </c>
      <c r="DO58" s="163">
        <f t="shared" si="19"/>
        <v>0</v>
      </c>
      <c r="DP58" s="644">
        <f t="shared" si="19"/>
        <v>0</v>
      </c>
      <c r="DQ58" s="645">
        <f t="shared" si="19"/>
        <v>0</v>
      </c>
      <c r="DR58" s="163">
        <f t="shared" si="19"/>
        <v>0</v>
      </c>
      <c r="DS58" s="163">
        <f t="shared" si="19"/>
        <v>0</v>
      </c>
      <c r="DT58" s="163">
        <f t="shared" si="19"/>
        <v>0</v>
      </c>
      <c r="DU58" s="643">
        <f t="shared" si="22"/>
        <v>0</v>
      </c>
      <c r="DW58" s="646">
        <f t="shared" si="15"/>
        <v>156</v>
      </c>
      <c r="DX58" s="645">
        <f t="shared" si="15"/>
        <v>67</v>
      </c>
      <c r="DY58" s="163">
        <f t="shared" si="15"/>
        <v>59</v>
      </c>
      <c r="DZ58" s="163">
        <f t="shared" si="15"/>
        <v>0</v>
      </c>
      <c r="EA58" s="163">
        <f t="shared" si="15"/>
        <v>8</v>
      </c>
      <c r="EB58" s="644">
        <f t="shared" si="15"/>
        <v>0</v>
      </c>
      <c r="EC58" s="645">
        <f t="shared" si="15"/>
        <v>89</v>
      </c>
      <c r="ED58" s="163">
        <f t="shared" si="15"/>
        <v>38</v>
      </c>
      <c r="EE58" s="163">
        <f t="shared" si="15"/>
        <v>0</v>
      </c>
      <c r="EF58" s="163">
        <f t="shared" si="14"/>
        <v>44</v>
      </c>
      <c r="EG58" s="643">
        <f t="shared" si="14"/>
        <v>7</v>
      </c>
      <c r="EH58" s="646">
        <f t="shared" si="6"/>
        <v>42</v>
      </c>
      <c r="EI58" s="645">
        <f t="shared" si="6"/>
        <v>24</v>
      </c>
      <c r="EJ58" s="163">
        <f t="shared" si="6"/>
        <v>22</v>
      </c>
      <c r="EK58" s="163">
        <f t="shared" si="6"/>
        <v>0</v>
      </c>
      <c r="EL58" s="163">
        <f t="shared" si="6"/>
        <v>2</v>
      </c>
      <c r="EM58" s="644">
        <f t="shared" si="6"/>
        <v>0</v>
      </c>
      <c r="EN58" s="645">
        <f t="shared" si="6"/>
        <v>18</v>
      </c>
      <c r="EO58" s="163">
        <f t="shared" si="6"/>
        <v>10</v>
      </c>
      <c r="EP58" s="163">
        <f t="shared" si="6"/>
        <v>0</v>
      </c>
      <c r="EQ58" s="163">
        <f t="shared" si="6"/>
        <v>7</v>
      </c>
      <c r="ER58" s="643">
        <f t="shared" si="6"/>
        <v>1</v>
      </c>
    </row>
    <row r="59" spans="1:148">
      <c r="A59" s="654" t="s">
        <v>230</v>
      </c>
      <c r="B59" s="658">
        <v>43313</v>
      </c>
      <c r="C59" s="659">
        <v>2018</v>
      </c>
      <c r="D59" s="646">
        <f t="shared" si="10"/>
        <v>218772</v>
      </c>
      <c r="E59" s="646">
        <f t="shared" si="11"/>
        <v>5178</v>
      </c>
      <c r="F59" s="645">
        <f t="shared" si="11"/>
        <v>2526</v>
      </c>
      <c r="G59" s="163">
        <f t="shared" si="11"/>
        <v>2275</v>
      </c>
      <c r="H59" s="163">
        <f t="shared" si="11"/>
        <v>0</v>
      </c>
      <c r="I59" s="163">
        <f t="shared" si="11"/>
        <v>251</v>
      </c>
      <c r="J59" s="644">
        <f t="shared" si="11"/>
        <v>0</v>
      </c>
      <c r="K59" s="645">
        <f t="shared" si="11"/>
        <v>2652</v>
      </c>
      <c r="L59" s="163">
        <f t="shared" si="11"/>
        <v>1603</v>
      </c>
      <c r="M59" s="163">
        <f t="shared" si="11"/>
        <v>0</v>
      </c>
      <c r="N59" s="163">
        <f t="shared" si="11"/>
        <v>844</v>
      </c>
      <c r="O59" s="643">
        <f t="shared" si="11"/>
        <v>205</v>
      </c>
      <c r="P59" s="646">
        <f t="shared" si="11"/>
        <v>9</v>
      </c>
      <c r="Q59" s="645">
        <f t="shared" si="11"/>
        <v>4</v>
      </c>
      <c r="R59" s="163">
        <f t="shared" si="11"/>
        <v>4</v>
      </c>
      <c r="S59" s="163">
        <f t="shared" si="11"/>
        <v>0</v>
      </c>
      <c r="T59" s="163">
        <f t="shared" si="11"/>
        <v>0</v>
      </c>
      <c r="U59" s="644">
        <f t="shared" si="18"/>
        <v>0</v>
      </c>
      <c r="V59" s="645">
        <f t="shared" si="18"/>
        <v>5</v>
      </c>
      <c r="W59" s="163">
        <f t="shared" si="18"/>
        <v>3</v>
      </c>
      <c r="X59" s="163">
        <f t="shared" si="18"/>
        <v>0</v>
      </c>
      <c r="Y59" s="163">
        <f t="shared" si="18"/>
        <v>2</v>
      </c>
      <c r="Z59" s="643">
        <f t="shared" si="18"/>
        <v>0</v>
      </c>
      <c r="AA59" s="646">
        <f t="shared" si="18"/>
        <v>7</v>
      </c>
      <c r="AB59" s="645">
        <f t="shared" si="18"/>
        <v>3</v>
      </c>
      <c r="AC59" s="163">
        <f t="shared" si="18"/>
        <v>3</v>
      </c>
      <c r="AD59" s="163">
        <f t="shared" si="18"/>
        <v>0</v>
      </c>
      <c r="AE59" s="163">
        <f t="shared" si="18"/>
        <v>0</v>
      </c>
      <c r="AF59" s="644">
        <f t="shared" si="18"/>
        <v>0</v>
      </c>
      <c r="AG59" s="645">
        <f t="shared" si="18"/>
        <v>4</v>
      </c>
      <c r="AH59" s="163">
        <f t="shared" si="18"/>
        <v>3</v>
      </c>
      <c r="AI59" s="163">
        <f t="shared" si="18"/>
        <v>0</v>
      </c>
      <c r="AJ59" s="163">
        <f t="shared" si="18"/>
        <v>0</v>
      </c>
      <c r="AK59" s="643">
        <f t="shared" si="18"/>
        <v>1</v>
      </c>
      <c r="AL59" s="646">
        <f t="shared" si="18"/>
        <v>42</v>
      </c>
      <c r="AM59" s="645">
        <f t="shared" si="18"/>
        <v>24</v>
      </c>
      <c r="AN59" s="163">
        <f t="shared" si="18"/>
        <v>22</v>
      </c>
      <c r="AO59" s="163">
        <f t="shared" si="18"/>
        <v>0</v>
      </c>
      <c r="AP59" s="163">
        <f t="shared" si="18"/>
        <v>2</v>
      </c>
      <c r="AQ59" s="644">
        <f t="shared" si="18"/>
        <v>0</v>
      </c>
      <c r="AR59" s="645">
        <f t="shared" si="23"/>
        <v>18</v>
      </c>
      <c r="AS59" s="163">
        <f t="shared" si="23"/>
        <v>10</v>
      </c>
      <c r="AT59" s="163">
        <f t="shared" si="23"/>
        <v>0</v>
      </c>
      <c r="AU59" s="163">
        <f t="shared" si="23"/>
        <v>7</v>
      </c>
      <c r="AV59" s="643">
        <f t="shared" si="23"/>
        <v>1</v>
      </c>
      <c r="AW59" s="646">
        <f t="shared" si="23"/>
        <v>23</v>
      </c>
      <c r="AX59" s="645">
        <f t="shared" si="23"/>
        <v>11</v>
      </c>
      <c r="AY59" s="163">
        <f t="shared" si="23"/>
        <v>9</v>
      </c>
      <c r="AZ59" s="163">
        <f t="shared" si="23"/>
        <v>0</v>
      </c>
      <c r="BA59" s="163">
        <f t="shared" si="23"/>
        <v>2</v>
      </c>
      <c r="BB59" s="644">
        <f t="shared" si="23"/>
        <v>0</v>
      </c>
      <c r="BC59" s="645">
        <f t="shared" si="23"/>
        <v>12</v>
      </c>
      <c r="BD59" s="163">
        <f t="shared" si="23"/>
        <v>6</v>
      </c>
      <c r="BE59" s="163">
        <f t="shared" si="23"/>
        <v>0</v>
      </c>
      <c r="BF59" s="163">
        <f t="shared" si="23"/>
        <v>5</v>
      </c>
      <c r="BG59" s="643">
        <f t="shared" si="23"/>
        <v>1</v>
      </c>
      <c r="BH59" s="646">
        <f t="shared" si="23"/>
        <v>41</v>
      </c>
      <c r="BI59" s="645">
        <f t="shared" si="23"/>
        <v>19</v>
      </c>
      <c r="BJ59" s="163">
        <f t="shared" si="23"/>
        <v>18</v>
      </c>
      <c r="BK59" s="163">
        <f t="shared" si="23"/>
        <v>0</v>
      </c>
      <c r="BL59" s="163">
        <f t="shared" si="23"/>
        <v>1</v>
      </c>
      <c r="BM59" s="644">
        <f t="shared" si="23"/>
        <v>0</v>
      </c>
      <c r="BN59" s="645">
        <f t="shared" si="23"/>
        <v>22</v>
      </c>
      <c r="BO59" s="163">
        <f t="shared" si="23"/>
        <v>9</v>
      </c>
      <c r="BP59" s="163">
        <f t="shared" si="23"/>
        <v>0</v>
      </c>
      <c r="BQ59" s="163">
        <f t="shared" si="23"/>
        <v>11</v>
      </c>
      <c r="BR59" s="643">
        <f t="shared" si="23"/>
        <v>2</v>
      </c>
      <c r="BS59" s="646">
        <f t="shared" si="23"/>
        <v>49</v>
      </c>
      <c r="BT59" s="645">
        <f t="shared" si="23"/>
        <v>18</v>
      </c>
      <c r="BU59" s="163">
        <f t="shared" si="23"/>
        <v>15</v>
      </c>
      <c r="BV59" s="163">
        <f t="shared" si="23"/>
        <v>0</v>
      </c>
      <c r="BW59" s="163">
        <f t="shared" si="23"/>
        <v>3</v>
      </c>
      <c r="BX59" s="644">
        <f t="shared" si="23"/>
        <v>0</v>
      </c>
      <c r="BY59" s="645">
        <f t="shared" si="23"/>
        <v>31</v>
      </c>
      <c r="BZ59" s="163">
        <f t="shared" si="23"/>
        <v>14</v>
      </c>
      <c r="CA59" s="163">
        <f t="shared" si="23"/>
        <v>0</v>
      </c>
      <c r="CB59" s="163">
        <f t="shared" si="23"/>
        <v>14</v>
      </c>
      <c r="CC59" s="643">
        <f t="shared" si="23"/>
        <v>3</v>
      </c>
      <c r="CD59" s="646">
        <f t="shared" si="23"/>
        <v>12</v>
      </c>
      <c r="CE59" s="645">
        <f t="shared" si="23"/>
        <v>7</v>
      </c>
      <c r="CF59" s="163">
        <f t="shared" si="23"/>
        <v>6</v>
      </c>
      <c r="CG59" s="163">
        <f t="shared" si="23"/>
        <v>0</v>
      </c>
      <c r="CH59" s="163">
        <f t="shared" si="23"/>
        <v>1</v>
      </c>
      <c r="CI59" s="644">
        <f t="shared" si="23"/>
        <v>0</v>
      </c>
      <c r="CJ59" s="645">
        <f t="shared" si="23"/>
        <v>5</v>
      </c>
      <c r="CK59" s="163">
        <f t="shared" si="23"/>
        <v>1</v>
      </c>
      <c r="CL59" s="163">
        <f t="shared" si="23"/>
        <v>0</v>
      </c>
      <c r="CM59" s="163">
        <f t="shared" si="23"/>
        <v>4</v>
      </c>
      <c r="CN59" s="643">
        <f t="shared" si="23"/>
        <v>0</v>
      </c>
      <c r="CO59" s="646">
        <f t="shared" si="23"/>
        <v>12</v>
      </c>
      <c r="CP59" s="645">
        <f t="shared" si="23"/>
        <v>4</v>
      </c>
      <c r="CQ59" s="163">
        <f t="shared" si="23"/>
        <v>4</v>
      </c>
      <c r="CR59" s="163">
        <f t="shared" si="23"/>
        <v>0</v>
      </c>
      <c r="CS59" s="163">
        <f t="shared" si="23"/>
        <v>0</v>
      </c>
      <c r="CT59" s="644">
        <f t="shared" si="23"/>
        <v>0</v>
      </c>
      <c r="CU59" s="645">
        <f t="shared" si="23"/>
        <v>8</v>
      </c>
      <c r="CV59" s="163">
        <f t="shared" si="23"/>
        <v>1</v>
      </c>
      <c r="CW59" s="163">
        <f t="shared" si="23"/>
        <v>0</v>
      </c>
      <c r="CX59" s="163">
        <f t="shared" si="23"/>
        <v>7</v>
      </c>
      <c r="CY59" s="643">
        <f t="shared" si="23"/>
        <v>0</v>
      </c>
      <c r="CZ59" s="646">
        <f t="shared" si="23"/>
        <v>3</v>
      </c>
      <c r="DA59" s="645">
        <f t="shared" si="23"/>
        <v>1</v>
      </c>
      <c r="DB59" s="163">
        <f t="shared" si="23"/>
        <v>0</v>
      </c>
      <c r="DC59" s="163">
        <f t="shared" si="23"/>
        <v>0</v>
      </c>
      <c r="DD59" s="163">
        <f t="shared" si="19"/>
        <v>1</v>
      </c>
      <c r="DE59" s="644">
        <f t="shared" si="19"/>
        <v>0</v>
      </c>
      <c r="DF59" s="645">
        <f t="shared" si="19"/>
        <v>2</v>
      </c>
      <c r="DG59" s="163">
        <f t="shared" si="19"/>
        <v>1</v>
      </c>
      <c r="DH59" s="163">
        <f t="shared" si="19"/>
        <v>0</v>
      </c>
      <c r="DI59" s="163">
        <f t="shared" si="19"/>
        <v>1</v>
      </c>
      <c r="DJ59" s="643">
        <f t="shared" si="19"/>
        <v>0</v>
      </c>
      <c r="DK59" s="646">
        <f t="shared" si="19"/>
        <v>0</v>
      </c>
      <c r="DL59" s="645">
        <f t="shared" si="19"/>
        <v>0</v>
      </c>
      <c r="DM59" s="163">
        <f t="shared" si="19"/>
        <v>0</v>
      </c>
      <c r="DN59" s="163">
        <f t="shared" si="19"/>
        <v>0</v>
      </c>
      <c r="DO59" s="163">
        <f t="shared" si="19"/>
        <v>0</v>
      </c>
      <c r="DP59" s="644">
        <f t="shared" si="19"/>
        <v>0</v>
      </c>
      <c r="DQ59" s="645">
        <f t="shared" si="19"/>
        <v>0</v>
      </c>
      <c r="DR59" s="163">
        <f t="shared" si="19"/>
        <v>0</v>
      </c>
      <c r="DS59" s="163">
        <f t="shared" si="19"/>
        <v>0</v>
      </c>
      <c r="DT59" s="163">
        <f t="shared" si="19"/>
        <v>0</v>
      </c>
      <c r="DU59" s="643">
        <f t="shared" si="22"/>
        <v>0</v>
      </c>
      <c r="DW59" s="646">
        <f t="shared" si="15"/>
        <v>156</v>
      </c>
      <c r="DX59" s="645">
        <f t="shared" si="15"/>
        <v>67</v>
      </c>
      <c r="DY59" s="163">
        <f t="shared" si="15"/>
        <v>59</v>
      </c>
      <c r="DZ59" s="163">
        <f t="shared" si="15"/>
        <v>0</v>
      </c>
      <c r="EA59" s="163">
        <f t="shared" si="15"/>
        <v>8</v>
      </c>
      <c r="EB59" s="644">
        <f t="shared" si="15"/>
        <v>0</v>
      </c>
      <c r="EC59" s="645">
        <f t="shared" si="15"/>
        <v>89</v>
      </c>
      <c r="ED59" s="163">
        <f t="shared" si="15"/>
        <v>38</v>
      </c>
      <c r="EE59" s="163">
        <f t="shared" si="15"/>
        <v>0</v>
      </c>
      <c r="EF59" s="163">
        <f t="shared" si="14"/>
        <v>44</v>
      </c>
      <c r="EG59" s="643">
        <f t="shared" si="14"/>
        <v>7</v>
      </c>
      <c r="EH59" s="646">
        <f t="shared" si="6"/>
        <v>42</v>
      </c>
      <c r="EI59" s="645">
        <f t="shared" si="6"/>
        <v>24</v>
      </c>
      <c r="EJ59" s="163">
        <f t="shared" si="6"/>
        <v>22</v>
      </c>
      <c r="EK59" s="163">
        <f t="shared" si="6"/>
        <v>0</v>
      </c>
      <c r="EL59" s="163">
        <f t="shared" si="6"/>
        <v>2</v>
      </c>
      <c r="EM59" s="644">
        <f t="shared" si="6"/>
        <v>0</v>
      </c>
      <c r="EN59" s="645">
        <f t="shared" si="6"/>
        <v>18</v>
      </c>
      <c r="EO59" s="163">
        <f t="shared" si="6"/>
        <v>10</v>
      </c>
      <c r="EP59" s="163">
        <f t="shared" si="6"/>
        <v>0</v>
      </c>
      <c r="EQ59" s="163">
        <f t="shared" si="6"/>
        <v>7</v>
      </c>
      <c r="ER59" s="643">
        <f t="shared" si="6"/>
        <v>1</v>
      </c>
    </row>
    <row r="60" spans="1:148">
      <c r="A60" s="654" t="s">
        <v>230</v>
      </c>
      <c r="B60" s="658">
        <v>43344</v>
      </c>
      <c r="C60" s="659">
        <v>2018</v>
      </c>
      <c r="D60" s="646">
        <f t="shared" si="10"/>
        <v>218772</v>
      </c>
      <c r="E60" s="646">
        <f t="shared" si="11"/>
        <v>5178</v>
      </c>
      <c r="F60" s="645">
        <f t="shared" si="11"/>
        <v>2526</v>
      </c>
      <c r="G60" s="163">
        <f t="shared" si="11"/>
        <v>2275</v>
      </c>
      <c r="H60" s="163">
        <f t="shared" si="11"/>
        <v>0</v>
      </c>
      <c r="I60" s="163">
        <f t="shared" si="11"/>
        <v>251</v>
      </c>
      <c r="J60" s="644">
        <f t="shared" si="11"/>
        <v>0</v>
      </c>
      <c r="K60" s="645">
        <f t="shared" si="11"/>
        <v>2652</v>
      </c>
      <c r="L60" s="163">
        <f t="shared" si="11"/>
        <v>1603</v>
      </c>
      <c r="M60" s="163">
        <f t="shared" si="11"/>
        <v>0</v>
      </c>
      <c r="N60" s="163">
        <f t="shared" si="11"/>
        <v>844</v>
      </c>
      <c r="O60" s="643">
        <f t="shared" si="11"/>
        <v>205</v>
      </c>
      <c r="P60" s="646">
        <f t="shared" si="11"/>
        <v>9</v>
      </c>
      <c r="Q60" s="645">
        <f t="shared" si="11"/>
        <v>4</v>
      </c>
      <c r="R60" s="163">
        <f t="shared" si="11"/>
        <v>4</v>
      </c>
      <c r="S60" s="163">
        <f t="shared" si="11"/>
        <v>0</v>
      </c>
      <c r="T60" s="163">
        <f t="shared" si="11"/>
        <v>0</v>
      </c>
      <c r="U60" s="644">
        <f t="shared" si="18"/>
        <v>0</v>
      </c>
      <c r="V60" s="645">
        <f t="shared" si="18"/>
        <v>5</v>
      </c>
      <c r="W60" s="163">
        <f t="shared" si="18"/>
        <v>3</v>
      </c>
      <c r="X60" s="163">
        <f t="shared" si="18"/>
        <v>0</v>
      </c>
      <c r="Y60" s="163">
        <f t="shared" si="18"/>
        <v>2</v>
      </c>
      <c r="Z60" s="643">
        <f t="shared" si="18"/>
        <v>0</v>
      </c>
      <c r="AA60" s="646">
        <f t="shared" si="18"/>
        <v>7</v>
      </c>
      <c r="AB60" s="645">
        <f t="shared" si="18"/>
        <v>3</v>
      </c>
      <c r="AC60" s="163">
        <f t="shared" si="18"/>
        <v>3</v>
      </c>
      <c r="AD60" s="163">
        <f t="shared" si="18"/>
        <v>0</v>
      </c>
      <c r="AE60" s="163">
        <f t="shared" si="18"/>
        <v>0</v>
      </c>
      <c r="AF60" s="644">
        <f t="shared" si="18"/>
        <v>0</v>
      </c>
      <c r="AG60" s="645">
        <f t="shared" si="18"/>
        <v>4</v>
      </c>
      <c r="AH60" s="163">
        <f t="shared" si="18"/>
        <v>3</v>
      </c>
      <c r="AI60" s="163">
        <f t="shared" si="18"/>
        <v>0</v>
      </c>
      <c r="AJ60" s="163">
        <f t="shared" si="18"/>
        <v>0</v>
      </c>
      <c r="AK60" s="643">
        <f t="shared" si="18"/>
        <v>1</v>
      </c>
      <c r="AL60" s="646">
        <f t="shared" si="18"/>
        <v>42</v>
      </c>
      <c r="AM60" s="645">
        <f t="shared" si="18"/>
        <v>24</v>
      </c>
      <c r="AN60" s="163">
        <f t="shared" si="18"/>
        <v>22</v>
      </c>
      <c r="AO60" s="163">
        <f t="shared" si="18"/>
        <v>0</v>
      </c>
      <c r="AP60" s="163">
        <f t="shared" si="18"/>
        <v>2</v>
      </c>
      <c r="AQ60" s="644">
        <f t="shared" si="18"/>
        <v>0</v>
      </c>
      <c r="AR60" s="645">
        <f t="shared" si="23"/>
        <v>18</v>
      </c>
      <c r="AS60" s="163">
        <f t="shared" si="23"/>
        <v>10</v>
      </c>
      <c r="AT60" s="163">
        <f t="shared" si="23"/>
        <v>0</v>
      </c>
      <c r="AU60" s="163">
        <f t="shared" si="23"/>
        <v>7</v>
      </c>
      <c r="AV60" s="643">
        <f t="shared" si="23"/>
        <v>1</v>
      </c>
      <c r="AW60" s="646">
        <f t="shared" si="23"/>
        <v>23</v>
      </c>
      <c r="AX60" s="645">
        <f t="shared" si="23"/>
        <v>11</v>
      </c>
      <c r="AY60" s="163">
        <f t="shared" si="23"/>
        <v>9</v>
      </c>
      <c r="AZ60" s="163">
        <f t="shared" si="23"/>
        <v>0</v>
      </c>
      <c r="BA60" s="163">
        <f t="shared" si="23"/>
        <v>2</v>
      </c>
      <c r="BB60" s="644">
        <f t="shared" si="23"/>
        <v>0</v>
      </c>
      <c r="BC60" s="645">
        <f t="shared" si="23"/>
        <v>12</v>
      </c>
      <c r="BD60" s="163">
        <f t="shared" si="23"/>
        <v>6</v>
      </c>
      <c r="BE60" s="163">
        <f t="shared" si="23"/>
        <v>0</v>
      </c>
      <c r="BF60" s="163">
        <f t="shared" si="23"/>
        <v>5</v>
      </c>
      <c r="BG60" s="643">
        <f t="shared" si="23"/>
        <v>1</v>
      </c>
      <c r="BH60" s="646">
        <f t="shared" si="23"/>
        <v>41</v>
      </c>
      <c r="BI60" s="645">
        <f t="shared" si="23"/>
        <v>19</v>
      </c>
      <c r="BJ60" s="163">
        <f t="shared" si="23"/>
        <v>18</v>
      </c>
      <c r="BK60" s="163">
        <f t="shared" si="23"/>
        <v>0</v>
      </c>
      <c r="BL60" s="163">
        <f t="shared" si="23"/>
        <v>1</v>
      </c>
      <c r="BM60" s="644">
        <f t="shared" si="23"/>
        <v>0</v>
      </c>
      <c r="BN60" s="645">
        <f t="shared" si="23"/>
        <v>22</v>
      </c>
      <c r="BO60" s="163">
        <f t="shared" si="23"/>
        <v>9</v>
      </c>
      <c r="BP60" s="163">
        <f t="shared" si="23"/>
        <v>0</v>
      </c>
      <c r="BQ60" s="163">
        <f t="shared" si="23"/>
        <v>11</v>
      </c>
      <c r="BR60" s="643">
        <f t="shared" si="23"/>
        <v>2</v>
      </c>
      <c r="BS60" s="646">
        <f t="shared" si="23"/>
        <v>49</v>
      </c>
      <c r="BT60" s="645">
        <f t="shared" si="23"/>
        <v>18</v>
      </c>
      <c r="BU60" s="163">
        <f t="shared" si="23"/>
        <v>15</v>
      </c>
      <c r="BV60" s="163">
        <f t="shared" si="23"/>
        <v>0</v>
      </c>
      <c r="BW60" s="163">
        <f t="shared" si="23"/>
        <v>3</v>
      </c>
      <c r="BX60" s="644">
        <f t="shared" si="23"/>
        <v>0</v>
      </c>
      <c r="BY60" s="645">
        <f t="shared" si="23"/>
        <v>31</v>
      </c>
      <c r="BZ60" s="163">
        <f t="shared" si="23"/>
        <v>14</v>
      </c>
      <c r="CA60" s="163">
        <f t="shared" si="23"/>
        <v>0</v>
      </c>
      <c r="CB60" s="163">
        <f t="shared" si="23"/>
        <v>14</v>
      </c>
      <c r="CC60" s="643">
        <f t="shared" si="23"/>
        <v>3</v>
      </c>
      <c r="CD60" s="646">
        <f t="shared" si="23"/>
        <v>12</v>
      </c>
      <c r="CE60" s="645">
        <f t="shared" si="23"/>
        <v>7</v>
      </c>
      <c r="CF60" s="163">
        <f t="shared" si="23"/>
        <v>6</v>
      </c>
      <c r="CG60" s="163">
        <f t="shared" si="23"/>
        <v>0</v>
      </c>
      <c r="CH60" s="163">
        <f t="shared" si="23"/>
        <v>1</v>
      </c>
      <c r="CI60" s="644">
        <f t="shared" si="23"/>
        <v>0</v>
      </c>
      <c r="CJ60" s="645">
        <f t="shared" si="23"/>
        <v>5</v>
      </c>
      <c r="CK60" s="163">
        <f t="shared" si="23"/>
        <v>1</v>
      </c>
      <c r="CL60" s="163">
        <f t="shared" si="23"/>
        <v>0</v>
      </c>
      <c r="CM60" s="163">
        <f t="shared" si="23"/>
        <v>4</v>
      </c>
      <c r="CN60" s="643">
        <f t="shared" si="23"/>
        <v>0</v>
      </c>
      <c r="CO60" s="646">
        <f t="shared" si="23"/>
        <v>12</v>
      </c>
      <c r="CP60" s="645">
        <f t="shared" si="23"/>
        <v>4</v>
      </c>
      <c r="CQ60" s="163">
        <f t="shared" si="23"/>
        <v>4</v>
      </c>
      <c r="CR60" s="163">
        <f t="shared" si="23"/>
        <v>0</v>
      </c>
      <c r="CS60" s="163">
        <f t="shared" si="23"/>
        <v>0</v>
      </c>
      <c r="CT60" s="644">
        <f t="shared" si="23"/>
        <v>0</v>
      </c>
      <c r="CU60" s="645">
        <f t="shared" si="19"/>
        <v>8</v>
      </c>
      <c r="CV60" s="163">
        <f t="shared" si="19"/>
        <v>1</v>
      </c>
      <c r="CW60" s="163">
        <f t="shared" si="19"/>
        <v>0</v>
      </c>
      <c r="CX60" s="163">
        <f t="shared" si="19"/>
        <v>7</v>
      </c>
      <c r="CY60" s="643">
        <f t="shared" si="19"/>
        <v>0</v>
      </c>
      <c r="CZ60" s="646">
        <f t="shared" si="19"/>
        <v>3</v>
      </c>
      <c r="DA60" s="645">
        <f t="shared" si="19"/>
        <v>1</v>
      </c>
      <c r="DB60" s="163">
        <f t="shared" si="19"/>
        <v>0</v>
      </c>
      <c r="DC60" s="163">
        <f t="shared" si="19"/>
        <v>0</v>
      </c>
      <c r="DD60" s="163">
        <f t="shared" si="19"/>
        <v>1</v>
      </c>
      <c r="DE60" s="644">
        <f t="shared" si="19"/>
        <v>0</v>
      </c>
      <c r="DF60" s="645">
        <f t="shared" si="19"/>
        <v>2</v>
      </c>
      <c r="DG60" s="163">
        <f t="shared" si="19"/>
        <v>1</v>
      </c>
      <c r="DH60" s="163">
        <f t="shared" si="19"/>
        <v>0</v>
      </c>
      <c r="DI60" s="163">
        <f t="shared" si="19"/>
        <v>1</v>
      </c>
      <c r="DJ60" s="643">
        <f t="shared" si="19"/>
        <v>0</v>
      </c>
      <c r="DK60" s="646">
        <f t="shared" si="19"/>
        <v>0</v>
      </c>
      <c r="DL60" s="645">
        <f t="shared" si="19"/>
        <v>0</v>
      </c>
      <c r="DM60" s="163">
        <f t="shared" si="19"/>
        <v>0</v>
      </c>
      <c r="DN60" s="163">
        <f t="shared" si="19"/>
        <v>0</v>
      </c>
      <c r="DO60" s="163">
        <f t="shared" si="19"/>
        <v>0</v>
      </c>
      <c r="DP60" s="644">
        <f t="shared" si="19"/>
        <v>0</v>
      </c>
      <c r="DQ60" s="645">
        <f t="shared" si="19"/>
        <v>0</v>
      </c>
      <c r="DR60" s="163">
        <f t="shared" si="19"/>
        <v>0</v>
      </c>
      <c r="DS60" s="163">
        <f t="shared" si="19"/>
        <v>0</v>
      </c>
      <c r="DT60" s="163">
        <f t="shared" si="19"/>
        <v>0</v>
      </c>
      <c r="DU60" s="643">
        <f t="shared" si="22"/>
        <v>0</v>
      </c>
      <c r="DW60" s="646">
        <f t="shared" si="15"/>
        <v>156</v>
      </c>
      <c r="DX60" s="645">
        <f t="shared" si="15"/>
        <v>67</v>
      </c>
      <c r="DY60" s="163">
        <f t="shared" si="15"/>
        <v>59</v>
      </c>
      <c r="DZ60" s="163">
        <f t="shared" si="15"/>
        <v>0</v>
      </c>
      <c r="EA60" s="163">
        <f t="shared" si="15"/>
        <v>8</v>
      </c>
      <c r="EB60" s="644">
        <f t="shared" si="15"/>
        <v>0</v>
      </c>
      <c r="EC60" s="645">
        <f t="shared" si="15"/>
        <v>89</v>
      </c>
      <c r="ED60" s="163">
        <f t="shared" si="15"/>
        <v>38</v>
      </c>
      <c r="EE60" s="163">
        <f t="shared" si="15"/>
        <v>0</v>
      </c>
      <c r="EF60" s="163">
        <f t="shared" si="14"/>
        <v>44</v>
      </c>
      <c r="EG60" s="643">
        <f t="shared" si="14"/>
        <v>7</v>
      </c>
      <c r="EH60" s="646">
        <f t="shared" si="6"/>
        <v>42</v>
      </c>
      <c r="EI60" s="645">
        <f t="shared" si="6"/>
        <v>24</v>
      </c>
      <c r="EJ60" s="163">
        <f t="shared" si="6"/>
        <v>22</v>
      </c>
      <c r="EK60" s="163">
        <f t="shared" si="6"/>
        <v>0</v>
      </c>
      <c r="EL60" s="163">
        <f t="shared" si="6"/>
        <v>2</v>
      </c>
      <c r="EM60" s="644">
        <f t="shared" si="6"/>
        <v>0</v>
      </c>
      <c r="EN60" s="645">
        <f t="shared" si="6"/>
        <v>18</v>
      </c>
      <c r="EO60" s="163">
        <f t="shared" si="6"/>
        <v>10</v>
      </c>
      <c r="EP60" s="163">
        <f t="shared" si="6"/>
        <v>0</v>
      </c>
      <c r="EQ60" s="163">
        <f t="shared" si="6"/>
        <v>7</v>
      </c>
      <c r="ER60" s="643">
        <f t="shared" si="6"/>
        <v>1</v>
      </c>
    </row>
    <row r="61" spans="1:148">
      <c r="A61" s="654" t="s">
        <v>231</v>
      </c>
      <c r="B61" s="658">
        <v>43374</v>
      </c>
      <c r="C61" s="659">
        <v>2018</v>
      </c>
      <c r="D61" s="646">
        <f t="shared" si="10"/>
        <v>174523</v>
      </c>
      <c r="E61" s="646">
        <f t="shared" si="11"/>
        <v>1886</v>
      </c>
      <c r="F61" s="645">
        <f t="shared" si="11"/>
        <v>1145</v>
      </c>
      <c r="G61" s="163">
        <f t="shared" si="11"/>
        <v>981</v>
      </c>
      <c r="H61" s="163">
        <f t="shared" si="11"/>
        <v>0</v>
      </c>
      <c r="I61" s="163">
        <f t="shared" si="11"/>
        <v>164</v>
      </c>
      <c r="J61" s="644">
        <f t="shared" si="11"/>
        <v>0</v>
      </c>
      <c r="K61" s="645">
        <f t="shared" si="11"/>
        <v>741</v>
      </c>
      <c r="L61" s="163">
        <f t="shared" si="11"/>
        <v>446</v>
      </c>
      <c r="M61" s="163">
        <f t="shared" si="11"/>
        <v>0</v>
      </c>
      <c r="N61" s="163">
        <f t="shared" si="11"/>
        <v>242</v>
      </c>
      <c r="O61" s="643">
        <f t="shared" si="11"/>
        <v>53</v>
      </c>
      <c r="P61" s="646">
        <f t="shared" si="11"/>
        <v>4</v>
      </c>
      <c r="Q61" s="645">
        <f t="shared" si="11"/>
        <v>2</v>
      </c>
      <c r="R61" s="163">
        <f t="shared" si="11"/>
        <v>2</v>
      </c>
      <c r="S61" s="163">
        <f t="shared" si="11"/>
        <v>0</v>
      </c>
      <c r="T61" s="163">
        <f t="shared" si="11"/>
        <v>0</v>
      </c>
      <c r="U61" s="644">
        <f t="shared" ref="U61:AW75" si="24">SUMIFS(U$5:U$36,$B$5:$B$36,$A61)</f>
        <v>0</v>
      </c>
      <c r="V61" s="645">
        <f t="shared" si="24"/>
        <v>2</v>
      </c>
      <c r="W61" s="163">
        <f t="shared" si="24"/>
        <v>1</v>
      </c>
      <c r="X61" s="163">
        <f t="shared" si="24"/>
        <v>0</v>
      </c>
      <c r="Y61" s="163">
        <f t="shared" si="24"/>
        <v>1</v>
      </c>
      <c r="Z61" s="643">
        <f t="shared" si="24"/>
        <v>0</v>
      </c>
      <c r="AA61" s="646">
        <f t="shared" si="24"/>
        <v>3</v>
      </c>
      <c r="AB61" s="645">
        <f t="shared" si="24"/>
        <v>1</v>
      </c>
      <c r="AC61" s="163">
        <f t="shared" si="24"/>
        <v>1</v>
      </c>
      <c r="AD61" s="163">
        <f t="shared" si="24"/>
        <v>0</v>
      </c>
      <c r="AE61" s="163">
        <f t="shared" si="24"/>
        <v>0</v>
      </c>
      <c r="AF61" s="644">
        <f t="shared" si="24"/>
        <v>0</v>
      </c>
      <c r="AG61" s="645">
        <f t="shared" si="24"/>
        <v>2</v>
      </c>
      <c r="AH61" s="163">
        <f t="shared" si="24"/>
        <v>1</v>
      </c>
      <c r="AI61" s="163">
        <f t="shared" si="24"/>
        <v>0</v>
      </c>
      <c r="AJ61" s="163">
        <f t="shared" si="24"/>
        <v>0</v>
      </c>
      <c r="AK61" s="643">
        <f t="shared" si="24"/>
        <v>1</v>
      </c>
      <c r="AL61" s="646">
        <f t="shared" si="24"/>
        <v>15</v>
      </c>
      <c r="AM61" s="645">
        <f t="shared" si="24"/>
        <v>10</v>
      </c>
      <c r="AN61" s="163">
        <f t="shared" si="24"/>
        <v>9</v>
      </c>
      <c r="AO61" s="163">
        <f t="shared" si="24"/>
        <v>0</v>
      </c>
      <c r="AP61" s="163">
        <f t="shared" si="24"/>
        <v>1</v>
      </c>
      <c r="AQ61" s="644">
        <f t="shared" si="24"/>
        <v>0</v>
      </c>
      <c r="AR61" s="645">
        <f t="shared" si="24"/>
        <v>5</v>
      </c>
      <c r="AS61" s="163">
        <f t="shared" si="24"/>
        <v>0</v>
      </c>
      <c r="AT61" s="163">
        <f t="shared" si="24"/>
        <v>0</v>
      </c>
      <c r="AU61" s="163">
        <f t="shared" si="24"/>
        <v>5</v>
      </c>
      <c r="AV61" s="643">
        <f t="shared" si="24"/>
        <v>0</v>
      </c>
      <c r="AW61" s="646">
        <f t="shared" si="24"/>
        <v>10</v>
      </c>
      <c r="AX61" s="645">
        <f t="shared" si="23"/>
        <v>7</v>
      </c>
      <c r="AY61" s="163">
        <f t="shared" si="23"/>
        <v>7</v>
      </c>
      <c r="AZ61" s="163">
        <f t="shared" si="23"/>
        <v>0</v>
      </c>
      <c r="BA61" s="163">
        <f t="shared" si="23"/>
        <v>0</v>
      </c>
      <c r="BB61" s="644">
        <f t="shared" si="23"/>
        <v>0</v>
      </c>
      <c r="BC61" s="645">
        <f t="shared" si="23"/>
        <v>3</v>
      </c>
      <c r="BD61" s="163">
        <f t="shared" si="23"/>
        <v>2</v>
      </c>
      <c r="BE61" s="163">
        <f t="shared" si="23"/>
        <v>0</v>
      </c>
      <c r="BF61" s="163">
        <f t="shared" si="23"/>
        <v>1</v>
      </c>
      <c r="BG61" s="643">
        <f t="shared" si="23"/>
        <v>0</v>
      </c>
      <c r="BH61" s="646">
        <f t="shared" si="23"/>
        <v>18</v>
      </c>
      <c r="BI61" s="645">
        <f t="shared" si="23"/>
        <v>12</v>
      </c>
      <c r="BJ61" s="163">
        <f t="shared" si="23"/>
        <v>9</v>
      </c>
      <c r="BK61" s="163">
        <f t="shared" si="23"/>
        <v>0</v>
      </c>
      <c r="BL61" s="163">
        <f t="shared" si="23"/>
        <v>3</v>
      </c>
      <c r="BM61" s="644">
        <f t="shared" si="23"/>
        <v>0</v>
      </c>
      <c r="BN61" s="645">
        <f t="shared" si="23"/>
        <v>6</v>
      </c>
      <c r="BO61" s="163">
        <f t="shared" si="23"/>
        <v>4</v>
      </c>
      <c r="BP61" s="163">
        <f t="shared" si="23"/>
        <v>0</v>
      </c>
      <c r="BQ61" s="163">
        <f t="shared" si="23"/>
        <v>2</v>
      </c>
      <c r="BR61" s="643">
        <f t="shared" si="23"/>
        <v>0</v>
      </c>
      <c r="BS61" s="646">
        <f t="shared" si="23"/>
        <v>19</v>
      </c>
      <c r="BT61" s="645">
        <f t="shared" si="23"/>
        <v>12</v>
      </c>
      <c r="BU61" s="163">
        <f t="shared" si="23"/>
        <v>10</v>
      </c>
      <c r="BV61" s="163">
        <f t="shared" si="23"/>
        <v>0</v>
      </c>
      <c r="BW61" s="163">
        <f t="shared" si="23"/>
        <v>2</v>
      </c>
      <c r="BX61" s="644">
        <f t="shared" ref="BX61:CT61" si="25">SUMIFS(BX$5:BX$36,$B$5:$B$36,$A61)</f>
        <v>0</v>
      </c>
      <c r="BY61" s="645">
        <f t="shared" si="25"/>
        <v>7</v>
      </c>
      <c r="BZ61" s="163">
        <f t="shared" si="25"/>
        <v>5</v>
      </c>
      <c r="CA61" s="163">
        <f t="shared" si="25"/>
        <v>0</v>
      </c>
      <c r="CB61" s="163">
        <f t="shared" si="25"/>
        <v>1</v>
      </c>
      <c r="CC61" s="643">
        <f t="shared" si="25"/>
        <v>1</v>
      </c>
      <c r="CD61" s="646">
        <f t="shared" si="25"/>
        <v>4</v>
      </c>
      <c r="CE61" s="645">
        <f t="shared" si="25"/>
        <v>4</v>
      </c>
      <c r="CF61" s="163">
        <f t="shared" si="25"/>
        <v>3</v>
      </c>
      <c r="CG61" s="163">
        <f t="shared" si="25"/>
        <v>0</v>
      </c>
      <c r="CH61" s="163">
        <f t="shared" si="25"/>
        <v>1</v>
      </c>
      <c r="CI61" s="644">
        <f t="shared" si="25"/>
        <v>0</v>
      </c>
      <c r="CJ61" s="645">
        <f t="shared" si="25"/>
        <v>0</v>
      </c>
      <c r="CK61" s="163">
        <f t="shared" si="25"/>
        <v>0</v>
      </c>
      <c r="CL61" s="163">
        <f t="shared" si="25"/>
        <v>0</v>
      </c>
      <c r="CM61" s="163">
        <f t="shared" si="25"/>
        <v>0</v>
      </c>
      <c r="CN61" s="643">
        <f t="shared" si="25"/>
        <v>0</v>
      </c>
      <c r="CO61" s="646">
        <f t="shared" si="25"/>
        <v>3</v>
      </c>
      <c r="CP61" s="645">
        <f t="shared" si="25"/>
        <v>2</v>
      </c>
      <c r="CQ61" s="163">
        <f t="shared" si="25"/>
        <v>2</v>
      </c>
      <c r="CR61" s="163">
        <f t="shared" si="25"/>
        <v>0</v>
      </c>
      <c r="CS61" s="163">
        <f t="shared" si="25"/>
        <v>0</v>
      </c>
      <c r="CT61" s="644">
        <f t="shared" si="25"/>
        <v>0</v>
      </c>
      <c r="CU61" s="645">
        <f t="shared" si="19"/>
        <v>1</v>
      </c>
      <c r="CV61" s="163">
        <f t="shared" si="19"/>
        <v>1</v>
      </c>
      <c r="CW61" s="163">
        <f t="shared" si="19"/>
        <v>0</v>
      </c>
      <c r="CX61" s="163">
        <f t="shared" si="19"/>
        <v>0</v>
      </c>
      <c r="CY61" s="643">
        <f t="shared" si="19"/>
        <v>0</v>
      </c>
      <c r="CZ61" s="646">
        <f t="shared" si="19"/>
        <v>1</v>
      </c>
      <c r="DA61" s="645">
        <f t="shared" si="19"/>
        <v>0</v>
      </c>
      <c r="DB61" s="163">
        <f t="shared" si="19"/>
        <v>0</v>
      </c>
      <c r="DC61" s="163">
        <f t="shared" si="19"/>
        <v>0</v>
      </c>
      <c r="DD61" s="163">
        <f t="shared" si="19"/>
        <v>0</v>
      </c>
      <c r="DE61" s="644">
        <f t="shared" si="19"/>
        <v>0</v>
      </c>
      <c r="DF61" s="645">
        <f t="shared" si="19"/>
        <v>1</v>
      </c>
      <c r="DG61" s="163">
        <f t="shared" ref="DG61:DT64" si="26">SUMIFS(DG$5:DG$36,$B$5:$B$36,$A61)</f>
        <v>1</v>
      </c>
      <c r="DH61" s="163">
        <f t="shared" si="26"/>
        <v>0</v>
      </c>
      <c r="DI61" s="163">
        <f t="shared" si="26"/>
        <v>0</v>
      </c>
      <c r="DJ61" s="643">
        <f t="shared" si="26"/>
        <v>0</v>
      </c>
      <c r="DK61" s="646">
        <f t="shared" si="26"/>
        <v>0</v>
      </c>
      <c r="DL61" s="645">
        <f t="shared" si="26"/>
        <v>0</v>
      </c>
      <c r="DM61" s="163">
        <f t="shared" si="26"/>
        <v>0</v>
      </c>
      <c r="DN61" s="163">
        <f t="shared" si="26"/>
        <v>0</v>
      </c>
      <c r="DO61" s="163">
        <f t="shared" si="26"/>
        <v>0</v>
      </c>
      <c r="DP61" s="644">
        <f t="shared" si="26"/>
        <v>0</v>
      </c>
      <c r="DQ61" s="645">
        <f t="shared" si="26"/>
        <v>0</v>
      </c>
      <c r="DR61" s="163">
        <f t="shared" si="26"/>
        <v>0</v>
      </c>
      <c r="DS61" s="163">
        <f t="shared" si="26"/>
        <v>0</v>
      </c>
      <c r="DT61" s="163">
        <f t="shared" si="26"/>
        <v>0</v>
      </c>
      <c r="DU61" s="643">
        <f t="shared" si="22"/>
        <v>0</v>
      </c>
      <c r="DW61" s="646">
        <f t="shared" si="15"/>
        <v>62</v>
      </c>
      <c r="DX61" s="645">
        <f t="shared" si="15"/>
        <v>40</v>
      </c>
      <c r="DY61" s="163">
        <f t="shared" si="15"/>
        <v>34</v>
      </c>
      <c r="DZ61" s="163">
        <f t="shared" si="15"/>
        <v>0</v>
      </c>
      <c r="EA61" s="163">
        <f t="shared" si="15"/>
        <v>6</v>
      </c>
      <c r="EB61" s="644">
        <f t="shared" si="15"/>
        <v>0</v>
      </c>
      <c r="EC61" s="645">
        <f t="shared" si="15"/>
        <v>22</v>
      </c>
      <c r="ED61" s="163">
        <f t="shared" si="15"/>
        <v>15</v>
      </c>
      <c r="EE61" s="163">
        <f t="shared" si="15"/>
        <v>0</v>
      </c>
      <c r="EF61" s="163">
        <f t="shared" si="14"/>
        <v>5</v>
      </c>
      <c r="EG61" s="643">
        <f t="shared" si="14"/>
        <v>2</v>
      </c>
      <c r="EH61" s="646">
        <f t="shared" si="6"/>
        <v>15</v>
      </c>
      <c r="EI61" s="645">
        <f t="shared" si="6"/>
        <v>10</v>
      </c>
      <c r="EJ61" s="163">
        <f t="shared" ref="EJ61:ER89" si="27">AN61</f>
        <v>9</v>
      </c>
      <c r="EK61" s="163">
        <f t="shared" si="27"/>
        <v>0</v>
      </c>
      <c r="EL61" s="163">
        <f t="shared" si="27"/>
        <v>1</v>
      </c>
      <c r="EM61" s="644">
        <f t="shared" si="27"/>
        <v>0</v>
      </c>
      <c r="EN61" s="645">
        <f t="shared" si="27"/>
        <v>5</v>
      </c>
      <c r="EO61" s="163">
        <f t="shared" si="27"/>
        <v>0</v>
      </c>
      <c r="EP61" s="163">
        <f t="shared" si="27"/>
        <v>0</v>
      </c>
      <c r="EQ61" s="163">
        <f t="shared" si="27"/>
        <v>5</v>
      </c>
      <c r="ER61" s="643">
        <f t="shared" si="27"/>
        <v>0</v>
      </c>
    </row>
    <row r="62" spans="1:148">
      <c r="A62" s="654" t="s">
        <v>231</v>
      </c>
      <c r="B62" s="658">
        <v>43405</v>
      </c>
      <c r="C62" s="659">
        <v>2018</v>
      </c>
      <c r="D62" s="646">
        <f t="shared" si="10"/>
        <v>174523</v>
      </c>
      <c r="E62" s="646">
        <f t="shared" si="11"/>
        <v>1886</v>
      </c>
      <c r="F62" s="645">
        <f t="shared" si="11"/>
        <v>1145</v>
      </c>
      <c r="G62" s="163">
        <f t="shared" si="11"/>
        <v>981</v>
      </c>
      <c r="H62" s="163">
        <f t="shared" si="11"/>
        <v>0</v>
      </c>
      <c r="I62" s="163">
        <f t="shared" si="11"/>
        <v>164</v>
      </c>
      <c r="J62" s="644">
        <f t="shared" si="11"/>
        <v>0</v>
      </c>
      <c r="K62" s="645">
        <f t="shared" si="11"/>
        <v>741</v>
      </c>
      <c r="L62" s="163">
        <f t="shared" si="11"/>
        <v>446</v>
      </c>
      <c r="M62" s="163">
        <f t="shared" si="11"/>
        <v>0</v>
      </c>
      <c r="N62" s="163">
        <f t="shared" si="11"/>
        <v>242</v>
      </c>
      <c r="O62" s="643">
        <f t="shared" si="11"/>
        <v>53</v>
      </c>
      <c r="P62" s="646">
        <f t="shared" si="11"/>
        <v>4</v>
      </c>
      <c r="Q62" s="645">
        <f t="shared" si="11"/>
        <v>2</v>
      </c>
      <c r="R62" s="163">
        <f t="shared" si="11"/>
        <v>2</v>
      </c>
      <c r="S62" s="163">
        <f t="shared" si="11"/>
        <v>0</v>
      </c>
      <c r="T62" s="163">
        <f t="shared" si="11"/>
        <v>0</v>
      </c>
      <c r="U62" s="644">
        <f t="shared" si="24"/>
        <v>0</v>
      </c>
      <c r="V62" s="645">
        <f t="shared" si="24"/>
        <v>2</v>
      </c>
      <c r="W62" s="163">
        <f t="shared" si="24"/>
        <v>1</v>
      </c>
      <c r="X62" s="163">
        <f t="shared" si="24"/>
        <v>0</v>
      </c>
      <c r="Y62" s="163">
        <f t="shared" si="24"/>
        <v>1</v>
      </c>
      <c r="Z62" s="643">
        <f t="shared" si="24"/>
        <v>0</v>
      </c>
      <c r="AA62" s="646">
        <f t="shared" si="24"/>
        <v>3</v>
      </c>
      <c r="AB62" s="645">
        <f t="shared" si="24"/>
        <v>1</v>
      </c>
      <c r="AC62" s="163">
        <f t="shared" si="24"/>
        <v>1</v>
      </c>
      <c r="AD62" s="163">
        <f t="shared" si="24"/>
        <v>0</v>
      </c>
      <c r="AE62" s="163">
        <f t="shared" si="24"/>
        <v>0</v>
      </c>
      <c r="AF62" s="644">
        <f t="shared" si="24"/>
        <v>0</v>
      </c>
      <c r="AG62" s="645">
        <f t="shared" si="24"/>
        <v>2</v>
      </c>
      <c r="AH62" s="163">
        <f t="shared" si="24"/>
        <v>1</v>
      </c>
      <c r="AI62" s="163">
        <f t="shared" si="24"/>
        <v>0</v>
      </c>
      <c r="AJ62" s="163">
        <f t="shared" si="24"/>
        <v>0</v>
      </c>
      <c r="AK62" s="643">
        <f t="shared" si="24"/>
        <v>1</v>
      </c>
      <c r="AL62" s="646">
        <f t="shared" si="24"/>
        <v>15</v>
      </c>
      <c r="AM62" s="645">
        <f t="shared" si="24"/>
        <v>10</v>
      </c>
      <c r="AN62" s="163">
        <f t="shared" si="24"/>
        <v>9</v>
      </c>
      <c r="AO62" s="163">
        <f t="shared" si="24"/>
        <v>0</v>
      </c>
      <c r="AP62" s="163">
        <f t="shared" si="24"/>
        <v>1</v>
      </c>
      <c r="AQ62" s="644">
        <f t="shared" si="24"/>
        <v>0</v>
      </c>
      <c r="AR62" s="645">
        <f t="shared" si="24"/>
        <v>5</v>
      </c>
      <c r="AS62" s="163">
        <f t="shared" si="24"/>
        <v>0</v>
      </c>
      <c r="AT62" s="163">
        <f t="shared" si="24"/>
        <v>0</v>
      </c>
      <c r="AU62" s="163">
        <f t="shared" si="24"/>
        <v>5</v>
      </c>
      <c r="AV62" s="643">
        <f t="shared" si="24"/>
        <v>0</v>
      </c>
      <c r="AW62" s="646">
        <f t="shared" si="24"/>
        <v>10</v>
      </c>
      <c r="AX62" s="645">
        <f t="shared" ref="AX62:DI65" si="28">SUMIFS(AX$5:AX$36,$B$5:$B$36,$A62)</f>
        <v>7</v>
      </c>
      <c r="AY62" s="163">
        <f t="shared" si="28"/>
        <v>7</v>
      </c>
      <c r="AZ62" s="163">
        <f t="shared" si="28"/>
        <v>0</v>
      </c>
      <c r="BA62" s="163">
        <f t="shared" si="28"/>
        <v>0</v>
      </c>
      <c r="BB62" s="644">
        <f t="shared" si="28"/>
        <v>0</v>
      </c>
      <c r="BC62" s="645">
        <f t="shared" si="28"/>
        <v>3</v>
      </c>
      <c r="BD62" s="163">
        <f t="shared" si="28"/>
        <v>2</v>
      </c>
      <c r="BE62" s="163">
        <f t="shared" si="28"/>
        <v>0</v>
      </c>
      <c r="BF62" s="163">
        <f t="shared" si="28"/>
        <v>1</v>
      </c>
      <c r="BG62" s="643">
        <f t="shared" si="28"/>
        <v>0</v>
      </c>
      <c r="BH62" s="646">
        <f t="shared" si="28"/>
        <v>18</v>
      </c>
      <c r="BI62" s="645">
        <f t="shared" si="28"/>
        <v>12</v>
      </c>
      <c r="BJ62" s="163">
        <f t="shared" si="28"/>
        <v>9</v>
      </c>
      <c r="BK62" s="163">
        <f t="shared" si="28"/>
        <v>0</v>
      </c>
      <c r="BL62" s="163">
        <f t="shared" si="28"/>
        <v>3</v>
      </c>
      <c r="BM62" s="644">
        <f t="shared" si="28"/>
        <v>0</v>
      </c>
      <c r="BN62" s="645">
        <f t="shared" si="28"/>
        <v>6</v>
      </c>
      <c r="BO62" s="163">
        <f t="shared" si="28"/>
        <v>4</v>
      </c>
      <c r="BP62" s="163">
        <f t="shared" si="28"/>
        <v>0</v>
      </c>
      <c r="BQ62" s="163">
        <f t="shared" si="28"/>
        <v>2</v>
      </c>
      <c r="BR62" s="643">
        <f t="shared" si="28"/>
        <v>0</v>
      </c>
      <c r="BS62" s="646">
        <f t="shared" si="28"/>
        <v>19</v>
      </c>
      <c r="BT62" s="645">
        <f t="shared" si="28"/>
        <v>12</v>
      </c>
      <c r="BU62" s="163">
        <f t="shared" si="28"/>
        <v>10</v>
      </c>
      <c r="BV62" s="163">
        <f t="shared" si="28"/>
        <v>0</v>
      </c>
      <c r="BW62" s="163">
        <f t="shared" si="28"/>
        <v>2</v>
      </c>
      <c r="BX62" s="644">
        <f t="shared" si="28"/>
        <v>0</v>
      </c>
      <c r="BY62" s="645">
        <f t="shared" si="28"/>
        <v>7</v>
      </c>
      <c r="BZ62" s="163">
        <f t="shared" si="28"/>
        <v>5</v>
      </c>
      <c r="CA62" s="163">
        <f t="shared" si="28"/>
        <v>0</v>
      </c>
      <c r="CB62" s="163">
        <f t="shared" si="28"/>
        <v>1</v>
      </c>
      <c r="CC62" s="643">
        <f t="shared" si="28"/>
        <v>1</v>
      </c>
      <c r="CD62" s="646">
        <f t="shared" si="28"/>
        <v>4</v>
      </c>
      <c r="CE62" s="645">
        <f t="shared" si="28"/>
        <v>4</v>
      </c>
      <c r="CF62" s="163">
        <f t="shared" si="28"/>
        <v>3</v>
      </c>
      <c r="CG62" s="163">
        <f t="shared" si="28"/>
        <v>0</v>
      </c>
      <c r="CH62" s="163">
        <f t="shared" si="28"/>
        <v>1</v>
      </c>
      <c r="CI62" s="644">
        <f t="shared" si="28"/>
        <v>0</v>
      </c>
      <c r="CJ62" s="645">
        <f t="shared" si="28"/>
        <v>0</v>
      </c>
      <c r="CK62" s="163">
        <f t="shared" si="28"/>
        <v>0</v>
      </c>
      <c r="CL62" s="163">
        <f t="shared" si="28"/>
        <v>0</v>
      </c>
      <c r="CM62" s="163">
        <f t="shared" si="28"/>
        <v>0</v>
      </c>
      <c r="CN62" s="643">
        <f t="shared" si="28"/>
        <v>0</v>
      </c>
      <c r="CO62" s="646">
        <f t="shared" si="28"/>
        <v>3</v>
      </c>
      <c r="CP62" s="645">
        <f t="shared" si="28"/>
        <v>2</v>
      </c>
      <c r="CQ62" s="163">
        <f t="shared" si="28"/>
        <v>2</v>
      </c>
      <c r="CR62" s="163">
        <f t="shared" si="28"/>
        <v>0</v>
      </c>
      <c r="CS62" s="163">
        <f t="shared" si="28"/>
        <v>0</v>
      </c>
      <c r="CT62" s="644">
        <f t="shared" si="28"/>
        <v>0</v>
      </c>
      <c r="CU62" s="645">
        <f t="shared" si="28"/>
        <v>1</v>
      </c>
      <c r="CV62" s="163">
        <f t="shared" si="28"/>
        <v>1</v>
      </c>
      <c r="CW62" s="163">
        <f t="shared" si="28"/>
        <v>0</v>
      </c>
      <c r="CX62" s="163">
        <f t="shared" si="28"/>
        <v>0</v>
      </c>
      <c r="CY62" s="643">
        <f t="shared" si="28"/>
        <v>0</v>
      </c>
      <c r="CZ62" s="646">
        <f t="shared" si="28"/>
        <v>1</v>
      </c>
      <c r="DA62" s="645">
        <f t="shared" si="28"/>
        <v>0</v>
      </c>
      <c r="DB62" s="163">
        <f t="shared" si="28"/>
        <v>0</v>
      </c>
      <c r="DC62" s="163">
        <f t="shared" si="28"/>
        <v>0</v>
      </c>
      <c r="DD62" s="163">
        <f t="shared" si="28"/>
        <v>0</v>
      </c>
      <c r="DE62" s="644">
        <f t="shared" si="28"/>
        <v>0</v>
      </c>
      <c r="DF62" s="645">
        <f t="shared" si="28"/>
        <v>1</v>
      </c>
      <c r="DG62" s="163">
        <f t="shared" si="28"/>
        <v>1</v>
      </c>
      <c r="DH62" s="163">
        <f t="shared" si="28"/>
        <v>0</v>
      </c>
      <c r="DI62" s="163">
        <f t="shared" si="28"/>
        <v>0</v>
      </c>
      <c r="DJ62" s="643">
        <f t="shared" si="26"/>
        <v>0</v>
      </c>
      <c r="DK62" s="646">
        <f t="shared" si="26"/>
        <v>0</v>
      </c>
      <c r="DL62" s="645">
        <f t="shared" si="26"/>
        <v>0</v>
      </c>
      <c r="DM62" s="163">
        <f t="shared" si="26"/>
        <v>0</v>
      </c>
      <c r="DN62" s="163">
        <f t="shared" si="26"/>
        <v>0</v>
      </c>
      <c r="DO62" s="163">
        <f t="shared" si="26"/>
        <v>0</v>
      </c>
      <c r="DP62" s="644">
        <f t="shared" si="26"/>
        <v>0</v>
      </c>
      <c r="DQ62" s="645">
        <f t="shared" si="26"/>
        <v>0</v>
      </c>
      <c r="DR62" s="163">
        <f t="shared" si="26"/>
        <v>0</v>
      </c>
      <c r="DS62" s="163">
        <f t="shared" si="26"/>
        <v>0</v>
      </c>
      <c r="DT62" s="163">
        <f t="shared" si="26"/>
        <v>0</v>
      </c>
      <c r="DU62" s="643">
        <f t="shared" si="22"/>
        <v>0</v>
      </c>
      <c r="DW62" s="646">
        <f t="shared" si="15"/>
        <v>62</v>
      </c>
      <c r="DX62" s="645">
        <f t="shared" si="15"/>
        <v>40</v>
      </c>
      <c r="DY62" s="163">
        <f t="shared" si="15"/>
        <v>34</v>
      </c>
      <c r="DZ62" s="163">
        <f t="shared" si="15"/>
        <v>0</v>
      </c>
      <c r="EA62" s="163">
        <f t="shared" si="15"/>
        <v>6</v>
      </c>
      <c r="EB62" s="644">
        <f t="shared" si="15"/>
        <v>0</v>
      </c>
      <c r="EC62" s="645">
        <f t="shared" si="15"/>
        <v>22</v>
      </c>
      <c r="ED62" s="163">
        <f t="shared" si="15"/>
        <v>15</v>
      </c>
      <c r="EE62" s="163">
        <f t="shared" si="15"/>
        <v>0</v>
      </c>
      <c r="EF62" s="163">
        <f t="shared" si="14"/>
        <v>5</v>
      </c>
      <c r="EG62" s="643">
        <f t="shared" si="14"/>
        <v>2</v>
      </c>
      <c r="EH62" s="646">
        <f t="shared" ref="EH62:EL125" si="29">AL62</f>
        <v>15</v>
      </c>
      <c r="EI62" s="645">
        <f t="shared" si="29"/>
        <v>10</v>
      </c>
      <c r="EJ62" s="163">
        <f t="shared" si="27"/>
        <v>9</v>
      </c>
      <c r="EK62" s="163">
        <f t="shared" si="27"/>
        <v>0</v>
      </c>
      <c r="EL62" s="163">
        <f t="shared" si="27"/>
        <v>1</v>
      </c>
      <c r="EM62" s="644">
        <f t="shared" si="27"/>
        <v>0</v>
      </c>
      <c r="EN62" s="645">
        <f t="shared" si="27"/>
        <v>5</v>
      </c>
      <c r="EO62" s="163">
        <f t="shared" si="27"/>
        <v>0</v>
      </c>
      <c r="EP62" s="163">
        <f t="shared" si="27"/>
        <v>0</v>
      </c>
      <c r="EQ62" s="163">
        <f t="shared" si="27"/>
        <v>5</v>
      </c>
      <c r="ER62" s="643">
        <f t="shared" si="27"/>
        <v>0</v>
      </c>
    </row>
    <row r="63" spans="1:148">
      <c r="A63" s="654" t="s">
        <v>231</v>
      </c>
      <c r="B63" s="658">
        <v>43435</v>
      </c>
      <c r="C63" s="659">
        <v>2018</v>
      </c>
      <c r="D63" s="646">
        <f t="shared" si="10"/>
        <v>174523</v>
      </c>
      <c r="E63" s="646">
        <f t="shared" si="11"/>
        <v>1886</v>
      </c>
      <c r="F63" s="645">
        <f t="shared" si="11"/>
        <v>1145</v>
      </c>
      <c r="G63" s="163">
        <f t="shared" si="11"/>
        <v>981</v>
      </c>
      <c r="H63" s="163">
        <f t="shared" si="11"/>
        <v>0</v>
      </c>
      <c r="I63" s="163">
        <f t="shared" si="11"/>
        <v>164</v>
      </c>
      <c r="J63" s="644">
        <f t="shared" si="11"/>
        <v>0</v>
      </c>
      <c r="K63" s="645">
        <f t="shared" si="11"/>
        <v>741</v>
      </c>
      <c r="L63" s="163">
        <f t="shared" si="11"/>
        <v>446</v>
      </c>
      <c r="M63" s="163">
        <f t="shared" si="11"/>
        <v>0</v>
      </c>
      <c r="N63" s="163">
        <f t="shared" si="11"/>
        <v>242</v>
      </c>
      <c r="O63" s="643">
        <f t="shared" si="11"/>
        <v>53</v>
      </c>
      <c r="P63" s="646">
        <f t="shared" si="11"/>
        <v>4</v>
      </c>
      <c r="Q63" s="645">
        <f t="shared" si="11"/>
        <v>2</v>
      </c>
      <c r="R63" s="163">
        <f t="shared" si="11"/>
        <v>2</v>
      </c>
      <c r="S63" s="163">
        <f t="shared" si="11"/>
        <v>0</v>
      </c>
      <c r="T63" s="163">
        <f t="shared" si="11"/>
        <v>0</v>
      </c>
      <c r="U63" s="644">
        <f t="shared" si="24"/>
        <v>0</v>
      </c>
      <c r="V63" s="645">
        <f t="shared" si="24"/>
        <v>2</v>
      </c>
      <c r="W63" s="163">
        <f t="shared" si="24"/>
        <v>1</v>
      </c>
      <c r="X63" s="163">
        <f t="shared" si="24"/>
        <v>0</v>
      </c>
      <c r="Y63" s="163">
        <f t="shared" si="24"/>
        <v>1</v>
      </c>
      <c r="Z63" s="643">
        <f t="shared" si="24"/>
        <v>0</v>
      </c>
      <c r="AA63" s="646">
        <f t="shared" si="24"/>
        <v>3</v>
      </c>
      <c r="AB63" s="645">
        <f t="shared" si="24"/>
        <v>1</v>
      </c>
      <c r="AC63" s="163">
        <f t="shared" si="24"/>
        <v>1</v>
      </c>
      <c r="AD63" s="163">
        <f t="shared" si="24"/>
        <v>0</v>
      </c>
      <c r="AE63" s="163">
        <f t="shared" si="24"/>
        <v>0</v>
      </c>
      <c r="AF63" s="644">
        <f t="shared" si="24"/>
        <v>0</v>
      </c>
      <c r="AG63" s="645">
        <f t="shared" si="24"/>
        <v>2</v>
      </c>
      <c r="AH63" s="163">
        <f t="shared" si="24"/>
        <v>1</v>
      </c>
      <c r="AI63" s="163">
        <f t="shared" si="24"/>
        <v>0</v>
      </c>
      <c r="AJ63" s="163">
        <f t="shared" si="24"/>
        <v>0</v>
      </c>
      <c r="AK63" s="643">
        <f t="shared" si="24"/>
        <v>1</v>
      </c>
      <c r="AL63" s="646">
        <f t="shared" si="24"/>
        <v>15</v>
      </c>
      <c r="AM63" s="645">
        <f t="shared" si="24"/>
        <v>10</v>
      </c>
      <c r="AN63" s="163">
        <f t="shared" si="24"/>
        <v>9</v>
      </c>
      <c r="AO63" s="163">
        <f t="shared" si="24"/>
        <v>0</v>
      </c>
      <c r="AP63" s="163">
        <f t="shared" si="24"/>
        <v>1</v>
      </c>
      <c r="AQ63" s="644">
        <f t="shared" si="24"/>
        <v>0</v>
      </c>
      <c r="AR63" s="645">
        <f t="shared" si="24"/>
        <v>5</v>
      </c>
      <c r="AS63" s="163">
        <f t="shared" si="24"/>
        <v>0</v>
      </c>
      <c r="AT63" s="163">
        <f t="shared" si="24"/>
        <v>0</v>
      </c>
      <c r="AU63" s="163">
        <f t="shared" si="24"/>
        <v>5</v>
      </c>
      <c r="AV63" s="643">
        <f t="shared" si="24"/>
        <v>0</v>
      </c>
      <c r="AW63" s="646">
        <f t="shared" si="24"/>
        <v>10</v>
      </c>
      <c r="AX63" s="645">
        <f t="shared" si="28"/>
        <v>7</v>
      </c>
      <c r="AY63" s="163">
        <f t="shared" si="28"/>
        <v>7</v>
      </c>
      <c r="AZ63" s="163">
        <f t="shared" si="28"/>
        <v>0</v>
      </c>
      <c r="BA63" s="163">
        <f t="shared" si="28"/>
        <v>0</v>
      </c>
      <c r="BB63" s="644">
        <f t="shared" si="28"/>
        <v>0</v>
      </c>
      <c r="BC63" s="645">
        <f t="shared" si="28"/>
        <v>3</v>
      </c>
      <c r="BD63" s="163">
        <f t="shared" si="28"/>
        <v>2</v>
      </c>
      <c r="BE63" s="163">
        <f t="shared" si="28"/>
        <v>0</v>
      </c>
      <c r="BF63" s="163">
        <f t="shared" si="28"/>
        <v>1</v>
      </c>
      <c r="BG63" s="643">
        <f t="shared" si="28"/>
        <v>0</v>
      </c>
      <c r="BH63" s="646">
        <f t="shared" si="28"/>
        <v>18</v>
      </c>
      <c r="BI63" s="645">
        <f t="shared" si="28"/>
        <v>12</v>
      </c>
      <c r="BJ63" s="163">
        <f t="shared" si="28"/>
        <v>9</v>
      </c>
      <c r="BK63" s="163">
        <f t="shared" si="28"/>
        <v>0</v>
      </c>
      <c r="BL63" s="163">
        <f t="shared" si="28"/>
        <v>3</v>
      </c>
      <c r="BM63" s="644">
        <f t="shared" si="28"/>
        <v>0</v>
      </c>
      <c r="BN63" s="645">
        <f t="shared" si="28"/>
        <v>6</v>
      </c>
      <c r="BO63" s="163">
        <f t="shared" si="28"/>
        <v>4</v>
      </c>
      <c r="BP63" s="163">
        <f t="shared" si="28"/>
        <v>0</v>
      </c>
      <c r="BQ63" s="163">
        <f t="shared" si="28"/>
        <v>2</v>
      </c>
      <c r="BR63" s="643">
        <f t="shared" si="28"/>
        <v>0</v>
      </c>
      <c r="BS63" s="646">
        <f t="shared" si="28"/>
        <v>19</v>
      </c>
      <c r="BT63" s="645">
        <f t="shared" si="28"/>
        <v>12</v>
      </c>
      <c r="BU63" s="163">
        <f t="shared" si="28"/>
        <v>10</v>
      </c>
      <c r="BV63" s="163">
        <f t="shared" si="28"/>
        <v>0</v>
      </c>
      <c r="BW63" s="163">
        <f t="shared" si="28"/>
        <v>2</v>
      </c>
      <c r="BX63" s="644">
        <f t="shared" si="28"/>
        <v>0</v>
      </c>
      <c r="BY63" s="645">
        <f t="shared" si="28"/>
        <v>7</v>
      </c>
      <c r="BZ63" s="163">
        <f t="shared" si="28"/>
        <v>5</v>
      </c>
      <c r="CA63" s="163">
        <f t="shared" si="28"/>
        <v>0</v>
      </c>
      <c r="CB63" s="163">
        <f t="shared" si="28"/>
        <v>1</v>
      </c>
      <c r="CC63" s="643">
        <f t="shared" si="28"/>
        <v>1</v>
      </c>
      <c r="CD63" s="646">
        <f t="shared" si="28"/>
        <v>4</v>
      </c>
      <c r="CE63" s="645">
        <f t="shared" si="28"/>
        <v>4</v>
      </c>
      <c r="CF63" s="163">
        <f t="shared" si="28"/>
        <v>3</v>
      </c>
      <c r="CG63" s="163">
        <f t="shared" si="28"/>
        <v>0</v>
      </c>
      <c r="CH63" s="163">
        <f t="shared" si="28"/>
        <v>1</v>
      </c>
      <c r="CI63" s="644">
        <f t="shared" si="28"/>
        <v>0</v>
      </c>
      <c r="CJ63" s="645">
        <f t="shared" si="28"/>
        <v>0</v>
      </c>
      <c r="CK63" s="163">
        <f t="shared" si="28"/>
        <v>0</v>
      </c>
      <c r="CL63" s="163">
        <f t="shared" si="28"/>
        <v>0</v>
      </c>
      <c r="CM63" s="163">
        <f t="shared" si="28"/>
        <v>0</v>
      </c>
      <c r="CN63" s="643">
        <f t="shared" si="28"/>
        <v>0</v>
      </c>
      <c r="CO63" s="646">
        <f t="shared" si="28"/>
        <v>3</v>
      </c>
      <c r="CP63" s="645">
        <f t="shared" si="28"/>
        <v>2</v>
      </c>
      <c r="CQ63" s="163">
        <f t="shared" si="28"/>
        <v>2</v>
      </c>
      <c r="CR63" s="163">
        <f t="shared" si="28"/>
        <v>0</v>
      </c>
      <c r="CS63" s="163">
        <f t="shared" si="28"/>
        <v>0</v>
      </c>
      <c r="CT63" s="644">
        <f t="shared" si="28"/>
        <v>0</v>
      </c>
      <c r="CU63" s="645">
        <f t="shared" si="28"/>
        <v>1</v>
      </c>
      <c r="CV63" s="163">
        <f t="shared" si="28"/>
        <v>1</v>
      </c>
      <c r="CW63" s="163">
        <f t="shared" si="28"/>
        <v>0</v>
      </c>
      <c r="CX63" s="163">
        <f t="shared" si="28"/>
        <v>0</v>
      </c>
      <c r="CY63" s="643">
        <f t="shared" si="28"/>
        <v>0</v>
      </c>
      <c r="CZ63" s="646">
        <f t="shared" si="28"/>
        <v>1</v>
      </c>
      <c r="DA63" s="645">
        <f t="shared" si="28"/>
        <v>0</v>
      </c>
      <c r="DB63" s="163">
        <f t="shared" si="28"/>
        <v>0</v>
      </c>
      <c r="DC63" s="163">
        <f t="shared" si="28"/>
        <v>0</v>
      </c>
      <c r="DD63" s="163">
        <f t="shared" si="28"/>
        <v>0</v>
      </c>
      <c r="DE63" s="644">
        <f t="shared" si="28"/>
        <v>0</v>
      </c>
      <c r="DF63" s="645">
        <f t="shared" si="28"/>
        <v>1</v>
      </c>
      <c r="DG63" s="163">
        <f t="shared" si="28"/>
        <v>1</v>
      </c>
      <c r="DH63" s="163">
        <f t="shared" si="28"/>
        <v>0</v>
      </c>
      <c r="DI63" s="163">
        <f t="shared" si="28"/>
        <v>0</v>
      </c>
      <c r="DJ63" s="643">
        <f t="shared" si="26"/>
        <v>0</v>
      </c>
      <c r="DK63" s="646">
        <f t="shared" si="26"/>
        <v>0</v>
      </c>
      <c r="DL63" s="645">
        <f t="shared" si="26"/>
        <v>0</v>
      </c>
      <c r="DM63" s="163">
        <f t="shared" si="26"/>
        <v>0</v>
      </c>
      <c r="DN63" s="163">
        <f t="shared" si="26"/>
        <v>0</v>
      </c>
      <c r="DO63" s="163">
        <f t="shared" si="26"/>
        <v>0</v>
      </c>
      <c r="DP63" s="644">
        <f t="shared" si="26"/>
        <v>0</v>
      </c>
      <c r="DQ63" s="645">
        <f t="shared" si="26"/>
        <v>0</v>
      </c>
      <c r="DR63" s="163">
        <f t="shared" si="26"/>
        <v>0</v>
      </c>
      <c r="DS63" s="163">
        <f t="shared" si="26"/>
        <v>0</v>
      </c>
      <c r="DT63" s="163">
        <f t="shared" si="26"/>
        <v>0</v>
      </c>
      <c r="DU63" s="643">
        <f t="shared" si="22"/>
        <v>0</v>
      </c>
      <c r="DW63" s="646">
        <f t="shared" si="15"/>
        <v>62</v>
      </c>
      <c r="DX63" s="645">
        <f t="shared" si="15"/>
        <v>40</v>
      </c>
      <c r="DY63" s="163">
        <f t="shared" si="15"/>
        <v>34</v>
      </c>
      <c r="DZ63" s="163">
        <f t="shared" si="15"/>
        <v>0</v>
      </c>
      <c r="EA63" s="163">
        <f t="shared" si="15"/>
        <v>6</v>
      </c>
      <c r="EB63" s="644">
        <f t="shared" si="15"/>
        <v>0</v>
      </c>
      <c r="EC63" s="645">
        <f t="shared" si="15"/>
        <v>22</v>
      </c>
      <c r="ED63" s="163">
        <f t="shared" si="15"/>
        <v>15</v>
      </c>
      <c r="EE63" s="163">
        <f t="shared" si="15"/>
        <v>0</v>
      </c>
      <c r="EF63" s="163">
        <f t="shared" si="14"/>
        <v>5</v>
      </c>
      <c r="EG63" s="643">
        <f t="shared" si="14"/>
        <v>2</v>
      </c>
      <c r="EH63" s="646">
        <f t="shared" si="29"/>
        <v>15</v>
      </c>
      <c r="EI63" s="645">
        <f t="shared" si="29"/>
        <v>10</v>
      </c>
      <c r="EJ63" s="163">
        <f t="shared" si="27"/>
        <v>9</v>
      </c>
      <c r="EK63" s="163">
        <f t="shared" si="27"/>
        <v>0</v>
      </c>
      <c r="EL63" s="163">
        <f t="shared" si="27"/>
        <v>1</v>
      </c>
      <c r="EM63" s="644">
        <f t="shared" si="27"/>
        <v>0</v>
      </c>
      <c r="EN63" s="645">
        <f t="shared" si="27"/>
        <v>5</v>
      </c>
      <c r="EO63" s="163">
        <f t="shared" si="27"/>
        <v>0</v>
      </c>
      <c r="EP63" s="163">
        <f t="shared" si="27"/>
        <v>0</v>
      </c>
      <c r="EQ63" s="163">
        <f t="shared" si="27"/>
        <v>5</v>
      </c>
      <c r="ER63" s="643">
        <f t="shared" si="27"/>
        <v>0</v>
      </c>
    </row>
    <row r="64" spans="1:148">
      <c r="A64" s="654" t="s">
        <v>232</v>
      </c>
      <c r="B64" s="658">
        <v>43466</v>
      </c>
      <c r="C64" s="659">
        <v>2019</v>
      </c>
      <c r="D64" s="646">
        <f t="shared" si="10"/>
        <v>168959</v>
      </c>
      <c r="E64" s="646">
        <f t="shared" si="11"/>
        <v>1343</v>
      </c>
      <c r="F64" s="645">
        <f t="shared" si="11"/>
        <v>850</v>
      </c>
      <c r="G64" s="163">
        <f t="shared" si="11"/>
        <v>565</v>
      </c>
      <c r="H64" s="163">
        <f t="shared" si="11"/>
        <v>0</v>
      </c>
      <c r="I64" s="163">
        <f t="shared" si="11"/>
        <v>285</v>
      </c>
      <c r="J64" s="644">
        <f t="shared" si="11"/>
        <v>0</v>
      </c>
      <c r="K64" s="645">
        <f t="shared" si="11"/>
        <v>493</v>
      </c>
      <c r="L64" s="163">
        <f t="shared" ref="L64:AN79" si="30">SUMIFS(L$5:L$36,$B$5:$B$36,$A64)</f>
        <v>280</v>
      </c>
      <c r="M64" s="163">
        <f t="shared" si="30"/>
        <v>0</v>
      </c>
      <c r="N64" s="163">
        <f t="shared" si="30"/>
        <v>189</v>
      </c>
      <c r="O64" s="643">
        <f t="shared" si="30"/>
        <v>24</v>
      </c>
      <c r="P64" s="646">
        <f t="shared" si="30"/>
        <v>3</v>
      </c>
      <c r="Q64" s="645">
        <f t="shared" si="30"/>
        <v>0</v>
      </c>
      <c r="R64" s="163">
        <f t="shared" si="30"/>
        <v>0</v>
      </c>
      <c r="S64" s="163">
        <f t="shared" si="30"/>
        <v>0</v>
      </c>
      <c r="T64" s="163">
        <f t="shared" si="30"/>
        <v>0</v>
      </c>
      <c r="U64" s="644">
        <f t="shared" si="30"/>
        <v>0</v>
      </c>
      <c r="V64" s="645">
        <f t="shared" si="30"/>
        <v>3</v>
      </c>
      <c r="W64" s="163">
        <f t="shared" si="30"/>
        <v>2</v>
      </c>
      <c r="X64" s="163">
        <f t="shared" si="30"/>
        <v>0</v>
      </c>
      <c r="Y64" s="163">
        <f t="shared" si="30"/>
        <v>1</v>
      </c>
      <c r="Z64" s="643">
        <f t="shared" si="30"/>
        <v>0</v>
      </c>
      <c r="AA64" s="646">
        <f t="shared" si="30"/>
        <v>0</v>
      </c>
      <c r="AB64" s="645">
        <f t="shared" si="30"/>
        <v>0</v>
      </c>
      <c r="AC64" s="163">
        <f t="shared" si="30"/>
        <v>0</v>
      </c>
      <c r="AD64" s="163">
        <f t="shared" si="30"/>
        <v>0</v>
      </c>
      <c r="AE64" s="163">
        <f t="shared" si="30"/>
        <v>0</v>
      </c>
      <c r="AF64" s="644">
        <f t="shared" si="30"/>
        <v>0</v>
      </c>
      <c r="AG64" s="645">
        <f t="shared" si="30"/>
        <v>0</v>
      </c>
      <c r="AH64" s="163">
        <f t="shared" si="30"/>
        <v>0</v>
      </c>
      <c r="AI64" s="163">
        <f t="shared" si="24"/>
        <v>0</v>
      </c>
      <c r="AJ64" s="163">
        <f t="shared" si="24"/>
        <v>0</v>
      </c>
      <c r="AK64" s="643">
        <f t="shared" si="24"/>
        <v>0</v>
      </c>
      <c r="AL64" s="646">
        <f t="shared" si="24"/>
        <v>11</v>
      </c>
      <c r="AM64" s="645">
        <f t="shared" si="24"/>
        <v>8</v>
      </c>
      <c r="AN64" s="163">
        <f t="shared" si="24"/>
        <v>4</v>
      </c>
      <c r="AO64" s="163">
        <f t="shared" si="24"/>
        <v>0</v>
      </c>
      <c r="AP64" s="163">
        <f t="shared" si="24"/>
        <v>4</v>
      </c>
      <c r="AQ64" s="644">
        <f t="shared" si="24"/>
        <v>0</v>
      </c>
      <c r="AR64" s="645">
        <f t="shared" si="24"/>
        <v>3</v>
      </c>
      <c r="AS64" s="163">
        <f t="shared" si="24"/>
        <v>0</v>
      </c>
      <c r="AT64" s="163">
        <f t="shared" si="24"/>
        <v>0</v>
      </c>
      <c r="AU64" s="163">
        <f t="shared" si="24"/>
        <v>3</v>
      </c>
      <c r="AV64" s="643">
        <f t="shared" si="24"/>
        <v>0</v>
      </c>
      <c r="AW64" s="646">
        <f t="shared" si="24"/>
        <v>4</v>
      </c>
      <c r="AX64" s="645">
        <f t="shared" si="28"/>
        <v>2</v>
      </c>
      <c r="AY64" s="163">
        <f t="shared" si="28"/>
        <v>2</v>
      </c>
      <c r="AZ64" s="163">
        <f t="shared" si="28"/>
        <v>0</v>
      </c>
      <c r="BA64" s="163">
        <f t="shared" si="28"/>
        <v>0</v>
      </c>
      <c r="BB64" s="644">
        <f t="shared" si="28"/>
        <v>0</v>
      </c>
      <c r="BC64" s="645">
        <f t="shared" si="28"/>
        <v>2</v>
      </c>
      <c r="BD64" s="163">
        <f t="shared" si="28"/>
        <v>1</v>
      </c>
      <c r="BE64" s="163">
        <f t="shared" si="28"/>
        <v>0</v>
      </c>
      <c r="BF64" s="163">
        <f t="shared" si="28"/>
        <v>1</v>
      </c>
      <c r="BG64" s="643">
        <f t="shared" si="28"/>
        <v>0</v>
      </c>
      <c r="BH64" s="646">
        <f t="shared" si="28"/>
        <v>3</v>
      </c>
      <c r="BI64" s="645">
        <f t="shared" si="28"/>
        <v>2</v>
      </c>
      <c r="BJ64" s="163">
        <f t="shared" si="28"/>
        <v>2</v>
      </c>
      <c r="BK64" s="163">
        <f t="shared" si="28"/>
        <v>0</v>
      </c>
      <c r="BL64" s="163">
        <f t="shared" si="28"/>
        <v>0</v>
      </c>
      <c r="BM64" s="644">
        <f t="shared" si="28"/>
        <v>0</v>
      </c>
      <c r="BN64" s="645">
        <f t="shared" si="28"/>
        <v>1</v>
      </c>
      <c r="BO64" s="163">
        <f t="shared" si="28"/>
        <v>0</v>
      </c>
      <c r="BP64" s="163">
        <f t="shared" si="28"/>
        <v>0</v>
      </c>
      <c r="BQ64" s="163">
        <f t="shared" si="28"/>
        <v>1</v>
      </c>
      <c r="BR64" s="643">
        <f t="shared" si="28"/>
        <v>0</v>
      </c>
      <c r="BS64" s="646">
        <f t="shared" si="28"/>
        <v>10</v>
      </c>
      <c r="BT64" s="645">
        <f t="shared" si="28"/>
        <v>5</v>
      </c>
      <c r="BU64" s="163">
        <f t="shared" si="28"/>
        <v>3</v>
      </c>
      <c r="BV64" s="163">
        <f t="shared" si="28"/>
        <v>0</v>
      </c>
      <c r="BW64" s="163">
        <f t="shared" si="28"/>
        <v>2</v>
      </c>
      <c r="BX64" s="644">
        <f t="shared" si="28"/>
        <v>0</v>
      </c>
      <c r="BY64" s="645">
        <f t="shared" si="28"/>
        <v>5</v>
      </c>
      <c r="BZ64" s="163">
        <f t="shared" si="28"/>
        <v>1</v>
      </c>
      <c r="CA64" s="163">
        <f t="shared" si="28"/>
        <v>0</v>
      </c>
      <c r="CB64" s="163">
        <f t="shared" si="28"/>
        <v>4</v>
      </c>
      <c r="CC64" s="643">
        <f t="shared" si="28"/>
        <v>0</v>
      </c>
      <c r="CD64" s="646">
        <f t="shared" si="28"/>
        <v>0</v>
      </c>
      <c r="CE64" s="645">
        <f t="shared" si="28"/>
        <v>0</v>
      </c>
      <c r="CF64" s="163">
        <f t="shared" si="28"/>
        <v>0</v>
      </c>
      <c r="CG64" s="163">
        <f t="shared" si="28"/>
        <v>0</v>
      </c>
      <c r="CH64" s="163">
        <f t="shared" si="28"/>
        <v>0</v>
      </c>
      <c r="CI64" s="644">
        <f t="shared" si="28"/>
        <v>0</v>
      </c>
      <c r="CJ64" s="645">
        <f t="shared" si="28"/>
        <v>0</v>
      </c>
      <c r="CK64" s="163">
        <f t="shared" si="28"/>
        <v>0</v>
      </c>
      <c r="CL64" s="163">
        <f t="shared" si="28"/>
        <v>0</v>
      </c>
      <c r="CM64" s="163">
        <f t="shared" si="28"/>
        <v>0</v>
      </c>
      <c r="CN64" s="643">
        <f t="shared" si="28"/>
        <v>0</v>
      </c>
      <c r="CO64" s="646">
        <f t="shared" si="28"/>
        <v>0</v>
      </c>
      <c r="CP64" s="645">
        <f t="shared" si="28"/>
        <v>0</v>
      </c>
      <c r="CQ64" s="163">
        <f t="shared" si="28"/>
        <v>0</v>
      </c>
      <c r="CR64" s="163">
        <f t="shared" si="28"/>
        <v>0</v>
      </c>
      <c r="CS64" s="163">
        <f t="shared" si="28"/>
        <v>0</v>
      </c>
      <c r="CT64" s="644">
        <f t="shared" si="28"/>
        <v>0</v>
      </c>
      <c r="CU64" s="645">
        <f t="shared" si="28"/>
        <v>0</v>
      </c>
      <c r="CV64" s="163">
        <f t="shared" si="28"/>
        <v>0</v>
      </c>
      <c r="CW64" s="163">
        <f t="shared" si="28"/>
        <v>0</v>
      </c>
      <c r="CX64" s="163">
        <f t="shared" si="28"/>
        <v>0</v>
      </c>
      <c r="CY64" s="643">
        <f t="shared" si="28"/>
        <v>0</v>
      </c>
      <c r="CZ64" s="646">
        <f t="shared" si="28"/>
        <v>0</v>
      </c>
      <c r="DA64" s="645">
        <f t="shared" si="28"/>
        <v>0</v>
      </c>
      <c r="DB64" s="163">
        <f t="shared" si="28"/>
        <v>0</v>
      </c>
      <c r="DC64" s="163">
        <f t="shared" si="28"/>
        <v>0</v>
      </c>
      <c r="DD64" s="163">
        <f t="shared" si="28"/>
        <v>0</v>
      </c>
      <c r="DE64" s="644">
        <f t="shared" si="28"/>
        <v>0</v>
      </c>
      <c r="DF64" s="645">
        <f t="shared" si="28"/>
        <v>0</v>
      </c>
      <c r="DG64" s="163">
        <f t="shared" si="28"/>
        <v>0</v>
      </c>
      <c r="DH64" s="163">
        <f t="shared" si="28"/>
        <v>0</v>
      </c>
      <c r="DI64" s="163">
        <f t="shared" si="28"/>
        <v>0</v>
      </c>
      <c r="DJ64" s="643">
        <f t="shared" si="26"/>
        <v>0</v>
      </c>
      <c r="DK64" s="646">
        <f t="shared" si="26"/>
        <v>0</v>
      </c>
      <c r="DL64" s="645">
        <f t="shared" si="26"/>
        <v>0</v>
      </c>
      <c r="DM64" s="163">
        <f t="shared" si="26"/>
        <v>0</v>
      </c>
      <c r="DN64" s="163">
        <f t="shared" si="26"/>
        <v>0</v>
      </c>
      <c r="DO64" s="163">
        <f t="shared" si="26"/>
        <v>0</v>
      </c>
      <c r="DP64" s="644">
        <f t="shared" si="26"/>
        <v>0</v>
      </c>
      <c r="DQ64" s="645">
        <f t="shared" si="26"/>
        <v>0</v>
      </c>
      <c r="DR64" s="163">
        <f t="shared" si="26"/>
        <v>0</v>
      </c>
      <c r="DS64" s="163">
        <f t="shared" si="26"/>
        <v>0</v>
      </c>
      <c r="DT64" s="163">
        <f t="shared" si="26"/>
        <v>0</v>
      </c>
      <c r="DU64" s="643">
        <f t="shared" si="22"/>
        <v>0</v>
      </c>
      <c r="DW64" s="646">
        <f t="shared" si="15"/>
        <v>20</v>
      </c>
      <c r="DX64" s="645">
        <f t="shared" si="15"/>
        <v>9</v>
      </c>
      <c r="DY64" s="163">
        <f t="shared" si="15"/>
        <v>7</v>
      </c>
      <c r="DZ64" s="163">
        <f t="shared" si="15"/>
        <v>0</v>
      </c>
      <c r="EA64" s="163">
        <f t="shared" si="15"/>
        <v>2</v>
      </c>
      <c r="EB64" s="644">
        <f t="shared" si="15"/>
        <v>0</v>
      </c>
      <c r="EC64" s="645">
        <f t="shared" si="15"/>
        <v>11</v>
      </c>
      <c r="ED64" s="163">
        <f t="shared" si="15"/>
        <v>4</v>
      </c>
      <c r="EE64" s="163">
        <f t="shared" si="15"/>
        <v>0</v>
      </c>
      <c r="EF64" s="163">
        <f t="shared" si="14"/>
        <v>7</v>
      </c>
      <c r="EG64" s="643">
        <f t="shared" si="14"/>
        <v>0</v>
      </c>
      <c r="EH64" s="646">
        <f t="shared" si="29"/>
        <v>11</v>
      </c>
      <c r="EI64" s="645">
        <f t="shared" si="29"/>
        <v>8</v>
      </c>
      <c r="EJ64" s="163">
        <f t="shared" si="27"/>
        <v>4</v>
      </c>
      <c r="EK64" s="163">
        <f t="shared" si="27"/>
        <v>0</v>
      </c>
      <c r="EL64" s="163">
        <f t="shared" si="27"/>
        <v>4</v>
      </c>
      <c r="EM64" s="644">
        <f t="shared" si="27"/>
        <v>0</v>
      </c>
      <c r="EN64" s="645">
        <f t="shared" si="27"/>
        <v>3</v>
      </c>
      <c r="EO64" s="163">
        <f t="shared" si="27"/>
        <v>0</v>
      </c>
      <c r="EP64" s="163">
        <f t="shared" si="27"/>
        <v>0</v>
      </c>
      <c r="EQ64" s="163">
        <f t="shared" si="27"/>
        <v>3</v>
      </c>
      <c r="ER64" s="643">
        <f t="shared" si="27"/>
        <v>0</v>
      </c>
    </row>
    <row r="65" spans="1:148">
      <c r="A65" s="654" t="s">
        <v>232</v>
      </c>
      <c r="B65" s="658">
        <v>43497</v>
      </c>
      <c r="C65" s="659">
        <v>2019</v>
      </c>
      <c r="D65" s="646">
        <f t="shared" si="10"/>
        <v>168959</v>
      </c>
      <c r="E65" s="646">
        <f t="shared" ref="E65:T80" si="31">SUMIFS(E$5:E$36,$B$5:$B$36,$A65)</f>
        <v>1343</v>
      </c>
      <c r="F65" s="645">
        <f t="shared" si="31"/>
        <v>850</v>
      </c>
      <c r="G65" s="163">
        <f t="shared" si="31"/>
        <v>565</v>
      </c>
      <c r="H65" s="163">
        <f t="shared" si="31"/>
        <v>0</v>
      </c>
      <c r="I65" s="163">
        <f t="shared" si="31"/>
        <v>285</v>
      </c>
      <c r="J65" s="644">
        <f t="shared" si="31"/>
        <v>0</v>
      </c>
      <c r="K65" s="645">
        <f t="shared" si="31"/>
        <v>493</v>
      </c>
      <c r="L65" s="163">
        <f t="shared" si="31"/>
        <v>280</v>
      </c>
      <c r="M65" s="163">
        <f t="shared" si="31"/>
        <v>0</v>
      </c>
      <c r="N65" s="163">
        <f t="shared" si="31"/>
        <v>189</v>
      </c>
      <c r="O65" s="643">
        <f t="shared" si="31"/>
        <v>24</v>
      </c>
      <c r="P65" s="646">
        <f t="shared" si="31"/>
        <v>3</v>
      </c>
      <c r="Q65" s="645">
        <f t="shared" si="31"/>
        <v>0</v>
      </c>
      <c r="R65" s="163">
        <f t="shared" si="31"/>
        <v>0</v>
      </c>
      <c r="S65" s="163">
        <f t="shared" si="31"/>
        <v>0</v>
      </c>
      <c r="T65" s="163">
        <f t="shared" si="31"/>
        <v>0</v>
      </c>
      <c r="U65" s="644">
        <f t="shared" si="30"/>
        <v>0</v>
      </c>
      <c r="V65" s="645">
        <f t="shared" si="30"/>
        <v>3</v>
      </c>
      <c r="W65" s="163">
        <f t="shared" si="30"/>
        <v>2</v>
      </c>
      <c r="X65" s="163">
        <f t="shared" si="30"/>
        <v>0</v>
      </c>
      <c r="Y65" s="163">
        <f t="shared" si="30"/>
        <v>1</v>
      </c>
      <c r="Z65" s="643">
        <f t="shared" si="30"/>
        <v>0</v>
      </c>
      <c r="AA65" s="646">
        <f t="shared" si="30"/>
        <v>0</v>
      </c>
      <c r="AB65" s="645">
        <f t="shared" si="30"/>
        <v>0</v>
      </c>
      <c r="AC65" s="163">
        <f t="shared" si="30"/>
        <v>0</v>
      </c>
      <c r="AD65" s="163">
        <f t="shared" si="30"/>
        <v>0</v>
      </c>
      <c r="AE65" s="163">
        <f t="shared" si="30"/>
        <v>0</v>
      </c>
      <c r="AF65" s="644">
        <f t="shared" si="30"/>
        <v>0</v>
      </c>
      <c r="AG65" s="645">
        <f t="shared" si="30"/>
        <v>0</v>
      </c>
      <c r="AH65" s="163">
        <f t="shared" si="30"/>
        <v>0</v>
      </c>
      <c r="AI65" s="163">
        <f t="shared" si="24"/>
        <v>0</v>
      </c>
      <c r="AJ65" s="163">
        <f t="shared" si="24"/>
        <v>0</v>
      </c>
      <c r="AK65" s="643">
        <f t="shared" si="24"/>
        <v>0</v>
      </c>
      <c r="AL65" s="646">
        <f t="shared" si="24"/>
        <v>11</v>
      </c>
      <c r="AM65" s="645">
        <f t="shared" si="24"/>
        <v>8</v>
      </c>
      <c r="AN65" s="163">
        <f t="shared" si="24"/>
        <v>4</v>
      </c>
      <c r="AO65" s="163">
        <f t="shared" si="24"/>
        <v>0</v>
      </c>
      <c r="AP65" s="163">
        <f t="shared" si="24"/>
        <v>4</v>
      </c>
      <c r="AQ65" s="644">
        <f t="shared" si="24"/>
        <v>0</v>
      </c>
      <c r="AR65" s="645">
        <f t="shared" si="24"/>
        <v>3</v>
      </c>
      <c r="AS65" s="163">
        <f t="shared" si="24"/>
        <v>0</v>
      </c>
      <c r="AT65" s="163">
        <f t="shared" si="24"/>
        <v>0</v>
      </c>
      <c r="AU65" s="163">
        <f t="shared" si="24"/>
        <v>3</v>
      </c>
      <c r="AV65" s="643">
        <f t="shared" si="24"/>
        <v>0</v>
      </c>
      <c r="AW65" s="646">
        <f t="shared" si="24"/>
        <v>4</v>
      </c>
      <c r="AX65" s="645">
        <f t="shared" si="28"/>
        <v>2</v>
      </c>
      <c r="AY65" s="163">
        <f t="shared" si="28"/>
        <v>2</v>
      </c>
      <c r="AZ65" s="163">
        <f t="shared" si="28"/>
        <v>0</v>
      </c>
      <c r="BA65" s="163">
        <f t="shared" si="28"/>
        <v>0</v>
      </c>
      <c r="BB65" s="644">
        <f t="shared" si="28"/>
        <v>0</v>
      </c>
      <c r="BC65" s="645">
        <f t="shared" si="28"/>
        <v>2</v>
      </c>
      <c r="BD65" s="163">
        <f t="shared" si="28"/>
        <v>1</v>
      </c>
      <c r="BE65" s="163">
        <f t="shared" si="28"/>
        <v>0</v>
      </c>
      <c r="BF65" s="163">
        <f t="shared" si="28"/>
        <v>1</v>
      </c>
      <c r="BG65" s="643">
        <f t="shared" si="28"/>
        <v>0</v>
      </c>
      <c r="BH65" s="646">
        <f t="shared" si="28"/>
        <v>3</v>
      </c>
      <c r="BI65" s="645">
        <f t="shared" si="28"/>
        <v>2</v>
      </c>
      <c r="BJ65" s="163">
        <f t="shared" si="28"/>
        <v>2</v>
      </c>
      <c r="BK65" s="163">
        <f t="shared" si="28"/>
        <v>0</v>
      </c>
      <c r="BL65" s="163">
        <f t="shared" si="28"/>
        <v>0</v>
      </c>
      <c r="BM65" s="644">
        <f t="shared" si="28"/>
        <v>0</v>
      </c>
      <c r="BN65" s="645">
        <f t="shared" si="28"/>
        <v>1</v>
      </c>
      <c r="BO65" s="163">
        <f t="shared" si="28"/>
        <v>0</v>
      </c>
      <c r="BP65" s="163">
        <f t="shared" si="28"/>
        <v>0</v>
      </c>
      <c r="BQ65" s="163">
        <f t="shared" si="28"/>
        <v>1</v>
      </c>
      <c r="BR65" s="643">
        <f t="shared" si="28"/>
        <v>0</v>
      </c>
      <c r="BS65" s="646">
        <f t="shared" si="28"/>
        <v>10</v>
      </c>
      <c r="BT65" s="645">
        <f t="shared" si="28"/>
        <v>5</v>
      </c>
      <c r="BU65" s="163">
        <f t="shared" si="28"/>
        <v>3</v>
      </c>
      <c r="BV65" s="163">
        <f t="shared" si="28"/>
        <v>0</v>
      </c>
      <c r="BW65" s="163">
        <f t="shared" si="28"/>
        <v>2</v>
      </c>
      <c r="BX65" s="644">
        <f t="shared" si="28"/>
        <v>0</v>
      </c>
      <c r="BY65" s="645">
        <f t="shared" si="28"/>
        <v>5</v>
      </c>
      <c r="BZ65" s="163">
        <f t="shared" si="28"/>
        <v>1</v>
      </c>
      <c r="CA65" s="163">
        <f t="shared" si="28"/>
        <v>0</v>
      </c>
      <c r="CB65" s="163">
        <f t="shared" si="28"/>
        <v>4</v>
      </c>
      <c r="CC65" s="643">
        <f t="shared" si="28"/>
        <v>0</v>
      </c>
      <c r="CD65" s="646">
        <f t="shared" si="28"/>
        <v>0</v>
      </c>
      <c r="CE65" s="645">
        <f t="shared" si="28"/>
        <v>0</v>
      </c>
      <c r="CF65" s="163">
        <f t="shared" si="28"/>
        <v>0</v>
      </c>
      <c r="CG65" s="163">
        <f t="shared" si="28"/>
        <v>0</v>
      </c>
      <c r="CH65" s="163">
        <f t="shared" si="28"/>
        <v>0</v>
      </c>
      <c r="CI65" s="644">
        <f t="shared" si="28"/>
        <v>0</v>
      </c>
      <c r="CJ65" s="645">
        <f t="shared" si="28"/>
        <v>0</v>
      </c>
      <c r="CK65" s="163">
        <f t="shared" si="28"/>
        <v>0</v>
      </c>
      <c r="CL65" s="163">
        <f t="shared" si="28"/>
        <v>0</v>
      </c>
      <c r="CM65" s="163">
        <f t="shared" si="28"/>
        <v>0</v>
      </c>
      <c r="CN65" s="643">
        <f t="shared" si="28"/>
        <v>0</v>
      </c>
      <c r="CO65" s="646">
        <f t="shared" si="28"/>
        <v>0</v>
      </c>
      <c r="CP65" s="645">
        <f t="shared" si="28"/>
        <v>0</v>
      </c>
      <c r="CQ65" s="163">
        <f t="shared" si="28"/>
        <v>0</v>
      </c>
      <c r="CR65" s="163">
        <f t="shared" si="28"/>
        <v>0</v>
      </c>
      <c r="CS65" s="163">
        <f t="shared" si="28"/>
        <v>0</v>
      </c>
      <c r="CT65" s="644">
        <f t="shared" si="28"/>
        <v>0</v>
      </c>
      <c r="CU65" s="645">
        <f t="shared" si="28"/>
        <v>0</v>
      </c>
      <c r="CV65" s="163">
        <f t="shared" si="28"/>
        <v>0</v>
      </c>
      <c r="CW65" s="163">
        <f t="shared" si="28"/>
        <v>0</v>
      </c>
      <c r="CX65" s="163">
        <f t="shared" si="28"/>
        <v>0</v>
      </c>
      <c r="CY65" s="643">
        <f t="shared" si="28"/>
        <v>0</v>
      </c>
      <c r="CZ65" s="646">
        <f t="shared" si="28"/>
        <v>0</v>
      </c>
      <c r="DA65" s="645">
        <f t="shared" si="28"/>
        <v>0</v>
      </c>
      <c r="DB65" s="163">
        <f t="shared" si="28"/>
        <v>0</v>
      </c>
      <c r="DC65" s="163">
        <f t="shared" si="28"/>
        <v>0</v>
      </c>
      <c r="DD65" s="163">
        <f t="shared" si="28"/>
        <v>0</v>
      </c>
      <c r="DE65" s="644">
        <f t="shared" si="28"/>
        <v>0</v>
      </c>
      <c r="DF65" s="645">
        <f t="shared" si="28"/>
        <v>0</v>
      </c>
      <c r="DG65" s="163">
        <f t="shared" si="28"/>
        <v>0</v>
      </c>
      <c r="DH65" s="163">
        <f t="shared" si="28"/>
        <v>0</v>
      </c>
      <c r="DI65" s="163">
        <f t="shared" ref="DI65:DT68" si="32">SUMIFS(DI$5:DI$36,$B$5:$B$36,$A65)</f>
        <v>0</v>
      </c>
      <c r="DJ65" s="643">
        <f t="shared" si="32"/>
        <v>0</v>
      </c>
      <c r="DK65" s="646">
        <f t="shared" si="32"/>
        <v>0</v>
      </c>
      <c r="DL65" s="645">
        <f t="shared" si="32"/>
        <v>0</v>
      </c>
      <c r="DM65" s="163">
        <f t="shared" si="32"/>
        <v>0</v>
      </c>
      <c r="DN65" s="163">
        <f t="shared" si="32"/>
        <v>0</v>
      </c>
      <c r="DO65" s="163">
        <f t="shared" si="32"/>
        <v>0</v>
      </c>
      <c r="DP65" s="644">
        <f t="shared" si="32"/>
        <v>0</v>
      </c>
      <c r="DQ65" s="645">
        <f t="shared" si="32"/>
        <v>0</v>
      </c>
      <c r="DR65" s="163">
        <f t="shared" si="32"/>
        <v>0</v>
      </c>
      <c r="DS65" s="163">
        <f t="shared" si="32"/>
        <v>0</v>
      </c>
      <c r="DT65" s="163">
        <f t="shared" si="32"/>
        <v>0</v>
      </c>
      <c r="DU65" s="643">
        <f t="shared" si="22"/>
        <v>0</v>
      </c>
      <c r="DW65" s="646">
        <f t="shared" si="15"/>
        <v>20</v>
      </c>
      <c r="DX65" s="645">
        <f t="shared" si="15"/>
        <v>9</v>
      </c>
      <c r="DY65" s="163">
        <f t="shared" si="15"/>
        <v>7</v>
      </c>
      <c r="DZ65" s="163">
        <f t="shared" si="15"/>
        <v>0</v>
      </c>
      <c r="EA65" s="163">
        <f t="shared" si="15"/>
        <v>2</v>
      </c>
      <c r="EB65" s="644">
        <f t="shared" si="15"/>
        <v>0</v>
      </c>
      <c r="EC65" s="645">
        <f t="shared" si="15"/>
        <v>11</v>
      </c>
      <c r="ED65" s="163">
        <f t="shared" si="15"/>
        <v>4</v>
      </c>
      <c r="EE65" s="163">
        <f t="shared" si="15"/>
        <v>0</v>
      </c>
      <c r="EF65" s="163">
        <f t="shared" si="14"/>
        <v>7</v>
      </c>
      <c r="EG65" s="643">
        <f t="shared" si="14"/>
        <v>0</v>
      </c>
      <c r="EH65" s="646">
        <f t="shared" si="29"/>
        <v>11</v>
      </c>
      <c r="EI65" s="645">
        <f t="shared" si="29"/>
        <v>8</v>
      </c>
      <c r="EJ65" s="163">
        <f t="shared" si="27"/>
        <v>4</v>
      </c>
      <c r="EK65" s="163">
        <f t="shared" si="27"/>
        <v>0</v>
      </c>
      <c r="EL65" s="163">
        <f t="shared" si="27"/>
        <v>4</v>
      </c>
      <c r="EM65" s="644">
        <f t="shared" si="27"/>
        <v>0</v>
      </c>
      <c r="EN65" s="645">
        <f t="shared" si="27"/>
        <v>3</v>
      </c>
      <c r="EO65" s="163">
        <f t="shared" si="27"/>
        <v>0</v>
      </c>
      <c r="EP65" s="163">
        <f t="shared" si="27"/>
        <v>0</v>
      </c>
      <c r="EQ65" s="163">
        <f t="shared" si="27"/>
        <v>3</v>
      </c>
      <c r="ER65" s="643">
        <f t="shared" si="27"/>
        <v>0</v>
      </c>
    </row>
    <row r="66" spans="1:148">
      <c r="A66" s="654" t="s">
        <v>232</v>
      </c>
      <c r="B66" s="658">
        <v>43525</v>
      </c>
      <c r="C66" s="659">
        <v>2019</v>
      </c>
      <c r="D66" s="646">
        <f t="shared" si="10"/>
        <v>168959</v>
      </c>
      <c r="E66" s="646">
        <f t="shared" si="31"/>
        <v>1343</v>
      </c>
      <c r="F66" s="645">
        <f t="shared" si="31"/>
        <v>850</v>
      </c>
      <c r="G66" s="163">
        <f t="shared" si="31"/>
        <v>565</v>
      </c>
      <c r="H66" s="163">
        <f t="shared" si="31"/>
        <v>0</v>
      </c>
      <c r="I66" s="163">
        <f t="shared" si="31"/>
        <v>285</v>
      </c>
      <c r="J66" s="644">
        <f t="shared" si="31"/>
        <v>0</v>
      </c>
      <c r="K66" s="645">
        <f t="shared" si="31"/>
        <v>493</v>
      </c>
      <c r="L66" s="163">
        <f t="shared" si="31"/>
        <v>280</v>
      </c>
      <c r="M66" s="163">
        <f t="shared" si="31"/>
        <v>0</v>
      </c>
      <c r="N66" s="163">
        <f t="shared" si="31"/>
        <v>189</v>
      </c>
      <c r="O66" s="643">
        <f t="shared" si="31"/>
        <v>24</v>
      </c>
      <c r="P66" s="646">
        <f t="shared" si="31"/>
        <v>3</v>
      </c>
      <c r="Q66" s="645">
        <f t="shared" si="31"/>
        <v>0</v>
      </c>
      <c r="R66" s="163">
        <f t="shared" si="31"/>
        <v>0</v>
      </c>
      <c r="S66" s="163">
        <f t="shared" si="31"/>
        <v>0</v>
      </c>
      <c r="T66" s="163">
        <f t="shared" si="31"/>
        <v>0</v>
      </c>
      <c r="U66" s="644">
        <f t="shared" si="30"/>
        <v>0</v>
      </c>
      <c r="V66" s="645">
        <f t="shared" si="30"/>
        <v>3</v>
      </c>
      <c r="W66" s="163">
        <f t="shared" si="30"/>
        <v>2</v>
      </c>
      <c r="X66" s="163">
        <f t="shared" si="30"/>
        <v>0</v>
      </c>
      <c r="Y66" s="163">
        <f t="shared" si="30"/>
        <v>1</v>
      </c>
      <c r="Z66" s="643">
        <f t="shared" si="30"/>
        <v>0</v>
      </c>
      <c r="AA66" s="646">
        <f t="shared" si="30"/>
        <v>0</v>
      </c>
      <c r="AB66" s="645">
        <f t="shared" si="30"/>
        <v>0</v>
      </c>
      <c r="AC66" s="163">
        <f t="shared" si="30"/>
        <v>0</v>
      </c>
      <c r="AD66" s="163">
        <f t="shared" si="30"/>
        <v>0</v>
      </c>
      <c r="AE66" s="163">
        <f t="shared" si="30"/>
        <v>0</v>
      </c>
      <c r="AF66" s="644">
        <f t="shared" si="30"/>
        <v>0</v>
      </c>
      <c r="AG66" s="645">
        <f t="shared" si="30"/>
        <v>0</v>
      </c>
      <c r="AH66" s="163">
        <f t="shared" si="30"/>
        <v>0</v>
      </c>
      <c r="AI66" s="163">
        <f t="shared" si="24"/>
        <v>0</v>
      </c>
      <c r="AJ66" s="163">
        <f t="shared" si="24"/>
        <v>0</v>
      </c>
      <c r="AK66" s="643">
        <f t="shared" si="24"/>
        <v>0</v>
      </c>
      <c r="AL66" s="646">
        <f t="shared" si="24"/>
        <v>11</v>
      </c>
      <c r="AM66" s="645">
        <f t="shared" si="24"/>
        <v>8</v>
      </c>
      <c r="AN66" s="163">
        <f t="shared" si="24"/>
        <v>4</v>
      </c>
      <c r="AO66" s="163">
        <f t="shared" si="24"/>
        <v>0</v>
      </c>
      <c r="AP66" s="163">
        <f t="shared" si="24"/>
        <v>4</v>
      </c>
      <c r="AQ66" s="644">
        <f t="shared" si="24"/>
        <v>0</v>
      </c>
      <c r="AR66" s="645">
        <f t="shared" si="24"/>
        <v>3</v>
      </c>
      <c r="AS66" s="163">
        <f t="shared" si="24"/>
        <v>0</v>
      </c>
      <c r="AT66" s="163">
        <f t="shared" si="24"/>
        <v>0</v>
      </c>
      <c r="AU66" s="163">
        <f t="shared" si="24"/>
        <v>3</v>
      </c>
      <c r="AV66" s="643">
        <f t="shared" si="24"/>
        <v>0</v>
      </c>
      <c r="AW66" s="646">
        <f t="shared" si="24"/>
        <v>4</v>
      </c>
      <c r="AX66" s="645">
        <f t="shared" ref="AX66:DI69" si="33">SUMIFS(AX$5:AX$36,$B$5:$B$36,$A66)</f>
        <v>2</v>
      </c>
      <c r="AY66" s="163">
        <f t="shared" si="33"/>
        <v>2</v>
      </c>
      <c r="AZ66" s="163">
        <f t="shared" si="33"/>
        <v>0</v>
      </c>
      <c r="BA66" s="163">
        <f t="shared" si="33"/>
        <v>0</v>
      </c>
      <c r="BB66" s="644">
        <f t="shared" si="33"/>
        <v>0</v>
      </c>
      <c r="BC66" s="645">
        <f t="shared" si="33"/>
        <v>2</v>
      </c>
      <c r="BD66" s="163">
        <f t="shared" si="33"/>
        <v>1</v>
      </c>
      <c r="BE66" s="163">
        <f t="shared" si="33"/>
        <v>0</v>
      </c>
      <c r="BF66" s="163">
        <f t="shared" si="33"/>
        <v>1</v>
      </c>
      <c r="BG66" s="643">
        <f t="shared" si="33"/>
        <v>0</v>
      </c>
      <c r="BH66" s="646">
        <f t="shared" si="33"/>
        <v>3</v>
      </c>
      <c r="BI66" s="645">
        <f t="shared" si="33"/>
        <v>2</v>
      </c>
      <c r="BJ66" s="163">
        <f t="shared" si="33"/>
        <v>2</v>
      </c>
      <c r="BK66" s="163">
        <f t="shared" si="33"/>
        <v>0</v>
      </c>
      <c r="BL66" s="163">
        <f t="shared" si="33"/>
        <v>0</v>
      </c>
      <c r="BM66" s="644">
        <f t="shared" si="33"/>
        <v>0</v>
      </c>
      <c r="BN66" s="645">
        <f t="shared" si="33"/>
        <v>1</v>
      </c>
      <c r="BO66" s="163">
        <f t="shared" si="33"/>
        <v>0</v>
      </c>
      <c r="BP66" s="163">
        <f t="shared" si="33"/>
        <v>0</v>
      </c>
      <c r="BQ66" s="163">
        <f t="shared" si="33"/>
        <v>1</v>
      </c>
      <c r="BR66" s="643">
        <f t="shared" si="33"/>
        <v>0</v>
      </c>
      <c r="BS66" s="646">
        <f t="shared" si="33"/>
        <v>10</v>
      </c>
      <c r="BT66" s="645">
        <f t="shared" si="33"/>
        <v>5</v>
      </c>
      <c r="BU66" s="163">
        <f t="shared" si="33"/>
        <v>3</v>
      </c>
      <c r="BV66" s="163">
        <f t="shared" si="33"/>
        <v>0</v>
      </c>
      <c r="BW66" s="163">
        <f t="shared" si="33"/>
        <v>2</v>
      </c>
      <c r="BX66" s="644">
        <f t="shared" si="33"/>
        <v>0</v>
      </c>
      <c r="BY66" s="645">
        <f t="shared" si="33"/>
        <v>5</v>
      </c>
      <c r="BZ66" s="163">
        <f t="shared" si="33"/>
        <v>1</v>
      </c>
      <c r="CA66" s="163">
        <f t="shared" si="33"/>
        <v>0</v>
      </c>
      <c r="CB66" s="163">
        <f t="shared" si="33"/>
        <v>4</v>
      </c>
      <c r="CC66" s="643">
        <f t="shared" si="33"/>
        <v>0</v>
      </c>
      <c r="CD66" s="646">
        <f t="shared" si="33"/>
        <v>0</v>
      </c>
      <c r="CE66" s="645">
        <f t="shared" si="33"/>
        <v>0</v>
      </c>
      <c r="CF66" s="163">
        <f t="shared" si="33"/>
        <v>0</v>
      </c>
      <c r="CG66" s="163">
        <f t="shared" si="33"/>
        <v>0</v>
      </c>
      <c r="CH66" s="163">
        <f t="shared" si="33"/>
        <v>0</v>
      </c>
      <c r="CI66" s="644">
        <f t="shared" si="33"/>
        <v>0</v>
      </c>
      <c r="CJ66" s="645">
        <f t="shared" si="33"/>
        <v>0</v>
      </c>
      <c r="CK66" s="163">
        <f t="shared" si="33"/>
        <v>0</v>
      </c>
      <c r="CL66" s="163">
        <f t="shared" si="33"/>
        <v>0</v>
      </c>
      <c r="CM66" s="163">
        <f t="shared" si="33"/>
        <v>0</v>
      </c>
      <c r="CN66" s="643">
        <f t="shared" si="33"/>
        <v>0</v>
      </c>
      <c r="CO66" s="646">
        <f t="shared" si="33"/>
        <v>0</v>
      </c>
      <c r="CP66" s="645">
        <f t="shared" si="33"/>
        <v>0</v>
      </c>
      <c r="CQ66" s="163">
        <f t="shared" si="33"/>
        <v>0</v>
      </c>
      <c r="CR66" s="163">
        <f t="shared" si="33"/>
        <v>0</v>
      </c>
      <c r="CS66" s="163">
        <f t="shared" si="33"/>
        <v>0</v>
      </c>
      <c r="CT66" s="644">
        <f t="shared" si="33"/>
        <v>0</v>
      </c>
      <c r="CU66" s="645">
        <f t="shared" si="33"/>
        <v>0</v>
      </c>
      <c r="CV66" s="163">
        <f t="shared" si="33"/>
        <v>0</v>
      </c>
      <c r="CW66" s="163">
        <f t="shared" si="33"/>
        <v>0</v>
      </c>
      <c r="CX66" s="163">
        <f t="shared" si="33"/>
        <v>0</v>
      </c>
      <c r="CY66" s="643">
        <f t="shared" si="33"/>
        <v>0</v>
      </c>
      <c r="CZ66" s="646">
        <f t="shared" si="33"/>
        <v>0</v>
      </c>
      <c r="DA66" s="645">
        <f t="shared" si="33"/>
        <v>0</v>
      </c>
      <c r="DB66" s="163">
        <f t="shared" si="33"/>
        <v>0</v>
      </c>
      <c r="DC66" s="163">
        <f t="shared" si="33"/>
        <v>0</v>
      </c>
      <c r="DD66" s="163">
        <f t="shared" si="33"/>
        <v>0</v>
      </c>
      <c r="DE66" s="644">
        <f t="shared" si="33"/>
        <v>0</v>
      </c>
      <c r="DF66" s="645">
        <f t="shared" si="33"/>
        <v>0</v>
      </c>
      <c r="DG66" s="163">
        <f t="shared" si="33"/>
        <v>0</v>
      </c>
      <c r="DH66" s="163">
        <f t="shared" si="33"/>
        <v>0</v>
      </c>
      <c r="DI66" s="163">
        <f t="shared" si="33"/>
        <v>0</v>
      </c>
      <c r="DJ66" s="643">
        <f t="shared" si="32"/>
        <v>0</v>
      </c>
      <c r="DK66" s="646">
        <f t="shared" si="32"/>
        <v>0</v>
      </c>
      <c r="DL66" s="645">
        <f t="shared" si="32"/>
        <v>0</v>
      </c>
      <c r="DM66" s="163">
        <f t="shared" si="32"/>
        <v>0</v>
      </c>
      <c r="DN66" s="163">
        <f t="shared" si="32"/>
        <v>0</v>
      </c>
      <c r="DO66" s="163">
        <f t="shared" si="32"/>
        <v>0</v>
      </c>
      <c r="DP66" s="644">
        <f t="shared" si="32"/>
        <v>0</v>
      </c>
      <c r="DQ66" s="645">
        <f t="shared" si="32"/>
        <v>0</v>
      </c>
      <c r="DR66" s="163">
        <f t="shared" si="32"/>
        <v>0</v>
      </c>
      <c r="DS66" s="163">
        <f t="shared" si="32"/>
        <v>0</v>
      </c>
      <c r="DT66" s="163">
        <f t="shared" si="32"/>
        <v>0</v>
      </c>
      <c r="DU66" s="643">
        <f t="shared" si="22"/>
        <v>0</v>
      </c>
      <c r="DW66" s="646">
        <f t="shared" si="15"/>
        <v>20</v>
      </c>
      <c r="DX66" s="645">
        <f t="shared" si="15"/>
        <v>9</v>
      </c>
      <c r="DY66" s="163">
        <f t="shared" si="15"/>
        <v>7</v>
      </c>
      <c r="DZ66" s="163">
        <f t="shared" si="15"/>
        <v>0</v>
      </c>
      <c r="EA66" s="163">
        <f t="shared" si="15"/>
        <v>2</v>
      </c>
      <c r="EB66" s="644">
        <f t="shared" si="15"/>
        <v>0</v>
      </c>
      <c r="EC66" s="645">
        <f t="shared" si="15"/>
        <v>11</v>
      </c>
      <c r="ED66" s="163">
        <f t="shared" si="15"/>
        <v>4</v>
      </c>
      <c r="EE66" s="163">
        <f t="shared" si="15"/>
        <v>0</v>
      </c>
      <c r="EF66" s="163">
        <f t="shared" si="14"/>
        <v>7</v>
      </c>
      <c r="EG66" s="643">
        <f t="shared" si="14"/>
        <v>0</v>
      </c>
      <c r="EH66" s="646">
        <f t="shared" si="29"/>
        <v>11</v>
      </c>
      <c r="EI66" s="645">
        <f t="shared" si="29"/>
        <v>8</v>
      </c>
      <c r="EJ66" s="163">
        <f t="shared" si="27"/>
        <v>4</v>
      </c>
      <c r="EK66" s="163">
        <f t="shared" si="27"/>
        <v>0</v>
      </c>
      <c r="EL66" s="163">
        <f t="shared" si="27"/>
        <v>4</v>
      </c>
      <c r="EM66" s="644">
        <f t="shared" si="27"/>
        <v>0</v>
      </c>
      <c r="EN66" s="645">
        <f t="shared" si="27"/>
        <v>3</v>
      </c>
      <c r="EO66" s="163">
        <f t="shared" si="27"/>
        <v>0</v>
      </c>
      <c r="EP66" s="163">
        <f t="shared" si="27"/>
        <v>0</v>
      </c>
      <c r="EQ66" s="163">
        <f t="shared" si="27"/>
        <v>3</v>
      </c>
      <c r="ER66" s="643">
        <f t="shared" si="27"/>
        <v>0</v>
      </c>
    </row>
    <row r="67" spans="1:148">
      <c r="A67" s="654" t="s">
        <v>233</v>
      </c>
      <c r="B67" s="658">
        <v>43556</v>
      </c>
      <c r="C67" s="659">
        <v>2019</v>
      </c>
      <c r="D67" s="646">
        <f t="shared" si="10"/>
        <v>222792</v>
      </c>
      <c r="E67" s="646">
        <f t="shared" si="31"/>
        <v>2875</v>
      </c>
      <c r="F67" s="645">
        <f t="shared" si="31"/>
        <v>1992</v>
      </c>
      <c r="G67" s="163">
        <f t="shared" si="31"/>
        <v>1656</v>
      </c>
      <c r="H67" s="163">
        <f t="shared" si="31"/>
        <v>0</v>
      </c>
      <c r="I67" s="163">
        <f t="shared" si="31"/>
        <v>336</v>
      </c>
      <c r="J67" s="644">
        <f t="shared" si="31"/>
        <v>0</v>
      </c>
      <c r="K67" s="645">
        <f t="shared" si="31"/>
        <v>883</v>
      </c>
      <c r="L67" s="163">
        <f t="shared" si="31"/>
        <v>497</v>
      </c>
      <c r="M67" s="163">
        <f t="shared" si="31"/>
        <v>0</v>
      </c>
      <c r="N67" s="163">
        <f t="shared" si="31"/>
        <v>349</v>
      </c>
      <c r="O67" s="643">
        <f t="shared" si="31"/>
        <v>37</v>
      </c>
      <c r="P67" s="646">
        <f t="shared" si="31"/>
        <v>5</v>
      </c>
      <c r="Q67" s="645">
        <f t="shared" si="31"/>
        <v>1</v>
      </c>
      <c r="R67" s="163">
        <f t="shared" si="31"/>
        <v>1</v>
      </c>
      <c r="S67" s="163">
        <f t="shared" si="31"/>
        <v>0</v>
      </c>
      <c r="T67" s="163">
        <f t="shared" si="31"/>
        <v>0</v>
      </c>
      <c r="U67" s="644">
        <f t="shared" si="30"/>
        <v>0</v>
      </c>
      <c r="V67" s="645">
        <f t="shared" si="30"/>
        <v>4</v>
      </c>
      <c r="W67" s="163">
        <f t="shared" si="30"/>
        <v>2</v>
      </c>
      <c r="X67" s="163">
        <f t="shared" si="30"/>
        <v>0</v>
      </c>
      <c r="Y67" s="163">
        <f t="shared" si="30"/>
        <v>1</v>
      </c>
      <c r="Z67" s="643">
        <f t="shared" si="30"/>
        <v>1</v>
      </c>
      <c r="AA67" s="646">
        <f t="shared" si="30"/>
        <v>2</v>
      </c>
      <c r="AB67" s="645">
        <f t="shared" si="30"/>
        <v>2</v>
      </c>
      <c r="AC67" s="163">
        <f t="shared" si="30"/>
        <v>0</v>
      </c>
      <c r="AD67" s="163">
        <f t="shared" si="30"/>
        <v>0</v>
      </c>
      <c r="AE67" s="163">
        <f t="shared" si="30"/>
        <v>2</v>
      </c>
      <c r="AF67" s="644">
        <f t="shared" si="30"/>
        <v>0</v>
      </c>
      <c r="AG67" s="645">
        <f t="shared" si="30"/>
        <v>0</v>
      </c>
      <c r="AH67" s="163">
        <f t="shared" si="30"/>
        <v>0</v>
      </c>
      <c r="AI67" s="163">
        <f t="shared" si="24"/>
        <v>0</v>
      </c>
      <c r="AJ67" s="163">
        <f t="shared" si="24"/>
        <v>0</v>
      </c>
      <c r="AK67" s="643">
        <f t="shared" si="24"/>
        <v>0</v>
      </c>
      <c r="AL67" s="646">
        <f t="shared" si="24"/>
        <v>21</v>
      </c>
      <c r="AM67" s="645">
        <f t="shared" si="24"/>
        <v>17</v>
      </c>
      <c r="AN67" s="163">
        <f t="shared" si="24"/>
        <v>13</v>
      </c>
      <c r="AO67" s="163">
        <f t="shared" si="24"/>
        <v>0</v>
      </c>
      <c r="AP67" s="163">
        <f t="shared" si="24"/>
        <v>4</v>
      </c>
      <c r="AQ67" s="644">
        <f t="shared" si="24"/>
        <v>0</v>
      </c>
      <c r="AR67" s="645">
        <f t="shared" si="24"/>
        <v>4</v>
      </c>
      <c r="AS67" s="163">
        <f t="shared" si="24"/>
        <v>2</v>
      </c>
      <c r="AT67" s="163">
        <f t="shared" si="24"/>
        <v>0</v>
      </c>
      <c r="AU67" s="163">
        <f t="shared" si="24"/>
        <v>2</v>
      </c>
      <c r="AV67" s="643">
        <f t="shared" si="24"/>
        <v>0</v>
      </c>
      <c r="AW67" s="646">
        <f t="shared" si="24"/>
        <v>16</v>
      </c>
      <c r="AX67" s="645">
        <f t="shared" si="33"/>
        <v>9</v>
      </c>
      <c r="AY67" s="163">
        <f t="shared" si="33"/>
        <v>8</v>
      </c>
      <c r="AZ67" s="163">
        <f t="shared" si="33"/>
        <v>0</v>
      </c>
      <c r="BA67" s="163">
        <f t="shared" si="33"/>
        <v>1</v>
      </c>
      <c r="BB67" s="644">
        <f t="shared" si="33"/>
        <v>0</v>
      </c>
      <c r="BC67" s="645">
        <f t="shared" si="33"/>
        <v>7</v>
      </c>
      <c r="BD67" s="163">
        <f t="shared" si="33"/>
        <v>4</v>
      </c>
      <c r="BE67" s="163">
        <f t="shared" si="33"/>
        <v>0</v>
      </c>
      <c r="BF67" s="163">
        <f t="shared" si="33"/>
        <v>3</v>
      </c>
      <c r="BG67" s="643">
        <f t="shared" si="33"/>
        <v>0</v>
      </c>
      <c r="BH67" s="646">
        <f t="shared" si="33"/>
        <v>14</v>
      </c>
      <c r="BI67" s="645">
        <f t="shared" si="33"/>
        <v>9</v>
      </c>
      <c r="BJ67" s="163">
        <f t="shared" si="33"/>
        <v>9</v>
      </c>
      <c r="BK67" s="163">
        <f t="shared" si="33"/>
        <v>0</v>
      </c>
      <c r="BL67" s="163">
        <f t="shared" si="33"/>
        <v>0</v>
      </c>
      <c r="BM67" s="644">
        <f t="shared" si="33"/>
        <v>0</v>
      </c>
      <c r="BN67" s="645">
        <f t="shared" si="33"/>
        <v>5</v>
      </c>
      <c r="BO67" s="163">
        <f t="shared" si="33"/>
        <v>3</v>
      </c>
      <c r="BP67" s="163">
        <f t="shared" si="33"/>
        <v>0</v>
      </c>
      <c r="BQ67" s="163">
        <f t="shared" si="33"/>
        <v>2</v>
      </c>
      <c r="BR67" s="643">
        <f t="shared" si="33"/>
        <v>0</v>
      </c>
      <c r="BS67" s="646">
        <f t="shared" si="33"/>
        <v>22</v>
      </c>
      <c r="BT67" s="645">
        <f t="shared" si="33"/>
        <v>18</v>
      </c>
      <c r="BU67" s="163">
        <f t="shared" si="33"/>
        <v>9</v>
      </c>
      <c r="BV67" s="163">
        <f t="shared" si="33"/>
        <v>0</v>
      </c>
      <c r="BW67" s="163">
        <f t="shared" si="33"/>
        <v>9</v>
      </c>
      <c r="BX67" s="644">
        <f t="shared" si="33"/>
        <v>0</v>
      </c>
      <c r="BY67" s="645">
        <f t="shared" si="33"/>
        <v>4</v>
      </c>
      <c r="BZ67" s="163">
        <f t="shared" si="33"/>
        <v>2</v>
      </c>
      <c r="CA67" s="163">
        <f t="shared" si="33"/>
        <v>0</v>
      </c>
      <c r="CB67" s="163">
        <f t="shared" si="33"/>
        <v>2</v>
      </c>
      <c r="CC67" s="643">
        <f t="shared" si="33"/>
        <v>0</v>
      </c>
      <c r="CD67" s="646">
        <f t="shared" si="33"/>
        <v>5</v>
      </c>
      <c r="CE67" s="645">
        <f t="shared" si="33"/>
        <v>3</v>
      </c>
      <c r="CF67" s="163">
        <f t="shared" si="33"/>
        <v>2</v>
      </c>
      <c r="CG67" s="163">
        <f t="shared" si="33"/>
        <v>0</v>
      </c>
      <c r="CH67" s="163">
        <f t="shared" si="33"/>
        <v>1</v>
      </c>
      <c r="CI67" s="644">
        <f t="shared" si="33"/>
        <v>0</v>
      </c>
      <c r="CJ67" s="645">
        <f t="shared" si="33"/>
        <v>2</v>
      </c>
      <c r="CK67" s="163">
        <f t="shared" si="33"/>
        <v>1</v>
      </c>
      <c r="CL67" s="163">
        <f t="shared" si="33"/>
        <v>0</v>
      </c>
      <c r="CM67" s="163">
        <f t="shared" si="33"/>
        <v>1</v>
      </c>
      <c r="CN67" s="643">
        <f t="shared" si="33"/>
        <v>0</v>
      </c>
      <c r="CO67" s="646">
        <f t="shared" si="33"/>
        <v>6</v>
      </c>
      <c r="CP67" s="645">
        <f t="shared" si="33"/>
        <v>5</v>
      </c>
      <c r="CQ67" s="163">
        <f t="shared" si="33"/>
        <v>4</v>
      </c>
      <c r="CR67" s="163">
        <f t="shared" si="33"/>
        <v>0</v>
      </c>
      <c r="CS67" s="163">
        <f t="shared" si="33"/>
        <v>1</v>
      </c>
      <c r="CT67" s="644">
        <f t="shared" si="33"/>
        <v>0</v>
      </c>
      <c r="CU67" s="645">
        <f t="shared" si="33"/>
        <v>1</v>
      </c>
      <c r="CV67" s="163">
        <f t="shared" si="33"/>
        <v>1</v>
      </c>
      <c r="CW67" s="163">
        <f t="shared" si="33"/>
        <v>0</v>
      </c>
      <c r="CX67" s="163">
        <f t="shared" si="33"/>
        <v>0</v>
      </c>
      <c r="CY67" s="643">
        <f t="shared" si="33"/>
        <v>0</v>
      </c>
      <c r="CZ67" s="646">
        <f t="shared" si="33"/>
        <v>0</v>
      </c>
      <c r="DA67" s="645">
        <f t="shared" si="33"/>
        <v>0</v>
      </c>
      <c r="DB67" s="163">
        <f t="shared" si="33"/>
        <v>0</v>
      </c>
      <c r="DC67" s="163">
        <f t="shared" si="33"/>
        <v>0</v>
      </c>
      <c r="DD67" s="163">
        <f t="shared" si="33"/>
        <v>0</v>
      </c>
      <c r="DE67" s="644">
        <f t="shared" si="33"/>
        <v>0</v>
      </c>
      <c r="DF67" s="645">
        <f t="shared" si="33"/>
        <v>0</v>
      </c>
      <c r="DG67" s="163">
        <f t="shared" si="33"/>
        <v>0</v>
      </c>
      <c r="DH67" s="163">
        <f t="shared" si="33"/>
        <v>0</v>
      </c>
      <c r="DI67" s="163">
        <f t="shared" si="33"/>
        <v>0</v>
      </c>
      <c r="DJ67" s="643">
        <f t="shared" si="32"/>
        <v>0</v>
      </c>
      <c r="DK67" s="646">
        <f t="shared" si="32"/>
        <v>0</v>
      </c>
      <c r="DL67" s="645">
        <f t="shared" si="32"/>
        <v>0</v>
      </c>
      <c r="DM67" s="163">
        <f t="shared" si="32"/>
        <v>0</v>
      </c>
      <c r="DN67" s="163">
        <f t="shared" si="32"/>
        <v>0</v>
      </c>
      <c r="DO67" s="163">
        <f t="shared" si="32"/>
        <v>0</v>
      </c>
      <c r="DP67" s="644">
        <f t="shared" si="32"/>
        <v>0</v>
      </c>
      <c r="DQ67" s="645">
        <f t="shared" si="32"/>
        <v>0</v>
      </c>
      <c r="DR67" s="163">
        <f t="shared" si="32"/>
        <v>0</v>
      </c>
      <c r="DS67" s="163">
        <f t="shared" si="32"/>
        <v>0</v>
      </c>
      <c r="DT67" s="163">
        <f t="shared" si="32"/>
        <v>0</v>
      </c>
      <c r="DU67" s="643">
        <f t="shared" si="22"/>
        <v>0</v>
      </c>
      <c r="DW67" s="646">
        <f t="shared" si="15"/>
        <v>70</v>
      </c>
      <c r="DX67" s="645">
        <f t="shared" si="15"/>
        <v>47</v>
      </c>
      <c r="DY67" s="163">
        <f t="shared" si="15"/>
        <v>33</v>
      </c>
      <c r="DZ67" s="163">
        <f t="shared" si="15"/>
        <v>0</v>
      </c>
      <c r="EA67" s="163">
        <f t="shared" si="15"/>
        <v>14</v>
      </c>
      <c r="EB67" s="644">
        <f t="shared" si="15"/>
        <v>0</v>
      </c>
      <c r="EC67" s="645">
        <f t="shared" si="15"/>
        <v>23</v>
      </c>
      <c r="ED67" s="163">
        <f t="shared" si="15"/>
        <v>13</v>
      </c>
      <c r="EE67" s="163">
        <f t="shared" si="15"/>
        <v>0</v>
      </c>
      <c r="EF67" s="163">
        <f t="shared" si="14"/>
        <v>9</v>
      </c>
      <c r="EG67" s="643">
        <f t="shared" si="14"/>
        <v>1</v>
      </c>
      <c r="EH67" s="646">
        <f t="shared" si="29"/>
        <v>21</v>
      </c>
      <c r="EI67" s="645">
        <f t="shared" si="29"/>
        <v>17</v>
      </c>
      <c r="EJ67" s="163">
        <f t="shared" si="27"/>
        <v>13</v>
      </c>
      <c r="EK67" s="163">
        <f t="shared" si="27"/>
        <v>0</v>
      </c>
      <c r="EL67" s="163">
        <f t="shared" si="27"/>
        <v>4</v>
      </c>
      <c r="EM67" s="644">
        <f t="shared" si="27"/>
        <v>0</v>
      </c>
      <c r="EN67" s="645">
        <f t="shared" si="27"/>
        <v>4</v>
      </c>
      <c r="EO67" s="163">
        <f t="shared" si="27"/>
        <v>2</v>
      </c>
      <c r="EP67" s="163">
        <f t="shared" si="27"/>
        <v>0</v>
      </c>
      <c r="EQ67" s="163">
        <f t="shared" si="27"/>
        <v>2</v>
      </c>
      <c r="ER67" s="643">
        <f t="shared" si="27"/>
        <v>0</v>
      </c>
    </row>
    <row r="68" spans="1:148">
      <c r="A68" s="654" t="s">
        <v>233</v>
      </c>
      <c r="B68" s="658">
        <v>43586</v>
      </c>
      <c r="C68" s="659">
        <v>2019</v>
      </c>
      <c r="D68" s="646">
        <f t="shared" si="10"/>
        <v>222792</v>
      </c>
      <c r="E68" s="646">
        <f t="shared" si="31"/>
        <v>2875</v>
      </c>
      <c r="F68" s="645">
        <f t="shared" si="31"/>
        <v>1992</v>
      </c>
      <c r="G68" s="163">
        <f t="shared" si="31"/>
        <v>1656</v>
      </c>
      <c r="H68" s="163">
        <f t="shared" si="31"/>
        <v>0</v>
      </c>
      <c r="I68" s="163">
        <f t="shared" si="31"/>
        <v>336</v>
      </c>
      <c r="J68" s="644">
        <f t="shared" si="31"/>
        <v>0</v>
      </c>
      <c r="K68" s="645">
        <f t="shared" si="31"/>
        <v>883</v>
      </c>
      <c r="L68" s="163">
        <f t="shared" si="31"/>
        <v>497</v>
      </c>
      <c r="M68" s="163">
        <f t="shared" si="31"/>
        <v>0</v>
      </c>
      <c r="N68" s="163">
        <f t="shared" si="31"/>
        <v>349</v>
      </c>
      <c r="O68" s="643">
        <f t="shared" si="31"/>
        <v>37</v>
      </c>
      <c r="P68" s="646">
        <f t="shared" si="31"/>
        <v>5</v>
      </c>
      <c r="Q68" s="645">
        <f t="shared" si="31"/>
        <v>1</v>
      </c>
      <c r="R68" s="163">
        <f t="shared" si="31"/>
        <v>1</v>
      </c>
      <c r="S68" s="163">
        <f t="shared" si="31"/>
        <v>0</v>
      </c>
      <c r="T68" s="163">
        <f t="shared" si="31"/>
        <v>0</v>
      </c>
      <c r="U68" s="644">
        <f t="shared" si="30"/>
        <v>0</v>
      </c>
      <c r="V68" s="645">
        <f t="shared" si="30"/>
        <v>4</v>
      </c>
      <c r="W68" s="163">
        <f t="shared" si="30"/>
        <v>2</v>
      </c>
      <c r="X68" s="163">
        <f t="shared" si="30"/>
        <v>0</v>
      </c>
      <c r="Y68" s="163">
        <f t="shared" si="30"/>
        <v>1</v>
      </c>
      <c r="Z68" s="643">
        <f t="shared" si="30"/>
        <v>1</v>
      </c>
      <c r="AA68" s="646">
        <f t="shared" si="30"/>
        <v>2</v>
      </c>
      <c r="AB68" s="645">
        <f t="shared" si="30"/>
        <v>2</v>
      </c>
      <c r="AC68" s="163">
        <f t="shared" si="30"/>
        <v>0</v>
      </c>
      <c r="AD68" s="163">
        <f t="shared" si="30"/>
        <v>0</v>
      </c>
      <c r="AE68" s="163">
        <f t="shared" si="30"/>
        <v>2</v>
      </c>
      <c r="AF68" s="644">
        <f t="shared" si="30"/>
        <v>0</v>
      </c>
      <c r="AG68" s="645">
        <f t="shared" si="30"/>
        <v>0</v>
      </c>
      <c r="AH68" s="163">
        <f t="shared" si="30"/>
        <v>0</v>
      </c>
      <c r="AI68" s="163">
        <f t="shared" si="24"/>
        <v>0</v>
      </c>
      <c r="AJ68" s="163">
        <f t="shared" si="24"/>
        <v>0</v>
      </c>
      <c r="AK68" s="643">
        <f t="shared" si="24"/>
        <v>0</v>
      </c>
      <c r="AL68" s="646">
        <f t="shared" si="24"/>
        <v>21</v>
      </c>
      <c r="AM68" s="645">
        <f t="shared" si="24"/>
        <v>17</v>
      </c>
      <c r="AN68" s="163">
        <f t="shared" si="24"/>
        <v>13</v>
      </c>
      <c r="AO68" s="163">
        <f t="shared" si="24"/>
        <v>0</v>
      </c>
      <c r="AP68" s="163">
        <f t="shared" si="24"/>
        <v>4</v>
      </c>
      <c r="AQ68" s="644">
        <f t="shared" si="24"/>
        <v>0</v>
      </c>
      <c r="AR68" s="645">
        <f t="shared" si="24"/>
        <v>4</v>
      </c>
      <c r="AS68" s="163">
        <f t="shared" si="24"/>
        <v>2</v>
      </c>
      <c r="AT68" s="163">
        <f t="shared" si="24"/>
        <v>0</v>
      </c>
      <c r="AU68" s="163">
        <f t="shared" si="24"/>
        <v>2</v>
      </c>
      <c r="AV68" s="643">
        <f t="shared" si="24"/>
        <v>0</v>
      </c>
      <c r="AW68" s="646">
        <f t="shared" si="24"/>
        <v>16</v>
      </c>
      <c r="AX68" s="645">
        <f t="shared" si="33"/>
        <v>9</v>
      </c>
      <c r="AY68" s="163">
        <f t="shared" si="33"/>
        <v>8</v>
      </c>
      <c r="AZ68" s="163">
        <f t="shared" si="33"/>
        <v>0</v>
      </c>
      <c r="BA68" s="163">
        <f t="shared" si="33"/>
        <v>1</v>
      </c>
      <c r="BB68" s="644">
        <f t="shared" si="33"/>
        <v>0</v>
      </c>
      <c r="BC68" s="645">
        <f t="shared" si="33"/>
        <v>7</v>
      </c>
      <c r="BD68" s="163">
        <f t="shared" si="33"/>
        <v>4</v>
      </c>
      <c r="BE68" s="163">
        <f t="shared" si="33"/>
        <v>0</v>
      </c>
      <c r="BF68" s="163">
        <f t="shared" si="33"/>
        <v>3</v>
      </c>
      <c r="BG68" s="643">
        <f t="shared" si="33"/>
        <v>0</v>
      </c>
      <c r="BH68" s="646">
        <f t="shared" si="33"/>
        <v>14</v>
      </c>
      <c r="BI68" s="645">
        <f t="shared" si="33"/>
        <v>9</v>
      </c>
      <c r="BJ68" s="163">
        <f t="shared" si="33"/>
        <v>9</v>
      </c>
      <c r="BK68" s="163">
        <f t="shared" si="33"/>
        <v>0</v>
      </c>
      <c r="BL68" s="163">
        <f t="shared" si="33"/>
        <v>0</v>
      </c>
      <c r="BM68" s="644">
        <f t="shared" si="33"/>
        <v>0</v>
      </c>
      <c r="BN68" s="645">
        <f t="shared" si="33"/>
        <v>5</v>
      </c>
      <c r="BO68" s="163">
        <f t="shared" si="33"/>
        <v>3</v>
      </c>
      <c r="BP68" s="163">
        <f t="shared" si="33"/>
        <v>0</v>
      </c>
      <c r="BQ68" s="163">
        <f t="shared" si="33"/>
        <v>2</v>
      </c>
      <c r="BR68" s="643">
        <f t="shared" si="33"/>
        <v>0</v>
      </c>
      <c r="BS68" s="646">
        <f t="shared" si="33"/>
        <v>22</v>
      </c>
      <c r="BT68" s="645">
        <f t="shared" si="33"/>
        <v>18</v>
      </c>
      <c r="BU68" s="163">
        <f t="shared" si="33"/>
        <v>9</v>
      </c>
      <c r="BV68" s="163">
        <f t="shared" si="33"/>
        <v>0</v>
      </c>
      <c r="BW68" s="163">
        <f t="shared" si="33"/>
        <v>9</v>
      </c>
      <c r="BX68" s="644">
        <f t="shared" si="33"/>
        <v>0</v>
      </c>
      <c r="BY68" s="645">
        <f t="shared" si="33"/>
        <v>4</v>
      </c>
      <c r="BZ68" s="163">
        <f t="shared" si="33"/>
        <v>2</v>
      </c>
      <c r="CA68" s="163">
        <f t="shared" si="33"/>
        <v>0</v>
      </c>
      <c r="CB68" s="163">
        <f t="shared" si="33"/>
        <v>2</v>
      </c>
      <c r="CC68" s="643">
        <f t="shared" si="33"/>
        <v>0</v>
      </c>
      <c r="CD68" s="646">
        <f t="shared" si="33"/>
        <v>5</v>
      </c>
      <c r="CE68" s="645">
        <f t="shared" si="33"/>
        <v>3</v>
      </c>
      <c r="CF68" s="163">
        <f t="shared" si="33"/>
        <v>2</v>
      </c>
      <c r="CG68" s="163">
        <f t="shared" si="33"/>
        <v>0</v>
      </c>
      <c r="CH68" s="163">
        <f t="shared" si="33"/>
        <v>1</v>
      </c>
      <c r="CI68" s="644">
        <f t="shared" si="33"/>
        <v>0</v>
      </c>
      <c r="CJ68" s="645">
        <f t="shared" si="33"/>
        <v>2</v>
      </c>
      <c r="CK68" s="163">
        <f t="shared" si="33"/>
        <v>1</v>
      </c>
      <c r="CL68" s="163">
        <f t="shared" si="33"/>
        <v>0</v>
      </c>
      <c r="CM68" s="163">
        <f t="shared" si="33"/>
        <v>1</v>
      </c>
      <c r="CN68" s="643">
        <f t="shared" si="33"/>
        <v>0</v>
      </c>
      <c r="CO68" s="646">
        <f t="shared" si="33"/>
        <v>6</v>
      </c>
      <c r="CP68" s="645">
        <f t="shared" si="33"/>
        <v>5</v>
      </c>
      <c r="CQ68" s="163">
        <f t="shared" si="33"/>
        <v>4</v>
      </c>
      <c r="CR68" s="163">
        <f t="shared" si="33"/>
        <v>0</v>
      </c>
      <c r="CS68" s="163">
        <f t="shared" si="33"/>
        <v>1</v>
      </c>
      <c r="CT68" s="644">
        <f t="shared" si="33"/>
        <v>0</v>
      </c>
      <c r="CU68" s="645">
        <f t="shared" si="33"/>
        <v>1</v>
      </c>
      <c r="CV68" s="163">
        <f t="shared" si="33"/>
        <v>1</v>
      </c>
      <c r="CW68" s="163">
        <f t="shared" si="33"/>
        <v>0</v>
      </c>
      <c r="CX68" s="163">
        <f t="shared" si="33"/>
        <v>0</v>
      </c>
      <c r="CY68" s="643">
        <f t="shared" si="33"/>
        <v>0</v>
      </c>
      <c r="CZ68" s="646">
        <f t="shared" si="33"/>
        <v>0</v>
      </c>
      <c r="DA68" s="645">
        <f t="shared" si="33"/>
        <v>0</v>
      </c>
      <c r="DB68" s="163">
        <f t="shared" si="33"/>
        <v>0</v>
      </c>
      <c r="DC68" s="163">
        <f t="shared" si="33"/>
        <v>0</v>
      </c>
      <c r="DD68" s="163">
        <f t="shared" si="33"/>
        <v>0</v>
      </c>
      <c r="DE68" s="644">
        <f t="shared" si="33"/>
        <v>0</v>
      </c>
      <c r="DF68" s="645">
        <f t="shared" si="33"/>
        <v>0</v>
      </c>
      <c r="DG68" s="163">
        <f t="shared" si="33"/>
        <v>0</v>
      </c>
      <c r="DH68" s="163">
        <f t="shared" si="33"/>
        <v>0</v>
      </c>
      <c r="DI68" s="163">
        <f t="shared" si="33"/>
        <v>0</v>
      </c>
      <c r="DJ68" s="643">
        <f t="shared" si="32"/>
        <v>0</v>
      </c>
      <c r="DK68" s="646">
        <f t="shared" si="32"/>
        <v>0</v>
      </c>
      <c r="DL68" s="645">
        <f t="shared" si="32"/>
        <v>0</v>
      </c>
      <c r="DM68" s="163">
        <f t="shared" si="32"/>
        <v>0</v>
      </c>
      <c r="DN68" s="163">
        <f t="shared" si="32"/>
        <v>0</v>
      </c>
      <c r="DO68" s="163">
        <f t="shared" si="32"/>
        <v>0</v>
      </c>
      <c r="DP68" s="644">
        <f t="shared" si="32"/>
        <v>0</v>
      </c>
      <c r="DQ68" s="645">
        <f t="shared" si="32"/>
        <v>0</v>
      </c>
      <c r="DR68" s="163">
        <f t="shared" si="32"/>
        <v>0</v>
      </c>
      <c r="DS68" s="163">
        <f t="shared" si="32"/>
        <v>0</v>
      </c>
      <c r="DT68" s="163">
        <f t="shared" si="32"/>
        <v>0</v>
      </c>
      <c r="DU68" s="643">
        <f t="shared" si="22"/>
        <v>0</v>
      </c>
      <c r="DW68" s="646">
        <f t="shared" si="15"/>
        <v>70</v>
      </c>
      <c r="DX68" s="645">
        <f t="shared" si="15"/>
        <v>47</v>
      </c>
      <c r="DY68" s="163">
        <f t="shared" si="15"/>
        <v>33</v>
      </c>
      <c r="DZ68" s="163">
        <f t="shared" si="15"/>
        <v>0</v>
      </c>
      <c r="EA68" s="163">
        <f t="shared" si="15"/>
        <v>14</v>
      </c>
      <c r="EB68" s="644">
        <f t="shared" si="15"/>
        <v>0</v>
      </c>
      <c r="EC68" s="645">
        <f t="shared" si="15"/>
        <v>23</v>
      </c>
      <c r="ED68" s="163">
        <f t="shared" si="15"/>
        <v>13</v>
      </c>
      <c r="EE68" s="163">
        <f t="shared" si="15"/>
        <v>0</v>
      </c>
      <c r="EF68" s="163">
        <f t="shared" si="14"/>
        <v>9</v>
      </c>
      <c r="EG68" s="643">
        <f t="shared" si="14"/>
        <v>1</v>
      </c>
      <c r="EH68" s="646">
        <f t="shared" si="29"/>
        <v>21</v>
      </c>
      <c r="EI68" s="645">
        <f t="shared" si="29"/>
        <v>17</v>
      </c>
      <c r="EJ68" s="163">
        <f t="shared" si="27"/>
        <v>13</v>
      </c>
      <c r="EK68" s="163">
        <f t="shared" si="27"/>
        <v>0</v>
      </c>
      <c r="EL68" s="163">
        <f t="shared" si="27"/>
        <v>4</v>
      </c>
      <c r="EM68" s="644">
        <f t="shared" si="27"/>
        <v>0</v>
      </c>
      <c r="EN68" s="645">
        <f t="shared" si="27"/>
        <v>4</v>
      </c>
      <c r="EO68" s="163">
        <f t="shared" si="27"/>
        <v>2</v>
      </c>
      <c r="EP68" s="163">
        <f t="shared" si="27"/>
        <v>0</v>
      </c>
      <c r="EQ68" s="163">
        <f t="shared" si="27"/>
        <v>2</v>
      </c>
      <c r="ER68" s="643">
        <f t="shared" si="27"/>
        <v>0</v>
      </c>
    </row>
    <row r="69" spans="1:148">
      <c r="A69" s="654" t="s">
        <v>233</v>
      </c>
      <c r="B69" s="658">
        <v>43617</v>
      </c>
      <c r="C69" s="659">
        <v>2019</v>
      </c>
      <c r="D69" s="646">
        <f t="shared" si="10"/>
        <v>222792</v>
      </c>
      <c r="E69" s="646">
        <f t="shared" si="31"/>
        <v>2875</v>
      </c>
      <c r="F69" s="645">
        <f t="shared" si="31"/>
        <v>1992</v>
      </c>
      <c r="G69" s="163">
        <f t="shared" si="31"/>
        <v>1656</v>
      </c>
      <c r="H69" s="163">
        <f t="shared" si="31"/>
        <v>0</v>
      </c>
      <c r="I69" s="163">
        <f t="shared" si="31"/>
        <v>336</v>
      </c>
      <c r="J69" s="644">
        <f t="shared" si="31"/>
        <v>0</v>
      </c>
      <c r="K69" s="645">
        <f t="shared" si="31"/>
        <v>883</v>
      </c>
      <c r="L69" s="163">
        <f t="shared" si="31"/>
        <v>497</v>
      </c>
      <c r="M69" s="163">
        <f t="shared" si="31"/>
        <v>0</v>
      </c>
      <c r="N69" s="163">
        <f t="shared" si="31"/>
        <v>349</v>
      </c>
      <c r="O69" s="643">
        <f t="shared" si="31"/>
        <v>37</v>
      </c>
      <c r="P69" s="646">
        <f t="shared" si="31"/>
        <v>5</v>
      </c>
      <c r="Q69" s="645">
        <f t="shared" si="31"/>
        <v>1</v>
      </c>
      <c r="R69" s="163">
        <f t="shared" si="31"/>
        <v>1</v>
      </c>
      <c r="S69" s="163">
        <f t="shared" si="31"/>
        <v>0</v>
      </c>
      <c r="T69" s="163">
        <f t="shared" si="31"/>
        <v>0</v>
      </c>
      <c r="U69" s="644">
        <f t="shared" si="30"/>
        <v>0</v>
      </c>
      <c r="V69" s="645">
        <f t="shared" si="30"/>
        <v>4</v>
      </c>
      <c r="W69" s="163">
        <f t="shared" si="30"/>
        <v>2</v>
      </c>
      <c r="X69" s="163">
        <f t="shared" si="30"/>
        <v>0</v>
      </c>
      <c r="Y69" s="163">
        <f t="shared" si="30"/>
        <v>1</v>
      </c>
      <c r="Z69" s="643">
        <f t="shared" si="30"/>
        <v>1</v>
      </c>
      <c r="AA69" s="646">
        <f t="shared" si="30"/>
        <v>2</v>
      </c>
      <c r="AB69" s="645">
        <f t="shared" si="30"/>
        <v>2</v>
      </c>
      <c r="AC69" s="163">
        <f t="shared" si="30"/>
        <v>0</v>
      </c>
      <c r="AD69" s="163">
        <f t="shared" si="30"/>
        <v>0</v>
      </c>
      <c r="AE69" s="163">
        <f t="shared" si="30"/>
        <v>2</v>
      </c>
      <c r="AF69" s="644">
        <f t="shared" si="30"/>
        <v>0</v>
      </c>
      <c r="AG69" s="645">
        <f t="shared" si="30"/>
        <v>0</v>
      </c>
      <c r="AH69" s="163">
        <f t="shared" si="30"/>
        <v>0</v>
      </c>
      <c r="AI69" s="163">
        <f t="shared" si="24"/>
        <v>0</v>
      </c>
      <c r="AJ69" s="163">
        <f t="shared" si="24"/>
        <v>0</v>
      </c>
      <c r="AK69" s="643">
        <f t="shared" si="24"/>
        <v>0</v>
      </c>
      <c r="AL69" s="646">
        <f t="shared" si="24"/>
        <v>21</v>
      </c>
      <c r="AM69" s="645">
        <f t="shared" si="24"/>
        <v>17</v>
      </c>
      <c r="AN69" s="163">
        <f t="shared" si="24"/>
        <v>13</v>
      </c>
      <c r="AO69" s="163">
        <f t="shared" si="24"/>
        <v>0</v>
      </c>
      <c r="AP69" s="163">
        <f t="shared" si="24"/>
        <v>4</v>
      </c>
      <c r="AQ69" s="644">
        <f t="shared" si="24"/>
        <v>0</v>
      </c>
      <c r="AR69" s="645">
        <f t="shared" si="24"/>
        <v>4</v>
      </c>
      <c r="AS69" s="163">
        <f t="shared" si="24"/>
        <v>2</v>
      </c>
      <c r="AT69" s="163">
        <f t="shared" si="24"/>
        <v>0</v>
      </c>
      <c r="AU69" s="163">
        <f t="shared" si="24"/>
        <v>2</v>
      </c>
      <c r="AV69" s="643">
        <f t="shared" si="24"/>
        <v>0</v>
      </c>
      <c r="AW69" s="646">
        <f t="shared" si="24"/>
        <v>16</v>
      </c>
      <c r="AX69" s="645">
        <f t="shared" si="33"/>
        <v>9</v>
      </c>
      <c r="AY69" s="163">
        <f t="shared" si="33"/>
        <v>8</v>
      </c>
      <c r="AZ69" s="163">
        <f t="shared" si="33"/>
        <v>0</v>
      </c>
      <c r="BA69" s="163">
        <f t="shared" si="33"/>
        <v>1</v>
      </c>
      <c r="BB69" s="644">
        <f t="shared" si="33"/>
        <v>0</v>
      </c>
      <c r="BC69" s="645">
        <f t="shared" si="33"/>
        <v>7</v>
      </c>
      <c r="BD69" s="163">
        <f t="shared" si="33"/>
        <v>4</v>
      </c>
      <c r="BE69" s="163">
        <f t="shared" si="33"/>
        <v>0</v>
      </c>
      <c r="BF69" s="163">
        <f t="shared" si="33"/>
        <v>3</v>
      </c>
      <c r="BG69" s="643">
        <f t="shared" si="33"/>
        <v>0</v>
      </c>
      <c r="BH69" s="646">
        <f t="shared" si="33"/>
        <v>14</v>
      </c>
      <c r="BI69" s="645">
        <f t="shared" si="33"/>
        <v>9</v>
      </c>
      <c r="BJ69" s="163">
        <f t="shared" si="33"/>
        <v>9</v>
      </c>
      <c r="BK69" s="163">
        <f t="shared" si="33"/>
        <v>0</v>
      </c>
      <c r="BL69" s="163">
        <f t="shared" si="33"/>
        <v>0</v>
      </c>
      <c r="BM69" s="644">
        <f t="shared" si="33"/>
        <v>0</v>
      </c>
      <c r="BN69" s="645">
        <f t="shared" si="33"/>
        <v>5</v>
      </c>
      <c r="BO69" s="163">
        <f t="shared" si="33"/>
        <v>3</v>
      </c>
      <c r="BP69" s="163">
        <f t="shared" si="33"/>
        <v>0</v>
      </c>
      <c r="BQ69" s="163">
        <f t="shared" si="33"/>
        <v>2</v>
      </c>
      <c r="BR69" s="643">
        <f t="shared" si="33"/>
        <v>0</v>
      </c>
      <c r="BS69" s="646">
        <f t="shared" si="33"/>
        <v>22</v>
      </c>
      <c r="BT69" s="645">
        <f t="shared" si="33"/>
        <v>18</v>
      </c>
      <c r="BU69" s="163">
        <f t="shared" si="33"/>
        <v>9</v>
      </c>
      <c r="BV69" s="163">
        <f t="shared" si="33"/>
        <v>0</v>
      </c>
      <c r="BW69" s="163">
        <f t="shared" si="33"/>
        <v>9</v>
      </c>
      <c r="BX69" s="644">
        <f t="shared" si="33"/>
        <v>0</v>
      </c>
      <c r="BY69" s="645">
        <f t="shared" si="33"/>
        <v>4</v>
      </c>
      <c r="BZ69" s="163">
        <f t="shared" si="33"/>
        <v>2</v>
      </c>
      <c r="CA69" s="163">
        <f t="shared" si="33"/>
        <v>0</v>
      </c>
      <c r="CB69" s="163">
        <f t="shared" si="33"/>
        <v>2</v>
      </c>
      <c r="CC69" s="643">
        <f t="shared" si="33"/>
        <v>0</v>
      </c>
      <c r="CD69" s="646">
        <f t="shared" si="33"/>
        <v>5</v>
      </c>
      <c r="CE69" s="645">
        <f t="shared" si="33"/>
        <v>3</v>
      </c>
      <c r="CF69" s="163">
        <f t="shared" si="33"/>
        <v>2</v>
      </c>
      <c r="CG69" s="163">
        <f t="shared" si="33"/>
        <v>0</v>
      </c>
      <c r="CH69" s="163">
        <f t="shared" si="33"/>
        <v>1</v>
      </c>
      <c r="CI69" s="644">
        <f t="shared" si="33"/>
        <v>0</v>
      </c>
      <c r="CJ69" s="645">
        <f t="shared" si="33"/>
        <v>2</v>
      </c>
      <c r="CK69" s="163">
        <f t="shared" si="33"/>
        <v>1</v>
      </c>
      <c r="CL69" s="163">
        <f t="shared" si="33"/>
        <v>0</v>
      </c>
      <c r="CM69" s="163">
        <f t="shared" si="33"/>
        <v>1</v>
      </c>
      <c r="CN69" s="643">
        <f t="shared" si="33"/>
        <v>0</v>
      </c>
      <c r="CO69" s="646">
        <f t="shared" si="33"/>
        <v>6</v>
      </c>
      <c r="CP69" s="645">
        <f t="shared" si="33"/>
        <v>5</v>
      </c>
      <c r="CQ69" s="163">
        <f t="shared" si="33"/>
        <v>4</v>
      </c>
      <c r="CR69" s="163">
        <f t="shared" si="33"/>
        <v>0</v>
      </c>
      <c r="CS69" s="163">
        <f t="shared" si="33"/>
        <v>1</v>
      </c>
      <c r="CT69" s="644">
        <f t="shared" si="33"/>
        <v>0</v>
      </c>
      <c r="CU69" s="645">
        <f t="shared" si="33"/>
        <v>1</v>
      </c>
      <c r="CV69" s="163">
        <f t="shared" si="33"/>
        <v>1</v>
      </c>
      <c r="CW69" s="163">
        <f t="shared" si="33"/>
        <v>0</v>
      </c>
      <c r="CX69" s="163">
        <f t="shared" si="33"/>
        <v>0</v>
      </c>
      <c r="CY69" s="643">
        <f t="shared" si="33"/>
        <v>0</v>
      </c>
      <c r="CZ69" s="646">
        <f t="shared" si="33"/>
        <v>0</v>
      </c>
      <c r="DA69" s="645">
        <f t="shared" si="33"/>
        <v>0</v>
      </c>
      <c r="DB69" s="163">
        <f t="shared" si="33"/>
        <v>0</v>
      </c>
      <c r="DC69" s="163">
        <f t="shared" si="33"/>
        <v>0</v>
      </c>
      <c r="DD69" s="163">
        <f t="shared" si="33"/>
        <v>0</v>
      </c>
      <c r="DE69" s="644">
        <f t="shared" si="33"/>
        <v>0</v>
      </c>
      <c r="DF69" s="645">
        <f t="shared" si="33"/>
        <v>0</v>
      </c>
      <c r="DG69" s="163">
        <f t="shared" si="33"/>
        <v>0</v>
      </c>
      <c r="DH69" s="163">
        <f t="shared" si="33"/>
        <v>0</v>
      </c>
      <c r="DI69" s="163">
        <f t="shared" ref="DI69:DU72" si="34">SUMIFS(DI$5:DI$36,$B$5:$B$36,$A69)</f>
        <v>0</v>
      </c>
      <c r="DJ69" s="643">
        <f t="shared" si="34"/>
        <v>0</v>
      </c>
      <c r="DK69" s="646">
        <f t="shared" si="34"/>
        <v>0</v>
      </c>
      <c r="DL69" s="645">
        <f t="shared" si="34"/>
        <v>0</v>
      </c>
      <c r="DM69" s="163">
        <f t="shared" si="34"/>
        <v>0</v>
      </c>
      <c r="DN69" s="163">
        <f t="shared" si="34"/>
        <v>0</v>
      </c>
      <c r="DO69" s="163">
        <f t="shared" si="34"/>
        <v>0</v>
      </c>
      <c r="DP69" s="644">
        <f t="shared" si="34"/>
        <v>0</v>
      </c>
      <c r="DQ69" s="645">
        <f t="shared" si="34"/>
        <v>0</v>
      </c>
      <c r="DR69" s="163">
        <f t="shared" si="34"/>
        <v>0</v>
      </c>
      <c r="DS69" s="163">
        <f t="shared" si="34"/>
        <v>0</v>
      </c>
      <c r="DT69" s="163">
        <f t="shared" si="34"/>
        <v>0</v>
      </c>
      <c r="DU69" s="643">
        <f t="shared" si="22"/>
        <v>0</v>
      </c>
      <c r="DW69" s="646">
        <f t="shared" si="15"/>
        <v>70</v>
      </c>
      <c r="DX69" s="645">
        <f t="shared" si="15"/>
        <v>47</v>
      </c>
      <c r="DY69" s="163">
        <f t="shared" si="15"/>
        <v>33</v>
      </c>
      <c r="DZ69" s="163">
        <f t="shared" si="15"/>
        <v>0</v>
      </c>
      <c r="EA69" s="163">
        <f t="shared" si="15"/>
        <v>14</v>
      </c>
      <c r="EB69" s="644">
        <f t="shared" si="15"/>
        <v>0</v>
      </c>
      <c r="EC69" s="645">
        <f t="shared" si="15"/>
        <v>23</v>
      </c>
      <c r="ED69" s="163">
        <f t="shared" si="15"/>
        <v>13</v>
      </c>
      <c r="EE69" s="163">
        <f t="shared" si="15"/>
        <v>0</v>
      </c>
      <c r="EF69" s="163">
        <f t="shared" si="14"/>
        <v>9</v>
      </c>
      <c r="EG69" s="643">
        <f t="shared" si="14"/>
        <v>1</v>
      </c>
      <c r="EH69" s="646">
        <f t="shared" si="29"/>
        <v>21</v>
      </c>
      <c r="EI69" s="645">
        <f t="shared" si="29"/>
        <v>17</v>
      </c>
      <c r="EJ69" s="163">
        <f t="shared" si="27"/>
        <v>13</v>
      </c>
      <c r="EK69" s="163">
        <f t="shared" si="27"/>
        <v>0</v>
      </c>
      <c r="EL69" s="163">
        <f t="shared" si="27"/>
        <v>4</v>
      </c>
      <c r="EM69" s="644">
        <f t="shared" si="27"/>
        <v>0</v>
      </c>
      <c r="EN69" s="645">
        <f t="shared" si="27"/>
        <v>4</v>
      </c>
      <c r="EO69" s="163">
        <f t="shared" si="27"/>
        <v>2</v>
      </c>
      <c r="EP69" s="163">
        <f t="shared" si="27"/>
        <v>0</v>
      </c>
      <c r="EQ69" s="163">
        <f t="shared" si="27"/>
        <v>2</v>
      </c>
      <c r="ER69" s="643">
        <f t="shared" si="27"/>
        <v>0</v>
      </c>
    </row>
    <row r="70" spans="1:148">
      <c r="A70" s="654" t="s">
        <v>234</v>
      </c>
      <c r="B70" s="658">
        <v>43647</v>
      </c>
      <c r="C70" s="659">
        <v>2019</v>
      </c>
      <c r="D70" s="646">
        <f t="shared" si="10"/>
        <v>219590</v>
      </c>
      <c r="E70" s="646">
        <f t="shared" si="31"/>
        <v>3149</v>
      </c>
      <c r="F70" s="645">
        <f t="shared" si="31"/>
        <v>2181</v>
      </c>
      <c r="G70" s="163">
        <f t="shared" si="31"/>
        <v>1844</v>
      </c>
      <c r="H70" s="163">
        <f t="shared" si="31"/>
        <v>0</v>
      </c>
      <c r="I70" s="163">
        <f t="shared" si="31"/>
        <v>337</v>
      </c>
      <c r="J70" s="644">
        <f t="shared" si="31"/>
        <v>0</v>
      </c>
      <c r="K70" s="645">
        <f t="shared" si="31"/>
        <v>968</v>
      </c>
      <c r="L70" s="163">
        <f t="shared" si="31"/>
        <v>644</v>
      </c>
      <c r="M70" s="163">
        <f t="shared" si="31"/>
        <v>0</v>
      </c>
      <c r="N70" s="163">
        <f t="shared" si="31"/>
        <v>306</v>
      </c>
      <c r="O70" s="643">
        <f t="shared" si="31"/>
        <v>18</v>
      </c>
      <c r="P70" s="646">
        <f t="shared" si="31"/>
        <v>6</v>
      </c>
      <c r="Q70" s="645">
        <f t="shared" si="31"/>
        <v>4</v>
      </c>
      <c r="R70" s="163">
        <f t="shared" si="31"/>
        <v>4</v>
      </c>
      <c r="S70" s="163">
        <f t="shared" si="31"/>
        <v>0</v>
      </c>
      <c r="T70" s="163">
        <f t="shared" si="31"/>
        <v>0</v>
      </c>
      <c r="U70" s="644">
        <f t="shared" si="30"/>
        <v>0</v>
      </c>
      <c r="V70" s="645">
        <f t="shared" si="30"/>
        <v>2</v>
      </c>
      <c r="W70" s="163">
        <f t="shared" si="30"/>
        <v>2</v>
      </c>
      <c r="X70" s="163">
        <f t="shared" si="30"/>
        <v>0</v>
      </c>
      <c r="Y70" s="163">
        <f t="shared" si="30"/>
        <v>0</v>
      </c>
      <c r="Z70" s="643">
        <f t="shared" si="30"/>
        <v>0</v>
      </c>
      <c r="AA70" s="646">
        <f t="shared" si="30"/>
        <v>1</v>
      </c>
      <c r="AB70" s="645">
        <f t="shared" si="30"/>
        <v>1</v>
      </c>
      <c r="AC70" s="163">
        <f t="shared" si="30"/>
        <v>0</v>
      </c>
      <c r="AD70" s="163">
        <f t="shared" si="30"/>
        <v>0</v>
      </c>
      <c r="AE70" s="163">
        <f t="shared" si="30"/>
        <v>1</v>
      </c>
      <c r="AF70" s="644">
        <f t="shared" si="30"/>
        <v>0</v>
      </c>
      <c r="AG70" s="645">
        <f t="shared" si="30"/>
        <v>0</v>
      </c>
      <c r="AH70" s="163">
        <f t="shared" si="30"/>
        <v>0</v>
      </c>
      <c r="AI70" s="163">
        <f t="shared" si="24"/>
        <v>0</v>
      </c>
      <c r="AJ70" s="163">
        <f t="shared" si="24"/>
        <v>0</v>
      </c>
      <c r="AK70" s="643">
        <f t="shared" si="24"/>
        <v>0</v>
      </c>
      <c r="AL70" s="646">
        <f t="shared" si="24"/>
        <v>29</v>
      </c>
      <c r="AM70" s="645">
        <f t="shared" si="24"/>
        <v>24</v>
      </c>
      <c r="AN70" s="163">
        <f t="shared" si="24"/>
        <v>23</v>
      </c>
      <c r="AO70" s="163">
        <f t="shared" si="24"/>
        <v>0</v>
      </c>
      <c r="AP70" s="163">
        <f t="shared" si="24"/>
        <v>1</v>
      </c>
      <c r="AQ70" s="644">
        <f t="shared" si="24"/>
        <v>0</v>
      </c>
      <c r="AR70" s="645">
        <f t="shared" si="24"/>
        <v>5</v>
      </c>
      <c r="AS70" s="163">
        <f t="shared" si="24"/>
        <v>3</v>
      </c>
      <c r="AT70" s="163">
        <f t="shared" si="24"/>
        <v>0</v>
      </c>
      <c r="AU70" s="163">
        <f t="shared" si="24"/>
        <v>2</v>
      </c>
      <c r="AV70" s="643">
        <f t="shared" si="24"/>
        <v>0</v>
      </c>
      <c r="AW70" s="646">
        <f t="shared" si="24"/>
        <v>17</v>
      </c>
      <c r="AX70" s="645">
        <f t="shared" ref="AX70:DI73" si="35">SUMIFS(AX$5:AX$36,$B$5:$B$36,$A70)</f>
        <v>13</v>
      </c>
      <c r="AY70" s="163">
        <f t="shared" si="35"/>
        <v>10</v>
      </c>
      <c r="AZ70" s="163">
        <f t="shared" si="35"/>
        <v>0</v>
      </c>
      <c r="BA70" s="163">
        <f t="shared" si="35"/>
        <v>3</v>
      </c>
      <c r="BB70" s="644">
        <f t="shared" si="35"/>
        <v>0</v>
      </c>
      <c r="BC70" s="645">
        <f t="shared" si="35"/>
        <v>4</v>
      </c>
      <c r="BD70" s="163">
        <f t="shared" si="35"/>
        <v>4</v>
      </c>
      <c r="BE70" s="163">
        <f t="shared" si="35"/>
        <v>0</v>
      </c>
      <c r="BF70" s="163">
        <f t="shared" si="35"/>
        <v>0</v>
      </c>
      <c r="BG70" s="643">
        <f t="shared" si="35"/>
        <v>0</v>
      </c>
      <c r="BH70" s="646">
        <f t="shared" si="35"/>
        <v>18</v>
      </c>
      <c r="BI70" s="645">
        <f t="shared" si="35"/>
        <v>16</v>
      </c>
      <c r="BJ70" s="163">
        <f t="shared" si="35"/>
        <v>16</v>
      </c>
      <c r="BK70" s="163">
        <f t="shared" si="35"/>
        <v>0</v>
      </c>
      <c r="BL70" s="163">
        <f t="shared" si="35"/>
        <v>0</v>
      </c>
      <c r="BM70" s="644">
        <f t="shared" si="35"/>
        <v>0</v>
      </c>
      <c r="BN70" s="645">
        <f t="shared" si="35"/>
        <v>2</v>
      </c>
      <c r="BO70" s="163">
        <f t="shared" si="35"/>
        <v>1</v>
      </c>
      <c r="BP70" s="163">
        <f t="shared" si="35"/>
        <v>0</v>
      </c>
      <c r="BQ70" s="163">
        <f t="shared" si="35"/>
        <v>1</v>
      </c>
      <c r="BR70" s="643">
        <f t="shared" si="35"/>
        <v>0</v>
      </c>
      <c r="BS70" s="646">
        <f t="shared" si="35"/>
        <v>35</v>
      </c>
      <c r="BT70" s="645">
        <f t="shared" si="35"/>
        <v>27</v>
      </c>
      <c r="BU70" s="163">
        <f t="shared" si="35"/>
        <v>25</v>
      </c>
      <c r="BV70" s="163">
        <f t="shared" si="35"/>
        <v>0</v>
      </c>
      <c r="BW70" s="163">
        <f t="shared" si="35"/>
        <v>2</v>
      </c>
      <c r="BX70" s="644">
        <f t="shared" si="35"/>
        <v>0</v>
      </c>
      <c r="BY70" s="645">
        <f t="shared" si="35"/>
        <v>8</v>
      </c>
      <c r="BZ70" s="163">
        <f t="shared" si="35"/>
        <v>6</v>
      </c>
      <c r="CA70" s="163">
        <f t="shared" si="35"/>
        <v>0</v>
      </c>
      <c r="CB70" s="163">
        <f t="shared" si="35"/>
        <v>2</v>
      </c>
      <c r="CC70" s="643">
        <f t="shared" si="35"/>
        <v>0</v>
      </c>
      <c r="CD70" s="646">
        <f t="shared" si="35"/>
        <v>3</v>
      </c>
      <c r="CE70" s="645">
        <f t="shared" si="35"/>
        <v>1</v>
      </c>
      <c r="CF70" s="163">
        <f t="shared" si="35"/>
        <v>1</v>
      </c>
      <c r="CG70" s="163">
        <f t="shared" si="35"/>
        <v>0</v>
      </c>
      <c r="CH70" s="163">
        <f t="shared" si="35"/>
        <v>0</v>
      </c>
      <c r="CI70" s="644">
        <f t="shared" si="35"/>
        <v>0</v>
      </c>
      <c r="CJ70" s="645">
        <f t="shared" si="35"/>
        <v>2</v>
      </c>
      <c r="CK70" s="163">
        <f t="shared" si="35"/>
        <v>1</v>
      </c>
      <c r="CL70" s="163">
        <f t="shared" si="35"/>
        <v>0</v>
      </c>
      <c r="CM70" s="163">
        <f t="shared" si="35"/>
        <v>1</v>
      </c>
      <c r="CN70" s="643">
        <f t="shared" si="35"/>
        <v>0</v>
      </c>
      <c r="CO70" s="646">
        <f t="shared" si="35"/>
        <v>5</v>
      </c>
      <c r="CP70" s="645">
        <f t="shared" si="35"/>
        <v>2</v>
      </c>
      <c r="CQ70" s="163">
        <f t="shared" si="35"/>
        <v>2</v>
      </c>
      <c r="CR70" s="163">
        <f t="shared" si="35"/>
        <v>0</v>
      </c>
      <c r="CS70" s="163">
        <f t="shared" si="35"/>
        <v>0</v>
      </c>
      <c r="CT70" s="644">
        <f t="shared" si="35"/>
        <v>0</v>
      </c>
      <c r="CU70" s="645">
        <f t="shared" si="35"/>
        <v>3</v>
      </c>
      <c r="CV70" s="163">
        <f t="shared" si="35"/>
        <v>3</v>
      </c>
      <c r="CW70" s="163">
        <f t="shared" si="35"/>
        <v>0</v>
      </c>
      <c r="CX70" s="163">
        <f t="shared" si="35"/>
        <v>0</v>
      </c>
      <c r="CY70" s="643">
        <f t="shared" si="35"/>
        <v>0</v>
      </c>
      <c r="CZ70" s="646">
        <f t="shared" si="35"/>
        <v>0</v>
      </c>
      <c r="DA70" s="645">
        <f t="shared" si="35"/>
        <v>0</v>
      </c>
      <c r="DB70" s="163">
        <f t="shared" si="35"/>
        <v>0</v>
      </c>
      <c r="DC70" s="163">
        <f t="shared" si="35"/>
        <v>0</v>
      </c>
      <c r="DD70" s="163">
        <f t="shared" si="35"/>
        <v>0</v>
      </c>
      <c r="DE70" s="644">
        <f t="shared" si="35"/>
        <v>0</v>
      </c>
      <c r="DF70" s="645">
        <f t="shared" si="35"/>
        <v>0</v>
      </c>
      <c r="DG70" s="163">
        <f t="shared" si="35"/>
        <v>0</v>
      </c>
      <c r="DH70" s="163">
        <f t="shared" si="35"/>
        <v>0</v>
      </c>
      <c r="DI70" s="163">
        <f t="shared" si="35"/>
        <v>0</v>
      </c>
      <c r="DJ70" s="643">
        <f t="shared" si="34"/>
        <v>0</v>
      </c>
      <c r="DK70" s="646">
        <f t="shared" si="34"/>
        <v>0</v>
      </c>
      <c r="DL70" s="645">
        <f t="shared" si="34"/>
        <v>0</v>
      </c>
      <c r="DM70" s="163">
        <f t="shared" si="34"/>
        <v>0</v>
      </c>
      <c r="DN70" s="163">
        <f t="shared" si="34"/>
        <v>0</v>
      </c>
      <c r="DO70" s="163">
        <f t="shared" si="34"/>
        <v>0</v>
      </c>
      <c r="DP70" s="644">
        <f t="shared" si="34"/>
        <v>0</v>
      </c>
      <c r="DQ70" s="645">
        <f t="shared" si="34"/>
        <v>1</v>
      </c>
      <c r="DR70" s="163">
        <f t="shared" si="34"/>
        <v>1</v>
      </c>
      <c r="DS70" s="163">
        <f t="shared" si="34"/>
        <v>0</v>
      </c>
      <c r="DT70" s="163">
        <f t="shared" si="34"/>
        <v>0</v>
      </c>
      <c r="DU70" s="643">
        <f t="shared" si="22"/>
        <v>0</v>
      </c>
      <c r="DW70" s="646">
        <f t="shared" si="15"/>
        <v>85</v>
      </c>
      <c r="DX70" s="645">
        <f t="shared" si="15"/>
        <v>64</v>
      </c>
      <c r="DY70" s="163">
        <f t="shared" si="15"/>
        <v>58</v>
      </c>
      <c r="DZ70" s="163">
        <f t="shared" si="15"/>
        <v>0</v>
      </c>
      <c r="EA70" s="163">
        <f t="shared" si="15"/>
        <v>6</v>
      </c>
      <c r="EB70" s="644">
        <f t="shared" si="15"/>
        <v>0</v>
      </c>
      <c r="EC70" s="645">
        <f t="shared" si="15"/>
        <v>22</v>
      </c>
      <c r="ED70" s="163">
        <f t="shared" si="15"/>
        <v>18</v>
      </c>
      <c r="EE70" s="163">
        <f t="shared" si="15"/>
        <v>0</v>
      </c>
      <c r="EF70" s="163">
        <f t="shared" si="14"/>
        <v>4</v>
      </c>
      <c r="EG70" s="643">
        <f t="shared" si="14"/>
        <v>0</v>
      </c>
      <c r="EH70" s="646">
        <f t="shared" si="29"/>
        <v>29</v>
      </c>
      <c r="EI70" s="645">
        <f t="shared" si="29"/>
        <v>24</v>
      </c>
      <c r="EJ70" s="163">
        <f t="shared" si="27"/>
        <v>23</v>
      </c>
      <c r="EK70" s="163">
        <f t="shared" si="27"/>
        <v>0</v>
      </c>
      <c r="EL70" s="163">
        <f t="shared" si="27"/>
        <v>1</v>
      </c>
      <c r="EM70" s="644">
        <f t="shared" si="27"/>
        <v>0</v>
      </c>
      <c r="EN70" s="645">
        <f t="shared" si="27"/>
        <v>5</v>
      </c>
      <c r="EO70" s="163">
        <f t="shared" si="27"/>
        <v>3</v>
      </c>
      <c r="EP70" s="163">
        <f t="shared" si="27"/>
        <v>0</v>
      </c>
      <c r="EQ70" s="163">
        <f t="shared" si="27"/>
        <v>2</v>
      </c>
      <c r="ER70" s="643">
        <f t="shared" si="27"/>
        <v>0</v>
      </c>
    </row>
    <row r="71" spans="1:148">
      <c r="A71" s="654" t="s">
        <v>234</v>
      </c>
      <c r="B71" s="658">
        <v>43678</v>
      </c>
      <c r="C71" s="659">
        <v>2019</v>
      </c>
      <c r="D71" s="646">
        <f t="shared" si="10"/>
        <v>219590</v>
      </c>
      <c r="E71" s="646">
        <f t="shared" si="31"/>
        <v>3149</v>
      </c>
      <c r="F71" s="645">
        <f t="shared" si="31"/>
        <v>2181</v>
      </c>
      <c r="G71" s="163">
        <f t="shared" si="31"/>
        <v>1844</v>
      </c>
      <c r="H71" s="163">
        <f t="shared" si="31"/>
        <v>0</v>
      </c>
      <c r="I71" s="163">
        <f t="shared" si="31"/>
        <v>337</v>
      </c>
      <c r="J71" s="644">
        <f t="shared" si="31"/>
        <v>0</v>
      </c>
      <c r="K71" s="645">
        <f t="shared" si="31"/>
        <v>968</v>
      </c>
      <c r="L71" s="163">
        <f t="shared" si="31"/>
        <v>644</v>
      </c>
      <c r="M71" s="163">
        <f t="shared" si="31"/>
        <v>0</v>
      </c>
      <c r="N71" s="163">
        <f t="shared" si="31"/>
        <v>306</v>
      </c>
      <c r="O71" s="643">
        <f t="shared" si="31"/>
        <v>18</v>
      </c>
      <c r="P71" s="646">
        <f t="shared" si="31"/>
        <v>6</v>
      </c>
      <c r="Q71" s="645">
        <f t="shared" si="31"/>
        <v>4</v>
      </c>
      <c r="R71" s="163">
        <f t="shared" si="31"/>
        <v>4</v>
      </c>
      <c r="S71" s="163">
        <f t="shared" si="31"/>
        <v>0</v>
      </c>
      <c r="T71" s="163">
        <f t="shared" si="31"/>
        <v>0</v>
      </c>
      <c r="U71" s="644">
        <f t="shared" si="30"/>
        <v>0</v>
      </c>
      <c r="V71" s="645">
        <f t="shared" si="30"/>
        <v>2</v>
      </c>
      <c r="W71" s="163">
        <f t="shared" si="30"/>
        <v>2</v>
      </c>
      <c r="X71" s="163">
        <f t="shared" si="30"/>
        <v>0</v>
      </c>
      <c r="Y71" s="163">
        <f t="shared" si="30"/>
        <v>0</v>
      </c>
      <c r="Z71" s="643">
        <f t="shared" si="30"/>
        <v>0</v>
      </c>
      <c r="AA71" s="646">
        <f t="shared" si="30"/>
        <v>1</v>
      </c>
      <c r="AB71" s="645">
        <f t="shared" si="30"/>
        <v>1</v>
      </c>
      <c r="AC71" s="163">
        <f t="shared" si="30"/>
        <v>0</v>
      </c>
      <c r="AD71" s="163">
        <f t="shared" si="30"/>
        <v>0</v>
      </c>
      <c r="AE71" s="163">
        <f t="shared" si="30"/>
        <v>1</v>
      </c>
      <c r="AF71" s="644">
        <f t="shared" si="30"/>
        <v>0</v>
      </c>
      <c r="AG71" s="645">
        <f t="shared" si="30"/>
        <v>0</v>
      </c>
      <c r="AH71" s="163">
        <f t="shared" si="30"/>
        <v>0</v>
      </c>
      <c r="AI71" s="163">
        <f t="shared" si="24"/>
        <v>0</v>
      </c>
      <c r="AJ71" s="163">
        <f t="shared" si="24"/>
        <v>0</v>
      </c>
      <c r="AK71" s="643">
        <f t="shared" si="24"/>
        <v>0</v>
      </c>
      <c r="AL71" s="646">
        <f t="shared" si="24"/>
        <v>29</v>
      </c>
      <c r="AM71" s="645">
        <f t="shared" si="24"/>
        <v>24</v>
      </c>
      <c r="AN71" s="163">
        <f t="shared" si="24"/>
        <v>23</v>
      </c>
      <c r="AO71" s="163">
        <f t="shared" si="24"/>
        <v>0</v>
      </c>
      <c r="AP71" s="163">
        <f t="shared" si="24"/>
        <v>1</v>
      </c>
      <c r="AQ71" s="644">
        <f t="shared" si="24"/>
        <v>0</v>
      </c>
      <c r="AR71" s="645">
        <f t="shared" si="24"/>
        <v>5</v>
      </c>
      <c r="AS71" s="163">
        <f t="shared" si="24"/>
        <v>3</v>
      </c>
      <c r="AT71" s="163">
        <f t="shared" si="24"/>
        <v>0</v>
      </c>
      <c r="AU71" s="163">
        <f t="shared" si="24"/>
        <v>2</v>
      </c>
      <c r="AV71" s="643">
        <f t="shared" si="24"/>
        <v>0</v>
      </c>
      <c r="AW71" s="646">
        <f t="shared" si="24"/>
        <v>17</v>
      </c>
      <c r="AX71" s="645">
        <f t="shared" si="35"/>
        <v>13</v>
      </c>
      <c r="AY71" s="163">
        <f t="shared" si="35"/>
        <v>10</v>
      </c>
      <c r="AZ71" s="163">
        <f t="shared" si="35"/>
        <v>0</v>
      </c>
      <c r="BA71" s="163">
        <f t="shared" si="35"/>
        <v>3</v>
      </c>
      <c r="BB71" s="644">
        <f t="shared" si="35"/>
        <v>0</v>
      </c>
      <c r="BC71" s="645">
        <f t="shared" si="35"/>
        <v>4</v>
      </c>
      <c r="BD71" s="163">
        <f t="shared" si="35"/>
        <v>4</v>
      </c>
      <c r="BE71" s="163">
        <f t="shared" si="35"/>
        <v>0</v>
      </c>
      <c r="BF71" s="163">
        <f t="shared" si="35"/>
        <v>0</v>
      </c>
      <c r="BG71" s="643">
        <f t="shared" si="35"/>
        <v>0</v>
      </c>
      <c r="BH71" s="646">
        <f t="shared" si="35"/>
        <v>18</v>
      </c>
      <c r="BI71" s="645">
        <f t="shared" si="35"/>
        <v>16</v>
      </c>
      <c r="BJ71" s="163">
        <f t="shared" si="35"/>
        <v>16</v>
      </c>
      <c r="BK71" s="163">
        <f t="shared" si="35"/>
        <v>0</v>
      </c>
      <c r="BL71" s="163">
        <f t="shared" si="35"/>
        <v>0</v>
      </c>
      <c r="BM71" s="644">
        <f t="shared" si="35"/>
        <v>0</v>
      </c>
      <c r="BN71" s="645">
        <f t="shared" si="35"/>
        <v>2</v>
      </c>
      <c r="BO71" s="163">
        <f t="shared" si="35"/>
        <v>1</v>
      </c>
      <c r="BP71" s="163">
        <f t="shared" si="35"/>
        <v>0</v>
      </c>
      <c r="BQ71" s="163">
        <f t="shared" si="35"/>
        <v>1</v>
      </c>
      <c r="BR71" s="643">
        <f t="shared" si="35"/>
        <v>0</v>
      </c>
      <c r="BS71" s="646">
        <f t="shared" si="35"/>
        <v>35</v>
      </c>
      <c r="BT71" s="645">
        <f t="shared" si="35"/>
        <v>27</v>
      </c>
      <c r="BU71" s="163">
        <f t="shared" si="35"/>
        <v>25</v>
      </c>
      <c r="BV71" s="163">
        <f t="shared" si="35"/>
        <v>0</v>
      </c>
      <c r="BW71" s="163">
        <f t="shared" si="35"/>
        <v>2</v>
      </c>
      <c r="BX71" s="644">
        <f t="shared" si="35"/>
        <v>0</v>
      </c>
      <c r="BY71" s="645">
        <f t="shared" si="35"/>
        <v>8</v>
      </c>
      <c r="BZ71" s="163">
        <f t="shared" si="35"/>
        <v>6</v>
      </c>
      <c r="CA71" s="163">
        <f t="shared" si="35"/>
        <v>0</v>
      </c>
      <c r="CB71" s="163">
        <f t="shared" si="35"/>
        <v>2</v>
      </c>
      <c r="CC71" s="643">
        <f t="shared" si="35"/>
        <v>0</v>
      </c>
      <c r="CD71" s="646">
        <f t="shared" si="35"/>
        <v>3</v>
      </c>
      <c r="CE71" s="645">
        <f t="shared" si="35"/>
        <v>1</v>
      </c>
      <c r="CF71" s="163">
        <f t="shared" si="35"/>
        <v>1</v>
      </c>
      <c r="CG71" s="163">
        <f t="shared" si="35"/>
        <v>0</v>
      </c>
      <c r="CH71" s="163">
        <f t="shared" si="35"/>
        <v>0</v>
      </c>
      <c r="CI71" s="644">
        <f t="shared" si="35"/>
        <v>0</v>
      </c>
      <c r="CJ71" s="645">
        <f t="shared" si="35"/>
        <v>2</v>
      </c>
      <c r="CK71" s="163">
        <f t="shared" si="35"/>
        <v>1</v>
      </c>
      <c r="CL71" s="163">
        <f t="shared" si="35"/>
        <v>0</v>
      </c>
      <c r="CM71" s="163">
        <f t="shared" si="35"/>
        <v>1</v>
      </c>
      <c r="CN71" s="643">
        <f t="shared" si="35"/>
        <v>0</v>
      </c>
      <c r="CO71" s="646">
        <f t="shared" si="35"/>
        <v>5</v>
      </c>
      <c r="CP71" s="645">
        <f t="shared" si="35"/>
        <v>2</v>
      </c>
      <c r="CQ71" s="163">
        <f t="shared" si="35"/>
        <v>2</v>
      </c>
      <c r="CR71" s="163">
        <f t="shared" si="35"/>
        <v>0</v>
      </c>
      <c r="CS71" s="163">
        <f t="shared" si="35"/>
        <v>0</v>
      </c>
      <c r="CT71" s="644">
        <f t="shared" si="35"/>
        <v>0</v>
      </c>
      <c r="CU71" s="645">
        <f t="shared" si="35"/>
        <v>3</v>
      </c>
      <c r="CV71" s="163">
        <f t="shared" si="35"/>
        <v>3</v>
      </c>
      <c r="CW71" s="163">
        <f t="shared" si="35"/>
        <v>0</v>
      </c>
      <c r="CX71" s="163">
        <f t="shared" si="35"/>
        <v>0</v>
      </c>
      <c r="CY71" s="643">
        <f t="shared" si="35"/>
        <v>0</v>
      </c>
      <c r="CZ71" s="646">
        <f t="shared" si="35"/>
        <v>0</v>
      </c>
      <c r="DA71" s="645">
        <f t="shared" si="35"/>
        <v>0</v>
      </c>
      <c r="DB71" s="163">
        <f t="shared" si="35"/>
        <v>0</v>
      </c>
      <c r="DC71" s="163">
        <f t="shared" si="35"/>
        <v>0</v>
      </c>
      <c r="DD71" s="163">
        <f t="shared" si="35"/>
        <v>0</v>
      </c>
      <c r="DE71" s="644">
        <f t="shared" si="35"/>
        <v>0</v>
      </c>
      <c r="DF71" s="645">
        <f t="shared" si="35"/>
        <v>0</v>
      </c>
      <c r="DG71" s="163">
        <f t="shared" si="35"/>
        <v>0</v>
      </c>
      <c r="DH71" s="163">
        <f t="shared" si="35"/>
        <v>0</v>
      </c>
      <c r="DI71" s="163">
        <f t="shared" si="35"/>
        <v>0</v>
      </c>
      <c r="DJ71" s="643">
        <f t="shared" si="34"/>
        <v>0</v>
      </c>
      <c r="DK71" s="646">
        <f t="shared" si="34"/>
        <v>0</v>
      </c>
      <c r="DL71" s="645">
        <f t="shared" si="34"/>
        <v>0</v>
      </c>
      <c r="DM71" s="163">
        <f t="shared" si="34"/>
        <v>0</v>
      </c>
      <c r="DN71" s="163">
        <f t="shared" si="34"/>
        <v>0</v>
      </c>
      <c r="DO71" s="163">
        <f t="shared" si="34"/>
        <v>0</v>
      </c>
      <c r="DP71" s="644">
        <f t="shared" si="34"/>
        <v>0</v>
      </c>
      <c r="DQ71" s="645">
        <f t="shared" si="34"/>
        <v>1</v>
      </c>
      <c r="DR71" s="163">
        <f t="shared" si="34"/>
        <v>1</v>
      </c>
      <c r="DS71" s="163">
        <f t="shared" si="34"/>
        <v>0</v>
      </c>
      <c r="DT71" s="163">
        <f t="shared" si="34"/>
        <v>0</v>
      </c>
      <c r="DU71" s="643">
        <f t="shared" si="34"/>
        <v>0</v>
      </c>
      <c r="DW71" s="646">
        <f t="shared" si="15"/>
        <v>85</v>
      </c>
      <c r="DX71" s="645">
        <f t="shared" si="15"/>
        <v>64</v>
      </c>
      <c r="DY71" s="163">
        <f t="shared" si="15"/>
        <v>58</v>
      </c>
      <c r="DZ71" s="163">
        <f t="shared" si="15"/>
        <v>0</v>
      </c>
      <c r="EA71" s="163">
        <f t="shared" si="15"/>
        <v>6</v>
      </c>
      <c r="EB71" s="644">
        <f t="shared" si="15"/>
        <v>0</v>
      </c>
      <c r="EC71" s="645">
        <f t="shared" si="15"/>
        <v>22</v>
      </c>
      <c r="ED71" s="163">
        <f t="shared" si="15"/>
        <v>18</v>
      </c>
      <c r="EE71" s="163">
        <f t="shared" si="15"/>
        <v>0</v>
      </c>
      <c r="EF71" s="163">
        <f t="shared" si="14"/>
        <v>4</v>
      </c>
      <c r="EG71" s="643">
        <f t="shared" si="14"/>
        <v>0</v>
      </c>
      <c r="EH71" s="646">
        <f t="shared" si="29"/>
        <v>29</v>
      </c>
      <c r="EI71" s="645">
        <f t="shared" si="29"/>
        <v>24</v>
      </c>
      <c r="EJ71" s="163">
        <f t="shared" si="27"/>
        <v>23</v>
      </c>
      <c r="EK71" s="163">
        <f t="shared" si="27"/>
        <v>0</v>
      </c>
      <c r="EL71" s="163">
        <f t="shared" si="27"/>
        <v>1</v>
      </c>
      <c r="EM71" s="644">
        <f t="shared" si="27"/>
        <v>0</v>
      </c>
      <c r="EN71" s="645">
        <f t="shared" si="27"/>
        <v>5</v>
      </c>
      <c r="EO71" s="163">
        <f t="shared" si="27"/>
        <v>3</v>
      </c>
      <c r="EP71" s="163">
        <f t="shared" si="27"/>
        <v>0</v>
      </c>
      <c r="EQ71" s="163">
        <f t="shared" si="27"/>
        <v>2</v>
      </c>
      <c r="ER71" s="643">
        <f t="shared" si="27"/>
        <v>0</v>
      </c>
    </row>
    <row r="72" spans="1:148">
      <c r="A72" s="654" t="s">
        <v>234</v>
      </c>
      <c r="B72" s="658">
        <v>43709</v>
      </c>
      <c r="C72" s="659">
        <v>2019</v>
      </c>
      <c r="D72" s="646">
        <f t="shared" si="10"/>
        <v>219590</v>
      </c>
      <c r="E72" s="646">
        <f t="shared" si="31"/>
        <v>3149</v>
      </c>
      <c r="F72" s="645">
        <f t="shared" si="31"/>
        <v>2181</v>
      </c>
      <c r="G72" s="163">
        <f t="shared" si="31"/>
        <v>1844</v>
      </c>
      <c r="H72" s="163">
        <f t="shared" si="31"/>
        <v>0</v>
      </c>
      <c r="I72" s="163">
        <f t="shared" si="31"/>
        <v>337</v>
      </c>
      <c r="J72" s="644">
        <f t="shared" si="31"/>
        <v>0</v>
      </c>
      <c r="K72" s="645">
        <f t="shared" si="31"/>
        <v>968</v>
      </c>
      <c r="L72" s="163">
        <f t="shared" si="31"/>
        <v>644</v>
      </c>
      <c r="M72" s="163">
        <f t="shared" si="31"/>
        <v>0</v>
      </c>
      <c r="N72" s="163">
        <f t="shared" si="31"/>
        <v>306</v>
      </c>
      <c r="O72" s="643">
        <f t="shared" si="31"/>
        <v>18</v>
      </c>
      <c r="P72" s="646">
        <f t="shared" si="31"/>
        <v>6</v>
      </c>
      <c r="Q72" s="645">
        <f t="shared" si="31"/>
        <v>4</v>
      </c>
      <c r="R72" s="163">
        <f t="shared" si="31"/>
        <v>4</v>
      </c>
      <c r="S72" s="163">
        <f t="shared" si="31"/>
        <v>0</v>
      </c>
      <c r="T72" s="163">
        <f t="shared" si="31"/>
        <v>0</v>
      </c>
      <c r="U72" s="644">
        <f t="shared" si="30"/>
        <v>0</v>
      </c>
      <c r="V72" s="645">
        <f t="shared" si="30"/>
        <v>2</v>
      </c>
      <c r="W72" s="163">
        <f t="shared" si="30"/>
        <v>2</v>
      </c>
      <c r="X72" s="163">
        <f t="shared" si="30"/>
        <v>0</v>
      </c>
      <c r="Y72" s="163">
        <f t="shared" si="30"/>
        <v>0</v>
      </c>
      <c r="Z72" s="643">
        <f t="shared" si="30"/>
        <v>0</v>
      </c>
      <c r="AA72" s="646">
        <f t="shared" si="30"/>
        <v>1</v>
      </c>
      <c r="AB72" s="645">
        <f t="shared" si="30"/>
        <v>1</v>
      </c>
      <c r="AC72" s="163">
        <f t="shared" si="30"/>
        <v>0</v>
      </c>
      <c r="AD72" s="163">
        <f t="shared" si="30"/>
        <v>0</v>
      </c>
      <c r="AE72" s="163">
        <f t="shared" si="30"/>
        <v>1</v>
      </c>
      <c r="AF72" s="644">
        <f t="shared" si="30"/>
        <v>0</v>
      </c>
      <c r="AG72" s="645">
        <f t="shared" si="30"/>
        <v>0</v>
      </c>
      <c r="AH72" s="163">
        <f t="shared" si="30"/>
        <v>0</v>
      </c>
      <c r="AI72" s="163">
        <f t="shared" si="24"/>
        <v>0</v>
      </c>
      <c r="AJ72" s="163">
        <f t="shared" si="24"/>
        <v>0</v>
      </c>
      <c r="AK72" s="643">
        <f t="shared" si="24"/>
        <v>0</v>
      </c>
      <c r="AL72" s="646">
        <f t="shared" si="24"/>
        <v>29</v>
      </c>
      <c r="AM72" s="645">
        <f t="shared" si="24"/>
        <v>24</v>
      </c>
      <c r="AN72" s="163">
        <f t="shared" si="24"/>
        <v>23</v>
      </c>
      <c r="AO72" s="163">
        <f t="shared" si="24"/>
        <v>0</v>
      </c>
      <c r="AP72" s="163">
        <f t="shared" si="24"/>
        <v>1</v>
      </c>
      <c r="AQ72" s="644">
        <f t="shared" si="24"/>
        <v>0</v>
      </c>
      <c r="AR72" s="645">
        <f t="shared" si="24"/>
        <v>5</v>
      </c>
      <c r="AS72" s="163">
        <f t="shared" si="24"/>
        <v>3</v>
      </c>
      <c r="AT72" s="163">
        <f t="shared" si="24"/>
        <v>0</v>
      </c>
      <c r="AU72" s="163">
        <f t="shared" si="24"/>
        <v>2</v>
      </c>
      <c r="AV72" s="643">
        <f t="shared" si="24"/>
        <v>0</v>
      </c>
      <c r="AW72" s="646">
        <f t="shared" si="24"/>
        <v>17</v>
      </c>
      <c r="AX72" s="645">
        <f t="shared" si="35"/>
        <v>13</v>
      </c>
      <c r="AY72" s="163">
        <f t="shared" si="35"/>
        <v>10</v>
      </c>
      <c r="AZ72" s="163">
        <f t="shared" si="35"/>
        <v>0</v>
      </c>
      <c r="BA72" s="163">
        <f t="shared" si="35"/>
        <v>3</v>
      </c>
      <c r="BB72" s="644">
        <f t="shared" si="35"/>
        <v>0</v>
      </c>
      <c r="BC72" s="645">
        <f t="shared" si="35"/>
        <v>4</v>
      </c>
      <c r="BD72" s="163">
        <f t="shared" si="35"/>
        <v>4</v>
      </c>
      <c r="BE72" s="163">
        <f t="shared" si="35"/>
        <v>0</v>
      </c>
      <c r="BF72" s="163">
        <f t="shared" si="35"/>
        <v>0</v>
      </c>
      <c r="BG72" s="643">
        <f t="shared" si="35"/>
        <v>0</v>
      </c>
      <c r="BH72" s="646">
        <f t="shared" si="35"/>
        <v>18</v>
      </c>
      <c r="BI72" s="645">
        <f t="shared" si="35"/>
        <v>16</v>
      </c>
      <c r="BJ72" s="163">
        <f t="shared" si="35"/>
        <v>16</v>
      </c>
      <c r="BK72" s="163">
        <f t="shared" si="35"/>
        <v>0</v>
      </c>
      <c r="BL72" s="163">
        <f t="shared" si="35"/>
        <v>0</v>
      </c>
      <c r="BM72" s="644">
        <f t="shared" si="35"/>
        <v>0</v>
      </c>
      <c r="BN72" s="645">
        <f t="shared" si="35"/>
        <v>2</v>
      </c>
      <c r="BO72" s="163">
        <f t="shared" si="35"/>
        <v>1</v>
      </c>
      <c r="BP72" s="163">
        <f t="shared" si="35"/>
        <v>0</v>
      </c>
      <c r="BQ72" s="163">
        <f t="shared" si="35"/>
        <v>1</v>
      </c>
      <c r="BR72" s="643">
        <f t="shared" si="35"/>
        <v>0</v>
      </c>
      <c r="BS72" s="646">
        <f t="shared" si="35"/>
        <v>35</v>
      </c>
      <c r="BT72" s="645">
        <f t="shared" si="35"/>
        <v>27</v>
      </c>
      <c r="BU72" s="163">
        <f t="shared" si="35"/>
        <v>25</v>
      </c>
      <c r="BV72" s="163">
        <f t="shared" si="35"/>
        <v>0</v>
      </c>
      <c r="BW72" s="163">
        <f t="shared" si="35"/>
        <v>2</v>
      </c>
      <c r="BX72" s="644">
        <f t="shared" si="35"/>
        <v>0</v>
      </c>
      <c r="BY72" s="645">
        <f t="shared" si="35"/>
        <v>8</v>
      </c>
      <c r="BZ72" s="163">
        <f t="shared" si="35"/>
        <v>6</v>
      </c>
      <c r="CA72" s="163">
        <f t="shared" si="35"/>
        <v>0</v>
      </c>
      <c r="CB72" s="163">
        <f t="shared" si="35"/>
        <v>2</v>
      </c>
      <c r="CC72" s="643">
        <f t="shared" si="35"/>
        <v>0</v>
      </c>
      <c r="CD72" s="646">
        <f t="shared" si="35"/>
        <v>3</v>
      </c>
      <c r="CE72" s="645">
        <f t="shared" si="35"/>
        <v>1</v>
      </c>
      <c r="CF72" s="163">
        <f t="shared" si="35"/>
        <v>1</v>
      </c>
      <c r="CG72" s="163">
        <f t="shared" si="35"/>
        <v>0</v>
      </c>
      <c r="CH72" s="163">
        <f t="shared" si="35"/>
        <v>0</v>
      </c>
      <c r="CI72" s="644">
        <f t="shared" si="35"/>
        <v>0</v>
      </c>
      <c r="CJ72" s="645">
        <f t="shared" si="35"/>
        <v>2</v>
      </c>
      <c r="CK72" s="163">
        <f t="shared" si="35"/>
        <v>1</v>
      </c>
      <c r="CL72" s="163">
        <f t="shared" si="35"/>
        <v>0</v>
      </c>
      <c r="CM72" s="163">
        <f t="shared" si="35"/>
        <v>1</v>
      </c>
      <c r="CN72" s="643">
        <f t="shared" si="35"/>
        <v>0</v>
      </c>
      <c r="CO72" s="646">
        <f t="shared" si="35"/>
        <v>5</v>
      </c>
      <c r="CP72" s="645">
        <f t="shared" si="35"/>
        <v>2</v>
      </c>
      <c r="CQ72" s="163">
        <f t="shared" si="35"/>
        <v>2</v>
      </c>
      <c r="CR72" s="163">
        <f t="shared" si="35"/>
        <v>0</v>
      </c>
      <c r="CS72" s="163">
        <f t="shared" si="35"/>
        <v>0</v>
      </c>
      <c r="CT72" s="644">
        <f t="shared" si="35"/>
        <v>0</v>
      </c>
      <c r="CU72" s="645">
        <f t="shared" si="35"/>
        <v>3</v>
      </c>
      <c r="CV72" s="163">
        <f t="shared" si="35"/>
        <v>3</v>
      </c>
      <c r="CW72" s="163">
        <f t="shared" si="35"/>
        <v>0</v>
      </c>
      <c r="CX72" s="163">
        <f t="shared" si="35"/>
        <v>0</v>
      </c>
      <c r="CY72" s="643">
        <f t="shared" si="35"/>
        <v>0</v>
      </c>
      <c r="CZ72" s="646">
        <f t="shared" si="35"/>
        <v>0</v>
      </c>
      <c r="DA72" s="645">
        <f t="shared" si="35"/>
        <v>0</v>
      </c>
      <c r="DB72" s="163">
        <f t="shared" si="35"/>
        <v>0</v>
      </c>
      <c r="DC72" s="163">
        <f t="shared" si="35"/>
        <v>0</v>
      </c>
      <c r="DD72" s="163">
        <f t="shared" si="35"/>
        <v>0</v>
      </c>
      <c r="DE72" s="644">
        <f t="shared" si="35"/>
        <v>0</v>
      </c>
      <c r="DF72" s="645">
        <f t="shared" si="35"/>
        <v>0</v>
      </c>
      <c r="DG72" s="163">
        <f t="shared" si="35"/>
        <v>0</v>
      </c>
      <c r="DH72" s="163">
        <f t="shared" si="35"/>
        <v>0</v>
      </c>
      <c r="DI72" s="163">
        <f t="shared" si="35"/>
        <v>0</v>
      </c>
      <c r="DJ72" s="643">
        <f t="shared" si="34"/>
        <v>0</v>
      </c>
      <c r="DK72" s="646">
        <f t="shared" si="34"/>
        <v>0</v>
      </c>
      <c r="DL72" s="645">
        <f t="shared" si="34"/>
        <v>0</v>
      </c>
      <c r="DM72" s="163">
        <f t="shared" si="34"/>
        <v>0</v>
      </c>
      <c r="DN72" s="163">
        <f t="shared" si="34"/>
        <v>0</v>
      </c>
      <c r="DO72" s="163">
        <f t="shared" si="34"/>
        <v>0</v>
      </c>
      <c r="DP72" s="644">
        <f t="shared" si="34"/>
        <v>0</v>
      </c>
      <c r="DQ72" s="645">
        <f t="shared" si="34"/>
        <v>1</v>
      </c>
      <c r="DR72" s="163">
        <f t="shared" si="34"/>
        <v>1</v>
      </c>
      <c r="DS72" s="163">
        <f t="shared" si="34"/>
        <v>0</v>
      </c>
      <c r="DT72" s="163">
        <f t="shared" si="34"/>
        <v>0</v>
      </c>
      <c r="DU72" s="643">
        <f t="shared" si="34"/>
        <v>0</v>
      </c>
      <c r="DW72" s="646">
        <f t="shared" si="15"/>
        <v>85</v>
      </c>
      <c r="DX72" s="645">
        <f t="shared" si="15"/>
        <v>64</v>
      </c>
      <c r="DY72" s="163">
        <f t="shared" si="15"/>
        <v>58</v>
      </c>
      <c r="DZ72" s="163">
        <f t="shared" si="15"/>
        <v>0</v>
      </c>
      <c r="EA72" s="163">
        <f t="shared" si="15"/>
        <v>6</v>
      </c>
      <c r="EB72" s="644">
        <f t="shared" si="15"/>
        <v>0</v>
      </c>
      <c r="EC72" s="645">
        <f t="shared" si="15"/>
        <v>22</v>
      </c>
      <c r="ED72" s="163">
        <f t="shared" si="15"/>
        <v>18</v>
      </c>
      <c r="EE72" s="163">
        <f t="shared" si="15"/>
        <v>0</v>
      </c>
      <c r="EF72" s="163">
        <f t="shared" si="14"/>
        <v>4</v>
      </c>
      <c r="EG72" s="643">
        <f t="shared" si="14"/>
        <v>0</v>
      </c>
      <c r="EH72" s="646">
        <f t="shared" si="29"/>
        <v>29</v>
      </c>
      <c r="EI72" s="645">
        <f t="shared" si="29"/>
        <v>24</v>
      </c>
      <c r="EJ72" s="163">
        <f t="shared" si="27"/>
        <v>23</v>
      </c>
      <c r="EK72" s="163">
        <f t="shared" si="27"/>
        <v>0</v>
      </c>
      <c r="EL72" s="163">
        <f t="shared" si="27"/>
        <v>1</v>
      </c>
      <c r="EM72" s="644">
        <f t="shared" si="27"/>
        <v>0</v>
      </c>
      <c r="EN72" s="645">
        <f t="shared" si="27"/>
        <v>5</v>
      </c>
      <c r="EO72" s="163">
        <f t="shared" si="27"/>
        <v>3</v>
      </c>
      <c r="EP72" s="163">
        <f t="shared" si="27"/>
        <v>0</v>
      </c>
      <c r="EQ72" s="163">
        <f t="shared" si="27"/>
        <v>2</v>
      </c>
      <c r="ER72" s="643">
        <f t="shared" si="27"/>
        <v>0</v>
      </c>
    </row>
    <row r="73" spans="1:148">
      <c r="A73" s="654" t="s">
        <v>235</v>
      </c>
      <c r="B73" s="658">
        <v>43739</v>
      </c>
      <c r="C73" s="659">
        <v>2019</v>
      </c>
      <c r="D73" s="646">
        <f t="shared" si="10"/>
        <v>184737</v>
      </c>
      <c r="E73" s="646">
        <f t="shared" si="31"/>
        <v>2278</v>
      </c>
      <c r="F73" s="645">
        <f t="shared" si="31"/>
        <v>1539</v>
      </c>
      <c r="G73" s="163">
        <f t="shared" si="31"/>
        <v>1194</v>
      </c>
      <c r="H73" s="163">
        <f t="shared" si="31"/>
        <v>0</v>
      </c>
      <c r="I73" s="163">
        <f t="shared" si="31"/>
        <v>345</v>
      </c>
      <c r="J73" s="644">
        <f t="shared" si="31"/>
        <v>0</v>
      </c>
      <c r="K73" s="645">
        <f t="shared" si="31"/>
        <v>739</v>
      </c>
      <c r="L73" s="163">
        <f t="shared" si="31"/>
        <v>442</v>
      </c>
      <c r="M73" s="163">
        <f t="shared" si="31"/>
        <v>0</v>
      </c>
      <c r="N73" s="163">
        <f t="shared" si="31"/>
        <v>284</v>
      </c>
      <c r="O73" s="643">
        <f t="shared" si="31"/>
        <v>13</v>
      </c>
      <c r="P73" s="646">
        <f t="shared" si="31"/>
        <v>7</v>
      </c>
      <c r="Q73" s="645">
        <f t="shared" si="31"/>
        <v>6</v>
      </c>
      <c r="R73" s="163">
        <f t="shared" si="31"/>
        <v>4</v>
      </c>
      <c r="S73" s="163">
        <f t="shared" si="31"/>
        <v>0</v>
      </c>
      <c r="T73" s="163">
        <f t="shared" si="31"/>
        <v>2</v>
      </c>
      <c r="U73" s="644">
        <f t="shared" si="30"/>
        <v>0</v>
      </c>
      <c r="V73" s="645">
        <f t="shared" si="30"/>
        <v>1</v>
      </c>
      <c r="W73" s="163">
        <f t="shared" si="30"/>
        <v>0</v>
      </c>
      <c r="X73" s="163">
        <f t="shared" si="30"/>
        <v>0</v>
      </c>
      <c r="Y73" s="163">
        <f t="shared" si="30"/>
        <v>1</v>
      </c>
      <c r="Z73" s="643">
        <f t="shared" si="30"/>
        <v>0</v>
      </c>
      <c r="AA73" s="646">
        <f t="shared" si="30"/>
        <v>0</v>
      </c>
      <c r="AB73" s="645">
        <f t="shared" si="30"/>
        <v>0</v>
      </c>
      <c r="AC73" s="163">
        <f t="shared" si="30"/>
        <v>0</v>
      </c>
      <c r="AD73" s="163">
        <f t="shared" si="30"/>
        <v>0</v>
      </c>
      <c r="AE73" s="163">
        <f t="shared" si="30"/>
        <v>0</v>
      </c>
      <c r="AF73" s="644">
        <f t="shared" si="30"/>
        <v>0</v>
      </c>
      <c r="AG73" s="645">
        <f t="shared" si="30"/>
        <v>0</v>
      </c>
      <c r="AH73" s="163">
        <f t="shared" si="30"/>
        <v>0</v>
      </c>
      <c r="AI73" s="163">
        <f t="shared" si="24"/>
        <v>0</v>
      </c>
      <c r="AJ73" s="163">
        <f t="shared" si="24"/>
        <v>0</v>
      </c>
      <c r="AK73" s="643">
        <f t="shared" si="24"/>
        <v>0</v>
      </c>
      <c r="AL73" s="646">
        <f t="shared" si="24"/>
        <v>29</v>
      </c>
      <c r="AM73" s="645">
        <f t="shared" si="24"/>
        <v>21</v>
      </c>
      <c r="AN73" s="163">
        <f t="shared" si="24"/>
        <v>18</v>
      </c>
      <c r="AO73" s="163">
        <f t="shared" si="24"/>
        <v>0</v>
      </c>
      <c r="AP73" s="163">
        <f t="shared" si="24"/>
        <v>3</v>
      </c>
      <c r="AQ73" s="644">
        <f t="shared" si="24"/>
        <v>0</v>
      </c>
      <c r="AR73" s="645">
        <f t="shared" si="24"/>
        <v>8</v>
      </c>
      <c r="AS73" s="163">
        <f t="shared" si="24"/>
        <v>6</v>
      </c>
      <c r="AT73" s="163">
        <f t="shared" si="24"/>
        <v>0</v>
      </c>
      <c r="AU73" s="163">
        <f t="shared" si="24"/>
        <v>2</v>
      </c>
      <c r="AV73" s="643">
        <f t="shared" si="24"/>
        <v>0</v>
      </c>
      <c r="AW73" s="646">
        <f t="shared" si="24"/>
        <v>10</v>
      </c>
      <c r="AX73" s="645">
        <f t="shared" si="35"/>
        <v>8</v>
      </c>
      <c r="AY73" s="163">
        <f t="shared" si="35"/>
        <v>7</v>
      </c>
      <c r="AZ73" s="163">
        <f t="shared" si="35"/>
        <v>0</v>
      </c>
      <c r="BA73" s="163">
        <f t="shared" si="35"/>
        <v>1</v>
      </c>
      <c r="BB73" s="644">
        <f t="shared" si="35"/>
        <v>0</v>
      </c>
      <c r="BC73" s="645">
        <f t="shared" si="35"/>
        <v>2</v>
      </c>
      <c r="BD73" s="163">
        <f t="shared" si="35"/>
        <v>1</v>
      </c>
      <c r="BE73" s="163">
        <f t="shared" si="35"/>
        <v>0</v>
      </c>
      <c r="BF73" s="163">
        <f t="shared" si="35"/>
        <v>1</v>
      </c>
      <c r="BG73" s="643">
        <f t="shared" si="35"/>
        <v>0</v>
      </c>
      <c r="BH73" s="646">
        <f t="shared" si="35"/>
        <v>21</v>
      </c>
      <c r="BI73" s="645">
        <f t="shared" si="35"/>
        <v>18</v>
      </c>
      <c r="BJ73" s="163">
        <f t="shared" si="35"/>
        <v>13</v>
      </c>
      <c r="BK73" s="163">
        <f t="shared" si="35"/>
        <v>0</v>
      </c>
      <c r="BL73" s="163">
        <f t="shared" si="35"/>
        <v>5</v>
      </c>
      <c r="BM73" s="644">
        <f t="shared" si="35"/>
        <v>0</v>
      </c>
      <c r="BN73" s="645">
        <f t="shared" si="35"/>
        <v>3</v>
      </c>
      <c r="BO73" s="163">
        <f t="shared" si="35"/>
        <v>2</v>
      </c>
      <c r="BP73" s="163">
        <f t="shared" si="35"/>
        <v>0</v>
      </c>
      <c r="BQ73" s="163">
        <f t="shared" si="35"/>
        <v>1</v>
      </c>
      <c r="BR73" s="643">
        <f t="shared" si="35"/>
        <v>0</v>
      </c>
      <c r="BS73" s="646">
        <f t="shared" si="35"/>
        <v>32</v>
      </c>
      <c r="BT73" s="645">
        <f t="shared" si="35"/>
        <v>25</v>
      </c>
      <c r="BU73" s="163">
        <f t="shared" si="35"/>
        <v>12</v>
      </c>
      <c r="BV73" s="163">
        <f t="shared" si="35"/>
        <v>0</v>
      </c>
      <c r="BW73" s="163">
        <f t="shared" si="35"/>
        <v>13</v>
      </c>
      <c r="BX73" s="644">
        <f t="shared" si="35"/>
        <v>0</v>
      </c>
      <c r="BY73" s="645">
        <f t="shared" si="35"/>
        <v>7</v>
      </c>
      <c r="BZ73" s="163">
        <f t="shared" si="35"/>
        <v>5</v>
      </c>
      <c r="CA73" s="163">
        <f t="shared" si="35"/>
        <v>0</v>
      </c>
      <c r="CB73" s="163">
        <f t="shared" si="35"/>
        <v>2</v>
      </c>
      <c r="CC73" s="643">
        <f t="shared" si="35"/>
        <v>0</v>
      </c>
      <c r="CD73" s="646">
        <f t="shared" si="35"/>
        <v>6</v>
      </c>
      <c r="CE73" s="645">
        <f t="shared" si="35"/>
        <v>4</v>
      </c>
      <c r="CF73" s="163">
        <f t="shared" si="35"/>
        <v>3</v>
      </c>
      <c r="CG73" s="163">
        <f t="shared" si="35"/>
        <v>0</v>
      </c>
      <c r="CH73" s="163">
        <f t="shared" si="35"/>
        <v>1</v>
      </c>
      <c r="CI73" s="644">
        <f t="shared" si="35"/>
        <v>0</v>
      </c>
      <c r="CJ73" s="645">
        <f t="shared" si="35"/>
        <v>2</v>
      </c>
      <c r="CK73" s="163">
        <f t="shared" si="35"/>
        <v>2</v>
      </c>
      <c r="CL73" s="163">
        <f t="shared" si="35"/>
        <v>0</v>
      </c>
      <c r="CM73" s="163">
        <f t="shared" si="35"/>
        <v>0</v>
      </c>
      <c r="CN73" s="643">
        <f t="shared" si="35"/>
        <v>0</v>
      </c>
      <c r="CO73" s="646">
        <f t="shared" si="35"/>
        <v>5</v>
      </c>
      <c r="CP73" s="645">
        <f t="shared" si="35"/>
        <v>5</v>
      </c>
      <c r="CQ73" s="163">
        <f t="shared" si="35"/>
        <v>5</v>
      </c>
      <c r="CR73" s="163">
        <f t="shared" si="35"/>
        <v>0</v>
      </c>
      <c r="CS73" s="163">
        <f t="shared" si="35"/>
        <v>0</v>
      </c>
      <c r="CT73" s="644">
        <f t="shared" si="35"/>
        <v>0</v>
      </c>
      <c r="CU73" s="645">
        <f t="shared" si="35"/>
        <v>0</v>
      </c>
      <c r="CV73" s="163">
        <f t="shared" si="35"/>
        <v>0</v>
      </c>
      <c r="CW73" s="163">
        <f t="shared" si="35"/>
        <v>0</v>
      </c>
      <c r="CX73" s="163">
        <f t="shared" si="35"/>
        <v>0</v>
      </c>
      <c r="CY73" s="643">
        <f t="shared" si="35"/>
        <v>0</v>
      </c>
      <c r="CZ73" s="646">
        <f t="shared" si="35"/>
        <v>0</v>
      </c>
      <c r="DA73" s="645">
        <f t="shared" si="35"/>
        <v>0</v>
      </c>
      <c r="DB73" s="163">
        <f t="shared" si="35"/>
        <v>0</v>
      </c>
      <c r="DC73" s="163">
        <f t="shared" si="35"/>
        <v>0</v>
      </c>
      <c r="DD73" s="163">
        <f t="shared" si="35"/>
        <v>0</v>
      </c>
      <c r="DE73" s="644">
        <f t="shared" si="35"/>
        <v>0</v>
      </c>
      <c r="DF73" s="645">
        <f t="shared" si="35"/>
        <v>0</v>
      </c>
      <c r="DG73" s="163">
        <f t="shared" si="35"/>
        <v>0</v>
      </c>
      <c r="DH73" s="163">
        <f t="shared" si="35"/>
        <v>0</v>
      </c>
      <c r="DI73" s="163">
        <f t="shared" ref="DI73:DU86" si="36">SUMIFS(DI$5:DI$36,$B$5:$B$36,$A73)</f>
        <v>0</v>
      </c>
      <c r="DJ73" s="643">
        <f t="shared" si="36"/>
        <v>0</v>
      </c>
      <c r="DK73" s="646">
        <f t="shared" si="36"/>
        <v>0</v>
      </c>
      <c r="DL73" s="645">
        <f t="shared" si="36"/>
        <v>0</v>
      </c>
      <c r="DM73" s="163">
        <f t="shared" si="36"/>
        <v>0</v>
      </c>
      <c r="DN73" s="163">
        <f t="shared" si="36"/>
        <v>0</v>
      </c>
      <c r="DO73" s="163">
        <f t="shared" si="36"/>
        <v>0</v>
      </c>
      <c r="DP73" s="644">
        <f t="shared" si="36"/>
        <v>0</v>
      </c>
      <c r="DQ73" s="645">
        <f t="shared" si="36"/>
        <v>0</v>
      </c>
      <c r="DR73" s="163">
        <f t="shared" si="36"/>
        <v>0</v>
      </c>
      <c r="DS73" s="163">
        <f t="shared" si="36"/>
        <v>0</v>
      </c>
      <c r="DT73" s="163">
        <f t="shared" si="36"/>
        <v>0</v>
      </c>
      <c r="DU73" s="643">
        <f t="shared" si="36"/>
        <v>0</v>
      </c>
      <c r="DW73" s="646">
        <f t="shared" si="15"/>
        <v>81</v>
      </c>
      <c r="DX73" s="645">
        <f t="shared" si="15"/>
        <v>66</v>
      </c>
      <c r="DY73" s="163">
        <f t="shared" si="15"/>
        <v>44</v>
      </c>
      <c r="DZ73" s="163">
        <f t="shared" si="15"/>
        <v>0</v>
      </c>
      <c r="EA73" s="163">
        <f t="shared" si="15"/>
        <v>22</v>
      </c>
      <c r="EB73" s="644">
        <f t="shared" si="15"/>
        <v>0</v>
      </c>
      <c r="EC73" s="645">
        <f t="shared" si="15"/>
        <v>15</v>
      </c>
      <c r="ED73" s="163">
        <f t="shared" si="15"/>
        <v>10</v>
      </c>
      <c r="EE73" s="163">
        <f t="shared" si="15"/>
        <v>0</v>
      </c>
      <c r="EF73" s="163">
        <f t="shared" si="14"/>
        <v>5</v>
      </c>
      <c r="EG73" s="643">
        <f t="shared" si="14"/>
        <v>0</v>
      </c>
      <c r="EH73" s="646">
        <f t="shared" si="29"/>
        <v>29</v>
      </c>
      <c r="EI73" s="645">
        <f t="shared" si="29"/>
        <v>21</v>
      </c>
      <c r="EJ73" s="163">
        <f t="shared" si="27"/>
        <v>18</v>
      </c>
      <c r="EK73" s="163">
        <f t="shared" si="27"/>
        <v>0</v>
      </c>
      <c r="EL73" s="163">
        <f t="shared" si="27"/>
        <v>3</v>
      </c>
      <c r="EM73" s="644">
        <f t="shared" si="27"/>
        <v>0</v>
      </c>
      <c r="EN73" s="645">
        <f t="shared" si="27"/>
        <v>8</v>
      </c>
      <c r="EO73" s="163">
        <f t="shared" si="27"/>
        <v>6</v>
      </c>
      <c r="EP73" s="163">
        <f t="shared" si="27"/>
        <v>0</v>
      </c>
      <c r="EQ73" s="163">
        <f t="shared" si="27"/>
        <v>2</v>
      </c>
      <c r="ER73" s="643">
        <f t="shared" si="27"/>
        <v>0</v>
      </c>
    </row>
    <row r="74" spans="1:148">
      <c r="A74" s="654" t="s">
        <v>235</v>
      </c>
      <c r="B74" s="658">
        <v>43770</v>
      </c>
      <c r="C74" s="659">
        <v>2019</v>
      </c>
      <c r="D74" s="646">
        <f t="shared" si="10"/>
        <v>184737</v>
      </c>
      <c r="E74" s="646">
        <f t="shared" si="31"/>
        <v>2278</v>
      </c>
      <c r="F74" s="645">
        <f t="shared" si="31"/>
        <v>1539</v>
      </c>
      <c r="G74" s="163">
        <f t="shared" si="31"/>
        <v>1194</v>
      </c>
      <c r="H74" s="163">
        <f t="shared" si="31"/>
        <v>0</v>
      </c>
      <c r="I74" s="163">
        <f t="shared" si="31"/>
        <v>345</v>
      </c>
      <c r="J74" s="644">
        <f t="shared" si="31"/>
        <v>0</v>
      </c>
      <c r="K74" s="645">
        <f t="shared" si="31"/>
        <v>739</v>
      </c>
      <c r="L74" s="163">
        <f t="shared" si="31"/>
        <v>442</v>
      </c>
      <c r="M74" s="163">
        <f t="shared" si="31"/>
        <v>0</v>
      </c>
      <c r="N74" s="163">
        <f t="shared" si="31"/>
        <v>284</v>
      </c>
      <c r="O74" s="643">
        <f t="shared" si="31"/>
        <v>13</v>
      </c>
      <c r="P74" s="646">
        <f t="shared" si="31"/>
        <v>7</v>
      </c>
      <c r="Q74" s="645">
        <f t="shared" si="31"/>
        <v>6</v>
      </c>
      <c r="R74" s="163">
        <f t="shared" si="31"/>
        <v>4</v>
      </c>
      <c r="S74" s="163">
        <f t="shared" si="31"/>
        <v>0</v>
      </c>
      <c r="T74" s="163">
        <f t="shared" si="31"/>
        <v>2</v>
      </c>
      <c r="U74" s="644">
        <f t="shared" si="30"/>
        <v>0</v>
      </c>
      <c r="V74" s="645">
        <f t="shared" si="30"/>
        <v>1</v>
      </c>
      <c r="W74" s="163">
        <f t="shared" si="30"/>
        <v>0</v>
      </c>
      <c r="X74" s="163">
        <f t="shared" si="30"/>
        <v>0</v>
      </c>
      <c r="Y74" s="163">
        <f t="shared" si="30"/>
        <v>1</v>
      </c>
      <c r="Z74" s="643">
        <f t="shared" si="30"/>
        <v>0</v>
      </c>
      <c r="AA74" s="646">
        <f t="shared" si="30"/>
        <v>0</v>
      </c>
      <c r="AB74" s="645">
        <f t="shared" si="30"/>
        <v>0</v>
      </c>
      <c r="AC74" s="163">
        <f t="shared" si="30"/>
        <v>0</v>
      </c>
      <c r="AD74" s="163">
        <f t="shared" si="30"/>
        <v>0</v>
      </c>
      <c r="AE74" s="163">
        <f t="shared" si="30"/>
        <v>0</v>
      </c>
      <c r="AF74" s="644">
        <f t="shared" si="30"/>
        <v>0</v>
      </c>
      <c r="AG74" s="645">
        <f t="shared" si="30"/>
        <v>0</v>
      </c>
      <c r="AH74" s="163">
        <f t="shared" si="30"/>
        <v>0</v>
      </c>
      <c r="AI74" s="163">
        <f t="shared" si="24"/>
        <v>0</v>
      </c>
      <c r="AJ74" s="163">
        <f t="shared" si="24"/>
        <v>0</v>
      </c>
      <c r="AK74" s="643">
        <f t="shared" si="24"/>
        <v>0</v>
      </c>
      <c r="AL74" s="646">
        <f t="shared" si="24"/>
        <v>29</v>
      </c>
      <c r="AM74" s="645">
        <f t="shared" si="24"/>
        <v>21</v>
      </c>
      <c r="AN74" s="163">
        <f t="shared" si="24"/>
        <v>18</v>
      </c>
      <c r="AO74" s="163">
        <f t="shared" si="24"/>
        <v>0</v>
      </c>
      <c r="AP74" s="163">
        <f t="shared" si="24"/>
        <v>3</v>
      </c>
      <c r="AQ74" s="644">
        <f t="shared" si="24"/>
        <v>0</v>
      </c>
      <c r="AR74" s="645">
        <f t="shared" si="24"/>
        <v>8</v>
      </c>
      <c r="AS74" s="163">
        <f t="shared" si="24"/>
        <v>6</v>
      </c>
      <c r="AT74" s="163">
        <f t="shared" si="24"/>
        <v>0</v>
      </c>
      <c r="AU74" s="163">
        <f t="shared" si="24"/>
        <v>2</v>
      </c>
      <c r="AV74" s="643">
        <f t="shared" si="24"/>
        <v>0</v>
      </c>
      <c r="AW74" s="646">
        <f t="shared" si="24"/>
        <v>10</v>
      </c>
      <c r="AX74" s="645">
        <f t="shared" ref="AX74:DI82" si="37">SUMIFS(AX$5:AX$36,$B$5:$B$36,$A74)</f>
        <v>8</v>
      </c>
      <c r="AY74" s="163">
        <f t="shared" si="37"/>
        <v>7</v>
      </c>
      <c r="AZ74" s="163">
        <f t="shared" si="37"/>
        <v>0</v>
      </c>
      <c r="BA74" s="163">
        <f t="shared" si="37"/>
        <v>1</v>
      </c>
      <c r="BB74" s="644">
        <f t="shared" si="37"/>
        <v>0</v>
      </c>
      <c r="BC74" s="645">
        <f t="shared" si="37"/>
        <v>2</v>
      </c>
      <c r="BD74" s="163">
        <f t="shared" si="37"/>
        <v>1</v>
      </c>
      <c r="BE74" s="163">
        <f t="shared" si="37"/>
        <v>0</v>
      </c>
      <c r="BF74" s="163">
        <f t="shared" si="37"/>
        <v>1</v>
      </c>
      <c r="BG74" s="643">
        <f t="shared" si="37"/>
        <v>0</v>
      </c>
      <c r="BH74" s="646">
        <f t="shared" si="37"/>
        <v>21</v>
      </c>
      <c r="BI74" s="645">
        <f t="shared" si="37"/>
        <v>18</v>
      </c>
      <c r="BJ74" s="163">
        <f t="shared" si="37"/>
        <v>13</v>
      </c>
      <c r="BK74" s="163">
        <f t="shared" si="37"/>
        <v>0</v>
      </c>
      <c r="BL74" s="163">
        <f t="shared" si="37"/>
        <v>5</v>
      </c>
      <c r="BM74" s="644">
        <f t="shared" si="37"/>
        <v>0</v>
      </c>
      <c r="BN74" s="645">
        <f t="shared" si="37"/>
        <v>3</v>
      </c>
      <c r="BO74" s="163">
        <f t="shared" si="37"/>
        <v>2</v>
      </c>
      <c r="BP74" s="163">
        <f t="shared" si="37"/>
        <v>0</v>
      </c>
      <c r="BQ74" s="163">
        <f t="shared" si="37"/>
        <v>1</v>
      </c>
      <c r="BR74" s="643">
        <f t="shared" si="37"/>
        <v>0</v>
      </c>
      <c r="BS74" s="646">
        <f t="shared" si="37"/>
        <v>32</v>
      </c>
      <c r="BT74" s="645">
        <f t="shared" si="37"/>
        <v>25</v>
      </c>
      <c r="BU74" s="163">
        <f t="shared" si="37"/>
        <v>12</v>
      </c>
      <c r="BV74" s="163">
        <f t="shared" si="37"/>
        <v>0</v>
      </c>
      <c r="BW74" s="163">
        <f t="shared" si="37"/>
        <v>13</v>
      </c>
      <c r="BX74" s="644">
        <f t="shared" si="37"/>
        <v>0</v>
      </c>
      <c r="BY74" s="645">
        <f t="shared" si="37"/>
        <v>7</v>
      </c>
      <c r="BZ74" s="163">
        <f t="shared" si="37"/>
        <v>5</v>
      </c>
      <c r="CA74" s="163">
        <f t="shared" si="37"/>
        <v>0</v>
      </c>
      <c r="CB74" s="163">
        <f t="shared" si="37"/>
        <v>2</v>
      </c>
      <c r="CC74" s="643">
        <f t="shared" si="37"/>
        <v>0</v>
      </c>
      <c r="CD74" s="646">
        <f t="shared" si="37"/>
        <v>6</v>
      </c>
      <c r="CE74" s="645">
        <f t="shared" si="37"/>
        <v>4</v>
      </c>
      <c r="CF74" s="163">
        <f t="shared" si="37"/>
        <v>3</v>
      </c>
      <c r="CG74" s="163">
        <f t="shared" si="37"/>
        <v>0</v>
      </c>
      <c r="CH74" s="163">
        <f t="shared" si="37"/>
        <v>1</v>
      </c>
      <c r="CI74" s="644">
        <f t="shared" si="37"/>
        <v>0</v>
      </c>
      <c r="CJ74" s="645">
        <f t="shared" si="37"/>
        <v>2</v>
      </c>
      <c r="CK74" s="163">
        <f t="shared" si="37"/>
        <v>2</v>
      </c>
      <c r="CL74" s="163">
        <f t="shared" si="37"/>
        <v>0</v>
      </c>
      <c r="CM74" s="163">
        <f t="shared" si="37"/>
        <v>0</v>
      </c>
      <c r="CN74" s="643">
        <f t="shared" si="37"/>
        <v>0</v>
      </c>
      <c r="CO74" s="646">
        <f t="shared" si="37"/>
        <v>5</v>
      </c>
      <c r="CP74" s="645">
        <f t="shared" si="37"/>
        <v>5</v>
      </c>
      <c r="CQ74" s="163">
        <f t="shared" si="37"/>
        <v>5</v>
      </c>
      <c r="CR74" s="163">
        <f t="shared" si="37"/>
        <v>0</v>
      </c>
      <c r="CS74" s="163">
        <f t="shared" si="37"/>
        <v>0</v>
      </c>
      <c r="CT74" s="644">
        <f t="shared" si="37"/>
        <v>0</v>
      </c>
      <c r="CU74" s="645">
        <f t="shared" si="37"/>
        <v>0</v>
      </c>
      <c r="CV74" s="163">
        <f t="shared" si="37"/>
        <v>0</v>
      </c>
      <c r="CW74" s="163">
        <f t="shared" si="37"/>
        <v>0</v>
      </c>
      <c r="CX74" s="163">
        <f t="shared" si="37"/>
        <v>0</v>
      </c>
      <c r="CY74" s="643">
        <f t="shared" si="37"/>
        <v>0</v>
      </c>
      <c r="CZ74" s="646">
        <f t="shared" si="37"/>
        <v>0</v>
      </c>
      <c r="DA74" s="645">
        <f t="shared" si="37"/>
        <v>0</v>
      </c>
      <c r="DB74" s="163">
        <f t="shared" si="37"/>
        <v>0</v>
      </c>
      <c r="DC74" s="163">
        <f t="shared" si="37"/>
        <v>0</v>
      </c>
      <c r="DD74" s="163">
        <f t="shared" si="37"/>
        <v>0</v>
      </c>
      <c r="DE74" s="644">
        <f t="shared" si="37"/>
        <v>0</v>
      </c>
      <c r="DF74" s="645">
        <f t="shared" si="37"/>
        <v>0</v>
      </c>
      <c r="DG74" s="163">
        <f t="shared" si="37"/>
        <v>0</v>
      </c>
      <c r="DH74" s="163">
        <f t="shared" si="37"/>
        <v>0</v>
      </c>
      <c r="DI74" s="163">
        <f t="shared" si="37"/>
        <v>0</v>
      </c>
      <c r="DJ74" s="643">
        <f t="shared" si="36"/>
        <v>0</v>
      </c>
      <c r="DK74" s="646">
        <f t="shared" si="36"/>
        <v>0</v>
      </c>
      <c r="DL74" s="645">
        <f t="shared" si="36"/>
        <v>0</v>
      </c>
      <c r="DM74" s="163">
        <f t="shared" si="36"/>
        <v>0</v>
      </c>
      <c r="DN74" s="163">
        <f t="shared" si="36"/>
        <v>0</v>
      </c>
      <c r="DO74" s="163">
        <f t="shared" si="36"/>
        <v>0</v>
      </c>
      <c r="DP74" s="644">
        <f t="shared" si="36"/>
        <v>0</v>
      </c>
      <c r="DQ74" s="645">
        <f t="shared" si="36"/>
        <v>0</v>
      </c>
      <c r="DR74" s="163">
        <f t="shared" si="36"/>
        <v>0</v>
      </c>
      <c r="DS74" s="163">
        <f t="shared" si="36"/>
        <v>0</v>
      </c>
      <c r="DT74" s="163">
        <f t="shared" si="36"/>
        <v>0</v>
      </c>
      <c r="DU74" s="643">
        <f t="shared" si="36"/>
        <v>0</v>
      </c>
      <c r="DW74" s="646">
        <f t="shared" si="15"/>
        <v>81</v>
      </c>
      <c r="DX74" s="645">
        <f t="shared" si="15"/>
        <v>66</v>
      </c>
      <c r="DY74" s="163">
        <f t="shared" si="15"/>
        <v>44</v>
      </c>
      <c r="DZ74" s="163">
        <f t="shared" ref="DZ74:EG115" si="38">S74+AD74+AZ74+BK74+BV74+CG74+CR74+DC74+DN74</f>
        <v>0</v>
      </c>
      <c r="EA74" s="163">
        <f t="shared" si="38"/>
        <v>22</v>
      </c>
      <c r="EB74" s="644">
        <f t="shared" si="38"/>
        <v>0</v>
      </c>
      <c r="EC74" s="645">
        <f t="shared" si="38"/>
        <v>15</v>
      </c>
      <c r="ED74" s="163">
        <f t="shared" si="38"/>
        <v>10</v>
      </c>
      <c r="EE74" s="163">
        <f t="shared" si="38"/>
        <v>0</v>
      </c>
      <c r="EF74" s="163">
        <f t="shared" si="14"/>
        <v>5</v>
      </c>
      <c r="EG74" s="643">
        <f t="shared" si="14"/>
        <v>0</v>
      </c>
      <c r="EH74" s="646">
        <f t="shared" si="29"/>
        <v>29</v>
      </c>
      <c r="EI74" s="645">
        <f t="shared" si="29"/>
        <v>21</v>
      </c>
      <c r="EJ74" s="163">
        <f t="shared" si="27"/>
        <v>18</v>
      </c>
      <c r="EK74" s="163">
        <f t="shared" si="27"/>
        <v>0</v>
      </c>
      <c r="EL74" s="163">
        <f t="shared" si="27"/>
        <v>3</v>
      </c>
      <c r="EM74" s="644">
        <f t="shared" si="27"/>
        <v>0</v>
      </c>
      <c r="EN74" s="645">
        <f t="shared" si="27"/>
        <v>8</v>
      </c>
      <c r="EO74" s="163">
        <f t="shared" si="27"/>
        <v>6</v>
      </c>
      <c r="EP74" s="163">
        <f t="shared" si="27"/>
        <v>0</v>
      </c>
      <c r="EQ74" s="163">
        <f t="shared" si="27"/>
        <v>2</v>
      </c>
      <c r="ER74" s="643">
        <f t="shared" si="27"/>
        <v>0</v>
      </c>
    </row>
    <row r="75" spans="1:148">
      <c r="A75" s="654" t="s">
        <v>235</v>
      </c>
      <c r="B75" s="658">
        <v>43800</v>
      </c>
      <c r="C75" s="659">
        <v>2019</v>
      </c>
      <c r="D75" s="646">
        <f t="shared" si="10"/>
        <v>184737</v>
      </c>
      <c r="E75" s="646">
        <f t="shared" si="31"/>
        <v>2278</v>
      </c>
      <c r="F75" s="645">
        <f t="shared" si="31"/>
        <v>1539</v>
      </c>
      <c r="G75" s="163">
        <f t="shared" si="31"/>
        <v>1194</v>
      </c>
      <c r="H75" s="163">
        <f t="shared" si="31"/>
        <v>0</v>
      </c>
      <c r="I75" s="163">
        <f t="shared" si="31"/>
        <v>345</v>
      </c>
      <c r="J75" s="644">
        <f t="shared" si="31"/>
        <v>0</v>
      </c>
      <c r="K75" s="645">
        <f t="shared" si="31"/>
        <v>739</v>
      </c>
      <c r="L75" s="163">
        <f t="shared" si="31"/>
        <v>442</v>
      </c>
      <c r="M75" s="163">
        <f t="shared" si="31"/>
        <v>0</v>
      </c>
      <c r="N75" s="163">
        <f t="shared" si="31"/>
        <v>284</v>
      </c>
      <c r="O75" s="643">
        <f t="shared" si="31"/>
        <v>13</v>
      </c>
      <c r="P75" s="646">
        <f t="shared" si="31"/>
        <v>7</v>
      </c>
      <c r="Q75" s="645">
        <f t="shared" si="31"/>
        <v>6</v>
      </c>
      <c r="R75" s="163">
        <f t="shared" si="31"/>
        <v>4</v>
      </c>
      <c r="S75" s="163">
        <f t="shared" si="31"/>
        <v>0</v>
      </c>
      <c r="T75" s="163">
        <f t="shared" si="31"/>
        <v>2</v>
      </c>
      <c r="U75" s="644">
        <f t="shared" si="30"/>
        <v>0</v>
      </c>
      <c r="V75" s="645">
        <f t="shared" si="30"/>
        <v>1</v>
      </c>
      <c r="W75" s="163">
        <f t="shared" si="30"/>
        <v>0</v>
      </c>
      <c r="X75" s="163">
        <f t="shared" si="30"/>
        <v>0</v>
      </c>
      <c r="Y75" s="163">
        <f t="shared" si="30"/>
        <v>1</v>
      </c>
      <c r="Z75" s="643">
        <f t="shared" si="30"/>
        <v>0</v>
      </c>
      <c r="AA75" s="646">
        <f t="shared" si="30"/>
        <v>0</v>
      </c>
      <c r="AB75" s="645">
        <f t="shared" si="30"/>
        <v>0</v>
      </c>
      <c r="AC75" s="163">
        <f t="shared" si="30"/>
        <v>0</v>
      </c>
      <c r="AD75" s="163">
        <f t="shared" si="30"/>
        <v>0</v>
      </c>
      <c r="AE75" s="163">
        <f t="shared" si="30"/>
        <v>0</v>
      </c>
      <c r="AF75" s="644">
        <f t="shared" si="30"/>
        <v>0</v>
      </c>
      <c r="AG75" s="645">
        <f t="shared" si="30"/>
        <v>0</v>
      </c>
      <c r="AH75" s="163">
        <f t="shared" si="30"/>
        <v>0</v>
      </c>
      <c r="AI75" s="163">
        <f t="shared" si="24"/>
        <v>0</v>
      </c>
      <c r="AJ75" s="163">
        <f t="shared" si="24"/>
        <v>0</v>
      </c>
      <c r="AK75" s="643">
        <f t="shared" si="24"/>
        <v>0</v>
      </c>
      <c r="AL75" s="646">
        <f t="shared" ref="AL75:CW82" si="39">SUMIFS(AL$5:AL$36,$B$5:$B$36,$A75)</f>
        <v>29</v>
      </c>
      <c r="AM75" s="645">
        <f t="shared" si="39"/>
        <v>21</v>
      </c>
      <c r="AN75" s="163">
        <f t="shared" si="39"/>
        <v>18</v>
      </c>
      <c r="AO75" s="163">
        <f t="shared" si="39"/>
        <v>0</v>
      </c>
      <c r="AP75" s="163">
        <f t="shared" si="39"/>
        <v>3</v>
      </c>
      <c r="AQ75" s="644">
        <f t="shared" si="39"/>
        <v>0</v>
      </c>
      <c r="AR75" s="645">
        <f t="shared" si="39"/>
        <v>8</v>
      </c>
      <c r="AS75" s="163">
        <f t="shared" si="39"/>
        <v>6</v>
      </c>
      <c r="AT75" s="163">
        <f t="shared" si="39"/>
        <v>0</v>
      </c>
      <c r="AU75" s="163">
        <f t="shared" si="39"/>
        <v>2</v>
      </c>
      <c r="AV75" s="643">
        <f t="shared" si="39"/>
        <v>0</v>
      </c>
      <c r="AW75" s="646">
        <f t="shared" si="39"/>
        <v>10</v>
      </c>
      <c r="AX75" s="645">
        <f t="shared" si="39"/>
        <v>8</v>
      </c>
      <c r="AY75" s="163">
        <f t="shared" si="39"/>
        <v>7</v>
      </c>
      <c r="AZ75" s="163">
        <f t="shared" si="39"/>
        <v>0</v>
      </c>
      <c r="BA75" s="163">
        <f t="shared" si="39"/>
        <v>1</v>
      </c>
      <c r="BB75" s="644">
        <f t="shared" si="39"/>
        <v>0</v>
      </c>
      <c r="BC75" s="645">
        <f t="shared" si="39"/>
        <v>2</v>
      </c>
      <c r="BD75" s="163">
        <f t="shared" si="39"/>
        <v>1</v>
      </c>
      <c r="BE75" s="163">
        <f t="shared" si="39"/>
        <v>0</v>
      </c>
      <c r="BF75" s="163">
        <f t="shared" si="39"/>
        <v>1</v>
      </c>
      <c r="BG75" s="643">
        <f t="shared" si="39"/>
        <v>0</v>
      </c>
      <c r="BH75" s="646">
        <f t="shared" si="39"/>
        <v>21</v>
      </c>
      <c r="BI75" s="645">
        <f t="shared" si="39"/>
        <v>18</v>
      </c>
      <c r="BJ75" s="163">
        <f t="shared" si="39"/>
        <v>13</v>
      </c>
      <c r="BK75" s="163">
        <f t="shared" si="39"/>
        <v>0</v>
      </c>
      <c r="BL75" s="163">
        <f t="shared" si="39"/>
        <v>5</v>
      </c>
      <c r="BM75" s="644">
        <f t="shared" si="39"/>
        <v>0</v>
      </c>
      <c r="BN75" s="645">
        <f t="shared" si="39"/>
        <v>3</v>
      </c>
      <c r="BO75" s="163">
        <f t="shared" si="39"/>
        <v>2</v>
      </c>
      <c r="BP75" s="163">
        <f t="shared" si="39"/>
        <v>0</v>
      </c>
      <c r="BQ75" s="163">
        <f t="shared" si="39"/>
        <v>1</v>
      </c>
      <c r="BR75" s="643">
        <f t="shared" si="39"/>
        <v>0</v>
      </c>
      <c r="BS75" s="646">
        <f t="shared" si="39"/>
        <v>32</v>
      </c>
      <c r="BT75" s="645">
        <f t="shared" si="39"/>
        <v>25</v>
      </c>
      <c r="BU75" s="163">
        <f t="shared" si="39"/>
        <v>12</v>
      </c>
      <c r="BV75" s="163">
        <f t="shared" si="39"/>
        <v>0</v>
      </c>
      <c r="BW75" s="163">
        <f t="shared" si="39"/>
        <v>13</v>
      </c>
      <c r="BX75" s="644">
        <f t="shared" si="39"/>
        <v>0</v>
      </c>
      <c r="BY75" s="645">
        <f t="shared" si="39"/>
        <v>7</v>
      </c>
      <c r="BZ75" s="163">
        <f t="shared" si="39"/>
        <v>5</v>
      </c>
      <c r="CA75" s="163">
        <f t="shared" si="39"/>
        <v>0</v>
      </c>
      <c r="CB75" s="163">
        <f t="shared" si="39"/>
        <v>2</v>
      </c>
      <c r="CC75" s="643">
        <f t="shared" si="39"/>
        <v>0</v>
      </c>
      <c r="CD75" s="646">
        <f t="shared" si="39"/>
        <v>6</v>
      </c>
      <c r="CE75" s="645">
        <f t="shared" si="39"/>
        <v>4</v>
      </c>
      <c r="CF75" s="163">
        <f t="shared" si="39"/>
        <v>3</v>
      </c>
      <c r="CG75" s="163">
        <f t="shared" si="39"/>
        <v>0</v>
      </c>
      <c r="CH75" s="163">
        <f t="shared" si="39"/>
        <v>1</v>
      </c>
      <c r="CI75" s="644">
        <f t="shared" si="39"/>
        <v>0</v>
      </c>
      <c r="CJ75" s="645">
        <f t="shared" si="39"/>
        <v>2</v>
      </c>
      <c r="CK75" s="163">
        <f t="shared" si="39"/>
        <v>2</v>
      </c>
      <c r="CL75" s="163">
        <f t="shared" si="39"/>
        <v>0</v>
      </c>
      <c r="CM75" s="163">
        <f t="shared" si="39"/>
        <v>0</v>
      </c>
      <c r="CN75" s="643">
        <f t="shared" si="39"/>
        <v>0</v>
      </c>
      <c r="CO75" s="646">
        <f t="shared" si="39"/>
        <v>5</v>
      </c>
      <c r="CP75" s="645">
        <f t="shared" si="39"/>
        <v>5</v>
      </c>
      <c r="CQ75" s="163">
        <f t="shared" si="39"/>
        <v>5</v>
      </c>
      <c r="CR75" s="163">
        <f t="shared" si="39"/>
        <v>0</v>
      </c>
      <c r="CS75" s="163">
        <f t="shared" si="39"/>
        <v>0</v>
      </c>
      <c r="CT75" s="644">
        <f t="shared" si="37"/>
        <v>0</v>
      </c>
      <c r="CU75" s="645">
        <f t="shared" si="37"/>
        <v>0</v>
      </c>
      <c r="CV75" s="163">
        <f t="shared" si="37"/>
        <v>0</v>
      </c>
      <c r="CW75" s="163">
        <f t="shared" si="37"/>
        <v>0</v>
      </c>
      <c r="CX75" s="163">
        <f t="shared" si="37"/>
        <v>0</v>
      </c>
      <c r="CY75" s="643">
        <f t="shared" si="37"/>
        <v>0</v>
      </c>
      <c r="CZ75" s="646">
        <f t="shared" si="37"/>
        <v>0</v>
      </c>
      <c r="DA75" s="645">
        <f t="shared" si="37"/>
        <v>0</v>
      </c>
      <c r="DB75" s="163">
        <f t="shared" si="37"/>
        <v>0</v>
      </c>
      <c r="DC75" s="163">
        <f t="shared" si="37"/>
        <v>0</v>
      </c>
      <c r="DD75" s="163">
        <f t="shared" si="37"/>
        <v>0</v>
      </c>
      <c r="DE75" s="644">
        <f t="shared" si="37"/>
        <v>0</v>
      </c>
      <c r="DF75" s="645">
        <f t="shared" si="37"/>
        <v>0</v>
      </c>
      <c r="DG75" s="163">
        <f t="shared" si="37"/>
        <v>0</v>
      </c>
      <c r="DH75" s="163">
        <f t="shared" si="37"/>
        <v>0</v>
      </c>
      <c r="DI75" s="163">
        <f t="shared" si="37"/>
        <v>0</v>
      </c>
      <c r="DJ75" s="643">
        <f t="shared" si="36"/>
        <v>0</v>
      </c>
      <c r="DK75" s="646">
        <f t="shared" si="36"/>
        <v>0</v>
      </c>
      <c r="DL75" s="645">
        <f t="shared" si="36"/>
        <v>0</v>
      </c>
      <c r="DM75" s="163">
        <f t="shared" si="36"/>
        <v>0</v>
      </c>
      <c r="DN75" s="163">
        <f t="shared" si="36"/>
        <v>0</v>
      </c>
      <c r="DO75" s="163">
        <f t="shared" si="36"/>
        <v>0</v>
      </c>
      <c r="DP75" s="644">
        <f t="shared" si="36"/>
        <v>0</v>
      </c>
      <c r="DQ75" s="645">
        <f t="shared" si="36"/>
        <v>0</v>
      </c>
      <c r="DR75" s="163">
        <f t="shared" si="36"/>
        <v>0</v>
      </c>
      <c r="DS75" s="163">
        <f t="shared" si="36"/>
        <v>0</v>
      </c>
      <c r="DT75" s="163">
        <f t="shared" si="36"/>
        <v>0</v>
      </c>
      <c r="DU75" s="643">
        <f t="shared" si="36"/>
        <v>0</v>
      </c>
      <c r="DW75" s="646">
        <f t="shared" ref="DW75:DZ135" si="40">P75+AA75+AW75+BH75+BS75+CD75+CO75+CZ75+DK75</f>
        <v>81</v>
      </c>
      <c r="DX75" s="645">
        <f t="shared" si="40"/>
        <v>66</v>
      </c>
      <c r="DY75" s="163">
        <f t="shared" si="40"/>
        <v>44</v>
      </c>
      <c r="DZ75" s="163">
        <f t="shared" si="38"/>
        <v>0</v>
      </c>
      <c r="EA75" s="163">
        <f t="shared" si="38"/>
        <v>22</v>
      </c>
      <c r="EB75" s="644">
        <f t="shared" si="38"/>
        <v>0</v>
      </c>
      <c r="EC75" s="645">
        <f t="shared" si="38"/>
        <v>15</v>
      </c>
      <c r="ED75" s="163">
        <f t="shared" si="38"/>
        <v>10</v>
      </c>
      <c r="EE75" s="163">
        <f t="shared" si="38"/>
        <v>0</v>
      </c>
      <c r="EF75" s="163">
        <f t="shared" si="14"/>
        <v>5</v>
      </c>
      <c r="EG75" s="643">
        <f t="shared" si="14"/>
        <v>0</v>
      </c>
      <c r="EH75" s="646">
        <f t="shared" si="29"/>
        <v>29</v>
      </c>
      <c r="EI75" s="645">
        <f t="shared" si="29"/>
        <v>21</v>
      </c>
      <c r="EJ75" s="163">
        <f t="shared" si="27"/>
        <v>18</v>
      </c>
      <c r="EK75" s="163">
        <f t="shared" si="27"/>
        <v>0</v>
      </c>
      <c r="EL75" s="163">
        <f t="shared" si="27"/>
        <v>3</v>
      </c>
      <c r="EM75" s="644">
        <f t="shared" si="27"/>
        <v>0</v>
      </c>
      <c r="EN75" s="645">
        <f t="shared" si="27"/>
        <v>8</v>
      </c>
      <c r="EO75" s="163">
        <f t="shared" si="27"/>
        <v>6</v>
      </c>
      <c r="EP75" s="163">
        <f t="shared" si="27"/>
        <v>0</v>
      </c>
      <c r="EQ75" s="163">
        <f t="shared" si="27"/>
        <v>2</v>
      </c>
      <c r="ER75" s="643">
        <f t="shared" si="27"/>
        <v>0</v>
      </c>
    </row>
    <row r="76" spans="1:148">
      <c r="A76" s="654" t="s">
        <v>236</v>
      </c>
      <c r="B76" s="658">
        <v>43831</v>
      </c>
      <c r="C76" s="659">
        <v>2020</v>
      </c>
      <c r="D76" s="646">
        <f t="shared" si="10"/>
        <v>139080</v>
      </c>
      <c r="E76" s="646">
        <f t="shared" si="31"/>
        <v>1712</v>
      </c>
      <c r="F76" s="645">
        <f t="shared" si="31"/>
        <v>1184</v>
      </c>
      <c r="G76" s="163">
        <f t="shared" si="31"/>
        <v>740</v>
      </c>
      <c r="H76" s="163">
        <f t="shared" si="31"/>
        <v>0</v>
      </c>
      <c r="I76" s="163">
        <f t="shared" si="31"/>
        <v>444</v>
      </c>
      <c r="J76" s="644">
        <f t="shared" si="31"/>
        <v>0</v>
      </c>
      <c r="K76" s="645">
        <f t="shared" si="31"/>
        <v>528</v>
      </c>
      <c r="L76" s="163">
        <f t="shared" si="31"/>
        <v>253</v>
      </c>
      <c r="M76" s="163">
        <f t="shared" si="31"/>
        <v>0</v>
      </c>
      <c r="N76" s="163">
        <f t="shared" si="31"/>
        <v>234</v>
      </c>
      <c r="O76" s="643">
        <f t="shared" si="31"/>
        <v>41</v>
      </c>
      <c r="P76" s="646">
        <f t="shared" si="31"/>
        <v>3</v>
      </c>
      <c r="Q76" s="645">
        <f t="shared" si="31"/>
        <v>2</v>
      </c>
      <c r="R76" s="163">
        <f t="shared" si="31"/>
        <v>0</v>
      </c>
      <c r="S76" s="163">
        <f t="shared" si="31"/>
        <v>0</v>
      </c>
      <c r="T76" s="163">
        <f t="shared" si="31"/>
        <v>2</v>
      </c>
      <c r="U76" s="644">
        <f t="shared" si="30"/>
        <v>0</v>
      </c>
      <c r="V76" s="645">
        <f t="shared" si="30"/>
        <v>1</v>
      </c>
      <c r="W76" s="163">
        <f t="shared" si="30"/>
        <v>0</v>
      </c>
      <c r="X76" s="163">
        <f t="shared" si="30"/>
        <v>0</v>
      </c>
      <c r="Y76" s="163">
        <f t="shared" si="30"/>
        <v>1</v>
      </c>
      <c r="Z76" s="643">
        <f t="shared" si="30"/>
        <v>0</v>
      </c>
      <c r="AA76" s="646">
        <f t="shared" si="30"/>
        <v>1</v>
      </c>
      <c r="AB76" s="645">
        <f t="shared" si="30"/>
        <v>0</v>
      </c>
      <c r="AC76" s="163">
        <f t="shared" si="30"/>
        <v>0</v>
      </c>
      <c r="AD76" s="163">
        <f t="shared" si="30"/>
        <v>0</v>
      </c>
      <c r="AE76" s="163">
        <f t="shared" si="30"/>
        <v>0</v>
      </c>
      <c r="AF76" s="644">
        <f t="shared" si="30"/>
        <v>0</v>
      </c>
      <c r="AG76" s="645">
        <f t="shared" si="30"/>
        <v>1</v>
      </c>
      <c r="AH76" s="163">
        <f t="shared" si="30"/>
        <v>0</v>
      </c>
      <c r="AI76" s="163">
        <f t="shared" si="30"/>
        <v>0</v>
      </c>
      <c r="AJ76" s="163">
        <f t="shared" si="30"/>
        <v>1</v>
      </c>
      <c r="AK76" s="643">
        <f t="shared" si="30"/>
        <v>0</v>
      </c>
      <c r="AL76" s="646">
        <f t="shared" si="30"/>
        <v>16</v>
      </c>
      <c r="AM76" s="645">
        <f t="shared" si="30"/>
        <v>10</v>
      </c>
      <c r="AN76" s="163">
        <f t="shared" si="30"/>
        <v>8</v>
      </c>
      <c r="AO76" s="163">
        <f t="shared" si="39"/>
        <v>0</v>
      </c>
      <c r="AP76" s="163">
        <f t="shared" si="39"/>
        <v>2</v>
      </c>
      <c r="AQ76" s="644">
        <f t="shared" si="39"/>
        <v>0</v>
      </c>
      <c r="AR76" s="645">
        <f t="shared" si="39"/>
        <v>6</v>
      </c>
      <c r="AS76" s="163">
        <f t="shared" si="39"/>
        <v>4</v>
      </c>
      <c r="AT76" s="163">
        <f t="shared" si="39"/>
        <v>0</v>
      </c>
      <c r="AU76" s="163">
        <f t="shared" si="39"/>
        <v>1</v>
      </c>
      <c r="AV76" s="643">
        <f t="shared" si="39"/>
        <v>1</v>
      </c>
      <c r="AW76" s="646">
        <f t="shared" si="39"/>
        <v>12</v>
      </c>
      <c r="AX76" s="645">
        <f t="shared" si="39"/>
        <v>10</v>
      </c>
      <c r="AY76" s="163">
        <f t="shared" si="39"/>
        <v>9</v>
      </c>
      <c r="AZ76" s="163">
        <f t="shared" si="39"/>
        <v>0</v>
      </c>
      <c r="BA76" s="163">
        <f t="shared" si="39"/>
        <v>1</v>
      </c>
      <c r="BB76" s="644">
        <f t="shared" si="39"/>
        <v>0</v>
      </c>
      <c r="BC76" s="645">
        <f t="shared" si="39"/>
        <v>2</v>
      </c>
      <c r="BD76" s="163">
        <f t="shared" si="39"/>
        <v>2</v>
      </c>
      <c r="BE76" s="163">
        <f t="shared" si="39"/>
        <v>0</v>
      </c>
      <c r="BF76" s="163">
        <f t="shared" si="39"/>
        <v>0</v>
      </c>
      <c r="BG76" s="643">
        <f t="shared" si="39"/>
        <v>0</v>
      </c>
      <c r="BH76" s="646">
        <f t="shared" si="39"/>
        <v>13</v>
      </c>
      <c r="BI76" s="645">
        <f t="shared" si="39"/>
        <v>10</v>
      </c>
      <c r="BJ76" s="163">
        <f t="shared" si="39"/>
        <v>7</v>
      </c>
      <c r="BK76" s="163">
        <f t="shared" si="39"/>
        <v>0</v>
      </c>
      <c r="BL76" s="163">
        <f t="shared" si="39"/>
        <v>3</v>
      </c>
      <c r="BM76" s="644">
        <f t="shared" si="39"/>
        <v>0</v>
      </c>
      <c r="BN76" s="645">
        <f t="shared" si="39"/>
        <v>3</v>
      </c>
      <c r="BO76" s="163">
        <f t="shared" si="39"/>
        <v>0</v>
      </c>
      <c r="BP76" s="163">
        <f t="shared" si="39"/>
        <v>0</v>
      </c>
      <c r="BQ76" s="163">
        <f t="shared" si="39"/>
        <v>2</v>
      </c>
      <c r="BR76" s="643">
        <f t="shared" si="39"/>
        <v>1</v>
      </c>
      <c r="BS76" s="646">
        <f t="shared" si="39"/>
        <v>22</v>
      </c>
      <c r="BT76" s="645">
        <f t="shared" si="39"/>
        <v>12</v>
      </c>
      <c r="BU76" s="163">
        <f t="shared" si="39"/>
        <v>8</v>
      </c>
      <c r="BV76" s="163">
        <f t="shared" si="39"/>
        <v>0</v>
      </c>
      <c r="BW76" s="163">
        <f t="shared" si="39"/>
        <v>4</v>
      </c>
      <c r="BX76" s="644">
        <f t="shared" si="39"/>
        <v>0</v>
      </c>
      <c r="BY76" s="645">
        <f t="shared" si="39"/>
        <v>10</v>
      </c>
      <c r="BZ76" s="163">
        <f t="shared" si="39"/>
        <v>2</v>
      </c>
      <c r="CA76" s="163">
        <f t="shared" si="39"/>
        <v>0</v>
      </c>
      <c r="CB76" s="163">
        <f t="shared" si="39"/>
        <v>8</v>
      </c>
      <c r="CC76" s="643">
        <f t="shared" si="39"/>
        <v>0</v>
      </c>
      <c r="CD76" s="646">
        <f t="shared" si="39"/>
        <v>2</v>
      </c>
      <c r="CE76" s="645">
        <f t="shared" si="39"/>
        <v>0</v>
      </c>
      <c r="CF76" s="163">
        <f t="shared" si="39"/>
        <v>0</v>
      </c>
      <c r="CG76" s="163">
        <f t="shared" si="39"/>
        <v>0</v>
      </c>
      <c r="CH76" s="163">
        <f t="shared" si="39"/>
        <v>0</v>
      </c>
      <c r="CI76" s="644">
        <f t="shared" si="39"/>
        <v>0</v>
      </c>
      <c r="CJ76" s="645">
        <f t="shared" si="39"/>
        <v>2</v>
      </c>
      <c r="CK76" s="163">
        <f t="shared" si="39"/>
        <v>2</v>
      </c>
      <c r="CL76" s="163">
        <f t="shared" si="39"/>
        <v>0</v>
      </c>
      <c r="CM76" s="163">
        <f t="shared" si="39"/>
        <v>0</v>
      </c>
      <c r="CN76" s="643">
        <f t="shared" si="39"/>
        <v>0</v>
      </c>
      <c r="CO76" s="646">
        <f t="shared" si="39"/>
        <v>1</v>
      </c>
      <c r="CP76" s="645">
        <f t="shared" si="39"/>
        <v>1</v>
      </c>
      <c r="CQ76" s="163">
        <f t="shared" si="39"/>
        <v>1</v>
      </c>
      <c r="CR76" s="163">
        <f t="shared" si="39"/>
        <v>0</v>
      </c>
      <c r="CS76" s="163">
        <f t="shared" si="39"/>
        <v>0</v>
      </c>
      <c r="CT76" s="644">
        <f t="shared" si="39"/>
        <v>0</v>
      </c>
      <c r="CU76" s="645">
        <f t="shared" si="37"/>
        <v>0</v>
      </c>
      <c r="CV76" s="163">
        <f t="shared" si="37"/>
        <v>0</v>
      </c>
      <c r="CW76" s="163">
        <f t="shared" si="37"/>
        <v>0</v>
      </c>
      <c r="CX76" s="163">
        <f t="shared" si="37"/>
        <v>0</v>
      </c>
      <c r="CY76" s="643">
        <f t="shared" si="37"/>
        <v>0</v>
      </c>
      <c r="CZ76" s="646">
        <f t="shared" si="37"/>
        <v>1</v>
      </c>
      <c r="DA76" s="645">
        <f t="shared" si="37"/>
        <v>1</v>
      </c>
      <c r="DB76" s="163">
        <f t="shared" si="37"/>
        <v>0</v>
      </c>
      <c r="DC76" s="163">
        <f t="shared" si="37"/>
        <v>0</v>
      </c>
      <c r="DD76" s="163">
        <f t="shared" si="37"/>
        <v>1</v>
      </c>
      <c r="DE76" s="644">
        <f t="shared" si="37"/>
        <v>0</v>
      </c>
      <c r="DF76" s="645">
        <f t="shared" si="37"/>
        <v>0</v>
      </c>
      <c r="DG76" s="163">
        <f t="shared" si="37"/>
        <v>0</v>
      </c>
      <c r="DH76" s="163">
        <f t="shared" si="37"/>
        <v>0</v>
      </c>
      <c r="DI76" s="163">
        <f t="shared" si="37"/>
        <v>0</v>
      </c>
      <c r="DJ76" s="643">
        <f t="shared" si="36"/>
        <v>0</v>
      </c>
      <c r="DK76" s="646">
        <f t="shared" si="36"/>
        <v>0</v>
      </c>
      <c r="DL76" s="645">
        <f t="shared" si="36"/>
        <v>0</v>
      </c>
      <c r="DM76" s="163">
        <f t="shared" si="36"/>
        <v>0</v>
      </c>
      <c r="DN76" s="163">
        <f t="shared" si="36"/>
        <v>0</v>
      </c>
      <c r="DO76" s="163">
        <f t="shared" si="36"/>
        <v>0</v>
      </c>
      <c r="DP76" s="644">
        <f t="shared" si="36"/>
        <v>0</v>
      </c>
      <c r="DQ76" s="645">
        <f t="shared" si="36"/>
        <v>0</v>
      </c>
      <c r="DR76" s="163">
        <f t="shared" si="36"/>
        <v>0</v>
      </c>
      <c r="DS76" s="163">
        <f t="shared" si="36"/>
        <v>0</v>
      </c>
      <c r="DT76" s="163">
        <f t="shared" si="36"/>
        <v>0</v>
      </c>
      <c r="DU76" s="643">
        <f t="shared" si="36"/>
        <v>0</v>
      </c>
      <c r="DW76" s="646">
        <f t="shared" si="40"/>
        <v>55</v>
      </c>
      <c r="DX76" s="645">
        <f t="shared" si="40"/>
        <v>36</v>
      </c>
      <c r="DY76" s="163">
        <f t="shared" si="40"/>
        <v>25</v>
      </c>
      <c r="DZ76" s="163">
        <f t="shared" si="38"/>
        <v>0</v>
      </c>
      <c r="EA76" s="163">
        <f t="shared" si="38"/>
        <v>11</v>
      </c>
      <c r="EB76" s="644">
        <f t="shared" si="38"/>
        <v>0</v>
      </c>
      <c r="EC76" s="645">
        <f t="shared" si="38"/>
        <v>19</v>
      </c>
      <c r="ED76" s="163">
        <f t="shared" si="38"/>
        <v>6</v>
      </c>
      <c r="EE76" s="163">
        <f t="shared" si="38"/>
        <v>0</v>
      </c>
      <c r="EF76" s="163">
        <f t="shared" si="14"/>
        <v>12</v>
      </c>
      <c r="EG76" s="643">
        <f t="shared" si="14"/>
        <v>1</v>
      </c>
      <c r="EH76" s="646">
        <f t="shared" si="29"/>
        <v>16</v>
      </c>
      <c r="EI76" s="645">
        <f t="shared" si="29"/>
        <v>10</v>
      </c>
      <c r="EJ76" s="163">
        <f t="shared" si="27"/>
        <v>8</v>
      </c>
      <c r="EK76" s="163">
        <f t="shared" si="27"/>
        <v>0</v>
      </c>
      <c r="EL76" s="163">
        <f t="shared" si="27"/>
        <v>2</v>
      </c>
      <c r="EM76" s="644">
        <f t="shared" si="27"/>
        <v>0</v>
      </c>
      <c r="EN76" s="645">
        <f t="shared" si="27"/>
        <v>6</v>
      </c>
      <c r="EO76" s="163">
        <f t="shared" si="27"/>
        <v>4</v>
      </c>
      <c r="EP76" s="163">
        <f t="shared" si="27"/>
        <v>0</v>
      </c>
      <c r="EQ76" s="163">
        <f t="shared" si="27"/>
        <v>1</v>
      </c>
      <c r="ER76" s="643">
        <f t="shared" si="27"/>
        <v>1</v>
      </c>
    </row>
    <row r="77" spans="1:148">
      <c r="A77" s="654" t="s">
        <v>236</v>
      </c>
      <c r="B77" s="658">
        <v>43862</v>
      </c>
      <c r="C77" s="659">
        <v>2020</v>
      </c>
      <c r="D77" s="646">
        <f t="shared" si="10"/>
        <v>139080</v>
      </c>
      <c r="E77" s="646">
        <f t="shared" si="31"/>
        <v>1712</v>
      </c>
      <c r="F77" s="645">
        <f t="shared" si="31"/>
        <v>1184</v>
      </c>
      <c r="G77" s="163">
        <f t="shared" si="31"/>
        <v>740</v>
      </c>
      <c r="H77" s="163">
        <f t="shared" si="31"/>
        <v>0</v>
      </c>
      <c r="I77" s="163">
        <f t="shared" si="31"/>
        <v>444</v>
      </c>
      <c r="J77" s="644">
        <f t="shared" si="31"/>
        <v>0</v>
      </c>
      <c r="K77" s="645">
        <f t="shared" si="31"/>
        <v>528</v>
      </c>
      <c r="L77" s="163">
        <f t="shared" si="31"/>
        <v>253</v>
      </c>
      <c r="M77" s="163">
        <f t="shared" si="31"/>
        <v>0</v>
      </c>
      <c r="N77" s="163">
        <f t="shared" si="31"/>
        <v>234</v>
      </c>
      <c r="O77" s="643">
        <f t="shared" si="31"/>
        <v>41</v>
      </c>
      <c r="P77" s="646">
        <f t="shared" si="31"/>
        <v>3</v>
      </c>
      <c r="Q77" s="645">
        <f t="shared" si="31"/>
        <v>2</v>
      </c>
      <c r="R77" s="163">
        <f t="shared" si="31"/>
        <v>0</v>
      </c>
      <c r="S77" s="163">
        <f t="shared" si="31"/>
        <v>0</v>
      </c>
      <c r="T77" s="163">
        <f t="shared" si="31"/>
        <v>2</v>
      </c>
      <c r="U77" s="644">
        <f t="shared" si="30"/>
        <v>0</v>
      </c>
      <c r="V77" s="645">
        <f t="shared" si="30"/>
        <v>1</v>
      </c>
      <c r="W77" s="163">
        <f t="shared" si="30"/>
        <v>0</v>
      </c>
      <c r="X77" s="163">
        <f t="shared" si="30"/>
        <v>0</v>
      </c>
      <c r="Y77" s="163">
        <f t="shared" si="30"/>
        <v>1</v>
      </c>
      <c r="Z77" s="643">
        <f t="shared" si="30"/>
        <v>0</v>
      </c>
      <c r="AA77" s="646">
        <f t="shared" si="30"/>
        <v>1</v>
      </c>
      <c r="AB77" s="645">
        <f t="shared" si="30"/>
        <v>0</v>
      </c>
      <c r="AC77" s="163">
        <f t="shared" si="30"/>
        <v>0</v>
      </c>
      <c r="AD77" s="163">
        <f t="shared" si="30"/>
        <v>0</v>
      </c>
      <c r="AE77" s="163">
        <f t="shared" si="30"/>
        <v>0</v>
      </c>
      <c r="AF77" s="644">
        <f t="shared" si="30"/>
        <v>0</v>
      </c>
      <c r="AG77" s="645">
        <f t="shared" si="30"/>
        <v>1</v>
      </c>
      <c r="AH77" s="163">
        <f t="shared" si="30"/>
        <v>0</v>
      </c>
      <c r="AI77" s="163">
        <f t="shared" si="30"/>
        <v>0</v>
      </c>
      <c r="AJ77" s="163">
        <f t="shared" si="30"/>
        <v>1</v>
      </c>
      <c r="AK77" s="643">
        <f t="shared" si="30"/>
        <v>0</v>
      </c>
      <c r="AL77" s="646">
        <f t="shared" si="30"/>
        <v>16</v>
      </c>
      <c r="AM77" s="645">
        <f t="shared" si="30"/>
        <v>10</v>
      </c>
      <c r="AN77" s="163">
        <f t="shared" si="30"/>
        <v>8</v>
      </c>
      <c r="AO77" s="163">
        <f t="shared" si="39"/>
        <v>0</v>
      </c>
      <c r="AP77" s="163">
        <f t="shared" si="39"/>
        <v>2</v>
      </c>
      <c r="AQ77" s="644">
        <f t="shared" si="39"/>
        <v>0</v>
      </c>
      <c r="AR77" s="645">
        <f t="shared" si="39"/>
        <v>6</v>
      </c>
      <c r="AS77" s="163">
        <f t="shared" si="39"/>
        <v>4</v>
      </c>
      <c r="AT77" s="163">
        <f t="shared" si="39"/>
        <v>0</v>
      </c>
      <c r="AU77" s="163">
        <f t="shared" si="39"/>
        <v>1</v>
      </c>
      <c r="AV77" s="643">
        <f t="shared" si="39"/>
        <v>1</v>
      </c>
      <c r="AW77" s="646">
        <f t="shared" si="39"/>
        <v>12</v>
      </c>
      <c r="AX77" s="645">
        <f t="shared" si="39"/>
        <v>10</v>
      </c>
      <c r="AY77" s="163">
        <f t="shared" si="39"/>
        <v>9</v>
      </c>
      <c r="AZ77" s="163">
        <f t="shared" si="39"/>
        <v>0</v>
      </c>
      <c r="BA77" s="163">
        <f t="shared" si="39"/>
        <v>1</v>
      </c>
      <c r="BB77" s="644">
        <f t="shared" si="39"/>
        <v>0</v>
      </c>
      <c r="BC77" s="645">
        <f t="shared" si="39"/>
        <v>2</v>
      </c>
      <c r="BD77" s="163">
        <f t="shared" si="39"/>
        <v>2</v>
      </c>
      <c r="BE77" s="163">
        <f t="shared" si="39"/>
        <v>0</v>
      </c>
      <c r="BF77" s="163">
        <f t="shared" si="39"/>
        <v>0</v>
      </c>
      <c r="BG77" s="643">
        <f t="shared" si="39"/>
        <v>0</v>
      </c>
      <c r="BH77" s="646">
        <f t="shared" si="39"/>
        <v>13</v>
      </c>
      <c r="BI77" s="645">
        <f t="shared" si="39"/>
        <v>10</v>
      </c>
      <c r="BJ77" s="163">
        <f t="shared" si="39"/>
        <v>7</v>
      </c>
      <c r="BK77" s="163">
        <f t="shared" si="39"/>
        <v>0</v>
      </c>
      <c r="BL77" s="163">
        <f t="shared" si="39"/>
        <v>3</v>
      </c>
      <c r="BM77" s="644">
        <f t="shared" si="39"/>
        <v>0</v>
      </c>
      <c r="BN77" s="645">
        <f t="shared" si="39"/>
        <v>3</v>
      </c>
      <c r="BO77" s="163">
        <f t="shared" si="39"/>
        <v>0</v>
      </c>
      <c r="BP77" s="163">
        <f t="shared" si="39"/>
        <v>0</v>
      </c>
      <c r="BQ77" s="163">
        <f t="shared" si="39"/>
        <v>2</v>
      </c>
      <c r="BR77" s="643">
        <f t="shared" si="39"/>
        <v>1</v>
      </c>
      <c r="BS77" s="646">
        <f t="shared" si="39"/>
        <v>22</v>
      </c>
      <c r="BT77" s="645">
        <f t="shared" si="39"/>
        <v>12</v>
      </c>
      <c r="BU77" s="163">
        <f t="shared" si="39"/>
        <v>8</v>
      </c>
      <c r="BV77" s="163">
        <f t="shared" si="39"/>
        <v>0</v>
      </c>
      <c r="BW77" s="163">
        <f t="shared" si="39"/>
        <v>4</v>
      </c>
      <c r="BX77" s="644">
        <f t="shared" si="39"/>
        <v>0</v>
      </c>
      <c r="BY77" s="645">
        <f t="shared" si="39"/>
        <v>10</v>
      </c>
      <c r="BZ77" s="163">
        <f t="shared" si="39"/>
        <v>2</v>
      </c>
      <c r="CA77" s="163">
        <f t="shared" si="39"/>
        <v>0</v>
      </c>
      <c r="CB77" s="163">
        <f t="shared" si="39"/>
        <v>8</v>
      </c>
      <c r="CC77" s="643">
        <f t="shared" si="39"/>
        <v>0</v>
      </c>
      <c r="CD77" s="646">
        <f t="shared" si="39"/>
        <v>2</v>
      </c>
      <c r="CE77" s="645">
        <f t="shared" si="39"/>
        <v>0</v>
      </c>
      <c r="CF77" s="163">
        <f t="shared" si="39"/>
        <v>0</v>
      </c>
      <c r="CG77" s="163">
        <f t="shared" si="39"/>
        <v>0</v>
      </c>
      <c r="CH77" s="163">
        <f t="shared" si="39"/>
        <v>0</v>
      </c>
      <c r="CI77" s="644">
        <f t="shared" si="39"/>
        <v>0</v>
      </c>
      <c r="CJ77" s="645">
        <f t="shared" si="39"/>
        <v>2</v>
      </c>
      <c r="CK77" s="163">
        <f t="shared" si="39"/>
        <v>2</v>
      </c>
      <c r="CL77" s="163">
        <f t="shared" si="39"/>
        <v>0</v>
      </c>
      <c r="CM77" s="163">
        <f t="shared" si="39"/>
        <v>0</v>
      </c>
      <c r="CN77" s="643">
        <f t="shared" si="39"/>
        <v>0</v>
      </c>
      <c r="CO77" s="646">
        <f t="shared" si="39"/>
        <v>1</v>
      </c>
      <c r="CP77" s="645">
        <f t="shared" si="39"/>
        <v>1</v>
      </c>
      <c r="CQ77" s="163">
        <f t="shared" si="39"/>
        <v>1</v>
      </c>
      <c r="CR77" s="163">
        <f t="shared" si="39"/>
        <v>0</v>
      </c>
      <c r="CS77" s="163">
        <f t="shared" si="39"/>
        <v>0</v>
      </c>
      <c r="CT77" s="644">
        <f t="shared" si="39"/>
        <v>0</v>
      </c>
      <c r="CU77" s="645">
        <f t="shared" si="37"/>
        <v>0</v>
      </c>
      <c r="CV77" s="163">
        <f t="shared" si="37"/>
        <v>0</v>
      </c>
      <c r="CW77" s="163">
        <f t="shared" si="37"/>
        <v>0</v>
      </c>
      <c r="CX77" s="163">
        <f t="shared" si="37"/>
        <v>0</v>
      </c>
      <c r="CY77" s="643">
        <f t="shared" si="37"/>
        <v>0</v>
      </c>
      <c r="CZ77" s="646">
        <f t="shared" si="37"/>
        <v>1</v>
      </c>
      <c r="DA77" s="645">
        <f t="shared" si="37"/>
        <v>1</v>
      </c>
      <c r="DB77" s="163">
        <f t="shared" si="37"/>
        <v>0</v>
      </c>
      <c r="DC77" s="163">
        <f t="shared" si="37"/>
        <v>0</v>
      </c>
      <c r="DD77" s="163">
        <f t="shared" si="37"/>
        <v>1</v>
      </c>
      <c r="DE77" s="644">
        <f t="shared" si="37"/>
        <v>0</v>
      </c>
      <c r="DF77" s="645">
        <f t="shared" si="37"/>
        <v>0</v>
      </c>
      <c r="DG77" s="163">
        <f t="shared" si="37"/>
        <v>0</v>
      </c>
      <c r="DH77" s="163">
        <f t="shared" si="37"/>
        <v>0</v>
      </c>
      <c r="DI77" s="163">
        <f t="shared" si="37"/>
        <v>0</v>
      </c>
      <c r="DJ77" s="643">
        <f t="shared" si="36"/>
        <v>0</v>
      </c>
      <c r="DK77" s="646">
        <f t="shared" si="36"/>
        <v>0</v>
      </c>
      <c r="DL77" s="645">
        <f t="shared" si="36"/>
        <v>0</v>
      </c>
      <c r="DM77" s="163">
        <f t="shared" si="36"/>
        <v>0</v>
      </c>
      <c r="DN77" s="163">
        <f t="shared" si="36"/>
        <v>0</v>
      </c>
      <c r="DO77" s="163">
        <f t="shared" si="36"/>
        <v>0</v>
      </c>
      <c r="DP77" s="644">
        <f t="shared" si="36"/>
        <v>0</v>
      </c>
      <c r="DQ77" s="645">
        <f t="shared" si="36"/>
        <v>0</v>
      </c>
      <c r="DR77" s="163">
        <f t="shared" si="36"/>
        <v>0</v>
      </c>
      <c r="DS77" s="163">
        <f t="shared" si="36"/>
        <v>0</v>
      </c>
      <c r="DT77" s="163">
        <f t="shared" si="36"/>
        <v>0</v>
      </c>
      <c r="DU77" s="643">
        <f t="shared" si="36"/>
        <v>0</v>
      </c>
      <c r="DW77" s="646">
        <f t="shared" si="40"/>
        <v>55</v>
      </c>
      <c r="DX77" s="645">
        <f t="shared" si="40"/>
        <v>36</v>
      </c>
      <c r="DY77" s="163">
        <f t="shared" si="40"/>
        <v>25</v>
      </c>
      <c r="DZ77" s="163">
        <f t="shared" si="38"/>
        <v>0</v>
      </c>
      <c r="EA77" s="163">
        <f t="shared" si="38"/>
        <v>11</v>
      </c>
      <c r="EB77" s="644">
        <f t="shared" si="38"/>
        <v>0</v>
      </c>
      <c r="EC77" s="645">
        <f t="shared" si="38"/>
        <v>19</v>
      </c>
      <c r="ED77" s="163">
        <f t="shared" si="38"/>
        <v>6</v>
      </c>
      <c r="EE77" s="163">
        <f t="shared" si="38"/>
        <v>0</v>
      </c>
      <c r="EF77" s="163">
        <f t="shared" si="14"/>
        <v>12</v>
      </c>
      <c r="EG77" s="643">
        <f t="shared" si="14"/>
        <v>1</v>
      </c>
      <c r="EH77" s="646">
        <f t="shared" si="29"/>
        <v>16</v>
      </c>
      <c r="EI77" s="645">
        <f t="shared" si="29"/>
        <v>10</v>
      </c>
      <c r="EJ77" s="163">
        <f t="shared" si="27"/>
        <v>8</v>
      </c>
      <c r="EK77" s="163">
        <f t="shared" si="27"/>
        <v>0</v>
      </c>
      <c r="EL77" s="163">
        <f t="shared" si="27"/>
        <v>2</v>
      </c>
      <c r="EM77" s="644">
        <f t="shared" si="27"/>
        <v>0</v>
      </c>
      <c r="EN77" s="645">
        <f t="shared" si="27"/>
        <v>6</v>
      </c>
      <c r="EO77" s="163">
        <f t="shared" si="27"/>
        <v>4</v>
      </c>
      <c r="EP77" s="163">
        <f t="shared" si="27"/>
        <v>0</v>
      </c>
      <c r="EQ77" s="163">
        <f t="shared" si="27"/>
        <v>1</v>
      </c>
      <c r="ER77" s="643">
        <f t="shared" si="27"/>
        <v>1</v>
      </c>
    </row>
    <row r="78" spans="1:148">
      <c r="A78" s="654" t="s">
        <v>236</v>
      </c>
      <c r="B78" s="658">
        <v>43891</v>
      </c>
      <c r="C78" s="659">
        <v>2020</v>
      </c>
      <c r="D78" s="646">
        <f t="shared" si="10"/>
        <v>139080</v>
      </c>
      <c r="E78" s="646">
        <f t="shared" si="31"/>
        <v>1712</v>
      </c>
      <c r="F78" s="645">
        <f t="shared" si="31"/>
        <v>1184</v>
      </c>
      <c r="G78" s="163">
        <f t="shared" si="31"/>
        <v>740</v>
      </c>
      <c r="H78" s="163">
        <f t="shared" si="31"/>
        <v>0</v>
      </c>
      <c r="I78" s="163">
        <f t="shared" si="31"/>
        <v>444</v>
      </c>
      <c r="J78" s="644">
        <f t="shared" si="31"/>
        <v>0</v>
      </c>
      <c r="K78" s="645">
        <f t="shared" si="31"/>
        <v>528</v>
      </c>
      <c r="L78" s="163">
        <f t="shared" si="31"/>
        <v>253</v>
      </c>
      <c r="M78" s="163">
        <f t="shared" si="31"/>
        <v>0</v>
      </c>
      <c r="N78" s="163">
        <f t="shared" si="31"/>
        <v>234</v>
      </c>
      <c r="O78" s="643">
        <f t="shared" si="31"/>
        <v>41</v>
      </c>
      <c r="P78" s="646">
        <f t="shared" si="31"/>
        <v>3</v>
      </c>
      <c r="Q78" s="645">
        <f t="shared" si="31"/>
        <v>2</v>
      </c>
      <c r="R78" s="163">
        <f t="shared" si="31"/>
        <v>0</v>
      </c>
      <c r="S78" s="163">
        <f t="shared" si="31"/>
        <v>0</v>
      </c>
      <c r="T78" s="163">
        <f t="shared" si="31"/>
        <v>2</v>
      </c>
      <c r="U78" s="644">
        <f t="shared" si="30"/>
        <v>0</v>
      </c>
      <c r="V78" s="645">
        <f t="shared" si="30"/>
        <v>1</v>
      </c>
      <c r="W78" s="163">
        <f t="shared" si="30"/>
        <v>0</v>
      </c>
      <c r="X78" s="163">
        <f t="shared" si="30"/>
        <v>0</v>
      </c>
      <c r="Y78" s="163">
        <f t="shared" si="30"/>
        <v>1</v>
      </c>
      <c r="Z78" s="643">
        <f t="shared" si="30"/>
        <v>0</v>
      </c>
      <c r="AA78" s="646">
        <f t="shared" si="30"/>
        <v>1</v>
      </c>
      <c r="AB78" s="645">
        <f t="shared" si="30"/>
        <v>0</v>
      </c>
      <c r="AC78" s="163">
        <f t="shared" si="30"/>
        <v>0</v>
      </c>
      <c r="AD78" s="163">
        <f t="shared" si="30"/>
        <v>0</v>
      </c>
      <c r="AE78" s="163">
        <f t="shared" si="30"/>
        <v>0</v>
      </c>
      <c r="AF78" s="644">
        <f t="shared" si="30"/>
        <v>0</v>
      </c>
      <c r="AG78" s="645">
        <f t="shared" si="30"/>
        <v>1</v>
      </c>
      <c r="AH78" s="163">
        <f t="shared" si="30"/>
        <v>0</v>
      </c>
      <c r="AI78" s="163">
        <f t="shared" si="30"/>
        <v>0</v>
      </c>
      <c r="AJ78" s="163">
        <f t="shared" si="30"/>
        <v>1</v>
      </c>
      <c r="AK78" s="643">
        <f t="shared" si="30"/>
        <v>0</v>
      </c>
      <c r="AL78" s="646">
        <f t="shared" si="30"/>
        <v>16</v>
      </c>
      <c r="AM78" s="645">
        <f t="shared" si="30"/>
        <v>10</v>
      </c>
      <c r="AN78" s="163">
        <f t="shared" si="30"/>
        <v>8</v>
      </c>
      <c r="AO78" s="163">
        <f t="shared" si="39"/>
        <v>0</v>
      </c>
      <c r="AP78" s="163">
        <f t="shared" si="39"/>
        <v>2</v>
      </c>
      <c r="AQ78" s="644">
        <f t="shared" si="39"/>
        <v>0</v>
      </c>
      <c r="AR78" s="645">
        <f t="shared" si="39"/>
        <v>6</v>
      </c>
      <c r="AS78" s="163">
        <f t="shared" si="39"/>
        <v>4</v>
      </c>
      <c r="AT78" s="163">
        <f t="shared" si="39"/>
        <v>0</v>
      </c>
      <c r="AU78" s="163">
        <f t="shared" si="39"/>
        <v>1</v>
      </c>
      <c r="AV78" s="643">
        <f t="shared" si="39"/>
        <v>1</v>
      </c>
      <c r="AW78" s="646">
        <f t="shared" si="39"/>
        <v>12</v>
      </c>
      <c r="AX78" s="645">
        <f t="shared" si="39"/>
        <v>10</v>
      </c>
      <c r="AY78" s="163">
        <f t="shared" si="39"/>
        <v>9</v>
      </c>
      <c r="AZ78" s="163">
        <f t="shared" si="39"/>
        <v>0</v>
      </c>
      <c r="BA78" s="163">
        <f t="shared" si="39"/>
        <v>1</v>
      </c>
      <c r="BB78" s="644">
        <f t="shared" si="39"/>
        <v>0</v>
      </c>
      <c r="BC78" s="645">
        <f t="shared" si="39"/>
        <v>2</v>
      </c>
      <c r="BD78" s="163">
        <f t="shared" si="39"/>
        <v>2</v>
      </c>
      <c r="BE78" s="163">
        <f t="shared" si="39"/>
        <v>0</v>
      </c>
      <c r="BF78" s="163">
        <f t="shared" si="39"/>
        <v>0</v>
      </c>
      <c r="BG78" s="643">
        <f t="shared" si="39"/>
        <v>0</v>
      </c>
      <c r="BH78" s="646">
        <f t="shared" si="39"/>
        <v>13</v>
      </c>
      <c r="BI78" s="645">
        <f t="shared" si="39"/>
        <v>10</v>
      </c>
      <c r="BJ78" s="163">
        <f t="shared" si="39"/>
        <v>7</v>
      </c>
      <c r="BK78" s="163">
        <f t="shared" si="39"/>
        <v>0</v>
      </c>
      <c r="BL78" s="163">
        <f t="shared" si="39"/>
        <v>3</v>
      </c>
      <c r="BM78" s="644">
        <f t="shared" si="39"/>
        <v>0</v>
      </c>
      <c r="BN78" s="645">
        <f t="shared" si="39"/>
        <v>3</v>
      </c>
      <c r="BO78" s="163">
        <f t="shared" si="39"/>
        <v>0</v>
      </c>
      <c r="BP78" s="163">
        <f t="shared" si="39"/>
        <v>0</v>
      </c>
      <c r="BQ78" s="163">
        <f t="shared" si="39"/>
        <v>2</v>
      </c>
      <c r="BR78" s="643">
        <f t="shared" si="39"/>
        <v>1</v>
      </c>
      <c r="BS78" s="646">
        <f t="shared" si="39"/>
        <v>22</v>
      </c>
      <c r="BT78" s="645">
        <f t="shared" si="39"/>
        <v>12</v>
      </c>
      <c r="BU78" s="163">
        <f t="shared" si="39"/>
        <v>8</v>
      </c>
      <c r="BV78" s="163">
        <f t="shared" si="39"/>
        <v>0</v>
      </c>
      <c r="BW78" s="163">
        <f t="shared" si="39"/>
        <v>4</v>
      </c>
      <c r="BX78" s="644">
        <f t="shared" si="39"/>
        <v>0</v>
      </c>
      <c r="BY78" s="645">
        <f t="shared" si="39"/>
        <v>10</v>
      </c>
      <c r="BZ78" s="163">
        <f t="shared" si="39"/>
        <v>2</v>
      </c>
      <c r="CA78" s="163">
        <f t="shared" si="39"/>
        <v>0</v>
      </c>
      <c r="CB78" s="163">
        <f t="shared" si="39"/>
        <v>8</v>
      </c>
      <c r="CC78" s="643">
        <f t="shared" si="39"/>
        <v>0</v>
      </c>
      <c r="CD78" s="646">
        <f t="shared" si="39"/>
        <v>2</v>
      </c>
      <c r="CE78" s="645">
        <f t="shared" si="39"/>
        <v>0</v>
      </c>
      <c r="CF78" s="163">
        <f t="shared" si="39"/>
        <v>0</v>
      </c>
      <c r="CG78" s="163">
        <f t="shared" si="39"/>
        <v>0</v>
      </c>
      <c r="CH78" s="163">
        <f t="shared" si="39"/>
        <v>0</v>
      </c>
      <c r="CI78" s="644">
        <f t="shared" si="39"/>
        <v>0</v>
      </c>
      <c r="CJ78" s="645">
        <f t="shared" si="39"/>
        <v>2</v>
      </c>
      <c r="CK78" s="163">
        <f t="shared" si="39"/>
        <v>2</v>
      </c>
      <c r="CL78" s="163">
        <f t="shared" si="39"/>
        <v>0</v>
      </c>
      <c r="CM78" s="163">
        <f t="shared" si="39"/>
        <v>0</v>
      </c>
      <c r="CN78" s="643">
        <f t="shared" si="39"/>
        <v>0</v>
      </c>
      <c r="CO78" s="646">
        <f t="shared" si="39"/>
        <v>1</v>
      </c>
      <c r="CP78" s="645">
        <f t="shared" si="39"/>
        <v>1</v>
      </c>
      <c r="CQ78" s="163">
        <f t="shared" si="39"/>
        <v>1</v>
      </c>
      <c r="CR78" s="163">
        <f t="shared" si="39"/>
        <v>0</v>
      </c>
      <c r="CS78" s="163">
        <f t="shared" si="39"/>
        <v>0</v>
      </c>
      <c r="CT78" s="644">
        <f t="shared" si="39"/>
        <v>0</v>
      </c>
      <c r="CU78" s="645">
        <f t="shared" si="37"/>
        <v>0</v>
      </c>
      <c r="CV78" s="163">
        <f t="shared" si="37"/>
        <v>0</v>
      </c>
      <c r="CW78" s="163">
        <f t="shared" si="37"/>
        <v>0</v>
      </c>
      <c r="CX78" s="163">
        <f t="shared" si="37"/>
        <v>0</v>
      </c>
      <c r="CY78" s="643">
        <f t="shared" si="37"/>
        <v>0</v>
      </c>
      <c r="CZ78" s="646">
        <f t="shared" si="37"/>
        <v>1</v>
      </c>
      <c r="DA78" s="645">
        <f t="shared" si="37"/>
        <v>1</v>
      </c>
      <c r="DB78" s="163">
        <f t="shared" si="37"/>
        <v>0</v>
      </c>
      <c r="DC78" s="163">
        <f t="shared" si="37"/>
        <v>0</v>
      </c>
      <c r="DD78" s="163">
        <f t="shared" si="37"/>
        <v>1</v>
      </c>
      <c r="DE78" s="644">
        <f t="shared" si="37"/>
        <v>0</v>
      </c>
      <c r="DF78" s="645">
        <f t="shared" si="37"/>
        <v>0</v>
      </c>
      <c r="DG78" s="163">
        <f t="shared" si="37"/>
        <v>0</v>
      </c>
      <c r="DH78" s="163">
        <f t="shared" si="37"/>
        <v>0</v>
      </c>
      <c r="DI78" s="163">
        <f t="shared" si="37"/>
        <v>0</v>
      </c>
      <c r="DJ78" s="643">
        <f t="shared" si="36"/>
        <v>0</v>
      </c>
      <c r="DK78" s="646">
        <f t="shared" si="36"/>
        <v>0</v>
      </c>
      <c r="DL78" s="645">
        <f t="shared" si="36"/>
        <v>0</v>
      </c>
      <c r="DM78" s="163">
        <f t="shared" si="36"/>
        <v>0</v>
      </c>
      <c r="DN78" s="163">
        <f t="shared" si="36"/>
        <v>0</v>
      </c>
      <c r="DO78" s="163">
        <f t="shared" si="36"/>
        <v>0</v>
      </c>
      <c r="DP78" s="644">
        <f t="shared" si="36"/>
        <v>0</v>
      </c>
      <c r="DQ78" s="645">
        <f t="shared" si="36"/>
        <v>0</v>
      </c>
      <c r="DR78" s="163">
        <f t="shared" si="36"/>
        <v>0</v>
      </c>
      <c r="DS78" s="163">
        <f t="shared" si="36"/>
        <v>0</v>
      </c>
      <c r="DT78" s="163">
        <f t="shared" si="36"/>
        <v>0</v>
      </c>
      <c r="DU78" s="643">
        <f t="shared" si="36"/>
        <v>0</v>
      </c>
      <c r="DW78" s="646">
        <f t="shared" si="40"/>
        <v>55</v>
      </c>
      <c r="DX78" s="645">
        <f t="shared" si="40"/>
        <v>36</v>
      </c>
      <c r="DY78" s="163">
        <f t="shared" si="40"/>
        <v>25</v>
      </c>
      <c r="DZ78" s="163">
        <f t="shared" si="38"/>
        <v>0</v>
      </c>
      <c r="EA78" s="163">
        <f t="shared" si="38"/>
        <v>11</v>
      </c>
      <c r="EB78" s="644">
        <f t="shared" si="38"/>
        <v>0</v>
      </c>
      <c r="EC78" s="645">
        <f t="shared" si="38"/>
        <v>19</v>
      </c>
      <c r="ED78" s="163">
        <f t="shared" si="38"/>
        <v>6</v>
      </c>
      <c r="EE78" s="163">
        <f t="shared" si="38"/>
        <v>0</v>
      </c>
      <c r="EF78" s="163">
        <f t="shared" si="14"/>
        <v>12</v>
      </c>
      <c r="EG78" s="643">
        <f t="shared" si="14"/>
        <v>1</v>
      </c>
      <c r="EH78" s="646">
        <f t="shared" si="29"/>
        <v>16</v>
      </c>
      <c r="EI78" s="645">
        <f t="shared" si="29"/>
        <v>10</v>
      </c>
      <c r="EJ78" s="163">
        <f t="shared" si="27"/>
        <v>8</v>
      </c>
      <c r="EK78" s="163">
        <f t="shared" si="27"/>
        <v>0</v>
      </c>
      <c r="EL78" s="163">
        <f t="shared" si="27"/>
        <v>2</v>
      </c>
      <c r="EM78" s="644">
        <f t="shared" si="27"/>
        <v>0</v>
      </c>
      <c r="EN78" s="645">
        <f t="shared" si="27"/>
        <v>6</v>
      </c>
      <c r="EO78" s="163">
        <f t="shared" si="27"/>
        <v>4</v>
      </c>
      <c r="EP78" s="163">
        <f t="shared" si="27"/>
        <v>0</v>
      </c>
      <c r="EQ78" s="163">
        <f t="shared" si="27"/>
        <v>1</v>
      </c>
      <c r="ER78" s="643">
        <f t="shared" si="27"/>
        <v>1</v>
      </c>
    </row>
    <row r="79" spans="1:148">
      <c r="A79" s="654" t="s">
        <v>237</v>
      </c>
      <c r="B79" s="658">
        <v>43922</v>
      </c>
      <c r="C79" s="659">
        <v>2020</v>
      </c>
      <c r="D79" s="646">
        <f t="shared" si="10"/>
        <v>109197</v>
      </c>
      <c r="E79" s="646">
        <f t="shared" si="31"/>
        <v>1761</v>
      </c>
      <c r="F79" s="645">
        <f t="shared" si="31"/>
        <v>1337</v>
      </c>
      <c r="G79" s="163">
        <f t="shared" si="31"/>
        <v>1122</v>
      </c>
      <c r="H79" s="163">
        <f t="shared" si="31"/>
        <v>0</v>
      </c>
      <c r="I79" s="163">
        <f t="shared" si="31"/>
        <v>215</v>
      </c>
      <c r="J79" s="644">
        <f t="shared" si="31"/>
        <v>0</v>
      </c>
      <c r="K79" s="645">
        <f t="shared" si="31"/>
        <v>424</v>
      </c>
      <c r="L79" s="163">
        <f t="shared" si="31"/>
        <v>210</v>
      </c>
      <c r="M79" s="163">
        <f t="shared" si="31"/>
        <v>0</v>
      </c>
      <c r="N79" s="163">
        <f t="shared" si="31"/>
        <v>192</v>
      </c>
      <c r="O79" s="643">
        <f t="shared" si="31"/>
        <v>22</v>
      </c>
      <c r="P79" s="646">
        <f t="shared" si="31"/>
        <v>5</v>
      </c>
      <c r="Q79" s="645">
        <f t="shared" si="31"/>
        <v>3</v>
      </c>
      <c r="R79" s="163">
        <f t="shared" si="31"/>
        <v>2</v>
      </c>
      <c r="S79" s="163">
        <f t="shared" si="31"/>
        <v>0</v>
      </c>
      <c r="T79" s="163">
        <f t="shared" si="31"/>
        <v>1</v>
      </c>
      <c r="U79" s="644">
        <f t="shared" si="30"/>
        <v>0</v>
      </c>
      <c r="V79" s="645">
        <f t="shared" si="30"/>
        <v>2</v>
      </c>
      <c r="W79" s="163">
        <f t="shared" si="30"/>
        <v>1</v>
      </c>
      <c r="X79" s="163">
        <f t="shared" si="30"/>
        <v>0</v>
      </c>
      <c r="Y79" s="163">
        <f t="shared" si="30"/>
        <v>1</v>
      </c>
      <c r="Z79" s="643">
        <f t="shared" si="30"/>
        <v>0</v>
      </c>
      <c r="AA79" s="646">
        <f t="shared" si="30"/>
        <v>1</v>
      </c>
      <c r="AB79" s="645">
        <f t="shared" si="30"/>
        <v>1</v>
      </c>
      <c r="AC79" s="163">
        <f t="shared" si="30"/>
        <v>0</v>
      </c>
      <c r="AD79" s="163">
        <f t="shared" si="30"/>
        <v>0</v>
      </c>
      <c r="AE79" s="163">
        <f t="shared" si="30"/>
        <v>1</v>
      </c>
      <c r="AF79" s="644">
        <f t="shared" si="30"/>
        <v>0</v>
      </c>
      <c r="AG79" s="645">
        <f t="shared" si="30"/>
        <v>0</v>
      </c>
      <c r="AH79" s="163">
        <f t="shared" si="30"/>
        <v>0</v>
      </c>
      <c r="AI79" s="163">
        <f t="shared" si="30"/>
        <v>0</v>
      </c>
      <c r="AJ79" s="163">
        <f t="shared" si="30"/>
        <v>0</v>
      </c>
      <c r="AK79" s="643">
        <f t="shared" si="30"/>
        <v>0</v>
      </c>
      <c r="AL79" s="646">
        <f t="shared" si="30"/>
        <v>18</v>
      </c>
      <c r="AM79" s="645">
        <f t="shared" ref="AM79:CT83" si="41">SUMIFS(AM$5:AM$36,$B$5:$B$36,$A79)</f>
        <v>13</v>
      </c>
      <c r="AN79" s="163">
        <f t="shared" si="41"/>
        <v>12</v>
      </c>
      <c r="AO79" s="163">
        <f t="shared" si="41"/>
        <v>0</v>
      </c>
      <c r="AP79" s="163">
        <f t="shared" si="41"/>
        <v>1</v>
      </c>
      <c r="AQ79" s="644">
        <f t="shared" si="41"/>
        <v>0</v>
      </c>
      <c r="AR79" s="645">
        <f t="shared" si="41"/>
        <v>5</v>
      </c>
      <c r="AS79" s="163">
        <f t="shared" si="41"/>
        <v>4</v>
      </c>
      <c r="AT79" s="163">
        <f t="shared" si="41"/>
        <v>0</v>
      </c>
      <c r="AU79" s="163">
        <f t="shared" si="41"/>
        <v>1</v>
      </c>
      <c r="AV79" s="643">
        <f t="shared" si="41"/>
        <v>0</v>
      </c>
      <c r="AW79" s="646">
        <f t="shared" si="41"/>
        <v>9</v>
      </c>
      <c r="AX79" s="645">
        <f t="shared" si="41"/>
        <v>7</v>
      </c>
      <c r="AY79" s="163">
        <f t="shared" si="41"/>
        <v>6</v>
      </c>
      <c r="AZ79" s="163">
        <f t="shared" si="41"/>
        <v>0</v>
      </c>
      <c r="BA79" s="163">
        <f t="shared" si="41"/>
        <v>1</v>
      </c>
      <c r="BB79" s="644">
        <f t="shared" si="41"/>
        <v>0</v>
      </c>
      <c r="BC79" s="645">
        <f t="shared" si="41"/>
        <v>2</v>
      </c>
      <c r="BD79" s="163">
        <f t="shared" si="41"/>
        <v>1</v>
      </c>
      <c r="BE79" s="163">
        <f t="shared" si="41"/>
        <v>0</v>
      </c>
      <c r="BF79" s="163">
        <f t="shared" si="41"/>
        <v>1</v>
      </c>
      <c r="BG79" s="643">
        <f t="shared" si="41"/>
        <v>0</v>
      </c>
      <c r="BH79" s="646">
        <f t="shared" si="41"/>
        <v>7</v>
      </c>
      <c r="BI79" s="645">
        <f t="shared" si="41"/>
        <v>5</v>
      </c>
      <c r="BJ79" s="163">
        <f t="shared" si="41"/>
        <v>5</v>
      </c>
      <c r="BK79" s="163">
        <f t="shared" si="41"/>
        <v>0</v>
      </c>
      <c r="BL79" s="163">
        <f t="shared" si="41"/>
        <v>0</v>
      </c>
      <c r="BM79" s="644">
        <f t="shared" si="41"/>
        <v>0</v>
      </c>
      <c r="BN79" s="645">
        <f t="shared" si="41"/>
        <v>2</v>
      </c>
      <c r="BO79" s="163">
        <f t="shared" si="41"/>
        <v>1</v>
      </c>
      <c r="BP79" s="163">
        <f t="shared" si="41"/>
        <v>0</v>
      </c>
      <c r="BQ79" s="163">
        <f t="shared" si="41"/>
        <v>1</v>
      </c>
      <c r="BR79" s="643">
        <f t="shared" si="41"/>
        <v>0</v>
      </c>
      <c r="BS79" s="646">
        <f t="shared" si="41"/>
        <v>18</v>
      </c>
      <c r="BT79" s="645">
        <f t="shared" si="41"/>
        <v>15</v>
      </c>
      <c r="BU79" s="163">
        <f t="shared" si="41"/>
        <v>14</v>
      </c>
      <c r="BV79" s="163">
        <f t="shared" si="41"/>
        <v>0</v>
      </c>
      <c r="BW79" s="163">
        <f t="shared" si="41"/>
        <v>1</v>
      </c>
      <c r="BX79" s="644">
        <f t="shared" si="41"/>
        <v>0</v>
      </c>
      <c r="BY79" s="645">
        <f t="shared" si="41"/>
        <v>3</v>
      </c>
      <c r="BZ79" s="163">
        <f t="shared" si="41"/>
        <v>1</v>
      </c>
      <c r="CA79" s="163">
        <f t="shared" si="41"/>
        <v>0</v>
      </c>
      <c r="CB79" s="163">
        <f t="shared" si="41"/>
        <v>1</v>
      </c>
      <c r="CC79" s="643">
        <f t="shared" si="41"/>
        <v>1</v>
      </c>
      <c r="CD79" s="646">
        <f t="shared" si="41"/>
        <v>3</v>
      </c>
      <c r="CE79" s="645">
        <f t="shared" si="41"/>
        <v>3</v>
      </c>
      <c r="CF79" s="163">
        <f t="shared" si="41"/>
        <v>3</v>
      </c>
      <c r="CG79" s="163">
        <f t="shared" si="41"/>
        <v>0</v>
      </c>
      <c r="CH79" s="163">
        <f t="shared" si="41"/>
        <v>0</v>
      </c>
      <c r="CI79" s="644">
        <f t="shared" si="41"/>
        <v>0</v>
      </c>
      <c r="CJ79" s="645">
        <f t="shared" si="41"/>
        <v>0</v>
      </c>
      <c r="CK79" s="163">
        <f t="shared" si="41"/>
        <v>0</v>
      </c>
      <c r="CL79" s="163">
        <f t="shared" si="41"/>
        <v>0</v>
      </c>
      <c r="CM79" s="163">
        <f t="shared" si="41"/>
        <v>0</v>
      </c>
      <c r="CN79" s="643">
        <f t="shared" si="41"/>
        <v>0</v>
      </c>
      <c r="CO79" s="646">
        <f t="shared" si="41"/>
        <v>1</v>
      </c>
      <c r="CP79" s="645">
        <f t="shared" si="41"/>
        <v>1</v>
      </c>
      <c r="CQ79" s="163">
        <f t="shared" si="41"/>
        <v>1</v>
      </c>
      <c r="CR79" s="163">
        <f t="shared" si="41"/>
        <v>0</v>
      </c>
      <c r="CS79" s="163">
        <f t="shared" si="41"/>
        <v>0</v>
      </c>
      <c r="CT79" s="644">
        <f t="shared" si="39"/>
        <v>0</v>
      </c>
      <c r="CU79" s="645">
        <f t="shared" si="39"/>
        <v>0</v>
      </c>
      <c r="CV79" s="163">
        <f t="shared" si="39"/>
        <v>0</v>
      </c>
      <c r="CW79" s="163">
        <f t="shared" si="39"/>
        <v>0</v>
      </c>
      <c r="CX79" s="163">
        <f t="shared" si="37"/>
        <v>0</v>
      </c>
      <c r="CY79" s="643">
        <f t="shared" si="37"/>
        <v>0</v>
      </c>
      <c r="CZ79" s="646">
        <f t="shared" si="37"/>
        <v>0</v>
      </c>
      <c r="DA79" s="645">
        <f t="shared" si="37"/>
        <v>0</v>
      </c>
      <c r="DB79" s="163">
        <f t="shared" si="37"/>
        <v>0</v>
      </c>
      <c r="DC79" s="163">
        <f t="shared" si="37"/>
        <v>0</v>
      </c>
      <c r="DD79" s="163">
        <f t="shared" si="37"/>
        <v>0</v>
      </c>
      <c r="DE79" s="644">
        <f t="shared" si="37"/>
        <v>0</v>
      </c>
      <c r="DF79" s="645">
        <f t="shared" si="37"/>
        <v>0</v>
      </c>
      <c r="DG79" s="163">
        <f t="shared" si="37"/>
        <v>0</v>
      </c>
      <c r="DH79" s="163">
        <f t="shared" si="37"/>
        <v>0</v>
      </c>
      <c r="DI79" s="163">
        <f t="shared" si="37"/>
        <v>0</v>
      </c>
      <c r="DJ79" s="643">
        <f t="shared" si="36"/>
        <v>0</v>
      </c>
      <c r="DK79" s="646">
        <f t="shared" si="36"/>
        <v>0</v>
      </c>
      <c r="DL79" s="645">
        <f t="shared" si="36"/>
        <v>0</v>
      </c>
      <c r="DM79" s="163">
        <f t="shared" si="36"/>
        <v>0</v>
      </c>
      <c r="DN79" s="163">
        <f t="shared" si="36"/>
        <v>0</v>
      </c>
      <c r="DO79" s="163">
        <f t="shared" si="36"/>
        <v>0</v>
      </c>
      <c r="DP79" s="644">
        <f t="shared" si="36"/>
        <v>0</v>
      </c>
      <c r="DQ79" s="645">
        <f t="shared" si="36"/>
        <v>0</v>
      </c>
      <c r="DR79" s="163">
        <f t="shared" si="36"/>
        <v>0</v>
      </c>
      <c r="DS79" s="163">
        <f t="shared" si="36"/>
        <v>0</v>
      </c>
      <c r="DT79" s="163">
        <f t="shared" si="36"/>
        <v>0</v>
      </c>
      <c r="DU79" s="643">
        <f t="shared" si="36"/>
        <v>0</v>
      </c>
      <c r="DW79" s="646">
        <f t="shared" si="40"/>
        <v>44</v>
      </c>
      <c r="DX79" s="645">
        <f t="shared" si="40"/>
        <v>35</v>
      </c>
      <c r="DY79" s="163">
        <f t="shared" si="40"/>
        <v>31</v>
      </c>
      <c r="DZ79" s="163">
        <f t="shared" si="38"/>
        <v>0</v>
      </c>
      <c r="EA79" s="163">
        <f t="shared" si="38"/>
        <v>4</v>
      </c>
      <c r="EB79" s="644">
        <f t="shared" si="38"/>
        <v>0</v>
      </c>
      <c r="EC79" s="645">
        <f t="shared" si="38"/>
        <v>9</v>
      </c>
      <c r="ED79" s="163">
        <f t="shared" si="38"/>
        <v>4</v>
      </c>
      <c r="EE79" s="163">
        <f t="shared" si="38"/>
        <v>0</v>
      </c>
      <c r="EF79" s="163">
        <f t="shared" si="14"/>
        <v>4</v>
      </c>
      <c r="EG79" s="643">
        <f t="shared" si="14"/>
        <v>1</v>
      </c>
      <c r="EH79" s="646">
        <f t="shared" si="29"/>
        <v>18</v>
      </c>
      <c r="EI79" s="645">
        <f t="shared" si="29"/>
        <v>13</v>
      </c>
      <c r="EJ79" s="163">
        <f t="shared" si="27"/>
        <v>12</v>
      </c>
      <c r="EK79" s="163">
        <f t="shared" si="27"/>
        <v>0</v>
      </c>
      <c r="EL79" s="163">
        <f t="shared" si="27"/>
        <v>1</v>
      </c>
      <c r="EM79" s="644">
        <f t="shared" si="27"/>
        <v>0</v>
      </c>
      <c r="EN79" s="645">
        <f t="shared" si="27"/>
        <v>5</v>
      </c>
      <c r="EO79" s="163">
        <f t="shared" si="27"/>
        <v>4</v>
      </c>
      <c r="EP79" s="163">
        <f t="shared" si="27"/>
        <v>0</v>
      </c>
      <c r="EQ79" s="163">
        <f t="shared" si="27"/>
        <v>1</v>
      </c>
      <c r="ER79" s="643">
        <f t="shared" si="27"/>
        <v>0</v>
      </c>
    </row>
    <row r="80" spans="1:148">
      <c r="A80" s="654" t="s">
        <v>237</v>
      </c>
      <c r="B80" s="658">
        <v>43952</v>
      </c>
      <c r="C80" s="659">
        <v>2020</v>
      </c>
      <c r="D80" s="646">
        <f t="shared" si="10"/>
        <v>109197</v>
      </c>
      <c r="E80" s="646">
        <f t="shared" si="31"/>
        <v>1761</v>
      </c>
      <c r="F80" s="645">
        <f t="shared" si="31"/>
        <v>1337</v>
      </c>
      <c r="G80" s="163">
        <f t="shared" si="31"/>
        <v>1122</v>
      </c>
      <c r="H80" s="163">
        <f t="shared" si="31"/>
        <v>0</v>
      </c>
      <c r="I80" s="163">
        <f t="shared" si="31"/>
        <v>215</v>
      </c>
      <c r="J80" s="644">
        <f t="shared" si="31"/>
        <v>0</v>
      </c>
      <c r="K80" s="645">
        <f t="shared" si="31"/>
        <v>424</v>
      </c>
      <c r="L80" s="163">
        <f t="shared" si="31"/>
        <v>210</v>
      </c>
      <c r="M80" s="163">
        <f t="shared" si="31"/>
        <v>0</v>
      </c>
      <c r="N80" s="163">
        <f t="shared" si="31"/>
        <v>192</v>
      </c>
      <c r="O80" s="643">
        <f t="shared" si="31"/>
        <v>22</v>
      </c>
      <c r="P80" s="646">
        <f t="shared" si="31"/>
        <v>5</v>
      </c>
      <c r="Q80" s="645">
        <f t="shared" si="31"/>
        <v>3</v>
      </c>
      <c r="R80" s="163">
        <f t="shared" si="31"/>
        <v>2</v>
      </c>
      <c r="S80" s="163">
        <f t="shared" si="31"/>
        <v>0</v>
      </c>
      <c r="T80" s="163">
        <f t="shared" ref="T80:AV89" si="42">SUMIFS(T$5:T$36,$B$5:$B$36,$A80)</f>
        <v>1</v>
      </c>
      <c r="U80" s="644">
        <f t="shared" si="42"/>
        <v>0</v>
      </c>
      <c r="V80" s="645">
        <f t="shared" si="42"/>
        <v>2</v>
      </c>
      <c r="W80" s="163">
        <f t="shared" si="42"/>
        <v>1</v>
      </c>
      <c r="X80" s="163">
        <f t="shared" si="42"/>
        <v>0</v>
      </c>
      <c r="Y80" s="163">
        <f t="shared" si="42"/>
        <v>1</v>
      </c>
      <c r="Z80" s="643">
        <f t="shared" si="42"/>
        <v>0</v>
      </c>
      <c r="AA80" s="646">
        <f t="shared" si="42"/>
        <v>1</v>
      </c>
      <c r="AB80" s="645">
        <f t="shared" si="42"/>
        <v>1</v>
      </c>
      <c r="AC80" s="163">
        <f t="shared" si="42"/>
        <v>0</v>
      </c>
      <c r="AD80" s="163">
        <f t="shared" si="42"/>
        <v>0</v>
      </c>
      <c r="AE80" s="163">
        <f t="shared" si="42"/>
        <v>1</v>
      </c>
      <c r="AF80" s="644">
        <f t="shared" si="42"/>
        <v>0</v>
      </c>
      <c r="AG80" s="645">
        <f t="shared" si="42"/>
        <v>0</v>
      </c>
      <c r="AH80" s="163">
        <f t="shared" si="42"/>
        <v>0</v>
      </c>
      <c r="AI80" s="163">
        <f t="shared" si="42"/>
        <v>0</v>
      </c>
      <c r="AJ80" s="163">
        <f t="shared" si="42"/>
        <v>0</v>
      </c>
      <c r="AK80" s="643">
        <f t="shared" si="42"/>
        <v>0</v>
      </c>
      <c r="AL80" s="646">
        <f t="shared" si="42"/>
        <v>18</v>
      </c>
      <c r="AM80" s="645">
        <f t="shared" si="42"/>
        <v>13</v>
      </c>
      <c r="AN80" s="163">
        <f t="shared" si="42"/>
        <v>12</v>
      </c>
      <c r="AO80" s="163">
        <f t="shared" si="42"/>
        <v>0</v>
      </c>
      <c r="AP80" s="163">
        <f t="shared" si="42"/>
        <v>1</v>
      </c>
      <c r="AQ80" s="644">
        <f t="shared" si="42"/>
        <v>0</v>
      </c>
      <c r="AR80" s="645">
        <f t="shared" si="42"/>
        <v>5</v>
      </c>
      <c r="AS80" s="163">
        <f t="shared" si="42"/>
        <v>4</v>
      </c>
      <c r="AT80" s="163">
        <f t="shared" si="42"/>
        <v>0</v>
      </c>
      <c r="AU80" s="163">
        <f t="shared" si="42"/>
        <v>1</v>
      </c>
      <c r="AV80" s="643">
        <f t="shared" si="42"/>
        <v>0</v>
      </c>
      <c r="AW80" s="646">
        <f t="shared" si="41"/>
        <v>9</v>
      </c>
      <c r="AX80" s="645">
        <f t="shared" si="41"/>
        <v>7</v>
      </c>
      <c r="AY80" s="163">
        <f t="shared" si="41"/>
        <v>6</v>
      </c>
      <c r="AZ80" s="163">
        <f t="shared" si="41"/>
        <v>0</v>
      </c>
      <c r="BA80" s="163">
        <f t="shared" si="41"/>
        <v>1</v>
      </c>
      <c r="BB80" s="644">
        <f t="shared" si="41"/>
        <v>0</v>
      </c>
      <c r="BC80" s="645">
        <f t="shared" si="41"/>
        <v>2</v>
      </c>
      <c r="BD80" s="163">
        <f t="shared" si="41"/>
        <v>1</v>
      </c>
      <c r="BE80" s="163">
        <f t="shared" si="41"/>
        <v>0</v>
      </c>
      <c r="BF80" s="163">
        <f t="shared" si="41"/>
        <v>1</v>
      </c>
      <c r="BG80" s="643">
        <f t="shared" si="41"/>
        <v>0</v>
      </c>
      <c r="BH80" s="646">
        <f t="shared" si="41"/>
        <v>7</v>
      </c>
      <c r="BI80" s="645">
        <f t="shared" si="41"/>
        <v>5</v>
      </c>
      <c r="BJ80" s="163">
        <f t="shared" si="41"/>
        <v>5</v>
      </c>
      <c r="BK80" s="163">
        <f t="shared" si="41"/>
        <v>0</v>
      </c>
      <c r="BL80" s="163">
        <f t="shared" si="41"/>
        <v>0</v>
      </c>
      <c r="BM80" s="644">
        <f t="shared" si="41"/>
        <v>0</v>
      </c>
      <c r="BN80" s="645">
        <f t="shared" si="41"/>
        <v>2</v>
      </c>
      <c r="BO80" s="163">
        <f t="shared" si="41"/>
        <v>1</v>
      </c>
      <c r="BP80" s="163">
        <f t="shared" si="41"/>
        <v>0</v>
      </c>
      <c r="BQ80" s="163">
        <f t="shared" si="41"/>
        <v>1</v>
      </c>
      <c r="BR80" s="643">
        <f t="shared" si="41"/>
        <v>0</v>
      </c>
      <c r="BS80" s="646">
        <f t="shared" si="41"/>
        <v>18</v>
      </c>
      <c r="BT80" s="645">
        <f t="shared" si="41"/>
        <v>15</v>
      </c>
      <c r="BU80" s="163">
        <f t="shared" si="41"/>
        <v>14</v>
      </c>
      <c r="BV80" s="163">
        <f t="shared" si="41"/>
        <v>0</v>
      </c>
      <c r="BW80" s="163">
        <f t="shared" si="41"/>
        <v>1</v>
      </c>
      <c r="BX80" s="644">
        <f t="shared" si="41"/>
        <v>0</v>
      </c>
      <c r="BY80" s="645">
        <f t="shared" si="41"/>
        <v>3</v>
      </c>
      <c r="BZ80" s="163">
        <f t="shared" si="41"/>
        <v>1</v>
      </c>
      <c r="CA80" s="163">
        <f t="shared" si="41"/>
        <v>0</v>
      </c>
      <c r="CB80" s="163">
        <f t="shared" si="41"/>
        <v>1</v>
      </c>
      <c r="CC80" s="643">
        <f t="shared" si="41"/>
        <v>1</v>
      </c>
      <c r="CD80" s="646">
        <f t="shared" si="41"/>
        <v>3</v>
      </c>
      <c r="CE80" s="645">
        <f t="shared" si="41"/>
        <v>3</v>
      </c>
      <c r="CF80" s="163">
        <f t="shared" si="41"/>
        <v>3</v>
      </c>
      <c r="CG80" s="163">
        <f t="shared" si="41"/>
        <v>0</v>
      </c>
      <c r="CH80" s="163">
        <f t="shared" si="41"/>
        <v>0</v>
      </c>
      <c r="CI80" s="644">
        <f t="shared" si="41"/>
        <v>0</v>
      </c>
      <c r="CJ80" s="645">
        <f t="shared" si="41"/>
        <v>0</v>
      </c>
      <c r="CK80" s="163">
        <f t="shared" si="41"/>
        <v>0</v>
      </c>
      <c r="CL80" s="163">
        <f t="shared" si="41"/>
        <v>0</v>
      </c>
      <c r="CM80" s="163">
        <f t="shared" si="41"/>
        <v>0</v>
      </c>
      <c r="CN80" s="643">
        <f t="shared" si="41"/>
        <v>0</v>
      </c>
      <c r="CO80" s="646">
        <f t="shared" si="41"/>
        <v>1</v>
      </c>
      <c r="CP80" s="645">
        <f t="shared" si="41"/>
        <v>1</v>
      </c>
      <c r="CQ80" s="163">
        <f t="shared" si="41"/>
        <v>1</v>
      </c>
      <c r="CR80" s="163">
        <f t="shared" si="41"/>
        <v>0</v>
      </c>
      <c r="CS80" s="163">
        <f t="shared" si="41"/>
        <v>0</v>
      </c>
      <c r="CT80" s="644">
        <f t="shared" si="41"/>
        <v>0</v>
      </c>
      <c r="CU80" s="645">
        <f t="shared" si="39"/>
        <v>0</v>
      </c>
      <c r="CV80" s="163">
        <f t="shared" si="39"/>
        <v>0</v>
      </c>
      <c r="CW80" s="163">
        <f t="shared" si="39"/>
        <v>0</v>
      </c>
      <c r="CX80" s="163">
        <f t="shared" si="37"/>
        <v>0</v>
      </c>
      <c r="CY80" s="643">
        <f t="shared" si="37"/>
        <v>0</v>
      </c>
      <c r="CZ80" s="646">
        <f t="shared" si="37"/>
        <v>0</v>
      </c>
      <c r="DA80" s="645">
        <f t="shared" si="37"/>
        <v>0</v>
      </c>
      <c r="DB80" s="163">
        <f t="shared" si="37"/>
        <v>0</v>
      </c>
      <c r="DC80" s="163">
        <f t="shared" si="37"/>
        <v>0</v>
      </c>
      <c r="DD80" s="163">
        <f t="shared" si="37"/>
        <v>0</v>
      </c>
      <c r="DE80" s="644">
        <f t="shared" si="37"/>
        <v>0</v>
      </c>
      <c r="DF80" s="645">
        <f t="shared" si="37"/>
        <v>0</v>
      </c>
      <c r="DG80" s="163">
        <f t="shared" si="37"/>
        <v>0</v>
      </c>
      <c r="DH80" s="163">
        <f t="shared" si="37"/>
        <v>0</v>
      </c>
      <c r="DI80" s="163">
        <f t="shared" si="37"/>
        <v>0</v>
      </c>
      <c r="DJ80" s="643">
        <f t="shared" si="36"/>
        <v>0</v>
      </c>
      <c r="DK80" s="646">
        <f t="shared" si="36"/>
        <v>0</v>
      </c>
      <c r="DL80" s="645">
        <f t="shared" si="36"/>
        <v>0</v>
      </c>
      <c r="DM80" s="163">
        <f t="shared" si="36"/>
        <v>0</v>
      </c>
      <c r="DN80" s="163">
        <f t="shared" si="36"/>
        <v>0</v>
      </c>
      <c r="DO80" s="163">
        <f t="shared" si="36"/>
        <v>0</v>
      </c>
      <c r="DP80" s="644">
        <f t="shared" si="36"/>
        <v>0</v>
      </c>
      <c r="DQ80" s="645">
        <f t="shared" si="36"/>
        <v>0</v>
      </c>
      <c r="DR80" s="163">
        <f t="shared" si="36"/>
        <v>0</v>
      </c>
      <c r="DS80" s="163">
        <f t="shared" si="36"/>
        <v>0</v>
      </c>
      <c r="DT80" s="163">
        <f t="shared" si="36"/>
        <v>0</v>
      </c>
      <c r="DU80" s="643">
        <f t="shared" si="36"/>
        <v>0</v>
      </c>
      <c r="DW80" s="646">
        <f t="shared" si="40"/>
        <v>44</v>
      </c>
      <c r="DX80" s="645">
        <f t="shared" si="40"/>
        <v>35</v>
      </c>
      <c r="DY80" s="163">
        <f t="shared" si="40"/>
        <v>31</v>
      </c>
      <c r="DZ80" s="163">
        <f t="shared" si="38"/>
        <v>0</v>
      </c>
      <c r="EA80" s="163">
        <f t="shared" si="38"/>
        <v>4</v>
      </c>
      <c r="EB80" s="644">
        <f t="shared" si="38"/>
        <v>0</v>
      </c>
      <c r="EC80" s="645">
        <f t="shared" si="38"/>
        <v>9</v>
      </c>
      <c r="ED80" s="163">
        <f t="shared" si="38"/>
        <v>4</v>
      </c>
      <c r="EE80" s="163">
        <f t="shared" si="38"/>
        <v>0</v>
      </c>
      <c r="EF80" s="163">
        <f t="shared" si="14"/>
        <v>4</v>
      </c>
      <c r="EG80" s="643">
        <f t="shared" si="14"/>
        <v>1</v>
      </c>
      <c r="EH80" s="646">
        <f t="shared" si="29"/>
        <v>18</v>
      </c>
      <c r="EI80" s="645">
        <f t="shared" si="29"/>
        <v>13</v>
      </c>
      <c r="EJ80" s="163">
        <f t="shared" si="27"/>
        <v>12</v>
      </c>
      <c r="EK80" s="163">
        <f t="shared" si="27"/>
        <v>0</v>
      </c>
      <c r="EL80" s="163">
        <f t="shared" si="27"/>
        <v>1</v>
      </c>
      <c r="EM80" s="644">
        <f t="shared" si="27"/>
        <v>0</v>
      </c>
      <c r="EN80" s="645">
        <f t="shared" si="27"/>
        <v>5</v>
      </c>
      <c r="EO80" s="163">
        <f t="shared" si="27"/>
        <v>4</v>
      </c>
      <c r="EP80" s="163">
        <f t="shared" si="27"/>
        <v>0</v>
      </c>
      <c r="EQ80" s="163">
        <f t="shared" si="27"/>
        <v>1</v>
      </c>
      <c r="ER80" s="643">
        <f t="shared" si="27"/>
        <v>0</v>
      </c>
    </row>
    <row r="81" spans="1:148">
      <c r="A81" s="654" t="s">
        <v>237</v>
      </c>
      <c r="B81" s="658">
        <v>43983</v>
      </c>
      <c r="C81" s="659">
        <v>2020</v>
      </c>
      <c r="D81" s="646">
        <f t="shared" si="10"/>
        <v>109197</v>
      </c>
      <c r="E81" s="646">
        <f t="shared" ref="E81:T96" si="43">SUMIFS(E$5:E$36,$B$5:$B$36,$A81)</f>
        <v>1761</v>
      </c>
      <c r="F81" s="645">
        <f t="shared" si="43"/>
        <v>1337</v>
      </c>
      <c r="G81" s="163">
        <f t="shared" si="43"/>
        <v>1122</v>
      </c>
      <c r="H81" s="163">
        <f t="shared" si="43"/>
        <v>0</v>
      </c>
      <c r="I81" s="163">
        <f t="shared" si="43"/>
        <v>215</v>
      </c>
      <c r="J81" s="644">
        <f t="shared" si="43"/>
        <v>0</v>
      </c>
      <c r="K81" s="645">
        <f t="shared" si="43"/>
        <v>424</v>
      </c>
      <c r="L81" s="163">
        <f t="shared" si="43"/>
        <v>210</v>
      </c>
      <c r="M81" s="163">
        <f t="shared" si="43"/>
        <v>0</v>
      </c>
      <c r="N81" s="163">
        <f t="shared" si="43"/>
        <v>192</v>
      </c>
      <c r="O81" s="643">
        <f t="shared" si="43"/>
        <v>22</v>
      </c>
      <c r="P81" s="646">
        <f t="shared" si="43"/>
        <v>5</v>
      </c>
      <c r="Q81" s="645">
        <f t="shared" si="43"/>
        <v>3</v>
      </c>
      <c r="R81" s="163">
        <f t="shared" si="43"/>
        <v>2</v>
      </c>
      <c r="S81" s="163">
        <f t="shared" si="43"/>
        <v>0</v>
      </c>
      <c r="T81" s="163">
        <f t="shared" si="43"/>
        <v>1</v>
      </c>
      <c r="U81" s="644">
        <f t="shared" si="42"/>
        <v>0</v>
      </c>
      <c r="V81" s="645">
        <f t="shared" si="42"/>
        <v>2</v>
      </c>
      <c r="W81" s="163">
        <f t="shared" si="42"/>
        <v>1</v>
      </c>
      <c r="X81" s="163">
        <f t="shared" si="42"/>
        <v>0</v>
      </c>
      <c r="Y81" s="163">
        <f t="shared" si="42"/>
        <v>1</v>
      </c>
      <c r="Z81" s="643">
        <f t="shared" si="42"/>
        <v>0</v>
      </c>
      <c r="AA81" s="646">
        <f t="shared" si="42"/>
        <v>1</v>
      </c>
      <c r="AB81" s="645">
        <f t="shared" si="42"/>
        <v>1</v>
      </c>
      <c r="AC81" s="163">
        <f t="shared" si="42"/>
        <v>0</v>
      </c>
      <c r="AD81" s="163">
        <f t="shared" si="42"/>
        <v>0</v>
      </c>
      <c r="AE81" s="163">
        <f t="shared" si="42"/>
        <v>1</v>
      </c>
      <c r="AF81" s="644">
        <f t="shared" si="42"/>
        <v>0</v>
      </c>
      <c r="AG81" s="645">
        <f t="shared" si="42"/>
        <v>0</v>
      </c>
      <c r="AH81" s="163">
        <f t="shared" si="42"/>
        <v>0</v>
      </c>
      <c r="AI81" s="163">
        <f t="shared" si="42"/>
        <v>0</v>
      </c>
      <c r="AJ81" s="163">
        <f t="shared" si="42"/>
        <v>0</v>
      </c>
      <c r="AK81" s="643">
        <f t="shared" si="42"/>
        <v>0</v>
      </c>
      <c r="AL81" s="646">
        <f t="shared" si="42"/>
        <v>18</v>
      </c>
      <c r="AM81" s="645">
        <f t="shared" si="42"/>
        <v>13</v>
      </c>
      <c r="AN81" s="163">
        <f t="shared" si="42"/>
        <v>12</v>
      </c>
      <c r="AO81" s="163">
        <f t="shared" si="42"/>
        <v>0</v>
      </c>
      <c r="AP81" s="163">
        <f t="shared" si="42"/>
        <v>1</v>
      </c>
      <c r="AQ81" s="644">
        <f t="shared" si="42"/>
        <v>0</v>
      </c>
      <c r="AR81" s="645">
        <f t="shared" si="42"/>
        <v>5</v>
      </c>
      <c r="AS81" s="163">
        <f t="shared" si="42"/>
        <v>4</v>
      </c>
      <c r="AT81" s="163">
        <f t="shared" si="42"/>
        <v>0</v>
      </c>
      <c r="AU81" s="163">
        <f t="shared" si="42"/>
        <v>1</v>
      </c>
      <c r="AV81" s="643">
        <f t="shared" si="42"/>
        <v>0</v>
      </c>
      <c r="AW81" s="646">
        <f t="shared" si="41"/>
        <v>9</v>
      </c>
      <c r="AX81" s="645">
        <f t="shared" si="41"/>
        <v>7</v>
      </c>
      <c r="AY81" s="163">
        <f t="shared" si="41"/>
        <v>6</v>
      </c>
      <c r="AZ81" s="163">
        <f t="shared" si="41"/>
        <v>0</v>
      </c>
      <c r="BA81" s="163">
        <f t="shared" si="41"/>
        <v>1</v>
      </c>
      <c r="BB81" s="644">
        <f t="shared" si="41"/>
        <v>0</v>
      </c>
      <c r="BC81" s="645">
        <f t="shared" si="41"/>
        <v>2</v>
      </c>
      <c r="BD81" s="163">
        <f t="shared" si="41"/>
        <v>1</v>
      </c>
      <c r="BE81" s="163">
        <f t="shared" si="41"/>
        <v>0</v>
      </c>
      <c r="BF81" s="163">
        <f t="shared" si="41"/>
        <v>1</v>
      </c>
      <c r="BG81" s="643">
        <f t="shared" si="41"/>
        <v>0</v>
      </c>
      <c r="BH81" s="646">
        <f t="shared" si="41"/>
        <v>7</v>
      </c>
      <c r="BI81" s="645">
        <f t="shared" si="41"/>
        <v>5</v>
      </c>
      <c r="BJ81" s="163">
        <f t="shared" si="41"/>
        <v>5</v>
      </c>
      <c r="BK81" s="163">
        <f t="shared" si="41"/>
        <v>0</v>
      </c>
      <c r="BL81" s="163">
        <f t="shared" si="41"/>
        <v>0</v>
      </c>
      <c r="BM81" s="644">
        <f t="shared" si="41"/>
        <v>0</v>
      </c>
      <c r="BN81" s="645">
        <f t="shared" si="41"/>
        <v>2</v>
      </c>
      <c r="BO81" s="163">
        <f t="shared" si="41"/>
        <v>1</v>
      </c>
      <c r="BP81" s="163">
        <f t="shared" si="41"/>
        <v>0</v>
      </c>
      <c r="BQ81" s="163">
        <f t="shared" si="41"/>
        <v>1</v>
      </c>
      <c r="BR81" s="643">
        <f t="shared" si="41"/>
        <v>0</v>
      </c>
      <c r="BS81" s="646">
        <f t="shared" si="41"/>
        <v>18</v>
      </c>
      <c r="BT81" s="645">
        <f t="shared" si="41"/>
        <v>15</v>
      </c>
      <c r="BU81" s="163">
        <f t="shared" si="41"/>
        <v>14</v>
      </c>
      <c r="BV81" s="163">
        <f t="shared" si="41"/>
        <v>0</v>
      </c>
      <c r="BW81" s="163">
        <f t="shared" si="41"/>
        <v>1</v>
      </c>
      <c r="BX81" s="644">
        <f t="shared" si="41"/>
        <v>0</v>
      </c>
      <c r="BY81" s="645">
        <f t="shared" si="41"/>
        <v>3</v>
      </c>
      <c r="BZ81" s="163">
        <f t="shared" si="41"/>
        <v>1</v>
      </c>
      <c r="CA81" s="163">
        <f t="shared" si="41"/>
        <v>0</v>
      </c>
      <c r="CB81" s="163">
        <f t="shared" si="41"/>
        <v>1</v>
      </c>
      <c r="CC81" s="643">
        <f t="shared" si="41"/>
        <v>1</v>
      </c>
      <c r="CD81" s="646">
        <f t="shared" si="41"/>
        <v>3</v>
      </c>
      <c r="CE81" s="645">
        <f t="shared" si="41"/>
        <v>3</v>
      </c>
      <c r="CF81" s="163">
        <f t="shared" si="41"/>
        <v>3</v>
      </c>
      <c r="CG81" s="163">
        <f t="shared" si="41"/>
        <v>0</v>
      </c>
      <c r="CH81" s="163">
        <f t="shared" si="41"/>
        <v>0</v>
      </c>
      <c r="CI81" s="644">
        <f t="shared" si="41"/>
        <v>0</v>
      </c>
      <c r="CJ81" s="645">
        <f t="shared" si="41"/>
        <v>0</v>
      </c>
      <c r="CK81" s="163">
        <f t="shared" si="41"/>
        <v>0</v>
      </c>
      <c r="CL81" s="163">
        <f t="shared" si="41"/>
        <v>0</v>
      </c>
      <c r="CM81" s="163">
        <f t="shared" si="41"/>
        <v>0</v>
      </c>
      <c r="CN81" s="643">
        <f t="shared" si="41"/>
        <v>0</v>
      </c>
      <c r="CO81" s="646">
        <f t="shared" si="41"/>
        <v>1</v>
      </c>
      <c r="CP81" s="645">
        <f t="shared" si="41"/>
        <v>1</v>
      </c>
      <c r="CQ81" s="163">
        <f t="shared" si="41"/>
        <v>1</v>
      </c>
      <c r="CR81" s="163">
        <f t="shared" si="41"/>
        <v>0</v>
      </c>
      <c r="CS81" s="163">
        <f t="shared" si="41"/>
        <v>0</v>
      </c>
      <c r="CT81" s="644">
        <f t="shared" si="41"/>
        <v>0</v>
      </c>
      <c r="CU81" s="645">
        <f t="shared" si="39"/>
        <v>0</v>
      </c>
      <c r="CV81" s="163">
        <f t="shared" si="39"/>
        <v>0</v>
      </c>
      <c r="CW81" s="163">
        <f t="shared" si="39"/>
        <v>0</v>
      </c>
      <c r="CX81" s="163">
        <f t="shared" si="37"/>
        <v>0</v>
      </c>
      <c r="CY81" s="643">
        <f t="shared" si="37"/>
        <v>0</v>
      </c>
      <c r="CZ81" s="646">
        <f t="shared" si="37"/>
        <v>0</v>
      </c>
      <c r="DA81" s="645">
        <f t="shared" si="37"/>
        <v>0</v>
      </c>
      <c r="DB81" s="163">
        <f t="shared" si="37"/>
        <v>0</v>
      </c>
      <c r="DC81" s="163">
        <f t="shared" si="37"/>
        <v>0</v>
      </c>
      <c r="DD81" s="163">
        <f t="shared" si="37"/>
        <v>0</v>
      </c>
      <c r="DE81" s="644">
        <f t="shared" si="37"/>
        <v>0</v>
      </c>
      <c r="DF81" s="645">
        <f t="shared" si="37"/>
        <v>0</v>
      </c>
      <c r="DG81" s="163">
        <f t="shared" si="37"/>
        <v>0</v>
      </c>
      <c r="DH81" s="163">
        <f t="shared" si="37"/>
        <v>0</v>
      </c>
      <c r="DI81" s="163">
        <f t="shared" si="37"/>
        <v>0</v>
      </c>
      <c r="DJ81" s="643">
        <f t="shared" si="36"/>
        <v>0</v>
      </c>
      <c r="DK81" s="646">
        <f t="shared" si="36"/>
        <v>0</v>
      </c>
      <c r="DL81" s="645">
        <f t="shared" si="36"/>
        <v>0</v>
      </c>
      <c r="DM81" s="163">
        <f t="shared" si="36"/>
        <v>0</v>
      </c>
      <c r="DN81" s="163">
        <f t="shared" si="36"/>
        <v>0</v>
      </c>
      <c r="DO81" s="163">
        <f t="shared" si="36"/>
        <v>0</v>
      </c>
      <c r="DP81" s="644">
        <f t="shared" si="36"/>
        <v>0</v>
      </c>
      <c r="DQ81" s="645">
        <f t="shared" si="36"/>
        <v>0</v>
      </c>
      <c r="DR81" s="163">
        <f t="shared" si="36"/>
        <v>0</v>
      </c>
      <c r="DS81" s="163">
        <f t="shared" si="36"/>
        <v>0</v>
      </c>
      <c r="DT81" s="163">
        <f t="shared" si="36"/>
        <v>0</v>
      </c>
      <c r="DU81" s="643">
        <f t="shared" si="36"/>
        <v>0</v>
      </c>
      <c r="DW81" s="646">
        <f t="shared" si="40"/>
        <v>44</v>
      </c>
      <c r="DX81" s="645">
        <f t="shared" si="40"/>
        <v>35</v>
      </c>
      <c r="DY81" s="163">
        <f t="shared" si="40"/>
        <v>31</v>
      </c>
      <c r="DZ81" s="163">
        <f t="shared" si="38"/>
        <v>0</v>
      </c>
      <c r="EA81" s="163">
        <f t="shared" si="38"/>
        <v>4</v>
      </c>
      <c r="EB81" s="644">
        <f t="shared" si="38"/>
        <v>0</v>
      </c>
      <c r="EC81" s="645">
        <f t="shared" si="38"/>
        <v>9</v>
      </c>
      <c r="ED81" s="163">
        <f t="shared" si="38"/>
        <v>4</v>
      </c>
      <c r="EE81" s="163">
        <f t="shared" si="38"/>
        <v>0</v>
      </c>
      <c r="EF81" s="163">
        <f t="shared" si="14"/>
        <v>4</v>
      </c>
      <c r="EG81" s="643">
        <f t="shared" si="14"/>
        <v>1</v>
      </c>
      <c r="EH81" s="646">
        <f t="shared" si="29"/>
        <v>18</v>
      </c>
      <c r="EI81" s="645">
        <f t="shared" si="29"/>
        <v>13</v>
      </c>
      <c r="EJ81" s="163">
        <f t="shared" si="27"/>
        <v>12</v>
      </c>
      <c r="EK81" s="163">
        <f t="shared" si="27"/>
        <v>0</v>
      </c>
      <c r="EL81" s="163">
        <f t="shared" si="27"/>
        <v>1</v>
      </c>
      <c r="EM81" s="644">
        <f t="shared" si="27"/>
        <v>0</v>
      </c>
      <c r="EN81" s="645">
        <f t="shared" si="27"/>
        <v>5</v>
      </c>
      <c r="EO81" s="163">
        <f t="shared" si="27"/>
        <v>4</v>
      </c>
      <c r="EP81" s="163">
        <f t="shared" si="27"/>
        <v>0</v>
      </c>
      <c r="EQ81" s="163">
        <f t="shared" si="27"/>
        <v>1</v>
      </c>
      <c r="ER81" s="643">
        <f t="shared" si="27"/>
        <v>0</v>
      </c>
    </row>
    <row r="82" spans="1:148">
      <c r="A82" s="654" t="s">
        <v>238</v>
      </c>
      <c r="B82" s="658">
        <v>44013</v>
      </c>
      <c r="C82" s="659">
        <v>2020</v>
      </c>
      <c r="D82" s="646">
        <f t="shared" si="10"/>
        <v>198406</v>
      </c>
      <c r="E82" s="646">
        <f t="shared" si="43"/>
        <v>3568</v>
      </c>
      <c r="F82" s="645">
        <f t="shared" si="43"/>
        <v>2807</v>
      </c>
      <c r="G82" s="163">
        <f t="shared" si="43"/>
        <v>1479</v>
      </c>
      <c r="H82" s="163">
        <f t="shared" si="43"/>
        <v>0</v>
      </c>
      <c r="I82" s="163">
        <f t="shared" si="43"/>
        <v>1328</v>
      </c>
      <c r="J82" s="644">
        <f t="shared" si="43"/>
        <v>0</v>
      </c>
      <c r="K82" s="645">
        <f t="shared" si="43"/>
        <v>761</v>
      </c>
      <c r="L82" s="163">
        <f t="shared" si="43"/>
        <v>324</v>
      </c>
      <c r="M82" s="163">
        <f t="shared" si="43"/>
        <v>0</v>
      </c>
      <c r="N82" s="163">
        <f t="shared" si="43"/>
        <v>405</v>
      </c>
      <c r="O82" s="643">
        <f t="shared" si="43"/>
        <v>32</v>
      </c>
      <c r="P82" s="646">
        <f t="shared" si="43"/>
        <v>7</v>
      </c>
      <c r="Q82" s="645">
        <f t="shared" si="43"/>
        <v>6</v>
      </c>
      <c r="R82" s="163">
        <f t="shared" si="43"/>
        <v>4</v>
      </c>
      <c r="S82" s="163">
        <f t="shared" si="43"/>
        <v>0</v>
      </c>
      <c r="T82" s="163">
        <f t="shared" si="43"/>
        <v>2</v>
      </c>
      <c r="U82" s="644">
        <f t="shared" si="42"/>
        <v>0</v>
      </c>
      <c r="V82" s="645">
        <f t="shared" si="42"/>
        <v>1</v>
      </c>
      <c r="W82" s="163">
        <f t="shared" si="42"/>
        <v>1</v>
      </c>
      <c r="X82" s="163">
        <f t="shared" si="42"/>
        <v>0</v>
      </c>
      <c r="Y82" s="163">
        <f t="shared" si="42"/>
        <v>0</v>
      </c>
      <c r="Z82" s="643">
        <f t="shared" si="42"/>
        <v>0</v>
      </c>
      <c r="AA82" s="646">
        <f t="shared" si="42"/>
        <v>7</v>
      </c>
      <c r="AB82" s="645">
        <f t="shared" si="42"/>
        <v>5</v>
      </c>
      <c r="AC82" s="163">
        <f t="shared" si="42"/>
        <v>3</v>
      </c>
      <c r="AD82" s="163">
        <f t="shared" si="42"/>
        <v>0</v>
      </c>
      <c r="AE82" s="163">
        <f t="shared" si="42"/>
        <v>2</v>
      </c>
      <c r="AF82" s="644">
        <f t="shared" si="42"/>
        <v>0</v>
      </c>
      <c r="AG82" s="645">
        <f t="shared" si="42"/>
        <v>2</v>
      </c>
      <c r="AH82" s="163">
        <f t="shared" si="42"/>
        <v>2</v>
      </c>
      <c r="AI82" s="163">
        <f t="shared" si="42"/>
        <v>0</v>
      </c>
      <c r="AJ82" s="163">
        <f t="shared" si="42"/>
        <v>0</v>
      </c>
      <c r="AK82" s="643">
        <f t="shared" si="42"/>
        <v>0</v>
      </c>
      <c r="AL82" s="646">
        <f t="shared" si="42"/>
        <v>29</v>
      </c>
      <c r="AM82" s="645">
        <f t="shared" si="42"/>
        <v>25</v>
      </c>
      <c r="AN82" s="163">
        <f t="shared" si="42"/>
        <v>13</v>
      </c>
      <c r="AO82" s="163">
        <f t="shared" si="42"/>
        <v>0</v>
      </c>
      <c r="AP82" s="163">
        <f t="shared" si="42"/>
        <v>12</v>
      </c>
      <c r="AQ82" s="644">
        <f t="shared" si="42"/>
        <v>0</v>
      </c>
      <c r="AR82" s="645">
        <f t="shared" si="42"/>
        <v>4</v>
      </c>
      <c r="AS82" s="163">
        <f t="shared" si="42"/>
        <v>0</v>
      </c>
      <c r="AT82" s="163">
        <f t="shared" si="42"/>
        <v>0</v>
      </c>
      <c r="AU82" s="163">
        <f t="shared" si="42"/>
        <v>3</v>
      </c>
      <c r="AV82" s="643">
        <f t="shared" si="42"/>
        <v>1</v>
      </c>
      <c r="AW82" s="646">
        <f t="shared" si="41"/>
        <v>14</v>
      </c>
      <c r="AX82" s="645">
        <f t="shared" si="41"/>
        <v>11</v>
      </c>
      <c r="AY82" s="163">
        <f t="shared" si="41"/>
        <v>3</v>
      </c>
      <c r="AZ82" s="163">
        <f t="shared" si="41"/>
        <v>0</v>
      </c>
      <c r="BA82" s="163">
        <f t="shared" si="41"/>
        <v>8</v>
      </c>
      <c r="BB82" s="644">
        <f t="shared" si="41"/>
        <v>0</v>
      </c>
      <c r="BC82" s="645">
        <f t="shared" si="41"/>
        <v>3</v>
      </c>
      <c r="BD82" s="163">
        <f t="shared" si="41"/>
        <v>1</v>
      </c>
      <c r="BE82" s="163">
        <f t="shared" si="41"/>
        <v>0</v>
      </c>
      <c r="BF82" s="163">
        <f t="shared" si="41"/>
        <v>2</v>
      </c>
      <c r="BG82" s="643">
        <f t="shared" si="41"/>
        <v>0</v>
      </c>
      <c r="BH82" s="646">
        <f t="shared" si="41"/>
        <v>18</v>
      </c>
      <c r="BI82" s="645">
        <f t="shared" si="41"/>
        <v>16</v>
      </c>
      <c r="BJ82" s="163">
        <f t="shared" si="41"/>
        <v>10</v>
      </c>
      <c r="BK82" s="163">
        <f t="shared" si="41"/>
        <v>0</v>
      </c>
      <c r="BL82" s="163">
        <f t="shared" si="41"/>
        <v>6</v>
      </c>
      <c r="BM82" s="644">
        <f t="shared" si="41"/>
        <v>0</v>
      </c>
      <c r="BN82" s="645">
        <f t="shared" si="41"/>
        <v>2</v>
      </c>
      <c r="BO82" s="163">
        <f t="shared" si="41"/>
        <v>1</v>
      </c>
      <c r="BP82" s="163">
        <f t="shared" si="41"/>
        <v>0</v>
      </c>
      <c r="BQ82" s="163">
        <f t="shared" si="41"/>
        <v>1</v>
      </c>
      <c r="BR82" s="643">
        <f t="shared" si="41"/>
        <v>0</v>
      </c>
      <c r="BS82" s="646">
        <f t="shared" si="41"/>
        <v>32</v>
      </c>
      <c r="BT82" s="645">
        <f t="shared" si="41"/>
        <v>31</v>
      </c>
      <c r="BU82" s="163">
        <f t="shared" si="41"/>
        <v>18</v>
      </c>
      <c r="BV82" s="163">
        <f t="shared" si="41"/>
        <v>0</v>
      </c>
      <c r="BW82" s="163">
        <f t="shared" si="41"/>
        <v>13</v>
      </c>
      <c r="BX82" s="644">
        <f t="shared" si="41"/>
        <v>0</v>
      </c>
      <c r="BY82" s="645">
        <f t="shared" si="41"/>
        <v>1</v>
      </c>
      <c r="BZ82" s="163">
        <f t="shared" si="41"/>
        <v>1</v>
      </c>
      <c r="CA82" s="163">
        <f t="shared" si="41"/>
        <v>0</v>
      </c>
      <c r="CB82" s="163">
        <f t="shared" si="41"/>
        <v>0</v>
      </c>
      <c r="CC82" s="643">
        <f t="shared" si="41"/>
        <v>0</v>
      </c>
      <c r="CD82" s="646">
        <f t="shared" si="41"/>
        <v>6</v>
      </c>
      <c r="CE82" s="645">
        <f t="shared" si="41"/>
        <v>6</v>
      </c>
      <c r="CF82" s="163">
        <f t="shared" si="41"/>
        <v>3</v>
      </c>
      <c r="CG82" s="163">
        <f t="shared" si="41"/>
        <v>0</v>
      </c>
      <c r="CH82" s="163">
        <f t="shared" si="41"/>
        <v>3</v>
      </c>
      <c r="CI82" s="644">
        <f t="shared" si="41"/>
        <v>0</v>
      </c>
      <c r="CJ82" s="645">
        <f t="shared" si="41"/>
        <v>0</v>
      </c>
      <c r="CK82" s="163">
        <f t="shared" si="41"/>
        <v>0</v>
      </c>
      <c r="CL82" s="163">
        <f t="shared" si="41"/>
        <v>0</v>
      </c>
      <c r="CM82" s="163">
        <f t="shared" si="41"/>
        <v>0</v>
      </c>
      <c r="CN82" s="643">
        <f t="shared" si="41"/>
        <v>0</v>
      </c>
      <c r="CO82" s="646">
        <f t="shared" si="41"/>
        <v>5</v>
      </c>
      <c r="CP82" s="645">
        <f t="shared" si="41"/>
        <v>5</v>
      </c>
      <c r="CQ82" s="163">
        <f t="shared" si="41"/>
        <v>2</v>
      </c>
      <c r="CR82" s="163">
        <f t="shared" si="41"/>
        <v>0</v>
      </c>
      <c r="CS82" s="163">
        <f t="shared" si="41"/>
        <v>3</v>
      </c>
      <c r="CT82" s="644">
        <f t="shared" si="41"/>
        <v>0</v>
      </c>
      <c r="CU82" s="645">
        <f t="shared" si="39"/>
        <v>0</v>
      </c>
      <c r="CV82" s="163">
        <f t="shared" si="39"/>
        <v>0</v>
      </c>
      <c r="CW82" s="163">
        <f t="shared" si="39"/>
        <v>0</v>
      </c>
      <c r="CX82" s="163">
        <f t="shared" si="37"/>
        <v>0</v>
      </c>
      <c r="CY82" s="643">
        <f t="shared" si="37"/>
        <v>0</v>
      </c>
      <c r="CZ82" s="646">
        <f t="shared" si="37"/>
        <v>4</v>
      </c>
      <c r="DA82" s="645">
        <f t="shared" si="37"/>
        <v>3</v>
      </c>
      <c r="DB82" s="163">
        <f t="shared" si="37"/>
        <v>3</v>
      </c>
      <c r="DC82" s="163">
        <f t="shared" si="37"/>
        <v>0</v>
      </c>
      <c r="DD82" s="163">
        <f t="shared" si="37"/>
        <v>0</v>
      </c>
      <c r="DE82" s="644">
        <f t="shared" si="37"/>
        <v>0</v>
      </c>
      <c r="DF82" s="645">
        <f t="shared" si="37"/>
        <v>1</v>
      </c>
      <c r="DG82" s="163">
        <f t="shared" si="37"/>
        <v>1</v>
      </c>
      <c r="DH82" s="163">
        <f t="shared" si="37"/>
        <v>0</v>
      </c>
      <c r="DI82" s="163">
        <f t="shared" si="37"/>
        <v>0</v>
      </c>
      <c r="DJ82" s="643">
        <f t="shared" si="36"/>
        <v>0</v>
      </c>
      <c r="DK82" s="646">
        <f t="shared" si="36"/>
        <v>0</v>
      </c>
      <c r="DL82" s="645">
        <f t="shared" si="36"/>
        <v>0</v>
      </c>
      <c r="DM82" s="163">
        <f t="shared" si="36"/>
        <v>0</v>
      </c>
      <c r="DN82" s="163">
        <f t="shared" si="36"/>
        <v>0</v>
      </c>
      <c r="DO82" s="163">
        <f t="shared" si="36"/>
        <v>0</v>
      </c>
      <c r="DP82" s="644">
        <f t="shared" si="36"/>
        <v>0</v>
      </c>
      <c r="DQ82" s="645">
        <f t="shared" si="36"/>
        <v>0</v>
      </c>
      <c r="DR82" s="163">
        <f t="shared" si="36"/>
        <v>0</v>
      </c>
      <c r="DS82" s="163">
        <f t="shared" si="36"/>
        <v>0</v>
      </c>
      <c r="DT82" s="163">
        <f t="shared" si="36"/>
        <v>0</v>
      </c>
      <c r="DU82" s="643">
        <f t="shared" si="36"/>
        <v>0</v>
      </c>
      <c r="DW82" s="646">
        <f t="shared" si="40"/>
        <v>93</v>
      </c>
      <c r="DX82" s="645">
        <f t="shared" si="40"/>
        <v>83</v>
      </c>
      <c r="DY82" s="163">
        <f t="shared" si="40"/>
        <v>46</v>
      </c>
      <c r="DZ82" s="163">
        <f t="shared" si="38"/>
        <v>0</v>
      </c>
      <c r="EA82" s="163">
        <f t="shared" si="38"/>
        <v>37</v>
      </c>
      <c r="EB82" s="644">
        <f t="shared" si="38"/>
        <v>0</v>
      </c>
      <c r="EC82" s="645">
        <f t="shared" si="38"/>
        <v>10</v>
      </c>
      <c r="ED82" s="163">
        <f t="shared" si="38"/>
        <v>7</v>
      </c>
      <c r="EE82" s="163">
        <f t="shared" si="38"/>
        <v>0</v>
      </c>
      <c r="EF82" s="163">
        <f t="shared" si="14"/>
        <v>3</v>
      </c>
      <c r="EG82" s="643">
        <f t="shared" si="14"/>
        <v>0</v>
      </c>
      <c r="EH82" s="646">
        <f t="shared" si="29"/>
        <v>29</v>
      </c>
      <c r="EI82" s="645">
        <f t="shared" si="29"/>
        <v>25</v>
      </c>
      <c r="EJ82" s="163">
        <f t="shared" si="27"/>
        <v>13</v>
      </c>
      <c r="EK82" s="163">
        <f t="shared" si="27"/>
        <v>0</v>
      </c>
      <c r="EL82" s="163">
        <f t="shared" si="27"/>
        <v>12</v>
      </c>
      <c r="EM82" s="644">
        <f t="shared" si="27"/>
        <v>0</v>
      </c>
      <c r="EN82" s="645">
        <f t="shared" si="27"/>
        <v>4</v>
      </c>
      <c r="EO82" s="163">
        <f t="shared" si="27"/>
        <v>0</v>
      </c>
      <c r="EP82" s="163">
        <f t="shared" si="27"/>
        <v>0</v>
      </c>
      <c r="EQ82" s="163">
        <f t="shared" si="27"/>
        <v>3</v>
      </c>
      <c r="ER82" s="643">
        <f t="shared" si="27"/>
        <v>1</v>
      </c>
    </row>
    <row r="83" spans="1:148">
      <c r="A83" s="654" t="s">
        <v>238</v>
      </c>
      <c r="B83" s="658">
        <v>44044</v>
      </c>
      <c r="C83" s="659">
        <v>2020</v>
      </c>
      <c r="D83" s="646">
        <f t="shared" si="10"/>
        <v>198406</v>
      </c>
      <c r="E83" s="646">
        <f t="shared" si="43"/>
        <v>3568</v>
      </c>
      <c r="F83" s="645">
        <f t="shared" si="43"/>
        <v>2807</v>
      </c>
      <c r="G83" s="163">
        <f t="shared" si="43"/>
        <v>1479</v>
      </c>
      <c r="H83" s="163">
        <f t="shared" si="43"/>
        <v>0</v>
      </c>
      <c r="I83" s="163">
        <f t="shared" si="43"/>
        <v>1328</v>
      </c>
      <c r="J83" s="644">
        <f t="shared" si="43"/>
        <v>0</v>
      </c>
      <c r="K83" s="645">
        <f t="shared" si="43"/>
        <v>761</v>
      </c>
      <c r="L83" s="163">
        <f t="shared" si="43"/>
        <v>324</v>
      </c>
      <c r="M83" s="163">
        <f t="shared" si="43"/>
        <v>0</v>
      </c>
      <c r="N83" s="163">
        <f t="shared" si="43"/>
        <v>405</v>
      </c>
      <c r="O83" s="643">
        <f t="shared" si="43"/>
        <v>32</v>
      </c>
      <c r="P83" s="646">
        <f t="shared" si="43"/>
        <v>7</v>
      </c>
      <c r="Q83" s="645">
        <f t="shared" si="43"/>
        <v>6</v>
      </c>
      <c r="R83" s="163">
        <f t="shared" si="43"/>
        <v>4</v>
      </c>
      <c r="S83" s="163">
        <f t="shared" si="43"/>
        <v>0</v>
      </c>
      <c r="T83" s="163">
        <f t="shared" si="43"/>
        <v>2</v>
      </c>
      <c r="U83" s="644">
        <f t="shared" si="42"/>
        <v>0</v>
      </c>
      <c r="V83" s="645">
        <f t="shared" si="42"/>
        <v>1</v>
      </c>
      <c r="W83" s="163">
        <f t="shared" si="42"/>
        <v>1</v>
      </c>
      <c r="X83" s="163">
        <f t="shared" si="42"/>
        <v>0</v>
      </c>
      <c r="Y83" s="163">
        <f t="shared" si="42"/>
        <v>0</v>
      </c>
      <c r="Z83" s="643">
        <f t="shared" si="42"/>
        <v>0</v>
      </c>
      <c r="AA83" s="646">
        <f t="shared" si="42"/>
        <v>7</v>
      </c>
      <c r="AB83" s="645">
        <f t="shared" si="42"/>
        <v>5</v>
      </c>
      <c r="AC83" s="163">
        <f t="shared" si="42"/>
        <v>3</v>
      </c>
      <c r="AD83" s="163">
        <f t="shared" si="42"/>
        <v>0</v>
      </c>
      <c r="AE83" s="163">
        <f t="shared" si="42"/>
        <v>2</v>
      </c>
      <c r="AF83" s="644">
        <f t="shared" si="42"/>
        <v>0</v>
      </c>
      <c r="AG83" s="645">
        <f t="shared" si="42"/>
        <v>2</v>
      </c>
      <c r="AH83" s="163">
        <f t="shared" si="42"/>
        <v>2</v>
      </c>
      <c r="AI83" s="163">
        <f t="shared" si="42"/>
        <v>0</v>
      </c>
      <c r="AJ83" s="163">
        <f t="shared" si="42"/>
        <v>0</v>
      </c>
      <c r="AK83" s="643">
        <f t="shared" si="42"/>
        <v>0</v>
      </c>
      <c r="AL83" s="646">
        <f t="shared" si="42"/>
        <v>29</v>
      </c>
      <c r="AM83" s="645">
        <f t="shared" si="42"/>
        <v>25</v>
      </c>
      <c r="AN83" s="163">
        <f t="shared" si="42"/>
        <v>13</v>
      </c>
      <c r="AO83" s="163">
        <f t="shared" si="42"/>
        <v>0</v>
      </c>
      <c r="AP83" s="163">
        <f t="shared" si="42"/>
        <v>12</v>
      </c>
      <c r="AQ83" s="644">
        <f t="shared" si="42"/>
        <v>0</v>
      </c>
      <c r="AR83" s="645">
        <f t="shared" si="42"/>
        <v>4</v>
      </c>
      <c r="AS83" s="163">
        <f t="shared" si="42"/>
        <v>0</v>
      </c>
      <c r="AT83" s="163">
        <f t="shared" si="42"/>
        <v>0</v>
      </c>
      <c r="AU83" s="163">
        <f t="shared" si="42"/>
        <v>3</v>
      </c>
      <c r="AV83" s="643">
        <f t="shared" si="42"/>
        <v>1</v>
      </c>
      <c r="AW83" s="646">
        <f t="shared" si="41"/>
        <v>14</v>
      </c>
      <c r="AX83" s="645">
        <f t="shared" si="41"/>
        <v>11</v>
      </c>
      <c r="AY83" s="163">
        <f t="shared" si="41"/>
        <v>3</v>
      </c>
      <c r="AZ83" s="163">
        <f t="shared" si="41"/>
        <v>0</v>
      </c>
      <c r="BA83" s="163">
        <f t="shared" si="41"/>
        <v>8</v>
      </c>
      <c r="BB83" s="644">
        <f t="shared" si="41"/>
        <v>0</v>
      </c>
      <c r="BC83" s="645">
        <f t="shared" si="41"/>
        <v>3</v>
      </c>
      <c r="BD83" s="163">
        <f t="shared" si="41"/>
        <v>1</v>
      </c>
      <c r="BE83" s="163">
        <f t="shared" si="41"/>
        <v>0</v>
      </c>
      <c r="BF83" s="163">
        <f t="shared" si="41"/>
        <v>2</v>
      </c>
      <c r="BG83" s="643">
        <f t="shared" si="41"/>
        <v>0</v>
      </c>
      <c r="BH83" s="646">
        <f t="shared" si="41"/>
        <v>18</v>
      </c>
      <c r="BI83" s="645">
        <f t="shared" si="41"/>
        <v>16</v>
      </c>
      <c r="BJ83" s="163">
        <f t="shared" si="41"/>
        <v>10</v>
      </c>
      <c r="BK83" s="163">
        <f t="shared" si="41"/>
        <v>0</v>
      </c>
      <c r="BL83" s="163">
        <f t="shared" si="41"/>
        <v>6</v>
      </c>
      <c r="BM83" s="644">
        <f t="shared" si="41"/>
        <v>0</v>
      </c>
      <c r="BN83" s="645">
        <f t="shared" si="41"/>
        <v>2</v>
      </c>
      <c r="BO83" s="163">
        <f t="shared" si="41"/>
        <v>1</v>
      </c>
      <c r="BP83" s="163">
        <f t="shared" si="41"/>
        <v>0</v>
      </c>
      <c r="BQ83" s="163">
        <f t="shared" si="41"/>
        <v>1</v>
      </c>
      <c r="BR83" s="643">
        <f t="shared" si="41"/>
        <v>0</v>
      </c>
      <c r="BS83" s="646">
        <f t="shared" si="41"/>
        <v>32</v>
      </c>
      <c r="BT83" s="645">
        <f t="shared" si="41"/>
        <v>31</v>
      </c>
      <c r="BU83" s="163">
        <f t="shared" si="41"/>
        <v>18</v>
      </c>
      <c r="BV83" s="163">
        <f t="shared" si="41"/>
        <v>0</v>
      </c>
      <c r="BW83" s="163">
        <f t="shared" si="41"/>
        <v>13</v>
      </c>
      <c r="BX83" s="644">
        <f t="shared" si="41"/>
        <v>0</v>
      </c>
      <c r="BY83" s="645">
        <f t="shared" si="41"/>
        <v>1</v>
      </c>
      <c r="BZ83" s="163">
        <f t="shared" si="41"/>
        <v>1</v>
      </c>
      <c r="CA83" s="163">
        <f t="shared" si="41"/>
        <v>0</v>
      </c>
      <c r="CB83" s="163">
        <f t="shared" si="41"/>
        <v>0</v>
      </c>
      <c r="CC83" s="643">
        <f t="shared" si="41"/>
        <v>0</v>
      </c>
      <c r="CD83" s="646">
        <f t="shared" si="41"/>
        <v>6</v>
      </c>
      <c r="CE83" s="645">
        <f t="shared" si="41"/>
        <v>6</v>
      </c>
      <c r="CF83" s="163">
        <f t="shared" si="41"/>
        <v>3</v>
      </c>
      <c r="CG83" s="163">
        <f t="shared" si="41"/>
        <v>0</v>
      </c>
      <c r="CH83" s="163">
        <f t="shared" si="41"/>
        <v>3</v>
      </c>
      <c r="CI83" s="644">
        <f t="shared" si="41"/>
        <v>0</v>
      </c>
      <c r="CJ83" s="645">
        <f t="shared" si="41"/>
        <v>0</v>
      </c>
      <c r="CK83" s="163">
        <f t="shared" si="41"/>
        <v>0</v>
      </c>
      <c r="CL83" s="163">
        <f t="shared" si="41"/>
        <v>0</v>
      </c>
      <c r="CM83" s="163">
        <f t="shared" si="41"/>
        <v>0</v>
      </c>
      <c r="CN83" s="643">
        <f t="shared" si="41"/>
        <v>0</v>
      </c>
      <c r="CO83" s="646">
        <f t="shared" si="41"/>
        <v>5</v>
      </c>
      <c r="CP83" s="645">
        <f t="shared" si="41"/>
        <v>5</v>
      </c>
      <c r="CQ83" s="163">
        <f t="shared" ref="CQ83:DU93" si="44">SUMIFS(CQ$5:CQ$36,$B$5:$B$36,$A83)</f>
        <v>2</v>
      </c>
      <c r="CR83" s="163">
        <f t="shared" si="44"/>
        <v>0</v>
      </c>
      <c r="CS83" s="163">
        <f t="shared" si="44"/>
        <v>3</v>
      </c>
      <c r="CT83" s="644">
        <f t="shared" si="44"/>
        <v>0</v>
      </c>
      <c r="CU83" s="645">
        <f t="shared" si="44"/>
        <v>0</v>
      </c>
      <c r="CV83" s="163">
        <f t="shared" si="44"/>
        <v>0</v>
      </c>
      <c r="CW83" s="163">
        <f t="shared" si="44"/>
        <v>0</v>
      </c>
      <c r="CX83" s="163">
        <f t="shared" si="44"/>
        <v>0</v>
      </c>
      <c r="CY83" s="643">
        <f t="shared" si="44"/>
        <v>0</v>
      </c>
      <c r="CZ83" s="646">
        <f t="shared" si="44"/>
        <v>4</v>
      </c>
      <c r="DA83" s="645">
        <f t="shared" si="44"/>
        <v>3</v>
      </c>
      <c r="DB83" s="163">
        <f t="shared" si="44"/>
        <v>3</v>
      </c>
      <c r="DC83" s="163">
        <f t="shared" si="44"/>
        <v>0</v>
      </c>
      <c r="DD83" s="163">
        <f t="shared" si="44"/>
        <v>0</v>
      </c>
      <c r="DE83" s="644">
        <f t="shared" si="44"/>
        <v>0</v>
      </c>
      <c r="DF83" s="645">
        <f t="shared" si="44"/>
        <v>1</v>
      </c>
      <c r="DG83" s="163">
        <f t="shared" si="44"/>
        <v>1</v>
      </c>
      <c r="DH83" s="163">
        <f t="shared" si="44"/>
        <v>0</v>
      </c>
      <c r="DI83" s="163">
        <f t="shared" si="44"/>
        <v>0</v>
      </c>
      <c r="DJ83" s="643">
        <f t="shared" si="44"/>
        <v>0</v>
      </c>
      <c r="DK83" s="646">
        <f t="shared" si="44"/>
        <v>0</v>
      </c>
      <c r="DL83" s="645">
        <f t="shared" si="44"/>
        <v>0</v>
      </c>
      <c r="DM83" s="163">
        <f t="shared" si="44"/>
        <v>0</v>
      </c>
      <c r="DN83" s="163">
        <f t="shared" si="44"/>
        <v>0</v>
      </c>
      <c r="DO83" s="163">
        <f t="shared" si="44"/>
        <v>0</v>
      </c>
      <c r="DP83" s="644">
        <f t="shared" si="44"/>
        <v>0</v>
      </c>
      <c r="DQ83" s="645">
        <f t="shared" si="44"/>
        <v>0</v>
      </c>
      <c r="DR83" s="163">
        <f t="shared" si="44"/>
        <v>0</v>
      </c>
      <c r="DS83" s="163">
        <f t="shared" si="44"/>
        <v>0</v>
      </c>
      <c r="DT83" s="163">
        <f t="shared" si="44"/>
        <v>0</v>
      </c>
      <c r="DU83" s="643">
        <f t="shared" si="36"/>
        <v>0</v>
      </c>
      <c r="DW83" s="646">
        <f t="shared" si="40"/>
        <v>93</v>
      </c>
      <c r="DX83" s="645">
        <f t="shared" si="40"/>
        <v>83</v>
      </c>
      <c r="DY83" s="163">
        <f t="shared" si="40"/>
        <v>46</v>
      </c>
      <c r="DZ83" s="163">
        <f t="shared" si="38"/>
        <v>0</v>
      </c>
      <c r="EA83" s="163">
        <f t="shared" si="38"/>
        <v>37</v>
      </c>
      <c r="EB83" s="644">
        <f t="shared" si="38"/>
        <v>0</v>
      </c>
      <c r="EC83" s="645">
        <f t="shared" si="38"/>
        <v>10</v>
      </c>
      <c r="ED83" s="163">
        <f t="shared" si="38"/>
        <v>7</v>
      </c>
      <c r="EE83" s="163">
        <f t="shared" si="38"/>
        <v>0</v>
      </c>
      <c r="EF83" s="163">
        <f t="shared" si="14"/>
        <v>3</v>
      </c>
      <c r="EG83" s="643">
        <f t="shared" si="14"/>
        <v>0</v>
      </c>
      <c r="EH83" s="646">
        <f t="shared" si="29"/>
        <v>29</v>
      </c>
      <c r="EI83" s="645">
        <f t="shared" si="29"/>
        <v>25</v>
      </c>
      <c r="EJ83" s="163">
        <f t="shared" si="27"/>
        <v>13</v>
      </c>
      <c r="EK83" s="163">
        <f t="shared" si="27"/>
        <v>0</v>
      </c>
      <c r="EL83" s="163">
        <f t="shared" si="27"/>
        <v>12</v>
      </c>
      <c r="EM83" s="644">
        <f t="shared" si="27"/>
        <v>0</v>
      </c>
      <c r="EN83" s="645">
        <f t="shared" si="27"/>
        <v>4</v>
      </c>
      <c r="EO83" s="163">
        <f t="shared" si="27"/>
        <v>0</v>
      </c>
      <c r="EP83" s="163">
        <f t="shared" si="27"/>
        <v>0</v>
      </c>
      <c r="EQ83" s="163">
        <f t="shared" si="27"/>
        <v>3</v>
      </c>
      <c r="ER83" s="643">
        <f t="shared" si="27"/>
        <v>1</v>
      </c>
    </row>
    <row r="84" spans="1:148">
      <c r="A84" s="654" t="s">
        <v>238</v>
      </c>
      <c r="B84" s="658">
        <v>44075</v>
      </c>
      <c r="C84" s="659">
        <v>2020</v>
      </c>
      <c r="D84" s="646">
        <f t="shared" si="10"/>
        <v>198406</v>
      </c>
      <c r="E84" s="646">
        <f t="shared" si="43"/>
        <v>3568</v>
      </c>
      <c r="F84" s="645">
        <f t="shared" si="43"/>
        <v>2807</v>
      </c>
      <c r="G84" s="163">
        <f t="shared" si="43"/>
        <v>1479</v>
      </c>
      <c r="H84" s="163">
        <f t="shared" si="43"/>
        <v>0</v>
      </c>
      <c r="I84" s="163">
        <f t="shared" si="43"/>
        <v>1328</v>
      </c>
      <c r="J84" s="644">
        <f t="shared" si="43"/>
        <v>0</v>
      </c>
      <c r="K84" s="645">
        <f t="shared" si="43"/>
        <v>761</v>
      </c>
      <c r="L84" s="163">
        <f t="shared" si="43"/>
        <v>324</v>
      </c>
      <c r="M84" s="163">
        <f t="shared" si="43"/>
        <v>0</v>
      </c>
      <c r="N84" s="163">
        <f t="shared" si="43"/>
        <v>405</v>
      </c>
      <c r="O84" s="643">
        <f t="shared" si="43"/>
        <v>32</v>
      </c>
      <c r="P84" s="646">
        <f t="shared" si="43"/>
        <v>7</v>
      </c>
      <c r="Q84" s="645">
        <f t="shared" si="43"/>
        <v>6</v>
      </c>
      <c r="R84" s="163">
        <f t="shared" si="43"/>
        <v>4</v>
      </c>
      <c r="S84" s="163">
        <f t="shared" si="43"/>
        <v>0</v>
      </c>
      <c r="T84" s="163">
        <f t="shared" si="43"/>
        <v>2</v>
      </c>
      <c r="U84" s="644">
        <f t="shared" si="42"/>
        <v>0</v>
      </c>
      <c r="V84" s="645">
        <f t="shared" si="42"/>
        <v>1</v>
      </c>
      <c r="W84" s="163">
        <f t="shared" si="42"/>
        <v>1</v>
      </c>
      <c r="X84" s="163">
        <f t="shared" si="42"/>
        <v>0</v>
      </c>
      <c r="Y84" s="163">
        <f t="shared" si="42"/>
        <v>0</v>
      </c>
      <c r="Z84" s="643">
        <f t="shared" si="42"/>
        <v>0</v>
      </c>
      <c r="AA84" s="646">
        <f t="shared" si="42"/>
        <v>7</v>
      </c>
      <c r="AB84" s="645">
        <f t="shared" si="42"/>
        <v>5</v>
      </c>
      <c r="AC84" s="163">
        <f t="shared" si="42"/>
        <v>3</v>
      </c>
      <c r="AD84" s="163">
        <f t="shared" si="42"/>
        <v>0</v>
      </c>
      <c r="AE84" s="163">
        <f t="shared" si="42"/>
        <v>2</v>
      </c>
      <c r="AF84" s="644">
        <f t="shared" si="42"/>
        <v>0</v>
      </c>
      <c r="AG84" s="645">
        <f t="shared" si="42"/>
        <v>2</v>
      </c>
      <c r="AH84" s="163">
        <f t="shared" si="42"/>
        <v>2</v>
      </c>
      <c r="AI84" s="163">
        <f t="shared" si="42"/>
        <v>0</v>
      </c>
      <c r="AJ84" s="163">
        <f t="shared" si="42"/>
        <v>0</v>
      </c>
      <c r="AK84" s="643">
        <f t="shared" si="42"/>
        <v>0</v>
      </c>
      <c r="AL84" s="646">
        <f t="shared" si="42"/>
        <v>29</v>
      </c>
      <c r="AM84" s="645">
        <f t="shared" si="42"/>
        <v>25</v>
      </c>
      <c r="AN84" s="163">
        <f t="shared" si="42"/>
        <v>13</v>
      </c>
      <c r="AO84" s="163">
        <f t="shared" si="42"/>
        <v>0</v>
      </c>
      <c r="AP84" s="163">
        <f t="shared" si="42"/>
        <v>12</v>
      </c>
      <c r="AQ84" s="644">
        <f t="shared" si="42"/>
        <v>0</v>
      </c>
      <c r="AR84" s="645">
        <f t="shared" si="42"/>
        <v>4</v>
      </c>
      <c r="AS84" s="163">
        <f t="shared" si="42"/>
        <v>0</v>
      </c>
      <c r="AT84" s="163">
        <f t="shared" si="42"/>
        <v>0</v>
      </c>
      <c r="AU84" s="163">
        <f t="shared" si="42"/>
        <v>3</v>
      </c>
      <c r="AV84" s="643">
        <f t="shared" si="42"/>
        <v>1</v>
      </c>
      <c r="AW84" s="646">
        <f t="shared" ref="AW84:DH88" si="45">SUMIFS(AW$5:AW$36,$B$5:$B$36,$A84)</f>
        <v>14</v>
      </c>
      <c r="AX84" s="645">
        <f t="shared" si="45"/>
        <v>11</v>
      </c>
      <c r="AY84" s="163">
        <f t="shared" si="45"/>
        <v>3</v>
      </c>
      <c r="AZ84" s="163">
        <f t="shared" si="45"/>
        <v>0</v>
      </c>
      <c r="BA84" s="163">
        <f t="shared" si="45"/>
        <v>8</v>
      </c>
      <c r="BB84" s="644">
        <f t="shared" si="45"/>
        <v>0</v>
      </c>
      <c r="BC84" s="645">
        <f t="shared" si="45"/>
        <v>3</v>
      </c>
      <c r="BD84" s="163">
        <f t="shared" si="45"/>
        <v>1</v>
      </c>
      <c r="BE84" s="163">
        <f t="shared" si="45"/>
        <v>0</v>
      </c>
      <c r="BF84" s="163">
        <f t="shared" si="45"/>
        <v>2</v>
      </c>
      <c r="BG84" s="643">
        <f t="shared" si="45"/>
        <v>0</v>
      </c>
      <c r="BH84" s="646">
        <f t="shared" si="45"/>
        <v>18</v>
      </c>
      <c r="BI84" s="645">
        <f t="shared" si="45"/>
        <v>16</v>
      </c>
      <c r="BJ84" s="163">
        <f t="shared" si="45"/>
        <v>10</v>
      </c>
      <c r="BK84" s="163">
        <f t="shared" si="45"/>
        <v>0</v>
      </c>
      <c r="BL84" s="163">
        <f t="shared" si="45"/>
        <v>6</v>
      </c>
      <c r="BM84" s="644">
        <f t="shared" si="45"/>
        <v>0</v>
      </c>
      <c r="BN84" s="645">
        <f t="shared" si="45"/>
        <v>2</v>
      </c>
      <c r="BO84" s="163">
        <f t="shared" si="45"/>
        <v>1</v>
      </c>
      <c r="BP84" s="163">
        <f t="shared" si="45"/>
        <v>0</v>
      </c>
      <c r="BQ84" s="163">
        <f t="shared" si="45"/>
        <v>1</v>
      </c>
      <c r="BR84" s="643">
        <f t="shared" si="45"/>
        <v>0</v>
      </c>
      <c r="BS84" s="646">
        <f t="shared" si="45"/>
        <v>32</v>
      </c>
      <c r="BT84" s="645">
        <f t="shared" si="45"/>
        <v>31</v>
      </c>
      <c r="BU84" s="163">
        <f t="shared" si="45"/>
        <v>18</v>
      </c>
      <c r="BV84" s="163">
        <f t="shared" si="45"/>
        <v>0</v>
      </c>
      <c r="BW84" s="163">
        <f t="shared" si="45"/>
        <v>13</v>
      </c>
      <c r="BX84" s="644">
        <f t="shared" si="45"/>
        <v>0</v>
      </c>
      <c r="BY84" s="645">
        <f t="shared" si="45"/>
        <v>1</v>
      </c>
      <c r="BZ84" s="163">
        <f t="shared" si="45"/>
        <v>1</v>
      </c>
      <c r="CA84" s="163">
        <f t="shared" si="45"/>
        <v>0</v>
      </c>
      <c r="CB84" s="163">
        <f t="shared" si="45"/>
        <v>0</v>
      </c>
      <c r="CC84" s="643">
        <f t="shared" si="45"/>
        <v>0</v>
      </c>
      <c r="CD84" s="646">
        <f t="shared" si="45"/>
        <v>6</v>
      </c>
      <c r="CE84" s="645">
        <f t="shared" si="45"/>
        <v>6</v>
      </c>
      <c r="CF84" s="163">
        <f t="shared" si="45"/>
        <v>3</v>
      </c>
      <c r="CG84" s="163">
        <f t="shared" si="45"/>
        <v>0</v>
      </c>
      <c r="CH84" s="163">
        <f t="shared" si="45"/>
        <v>3</v>
      </c>
      <c r="CI84" s="644">
        <f t="shared" si="45"/>
        <v>0</v>
      </c>
      <c r="CJ84" s="645">
        <f t="shared" si="45"/>
        <v>0</v>
      </c>
      <c r="CK84" s="163">
        <f t="shared" si="45"/>
        <v>0</v>
      </c>
      <c r="CL84" s="163">
        <f t="shared" si="45"/>
        <v>0</v>
      </c>
      <c r="CM84" s="163">
        <f t="shared" si="45"/>
        <v>0</v>
      </c>
      <c r="CN84" s="643">
        <f t="shared" si="45"/>
        <v>0</v>
      </c>
      <c r="CO84" s="646">
        <f t="shared" si="45"/>
        <v>5</v>
      </c>
      <c r="CP84" s="645">
        <f t="shared" si="45"/>
        <v>5</v>
      </c>
      <c r="CQ84" s="163">
        <f t="shared" si="45"/>
        <v>2</v>
      </c>
      <c r="CR84" s="163">
        <f t="shared" si="45"/>
        <v>0</v>
      </c>
      <c r="CS84" s="163">
        <f t="shared" si="45"/>
        <v>3</v>
      </c>
      <c r="CT84" s="644">
        <f t="shared" si="45"/>
        <v>0</v>
      </c>
      <c r="CU84" s="645">
        <f t="shared" si="44"/>
        <v>0</v>
      </c>
      <c r="CV84" s="163">
        <f t="shared" si="44"/>
        <v>0</v>
      </c>
      <c r="CW84" s="163">
        <f t="shared" si="44"/>
        <v>0</v>
      </c>
      <c r="CX84" s="163">
        <f t="shared" si="44"/>
        <v>0</v>
      </c>
      <c r="CY84" s="643">
        <f t="shared" si="44"/>
        <v>0</v>
      </c>
      <c r="CZ84" s="646">
        <f t="shared" si="44"/>
        <v>4</v>
      </c>
      <c r="DA84" s="645">
        <f t="shared" si="44"/>
        <v>3</v>
      </c>
      <c r="DB84" s="163">
        <f t="shared" si="44"/>
        <v>3</v>
      </c>
      <c r="DC84" s="163">
        <f t="shared" si="44"/>
        <v>0</v>
      </c>
      <c r="DD84" s="163">
        <f t="shared" si="44"/>
        <v>0</v>
      </c>
      <c r="DE84" s="644">
        <f t="shared" si="44"/>
        <v>0</v>
      </c>
      <c r="DF84" s="645">
        <f t="shared" si="44"/>
        <v>1</v>
      </c>
      <c r="DG84" s="163">
        <f t="shared" si="44"/>
        <v>1</v>
      </c>
      <c r="DH84" s="163">
        <f t="shared" si="44"/>
        <v>0</v>
      </c>
      <c r="DI84" s="163">
        <f t="shared" si="44"/>
        <v>0</v>
      </c>
      <c r="DJ84" s="643">
        <f t="shared" si="44"/>
        <v>0</v>
      </c>
      <c r="DK84" s="646">
        <f t="shared" si="44"/>
        <v>0</v>
      </c>
      <c r="DL84" s="645">
        <f t="shared" si="44"/>
        <v>0</v>
      </c>
      <c r="DM84" s="163">
        <f t="shared" si="44"/>
        <v>0</v>
      </c>
      <c r="DN84" s="163">
        <f t="shared" si="44"/>
        <v>0</v>
      </c>
      <c r="DO84" s="163">
        <f t="shared" si="44"/>
        <v>0</v>
      </c>
      <c r="DP84" s="644">
        <f t="shared" si="44"/>
        <v>0</v>
      </c>
      <c r="DQ84" s="645">
        <f t="shared" si="44"/>
        <v>0</v>
      </c>
      <c r="DR84" s="163">
        <f t="shared" si="44"/>
        <v>0</v>
      </c>
      <c r="DS84" s="163">
        <f t="shared" si="44"/>
        <v>0</v>
      </c>
      <c r="DT84" s="163">
        <f t="shared" si="44"/>
        <v>0</v>
      </c>
      <c r="DU84" s="643">
        <f t="shared" si="36"/>
        <v>0</v>
      </c>
      <c r="DW84" s="646">
        <f t="shared" si="40"/>
        <v>93</v>
      </c>
      <c r="DX84" s="645">
        <f t="shared" si="40"/>
        <v>83</v>
      </c>
      <c r="DY84" s="163">
        <f t="shared" si="40"/>
        <v>46</v>
      </c>
      <c r="DZ84" s="163">
        <f t="shared" si="38"/>
        <v>0</v>
      </c>
      <c r="EA84" s="163">
        <f t="shared" si="38"/>
        <v>37</v>
      </c>
      <c r="EB84" s="644">
        <f t="shared" si="38"/>
        <v>0</v>
      </c>
      <c r="EC84" s="645">
        <f t="shared" si="38"/>
        <v>10</v>
      </c>
      <c r="ED84" s="163">
        <f t="shared" si="38"/>
        <v>7</v>
      </c>
      <c r="EE84" s="163">
        <f t="shared" si="38"/>
        <v>0</v>
      </c>
      <c r="EF84" s="163">
        <f t="shared" si="14"/>
        <v>3</v>
      </c>
      <c r="EG84" s="643">
        <f t="shared" si="14"/>
        <v>0</v>
      </c>
      <c r="EH84" s="646">
        <f t="shared" si="29"/>
        <v>29</v>
      </c>
      <c r="EI84" s="645">
        <f t="shared" si="29"/>
        <v>25</v>
      </c>
      <c r="EJ84" s="163">
        <f t="shared" si="27"/>
        <v>13</v>
      </c>
      <c r="EK84" s="163">
        <f t="shared" si="27"/>
        <v>0</v>
      </c>
      <c r="EL84" s="163">
        <f t="shared" si="27"/>
        <v>12</v>
      </c>
      <c r="EM84" s="644">
        <f t="shared" si="27"/>
        <v>0</v>
      </c>
      <c r="EN84" s="645">
        <f t="shared" si="27"/>
        <v>4</v>
      </c>
      <c r="EO84" s="163">
        <f t="shared" si="27"/>
        <v>0</v>
      </c>
      <c r="EP84" s="163">
        <f t="shared" si="27"/>
        <v>0</v>
      </c>
      <c r="EQ84" s="163">
        <f t="shared" si="27"/>
        <v>3</v>
      </c>
      <c r="ER84" s="643">
        <f t="shared" si="27"/>
        <v>1</v>
      </c>
    </row>
    <row r="85" spans="1:148">
      <c r="A85" s="654" t="s">
        <v>239</v>
      </c>
      <c r="B85" s="658">
        <v>44105</v>
      </c>
      <c r="C85" s="659">
        <v>2020</v>
      </c>
      <c r="D85" s="646">
        <f t="shared" si="10"/>
        <v>153874</v>
      </c>
      <c r="E85" s="646">
        <f t="shared" si="43"/>
        <v>3476</v>
      </c>
      <c r="F85" s="645">
        <f t="shared" si="43"/>
        <v>2833</v>
      </c>
      <c r="G85" s="163">
        <f t="shared" si="43"/>
        <v>1358</v>
      </c>
      <c r="H85" s="163">
        <f t="shared" si="43"/>
        <v>0</v>
      </c>
      <c r="I85" s="163">
        <f t="shared" si="43"/>
        <v>1475</v>
      </c>
      <c r="J85" s="644">
        <f t="shared" si="43"/>
        <v>0</v>
      </c>
      <c r="K85" s="645">
        <f t="shared" si="43"/>
        <v>643</v>
      </c>
      <c r="L85" s="163">
        <f t="shared" si="43"/>
        <v>219</v>
      </c>
      <c r="M85" s="163">
        <f t="shared" si="43"/>
        <v>0</v>
      </c>
      <c r="N85" s="163">
        <f t="shared" si="43"/>
        <v>384</v>
      </c>
      <c r="O85" s="643">
        <f t="shared" si="43"/>
        <v>40</v>
      </c>
      <c r="P85" s="646">
        <f t="shared" si="43"/>
        <v>3</v>
      </c>
      <c r="Q85" s="645">
        <f t="shared" si="43"/>
        <v>3</v>
      </c>
      <c r="R85" s="163">
        <f t="shared" si="43"/>
        <v>2</v>
      </c>
      <c r="S85" s="163">
        <f t="shared" si="43"/>
        <v>0</v>
      </c>
      <c r="T85" s="163">
        <f t="shared" si="43"/>
        <v>1</v>
      </c>
      <c r="U85" s="644">
        <f t="shared" si="42"/>
        <v>0</v>
      </c>
      <c r="V85" s="645">
        <f t="shared" si="42"/>
        <v>0</v>
      </c>
      <c r="W85" s="163">
        <f t="shared" si="42"/>
        <v>0</v>
      </c>
      <c r="X85" s="163">
        <f t="shared" si="42"/>
        <v>0</v>
      </c>
      <c r="Y85" s="163">
        <f t="shared" si="42"/>
        <v>0</v>
      </c>
      <c r="Z85" s="643">
        <f t="shared" si="42"/>
        <v>0</v>
      </c>
      <c r="AA85" s="646">
        <f t="shared" si="42"/>
        <v>3</v>
      </c>
      <c r="AB85" s="645">
        <f t="shared" si="42"/>
        <v>3</v>
      </c>
      <c r="AC85" s="163">
        <f t="shared" si="42"/>
        <v>1</v>
      </c>
      <c r="AD85" s="163">
        <f t="shared" si="42"/>
        <v>0</v>
      </c>
      <c r="AE85" s="163">
        <f t="shared" si="42"/>
        <v>2</v>
      </c>
      <c r="AF85" s="644">
        <f t="shared" si="42"/>
        <v>0</v>
      </c>
      <c r="AG85" s="645">
        <f t="shared" si="42"/>
        <v>0</v>
      </c>
      <c r="AH85" s="163">
        <f t="shared" si="42"/>
        <v>0</v>
      </c>
      <c r="AI85" s="163">
        <f t="shared" si="42"/>
        <v>0</v>
      </c>
      <c r="AJ85" s="163">
        <f t="shared" si="42"/>
        <v>0</v>
      </c>
      <c r="AK85" s="643">
        <f t="shared" si="42"/>
        <v>0</v>
      </c>
      <c r="AL85" s="646">
        <f t="shared" si="42"/>
        <v>34</v>
      </c>
      <c r="AM85" s="645">
        <f t="shared" si="42"/>
        <v>32</v>
      </c>
      <c r="AN85" s="163">
        <f t="shared" si="42"/>
        <v>18</v>
      </c>
      <c r="AO85" s="163">
        <f t="shared" si="42"/>
        <v>0</v>
      </c>
      <c r="AP85" s="163">
        <f t="shared" si="42"/>
        <v>14</v>
      </c>
      <c r="AQ85" s="644">
        <f t="shared" si="42"/>
        <v>0</v>
      </c>
      <c r="AR85" s="645">
        <f t="shared" si="42"/>
        <v>2</v>
      </c>
      <c r="AS85" s="163">
        <f t="shared" si="42"/>
        <v>0</v>
      </c>
      <c r="AT85" s="163">
        <f t="shared" si="42"/>
        <v>0</v>
      </c>
      <c r="AU85" s="163">
        <f t="shared" si="42"/>
        <v>1</v>
      </c>
      <c r="AV85" s="643">
        <f t="shared" si="42"/>
        <v>1</v>
      </c>
      <c r="AW85" s="646">
        <f t="shared" si="45"/>
        <v>8</v>
      </c>
      <c r="AX85" s="645">
        <f t="shared" si="45"/>
        <v>7</v>
      </c>
      <c r="AY85" s="163">
        <f t="shared" si="45"/>
        <v>2</v>
      </c>
      <c r="AZ85" s="163">
        <f t="shared" si="45"/>
        <v>0</v>
      </c>
      <c r="BA85" s="163">
        <f t="shared" si="45"/>
        <v>5</v>
      </c>
      <c r="BB85" s="644">
        <f t="shared" si="45"/>
        <v>0</v>
      </c>
      <c r="BC85" s="645">
        <f t="shared" si="45"/>
        <v>1</v>
      </c>
      <c r="BD85" s="163">
        <f t="shared" si="45"/>
        <v>1</v>
      </c>
      <c r="BE85" s="163">
        <f t="shared" si="45"/>
        <v>0</v>
      </c>
      <c r="BF85" s="163">
        <f t="shared" si="45"/>
        <v>0</v>
      </c>
      <c r="BG85" s="643">
        <f t="shared" si="45"/>
        <v>0</v>
      </c>
      <c r="BH85" s="646">
        <f t="shared" si="45"/>
        <v>21</v>
      </c>
      <c r="BI85" s="645">
        <f t="shared" si="45"/>
        <v>19</v>
      </c>
      <c r="BJ85" s="163">
        <f t="shared" si="45"/>
        <v>10</v>
      </c>
      <c r="BK85" s="163">
        <f t="shared" si="45"/>
        <v>0</v>
      </c>
      <c r="BL85" s="163">
        <f t="shared" si="45"/>
        <v>9</v>
      </c>
      <c r="BM85" s="644">
        <f t="shared" si="45"/>
        <v>0</v>
      </c>
      <c r="BN85" s="645">
        <f t="shared" si="45"/>
        <v>2</v>
      </c>
      <c r="BO85" s="163">
        <f t="shared" si="45"/>
        <v>0</v>
      </c>
      <c r="BP85" s="163">
        <f t="shared" si="45"/>
        <v>0</v>
      </c>
      <c r="BQ85" s="163">
        <f t="shared" si="45"/>
        <v>2</v>
      </c>
      <c r="BR85" s="643">
        <f t="shared" si="45"/>
        <v>0</v>
      </c>
      <c r="BS85" s="646">
        <f t="shared" si="45"/>
        <v>50</v>
      </c>
      <c r="BT85" s="645">
        <f t="shared" si="45"/>
        <v>41</v>
      </c>
      <c r="BU85" s="163">
        <f t="shared" si="45"/>
        <v>15</v>
      </c>
      <c r="BV85" s="163">
        <f t="shared" si="45"/>
        <v>0</v>
      </c>
      <c r="BW85" s="163">
        <f t="shared" si="45"/>
        <v>26</v>
      </c>
      <c r="BX85" s="644">
        <f t="shared" si="45"/>
        <v>0</v>
      </c>
      <c r="BY85" s="645">
        <f t="shared" si="45"/>
        <v>9</v>
      </c>
      <c r="BZ85" s="163">
        <f t="shared" si="45"/>
        <v>1</v>
      </c>
      <c r="CA85" s="163">
        <f t="shared" si="45"/>
        <v>0</v>
      </c>
      <c r="CB85" s="163">
        <f t="shared" si="45"/>
        <v>8</v>
      </c>
      <c r="CC85" s="643">
        <f t="shared" si="45"/>
        <v>0</v>
      </c>
      <c r="CD85" s="646">
        <f t="shared" si="45"/>
        <v>4</v>
      </c>
      <c r="CE85" s="645">
        <f t="shared" si="45"/>
        <v>4</v>
      </c>
      <c r="CF85" s="163">
        <f t="shared" si="45"/>
        <v>2</v>
      </c>
      <c r="CG85" s="163">
        <f t="shared" si="45"/>
        <v>0</v>
      </c>
      <c r="CH85" s="163">
        <f t="shared" si="45"/>
        <v>2</v>
      </c>
      <c r="CI85" s="644">
        <f t="shared" si="45"/>
        <v>0</v>
      </c>
      <c r="CJ85" s="645">
        <f t="shared" si="45"/>
        <v>0</v>
      </c>
      <c r="CK85" s="163">
        <f t="shared" si="45"/>
        <v>0</v>
      </c>
      <c r="CL85" s="163">
        <f t="shared" si="45"/>
        <v>0</v>
      </c>
      <c r="CM85" s="163">
        <f t="shared" si="45"/>
        <v>0</v>
      </c>
      <c r="CN85" s="643">
        <f t="shared" si="45"/>
        <v>0</v>
      </c>
      <c r="CO85" s="646">
        <f t="shared" si="45"/>
        <v>3</v>
      </c>
      <c r="CP85" s="645">
        <f t="shared" si="45"/>
        <v>1</v>
      </c>
      <c r="CQ85" s="163">
        <f t="shared" si="45"/>
        <v>0</v>
      </c>
      <c r="CR85" s="163">
        <f t="shared" si="45"/>
        <v>0</v>
      </c>
      <c r="CS85" s="163">
        <f t="shared" si="45"/>
        <v>1</v>
      </c>
      <c r="CT85" s="644">
        <f t="shared" si="45"/>
        <v>0</v>
      </c>
      <c r="CU85" s="645">
        <f t="shared" si="44"/>
        <v>2</v>
      </c>
      <c r="CV85" s="163">
        <f t="shared" si="44"/>
        <v>1</v>
      </c>
      <c r="CW85" s="163">
        <f t="shared" si="44"/>
        <v>0</v>
      </c>
      <c r="CX85" s="163">
        <f t="shared" si="44"/>
        <v>1</v>
      </c>
      <c r="CY85" s="643">
        <f t="shared" si="44"/>
        <v>0</v>
      </c>
      <c r="CZ85" s="646">
        <f t="shared" si="44"/>
        <v>1</v>
      </c>
      <c r="DA85" s="645">
        <f t="shared" si="44"/>
        <v>1</v>
      </c>
      <c r="DB85" s="163">
        <f t="shared" si="44"/>
        <v>1</v>
      </c>
      <c r="DC85" s="163">
        <f t="shared" si="44"/>
        <v>0</v>
      </c>
      <c r="DD85" s="163">
        <f t="shared" si="44"/>
        <v>0</v>
      </c>
      <c r="DE85" s="644">
        <f t="shared" si="44"/>
        <v>0</v>
      </c>
      <c r="DF85" s="645">
        <f t="shared" si="44"/>
        <v>0</v>
      </c>
      <c r="DG85" s="163">
        <f t="shared" si="44"/>
        <v>0</v>
      </c>
      <c r="DH85" s="163">
        <f t="shared" si="44"/>
        <v>0</v>
      </c>
      <c r="DI85" s="163">
        <f t="shared" si="44"/>
        <v>0</v>
      </c>
      <c r="DJ85" s="643">
        <f t="shared" si="44"/>
        <v>0</v>
      </c>
      <c r="DK85" s="646">
        <f t="shared" si="44"/>
        <v>0</v>
      </c>
      <c r="DL85" s="645">
        <f t="shared" si="44"/>
        <v>0</v>
      </c>
      <c r="DM85" s="163">
        <f t="shared" si="44"/>
        <v>0</v>
      </c>
      <c r="DN85" s="163">
        <f t="shared" si="44"/>
        <v>0</v>
      </c>
      <c r="DO85" s="163">
        <f t="shared" si="44"/>
        <v>0</v>
      </c>
      <c r="DP85" s="644">
        <f t="shared" si="44"/>
        <v>0</v>
      </c>
      <c r="DQ85" s="645">
        <f t="shared" si="44"/>
        <v>0</v>
      </c>
      <c r="DR85" s="163">
        <f t="shared" si="44"/>
        <v>0</v>
      </c>
      <c r="DS85" s="163">
        <f t="shared" si="44"/>
        <v>0</v>
      </c>
      <c r="DT85" s="163">
        <f t="shared" si="44"/>
        <v>0</v>
      </c>
      <c r="DU85" s="643">
        <f t="shared" si="36"/>
        <v>0</v>
      </c>
      <c r="DW85" s="646">
        <f t="shared" si="40"/>
        <v>93</v>
      </c>
      <c r="DX85" s="645">
        <f t="shared" si="40"/>
        <v>79</v>
      </c>
      <c r="DY85" s="163">
        <f t="shared" si="40"/>
        <v>33</v>
      </c>
      <c r="DZ85" s="163">
        <f t="shared" si="38"/>
        <v>0</v>
      </c>
      <c r="EA85" s="163">
        <f t="shared" si="38"/>
        <v>46</v>
      </c>
      <c r="EB85" s="644">
        <f t="shared" si="38"/>
        <v>0</v>
      </c>
      <c r="EC85" s="645">
        <f t="shared" si="38"/>
        <v>14</v>
      </c>
      <c r="ED85" s="163">
        <f t="shared" si="38"/>
        <v>3</v>
      </c>
      <c r="EE85" s="163">
        <f t="shared" si="38"/>
        <v>0</v>
      </c>
      <c r="EF85" s="163">
        <f t="shared" si="14"/>
        <v>11</v>
      </c>
      <c r="EG85" s="643">
        <f t="shared" si="14"/>
        <v>0</v>
      </c>
      <c r="EH85" s="646">
        <f t="shared" si="29"/>
        <v>34</v>
      </c>
      <c r="EI85" s="645">
        <f t="shared" si="29"/>
        <v>32</v>
      </c>
      <c r="EJ85" s="163">
        <f t="shared" si="27"/>
        <v>18</v>
      </c>
      <c r="EK85" s="163">
        <f t="shared" si="27"/>
        <v>0</v>
      </c>
      <c r="EL85" s="163">
        <f t="shared" si="27"/>
        <v>14</v>
      </c>
      <c r="EM85" s="644">
        <f t="shared" si="27"/>
        <v>0</v>
      </c>
      <c r="EN85" s="645">
        <f t="shared" si="27"/>
        <v>2</v>
      </c>
      <c r="EO85" s="163">
        <f t="shared" si="27"/>
        <v>0</v>
      </c>
      <c r="EP85" s="163">
        <f t="shared" si="27"/>
        <v>0</v>
      </c>
      <c r="EQ85" s="163">
        <f t="shared" si="27"/>
        <v>1</v>
      </c>
      <c r="ER85" s="643">
        <f t="shared" si="27"/>
        <v>1</v>
      </c>
    </row>
    <row r="86" spans="1:148">
      <c r="A86" s="654" t="s">
        <v>239</v>
      </c>
      <c r="B86" s="658">
        <v>44136</v>
      </c>
      <c r="C86" s="659">
        <v>2020</v>
      </c>
      <c r="D86" s="646">
        <f t="shared" si="10"/>
        <v>153874</v>
      </c>
      <c r="E86" s="646">
        <f t="shared" si="43"/>
        <v>3476</v>
      </c>
      <c r="F86" s="645">
        <f t="shared" si="43"/>
        <v>2833</v>
      </c>
      <c r="G86" s="163">
        <f t="shared" si="43"/>
        <v>1358</v>
      </c>
      <c r="H86" s="163">
        <f t="shared" si="43"/>
        <v>0</v>
      </c>
      <c r="I86" s="163">
        <f t="shared" si="43"/>
        <v>1475</v>
      </c>
      <c r="J86" s="644">
        <f t="shared" si="43"/>
        <v>0</v>
      </c>
      <c r="K86" s="645">
        <f t="shared" si="43"/>
        <v>643</v>
      </c>
      <c r="L86" s="163">
        <f t="shared" si="43"/>
        <v>219</v>
      </c>
      <c r="M86" s="163">
        <f t="shared" si="43"/>
        <v>0</v>
      </c>
      <c r="N86" s="163">
        <f t="shared" si="43"/>
        <v>384</v>
      </c>
      <c r="O86" s="643">
        <f t="shared" si="43"/>
        <v>40</v>
      </c>
      <c r="P86" s="646">
        <f t="shared" si="43"/>
        <v>3</v>
      </c>
      <c r="Q86" s="645">
        <f t="shared" si="43"/>
        <v>3</v>
      </c>
      <c r="R86" s="163">
        <f t="shared" si="43"/>
        <v>2</v>
      </c>
      <c r="S86" s="163">
        <f t="shared" si="43"/>
        <v>0</v>
      </c>
      <c r="T86" s="163">
        <f t="shared" si="43"/>
        <v>1</v>
      </c>
      <c r="U86" s="644">
        <f t="shared" si="42"/>
        <v>0</v>
      </c>
      <c r="V86" s="645">
        <f t="shared" si="42"/>
        <v>0</v>
      </c>
      <c r="W86" s="163">
        <f t="shared" si="42"/>
        <v>0</v>
      </c>
      <c r="X86" s="163">
        <f t="shared" si="42"/>
        <v>0</v>
      </c>
      <c r="Y86" s="163">
        <f t="shared" si="42"/>
        <v>0</v>
      </c>
      <c r="Z86" s="643">
        <f t="shared" si="42"/>
        <v>0</v>
      </c>
      <c r="AA86" s="646">
        <f t="shared" si="42"/>
        <v>3</v>
      </c>
      <c r="AB86" s="645">
        <f t="shared" si="42"/>
        <v>3</v>
      </c>
      <c r="AC86" s="163">
        <f t="shared" si="42"/>
        <v>1</v>
      </c>
      <c r="AD86" s="163">
        <f t="shared" si="42"/>
        <v>0</v>
      </c>
      <c r="AE86" s="163">
        <f t="shared" si="42"/>
        <v>2</v>
      </c>
      <c r="AF86" s="644">
        <f t="shared" si="42"/>
        <v>0</v>
      </c>
      <c r="AG86" s="645">
        <f t="shared" si="42"/>
        <v>0</v>
      </c>
      <c r="AH86" s="163">
        <f t="shared" si="42"/>
        <v>0</v>
      </c>
      <c r="AI86" s="163">
        <f t="shared" si="42"/>
        <v>0</v>
      </c>
      <c r="AJ86" s="163">
        <f t="shared" si="42"/>
        <v>0</v>
      </c>
      <c r="AK86" s="643">
        <f t="shared" si="42"/>
        <v>0</v>
      </c>
      <c r="AL86" s="646">
        <f t="shared" si="42"/>
        <v>34</v>
      </c>
      <c r="AM86" s="645">
        <f t="shared" si="42"/>
        <v>32</v>
      </c>
      <c r="AN86" s="163">
        <f t="shared" si="42"/>
        <v>18</v>
      </c>
      <c r="AO86" s="163">
        <f t="shared" si="42"/>
        <v>0</v>
      </c>
      <c r="AP86" s="163">
        <f t="shared" si="42"/>
        <v>14</v>
      </c>
      <c r="AQ86" s="644">
        <f t="shared" si="42"/>
        <v>0</v>
      </c>
      <c r="AR86" s="645">
        <f t="shared" si="42"/>
        <v>2</v>
      </c>
      <c r="AS86" s="163">
        <f t="shared" si="42"/>
        <v>0</v>
      </c>
      <c r="AT86" s="163">
        <f t="shared" si="42"/>
        <v>0</v>
      </c>
      <c r="AU86" s="163">
        <f t="shared" si="42"/>
        <v>1</v>
      </c>
      <c r="AV86" s="643">
        <f t="shared" si="42"/>
        <v>1</v>
      </c>
      <c r="AW86" s="646">
        <f t="shared" si="45"/>
        <v>8</v>
      </c>
      <c r="AX86" s="645">
        <f t="shared" si="45"/>
        <v>7</v>
      </c>
      <c r="AY86" s="163">
        <f t="shared" si="45"/>
        <v>2</v>
      </c>
      <c r="AZ86" s="163">
        <f t="shared" si="45"/>
        <v>0</v>
      </c>
      <c r="BA86" s="163">
        <f t="shared" si="45"/>
        <v>5</v>
      </c>
      <c r="BB86" s="644">
        <f t="shared" si="45"/>
        <v>0</v>
      </c>
      <c r="BC86" s="645">
        <f t="shared" si="45"/>
        <v>1</v>
      </c>
      <c r="BD86" s="163">
        <f t="shared" si="45"/>
        <v>1</v>
      </c>
      <c r="BE86" s="163">
        <f t="shared" si="45"/>
        <v>0</v>
      </c>
      <c r="BF86" s="163">
        <f t="shared" si="45"/>
        <v>0</v>
      </c>
      <c r="BG86" s="643">
        <f t="shared" si="45"/>
        <v>0</v>
      </c>
      <c r="BH86" s="646">
        <f t="shared" si="45"/>
        <v>21</v>
      </c>
      <c r="BI86" s="645">
        <f t="shared" si="45"/>
        <v>19</v>
      </c>
      <c r="BJ86" s="163">
        <f t="shared" si="45"/>
        <v>10</v>
      </c>
      <c r="BK86" s="163">
        <f t="shared" si="45"/>
        <v>0</v>
      </c>
      <c r="BL86" s="163">
        <f t="shared" si="45"/>
        <v>9</v>
      </c>
      <c r="BM86" s="644">
        <f t="shared" si="45"/>
        <v>0</v>
      </c>
      <c r="BN86" s="645">
        <f t="shared" si="45"/>
        <v>2</v>
      </c>
      <c r="BO86" s="163">
        <f t="shared" si="45"/>
        <v>0</v>
      </c>
      <c r="BP86" s="163">
        <f t="shared" si="45"/>
        <v>0</v>
      </c>
      <c r="BQ86" s="163">
        <f t="shared" si="45"/>
        <v>2</v>
      </c>
      <c r="BR86" s="643">
        <f t="shared" si="45"/>
        <v>0</v>
      </c>
      <c r="BS86" s="646">
        <f t="shared" si="45"/>
        <v>50</v>
      </c>
      <c r="BT86" s="645">
        <f t="shared" si="45"/>
        <v>41</v>
      </c>
      <c r="BU86" s="163">
        <f t="shared" si="45"/>
        <v>15</v>
      </c>
      <c r="BV86" s="163">
        <f t="shared" si="45"/>
        <v>0</v>
      </c>
      <c r="BW86" s="163">
        <f t="shared" si="45"/>
        <v>26</v>
      </c>
      <c r="BX86" s="644">
        <f t="shared" si="45"/>
        <v>0</v>
      </c>
      <c r="BY86" s="645">
        <f t="shared" si="45"/>
        <v>9</v>
      </c>
      <c r="BZ86" s="163">
        <f t="shared" si="45"/>
        <v>1</v>
      </c>
      <c r="CA86" s="163">
        <f t="shared" si="45"/>
        <v>0</v>
      </c>
      <c r="CB86" s="163">
        <f t="shared" si="45"/>
        <v>8</v>
      </c>
      <c r="CC86" s="643">
        <f t="shared" si="45"/>
        <v>0</v>
      </c>
      <c r="CD86" s="646">
        <f t="shared" si="45"/>
        <v>4</v>
      </c>
      <c r="CE86" s="645">
        <f t="shared" si="45"/>
        <v>4</v>
      </c>
      <c r="CF86" s="163">
        <f t="shared" si="45"/>
        <v>2</v>
      </c>
      <c r="CG86" s="163">
        <f t="shared" si="45"/>
        <v>0</v>
      </c>
      <c r="CH86" s="163">
        <f t="shared" si="45"/>
        <v>2</v>
      </c>
      <c r="CI86" s="644">
        <f t="shared" si="45"/>
        <v>0</v>
      </c>
      <c r="CJ86" s="645">
        <f t="shared" si="45"/>
        <v>0</v>
      </c>
      <c r="CK86" s="163">
        <f t="shared" si="45"/>
        <v>0</v>
      </c>
      <c r="CL86" s="163">
        <f t="shared" si="45"/>
        <v>0</v>
      </c>
      <c r="CM86" s="163">
        <f t="shared" si="45"/>
        <v>0</v>
      </c>
      <c r="CN86" s="643">
        <f t="shared" si="45"/>
        <v>0</v>
      </c>
      <c r="CO86" s="646">
        <f t="shared" si="45"/>
        <v>3</v>
      </c>
      <c r="CP86" s="645">
        <f t="shared" si="45"/>
        <v>1</v>
      </c>
      <c r="CQ86" s="163">
        <f t="shared" si="45"/>
        <v>0</v>
      </c>
      <c r="CR86" s="163">
        <f t="shared" si="45"/>
        <v>0</v>
      </c>
      <c r="CS86" s="163">
        <f t="shared" si="45"/>
        <v>1</v>
      </c>
      <c r="CT86" s="644">
        <f t="shared" si="45"/>
        <v>0</v>
      </c>
      <c r="CU86" s="645">
        <f t="shared" si="44"/>
        <v>2</v>
      </c>
      <c r="CV86" s="163">
        <f t="shared" si="44"/>
        <v>1</v>
      </c>
      <c r="CW86" s="163">
        <f t="shared" si="44"/>
        <v>0</v>
      </c>
      <c r="CX86" s="163">
        <f t="shared" si="44"/>
        <v>1</v>
      </c>
      <c r="CY86" s="643">
        <f t="shared" si="44"/>
        <v>0</v>
      </c>
      <c r="CZ86" s="646">
        <f t="shared" si="44"/>
        <v>1</v>
      </c>
      <c r="DA86" s="645">
        <f t="shared" si="44"/>
        <v>1</v>
      </c>
      <c r="DB86" s="163">
        <f t="shared" si="44"/>
        <v>1</v>
      </c>
      <c r="DC86" s="163">
        <f t="shared" si="44"/>
        <v>0</v>
      </c>
      <c r="DD86" s="163">
        <f t="shared" si="44"/>
        <v>0</v>
      </c>
      <c r="DE86" s="644">
        <f t="shared" si="44"/>
        <v>0</v>
      </c>
      <c r="DF86" s="645">
        <f t="shared" si="44"/>
        <v>0</v>
      </c>
      <c r="DG86" s="163">
        <f t="shared" si="44"/>
        <v>0</v>
      </c>
      <c r="DH86" s="163">
        <f t="shared" si="44"/>
        <v>0</v>
      </c>
      <c r="DI86" s="163">
        <f t="shared" si="44"/>
        <v>0</v>
      </c>
      <c r="DJ86" s="643">
        <f t="shared" si="44"/>
        <v>0</v>
      </c>
      <c r="DK86" s="646">
        <f t="shared" si="44"/>
        <v>0</v>
      </c>
      <c r="DL86" s="645">
        <f t="shared" si="44"/>
        <v>0</v>
      </c>
      <c r="DM86" s="163">
        <f t="shared" si="44"/>
        <v>0</v>
      </c>
      <c r="DN86" s="163">
        <f t="shared" si="44"/>
        <v>0</v>
      </c>
      <c r="DO86" s="163">
        <f t="shared" si="44"/>
        <v>0</v>
      </c>
      <c r="DP86" s="644">
        <f t="shared" si="44"/>
        <v>0</v>
      </c>
      <c r="DQ86" s="645">
        <f t="shared" si="44"/>
        <v>0</v>
      </c>
      <c r="DR86" s="163">
        <f t="shared" si="44"/>
        <v>0</v>
      </c>
      <c r="DS86" s="163">
        <f t="shared" si="44"/>
        <v>0</v>
      </c>
      <c r="DT86" s="163">
        <f t="shared" si="44"/>
        <v>0</v>
      </c>
      <c r="DU86" s="643">
        <f t="shared" si="36"/>
        <v>0</v>
      </c>
      <c r="DW86" s="646">
        <f t="shared" si="40"/>
        <v>93</v>
      </c>
      <c r="DX86" s="645">
        <f t="shared" si="40"/>
        <v>79</v>
      </c>
      <c r="DY86" s="163">
        <f t="shared" si="40"/>
        <v>33</v>
      </c>
      <c r="DZ86" s="163">
        <f t="shared" si="38"/>
        <v>0</v>
      </c>
      <c r="EA86" s="163">
        <f t="shared" si="38"/>
        <v>46</v>
      </c>
      <c r="EB86" s="644">
        <f t="shared" si="38"/>
        <v>0</v>
      </c>
      <c r="EC86" s="645">
        <f t="shared" si="38"/>
        <v>14</v>
      </c>
      <c r="ED86" s="163">
        <f t="shared" si="38"/>
        <v>3</v>
      </c>
      <c r="EE86" s="163">
        <f t="shared" si="38"/>
        <v>0</v>
      </c>
      <c r="EF86" s="163">
        <f t="shared" si="14"/>
        <v>11</v>
      </c>
      <c r="EG86" s="643">
        <f t="shared" si="14"/>
        <v>0</v>
      </c>
      <c r="EH86" s="646">
        <f t="shared" si="29"/>
        <v>34</v>
      </c>
      <c r="EI86" s="645">
        <f t="shared" si="29"/>
        <v>32</v>
      </c>
      <c r="EJ86" s="163">
        <f t="shared" si="27"/>
        <v>18</v>
      </c>
      <c r="EK86" s="163">
        <f t="shared" si="27"/>
        <v>0</v>
      </c>
      <c r="EL86" s="163">
        <f t="shared" si="27"/>
        <v>14</v>
      </c>
      <c r="EM86" s="644">
        <f t="shared" si="27"/>
        <v>0</v>
      </c>
      <c r="EN86" s="645">
        <f t="shared" si="27"/>
        <v>2</v>
      </c>
      <c r="EO86" s="163">
        <f t="shared" si="27"/>
        <v>0</v>
      </c>
      <c r="EP86" s="163">
        <f t="shared" si="27"/>
        <v>0</v>
      </c>
      <c r="EQ86" s="163">
        <f t="shared" si="27"/>
        <v>1</v>
      </c>
      <c r="ER86" s="643">
        <f t="shared" si="27"/>
        <v>1</v>
      </c>
    </row>
    <row r="87" spans="1:148">
      <c r="A87" s="654" t="s">
        <v>239</v>
      </c>
      <c r="B87" s="658">
        <v>44166</v>
      </c>
      <c r="C87" s="659">
        <v>2020</v>
      </c>
      <c r="D87" s="646">
        <f t="shared" si="10"/>
        <v>153874</v>
      </c>
      <c r="E87" s="646">
        <f t="shared" si="43"/>
        <v>3476</v>
      </c>
      <c r="F87" s="645">
        <f t="shared" si="43"/>
        <v>2833</v>
      </c>
      <c r="G87" s="163">
        <f t="shared" si="43"/>
        <v>1358</v>
      </c>
      <c r="H87" s="163">
        <f t="shared" si="43"/>
        <v>0</v>
      </c>
      <c r="I87" s="163">
        <f t="shared" si="43"/>
        <v>1475</v>
      </c>
      <c r="J87" s="644">
        <f t="shared" si="43"/>
        <v>0</v>
      </c>
      <c r="K87" s="645">
        <f t="shared" si="43"/>
        <v>643</v>
      </c>
      <c r="L87" s="163">
        <f t="shared" si="43"/>
        <v>219</v>
      </c>
      <c r="M87" s="163">
        <f t="shared" si="43"/>
        <v>0</v>
      </c>
      <c r="N87" s="163">
        <f t="shared" si="43"/>
        <v>384</v>
      </c>
      <c r="O87" s="643">
        <f t="shared" si="43"/>
        <v>40</v>
      </c>
      <c r="P87" s="646">
        <f t="shared" si="43"/>
        <v>3</v>
      </c>
      <c r="Q87" s="645">
        <f t="shared" si="43"/>
        <v>3</v>
      </c>
      <c r="R87" s="163">
        <f t="shared" si="43"/>
        <v>2</v>
      </c>
      <c r="S87" s="163">
        <f t="shared" si="43"/>
        <v>0</v>
      </c>
      <c r="T87" s="163">
        <f t="shared" si="43"/>
        <v>1</v>
      </c>
      <c r="U87" s="644">
        <f t="shared" si="42"/>
        <v>0</v>
      </c>
      <c r="V87" s="645">
        <f t="shared" si="42"/>
        <v>0</v>
      </c>
      <c r="W87" s="163">
        <f t="shared" si="42"/>
        <v>0</v>
      </c>
      <c r="X87" s="163">
        <f t="shared" si="42"/>
        <v>0</v>
      </c>
      <c r="Y87" s="163">
        <f t="shared" si="42"/>
        <v>0</v>
      </c>
      <c r="Z87" s="643">
        <f t="shared" si="42"/>
        <v>0</v>
      </c>
      <c r="AA87" s="646">
        <f t="shared" si="42"/>
        <v>3</v>
      </c>
      <c r="AB87" s="645">
        <f t="shared" si="42"/>
        <v>3</v>
      </c>
      <c r="AC87" s="163">
        <f t="shared" si="42"/>
        <v>1</v>
      </c>
      <c r="AD87" s="163">
        <f t="shared" si="42"/>
        <v>0</v>
      </c>
      <c r="AE87" s="163">
        <f t="shared" si="42"/>
        <v>2</v>
      </c>
      <c r="AF87" s="644">
        <f t="shared" si="42"/>
        <v>0</v>
      </c>
      <c r="AG87" s="645">
        <f t="shared" si="42"/>
        <v>0</v>
      </c>
      <c r="AH87" s="163">
        <f t="shared" si="42"/>
        <v>0</v>
      </c>
      <c r="AI87" s="163">
        <f t="shared" si="42"/>
        <v>0</v>
      </c>
      <c r="AJ87" s="163">
        <f t="shared" si="42"/>
        <v>0</v>
      </c>
      <c r="AK87" s="643">
        <f t="shared" si="42"/>
        <v>0</v>
      </c>
      <c r="AL87" s="646">
        <f t="shared" si="42"/>
        <v>34</v>
      </c>
      <c r="AM87" s="645">
        <f t="shared" si="42"/>
        <v>32</v>
      </c>
      <c r="AN87" s="163">
        <f t="shared" si="42"/>
        <v>18</v>
      </c>
      <c r="AO87" s="163">
        <f t="shared" si="42"/>
        <v>0</v>
      </c>
      <c r="AP87" s="163">
        <f t="shared" si="42"/>
        <v>14</v>
      </c>
      <c r="AQ87" s="644">
        <f t="shared" si="42"/>
        <v>0</v>
      </c>
      <c r="AR87" s="645">
        <f t="shared" si="42"/>
        <v>2</v>
      </c>
      <c r="AS87" s="163">
        <f t="shared" si="42"/>
        <v>0</v>
      </c>
      <c r="AT87" s="163">
        <f t="shared" si="42"/>
        <v>0</v>
      </c>
      <c r="AU87" s="163">
        <f t="shared" si="42"/>
        <v>1</v>
      </c>
      <c r="AV87" s="643">
        <f t="shared" si="42"/>
        <v>1</v>
      </c>
      <c r="AW87" s="646">
        <f t="shared" si="45"/>
        <v>8</v>
      </c>
      <c r="AX87" s="645">
        <f t="shared" si="45"/>
        <v>7</v>
      </c>
      <c r="AY87" s="163">
        <f t="shared" si="45"/>
        <v>2</v>
      </c>
      <c r="AZ87" s="163">
        <f t="shared" si="45"/>
        <v>0</v>
      </c>
      <c r="BA87" s="163">
        <f t="shared" si="45"/>
        <v>5</v>
      </c>
      <c r="BB87" s="644">
        <f t="shared" si="45"/>
        <v>0</v>
      </c>
      <c r="BC87" s="645">
        <f t="shared" si="45"/>
        <v>1</v>
      </c>
      <c r="BD87" s="163">
        <f t="shared" si="45"/>
        <v>1</v>
      </c>
      <c r="BE87" s="163">
        <f t="shared" si="45"/>
        <v>0</v>
      </c>
      <c r="BF87" s="163">
        <f t="shared" si="45"/>
        <v>0</v>
      </c>
      <c r="BG87" s="643">
        <f t="shared" si="45"/>
        <v>0</v>
      </c>
      <c r="BH87" s="646">
        <f t="shared" si="45"/>
        <v>21</v>
      </c>
      <c r="BI87" s="645">
        <f t="shared" si="45"/>
        <v>19</v>
      </c>
      <c r="BJ87" s="163">
        <f t="shared" si="45"/>
        <v>10</v>
      </c>
      <c r="BK87" s="163">
        <f t="shared" si="45"/>
        <v>0</v>
      </c>
      <c r="BL87" s="163">
        <f t="shared" si="45"/>
        <v>9</v>
      </c>
      <c r="BM87" s="644">
        <f t="shared" si="45"/>
        <v>0</v>
      </c>
      <c r="BN87" s="645">
        <f t="shared" si="45"/>
        <v>2</v>
      </c>
      <c r="BO87" s="163">
        <f t="shared" si="45"/>
        <v>0</v>
      </c>
      <c r="BP87" s="163">
        <f t="shared" si="45"/>
        <v>0</v>
      </c>
      <c r="BQ87" s="163">
        <f t="shared" si="45"/>
        <v>2</v>
      </c>
      <c r="BR87" s="643">
        <f t="shared" si="45"/>
        <v>0</v>
      </c>
      <c r="BS87" s="646">
        <f t="shared" si="45"/>
        <v>50</v>
      </c>
      <c r="BT87" s="645">
        <f t="shared" si="45"/>
        <v>41</v>
      </c>
      <c r="BU87" s="163">
        <f t="shared" si="45"/>
        <v>15</v>
      </c>
      <c r="BV87" s="163">
        <f t="shared" si="45"/>
        <v>0</v>
      </c>
      <c r="BW87" s="163">
        <f t="shared" si="45"/>
        <v>26</v>
      </c>
      <c r="BX87" s="644">
        <f t="shared" si="45"/>
        <v>0</v>
      </c>
      <c r="BY87" s="645">
        <f t="shared" si="45"/>
        <v>9</v>
      </c>
      <c r="BZ87" s="163">
        <f t="shared" si="45"/>
        <v>1</v>
      </c>
      <c r="CA87" s="163">
        <f t="shared" si="45"/>
        <v>0</v>
      </c>
      <c r="CB87" s="163">
        <f t="shared" si="45"/>
        <v>8</v>
      </c>
      <c r="CC87" s="643">
        <f t="shared" si="45"/>
        <v>0</v>
      </c>
      <c r="CD87" s="646">
        <f t="shared" si="45"/>
        <v>4</v>
      </c>
      <c r="CE87" s="645">
        <f t="shared" si="45"/>
        <v>4</v>
      </c>
      <c r="CF87" s="163">
        <f t="shared" si="45"/>
        <v>2</v>
      </c>
      <c r="CG87" s="163">
        <f t="shared" si="45"/>
        <v>0</v>
      </c>
      <c r="CH87" s="163">
        <f t="shared" si="45"/>
        <v>2</v>
      </c>
      <c r="CI87" s="644">
        <f t="shared" si="45"/>
        <v>0</v>
      </c>
      <c r="CJ87" s="645">
        <f t="shared" si="45"/>
        <v>0</v>
      </c>
      <c r="CK87" s="163">
        <f t="shared" si="45"/>
        <v>0</v>
      </c>
      <c r="CL87" s="163">
        <f t="shared" si="45"/>
        <v>0</v>
      </c>
      <c r="CM87" s="163">
        <f t="shared" si="45"/>
        <v>0</v>
      </c>
      <c r="CN87" s="643">
        <f t="shared" si="45"/>
        <v>0</v>
      </c>
      <c r="CO87" s="646">
        <f t="shared" si="45"/>
        <v>3</v>
      </c>
      <c r="CP87" s="645">
        <f t="shared" si="45"/>
        <v>1</v>
      </c>
      <c r="CQ87" s="163">
        <f t="shared" si="45"/>
        <v>0</v>
      </c>
      <c r="CR87" s="163">
        <f t="shared" si="45"/>
        <v>0</v>
      </c>
      <c r="CS87" s="163">
        <f t="shared" si="45"/>
        <v>1</v>
      </c>
      <c r="CT87" s="644">
        <f t="shared" si="45"/>
        <v>0</v>
      </c>
      <c r="CU87" s="645">
        <f t="shared" si="45"/>
        <v>2</v>
      </c>
      <c r="CV87" s="163">
        <f t="shared" si="45"/>
        <v>1</v>
      </c>
      <c r="CW87" s="163">
        <f t="shared" si="45"/>
        <v>0</v>
      </c>
      <c r="CX87" s="163">
        <f t="shared" si="45"/>
        <v>1</v>
      </c>
      <c r="CY87" s="643">
        <f t="shared" si="45"/>
        <v>0</v>
      </c>
      <c r="CZ87" s="646">
        <f t="shared" si="45"/>
        <v>1</v>
      </c>
      <c r="DA87" s="645">
        <f t="shared" si="45"/>
        <v>1</v>
      </c>
      <c r="DB87" s="163">
        <f t="shared" si="45"/>
        <v>1</v>
      </c>
      <c r="DC87" s="163">
        <f t="shared" si="45"/>
        <v>0</v>
      </c>
      <c r="DD87" s="163">
        <f t="shared" si="45"/>
        <v>0</v>
      </c>
      <c r="DE87" s="644">
        <f t="shared" si="45"/>
        <v>0</v>
      </c>
      <c r="DF87" s="645">
        <f t="shared" si="45"/>
        <v>0</v>
      </c>
      <c r="DG87" s="163">
        <f t="shared" si="45"/>
        <v>0</v>
      </c>
      <c r="DH87" s="163">
        <f t="shared" si="45"/>
        <v>0</v>
      </c>
      <c r="DI87" s="163">
        <f t="shared" si="44"/>
        <v>0</v>
      </c>
      <c r="DJ87" s="643">
        <f t="shared" si="44"/>
        <v>0</v>
      </c>
      <c r="DK87" s="646">
        <f t="shared" si="44"/>
        <v>0</v>
      </c>
      <c r="DL87" s="645">
        <f t="shared" si="44"/>
        <v>0</v>
      </c>
      <c r="DM87" s="163">
        <f t="shared" si="44"/>
        <v>0</v>
      </c>
      <c r="DN87" s="163">
        <f t="shared" si="44"/>
        <v>0</v>
      </c>
      <c r="DO87" s="163">
        <f t="shared" si="44"/>
        <v>0</v>
      </c>
      <c r="DP87" s="644">
        <f t="shared" si="44"/>
        <v>0</v>
      </c>
      <c r="DQ87" s="645">
        <f t="shared" si="44"/>
        <v>0</v>
      </c>
      <c r="DR87" s="163">
        <f t="shared" si="44"/>
        <v>0</v>
      </c>
      <c r="DS87" s="163">
        <f t="shared" si="44"/>
        <v>0</v>
      </c>
      <c r="DT87" s="163">
        <f t="shared" si="44"/>
        <v>0</v>
      </c>
      <c r="DU87" s="643">
        <f t="shared" si="44"/>
        <v>0</v>
      </c>
      <c r="DW87" s="646">
        <f t="shared" si="40"/>
        <v>93</v>
      </c>
      <c r="DX87" s="645">
        <f t="shared" si="40"/>
        <v>79</v>
      </c>
      <c r="DY87" s="163">
        <f t="shared" si="40"/>
        <v>33</v>
      </c>
      <c r="DZ87" s="163">
        <f t="shared" si="38"/>
        <v>0</v>
      </c>
      <c r="EA87" s="163">
        <f t="shared" si="38"/>
        <v>46</v>
      </c>
      <c r="EB87" s="644">
        <f t="shared" si="38"/>
        <v>0</v>
      </c>
      <c r="EC87" s="645">
        <f t="shared" si="38"/>
        <v>14</v>
      </c>
      <c r="ED87" s="163">
        <f t="shared" si="38"/>
        <v>3</v>
      </c>
      <c r="EE87" s="163">
        <f t="shared" si="38"/>
        <v>0</v>
      </c>
      <c r="EF87" s="163">
        <f t="shared" si="14"/>
        <v>11</v>
      </c>
      <c r="EG87" s="643">
        <f t="shared" si="14"/>
        <v>0</v>
      </c>
      <c r="EH87" s="646">
        <f t="shared" si="29"/>
        <v>34</v>
      </c>
      <c r="EI87" s="645">
        <f t="shared" si="29"/>
        <v>32</v>
      </c>
      <c r="EJ87" s="163">
        <f t="shared" si="27"/>
        <v>18</v>
      </c>
      <c r="EK87" s="163">
        <f t="shared" si="27"/>
        <v>0</v>
      </c>
      <c r="EL87" s="163">
        <f t="shared" si="27"/>
        <v>14</v>
      </c>
      <c r="EM87" s="644">
        <f t="shared" si="27"/>
        <v>0</v>
      </c>
      <c r="EN87" s="645">
        <f t="shared" si="27"/>
        <v>2</v>
      </c>
      <c r="EO87" s="163">
        <f t="shared" si="27"/>
        <v>0</v>
      </c>
      <c r="EP87" s="163">
        <f t="shared" si="27"/>
        <v>0</v>
      </c>
      <c r="EQ87" s="163">
        <f t="shared" si="27"/>
        <v>1</v>
      </c>
      <c r="ER87" s="643">
        <f t="shared" si="27"/>
        <v>1</v>
      </c>
    </row>
    <row r="88" spans="1:148">
      <c r="A88" s="654" t="s">
        <v>240</v>
      </c>
      <c r="B88" s="658">
        <v>44197</v>
      </c>
      <c r="C88" s="659">
        <v>2021</v>
      </c>
      <c r="D88" s="646">
        <f t="shared" si="10"/>
        <v>141819</v>
      </c>
      <c r="E88" s="646">
        <f t="shared" si="43"/>
        <v>3362</v>
      </c>
      <c r="F88" s="645">
        <f t="shared" si="43"/>
        <v>2600</v>
      </c>
      <c r="G88" s="163">
        <f t="shared" si="43"/>
        <v>1018</v>
      </c>
      <c r="H88" s="163">
        <f t="shared" si="43"/>
        <v>0</v>
      </c>
      <c r="I88" s="163">
        <f t="shared" si="43"/>
        <v>1582</v>
      </c>
      <c r="J88" s="644">
        <f t="shared" si="43"/>
        <v>0</v>
      </c>
      <c r="K88" s="645">
        <f t="shared" si="43"/>
        <v>762</v>
      </c>
      <c r="L88" s="163">
        <f t="shared" si="43"/>
        <v>183</v>
      </c>
      <c r="M88" s="163">
        <f t="shared" si="43"/>
        <v>0</v>
      </c>
      <c r="N88" s="163">
        <f t="shared" si="43"/>
        <v>512</v>
      </c>
      <c r="O88" s="643">
        <f t="shared" si="43"/>
        <v>67</v>
      </c>
      <c r="P88" s="646">
        <f t="shared" si="43"/>
        <v>5</v>
      </c>
      <c r="Q88" s="645">
        <f t="shared" si="43"/>
        <v>4</v>
      </c>
      <c r="R88" s="163">
        <f t="shared" si="43"/>
        <v>1</v>
      </c>
      <c r="S88" s="163">
        <f t="shared" si="43"/>
        <v>0</v>
      </c>
      <c r="T88" s="163">
        <f t="shared" si="43"/>
        <v>3</v>
      </c>
      <c r="U88" s="644">
        <f t="shared" si="42"/>
        <v>0</v>
      </c>
      <c r="V88" s="645">
        <f t="shared" si="42"/>
        <v>1</v>
      </c>
      <c r="W88" s="163">
        <f t="shared" si="42"/>
        <v>1</v>
      </c>
      <c r="X88" s="163">
        <f t="shared" si="42"/>
        <v>0</v>
      </c>
      <c r="Y88" s="163">
        <f t="shared" si="42"/>
        <v>0</v>
      </c>
      <c r="Z88" s="643">
        <f t="shared" si="42"/>
        <v>0</v>
      </c>
      <c r="AA88" s="646">
        <f t="shared" si="42"/>
        <v>4</v>
      </c>
      <c r="AB88" s="645">
        <f t="shared" si="42"/>
        <v>4</v>
      </c>
      <c r="AC88" s="163">
        <f t="shared" si="42"/>
        <v>3</v>
      </c>
      <c r="AD88" s="163">
        <f t="shared" si="42"/>
        <v>0</v>
      </c>
      <c r="AE88" s="163">
        <f t="shared" si="42"/>
        <v>1</v>
      </c>
      <c r="AF88" s="644">
        <f t="shared" si="42"/>
        <v>0</v>
      </c>
      <c r="AG88" s="645">
        <f t="shared" si="42"/>
        <v>0</v>
      </c>
      <c r="AH88" s="163">
        <f t="shared" si="42"/>
        <v>0</v>
      </c>
      <c r="AI88" s="163">
        <f t="shared" si="42"/>
        <v>0</v>
      </c>
      <c r="AJ88" s="163">
        <f t="shared" si="42"/>
        <v>0</v>
      </c>
      <c r="AK88" s="643">
        <f t="shared" si="42"/>
        <v>0</v>
      </c>
      <c r="AL88" s="646">
        <f t="shared" si="42"/>
        <v>30</v>
      </c>
      <c r="AM88" s="645">
        <f t="shared" si="42"/>
        <v>24</v>
      </c>
      <c r="AN88" s="163">
        <f t="shared" si="42"/>
        <v>12</v>
      </c>
      <c r="AO88" s="163">
        <f t="shared" si="42"/>
        <v>0</v>
      </c>
      <c r="AP88" s="163">
        <f t="shared" si="42"/>
        <v>12</v>
      </c>
      <c r="AQ88" s="644">
        <f t="shared" si="42"/>
        <v>0</v>
      </c>
      <c r="AR88" s="645">
        <f t="shared" si="42"/>
        <v>6</v>
      </c>
      <c r="AS88" s="163">
        <f t="shared" si="42"/>
        <v>3</v>
      </c>
      <c r="AT88" s="163">
        <f t="shared" si="42"/>
        <v>0</v>
      </c>
      <c r="AU88" s="163">
        <f t="shared" si="42"/>
        <v>3</v>
      </c>
      <c r="AV88" s="643">
        <f t="shared" si="42"/>
        <v>0</v>
      </c>
      <c r="AW88" s="646">
        <f t="shared" si="45"/>
        <v>11</v>
      </c>
      <c r="AX88" s="645">
        <f t="shared" si="45"/>
        <v>11</v>
      </c>
      <c r="AY88" s="163">
        <f t="shared" si="45"/>
        <v>4</v>
      </c>
      <c r="AZ88" s="163">
        <f t="shared" si="45"/>
        <v>0</v>
      </c>
      <c r="BA88" s="163">
        <f t="shared" si="45"/>
        <v>7</v>
      </c>
      <c r="BB88" s="644">
        <f t="shared" si="45"/>
        <v>0</v>
      </c>
      <c r="BC88" s="645">
        <f t="shared" si="45"/>
        <v>0</v>
      </c>
      <c r="BD88" s="163">
        <f t="shared" si="45"/>
        <v>0</v>
      </c>
      <c r="BE88" s="163">
        <f t="shared" si="45"/>
        <v>0</v>
      </c>
      <c r="BF88" s="163">
        <f t="shared" si="45"/>
        <v>0</v>
      </c>
      <c r="BG88" s="643">
        <f t="shared" si="45"/>
        <v>0</v>
      </c>
      <c r="BH88" s="646">
        <f t="shared" si="45"/>
        <v>29</v>
      </c>
      <c r="BI88" s="645">
        <f t="shared" si="45"/>
        <v>24</v>
      </c>
      <c r="BJ88" s="163">
        <f t="shared" si="45"/>
        <v>13</v>
      </c>
      <c r="BK88" s="163">
        <f t="shared" si="45"/>
        <v>0</v>
      </c>
      <c r="BL88" s="163">
        <f t="shared" si="45"/>
        <v>11</v>
      </c>
      <c r="BM88" s="644">
        <f t="shared" si="45"/>
        <v>0</v>
      </c>
      <c r="BN88" s="645">
        <f t="shared" si="45"/>
        <v>5</v>
      </c>
      <c r="BO88" s="163">
        <f t="shared" si="45"/>
        <v>0</v>
      </c>
      <c r="BP88" s="163">
        <f t="shared" si="45"/>
        <v>0</v>
      </c>
      <c r="BQ88" s="163">
        <f t="shared" si="45"/>
        <v>4</v>
      </c>
      <c r="BR88" s="643">
        <f t="shared" si="45"/>
        <v>1</v>
      </c>
      <c r="BS88" s="646">
        <f t="shared" si="45"/>
        <v>31</v>
      </c>
      <c r="BT88" s="645">
        <f t="shared" si="45"/>
        <v>28</v>
      </c>
      <c r="BU88" s="163">
        <f t="shared" si="45"/>
        <v>15</v>
      </c>
      <c r="BV88" s="163">
        <f t="shared" si="45"/>
        <v>0</v>
      </c>
      <c r="BW88" s="163">
        <f t="shared" si="45"/>
        <v>13</v>
      </c>
      <c r="BX88" s="644">
        <f t="shared" si="45"/>
        <v>0</v>
      </c>
      <c r="BY88" s="645">
        <f t="shared" si="45"/>
        <v>3</v>
      </c>
      <c r="BZ88" s="163">
        <f t="shared" si="45"/>
        <v>1</v>
      </c>
      <c r="CA88" s="163">
        <f t="shared" si="45"/>
        <v>0</v>
      </c>
      <c r="CB88" s="163">
        <f t="shared" si="45"/>
        <v>2</v>
      </c>
      <c r="CC88" s="643">
        <f t="shared" si="45"/>
        <v>0</v>
      </c>
      <c r="CD88" s="646">
        <f t="shared" si="45"/>
        <v>3</v>
      </c>
      <c r="CE88" s="645">
        <f t="shared" si="45"/>
        <v>3</v>
      </c>
      <c r="CF88" s="163">
        <f t="shared" si="45"/>
        <v>0</v>
      </c>
      <c r="CG88" s="163">
        <f t="shared" si="45"/>
        <v>0</v>
      </c>
      <c r="CH88" s="163">
        <f t="shared" si="45"/>
        <v>3</v>
      </c>
      <c r="CI88" s="644">
        <f t="shared" si="45"/>
        <v>0</v>
      </c>
      <c r="CJ88" s="645">
        <f t="shared" si="45"/>
        <v>0</v>
      </c>
      <c r="CK88" s="163">
        <f t="shared" si="45"/>
        <v>0</v>
      </c>
      <c r="CL88" s="163">
        <f t="shared" ref="CL88:CT88" si="46">SUMIFS(CL$5:CL$36,$B$5:$B$36,$A88)</f>
        <v>0</v>
      </c>
      <c r="CM88" s="163">
        <f t="shared" si="46"/>
        <v>0</v>
      </c>
      <c r="CN88" s="643">
        <f t="shared" si="46"/>
        <v>0</v>
      </c>
      <c r="CO88" s="646">
        <f t="shared" si="46"/>
        <v>5</v>
      </c>
      <c r="CP88" s="645">
        <f t="shared" si="46"/>
        <v>4</v>
      </c>
      <c r="CQ88" s="163">
        <f t="shared" si="46"/>
        <v>3</v>
      </c>
      <c r="CR88" s="163">
        <f t="shared" si="46"/>
        <v>0</v>
      </c>
      <c r="CS88" s="163">
        <f t="shared" si="46"/>
        <v>1</v>
      </c>
      <c r="CT88" s="644">
        <f t="shared" si="46"/>
        <v>0</v>
      </c>
      <c r="CU88" s="645">
        <f t="shared" si="44"/>
        <v>1</v>
      </c>
      <c r="CV88" s="163">
        <f t="shared" si="44"/>
        <v>0</v>
      </c>
      <c r="CW88" s="163">
        <f t="shared" si="44"/>
        <v>0</v>
      </c>
      <c r="CX88" s="163">
        <f t="shared" si="44"/>
        <v>1</v>
      </c>
      <c r="CY88" s="643">
        <f t="shared" si="44"/>
        <v>0</v>
      </c>
      <c r="CZ88" s="646">
        <f t="shared" si="44"/>
        <v>1</v>
      </c>
      <c r="DA88" s="645">
        <f t="shared" si="44"/>
        <v>1</v>
      </c>
      <c r="DB88" s="163">
        <f t="shared" si="44"/>
        <v>0</v>
      </c>
      <c r="DC88" s="163">
        <f t="shared" si="44"/>
        <v>0</v>
      </c>
      <c r="DD88" s="163">
        <f t="shared" si="44"/>
        <v>1</v>
      </c>
      <c r="DE88" s="644">
        <f t="shared" si="44"/>
        <v>0</v>
      </c>
      <c r="DF88" s="645">
        <f t="shared" si="44"/>
        <v>0</v>
      </c>
      <c r="DG88" s="163">
        <f t="shared" si="44"/>
        <v>0</v>
      </c>
      <c r="DH88" s="163">
        <f t="shared" si="44"/>
        <v>0</v>
      </c>
      <c r="DI88" s="163">
        <f t="shared" si="44"/>
        <v>0</v>
      </c>
      <c r="DJ88" s="643">
        <f t="shared" si="44"/>
        <v>0</v>
      </c>
      <c r="DK88" s="646">
        <f t="shared" si="44"/>
        <v>0</v>
      </c>
      <c r="DL88" s="645">
        <f t="shared" si="44"/>
        <v>0</v>
      </c>
      <c r="DM88" s="163">
        <f t="shared" si="44"/>
        <v>0</v>
      </c>
      <c r="DN88" s="163">
        <f t="shared" si="44"/>
        <v>0</v>
      </c>
      <c r="DO88" s="163">
        <f t="shared" si="44"/>
        <v>0</v>
      </c>
      <c r="DP88" s="644">
        <f t="shared" si="44"/>
        <v>0</v>
      </c>
      <c r="DQ88" s="645">
        <f t="shared" si="44"/>
        <v>0</v>
      </c>
      <c r="DR88" s="163">
        <f t="shared" si="44"/>
        <v>0</v>
      </c>
      <c r="DS88" s="163">
        <f t="shared" si="44"/>
        <v>0</v>
      </c>
      <c r="DT88" s="163">
        <f t="shared" si="44"/>
        <v>0</v>
      </c>
      <c r="DU88" s="643">
        <f t="shared" si="44"/>
        <v>0</v>
      </c>
      <c r="DW88" s="646">
        <f t="shared" si="40"/>
        <v>89</v>
      </c>
      <c r="DX88" s="645">
        <f t="shared" si="40"/>
        <v>79</v>
      </c>
      <c r="DY88" s="163">
        <f t="shared" si="40"/>
        <v>39</v>
      </c>
      <c r="DZ88" s="163">
        <f t="shared" si="38"/>
        <v>0</v>
      </c>
      <c r="EA88" s="163">
        <f t="shared" si="38"/>
        <v>40</v>
      </c>
      <c r="EB88" s="644">
        <f t="shared" si="38"/>
        <v>0</v>
      </c>
      <c r="EC88" s="645">
        <f t="shared" si="38"/>
        <v>10</v>
      </c>
      <c r="ED88" s="163">
        <f t="shared" si="38"/>
        <v>2</v>
      </c>
      <c r="EE88" s="163">
        <f t="shared" si="38"/>
        <v>0</v>
      </c>
      <c r="EF88" s="163">
        <f t="shared" si="14"/>
        <v>7</v>
      </c>
      <c r="EG88" s="643">
        <f t="shared" si="14"/>
        <v>1</v>
      </c>
      <c r="EH88" s="646">
        <f t="shared" si="29"/>
        <v>30</v>
      </c>
      <c r="EI88" s="645">
        <f t="shared" si="29"/>
        <v>24</v>
      </c>
      <c r="EJ88" s="163">
        <f t="shared" si="27"/>
        <v>12</v>
      </c>
      <c r="EK88" s="163">
        <f t="shared" si="27"/>
        <v>0</v>
      </c>
      <c r="EL88" s="163">
        <f t="shared" si="27"/>
        <v>12</v>
      </c>
      <c r="EM88" s="644">
        <f t="shared" si="27"/>
        <v>0</v>
      </c>
      <c r="EN88" s="645">
        <f t="shared" si="27"/>
        <v>6</v>
      </c>
      <c r="EO88" s="163">
        <f t="shared" si="27"/>
        <v>3</v>
      </c>
      <c r="EP88" s="163">
        <f t="shared" si="27"/>
        <v>0</v>
      </c>
      <c r="EQ88" s="163">
        <f t="shared" si="27"/>
        <v>3</v>
      </c>
      <c r="ER88" s="643">
        <f t="shared" si="27"/>
        <v>0</v>
      </c>
    </row>
    <row r="89" spans="1:148">
      <c r="A89" s="654" t="s">
        <v>240</v>
      </c>
      <c r="B89" s="658">
        <v>44228</v>
      </c>
      <c r="C89" s="659">
        <v>2021</v>
      </c>
      <c r="D89" s="646">
        <f t="shared" si="10"/>
        <v>141819</v>
      </c>
      <c r="E89" s="646">
        <f t="shared" si="43"/>
        <v>3362</v>
      </c>
      <c r="F89" s="645">
        <f t="shared" si="43"/>
        <v>2600</v>
      </c>
      <c r="G89" s="163">
        <f t="shared" si="43"/>
        <v>1018</v>
      </c>
      <c r="H89" s="163">
        <f t="shared" si="43"/>
        <v>0</v>
      </c>
      <c r="I89" s="163">
        <f t="shared" si="43"/>
        <v>1582</v>
      </c>
      <c r="J89" s="644">
        <f t="shared" si="43"/>
        <v>0</v>
      </c>
      <c r="K89" s="645">
        <f t="shared" si="43"/>
        <v>762</v>
      </c>
      <c r="L89" s="163">
        <f t="shared" si="43"/>
        <v>183</v>
      </c>
      <c r="M89" s="163">
        <f t="shared" si="43"/>
        <v>0</v>
      </c>
      <c r="N89" s="163">
        <f t="shared" si="43"/>
        <v>512</v>
      </c>
      <c r="O89" s="643">
        <f t="shared" si="43"/>
        <v>67</v>
      </c>
      <c r="P89" s="646">
        <f t="shared" si="43"/>
        <v>5</v>
      </c>
      <c r="Q89" s="645">
        <f t="shared" si="43"/>
        <v>4</v>
      </c>
      <c r="R89" s="163">
        <f t="shared" si="43"/>
        <v>1</v>
      </c>
      <c r="S89" s="163">
        <f t="shared" si="43"/>
        <v>0</v>
      </c>
      <c r="T89" s="163">
        <f t="shared" si="43"/>
        <v>3</v>
      </c>
      <c r="U89" s="644">
        <f t="shared" si="42"/>
        <v>0</v>
      </c>
      <c r="V89" s="645">
        <f t="shared" si="42"/>
        <v>1</v>
      </c>
      <c r="W89" s="163">
        <f t="shared" ref="W89:AY103" si="47">SUMIFS(W$5:W$36,$B$5:$B$36,$A89)</f>
        <v>1</v>
      </c>
      <c r="X89" s="163">
        <f t="shared" si="47"/>
        <v>0</v>
      </c>
      <c r="Y89" s="163">
        <f t="shared" si="47"/>
        <v>0</v>
      </c>
      <c r="Z89" s="643">
        <f t="shared" si="47"/>
        <v>0</v>
      </c>
      <c r="AA89" s="646">
        <f t="shared" si="47"/>
        <v>4</v>
      </c>
      <c r="AB89" s="645">
        <f t="shared" si="47"/>
        <v>4</v>
      </c>
      <c r="AC89" s="163">
        <f t="shared" si="47"/>
        <v>3</v>
      </c>
      <c r="AD89" s="163">
        <f t="shared" si="47"/>
        <v>0</v>
      </c>
      <c r="AE89" s="163">
        <f t="shared" si="47"/>
        <v>1</v>
      </c>
      <c r="AF89" s="644">
        <f t="shared" si="47"/>
        <v>0</v>
      </c>
      <c r="AG89" s="645">
        <f t="shared" si="47"/>
        <v>0</v>
      </c>
      <c r="AH89" s="163">
        <f t="shared" si="47"/>
        <v>0</v>
      </c>
      <c r="AI89" s="163">
        <f t="shared" si="47"/>
        <v>0</v>
      </c>
      <c r="AJ89" s="163">
        <f t="shared" si="47"/>
        <v>0</v>
      </c>
      <c r="AK89" s="643">
        <f t="shared" si="47"/>
        <v>0</v>
      </c>
      <c r="AL89" s="646">
        <f t="shared" si="47"/>
        <v>30</v>
      </c>
      <c r="AM89" s="645">
        <f t="shared" si="47"/>
        <v>24</v>
      </c>
      <c r="AN89" s="163">
        <f t="shared" si="47"/>
        <v>12</v>
      </c>
      <c r="AO89" s="163">
        <f t="shared" si="47"/>
        <v>0</v>
      </c>
      <c r="AP89" s="163">
        <f t="shared" si="47"/>
        <v>12</v>
      </c>
      <c r="AQ89" s="644">
        <f t="shared" si="47"/>
        <v>0</v>
      </c>
      <c r="AR89" s="645">
        <f t="shared" si="47"/>
        <v>6</v>
      </c>
      <c r="AS89" s="163">
        <f t="shared" si="47"/>
        <v>3</v>
      </c>
      <c r="AT89" s="163">
        <f t="shared" si="47"/>
        <v>0</v>
      </c>
      <c r="AU89" s="163">
        <f t="shared" si="47"/>
        <v>3</v>
      </c>
      <c r="AV89" s="643">
        <f t="shared" si="47"/>
        <v>0</v>
      </c>
      <c r="AW89" s="646">
        <f t="shared" si="47"/>
        <v>11</v>
      </c>
      <c r="AX89" s="645">
        <f t="shared" si="47"/>
        <v>11</v>
      </c>
      <c r="AY89" s="163">
        <f t="shared" si="47"/>
        <v>4</v>
      </c>
      <c r="AZ89" s="163">
        <f t="shared" ref="AZ89:DK94" si="48">SUMIFS(AZ$5:AZ$36,$B$5:$B$36,$A89)</f>
        <v>0</v>
      </c>
      <c r="BA89" s="163">
        <f t="shared" si="48"/>
        <v>7</v>
      </c>
      <c r="BB89" s="644">
        <f t="shared" si="48"/>
        <v>0</v>
      </c>
      <c r="BC89" s="645">
        <f t="shared" si="48"/>
        <v>0</v>
      </c>
      <c r="BD89" s="163">
        <f t="shared" si="48"/>
        <v>0</v>
      </c>
      <c r="BE89" s="163">
        <f t="shared" si="48"/>
        <v>0</v>
      </c>
      <c r="BF89" s="163">
        <f t="shared" si="48"/>
        <v>0</v>
      </c>
      <c r="BG89" s="643">
        <f t="shared" si="48"/>
        <v>0</v>
      </c>
      <c r="BH89" s="646">
        <f t="shared" si="48"/>
        <v>29</v>
      </c>
      <c r="BI89" s="645">
        <f t="shared" si="48"/>
        <v>24</v>
      </c>
      <c r="BJ89" s="163">
        <f t="shared" si="48"/>
        <v>13</v>
      </c>
      <c r="BK89" s="163">
        <f t="shared" si="48"/>
        <v>0</v>
      </c>
      <c r="BL89" s="163">
        <f t="shared" si="48"/>
        <v>11</v>
      </c>
      <c r="BM89" s="644">
        <f t="shared" si="48"/>
        <v>0</v>
      </c>
      <c r="BN89" s="645">
        <f t="shared" si="48"/>
        <v>5</v>
      </c>
      <c r="BO89" s="163">
        <f t="shared" si="48"/>
        <v>0</v>
      </c>
      <c r="BP89" s="163">
        <f t="shared" si="48"/>
        <v>0</v>
      </c>
      <c r="BQ89" s="163">
        <f t="shared" si="48"/>
        <v>4</v>
      </c>
      <c r="BR89" s="643">
        <f t="shared" si="48"/>
        <v>1</v>
      </c>
      <c r="BS89" s="646">
        <f t="shared" si="48"/>
        <v>31</v>
      </c>
      <c r="BT89" s="645">
        <f t="shared" si="48"/>
        <v>28</v>
      </c>
      <c r="BU89" s="163">
        <f t="shared" si="48"/>
        <v>15</v>
      </c>
      <c r="BV89" s="163">
        <f t="shared" si="48"/>
        <v>0</v>
      </c>
      <c r="BW89" s="163">
        <f t="shared" si="48"/>
        <v>13</v>
      </c>
      <c r="BX89" s="644">
        <f t="shared" si="48"/>
        <v>0</v>
      </c>
      <c r="BY89" s="645">
        <f t="shared" si="48"/>
        <v>3</v>
      </c>
      <c r="BZ89" s="163">
        <f t="shared" si="48"/>
        <v>1</v>
      </c>
      <c r="CA89" s="163">
        <f t="shared" si="48"/>
        <v>0</v>
      </c>
      <c r="CB89" s="163">
        <f t="shared" si="48"/>
        <v>2</v>
      </c>
      <c r="CC89" s="643">
        <f t="shared" si="48"/>
        <v>0</v>
      </c>
      <c r="CD89" s="646">
        <f t="shared" si="48"/>
        <v>3</v>
      </c>
      <c r="CE89" s="645">
        <f t="shared" si="48"/>
        <v>3</v>
      </c>
      <c r="CF89" s="163">
        <f t="shared" si="48"/>
        <v>0</v>
      </c>
      <c r="CG89" s="163">
        <f t="shared" si="48"/>
        <v>0</v>
      </c>
      <c r="CH89" s="163">
        <f t="shared" si="48"/>
        <v>3</v>
      </c>
      <c r="CI89" s="644">
        <f t="shared" si="48"/>
        <v>0</v>
      </c>
      <c r="CJ89" s="645">
        <f t="shared" si="48"/>
        <v>0</v>
      </c>
      <c r="CK89" s="163">
        <f t="shared" si="48"/>
        <v>0</v>
      </c>
      <c r="CL89" s="163">
        <f t="shared" si="48"/>
        <v>0</v>
      </c>
      <c r="CM89" s="163">
        <f t="shared" si="48"/>
        <v>0</v>
      </c>
      <c r="CN89" s="643">
        <f t="shared" si="48"/>
        <v>0</v>
      </c>
      <c r="CO89" s="646">
        <f t="shared" si="48"/>
        <v>5</v>
      </c>
      <c r="CP89" s="645">
        <f t="shared" si="48"/>
        <v>4</v>
      </c>
      <c r="CQ89" s="163">
        <f t="shared" si="48"/>
        <v>3</v>
      </c>
      <c r="CR89" s="163">
        <f t="shared" si="48"/>
        <v>0</v>
      </c>
      <c r="CS89" s="163">
        <f t="shared" si="48"/>
        <v>1</v>
      </c>
      <c r="CT89" s="644">
        <f t="shared" si="48"/>
        <v>0</v>
      </c>
      <c r="CU89" s="645">
        <f t="shared" si="44"/>
        <v>1</v>
      </c>
      <c r="CV89" s="163">
        <f t="shared" si="44"/>
        <v>0</v>
      </c>
      <c r="CW89" s="163">
        <f t="shared" si="44"/>
        <v>0</v>
      </c>
      <c r="CX89" s="163">
        <f t="shared" si="44"/>
        <v>1</v>
      </c>
      <c r="CY89" s="643">
        <f t="shared" si="44"/>
        <v>0</v>
      </c>
      <c r="CZ89" s="646">
        <f t="shared" si="44"/>
        <v>1</v>
      </c>
      <c r="DA89" s="645">
        <f t="shared" si="44"/>
        <v>1</v>
      </c>
      <c r="DB89" s="163">
        <f t="shared" si="44"/>
        <v>0</v>
      </c>
      <c r="DC89" s="163">
        <f t="shared" si="44"/>
        <v>0</v>
      </c>
      <c r="DD89" s="163">
        <f t="shared" si="44"/>
        <v>1</v>
      </c>
      <c r="DE89" s="644">
        <f t="shared" si="44"/>
        <v>0</v>
      </c>
      <c r="DF89" s="645">
        <f t="shared" si="44"/>
        <v>0</v>
      </c>
      <c r="DG89" s="163">
        <f t="shared" si="44"/>
        <v>0</v>
      </c>
      <c r="DH89" s="163">
        <f t="shared" si="44"/>
        <v>0</v>
      </c>
      <c r="DI89" s="163">
        <f t="shared" si="44"/>
        <v>0</v>
      </c>
      <c r="DJ89" s="643">
        <f t="shared" si="44"/>
        <v>0</v>
      </c>
      <c r="DK89" s="646">
        <f t="shared" si="44"/>
        <v>0</v>
      </c>
      <c r="DL89" s="645">
        <f t="shared" si="44"/>
        <v>0</v>
      </c>
      <c r="DM89" s="163">
        <f t="shared" si="44"/>
        <v>0</v>
      </c>
      <c r="DN89" s="163">
        <f t="shared" si="44"/>
        <v>0</v>
      </c>
      <c r="DO89" s="163">
        <f t="shared" si="44"/>
        <v>0</v>
      </c>
      <c r="DP89" s="644">
        <f t="shared" si="44"/>
        <v>0</v>
      </c>
      <c r="DQ89" s="645">
        <f t="shared" si="44"/>
        <v>0</v>
      </c>
      <c r="DR89" s="163">
        <f t="shared" si="44"/>
        <v>0</v>
      </c>
      <c r="DS89" s="163">
        <f t="shared" si="44"/>
        <v>0</v>
      </c>
      <c r="DT89" s="163">
        <f t="shared" si="44"/>
        <v>0</v>
      </c>
      <c r="DU89" s="643">
        <f t="shared" si="44"/>
        <v>0</v>
      </c>
      <c r="DW89" s="646">
        <f t="shared" si="40"/>
        <v>89</v>
      </c>
      <c r="DX89" s="645">
        <f t="shared" si="40"/>
        <v>79</v>
      </c>
      <c r="DY89" s="163">
        <f t="shared" si="40"/>
        <v>39</v>
      </c>
      <c r="DZ89" s="163">
        <f t="shared" si="38"/>
        <v>0</v>
      </c>
      <c r="EA89" s="163">
        <f t="shared" si="38"/>
        <v>40</v>
      </c>
      <c r="EB89" s="644">
        <f t="shared" si="38"/>
        <v>0</v>
      </c>
      <c r="EC89" s="645">
        <f t="shared" si="38"/>
        <v>10</v>
      </c>
      <c r="ED89" s="163">
        <f t="shared" si="38"/>
        <v>2</v>
      </c>
      <c r="EE89" s="163">
        <f t="shared" si="38"/>
        <v>0</v>
      </c>
      <c r="EF89" s="163">
        <f t="shared" si="14"/>
        <v>7</v>
      </c>
      <c r="EG89" s="643">
        <f t="shared" si="14"/>
        <v>1</v>
      </c>
      <c r="EH89" s="646">
        <f t="shared" si="29"/>
        <v>30</v>
      </c>
      <c r="EI89" s="645">
        <f t="shared" si="29"/>
        <v>24</v>
      </c>
      <c r="EJ89" s="163">
        <f t="shared" si="27"/>
        <v>12</v>
      </c>
      <c r="EK89" s="163">
        <f t="shared" si="27"/>
        <v>0</v>
      </c>
      <c r="EL89" s="163">
        <f t="shared" si="27"/>
        <v>12</v>
      </c>
      <c r="EM89" s="644">
        <f t="shared" ref="EM89:ER131" si="49">AQ89</f>
        <v>0</v>
      </c>
      <c r="EN89" s="645">
        <f t="shared" si="49"/>
        <v>6</v>
      </c>
      <c r="EO89" s="163">
        <f t="shared" si="49"/>
        <v>3</v>
      </c>
      <c r="EP89" s="163">
        <f t="shared" si="49"/>
        <v>0</v>
      </c>
      <c r="EQ89" s="163">
        <f t="shared" si="49"/>
        <v>3</v>
      </c>
      <c r="ER89" s="643">
        <f t="shared" si="49"/>
        <v>0</v>
      </c>
    </row>
    <row r="90" spans="1:148">
      <c r="A90" s="654" t="s">
        <v>240</v>
      </c>
      <c r="B90" s="658">
        <v>44256</v>
      </c>
      <c r="C90" s="659">
        <v>2021</v>
      </c>
      <c r="D90" s="646">
        <f t="shared" si="10"/>
        <v>141819</v>
      </c>
      <c r="E90" s="646">
        <f t="shared" si="43"/>
        <v>3362</v>
      </c>
      <c r="F90" s="645">
        <f t="shared" si="43"/>
        <v>2600</v>
      </c>
      <c r="G90" s="163">
        <f t="shared" si="43"/>
        <v>1018</v>
      </c>
      <c r="H90" s="163">
        <f t="shared" si="43"/>
        <v>0</v>
      </c>
      <c r="I90" s="163">
        <f t="shared" si="43"/>
        <v>1582</v>
      </c>
      <c r="J90" s="644">
        <f t="shared" si="43"/>
        <v>0</v>
      </c>
      <c r="K90" s="645">
        <f t="shared" si="43"/>
        <v>762</v>
      </c>
      <c r="L90" s="163">
        <f t="shared" si="43"/>
        <v>183</v>
      </c>
      <c r="M90" s="163">
        <f t="shared" si="43"/>
        <v>0</v>
      </c>
      <c r="N90" s="163">
        <f t="shared" si="43"/>
        <v>512</v>
      </c>
      <c r="O90" s="643">
        <f t="shared" si="43"/>
        <v>67</v>
      </c>
      <c r="P90" s="646">
        <f t="shared" si="43"/>
        <v>5</v>
      </c>
      <c r="Q90" s="645">
        <f t="shared" si="43"/>
        <v>4</v>
      </c>
      <c r="R90" s="163">
        <f t="shared" si="43"/>
        <v>1</v>
      </c>
      <c r="S90" s="163">
        <f t="shared" si="43"/>
        <v>0</v>
      </c>
      <c r="T90" s="163">
        <f t="shared" si="43"/>
        <v>3</v>
      </c>
      <c r="U90" s="644">
        <f t="shared" ref="U90:AH95" si="50">SUMIFS(U$5:U$36,$B$5:$B$36,$A90)</f>
        <v>0</v>
      </c>
      <c r="V90" s="645">
        <f t="shared" si="50"/>
        <v>1</v>
      </c>
      <c r="W90" s="163">
        <f t="shared" si="50"/>
        <v>1</v>
      </c>
      <c r="X90" s="163">
        <f t="shared" si="50"/>
        <v>0</v>
      </c>
      <c r="Y90" s="163">
        <f t="shared" si="50"/>
        <v>0</v>
      </c>
      <c r="Z90" s="643">
        <f t="shared" si="50"/>
        <v>0</v>
      </c>
      <c r="AA90" s="646">
        <f t="shared" si="50"/>
        <v>4</v>
      </c>
      <c r="AB90" s="645">
        <f t="shared" si="50"/>
        <v>4</v>
      </c>
      <c r="AC90" s="163">
        <f t="shared" si="50"/>
        <v>3</v>
      </c>
      <c r="AD90" s="163">
        <f t="shared" si="50"/>
        <v>0</v>
      </c>
      <c r="AE90" s="163">
        <f t="shared" si="50"/>
        <v>1</v>
      </c>
      <c r="AF90" s="644">
        <f t="shared" si="50"/>
        <v>0</v>
      </c>
      <c r="AG90" s="645">
        <f t="shared" si="50"/>
        <v>0</v>
      </c>
      <c r="AH90" s="163">
        <f t="shared" si="50"/>
        <v>0</v>
      </c>
      <c r="AI90" s="163">
        <f t="shared" si="47"/>
        <v>0</v>
      </c>
      <c r="AJ90" s="163">
        <f t="shared" si="47"/>
        <v>0</v>
      </c>
      <c r="AK90" s="643">
        <f t="shared" si="47"/>
        <v>0</v>
      </c>
      <c r="AL90" s="646">
        <f t="shared" si="47"/>
        <v>30</v>
      </c>
      <c r="AM90" s="645">
        <f t="shared" si="47"/>
        <v>24</v>
      </c>
      <c r="AN90" s="163">
        <f t="shared" si="47"/>
        <v>12</v>
      </c>
      <c r="AO90" s="163">
        <f t="shared" si="47"/>
        <v>0</v>
      </c>
      <c r="AP90" s="163">
        <f t="shared" si="47"/>
        <v>12</v>
      </c>
      <c r="AQ90" s="644">
        <f t="shared" si="47"/>
        <v>0</v>
      </c>
      <c r="AR90" s="645">
        <f t="shared" si="47"/>
        <v>6</v>
      </c>
      <c r="AS90" s="163">
        <f t="shared" si="47"/>
        <v>3</v>
      </c>
      <c r="AT90" s="163">
        <f t="shared" si="47"/>
        <v>0</v>
      </c>
      <c r="AU90" s="163">
        <f t="shared" si="47"/>
        <v>3</v>
      </c>
      <c r="AV90" s="643">
        <f t="shared" si="47"/>
        <v>0</v>
      </c>
      <c r="AW90" s="646">
        <f t="shared" si="47"/>
        <v>11</v>
      </c>
      <c r="AX90" s="645">
        <f t="shared" si="47"/>
        <v>11</v>
      </c>
      <c r="AY90" s="163">
        <f t="shared" si="47"/>
        <v>4</v>
      </c>
      <c r="AZ90" s="163">
        <f t="shared" si="48"/>
        <v>0</v>
      </c>
      <c r="BA90" s="163">
        <f t="shared" si="48"/>
        <v>7</v>
      </c>
      <c r="BB90" s="644">
        <f t="shared" si="48"/>
        <v>0</v>
      </c>
      <c r="BC90" s="645">
        <f t="shared" si="48"/>
        <v>0</v>
      </c>
      <c r="BD90" s="163">
        <f t="shared" si="48"/>
        <v>0</v>
      </c>
      <c r="BE90" s="163">
        <f t="shared" si="48"/>
        <v>0</v>
      </c>
      <c r="BF90" s="163">
        <f t="shared" si="48"/>
        <v>0</v>
      </c>
      <c r="BG90" s="643">
        <f t="shared" si="48"/>
        <v>0</v>
      </c>
      <c r="BH90" s="646">
        <f t="shared" si="48"/>
        <v>29</v>
      </c>
      <c r="BI90" s="645">
        <f t="shared" si="48"/>
        <v>24</v>
      </c>
      <c r="BJ90" s="163">
        <f t="shared" si="48"/>
        <v>13</v>
      </c>
      <c r="BK90" s="163">
        <f t="shared" si="48"/>
        <v>0</v>
      </c>
      <c r="BL90" s="163">
        <f t="shared" si="48"/>
        <v>11</v>
      </c>
      <c r="BM90" s="644">
        <f t="shared" si="48"/>
        <v>0</v>
      </c>
      <c r="BN90" s="645">
        <f t="shared" si="48"/>
        <v>5</v>
      </c>
      <c r="BO90" s="163">
        <f t="shared" si="48"/>
        <v>0</v>
      </c>
      <c r="BP90" s="163">
        <f t="shared" si="48"/>
        <v>0</v>
      </c>
      <c r="BQ90" s="163">
        <f t="shared" si="48"/>
        <v>4</v>
      </c>
      <c r="BR90" s="643">
        <f t="shared" si="48"/>
        <v>1</v>
      </c>
      <c r="BS90" s="646">
        <f t="shared" si="48"/>
        <v>31</v>
      </c>
      <c r="BT90" s="645">
        <f t="shared" si="48"/>
        <v>28</v>
      </c>
      <c r="BU90" s="163">
        <f t="shared" si="48"/>
        <v>15</v>
      </c>
      <c r="BV90" s="163">
        <f t="shared" si="48"/>
        <v>0</v>
      </c>
      <c r="BW90" s="163">
        <f t="shared" si="48"/>
        <v>13</v>
      </c>
      <c r="BX90" s="644">
        <f t="shared" si="48"/>
        <v>0</v>
      </c>
      <c r="BY90" s="645">
        <f t="shared" si="48"/>
        <v>3</v>
      </c>
      <c r="BZ90" s="163">
        <f t="shared" si="48"/>
        <v>1</v>
      </c>
      <c r="CA90" s="163">
        <f t="shared" si="48"/>
        <v>0</v>
      </c>
      <c r="CB90" s="163">
        <f t="shared" si="48"/>
        <v>2</v>
      </c>
      <c r="CC90" s="643">
        <f t="shared" si="48"/>
        <v>0</v>
      </c>
      <c r="CD90" s="646">
        <f t="shared" si="48"/>
        <v>3</v>
      </c>
      <c r="CE90" s="645">
        <f t="shared" si="48"/>
        <v>3</v>
      </c>
      <c r="CF90" s="163">
        <f t="shared" si="48"/>
        <v>0</v>
      </c>
      <c r="CG90" s="163">
        <f t="shared" si="48"/>
        <v>0</v>
      </c>
      <c r="CH90" s="163">
        <f t="shared" si="48"/>
        <v>3</v>
      </c>
      <c r="CI90" s="644">
        <f t="shared" si="48"/>
        <v>0</v>
      </c>
      <c r="CJ90" s="645">
        <f t="shared" si="48"/>
        <v>0</v>
      </c>
      <c r="CK90" s="163">
        <f t="shared" si="48"/>
        <v>0</v>
      </c>
      <c r="CL90" s="163">
        <f t="shared" si="48"/>
        <v>0</v>
      </c>
      <c r="CM90" s="163">
        <f t="shared" si="48"/>
        <v>0</v>
      </c>
      <c r="CN90" s="643">
        <f t="shared" si="48"/>
        <v>0</v>
      </c>
      <c r="CO90" s="646">
        <f t="shared" si="48"/>
        <v>5</v>
      </c>
      <c r="CP90" s="645">
        <f t="shared" si="48"/>
        <v>4</v>
      </c>
      <c r="CQ90" s="163">
        <f t="shared" si="48"/>
        <v>3</v>
      </c>
      <c r="CR90" s="163">
        <f t="shared" si="48"/>
        <v>0</v>
      </c>
      <c r="CS90" s="163">
        <f t="shared" si="48"/>
        <v>1</v>
      </c>
      <c r="CT90" s="644">
        <f t="shared" si="48"/>
        <v>0</v>
      </c>
      <c r="CU90" s="645">
        <f t="shared" si="44"/>
        <v>1</v>
      </c>
      <c r="CV90" s="163">
        <f t="shared" si="44"/>
        <v>0</v>
      </c>
      <c r="CW90" s="163">
        <f t="shared" si="44"/>
        <v>0</v>
      </c>
      <c r="CX90" s="163">
        <f t="shared" si="44"/>
        <v>1</v>
      </c>
      <c r="CY90" s="643">
        <f t="shared" si="44"/>
        <v>0</v>
      </c>
      <c r="CZ90" s="646">
        <f t="shared" si="44"/>
        <v>1</v>
      </c>
      <c r="DA90" s="645">
        <f t="shared" si="44"/>
        <v>1</v>
      </c>
      <c r="DB90" s="163">
        <f t="shared" si="44"/>
        <v>0</v>
      </c>
      <c r="DC90" s="163">
        <f t="shared" si="44"/>
        <v>0</v>
      </c>
      <c r="DD90" s="163">
        <f t="shared" si="44"/>
        <v>1</v>
      </c>
      <c r="DE90" s="644">
        <f t="shared" si="44"/>
        <v>0</v>
      </c>
      <c r="DF90" s="645">
        <f t="shared" si="44"/>
        <v>0</v>
      </c>
      <c r="DG90" s="163">
        <f t="shared" si="44"/>
        <v>0</v>
      </c>
      <c r="DH90" s="163">
        <f t="shared" si="44"/>
        <v>0</v>
      </c>
      <c r="DI90" s="163">
        <f t="shared" si="44"/>
        <v>0</v>
      </c>
      <c r="DJ90" s="643">
        <f t="shared" si="44"/>
        <v>0</v>
      </c>
      <c r="DK90" s="646">
        <f t="shared" si="44"/>
        <v>0</v>
      </c>
      <c r="DL90" s="645">
        <f t="shared" si="44"/>
        <v>0</v>
      </c>
      <c r="DM90" s="163">
        <f t="shared" si="44"/>
        <v>0</v>
      </c>
      <c r="DN90" s="163">
        <f t="shared" si="44"/>
        <v>0</v>
      </c>
      <c r="DO90" s="163">
        <f t="shared" si="44"/>
        <v>0</v>
      </c>
      <c r="DP90" s="644">
        <f t="shared" si="44"/>
        <v>0</v>
      </c>
      <c r="DQ90" s="645">
        <f t="shared" si="44"/>
        <v>0</v>
      </c>
      <c r="DR90" s="163">
        <f t="shared" si="44"/>
        <v>0</v>
      </c>
      <c r="DS90" s="163">
        <f t="shared" si="44"/>
        <v>0</v>
      </c>
      <c r="DT90" s="163">
        <f t="shared" si="44"/>
        <v>0</v>
      </c>
      <c r="DU90" s="643">
        <f t="shared" si="44"/>
        <v>0</v>
      </c>
      <c r="DW90" s="646">
        <f t="shared" si="40"/>
        <v>89</v>
      </c>
      <c r="DX90" s="645">
        <f t="shared" si="40"/>
        <v>79</v>
      </c>
      <c r="DY90" s="163">
        <f t="shared" si="40"/>
        <v>39</v>
      </c>
      <c r="DZ90" s="163">
        <f t="shared" si="38"/>
        <v>0</v>
      </c>
      <c r="EA90" s="163">
        <f t="shared" si="38"/>
        <v>40</v>
      </c>
      <c r="EB90" s="644">
        <f t="shared" si="38"/>
        <v>0</v>
      </c>
      <c r="EC90" s="645">
        <f t="shared" si="38"/>
        <v>10</v>
      </c>
      <c r="ED90" s="163">
        <f t="shared" si="38"/>
        <v>2</v>
      </c>
      <c r="EE90" s="163">
        <f t="shared" si="38"/>
        <v>0</v>
      </c>
      <c r="EF90" s="163">
        <f t="shared" si="14"/>
        <v>7</v>
      </c>
      <c r="EG90" s="643">
        <f t="shared" si="14"/>
        <v>1</v>
      </c>
      <c r="EH90" s="646">
        <f t="shared" si="29"/>
        <v>30</v>
      </c>
      <c r="EI90" s="645">
        <f t="shared" si="29"/>
        <v>24</v>
      </c>
      <c r="EJ90" s="163">
        <f t="shared" si="29"/>
        <v>12</v>
      </c>
      <c r="EK90" s="163">
        <f t="shared" si="29"/>
        <v>0</v>
      </c>
      <c r="EL90" s="163">
        <f t="shared" si="29"/>
        <v>12</v>
      </c>
      <c r="EM90" s="644">
        <f t="shared" si="49"/>
        <v>0</v>
      </c>
      <c r="EN90" s="645">
        <f t="shared" si="49"/>
        <v>6</v>
      </c>
      <c r="EO90" s="163">
        <f t="shared" si="49"/>
        <v>3</v>
      </c>
      <c r="EP90" s="163">
        <f t="shared" si="49"/>
        <v>0</v>
      </c>
      <c r="EQ90" s="163">
        <f t="shared" si="49"/>
        <v>3</v>
      </c>
      <c r="ER90" s="643">
        <f t="shared" si="49"/>
        <v>0</v>
      </c>
    </row>
    <row r="91" spans="1:148">
      <c r="A91" s="654" t="s">
        <v>241</v>
      </c>
      <c r="B91" s="658">
        <v>44287</v>
      </c>
      <c r="C91" s="659">
        <v>2021</v>
      </c>
      <c r="D91" s="646">
        <f t="shared" si="10"/>
        <v>180181</v>
      </c>
      <c r="E91" s="646">
        <f t="shared" si="43"/>
        <v>5148</v>
      </c>
      <c r="F91" s="645">
        <f t="shared" si="43"/>
        <v>3762</v>
      </c>
      <c r="G91" s="163">
        <f t="shared" si="43"/>
        <v>1702</v>
      </c>
      <c r="H91" s="163">
        <f t="shared" si="43"/>
        <v>0</v>
      </c>
      <c r="I91" s="163">
        <f t="shared" si="43"/>
        <v>2060</v>
      </c>
      <c r="J91" s="644">
        <f t="shared" si="43"/>
        <v>0</v>
      </c>
      <c r="K91" s="645">
        <f t="shared" si="43"/>
        <v>1386</v>
      </c>
      <c r="L91" s="163">
        <f t="shared" si="43"/>
        <v>267</v>
      </c>
      <c r="M91" s="163">
        <f t="shared" si="43"/>
        <v>0</v>
      </c>
      <c r="N91" s="163">
        <f t="shared" si="43"/>
        <v>1063</v>
      </c>
      <c r="O91" s="643">
        <f t="shared" si="43"/>
        <v>56</v>
      </c>
      <c r="P91" s="646">
        <f t="shared" si="43"/>
        <v>3</v>
      </c>
      <c r="Q91" s="645">
        <f t="shared" si="43"/>
        <v>3</v>
      </c>
      <c r="R91" s="163">
        <f t="shared" si="43"/>
        <v>2</v>
      </c>
      <c r="S91" s="163">
        <f t="shared" si="43"/>
        <v>0</v>
      </c>
      <c r="T91" s="163">
        <f t="shared" si="43"/>
        <v>1</v>
      </c>
      <c r="U91" s="644">
        <f t="shared" si="50"/>
        <v>0</v>
      </c>
      <c r="V91" s="645">
        <f t="shared" si="50"/>
        <v>0</v>
      </c>
      <c r="W91" s="163">
        <f t="shared" si="50"/>
        <v>0</v>
      </c>
      <c r="X91" s="163">
        <f t="shared" si="50"/>
        <v>0</v>
      </c>
      <c r="Y91" s="163">
        <f t="shared" si="50"/>
        <v>0</v>
      </c>
      <c r="Z91" s="643">
        <f t="shared" si="50"/>
        <v>0</v>
      </c>
      <c r="AA91" s="646">
        <f t="shared" si="50"/>
        <v>4</v>
      </c>
      <c r="AB91" s="645">
        <f t="shared" si="50"/>
        <v>3</v>
      </c>
      <c r="AC91" s="163">
        <f t="shared" si="50"/>
        <v>0</v>
      </c>
      <c r="AD91" s="163">
        <f t="shared" si="50"/>
        <v>0</v>
      </c>
      <c r="AE91" s="163">
        <f t="shared" si="50"/>
        <v>3</v>
      </c>
      <c r="AF91" s="644">
        <f t="shared" si="50"/>
        <v>0</v>
      </c>
      <c r="AG91" s="645">
        <f t="shared" si="50"/>
        <v>1</v>
      </c>
      <c r="AH91" s="163">
        <f t="shared" si="50"/>
        <v>1</v>
      </c>
      <c r="AI91" s="163">
        <f t="shared" si="47"/>
        <v>0</v>
      </c>
      <c r="AJ91" s="163">
        <f t="shared" si="47"/>
        <v>0</v>
      </c>
      <c r="AK91" s="643">
        <f t="shared" si="47"/>
        <v>0</v>
      </c>
      <c r="AL91" s="646">
        <f t="shared" si="47"/>
        <v>56</v>
      </c>
      <c r="AM91" s="645">
        <f t="shared" si="47"/>
        <v>39</v>
      </c>
      <c r="AN91" s="163">
        <f t="shared" si="47"/>
        <v>18</v>
      </c>
      <c r="AO91" s="163">
        <f t="shared" si="47"/>
        <v>0</v>
      </c>
      <c r="AP91" s="163">
        <f t="shared" si="47"/>
        <v>21</v>
      </c>
      <c r="AQ91" s="644">
        <f t="shared" si="47"/>
        <v>0</v>
      </c>
      <c r="AR91" s="645">
        <f t="shared" si="47"/>
        <v>17</v>
      </c>
      <c r="AS91" s="163">
        <f t="shared" si="47"/>
        <v>3</v>
      </c>
      <c r="AT91" s="163">
        <f t="shared" si="47"/>
        <v>0</v>
      </c>
      <c r="AU91" s="163">
        <f t="shared" si="47"/>
        <v>14</v>
      </c>
      <c r="AV91" s="643">
        <f t="shared" si="47"/>
        <v>0</v>
      </c>
      <c r="AW91" s="646">
        <f t="shared" si="47"/>
        <v>24</v>
      </c>
      <c r="AX91" s="645">
        <f t="shared" si="47"/>
        <v>20</v>
      </c>
      <c r="AY91" s="163">
        <f t="shared" si="47"/>
        <v>11</v>
      </c>
      <c r="AZ91" s="163">
        <f t="shared" si="48"/>
        <v>0</v>
      </c>
      <c r="BA91" s="163">
        <f t="shared" si="48"/>
        <v>9</v>
      </c>
      <c r="BB91" s="644">
        <f t="shared" si="48"/>
        <v>0</v>
      </c>
      <c r="BC91" s="645">
        <f t="shared" si="48"/>
        <v>4</v>
      </c>
      <c r="BD91" s="163">
        <f t="shared" si="48"/>
        <v>2</v>
      </c>
      <c r="BE91" s="163">
        <f t="shared" si="48"/>
        <v>0</v>
      </c>
      <c r="BF91" s="163">
        <f t="shared" si="48"/>
        <v>2</v>
      </c>
      <c r="BG91" s="643">
        <f t="shared" si="48"/>
        <v>0</v>
      </c>
      <c r="BH91" s="646">
        <f t="shared" si="48"/>
        <v>45</v>
      </c>
      <c r="BI91" s="645">
        <f t="shared" si="48"/>
        <v>38</v>
      </c>
      <c r="BJ91" s="163">
        <f t="shared" si="48"/>
        <v>17</v>
      </c>
      <c r="BK91" s="163">
        <f t="shared" si="48"/>
        <v>0</v>
      </c>
      <c r="BL91" s="163">
        <f t="shared" si="48"/>
        <v>21</v>
      </c>
      <c r="BM91" s="644">
        <f t="shared" si="48"/>
        <v>0</v>
      </c>
      <c r="BN91" s="645">
        <f t="shared" si="48"/>
        <v>7</v>
      </c>
      <c r="BO91" s="163">
        <f t="shared" si="48"/>
        <v>2</v>
      </c>
      <c r="BP91" s="163">
        <f t="shared" si="48"/>
        <v>0</v>
      </c>
      <c r="BQ91" s="163">
        <f t="shared" si="48"/>
        <v>4</v>
      </c>
      <c r="BR91" s="643">
        <f t="shared" si="48"/>
        <v>1</v>
      </c>
      <c r="BS91" s="646">
        <f t="shared" si="48"/>
        <v>46</v>
      </c>
      <c r="BT91" s="645">
        <f t="shared" si="48"/>
        <v>38</v>
      </c>
      <c r="BU91" s="163">
        <f t="shared" si="48"/>
        <v>16</v>
      </c>
      <c r="BV91" s="163">
        <f t="shared" si="48"/>
        <v>0</v>
      </c>
      <c r="BW91" s="163">
        <f t="shared" si="48"/>
        <v>22</v>
      </c>
      <c r="BX91" s="644">
        <f t="shared" si="48"/>
        <v>0</v>
      </c>
      <c r="BY91" s="645">
        <f t="shared" si="48"/>
        <v>8</v>
      </c>
      <c r="BZ91" s="163">
        <f t="shared" si="48"/>
        <v>3</v>
      </c>
      <c r="CA91" s="163">
        <f t="shared" si="48"/>
        <v>0</v>
      </c>
      <c r="CB91" s="163">
        <f t="shared" si="48"/>
        <v>5</v>
      </c>
      <c r="CC91" s="643">
        <f t="shared" si="48"/>
        <v>0</v>
      </c>
      <c r="CD91" s="646">
        <f t="shared" si="48"/>
        <v>8</v>
      </c>
      <c r="CE91" s="645">
        <f t="shared" si="48"/>
        <v>6</v>
      </c>
      <c r="CF91" s="163">
        <f t="shared" si="48"/>
        <v>0</v>
      </c>
      <c r="CG91" s="163">
        <f t="shared" si="48"/>
        <v>0</v>
      </c>
      <c r="CH91" s="163">
        <f t="shared" si="48"/>
        <v>6</v>
      </c>
      <c r="CI91" s="644">
        <f t="shared" si="48"/>
        <v>0</v>
      </c>
      <c r="CJ91" s="645">
        <f t="shared" si="48"/>
        <v>2</v>
      </c>
      <c r="CK91" s="163">
        <f t="shared" si="48"/>
        <v>0</v>
      </c>
      <c r="CL91" s="163">
        <f t="shared" si="48"/>
        <v>0</v>
      </c>
      <c r="CM91" s="163">
        <f t="shared" si="48"/>
        <v>2</v>
      </c>
      <c r="CN91" s="643">
        <f t="shared" si="48"/>
        <v>0</v>
      </c>
      <c r="CO91" s="646">
        <f t="shared" si="48"/>
        <v>6</v>
      </c>
      <c r="CP91" s="645">
        <f t="shared" si="48"/>
        <v>4</v>
      </c>
      <c r="CQ91" s="163">
        <f t="shared" si="48"/>
        <v>1</v>
      </c>
      <c r="CR91" s="163">
        <f t="shared" si="48"/>
        <v>0</v>
      </c>
      <c r="CS91" s="163">
        <f t="shared" si="48"/>
        <v>3</v>
      </c>
      <c r="CT91" s="644">
        <f t="shared" si="48"/>
        <v>0</v>
      </c>
      <c r="CU91" s="645">
        <f t="shared" si="48"/>
        <v>2</v>
      </c>
      <c r="CV91" s="163">
        <f t="shared" si="48"/>
        <v>0</v>
      </c>
      <c r="CW91" s="163">
        <f t="shared" si="48"/>
        <v>0</v>
      </c>
      <c r="CX91" s="163">
        <f t="shared" si="48"/>
        <v>2</v>
      </c>
      <c r="CY91" s="643">
        <f t="shared" si="48"/>
        <v>0</v>
      </c>
      <c r="CZ91" s="646">
        <f t="shared" si="48"/>
        <v>1</v>
      </c>
      <c r="DA91" s="645">
        <f t="shared" si="48"/>
        <v>1</v>
      </c>
      <c r="DB91" s="163">
        <f t="shared" si="48"/>
        <v>0</v>
      </c>
      <c r="DC91" s="163">
        <f t="shared" si="48"/>
        <v>0</v>
      </c>
      <c r="DD91" s="163">
        <f t="shared" si="48"/>
        <v>1</v>
      </c>
      <c r="DE91" s="644">
        <f t="shared" si="48"/>
        <v>0</v>
      </c>
      <c r="DF91" s="645">
        <f t="shared" si="48"/>
        <v>0</v>
      </c>
      <c r="DG91" s="163">
        <f t="shared" si="48"/>
        <v>0</v>
      </c>
      <c r="DH91" s="163">
        <f t="shared" si="48"/>
        <v>0</v>
      </c>
      <c r="DI91" s="163">
        <f t="shared" si="48"/>
        <v>0</v>
      </c>
      <c r="DJ91" s="643">
        <f t="shared" si="48"/>
        <v>0</v>
      </c>
      <c r="DK91" s="646">
        <f t="shared" si="48"/>
        <v>0</v>
      </c>
      <c r="DL91" s="645">
        <f t="shared" si="44"/>
        <v>0</v>
      </c>
      <c r="DM91" s="163">
        <f t="shared" si="44"/>
        <v>0</v>
      </c>
      <c r="DN91" s="163">
        <f t="shared" si="44"/>
        <v>0</v>
      </c>
      <c r="DO91" s="163">
        <f t="shared" si="44"/>
        <v>0</v>
      </c>
      <c r="DP91" s="644">
        <f t="shared" si="44"/>
        <v>0</v>
      </c>
      <c r="DQ91" s="645">
        <f t="shared" si="44"/>
        <v>0</v>
      </c>
      <c r="DR91" s="163">
        <f t="shared" si="44"/>
        <v>0</v>
      </c>
      <c r="DS91" s="163">
        <f t="shared" si="44"/>
        <v>0</v>
      </c>
      <c r="DT91" s="163">
        <f t="shared" si="44"/>
        <v>0</v>
      </c>
      <c r="DU91" s="643">
        <f t="shared" si="44"/>
        <v>0</v>
      </c>
      <c r="DW91" s="646">
        <f t="shared" si="40"/>
        <v>137</v>
      </c>
      <c r="DX91" s="645">
        <f t="shared" si="40"/>
        <v>113</v>
      </c>
      <c r="DY91" s="163">
        <f t="shared" si="40"/>
        <v>47</v>
      </c>
      <c r="DZ91" s="163">
        <f t="shared" si="38"/>
        <v>0</v>
      </c>
      <c r="EA91" s="163">
        <f t="shared" si="38"/>
        <v>66</v>
      </c>
      <c r="EB91" s="644">
        <f t="shared" si="38"/>
        <v>0</v>
      </c>
      <c r="EC91" s="645">
        <f t="shared" si="38"/>
        <v>24</v>
      </c>
      <c r="ED91" s="163">
        <f t="shared" si="38"/>
        <v>8</v>
      </c>
      <c r="EE91" s="163">
        <f t="shared" si="38"/>
        <v>0</v>
      </c>
      <c r="EF91" s="163">
        <f t="shared" si="14"/>
        <v>15</v>
      </c>
      <c r="EG91" s="643">
        <f t="shared" si="14"/>
        <v>1</v>
      </c>
      <c r="EH91" s="646">
        <f t="shared" si="29"/>
        <v>56</v>
      </c>
      <c r="EI91" s="645">
        <f t="shared" si="29"/>
        <v>39</v>
      </c>
      <c r="EJ91" s="163">
        <f t="shared" si="29"/>
        <v>18</v>
      </c>
      <c r="EK91" s="163">
        <f t="shared" si="29"/>
        <v>0</v>
      </c>
      <c r="EL91" s="163">
        <f t="shared" si="29"/>
        <v>21</v>
      </c>
      <c r="EM91" s="644">
        <f t="shared" si="49"/>
        <v>0</v>
      </c>
      <c r="EN91" s="645">
        <f t="shared" si="49"/>
        <v>17</v>
      </c>
      <c r="EO91" s="163">
        <f t="shared" si="49"/>
        <v>3</v>
      </c>
      <c r="EP91" s="163">
        <f t="shared" si="49"/>
        <v>0</v>
      </c>
      <c r="EQ91" s="163">
        <f t="shared" si="49"/>
        <v>14</v>
      </c>
      <c r="ER91" s="643">
        <f t="shared" si="49"/>
        <v>0</v>
      </c>
    </row>
    <row r="92" spans="1:148">
      <c r="A92" s="654" t="s">
        <v>241</v>
      </c>
      <c r="B92" s="658">
        <v>44317</v>
      </c>
      <c r="C92" s="659">
        <v>2021</v>
      </c>
      <c r="D92" s="646">
        <f t="shared" si="10"/>
        <v>180181</v>
      </c>
      <c r="E92" s="646">
        <f t="shared" si="43"/>
        <v>5148</v>
      </c>
      <c r="F92" s="645">
        <f t="shared" si="43"/>
        <v>3762</v>
      </c>
      <c r="G92" s="163">
        <f t="shared" si="43"/>
        <v>1702</v>
      </c>
      <c r="H92" s="163">
        <f t="shared" si="43"/>
        <v>0</v>
      </c>
      <c r="I92" s="163">
        <f t="shared" si="43"/>
        <v>2060</v>
      </c>
      <c r="J92" s="644">
        <f t="shared" si="43"/>
        <v>0</v>
      </c>
      <c r="K92" s="645">
        <f t="shared" si="43"/>
        <v>1386</v>
      </c>
      <c r="L92" s="163">
        <f t="shared" si="43"/>
        <v>267</v>
      </c>
      <c r="M92" s="163">
        <f t="shared" si="43"/>
        <v>0</v>
      </c>
      <c r="N92" s="163">
        <f t="shared" si="43"/>
        <v>1063</v>
      </c>
      <c r="O92" s="643">
        <f t="shared" si="43"/>
        <v>56</v>
      </c>
      <c r="P92" s="646">
        <f t="shared" si="43"/>
        <v>3</v>
      </c>
      <c r="Q92" s="645">
        <f t="shared" si="43"/>
        <v>3</v>
      </c>
      <c r="R92" s="163">
        <f t="shared" si="43"/>
        <v>2</v>
      </c>
      <c r="S92" s="163">
        <f t="shared" si="43"/>
        <v>0</v>
      </c>
      <c r="T92" s="163">
        <f t="shared" si="43"/>
        <v>1</v>
      </c>
      <c r="U92" s="644">
        <f t="shared" si="50"/>
        <v>0</v>
      </c>
      <c r="V92" s="645">
        <f t="shared" si="50"/>
        <v>0</v>
      </c>
      <c r="W92" s="163">
        <f t="shared" si="50"/>
        <v>0</v>
      </c>
      <c r="X92" s="163">
        <f t="shared" si="50"/>
        <v>0</v>
      </c>
      <c r="Y92" s="163">
        <f t="shared" si="50"/>
        <v>0</v>
      </c>
      <c r="Z92" s="643">
        <f t="shared" si="50"/>
        <v>0</v>
      </c>
      <c r="AA92" s="646">
        <f t="shared" si="50"/>
        <v>4</v>
      </c>
      <c r="AB92" s="645">
        <f t="shared" si="50"/>
        <v>3</v>
      </c>
      <c r="AC92" s="163">
        <f t="shared" si="50"/>
        <v>0</v>
      </c>
      <c r="AD92" s="163">
        <f t="shared" si="50"/>
        <v>0</v>
      </c>
      <c r="AE92" s="163">
        <f t="shared" si="50"/>
        <v>3</v>
      </c>
      <c r="AF92" s="644">
        <f t="shared" si="50"/>
        <v>0</v>
      </c>
      <c r="AG92" s="645">
        <f t="shared" si="50"/>
        <v>1</v>
      </c>
      <c r="AH92" s="163">
        <f t="shared" si="50"/>
        <v>1</v>
      </c>
      <c r="AI92" s="163">
        <f t="shared" si="47"/>
        <v>0</v>
      </c>
      <c r="AJ92" s="163">
        <f t="shared" si="47"/>
        <v>0</v>
      </c>
      <c r="AK92" s="643">
        <f t="shared" si="47"/>
        <v>0</v>
      </c>
      <c r="AL92" s="646">
        <f t="shared" si="47"/>
        <v>56</v>
      </c>
      <c r="AM92" s="645">
        <f t="shared" si="47"/>
        <v>39</v>
      </c>
      <c r="AN92" s="163">
        <f t="shared" si="47"/>
        <v>18</v>
      </c>
      <c r="AO92" s="163">
        <f t="shared" si="47"/>
        <v>0</v>
      </c>
      <c r="AP92" s="163">
        <f t="shared" si="47"/>
        <v>21</v>
      </c>
      <c r="AQ92" s="644">
        <f t="shared" si="47"/>
        <v>0</v>
      </c>
      <c r="AR92" s="645">
        <f t="shared" si="47"/>
        <v>17</v>
      </c>
      <c r="AS92" s="163">
        <f t="shared" si="47"/>
        <v>3</v>
      </c>
      <c r="AT92" s="163">
        <f t="shared" si="47"/>
        <v>0</v>
      </c>
      <c r="AU92" s="163">
        <f t="shared" si="47"/>
        <v>14</v>
      </c>
      <c r="AV92" s="643">
        <f t="shared" si="47"/>
        <v>0</v>
      </c>
      <c r="AW92" s="646">
        <f t="shared" si="47"/>
        <v>24</v>
      </c>
      <c r="AX92" s="645">
        <f t="shared" si="47"/>
        <v>20</v>
      </c>
      <c r="AY92" s="163">
        <f t="shared" si="47"/>
        <v>11</v>
      </c>
      <c r="AZ92" s="163">
        <f t="shared" si="48"/>
        <v>0</v>
      </c>
      <c r="BA92" s="163">
        <f t="shared" si="48"/>
        <v>9</v>
      </c>
      <c r="BB92" s="644">
        <f t="shared" si="48"/>
        <v>0</v>
      </c>
      <c r="BC92" s="645">
        <f t="shared" si="48"/>
        <v>4</v>
      </c>
      <c r="BD92" s="163">
        <f t="shared" si="48"/>
        <v>2</v>
      </c>
      <c r="BE92" s="163">
        <f t="shared" si="48"/>
        <v>0</v>
      </c>
      <c r="BF92" s="163">
        <f t="shared" si="48"/>
        <v>2</v>
      </c>
      <c r="BG92" s="643">
        <f t="shared" si="48"/>
        <v>0</v>
      </c>
      <c r="BH92" s="646">
        <f t="shared" si="48"/>
        <v>45</v>
      </c>
      <c r="BI92" s="645">
        <f t="shared" si="48"/>
        <v>38</v>
      </c>
      <c r="BJ92" s="163">
        <f t="shared" si="48"/>
        <v>17</v>
      </c>
      <c r="BK92" s="163">
        <f t="shared" si="48"/>
        <v>0</v>
      </c>
      <c r="BL92" s="163">
        <f t="shared" si="48"/>
        <v>21</v>
      </c>
      <c r="BM92" s="644">
        <f t="shared" si="48"/>
        <v>0</v>
      </c>
      <c r="BN92" s="645">
        <f t="shared" si="48"/>
        <v>7</v>
      </c>
      <c r="BO92" s="163">
        <f t="shared" si="48"/>
        <v>2</v>
      </c>
      <c r="BP92" s="163">
        <f t="shared" si="48"/>
        <v>0</v>
      </c>
      <c r="BQ92" s="163">
        <f t="shared" si="48"/>
        <v>4</v>
      </c>
      <c r="BR92" s="643">
        <f t="shared" si="48"/>
        <v>1</v>
      </c>
      <c r="BS92" s="646">
        <f t="shared" si="48"/>
        <v>46</v>
      </c>
      <c r="BT92" s="645">
        <f t="shared" si="48"/>
        <v>38</v>
      </c>
      <c r="BU92" s="163">
        <f t="shared" si="48"/>
        <v>16</v>
      </c>
      <c r="BV92" s="163">
        <f t="shared" si="48"/>
        <v>0</v>
      </c>
      <c r="BW92" s="163">
        <f t="shared" si="48"/>
        <v>22</v>
      </c>
      <c r="BX92" s="644">
        <f t="shared" si="48"/>
        <v>0</v>
      </c>
      <c r="BY92" s="645">
        <f t="shared" si="48"/>
        <v>8</v>
      </c>
      <c r="BZ92" s="163">
        <f t="shared" si="48"/>
        <v>3</v>
      </c>
      <c r="CA92" s="163">
        <f t="shared" si="48"/>
        <v>0</v>
      </c>
      <c r="CB92" s="163">
        <f t="shared" si="48"/>
        <v>5</v>
      </c>
      <c r="CC92" s="643">
        <f t="shared" si="48"/>
        <v>0</v>
      </c>
      <c r="CD92" s="646">
        <f t="shared" si="48"/>
        <v>8</v>
      </c>
      <c r="CE92" s="645">
        <f t="shared" si="48"/>
        <v>6</v>
      </c>
      <c r="CF92" s="163">
        <f t="shared" si="48"/>
        <v>0</v>
      </c>
      <c r="CG92" s="163">
        <f t="shared" si="48"/>
        <v>0</v>
      </c>
      <c r="CH92" s="163">
        <f t="shared" si="48"/>
        <v>6</v>
      </c>
      <c r="CI92" s="644">
        <f t="shared" si="48"/>
        <v>0</v>
      </c>
      <c r="CJ92" s="645">
        <f t="shared" si="48"/>
        <v>2</v>
      </c>
      <c r="CK92" s="163">
        <f t="shared" si="48"/>
        <v>0</v>
      </c>
      <c r="CL92" s="163">
        <f t="shared" si="48"/>
        <v>0</v>
      </c>
      <c r="CM92" s="163">
        <f t="shared" si="48"/>
        <v>2</v>
      </c>
      <c r="CN92" s="643">
        <f t="shared" si="48"/>
        <v>0</v>
      </c>
      <c r="CO92" s="646">
        <f t="shared" si="48"/>
        <v>6</v>
      </c>
      <c r="CP92" s="645">
        <f t="shared" si="48"/>
        <v>4</v>
      </c>
      <c r="CQ92" s="163">
        <f t="shared" si="48"/>
        <v>1</v>
      </c>
      <c r="CR92" s="163">
        <f t="shared" si="48"/>
        <v>0</v>
      </c>
      <c r="CS92" s="163">
        <f t="shared" si="48"/>
        <v>3</v>
      </c>
      <c r="CT92" s="644">
        <f t="shared" si="48"/>
        <v>0</v>
      </c>
      <c r="CU92" s="645">
        <f t="shared" si="44"/>
        <v>2</v>
      </c>
      <c r="CV92" s="163">
        <f t="shared" si="44"/>
        <v>0</v>
      </c>
      <c r="CW92" s="163">
        <f t="shared" si="44"/>
        <v>0</v>
      </c>
      <c r="CX92" s="163">
        <f t="shared" si="44"/>
        <v>2</v>
      </c>
      <c r="CY92" s="643">
        <f t="shared" si="44"/>
        <v>0</v>
      </c>
      <c r="CZ92" s="646">
        <f t="shared" si="44"/>
        <v>1</v>
      </c>
      <c r="DA92" s="645">
        <f t="shared" si="44"/>
        <v>1</v>
      </c>
      <c r="DB92" s="163">
        <f t="shared" si="44"/>
        <v>0</v>
      </c>
      <c r="DC92" s="163">
        <f t="shared" si="44"/>
        <v>0</v>
      </c>
      <c r="DD92" s="163">
        <f t="shared" si="44"/>
        <v>1</v>
      </c>
      <c r="DE92" s="644">
        <f t="shared" si="44"/>
        <v>0</v>
      </c>
      <c r="DF92" s="645">
        <f t="shared" si="44"/>
        <v>0</v>
      </c>
      <c r="DG92" s="163">
        <f t="shared" si="44"/>
        <v>0</v>
      </c>
      <c r="DH92" s="163">
        <f t="shared" si="44"/>
        <v>0</v>
      </c>
      <c r="DI92" s="163">
        <f t="shared" si="44"/>
        <v>0</v>
      </c>
      <c r="DJ92" s="643">
        <f t="shared" si="44"/>
        <v>0</v>
      </c>
      <c r="DK92" s="646">
        <f t="shared" si="44"/>
        <v>0</v>
      </c>
      <c r="DL92" s="645">
        <f t="shared" si="44"/>
        <v>0</v>
      </c>
      <c r="DM92" s="163">
        <f t="shared" si="44"/>
        <v>0</v>
      </c>
      <c r="DN92" s="163">
        <f t="shared" si="44"/>
        <v>0</v>
      </c>
      <c r="DO92" s="163">
        <f t="shared" si="44"/>
        <v>0</v>
      </c>
      <c r="DP92" s="644">
        <f t="shared" si="44"/>
        <v>0</v>
      </c>
      <c r="DQ92" s="645">
        <f t="shared" si="44"/>
        <v>0</v>
      </c>
      <c r="DR92" s="163">
        <f t="shared" si="44"/>
        <v>0</v>
      </c>
      <c r="DS92" s="163">
        <f t="shared" si="44"/>
        <v>0</v>
      </c>
      <c r="DT92" s="163">
        <f t="shared" si="44"/>
        <v>0</v>
      </c>
      <c r="DU92" s="643">
        <f t="shared" si="44"/>
        <v>0</v>
      </c>
      <c r="DW92" s="646">
        <f t="shared" si="40"/>
        <v>137</v>
      </c>
      <c r="DX92" s="645">
        <f t="shared" si="40"/>
        <v>113</v>
      </c>
      <c r="DY92" s="163">
        <f t="shared" si="40"/>
        <v>47</v>
      </c>
      <c r="DZ92" s="163">
        <f t="shared" si="38"/>
        <v>0</v>
      </c>
      <c r="EA92" s="163">
        <f t="shared" si="38"/>
        <v>66</v>
      </c>
      <c r="EB92" s="644">
        <f t="shared" si="38"/>
        <v>0</v>
      </c>
      <c r="EC92" s="645">
        <f t="shared" si="38"/>
        <v>24</v>
      </c>
      <c r="ED92" s="163">
        <f t="shared" si="38"/>
        <v>8</v>
      </c>
      <c r="EE92" s="163">
        <f t="shared" si="38"/>
        <v>0</v>
      </c>
      <c r="EF92" s="163">
        <f t="shared" si="14"/>
        <v>15</v>
      </c>
      <c r="EG92" s="643">
        <f t="shared" si="14"/>
        <v>1</v>
      </c>
      <c r="EH92" s="646">
        <f t="shared" si="29"/>
        <v>56</v>
      </c>
      <c r="EI92" s="645">
        <f t="shared" si="29"/>
        <v>39</v>
      </c>
      <c r="EJ92" s="163">
        <f t="shared" si="29"/>
        <v>18</v>
      </c>
      <c r="EK92" s="163">
        <f t="shared" si="29"/>
        <v>0</v>
      </c>
      <c r="EL92" s="163">
        <f t="shared" si="29"/>
        <v>21</v>
      </c>
      <c r="EM92" s="644">
        <f t="shared" si="49"/>
        <v>0</v>
      </c>
      <c r="EN92" s="645">
        <f t="shared" si="49"/>
        <v>17</v>
      </c>
      <c r="EO92" s="163">
        <f t="shared" si="49"/>
        <v>3</v>
      </c>
      <c r="EP92" s="163">
        <f t="shared" si="49"/>
        <v>0</v>
      </c>
      <c r="EQ92" s="163">
        <f t="shared" si="49"/>
        <v>14</v>
      </c>
      <c r="ER92" s="643">
        <f t="shared" si="49"/>
        <v>0</v>
      </c>
    </row>
    <row r="93" spans="1:148">
      <c r="A93" s="654" t="s">
        <v>241</v>
      </c>
      <c r="B93" s="658">
        <v>44348</v>
      </c>
      <c r="C93" s="659">
        <v>2021</v>
      </c>
      <c r="D93" s="646">
        <f t="shared" si="10"/>
        <v>180181</v>
      </c>
      <c r="E93" s="646">
        <f t="shared" si="43"/>
        <v>5148</v>
      </c>
      <c r="F93" s="645">
        <f t="shared" si="43"/>
        <v>3762</v>
      </c>
      <c r="G93" s="163">
        <f t="shared" si="43"/>
        <v>1702</v>
      </c>
      <c r="H93" s="163">
        <f t="shared" si="43"/>
        <v>0</v>
      </c>
      <c r="I93" s="163">
        <f t="shared" si="43"/>
        <v>2060</v>
      </c>
      <c r="J93" s="644">
        <f t="shared" si="43"/>
        <v>0</v>
      </c>
      <c r="K93" s="645">
        <f t="shared" si="43"/>
        <v>1386</v>
      </c>
      <c r="L93" s="163">
        <f t="shared" si="43"/>
        <v>267</v>
      </c>
      <c r="M93" s="163">
        <f t="shared" si="43"/>
        <v>0</v>
      </c>
      <c r="N93" s="163">
        <f t="shared" si="43"/>
        <v>1063</v>
      </c>
      <c r="O93" s="643">
        <f t="shared" si="43"/>
        <v>56</v>
      </c>
      <c r="P93" s="646">
        <f t="shared" si="43"/>
        <v>3</v>
      </c>
      <c r="Q93" s="645">
        <f t="shared" si="43"/>
        <v>3</v>
      </c>
      <c r="R93" s="163">
        <f t="shared" si="43"/>
        <v>2</v>
      </c>
      <c r="S93" s="163">
        <f t="shared" si="43"/>
        <v>0</v>
      </c>
      <c r="T93" s="163">
        <f t="shared" si="43"/>
        <v>1</v>
      </c>
      <c r="U93" s="644">
        <f t="shared" si="50"/>
        <v>0</v>
      </c>
      <c r="V93" s="645">
        <f t="shared" si="50"/>
        <v>0</v>
      </c>
      <c r="W93" s="163">
        <f t="shared" si="50"/>
        <v>0</v>
      </c>
      <c r="X93" s="163">
        <f t="shared" si="50"/>
        <v>0</v>
      </c>
      <c r="Y93" s="163">
        <f t="shared" si="50"/>
        <v>0</v>
      </c>
      <c r="Z93" s="643">
        <f t="shared" si="50"/>
        <v>0</v>
      </c>
      <c r="AA93" s="646">
        <f t="shared" si="50"/>
        <v>4</v>
      </c>
      <c r="AB93" s="645">
        <f t="shared" si="50"/>
        <v>3</v>
      </c>
      <c r="AC93" s="163">
        <f t="shared" si="50"/>
        <v>0</v>
      </c>
      <c r="AD93" s="163">
        <f t="shared" si="50"/>
        <v>0</v>
      </c>
      <c r="AE93" s="163">
        <f t="shared" si="50"/>
        <v>3</v>
      </c>
      <c r="AF93" s="644">
        <f t="shared" si="50"/>
        <v>0</v>
      </c>
      <c r="AG93" s="645">
        <f t="shared" si="50"/>
        <v>1</v>
      </c>
      <c r="AH93" s="163">
        <f t="shared" si="50"/>
        <v>1</v>
      </c>
      <c r="AI93" s="163">
        <f t="shared" si="47"/>
        <v>0</v>
      </c>
      <c r="AJ93" s="163">
        <f t="shared" si="47"/>
        <v>0</v>
      </c>
      <c r="AK93" s="643">
        <f t="shared" si="47"/>
        <v>0</v>
      </c>
      <c r="AL93" s="646">
        <f t="shared" si="47"/>
        <v>56</v>
      </c>
      <c r="AM93" s="645">
        <f t="shared" si="47"/>
        <v>39</v>
      </c>
      <c r="AN93" s="163">
        <f t="shared" si="47"/>
        <v>18</v>
      </c>
      <c r="AO93" s="163">
        <f t="shared" si="47"/>
        <v>0</v>
      </c>
      <c r="AP93" s="163">
        <f t="shared" si="47"/>
        <v>21</v>
      </c>
      <c r="AQ93" s="644">
        <f t="shared" si="47"/>
        <v>0</v>
      </c>
      <c r="AR93" s="645">
        <f t="shared" si="47"/>
        <v>17</v>
      </c>
      <c r="AS93" s="163">
        <f t="shared" si="47"/>
        <v>3</v>
      </c>
      <c r="AT93" s="163">
        <f t="shared" si="47"/>
        <v>0</v>
      </c>
      <c r="AU93" s="163">
        <f t="shared" si="47"/>
        <v>14</v>
      </c>
      <c r="AV93" s="643">
        <f t="shared" si="47"/>
        <v>0</v>
      </c>
      <c r="AW93" s="646">
        <f t="shared" si="47"/>
        <v>24</v>
      </c>
      <c r="AX93" s="645">
        <f t="shared" si="47"/>
        <v>20</v>
      </c>
      <c r="AY93" s="163">
        <f t="shared" si="47"/>
        <v>11</v>
      </c>
      <c r="AZ93" s="163">
        <f t="shared" si="48"/>
        <v>0</v>
      </c>
      <c r="BA93" s="163">
        <f t="shared" si="48"/>
        <v>9</v>
      </c>
      <c r="BB93" s="644">
        <f t="shared" si="48"/>
        <v>0</v>
      </c>
      <c r="BC93" s="645">
        <f t="shared" si="48"/>
        <v>4</v>
      </c>
      <c r="BD93" s="163">
        <f t="shared" si="48"/>
        <v>2</v>
      </c>
      <c r="BE93" s="163">
        <f t="shared" si="48"/>
        <v>0</v>
      </c>
      <c r="BF93" s="163">
        <f t="shared" si="48"/>
        <v>2</v>
      </c>
      <c r="BG93" s="643">
        <f t="shared" si="48"/>
        <v>0</v>
      </c>
      <c r="BH93" s="646">
        <f t="shared" si="48"/>
        <v>45</v>
      </c>
      <c r="BI93" s="645">
        <f t="shared" si="48"/>
        <v>38</v>
      </c>
      <c r="BJ93" s="163">
        <f t="shared" si="48"/>
        <v>17</v>
      </c>
      <c r="BK93" s="163">
        <f t="shared" si="48"/>
        <v>0</v>
      </c>
      <c r="BL93" s="163">
        <f t="shared" si="48"/>
        <v>21</v>
      </c>
      <c r="BM93" s="644">
        <f t="shared" si="48"/>
        <v>0</v>
      </c>
      <c r="BN93" s="645">
        <f t="shared" si="48"/>
        <v>7</v>
      </c>
      <c r="BO93" s="163">
        <f t="shared" si="48"/>
        <v>2</v>
      </c>
      <c r="BP93" s="163">
        <f t="shared" si="48"/>
        <v>0</v>
      </c>
      <c r="BQ93" s="163">
        <f t="shared" si="48"/>
        <v>4</v>
      </c>
      <c r="BR93" s="643">
        <f t="shared" si="48"/>
        <v>1</v>
      </c>
      <c r="BS93" s="646">
        <f t="shared" si="48"/>
        <v>46</v>
      </c>
      <c r="BT93" s="645">
        <f t="shared" si="48"/>
        <v>38</v>
      </c>
      <c r="BU93" s="163">
        <f t="shared" si="48"/>
        <v>16</v>
      </c>
      <c r="BV93" s="163">
        <f t="shared" si="48"/>
        <v>0</v>
      </c>
      <c r="BW93" s="163">
        <f t="shared" si="48"/>
        <v>22</v>
      </c>
      <c r="BX93" s="644">
        <f t="shared" si="48"/>
        <v>0</v>
      </c>
      <c r="BY93" s="645">
        <f t="shared" si="48"/>
        <v>8</v>
      </c>
      <c r="BZ93" s="163">
        <f t="shared" si="48"/>
        <v>3</v>
      </c>
      <c r="CA93" s="163">
        <f t="shared" si="48"/>
        <v>0</v>
      </c>
      <c r="CB93" s="163">
        <f t="shared" si="48"/>
        <v>5</v>
      </c>
      <c r="CC93" s="643">
        <f t="shared" si="48"/>
        <v>0</v>
      </c>
      <c r="CD93" s="646">
        <f t="shared" si="48"/>
        <v>8</v>
      </c>
      <c r="CE93" s="645">
        <f t="shared" si="48"/>
        <v>6</v>
      </c>
      <c r="CF93" s="163">
        <f t="shared" si="48"/>
        <v>0</v>
      </c>
      <c r="CG93" s="163">
        <f t="shared" si="48"/>
        <v>0</v>
      </c>
      <c r="CH93" s="163">
        <f t="shared" si="48"/>
        <v>6</v>
      </c>
      <c r="CI93" s="644">
        <f t="shared" si="48"/>
        <v>0</v>
      </c>
      <c r="CJ93" s="645">
        <f t="shared" si="48"/>
        <v>2</v>
      </c>
      <c r="CK93" s="163">
        <f t="shared" si="48"/>
        <v>0</v>
      </c>
      <c r="CL93" s="163">
        <f t="shared" si="48"/>
        <v>0</v>
      </c>
      <c r="CM93" s="163">
        <f t="shared" si="48"/>
        <v>2</v>
      </c>
      <c r="CN93" s="643">
        <f t="shared" si="48"/>
        <v>0</v>
      </c>
      <c r="CO93" s="646">
        <f t="shared" si="48"/>
        <v>6</v>
      </c>
      <c r="CP93" s="645">
        <f t="shared" si="48"/>
        <v>4</v>
      </c>
      <c r="CQ93" s="163">
        <f t="shared" si="48"/>
        <v>1</v>
      </c>
      <c r="CR93" s="163">
        <f t="shared" si="48"/>
        <v>0</v>
      </c>
      <c r="CS93" s="163">
        <f t="shared" si="48"/>
        <v>3</v>
      </c>
      <c r="CT93" s="644">
        <f t="shared" si="48"/>
        <v>0</v>
      </c>
      <c r="CU93" s="645">
        <f t="shared" si="44"/>
        <v>2</v>
      </c>
      <c r="CV93" s="163">
        <f t="shared" si="44"/>
        <v>0</v>
      </c>
      <c r="CW93" s="163">
        <f t="shared" si="44"/>
        <v>0</v>
      </c>
      <c r="CX93" s="163">
        <f t="shared" si="44"/>
        <v>2</v>
      </c>
      <c r="CY93" s="643">
        <f t="shared" si="44"/>
        <v>0</v>
      </c>
      <c r="CZ93" s="646">
        <f t="shared" si="44"/>
        <v>1</v>
      </c>
      <c r="DA93" s="645">
        <f t="shared" si="44"/>
        <v>1</v>
      </c>
      <c r="DB93" s="163">
        <f t="shared" si="44"/>
        <v>0</v>
      </c>
      <c r="DC93" s="163">
        <f t="shared" si="44"/>
        <v>0</v>
      </c>
      <c r="DD93" s="163">
        <f t="shared" si="44"/>
        <v>1</v>
      </c>
      <c r="DE93" s="644">
        <f t="shared" si="44"/>
        <v>0</v>
      </c>
      <c r="DF93" s="645">
        <f t="shared" si="44"/>
        <v>0</v>
      </c>
      <c r="DG93" s="163">
        <f t="shared" si="44"/>
        <v>0</v>
      </c>
      <c r="DH93" s="163">
        <f t="shared" si="44"/>
        <v>0</v>
      </c>
      <c r="DI93" s="163">
        <f t="shared" si="44"/>
        <v>0</v>
      </c>
      <c r="DJ93" s="643">
        <f t="shared" si="44"/>
        <v>0</v>
      </c>
      <c r="DK93" s="646">
        <f t="shared" ref="DK93:DU108" si="51">SUMIFS(DK$5:DK$36,$B$5:$B$36,$A93)</f>
        <v>0</v>
      </c>
      <c r="DL93" s="645">
        <f t="shared" si="51"/>
        <v>0</v>
      </c>
      <c r="DM93" s="163">
        <f t="shared" si="51"/>
        <v>0</v>
      </c>
      <c r="DN93" s="163">
        <f t="shared" si="51"/>
        <v>0</v>
      </c>
      <c r="DO93" s="163">
        <f t="shared" si="51"/>
        <v>0</v>
      </c>
      <c r="DP93" s="644">
        <f t="shared" si="51"/>
        <v>0</v>
      </c>
      <c r="DQ93" s="645">
        <f t="shared" si="51"/>
        <v>0</v>
      </c>
      <c r="DR93" s="163">
        <f t="shared" si="51"/>
        <v>0</v>
      </c>
      <c r="DS93" s="163">
        <f t="shared" si="51"/>
        <v>0</v>
      </c>
      <c r="DT93" s="163">
        <f t="shared" si="51"/>
        <v>0</v>
      </c>
      <c r="DU93" s="643">
        <f t="shared" si="51"/>
        <v>0</v>
      </c>
      <c r="DW93" s="646">
        <f t="shared" si="40"/>
        <v>137</v>
      </c>
      <c r="DX93" s="645">
        <f t="shared" si="40"/>
        <v>113</v>
      </c>
      <c r="DY93" s="163">
        <f t="shared" si="40"/>
        <v>47</v>
      </c>
      <c r="DZ93" s="163">
        <f t="shared" si="38"/>
        <v>0</v>
      </c>
      <c r="EA93" s="163">
        <f t="shared" si="38"/>
        <v>66</v>
      </c>
      <c r="EB93" s="644">
        <f t="shared" si="38"/>
        <v>0</v>
      </c>
      <c r="EC93" s="645">
        <f t="shared" si="38"/>
        <v>24</v>
      </c>
      <c r="ED93" s="163">
        <f t="shared" si="38"/>
        <v>8</v>
      </c>
      <c r="EE93" s="163">
        <f t="shared" si="38"/>
        <v>0</v>
      </c>
      <c r="EF93" s="163">
        <f t="shared" si="14"/>
        <v>15</v>
      </c>
      <c r="EG93" s="643">
        <f t="shared" si="14"/>
        <v>1</v>
      </c>
      <c r="EH93" s="646">
        <f t="shared" si="29"/>
        <v>56</v>
      </c>
      <c r="EI93" s="645">
        <f t="shared" si="29"/>
        <v>39</v>
      </c>
      <c r="EJ93" s="163">
        <f t="shared" si="29"/>
        <v>18</v>
      </c>
      <c r="EK93" s="163">
        <f t="shared" si="29"/>
        <v>0</v>
      </c>
      <c r="EL93" s="163">
        <f t="shared" si="29"/>
        <v>21</v>
      </c>
      <c r="EM93" s="644">
        <f t="shared" si="49"/>
        <v>0</v>
      </c>
      <c r="EN93" s="645">
        <f t="shared" si="49"/>
        <v>17</v>
      </c>
      <c r="EO93" s="163">
        <f t="shared" si="49"/>
        <v>3</v>
      </c>
      <c r="EP93" s="163">
        <f t="shared" si="49"/>
        <v>0</v>
      </c>
      <c r="EQ93" s="163">
        <f t="shared" si="49"/>
        <v>14</v>
      </c>
      <c r="ER93" s="643">
        <f t="shared" si="49"/>
        <v>0</v>
      </c>
    </row>
    <row r="94" spans="1:148">
      <c r="A94" s="654" t="s">
        <v>242</v>
      </c>
      <c r="B94" s="658">
        <v>44378</v>
      </c>
      <c r="C94" s="659">
        <v>2021</v>
      </c>
      <c r="D94" s="646">
        <f t="shared" si="10"/>
        <v>174638</v>
      </c>
      <c r="E94" s="646">
        <f t="shared" si="43"/>
        <v>5171</v>
      </c>
      <c r="F94" s="645">
        <f t="shared" si="43"/>
        <v>3672</v>
      </c>
      <c r="G94" s="163">
        <f t="shared" si="43"/>
        <v>2018</v>
      </c>
      <c r="H94" s="163">
        <f t="shared" si="43"/>
        <v>0</v>
      </c>
      <c r="I94" s="163">
        <f t="shared" si="43"/>
        <v>1654</v>
      </c>
      <c r="J94" s="644">
        <f t="shared" si="43"/>
        <v>0</v>
      </c>
      <c r="K94" s="645">
        <f t="shared" si="43"/>
        <v>1499</v>
      </c>
      <c r="L94" s="163">
        <f t="shared" si="43"/>
        <v>382</v>
      </c>
      <c r="M94" s="163">
        <f t="shared" si="43"/>
        <v>0</v>
      </c>
      <c r="N94" s="163">
        <f t="shared" si="43"/>
        <v>987</v>
      </c>
      <c r="O94" s="643">
        <f t="shared" si="43"/>
        <v>130</v>
      </c>
      <c r="P94" s="646">
        <f t="shared" si="43"/>
        <v>9</v>
      </c>
      <c r="Q94" s="645">
        <f t="shared" si="43"/>
        <v>5</v>
      </c>
      <c r="R94" s="163">
        <f t="shared" si="43"/>
        <v>4</v>
      </c>
      <c r="S94" s="163">
        <f t="shared" si="43"/>
        <v>0</v>
      </c>
      <c r="T94" s="163">
        <f t="shared" si="43"/>
        <v>1</v>
      </c>
      <c r="U94" s="644">
        <f t="shared" si="50"/>
        <v>0</v>
      </c>
      <c r="V94" s="645">
        <f t="shared" si="50"/>
        <v>4</v>
      </c>
      <c r="W94" s="163">
        <f t="shared" si="50"/>
        <v>2</v>
      </c>
      <c r="X94" s="163">
        <f t="shared" si="50"/>
        <v>0</v>
      </c>
      <c r="Y94" s="163">
        <f t="shared" si="50"/>
        <v>1</v>
      </c>
      <c r="Z94" s="643">
        <f t="shared" si="50"/>
        <v>1</v>
      </c>
      <c r="AA94" s="646">
        <f t="shared" si="50"/>
        <v>3</v>
      </c>
      <c r="AB94" s="645">
        <f t="shared" si="50"/>
        <v>2</v>
      </c>
      <c r="AC94" s="163">
        <f t="shared" si="50"/>
        <v>0</v>
      </c>
      <c r="AD94" s="163">
        <f t="shared" si="50"/>
        <v>0</v>
      </c>
      <c r="AE94" s="163">
        <f t="shared" si="50"/>
        <v>2</v>
      </c>
      <c r="AF94" s="644">
        <f t="shared" si="50"/>
        <v>0</v>
      </c>
      <c r="AG94" s="645">
        <f t="shared" si="50"/>
        <v>1</v>
      </c>
      <c r="AH94" s="163">
        <f t="shared" si="50"/>
        <v>1</v>
      </c>
      <c r="AI94" s="163">
        <f t="shared" si="47"/>
        <v>0</v>
      </c>
      <c r="AJ94" s="163">
        <f t="shared" si="47"/>
        <v>0</v>
      </c>
      <c r="AK94" s="643">
        <f t="shared" si="47"/>
        <v>0</v>
      </c>
      <c r="AL94" s="646">
        <f t="shared" si="47"/>
        <v>58</v>
      </c>
      <c r="AM94" s="645">
        <f t="shared" si="47"/>
        <v>43</v>
      </c>
      <c r="AN94" s="163">
        <f t="shared" si="47"/>
        <v>26</v>
      </c>
      <c r="AO94" s="163">
        <f t="shared" si="47"/>
        <v>0</v>
      </c>
      <c r="AP94" s="163">
        <f t="shared" si="47"/>
        <v>17</v>
      </c>
      <c r="AQ94" s="644">
        <f t="shared" si="47"/>
        <v>0</v>
      </c>
      <c r="AR94" s="645">
        <f t="shared" si="47"/>
        <v>15</v>
      </c>
      <c r="AS94" s="163">
        <f t="shared" si="47"/>
        <v>3</v>
      </c>
      <c r="AT94" s="163">
        <f t="shared" si="47"/>
        <v>0</v>
      </c>
      <c r="AU94" s="163">
        <f t="shared" si="47"/>
        <v>12</v>
      </c>
      <c r="AV94" s="643">
        <f t="shared" si="47"/>
        <v>0</v>
      </c>
      <c r="AW94" s="646">
        <f t="shared" si="47"/>
        <v>29</v>
      </c>
      <c r="AX94" s="645">
        <f t="shared" si="47"/>
        <v>23</v>
      </c>
      <c r="AY94" s="163">
        <f t="shared" si="47"/>
        <v>17</v>
      </c>
      <c r="AZ94" s="163">
        <f t="shared" si="48"/>
        <v>0</v>
      </c>
      <c r="BA94" s="163">
        <f t="shared" si="48"/>
        <v>6</v>
      </c>
      <c r="BB94" s="644">
        <f t="shared" si="48"/>
        <v>0</v>
      </c>
      <c r="BC94" s="645">
        <f t="shared" ref="BC94:DN99" si="52">SUMIFS(BC$5:BC$36,$B$5:$B$36,$A94)</f>
        <v>6</v>
      </c>
      <c r="BD94" s="163">
        <f t="shared" si="52"/>
        <v>3</v>
      </c>
      <c r="BE94" s="163">
        <f t="shared" si="52"/>
        <v>0</v>
      </c>
      <c r="BF94" s="163">
        <f t="shared" si="52"/>
        <v>2</v>
      </c>
      <c r="BG94" s="643">
        <f t="shared" si="52"/>
        <v>1</v>
      </c>
      <c r="BH94" s="646">
        <f t="shared" si="52"/>
        <v>51</v>
      </c>
      <c r="BI94" s="645">
        <f t="shared" si="52"/>
        <v>40</v>
      </c>
      <c r="BJ94" s="163">
        <f t="shared" si="52"/>
        <v>25</v>
      </c>
      <c r="BK94" s="163">
        <f t="shared" si="52"/>
        <v>0</v>
      </c>
      <c r="BL94" s="163">
        <f t="shared" si="52"/>
        <v>15</v>
      </c>
      <c r="BM94" s="644">
        <f t="shared" si="52"/>
        <v>0</v>
      </c>
      <c r="BN94" s="645">
        <f t="shared" si="52"/>
        <v>11</v>
      </c>
      <c r="BO94" s="163">
        <f t="shared" si="52"/>
        <v>0</v>
      </c>
      <c r="BP94" s="163">
        <f t="shared" si="52"/>
        <v>0</v>
      </c>
      <c r="BQ94" s="163">
        <f t="shared" si="52"/>
        <v>10</v>
      </c>
      <c r="BR94" s="643">
        <f t="shared" si="52"/>
        <v>1</v>
      </c>
      <c r="BS94" s="646">
        <f t="shared" si="52"/>
        <v>52</v>
      </c>
      <c r="BT94" s="645">
        <f t="shared" si="52"/>
        <v>39</v>
      </c>
      <c r="BU94" s="163">
        <f t="shared" si="52"/>
        <v>22</v>
      </c>
      <c r="BV94" s="163">
        <f t="shared" si="52"/>
        <v>0</v>
      </c>
      <c r="BW94" s="163">
        <f t="shared" si="52"/>
        <v>17</v>
      </c>
      <c r="BX94" s="644">
        <f t="shared" si="52"/>
        <v>0</v>
      </c>
      <c r="BY94" s="645">
        <f t="shared" si="52"/>
        <v>13</v>
      </c>
      <c r="BZ94" s="163">
        <f t="shared" si="52"/>
        <v>4</v>
      </c>
      <c r="CA94" s="163">
        <f t="shared" si="52"/>
        <v>0</v>
      </c>
      <c r="CB94" s="163">
        <f t="shared" si="52"/>
        <v>7</v>
      </c>
      <c r="CC94" s="643">
        <f t="shared" si="52"/>
        <v>2</v>
      </c>
      <c r="CD94" s="646">
        <f t="shared" si="52"/>
        <v>7</v>
      </c>
      <c r="CE94" s="645">
        <f t="shared" si="52"/>
        <v>6</v>
      </c>
      <c r="CF94" s="163">
        <f t="shared" si="52"/>
        <v>2</v>
      </c>
      <c r="CG94" s="163">
        <f t="shared" si="52"/>
        <v>0</v>
      </c>
      <c r="CH94" s="163">
        <f t="shared" si="52"/>
        <v>4</v>
      </c>
      <c r="CI94" s="644">
        <f t="shared" si="52"/>
        <v>0</v>
      </c>
      <c r="CJ94" s="645">
        <f t="shared" si="52"/>
        <v>1</v>
      </c>
      <c r="CK94" s="163">
        <f t="shared" si="52"/>
        <v>0</v>
      </c>
      <c r="CL94" s="163">
        <f t="shared" si="52"/>
        <v>0</v>
      </c>
      <c r="CM94" s="163">
        <f t="shared" si="52"/>
        <v>1</v>
      </c>
      <c r="CN94" s="643">
        <f t="shared" si="52"/>
        <v>0</v>
      </c>
      <c r="CO94" s="646">
        <f t="shared" si="52"/>
        <v>14</v>
      </c>
      <c r="CP94" s="645">
        <f t="shared" si="52"/>
        <v>9</v>
      </c>
      <c r="CQ94" s="163">
        <f t="shared" si="52"/>
        <v>6</v>
      </c>
      <c r="CR94" s="163">
        <f t="shared" si="52"/>
        <v>0</v>
      </c>
      <c r="CS94" s="163">
        <f t="shared" si="52"/>
        <v>3</v>
      </c>
      <c r="CT94" s="644">
        <f t="shared" si="52"/>
        <v>0</v>
      </c>
      <c r="CU94" s="645">
        <f t="shared" si="52"/>
        <v>5</v>
      </c>
      <c r="CV94" s="163">
        <f t="shared" si="52"/>
        <v>0</v>
      </c>
      <c r="CW94" s="163">
        <f t="shared" si="52"/>
        <v>0</v>
      </c>
      <c r="CX94" s="163">
        <f t="shared" si="52"/>
        <v>5</v>
      </c>
      <c r="CY94" s="643">
        <f t="shared" si="52"/>
        <v>0</v>
      </c>
      <c r="CZ94" s="646">
        <f t="shared" si="52"/>
        <v>4</v>
      </c>
      <c r="DA94" s="645">
        <f t="shared" si="52"/>
        <v>3</v>
      </c>
      <c r="DB94" s="163">
        <f t="shared" si="52"/>
        <v>2</v>
      </c>
      <c r="DC94" s="163">
        <f t="shared" si="52"/>
        <v>0</v>
      </c>
      <c r="DD94" s="163">
        <f t="shared" si="52"/>
        <v>1</v>
      </c>
      <c r="DE94" s="644">
        <f t="shared" si="52"/>
        <v>0</v>
      </c>
      <c r="DF94" s="645">
        <f t="shared" si="52"/>
        <v>1</v>
      </c>
      <c r="DG94" s="163">
        <f t="shared" si="52"/>
        <v>1</v>
      </c>
      <c r="DH94" s="163">
        <f t="shared" si="52"/>
        <v>0</v>
      </c>
      <c r="DI94" s="163">
        <f t="shared" si="52"/>
        <v>0</v>
      </c>
      <c r="DJ94" s="643">
        <f t="shared" si="52"/>
        <v>0</v>
      </c>
      <c r="DK94" s="646">
        <f t="shared" si="52"/>
        <v>0</v>
      </c>
      <c r="DL94" s="645">
        <f t="shared" si="52"/>
        <v>0</v>
      </c>
      <c r="DM94" s="163">
        <f t="shared" si="52"/>
        <v>0</v>
      </c>
      <c r="DN94" s="163">
        <f t="shared" si="52"/>
        <v>0</v>
      </c>
      <c r="DO94" s="163">
        <f t="shared" si="51"/>
        <v>0</v>
      </c>
      <c r="DP94" s="644">
        <f t="shared" si="51"/>
        <v>0</v>
      </c>
      <c r="DQ94" s="645">
        <f t="shared" si="51"/>
        <v>0</v>
      </c>
      <c r="DR94" s="163">
        <f t="shared" si="51"/>
        <v>0</v>
      </c>
      <c r="DS94" s="163">
        <f t="shared" si="51"/>
        <v>0</v>
      </c>
      <c r="DT94" s="163">
        <f t="shared" si="51"/>
        <v>0</v>
      </c>
      <c r="DU94" s="643">
        <f t="shared" si="51"/>
        <v>0</v>
      </c>
      <c r="DW94" s="646">
        <f t="shared" si="40"/>
        <v>169</v>
      </c>
      <c r="DX94" s="645">
        <f t="shared" si="40"/>
        <v>127</v>
      </c>
      <c r="DY94" s="163">
        <f t="shared" si="40"/>
        <v>78</v>
      </c>
      <c r="DZ94" s="163">
        <f t="shared" si="38"/>
        <v>0</v>
      </c>
      <c r="EA94" s="163">
        <f t="shared" si="38"/>
        <v>49</v>
      </c>
      <c r="EB94" s="644">
        <f t="shared" si="38"/>
        <v>0</v>
      </c>
      <c r="EC94" s="645">
        <f t="shared" si="38"/>
        <v>42</v>
      </c>
      <c r="ED94" s="163">
        <f t="shared" si="38"/>
        <v>11</v>
      </c>
      <c r="EE94" s="163">
        <f t="shared" si="38"/>
        <v>0</v>
      </c>
      <c r="EF94" s="163">
        <f t="shared" si="14"/>
        <v>26</v>
      </c>
      <c r="EG94" s="643">
        <f t="shared" si="14"/>
        <v>5</v>
      </c>
      <c r="EH94" s="646">
        <f t="shared" si="29"/>
        <v>58</v>
      </c>
      <c r="EI94" s="645">
        <f t="shared" si="29"/>
        <v>43</v>
      </c>
      <c r="EJ94" s="163">
        <f t="shared" si="29"/>
        <v>26</v>
      </c>
      <c r="EK94" s="163">
        <f t="shared" si="29"/>
        <v>0</v>
      </c>
      <c r="EL94" s="163">
        <f t="shared" si="29"/>
        <v>17</v>
      </c>
      <c r="EM94" s="644">
        <f t="shared" si="49"/>
        <v>0</v>
      </c>
      <c r="EN94" s="645">
        <f t="shared" si="49"/>
        <v>15</v>
      </c>
      <c r="EO94" s="163">
        <f t="shared" si="49"/>
        <v>3</v>
      </c>
      <c r="EP94" s="163">
        <f t="shared" si="49"/>
        <v>0</v>
      </c>
      <c r="EQ94" s="163">
        <f t="shared" si="49"/>
        <v>12</v>
      </c>
      <c r="ER94" s="643">
        <f t="shared" si="49"/>
        <v>0</v>
      </c>
    </row>
    <row r="95" spans="1:148">
      <c r="A95" s="654" t="s">
        <v>242</v>
      </c>
      <c r="B95" s="658">
        <v>44409</v>
      </c>
      <c r="C95" s="659">
        <v>2021</v>
      </c>
      <c r="D95" s="646">
        <f t="shared" si="10"/>
        <v>174638</v>
      </c>
      <c r="E95" s="646">
        <f t="shared" si="43"/>
        <v>5171</v>
      </c>
      <c r="F95" s="645">
        <f t="shared" si="43"/>
        <v>3672</v>
      </c>
      <c r="G95" s="163">
        <f t="shared" si="43"/>
        <v>2018</v>
      </c>
      <c r="H95" s="163">
        <f t="shared" si="43"/>
        <v>0</v>
      </c>
      <c r="I95" s="163">
        <f t="shared" si="43"/>
        <v>1654</v>
      </c>
      <c r="J95" s="644">
        <f t="shared" si="43"/>
        <v>0</v>
      </c>
      <c r="K95" s="645">
        <f t="shared" si="43"/>
        <v>1499</v>
      </c>
      <c r="L95" s="163">
        <f t="shared" si="43"/>
        <v>382</v>
      </c>
      <c r="M95" s="163">
        <f t="shared" si="43"/>
        <v>0</v>
      </c>
      <c r="N95" s="163">
        <f t="shared" si="43"/>
        <v>987</v>
      </c>
      <c r="O95" s="643">
        <f t="shared" si="43"/>
        <v>130</v>
      </c>
      <c r="P95" s="646">
        <f t="shared" si="43"/>
        <v>9</v>
      </c>
      <c r="Q95" s="645">
        <f t="shared" si="43"/>
        <v>5</v>
      </c>
      <c r="R95" s="163">
        <f t="shared" si="43"/>
        <v>4</v>
      </c>
      <c r="S95" s="163">
        <f t="shared" si="43"/>
        <v>0</v>
      </c>
      <c r="T95" s="163">
        <f t="shared" si="43"/>
        <v>1</v>
      </c>
      <c r="U95" s="644">
        <f t="shared" si="50"/>
        <v>0</v>
      </c>
      <c r="V95" s="645">
        <f t="shared" si="50"/>
        <v>4</v>
      </c>
      <c r="W95" s="163">
        <f t="shared" si="50"/>
        <v>2</v>
      </c>
      <c r="X95" s="163">
        <f t="shared" si="50"/>
        <v>0</v>
      </c>
      <c r="Y95" s="163">
        <f t="shared" si="50"/>
        <v>1</v>
      </c>
      <c r="Z95" s="643">
        <f t="shared" si="50"/>
        <v>1</v>
      </c>
      <c r="AA95" s="646">
        <f t="shared" si="50"/>
        <v>3</v>
      </c>
      <c r="AB95" s="645">
        <f t="shared" si="50"/>
        <v>2</v>
      </c>
      <c r="AC95" s="163">
        <f t="shared" si="50"/>
        <v>0</v>
      </c>
      <c r="AD95" s="163">
        <f t="shared" si="50"/>
        <v>0</v>
      </c>
      <c r="AE95" s="163">
        <f t="shared" si="50"/>
        <v>2</v>
      </c>
      <c r="AF95" s="644">
        <f t="shared" si="50"/>
        <v>0</v>
      </c>
      <c r="AG95" s="645">
        <f t="shared" si="50"/>
        <v>1</v>
      </c>
      <c r="AH95" s="163">
        <f t="shared" si="50"/>
        <v>1</v>
      </c>
      <c r="AI95" s="163">
        <f t="shared" si="47"/>
        <v>0</v>
      </c>
      <c r="AJ95" s="163">
        <f t="shared" si="47"/>
        <v>0</v>
      </c>
      <c r="AK95" s="643">
        <f t="shared" si="47"/>
        <v>0</v>
      </c>
      <c r="AL95" s="646">
        <f t="shared" si="47"/>
        <v>58</v>
      </c>
      <c r="AM95" s="645">
        <f t="shared" si="47"/>
        <v>43</v>
      </c>
      <c r="AN95" s="163">
        <f t="shared" si="47"/>
        <v>26</v>
      </c>
      <c r="AO95" s="163">
        <f t="shared" si="47"/>
        <v>0</v>
      </c>
      <c r="AP95" s="163">
        <f t="shared" si="47"/>
        <v>17</v>
      </c>
      <c r="AQ95" s="644">
        <f t="shared" si="47"/>
        <v>0</v>
      </c>
      <c r="AR95" s="645">
        <f t="shared" si="47"/>
        <v>15</v>
      </c>
      <c r="AS95" s="163">
        <f t="shared" si="47"/>
        <v>3</v>
      </c>
      <c r="AT95" s="163">
        <f t="shared" si="47"/>
        <v>0</v>
      </c>
      <c r="AU95" s="163">
        <f t="shared" si="47"/>
        <v>12</v>
      </c>
      <c r="AV95" s="643">
        <f t="shared" si="47"/>
        <v>0</v>
      </c>
      <c r="AW95" s="646">
        <f t="shared" si="47"/>
        <v>29</v>
      </c>
      <c r="AX95" s="645">
        <f t="shared" si="47"/>
        <v>23</v>
      </c>
      <c r="AY95" s="163">
        <f t="shared" si="47"/>
        <v>17</v>
      </c>
      <c r="AZ95" s="163">
        <f t="shared" ref="AZ95:DK100" si="53">SUMIFS(AZ$5:AZ$36,$B$5:$B$36,$A95)</f>
        <v>0</v>
      </c>
      <c r="BA95" s="163">
        <f t="shared" si="53"/>
        <v>6</v>
      </c>
      <c r="BB95" s="644">
        <f t="shared" si="53"/>
        <v>0</v>
      </c>
      <c r="BC95" s="645">
        <f t="shared" si="53"/>
        <v>6</v>
      </c>
      <c r="BD95" s="163">
        <f t="shared" si="53"/>
        <v>3</v>
      </c>
      <c r="BE95" s="163">
        <f t="shared" si="53"/>
        <v>0</v>
      </c>
      <c r="BF95" s="163">
        <f t="shared" si="53"/>
        <v>2</v>
      </c>
      <c r="BG95" s="643">
        <f t="shared" si="53"/>
        <v>1</v>
      </c>
      <c r="BH95" s="646">
        <f t="shared" si="53"/>
        <v>51</v>
      </c>
      <c r="BI95" s="645">
        <f t="shared" si="53"/>
        <v>40</v>
      </c>
      <c r="BJ95" s="163">
        <f t="shared" si="53"/>
        <v>25</v>
      </c>
      <c r="BK95" s="163">
        <f t="shared" si="53"/>
        <v>0</v>
      </c>
      <c r="BL95" s="163">
        <f t="shared" si="53"/>
        <v>15</v>
      </c>
      <c r="BM95" s="644">
        <f t="shared" si="53"/>
        <v>0</v>
      </c>
      <c r="BN95" s="645">
        <f t="shared" si="53"/>
        <v>11</v>
      </c>
      <c r="BO95" s="163">
        <f t="shared" si="53"/>
        <v>0</v>
      </c>
      <c r="BP95" s="163">
        <f t="shared" si="53"/>
        <v>0</v>
      </c>
      <c r="BQ95" s="163">
        <f t="shared" si="53"/>
        <v>10</v>
      </c>
      <c r="BR95" s="643">
        <f t="shared" si="53"/>
        <v>1</v>
      </c>
      <c r="BS95" s="646">
        <f t="shared" si="53"/>
        <v>52</v>
      </c>
      <c r="BT95" s="645">
        <f t="shared" si="53"/>
        <v>39</v>
      </c>
      <c r="BU95" s="163">
        <f t="shared" si="53"/>
        <v>22</v>
      </c>
      <c r="BV95" s="163">
        <f t="shared" si="53"/>
        <v>0</v>
      </c>
      <c r="BW95" s="163">
        <f t="shared" si="53"/>
        <v>17</v>
      </c>
      <c r="BX95" s="644">
        <f t="shared" si="53"/>
        <v>0</v>
      </c>
      <c r="BY95" s="645">
        <f t="shared" si="53"/>
        <v>13</v>
      </c>
      <c r="BZ95" s="163">
        <f t="shared" si="53"/>
        <v>4</v>
      </c>
      <c r="CA95" s="163">
        <f t="shared" si="53"/>
        <v>0</v>
      </c>
      <c r="CB95" s="163">
        <f t="shared" si="53"/>
        <v>7</v>
      </c>
      <c r="CC95" s="643">
        <f t="shared" si="53"/>
        <v>2</v>
      </c>
      <c r="CD95" s="646">
        <f t="shared" si="53"/>
        <v>7</v>
      </c>
      <c r="CE95" s="645">
        <f t="shared" si="53"/>
        <v>6</v>
      </c>
      <c r="CF95" s="163">
        <f t="shared" si="53"/>
        <v>2</v>
      </c>
      <c r="CG95" s="163">
        <f t="shared" si="53"/>
        <v>0</v>
      </c>
      <c r="CH95" s="163">
        <f t="shared" si="53"/>
        <v>4</v>
      </c>
      <c r="CI95" s="644">
        <f t="shared" si="53"/>
        <v>0</v>
      </c>
      <c r="CJ95" s="645">
        <f t="shared" si="53"/>
        <v>1</v>
      </c>
      <c r="CK95" s="163">
        <f t="shared" si="53"/>
        <v>0</v>
      </c>
      <c r="CL95" s="163">
        <f t="shared" si="53"/>
        <v>0</v>
      </c>
      <c r="CM95" s="163">
        <f t="shared" si="53"/>
        <v>1</v>
      </c>
      <c r="CN95" s="643">
        <f t="shared" si="53"/>
        <v>0</v>
      </c>
      <c r="CO95" s="646">
        <f t="shared" si="53"/>
        <v>14</v>
      </c>
      <c r="CP95" s="645">
        <f t="shared" si="53"/>
        <v>9</v>
      </c>
      <c r="CQ95" s="163">
        <f t="shared" si="53"/>
        <v>6</v>
      </c>
      <c r="CR95" s="163">
        <f t="shared" si="53"/>
        <v>0</v>
      </c>
      <c r="CS95" s="163">
        <f t="shared" si="53"/>
        <v>3</v>
      </c>
      <c r="CT95" s="644">
        <f t="shared" si="52"/>
        <v>0</v>
      </c>
      <c r="CU95" s="645">
        <f t="shared" si="52"/>
        <v>5</v>
      </c>
      <c r="CV95" s="163">
        <f t="shared" si="52"/>
        <v>0</v>
      </c>
      <c r="CW95" s="163">
        <f t="shared" si="52"/>
        <v>0</v>
      </c>
      <c r="CX95" s="163">
        <f t="shared" si="52"/>
        <v>5</v>
      </c>
      <c r="CY95" s="643">
        <f t="shared" si="52"/>
        <v>0</v>
      </c>
      <c r="CZ95" s="646">
        <f t="shared" si="52"/>
        <v>4</v>
      </c>
      <c r="DA95" s="645">
        <f t="shared" si="52"/>
        <v>3</v>
      </c>
      <c r="DB95" s="163">
        <f t="shared" si="52"/>
        <v>2</v>
      </c>
      <c r="DC95" s="163">
        <f t="shared" si="52"/>
        <v>0</v>
      </c>
      <c r="DD95" s="163">
        <f t="shared" si="52"/>
        <v>1</v>
      </c>
      <c r="DE95" s="644">
        <f t="shared" si="52"/>
        <v>0</v>
      </c>
      <c r="DF95" s="645">
        <f t="shared" si="52"/>
        <v>1</v>
      </c>
      <c r="DG95" s="163">
        <f t="shared" si="52"/>
        <v>1</v>
      </c>
      <c r="DH95" s="163">
        <f t="shared" si="52"/>
        <v>0</v>
      </c>
      <c r="DI95" s="163">
        <f t="shared" si="52"/>
        <v>0</v>
      </c>
      <c r="DJ95" s="643">
        <f t="shared" si="52"/>
        <v>0</v>
      </c>
      <c r="DK95" s="646">
        <f t="shared" si="52"/>
        <v>0</v>
      </c>
      <c r="DL95" s="645">
        <f t="shared" si="52"/>
        <v>0</v>
      </c>
      <c r="DM95" s="163">
        <f t="shared" si="52"/>
        <v>0</v>
      </c>
      <c r="DN95" s="163">
        <f t="shared" si="52"/>
        <v>0</v>
      </c>
      <c r="DO95" s="163">
        <f t="shared" si="51"/>
        <v>0</v>
      </c>
      <c r="DP95" s="644">
        <f t="shared" si="51"/>
        <v>0</v>
      </c>
      <c r="DQ95" s="645">
        <f t="shared" si="51"/>
        <v>0</v>
      </c>
      <c r="DR95" s="163">
        <f t="shared" si="51"/>
        <v>0</v>
      </c>
      <c r="DS95" s="163">
        <f t="shared" si="51"/>
        <v>0</v>
      </c>
      <c r="DT95" s="163">
        <f t="shared" si="51"/>
        <v>0</v>
      </c>
      <c r="DU95" s="643">
        <f t="shared" si="51"/>
        <v>0</v>
      </c>
      <c r="DW95" s="646">
        <f t="shared" si="40"/>
        <v>169</v>
      </c>
      <c r="DX95" s="645">
        <f t="shared" si="40"/>
        <v>127</v>
      </c>
      <c r="DY95" s="163">
        <f t="shared" si="40"/>
        <v>78</v>
      </c>
      <c r="DZ95" s="163">
        <f t="shared" si="38"/>
        <v>0</v>
      </c>
      <c r="EA95" s="163">
        <f t="shared" si="38"/>
        <v>49</v>
      </c>
      <c r="EB95" s="644">
        <f t="shared" si="38"/>
        <v>0</v>
      </c>
      <c r="EC95" s="645">
        <f t="shared" si="38"/>
        <v>42</v>
      </c>
      <c r="ED95" s="163">
        <f t="shared" si="38"/>
        <v>11</v>
      </c>
      <c r="EE95" s="163">
        <f t="shared" si="38"/>
        <v>0</v>
      </c>
      <c r="EF95" s="163">
        <f t="shared" si="14"/>
        <v>26</v>
      </c>
      <c r="EG95" s="643">
        <f t="shared" si="14"/>
        <v>5</v>
      </c>
      <c r="EH95" s="646">
        <f t="shared" si="29"/>
        <v>58</v>
      </c>
      <c r="EI95" s="645">
        <f t="shared" si="29"/>
        <v>43</v>
      </c>
      <c r="EJ95" s="163">
        <f t="shared" si="29"/>
        <v>26</v>
      </c>
      <c r="EK95" s="163">
        <f t="shared" si="29"/>
        <v>0</v>
      </c>
      <c r="EL95" s="163">
        <f t="shared" si="29"/>
        <v>17</v>
      </c>
      <c r="EM95" s="644">
        <f t="shared" si="49"/>
        <v>0</v>
      </c>
      <c r="EN95" s="645">
        <f t="shared" si="49"/>
        <v>15</v>
      </c>
      <c r="EO95" s="163">
        <f t="shared" si="49"/>
        <v>3</v>
      </c>
      <c r="EP95" s="163">
        <f t="shared" si="49"/>
        <v>0</v>
      </c>
      <c r="EQ95" s="163">
        <f t="shared" si="49"/>
        <v>12</v>
      </c>
      <c r="ER95" s="643">
        <f t="shared" si="49"/>
        <v>0</v>
      </c>
    </row>
    <row r="96" spans="1:148">
      <c r="A96" s="654" t="s">
        <v>242</v>
      </c>
      <c r="B96" s="658">
        <v>44440</v>
      </c>
      <c r="C96" s="659">
        <v>2021</v>
      </c>
      <c r="D96" s="646">
        <f t="shared" si="10"/>
        <v>174638</v>
      </c>
      <c r="E96" s="646">
        <f t="shared" si="43"/>
        <v>5171</v>
      </c>
      <c r="F96" s="645">
        <f t="shared" si="43"/>
        <v>3672</v>
      </c>
      <c r="G96" s="163">
        <f t="shared" si="43"/>
        <v>2018</v>
      </c>
      <c r="H96" s="163">
        <f t="shared" si="43"/>
        <v>0</v>
      </c>
      <c r="I96" s="163">
        <f t="shared" si="43"/>
        <v>1654</v>
      </c>
      <c r="J96" s="644">
        <f t="shared" si="43"/>
        <v>0</v>
      </c>
      <c r="K96" s="645">
        <f t="shared" si="43"/>
        <v>1499</v>
      </c>
      <c r="L96" s="163">
        <f t="shared" si="43"/>
        <v>382</v>
      </c>
      <c r="M96" s="163">
        <f t="shared" si="43"/>
        <v>0</v>
      </c>
      <c r="N96" s="163">
        <f t="shared" si="43"/>
        <v>987</v>
      </c>
      <c r="O96" s="643">
        <f t="shared" si="43"/>
        <v>130</v>
      </c>
      <c r="P96" s="646">
        <f t="shared" si="43"/>
        <v>9</v>
      </c>
      <c r="Q96" s="645">
        <f t="shared" si="43"/>
        <v>5</v>
      </c>
      <c r="R96" s="163">
        <f t="shared" si="43"/>
        <v>4</v>
      </c>
      <c r="S96" s="163">
        <f t="shared" si="43"/>
        <v>0</v>
      </c>
      <c r="T96" s="163">
        <f t="shared" ref="T96:AV109" si="54">SUMIFS(T$5:T$36,$B$5:$B$36,$A96)</f>
        <v>1</v>
      </c>
      <c r="U96" s="644">
        <f t="shared" si="54"/>
        <v>0</v>
      </c>
      <c r="V96" s="645">
        <f t="shared" si="54"/>
        <v>4</v>
      </c>
      <c r="W96" s="163">
        <f t="shared" si="54"/>
        <v>2</v>
      </c>
      <c r="X96" s="163">
        <f t="shared" si="54"/>
        <v>0</v>
      </c>
      <c r="Y96" s="163">
        <f t="shared" si="54"/>
        <v>1</v>
      </c>
      <c r="Z96" s="643">
        <f t="shared" si="54"/>
        <v>1</v>
      </c>
      <c r="AA96" s="646">
        <f t="shared" si="54"/>
        <v>3</v>
      </c>
      <c r="AB96" s="645">
        <f t="shared" si="54"/>
        <v>2</v>
      </c>
      <c r="AC96" s="163">
        <f t="shared" si="54"/>
        <v>0</v>
      </c>
      <c r="AD96" s="163">
        <f t="shared" si="54"/>
        <v>0</v>
      </c>
      <c r="AE96" s="163">
        <f t="shared" si="54"/>
        <v>2</v>
      </c>
      <c r="AF96" s="644">
        <f t="shared" si="54"/>
        <v>0</v>
      </c>
      <c r="AG96" s="645">
        <f t="shared" si="54"/>
        <v>1</v>
      </c>
      <c r="AH96" s="163">
        <f t="shared" si="54"/>
        <v>1</v>
      </c>
      <c r="AI96" s="163">
        <f t="shared" si="47"/>
        <v>0</v>
      </c>
      <c r="AJ96" s="163">
        <f t="shared" si="47"/>
        <v>0</v>
      </c>
      <c r="AK96" s="643">
        <f t="shared" si="47"/>
        <v>0</v>
      </c>
      <c r="AL96" s="646">
        <f t="shared" si="47"/>
        <v>58</v>
      </c>
      <c r="AM96" s="645">
        <f t="shared" si="47"/>
        <v>43</v>
      </c>
      <c r="AN96" s="163">
        <f t="shared" si="47"/>
        <v>26</v>
      </c>
      <c r="AO96" s="163">
        <f t="shared" si="47"/>
        <v>0</v>
      </c>
      <c r="AP96" s="163">
        <f t="shared" si="47"/>
        <v>17</v>
      </c>
      <c r="AQ96" s="644">
        <f t="shared" si="47"/>
        <v>0</v>
      </c>
      <c r="AR96" s="645">
        <f t="shared" si="47"/>
        <v>15</v>
      </c>
      <c r="AS96" s="163">
        <f t="shared" si="47"/>
        <v>3</v>
      </c>
      <c r="AT96" s="163">
        <f t="shared" si="47"/>
        <v>0</v>
      </c>
      <c r="AU96" s="163">
        <f t="shared" si="47"/>
        <v>12</v>
      </c>
      <c r="AV96" s="643">
        <f t="shared" si="47"/>
        <v>0</v>
      </c>
      <c r="AW96" s="646">
        <f t="shared" si="47"/>
        <v>29</v>
      </c>
      <c r="AX96" s="645">
        <f t="shared" si="47"/>
        <v>23</v>
      </c>
      <c r="AY96" s="163">
        <f t="shared" si="47"/>
        <v>17</v>
      </c>
      <c r="AZ96" s="163">
        <f t="shared" si="53"/>
        <v>0</v>
      </c>
      <c r="BA96" s="163">
        <f t="shared" si="53"/>
        <v>6</v>
      </c>
      <c r="BB96" s="644">
        <f t="shared" si="53"/>
        <v>0</v>
      </c>
      <c r="BC96" s="645">
        <f t="shared" si="53"/>
        <v>6</v>
      </c>
      <c r="BD96" s="163">
        <f t="shared" si="53"/>
        <v>3</v>
      </c>
      <c r="BE96" s="163">
        <f t="shared" si="53"/>
        <v>0</v>
      </c>
      <c r="BF96" s="163">
        <f t="shared" si="53"/>
        <v>2</v>
      </c>
      <c r="BG96" s="643">
        <f t="shared" si="53"/>
        <v>1</v>
      </c>
      <c r="BH96" s="646">
        <f t="shared" si="53"/>
        <v>51</v>
      </c>
      <c r="BI96" s="645">
        <f t="shared" si="53"/>
        <v>40</v>
      </c>
      <c r="BJ96" s="163">
        <f t="shared" si="53"/>
        <v>25</v>
      </c>
      <c r="BK96" s="163">
        <f t="shared" si="53"/>
        <v>0</v>
      </c>
      <c r="BL96" s="163">
        <f t="shared" si="53"/>
        <v>15</v>
      </c>
      <c r="BM96" s="644">
        <f t="shared" si="53"/>
        <v>0</v>
      </c>
      <c r="BN96" s="645">
        <f t="shared" si="53"/>
        <v>11</v>
      </c>
      <c r="BO96" s="163">
        <f t="shared" si="53"/>
        <v>0</v>
      </c>
      <c r="BP96" s="163">
        <f t="shared" si="53"/>
        <v>0</v>
      </c>
      <c r="BQ96" s="163">
        <f t="shared" si="53"/>
        <v>10</v>
      </c>
      <c r="BR96" s="643">
        <f t="shared" si="53"/>
        <v>1</v>
      </c>
      <c r="BS96" s="646">
        <f t="shared" si="53"/>
        <v>52</v>
      </c>
      <c r="BT96" s="645">
        <f t="shared" si="53"/>
        <v>39</v>
      </c>
      <c r="BU96" s="163">
        <f t="shared" si="53"/>
        <v>22</v>
      </c>
      <c r="BV96" s="163">
        <f t="shared" si="53"/>
        <v>0</v>
      </c>
      <c r="BW96" s="163">
        <f t="shared" si="53"/>
        <v>17</v>
      </c>
      <c r="BX96" s="644">
        <f t="shared" si="53"/>
        <v>0</v>
      </c>
      <c r="BY96" s="645">
        <f t="shared" si="53"/>
        <v>13</v>
      </c>
      <c r="BZ96" s="163">
        <f t="shared" si="53"/>
        <v>4</v>
      </c>
      <c r="CA96" s="163">
        <f t="shared" si="53"/>
        <v>0</v>
      </c>
      <c r="CB96" s="163">
        <f t="shared" si="53"/>
        <v>7</v>
      </c>
      <c r="CC96" s="643">
        <f t="shared" si="53"/>
        <v>2</v>
      </c>
      <c r="CD96" s="646">
        <f t="shared" si="53"/>
        <v>7</v>
      </c>
      <c r="CE96" s="645">
        <f t="shared" si="53"/>
        <v>6</v>
      </c>
      <c r="CF96" s="163">
        <f t="shared" si="53"/>
        <v>2</v>
      </c>
      <c r="CG96" s="163">
        <f t="shared" si="53"/>
        <v>0</v>
      </c>
      <c r="CH96" s="163">
        <f t="shared" si="53"/>
        <v>4</v>
      </c>
      <c r="CI96" s="644">
        <f t="shared" si="53"/>
        <v>0</v>
      </c>
      <c r="CJ96" s="645">
        <f t="shared" si="53"/>
        <v>1</v>
      </c>
      <c r="CK96" s="163">
        <f t="shared" si="53"/>
        <v>0</v>
      </c>
      <c r="CL96" s="163">
        <f t="shared" si="53"/>
        <v>0</v>
      </c>
      <c r="CM96" s="163">
        <f t="shared" si="53"/>
        <v>1</v>
      </c>
      <c r="CN96" s="643">
        <f t="shared" si="53"/>
        <v>0</v>
      </c>
      <c r="CO96" s="646">
        <f t="shared" si="53"/>
        <v>14</v>
      </c>
      <c r="CP96" s="645">
        <f t="shared" si="53"/>
        <v>9</v>
      </c>
      <c r="CQ96" s="163">
        <f t="shared" si="53"/>
        <v>6</v>
      </c>
      <c r="CR96" s="163">
        <f t="shared" si="53"/>
        <v>0</v>
      </c>
      <c r="CS96" s="163">
        <f t="shared" si="53"/>
        <v>3</v>
      </c>
      <c r="CT96" s="644">
        <f t="shared" si="53"/>
        <v>0</v>
      </c>
      <c r="CU96" s="645">
        <f t="shared" si="52"/>
        <v>5</v>
      </c>
      <c r="CV96" s="163">
        <f t="shared" si="52"/>
        <v>0</v>
      </c>
      <c r="CW96" s="163">
        <f t="shared" si="52"/>
        <v>0</v>
      </c>
      <c r="CX96" s="163">
        <f t="shared" si="52"/>
        <v>5</v>
      </c>
      <c r="CY96" s="643">
        <f t="shared" si="52"/>
        <v>0</v>
      </c>
      <c r="CZ96" s="646">
        <f t="shared" si="52"/>
        <v>4</v>
      </c>
      <c r="DA96" s="645">
        <f t="shared" si="52"/>
        <v>3</v>
      </c>
      <c r="DB96" s="163">
        <f t="shared" si="52"/>
        <v>2</v>
      </c>
      <c r="DC96" s="163">
        <f t="shared" si="52"/>
        <v>0</v>
      </c>
      <c r="DD96" s="163">
        <f t="shared" si="52"/>
        <v>1</v>
      </c>
      <c r="DE96" s="644">
        <f t="shared" si="52"/>
        <v>0</v>
      </c>
      <c r="DF96" s="645">
        <f t="shared" si="52"/>
        <v>1</v>
      </c>
      <c r="DG96" s="163">
        <f t="shared" si="52"/>
        <v>1</v>
      </c>
      <c r="DH96" s="163">
        <f t="shared" si="52"/>
        <v>0</v>
      </c>
      <c r="DI96" s="163">
        <f t="shared" si="52"/>
        <v>0</v>
      </c>
      <c r="DJ96" s="643">
        <f t="shared" si="52"/>
        <v>0</v>
      </c>
      <c r="DK96" s="646">
        <f t="shared" si="52"/>
        <v>0</v>
      </c>
      <c r="DL96" s="645">
        <f t="shared" si="52"/>
        <v>0</v>
      </c>
      <c r="DM96" s="163">
        <f t="shared" si="52"/>
        <v>0</v>
      </c>
      <c r="DN96" s="163">
        <f t="shared" si="52"/>
        <v>0</v>
      </c>
      <c r="DO96" s="163">
        <f t="shared" si="51"/>
        <v>0</v>
      </c>
      <c r="DP96" s="644">
        <f t="shared" si="51"/>
        <v>0</v>
      </c>
      <c r="DQ96" s="645">
        <f t="shared" si="51"/>
        <v>0</v>
      </c>
      <c r="DR96" s="163">
        <f t="shared" si="51"/>
        <v>0</v>
      </c>
      <c r="DS96" s="163">
        <f t="shared" si="51"/>
        <v>0</v>
      </c>
      <c r="DT96" s="163">
        <f t="shared" si="51"/>
        <v>0</v>
      </c>
      <c r="DU96" s="643">
        <f t="shared" si="51"/>
        <v>0</v>
      </c>
      <c r="DW96" s="646">
        <f t="shared" si="40"/>
        <v>169</v>
      </c>
      <c r="DX96" s="645">
        <f t="shared" si="40"/>
        <v>127</v>
      </c>
      <c r="DY96" s="163">
        <f t="shared" si="40"/>
        <v>78</v>
      </c>
      <c r="DZ96" s="163">
        <f t="shared" si="38"/>
        <v>0</v>
      </c>
      <c r="EA96" s="163">
        <f t="shared" si="38"/>
        <v>49</v>
      </c>
      <c r="EB96" s="644">
        <f t="shared" si="38"/>
        <v>0</v>
      </c>
      <c r="EC96" s="645">
        <f t="shared" si="38"/>
        <v>42</v>
      </c>
      <c r="ED96" s="163">
        <f t="shared" si="38"/>
        <v>11</v>
      </c>
      <c r="EE96" s="163">
        <f t="shared" si="38"/>
        <v>0</v>
      </c>
      <c r="EF96" s="163">
        <f t="shared" si="14"/>
        <v>26</v>
      </c>
      <c r="EG96" s="643">
        <f t="shared" si="14"/>
        <v>5</v>
      </c>
      <c r="EH96" s="646">
        <f t="shared" si="29"/>
        <v>58</v>
      </c>
      <c r="EI96" s="645">
        <f t="shared" si="29"/>
        <v>43</v>
      </c>
      <c r="EJ96" s="163">
        <f t="shared" si="29"/>
        <v>26</v>
      </c>
      <c r="EK96" s="163">
        <f t="shared" si="29"/>
        <v>0</v>
      </c>
      <c r="EL96" s="163">
        <f t="shared" si="29"/>
        <v>17</v>
      </c>
      <c r="EM96" s="644">
        <f t="shared" si="49"/>
        <v>0</v>
      </c>
      <c r="EN96" s="645">
        <f t="shared" si="49"/>
        <v>15</v>
      </c>
      <c r="EO96" s="163">
        <f t="shared" si="49"/>
        <v>3</v>
      </c>
      <c r="EP96" s="163">
        <f t="shared" si="49"/>
        <v>0</v>
      </c>
      <c r="EQ96" s="163">
        <f t="shared" si="49"/>
        <v>12</v>
      </c>
      <c r="ER96" s="643">
        <f t="shared" si="49"/>
        <v>0</v>
      </c>
    </row>
    <row r="97" spans="1:148">
      <c r="A97" s="654" t="s">
        <v>243</v>
      </c>
      <c r="B97" s="658">
        <v>44470</v>
      </c>
      <c r="C97" s="659">
        <v>2021</v>
      </c>
      <c r="D97" s="646">
        <f t="shared" si="10"/>
        <v>130630</v>
      </c>
      <c r="E97" s="646">
        <f t="shared" ref="E97:T112" si="55">SUMIFS(E$5:E$36,$B$5:$B$36,$A97)</f>
        <v>6129</v>
      </c>
      <c r="F97" s="645">
        <f t="shared" si="55"/>
        <v>4787</v>
      </c>
      <c r="G97" s="163">
        <f t="shared" si="55"/>
        <v>2342</v>
      </c>
      <c r="H97" s="163">
        <f t="shared" si="55"/>
        <v>0</v>
      </c>
      <c r="I97" s="163">
        <f t="shared" si="55"/>
        <v>2445</v>
      </c>
      <c r="J97" s="644">
        <f t="shared" si="55"/>
        <v>0</v>
      </c>
      <c r="K97" s="645">
        <f t="shared" si="55"/>
        <v>1342</v>
      </c>
      <c r="L97" s="163">
        <f t="shared" si="55"/>
        <v>199</v>
      </c>
      <c r="M97" s="163">
        <f t="shared" si="55"/>
        <v>0</v>
      </c>
      <c r="N97" s="163">
        <f t="shared" si="55"/>
        <v>1114</v>
      </c>
      <c r="O97" s="643">
        <f t="shared" si="55"/>
        <v>29</v>
      </c>
      <c r="P97" s="646">
        <f t="shared" si="55"/>
        <v>12</v>
      </c>
      <c r="Q97" s="645">
        <f t="shared" si="55"/>
        <v>6</v>
      </c>
      <c r="R97" s="163">
        <f t="shared" si="55"/>
        <v>2</v>
      </c>
      <c r="S97" s="163">
        <f t="shared" si="55"/>
        <v>0</v>
      </c>
      <c r="T97" s="163">
        <f t="shared" si="55"/>
        <v>4</v>
      </c>
      <c r="U97" s="644">
        <f t="shared" si="54"/>
        <v>0</v>
      </c>
      <c r="V97" s="645">
        <f t="shared" si="54"/>
        <v>6</v>
      </c>
      <c r="W97" s="163">
        <f t="shared" si="54"/>
        <v>0</v>
      </c>
      <c r="X97" s="163">
        <f t="shared" si="54"/>
        <v>0</v>
      </c>
      <c r="Y97" s="163">
        <f t="shared" si="54"/>
        <v>6</v>
      </c>
      <c r="Z97" s="643">
        <f t="shared" si="54"/>
        <v>0</v>
      </c>
      <c r="AA97" s="646">
        <f t="shared" si="54"/>
        <v>4</v>
      </c>
      <c r="AB97" s="645">
        <f t="shared" si="54"/>
        <v>3</v>
      </c>
      <c r="AC97" s="163">
        <f t="shared" si="54"/>
        <v>3</v>
      </c>
      <c r="AD97" s="163">
        <f t="shared" si="54"/>
        <v>0</v>
      </c>
      <c r="AE97" s="163">
        <f t="shared" si="54"/>
        <v>0</v>
      </c>
      <c r="AF97" s="644">
        <f t="shared" si="54"/>
        <v>0</v>
      </c>
      <c r="AG97" s="645">
        <f t="shared" si="54"/>
        <v>1</v>
      </c>
      <c r="AH97" s="163">
        <f t="shared" si="54"/>
        <v>1</v>
      </c>
      <c r="AI97" s="163">
        <f t="shared" si="47"/>
        <v>0</v>
      </c>
      <c r="AJ97" s="163">
        <f t="shared" si="47"/>
        <v>0</v>
      </c>
      <c r="AK97" s="643">
        <f t="shared" si="47"/>
        <v>0</v>
      </c>
      <c r="AL97" s="646">
        <f t="shared" si="47"/>
        <v>54</v>
      </c>
      <c r="AM97" s="645">
        <f t="shared" si="47"/>
        <v>49</v>
      </c>
      <c r="AN97" s="163">
        <f t="shared" si="47"/>
        <v>33</v>
      </c>
      <c r="AO97" s="163">
        <f t="shared" si="47"/>
        <v>0</v>
      </c>
      <c r="AP97" s="163">
        <f t="shared" si="47"/>
        <v>16</v>
      </c>
      <c r="AQ97" s="644">
        <f t="shared" si="47"/>
        <v>0</v>
      </c>
      <c r="AR97" s="645">
        <f t="shared" si="47"/>
        <v>5</v>
      </c>
      <c r="AS97" s="163">
        <f t="shared" si="47"/>
        <v>0</v>
      </c>
      <c r="AT97" s="163">
        <f t="shared" si="47"/>
        <v>0</v>
      </c>
      <c r="AU97" s="163">
        <f t="shared" si="47"/>
        <v>5</v>
      </c>
      <c r="AV97" s="643">
        <f t="shared" si="47"/>
        <v>0</v>
      </c>
      <c r="AW97" s="646">
        <f t="shared" si="47"/>
        <v>33</v>
      </c>
      <c r="AX97" s="645">
        <f t="shared" si="47"/>
        <v>22</v>
      </c>
      <c r="AY97" s="163">
        <f t="shared" si="47"/>
        <v>13</v>
      </c>
      <c r="AZ97" s="163">
        <f t="shared" si="53"/>
        <v>0</v>
      </c>
      <c r="BA97" s="163">
        <f t="shared" si="53"/>
        <v>9</v>
      </c>
      <c r="BB97" s="644">
        <f t="shared" si="53"/>
        <v>0</v>
      </c>
      <c r="BC97" s="645">
        <f t="shared" si="53"/>
        <v>11</v>
      </c>
      <c r="BD97" s="163">
        <f t="shared" si="53"/>
        <v>2</v>
      </c>
      <c r="BE97" s="163">
        <f t="shared" si="53"/>
        <v>0</v>
      </c>
      <c r="BF97" s="163">
        <f t="shared" si="53"/>
        <v>8</v>
      </c>
      <c r="BG97" s="643">
        <f t="shared" si="53"/>
        <v>1</v>
      </c>
      <c r="BH97" s="646">
        <f t="shared" si="53"/>
        <v>34</v>
      </c>
      <c r="BI97" s="645">
        <f t="shared" si="53"/>
        <v>26</v>
      </c>
      <c r="BJ97" s="163">
        <f t="shared" si="53"/>
        <v>11</v>
      </c>
      <c r="BK97" s="163">
        <f t="shared" si="53"/>
        <v>0</v>
      </c>
      <c r="BL97" s="163">
        <f t="shared" si="53"/>
        <v>15</v>
      </c>
      <c r="BM97" s="644">
        <f t="shared" si="53"/>
        <v>0</v>
      </c>
      <c r="BN97" s="645">
        <f t="shared" si="53"/>
        <v>8</v>
      </c>
      <c r="BO97" s="163">
        <f t="shared" si="53"/>
        <v>2</v>
      </c>
      <c r="BP97" s="163">
        <f t="shared" si="53"/>
        <v>0</v>
      </c>
      <c r="BQ97" s="163">
        <f t="shared" si="53"/>
        <v>6</v>
      </c>
      <c r="BR97" s="643">
        <f t="shared" si="53"/>
        <v>0</v>
      </c>
      <c r="BS97" s="646">
        <f t="shared" si="53"/>
        <v>75</v>
      </c>
      <c r="BT97" s="645">
        <f t="shared" si="53"/>
        <v>52</v>
      </c>
      <c r="BU97" s="163">
        <f t="shared" si="53"/>
        <v>19</v>
      </c>
      <c r="BV97" s="163">
        <f t="shared" si="53"/>
        <v>0</v>
      </c>
      <c r="BW97" s="163">
        <f t="shared" si="53"/>
        <v>33</v>
      </c>
      <c r="BX97" s="644">
        <f t="shared" si="53"/>
        <v>0</v>
      </c>
      <c r="BY97" s="645">
        <f t="shared" si="53"/>
        <v>23</v>
      </c>
      <c r="BZ97" s="163">
        <f t="shared" si="53"/>
        <v>4</v>
      </c>
      <c r="CA97" s="163">
        <f t="shared" si="53"/>
        <v>0</v>
      </c>
      <c r="CB97" s="163">
        <f t="shared" si="53"/>
        <v>19</v>
      </c>
      <c r="CC97" s="643">
        <f t="shared" si="53"/>
        <v>0</v>
      </c>
      <c r="CD97" s="646">
        <f t="shared" si="53"/>
        <v>11</v>
      </c>
      <c r="CE97" s="645">
        <f t="shared" si="53"/>
        <v>8</v>
      </c>
      <c r="CF97" s="163">
        <f t="shared" si="53"/>
        <v>4</v>
      </c>
      <c r="CG97" s="163">
        <f t="shared" si="53"/>
        <v>0</v>
      </c>
      <c r="CH97" s="163">
        <f t="shared" si="53"/>
        <v>4</v>
      </c>
      <c r="CI97" s="644">
        <f t="shared" si="53"/>
        <v>0</v>
      </c>
      <c r="CJ97" s="645">
        <f t="shared" si="53"/>
        <v>3</v>
      </c>
      <c r="CK97" s="163">
        <f t="shared" si="53"/>
        <v>0</v>
      </c>
      <c r="CL97" s="163">
        <f t="shared" si="53"/>
        <v>0</v>
      </c>
      <c r="CM97" s="163">
        <f t="shared" si="53"/>
        <v>3</v>
      </c>
      <c r="CN97" s="643">
        <f t="shared" si="53"/>
        <v>0</v>
      </c>
      <c r="CO97" s="646">
        <f t="shared" si="53"/>
        <v>6</v>
      </c>
      <c r="CP97" s="645">
        <f t="shared" si="53"/>
        <v>5</v>
      </c>
      <c r="CQ97" s="163">
        <f t="shared" si="53"/>
        <v>5</v>
      </c>
      <c r="CR97" s="163">
        <f t="shared" si="53"/>
        <v>0</v>
      </c>
      <c r="CS97" s="163">
        <f t="shared" si="53"/>
        <v>0</v>
      </c>
      <c r="CT97" s="644">
        <f t="shared" si="53"/>
        <v>0</v>
      </c>
      <c r="CU97" s="645">
        <f t="shared" si="52"/>
        <v>1</v>
      </c>
      <c r="CV97" s="163">
        <f t="shared" si="52"/>
        <v>0</v>
      </c>
      <c r="CW97" s="163">
        <f t="shared" si="52"/>
        <v>0</v>
      </c>
      <c r="CX97" s="163">
        <f t="shared" si="52"/>
        <v>1</v>
      </c>
      <c r="CY97" s="643">
        <f t="shared" si="52"/>
        <v>0</v>
      </c>
      <c r="CZ97" s="646">
        <f t="shared" si="52"/>
        <v>2</v>
      </c>
      <c r="DA97" s="645">
        <f t="shared" si="52"/>
        <v>2</v>
      </c>
      <c r="DB97" s="163">
        <f t="shared" si="52"/>
        <v>1</v>
      </c>
      <c r="DC97" s="163">
        <f t="shared" si="52"/>
        <v>0</v>
      </c>
      <c r="DD97" s="163">
        <f t="shared" si="52"/>
        <v>1</v>
      </c>
      <c r="DE97" s="644">
        <f t="shared" si="52"/>
        <v>0</v>
      </c>
      <c r="DF97" s="645">
        <f t="shared" si="52"/>
        <v>0</v>
      </c>
      <c r="DG97" s="163">
        <f t="shared" si="52"/>
        <v>0</v>
      </c>
      <c r="DH97" s="163">
        <f t="shared" si="52"/>
        <v>0</v>
      </c>
      <c r="DI97" s="163">
        <f t="shared" si="52"/>
        <v>0</v>
      </c>
      <c r="DJ97" s="643">
        <f t="shared" si="52"/>
        <v>0</v>
      </c>
      <c r="DK97" s="646">
        <f t="shared" si="52"/>
        <v>0</v>
      </c>
      <c r="DL97" s="645">
        <f t="shared" si="52"/>
        <v>0</v>
      </c>
      <c r="DM97" s="163">
        <f t="shared" si="52"/>
        <v>0</v>
      </c>
      <c r="DN97" s="163">
        <f t="shared" si="52"/>
        <v>0</v>
      </c>
      <c r="DO97" s="163">
        <f t="shared" si="51"/>
        <v>0</v>
      </c>
      <c r="DP97" s="644">
        <f t="shared" si="51"/>
        <v>0</v>
      </c>
      <c r="DQ97" s="645">
        <f t="shared" si="51"/>
        <v>0</v>
      </c>
      <c r="DR97" s="163">
        <f t="shared" si="51"/>
        <v>0</v>
      </c>
      <c r="DS97" s="163">
        <f t="shared" si="51"/>
        <v>0</v>
      </c>
      <c r="DT97" s="163">
        <f t="shared" si="51"/>
        <v>0</v>
      </c>
      <c r="DU97" s="643">
        <f t="shared" si="51"/>
        <v>0</v>
      </c>
      <c r="DW97" s="646">
        <f t="shared" si="40"/>
        <v>177</v>
      </c>
      <c r="DX97" s="645">
        <f t="shared" si="40"/>
        <v>124</v>
      </c>
      <c r="DY97" s="163">
        <f t="shared" si="40"/>
        <v>58</v>
      </c>
      <c r="DZ97" s="163">
        <f t="shared" si="38"/>
        <v>0</v>
      </c>
      <c r="EA97" s="163">
        <f t="shared" si="38"/>
        <v>66</v>
      </c>
      <c r="EB97" s="644">
        <f t="shared" si="38"/>
        <v>0</v>
      </c>
      <c r="EC97" s="645">
        <f t="shared" si="38"/>
        <v>53</v>
      </c>
      <c r="ED97" s="163">
        <f t="shared" si="38"/>
        <v>9</v>
      </c>
      <c r="EE97" s="163">
        <f t="shared" si="38"/>
        <v>0</v>
      </c>
      <c r="EF97" s="163">
        <f t="shared" si="14"/>
        <v>43</v>
      </c>
      <c r="EG97" s="643">
        <f t="shared" si="14"/>
        <v>1</v>
      </c>
      <c r="EH97" s="646">
        <f t="shared" si="29"/>
        <v>54</v>
      </c>
      <c r="EI97" s="645">
        <f t="shared" si="29"/>
        <v>49</v>
      </c>
      <c r="EJ97" s="163">
        <f t="shared" si="29"/>
        <v>33</v>
      </c>
      <c r="EK97" s="163">
        <f t="shared" si="29"/>
        <v>0</v>
      </c>
      <c r="EL97" s="163">
        <f t="shared" si="29"/>
        <v>16</v>
      </c>
      <c r="EM97" s="644">
        <f t="shared" si="49"/>
        <v>0</v>
      </c>
      <c r="EN97" s="645">
        <f t="shared" si="49"/>
        <v>5</v>
      </c>
      <c r="EO97" s="163">
        <f t="shared" si="49"/>
        <v>0</v>
      </c>
      <c r="EP97" s="163">
        <f t="shared" si="49"/>
        <v>0</v>
      </c>
      <c r="EQ97" s="163">
        <f t="shared" si="49"/>
        <v>5</v>
      </c>
      <c r="ER97" s="643">
        <f t="shared" si="49"/>
        <v>0</v>
      </c>
    </row>
    <row r="98" spans="1:148">
      <c r="A98" s="654" t="s">
        <v>243</v>
      </c>
      <c r="B98" s="658">
        <v>44501</v>
      </c>
      <c r="C98" s="659">
        <v>2021</v>
      </c>
      <c r="D98" s="646">
        <f t="shared" si="10"/>
        <v>130630</v>
      </c>
      <c r="E98" s="646">
        <f t="shared" si="55"/>
        <v>6129</v>
      </c>
      <c r="F98" s="645">
        <f t="shared" si="55"/>
        <v>4787</v>
      </c>
      <c r="G98" s="163">
        <f t="shared" si="55"/>
        <v>2342</v>
      </c>
      <c r="H98" s="163">
        <f t="shared" si="55"/>
        <v>0</v>
      </c>
      <c r="I98" s="163">
        <f t="shared" si="55"/>
        <v>2445</v>
      </c>
      <c r="J98" s="644">
        <f t="shared" si="55"/>
        <v>0</v>
      </c>
      <c r="K98" s="645">
        <f t="shared" si="55"/>
        <v>1342</v>
      </c>
      <c r="L98" s="163">
        <f t="shared" si="55"/>
        <v>199</v>
      </c>
      <c r="M98" s="163">
        <f t="shared" si="55"/>
        <v>0</v>
      </c>
      <c r="N98" s="163">
        <f t="shared" si="55"/>
        <v>1114</v>
      </c>
      <c r="O98" s="643">
        <f t="shared" si="55"/>
        <v>29</v>
      </c>
      <c r="P98" s="646">
        <f t="shared" si="55"/>
        <v>12</v>
      </c>
      <c r="Q98" s="645">
        <f t="shared" si="55"/>
        <v>6</v>
      </c>
      <c r="R98" s="163">
        <f t="shared" si="55"/>
        <v>2</v>
      </c>
      <c r="S98" s="163">
        <f t="shared" si="55"/>
        <v>0</v>
      </c>
      <c r="T98" s="163">
        <f t="shared" si="55"/>
        <v>4</v>
      </c>
      <c r="U98" s="644">
        <f t="shared" si="54"/>
        <v>0</v>
      </c>
      <c r="V98" s="645">
        <f t="shared" si="54"/>
        <v>6</v>
      </c>
      <c r="W98" s="163">
        <f t="shared" si="54"/>
        <v>0</v>
      </c>
      <c r="X98" s="163">
        <f t="shared" si="54"/>
        <v>0</v>
      </c>
      <c r="Y98" s="163">
        <f t="shared" si="54"/>
        <v>6</v>
      </c>
      <c r="Z98" s="643">
        <f t="shared" si="54"/>
        <v>0</v>
      </c>
      <c r="AA98" s="646">
        <f t="shared" si="54"/>
        <v>4</v>
      </c>
      <c r="AB98" s="645">
        <f t="shared" si="54"/>
        <v>3</v>
      </c>
      <c r="AC98" s="163">
        <f t="shared" si="54"/>
        <v>3</v>
      </c>
      <c r="AD98" s="163">
        <f t="shared" si="54"/>
        <v>0</v>
      </c>
      <c r="AE98" s="163">
        <f t="shared" si="54"/>
        <v>0</v>
      </c>
      <c r="AF98" s="644">
        <f t="shared" si="54"/>
        <v>0</v>
      </c>
      <c r="AG98" s="645">
        <f t="shared" si="54"/>
        <v>1</v>
      </c>
      <c r="AH98" s="163">
        <f t="shared" si="54"/>
        <v>1</v>
      </c>
      <c r="AI98" s="163">
        <f t="shared" si="47"/>
        <v>0</v>
      </c>
      <c r="AJ98" s="163">
        <f t="shared" si="47"/>
        <v>0</v>
      </c>
      <c r="AK98" s="643">
        <f t="shared" si="47"/>
        <v>0</v>
      </c>
      <c r="AL98" s="646">
        <f t="shared" si="47"/>
        <v>54</v>
      </c>
      <c r="AM98" s="645">
        <f t="shared" si="47"/>
        <v>49</v>
      </c>
      <c r="AN98" s="163">
        <f t="shared" si="47"/>
        <v>33</v>
      </c>
      <c r="AO98" s="163">
        <f t="shared" si="47"/>
        <v>0</v>
      </c>
      <c r="AP98" s="163">
        <f t="shared" si="47"/>
        <v>16</v>
      </c>
      <c r="AQ98" s="644">
        <f t="shared" si="47"/>
        <v>0</v>
      </c>
      <c r="AR98" s="645">
        <f t="shared" si="47"/>
        <v>5</v>
      </c>
      <c r="AS98" s="163">
        <f t="shared" si="47"/>
        <v>0</v>
      </c>
      <c r="AT98" s="163">
        <f t="shared" si="47"/>
        <v>0</v>
      </c>
      <c r="AU98" s="163">
        <f t="shared" si="47"/>
        <v>5</v>
      </c>
      <c r="AV98" s="643">
        <f t="shared" si="47"/>
        <v>0</v>
      </c>
      <c r="AW98" s="646">
        <f t="shared" si="47"/>
        <v>33</v>
      </c>
      <c r="AX98" s="645">
        <f t="shared" si="47"/>
        <v>22</v>
      </c>
      <c r="AY98" s="163">
        <f t="shared" si="47"/>
        <v>13</v>
      </c>
      <c r="AZ98" s="163">
        <f t="shared" si="53"/>
        <v>0</v>
      </c>
      <c r="BA98" s="163">
        <f t="shared" si="53"/>
        <v>9</v>
      </c>
      <c r="BB98" s="644">
        <f t="shared" si="53"/>
        <v>0</v>
      </c>
      <c r="BC98" s="645">
        <f t="shared" si="53"/>
        <v>11</v>
      </c>
      <c r="BD98" s="163">
        <f t="shared" si="53"/>
        <v>2</v>
      </c>
      <c r="BE98" s="163">
        <f t="shared" si="53"/>
        <v>0</v>
      </c>
      <c r="BF98" s="163">
        <f t="shared" si="53"/>
        <v>8</v>
      </c>
      <c r="BG98" s="643">
        <f t="shared" si="53"/>
        <v>1</v>
      </c>
      <c r="BH98" s="646">
        <f t="shared" si="53"/>
        <v>34</v>
      </c>
      <c r="BI98" s="645">
        <f t="shared" si="53"/>
        <v>26</v>
      </c>
      <c r="BJ98" s="163">
        <f t="shared" si="53"/>
        <v>11</v>
      </c>
      <c r="BK98" s="163">
        <f t="shared" si="53"/>
        <v>0</v>
      </c>
      <c r="BL98" s="163">
        <f t="shared" si="53"/>
        <v>15</v>
      </c>
      <c r="BM98" s="644">
        <f t="shared" si="53"/>
        <v>0</v>
      </c>
      <c r="BN98" s="645">
        <f t="shared" si="53"/>
        <v>8</v>
      </c>
      <c r="BO98" s="163">
        <f t="shared" si="53"/>
        <v>2</v>
      </c>
      <c r="BP98" s="163">
        <f t="shared" si="53"/>
        <v>0</v>
      </c>
      <c r="BQ98" s="163">
        <f t="shared" si="53"/>
        <v>6</v>
      </c>
      <c r="BR98" s="643">
        <f t="shared" si="53"/>
        <v>0</v>
      </c>
      <c r="BS98" s="646">
        <f t="shared" si="53"/>
        <v>75</v>
      </c>
      <c r="BT98" s="645">
        <f t="shared" si="53"/>
        <v>52</v>
      </c>
      <c r="BU98" s="163">
        <f t="shared" si="53"/>
        <v>19</v>
      </c>
      <c r="BV98" s="163">
        <f t="shared" si="53"/>
        <v>0</v>
      </c>
      <c r="BW98" s="163">
        <f t="shared" si="53"/>
        <v>33</v>
      </c>
      <c r="BX98" s="644">
        <f t="shared" si="53"/>
        <v>0</v>
      </c>
      <c r="BY98" s="645">
        <f t="shared" si="53"/>
        <v>23</v>
      </c>
      <c r="BZ98" s="163">
        <f t="shared" si="53"/>
        <v>4</v>
      </c>
      <c r="CA98" s="163">
        <f t="shared" si="53"/>
        <v>0</v>
      </c>
      <c r="CB98" s="163">
        <f t="shared" si="53"/>
        <v>19</v>
      </c>
      <c r="CC98" s="643">
        <f t="shared" si="53"/>
        <v>0</v>
      </c>
      <c r="CD98" s="646">
        <f t="shared" si="53"/>
        <v>11</v>
      </c>
      <c r="CE98" s="645">
        <f t="shared" si="53"/>
        <v>8</v>
      </c>
      <c r="CF98" s="163">
        <f t="shared" si="53"/>
        <v>4</v>
      </c>
      <c r="CG98" s="163">
        <f t="shared" si="53"/>
        <v>0</v>
      </c>
      <c r="CH98" s="163">
        <f t="shared" si="53"/>
        <v>4</v>
      </c>
      <c r="CI98" s="644">
        <f t="shared" si="53"/>
        <v>0</v>
      </c>
      <c r="CJ98" s="645">
        <f t="shared" si="53"/>
        <v>3</v>
      </c>
      <c r="CK98" s="163">
        <f t="shared" si="53"/>
        <v>0</v>
      </c>
      <c r="CL98" s="163">
        <f t="shared" si="53"/>
        <v>0</v>
      </c>
      <c r="CM98" s="163">
        <f t="shared" si="53"/>
        <v>3</v>
      </c>
      <c r="CN98" s="643">
        <f t="shared" si="53"/>
        <v>0</v>
      </c>
      <c r="CO98" s="646">
        <f t="shared" si="53"/>
        <v>6</v>
      </c>
      <c r="CP98" s="645">
        <f t="shared" si="53"/>
        <v>5</v>
      </c>
      <c r="CQ98" s="163">
        <f t="shared" si="53"/>
        <v>5</v>
      </c>
      <c r="CR98" s="163">
        <f t="shared" si="53"/>
        <v>0</v>
      </c>
      <c r="CS98" s="163">
        <f t="shared" si="53"/>
        <v>0</v>
      </c>
      <c r="CT98" s="644">
        <f t="shared" si="53"/>
        <v>0</v>
      </c>
      <c r="CU98" s="645">
        <f t="shared" si="52"/>
        <v>1</v>
      </c>
      <c r="CV98" s="163">
        <f t="shared" si="52"/>
        <v>0</v>
      </c>
      <c r="CW98" s="163">
        <f t="shared" si="52"/>
        <v>0</v>
      </c>
      <c r="CX98" s="163">
        <f t="shared" si="52"/>
        <v>1</v>
      </c>
      <c r="CY98" s="643">
        <f t="shared" si="52"/>
        <v>0</v>
      </c>
      <c r="CZ98" s="646">
        <f t="shared" si="52"/>
        <v>2</v>
      </c>
      <c r="DA98" s="645">
        <f t="shared" si="52"/>
        <v>2</v>
      </c>
      <c r="DB98" s="163">
        <f t="shared" si="52"/>
        <v>1</v>
      </c>
      <c r="DC98" s="163">
        <f t="shared" si="52"/>
        <v>0</v>
      </c>
      <c r="DD98" s="163">
        <f t="shared" si="52"/>
        <v>1</v>
      </c>
      <c r="DE98" s="644">
        <f t="shared" si="52"/>
        <v>0</v>
      </c>
      <c r="DF98" s="645">
        <f t="shared" si="52"/>
        <v>0</v>
      </c>
      <c r="DG98" s="163">
        <f t="shared" si="52"/>
        <v>0</v>
      </c>
      <c r="DH98" s="163">
        <f t="shared" si="52"/>
        <v>0</v>
      </c>
      <c r="DI98" s="163">
        <f t="shared" si="52"/>
        <v>0</v>
      </c>
      <c r="DJ98" s="643">
        <f t="shared" si="52"/>
        <v>0</v>
      </c>
      <c r="DK98" s="646">
        <f t="shared" si="52"/>
        <v>0</v>
      </c>
      <c r="DL98" s="645">
        <f t="shared" si="52"/>
        <v>0</v>
      </c>
      <c r="DM98" s="163">
        <f t="shared" si="52"/>
        <v>0</v>
      </c>
      <c r="DN98" s="163">
        <f t="shared" si="52"/>
        <v>0</v>
      </c>
      <c r="DO98" s="163">
        <f t="shared" si="51"/>
        <v>0</v>
      </c>
      <c r="DP98" s="644">
        <f t="shared" si="51"/>
        <v>0</v>
      </c>
      <c r="DQ98" s="645">
        <f t="shared" si="51"/>
        <v>0</v>
      </c>
      <c r="DR98" s="163">
        <f t="shared" si="51"/>
        <v>0</v>
      </c>
      <c r="DS98" s="163">
        <f t="shared" si="51"/>
        <v>0</v>
      </c>
      <c r="DT98" s="163">
        <f t="shared" si="51"/>
        <v>0</v>
      </c>
      <c r="DU98" s="643">
        <f t="shared" si="51"/>
        <v>0</v>
      </c>
      <c r="DW98" s="646">
        <f t="shared" si="40"/>
        <v>177</v>
      </c>
      <c r="DX98" s="645">
        <f t="shared" si="40"/>
        <v>124</v>
      </c>
      <c r="DY98" s="163">
        <f t="shared" si="40"/>
        <v>58</v>
      </c>
      <c r="DZ98" s="163">
        <f t="shared" si="38"/>
        <v>0</v>
      </c>
      <c r="EA98" s="163">
        <f t="shared" si="38"/>
        <v>66</v>
      </c>
      <c r="EB98" s="644">
        <f t="shared" si="38"/>
        <v>0</v>
      </c>
      <c r="EC98" s="645">
        <f t="shared" si="38"/>
        <v>53</v>
      </c>
      <c r="ED98" s="163">
        <f t="shared" si="38"/>
        <v>9</v>
      </c>
      <c r="EE98" s="163">
        <f t="shared" si="38"/>
        <v>0</v>
      </c>
      <c r="EF98" s="163">
        <f t="shared" si="14"/>
        <v>43</v>
      </c>
      <c r="EG98" s="643">
        <f t="shared" si="14"/>
        <v>1</v>
      </c>
      <c r="EH98" s="646">
        <f t="shared" si="29"/>
        <v>54</v>
      </c>
      <c r="EI98" s="645">
        <f t="shared" si="29"/>
        <v>49</v>
      </c>
      <c r="EJ98" s="163">
        <f t="shared" si="29"/>
        <v>33</v>
      </c>
      <c r="EK98" s="163">
        <f t="shared" si="29"/>
        <v>0</v>
      </c>
      <c r="EL98" s="163">
        <f t="shared" si="29"/>
        <v>16</v>
      </c>
      <c r="EM98" s="644">
        <f t="shared" si="49"/>
        <v>0</v>
      </c>
      <c r="EN98" s="645">
        <f t="shared" si="49"/>
        <v>5</v>
      </c>
      <c r="EO98" s="163">
        <f t="shared" si="49"/>
        <v>0</v>
      </c>
      <c r="EP98" s="163">
        <f t="shared" si="49"/>
        <v>0</v>
      </c>
      <c r="EQ98" s="163">
        <f t="shared" si="49"/>
        <v>5</v>
      </c>
      <c r="ER98" s="643">
        <f t="shared" si="49"/>
        <v>0</v>
      </c>
    </row>
    <row r="99" spans="1:148">
      <c r="A99" s="654" t="s">
        <v>243</v>
      </c>
      <c r="B99" s="658">
        <v>44531</v>
      </c>
      <c r="C99" s="659">
        <v>2021</v>
      </c>
      <c r="D99" s="646">
        <f t="shared" si="10"/>
        <v>130630</v>
      </c>
      <c r="E99" s="646">
        <f t="shared" si="55"/>
        <v>6129</v>
      </c>
      <c r="F99" s="645">
        <f t="shared" si="55"/>
        <v>4787</v>
      </c>
      <c r="G99" s="163">
        <f t="shared" si="55"/>
        <v>2342</v>
      </c>
      <c r="H99" s="163">
        <f t="shared" si="55"/>
        <v>0</v>
      </c>
      <c r="I99" s="163">
        <f t="shared" si="55"/>
        <v>2445</v>
      </c>
      <c r="J99" s="644">
        <f t="shared" si="55"/>
        <v>0</v>
      </c>
      <c r="K99" s="645">
        <f t="shared" si="55"/>
        <v>1342</v>
      </c>
      <c r="L99" s="163">
        <f t="shared" si="55"/>
        <v>199</v>
      </c>
      <c r="M99" s="163">
        <f t="shared" si="55"/>
        <v>0</v>
      </c>
      <c r="N99" s="163">
        <f t="shared" si="55"/>
        <v>1114</v>
      </c>
      <c r="O99" s="643">
        <f t="shared" si="55"/>
        <v>29</v>
      </c>
      <c r="P99" s="646">
        <f t="shared" si="55"/>
        <v>12</v>
      </c>
      <c r="Q99" s="645">
        <f t="shared" si="55"/>
        <v>6</v>
      </c>
      <c r="R99" s="163">
        <f t="shared" si="55"/>
        <v>2</v>
      </c>
      <c r="S99" s="163">
        <f t="shared" si="55"/>
        <v>0</v>
      </c>
      <c r="T99" s="163">
        <f t="shared" si="55"/>
        <v>4</v>
      </c>
      <c r="U99" s="644">
        <f t="shared" si="54"/>
        <v>0</v>
      </c>
      <c r="V99" s="645">
        <f t="shared" si="54"/>
        <v>6</v>
      </c>
      <c r="W99" s="163">
        <f t="shared" si="54"/>
        <v>0</v>
      </c>
      <c r="X99" s="163">
        <f t="shared" si="54"/>
        <v>0</v>
      </c>
      <c r="Y99" s="163">
        <f t="shared" si="54"/>
        <v>6</v>
      </c>
      <c r="Z99" s="643">
        <f t="shared" si="54"/>
        <v>0</v>
      </c>
      <c r="AA99" s="646">
        <f t="shared" si="54"/>
        <v>4</v>
      </c>
      <c r="AB99" s="645">
        <f t="shared" si="54"/>
        <v>3</v>
      </c>
      <c r="AC99" s="163">
        <f t="shared" si="54"/>
        <v>3</v>
      </c>
      <c r="AD99" s="163">
        <f t="shared" si="54"/>
        <v>0</v>
      </c>
      <c r="AE99" s="163">
        <f t="shared" si="54"/>
        <v>0</v>
      </c>
      <c r="AF99" s="644">
        <f t="shared" si="54"/>
        <v>0</v>
      </c>
      <c r="AG99" s="645">
        <f t="shared" si="54"/>
        <v>1</v>
      </c>
      <c r="AH99" s="163">
        <f t="shared" si="54"/>
        <v>1</v>
      </c>
      <c r="AI99" s="163">
        <f t="shared" si="47"/>
        <v>0</v>
      </c>
      <c r="AJ99" s="163">
        <f t="shared" si="47"/>
        <v>0</v>
      </c>
      <c r="AK99" s="643">
        <f t="shared" si="47"/>
        <v>0</v>
      </c>
      <c r="AL99" s="646">
        <f t="shared" si="47"/>
        <v>54</v>
      </c>
      <c r="AM99" s="645">
        <f t="shared" si="47"/>
        <v>49</v>
      </c>
      <c r="AN99" s="163">
        <f t="shared" si="47"/>
        <v>33</v>
      </c>
      <c r="AO99" s="163">
        <f t="shared" si="47"/>
        <v>0</v>
      </c>
      <c r="AP99" s="163">
        <f t="shared" si="47"/>
        <v>16</v>
      </c>
      <c r="AQ99" s="644">
        <f t="shared" si="47"/>
        <v>0</v>
      </c>
      <c r="AR99" s="645">
        <f t="shared" si="47"/>
        <v>5</v>
      </c>
      <c r="AS99" s="163">
        <f t="shared" si="47"/>
        <v>0</v>
      </c>
      <c r="AT99" s="163">
        <f t="shared" si="47"/>
        <v>0</v>
      </c>
      <c r="AU99" s="163">
        <f t="shared" si="47"/>
        <v>5</v>
      </c>
      <c r="AV99" s="643">
        <f t="shared" si="47"/>
        <v>0</v>
      </c>
      <c r="AW99" s="646">
        <f t="shared" si="47"/>
        <v>33</v>
      </c>
      <c r="AX99" s="645">
        <f t="shared" si="47"/>
        <v>22</v>
      </c>
      <c r="AY99" s="163">
        <f t="shared" si="47"/>
        <v>13</v>
      </c>
      <c r="AZ99" s="163">
        <f t="shared" si="53"/>
        <v>0</v>
      </c>
      <c r="BA99" s="163">
        <f t="shared" si="53"/>
        <v>9</v>
      </c>
      <c r="BB99" s="644">
        <f t="shared" si="53"/>
        <v>0</v>
      </c>
      <c r="BC99" s="645">
        <f t="shared" si="53"/>
        <v>11</v>
      </c>
      <c r="BD99" s="163">
        <f t="shared" si="53"/>
        <v>2</v>
      </c>
      <c r="BE99" s="163">
        <f t="shared" si="53"/>
        <v>0</v>
      </c>
      <c r="BF99" s="163">
        <f t="shared" si="53"/>
        <v>8</v>
      </c>
      <c r="BG99" s="643">
        <f t="shared" si="53"/>
        <v>1</v>
      </c>
      <c r="BH99" s="646">
        <f t="shared" si="53"/>
        <v>34</v>
      </c>
      <c r="BI99" s="645">
        <f t="shared" si="53"/>
        <v>26</v>
      </c>
      <c r="BJ99" s="163">
        <f t="shared" si="53"/>
        <v>11</v>
      </c>
      <c r="BK99" s="163">
        <f t="shared" si="53"/>
        <v>0</v>
      </c>
      <c r="BL99" s="163">
        <f t="shared" si="53"/>
        <v>15</v>
      </c>
      <c r="BM99" s="644">
        <f t="shared" si="53"/>
        <v>0</v>
      </c>
      <c r="BN99" s="645">
        <f t="shared" si="53"/>
        <v>8</v>
      </c>
      <c r="BO99" s="163">
        <f t="shared" si="53"/>
        <v>2</v>
      </c>
      <c r="BP99" s="163">
        <f t="shared" si="53"/>
        <v>0</v>
      </c>
      <c r="BQ99" s="163">
        <f t="shared" si="53"/>
        <v>6</v>
      </c>
      <c r="BR99" s="643">
        <f t="shared" si="53"/>
        <v>0</v>
      </c>
      <c r="BS99" s="646">
        <f t="shared" si="53"/>
        <v>75</v>
      </c>
      <c r="BT99" s="645">
        <f t="shared" si="53"/>
        <v>52</v>
      </c>
      <c r="BU99" s="163">
        <f t="shared" si="53"/>
        <v>19</v>
      </c>
      <c r="BV99" s="163">
        <f t="shared" si="53"/>
        <v>0</v>
      </c>
      <c r="BW99" s="163">
        <f t="shared" si="53"/>
        <v>33</v>
      </c>
      <c r="BX99" s="644">
        <f t="shared" si="53"/>
        <v>0</v>
      </c>
      <c r="BY99" s="645">
        <f t="shared" si="53"/>
        <v>23</v>
      </c>
      <c r="BZ99" s="163">
        <f t="shared" si="53"/>
        <v>4</v>
      </c>
      <c r="CA99" s="163">
        <f t="shared" si="53"/>
        <v>0</v>
      </c>
      <c r="CB99" s="163">
        <f t="shared" si="53"/>
        <v>19</v>
      </c>
      <c r="CC99" s="643">
        <f t="shared" si="53"/>
        <v>0</v>
      </c>
      <c r="CD99" s="646">
        <f t="shared" si="53"/>
        <v>11</v>
      </c>
      <c r="CE99" s="645">
        <f t="shared" si="53"/>
        <v>8</v>
      </c>
      <c r="CF99" s="163">
        <f t="shared" si="53"/>
        <v>4</v>
      </c>
      <c r="CG99" s="163">
        <f t="shared" si="53"/>
        <v>0</v>
      </c>
      <c r="CH99" s="163">
        <f t="shared" si="53"/>
        <v>4</v>
      </c>
      <c r="CI99" s="644">
        <f t="shared" si="53"/>
        <v>0</v>
      </c>
      <c r="CJ99" s="645">
        <f t="shared" si="53"/>
        <v>3</v>
      </c>
      <c r="CK99" s="163">
        <f t="shared" si="53"/>
        <v>0</v>
      </c>
      <c r="CL99" s="163">
        <f t="shared" si="53"/>
        <v>0</v>
      </c>
      <c r="CM99" s="163">
        <f t="shared" si="53"/>
        <v>3</v>
      </c>
      <c r="CN99" s="643">
        <f t="shared" si="53"/>
        <v>0</v>
      </c>
      <c r="CO99" s="646">
        <f t="shared" si="53"/>
        <v>6</v>
      </c>
      <c r="CP99" s="645">
        <f t="shared" si="53"/>
        <v>5</v>
      </c>
      <c r="CQ99" s="163">
        <f t="shared" si="53"/>
        <v>5</v>
      </c>
      <c r="CR99" s="163">
        <f t="shared" si="53"/>
        <v>0</v>
      </c>
      <c r="CS99" s="163">
        <f t="shared" si="53"/>
        <v>0</v>
      </c>
      <c r="CT99" s="644">
        <f t="shared" si="53"/>
        <v>0</v>
      </c>
      <c r="CU99" s="645">
        <f t="shared" si="53"/>
        <v>1</v>
      </c>
      <c r="CV99" s="163">
        <f t="shared" si="53"/>
        <v>0</v>
      </c>
      <c r="CW99" s="163">
        <f t="shared" si="53"/>
        <v>0</v>
      </c>
      <c r="CX99" s="163">
        <f t="shared" si="53"/>
        <v>1</v>
      </c>
      <c r="CY99" s="643">
        <f t="shared" si="53"/>
        <v>0</v>
      </c>
      <c r="CZ99" s="646">
        <f t="shared" si="53"/>
        <v>2</v>
      </c>
      <c r="DA99" s="645">
        <f t="shared" si="53"/>
        <v>2</v>
      </c>
      <c r="DB99" s="163">
        <f t="shared" si="53"/>
        <v>1</v>
      </c>
      <c r="DC99" s="163">
        <f t="shared" si="53"/>
        <v>0</v>
      </c>
      <c r="DD99" s="163">
        <f t="shared" si="53"/>
        <v>1</v>
      </c>
      <c r="DE99" s="644">
        <f t="shared" si="53"/>
        <v>0</v>
      </c>
      <c r="DF99" s="645">
        <f t="shared" si="53"/>
        <v>0</v>
      </c>
      <c r="DG99" s="163">
        <f t="shared" si="53"/>
        <v>0</v>
      </c>
      <c r="DH99" s="163">
        <f t="shared" si="53"/>
        <v>0</v>
      </c>
      <c r="DI99" s="163">
        <f t="shared" si="53"/>
        <v>0</v>
      </c>
      <c r="DJ99" s="643">
        <f t="shared" si="53"/>
        <v>0</v>
      </c>
      <c r="DK99" s="646">
        <f t="shared" si="53"/>
        <v>0</v>
      </c>
      <c r="DL99" s="645">
        <f t="shared" si="52"/>
        <v>0</v>
      </c>
      <c r="DM99" s="163">
        <f t="shared" si="52"/>
        <v>0</v>
      </c>
      <c r="DN99" s="163">
        <f t="shared" si="52"/>
        <v>0</v>
      </c>
      <c r="DO99" s="163">
        <f t="shared" si="51"/>
        <v>0</v>
      </c>
      <c r="DP99" s="644">
        <f t="shared" si="51"/>
        <v>0</v>
      </c>
      <c r="DQ99" s="645">
        <f t="shared" si="51"/>
        <v>0</v>
      </c>
      <c r="DR99" s="163">
        <f t="shared" si="51"/>
        <v>0</v>
      </c>
      <c r="DS99" s="163">
        <f t="shared" si="51"/>
        <v>0</v>
      </c>
      <c r="DT99" s="163">
        <f t="shared" si="51"/>
        <v>0</v>
      </c>
      <c r="DU99" s="643">
        <f t="shared" si="51"/>
        <v>0</v>
      </c>
      <c r="DW99" s="646">
        <f t="shared" si="40"/>
        <v>177</v>
      </c>
      <c r="DX99" s="645">
        <f t="shared" si="40"/>
        <v>124</v>
      </c>
      <c r="DY99" s="163">
        <f t="shared" si="40"/>
        <v>58</v>
      </c>
      <c r="DZ99" s="163">
        <f t="shared" si="38"/>
        <v>0</v>
      </c>
      <c r="EA99" s="163">
        <f t="shared" si="38"/>
        <v>66</v>
      </c>
      <c r="EB99" s="644">
        <f t="shared" si="38"/>
        <v>0</v>
      </c>
      <c r="EC99" s="645">
        <f t="shared" si="38"/>
        <v>53</v>
      </c>
      <c r="ED99" s="163">
        <f t="shared" si="38"/>
        <v>9</v>
      </c>
      <c r="EE99" s="163">
        <f t="shared" si="38"/>
        <v>0</v>
      </c>
      <c r="EF99" s="163">
        <f t="shared" si="14"/>
        <v>43</v>
      </c>
      <c r="EG99" s="643">
        <f t="shared" si="14"/>
        <v>1</v>
      </c>
      <c r="EH99" s="646">
        <f t="shared" si="29"/>
        <v>54</v>
      </c>
      <c r="EI99" s="645">
        <f t="shared" si="29"/>
        <v>49</v>
      </c>
      <c r="EJ99" s="163">
        <f t="shared" si="29"/>
        <v>33</v>
      </c>
      <c r="EK99" s="163">
        <f t="shared" si="29"/>
        <v>0</v>
      </c>
      <c r="EL99" s="163">
        <f t="shared" si="29"/>
        <v>16</v>
      </c>
      <c r="EM99" s="644">
        <f t="shared" si="49"/>
        <v>0</v>
      </c>
      <c r="EN99" s="645">
        <f t="shared" si="49"/>
        <v>5</v>
      </c>
      <c r="EO99" s="163">
        <f t="shared" si="49"/>
        <v>0</v>
      </c>
      <c r="EP99" s="163">
        <f t="shared" si="49"/>
        <v>0</v>
      </c>
      <c r="EQ99" s="163">
        <f t="shared" si="49"/>
        <v>5</v>
      </c>
      <c r="ER99" s="643">
        <f t="shared" si="49"/>
        <v>0</v>
      </c>
    </row>
    <row r="100" spans="1:148">
      <c r="A100" s="654" t="s">
        <v>244</v>
      </c>
      <c r="B100" s="658">
        <v>44562</v>
      </c>
      <c r="C100" s="659">
        <v>2022</v>
      </c>
      <c r="D100" s="646">
        <f t="shared" si="10"/>
        <v>135138</v>
      </c>
      <c r="E100" s="646">
        <f t="shared" si="55"/>
        <v>7124</v>
      </c>
      <c r="F100" s="645">
        <f t="shared" si="55"/>
        <v>5686</v>
      </c>
      <c r="G100" s="163">
        <f t="shared" si="55"/>
        <v>2869</v>
      </c>
      <c r="H100" s="163">
        <f t="shared" si="55"/>
        <v>0</v>
      </c>
      <c r="I100" s="163">
        <f t="shared" si="55"/>
        <v>2813</v>
      </c>
      <c r="J100" s="644">
        <f t="shared" si="55"/>
        <v>4</v>
      </c>
      <c r="K100" s="645">
        <f t="shared" si="55"/>
        <v>1438</v>
      </c>
      <c r="L100" s="163">
        <f t="shared" si="55"/>
        <v>152</v>
      </c>
      <c r="M100" s="163">
        <f t="shared" si="55"/>
        <v>0</v>
      </c>
      <c r="N100" s="163">
        <f t="shared" si="55"/>
        <v>1045</v>
      </c>
      <c r="O100" s="643">
        <f t="shared" si="55"/>
        <v>241</v>
      </c>
      <c r="P100" s="646">
        <f t="shared" si="55"/>
        <v>9</v>
      </c>
      <c r="Q100" s="645">
        <f t="shared" si="55"/>
        <v>6</v>
      </c>
      <c r="R100" s="163">
        <f t="shared" si="55"/>
        <v>1</v>
      </c>
      <c r="S100" s="163">
        <f t="shared" si="55"/>
        <v>0</v>
      </c>
      <c r="T100" s="163">
        <f t="shared" si="55"/>
        <v>5</v>
      </c>
      <c r="U100" s="644">
        <f t="shared" si="54"/>
        <v>0</v>
      </c>
      <c r="V100" s="645">
        <f t="shared" si="54"/>
        <v>3</v>
      </c>
      <c r="W100" s="163">
        <f t="shared" si="54"/>
        <v>0</v>
      </c>
      <c r="X100" s="163">
        <f t="shared" si="54"/>
        <v>0</v>
      </c>
      <c r="Y100" s="163">
        <f t="shared" si="54"/>
        <v>3</v>
      </c>
      <c r="Z100" s="643">
        <f t="shared" si="54"/>
        <v>0</v>
      </c>
      <c r="AA100" s="646">
        <f t="shared" si="54"/>
        <v>5</v>
      </c>
      <c r="AB100" s="645">
        <f t="shared" si="54"/>
        <v>5</v>
      </c>
      <c r="AC100" s="163">
        <f t="shared" si="54"/>
        <v>2</v>
      </c>
      <c r="AD100" s="163">
        <f t="shared" si="54"/>
        <v>0</v>
      </c>
      <c r="AE100" s="163">
        <f t="shared" si="54"/>
        <v>3</v>
      </c>
      <c r="AF100" s="644">
        <f t="shared" si="54"/>
        <v>0</v>
      </c>
      <c r="AG100" s="645">
        <f t="shared" si="54"/>
        <v>0</v>
      </c>
      <c r="AH100" s="163">
        <f t="shared" si="54"/>
        <v>0</v>
      </c>
      <c r="AI100" s="163">
        <f t="shared" si="47"/>
        <v>0</v>
      </c>
      <c r="AJ100" s="163">
        <f t="shared" si="47"/>
        <v>0</v>
      </c>
      <c r="AK100" s="643">
        <f t="shared" si="47"/>
        <v>0</v>
      </c>
      <c r="AL100" s="646">
        <f t="shared" si="47"/>
        <v>81</v>
      </c>
      <c r="AM100" s="645">
        <f t="shared" si="47"/>
        <v>60</v>
      </c>
      <c r="AN100" s="163">
        <f t="shared" si="47"/>
        <v>28</v>
      </c>
      <c r="AO100" s="163">
        <f t="shared" si="47"/>
        <v>0</v>
      </c>
      <c r="AP100" s="163">
        <f t="shared" si="47"/>
        <v>32</v>
      </c>
      <c r="AQ100" s="644">
        <f t="shared" si="47"/>
        <v>0</v>
      </c>
      <c r="AR100" s="645">
        <f t="shared" si="47"/>
        <v>21</v>
      </c>
      <c r="AS100" s="163">
        <f t="shared" si="47"/>
        <v>0</v>
      </c>
      <c r="AT100" s="163">
        <f t="shared" si="47"/>
        <v>0</v>
      </c>
      <c r="AU100" s="163">
        <f t="shared" si="47"/>
        <v>20</v>
      </c>
      <c r="AV100" s="643">
        <f t="shared" si="47"/>
        <v>1</v>
      </c>
      <c r="AW100" s="646">
        <f t="shared" si="47"/>
        <v>39</v>
      </c>
      <c r="AX100" s="645">
        <f t="shared" si="47"/>
        <v>31</v>
      </c>
      <c r="AY100" s="163">
        <f t="shared" si="47"/>
        <v>17</v>
      </c>
      <c r="AZ100" s="163">
        <f t="shared" si="53"/>
        <v>0</v>
      </c>
      <c r="BA100" s="163">
        <f t="shared" si="53"/>
        <v>14</v>
      </c>
      <c r="BB100" s="644">
        <f t="shared" si="53"/>
        <v>0</v>
      </c>
      <c r="BC100" s="645">
        <f t="shared" si="53"/>
        <v>8</v>
      </c>
      <c r="BD100" s="163">
        <f t="shared" ref="BD100:DO106" si="56">SUMIFS(BD$5:BD$36,$B$5:$B$36,$A100)</f>
        <v>1</v>
      </c>
      <c r="BE100" s="163">
        <f t="shared" si="56"/>
        <v>0</v>
      </c>
      <c r="BF100" s="163">
        <f t="shared" si="56"/>
        <v>7</v>
      </c>
      <c r="BG100" s="643">
        <f t="shared" si="56"/>
        <v>0</v>
      </c>
      <c r="BH100" s="646">
        <f t="shared" si="56"/>
        <v>56</v>
      </c>
      <c r="BI100" s="645">
        <f t="shared" si="56"/>
        <v>45</v>
      </c>
      <c r="BJ100" s="163">
        <f t="shared" si="56"/>
        <v>22</v>
      </c>
      <c r="BK100" s="163">
        <f t="shared" si="56"/>
        <v>0</v>
      </c>
      <c r="BL100" s="163">
        <f t="shared" si="56"/>
        <v>23</v>
      </c>
      <c r="BM100" s="644">
        <f t="shared" si="56"/>
        <v>0</v>
      </c>
      <c r="BN100" s="645">
        <f t="shared" si="56"/>
        <v>11</v>
      </c>
      <c r="BO100" s="163">
        <f t="shared" si="56"/>
        <v>1</v>
      </c>
      <c r="BP100" s="163">
        <f t="shared" si="56"/>
        <v>0</v>
      </c>
      <c r="BQ100" s="163">
        <f t="shared" si="56"/>
        <v>8</v>
      </c>
      <c r="BR100" s="643">
        <f t="shared" si="56"/>
        <v>2</v>
      </c>
      <c r="BS100" s="646">
        <f t="shared" si="56"/>
        <v>88</v>
      </c>
      <c r="BT100" s="645">
        <f t="shared" si="56"/>
        <v>70</v>
      </c>
      <c r="BU100" s="163">
        <f t="shared" si="56"/>
        <v>35</v>
      </c>
      <c r="BV100" s="163">
        <f t="shared" si="56"/>
        <v>0</v>
      </c>
      <c r="BW100" s="163">
        <f t="shared" si="56"/>
        <v>35</v>
      </c>
      <c r="BX100" s="644">
        <f t="shared" si="56"/>
        <v>0</v>
      </c>
      <c r="BY100" s="645">
        <f t="shared" si="56"/>
        <v>18</v>
      </c>
      <c r="BZ100" s="163">
        <f t="shared" si="56"/>
        <v>1</v>
      </c>
      <c r="CA100" s="163">
        <f t="shared" si="56"/>
        <v>0</v>
      </c>
      <c r="CB100" s="163">
        <f t="shared" si="56"/>
        <v>14</v>
      </c>
      <c r="CC100" s="643">
        <f t="shared" si="56"/>
        <v>3</v>
      </c>
      <c r="CD100" s="646">
        <f t="shared" si="56"/>
        <v>12</v>
      </c>
      <c r="CE100" s="645">
        <f t="shared" si="56"/>
        <v>9</v>
      </c>
      <c r="CF100" s="163">
        <f t="shared" si="56"/>
        <v>5</v>
      </c>
      <c r="CG100" s="163">
        <f t="shared" si="56"/>
        <v>0</v>
      </c>
      <c r="CH100" s="163">
        <f t="shared" si="56"/>
        <v>4</v>
      </c>
      <c r="CI100" s="644">
        <f t="shared" si="56"/>
        <v>0</v>
      </c>
      <c r="CJ100" s="645">
        <f t="shared" si="56"/>
        <v>3</v>
      </c>
      <c r="CK100" s="163">
        <f t="shared" si="56"/>
        <v>0</v>
      </c>
      <c r="CL100" s="163">
        <f t="shared" si="56"/>
        <v>0</v>
      </c>
      <c r="CM100" s="163">
        <f t="shared" si="56"/>
        <v>3</v>
      </c>
      <c r="CN100" s="643">
        <f t="shared" si="56"/>
        <v>0</v>
      </c>
      <c r="CO100" s="646">
        <f t="shared" si="56"/>
        <v>4</v>
      </c>
      <c r="CP100" s="645">
        <f t="shared" si="56"/>
        <v>3</v>
      </c>
      <c r="CQ100" s="163">
        <f t="shared" si="56"/>
        <v>1</v>
      </c>
      <c r="CR100" s="163">
        <f t="shared" si="56"/>
        <v>0</v>
      </c>
      <c r="CS100" s="163">
        <f t="shared" si="56"/>
        <v>2</v>
      </c>
      <c r="CT100" s="644">
        <f t="shared" si="56"/>
        <v>0</v>
      </c>
      <c r="CU100" s="645">
        <f t="shared" si="56"/>
        <v>1</v>
      </c>
      <c r="CV100" s="163">
        <f t="shared" si="56"/>
        <v>0</v>
      </c>
      <c r="CW100" s="163">
        <f t="shared" si="56"/>
        <v>0</v>
      </c>
      <c r="CX100" s="163">
        <f t="shared" si="56"/>
        <v>1</v>
      </c>
      <c r="CY100" s="643">
        <f t="shared" si="56"/>
        <v>0</v>
      </c>
      <c r="CZ100" s="646">
        <f t="shared" si="56"/>
        <v>3</v>
      </c>
      <c r="DA100" s="645">
        <f t="shared" si="56"/>
        <v>3</v>
      </c>
      <c r="DB100" s="163">
        <f t="shared" si="56"/>
        <v>1</v>
      </c>
      <c r="DC100" s="163">
        <f t="shared" si="56"/>
        <v>0</v>
      </c>
      <c r="DD100" s="163">
        <f t="shared" si="56"/>
        <v>2</v>
      </c>
      <c r="DE100" s="644">
        <f t="shared" si="56"/>
        <v>0</v>
      </c>
      <c r="DF100" s="645">
        <f t="shared" si="56"/>
        <v>0</v>
      </c>
      <c r="DG100" s="163">
        <f t="shared" si="56"/>
        <v>0</v>
      </c>
      <c r="DH100" s="163">
        <f t="shared" si="56"/>
        <v>0</v>
      </c>
      <c r="DI100" s="163">
        <f t="shared" si="56"/>
        <v>0</v>
      </c>
      <c r="DJ100" s="643">
        <f t="shared" si="56"/>
        <v>0</v>
      </c>
      <c r="DK100" s="646">
        <f t="shared" si="56"/>
        <v>0</v>
      </c>
      <c r="DL100" s="645">
        <f t="shared" si="56"/>
        <v>0</v>
      </c>
      <c r="DM100" s="163">
        <f t="shared" si="56"/>
        <v>0</v>
      </c>
      <c r="DN100" s="163">
        <f t="shared" si="56"/>
        <v>0</v>
      </c>
      <c r="DO100" s="163">
        <f t="shared" si="56"/>
        <v>0</v>
      </c>
      <c r="DP100" s="644">
        <f t="shared" si="51"/>
        <v>0</v>
      </c>
      <c r="DQ100" s="645">
        <f t="shared" si="51"/>
        <v>0</v>
      </c>
      <c r="DR100" s="163">
        <f t="shared" si="51"/>
        <v>0</v>
      </c>
      <c r="DS100" s="163">
        <f t="shared" si="51"/>
        <v>0</v>
      </c>
      <c r="DT100" s="163">
        <f t="shared" si="51"/>
        <v>0</v>
      </c>
      <c r="DU100" s="643">
        <f t="shared" si="51"/>
        <v>0</v>
      </c>
      <c r="DW100" s="646">
        <f t="shared" si="40"/>
        <v>216</v>
      </c>
      <c r="DX100" s="645">
        <f t="shared" si="40"/>
        <v>172</v>
      </c>
      <c r="DY100" s="163">
        <f t="shared" si="40"/>
        <v>84</v>
      </c>
      <c r="DZ100" s="163">
        <f t="shared" si="38"/>
        <v>0</v>
      </c>
      <c r="EA100" s="163">
        <f t="shared" si="38"/>
        <v>88</v>
      </c>
      <c r="EB100" s="644">
        <f t="shared" si="38"/>
        <v>0</v>
      </c>
      <c r="EC100" s="645">
        <f t="shared" si="38"/>
        <v>44</v>
      </c>
      <c r="ED100" s="163">
        <f t="shared" si="38"/>
        <v>3</v>
      </c>
      <c r="EE100" s="163">
        <f t="shared" si="38"/>
        <v>0</v>
      </c>
      <c r="EF100" s="163">
        <f t="shared" si="14"/>
        <v>36</v>
      </c>
      <c r="EG100" s="643">
        <f t="shared" si="14"/>
        <v>5</v>
      </c>
      <c r="EH100" s="646">
        <f t="shared" si="29"/>
        <v>81</v>
      </c>
      <c r="EI100" s="645">
        <f t="shared" si="29"/>
        <v>60</v>
      </c>
      <c r="EJ100" s="163">
        <f t="shared" si="29"/>
        <v>28</v>
      </c>
      <c r="EK100" s="163">
        <f t="shared" si="29"/>
        <v>0</v>
      </c>
      <c r="EL100" s="163">
        <f t="shared" si="29"/>
        <v>32</v>
      </c>
      <c r="EM100" s="644">
        <f t="shared" si="49"/>
        <v>0</v>
      </c>
      <c r="EN100" s="645">
        <f t="shared" si="49"/>
        <v>21</v>
      </c>
      <c r="EO100" s="163">
        <f t="shared" si="49"/>
        <v>0</v>
      </c>
      <c r="EP100" s="163">
        <f t="shared" si="49"/>
        <v>0</v>
      </c>
      <c r="EQ100" s="163">
        <f t="shared" si="49"/>
        <v>20</v>
      </c>
      <c r="ER100" s="643">
        <f t="shared" si="49"/>
        <v>1</v>
      </c>
    </row>
    <row r="101" spans="1:148">
      <c r="A101" s="654" t="s">
        <v>244</v>
      </c>
      <c r="B101" s="658">
        <v>44593</v>
      </c>
      <c r="C101" s="659">
        <v>2022</v>
      </c>
      <c r="D101" s="646">
        <f t="shared" si="10"/>
        <v>135138</v>
      </c>
      <c r="E101" s="646">
        <f t="shared" si="55"/>
        <v>7124</v>
      </c>
      <c r="F101" s="645">
        <f t="shared" si="55"/>
        <v>5686</v>
      </c>
      <c r="G101" s="163">
        <f t="shared" si="55"/>
        <v>2869</v>
      </c>
      <c r="H101" s="163">
        <f t="shared" si="55"/>
        <v>0</v>
      </c>
      <c r="I101" s="163">
        <f t="shared" si="55"/>
        <v>2813</v>
      </c>
      <c r="J101" s="644">
        <f t="shared" si="55"/>
        <v>4</v>
      </c>
      <c r="K101" s="645">
        <f t="shared" si="55"/>
        <v>1438</v>
      </c>
      <c r="L101" s="163">
        <f t="shared" si="55"/>
        <v>152</v>
      </c>
      <c r="M101" s="163">
        <f t="shared" si="55"/>
        <v>0</v>
      </c>
      <c r="N101" s="163">
        <f t="shared" si="55"/>
        <v>1045</v>
      </c>
      <c r="O101" s="643">
        <f t="shared" si="55"/>
        <v>241</v>
      </c>
      <c r="P101" s="646">
        <f t="shared" si="55"/>
        <v>9</v>
      </c>
      <c r="Q101" s="645">
        <f t="shared" si="55"/>
        <v>6</v>
      </c>
      <c r="R101" s="163">
        <f t="shared" si="55"/>
        <v>1</v>
      </c>
      <c r="S101" s="163">
        <f t="shared" si="55"/>
        <v>0</v>
      </c>
      <c r="T101" s="163">
        <f t="shared" si="55"/>
        <v>5</v>
      </c>
      <c r="U101" s="644">
        <f t="shared" si="54"/>
        <v>0</v>
      </c>
      <c r="V101" s="645">
        <f t="shared" si="54"/>
        <v>3</v>
      </c>
      <c r="W101" s="163">
        <f t="shared" si="54"/>
        <v>0</v>
      </c>
      <c r="X101" s="163">
        <f t="shared" si="54"/>
        <v>0</v>
      </c>
      <c r="Y101" s="163">
        <f t="shared" si="54"/>
        <v>3</v>
      </c>
      <c r="Z101" s="643">
        <f t="shared" si="54"/>
        <v>0</v>
      </c>
      <c r="AA101" s="646">
        <f t="shared" si="54"/>
        <v>5</v>
      </c>
      <c r="AB101" s="645">
        <f t="shared" si="54"/>
        <v>5</v>
      </c>
      <c r="AC101" s="163">
        <f t="shared" si="54"/>
        <v>2</v>
      </c>
      <c r="AD101" s="163">
        <f t="shared" si="54"/>
        <v>0</v>
      </c>
      <c r="AE101" s="163">
        <f t="shared" si="54"/>
        <v>3</v>
      </c>
      <c r="AF101" s="644">
        <f t="shared" si="54"/>
        <v>0</v>
      </c>
      <c r="AG101" s="645">
        <f t="shared" si="54"/>
        <v>0</v>
      </c>
      <c r="AH101" s="163">
        <f t="shared" si="54"/>
        <v>0</v>
      </c>
      <c r="AI101" s="163">
        <f t="shared" si="47"/>
        <v>0</v>
      </c>
      <c r="AJ101" s="163">
        <f t="shared" si="47"/>
        <v>0</v>
      </c>
      <c r="AK101" s="643">
        <f t="shared" si="47"/>
        <v>0</v>
      </c>
      <c r="AL101" s="646">
        <f t="shared" si="47"/>
        <v>81</v>
      </c>
      <c r="AM101" s="645">
        <f t="shared" si="47"/>
        <v>60</v>
      </c>
      <c r="AN101" s="163">
        <f t="shared" si="47"/>
        <v>28</v>
      </c>
      <c r="AO101" s="163">
        <f t="shared" si="47"/>
        <v>0</v>
      </c>
      <c r="AP101" s="163">
        <f t="shared" si="47"/>
        <v>32</v>
      </c>
      <c r="AQ101" s="644">
        <f t="shared" si="47"/>
        <v>0</v>
      </c>
      <c r="AR101" s="645">
        <f t="shared" si="47"/>
        <v>21</v>
      </c>
      <c r="AS101" s="163">
        <f t="shared" si="47"/>
        <v>0</v>
      </c>
      <c r="AT101" s="163">
        <f t="shared" si="47"/>
        <v>0</v>
      </c>
      <c r="AU101" s="163">
        <f t="shared" si="47"/>
        <v>20</v>
      </c>
      <c r="AV101" s="643">
        <f t="shared" si="47"/>
        <v>1</v>
      </c>
      <c r="AW101" s="646">
        <f t="shared" si="47"/>
        <v>39</v>
      </c>
      <c r="AX101" s="645">
        <f t="shared" si="47"/>
        <v>31</v>
      </c>
      <c r="AY101" s="163">
        <f t="shared" si="47"/>
        <v>17</v>
      </c>
      <c r="AZ101" s="163">
        <f t="shared" ref="AZ101:DK106" si="57">SUMIFS(AZ$5:AZ$36,$B$5:$B$36,$A101)</f>
        <v>0</v>
      </c>
      <c r="BA101" s="163">
        <f t="shared" si="57"/>
        <v>14</v>
      </c>
      <c r="BB101" s="644">
        <f t="shared" si="57"/>
        <v>0</v>
      </c>
      <c r="BC101" s="645">
        <f t="shared" si="57"/>
        <v>8</v>
      </c>
      <c r="BD101" s="163">
        <f t="shared" si="57"/>
        <v>1</v>
      </c>
      <c r="BE101" s="163">
        <f t="shared" si="57"/>
        <v>0</v>
      </c>
      <c r="BF101" s="163">
        <f t="shared" si="57"/>
        <v>7</v>
      </c>
      <c r="BG101" s="643">
        <f t="shared" si="57"/>
        <v>0</v>
      </c>
      <c r="BH101" s="646">
        <f t="shared" si="57"/>
        <v>56</v>
      </c>
      <c r="BI101" s="645">
        <f t="shared" si="57"/>
        <v>45</v>
      </c>
      <c r="BJ101" s="163">
        <f t="shared" si="57"/>
        <v>22</v>
      </c>
      <c r="BK101" s="163">
        <f t="shared" si="57"/>
        <v>0</v>
      </c>
      <c r="BL101" s="163">
        <f t="shared" si="57"/>
        <v>23</v>
      </c>
      <c r="BM101" s="644">
        <f t="shared" si="57"/>
        <v>0</v>
      </c>
      <c r="BN101" s="645">
        <f t="shared" si="57"/>
        <v>11</v>
      </c>
      <c r="BO101" s="163">
        <f t="shared" si="57"/>
        <v>1</v>
      </c>
      <c r="BP101" s="163">
        <f t="shared" si="57"/>
        <v>0</v>
      </c>
      <c r="BQ101" s="163">
        <f t="shared" si="57"/>
        <v>8</v>
      </c>
      <c r="BR101" s="643">
        <f t="shared" si="57"/>
        <v>2</v>
      </c>
      <c r="BS101" s="646">
        <f t="shared" si="57"/>
        <v>88</v>
      </c>
      <c r="BT101" s="645">
        <f t="shared" si="57"/>
        <v>70</v>
      </c>
      <c r="BU101" s="163">
        <f t="shared" si="57"/>
        <v>35</v>
      </c>
      <c r="BV101" s="163">
        <f t="shared" si="57"/>
        <v>0</v>
      </c>
      <c r="BW101" s="163">
        <f t="shared" si="57"/>
        <v>35</v>
      </c>
      <c r="BX101" s="644">
        <f t="shared" si="57"/>
        <v>0</v>
      </c>
      <c r="BY101" s="645">
        <f t="shared" si="57"/>
        <v>18</v>
      </c>
      <c r="BZ101" s="163">
        <f t="shared" si="57"/>
        <v>1</v>
      </c>
      <c r="CA101" s="163">
        <f t="shared" si="57"/>
        <v>0</v>
      </c>
      <c r="CB101" s="163">
        <f t="shared" si="57"/>
        <v>14</v>
      </c>
      <c r="CC101" s="643">
        <f t="shared" si="57"/>
        <v>3</v>
      </c>
      <c r="CD101" s="646">
        <f t="shared" si="57"/>
        <v>12</v>
      </c>
      <c r="CE101" s="645">
        <f t="shared" si="57"/>
        <v>9</v>
      </c>
      <c r="CF101" s="163">
        <f t="shared" si="57"/>
        <v>5</v>
      </c>
      <c r="CG101" s="163">
        <f t="shared" si="57"/>
        <v>0</v>
      </c>
      <c r="CH101" s="163">
        <f t="shared" si="57"/>
        <v>4</v>
      </c>
      <c r="CI101" s="644">
        <f t="shared" si="57"/>
        <v>0</v>
      </c>
      <c r="CJ101" s="645">
        <f t="shared" si="57"/>
        <v>3</v>
      </c>
      <c r="CK101" s="163">
        <f t="shared" si="57"/>
        <v>0</v>
      </c>
      <c r="CL101" s="163">
        <f t="shared" si="57"/>
        <v>0</v>
      </c>
      <c r="CM101" s="163">
        <f t="shared" si="57"/>
        <v>3</v>
      </c>
      <c r="CN101" s="643">
        <f t="shared" si="57"/>
        <v>0</v>
      </c>
      <c r="CO101" s="646">
        <f t="shared" si="57"/>
        <v>4</v>
      </c>
      <c r="CP101" s="645">
        <f t="shared" si="57"/>
        <v>3</v>
      </c>
      <c r="CQ101" s="163">
        <f t="shared" si="57"/>
        <v>1</v>
      </c>
      <c r="CR101" s="163">
        <f t="shared" si="57"/>
        <v>0</v>
      </c>
      <c r="CS101" s="163">
        <f t="shared" si="57"/>
        <v>2</v>
      </c>
      <c r="CT101" s="644">
        <f t="shared" si="57"/>
        <v>0</v>
      </c>
      <c r="CU101" s="645">
        <f t="shared" si="56"/>
        <v>1</v>
      </c>
      <c r="CV101" s="163">
        <f t="shared" si="56"/>
        <v>0</v>
      </c>
      <c r="CW101" s="163">
        <f t="shared" si="56"/>
        <v>0</v>
      </c>
      <c r="CX101" s="163">
        <f t="shared" si="56"/>
        <v>1</v>
      </c>
      <c r="CY101" s="643">
        <f t="shared" si="56"/>
        <v>0</v>
      </c>
      <c r="CZ101" s="646">
        <f t="shared" si="56"/>
        <v>3</v>
      </c>
      <c r="DA101" s="645">
        <f t="shared" si="56"/>
        <v>3</v>
      </c>
      <c r="DB101" s="163">
        <f t="shared" si="56"/>
        <v>1</v>
      </c>
      <c r="DC101" s="163">
        <f t="shared" si="56"/>
        <v>0</v>
      </c>
      <c r="DD101" s="163">
        <f t="shared" si="56"/>
        <v>2</v>
      </c>
      <c r="DE101" s="644">
        <f t="shared" si="56"/>
        <v>0</v>
      </c>
      <c r="DF101" s="645">
        <f t="shared" si="56"/>
        <v>0</v>
      </c>
      <c r="DG101" s="163">
        <f t="shared" si="56"/>
        <v>0</v>
      </c>
      <c r="DH101" s="163">
        <f t="shared" si="56"/>
        <v>0</v>
      </c>
      <c r="DI101" s="163">
        <f t="shared" si="56"/>
        <v>0</v>
      </c>
      <c r="DJ101" s="643">
        <f t="shared" si="56"/>
        <v>0</v>
      </c>
      <c r="DK101" s="646">
        <f t="shared" si="56"/>
        <v>0</v>
      </c>
      <c r="DL101" s="645">
        <f t="shared" si="56"/>
        <v>0</v>
      </c>
      <c r="DM101" s="163">
        <f t="shared" si="56"/>
        <v>0</v>
      </c>
      <c r="DN101" s="163">
        <f t="shared" si="56"/>
        <v>0</v>
      </c>
      <c r="DO101" s="163">
        <f t="shared" si="56"/>
        <v>0</v>
      </c>
      <c r="DP101" s="644">
        <f t="shared" si="51"/>
        <v>0</v>
      </c>
      <c r="DQ101" s="645">
        <f t="shared" si="51"/>
        <v>0</v>
      </c>
      <c r="DR101" s="163">
        <f t="shared" si="51"/>
        <v>0</v>
      </c>
      <c r="DS101" s="163">
        <f t="shared" si="51"/>
        <v>0</v>
      </c>
      <c r="DT101" s="163">
        <f t="shared" si="51"/>
        <v>0</v>
      </c>
      <c r="DU101" s="643">
        <f t="shared" si="51"/>
        <v>0</v>
      </c>
      <c r="DW101" s="646">
        <f t="shared" si="40"/>
        <v>216</v>
      </c>
      <c r="DX101" s="645">
        <f t="shared" si="40"/>
        <v>172</v>
      </c>
      <c r="DY101" s="163">
        <f t="shared" si="40"/>
        <v>84</v>
      </c>
      <c r="DZ101" s="163">
        <f t="shared" si="38"/>
        <v>0</v>
      </c>
      <c r="EA101" s="163">
        <f t="shared" si="38"/>
        <v>88</v>
      </c>
      <c r="EB101" s="644">
        <f t="shared" si="38"/>
        <v>0</v>
      </c>
      <c r="EC101" s="645">
        <f t="shared" si="38"/>
        <v>44</v>
      </c>
      <c r="ED101" s="163">
        <f t="shared" si="38"/>
        <v>3</v>
      </c>
      <c r="EE101" s="163">
        <f t="shared" si="38"/>
        <v>0</v>
      </c>
      <c r="EF101" s="163">
        <f t="shared" si="14"/>
        <v>36</v>
      </c>
      <c r="EG101" s="643">
        <f t="shared" si="14"/>
        <v>5</v>
      </c>
      <c r="EH101" s="646">
        <f t="shared" si="29"/>
        <v>81</v>
      </c>
      <c r="EI101" s="645">
        <f t="shared" si="29"/>
        <v>60</v>
      </c>
      <c r="EJ101" s="163">
        <f t="shared" si="29"/>
        <v>28</v>
      </c>
      <c r="EK101" s="163">
        <f t="shared" si="29"/>
        <v>0</v>
      </c>
      <c r="EL101" s="163">
        <f t="shared" si="29"/>
        <v>32</v>
      </c>
      <c r="EM101" s="644">
        <f t="shared" si="49"/>
        <v>0</v>
      </c>
      <c r="EN101" s="645">
        <f t="shared" si="49"/>
        <v>21</v>
      </c>
      <c r="EO101" s="163">
        <f t="shared" si="49"/>
        <v>0</v>
      </c>
      <c r="EP101" s="163">
        <f t="shared" si="49"/>
        <v>0</v>
      </c>
      <c r="EQ101" s="163">
        <f t="shared" si="49"/>
        <v>20</v>
      </c>
      <c r="ER101" s="643">
        <f t="shared" si="49"/>
        <v>1</v>
      </c>
    </row>
    <row r="102" spans="1:148">
      <c r="A102" s="654" t="s">
        <v>244</v>
      </c>
      <c r="B102" s="658">
        <v>44621</v>
      </c>
      <c r="C102" s="659">
        <v>2022</v>
      </c>
      <c r="D102" s="646">
        <f t="shared" si="10"/>
        <v>135138</v>
      </c>
      <c r="E102" s="646">
        <f t="shared" si="55"/>
        <v>7124</v>
      </c>
      <c r="F102" s="645">
        <f t="shared" si="55"/>
        <v>5686</v>
      </c>
      <c r="G102" s="163">
        <f t="shared" si="55"/>
        <v>2869</v>
      </c>
      <c r="H102" s="163">
        <f t="shared" si="55"/>
        <v>0</v>
      </c>
      <c r="I102" s="163">
        <f t="shared" si="55"/>
        <v>2813</v>
      </c>
      <c r="J102" s="644">
        <f t="shared" si="55"/>
        <v>4</v>
      </c>
      <c r="K102" s="645">
        <f t="shared" si="55"/>
        <v>1438</v>
      </c>
      <c r="L102" s="163">
        <f t="shared" si="55"/>
        <v>152</v>
      </c>
      <c r="M102" s="163">
        <f t="shared" si="55"/>
        <v>0</v>
      </c>
      <c r="N102" s="163">
        <f t="shared" si="55"/>
        <v>1045</v>
      </c>
      <c r="O102" s="643">
        <f t="shared" si="55"/>
        <v>241</v>
      </c>
      <c r="P102" s="646">
        <f t="shared" si="55"/>
        <v>9</v>
      </c>
      <c r="Q102" s="645">
        <f t="shared" si="55"/>
        <v>6</v>
      </c>
      <c r="R102" s="163">
        <f t="shared" si="55"/>
        <v>1</v>
      </c>
      <c r="S102" s="163">
        <f t="shared" si="55"/>
        <v>0</v>
      </c>
      <c r="T102" s="163">
        <f t="shared" si="55"/>
        <v>5</v>
      </c>
      <c r="U102" s="644">
        <f t="shared" si="54"/>
        <v>0</v>
      </c>
      <c r="V102" s="645">
        <f t="shared" si="54"/>
        <v>3</v>
      </c>
      <c r="W102" s="163">
        <f t="shared" si="54"/>
        <v>0</v>
      </c>
      <c r="X102" s="163">
        <f t="shared" si="54"/>
        <v>0</v>
      </c>
      <c r="Y102" s="163">
        <f t="shared" si="54"/>
        <v>3</v>
      </c>
      <c r="Z102" s="643">
        <f t="shared" si="54"/>
        <v>0</v>
      </c>
      <c r="AA102" s="646">
        <f t="shared" si="54"/>
        <v>5</v>
      </c>
      <c r="AB102" s="645">
        <f t="shared" si="54"/>
        <v>5</v>
      </c>
      <c r="AC102" s="163">
        <f t="shared" si="54"/>
        <v>2</v>
      </c>
      <c r="AD102" s="163">
        <f t="shared" si="54"/>
        <v>0</v>
      </c>
      <c r="AE102" s="163">
        <f t="shared" si="54"/>
        <v>3</v>
      </c>
      <c r="AF102" s="644">
        <f t="shared" si="54"/>
        <v>0</v>
      </c>
      <c r="AG102" s="645">
        <f t="shared" si="54"/>
        <v>0</v>
      </c>
      <c r="AH102" s="163">
        <f t="shared" si="54"/>
        <v>0</v>
      </c>
      <c r="AI102" s="163">
        <f t="shared" si="47"/>
        <v>0</v>
      </c>
      <c r="AJ102" s="163">
        <f t="shared" si="47"/>
        <v>0</v>
      </c>
      <c r="AK102" s="643">
        <f t="shared" si="47"/>
        <v>0</v>
      </c>
      <c r="AL102" s="646">
        <f t="shared" si="47"/>
        <v>81</v>
      </c>
      <c r="AM102" s="645">
        <f t="shared" si="47"/>
        <v>60</v>
      </c>
      <c r="AN102" s="163">
        <f t="shared" si="47"/>
        <v>28</v>
      </c>
      <c r="AO102" s="163">
        <f t="shared" si="47"/>
        <v>0</v>
      </c>
      <c r="AP102" s="163">
        <f t="shared" si="47"/>
        <v>32</v>
      </c>
      <c r="AQ102" s="644">
        <f t="shared" si="47"/>
        <v>0</v>
      </c>
      <c r="AR102" s="645">
        <f t="shared" si="47"/>
        <v>21</v>
      </c>
      <c r="AS102" s="163">
        <f t="shared" si="47"/>
        <v>0</v>
      </c>
      <c r="AT102" s="163">
        <f t="shared" si="47"/>
        <v>0</v>
      </c>
      <c r="AU102" s="163">
        <f t="shared" si="47"/>
        <v>20</v>
      </c>
      <c r="AV102" s="643">
        <f t="shared" si="47"/>
        <v>1</v>
      </c>
      <c r="AW102" s="646">
        <f t="shared" si="47"/>
        <v>39</v>
      </c>
      <c r="AX102" s="645">
        <f t="shared" si="47"/>
        <v>31</v>
      </c>
      <c r="AY102" s="163">
        <f t="shared" si="47"/>
        <v>17</v>
      </c>
      <c r="AZ102" s="163">
        <f t="shared" si="57"/>
        <v>0</v>
      </c>
      <c r="BA102" s="163">
        <f t="shared" si="57"/>
        <v>14</v>
      </c>
      <c r="BB102" s="644">
        <f t="shared" si="57"/>
        <v>0</v>
      </c>
      <c r="BC102" s="645">
        <f t="shared" si="57"/>
        <v>8</v>
      </c>
      <c r="BD102" s="163">
        <f t="shared" si="57"/>
        <v>1</v>
      </c>
      <c r="BE102" s="163">
        <f t="shared" si="57"/>
        <v>0</v>
      </c>
      <c r="BF102" s="163">
        <f t="shared" si="57"/>
        <v>7</v>
      </c>
      <c r="BG102" s="643">
        <f t="shared" si="57"/>
        <v>0</v>
      </c>
      <c r="BH102" s="646">
        <f t="shared" si="57"/>
        <v>56</v>
      </c>
      <c r="BI102" s="645">
        <f t="shared" si="57"/>
        <v>45</v>
      </c>
      <c r="BJ102" s="163">
        <f t="shared" si="57"/>
        <v>22</v>
      </c>
      <c r="BK102" s="163">
        <f t="shared" si="57"/>
        <v>0</v>
      </c>
      <c r="BL102" s="163">
        <f t="shared" si="57"/>
        <v>23</v>
      </c>
      <c r="BM102" s="644">
        <f t="shared" si="57"/>
        <v>0</v>
      </c>
      <c r="BN102" s="645">
        <f t="shared" si="57"/>
        <v>11</v>
      </c>
      <c r="BO102" s="163">
        <f t="shared" si="57"/>
        <v>1</v>
      </c>
      <c r="BP102" s="163">
        <f t="shared" si="57"/>
        <v>0</v>
      </c>
      <c r="BQ102" s="163">
        <f t="shared" si="57"/>
        <v>8</v>
      </c>
      <c r="BR102" s="643">
        <f t="shared" si="57"/>
        <v>2</v>
      </c>
      <c r="BS102" s="646">
        <f t="shared" si="57"/>
        <v>88</v>
      </c>
      <c r="BT102" s="645">
        <f t="shared" si="57"/>
        <v>70</v>
      </c>
      <c r="BU102" s="163">
        <f t="shared" si="57"/>
        <v>35</v>
      </c>
      <c r="BV102" s="163">
        <f t="shared" si="57"/>
        <v>0</v>
      </c>
      <c r="BW102" s="163">
        <f t="shared" si="57"/>
        <v>35</v>
      </c>
      <c r="BX102" s="644">
        <f t="shared" si="57"/>
        <v>0</v>
      </c>
      <c r="BY102" s="645">
        <f t="shared" si="57"/>
        <v>18</v>
      </c>
      <c r="BZ102" s="163">
        <f t="shared" si="57"/>
        <v>1</v>
      </c>
      <c r="CA102" s="163">
        <f t="shared" si="57"/>
        <v>0</v>
      </c>
      <c r="CB102" s="163">
        <f t="shared" si="57"/>
        <v>14</v>
      </c>
      <c r="CC102" s="643">
        <f t="shared" si="57"/>
        <v>3</v>
      </c>
      <c r="CD102" s="646">
        <f t="shared" si="57"/>
        <v>12</v>
      </c>
      <c r="CE102" s="645">
        <f t="shared" si="57"/>
        <v>9</v>
      </c>
      <c r="CF102" s="163">
        <f t="shared" si="57"/>
        <v>5</v>
      </c>
      <c r="CG102" s="163">
        <f t="shared" si="57"/>
        <v>0</v>
      </c>
      <c r="CH102" s="163">
        <f t="shared" si="57"/>
        <v>4</v>
      </c>
      <c r="CI102" s="644">
        <f t="shared" si="57"/>
        <v>0</v>
      </c>
      <c r="CJ102" s="645">
        <f t="shared" si="57"/>
        <v>3</v>
      </c>
      <c r="CK102" s="163">
        <f t="shared" si="57"/>
        <v>0</v>
      </c>
      <c r="CL102" s="163">
        <f t="shared" si="57"/>
        <v>0</v>
      </c>
      <c r="CM102" s="163">
        <f t="shared" si="57"/>
        <v>3</v>
      </c>
      <c r="CN102" s="643">
        <f t="shared" si="57"/>
        <v>0</v>
      </c>
      <c r="CO102" s="646">
        <f t="shared" si="57"/>
        <v>4</v>
      </c>
      <c r="CP102" s="645">
        <f t="shared" si="57"/>
        <v>3</v>
      </c>
      <c r="CQ102" s="163">
        <f t="shared" si="57"/>
        <v>1</v>
      </c>
      <c r="CR102" s="163">
        <f t="shared" si="57"/>
        <v>0</v>
      </c>
      <c r="CS102" s="163">
        <f t="shared" si="57"/>
        <v>2</v>
      </c>
      <c r="CT102" s="644">
        <f t="shared" si="57"/>
        <v>0</v>
      </c>
      <c r="CU102" s="645">
        <f t="shared" si="56"/>
        <v>1</v>
      </c>
      <c r="CV102" s="163">
        <f t="shared" si="56"/>
        <v>0</v>
      </c>
      <c r="CW102" s="163">
        <f t="shared" si="56"/>
        <v>0</v>
      </c>
      <c r="CX102" s="163">
        <f t="shared" si="56"/>
        <v>1</v>
      </c>
      <c r="CY102" s="643">
        <f t="shared" si="56"/>
        <v>0</v>
      </c>
      <c r="CZ102" s="646">
        <f t="shared" si="56"/>
        <v>3</v>
      </c>
      <c r="DA102" s="645">
        <f t="shared" si="56"/>
        <v>3</v>
      </c>
      <c r="DB102" s="163">
        <f t="shared" si="56"/>
        <v>1</v>
      </c>
      <c r="DC102" s="163">
        <f t="shared" si="56"/>
        <v>0</v>
      </c>
      <c r="DD102" s="163">
        <f t="shared" si="56"/>
        <v>2</v>
      </c>
      <c r="DE102" s="644">
        <f t="shared" si="56"/>
        <v>0</v>
      </c>
      <c r="DF102" s="645">
        <f t="shared" si="56"/>
        <v>0</v>
      </c>
      <c r="DG102" s="163">
        <f t="shared" si="56"/>
        <v>0</v>
      </c>
      <c r="DH102" s="163">
        <f t="shared" si="56"/>
        <v>0</v>
      </c>
      <c r="DI102" s="163">
        <f t="shared" si="56"/>
        <v>0</v>
      </c>
      <c r="DJ102" s="643">
        <f t="shared" si="56"/>
        <v>0</v>
      </c>
      <c r="DK102" s="646">
        <f t="shared" si="56"/>
        <v>0</v>
      </c>
      <c r="DL102" s="645">
        <f t="shared" si="56"/>
        <v>0</v>
      </c>
      <c r="DM102" s="163">
        <f t="shared" si="56"/>
        <v>0</v>
      </c>
      <c r="DN102" s="163">
        <f t="shared" si="56"/>
        <v>0</v>
      </c>
      <c r="DO102" s="163">
        <f t="shared" si="56"/>
        <v>0</v>
      </c>
      <c r="DP102" s="644">
        <f t="shared" si="51"/>
        <v>0</v>
      </c>
      <c r="DQ102" s="645">
        <f t="shared" si="51"/>
        <v>0</v>
      </c>
      <c r="DR102" s="163">
        <f t="shared" si="51"/>
        <v>0</v>
      </c>
      <c r="DS102" s="163">
        <f t="shared" si="51"/>
        <v>0</v>
      </c>
      <c r="DT102" s="163">
        <f t="shared" si="51"/>
        <v>0</v>
      </c>
      <c r="DU102" s="643">
        <f t="shared" si="51"/>
        <v>0</v>
      </c>
      <c r="DW102" s="646">
        <f t="shared" si="40"/>
        <v>216</v>
      </c>
      <c r="DX102" s="645">
        <f t="shared" si="40"/>
        <v>172</v>
      </c>
      <c r="DY102" s="163">
        <f t="shared" si="40"/>
        <v>84</v>
      </c>
      <c r="DZ102" s="163">
        <f t="shared" si="38"/>
        <v>0</v>
      </c>
      <c r="EA102" s="163">
        <f t="shared" si="38"/>
        <v>88</v>
      </c>
      <c r="EB102" s="644">
        <f t="shared" si="38"/>
        <v>0</v>
      </c>
      <c r="EC102" s="645">
        <f t="shared" si="38"/>
        <v>44</v>
      </c>
      <c r="ED102" s="163">
        <f t="shared" si="38"/>
        <v>3</v>
      </c>
      <c r="EE102" s="163">
        <f t="shared" si="38"/>
        <v>0</v>
      </c>
      <c r="EF102" s="163">
        <f t="shared" si="14"/>
        <v>36</v>
      </c>
      <c r="EG102" s="643">
        <f t="shared" si="14"/>
        <v>5</v>
      </c>
      <c r="EH102" s="646">
        <f t="shared" si="29"/>
        <v>81</v>
      </c>
      <c r="EI102" s="645">
        <f t="shared" si="29"/>
        <v>60</v>
      </c>
      <c r="EJ102" s="163">
        <f t="shared" si="29"/>
        <v>28</v>
      </c>
      <c r="EK102" s="163">
        <f t="shared" si="29"/>
        <v>0</v>
      </c>
      <c r="EL102" s="163">
        <f t="shared" si="29"/>
        <v>32</v>
      </c>
      <c r="EM102" s="644">
        <f t="shared" si="49"/>
        <v>0</v>
      </c>
      <c r="EN102" s="645">
        <f t="shared" si="49"/>
        <v>21</v>
      </c>
      <c r="EO102" s="163">
        <f t="shared" si="49"/>
        <v>0</v>
      </c>
      <c r="EP102" s="163">
        <f t="shared" si="49"/>
        <v>0</v>
      </c>
      <c r="EQ102" s="163">
        <f t="shared" si="49"/>
        <v>20</v>
      </c>
      <c r="ER102" s="643">
        <f t="shared" si="49"/>
        <v>1</v>
      </c>
    </row>
    <row r="103" spans="1:148">
      <c r="A103" s="654" t="s">
        <v>245</v>
      </c>
      <c r="B103" s="658">
        <v>44652</v>
      </c>
      <c r="C103" s="659">
        <v>2022</v>
      </c>
      <c r="D103" s="646">
        <f t="shared" si="10"/>
        <v>169244</v>
      </c>
      <c r="E103" s="646">
        <f t="shared" si="55"/>
        <v>9534</v>
      </c>
      <c r="F103" s="645">
        <f t="shared" si="55"/>
        <v>7875</v>
      </c>
      <c r="G103" s="163">
        <f t="shared" si="55"/>
        <v>2904</v>
      </c>
      <c r="H103" s="163">
        <f t="shared" si="55"/>
        <v>59</v>
      </c>
      <c r="I103" s="163">
        <f t="shared" si="55"/>
        <v>4868</v>
      </c>
      <c r="J103" s="644">
        <f t="shared" si="55"/>
        <v>44</v>
      </c>
      <c r="K103" s="645">
        <f t="shared" si="55"/>
        <v>1659</v>
      </c>
      <c r="L103" s="163">
        <f t="shared" si="55"/>
        <v>271</v>
      </c>
      <c r="M103" s="163">
        <f t="shared" si="55"/>
        <v>0</v>
      </c>
      <c r="N103" s="163">
        <f t="shared" si="55"/>
        <v>1271</v>
      </c>
      <c r="O103" s="643">
        <f t="shared" si="55"/>
        <v>117</v>
      </c>
      <c r="P103" s="646">
        <f t="shared" si="55"/>
        <v>13</v>
      </c>
      <c r="Q103" s="645">
        <f t="shared" si="55"/>
        <v>11</v>
      </c>
      <c r="R103" s="163">
        <f t="shared" si="55"/>
        <v>2</v>
      </c>
      <c r="S103" s="163">
        <f t="shared" si="55"/>
        <v>1</v>
      </c>
      <c r="T103" s="163">
        <f t="shared" si="55"/>
        <v>8</v>
      </c>
      <c r="U103" s="644">
        <f t="shared" si="54"/>
        <v>0</v>
      </c>
      <c r="V103" s="645">
        <f t="shared" si="54"/>
        <v>2</v>
      </c>
      <c r="W103" s="163">
        <f t="shared" si="54"/>
        <v>0</v>
      </c>
      <c r="X103" s="163">
        <f t="shared" si="54"/>
        <v>0</v>
      </c>
      <c r="Y103" s="163">
        <f t="shared" si="54"/>
        <v>2</v>
      </c>
      <c r="Z103" s="643">
        <f t="shared" si="54"/>
        <v>0</v>
      </c>
      <c r="AA103" s="646">
        <f t="shared" si="54"/>
        <v>14</v>
      </c>
      <c r="AB103" s="645">
        <f t="shared" si="54"/>
        <v>9</v>
      </c>
      <c r="AC103" s="163">
        <f t="shared" si="54"/>
        <v>4</v>
      </c>
      <c r="AD103" s="163">
        <f t="shared" si="54"/>
        <v>0</v>
      </c>
      <c r="AE103" s="163">
        <f t="shared" si="54"/>
        <v>5</v>
      </c>
      <c r="AF103" s="644">
        <f t="shared" si="54"/>
        <v>0</v>
      </c>
      <c r="AG103" s="645">
        <f t="shared" si="54"/>
        <v>5</v>
      </c>
      <c r="AH103" s="163">
        <f t="shared" si="54"/>
        <v>0</v>
      </c>
      <c r="AI103" s="163">
        <f t="shared" si="47"/>
        <v>0</v>
      </c>
      <c r="AJ103" s="163">
        <f t="shared" si="47"/>
        <v>4</v>
      </c>
      <c r="AK103" s="643">
        <f t="shared" si="47"/>
        <v>1</v>
      </c>
      <c r="AL103" s="646">
        <f t="shared" si="47"/>
        <v>80</v>
      </c>
      <c r="AM103" s="645">
        <f t="shared" si="47"/>
        <v>60</v>
      </c>
      <c r="AN103" s="163">
        <f t="shared" ref="AN103:CT107" si="58">SUMIFS(AN$5:AN$36,$B$5:$B$36,$A103)</f>
        <v>20</v>
      </c>
      <c r="AO103" s="163">
        <f t="shared" si="58"/>
        <v>1</v>
      </c>
      <c r="AP103" s="163">
        <f t="shared" si="58"/>
        <v>38</v>
      </c>
      <c r="AQ103" s="644">
        <f t="shared" si="58"/>
        <v>1</v>
      </c>
      <c r="AR103" s="645">
        <f t="shared" si="58"/>
        <v>20</v>
      </c>
      <c r="AS103" s="163">
        <f t="shared" si="58"/>
        <v>1</v>
      </c>
      <c r="AT103" s="163">
        <f t="shared" si="58"/>
        <v>0</v>
      </c>
      <c r="AU103" s="163">
        <f t="shared" si="58"/>
        <v>18</v>
      </c>
      <c r="AV103" s="643">
        <f t="shared" si="58"/>
        <v>1</v>
      </c>
      <c r="AW103" s="646">
        <f t="shared" si="58"/>
        <v>67</v>
      </c>
      <c r="AX103" s="645">
        <f t="shared" si="58"/>
        <v>54</v>
      </c>
      <c r="AY103" s="163">
        <f t="shared" si="58"/>
        <v>29</v>
      </c>
      <c r="AZ103" s="163">
        <f t="shared" si="58"/>
        <v>0</v>
      </c>
      <c r="BA103" s="163">
        <f t="shared" si="58"/>
        <v>25</v>
      </c>
      <c r="BB103" s="644">
        <f t="shared" si="58"/>
        <v>0</v>
      </c>
      <c r="BC103" s="645">
        <f t="shared" si="58"/>
        <v>13</v>
      </c>
      <c r="BD103" s="163">
        <f t="shared" si="58"/>
        <v>1</v>
      </c>
      <c r="BE103" s="163">
        <f t="shared" si="58"/>
        <v>0</v>
      </c>
      <c r="BF103" s="163">
        <f t="shared" si="58"/>
        <v>11</v>
      </c>
      <c r="BG103" s="643">
        <f t="shared" si="58"/>
        <v>1</v>
      </c>
      <c r="BH103" s="646">
        <f t="shared" si="58"/>
        <v>82</v>
      </c>
      <c r="BI103" s="645">
        <f t="shared" si="58"/>
        <v>70</v>
      </c>
      <c r="BJ103" s="163">
        <f t="shared" si="58"/>
        <v>20</v>
      </c>
      <c r="BK103" s="163">
        <f t="shared" si="58"/>
        <v>2</v>
      </c>
      <c r="BL103" s="163">
        <f t="shared" si="58"/>
        <v>48</v>
      </c>
      <c r="BM103" s="644">
        <f t="shared" si="58"/>
        <v>0</v>
      </c>
      <c r="BN103" s="645">
        <f t="shared" si="58"/>
        <v>12</v>
      </c>
      <c r="BO103" s="163">
        <f t="shared" si="58"/>
        <v>2</v>
      </c>
      <c r="BP103" s="163">
        <f t="shared" si="58"/>
        <v>0</v>
      </c>
      <c r="BQ103" s="163">
        <f t="shared" si="58"/>
        <v>9</v>
      </c>
      <c r="BR103" s="643">
        <f t="shared" si="58"/>
        <v>1</v>
      </c>
      <c r="BS103" s="646">
        <f t="shared" si="58"/>
        <v>101</v>
      </c>
      <c r="BT103" s="645">
        <f t="shared" si="58"/>
        <v>93</v>
      </c>
      <c r="BU103" s="163">
        <f t="shared" si="58"/>
        <v>27</v>
      </c>
      <c r="BV103" s="163">
        <f t="shared" si="58"/>
        <v>1</v>
      </c>
      <c r="BW103" s="163">
        <f t="shared" si="58"/>
        <v>65</v>
      </c>
      <c r="BX103" s="644">
        <f t="shared" si="58"/>
        <v>0</v>
      </c>
      <c r="BY103" s="645">
        <f t="shared" si="58"/>
        <v>8</v>
      </c>
      <c r="BZ103" s="163">
        <f t="shared" si="58"/>
        <v>1</v>
      </c>
      <c r="CA103" s="163">
        <f t="shared" si="58"/>
        <v>0</v>
      </c>
      <c r="CB103" s="163">
        <f t="shared" si="58"/>
        <v>7</v>
      </c>
      <c r="CC103" s="643">
        <f t="shared" si="58"/>
        <v>0</v>
      </c>
      <c r="CD103" s="646">
        <f t="shared" si="58"/>
        <v>16</v>
      </c>
      <c r="CE103" s="645">
        <f t="shared" si="58"/>
        <v>13</v>
      </c>
      <c r="CF103" s="163">
        <f t="shared" si="58"/>
        <v>4</v>
      </c>
      <c r="CG103" s="163">
        <f t="shared" si="58"/>
        <v>0</v>
      </c>
      <c r="CH103" s="163">
        <f t="shared" si="58"/>
        <v>9</v>
      </c>
      <c r="CI103" s="644">
        <f t="shared" si="58"/>
        <v>0</v>
      </c>
      <c r="CJ103" s="645">
        <f t="shared" si="58"/>
        <v>3</v>
      </c>
      <c r="CK103" s="163">
        <f t="shared" si="58"/>
        <v>1</v>
      </c>
      <c r="CL103" s="163">
        <f t="shared" si="58"/>
        <v>0</v>
      </c>
      <c r="CM103" s="163">
        <f t="shared" si="58"/>
        <v>1</v>
      </c>
      <c r="CN103" s="643">
        <f t="shared" si="58"/>
        <v>1</v>
      </c>
      <c r="CO103" s="646">
        <f t="shared" si="58"/>
        <v>14</v>
      </c>
      <c r="CP103" s="645">
        <f t="shared" si="58"/>
        <v>13</v>
      </c>
      <c r="CQ103" s="163">
        <f t="shared" si="58"/>
        <v>5</v>
      </c>
      <c r="CR103" s="163">
        <f t="shared" si="58"/>
        <v>1</v>
      </c>
      <c r="CS103" s="163">
        <f t="shared" si="58"/>
        <v>7</v>
      </c>
      <c r="CT103" s="644">
        <f t="shared" si="57"/>
        <v>0</v>
      </c>
      <c r="CU103" s="645">
        <f t="shared" si="57"/>
        <v>1</v>
      </c>
      <c r="CV103" s="163">
        <f t="shared" si="57"/>
        <v>0</v>
      </c>
      <c r="CW103" s="163">
        <f t="shared" si="57"/>
        <v>0</v>
      </c>
      <c r="CX103" s="163">
        <f t="shared" si="57"/>
        <v>1</v>
      </c>
      <c r="CY103" s="643">
        <f t="shared" si="57"/>
        <v>0</v>
      </c>
      <c r="CZ103" s="646">
        <f t="shared" si="57"/>
        <v>4</v>
      </c>
      <c r="DA103" s="645">
        <f t="shared" si="57"/>
        <v>3</v>
      </c>
      <c r="DB103" s="163">
        <f t="shared" si="57"/>
        <v>0</v>
      </c>
      <c r="DC103" s="163">
        <f t="shared" si="57"/>
        <v>0</v>
      </c>
      <c r="DD103" s="163">
        <f t="shared" si="57"/>
        <v>3</v>
      </c>
      <c r="DE103" s="644">
        <f t="shared" si="57"/>
        <v>0</v>
      </c>
      <c r="DF103" s="645">
        <f t="shared" si="57"/>
        <v>1</v>
      </c>
      <c r="DG103" s="163">
        <f t="shared" si="57"/>
        <v>0</v>
      </c>
      <c r="DH103" s="163">
        <f t="shared" si="57"/>
        <v>0</v>
      </c>
      <c r="DI103" s="163">
        <f t="shared" si="57"/>
        <v>1</v>
      </c>
      <c r="DJ103" s="643">
        <f t="shared" si="57"/>
        <v>0</v>
      </c>
      <c r="DK103" s="646">
        <f t="shared" si="57"/>
        <v>0</v>
      </c>
      <c r="DL103" s="645">
        <f t="shared" si="56"/>
        <v>0</v>
      </c>
      <c r="DM103" s="163">
        <f t="shared" si="56"/>
        <v>0</v>
      </c>
      <c r="DN103" s="163">
        <f t="shared" si="56"/>
        <v>0</v>
      </c>
      <c r="DO103" s="163">
        <f t="shared" si="56"/>
        <v>0</v>
      </c>
      <c r="DP103" s="644">
        <f t="shared" si="51"/>
        <v>0</v>
      </c>
      <c r="DQ103" s="645">
        <f t="shared" si="51"/>
        <v>0</v>
      </c>
      <c r="DR103" s="163">
        <f t="shared" si="51"/>
        <v>0</v>
      </c>
      <c r="DS103" s="163">
        <f t="shared" si="51"/>
        <v>0</v>
      </c>
      <c r="DT103" s="163">
        <f t="shared" si="51"/>
        <v>0</v>
      </c>
      <c r="DU103" s="643">
        <f t="shared" si="51"/>
        <v>0</v>
      </c>
      <c r="DW103" s="646">
        <f t="shared" si="40"/>
        <v>311</v>
      </c>
      <c r="DX103" s="645">
        <f t="shared" si="40"/>
        <v>266</v>
      </c>
      <c r="DY103" s="163">
        <f t="shared" si="40"/>
        <v>91</v>
      </c>
      <c r="DZ103" s="163">
        <f t="shared" si="38"/>
        <v>5</v>
      </c>
      <c r="EA103" s="163">
        <f t="shared" si="38"/>
        <v>170</v>
      </c>
      <c r="EB103" s="644">
        <f t="shared" si="38"/>
        <v>0</v>
      </c>
      <c r="EC103" s="645">
        <f t="shared" si="38"/>
        <v>45</v>
      </c>
      <c r="ED103" s="163">
        <f t="shared" si="38"/>
        <v>5</v>
      </c>
      <c r="EE103" s="163">
        <f t="shared" si="38"/>
        <v>0</v>
      </c>
      <c r="EF103" s="163">
        <f t="shared" si="14"/>
        <v>36</v>
      </c>
      <c r="EG103" s="643">
        <f t="shared" si="14"/>
        <v>4</v>
      </c>
      <c r="EH103" s="646">
        <f t="shared" si="29"/>
        <v>80</v>
      </c>
      <c r="EI103" s="645">
        <f t="shared" si="29"/>
        <v>60</v>
      </c>
      <c r="EJ103" s="163">
        <f t="shared" si="29"/>
        <v>20</v>
      </c>
      <c r="EK103" s="163">
        <f t="shared" si="29"/>
        <v>1</v>
      </c>
      <c r="EL103" s="163">
        <f t="shared" si="29"/>
        <v>38</v>
      </c>
      <c r="EM103" s="644">
        <f t="shared" si="49"/>
        <v>1</v>
      </c>
      <c r="EN103" s="645">
        <f t="shared" si="49"/>
        <v>20</v>
      </c>
      <c r="EO103" s="163">
        <f t="shared" si="49"/>
        <v>1</v>
      </c>
      <c r="EP103" s="163">
        <f t="shared" si="49"/>
        <v>0</v>
      </c>
      <c r="EQ103" s="163">
        <f t="shared" si="49"/>
        <v>18</v>
      </c>
      <c r="ER103" s="643">
        <f t="shared" si="49"/>
        <v>1</v>
      </c>
    </row>
    <row r="104" spans="1:148">
      <c r="A104" s="654" t="s">
        <v>245</v>
      </c>
      <c r="B104" s="658">
        <v>44682</v>
      </c>
      <c r="C104" s="659">
        <v>2022</v>
      </c>
      <c r="D104" s="646">
        <f t="shared" si="10"/>
        <v>169244</v>
      </c>
      <c r="E104" s="646">
        <f t="shared" si="55"/>
        <v>9534</v>
      </c>
      <c r="F104" s="645">
        <f t="shared" si="55"/>
        <v>7875</v>
      </c>
      <c r="G104" s="163">
        <f t="shared" si="55"/>
        <v>2904</v>
      </c>
      <c r="H104" s="163">
        <f t="shared" si="55"/>
        <v>59</v>
      </c>
      <c r="I104" s="163">
        <f t="shared" si="55"/>
        <v>4868</v>
      </c>
      <c r="J104" s="644">
        <f t="shared" si="55"/>
        <v>44</v>
      </c>
      <c r="K104" s="645">
        <f t="shared" si="55"/>
        <v>1659</v>
      </c>
      <c r="L104" s="163">
        <f t="shared" si="55"/>
        <v>271</v>
      </c>
      <c r="M104" s="163">
        <f t="shared" si="55"/>
        <v>0</v>
      </c>
      <c r="N104" s="163">
        <f t="shared" si="55"/>
        <v>1271</v>
      </c>
      <c r="O104" s="643">
        <f t="shared" si="55"/>
        <v>117</v>
      </c>
      <c r="P104" s="646">
        <f t="shared" si="55"/>
        <v>13</v>
      </c>
      <c r="Q104" s="645">
        <f t="shared" si="55"/>
        <v>11</v>
      </c>
      <c r="R104" s="163">
        <f t="shared" si="55"/>
        <v>2</v>
      </c>
      <c r="S104" s="163">
        <f t="shared" si="55"/>
        <v>1</v>
      </c>
      <c r="T104" s="163">
        <f t="shared" si="55"/>
        <v>8</v>
      </c>
      <c r="U104" s="644">
        <f t="shared" si="54"/>
        <v>0</v>
      </c>
      <c r="V104" s="645">
        <f t="shared" si="54"/>
        <v>2</v>
      </c>
      <c r="W104" s="163">
        <f t="shared" si="54"/>
        <v>0</v>
      </c>
      <c r="X104" s="163">
        <f t="shared" si="54"/>
        <v>0</v>
      </c>
      <c r="Y104" s="163">
        <f t="shared" si="54"/>
        <v>2</v>
      </c>
      <c r="Z104" s="643">
        <f t="shared" si="54"/>
        <v>0</v>
      </c>
      <c r="AA104" s="646">
        <f t="shared" si="54"/>
        <v>14</v>
      </c>
      <c r="AB104" s="645">
        <f t="shared" si="54"/>
        <v>9</v>
      </c>
      <c r="AC104" s="163">
        <f t="shared" si="54"/>
        <v>4</v>
      </c>
      <c r="AD104" s="163">
        <f t="shared" si="54"/>
        <v>0</v>
      </c>
      <c r="AE104" s="163">
        <f t="shared" si="54"/>
        <v>5</v>
      </c>
      <c r="AF104" s="644">
        <f t="shared" si="54"/>
        <v>0</v>
      </c>
      <c r="AG104" s="645">
        <f t="shared" si="54"/>
        <v>5</v>
      </c>
      <c r="AH104" s="163">
        <f t="shared" si="54"/>
        <v>0</v>
      </c>
      <c r="AI104" s="163">
        <f t="shared" si="54"/>
        <v>0</v>
      </c>
      <c r="AJ104" s="163">
        <f t="shared" si="54"/>
        <v>4</v>
      </c>
      <c r="AK104" s="643">
        <f t="shared" si="54"/>
        <v>1</v>
      </c>
      <c r="AL104" s="646">
        <f t="shared" si="54"/>
        <v>80</v>
      </c>
      <c r="AM104" s="645">
        <f t="shared" si="54"/>
        <v>60</v>
      </c>
      <c r="AN104" s="163">
        <f t="shared" si="54"/>
        <v>20</v>
      </c>
      <c r="AO104" s="163">
        <f t="shared" si="54"/>
        <v>1</v>
      </c>
      <c r="AP104" s="163">
        <f t="shared" si="54"/>
        <v>38</v>
      </c>
      <c r="AQ104" s="644">
        <f t="shared" si="54"/>
        <v>1</v>
      </c>
      <c r="AR104" s="645">
        <f t="shared" si="54"/>
        <v>20</v>
      </c>
      <c r="AS104" s="163">
        <f t="shared" si="54"/>
        <v>1</v>
      </c>
      <c r="AT104" s="163">
        <f t="shared" si="54"/>
        <v>0</v>
      </c>
      <c r="AU104" s="163">
        <f t="shared" si="54"/>
        <v>18</v>
      </c>
      <c r="AV104" s="643">
        <f t="shared" si="54"/>
        <v>1</v>
      </c>
      <c r="AW104" s="646">
        <f t="shared" si="58"/>
        <v>67</v>
      </c>
      <c r="AX104" s="645">
        <f t="shared" si="58"/>
        <v>54</v>
      </c>
      <c r="AY104" s="163">
        <f t="shared" si="58"/>
        <v>29</v>
      </c>
      <c r="AZ104" s="163">
        <f t="shared" si="58"/>
        <v>0</v>
      </c>
      <c r="BA104" s="163">
        <f t="shared" si="58"/>
        <v>25</v>
      </c>
      <c r="BB104" s="644">
        <f t="shared" si="58"/>
        <v>0</v>
      </c>
      <c r="BC104" s="645">
        <f t="shared" si="58"/>
        <v>13</v>
      </c>
      <c r="BD104" s="163">
        <f t="shared" si="58"/>
        <v>1</v>
      </c>
      <c r="BE104" s="163">
        <f t="shared" si="58"/>
        <v>0</v>
      </c>
      <c r="BF104" s="163">
        <f t="shared" si="58"/>
        <v>11</v>
      </c>
      <c r="BG104" s="643">
        <f t="shared" si="58"/>
        <v>1</v>
      </c>
      <c r="BH104" s="646">
        <f t="shared" si="58"/>
        <v>82</v>
      </c>
      <c r="BI104" s="645">
        <f t="shared" si="58"/>
        <v>70</v>
      </c>
      <c r="BJ104" s="163">
        <f t="shared" si="58"/>
        <v>20</v>
      </c>
      <c r="BK104" s="163">
        <f t="shared" si="58"/>
        <v>2</v>
      </c>
      <c r="BL104" s="163">
        <f t="shared" si="58"/>
        <v>48</v>
      </c>
      <c r="BM104" s="644">
        <f t="shared" si="58"/>
        <v>0</v>
      </c>
      <c r="BN104" s="645">
        <f t="shared" si="58"/>
        <v>12</v>
      </c>
      <c r="BO104" s="163">
        <f t="shared" si="58"/>
        <v>2</v>
      </c>
      <c r="BP104" s="163">
        <f t="shared" si="58"/>
        <v>0</v>
      </c>
      <c r="BQ104" s="163">
        <f t="shared" si="58"/>
        <v>9</v>
      </c>
      <c r="BR104" s="643">
        <f t="shared" si="58"/>
        <v>1</v>
      </c>
      <c r="BS104" s="646">
        <f t="shared" si="58"/>
        <v>101</v>
      </c>
      <c r="BT104" s="645">
        <f t="shared" si="58"/>
        <v>93</v>
      </c>
      <c r="BU104" s="163">
        <f t="shared" si="58"/>
        <v>27</v>
      </c>
      <c r="BV104" s="163">
        <f t="shared" si="58"/>
        <v>1</v>
      </c>
      <c r="BW104" s="163">
        <f t="shared" si="58"/>
        <v>65</v>
      </c>
      <c r="BX104" s="644">
        <f t="shared" si="58"/>
        <v>0</v>
      </c>
      <c r="BY104" s="645">
        <f t="shared" si="58"/>
        <v>8</v>
      </c>
      <c r="BZ104" s="163">
        <f t="shared" si="58"/>
        <v>1</v>
      </c>
      <c r="CA104" s="163">
        <f t="shared" si="58"/>
        <v>0</v>
      </c>
      <c r="CB104" s="163">
        <f t="shared" si="58"/>
        <v>7</v>
      </c>
      <c r="CC104" s="643">
        <f t="shared" si="58"/>
        <v>0</v>
      </c>
      <c r="CD104" s="646">
        <f t="shared" si="58"/>
        <v>16</v>
      </c>
      <c r="CE104" s="645">
        <f t="shared" si="58"/>
        <v>13</v>
      </c>
      <c r="CF104" s="163">
        <f t="shared" si="58"/>
        <v>4</v>
      </c>
      <c r="CG104" s="163">
        <f t="shared" si="58"/>
        <v>0</v>
      </c>
      <c r="CH104" s="163">
        <f t="shared" si="58"/>
        <v>9</v>
      </c>
      <c r="CI104" s="644">
        <f t="shared" si="58"/>
        <v>0</v>
      </c>
      <c r="CJ104" s="645">
        <f t="shared" si="58"/>
        <v>3</v>
      </c>
      <c r="CK104" s="163">
        <f t="shared" si="58"/>
        <v>1</v>
      </c>
      <c r="CL104" s="163">
        <f t="shared" si="58"/>
        <v>0</v>
      </c>
      <c r="CM104" s="163">
        <f t="shared" si="58"/>
        <v>1</v>
      </c>
      <c r="CN104" s="643">
        <f t="shared" si="58"/>
        <v>1</v>
      </c>
      <c r="CO104" s="646">
        <f t="shared" si="58"/>
        <v>14</v>
      </c>
      <c r="CP104" s="645">
        <f t="shared" si="58"/>
        <v>13</v>
      </c>
      <c r="CQ104" s="163">
        <f t="shared" si="58"/>
        <v>5</v>
      </c>
      <c r="CR104" s="163">
        <f t="shared" si="58"/>
        <v>1</v>
      </c>
      <c r="CS104" s="163">
        <f t="shared" si="58"/>
        <v>7</v>
      </c>
      <c r="CT104" s="644">
        <f t="shared" si="58"/>
        <v>0</v>
      </c>
      <c r="CU104" s="645">
        <f t="shared" si="57"/>
        <v>1</v>
      </c>
      <c r="CV104" s="163">
        <f t="shared" si="57"/>
        <v>0</v>
      </c>
      <c r="CW104" s="163">
        <f t="shared" si="57"/>
        <v>0</v>
      </c>
      <c r="CX104" s="163">
        <f t="shared" si="57"/>
        <v>1</v>
      </c>
      <c r="CY104" s="643">
        <f t="shared" si="57"/>
        <v>0</v>
      </c>
      <c r="CZ104" s="646">
        <f t="shared" si="57"/>
        <v>4</v>
      </c>
      <c r="DA104" s="645">
        <f t="shared" si="57"/>
        <v>3</v>
      </c>
      <c r="DB104" s="163">
        <f t="shared" si="57"/>
        <v>0</v>
      </c>
      <c r="DC104" s="163">
        <f t="shared" si="57"/>
        <v>0</v>
      </c>
      <c r="DD104" s="163">
        <f t="shared" si="57"/>
        <v>3</v>
      </c>
      <c r="DE104" s="644">
        <f t="shared" si="57"/>
        <v>0</v>
      </c>
      <c r="DF104" s="645">
        <f t="shared" si="57"/>
        <v>1</v>
      </c>
      <c r="DG104" s="163">
        <f t="shared" si="57"/>
        <v>0</v>
      </c>
      <c r="DH104" s="163">
        <f t="shared" si="57"/>
        <v>0</v>
      </c>
      <c r="DI104" s="163">
        <f t="shared" si="57"/>
        <v>1</v>
      </c>
      <c r="DJ104" s="643">
        <f t="shared" si="57"/>
        <v>0</v>
      </c>
      <c r="DK104" s="646">
        <f t="shared" si="57"/>
        <v>0</v>
      </c>
      <c r="DL104" s="645">
        <f t="shared" si="56"/>
        <v>0</v>
      </c>
      <c r="DM104" s="163">
        <f t="shared" si="56"/>
        <v>0</v>
      </c>
      <c r="DN104" s="163">
        <f t="shared" si="56"/>
        <v>0</v>
      </c>
      <c r="DO104" s="163">
        <f t="shared" si="56"/>
        <v>0</v>
      </c>
      <c r="DP104" s="644">
        <f t="shared" si="51"/>
        <v>0</v>
      </c>
      <c r="DQ104" s="645">
        <f t="shared" si="51"/>
        <v>0</v>
      </c>
      <c r="DR104" s="163">
        <f t="shared" si="51"/>
        <v>0</v>
      </c>
      <c r="DS104" s="163">
        <f t="shared" si="51"/>
        <v>0</v>
      </c>
      <c r="DT104" s="163">
        <f t="shared" si="51"/>
        <v>0</v>
      </c>
      <c r="DU104" s="643">
        <f t="shared" si="51"/>
        <v>0</v>
      </c>
      <c r="DW104" s="646">
        <f t="shared" si="40"/>
        <v>311</v>
      </c>
      <c r="DX104" s="645">
        <f t="shared" si="40"/>
        <v>266</v>
      </c>
      <c r="DY104" s="163">
        <f t="shared" si="40"/>
        <v>91</v>
      </c>
      <c r="DZ104" s="163">
        <f t="shared" si="38"/>
        <v>5</v>
      </c>
      <c r="EA104" s="163">
        <f t="shared" si="38"/>
        <v>170</v>
      </c>
      <c r="EB104" s="644">
        <f t="shared" si="38"/>
        <v>0</v>
      </c>
      <c r="EC104" s="645">
        <f t="shared" si="38"/>
        <v>45</v>
      </c>
      <c r="ED104" s="163">
        <f t="shared" si="38"/>
        <v>5</v>
      </c>
      <c r="EE104" s="163">
        <f t="shared" si="38"/>
        <v>0</v>
      </c>
      <c r="EF104" s="163">
        <f t="shared" si="14"/>
        <v>36</v>
      </c>
      <c r="EG104" s="643">
        <f t="shared" si="14"/>
        <v>4</v>
      </c>
      <c r="EH104" s="646">
        <f t="shared" si="29"/>
        <v>80</v>
      </c>
      <c r="EI104" s="645">
        <f t="shared" si="29"/>
        <v>60</v>
      </c>
      <c r="EJ104" s="163">
        <f t="shared" si="29"/>
        <v>20</v>
      </c>
      <c r="EK104" s="163">
        <f t="shared" si="29"/>
        <v>1</v>
      </c>
      <c r="EL104" s="163">
        <f t="shared" si="29"/>
        <v>38</v>
      </c>
      <c r="EM104" s="644">
        <f t="shared" si="49"/>
        <v>1</v>
      </c>
      <c r="EN104" s="645">
        <f t="shared" si="49"/>
        <v>20</v>
      </c>
      <c r="EO104" s="163">
        <f t="shared" si="49"/>
        <v>1</v>
      </c>
      <c r="EP104" s="163">
        <f t="shared" si="49"/>
        <v>0</v>
      </c>
      <c r="EQ104" s="163">
        <f t="shared" si="49"/>
        <v>18</v>
      </c>
      <c r="ER104" s="643">
        <f t="shared" si="49"/>
        <v>1</v>
      </c>
    </row>
    <row r="105" spans="1:148">
      <c r="A105" s="654" t="s">
        <v>245</v>
      </c>
      <c r="B105" s="658">
        <v>44713</v>
      </c>
      <c r="C105" s="659">
        <v>2022</v>
      </c>
      <c r="D105" s="646">
        <f t="shared" ref="D105:D128" si="59">SUMIFS(D$5:D$36,$B$5:$B$36,$A105)</f>
        <v>169244</v>
      </c>
      <c r="E105" s="646">
        <f t="shared" si="55"/>
        <v>9534</v>
      </c>
      <c r="F105" s="645">
        <f t="shared" si="55"/>
        <v>7875</v>
      </c>
      <c r="G105" s="163">
        <f t="shared" si="55"/>
        <v>2904</v>
      </c>
      <c r="H105" s="163">
        <f t="shared" si="55"/>
        <v>59</v>
      </c>
      <c r="I105" s="163">
        <f t="shared" si="55"/>
        <v>4868</v>
      </c>
      <c r="J105" s="644">
        <f t="shared" si="55"/>
        <v>44</v>
      </c>
      <c r="K105" s="645">
        <f t="shared" si="55"/>
        <v>1659</v>
      </c>
      <c r="L105" s="163">
        <f t="shared" si="55"/>
        <v>271</v>
      </c>
      <c r="M105" s="163">
        <f t="shared" si="55"/>
        <v>0</v>
      </c>
      <c r="N105" s="163">
        <f t="shared" si="55"/>
        <v>1271</v>
      </c>
      <c r="O105" s="643">
        <f t="shared" si="55"/>
        <v>117</v>
      </c>
      <c r="P105" s="646">
        <f t="shared" si="55"/>
        <v>13</v>
      </c>
      <c r="Q105" s="645">
        <f t="shared" si="55"/>
        <v>11</v>
      </c>
      <c r="R105" s="163">
        <f t="shared" si="55"/>
        <v>2</v>
      </c>
      <c r="S105" s="163">
        <f t="shared" si="55"/>
        <v>1</v>
      </c>
      <c r="T105" s="163">
        <f t="shared" si="55"/>
        <v>8</v>
      </c>
      <c r="U105" s="644">
        <f t="shared" si="54"/>
        <v>0</v>
      </c>
      <c r="V105" s="645">
        <f t="shared" si="54"/>
        <v>2</v>
      </c>
      <c r="W105" s="163">
        <f t="shared" si="54"/>
        <v>0</v>
      </c>
      <c r="X105" s="163">
        <f t="shared" si="54"/>
        <v>0</v>
      </c>
      <c r="Y105" s="163">
        <f t="shared" si="54"/>
        <v>2</v>
      </c>
      <c r="Z105" s="643">
        <f t="shared" si="54"/>
        <v>0</v>
      </c>
      <c r="AA105" s="646">
        <f t="shared" si="54"/>
        <v>14</v>
      </c>
      <c r="AB105" s="645">
        <f t="shared" si="54"/>
        <v>9</v>
      </c>
      <c r="AC105" s="163">
        <f t="shared" si="54"/>
        <v>4</v>
      </c>
      <c r="AD105" s="163">
        <f t="shared" si="54"/>
        <v>0</v>
      </c>
      <c r="AE105" s="163">
        <f t="shared" si="54"/>
        <v>5</v>
      </c>
      <c r="AF105" s="644">
        <f t="shared" si="54"/>
        <v>0</v>
      </c>
      <c r="AG105" s="645">
        <f t="shared" si="54"/>
        <v>5</v>
      </c>
      <c r="AH105" s="163">
        <f t="shared" si="54"/>
        <v>0</v>
      </c>
      <c r="AI105" s="163">
        <f t="shared" si="54"/>
        <v>0</v>
      </c>
      <c r="AJ105" s="163">
        <f t="shared" si="54"/>
        <v>4</v>
      </c>
      <c r="AK105" s="643">
        <f t="shared" si="54"/>
        <v>1</v>
      </c>
      <c r="AL105" s="646">
        <f t="shared" si="54"/>
        <v>80</v>
      </c>
      <c r="AM105" s="645">
        <f t="shared" si="54"/>
        <v>60</v>
      </c>
      <c r="AN105" s="163">
        <f t="shared" si="54"/>
        <v>20</v>
      </c>
      <c r="AO105" s="163">
        <f t="shared" si="54"/>
        <v>1</v>
      </c>
      <c r="AP105" s="163">
        <f t="shared" si="54"/>
        <v>38</v>
      </c>
      <c r="AQ105" s="644">
        <f t="shared" si="54"/>
        <v>1</v>
      </c>
      <c r="AR105" s="645">
        <f t="shared" si="54"/>
        <v>20</v>
      </c>
      <c r="AS105" s="163">
        <f t="shared" si="54"/>
        <v>1</v>
      </c>
      <c r="AT105" s="163">
        <f t="shared" si="54"/>
        <v>0</v>
      </c>
      <c r="AU105" s="163">
        <f t="shared" si="54"/>
        <v>18</v>
      </c>
      <c r="AV105" s="643">
        <f t="shared" si="54"/>
        <v>1</v>
      </c>
      <c r="AW105" s="646">
        <f t="shared" si="58"/>
        <v>67</v>
      </c>
      <c r="AX105" s="645">
        <f t="shared" si="58"/>
        <v>54</v>
      </c>
      <c r="AY105" s="163">
        <f t="shared" si="58"/>
        <v>29</v>
      </c>
      <c r="AZ105" s="163">
        <f t="shared" si="58"/>
        <v>0</v>
      </c>
      <c r="BA105" s="163">
        <f t="shared" si="58"/>
        <v>25</v>
      </c>
      <c r="BB105" s="644">
        <f t="shared" si="58"/>
        <v>0</v>
      </c>
      <c r="BC105" s="645">
        <f t="shared" si="58"/>
        <v>13</v>
      </c>
      <c r="BD105" s="163">
        <f t="shared" si="58"/>
        <v>1</v>
      </c>
      <c r="BE105" s="163">
        <f t="shared" si="58"/>
        <v>0</v>
      </c>
      <c r="BF105" s="163">
        <f t="shared" si="58"/>
        <v>11</v>
      </c>
      <c r="BG105" s="643">
        <f t="shared" si="58"/>
        <v>1</v>
      </c>
      <c r="BH105" s="646">
        <f t="shared" si="58"/>
        <v>82</v>
      </c>
      <c r="BI105" s="645">
        <f t="shared" si="58"/>
        <v>70</v>
      </c>
      <c r="BJ105" s="163">
        <f t="shared" si="58"/>
        <v>20</v>
      </c>
      <c r="BK105" s="163">
        <f t="shared" si="58"/>
        <v>2</v>
      </c>
      <c r="BL105" s="163">
        <f t="shared" si="58"/>
        <v>48</v>
      </c>
      <c r="BM105" s="644">
        <f t="shared" si="58"/>
        <v>0</v>
      </c>
      <c r="BN105" s="645">
        <f t="shared" si="58"/>
        <v>12</v>
      </c>
      <c r="BO105" s="163">
        <f t="shared" si="58"/>
        <v>2</v>
      </c>
      <c r="BP105" s="163">
        <f t="shared" si="58"/>
        <v>0</v>
      </c>
      <c r="BQ105" s="163">
        <f t="shared" si="58"/>
        <v>9</v>
      </c>
      <c r="BR105" s="643">
        <f t="shared" si="58"/>
        <v>1</v>
      </c>
      <c r="BS105" s="646">
        <f t="shared" si="58"/>
        <v>101</v>
      </c>
      <c r="BT105" s="645">
        <f t="shared" si="58"/>
        <v>93</v>
      </c>
      <c r="BU105" s="163">
        <f t="shared" si="58"/>
        <v>27</v>
      </c>
      <c r="BV105" s="163">
        <f t="shared" si="58"/>
        <v>1</v>
      </c>
      <c r="BW105" s="163">
        <f t="shared" si="58"/>
        <v>65</v>
      </c>
      <c r="BX105" s="644">
        <f t="shared" si="58"/>
        <v>0</v>
      </c>
      <c r="BY105" s="645">
        <f t="shared" si="58"/>
        <v>8</v>
      </c>
      <c r="BZ105" s="163">
        <f t="shared" si="58"/>
        <v>1</v>
      </c>
      <c r="CA105" s="163">
        <f t="shared" si="58"/>
        <v>0</v>
      </c>
      <c r="CB105" s="163">
        <f t="shared" si="58"/>
        <v>7</v>
      </c>
      <c r="CC105" s="643">
        <f t="shared" si="58"/>
        <v>0</v>
      </c>
      <c r="CD105" s="646">
        <f t="shared" si="58"/>
        <v>16</v>
      </c>
      <c r="CE105" s="645">
        <f t="shared" si="58"/>
        <v>13</v>
      </c>
      <c r="CF105" s="163">
        <f t="shared" si="58"/>
        <v>4</v>
      </c>
      <c r="CG105" s="163">
        <f t="shared" si="58"/>
        <v>0</v>
      </c>
      <c r="CH105" s="163">
        <f t="shared" si="58"/>
        <v>9</v>
      </c>
      <c r="CI105" s="644">
        <f t="shared" si="58"/>
        <v>0</v>
      </c>
      <c r="CJ105" s="645">
        <f t="shared" si="58"/>
        <v>3</v>
      </c>
      <c r="CK105" s="163">
        <f t="shared" si="58"/>
        <v>1</v>
      </c>
      <c r="CL105" s="163">
        <f t="shared" si="58"/>
        <v>0</v>
      </c>
      <c r="CM105" s="163">
        <f t="shared" si="58"/>
        <v>1</v>
      </c>
      <c r="CN105" s="643">
        <f t="shared" si="58"/>
        <v>1</v>
      </c>
      <c r="CO105" s="646">
        <f t="shared" si="58"/>
        <v>14</v>
      </c>
      <c r="CP105" s="645">
        <f t="shared" si="58"/>
        <v>13</v>
      </c>
      <c r="CQ105" s="163">
        <f t="shared" si="58"/>
        <v>5</v>
      </c>
      <c r="CR105" s="163">
        <f t="shared" si="58"/>
        <v>1</v>
      </c>
      <c r="CS105" s="163">
        <f t="shared" si="58"/>
        <v>7</v>
      </c>
      <c r="CT105" s="644">
        <f t="shared" si="58"/>
        <v>0</v>
      </c>
      <c r="CU105" s="645">
        <f t="shared" si="57"/>
        <v>1</v>
      </c>
      <c r="CV105" s="163">
        <f t="shared" si="57"/>
        <v>0</v>
      </c>
      <c r="CW105" s="163">
        <f t="shared" si="57"/>
        <v>0</v>
      </c>
      <c r="CX105" s="163">
        <f t="shared" si="57"/>
        <v>1</v>
      </c>
      <c r="CY105" s="643">
        <f t="shared" si="57"/>
        <v>0</v>
      </c>
      <c r="CZ105" s="646">
        <f t="shared" si="57"/>
        <v>4</v>
      </c>
      <c r="DA105" s="645">
        <f t="shared" si="57"/>
        <v>3</v>
      </c>
      <c r="DB105" s="163">
        <f t="shared" si="57"/>
        <v>0</v>
      </c>
      <c r="DC105" s="163">
        <f t="shared" si="57"/>
        <v>0</v>
      </c>
      <c r="DD105" s="163">
        <f t="shared" si="57"/>
        <v>3</v>
      </c>
      <c r="DE105" s="644">
        <f t="shared" si="57"/>
        <v>0</v>
      </c>
      <c r="DF105" s="645">
        <f t="shared" si="57"/>
        <v>1</v>
      </c>
      <c r="DG105" s="163">
        <f t="shared" si="57"/>
        <v>0</v>
      </c>
      <c r="DH105" s="163">
        <f t="shared" si="57"/>
        <v>0</v>
      </c>
      <c r="DI105" s="163">
        <f t="shared" si="57"/>
        <v>1</v>
      </c>
      <c r="DJ105" s="643">
        <f t="shared" si="57"/>
        <v>0</v>
      </c>
      <c r="DK105" s="646">
        <f t="shared" si="57"/>
        <v>0</v>
      </c>
      <c r="DL105" s="645">
        <f t="shared" si="56"/>
        <v>0</v>
      </c>
      <c r="DM105" s="163">
        <f t="shared" si="56"/>
        <v>0</v>
      </c>
      <c r="DN105" s="163">
        <f t="shared" si="56"/>
        <v>0</v>
      </c>
      <c r="DO105" s="163">
        <f t="shared" si="56"/>
        <v>0</v>
      </c>
      <c r="DP105" s="644">
        <f t="shared" si="51"/>
        <v>0</v>
      </c>
      <c r="DQ105" s="645">
        <f t="shared" si="51"/>
        <v>0</v>
      </c>
      <c r="DR105" s="163">
        <f t="shared" si="51"/>
        <v>0</v>
      </c>
      <c r="DS105" s="163">
        <f t="shared" si="51"/>
        <v>0</v>
      </c>
      <c r="DT105" s="163">
        <f t="shared" si="51"/>
        <v>0</v>
      </c>
      <c r="DU105" s="643">
        <f t="shared" si="51"/>
        <v>0</v>
      </c>
      <c r="DW105" s="646">
        <f t="shared" si="40"/>
        <v>311</v>
      </c>
      <c r="DX105" s="645">
        <f t="shared" si="40"/>
        <v>266</v>
      </c>
      <c r="DY105" s="163">
        <f t="shared" si="40"/>
        <v>91</v>
      </c>
      <c r="DZ105" s="163">
        <f t="shared" si="38"/>
        <v>5</v>
      </c>
      <c r="EA105" s="163">
        <f t="shared" si="38"/>
        <v>170</v>
      </c>
      <c r="EB105" s="644">
        <f t="shared" si="38"/>
        <v>0</v>
      </c>
      <c r="EC105" s="645">
        <f t="shared" si="38"/>
        <v>45</v>
      </c>
      <c r="ED105" s="163">
        <f t="shared" si="38"/>
        <v>5</v>
      </c>
      <c r="EE105" s="163">
        <f t="shared" si="38"/>
        <v>0</v>
      </c>
      <c r="EF105" s="163">
        <f t="shared" si="14"/>
        <v>36</v>
      </c>
      <c r="EG105" s="643">
        <f t="shared" si="14"/>
        <v>4</v>
      </c>
      <c r="EH105" s="646">
        <f t="shared" si="29"/>
        <v>80</v>
      </c>
      <c r="EI105" s="645">
        <f t="shared" si="29"/>
        <v>60</v>
      </c>
      <c r="EJ105" s="163">
        <f t="shared" si="29"/>
        <v>20</v>
      </c>
      <c r="EK105" s="163">
        <f t="shared" si="29"/>
        <v>1</v>
      </c>
      <c r="EL105" s="163">
        <f t="shared" si="29"/>
        <v>38</v>
      </c>
      <c r="EM105" s="644">
        <f t="shared" si="49"/>
        <v>1</v>
      </c>
      <c r="EN105" s="645">
        <f t="shared" si="49"/>
        <v>20</v>
      </c>
      <c r="EO105" s="163">
        <f t="shared" si="49"/>
        <v>1</v>
      </c>
      <c r="EP105" s="163">
        <f t="shared" si="49"/>
        <v>0</v>
      </c>
      <c r="EQ105" s="163">
        <f t="shared" si="49"/>
        <v>18</v>
      </c>
      <c r="ER105" s="643">
        <f t="shared" si="49"/>
        <v>1</v>
      </c>
    </row>
    <row r="106" spans="1:148">
      <c r="A106" s="654" t="s">
        <v>246</v>
      </c>
      <c r="B106" s="658">
        <v>44743</v>
      </c>
      <c r="C106" s="659">
        <v>2022</v>
      </c>
      <c r="D106" s="646">
        <f t="shared" si="59"/>
        <v>153779</v>
      </c>
      <c r="E106" s="646">
        <f t="shared" si="55"/>
        <v>11013</v>
      </c>
      <c r="F106" s="645">
        <f t="shared" si="55"/>
        <v>9716</v>
      </c>
      <c r="G106" s="163">
        <f t="shared" si="55"/>
        <v>3995</v>
      </c>
      <c r="H106" s="163">
        <f t="shared" si="55"/>
        <v>469</v>
      </c>
      <c r="I106" s="163">
        <f t="shared" si="55"/>
        <v>5206</v>
      </c>
      <c r="J106" s="644">
        <f t="shared" si="55"/>
        <v>46</v>
      </c>
      <c r="K106" s="645">
        <f t="shared" si="55"/>
        <v>1297</v>
      </c>
      <c r="L106" s="163">
        <f t="shared" si="55"/>
        <v>201</v>
      </c>
      <c r="M106" s="163">
        <f t="shared" si="55"/>
        <v>0</v>
      </c>
      <c r="N106" s="163">
        <f t="shared" si="55"/>
        <v>1001</v>
      </c>
      <c r="O106" s="643">
        <f t="shared" si="55"/>
        <v>95</v>
      </c>
      <c r="P106" s="646">
        <f t="shared" si="55"/>
        <v>15</v>
      </c>
      <c r="Q106" s="645">
        <f t="shared" si="55"/>
        <v>11</v>
      </c>
      <c r="R106" s="163">
        <f t="shared" si="55"/>
        <v>4</v>
      </c>
      <c r="S106" s="163">
        <f t="shared" si="55"/>
        <v>0</v>
      </c>
      <c r="T106" s="163">
        <f t="shared" si="55"/>
        <v>7</v>
      </c>
      <c r="U106" s="644">
        <f t="shared" si="54"/>
        <v>0</v>
      </c>
      <c r="V106" s="645">
        <f t="shared" si="54"/>
        <v>4</v>
      </c>
      <c r="W106" s="163">
        <f t="shared" si="54"/>
        <v>0</v>
      </c>
      <c r="X106" s="163">
        <f t="shared" si="54"/>
        <v>0</v>
      </c>
      <c r="Y106" s="163">
        <f t="shared" si="54"/>
        <v>3</v>
      </c>
      <c r="Z106" s="643">
        <f t="shared" si="54"/>
        <v>1</v>
      </c>
      <c r="AA106" s="646">
        <f t="shared" si="54"/>
        <v>7</v>
      </c>
      <c r="AB106" s="645">
        <f t="shared" si="54"/>
        <v>5</v>
      </c>
      <c r="AC106" s="163">
        <f t="shared" si="54"/>
        <v>1</v>
      </c>
      <c r="AD106" s="163">
        <f t="shared" si="54"/>
        <v>1</v>
      </c>
      <c r="AE106" s="163">
        <f t="shared" si="54"/>
        <v>3</v>
      </c>
      <c r="AF106" s="644">
        <f t="shared" si="54"/>
        <v>0</v>
      </c>
      <c r="AG106" s="645">
        <f t="shared" si="54"/>
        <v>2</v>
      </c>
      <c r="AH106" s="163">
        <f t="shared" si="54"/>
        <v>1</v>
      </c>
      <c r="AI106" s="163">
        <f t="shared" si="54"/>
        <v>0</v>
      </c>
      <c r="AJ106" s="163">
        <f t="shared" si="54"/>
        <v>1</v>
      </c>
      <c r="AK106" s="643">
        <f t="shared" si="54"/>
        <v>0</v>
      </c>
      <c r="AL106" s="646">
        <f t="shared" si="54"/>
        <v>104</v>
      </c>
      <c r="AM106" s="645">
        <f t="shared" si="54"/>
        <v>89</v>
      </c>
      <c r="AN106" s="163">
        <f t="shared" si="54"/>
        <v>36</v>
      </c>
      <c r="AO106" s="163">
        <f t="shared" si="54"/>
        <v>5</v>
      </c>
      <c r="AP106" s="163">
        <f t="shared" si="54"/>
        <v>48</v>
      </c>
      <c r="AQ106" s="644">
        <f t="shared" si="54"/>
        <v>0</v>
      </c>
      <c r="AR106" s="645">
        <f t="shared" si="54"/>
        <v>15</v>
      </c>
      <c r="AS106" s="163">
        <f t="shared" si="54"/>
        <v>2</v>
      </c>
      <c r="AT106" s="163">
        <f t="shared" si="54"/>
        <v>0</v>
      </c>
      <c r="AU106" s="163">
        <f t="shared" si="54"/>
        <v>12</v>
      </c>
      <c r="AV106" s="643">
        <f t="shared" si="54"/>
        <v>1</v>
      </c>
      <c r="AW106" s="646">
        <f t="shared" si="58"/>
        <v>48</v>
      </c>
      <c r="AX106" s="645">
        <f t="shared" si="58"/>
        <v>42</v>
      </c>
      <c r="AY106" s="163">
        <f t="shared" si="58"/>
        <v>19</v>
      </c>
      <c r="AZ106" s="163">
        <f t="shared" si="58"/>
        <v>0</v>
      </c>
      <c r="BA106" s="163">
        <f t="shared" si="58"/>
        <v>23</v>
      </c>
      <c r="BB106" s="644">
        <f t="shared" si="58"/>
        <v>0</v>
      </c>
      <c r="BC106" s="645">
        <f t="shared" si="58"/>
        <v>6</v>
      </c>
      <c r="BD106" s="163">
        <f t="shared" si="58"/>
        <v>1</v>
      </c>
      <c r="BE106" s="163">
        <f t="shared" si="58"/>
        <v>0</v>
      </c>
      <c r="BF106" s="163">
        <f t="shared" si="58"/>
        <v>5</v>
      </c>
      <c r="BG106" s="643">
        <f t="shared" si="58"/>
        <v>0</v>
      </c>
      <c r="BH106" s="646">
        <f t="shared" si="58"/>
        <v>105</v>
      </c>
      <c r="BI106" s="645">
        <f t="shared" si="58"/>
        <v>97</v>
      </c>
      <c r="BJ106" s="163">
        <f t="shared" si="58"/>
        <v>42</v>
      </c>
      <c r="BK106" s="163">
        <f t="shared" si="58"/>
        <v>1</v>
      </c>
      <c r="BL106" s="163">
        <f t="shared" si="58"/>
        <v>54</v>
      </c>
      <c r="BM106" s="644">
        <f t="shared" si="58"/>
        <v>0</v>
      </c>
      <c r="BN106" s="645">
        <f t="shared" si="58"/>
        <v>8</v>
      </c>
      <c r="BO106" s="163">
        <f t="shared" si="58"/>
        <v>3</v>
      </c>
      <c r="BP106" s="163">
        <f t="shared" si="58"/>
        <v>0</v>
      </c>
      <c r="BQ106" s="163">
        <f t="shared" si="58"/>
        <v>5</v>
      </c>
      <c r="BR106" s="643">
        <f t="shared" si="58"/>
        <v>0</v>
      </c>
      <c r="BS106" s="646">
        <f t="shared" si="58"/>
        <v>123</v>
      </c>
      <c r="BT106" s="645">
        <f t="shared" si="58"/>
        <v>112</v>
      </c>
      <c r="BU106" s="163">
        <f t="shared" si="58"/>
        <v>46</v>
      </c>
      <c r="BV106" s="163">
        <f t="shared" si="58"/>
        <v>0</v>
      </c>
      <c r="BW106" s="163">
        <f t="shared" si="58"/>
        <v>66</v>
      </c>
      <c r="BX106" s="644">
        <f t="shared" si="58"/>
        <v>0</v>
      </c>
      <c r="BY106" s="645">
        <f t="shared" si="58"/>
        <v>11</v>
      </c>
      <c r="BZ106" s="163">
        <f t="shared" si="58"/>
        <v>4</v>
      </c>
      <c r="CA106" s="163">
        <f t="shared" si="58"/>
        <v>0</v>
      </c>
      <c r="CB106" s="163">
        <f t="shared" si="58"/>
        <v>7</v>
      </c>
      <c r="CC106" s="643">
        <f t="shared" si="58"/>
        <v>0</v>
      </c>
      <c r="CD106" s="646">
        <f t="shared" si="58"/>
        <v>23</v>
      </c>
      <c r="CE106" s="645">
        <f t="shared" si="58"/>
        <v>21</v>
      </c>
      <c r="CF106" s="163">
        <f t="shared" si="58"/>
        <v>7</v>
      </c>
      <c r="CG106" s="163">
        <f t="shared" si="58"/>
        <v>2</v>
      </c>
      <c r="CH106" s="163">
        <f t="shared" si="58"/>
        <v>12</v>
      </c>
      <c r="CI106" s="644">
        <f t="shared" si="58"/>
        <v>0</v>
      </c>
      <c r="CJ106" s="645">
        <f t="shared" si="58"/>
        <v>2</v>
      </c>
      <c r="CK106" s="163">
        <f t="shared" si="58"/>
        <v>0</v>
      </c>
      <c r="CL106" s="163">
        <f t="shared" si="58"/>
        <v>0</v>
      </c>
      <c r="CM106" s="163">
        <f t="shared" si="58"/>
        <v>2</v>
      </c>
      <c r="CN106" s="643">
        <f t="shared" si="58"/>
        <v>0</v>
      </c>
      <c r="CO106" s="646">
        <f t="shared" si="58"/>
        <v>13</v>
      </c>
      <c r="CP106" s="645">
        <f t="shared" si="58"/>
        <v>10</v>
      </c>
      <c r="CQ106" s="163">
        <f t="shared" si="58"/>
        <v>2</v>
      </c>
      <c r="CR106" s="163">
        <f t="shared" si="58"/>
        <v>0</v>
      </c>
      <c r="CS106" s="163">
        <f t="shared" si="58"/>
        <v>8</v>
      </c>
      <c r="CT106" s="644">
        <f t="shared" si="58"/>
        <v>0</v>
      </c>
      <c r="CU106" s="645">
        <f t="shared" si="57"/>
        <v>3</v>
      </c>
      <c r="CV106" s="163">
        <f t="shared" si="57"/>
        <v>0</v>
      </c>
      <c r="CW106" s="163">
        <f t="shared" si="57"/>
        <v>0</v>
      </c>
      <c r="CX106" s="163">
        <f t="shared" si="57"/>
        <v>3</v>
      </c>
      <c r="CY106" s="643">
        <f t="shared" si="57"/>
        <v>0</v>
      </c>
      <c r="CZ106" s="646">
        <f t="shared" si="57"/>
        <v>7</v>
      </c>
      <c r="DA106" s="645">
        <f t="shared" si="57"/>
        <v>5</v>
      </c>
      <c r="DB106" s="163">
        <f t="shared" si="57"/>
        <v>3</v>
      </c>
      <c r="DC106" s="163">
        <f t="shared" si="57"/>
        <v>0</v>
      </c>
      <c r="DD106" s="163">
        <f t="shared" si="57"/>
        <v>2</v>
      </c>
      <c r="DE106" s="644">
        <f t="shared" si="57"/>
        <v>0</v>
      </c>
      <c r="DF106" s="645">
        <f t="shared" si="57"/>
        <v>2</v>
      </c>
      <c r="DG106" s="163">
        <f t="shared" si="57"/>
        <v>0</v>
      </c>
      <c r="DH106" s="163">
        <f t="shared" si="57"/>
        <v>0</v>
      </c>
      <c r="DI106" s="163">
        <f t="shared" si="57"/>
        <v>2</v>
      </c>
      <c r="DJ106" s="643">
        <f t="shared" si="57"/>
        <v>0</v>
      </c>
      <c r="DK106" s="646">
        <f t="shared" si="57"/>
        <v>0</v>
      </c>
      <c r="DL106" s="645">
        <f t="shared" si="56"/>
        <v>0</v>
      </c>
      <c r="DM106" s="163">
        <f t="shared" si="56"/>
        <v>0</v>
      </c>
      <c r="DN106" s="163">
        <f t="shared" si="56"/>
        <v>0</v>
      </c>
      <c r="DO106" s="163">
        <f t="shared" si="56"/>
        <v>0</v>
      </c>
      <c r="DP106" s="644">
        <f t="shared" si="51"/>
        <v>0</v>
      </c>
      <c r="DQ106" s="645">
        <f t="shared" si="51"/>
        <v>0</v>
      </c>
      <c r="DR106" s="163">
        <f t="shared" si="51"/>
        <v>0</v>
      </c>
      <c r="DS106" s="163">
        <f t="shared" si="51"/>
        <v>0</v>
      </c>
      <c r="DT106" s="163">
        <f t="shared" si="51"/>
        <v>0</v>
      </c>
      <c r="DU106" s="643">
        <f t="shared" si="51"/>
        <v>0</v>
      </c>
      <c r="DW106" s="646">
        <f t="shared" si="40"/>
        <v>341</v>
      </c>
      <c r="DX106" s="645">
        <f t="shared" si="40"/>
        <v>303</v>
      </c>
      <c r="DY106" s="163">
        <f t="shared" si="40"/>
        <v>124</v>
      </c>
      <c r="DZ106" s="163">
        <f t="shared" si="38"/>
        <v>4</v>
      </c>
      <c r="EA106" s="163">
        <f t="shared" si="38"/>
        <v>175</v>
      </c>
      <c r="EB106" s="644">
        <f t="shared" si="38"/>
        <v>0</v>
      </c>
      <c r="EC106" s="645">
        <f t="shared" si="38"/>
        <v>38</v>
      </c>
      <c r="ED106" s="163">
        <f t="shared" si="38"/>
        <v>9</v>
      </c>
      <c r="EE106" s="163">
        <f t="shared" si="38"/>
        <v>0</v>
      </c>
      <c r="EF106" s="163">
        <f t="shared" si="14"/>
        <v>28</v>
      </c>
      <c r="EG106" s="643">
        <f t="shared" si="14"/>
        <v>1</v>
      </c>
      <c r="EH106" s="646">
        <f t="shared" si="29"/>
        <v>104</v>
      </c>
      <c r="EI106" s="645">
        <f t="shared" si="29"/>
        <v>89</v>
      </c>
      <c r="EJ106" s="163">
        <f t="shared" si="29"/>
        <v>36</v>
      </c>
      <c r="EK106" s="163">
        <f t="shared" si="29"/>
        <v>5</v>
      </c>
      <c r="EL106" s="163">
        <f t="shared" si="29"/>
        <v>48</v>
      </c>
      <c r="EM106" s="644">
        <f t="shared" si="49"/>
        <v>0</v>
      </c>
      <c r="EN106" s="645">
        <f t="shared" si="49"/>
        <v>15</v>
      </c>
      <c r="EO106" s="163">
        <f t="shared" si="49"/>
        <v>2</v>
      </c>
      <c r="EP106" s="163">
        <f t="shared" si="49"/>
        <v>0</v>
      </c>
      <c r="EQ106" s="163">
        <f t="shared" si="49"/>
        <v>12</v>
      </c>
      <c r="ER106" s="643">
        <f t="shared" si="49"/>
        <v>1</v>
      </c>
    </row>
    <row r="107" spans="1:148">
      <c r="A107" s="654" t="s">
        <v>246</v>
      </c>
      <c r="B107" s="658">
        <v>44774</v>
      </c>
      <c r="C107" s="659">
        <v>2022</v>
      </c>
      <c r="D107" s="646">
        <f t="shared" si="59"/>
        <v>153779</v>
      </c>
      <c r="E107" s="646">
        <f t="shared" si="55"/>
        <v>11013</v>
      </c>
      <c r="F107" s="645">
        <f t="shared" si="55"/>
        <v>9716</v>
      </c>
      <c r="G107" s="163">
        <f t="shared" si="55"/>
        <v>3995</v>
      </c>
      <c r="H107" s="163">
        <f t="shared" si="55"/>
        <v>469</v>
      </c>
      <c r="I107" s="163">
        <f t="shared" si="55"/>
        <v>5206</v>
      </c>
      <c r="J107" s="644">
        <f t="shared" si="55"/>
        <v>46</v>
      </c>
      <c r="K107" s="645">
        <f t="shared" si="55"/>
        <v>1297</v>
      </c>
      <c r="L107" s="163">
        <f t="shared" si="55"/>
        <v>201</v>
      </c>
      <c r="M107" s="163">
        <f t="shared" si="55"/>
        <v>0</v>
      </c>
      <c r="N107" s="163">
        <f t="shared" si="55"/>
        <v>1001</v>
      </c>
      <c r="O107" s="643">
        <f t="shared" si="55"/>
        <v>95</v>
      </c>
      <c r="P107" s="646">
        <f t="shared" si="55"/>
        <v>15</v>
      </c>
      <c r="Q107" s="645">
        <f t="shared" si="55"/>
        <v>11</v>
      </c>
      <c r="R107" s="163">
        <f t="shared" si="55"/>
        <v>4</v>
      </c>
      <c r="S107" s="163">
        <f t="shared" si="55"/>
        <v>0</v>
      </c>
      <c r="T107" s="163">
        <f t="shared" si="55"/>
        <v>7</v>
      </c>
      <c r="U107" s="644">
        <f t="shared" si="54"/>
        <v>0</v>
      </c>
      <c r="V107" s="645">
        <f t="shared" si="54"/>
        <v>4</v>
      </c>
      <c r="W107" s="163">
        <f t="shared" si="54"/>
        <v>0</v>
      </c>
      <c r="X107" s="163">
        <f t="shared" si="54"/>
        <v>0</v>
      </c>
      <c r="Y107" s="163">
        <f t="shared" si="54"/>
        <v>3</v>
      </c>
      <c r="Z107" s="643">
        <f t="shared" si="54"/>
        <v>1</v>
      </c>
      <c r="AA107" s="646">
        <f t="shared" si="54"/>
        <v>7</v>
      </c>
      <c r="AB107" s="645">
        <f t="shared" si="54"/>
        <v>5</v>
      </c>
      <c r="AC107" s="163">
        <f t="shared" si="54"/>
        <v>1</v>
      </c>
      <c r="AD107" s="163">
        <f t="shared" si="54"/>
        <v>1</v>
      </c>
      <c r="AE107" s="163">
        <f t="shared" si="54"/>
        <v>3</v>
      </c>
      <c r="AF107" s="644">
        <f t="shared" si="54"/>
        <v>0</v>
      </c>
      <c r="AG107" s="645">
        <f t="shared" si="54"/>
        <v>2</v>
      </c>
      <c r="AH107" s="163">
        <f t="shared" si="54"/>
        <v>1</v>
      </c>
      <c r="AI107" s="163">
        <f t="shared" si="54"/>
        <v>0</v>
      </c>
      <c r="AJ107" s="163">
        <f t="shared" si="54"/>
        <v>1</v>
      </c>
      <c r="AK107" s="643">
        <f t="shared" si="54"/>
        <v>0</v>
      </c>
      <c r="AL107" s="646">
        <f t="shared" si="54"/>
        <v>104</v>
      </c>
      <c r="AM107" s="645">
        <f t="shared" si="54"/>
        <v>89</v>
      </c>
      <c r="AN107" s="163">
        <f t="shared" si="54"/>
        <v>36</v>
      </c>
      <c r="AO107" s="163">
        <f t="shared" si="54"/>
        <v>5</v>
      </c>
      <c r="AP107" s="163">
        <f t="shared" si="54"/>
        <v>48</v>
      </c>
      <c r="AQ107" s="644">
        <f t="shared" si="54"/>
        <v>0</v>
      </c>
      <c r="AR107" s="645">
        <f t="shared" si="54"/>
        <v>15</v>
      </c>
      <c r="AS107" s="163">
        <f t="shared" si="54"/>
        <v>2</v>
      </c>
      <c r="AT107" s="163">
        <f t="shared" si="54"/>
        <v>0</v>
      </c>
      <c r="AU107" s="163">
        <f t="shared" si="54"/>
        <v>12</v>
      </c>
      <c r="AV107" s="643">
        <f t="shared" si="54"/>
        <v>1</v>
      </c>
      <c r="AW107" s="646">
        <f t="shared" si="58"/>
        <v>48</v>
      </c>
      <c r="AX107" s="645">
        <f t="shared" si="58"/>
        <v>42</v>
      </c>
      <c r="AY107" s="163">
        <f t="shared" si="58"/>
        <v>19</v>
      </c>
      <c r="AZ107" s="163">
        <f t="shared" si="58"/>
        <v>0</v>
      </c>
      <c r="BA107" s="163">
        <f t="shared" si="58"/>
        <v>23</v>
      </c>
      <c r="BB107" s="644">
        <f t="shared" si="58"/>
        <v>0</v>
      </c>
      <c r="BC107" s="645">
        <f t="shared" si="58"/>
        <v>6</v>
      </c>
      <c r="BD107" s="163">
        <f t="shared" si="58"/>
        <v>1</v>
      </c>
      <c r="BE107" s="163">
        <f t="shared" si="58"/>
        <v>0</v>
      </c>
      <c r="BF107" s="163">
        <f t="shared" si="58"/>
        <v>5</v>
      </c>
      <c r="BG107" s="643">
        <f t="shared" si="58"/>
        <v>0</v>
      </c>
      <c r="BH107" s="646">
        <f t="shared" si="58"/>
        <v>105</v>
      </c>
      <c r="BI107" s="645">
        <f t="shared" si="58"/>
        <v>97</v>
      </c>
      <c r="BJ107" s="163">
        <f t="shared" si="58"/>
        <v>42</v>
      </c>
      <c r="BK107" s="163">
        <f t="shared" si="58"/>
        <v>1</v>
      </c>
      <c r="BL107" s="163">
        <f t="shared" si="58"/>
        <v>54</v>
      </c>
      <c r="BM107" s="644">
        <f t="shared" si="58"/>
        <v>0</v>
      </c>
      <c r="BN107" s="645">
        <f t="shared" si="58"/>
        <v>8</v>
      </c>
      <c r="BO107" s="163">
        <f t="shared" si="58"/>
        <v>3</v>
      </c>
      <c r="BP107" s="163">
        <f t="shared" si="58"/>
        <v>0</v>
      </c>
      <c r="BQ107" s="163">
        <f t="shared" si="58"/>
        <v>5</v>
      </c>
      <c r="BR107" s="643">
        <f t="shared" si="58"/>
        <v>0</v>
      </c>
      <c r="BS107" s="646">
        <f t="shared" si="58"/>
        <v>123</v>
      </c>
      <c r="BT107" s="645">
        <f t="shared" si="58"/>
        <v>112</v>
      </c>
      <c r="BU107" s="163">
        <f t="shared" si="58"/>
        <v>46</v>
      </c>
      <c r="BV107" s="163">
        <f t="shared" si="58"/>
        <v>0</v>
      </c>
      <c r="BW107" s="163">
        <f t="shared" si="58"/>
        <v>66</v>
      </c>
      <c r="BX107" s="644">
        <f t="shared" si="58"/>
        <v>0</v>
      </c>
      <c r="BY107" s="645">
        <f t="shared" si="58"/>
        <v>11</v>
      </c>
      <c r="BZ107" s="163">
        <f t="shared" si="58"/>
        <v>4</v>
      </c>
      <c r="CA107" s="163">
        <f t="shared" si="58"/>
        <v>0</v>
      </c>
      <c r="CB107" s="163">
        <f t="shared" si="58"/>
        <v>7</v>
      </c>
      <c r="CC107" s="643">
        <f t="shared" si="58"/>
        <v>0</v>
      </c>
      <c r="CD107" s="646">
        <f t="shared" si="58"/>
        <v>23</v>
      </c>
      <c r="CE107" s="645">
        <f t="shared" si="58"/>
        <v>21</v>
      </c>
      <c r="CF107" s="163">
        <f t="shared" si="58"/>
        <v>7</v>
      </c>
      <c r="CG107" s="163">
        <f t="shared" si="58"/>
        <v>2</v>
      </c>
      <c r="CH107" s="163">
        <f t="shared" si="58"/>
        <v>12</v>
      </c>
      <c r="CI107" s="644">
        <f t="shared" si="58"/>
        <v>0</v>
      </c>
      <c r="CJ107" s="645">
        <f t="shared" si="58"/>
        <v>2</v>
      </c>
      <c r="CK107" s="163">
        <f t="shared" si="58"/>
        <v>0</v>
      </c>
      <c r="CL107" s="163">
        <f t="shared" si="58"/>
        <v>0</v>
      </c>
      <c r="CM107" s="163">
        <f t="shared" si="58"/>
        <v>2</v>
      </c>
      <c r="CN107" s="643">
        <f t="shared" si="58"/>
        <v>0</v>
      </c>
      <c r="CO107" s="646">
        <f t="shared" si="58"/>
        <v>13</v>
      </c>
      <c r="CP107" s="645">
        <f t="shared" si="58"/>
        <v>10</v>
      </c>
      <c r="CQ107" s="163">
        <f t="shared" si="58"/>
        <v>2</v>
      </c>
      <c r="CR107" s="163">
        <f t="shared" ref="CR107:DU117" si="60">SUMIFS(CR$5:CR$36,$B$5:$B$36,$A107)</f>
        <v>0</v>
      </c>
      <c r="CS107" s="163">
        <f t="shared" si="60"/>
        <v>8</v>
      </c>
      <c r="CT107" s="644">
        <f t="shared" si="60"/>
        <v>0</v>
      </c>
      <c r="CU107" s="645">
        <f t="shared" si="60"/>
        <v>3</v>
      </c>
      <c r="CV107" s="163">
        <f t="shared" si="60"/>
        <v>0</v>
      </c>
      <c r="CW107" s="163">
        <f t="shared" si="60"/>
        <v>0</v>
      </c>
      <c r="CX107" s="163">
        <f t="shared" si="60"/>
        <v>3</v>
      </c>
      <c r="CY107" s="643">
        <f t="shared" si="60"/>
        <v>0</v>
      </c>
      <c r="CZ107" s="646">
        <f t="shared" si="60"/>
        <v>7</v>
      </c>
      <c r="DA107" s="645">
        <f t="shared" si="60"/>
        <v>5</v>
      </c>
      <c r="DB107" s="163">
        <f t="shared" si="60"/>
        <v>3</v>
      </c>
      <c r="DC107" s="163">
        <f t="shared" si="60"/>
        <v>0</v>
      </c>
      <c r="DD107" s="163">
        <f t="shared" si="60"/>
        <v>2</v>
      </c>
      <c r="DE107" s="644">
        <f t="shared" si="60"/>
        <v>0</v>
      </c>
      <c r="DF107" s="645">
        <f t="shared" si="60"/>
        <v>2</v>
      </c>
      <c r="DG107" s="163">
        <f t="shared" si="60"/>
        <v>0</v>
      </c>
      <c r="DH107" s="163">
        <f t="shared" si="60"/>
        <v>0</v>
      </c>
      <c r="DI107" s="163">
        <f t="shared" si="60"/>
        <v>2</v>
      </c>
      <c r="DJ107" s="643">
        <f t="shared" si="60"/>
        <v>0</v>
      </c>
      <c r="DK107" s="646">
        <f t="shared" si="60"/>
        <v>0</v>
      </c>
      <c r="DL107" s="645">
        <f t="shared" si="60"/>
        <v>0</v>
      </c>
      <c r="DM107" s="163">
        <f t="shared" si="60"/>
        <v>0</v>
      </c>
      <c r="DN107" s="163">
        <f t="shared" si="60"/>
        <v>0</v>
      </c>
      <c r="DO107" s="163">
        <f t="shared" si="60"/>
        <v>0</v>
      </c>
      <c r="DP107" s="644">
        <f t="shared" si="60"/>
        <v>0</v>
      </c>
      <c r="DQ107" s="645">
        <f t="shared" si="60"/>
        <v>0</v>
      </c>
      <c r="DR107" s="163">
        <f t="shared" si="60"/>
        <v>0</v>
      </c>
      <c r="DS107" s="163">
        <f t="shared" si="60"/>
        <v>0</v>
      </c>
      <c r="DT107" s="163">
        <f t="shared" si="60"/>
        <v>0</v>
      </c>
      <c r="DU107" s="643">
        <f t="shared" si="51"/>
        <v>0</v>
      </c>
      <c r="DW107" s="646">
        <f t="shared" si="40"/>
        <v>341</v>
      </c>
      <c r="DX107" s="645">
        <f t="shared" si="40"/>
        <v>303</v>
      </c>
      <c r="DY107" s="163">
        <f t="shared" si="40"/>
        <v>124</v>
      </c>
      <c r="DZ107" s="163">
        <f t="shared" si="38"/>
        <v>4</v>
      </c>
      <c r="EA107" s="163">
        <f t="shared" si="38"/>
        <v>175</v>
      </c>
      <c r="EB107" s="644">
        <f t="shared" si="38"/>
        <v>0</v>
      </c>
      <c r="EC107" s="645">
        <f t="shared" si="38"/>
        <v>38</v>
      </c>
      <c r="ED107" s="163">
        <f t="shared" si="38"/>
        <v>9</v>
      </c>
      <c r="EE107" s="163">
        <f t="shared" si="38"/>
        <v>0</v>
      </c>
      <c r="EF107" s="163">
        <f t="shared" si="14"/>
        <v>28</v>
      </c>
      <c r="EG107" s="643">
        <f t="shared" si="14"/>
        <v>1</v>
      </c>
      <c r="EH107" s="646">
        <f t="shared" si="29"/>
        <v>104</v>
      </c>
      <c r="EI107" s="645">
        <f t="shared" si="29"/>
        <v>89</v>
      </c>
      <c r="EJ107" s="163">
        <f t="shared" si="29"/>
        <v>36</v>
      </c>
      <c r="EK107" s="163">
        <f t="shared" si="29"/>
        <v>5</v>
      </c>
      <c r="EL107" s="163">
        <f t="shared" si="29"/>
        <v>48</v>
      </c>
      <c r="EM107" s="644">
        <f t="shared" si="49"/>
        <v>0</v>
      </c>
      <c r="EN107" s="645">
        <f t="shared" si="49"/>
        <v>15</v>
      </c>
      <c r="EO107" s="163">
        <f t="shared" si="49"/>
        <v>2</v>
      </c>
      <c r="EP107" s="163">
        <f t="shared" si="49"/>
        <v>0</v>
      </c>
      <c r="EQ107" s="163">
        <f t="shared" si="49"/>
        <v>12</v>
      </c>
      <c r="ER107" s="643">
        <f t="shared" si="49"/>
        <v>1</v>
      </c>
    </row>
    <row r="108" spans="1:148">
      <c r="A108" s="654" t="s">
        <v>246</v>
      </c>
      <c r="B108" s="658">
        <v>44805</v>
      </c>
      <c r="C108" s="659">
        <v>2022</v>
      </c>
      <c r="D108" s="646">
        <f t="shared" si="59"/>
        <v>153779</v>
      </c>
      <c r="E108" s="646">
        <f t="shared" si="55"/>
        <v>11013</v>
      </c>
      <c r="F108" s="645">
        <f t="shared" si="55"/>
        <v>9716</v>
      </c>
      <c r="G108" s="163">
        <f t="shared" si="55"/>
        <v>3995</v>
      </c>
      <c r="H108" s="163">
        <f t="shared" si="55"/>
        <v>469</v>
      </c>
      <c r="I108" s="163">
        <f t="shared" si="55"/>
        <v>5206</v>
      </c>
      <c r="J108" s="644">
        <f t="shared" si="55"/>
        <v>46</v>
      </c>
      <c r="K108" s="645">
        <f t="shared" si="55"/>
        <v>1297</v>
      </c>
      <c r="L108" s="163">
        <f t="shared" si="55"/>
        <v>201</v>
      </c>
      <c r="M108" s="163">
        <f t="shared" si="55"/>
        <v>0</v>
      </c>
      <c r="N108" s="163">
        <f t="shared" si="55"/>
        <v>1001</v>
      </c>
      <c r="O108" s="643">
        <f t="shared" si="55"/>
        <v>95</v>
      </c>
      <c r="P108" s="646">
        <f t="shared" si="55"/>
        <v>15</v>
      </c>
      <c r="Q108" s="645">
        <f t="shared" si="55"/>
        <v>11</v>
      </c>
      <c r="R108" s="163">
        <f t="shared" si="55"/>
        <v>4</v>
      </c>
      <c r="S108" s="163">
        <f t="shared" si="55"/>
        <v>0</v>
      </c>
      <c r="T108" s="163">
        <f t="shared" si="55"/>
        <v>7</v>
      </c>
      <c r="U108" s="644">
        <f t="shared" si="54"/>
        <v>0</v>
      </c>
      <c r="V108" s="645">
        <f t="shared" si="54"/>
        <v>4</v>
      </c>
      <c r="W108" s="163">
        <f t="shared" si="54"/>
        <v>0</v>
      </c>
      <c r="X108" s="163">
        <f t="shared" si="54"/>
        <v>0</v>
      </c>
      <c r="Y108" s="163">
        <f t="shared" si="54"/>
        <v>3</v>
      </c>
      <c r="Z108" s="643">
        <f t="shared" si="54"/>
        <v>1</v>
      </c>
      <c r="AA108" s="646">
        <f t="shared" si="54"/>
        <v>7</v>
      </c>
      <c r="AB108" s="645">
        <f t="shared" si="54"/>
        <v>5</v>
      </c>
      <c r="AC108" s="163">
        <f t="shared" si="54"/>
        <v>1</v>
      </c>
      <c r="AD108" s="163">
        <f t="shared" si="54"/>
        <v>1</v>
      </c>
      <c r="AE108" s="163">
        <f t="shared" si="54"/>
        <v>3</v>
      </c>
      <c r="AF108" s="644">
        <f t="shared" si="54"/>
        <v>0</v>
      </c>
      <c r="AG108" s="645">
        <f t="shared" si="54"/>
        <v>2</v>
      </c>
      <c r="AH108" s="163">
        <f t="shared" si="54"/>
        <v>1</v>
      </c>
      <c r="AI108" s="163">
        <f t="shared" si="54"/>
        <v>0</v>
      </c>
      <c r="AJ108" s="163">
        <f t="shared" si="54"/>
        <v>1</v>
      </c>
      <c r="AK108" s="643">
        <f t="shared" si="54"/>
        <v>0</v>
      </c>
      <c r="AL108" s="646">
        <f t="shared" si="54"/>
        <v>104</v>
      </c>
      <c r="AM108" s="645">
        <f t="shared" si="54"/>
        <v>89</v>
      </c>
      <c r="AN108" s="163">
        <f t="shared" si="54"/>
        <v>36</v>
      </c>
      <c r="AO108" s="163">
        <f t="shared" si="54"/>
        <v>5</v>
      </c>
      <c r="AP108" s="163">
        <f t="shared" si="54"/>
        <v>48</v>
      </c>
      <c r="AQ108" s="644">
        <f t="shared" si="54"/>
        <v>0</v>
      </c>
      <c r="AR108" s="645">
        <f t="shared" si="54"/>
        <v>15</v>
      </c>
      <c r="AS108" s="163">
        <f t="shared" si="54"/>
        <v>2</v>
      </c>
      <c r="AT108" s="163">
        <f t="shared" si="54"/>
        <v>0</v>
      </c>
      <c r="AU108" s="163">
        <f t="shared" si="54"/>
        <v>12</v>
      </c>
      <c r="AV108" s="643">
        <f t="shared" si="54"/>
        <v>1</v>
      </c>
      <c r="AW108" s="646">
        <f t="shared" ref="AW108:DC112" si="61">SUMIFS(AW$5:AW$36,$B$5:$B$36,$A108)</f>
        <v>48</v>
      </c>
      <c r="AX108" s="645">
        <f t="shared" si="61"/>
        <v>42</v>
      </c>
      <c r="AY108" s="163">
        <f t="shared" si="61"/>
        <v>19</v>
      </c>
      <c r="AZ108" s="163">
        <f t="shared" si="61"/>
        <v>0</v>
      </c>
      <c r="BA108" s="163">
        <f t="shared" si="61"/>
        <v>23</v>
      </c>
      <c r="BB108" s="644">
        <f t="shared" si="61"/>
        <v>0</v>
      </c>
      <c r="BC108" s="645">
        <f t="shared" si="61"/>
        <v>6</v>
      </c>
      <c r="BD108" s="163">
        <f t="shared" si="61"/>
        <v>1</v>
      </c>
      <c r="BE108" s="163">
        <f t="shared" si="61"/>
        <v>0</v>
      </c>
      <c r="BF108" s="163">
        <f t="shared" si="61"/>
        <v>5</v>
      </c>
      <c r="BG108" s="643">
        <f t="shared" si="61"/>
        <v>0</v>
      </c>
      <c r="BH108" s="646">
        <f t="shared" si="61"/>
        <v>105</v>
      </c>
      <c r="BI108" s="645">
        <f t="shared" si="61"/>
        <v>97</v>
      </c>
      <c r="BJ108" s="163">
        <f t="shared" si="61"/>
        <v>42</v>
      </c>
      <c r="BK108" s="163">
        <f t="shared" si="61"/>
        <v>1</v>
      </c>
      <c r="BL108" s="163">
        <f t="shared" si="61"/>
        <v>54</v>
      </c>
      <c r="BM108" s="644">
        <f t="shared" si="61"/>
        <v>0</v>
      </c>
      <c r="BN108" s="645">
        <f t="shared" si="61"/>
        <v>8</v>
      </c>
      <c r="BO108" s="163">
        <f t="shared" si="61"/>
        <v>3</v>
      </c>
      <c r="BP108" s="163">
        <f t="shared" si="61"/>
        <v>0</v>
      </c>
      <c r="BQ108" s="163">
        <f t="shared" si="61"/>
        <v>5</v>
      </c>
      <c r="BR108" s="643">
        <f t="shared" si="61"/>
        <v>0</v>
      </c>
      <c r="BS108" s="646">
        <f t="shared" si="61"/>
        <v>123</v>
      </c>
      <c r="BT108" s="645">
        <f t="shared" si="61"/>
        <v>112</v>
      </c>
      <c r="BU108" s="163">
        <f t="shared" si="61"/>
        <v>46</v>
      </c>
      <c r="BV108" s="163">
        <f t="shared" si="61"/>
        <v>0</v>
      </c>
      <c r="BW108" s="163">
        <f t="shared" si="61"/>
        <v>66</v>
      </c>
      <c r="BX108" s="644">
        <f t="shared" si="61"/>
        <v>0</v>
      </c>
      <c r="BY108" s="645">
        <f t="shared" si="61"/>
        <v>11</v>
      </c>
      <c r="BZ108" s="163">
        <f t="shared" si="61"/>
        <v>4</v>
      </c>
      <c r="CA108" s="163">
        <f t="shared" si="61"/>
        <v>0</v>
      </c>
      <c r="CB108" s="163">
        <f t="shared" si="61"/>
        <v>7</v>
      </c>
      <c r="CC108" s="643">
        <f t="shared" si="61"/>
        <v>0</v>
      </c>
      <c r="CD108" s="646">
        <f t="shared" si="61"/>
        <v>23</v>
      </c>
      <c r="CE108" s="645">
        <f t="shared" si="61"/>
        <v>21</v>
      </c>
      <c r="CF108" s="163">
        <f t="shared" si="61"/>
        <v>7</v>
      </c>
      <c r="CG108" s="163">
        <f t="shared" si="61"/>
        <v>2</v>
      </c>
      <c r="CH108" s="163">
        <f t="shared" si="61"/>
        <v>12</v>
      </c>
      <c r="CI108" s="644">
        <f t="shared" si="61"/>
        <v>0</v>
      </c>
      <c r="CJ108" s="645">
        <f t="shared" si="61"/>
        <v>2</v>
      </c>
      <c r="CK108" s="163">
        <f t="shared" si="61"/>
        <v>0</v>
      </c>
      <c r="CL108" s="163">
        <f t="shared" si="61"/>
        <v>0</v>
      </c>
      <c r="CM108" s="163">
        <f t="shared" si="61"/>
        <v>2</v>
      </c>
      <c r="CN108" s="643">
        <f t="shared" si="61"/>
        <v>0</v>
      </c>
      <c r="CO108" s="646">
        <f t="shared" si="61"/>
        <v>13</v>
      </c>
      <c r="CP108" s="645">
        <f t="shared" si="61"/>
        <v>10</v>
      </c>
      <c r="CQ108" s="163">
        <f t="shared" si="61"/>
        <v>2</v>
      </c>
      <c r="CR108" s="163">
        <f t="shared" si="61"/>
        <v>0</v>
      </c>
      <c r="CS108" s="163">
        <f t="shared" si="61"/>
        <v>8</v>
      </c>
      <c r="CT108" s="644">
        <f t="shared" si="61"/>
        <v>0</v>
      </c>
      <c r="CU108" s="645">
        <f t="shared" si="60"/>
        <v>3</v>
      </c>
      <c r="CV108" s="163">
        <f t="shared" si="60"/>
        <v>0</v>
      </c>
      <c r="CW108" s="163">
        <f t="shared" si="60"/>
        <v>0</v>
      </c>
      <c r="CX108" s="163">
        <f t="shared" si="60"/>
        <v>3</v>
      </c>
      <c r="CY108" s="643">
        <f t="shared" si="60"/>
        <v>0</v>
      </c>
      <c r="CZ108" s="646">
        <f t="shared" si="60"/>
        <v>7</v>
      </c>
      <c r="DA108" s="645">
        <f t="shared" si="60"/>
        <v>5</v>
      </c>
      <c r="DB108" s="163">
        <f t="shared" si="60"/>
        <v>3</v>
      </c>
      <c r="DC108" s="163">
        <f t="shared" si="60"/>
        <v>0</v>
      </c>
      <c r="DD108" s="163">
        <f t="shared" si="60"/>
        <v>2</v>
      </c>
      <c r="DE108" s="644">
        <f t="shared" si="60"/>
        <v>0</v>
      </c>
      <c r="DF108" s="645">
        <f t="shared" si="60"/>
        <v>2</v>
      </c>
      <c r="DG108" s="163">
        <f t="shared" si="60"/>
        <v>0</v>
      </c>
      <c r="DH108" s="163">
        <f t="shared" si="60"/>
        <v>0</v>
      </c>
      <c r="DI108" s="163">
        <f t="shared" si="60"/>
        <v>2</v>
      </c>
      <c r="DJ108" s="643">
        <f t="shared" si="60"/>
        <v>0</v>
      </c>
      <c r="DK108" s="646">
        <f t="shared" si="60"/>
        <v>0</v>
      </c>
      <c r="DL108" s="645">
        <f t="shared" si="60"/>
        <v>0</v>
      </c>
      <c r="DM108" s="163">
        <f t="shared" si="60"/>
        <v>0</v>
      </c>
      <c r="DN108" s="163">
        <f t="shared" si="60"/>
        <v>0</v>
      </c>
      <c r="DO108" s="163">
        <f t="shared" si="60"/>
        <v>0</v>
      </c>
      <c r="DP108" s="644">
        <f t="shared" si="60"/>
        <v>0</v>
      </c>
      <c r="DQ108" s="645">
        <f t="shared" si="60"/>
        <v>0</v>
      </c>
      <c r="DR108" s="163">
        <f t="shared" si="60"/>
        <v>0</v>
      </c>
      <c r="DS108" s="163">
        <f t="shared" si="60"/>
        <v>0</v>
      </c>
      <c r="DT108" s="163">
        <f t="shared" si="60"/>
        <v>0</v>
      </c>
      <c r="DU108" s="643">
        <f t="shared" si="51"/>
        <v>0</v>
      </c>
      <c r="DW108" s="646">
        <f t="shared" si="40"/>
        <v>341</v>
      </c>
      <c r="DX108" s="645">
        <f t="shared" si="40"/>
        <v>303</v>
      </c>
      <c r="DY108" s="163">
        <f t="shared" si="40"/>
        <v>124</v>
      </c>
      <c r="DZ108" s="163">
        <f t="shared" si="38"/>
        <v>4</v>
      </c>
      <c r="EA108" s="163">
        <f t="shared" si="38"/>
        <v>175</v>
      </c>
      <c r="EB108" s="644">
        <f t="shared" si="38"/>
        <v>0</v>
      </c>
      <c r="EC108" s="645">
        <f t="shared" si="38"/>
        <v>38</v>
      </c>
      <c r="ED108" s="163">
        <f t="shared" si="38"/>
        <v>9</v>
      </c>
      <c r="EE108" s="163">
        <f t="shared" si="38"/>
        <v>0</v>
      </c>
      <c r="EF108" s="163">
        <f t="shared" si="14"/>
        <v>28</v>
      </c>
      <c r="EG108" s="643">
        <f t="shared" si="14"/>
        <v>1</v>
      </c>
      <c r="EH108" s="646">
        <f t="shared" si="29"/>
        <v>104</v>
      </c>
      <c r="EI108" s="645">
        <f t="shared" si="29"/>
        <v>89</v>
      </c>
      <c r="EJ108" s="163">
        <f t="shared" si="29"/>
        <v>36</v>
      </c>
      <c r="EK108" s="163">
        <f t="shared" si="29"/>
        <v>5</v>
      </c>
      <c r="EL108" s="163">
        <f t="shared" si="29"/>
        <v>48</v>
      </c>
      <c r="EM108" s="644">
        <f t="shared" si="49"/>
        <v>0</v>
      </c>
      <c r="EN108" s="645">
        <f t="shared" si="49"/>
        <v>15</v>
      </c>
      <c r="EO108" s="163">
        <f t="shared" si="49"/>
        <v>2</v>
      </c>
      <c r="EP108" s="163">
        <f t="shared" si="49"/>
        <v>0</v>
      </c>
      <c r="EQ108" s="163">
        <f t="shared" si="49"/>
        <v>12</v>
      </c>
      <c r="ER108" s="643">
        <f t="shared" si="49"/>
        <v>1</v>
      </c>
    </row>
    <row r="109" spans="1:148">
      <c r="A109" s="654" t="s">
        <v>247</v>
      </c>
      <c r="B109" s="658">
        <v>44835</v>
      </c>
      <c r="C109" s="659">
        <v>2022</v>
      </c>
      <c r="D109" s="646">
        <f t="shared" si="59"/>
        <v>136338</v>
      </c>
      <c r="E109" s="646">
        <f t="shared" si="55"/>
        <v>10991</v>
      </c>
      <c r="F109" s="645">
        <f t="shared" si="55"/>
        <v>9506</v>
      </c>
      <c r="G109" s="163">
        <f t="shared" si="55"/>
        <v>2594</v>
      </c>
      <c r="H109" s="163">
        <f t="shared" si="55"/>
        <v>344</v>
      </c>
      <c r="I109" s="163">
        <f t="shared" si="55"/>
        <v>6486</v>
      </c>
      <c r="J109" s="644">
        <f t="shared" si="55"/>
        <v>82</v>
      </c>
      <c r="K109" s="645">
        <f t="shared" si="55"/>
        <v>1485</v>
      </c>
      <c r="L109" s="163">
        <f t="shared" si="55"/>
        <v>171</v>
      </c>
      <c r="M109" s="163">
        <f t="shared" si="55"/>
        <v>0</v>
      </c>
      <c r="N109" s="163">
        <f t="shared" si="55"/>
        <v>1248</v>
      </c>
      <c r="O109" s="643">
        <f t="shared" si="55"/>
        <v>66</v>
      </c>
      <c r="P109" s="646">
        <f t="shared" si="55"/>
        <v>12</v>
      </c>
      <c r="Q109" s="645">
        <f t="shared" si="55"/>
        <v>11</v>
      </c>
      <c r="R109" s="163">
        <f t="shared" si="55"/>
        <v>4</v>
      </c>
      <c r="S109" s="163">
        <f t="shared" si="55"/>
        <v>0</v>
      </c>
      <c r="T109" s="163">
        <f t="shared" si="55"/>
        <v>7</v>
      </c>
      <c r="U109" s="644">
        <f t="shared" si="54"/>
        <v>0</v>
      </c>
      <c r="V109" s="645">
        <f t="shared" si="54"/>
        <v>1</v>
      </c>
      <c r="W109" s="163">
        <f t="shared" ref="W109:AY123" si="62">SUMIFS(W$5:W$36,$B$5:$B$36,$A109)</f>
        <v>0</v>
      </c>
      <c r="X109" s="163">
        <f t="shared" si="62"/>
        <v>0</v>
      </c>
      <c r="Y109" s="163">
        <f t="shared" si="62"/>
        <v>1</v>
      </c>
      <c r="Z109" s="643">
        <f t="shared" si="62"/>
        <v>0</v>
      </c>
      <c r="AA109" s="646">
        <f t="shared" si="62"/>
        <v>6</v>
      </c>
      <c r="AB109" s="645">
        <f t="shared" si="62"/>
        <v>5</v>
      </c>
      <c r="AC109" s="163">
        <f t="shared" si="62"/>
        <v>4</v>
      </c>
      <c r="AD109" s="163">
        <f t="shared" si="62"/>
        <v>0</v>
      </c>
      <c r="AE109" s="163">
        <f t="shared" si="62"/>
        <v>1</v>
      </c>
      <c r="AF109" s="644">
        <f t="shared" si="62"/>
        <v>0</v>
      </c>
      <c r="AG109" s="645">
        <f t="shared" si="62"/>
        <v>1</v>
      </c>
      <c r="AH109" s="163">
        <f t="shared" si="62"/>
        <v>1</v>
      </c>
      <c r="AI109" s="163">
        <f t="shared" si="62"/>
        <v>0</v>
      </c>
      <c r="AJ109" s="163">
        <f t="shared" si="62"/>
        <v>0</v>
      </c>
      <c r="AK109" s="643">
        <f t="shared" si="62"/>
        <v>0</v>
      </c>
      <c r="AL109" s="646">
        <f t="shared" si="62"/>
        <v>106</v>
      </c>
      <c r="AM109" s="645">
        <f t="shared" si="62"/>
        <v>89</v>
      </c>
      <c r="AN109" s="163">
        <f t="shared" si="62"/>
        <v>34</v>
      </c>
      <c r="AO109" s="163">
        <f t="shared" si="62"/>
        <v>3</v>
      </c>
      <c r="AP109" s="163">
        <f t="shared" si="62"/>
        <v>52</v>
      </c>
      <c r="AQ109" s="644">
        <f t="shared" si="62"/>
        <v>0</v>
      </c>
      <c r="AR109" s="645">
        <f t="shared" si="62"/>
        <v>17</v>
      </c>
      <c r="AS109" s="163">
        <f t="shared" si="62"/>
        <v>1</v>
      </c>
      <c r="AT109" s="163">
        <f t="shared" si="62"/>
        <v>0</v>
      </c>
      <c r="AU109" s="163">
        <f t="shared" si="62"/>
        <v>15</v>
      </c>
      <c r="AV109" s="643">
        <f t="shared" si="62"/>
        <v>1</v>
      </c>
      <c r="AW109" s="646">
        <f t="shared" si="62"/>
        <v>65</v>
      </c>
      <c r="AX109" s="645">
        <f t="shared" si="62"/>
        <v>51</v>
      </c>
      <c r="AY109" s="163">
        <f t="shared" si="62"/>
        <v>22</v>
      </c>
      <c r="AZ109" s="163">
        <f t="shared" si="61"/>
        <v>0</v>
      </c>
      <c r="BA109" s="163">
        <f t="shared" si="61"/>
        <v>29</v>
      </c>
      <c r="BB109" s="644">
        <f t="shared" si="61"/>
        <v>0</v>
      </c>
      <c r="BC109" s="645">
        <f t="shared" si="61"/>
        <v>14</v>
      </c>
      <c r="BD109" s="163">
        <f t="shared" si="61"/>
        <v>3</v>
      </c>
      <c r="BE109" s="163">
        <f t="shared" si="61"/>
        <v>0</v>
      </c>
      <c r="BF109" s="163">
        <f t="shared" si="61"/>
        <v>11</v>
      </c>
      <c r="BG109" s="643">
        <f t="shared" si="61"/>
        <v>0</v>
      </c>
      <c r="BH109" s="646">
        <f t="shared" si="61"/>
        <v>94</v>
      </c>
      <c r="BI109" s="645">
        <f t="shared" si="61"/>
        <v>83</v>
      </c>
      <c r="BJ109" s="163">
        <f t="shared" si="61"/>
        <v>17</v>
      </c>
      <c r="BK109" s="163">
        <f t="shared" si="61"/>
        <v>2</v>
      </c>
      <c r="BL109" s="163">
        <f t="shared" si="61"/>
        <v>63</v>
      </c>
      <c r="BM109" s="644">
        <f t="shared" si="61"/>
        <v>1</v>
      </c>
      <c r="BN109" s="645">
        <f t="shared" si="61"/>
        <v>11</v>
      </c>
      <c r="BO109" s="163">
        <f t="shared" si="61"/>
        <v>3</v>
      </c>
      <c r="BP109" s="163">
        <f t="shared" si="61"/>
        <v>0</v>
      </c>
      <c r="BQ109" s="163">
        <f t="shared" si="61"/>
        <v>8</v>
      </c>
      <c r="BR109" s="643">
        <f t="shared" si="61"/>
        <v>0</v>
      </c>
      <c r="BS109" s="646">
        <f t="shared" si="61"/>
        <v>141</v>
      </c>
      <c r="BT109" s="645">
        <f t="shared" si="61"/>
        <v>126</v>
      </c>
      <c r="BU109" s="163">
        <f t="shared" si="61"/>
        <v>28</v>
      </c>
      <c r="BV109" s="163">
        <f t="shared" si="61"/>
        <v>1</v>
      </c>
      <c r="BW109" s="163">
        <f t="shared" si="61"/>
        <v>96</v>
      </c>
      <c r="BX109" s="644">
        <f t="shared" si="61"/>
        <v>1</v>
      </c>
      <c r="BY109" s="645">
        <f t="shared" si="61"/>
        <v>15</v>
      </c>
      <c r="BZ109" s="163">
        <f t="shared" si="61"/>
        <v>1</v>
      </c>
      <c r="CA109" s="163">
        <f t="shared" si="61"/>
        <v>0</v>
      </c>
      <c r="CB109" s="163">
        <f t="shared" si="61"/>
        <v>13</v>
      </c>
      <c r="CC109" s="643">
        <f t="shared" si="61"/>
        <v>1</v>
      </c>
      <c r="CD109" s="646">
        <f t="shared" si="61"/>
        <v>32</v>
      </c>
      <c r="CE109" s="645">
        <f t="shared" si="61"/>
        <v>24</v>
      </c>
      <c r="CF109" s="163">
        <f t="shared" si="61"/>
        <v>5</v>
      </c>
      <c r="CG109" s="163">
        <f t="shared" si="61"/>
        <v>0</v>
      </c>
      <c r="CH109" s="163">
        <f t="shared" si="61"/>
        <v>19</v>
      </c>
      <c r="CI109" s="644">
        <f t="shared" si="61"/>
        <v>0</v>
      </c>
      <c r="CJ109" s="645">
        <f t="shared" si="61"/>
        <v>8</v>
      </c>
      <c r="CK109" s="163">
        <f t="shared" si="61"/>
        <v>0</v>
      </c>
      <c r="CL109" s="163">
        <f t="shared" si="61"/>
        <v>0</v>
      </c>
      <c r="CM109" s="163">
        <f t="shared" si="61"/>
        <v>8</v>
      </c>
      <c r="CN109" s="643">
        <f t="shared" si="61"/>
        <v>0</v>
      </c>
      <c r="CO109" s="646">
        <f t="shared" si="61"/>
        <v>18</v>
      </c>
      <c r="CP109" s="645">
        <f t="shared" si="61"/>
        <v>17</v>
      </c>
      <c r="CQ109" s="163">
        <f t="shared" si="61"/>
        <v>8</v>
      </c>
      <c r="CR109" s="163">
        <f t="shared" si="61"/>
        <v>1</v>
      </c>
      <c r="CS109" s="163">
        <f t="shared" si="61"/>
        <v>8</v>
      </c>
      <c r="CT109" s="644">
        <f t="shared" si="61"/>
        <v>0</v>
      </c>
      <c r="CU109" s="645">
        <f t="shared" si="60"/>
        <v>1</v>
      </c>
      <c r="CV109" s="163">
        <f t="shared" si="60"/>
        <v>0</v>
      </c>
      <c r="CW109" s="163">
        <f t="shared" si="60"/>
        <v>0</v>
      </c>
      <c r="CX109" s="163">
        <f t="shared" si="60"/>
        <v>1</v>
      </c>
      <c r="CY109" s="643">
        <f t="shared" si="60"/>
        <v>0</v>
      </c>
      <c r="CZ109" s="646">
        <f t="shared" si="60"/>
        <v>8</v>
      </c>
      <c r="DA109" s="645">
        <f t="shared" si="60"/>
        <v>8</v>
      </c>
      <c r="DB109" s="163">
        <f t="shared" si="60"/>
        <v>0</v>
      </c>
      <c r="DC109" s="163">
        <f t="shared" si="60"/>
        <v>1</v>
      </c>
      <c r="DD109" s="163">
        <f t="shared" si="60"/>
        <v>7</v>
      </c>
      <c r="DE109" s="644">
        <f t="shared" si="60"/>
        <v>0</v>
      </c>
      <c r="DF109" s="645">
        <f t="shared" si="60"/>
        <v>0</v>
      </c>
      <c r="DG109" s="163">
        <f t="shared" si="60"/>
        <v>0</v>
      </c>
      <c r="DH109" s="163">
        <f t="shared" si="60"/>
        <v>0</v>
      </c>
      <c r="DI109" s="163">
        <f t="shared" si="60"/>
        <v>0</v>
      </c>
      <c r="DJ109" s="643">
        <f t="shared" si="60"/>
        <v>0</v>
      </c>
      <c r="DK109" s="646">
        <f t="shared" si="60"/>
        <v>0</v>
      </c>
      <c r="DL109" s="645">
        <f t="shared" si="60"/>
        <v>0</v>
      </c>
      <c r="DM109" s="163">
        <f t="shared" si="60"/>
        <v>0</v>
      </c>
      <c r="DN109" s="163">
        <f t="shared" si="60"/>
        <v>0</v>
      </c>
      <c r="DO109" s="163">
        <f t="shared" si="60"/>
        <v>0</v>
      </c>
      <c r="DP109" s="644">
        <f t="shared" si="60"/>
        <v>0</v>
      </c>
      <c r="DQ109" s="645">
        <f t="shared" si="60"/>
        <v>0</v>
      </c>
      <c r="DR109" s="163">
        <f t="shared" si="60"/>
        <v>0</v>
      </c>
      <c r="DS109" s="163">
        <f t="shared" si="60"/>
        <v>0</v>
      </c>
      <c r="DT109" s="163">
        <f t="shared" si="60"/>
        <v>0</v>
      </c>
      <c r="DU109" s="643">
        <f t="shared" si="60"/>
        <v>0</v>
      </c>
      <c r="DW109" s="646">
        <f t="shared" si="40"/>
        <v>376</v>
      </c>
      <c r="DX109" s="645">
        <f t="shared" si="40"/>
        <v>325</v>
      </c>
      <c r="DY109" s="163">
        <f t="shared" si="40"/>
        <v>88</v>
      </c>
      <c r="DZ109" s="163">
        <f t="shared" si="38"/>
        <v>5</v>
      </c>
      <c r="EA109" s="163">
        <f t="shared" si="38"/>
        <v>230</v>
      </c>
      <c r="EB109" s="644">
        <f t="shared" si="38"/>
        <v>2</v>
      </c>
      <c r="EC109" s="645">
        <f t="shared" si="38"/>
        <v>51</v>
      </c>
      <c r="ED109" s="163">
        <f t="shared" si="38"/>
        <v>8</v>
      </c>
      <c r="EE109" s="163">
        <f t="shared" si="38"/>
        <v>0</v>
      </c>
      <c r="EF109" s="163">
        <f t="shared" si="14"/>
        <v>42</v>
      </c>
      <c r="EG109" s="643">
        <f t="shared" si="14"/>
        <v>1</v>
      </c>
      <c r="EH109" s="646">
        <f t="shared" si="29"/>
        <v>106</v>
      </c>
      <c r="EI109" s="645">
        <f t="shared" si="29"/>
        <v>89</v>
      </c>
      <c r="EJ109" s="163">
        <f t="shared" si="29"/>
        <v>34</v>
      </c>
      <c r="EK109" s="163">
        <f t="shared" si="29"/>
        <v>3</v>
      </c>
      <c r="EL109" s="163">
        <f t="shared" si="29"/>
        <v>52</v>
      </c>
      <c r="EM109" s="644">
        <f t="shared" si="49"/>
        <v>0</v>
      </c>
      <c r="EN109" s="645">
        <f t="shared" si="49"/>
        <v>17</v>
      </c>
      <c r="EO109" s="163">
        <f t="shared" si="49"/>
        <v>1</v>
      </c>
      <c r="EP109" s="163">
        <f t="shared" si="49"/>
        <v>0</v>
      </c>
      <c r="EQ109" s="163">
        <f t="shared" si="49"/>
        <v>15</v>
      </c>
      <c r="ER109" s="643">
        <f t="shared" si="49"/>
        <v>1</v>
      </c>
    </row>
    <row r="110" spans="1:148">
      <c r="A110" s="654" t="s">
        <v>247</v>
      </c>
      <c r="B110" s="658">
        <v>44866</v>
      </c>
      <c r="C110" s="659">
        <v>2022</v>
      </c>
      <c r="D110" s="646">
        <f t="shared" si="59"/>
        <v>136338</v>
      </c>
      <c r="E110" s="646">
        <f t="shared" si="55"/>
        <v>10991</v>
      </c>
      <c r="F110" s="645">
        <f t="shared" si="55"/>
        <v>9506</v>
      </c>
      <c r="G110" s="163">
        <f t="shared" si="55"/>
        <v>2594</v>
      </c>
      <c r="H110" s="163">
        <f t="shared" si="55"/>
        <v>344</v>
      </c>
      <c r="I110" s="163">
        <f t="shared" si="55"/>
        <v>6486</v>
      </c>
      <c r="J110" s="644">
        <f t="shared" si="55"/>
        <v>82</v>
      </c>
      <c r="K110" s="645">
        <f t="shared" si="55"/>
        <v>1485</v>
      </c>
      <c r="L110" s="163">
        <f t="shared" si="55"/>
        <v>171</v>
      </c>
      <c r="M110" s="163">
        <f t="shared" si="55"/>
        <v>0</v>
      </c>
      <c r="N110" s="163">
        <f t="shared" si="55"/>
        <v>1248</v>
      </c>
      <c r="O110" s="643">
        <f t="shared" si="55"/>
        <v>66</v>
      </c>
      <c r="P110" s="646">
        <f t="shared" si="55"/>
        <v>12</v>
      </c>
      <c r="Q110" s="645">
        <f t="shared" si="55"/>
        <v>11</v>
      </c>
      <c r="R110" s="163">
        <f t="shared" si="55"/>
        <v>4</v>
      </c>
      <c r="S110" s="163">
        <f t="shared" si="55"/>
        <v>0</v>
      </c>
      <c r="T110" s="163">
        <f t="shared" si="55"/>
        <v>7</v>
      </c>
      <c r="U110" s="644">
        <f t="shared" ref="U110:AH111" si="63">SUMIFS(U$5:U$36,$B$5:$B$36,$A110)</f>
        <v>0</v>
      </c>
      <c r="V110" s="645">
        <f t="shared" si="63"/>
        <v>1</v>
      </c>
      <c r="W110" s="163">
        <f t="shared" si="63"/>
        <v>0</v>
      </c>
      <c r="X110" s="163">
        <f t="shared" si="63"/>
        <v>0</v>
      </c>
      <c r="Y110" s="163">
        <f t="shared" si="63"/>
        <v>1</v>
      </c>
      <c r="Z110" s="643">
        <f t="shared" si="63"/>
        <v>0</v>
      </c>
      <c r="AA110" s="646">
        <f t="shared" si="63"/>
        <v>6</v>
      </c>
      <c r="AB110" s="645">
        <f t="shared" si="63"/>
        <v>5</v>
      </c>
      <c r="AC110" s="163">
        <f t="shared" si="63"/>
        <v>4</v>
      </c>
      <c r="AD110" s="163">
        <f t="shared" si="63"/>
        <v>0</v>
      </c>
      <c r="AE110" s="163">
        <f t="shared" si="63"/>
        <v>1</v>
      </c>
      <c r="AF110" s="644">
        <f t="shared" si="63"/>
        <v>0</v>
      </c>
      <c r="AG110" s="645">
        <f t="shared" si="63"/>
        <v>1</v>
      </c>
      <c r="AH110" s="163">
        <f t="shared" si="63"/>
        <v>1</v>
      </c>
      <c r="AI110" s="163">
        <f t="shared" si="62"/>
        <v>0</v>
      </c>
      <c r="AJ110" s="163">
        <f t="shared" si="62"/>
        <v>0</v>
      </c>
      <c r="AK110" s="643">
        <f t="shared" si="62"/>
        <v>0</v>
      </c>
      <c r="AL110" s="646">
        <f t="shared" si="62"/>
        <v>106</v>
      </c>
      <c r="AM110" s="645">
        <f t="shared" si="62"/>
        <v>89</v>
      </c>
      <c r="AN110" s="163">
        <f t="shared" si="62"/>
        <v>34</v>
      </c>
      <c r="AO110" s="163">
        <f t="shared" si="62"/>
        <v>3</v>
      </c>
      <c r="AP110" s="163">
        <f t="shared" si="62"/>
        <v>52</v>
      </c>
      <c r="AQ110" s="644">
        <f t="shared" si="62"/>
        <v>0</v>
      </c>
      <c r="AR110" s="645">
        <f t="shared" si="62"/>
        <v>17</v>
      </c>
      <c r="AS110" s="163">
        <f t="shared" si="62"/>
        <v>1</v>
      </c>
      <c r="AT110" s="163">
        <f t="shared" si="62"/>
        <v>0</v>
      </c>
      <c r="AU110" s="163">
        <f t="shared" si="62"/>
        <v>15</v>
      </c>
      <c r="AV110" s="643">
        <f t="shared" si="62"/>
        <v>1</v>
      </c>
      <c r="AW110" s="646">
        <f t="shared" si="62"/>
        <v>65</v>
      </c>
      <c r="AX110" s="645">
        <f t="shared" si="62"/>
        <v>51</v>
      </c>
      <c r="AY110" s="163">
        <f t="shared" si="62"/>
        <v>22</v>
      </c>
      <c r="AZ110" s="163">
        <f t="shared" si="61"/>
        <v>0</v>
      </c>
      <c r="BA110" s="163">
        <f t="shared" si="61"/>
        <v>29</v>
      </c>
      <c r="BB110" s="644">
        <f t="shared" si="61"/>
        <v>0</v>
      </c>
      <c r="BC110" s="645">
        <f t="shared" si="61"/>
        <v>14</v>
      </c>
      <c r="BD110" s="163">
        <f t="shared" si="61"/>
        <v>3</v>
      </c>
      <c r="BE110" s="163">
        <f t="shared" si="61"/>
        <v>0</v>
      </c>
      <c r="BF110" s="163">
        <f t="shared" si="61"/>
        <v>11</v>
      </c>
      <c r="BG110" s="643">
        <f t="shared" si="61"/>
        <v>0</v>
      </c>
      <c r="BH110" s="646">
        <f t="shared" si="61"/>
        <v>94</v>
      </c>
      <c r="BI110" s="645">
        <f t="shared" si="61"/>
        <v>83</v>
      </c>
      <c r="BJ110" s="163">
        <f t="shared" si="61"/>
        <v>17</v>
      </c>
      <c r="BK110" s="163">
        <f t="shared" si="61"/>
        <v>2</v>
      </c>
      <c r="BL110" s="163">
        <f t="shared" si="61"/>
        <v>63</v>
      </c>
      <c r="BM110" s="644">
        <f t="shared" si="61"/>
        <v>1</v>
      </c>
      <c r="BN110" s="645">
        <f t="shared" si="61"/>
        <v>11</v>
      </c>
      <c r="BO110" s="163">
        <f t="shared" si="61"/>
        <v>3</v>
      </c>
      <c r="BP110" s="163">
        <f t="shared" si="61"/>
        <v>0</v>
      </c>
      <c r="BQ110" s="163">
        <f t="shared" si="61"/>
        <v>8</v>
      </c>
      <c r="BR110" s="643">
        <f t="shared" si="61"/>
        <v>0</v>
      </c>
      <c r="BS110" s="646">
        <f t="shared" si="61"/>
        <v>141</v>
      </c>
      <c r="BT110" s="645">
        <f t="shared" si="61"/>
        <v>126</v>
      </c>
      <c r="BU110" s="163">
        <f t="shared" si="61"/>
        <v>28</v>
      </c>
      <c r="BV110" s="163">
        <f t="shared" si="61"/>
        <v>1</v>
      </c>
      <c r="BW110" s="163">
        <f t="shared" si="61"/>
        <v>96</v>
      </c>
      <c r="BX110" s="644">
        <f t="shared" si="61"/>
        <v>1</v>
      </c>
      <c r="BY110" s="645">
        <f t="shared" si="61"/>
        <v>15</v>
      </c>
      <c r="BZ110" s="163">
        <f t="shared" si="61"/>
        <v>1</v>
      </c>
      <c r="CA110" s="163">
        <f t="shared" si="61"/>
        <v>0</v>
      </c>
      <c r="CB110" s="163">
        <f t="shared" si="61"/>
        <v>13</v>
      </c>
      <c r="CC110" s="643">
        <f t="shared" si="61"/>
        <v>1</v>
      </c>
      <c r="CD110" s="646">
        <f t="shared" si="61"/>
        <v>32</v>
      </c>
      <c r="CE110" s="645">
        <f t="shared" si="61"/>
        <v>24</v>
      </c>
      <c r="CF110" s="163">
        <f t="shared" si="61"/>
        <v>5</v>
      </c>
      <c r="CG110" s="163">
        <f t="shared" si="61"/>
        <v>0</v>
      </c>
      <c r="CH110" s="163">
        <f t="shared" si="61"/>
        <v>19</v>
      </c>
      <c r="CI110" s="644">
        <f t="shared" si="61"/>
        <v>0</v>
      </c>
      <c r="CJ110" s="645">
        <f t="shared" si="61"/>
        <v>8</v>
      </c>
      <c r="CK110" s="163">
        <f t="shared" si="61"/>
        <v>0</v>
      </c>
      <c r="CL110" s="163">
        <f t="shared" si="61"/>
        <v>0</v>
      </c>
      <c r="CM110" s="163">
        <f t="shared" si="61"/>
        <v>8</v>
      </c>
      <c r="CN110" s="643">
        <f t="shared" si="61"/>
        <v>0</v>
      </c>
      <c r="CO110" s="646">
        <f t="shared" si="61"/>
        <v>18</v>
      </c>
      <c r="CP110" s="645">
        <f t="shared" si="61"/>
        <v>17</v>
      </c>
      <c r="CQ110" s="163">
        <f t="shared" si="61"/>
        <v>8</v>
      </c>
      <c r="CR110" s="163">
        <f t="shared" si="61"/>
        <v>1</v>
      </c>
      <c r="CS110" s="163">
        <f t="shared" si="61"/>
        <v>8</v>
      </c>
      <c r="CT110" s="644">
        <f t="shared" si="61"/>
        <v>0</v>
      </c>
      <c r="CU110" s="645">
        <f t="shared" si="60"/>
        <v>1</v>
      </c>
      <c r="CV110" s="163">
        <f t="shared" si="60"/>
        <v>0</v>
      </c>
      <c r="CW110" s="163">
        <f t="shared" si="60"/>
        <v>0</v>
      </c>
      <c r="CX110" s="163">
        <f t="shared" si="60"/>
        <v>1</v>
      </c>
      <c r="CY110" s="643">
        <f t="shared" si="60"/>
        <v>0</v>
      </c>
      <c r="CZ110" s="646">
        <f t="shared" si="60"/>
        <v>8</v>
      </c>
      <c r="DA110" s="645">
        <f t="shared" si="60"/>
        <v>8</v>
      </c>
      <c r="DB110" s="163">
        <f t="shared" si="60"/>
        <v>0</v>
      </c>
      <c r="DC110" s="163">
        <f t="shared" si="60"/>
        <v>1</v>
      </c>
      <c r="DD110" s="163">
        <f t="shared" si="60"/>
        <v>7</v>
      </c>
      <c r="DE110" s="644">
        <f t="shared" si="60"/>
        <v>0</v>
      </c>
      <c r="DF110" s="645">
        <f t="shared" si="60"/>
        <v>0</v>
      </c>
      <c r="DG110" s="163">
        <f t="shared" si="60"/>
        <v>0</v>
      </c>
      <c r="DH110" s="163">
        <f t="shared" si="60"/>
        <v>0</v>
      </c>
      <c r="DI110" s="163">
        <f t="shared" si="60"/>
        <v>0</v>
      </c>
      <c r="DJ110" s="643">
        <f t="shared" si="60"/>
        <v>0</v>
      </c>
      <c r="DK110" s="646">
        <f t="shared" si="60"/>
        <v>0</v>
      </c>
      <c r="DL110" s="645">
        <f t="shared" si="60"/>
        <v>0</v>
      </c>
      <c r="DM110" s="163">
        <f t="shared" si="60"/>
        <v>0</v>
      </c>
      <c r="DN110" s="163">
        <f t="shared" si="60"/>
        <v>0</v>
      </c>
      <c r="DO110" s="163">
        <f t="shared" si="60"/>
        <v>0</v>
      </c>
      <c r="DP110" s="644">
        <f t="shared" si="60"/>
        <v>0</v>
      </c>
      <c r="DQ110" s="645">
        <f t="shared" si="60"/>
        <v>0</v>
      </c>
      <c r="DR110" s="163">
        <f t="shared" si="60"/>
        <v>0</v>
      </c>
      <c r="DS110" s="163">
        <f t="shared" si="60"/>
        <v>0</v>
      </c>
      <c r="DT110" s="163">
        <f t="shared" si="60"/>
        <v>0</v>
      </c>
      <c r="DU110" s="643">
        <f t="shared" si="60"/>
        <v>0</v>
      </c>
      <c r="DW110" s="646">
        <f t="shared" si="40"/>
        <v>376</v>
      </c>
      <c r="DX110" s="645">
        <f t="shared" si="40"/>
        <v>325</v>
      </c>
      <c r="DY110" s="163">
        <f t="shared" si="40"/>
        <v>88</v>
      </c>
      <c r="DZ110" s="163">
        <f t="shared" si="38"/>
        <v>5</v>
      </c>
      <c r="EA110" s="163">
        <f t="shared" si="38"/>
        <v>230</v>
      </c>
      <c r="EB110" s="644">
        <f t="shared" si="38"/>
        <v>2</v>
      </c>
      <c r="EC110" s="645">
        <f t="shared" si="38"/>
        <v>51</v>
      </c>
      <c r="ED110" s="163">
        <f t="shared" si="38"/>
        <v>8</v>
      </c>
      <c r="EE110" s="163">
        <f t="shared" si="38"/>
        <v>0</v>
      </c>
      <c r="EF110" s="163">
        <f t="shared" si="14"/>
        <v>42</v>
      </c>
      <c r="EG110" s="643">
        <f t="shared" si="14"/>
        <v>1</v>
      </c>
      <c r="EH110" s="646">
        <f t="shared" si="29"/>
        <v>106</v>
      </c>
      <c r="EI110" s="645">
        <f t="shared" si="29"/>
        <v>89</v>
      </c>
      <c r="EJ110" s="163">
        <f t="shared" si="29"/>
        <v>34</v>
      </c>
      <c r="EK110" s="163">
        <f t="shared" si="29"/>
        <v>3</v>
      </c>
      <c r="EL110" s="163">
        <f t="shared" si="29"/>
        <v>52</v>
      </c>
      <c r="EM110" s="644">
        <f t="shared" si="49"/>
        <v>0</v>
      </c>
      <c r="EN110" s="645">
        <f t="shared" si="49"/>
        <v>17</v>
      </c>
      <c r="EO110" s="163">
        <f t="shared" si="49"/>
        <v>1</v>
      </c>
      <c r="EP110" s="163">
        <f t="shared" si="49"/>
        <v>0</v>
      </c>
      <c r="EQ110" s="163">
        <f t="shared" si="49"/>
        <v>15</v>
      </c>
      <c r="ER110" s="643">
        <f t="shared" si="49"/>
        <v>1</v>
      </c>
    </row>
    <row r="111" spans="1:148">
      <c r="A111" s="654" t="s">
        <v>247</v>
      </c>
      <c r="B111" s="658">
        <v>44896</v>
      </c>
      <c r="C111" s="659">
        <v>2022</v>
      </c>
      <c r="D111" s="646">
        <f t="shared" si="59"/>
        <v>136338</v>
      </c>
      <c r="E111" s="646">
        <f t="shared" si="55"/>
        <v>10991</v>
      </c>
      <c r="F111" s="645">
        <f t="shared" si="55"/>
        <v>9506</v>
      </c>
      <c r="G111" s="163">
        <f t="shared" si="55"/>
        <v>2594</v>
      </c>
      <c r="H111" s="163">
        <f t="shared" si="55"/>
        <v>344</v>
      </c>
      <c r="I111" s="163">
        <f t="shared" si="55"/>
        <v>6486</v>
      </c>
      <c r="J111" s="644">
        <f t="shared" si="55"/>
        <v>82</v>
      </c>
      <c r="K111" s="645">
        <f t="shared" si="55"/>
        <v>1485</v>
      </c>
      <c r="L111" s="163">
        <f t="shared" si="55"/>
        <v>171</v>
      </c>
      <c r="M111" s="163">
        <f t="shared" si="55"/>
        <v>0</v>
      </c>
      <c r="N111" s="163">
        <f t="shared" si="55"/>
        <v>1248</v>
      </c>
      <c r="O111" s="643">
        <f t="shared" si="55"/>
        <v>66</v>
      </c>
      <c r="P111" s="646">
        <f t="shared" si="55"/>
        <v>12</v>
      </c>
      <c r="Q111" s="645">
        <f t="shared" si="55"/>
        <v>11</v>
      </c>
      <c r="R111" s="163">
        <f t="shared" si="55"/>
        <v>4</v>
      </c>
      <c r="S111" s="163">
        <f t="shared" si="55"/>
        <v>0</v>
      </c>
      <c r="T111" s="163">
        <f t="shared" si="55"/>
        <v>7</v>
      </c>
      <c r="U111" s="644">
        <f t="shared" si="63"/>
        <v>0</v>
      </c>
      <c r="V111" s="645">
        <f t="shared" si="63"/>
        <v>1</v>
      </c>
      <c r="W111" s="163">
        <f t="shared" si="63"/>
        <v>0</v>
      </c>
      <c r="X111" s="163">
        <f t="shared" si="63"/>
        <v>0</v>
      </c>
      <c r="Y111" s="163">
        <f t="shared" si="63"/>
        <v>1</v>
      </c>
      <c r="Z111" s="643">
        <f t="shared" si="63"/>
        <v>0</v>
      </c>
      <c r="AA111" s="646">
        <f t="shared" si="63"/>
        <v>6</v>
      </c>
      <c r="AB111" s="645">
        <f t="shared" si="63"/>
        <v>5</v>
      </c>
      <c r="AC111" s="163">
        <f t="shared" si="63"/>
        <v>4</v>
      </c>
      <c r="AD111" s="163">
        <f t="shared" si="63"/>
        <v>0</v>
      </c>
      <c r="AE111" s="163">
        <f t="shared" si="63"/>
        <v>1</v>
      </c>
      <c r="AF111" s="644">
        <f t="shared" si="63"/>
        <v>0</v>
      </c>
      <c r="AG111" s="645">
        <f t="shared" si="63"/>
        <v>1</v>
      </c>
      <c r="AH111" s="163">
        <f t="shared" si="63"/>
        <v>1</v>
      </c>
      <c r="AI111" s="163">
        <f t="shared" si="62"/>
        <v>0</v>
      </c>
      <c r="AJ111" s="163">
        <f t="shared" si="62"/>
        <v>0</v>
      </c>
      <c r="AK111" s="643">
        <f t="shared" si="62"/>
        <v>0</v>
      </c>
      <c r="AL111" s="646">
        <f t="shared" si="62"/>
        <v>106</v>
      </c>
      <c r="AM111" s="645">
        <f t="shared" si="62"/>
        <v>89</v>
      </c>
      <c r="AN111" s="163">
        <f t="shared" si="62"/>
        <v>34</v>
      </c>
      <c r="AO111" s="163">
        <f t="shared" si="62"/>
        <v>3</v>
      </c>
      <c r="AP111" s="163">
        <f t="shared" si="62"/>
        <v>52</v>
      </c>
      <c r="AQ111" s="644">
        <f t="shared" si="62"/>
        <v>0</v>
      </c>
      <c r="AR111" s="645">
        <f t="shared" si="62"/>
        <v>17</v>
      </c>
      <c r="AS111" s="163">
        <f t="shared" si="62"/>
        <v>1</v>
      </c>
      <c r="AT111" s="163">
        <f t="shared" si="62"/>
        <v>0</v>
      </c>
      <c r="AU111" s="163">
        <f t="shared" si="62"/>
        <v>15</v>
      </c>
      <c r="AV111" s="643">
        <f t="shared" si="62"/>
        <v>1</v>
      </c>
      <c r="AW111" s="646">
        <f t="shared" si="62"/>
        <v>65</v>
      </c>
      <c r="AX111" s="645">
        <f t="shared" si="62"/>
        <v>51</v>
      </c>
      <c r="AY111" s="163">
        <f t="shared" si="62"/>
        <v>22</v>
      </c>
      <c r="AZ111" s="163">
        <f t="shared" si="61"/>
        <v>0</v>
      </c>
      <c r="BA111" s="163">
        <f t="shared" si="61"/>
        <v>29</v>
      </c>
      <c r="BB111" s="644">
        <f t="shared" si="61"/>
        <v>0</v>
      </c>
      <c r="BC111" s="645">
        <f t="shared" si="61"/>
        <v>14</v>
      </c>
      <c r="BD111" s="163">
        <f t="shared" si="61"/>
        <v>3</v>
      </c>
      <c r="BE111" s="163">
        <f t="shared" si="61"/>
        <v>0</v>
      </c>
      <c r="BF111" s="163">
        <f t="shared" si="61"/>
        <v>11</v>
      </c>
      <c r="BG111" s="643">
        <f t="shared" si="61"/>
        <v>0</v>
      </c>
      <c r="BH111" s="646">
        <f t="shared" si="61"/>
        <v>94</v>
      </c>
      <c r="BI111" s="645">
        <f t="shared" si="61"/>
        <v>83</v>
      </c>
      <c r="BJ111" s="163">
        <f t="shared" si="61"/>
        <v>17</v>
      </c>
      <c r="BK111" s="163">
        <f t="shared" si="61"/>
        <v>2</v>
      </c>
      <c r="BL111" s="163">
        <f t="shared" si="61"/>
        <v>63</v>
      </c>
      <c r="BM111" s="644">
        <f t="shared" si="61"/>
        <v>1</v>
      </c>
      <c r="BN111" s="645">
        <f t="shared" si="61"/>
        <v>11</v>
      </c>
      <c r="BO111" s="163">
        <f t="shared" si="61"/>
        <v>3</v>
      </c>
      <c r="BP111" s="163">
        <f t="shared" si="61"/>
        <v>0</v>
      </c>
      <c r="BQ111" s="163">
        <f t="shared" si="61"/>
        <v>8</v>
      </c>
      <c r="BR111" s="643">
        <f t="shared" si="61"/>
        <v>0</v>
      </c>
      <c r="BS111" s="646">
        <f t="shared" si="61"/>
        <v>141</v>
      </c>
      <c r="BT111" s="645">
        <f t="shared" si="61"/>
        <v>126</v>
      </c>
      <c r="BU111" s="163">
        <f t="shared" si="61"/>
        <v>28</v>
      </c>
      <c r="BV111" s="163">
        <f t="shared" si="61"/>
        <v>1</v>
      </c>
      <c r="BW111" s="163">
        <f t="shared" si="61"/>
        <v>96</v>
      </c>
      <c r="BX111" s="644">
        <f t="shared" si="61"/>
        <v>1</v>
      </c>
      <c r="BY111" s="645">
        <f t="shared" si="61"/>
        <v>15</v>
      </c>
      <c r="BZ111" s="163">
        <f t="shared" si="61"/>
        <v>1</v>
      </c>
      <c r="CA111" s="163">
        <f t="shared" si="61"/>
        <v>0</v>
      </c>
      <c r="CB111" s="163">
        <f t="shared" si="61"/>
        <v>13</v>
      </c>
      <c r="CC111" s="643">
        <f t="shared" si="61"/>
        <v>1</v>
      </c>
      <c r="CD111" s="646">
        <f t="shared" si="61"/>
        <v>32</v>
      </c>
      <c r="CE111" s="645">
        <f t="shared" si="61"/>
        <v>24</v>
      </c>
      <c r="CF111" s="163">
        <f t="shared" si="61"/>
        <v>5</v>
      </c>
      <c r="CG111" s="163">
        <f t="shared" si="61"/>
        <v>0</v>
      </c>
      <c r="CH111" s="163">
        <f t="shared" si="61"/>
        <v>19</v>
      </c>
      <c r="CI111" s="644">
        <f t="shared" si="61"/>
        <v>0</v>
      </c>
      <c r="CJ111" s="645">
        <f t="shared" si="61"/>
        <v>8</v>
      </c>
      <c r="CK111" s="163">
        <f t="shared" si="61"/>
        <v>0</v>
      </c>
      <c r="CL111" s="163">
        <f t="shared" si="61"/>
        <v>0</v>
      </c>
      <c r="CM111" s="163">
        <f t="shared" si="61"/>
        <v>8</v>
      </c>
      <c r="CN111" s="643">
        <f t="shared" si="61"/>
        <v>0</v>
      </c>
      <c r="CO111" s="646">
        <f t="shared" si="61"/>
        <v>18</v>
      </c>
      <c r="CP111" s="645">
        <f t="shared" si="61"/>
        <v>17</v>
      </c>
      <c r="CQ111" s="163">
        <f t="shared" si="61"/>
        <v>8</v>
      </c>
      <c r="CR111" s="163">
        <f t="shared" si="61"/>
        <v>1</v>
      </c>
      <c r="CS111" s="163">
        <f t="shared" si="61"/>
        <v>8</v>
      </c>
      <c r="CT111" s="644">
        <f t="shared" si="61"/>
        <v>0</v>
      </c>
      <c r="CU111" s="645">
        <f t="shared" si="61"/>
        <v>1</v>
      </c>
      <c r="CV111" s="163">
        <f t="shared" si="61"/>
        <v>0</v>
      </c>
      <c r="CW111" s="163">
        <f t="shared" si="61"/>
        <v>0</v>
      </c>
      <c r="CX111" s="163">
        <f t="shared" si="61"/>
        <v>1</v>
      </c>
      <c r="CY111" s="643">
        <f t="shared" si="61"/>
        <v>0</v>
      </c>
      <c r="CZ111" s="646">
        <f t="shared" si="61"/>
        <v>8</v>
      </c>
      <c r="DA111" s="645">
        <f t="shared" si="61"/>
        <v>8</v>
      </c>
      <c r="DB111" s="163">
        <f t="shared" si="61"/>
        <v>0</v>
      </c>
      <c r="DC111" s="163">
        <f t="shared" si="60"/>
        <v>1</v>
      </c>
      <c r="DD111" s="163">
        <f t="shared" si="60"/>
        <v>7</v>
      </c>
      <c r="DE111" s="644">
        <f t="shared" si="60"/>
        <v>0</v>
      </c>
      <c r="DF111" s="645">
        <f t="shared" si="60"/>
        <v>0</v>
      </c>
      <c r="DG111" s="163">
        <f t="shared" si="60"/>
        <v>0</v>
      </c>
      <c r="DH111" s="163">
        <f t="shared" si="60"/>
        <v>0</v>
      </c>
      <c r="DI111" s="163">
        <f t="shared" si="60"/>
        <v>0</v>
      </c>
      <c r="DJ111" s="643">
        <f t="shared" si="60"/>
        <v>0</v>
      </c>
      <c r="DK111" s="646">
        <f t="shared" si="60"/>
        <v>0</v>
      </c>
      <c r="DL111" s="645">
        <f t="shared" si="60"/>
        <v>0</v>
      </c>
      <c r="DM111" s="163">
        <f t="shared" si="60"/>
        <v>0</v>
      </c>
      <c r="DN111" s="163">
        <f t="shared" si="60"/>
        <v>0</v>
      </c>
      <c r="DO111" s="163">
        <f t="shared" si="60"/>
        <v>0</v>
      </c>
      <c r="DP111" s="644">
        <f t="shared" si="60"/>
        <v>0</v>
      </c>
      <c r="DQ111" s="645">
        <f t="shared" si="60"/>
        <v>0</v>
      </c>
      <c r="DR111" s="163">
        <f t="shared" si="60"/>
        <v>0</v>
      </c>
      <c r="DS111" s="163">
        <f t="shared" si="60"/>
        <v>0</v>
      </c>
      <c r="DT111" s="163">
        <f t="shared" si="60"/>
        <v>0</v>
      </c>
      <c r="DU111" s="643">
        <f t="shared" si="60"/>
        <v>0</v>
      </c>
      <c r="DW111" s="646">
        <f t="shared" si="40"/>
        <v>376</v>
      </c>
      <c r="DX111" s="645">
        <f t="shared" si="40"/>
        <v>325</v>
      </c>
      <c r="DY111" s="163">
        <f t="shared" si="40"/>
        <v>88</v>
      </c>
      <c r="DZ111" s="163">
        <f t="shared" si="38"/>
        <v>5</v>
      </c>
      <c r="EA111" s="163">
        <f t="shared" si="38"/>
        <v>230</v>
      </c>
      <c r="EB111" s="644">
        <f t="shared" si="38"/>
        <v>2</v>
      </c>
      <c r="EC111" s="645">
        <f t="shared" si="38"/>
        <v>51</v>
      </c>
      <c r="ED111" s="163">
        <f t="shared" si="38"/>
        <v>8</v>
      </c>
      <c r="EE111" s="163">
        <f t="shared" si="38"/>
        <v>0</v>
      </c>
      <c r="EF111" s="163">
        <f t="shared" si="38"/>
        <v>42</v>
      </c>
      <c r="EG111" s="643">
        <f t="shared" si="38"/>
        <v>1</v>
      </c>
      <c r="EH111" s="646">
        <f t="shared" si="29"/>
        <v>106</v>
      </c>
      <c r="EI111" s="645">
        <f t="shared" si="29"/>
        <v>89</v>
      </c>
      <c r="EJ111" s="163">
        <f t="shared" si="29"/>
        <v>34</v>
      </c>
      <c r="EK111" s="163">
        <f t="shared" si="29"/>
        <v>3</v>
      </c>
      <c r="EL111" s="163">
        <f t="shared" si="29"/>
        <v>52</v>
      </c>
      <c r="EM111" s="644">
        <f t="shared" si="49"/>
        <v>0</v>
      </c>
      <c r="EN111" s="645">
        <f t="shared" si="49"/>
        <v>17</v>
      </c>
      <c r="EO111" s="163">
        <f t="shared" si="49"/>
        <v>1</v>
      </c>
      <c r="EP111" s="163">
        <f t="shared" si="49"/>
        <v>0</v>
      </c>
      <c r="EQ111" s="163">
        <f t="shared" si="49"/>
        <v>15</v>
      </c>
      <c r="ER111" s="643">
        <f t="shared" si="49"/>
        <v>1</v>
      </c>
    </row>
    <row r="112" spans="1:148">
      <c r="A112" s="654" t="s">
        <v>248</v>
      </c>
      <c r="B112" s="658">
        <v>44927</v>
      </c>
      <c r="C112" s="659">
        <v>2023</v>
      </c>
      <c r="D112" s="646">
        <f t="shared" si="59"/>
        <v>143618</v>
      </c>
      <c r="E112" s="646">
        <f t="shared" si="55"/>
        <v>8520</v>
      </c>
      <c r="F112" s="645">
        <f t="shared" si="55"/>
        <v>6760</v>
      </c>
      <c r="G112" s="163">
        <f t="shared" si="55"/>
        <v>2365</v>
      </c>
      <c r="H112" s="163">
        <f t="shared" si="55"/>
        <v>354</v>
      </c>
      <c r="I112" s="163">
        <f t="shared" si="55"/>
        <v>3938</v>
      </c>
      <c r="J112" s="644">
        <f t="shared" si="55"/>
        <v>103</v>
      </c>
      <c r="K112" s="645">
        <f t="shared" si="55"/>
        <v>1760</v>
      </c>
      <c r="L112" s="163">
        <f t="shared" si="55"/>
        <v>85</v>
      </c>
      <c r="M112" s="163">
        <f t="shared" si="55"/>
        <v>0</v>
      </c>
      <c r="N112" s="163">
        <f t="shared" si="55"/>
        <v>1480</v>
      </c>
      <c r="O112" s="643">
        <f t="shared" si="55"/>
        <v>195</v>
      </c>
      <c r="P112" s="646">
        <f t="shared" si="55"/>
        <v>19</v>
      </c>
      <c r="Q112" s="645">
        <f t="shared" si="55"/>
        <v>9</v>
      </c>
      <c r="R112" s="163">
        <f t="shared" si="55"/>
        <v>7</v>
      </c>
      <c r="S112" s="163">
        <f t="shared" si="55"/>
        <v>0</v>
      </c>
      <c r="T112" s="163">
        <f t="shared" ref="T112:AV127" si="64">SUMIFS(T$5:T$36,$B$5:$B$36,$A112)</f>
        <v>2</v>
      </c>
      <c r="U112" s="644">
        <f t="shared" si="64"/>
        <v>0</v>
      </c>
      <c r="V112" s="645">
        <f t="shared" si="64"/>
        <v>10</v>
      </c>
      <c r="W112" s="163">
        <f t="shared" si="64"/>
        <v>0</v>
      </c>
      <c r="X112" s="163">
        <f t="shared" si="64"/>
        <v>0</v>
      </c>
      <c r="Y112" s="163">
        <f t="shared" si="64"/>
        <v>8</v>
      </c>
      <c r="Z112" s="643">
        <f t="shared" si="64"/>
        <v>2</v>
      </c>
      <c r="AA112" s="646">
        <f t="shared" si="64"/>
        <v>12</v>
      </c>
      <c r="AB112" s="645">
        <f t="shared" si="64"/>
        <v>11</v>
      </c>
      <c r="AC112" s="163">
        <f t="shared" si="64"/>
        <v>2</v>
      </c>
      <c r="AD112" s="163">
        <f t="shared" si="64"/>
        <v>0</v>
      </c>
      <c r="AE112" s="163">
        <f t="shared" si="64"/>
        <v>9</v>
      </c>
      <c r="AF112" s="644">
        <f t="shared" si="64"/>
        <v>0</v>
      </c>
      <c r="AG112" s="645">
        <f t="shared" si="64"/>
        <v>1</v>
      </c>
      <c r="AH112" s="163">
        <f t="shared" si="64"/>
        <v>0</v>
      </c>
      <c r="AI112" s="163">
        <f t="shared" si="62"/>
        <v>0</v>
      </c>
      <c r="AJ112" s="163">
        <f t="shared" si="62"/>
        <v>1</v>
      </c>
      <c r="AK112" s="643">
        <f t="shared" si="62"/>
        <v>0</v>
      </c>
      <c r="AL112" s="646">
        <f t="shared" si="62"/>
        <v>90</v>
      </c>
      <c r="AM112" s="645">
        <f t="shared" si="62"/>
        <v>73</v>
      </c>
      <c r="AN112" s="163">
        <f t="shared" si="62"/>
        <v>22</v>
      </c>
      <c r="AO112" s="163">
        <f t="shared" si="62"/>
        <v>2</v>
      </c>
      <c r="AP112" s="163">
        <f t="shared" si="62"/>
        <v>49</v>
      </c>
      <c r="AQ112" s="644">
        <f t="shared" si="62"/>
        <v>0</v>
      </c>
      <c r="AR112" s="645">
        <f t="shared" si="62"/>
        <v>17</v>
      </c>
      <c r="AS112" s="163">
        <f t="shared" si="62"/>
        <v>0</v>
      </c>
      <c r="AT112" s="163">
        <f t="shared" si="62"/>
        <v>0</v>
      </c>
      <c r="AU112" s="163">
        <f t="shared" si="62"/>
        <v>17</v>
      </c>
      <c r="AV112" s="643">
        <f t="shared" si="62"/>
        <v>0</v>
      </c>
      <c r="AW112" s="646">
        <f t="shared" si="62"/>
        <v>53</v>
      </c>
      <c r="AX112" s="645">
        <f t="shared" si="62"/>
        <v>42</v>
      </c>
      <c r="AY112" s="163">
        <f t="shared" si="62"/>
        <v>14</v>
      </c>
      <c r="AZ112" s="163">
        <f t="shared" si="61"/>
        <v>3</v>
      </c>
      <c r="BA112" s="163">
        <f t="shared" si="61"/>
        <v>25</v>
      </c>
      <c r="BB112" s="644">
        <f t="shared" si="61"/>
        <v>0</v>
      </c>
      <c r="BC112" s="645">
        <f t="shared" si="61"/>
        <v>11</v>
      </c>
      <c r="BD112" s="163">
        <f t="shared" si="61"/>
        <v>0</v>
      </c>
      <c r="BE112" s="163">
        <f t="shared" si="61"/>
        <v>0</v>
      </c>
      <c r="BF112" s="163">
        <f t="shared" si="61"/>
        <v>11</v>
      </c>
      <c r="BG112" s="643">
        <f t="shared" si="61"/>
        <v>0</v>
      </c>
      <c r="BH112" s="646">
        <f t="shared" si="61"/>
        <v>67</v>
      </c>
      <c r="BI112" s="645">
        <f t="shared" si="61"/>
        <v>59</v>
      </c>
      <c r="BJ112" s="163">
        <f t="shared" si="61"/>
        <v>20</v>
      </c>
      <c r="BK112" s="163">
        <f t="shared" si="61"/>
        <v>2</v>
      </c>
      <c r="BL112" s="163">
        <f t="shared" si="61"/>
        <v>37</v>
      </c>
      <c r="BM112" s="644">
        <f t="shared" si="61"/>
        <v>0</v>
      </c>
      <c r="BN112" s="645">
        <f t="shared" si="61"/>
        <v>8</v>
      </c>
      <c r="BO112" s="163">
        <f t="shared" si="61"/>
        <v>0</v>
      </c>
      <c r="BP112" s="163">
        <f t="shared" si="61"/>
        <v>0</v>
      </c>
      <c r="BQ112" s="163">
        <f t="shared" si="61"/>
        <v>7</v>
      </c>
      <c r="BR112" s="643">
        <f t="shared" si="61"/>
        <v>1</v>
      </c>
      <c r="BS112" s="646">
        <f t="shared" si="61"/>
        <v>121</v>
      </c>
      <c r="BT112" s="645">
        <f t="shared" si="61"/>
        <v>101</v>
      </c>
      <c r="BU112" s="163">
        <f t="shared" si="61"/>
        <v>29</v>
      </c>
      <c r="BV112" s="163">
        <f t="shared" si="61"/>
        <v>2</v>
      </c>
      <c r="BW112" s="163">
        <f t="shared" si="61"/>
        <v>70</v>
      </c>
      <c r="BX112" s="644">
        <f t="shared" si="61"/>
        <v>0</v>
      </c>
      <c r="BY112" s="645">
        <f t="shared" si="61"/>
        <v>20</v>
      </c>
      <c r="BZ112" s="163">
        <f t="shared" si="61"/>
        <v>0</v>
      </c>
      <c r="CA112" s="163">
        <f t="shared" si="61"/>
        <v>0</v>
      </c>
      <c r="CB112" s="163">
        <f t="shared" si="61"/>
        <v>19</v>
      </c>
      <c r="CC112" s="643">
        <f t="shared" si="61"/>
        <v>1</v>
      </c>
      <c r="CD112" s="646">
        <f t="shared" si="61"/>
        <v>13</v>
      </c>
      <c r="CE112" s="645">
        <f t="shared" si="61"/>
        <v>9</v>
      </c>
      <c r="CF112" s="163">
        <f t="shared" si="61"/>
        <v>4</v>
      </c>
      <c r="CG112" s="163">
        <f t="shared" si="61"/>
        <v>0</v>
      </c>
      <c r="CH112" s="163">
        <f t="shared" si="61"/>
        <v>5</v>
      </c>
      <c r="CI112" s="644">
        <f t="shared" si="61"/>
        <v>0</v>
      </c>
      <c r="CJ112" s="645">
        <f t="shared" si="61"/>
        <v>4</v>
      </c>
      <c r="CK112" s="163">
        <f t="shared" si="61"/>
        <v>0</v>
      </c>
      <c r="CL112" s="163">
        <f t="shared" si="61"/>
        <v>0</v>
      </c>
      <c r="CM112" s="163">
        <f t="shared" si="61"/>
        <v>4</v>
      </c>
      <c r="CN112" s="643">
        <f t="shared" si="61"/>
        <v>0</v>
      </c>
      <c r="CO112" s="646">
        <f t="shared" si="61"/>
        <v>9</v>
      </c>
      <c r="CP112" s="645">
        <f t="shared" si="61"/>
        <v>8</v>
      </c>
      <c r="CQ112" s="163">
        <f t="shared" si="61"/>
        <v>2</v>
      </c>
      <c r="CR112" s="163">
        <f t="shared" si="61"/>
        <v>1</v>
      </c>
      <c r="CS112" s="163">
        <f t="shared" si="61"/>
        <v>5</v>
      </c>
      <c r="CT112" s="644">
        <f t="shared" si="61"/>
        <v>0</v>
      </c>
      <c r="CU112" s="645">
        <f t="shared" si="61"/>
        <v>1</v>
      </c>
      <c r="CV112" s="163">
        <f t="shared" si="61"/>
        <v>0</v>
      </c>
      <c r="CW112" s="163">
        <f t="shared" si="61"/>
        <v>0</v>
      </c>
      <c r="CX112" s="163">
        <f t="shared" si="61"/>
        <v>1</v>
      </c>
      <c r="CY112" s="643">
        <f t="shared" si="61"/>
        <v>0</v>
      </c>
      <c r="CZ112" s="646">
        <f t="shared" si="61"/>
        <v>6</v>
      </c>
      <c r="DA112" s="645">
        <f t="shared" si="61"/>
        <v>3</v>
      </c>
      <c r="DB112" s="163">
        <f t="shared" si="61"/>
        <v>2</v>
      </c>
      <c r="DC112" s="163">
        <f t="shared" si="61"/>
        <v>0</v>
      </c>
      <c r="DD112" s="163">
        <f t="shared" si="60"/>
        <v>1</v>
      </c>
      <c r="DE112" s="644">
        <f t="shared" si="60"/>
        <v>0</v>
      </c>
      <c r="DF112" s="645">
        <f t="shared" si="60"/>
        <v>3</v>
      </c>
      <c r="DG112" s="163">
        <f t="shared" si="60"/>
        <v>0</v>
      </c>
      <c r="DH112" s="163">
        <f t="shared" si="60"/>
        <v>0</v>
      </c>
      <c r="DI112" s="163">
        <f t="shared" si="60"/>
        <v>0</v>
      </c>
      <c r="DJ112" s="643">
        <f t="shared" si="60"/>
        <v>3</v>
      </c>
      <c r="DK112" s="646">
        <f t="shared" si="60"/>
        <v>1</v>
      </c>
      <c r="DL112" s="645">
        <f t="shared" si="60"/>
        <v>1</v>
      </c>
      <c r="DM112" s="163">
        <f t="shared" si="60"/>
        <v>0</v>
      </c>
      <c r="DN112" s="163">
        <f t="shared" si="60"/>
        <v>1</v>
      </c>
      <c r="DO112" s="163">
        <f t="shared" si="60"/>
        <v>0</v>
      </c>
      <c r="DP112" s="644">
        <f t="shared" si="60"/>
        <v>0</v>
      </c>
      <c r="DQ112" s="645">
        <f t="shared" si="60"/>
        <v>0</v>
      </c>
      <c r="DR112" s="163">
        <f t="shared" si="60"/>
        <v>0</v>
      </c>
      <c r="DS112" s="163">
        <f t="shared" si="60"/>
        <v>0</v>
      </c>
      <c r="DT112" s="163">
        <f t="shared" si="60"/>
        <v>0</v>
      </c>
      <c r="DU112" s="643">
        <f t="shared" si="60"/>
        <v>0</v>
      </c>
      <c r="DW112" s="646">
        <f t="shared" si="40"/>
        <v>301</v>
      </c>
      <c r="DX112" s="645">
        <f t="shared" si="40"/>
        <v>243</v>
      </c>
      <c r="DY112" s="163">
        <f t="shared" si="40"/>
        <v>80</v>
      </c>
      <c r="DZ112" s="163">
        <f t="shared" si="38"/>
        <v>9</v>
      </c>
      <c r="EA112" s="163">
        <f t="shared" si="38"/>
        <v>154</v>
      </c>
      <c r="EB112" s="644">
        <f t="shared" si="38"/>
        <v>0</v>
      </c>
      <c r="EC112" s="645">
        <f t="shared" si="38"/>
        <v>58</v>
      </c>
      <c r="ED112" s="163">
        <f t="shared" si="38"/>
        <v>0</v>
      </c>
      <c r="EE112" s="163">
        <f t="shared" si="38"/>
        <v>0</v>
      </c>
      <c r="EF112" s="163">
        <f t="shared" si="38"/>
        <v>51</v>
      </c>
      <c r="EG112" s="643">
        <f t="shared" si="38"/>
        <v>7</v>
      </c>
      <c r="EH112" s="646">
        <f t="shared" si="29"/>
        <v>90</v>
      </c>
      <c r="EI112" s="645">
        <f t="shared" si="29"/>
        <v>73</v>
      </c>
      <c r="EJ112" s="163">
        <f t="shared" si="29"/>
        <v>22</v>
      </c>
      <c r="EK112" s="163">
        <f t="shared" si="29"/>
        <v>2</v>
      </c>
      <c r="EL112" s="163">
        <f t="shared" si="29"/>
        <v>49</v>
      </c>
      <c r="EM112" s="644">
        <f t="shared" si="49"/>
        <v>0</v>
      </c>
      <c r="EN112" s="645">
        <f t="shared" si="49"/>
        <v>17</v>
      </c>
      <c r="EO112" s="163">
        <f t="shared" si="49"/>
        <v>0</v>
      </c>
      <c r="EP112" s="163">
        <f t="shared" si="49"/>
        <v>0</v>
      </c>
      <c r="EQ112" s="163">
        <f t="shared" si="49"/>
        <v>17</v>
      </c>
      <c r="ER112" s="643">
        <f t="shared" si="49"/>
        <v>0</v>
      </c>
    </row>
    <row r="113" spans="1:148">
      <c r="A113" s="654" t="s">
        <v>248</v>
      </c>
      <c r="B113" s="658">
        <v>44958</v>
      </c>
      <c r="C113" s="659">
        <v>2023</v>
      </c>
      <c r="D113" s="646">
        <f t="shared" si="59"/>
        <v>143618</v>
      </c>
      <c r="E113" s="646">
        <f t="shared" ref="E113:T128" si="65">SUMIFS(E$5:E$36,$B$5:$B$36,$A113)</f>
        <v>8520</v>
      </c>
      <c r="F113" s="645">
        <f t="shared" si="65"/>
        <v>6760</v>
      </c>
      <c r="G113" s="163">
        <f t="shared" si="65"/>
        <v>2365</v>
      </c>
      <c r="H113" s="163">
        <f t="shared" si="65"/>
        <v>354</v>
      </c>
      <c r="I113" s="163">
        <f t="shared" si="65"/>
        <v>3938</v>
      </c>
      <c r="J113" s="644">
        <f t="shared" si="65"/>
        <v>103</v>
      </c>
      <c r="K113" s="645">
        <f t="shared" si="65"/>
        <v>1760</v>
      </c>
      <c r="L113" s="163">
        <f t="shared" si="65"/>
        <v>85</v>
      </c>
      <c r="M113" s="163">
        <f t="shared" si="65"/>
        <v>0</v>
      </c>
      <c r="N113" s="163">
        <f t="shared" si="65"/>
        <v>1480</v>
      </c>
      <c r="O113" s="643">
        <f t="shared" si="65"/>
        <v>195</v>
      </c>
      <c r="P113" s="646">
        <f t="shared" si="65"/>
        <v>19</v>
      </c>
      <c r="Q113" s="645">
        <f t="shared" si="65"/>
        <v>9</v>
      </c>
      <c r="R113" s="163">
        <f t="shared" si="65"/>
        <v>7</v>
      </c>
      <c r="S113" s="163">
        <f t="shared" si="65"/>
        <v>0</v>
      </c>
      <c r="T113" s="163">
        <f t="shared" si="65"/>
        <v>2</v>
      </c>
      <c r="U113" s="644">
        <f t="shared" si="64"/>
        <v>0</v>
      </c>
      <c r="V113" s="645">
        <f t="shared" si="64"/>
        <v>10</v>
      </c>
      <c r="W113" s="163">
        <f t="shared" si="64"/>
        <v>0</v>
      </c>
      <c r="X113" s="163">
        <f t="shared" si="64"/>
        <v>0</v>
      </c>
      <c r="Y113" s="163">
        <f t="shared" si="64"/>
        <v>8</v>
      </c>
      <c r="Z113" s="643">
        <f t="shared" si="64"/>
        <v>2</v>
      </c>
      <c r="AA113" s="646">
        <f t="shared" si="64"/>
        <v>12</v>
      </c>
      <c r="AB113" s="645">
        <f t="shared" si="64"/>
        <v>11</v>
      </c>
      <c r="AC113" s="163">
        <f t="shared" si="64"/>
        <v>2</v>
      </c>
      <c r="AD113" s="163">
        <f t="shared" si="64"/>
        <v>0</v>
      </c>
      <c r="AE113" s="163">
        <f t="shared" si="64"/>
        <v>9</v>
      </c>
      <c r="AF113" s="644">
        <f t="shared" si="64"/>
        <v>0</v>
      </c>
      <c r="AG113" s="645">
        <f t="shared" si="64"/>
        <v>1</v>
      </c>
      <c r="AH113" s="163">
        <f t="shared" si="64"/>
        <v>0</v>
      </c>
      <c r="AI113" s="163">
        <f t="shared" si="62"/>
        <v>0</v>
      </c>
      <c r="AJ113" s="163">
        <f t="shared" si="62"/>
        <v>1</v>
      </c>
      <c r="AK113" s="643">
        <f t="shared" si="62"/>
        <v>0</v>
      </c>
      <c r="AL113" s="646">
        <f t="shared" si="62"/>
        <v>90</v>
      </c>
      <c r="AM113" s="645">
        <f t="shared" si="62"/>
        <v>73</v>
      </c>
      <c r="AN113" s="163">
        <f t="shared" si="62"/>
        <v>22</v>
      </c>
      <c r="AO113" s="163">
        <f t="shared" si="62"/>
        <v>2</v>
      </c>
      <c r="AP113" s="163">
        <f t="shared" si="62"/>
        <v>49</v>
      </c>
      <c r="AQ113" s="644">
        <f t="shared" si="62"/>
        <v>0</v>
      </c>
      <c r="AR113" s="645">
        <f t="shared" si="62"/>
        <v>17</v>
      </c>
      <c r="AS113" s="163">
        <f t="shared" si="62"/>
        <v>0</v>
      </c>
      <c r="AT113" s="163">
        <f t="shared" si="62"/>
        <v>0</v>
      </c>
      <c r="AU113" s="163">
        <f t="shared" si="62"/>
        <v>17</v>
      </c>
      <c r="AV113" s="643">
        <f t="shared" si="62"/>
        <v>0</v>
      </c>
      <c r="AW113" s="646">
        <f t="shared" si="62"/>
        <v>53</v>
      </c>
      <c r="AX113" s="645">
        <f t="shared" si="62"/>
        <v>42</v>
      </c>
      <c r="AY113" s="163">
        <f t="shared" si="62"/>
        <v>14</v>
      </c>
      <c r="AZ113" s="163">
        <f t="shared" ref="AZ113:DK118" si="66">SUMIFS(AZ$5:AZ$36,$B$5:$B$36,$A113)</f>
        <v>3</v>
      </c>
      <c r="BA113" s="163">
        <f t="shared" si="66"/>
        <v>25</v>
      </c>
      <c r="BB113" s="644">
        <f t="shared" si="66"/>
        <v>0</v>
      </c>
      <c r="BC113" s="645">
        <f t="shared" si="66"/>
        <v>11</v>
      </c>
      <c r="BD113" s="163">
        <f t="shared" si="66"/>
        <v>0</v>
      </c>
      <c r="BE113" s="163">
        <f t="shared" si="66"/>
        <v>0</v>
      </c>
      <c r="BF113" s="163">
        <f t="shared" si="66"/>
        <v>11</v>
      </c>
      <c r="BG113" s="643">
        <f t="shared" si="66"/>
        <v>0</v>
      </c>
      <c r="BH113" s="646">
        <f t="shared" si="66"/>
        <v>67</v>
      </c>
      <c r="BI113" s="645">
        <f t="shared" si="66"/>
        <v>59</v>
      </c>
      <c r="BJ113" s="163">
        <f t="shared" si="66"/>
        <v>20</v>
      </c>
      <c r="BK113" s="163">
        <f t="shared" si="66"/>
        <v>2</v>
      </c>
      <c r="BL113" s="163">
        <f t="shared" si="66"/>
        <v>37</v>
      </c>
      <c r="BM113" s="644">
        <f t="shared" si="66"/>
        <v>0</v>
      </c>
      <c r="BN113" s="645">
        <f t="shared" si="66"/>
        <v>8</v>
      </c>
      <c r="BO113" s="163">
        <f t="shared" si="66"/>
        <v>0</v>
      </c>
      <c r="BP113" s="163">
        <f t="shared" si="66"/>
        <v>0</v>
      </c>
      <c r="BQ113" s="163">
        <f t="shared" si="66"/>
        <v>7</v>
      </c>
      <c r="BR113" s="643">
        <f t="shared" si="66"/>
        <v>1</v>
      </c>
      <c r="BS113" s="646">
        <f t="shared" si="66"/>
        <v>121</v>
      </c>
      <c r="BT113" s="645">
        <f t="shared" si="66"/>
        <v>101</v>
      </c>
      <c r="BU113" s="163">
        <f t="shared" si="66"/>
        <v>29</v>
      </c>
      <c r="BV113" s="163">
        <f t="shared" si="66"/>
        <v>2</v>
      </c>
      <c r="BW113" s="163">
        <f t="shared" si="66"/>
        <v>70</v>
      </c>
      <c r="BX113" s="644">
        <f t="shared" si="66"/>
        <v>0</v>
      </c>
      <c r="BY113" s="645">
        <f t="shared" si="66"/>
        <v>20</v>
      </c>
      <c r="BZ113" s="163">
        <f t="shared" si="66"/>
        <v>0</v>
      </c>
      <c r="CA113" s="163">
        <f t="shared" si="66"/>
        <v>0</v>
      </c>
      <c r="CB113" s="163">
        <f t="shared" si="66"/>
        <v>19</v>
      </c>
      <c r="CC113" s="643">
        <f t="shared" si="66"/>
        <v>1</v>
      </c>
      <c r="CD113" s="646">
        <f t="shared" si="66"/>
        <v>13</v>
      </c>
      <c r="CE113" s="645">
        <f t="shared" si="66"/>
        <v>9</v>
      </c>
      <c r="CF113" s="163">
        <f t="shared" si="66"/>
        <v>4</v>
      </c>
      <c r="CG113" s="163">
        <f t="shared" si="66"/>
        <v>0</v>
      </c>
      <c r="CH113" s="163">
        <f t="shared" si="66"/>
        <v>5</v>
      </c>
      <c r="CI113" s="644">
        <f t="shared" si="66"/>
        <v>0</v>
      </c>
      <c r="CJ113" s="645">
        <f t="shared" si="66"/>
        <v>4</v>
      </c>
      <c r="CK113" s="163">
        <f t="shared" si="66"/>
        <v>0</v>
      </c>
      <c r="CL113" s="163">
        <f t="shared" si="66"/>
        <v>0</v>
      </c>
      <c r="CM113" s="163">
        <f t="shared" si="66"/>
        <v>4</v>
      </c>
      <c r="CN113" s="643">
        <f t="shared" si="66"/>
        <v>0</v>
      </c>
      <c r="CO113" s="646">
        <f t="shared" si="66"/>
        <v>9</v>
      </c>
      <c r="CP113" s="645">
        <f t="shared" si="66"/>
        <v>8</v>
      </c>
      <c r="CQ113" s="163">
        <f t="shared" si="66"/>
        <v>2</v>
      </c>
      <c r="CR113" s="163">
        <f t="shared" si="66"/>
        <v>1</v>
      </c>
      <c r="CS113" s="163">
        <f t="shared" si="66"/>
        <v>5</v>
      </c>
      <c r="CT113" s="644">
        <f t="shared" si="66"/>
        <v>0</v>
      </c>
      <c r="CU113" s="645">
        <f t="shared" si="60"/>
        <v>1</v>
      </c>
      <c r="CV113" s="163">
        <f t="shared" si="60"/>
        <v>0</v>
      </c>
      <c r="CW113" s="163">
        <f t="shared" si="60"/>
        <v>0</v>
      </c>
      <c r="CX113" s="163">
        <f t="shared" si="60"/>
        <v>1</v>
      </c>
      <c r="CY113" s="643">
        <f t="shared" si="60"/>
        <v>0</v>
      </c>
      <c r="CZ113" s="646">
        <f t="shared" si="60"/>
        <v>6</v>
      </c>
      <c r="DA113" s="645">
        <f t="shared" si="60"/>
        <v>3</v>
      </c>
      <c r="DB113" s="163">
        <f t="shared" si="60"/>
        <v>2</v>
      </c>
      <c r="DC113" s="163">
        <f t="shared" si="60"/>
        <v>0</v>
      </c>
      <c r="DD113" s="163">
        <f t="shared" si="60"/>
        <v>1</v>
      </c>
      <c r="DE113" s="644">
        <f t="shared" si="60"/>
        <v>0</v>
      </c>
      <c r="DF113" s="645">
        <f t="shared" si="60"/>
        <v>3</v>
      </c>
      <c r="DG113" s="163">
        <f t="shared" si="60"/>
        <v>0</v>
      </c>
      <c r="DH113" s="163">
        <f t="shared" si="60"/>
        <v>0</v>
      </c>
      <c r="DI113" s="163">
        <f t="shared" si="60"/>
        <v>0</v>
      </c>
      <c r="DJ113" s="643">
        <f t="shared" si="60"/>
        <v>3</v>
      </c>
      <c r="DK113" s="646">
        <f t="shared" si="60"/>
        <v>1</v>
      </c>
      <c r="DL113" s="645">
        <f t="shared" si="60"/>
        <v>1</v>
      </c>
      <c r="DM113" s="163">
        <f t="shared" si="60"/>
        <v>0</v>
      </c>
      <c r="DN113" s="163">
        <f t="shared" si="60"/>
        <v>1</v>
      </c>
      <c r="DO113" s="163">
        <f t="shared" si="60"/>
        <v>0</v>
      </c>
      <c r="DP113" s="644">
        <f t="shared" si="60"/>
        <v>0</v>
      </c>
      <c r="DQ113" s="645">
        <f t="shared" si="60"/>
        <v>0</v>
      </c>
      <c r="DR113" s="163">
        <f t="shared" si="60"/>
        <v>0</v>
      </c>
      <c r="DS113" s="163">
        <f t="shared" si="60"/>
        <v>0</v>
      </c>
      <c r="DT113" s="163">
        <f t="shared" si="60"/>
        <v>0</v>
      </c>
      <c r="DU113" s="643">
        <f t="shared" si="60"/>
        <v>0</v>
      </c>
      <c r="DW113" s="646">
        <f t="shared" si="40"/>
        <v>301</v>
      </c>
      <c r="DX113" s="645">
        <f t="shared" si="40"/>
        <v>243</v>
      </c>
      <c r="DY113" s="163">
        <f t="shared" si="40"/>
        <v>80</v>
      </c>
      <c r="DZ113" s="163">
        <f t="shared" si="38"/>
        <v>9</v>
      </c>
      <c r="EA113" s="163">
        <f t="shared" si="38"/>
        <v>154</v>
      </c>
      <c r="EB113" s="644">
        <f t="shared" si="38"/>
        <v>0</v>
      </c>
      <c r="EC113" s="645">
        <f t="shared" si="38"/>
        <v>58</v>
      </c>
      <c r="ED113" s="163">
        <f t="shared" si="38"/>
        <v>0</v>
      </c>
      <c r="EE113" s="163">
        <f t="shared" si="38"/>
        <v>0</v>
      </c>
      <c r="EF113" s="163">
        <f t="shared" si="38"/>
        <v>51</v>
      </c>
      <c r="EG113" s="643">
        <f t="shared" si="38"/>
        <v>7</v>
      </c>
      <c r="EH113" s="646">
        <f t="shared" si="29"/>
        <v>90</v>
      </c>
      <c r="EI113" s="645">
        <f t="shared" si="29"/>
        <v>73</v>
      </c>
      <c r="EJ113" s="163">
        <f t="shared" si="29"/>
        <v>22</v>
      </c>
      <c r="EK113" s="163">
        <f t="shared" si="29"/>
        <v>2</v>
      </c>
      <c r="EL113" s="163">
        <f t="shared" si="29"/>
        <v>49</v>
      </c>
      <c r="EM113" s="644">
        <f t="shared" si="49"/>
        <v>0</v>
      </c>
      <c r="EN113" s="645">
        <f t="shared" si="49"/>
        <v>17</v>
      </c>
      <c r="EO113" s="163">
        <f t="shared" si="49"/>
        <v>0</v>
      </c>
      <c r="EP113" s="163">
        <f t="shared" si="49"/>
        <v>0</v>
      </c>
      <c r="EQ113" s="163">
        <f t="shared" si="49"/>
        <v>17</v>
      </c>
      <c r="ER113" s="643">
        <f t="shared" si="49"/>
        <v>0</v>
      </c>
    </row>
    <row r="114" spans="1:148">
      <c r="A114" s="654" t="s">
        <v>248</v>
      </c>
      <c r="B114" s="658">
        <v>44986</v>
      </c>
      <c r="C114" s="659">
        <v>2023</v>
      </c>
      <c r="D114" s="646">
        <f t="shared" si="59"/>
        <v>143618</v>
      </c>
      <c r="E114" s="646">
        <f t="shared" si="65"/>
        <v>8520</v>
      </c>
      <c r="F114" s="645">
        <f t="shared" si="65"/>
        <v>6760</v>
      </c>
      <c r="G114" s="163">
        <f t="shared" si="65"/>
        <v>2365</v>
      </c>
      <c r="H114" s="163">
        <f t="shared" si="65"/>
        <v>354</v>
      </c>
      <c r="I114" s="163">
        <f t="shared" si="65"/>
        <v>3938</v>
      </c>
      <c r="J114" s="644">
        <f t="shared" si="65"/>
        <v>103</v>
      </c>
      <c r="K114" s="645">
        <f t="shared" si="65"/>
        <v>1760</v>
      </c>
      <c r="L114" s="163">
        <f t="shared" si="65"/>
        <v>85</v>
      </c>
      <c r="M114" s="163">
        <f t="shared" si="65"/>
        <v>0</v>
      </c>
      <c r="N114" s="163">
        <f t="shared" si="65"/>
        <v>1480</v>
      </c>
      <c r="O114" s="643">
        <f t="shared" si="65"/>
        <v>195</v>
      </c>
      <c r="P114" s="646">
        <f t="shared" si="65"/>
        <v>19</v>
      </c>
      <c r="Q114" s="645">
        <f t="shared" si="65"/>
        <v>9</v>
      </c>
      <c r="R114" s="163">
        <f t="shared" si="65"/>
        <v>7</v>
      </c>
      <c r="S114" s="163">
        <f t="shared" si="65"/>
        <v>0</v>
      </c>
      <c r="T114" s="163">
        <f t="shared" si="65"/>
        <v>2</v>
      </c>
      <c r="U114" s="644">
        <f t="shared" si="64"/>
        <v>0</v>
      </c>
      <c r="V114" s="645">
        <f t="shared" si="64"/>
        <v>10</v>
      </c>
      <c r="W114" s="163">
        <f t="shared" si="64"/>
        <v>0</v>
      </c>
      <c r="X114" s="163">
        <f t="shared" si="64"/>
        <v>0</v>
      </c>
      <c r="Y114" s="163">
        <f t="shared" si="64"/>
        <v>8</v>
      </c>
      <c r="Z114" s="643">
        <f t="shared" si="64"/>
        <v>2</v>
      </c>
      <c r="AA114" s="646">
        <f t="shared" si="64"/>
        <v>12</v>
      </c>
      <c r="AB114" s="645">
        <f t="shared" si="64"/>
        <v>11</v>
      </c>
      <c r="AC114" s="163">
        <f t="shared" si="64"/>
        <v>2</v>
      </c>
      <c r="AD114" s="163">
        <f t="shared" si="64"/>
        <v>0</v>
      </c>
      <c r="AE114" s="163">
        <f t="shared" si="64"/>
        <v>9</v>
      </c>
      <c r="AF114" s="644">
        <f t="shared" si="64"/>
        <v>0</v>
      </c>
      <c r="AG114" s="645">
        <f t="shared" si="64"/>
        <v>1</v>
      </c>
      <c r="AH114" s="163">
        <f t="shared" si="64"/>
        <v>0</v>
      </c>
      <c r="AI114" s="163">
        <f t="shared" si="62"/>
        <v>0</v>
      </c>
      <c r="AJ114" s="163">
        <f t="shared" si="62"/>
        <v>1</v>
      </c>
      <c r="AK114" s="643">
        <f t="shared" si="62"/>
        <v>0</v>
      </c>
      <c r="AL114" s="646">
        <f t="shared" si="62"/>
        <v>90</v>
      </c>
      <c r="AM114" s="645">
        <f t="shared" si="62"/>
        <v>73</v>
      </c>
      <c r="AN114" s="163">
        <f t="shared" si="62"/>
        <v>22</v>
      </c>
      <c r="AO114" s="163">
        <f t="shared" si="62"/>
        <v>2</v>
      </c>
      <c r="AP114" s="163">
        <f t="shared" si="62"/>
        <v>49</v>
      </c>
      <c r="AQ114" s="644">
        <f t="shared" si="62"/>
        <v>0</v>
      </c>
      <c r="AR114" s="645">
        <f t="shared" si="62"/>
        <v>17</v>
      </c>
      <c r="AS114" s="163">
        <f t="shared" si="62"/>
        <v>0</v>
      </c>
      <c r="AT114" s="163">
        <f t="shared" si="62"/>
        <v>0</v>
      </c>
      <c r="AU114" s="163">
        <f t="shared" si="62"/>
        <v>17</v>
      </c>
      <c r="AV114" s="643">
        <f t="shared" si="62"/>
        <v>0</v>
      </c>
      <c r="AW114" s="646">
        <f t="shared" si="62"/>
        <v>53</v>
      </c>
      <c r="AX114" s="645">
        <f t="shared" si="62"/>
        <v>42</v>
      </c>
      <c r="AY114" s="163">
        <f t="shared" si="62"/>
        <v>14</v>
      </c>
      <c r="AZ114" s="163">
        <f t="shared" si="66"/>
        <v>3</v>
      </c>
      <c r="BA114" s="163">
        <f t="shared" si="66"/>
        <v>25</v>
      </c>
      <c r="BB114" s="644">
        <f t="shared" si="66"/>
        <v>0</v>
      </c>
      <c r="BC114" s="645">
        <f t="shared" si="66"/>
        <v>11</v>
      </c>
      <c r="BD114" s="163">
        <f t="shared" si="66"/>
        <v>0</v>
      </c>
      <c r="BE114" s="163">
        <f t="shared" si="66"/>
        <v>0</v>
      </c>
      <c r="BF114" s="163">
        <f t="shared" si="66"/>
        <v>11</v>
      </c>
      <c r="BG114" s="643">
        <f t="shared" si="66"/>
        <v>0</v>
      </c>
      <c r="BH114" s="646">
        <f t="shared" si="66"/>
        <v>67</v>
      </c>
      <c r="BI114" s="645">
        <f t="shared" si="66"/>
        <v>59</v>
      </c>
      <c r="BJ114" s="163">
        <f t="shared" si="66"/>
        <v>20</v>
      </c>
      <c r="BK114" s="163">
        <f t="shared" si="66"/>
        <v>2</v>
      </c>
      <c r="BL114" s="163">
        <f t="shared" si="66"/>
        <v>37</v>
      </c>
      <c r="BM114" s="644">
        <f t="shared" si="66"/>
        <v>0</v>
      </c>
      <c r="BN114" s="645">
        <f t="shared" si="66"/>
        <v>8</v>
      </c>
      <c r="BO114" s="163">
        <f t="shared" si="66"/>
        <v>0</v>
      </c>
      <c r="BP114" s="163">
        <f t="shared" si="66"/>
        <v>0</v>
      </c>
      <c r="BQ114" s="163">
        <f t="shared" si="66"/>
        <v>7</v>
      </c>
      <c r="BR114" s="643">
        <f t="shared" si="66"/>
        <v>1</v>
      </c>
      <c r="BS114" s="646">
        <f t="shared" si="66"/>
        <v>121</v>
      </c>
      <c r="BT114" s="645">
        <f t="shared" si="66"/>
        <v>101</v>
      </c>
      <c r="BU114" s="163">
        <f t="shared" si="66"/>
        <v>29</v>
      </c>
      <c r="BV114" s="163">
        <f t="shared" si="66"/>
        <v>2</v>
      </c>
      <c r="BW114" s="163">
        <f t="shared" si="66"/>
        <v>70</v>
      </c>
      <c r="BX114" s="644">
        <f t="shared" si="66"/>
        <v>0</v>
      </c>
      <c r="BY114" s="645">
        <f t="shared" si="66"/>
        <v>20</v>
      </c>
      <c r="BZ114" s="163">
        <f t="shared" si="66"/>
        <v>0</v>
      </c>
      <c r="CA114" s="163">
        <f t="shared" si="66"/>
        <v>0</v>
      </c>
      <c r="CB114" s="163">
        <f t="shared" si="66"/>
        <v>19</v>
      </c>
      <c r="CC114" s="643">
        <f t="shared" si="66"/>
        <v>1</v>
      </c>
      <c r="CD114" s="646">
        <f t="shared" si="66"/>
        <v>13</v>
      </c>
      <c r="CE114" s="645">
        <f t="shared" si="66"/>
        <v>9</v>
      </c>
      <c r="CF114" s="163">
        <f t="shared" si="66"/>
        <v>4</v>
      </c>
      <c r="CG114" s="163">
        <f t="shared" si="66"/>
        <v>0</v>
      </c>
      <c r="CH114" s="163">
        <f t="shared" si="66"/>
        <v>5</v>
      </c>
      <c r="CI114" s="644">
        <f t="shared" si="66"/>
        <v>0</v>
      </c>
      <c r="CJ114" s="645">
        <f t="shared" si="66"/>
        <v>4</v>
      </c>
      <c r="CK114" s="163">
        <f t="shared" si="66"/>
        <v>0</v>
      </c>
      <c r="CL114" s="163">
        <f t="shared" si="66"/>
        <v>0</v>
      </c>
      <c r="CM114" s="163">
        <f t="shared" si="66"/>
        <v>4</v>
      </c>
      <c r="CN114" s="643">
        <f t="shared" si="66"/>
        <v>0</v>
      </c>
      <c r="CO114" s="646">
        <f t="shared" si="66"/>
        <v>9</v>
      </c>
      <c r="CP114" s="645">
        <f t="shared" si="66"/>
        <v>8</v>
      </c>
      <c r="CQ114" s="163">
        <f t="shared" si="66"/>
        <v>2</v>
      </c>
      <c r="CR114" s="163">
        <f t="shared" si="66"/>
        <v>1</v>
      </c>
      <c r="CS114" s="163">
        <f t="shared" si="66"/>
        <v>5</v>
      </c>
      <c r="CT114" s="644">
        <f t="shared" si="66"/>
        <v>0</v>
      </c>
      <c r="CU114" s="645">
        <f t="shared" si="60"/>
        <v>1</v>
      </c>
      <c r="CV114" s="163">
        <f t="shared" si="60"/>
        <v>0</v>
      </c>
      <c r="CW114" s="163">
        <f t="shared" si="60"/>
        <v>0</v>
      </c>
      <c r="CX114" s="163">
        <f t="shared" si="60"/>
        <v>1</v>
      </c>
      <c r="CY114" s="643">
        <f t="shared" si="60"/>
        <v>0</v>
      </c>
      <c r="CZ114" s="646">
        <f t="shared" si="60"/>
        <v>6</v>
      </c>
      <c r="DA114" s="645">
        <f t="shared" si="60"/>
        <v>3</v>
      </c>
      <c r="DB114" s="163">
        <f t="shared" si="60"/>
        <v>2</v>
      </c>
      <c r="DC114" s="163">
        <f t="shared" si="60"/>
        <v>0</v>
      </c>
      <c r="DD114" s="163">
        <f t="shared" si="60"/>
        <v>1</v>
      </c>
      <c r="DE114" s="644">
        <f t="shared" si="60"/>
        <v>0</v>
      </c>
      <c r="DF114" s="645">
        <f t="shared" si="60"/>
        <v>3</v>
      </c>
      <c r="DG114" s="163">
        <f t="shared" si="60"/>
        <v>0</v>
      </c>
      <c r="DH114" s="163">
        <f t="shared" si="60"/>
        <v>0</v>
      </c>
      <c r="DI114" s="163">
        <f t="shared" si="60"/>
        <v>0</v>
      </c>
      <c r="DJ114" s="643">
        <f t="shared" si="60"/>
        <v>3</v>
      </c>
      <c r="DK114" s="646">
        <f t="shared" si="60"/>
        <v>1</v>
      </c>
      <c r="DL114" s="645">
        <f t="shared" si="60"/>
        <v>1</v>
      </c>
      <c r="DM114" s="163">
        <f t="shared" si="60"/>
        <v>0</v>
      </c>
      <c r="DN114" s="163">
        <f t="shared" si="60"/>
        <v>1</v>
      </c>
      <c r="DO114" s="163">
        <f t="shared" si="60"/>
        <v>0</v>
      </c>
      <c r="DP114" s="644">
        <f t="shared" si="60"/>
        <v>0</v>
      </c>
      <c r="DQ114" s="645">
        <f t="shared" si="60"/>
        <v>0</v>
      </c>
      <c r="DR114" s="163">
        <f t="shared" si="60"/>
        <v>0</v>
      </c>
      <c r="DS114" s="163">
        <f t="shared" si="60"/>
        <v>0</v>
      </c>
      <c r="DT114" s="163">
        <f t="shared" si="60"/>
        <v>0</v>
      </c>
      <c r="DU114" s="643">
        <f t="shared" si="60"/>
        <v>0</v>
      </c>
      <c r="DW114" s="646">
        <f t="shared" si="40"/>
        <v>301</v>
      </c>
      <c r="DX114" s="645">
        <f t="shared" si="40"/>
        <v>243</v>
      </c>
      <c r="DY114" s="163">
        <f t="shared" si="40"/>
        <v>80</v>
      </c>
      <c r="DZ114" s="163">
        <f t="shared" si="38"/>
        <v>9</v>
      </c>
      <c r="EA114" s="163">
        <f t="shared" si="38"/>
        <v>154</v>
      </c>
      <c r="EB114" s="644">
        <f t="shared" si="38"/>
        <v>0</v>
      </c>
      <c r="EC114" s="645">
        <f t="shared" si="38"/>
        <v>58</v>
      </c>
      <c r="ED114" s="163">
        <f t="shared" si="38"/>
        <v>0</v>
      </c>
      <c r="EE114" s="163">
        <f t="shared" si="38"/>
        <v>0</v>
      </c>
      <c r="EF114" s="163">
        <f t="shared" si="38"/>
        <v>51</v>
      </c>
      <c r="EG114" s="643">
        <f t="shared" si="38"/>
        <v>7</v>
      </c>
      <c r="EH114" s="646">
        <f t="shared" si="29"/>
        <v>90</v>
      </c>
      <c r="EI114" s="645">
        <f t="shared" si="29"/>
        <v>73</v>
      </c>
      <c r="EJ114" s="163">
        <f t="shared" si="29"/>
        <v>22</v>
      </c>
      <c r="EK114" s="163">
        <f t="shared" si="29"/>
        <v>2</v>
      </c>
      <c r="EL114" s="163">
        <f t="shared" si="29"/>
        <v>49</v>
      </c>
      <c r="EM114" s="644">
        <f t="shared" si="49"/>
        <v>0</v>
      </c>
      <c r="EN114" s="645">
        <f t="shared" si="49"/>
        <v>17</v>
      </c>
      <c r="EO114" s="163">
        <f t="shared" si="49"/>
        <v>0</v>
      </c>
      <c r="EP114" s="163">
        <f t="shared" si="49"/>
        <v>0</v>
      </c>
      <c r="EQ114" s="163">
        <f t="shared" si="49"/>
        <v>17</v>
      </c>
      <c r="ER114" s="643">
        <f t="shared" si="49"/>
        <v>0</v>
      </c>
    </row>
    <row r="115" spans="1:148">
      <c r="A115" s="654" t="s">
        <v>249</v>
      </c>
      <c r="B115" s="658">
        <v>45017</v>
      </c>
      <c r="C115" s="659">
        <v>2023</v>
      </c>
      <c r="D115" s="646">
        <f t="shared" si="59"/>
        <v>183652</v>
      </c>
      <c r="E115" s="646">
        <f t="shared" si="65"/>
        <v>12797</v>
      </c>
      <c r="F115" s="645">
        <f t="shared" si="65"/>
        <v>9486</v>
      </c>
      <c r="G115" s="163">
        <f t="shared" si="65"/>
        <v>2192</v>
      </c>
      <c r="H115" s="163">
        <f t="shared" si="65"/>
        <v>382</v>
      </c>
      <c r="I115" s="163">
        <f t="shared" si="65"/>
        <v>6743</v>
      </c>
      <c r="J115" s="644">
        <f t="shared" si="65"/>
        <v>169</v>
      </c>
      <c r="K115" s="645">
        <f t="shared" si="65"/>
        <v>3311</v>
      </c>
      <c r="L115" s="163">
        <f t="shared" si="65"/>
        <v>210</v>
      </c>
      <c r="M115" s="163">
        <f t="shared" si="65"/>
        <v>0</v>
      </c>
      <c r="N115" s="163">
        <f t="shared" si="65"/>
        <v>2843</v>
      </c>
      <c r="O115" s="643">
        <f t="shared" si="65"/>
        <v>258</v>
      </c>
      <c r="P115" s="646">
        <f t="shared" si="65"/>
        <v>26</v>
      </c>
      <c r="Q115" s="645">
        <f t="shared" si="65"/>
        <v>12</v>
      </c>
      <c r="R115" s="163">
        <f t="shared" si="65"/>
        <v>1</v>
      </c>
      <c r="S115" s="163">
        <f t="shared" si="65"/>
        <v>1</v>
      </c>
      <c r="T115" s="163">
        <f t="shared" si="65"/>
        <v>10</v>
      </c>
      <c r="U115" s="644">
        <f t="shared" si="64"/>
        <v>0</v>
      </c>
      <c r="V115" s="645">
        <f t="shared" si="64"/>
        <v>14</v>
      </c>
      <c r="W115" s="163">
        <f t="shared" si="64"/>
        <v>1</v>
      </c>
      <c r="X115" s="163">
        <f t="shared" si="64"/>
        <v>0</v>
      </c>
      <c r="Y115" s="163">
        <f t="shared" si="64"/>
        <v>13</v>
      </c>
      <c r="Z115" s="643">
        <f t="shared" si="64"/>
        <v>0</v>
      </c>
      <c r="AA115" s="646">
        <f t="shared" si="64"/>
        <v>5</v>
      </c>
      <c r="AB115" s="645">
        <f t="shared" si="64"/>
        <v>4</v>
      </c>
      <c r="AC115" s="163">
        <f t="shared" si="64"/>
        <v>2</v>
      </c>
      <c r="AD115" s="163">
        <f t="shared" si="64"/>
        <v>0</v>
      </c>
      <c r="AE115" s="163">
        <f t="shared" si="64"/>
        <v>2</v>
      </c>
      <c r="AF115" s="644">
        <f t="shared" si="64"/>
        <v>0</v>
      </c>
      <c r="AG115" s="645">
        <f t="shared" si="64"/>
        <v>1</v>
      </c>
      <c r="AH115" s="163">
        <f t="shared" si="64"/>
        <v>0</v>
      </c>
      <c r="AI115" s="163">
        <f t="shared" si="62"/>
        <v>0</v>
      </c>
      <c r="AJ115" s="163">
        <f t="shared" si="62"/>
        <v>0</v>
      </c>
      <c r="AK115" s="643">
        <f t="shared" si="62"/>
        <v>1</v>
      </c>
      <c r="AL115" s="646">
        <f t="shared" si="62"/>
        <v>150</v>
      </c>
      <c r="AM115" s="645">
        <f t="shared" si="62"/>
        <v>118</v>
      </c>
      <c r="AN115" s="163">
        <f t="shared" si="62"/>
        <v>19</v>
      </c>
      <c r="AO115" s="163">
        <f t="shared" si="62"/>
        <v>3</v>
      </c>
      <c r="AP115" s="163">
        <f t="shared" si="62"/>
        <v>96</v>
      </c>
      <c r="AQ115" s="644">
        <f t="shared" si="62"/>
        <v>0</v>
      </c>
      <c r="AR115" s="645">
        <f t="shared" si="62"/>
        <v>32</v>
      </c>
      <c r="AS115" s="163">
        <f t="shared" si="62"/>
        <v>1</v>
      </c>
      <c r="AT115" s="163">
        <f t="shared" si="62"/>
        <v>0</v>
      </c>
      <c r="AU115" s="163">
        <f t="shared" si="62"/>
        <v>28</v>
      </c>
      <c r="AV115" s="643">
        <f t="shared" si="62"/>
        <v>3</v>
      </c>
      <c r="AW115" s="646">
        <f t="shared" si="62"/>
        <v>65</v>
      </c>
      <c r="AX115" s="645">
        <f t="shared" si="62"/>
        <v>49</v>
      </c>
      <c r="AY115" s="163">
        <f t="shared" si="62"/>
        <v>13</v>
      </c>
      <c r="AZ115" s="163">
        <f t="shared" si="66"/>
        <v>1</v>
      </c>
      <c r="BA115" s="163">
        <f t="shared" si="66"/>
        <v>35</v>
      </c>
      <c r="BB115" s="644">
        <f t="shared" si="66"/>
        <v>0</v>
      </c>
      <c r="BC115" s="645">
        <f t="shared" si="66"/>
        <v>16</v>
      </c>
      <c r="BD115" s="163">
        <f t="shared" si="66"/>
        <v>0</v>
      </c>
      <c r="BE115" s="163">
        <f t="shared" si="66"/>
        <v>0</v>
      </c>
      <c r="BF115" s="163">
        <f t="shared" si="66"/>
        <v>14</v>
      </c>
      <c r="BG115" s="643">
        <f t="shared" si="66"/>
        <v>2</v>
      </c>
      <c r="BH115" s="646">
        <f t="shared" si="66"/>
        <v>100</v>
      </c>
      <c r="BI115" s="645">
        <f t="shared" si="66"/>
        <v>69</v>
      </c>
      <c r="BJ115" s="163">
        <f t="shared" si="66"/>
        <v>14</v>
      </c>
      <c r="BK115" s="163">
        <f t="shared" si="66"/>
        <v>3</v>
      </c>
      <c r="BL115" s="163">
        <f t="shared" si="66"/>
        <v>52</v>
      </c>
      <c r="BM115" s="644">
        <f t="shared" si="66"/>
        <v>0</v>
      </c>
      <c r="BN115" s="645">
        <f t="shared" si="66"/>
        <v>31</v>
      </c>
      <c r="BO115" s="163">
        <f t="shared" si="66"/>
        <v>0</v>
      </c>
      <c r="BP115" s="163">
        <f t="shared" si="66"/>
        <v>0</v>
      </c>
      <c r="BQ115" s="163">
        <f t="shared" si="66"/>
        <v>27</v>
      </c>
      <c r="BR115" s="643">
        <f t="shared" si="66"/>
        <v>4</v>
      </c>
      <c r="BS115" s="646">
        <f t="shared" si="66"/>
        <v>169</v>
      </c>
      <c r="BT115" s="645">
        <f t="shared" si="66"/>
        <v>134</v>
      </c>
      <c r="BU115" s="163">
        <f t="shared" si="66"/>
        <v>30</v>
      </c>
      <c r="BV115" s="163">
        <f t="shared" si="66"/>
        <v>0</v>
      </c>
      <c r="BW115" s="163">
        <f t="shared" si="66"/>
        <v>104</v>
      </c>
      <c r="BX115" s="644">
        <f t="shared" si="66"/>
        <v>0</v>
      </c>
      <c r="BY115" s="645">
        <f t="shared" si="66"/>
        <v>35</v>
      </c>
      <c r="BZ115" s="163">
        <f t="shared" si="66"/>
        <v>2</v>
      </c>
      <c r="CA115" s="163">
        <f t="shared" si="66"/>
        <v>0</v>
      </c>
      <c r="CB115" s="163">
        <f t="shared" si="66"/>
        <v>31</v>
      </c>
      <c r="CC115" s="643">
        <f t="shared" si="66"/>
        <v>2</v>
      </c>
      <c r="CD115" s="646">
        <f t="shared" si="66"/>
        <v>24</v>
      </c>
      <c r="CE115" s="645">
        <f t="shared" si="66"/>
        <v>17</v>
      </c>
      <c r="CF115" s="163">
        <f t="shared" si="66"/>
        <v>2</v>
      </c>
      <c r="CG115" s="163">
        <f t="shared" si="66"/>
        <v>3</v>
      </c>
      <c r="CH115" s="163">
        <f t="shared" si="66"/>
        <v>12</v>
      </c>
      <c r="CI115" s="644">
        <f t="shared" si="66"/>
        <v>0</v>
      </c>
      <c r="CJ115" s="645">
        <f t="shared" si="66"/>
        <v>7</v>
      </c>
      <c r="CK115" s="163">
        <f t="shared" si="66"/>
        <v>0</v>
      </c>
      <c r="CL115" s="163">
        <f t="shared" si="66"/>
        <v>0</v>
      </c>
      <c r="CM115" s="163">
        <f t="shared" si="66"/>
        <v>6</v>
      </c>
      <c r="CN115" s="643">
        <f t="shared" si="66"/>
        <v>1</v>
      </c>
      <c r="CO115" s="646">
        <f t="shared" si="66"/>
        <v>9</v>
      </c>
      <c r="CP115" s="645">
        <f t="shared" si="66"/>
        <v>8</v>
      </c>
      <c r="CQ115" s="163">
        <f t="shared" si="66"/>
        <v>0</v>
      </c>
      <c r="CR115" s="163">
        <f t="shared" si="66"/>
        <v>2</v>
      </c>
      <c r="CS115" s="163">
        <f t="shared" si="66"/>
        <v>6</v>
      </c>
      <c r="CT115" s="644">
        <f t="shared" si="66"/>
        <v>0</v>
      </c>
      <c r="CU115" s="645">
        <f t="shared" si="66"/>
        <v>1</v>
      </c>
      <c r="CV115" s="163">
        <f t="shared" si="66"/>
        <v>0</v>
      </c>
      <c r="CW115" s="163">
        <f t="shared" si="66"/>
        <v>0</v>
      </c>
      <c r="CX115" s="163">
        <f t="shared" si="66"/>
        <v>1</v>
      </c>
      <c r="CY115" s="643">
        <f t="shared" si="66"/>
        <v>0</v>
      </c>
      <c r="CZ115" s="646">
        <f t="shared" si="66"/>
        <v>6</v>
      </c>
      <c r="DA115" s="645">
        <f t="shared" si="66"/>
        <v>5</v>
      </c>
      <c r="DB115" s="163">
        <f t="shared" si="66"/>
        <v>0</v>
      </c>
      <c r="DC115" s="163">
        <f t="shared" si="66"/>
        <v>0</v>
      </c>
      <c r="DD115" s="163">
        <f t="shared" si="66"/>
        <v>5</v>
      </c>
      <c r="DE115" s="644">
        <f t="shared" si="66"/>
        <v>0</v>
      </c>
      <c r="DF115" s="645">
        <f t="shared" si="66"/>
        <v>1</v>
      </c>
      <c r="DG115" s="163">
        <f t="shared" si="66"/>
        <v>0</v>
      </c>
      <c r="DH115" s="163">
        <f t="shared" si="66"/>
        <v>0</v>
      </c>
      <c r="DI115" s="163">
        <f t="shared" si="66"/>
        <v>1</v>
      </c>
      <c r="DJ115" s="643">
        <f t="shared" si="66"/>
        <v>0</v>
      </c>
      <c r="DK115" s="646">
        <f t="shared" si="66"/>
        <v>0</v>
      </c>
      <c r="DL115" s="645">
        <f t="shared" si="60"/>
        <v>0</v>
      </c>
      <c r="DM115" s="163">
        <f t="shared" si="60"/>
        <v>0</v>
      </c>
      <c r="DN115" s="163">
        <f t="shared" si="60"/>
        <v>0</v>
      </c>
      <c r="DO115" s="163">
        <f t="shared" si="60"/>
        <v>0</v>
      </c>
      <c r="DP115" s="644">
        <f t="shared" si="60"/>
        <v>0</v>
      </c>
      <c r="DQ115" s="645">
        <f t="shared" si="60"/>
        <v>0</v>
      </c>
      <c r="DR115" s="163">
        <f t="shared" si="60"/>
        <v>0</v>
      </c>
      <c r="DS115" s="163">
        <f t="shared" si="60"/>
        <v>0</v>
      </c>
      <c r="DT115" s="163">
        <f t="shared" si="60"/>
        <v>0</v>
      </c>
      <c r="DU115" s="643">
        <f t="shared" si="60"/>
        <v>0</v>
      </c>
      <c r="DW115" s="646">
        <f t="shared" si="40"/>
        <v>404</v>
      </c>
      <c r="DX115" s="645">
        <f t="shared" si="40"/>
        <v>298</v>
      </c>
      <c r="DY115" s="163">
        <f t="shared" si="40"/>
        <v>62</v>
      </c>
      <c r="DZ115" s="163">
        <f t="shared" si="38"/>
        <v>10</v>
      </c>
      <c r="EA115" s="163">
        <f t="shared" ref="EA115:EG135" si="67">T115+AE115+BA115+BL115+BW115+CH115+CS115+DD115+DO115</f>
        <v>226</v>
      </c>
      <c r="EB115" s="644">
        <f t="shared" si="67"/>
        <v>0</v>
      </c>
      <c r="EC115" s="645">
        <f t="shared" si="67"/>
        <v>106</v>
      </c>
      <c r="ED115" s="163">
        <f t="shared" si="67"/>
        <v>3</v>
      </c>
      <c r="EE115" s="163">
        <f t="shared" si="67"/>
        <v>0</v>
      </c>
      <c r="EF115" s="163">
        <f t="shared" si="67"/>
        <v>93</v>
      </c>
      <c r="EG115" s="643">
        <f t="shared" si="67"/>
        <v>10</v>
      </c>
      <c r="EH115" s="646">
        <f t="shared" si="29"/>
        <v>150</v>
      </c>
      <c r="EI115" s="645">
        <f t="shared" si="29"/>
        <v>118</v>
      </c>
      <c r="EJ115" s="163">
        <f t="shared" si="29"/>
        <v>19</v>
      </c>
      <c r="EK115" s="163">
        <f t="shared" si="29"/>
        <v>3</v>
      </c>
      <c r="EL115" s="163">
        <f t="shared" si="29"/>
        <v>96</v>
      </c>
      <c r="EM115" s="644">
        <f t="shared" si="49"/>
        <v>0</v>
      </c>
      <c r="EN115" s="645">
        <f t="shared" si="49"/>
        <v>32</v>
      </c>
      <c r="EO115" s="163">
        <f t="shared" si="49"/>
        <v>1</v>
      </c>
      <c r="EP115" s="163">
        <f t="shared" si="49"/>
        <v>0</v>
      </c>
      <c r="EQ115" s="163">
        <f t="shared" si="49"/>
        <v>28</v>
      </c>
      <c r="ER115" s="643">
        <f t="shared" si="49"/>
        <v>3</v>
      </c>
    </row>
    <row r="116" spans="1:148">
      <c r="A116" s="654" t="s">
        <v>249</v>
      </c>
      <c r="B116" s="658">
        <v>45047</v>
      </c>
      <c r="C116" s="659">
        <v>2023</v>
      </c>
      <c r="D116" s="646">
        <f t="shared" si="59"/>
        <v>183652</v>
      </c>
      <c r="E116" s="646">
        <f t="shared" si="65"/>
        <v>12797</v>
      </c>
      <c r="F116" s="645">
        <f t="shared" si="65"/>
        <v>9486</v>
      </c>
      <c r="G116" s="163">
        <f t="shared" si="65"/>
        <v>2192</v>
      </c>
      <c r="H116" s="163">
        <f t="shared" si="65"/>
        <v>382</v>
      </c>
      <c r="I116" s="163">
        <f t="shared" si="65"/>
        <v>6743</v>
      </c>
      <c r="J116" s="644">
        <f t="shared" si="65"/>
        <v>169</v>
      </c>
      <c r="K116" s="645">
        <f t="shared" si="65"/>
        <v>3311</v>
      </c>
      <c r="L116" s="163">
        <f t="shared" si="65"/>
        <v>210</v>
      </c>
      <c r="M116" s="163">
        <f t="shared" si="65"/>
        <v>0</v>
      </c>
      <c r="N116" s="163">
        <f t="shared" si="65"/>
        <v>2843</v>
      </c>
      <c r="O116" s="643">
        <f t="shared" si="65"/>
        <v>258</v>
      </c>
      <c r="P116" s="646">
        <f t="shared" si="65"/>
        <v>26</v>
      </c>
      <c r="Q116" s="645">
        <f t="shared" si="65"/>
        <v>12</v>
      </c>
      <c r="R116" s="163">
        <f t="shared" si="65"/>
        <v>1</v>
      </c>
      <c r="S116" s="163">
        <f t="shared" si="65"/>
        <v>1</v>
      </c>
      <c r="T116" s="163">
        <f t="shared" si="65"/>
        <v>10</v>
      </c>
      <c r="U116" s="644">
        <f t="shared" si="64"/>
        <v>0</v>
      </c>
      <c r="V116" s="645">
        <f t="shared" si="64"/>
        <v>14</v>
      </c>
      <c r="W116" s="163">
        <f t="shared" si="64"/>
        <v>1</v>
      </c>
      <c r="X116" s="163">
        <f t="shared" si="64"/>
        <v>0</v>
      </c>
      <c r="Y116" s="163">
        <f t="shared" si="64"/>
        <v>13</v>
      </c>
      <c r="Z116" s="643">
        <f t="shared" si="64"/>
        <v>0</v>
      </c>
      <c r="AA116" s="646">
        <f t="shared" si="64"/>
        <v>5</v>
      </c>
      <c r="AB116" s="645">
        <f t="shared" si="64"/>
        <v>4</v>
      </c>
      <c r="AC116" s="163">
        <f t="shared" si="64"/>
        <v>2</v>
      </c>
      <c r="AD116" s="163">
        <f t="shared" si="64"/>
        <v>0</v>
      </c>
      <c r="AE116" s="163">
        <f t="shared" si="64"/>
        <v>2</v>
      </c>
      <c r="AF116" s="644">
        <f t="shared" si="64"/>
        <v>0</v>
      </c>
      <c r="AG116" s="645">
        <f t="shared" si="64"/>
        <v>1</v>
      </c>
      <c r="AH116" s="163">
        <f t="shared" si="64"/>
        <v>0</v>
      </c>
      <c r="AI116" s="163">
        <f t="shared" si="62"/>
        <v>0</v>
      </c>
      <c r="AJ116" s="163">
        <f t="shared" si="62"/>
        <v>0</v>
      </c>
      <c r="AK116" s="643">
        <f t="shared" si="62"/>
        <v>1</v>
      </c>
      <c r="AL116" s="646">
        <f t="shared" si="62"/>
        <v>150</v>
      </c>
      <c r="AM116" s="645">
        <f t="shared" si="62"/>
        <v>118</v>
      </c>
      <c r="AN116" s="163">
        <f t="shared" si="62"/>
        <v>19</v>
      </c>
      <c r="AO116" s="163">
        <f t="shared" si="62"/>
        <v>3</v>
      </c>
      <c r="AP116" s="163">
        <f t="shared" si="62"/>
        <v>96</v>
      </c>
      <c r="AQ116" s="644">
        <f t="shared" si="62"/>
        <v>0</v>
      </c>
      <c r="AR116" s="645">
        <f t="shared" si="62"/>
        <v>32</v>
      </c>
      <c r="AS116" s="163">
        <f t="shared" si="62"/>
        <v>1</v>
      </c>
      <c r="AT116" s="163">
        <f t="shared" si="62"/>
        <v>0</v>
      </c>
      <c r="AU116" s="163">
        <f t="shared" si="62"/>
        <v>28</v>
      </c>
      <c r="AV116" s="643">
        <f t="shared" si="62"/>
        <v>3</v>
      </c>
      <c r="AW116" s="646">
        <f t="shared" si="62"/>
        <v>65</v>
      </c>
      <c r="AX116" s="645">
        <f t="shared" si="62"/>
        <v>49</v>
      </c>
      <c r="AY116" s="163">
        <f t="shared" si="62"/>
        <v>13</v>
      </c>
      <c r="AZ116" s="163">
        <f t="shared" si="66"/>
        <v>1</v>
      </c>
      <c r="BA116" s="163">
        <f t="shared" si="66"/>
        <v>35</v>
      </c>
      <c r="BB116" s="644">
        <f t="shared" si="66"/>
        <v>0</v>
      </c>
      <c r="BC116" s="645">
        <f t="shared" si="66"/>
        <v>16</v>
      </c>
      <c r="BD116" s="163">
        <f t="shared" si="66"/>
        <v>0</v>
      </c>
      <c r="BE116" s="163">
        <f t="shared" si="66"/>
        <v>0</v>
      </c>
      <c r="BF116" s="163">
        <f t="shared" si="66"/>
        <v>14</v>
      </c>
      <c r="BG116" s="643">
        <f t="shared" si="66"/>
        <v>2</v>
      </c>
      <c r="BH116" s="646">
        <f t="shared" si="66"/>
        <v>100</v>
      </c>
      <c r="BI116" s="645">
        <f t="shared" si="66"/>
        <v>69</v>
      </c>
      <c r="BJ116" s="163">
        <f t="shared" si="66"/>
        <v>14</v>
      </c>
      <c r="BK116" s="163">
        <f t="shared" si="66"/>
        <v>3</v>
      </c>
      <c r="BL116" s="163">
        <f t="shared" si="66"/>
        <v>52</v>
      </c>
      <c r="BM116" s="644">
        <f t="shared" si="66"/>
        <v>0</v>
      </c>
      <c r="BN116" s="645">
        <f t="shared" si="66"/>
        <v>31</v>
      </c>
      <c r="BO116" s="163">
        <f t="shared" si="66"/>
        <v>0</v>
      </c>
      <c r="BP116" s="163">
        <f t="shared" si="66"/>
        <v>0</v>
      </c>
      <c r="BQ116" s="163">
        <f t="shared" si="66"/>
        <v>27</v>
      </c>
      <c r="BR116" s="643">
        <f t="shared" si="66"/>
        <v>4</v>
      </c>
      <c r="BS116" s="646">
        <f t="shared" si="66"/>
        <v>169</v>
      </c>
      <c r="BT116" s="645">
        <f t="shared" si="66"/>
        <v>134</v>
      </c>
      <c r="BU116" s="163">
        <f t="shared" si="66"/>
        <v>30</v>
      </c>
      <c r="BV116" s="163">
        <f t="shared" si="66"/>
        <v>0</v>
      </c>
      <c r="BW116" s="163">
        <f t="shared" si="66"/>
        <v>104</v>
      </c>
      <c r="BX116" s="644">
        <f t="shared" si="66"/>
        <v>0</v>
      </c>
      <c r="BY116" s="645">
        <f t="shared" si="66"/>
        <v>35</v>
      </c>
      <c r="BZ116" s="163">
        <f t="shared" si="66"/>
        <v>2</v>
      </c>
      <c r="CA116" s="163">
        <f t="shared" si="66"/>
        <v>0</v>
      </c>
      <c r="CB116" s="163">
        <f t="shared" si="66"/>
        <v>31</v>
      </c>
      <c r="CC116" s="643">
        <f t="shared" si="66"/>
        <v>2</v>
      </c>
      <c r="CD116" s="646">
        <f t="shared" si="66"/>
        <v>24</v>
      </c>
      <c r="CE116" s="645">
        <f t="shared" si="66"/>
        <v>17</v>
      </c>
      <c r="CF116" s="163">
        <f t="shared" si="66"/>
        <v>2</v>
      </c>
      <c r="CG116" s="163">
        <f t="shared" si="66"/>
        <v>3</v>
      </c>
      <c r="CH116" s="163">
        <f t="shared" si="66"/>
        <v>12</v>
      </c>
      <c r="CI116" s="644">
        <f t="shared" si="66"/>
        <v>0</v>
      </c>
      <c r="CJ116" s="645">
        <f t="shared" si="66"/>
        <v>7</v>
      </c>
      <c r="CK116" s="163">
        <f t="shared" si="66"/>
        <v>0</v>
      </c>
      <c r="CL116" s="163">
        <f t="shared" si="66"/>
        <v>0</v>
      </c>
      <c r="CM116" s="163">
        <f t="shared" si="66"/>
        <v>6</v>
      </c>
      <c r="CN116" s="643">
        <f t="shared" si="66"/>
        <v>1</v>
      </c>
      <c r="CO116" s="646">
        <f t="shared" si="66"/>
        <v>9</v>
      </c>
      <c r="CP116" s="645">
        <f t="shared" si="66"/>
        <v>8</v>
      </c>
      <c r="CQ116" s="163">
        <f t="shared" si="66"/>
        <v>0</v>
      </c>
      <c r="CR116" s="163">
        <f t="shared" si="66"/>
        <v>2</v>
      </c>
      <c r="CS116" s="163">
        <f t="shared" si="66"/>
        <v>6</v>
      </c>
      <c r="CT116" s="644">
        <f t="shared" si="66"/>
        <v>0</v>
      </c>
      <c r="CU116" s="645">
        <f t="shared" si="60"/>
        <v>1</v>
      </c>
      <c r="CV116" s="163">
        <f t="shared" si="60"/>
        <v>0</v>
      </c>
      <c r="CW116" s="163">
        <f t="shared" si="60"/>
        <v>0</v>
      </c>
      <c r="CX116" s="163">
        <f t="shared" si="60"/>
        <v>1</v>
      </c>
      <c r="CY116" s="643">
        <f t="shared" si="60"/>
        <v>0</v>
      </c>
      <c r="CZ116" s="646">
        <f t="shared" si="60"/>
        <v>6</v>
      </c>
      <c r="DA116" s="645">
        <f t="shared" si="60"/>
        <v>5</v>
      </c>
      <c r="DB116" s="163">
        <f t="shared" si="60"/>
        <v>0</v>
      </c>
      <c r="DC116" s="163">
        <f t="shared" si="60"/>
        <v>0</v>
      </c>
      <c r="DD116" s="163">
        <f t="shared" si="60"/>
        <v>5</v>
      </c>
      <c r="DE116" s="644">
        <f t="shared" si="60"/>
        <v>0</v>
      </c>
      <c r="DF116" s="645">
        <f t="shared" si="60"/>
        <v>1</v>
      </c>
      <c r="DG116" s="163">
        <f t="shared" si="60"/>
        <v>0</v>
      </c>
      <c r="DH116" s="163">
        <f t="shared" si="60"/>
        <v>0</v>
      </c>
      <c r="DI116" s="163">
        <f t="shared" si="60"/>
        <v>1</v>
      </c>
      <c r="DJ116" s="643">
        <f t="shared" si="60"/>
        <v>0</v>
      </c>
      <c r="DK116" s="646">
        <f t="shared" si="60"/>
        <v>0</v>
      </c>
      <c r="DL116" s="645">
        <f t="shared" si="60"/>
        <v>0</v>
      </c>
      <c r="DM116" s="163">
        <f t="shared" si="60"/>
        <v>0</v>
      </c>
      <c r="DN116" s="163">
        <f t="shared" si="60"/>
        <v>0</v>
      </c>
      <c r="DO116" s="163">
        <f t="shared" si="60"/>
        <v>0</v>
      </c>
      <c r="DP116" s="644">
        <f t="shared" si="60"/>
        <v>0</v>
      </c>
      <c r="DQ116" s="645">
        <f t="shared" si="60"/>
        <v>0</v>
      </c>
      <c r="DR116" s="163">
        <f t="shared" si="60"/>
        <v>0</v>
      </c>
      <c r="DS116" s="163">
        <f t="shared" si="60"/>
        <v>0</v>
      </c>
      <c r="DT116" s="163">
        <f t="shared" si="60"/>
        <v>0</v>
      </c>
      <c r="DU116" s="643">
        <f t="shared" si="60"/>
        <v>0</v>
      </c>
      <c r="DW116" s="646">
        <f t="shared" si="40"/>
        <v>404</v>
      </c>
      <c r="DX116" s="645">
        <f t="shared" si="40"/>
        <v>298</v>
      </c>
      <c r="DY116" s="163">
        <f t="shared" si="40"/>
        <v>62</v>
      </c>
      <c r="DZ116" s="163">
        <f t="shared" si="40"/>
        <v>10</v>
      </c>
      <c r="EA116" s="163">
        <f t="shared" si="67"/>
        <v>226</v>
      </c>
      <c r="EB116" s="644">
        <f t="shared" si="67"/>
        <v>0</v>
      </c>
      <c r="EC116" s="645">
        <f t="shared" si="67"/>
        <v>106</v>
      </c>
      <c r="ED116" s="163">
        <f t="shared" si="67"/>
        <v>3</v>
      </c>
      <c r="EE116" s="163">
        <f t="shared" si="67"/>
        <v>0</v>
      </c>
      <c r="EF116" s="163">
        <f t="shared" si="67"/>
        <v>93</v>
      </c>
      <c r="EG116" s="643">
        <f t="shared" si="67"/>
        <v>10</v>
      </c>
      <c r="EH116" s="646">
        <f t="shared" si="29"/>
        <v>150</v>
      </c>
      <c r="EI116" s="645">
        <f t="shared" si="29"/>
        <v>118</v>
      </c>
      <c r="EJ116" s="163">
        <f t="shared" si="29"/>
        <v>19</v>
      </c>
      <c r="EK116" s="163">
        <f t="shared" si="29"/>
        <v>3</v>
      </c>
      <c r="EL116" s="163">
        <f t="shared" si="29"/>
        <v>96</v>
      </c>
      <c r="EM116" s="644">
        <f t="shared" si="49"/>
        <v>0</v>
      </c>
      <c r="EN116" s="645">
        <f t="shared" si="49"/>
        <v>32</v>
      </c>
      <c r="EO116" s="163">
        <f t="shared" si="49"/>
        <v>1</v>
      </c>
      <c r="EP116" s="163">
        <f t="shared" si="49"/>
        <v>0</v>
      </c>
      <c r="EQ116" s="163">
        <f t="shared" si="49"/>
        <v>28</v>
      </c>
      <c r="ER116" s="643">
        <f t="shared" si="49"/>
        <v>3</v>
      </c>
    </row>
    <row r="117" spans="1:148">
      <c r="A117" s="654" t="s">
        <v>249</v>
      </c>
      <c r="B117" s="658">
        <v>45078</v>
      </c>
      <c r="C117" s="659">
        <v>2023</v>
      </c>
      <c r="D117" s="646">
        <f t="shared" si="59"/>
        <v>183652</v>
      </c>
      <c r="E117" s="646">
        <f t="shared" si="65"/>
        <v>12797</v>
      </c>
      <c r="F117" s="645">
        <f t="shared" si="65"/>
        <v>9486</v>
      </c>
      <c r="G117" s="163">
        <f t="shared" si="65"/>
        <v>2192</v>
      </c>
      <c r="H117" s="163">
        <f t="shared" si="65"/>
        <v>382</v>
      </c>
      <c r="I117" s="163">
        <f t="shared" si="65"/>
        <v>6743</v>
      </c>
      <c r="J117" s="644">
        <f t="shared" si="65"/>
        <v>169</v>
      </c>
      <c r="K117" s="645">
        <f t="shared" si="65"/>
        <v>3311</v>
      </c>
      <c r="L117" s="163">
        <f t="shared" si="65"/>
        <v>210</v>
      </c>
      <c r="M117" s="163">
        <f t="shared" si="65"/>
        <v>0</v>
      </c>
      <c r="N117" s="163">
        <f t="shared" si="65"/>
        <v>2843</v>
      </c>
      <c r="O117" s="643">
        <f t="shared" si="65"/>
        <v>258</v>
      </c>
      <c r="P117" s="646">
        <f t="shared" si="65"/>
        <v>26</v>
      </c>
      <c r="Q117" s="645">
        <f t="shared" si="65"/>
        <v>12</v>
      </c>
      <c r="R117" s="163">
        <f t="shared" si="65"/>
        <v>1</v>
      </c>
      <c r="S117" s="163">
        <f t="shared" si="65"/>
        <v>1</v>
      </c>
      <c r="T117" s="163">
        <f t="shared" si="65"/>
        <v>10</v>
      </c>
      <c r="U117" s="644">
        <f t="shared" si="64"/>
        <v>0</v>
      </c>
      <c r="V117" s="645">
        <f t="shared" si="64"/>
        <v>14</v>
      </c>
      <c r="W117" s="163">
        <f t="shared" si="64"/>
        <v>1</v>
      </c>
      <c r="X117" s="163">
        <f t="shared" si="64"/>
        <v>0</v>
      </c>
      <c r="Y117" s="163">
        <f t="shared" si="64"/>
        <v>13</v>
      </c>
      <c r="Z117" s="643">
        <f t="shared" si="64"/>
        <v>0</v>
      </c>
      <c r="AA117" s="646">
        <f t="shared" si="64"/>
        <v>5</v>
      </c>
      <c r="AB117" s="645">
        <f t="shared" si="64"/>
        <v>4</v>
      </c>
      <c r="AC117" s="163">
        <f t="shared" si="64"/>
        <v>2</v>
      </c>
      <c r="AD117" s="163">
        <f t="shared" si="64"/>
        <v>0</v>
      </c>
      <c r="AE117" s="163">
        <f t="shared" si="64"/>
        <v>2</v>
      </c>
      <c r="AF117" s="644">
        <f t="shared" si="64"/>
        <v>0</v>
      </c>
      <c r="AG117" s="645">
        <f t="shared" si="64"/>
        <v>1</v>
      </c>
      <c r="AH117" s="163">
        <f t="shared" si="64"/>
        <v>0</v>
      </c>
      <c r="AI117" s="163">
        <f t="shared" si="62"/>
        <v>0</v>
      </c>
      <c r="AJ117" s="163">
        <f t="shared" si="62"/>
        <v>0</v>
      </c>
      <c r="AK117" s="643">
        <f t="shared" si="62"/>
        <v>1</v>
      </c>
      <c r="AL117" s="646">
        <f t="shared" si="62"/>
        <v>150</v>
      </c>
      <c r="AM117" s="645">
        <f t="shared" si="62"/>
        <v>118</v>
      </c>
      <c r="AN117" s="163">
        <f t="shared" si="62"/>
        <v>19</v>
      </c>
      <c r="AO117" s="163">
        <f t="shared" si="62"/>
        <v>3</v>
      </c>
      <c r="AP117" s="163">
        <f t="shared" si="62"/>
        <v>96</v>
      </c>
      <c r="AQ117" s="644">
        <f t="shared" si="62"/>
        <v>0</v>
      </c>
      <c r="AR117" s="645">
        <f t="shared" si="62"/>
        <v>32</v>
      </c>
      <c r="AS117" s="163">
        <f t="shared" si="62"/>
        <v>1</v>
      </c>
      <c r="AT117" s="163">
        <f t="shared" si="62"/>
        <v>0</v>
      </c>
      <c r="AU117" s="163">
        <f t="shared" si="62"/>
        <v>28</v>
      </c>
      <c r="AV117" s="643">
        <f t="shared" si="62"/>
        <v>3</v>
      </c>
      <c r="AW117" s="646">
        <f t="shared" si="62"/>
        <v>65</v>
      </c>
      <c r="AX117" s="645">
        <f t="shared" si="62"/>
        <v>49</v>
      </c>
      <c r="AY117" s="163">
        <f t="shared" si="62"/>
        <v>13</v>
      </c>
      <c r="AZ117" s="163">
        <f t="shared" si="66"/>
        <v>1</v>
      </c>
      <c r="BA117" s="163">
        <f t="shared" si="66"/>
        <v>35</v>
      </c>
      <c r="BB117" s="644">
        <f t="shared" si="66"/>
        <v>0</v>
      </c>
      <c r="BC117" s="645">
        <f t="shared" si="66"/>
        <v>16</v>
      </c>
      <c r="BD117" s="163">
        <f t="shared" si="66"/>
        <v>0</v>
      </c>
      <c r="BE117" s="163">
        <f t="shared" si="66"/>
        <v>0</v>
      </c>
      <c r="BF117" s="163">
        <f t="shared" si="66"/>
        <v>14</v>
      </c>
      <c r="BG117" s="643">
        <f t="shared" si="66"/>
        <v>2</v>
      </c>
      <c r="BH117" s="646">
        <f t="shared" si="66"/>
        <v>100</v>
      </c>
      <c r="BI117" s="645">
        <f t="shared" si="66"/>
        <v>69</v>
      </c>
      <c r="BJ117" s="163">
        <f t="shared" si="66"/>
        <v>14</v>
      </c>
      <c r="BK117" s="163">
        <f t="shared" si="66"/>
        <v>3</v>
      </c>
      <c r="BL117" s="163">
        <f t="shared" si="66"/>
        <v>52</v>
      </c>
      <c r="BM117" s="644">
        <f t="shared" si="66"/>
        <v>0</v>
      </c>
      <c r="BN117" s="645">
        <f t="shared" si="66"/>
        <v>31</v>
      </c>
      <c r="BO117" s="163">
        <f t="shared" si="66"/>
        <v>0</v>
      </c>
      <c r="BP117" s="163">
        <f t="shared" si="66"/>
        <v>0</v>
      </c>
      <c r="BQ117" s="163">
        <f t="shared" si="66"/>
        <v>27</v>
      </c>
      <c r="BR117" s="643">
        <f t="shared" si="66"/>
        <v>4</v>
      </c>
      <c r="BS117" s="646">
        <f t="shared" si="66"/>
        <v>169</v>
      </c>
      <c r="BT117" s="645">
        <f t="shared" si="66"/>
        <v>134</v>
      </c>
      <c r="BU117" s="163">
        <f t="shared" si="66"/>
        <v>30</v>
      </c>
      <c r="BV117" s="163">
        <f t="shared" si="66"/>
        <v>0</v>
      </c>
      <c r="BW117" s="163">
        <f t="shared" si="66"/>
        <v>104</v>
      </c>
      <c r="BX117" s="644">
        <f t="shared" si="66"/>
        <v>0</v>
      </c>
      <c r="BY117" s="645">
        <f t="shared" si="66"/>
        <v>35</v>
      </c>
      <c r="BZ117" s="163">
        <f t="shared" si="66"/>
        <v>2</v>
      </c>
      <c r="CA117" s="163">
        <f t="shared" si="66"/>
        <v>0</v>
      </c>
      <c r="CB117" s="163">
        <f t="shared" si="66"/>
        <v>31</v>
      </c>
      <c r="CC117" s="643">
        <f t="shared" si="66"/>
        <v>2</v>
      </c>
      <c r="CD117" s="646">
        <f t="shared" si="66"/>
        <v>24</v>
      </c>
      <c r="CE117" s="645">
        <f t="shared" si="66"/>
        <v>17</v>
      </c>
      <c r="CF117" s="163">
        <f t="shared" si="66"/>
        <v>2</v>
      </c>
      <c r="CG117" s="163">
        <f t="shared" si="66"/>
        <v>3</v>
      </c>
      <c r="CH117" s="163">
        <f t="shared" si="66"/>
        <v>12</v>
      </c>
      <c r="CI117" s="644">
        <f t="shared" si="66"/>
        <v>0</v>
      </c>
      <c r="CJ117" s="645">
        <f t="shared" si="66"/>
        <v>7</v>
      </c>
      <c r="CK117" s="163">
        <f t="shared" si="66"/>
        <v>0</v>
      </c>
      <c r="CL117" s="163">
        <f t="shared" si="66"/>
        <v>0</v>
      </c>
      <c r="CM117" s="163">
        <f t="shared" si="66"/>
        <v>6</v>
      </c>
      <c r="CN117" s="643">
        <f t="shared" si="66"/>
        <v>1</v>
      </c>
      <c r="CO117" s="646">
        <f t="shared" si="66"/>
        <v>9</v>
      </c>
      <c r="CP117" s="645">
        <f t="shared" si="66"/>
        <v>8</v>
      </c>
      <c r="CQ117" s="163">
        <f t="shared" si="66"/>
        <v>0</v>
      </c>
      <c r="CR117" s="163">
        <f t="shared" si="66"/>
        <v>2</v>
      </c>
      <c r="CS117" s="163">
        <f t="shared" si="66"/>
        <v>6</v>
      </c>
      <c r="CT117" s="644">
        <f t="shared" si="66"/>
        <v>0</v>
      </c>
      <c r="CU117" s="645">
        <f t="shared" si="60"/>
        <v>1</v>
      </c>
      <c r="CV117" s="163">
        <f t="shared" si="60"/>
        <v>0</v>
      </c>
      <c r="CW117" s="163">
        <f t="shared" si="60"/>
        <v>0</v>
      </c>
      <c r="CX117" s="163">
        <f t="shared" si="60"/>
        <v>1</v>
      </c>
      <c r="CY117" s="643">
        <f t="shared" si="60"/>
        <v>0</v>
      </c>
      <c r="CZ117" s="646">
        <f t="shared" si="60"/>
        <v>6</v>
      </c>
      <c r="DA117" s="645">
        <f t="shared" si="60"/>
        <v>5</v>
      </c>
      <c r="DB117" s="163">
        <f t="shared" si="60"/>
        <v>0</v>
      </c>
      <c r="DC117" s="163">
        <f t="shared" si="60"/>
        <v>0</v>
      </c>
      <c r="DD117" s="163">
        <f t="shared" si="60"/>
        <v>5</v>
      </c>
      <c r="DE117" s="644">
        <f t="shared" si="60"/>
        <v>0</v>
      </c>
      <c r="DF117" s="645">
        <f t="shared" si="60"/>
        <v>1</v>
      </c>
      <c r="DG117" s="163">
        <f t="shared" si="60"/>
        <v>0</v>
      </c>
      <c r="DH117" s="163">
        <f t="shared" si="60"/>
        <v>0</v>
      </c>
      <c r="DI117" s="163">
        <f t="shared" si="60"/>
        <v>1</v>
      </c>
      <c r="DJ117" s="643">
        <f t="shared" si="60"/>
        <v>0</v>
      </c>
      <c r="DK117" s="646">
        <f t="shared" si="60"/>
        <v>0</v>
      </c>
      <c r="DL117" s="645">
        <f t="shared" si="60"/>
        <v>0</v>
      </c>
      <c r="DM117" s="163">
        <f t="shared" ref="DM117:DU132" si="68">SUMIFS(DM$5:DM$36,$B$5:$B$36,$A117)</f>
        <v>0</v>
      </c>
      <c r="DN117" s="163">
        <f t="shared" si="68"/>
        <v>0</v>
      </c>
      <c r="DO117" s="163">
        <f t="shared" si="68"/>
        <v>0</v>
      </c>
      <c r="DP117" s="644">
        <f t="shared" si="68"/>
        <v>0</v>
      </c>
      <c r="DQ117" s="645">
        <f t="shared" si="68"/>
        <v>0</v>
      </c>
      <c r="DR117" s="163">
        <f t="shared" si="68"/>
        <v>0</v>
      </c>
      <c r="DS117" s="163">
        <f t="shared" si="68"/>
        <v>0</v>
      </c>
      <c r="DT117" s="163">
        <f t="shared" si="68"/>
        <v>0</v>
      </c>
      <c r="DU117" s="643">
        <f t="shared" si="68"/>
        <v>0</v>
      </c>
      <c r="DW117" s="646">
        <f t="shared" si="40"/>
        <v>404</v>
      </c>
      <c r="DX117" s="645">
        <f t="shared" si="40"/>
        <v>298</v>
      </c>
      <c r="DY117" s="163">
        <f t="shared" si="40"/>
        <v>62</v>
      </c>
      <c r="DZ117" s="163">
        <f t="shared" si="40"/>
        <v>10</v>
      </c>
      <c r="EA117" s="163">
        <f t="shared" si="67"/>
        <v>226</v>
      </c>
      <c r="EB117" s="644">
        <f t="shared" si="67"/>
        <v>0</v>
      </c>
      <c r="EC117" s="645">
        <f t="shared" si="67"/>
        <v>106</v>
      </c>
      <c r="ED117" s="163">
        <f t="shared" si="67"/>
        <v>3</v>
      </c>
      <c r="EE117" s="163">
        <f t="shared" si="67"/>
        <v>0</v>
      </c>
      <c r="EF117" s="163">
        <f t="shared" si="67"/>
        <v>93</v>
      </c>
      <c r="EG117" s="643">
        <f t="shared" si="67"/>
        <v>10</v>
      </c>
      <c r="EH117" s="646">
        <f t="shared" si="29"/>
        <v>150</v>
      </c>
      <c r="EI117" s="645">
        <f t="shared" si="29"/>
        <v>118</v>
      </c>
      <c r="EJ117" s="163">
        <f t="shared" si="29"/>
        <v>19</v>
      </c>
      <c r="EK117" s="163">
        <f t="shared" si="29"/>
        <v>3</v>
      </c>
      <c r="EL117" s="163">
        <f t="shared" si="29"/>
        <v>96</v>
      </c>
      <c r="EM117" s="644">
        <f t="shared" si="49"/>
        <v>0</v>
      </c>
      <c r="EN117" s="645">
        <f t="shared" si="49"/>
        <v>32</v>
      </c>
      <c r="EO117" s="163">
        <f t="shared" si="49"/>
        <v>1</v>
      </c>
      <c r="EP117" s="163">
        <f t="shared" si="49"/>
        <v>0</v>
      </c>
      <c r="EQ117" s="163">
        <f t="shared" si="49"/>
        <v>28</v>
      </c>
      <c r="ER117" s="643">
        <f t="shared" si="49"/>
        <v>3</v>
      </c>
    </row>
    <row r="118" spans="1:148">
      <c r="A118" s="654" t="s">
        <v>250</v>
      </c>
      <c r="B118" s="658">
        <v>45108</v>
      </c>
      <c r="C118" s="659">
        <v>2023</v>
      </c>
      <c r="D118" s="646">
        <f t="shared" si="59"/>
        <v>178596</v>
      </c>
      <c r="E118" s="646">
        <f t="shared" si="65"/>
        <v>14710</v>
      </c>
      <c r="F118" s="645">
        <f t="shared" si="65"/>
        <v>11458</v>
      </c>
      <c r="G118" s="163">
        <f t="shared" si="65"/>
        <v>3129</v>
      </c>
      <c r="H118" s="163">
        <f t="shared" si="65"/>
        <v>523</v>
      </c>
      <c r="I118" s="163">
        <f t="shared" si="65"/>
        <v>7730</v>
      </c>
      <c r="J118" s="644">
        <f t="shared" si="65"/>
        <v>76</v>
      </c>
      <c r="K118" s="645">
        <f t="shared" si="65"/>
        <v>3252</v>
      </c>
      <c r="L118" s="163">
        <f t="shared" si="65"/>
        <v>322</v>
      </c>
      <c r="M118" s="163">
        <f t="shared" si="65"/>
        <v>0</v>
      </c>
      <c r="N118" s="163">
        <f t="shared" si="65"/>
        <v>2825</v>
      </c>
      <c r="O118" s="643">
        <f t="shared" si="65"/>
        <v>105</v>
      </c>
      <c r="P118" s="646">
        <f t="shared" si="65"/>
        <v>25</v>
      </c>
      <c r="Q118" s="645">
        <f t="shared" si="65"/>
        <v>18</v>
      </c>
      <c r="R118" s="163">
        <f t="shared" si="65"/>
        <v>8</v>
      </c>
      <c r="S118" s="163">
        <f t="shared" si="65"/>
        <v>0</v>
      </c>
      <c r="T118" s="163">
        <f t="shared" si="65"/>
        <v>10</v>
      </c>
      <c r="U118" s="644">
        <f t="shared" si="64"/>
        <v>0</v>
      </c>
      <c r="V118" s="645">
        <f t="shared" si="64"/>
        <v>7</v>
      </c>
      <c r="W118" s="163">
        <f t="shared" si="64"/>
        <v>1</v>
      </c>
      <c r="X118" s="163">
        <f t="shared" si="64"/>
        <v>0</v>
      </c>
      <c r="Y118" s="163">
        <f t="shared" si="64"/>
        <v>6</v>
      </c>
      <c r="Z118" s="643">
        <f t="shared" si="64"/>
        <v>0</v>
      </c>
      <c r="AA118" s="646">
        <f t="shared" si="64"/>
        <v>15</v>
      </c>
      <c r="AB118" s="645">
        <f t="shared" si="64"/>
        <v>9</v>
      </c>
      <c r="AC118" s="163">
        <f t="shared" si="64"/>
        <v>1</v>
      </c>
      <c r="AD118" s="163">
        <f t="shared" si="64"/>
        <v>0</v>
      </c>
      <c r="AE118" s="163">
        <f t="shared" si="64"/>
        <v>8</v>
      </c>
      <c r="AF118" s="644">
        <f t="shared" si="64"/>
        <v>0</v>
      </c>
      <c r="AG118" s="645">
        <f t="shared" si="64"/>
        <v>6</v>
      </c>
      <c r="AH118" s="163">
        <f t="shared" si="64"/>
        <v>2</v>
      </c>
      <c r="AI118" s="163">
        <f t="shared" si="62"/>
        <v>0</v>
      </c>
      <c r="AJ118" s="163">
        <f t="shared" si="62"/>
        <v>4</v>
      </c>
      <c r="AK118" s="643">
        <f t="shared" si="62"/>
        <v>0</v>
      </c>
      <c r="AL118" s="646">
        <f t="shared" si="62"/>
        <v>138</v>
      </c>
      <c r="AM118" s="645">
        <f t="shared" si="62"/>
        <v>92</v>
      </c>
      <c r="AN118" s="163">
        <f t="shared" si="62"/>
        <v>33</v>
      </c>
      <c r="AO118" s="163">
        <f t="shared" si="62"/>
        <v>4</v>
      </c>
      <c r="AP118" s="163">
        <f t="shared" si="62"/>
        <v>55</v>
      </c>
      <c r="AQ118" s="644">
        <f t="shared" si="62"/>
        <v>0</v>
      </c>
      <c r="AR118" s="645">
        <f t="shared" si="62"/>
        <v>46</v>
      </c>
      <c r="AS118" s="163">
        <f t="shared" si="62"/>
        <v>1</v>
      </c>
      <c r="AT118" s="163">
        <f t="shared" si="62"/>
        <v>0</v>
      </c>
      <c r="AU118" s="163">
        <f t="shared" si="62"/>
        <v>45</v>
      </c>
      <c r="AV118" s="643">
        <f t="shared" si="62"/>
        <v>0</v>
      </c>
      <c r="AW118" s="646">
        <f t="shared" si="62"/>
        <v>82</v>
      </c>
      <c r="AX118" s="645">
        <f t="shared" si="62"/>
        <v>69</v>
      </c>
      <c r="AY118" s="163">
        <f t="shared" si="62"/>
        <v>16</v>
      </c>
      <c r="AZ118" s="163">
        <f t="shared" si="66"/>
        <v>4</v>
      </c>
      <c r="BA118" s="163">
        <f t="shared" si="66"/>
        <v>49</v>
      </c>
      <c r="BB118" s="644">
        <f t="shared" si="66"/>
        <v>0</v>
      </c>
      <c r="BC118" s="645">
        <f t="shared" ref="BC118:DN125" si="69">SUMIFS(BC$5:BC$36,$B$5:$B$36,$A118)</f>
        <v>13</v>
      </c>
      <c r="BD118" s="163">
        <f t="shared" si="69"/>
        <v>1</v>
      </c>
      <c r="BE118" s="163">
        <f t="shared" si="69"/>
        <v>0</v>
      </c>
      <c r="BF118" s="163">
        <f t="shared" si="69"/>
        <v>12</v>
      </c>
      <c r="BG118" s="643">
        <f t="shared" si="69"/>
        <v>0</v>
      </c>
      <c r="BH118" s="646">
        <f t="shared" si="69"/>
        <v>126</v>
      </c>
      <c r="BI118" s="645">
        <f t="shared" si="69"/>
        <v>104</v>
      </c>
      <c r="BJ118" s="163">
        <f t="shared" si="69"/>
        <v>28</v>
      </c>
      <c r="BK118" s="163">
        <f t="shared" si="69"/>
        <v>2</v>
      </c>
      <c r="BL118" s="163">
        <f t="shared" si="69"/>
        <v>74</v>
      </c>
      <c r="BM118" s="644">
        <f t="shared" si="69"/>
        <v>0</v>
      </c>
      <c r="BN118" s="645">
        <f t="shared" si="69"/>
        <v>22</v>
      </c>
      <c r="BO118" s="163">
        <f t="shared" si="69"/>
        <v>1</v>
      </c>
      <c r="BP118" s="163">
        <f t="shared" si="69"/>
        <v>0</v>
      </c>
      <c r="BQ118" s="163">
        <f t="shared" si="69"/>
        <v>20</v>
      </c>
      <c r="BR118" s="643">
        <f t="shared" si="69"/>
        <v>1</v>
      </c>
      <c r="BS118" s="646">
        <f t="shared" si="69"/>
        <v>171</v>
      </c>
      <c r="BT118" s="645">
        <f t="shared" si="69"/>
        <v>135</v>
      </c>
      <c r="BU118" s="163">
        <f t="shared" si="69"/>
        <v>44</v>
      </c>
      <c r="BV118" s="163">
        <f t="shared" si="69"/>
        <v>2</v>
      </c>
      <c r="BW118" s="163">
        <f t="shared" si="69"/>
        <v>89</v>
      </c>
      <c r="BX118" s="644">
        <f t="shared" si="69"/>
        <v>0</v>
      </c>
      <c r="BY118" s="645">
        <f t="shared" si="69"/>
        <v>36</v>
      </c>
      <c r="BZ118" s="163">
        <f t="shared" si="69"/>
        <v>3</v>
      </c>
      <c r="CA118" s="163">
        <f t="shared" si="69"/>
        <v>0</v>
      </c>
      <c r="CB118" s="163">
        <f t="shared" si="69"/>
        <v>32</v>
      </c>
      <c r="CC118" s="643">
        <f t="shared" si="69"/>
        <v>1</v>
      </c>
      <c r="CD118" s="646">
        <f t="shared" si="69"/>
        <v>28</v>
      </c>
      <c r="CE118" s="645">
        <f t="shared" si="69"/>
        <v>22</v>
      </c>
      <c r="CF118" s="163">
        <f t="shared" si="69"/>
        <v>4</v>
      </c>
      <c r="CG118" s="163">
        <f t="shared" si="69"/>
        <v>2</v>
      </c>
      <c r="CH118" s="163">
        <f t="shared" si="69"/>
        <v>16</v>
      </c>
      <c r="CI118" s="644">
        <f t="shared" si="69"/>
        <v>0</v>
      </c>
      <c r="CJ118" s="645">
        <f t="shared" si="69"/>
        <v>6</v>
      </c>
      <c r="CK118" s="163">
        <f t="shared" si="69"/>
        <v>0</v>
      </c>
      <c r="CL118" s="163">
        <f t="shared" si="69"/>
        <v>0</v>
      </c>
      <c r="CM118" s="163">
        <f t="shared" si="69"/>
        <v>6</v>
      </c>
      <c r="CN118" s="643">
        <f t="shared" si="69"/>
        <v>0</v>
      </c>
      <c r="CO118" s="646">
        <f t="shared" si="69"/>
        <v>28</v>
      </c>
      <c r="CP118" s="645">
        <f t="shared" si="69"/>
        <v>22</v>
      </c>
      <c r="CQ118" s="163">
        <f t="shared" si="69"/>
        <v>6</v>
      </c>
      <c r="CR118" s="163">
        <f t="shared" si="69"/>
        <v>1</v>
      </c>
      <c r="CS118" s="163">
        <f t="shared" si="69"/>
        <v>15</v>
      </c>
      <c r="CT118" s="644">
        <f t="shared" si="69"/>
        <v>0</v>
      </c>
      <c r="CU118" s="645">
        <f t="shared" si="69"/>
        <v>6</v>
      </c>
      <c r="CV118" s="163">
        <f t="shared" si="69"/>
        <v>0</v>
      </c>
      <c r="CW118" s="163">
        <f t="shared" si="69"/>
        <v>0</v>
      </c>
      <c r="CX118" s="163">
        <f t="shared" si="69"/>
        <v>6</v>
      </c>
      <c r="CY118" s="643">
        <f t="shared" si="69"/>
        <v>0</v>
      </c>
      <c r="CZ118" s="646">
        <f t="shared" si="69"/>
        <v>3</v>
      </c>
      <c r="DA118" s="645">
        <f t="shared" si="69"/>
        <v>2</v>
      </c>
      <c r="DB118" s="163">
        <f t="shared" si="69"/>
        <v>0</v>
      </c>
      <c r="DC118" s="163">
        <f t="shared" si="69"/>
        <v>0</v>
      </c>
      <c r="DD118" s="163">
        <f t="shared" si="69"/>
        <v>2</v>
      </c>
      <c r="DE118" s="644">
        <f t="shared" si="69"/>
        <v>0</v>
      </c>
      <c r="DF118" s="645">
        <f t="shared" si="69"/>
        <v>1</v>
      </c>
      <c r="DG118" s="163">
        <f t="shared" si="69"/>
        <v>0</v>
      </c>
      <c r="DH118" s="163">
        <f t="shared" si="69"/>
        <v>0</v>
      </c>
      <c r="DI118" s="163">
        <f t="shared" si="69"/>
        <v>1</v>
      </c>
      <c r="DJ118" s="643">
        <f t="shared" si="69"/>
        <v>0</v>
      </c>
      <c r="DK118" s="646">
        <f t="shared" si="69"/>
        <v>0</v>
      </c>
      <c r="DL118" s="645">
        <f t="shared" si="69"/>
        <v>0</v>
      </c>
      <c r="DM118" s="163">
        <f t="shared" si="69"/>
        <v>0</v>
      </c>
      <c r="DN118" s="163">
        <f t="shared" si="69"/>
        <v>0</v>
      </c>
      <c r="DO118" s="163">
        <f t="shared" si="68"/>
        <v>0</v>
      </c>
      <c r="DP118" s="644">
        <f t="shared" si="68"/>
        <v>0</v>
      </c>
      <c r="DQ118" s="645">
        <f t="shared" si="68"/>
        <v>0</v>
      </c>
      <c r="DR118" s="163">
        <f t="shared" si="68"/>
        <v>0</v>
      </c>
      <c r="DS118" s="163">
        <f t="shared" si="68"/>
        <v>0</v>
      </c>
      <c r="DT118" s="163">
        <f t="shared" si="68"/>
        <v>0</v>
      </c>
      <c r="DU118" s="643">
        <f t="shared" si="68"/>
        <v>0</v>
      </c>
      <c r="DW118" s="646">
        <f t="shared" si="40"/>
        <v>478</v>
      </c>
      <c r="DX118" s="645">
        <f t="shared" si="40"/>
        <v>381</v>
      </c>
      <c r="DY118" s="163">
        <f t="shared" si="40"/>
        <v>107</v>
      </c>
      <c r="DZ118" s="163">
        <f t="shared" si="40"/>
        <v>11</v>
      </c>
      <c r="EA118" s="163">
        <f t="shared" si="67"/>
        <v>263</v>
      </c>
      <c r="EB118" s="644">
        <f t="shared" si="67"/>
        <v>0</v>
      </c>
      <c r="EC118" s="645">
        <f t="shared" si="67"/>
        <v>97</v>
      </c>
      <c r="ED118" s="163">
        <f t="shared" si="67"/>
        <v>8</v>
      </c>
      <c r="EE118" s="163">
        <f t="shared" si="67"/>
        <v>0</v>
      </c>
      <c r="EF118" s="163">
        <f t="shared" si="67"/>
        <v>87</v>
      </c>
      <c r="EG118" s="643">
        <f t="shared" si="67"/>
        <v>2</v>
      </c>
      <c r="EH118" s="646">
        <f t="shared" si="29"/>
        <v>138</v>
      </c>
      <c r="EI118" s="645">
        <f t="shared" si="29"/>
        <v>92</v>
      </c>
      <c r="EJ118" s="163">
        <f t="shared" si="29"/>
        <v>33</v>
      </c>
      <c r="EK118" s="163">
        <f t="shared" si="29"/>
        <v>4</v>
      </c>
      <c r="EL118" s="163">
        <f t="shared" si="29"/>
        <v>55</v>
      </c>
      <c r="EM118" s="644">
        <f t="shared" si="49"/>
        <v>0</v>
      </c>
      <c r="EN118" s="645">
        <f t="shared" si="49"/>
        <v>46</v>
      </c>
      <c r="EO118" s="163">
        <f t="shared" si="49"/>
        <v>1</v>
      </c>
      <c r="EP118" s="163">
        <f t="shared" si="49"/>
        <v>0</v>
      </c>
      <c r="EQ118" s="163">
        <f t="shared" si="49"/>
        <v>45</v>
      </c>
      <c r="ER118" s="643">
        <f t="shared" si="49"/>
        <v>0</v>
      </c>
    </row>
    <row r="119" spans="1:148">
      <c r="A119" s="654" t="s">
        <v>250</v>
      </c>
      <c r="B119" s="658">
        <v>45139</v>
      </c>
      <c r="C119" s="659">
        <v>2023</v>
      </c>
      <c r="D119" s="646">
        <f t="shared" si="59"/>
        <v>178596</v>
      </c>
      <c r="E119" s="646">
        <f t="shared" si="65"/>
        <v>14710</v>
      </c>
      <c r="F119" s="645">
        <f t="shared" si="65"/>
        <v>11458</v>
      </c>
      <c r="G119" s="163">
        <f t="shared" si="65"/>
        <v>3129</v>
      </c>
      <c r="H119" s="163">
        <f t="shared" si="65"/>
        <v>523</v>
      </c>
      <c r="I119" s="163">
        <f t="shared" si="65"/>
        <v>7730</v>
      </c>
      <c r="J119" s="644">
        <f t="shared" si="65"/>
        <v>76</v>
      </c>
      <c r="K119" s="645">
        <f t="shared" si="65"/>
        <v>3252</v>
      </c>
      <c r="L119" s="163">
        <f t="shared" si="65"/>
        <v>322</v>
      </c>
      <c r="M119" s="163">
        <f t="shared" si="65"/>
        <v>0</v>
      </c>
      <c r="N119" s="163">
        <f t="shared" si="65"/>
        <v>2825</v>
      </c>
      <c r="O119" s="643">
        <f t="shared" si="65"/>
        <v>105</v>
      </c>
      <c r="P119" s="646">
        <f t="shared" si="65"/>
        <v>25</v>
      </c>
      <c r="Q119" s="645">
        <f t="shared" si="65"/>
        <v>18</v>
      </c>
      <c r="R119" s="163">
        <f t="shared" si="65"/>
        <v>8</v>
      </c>
      <c r="S119" s="163">
        <f t="shared" si="65"/>
        <v>0</v>
      </c>
      <c r="T119" s="163">
        <f t="shared" si="65"/>
        <v>10</v>
      </c>
      <c r="U119" s="644">
        <f t="shared" si="64"/>
        <v>0</v>
      </c>
      <c r="V119" s="645">
        <f t="shared" si="64"/>
        <v>7</v>
      </c>
      <c r="W119" s="163">
        <f t="shared" si="64"/>
        <v>1</v>
      </c>
      <c r="X119" s="163">
        <f t="shared" si="64"/>
        <v>0</v>
      </c>
      <c r="Y119" s="163">
        <f t="shared" si="64"/>
        <v>6</v>
      </c>
      <c r="Z119" s="643">
        <f t="shared" si="64"/>
        <v>0</v>
      </c>
      <c r="AA119" s="646">
        <f t="shared" si="64"/>
        <v>15</v>
      </c>
      <c r="AB119" s="645">
        <f t="shared" si="64"/>
        <v>9</v>
      </c>
      <c r="AC119" s="163">
        <f t="shared" si="64"/>
        <v>1</v>
      </c>
      <c r="AD119" s="163">
        <f t="shared" si="64"/>
        <v>0</v>
      </c>
      <c r="AE119" s="163">
        <f t="shared" si="64"/>
        <v>8</v>
      </c>
      <c r="AF119" s="644">
        <f t="shared" si="64"/>
        <v>0</v>
      </c>
      <c r="AG119" s="645">
        <f t="shared" si="64"/>
        <v>6</v>
      </c>
      <c r="AH119" s="163">
        <f t="shared" si="64"/>
        <v>2</v>
      </c>
      <c r="AI119" s="163">
        <f t="shared" si="62"/>
        <v>0</v>
      </c>
      <c r="AJ119" s="163">
        <f t="shared" si="62"/>
        <v>4</v>
      </c>
      <c r="AK119" s="643">
        <f t="shared" si="62"/>
        <v>0</v>
      </c>
      <c r="AL119" s="646">
        <f t="shared" si="62"/>
        <v>138</v>
      </c>
      <c r="AM119" s="645">
        <f t="shared" si="62"/>
        <v>92</v>
      </c>
      <c r="AN119" s="163">
        <f t="shared" si="62"/>
        <v>33</v>
      </c>
      <c r="AO119" s="163">
        <f t="shared" si="62"/>
        <v>4</v>
      </c>
      <c r="AP119" s="163">
        <f t="shared" si="62"/>
        <v>55</v>
      </c>
      <c r="AQ119" s="644">
        <f t="shared" si="62"/>
        <v>0</v>
      </c>
      <c r="AR119" s="645">
        <f t="shared" si="62"/>
        <v>46</v>
      </c>
      <c r="AS119" s="163">
        <f t="shared" si="62"/>
        <v>1</v>
      </c>
      <c r="AT119" s="163">
        <f t="shared" si="62"/>
        <v>0</v>
      </c>
      <c r="AU119" s="163">
        <f t="shared" si="62"/>
        <v>45</v>
      </c>
      <c r="AV119" s="643">
        <f t="shared" si="62"/>
        <v>0</v>
      </c>
      <c r="AW119" s="646">
        <f t="shared" si="62"/>
        <v>82</v>
      </c>
      <c r="AX119" s="645">
        <f t="shared" si="62"/>
        <v>69</v>
      </c>
      <c r="AY119" s="163">
        <f t="shared" si="62"/>
        <v>16</v>
      </c>
      <c r="AZ119" s="163">
        <f t="shared" ref="AZ119:DK126" si="70">SUMIFS(AZ$5:AZ$36,$B$5:$B$36,$A119)</f>
        <v>4</v>
      </c>
      <c r="BA119" s="163">
        <f t="shared" si="70"/>
        <v>49</v>
      </c>
      <c r="BB119" s="644">
        <f t="shared" si="70"/>
        <v>0</v>
      </c>
      <c r="BC119" s="645">
        <f t="shared" si="70"/>
        <v>13</v>
      </c>
      <c r="BD119" s="163">
        <f t="shared" si="70"/>
        <v>1</v>
      </c>
      <c r="BE119" s="163">
        <f t="shared" si="70"/>
        <v>0</v>
      </c>
      <c r="BF119" s="163">
        <f t="shared" si="70"/>
        <v>12</v>
      </c>
      <c r="BG119" s="643">
        <f t="shared" si="70"/>
        <v>0</v>
      </c>
      <c r="BH119" s="646">
        <f t="shared" si="70"/>
        <v>126</v>
      </c>
      <c r="BI119" s="645">
        <f t="shared" si="70"/>
        <v>104</v>
      </c>
      <c r="BJ119" s="163">
        <f t="shared" si="70"/>
        <v>28</v>
      </c>
      <c r="BK119" s="163">
        <f t="shared" si="70"/>
        <v>2</v>
      </c>
      <c r="BL119" s="163">
        <f t="shared" si="70"/>
        <v>74</v>
      </c>
      <c r="BM119" s="644">
        <f t="shared" si="70"/>
        <v>0</v>
      </c>
      <c r="BN119" s="645">
        <f t="shared" si="70"/>
        <v>22</v>
      </c>
      <c r="BO119" s="163">
        <f t="shared" si="70"/>
        <v>1</v>
      </c>
      <c r="BP119" s="163">
        <f t="shared" si="70"/>
        <v>0</v>
      </c>
      <c r="BQ119" s="163">
        <f t="shared" si="70"/>
        <v>20</v>
      </c>
      <c r="BR119" s="643">
        <f t="shared" si="70"/>
        <v>1</v>
      </c>
      <c r="BS119" s="646">
        <f t="shared" si="70"/>
        <v>171</v>
      </c>
      <c r="BT119" s="645">
        <f t="shared" si="70"/>
        <v>135</v>
      </c>
      <c r="BU119" s="163">
        <f t="shared" si="70"/>
        <v>44</v>
      </c>
      <c r="BV119" s="163">
        <f t="shared" si="70"/>
        <v>2</v>
      </c>
      <c r="BW119" s="163">
        <f t="shared" si="70"/>
        <v>89</v>
      </c>
      <c r="BX119" s="644">
        <f t="shared" si="70"/>
        <v>0</v>
      </c>
      <c r="BY119" s="645">
        <f t="shared" si="70"/>
        <v>36</v>
      </c>
      <c r="BZ119" s="163">
        <f t="shared" si="70"/>
        <v>3</v>
      </c>
      <c r="CA119" s="163">
        <f t="shared" si="70"/>
        <v>0</v>
      </c>
      <c r="CB119" s="163">
        <f t="shared" si="70"/>
        <v>32</v>
      </c>
      <c r="CC119" s="643">
        <f t="shared" si="70"/>
        <v>1</v>
      </c>
      <c r="CD119" s="646">
        <f t="shared" si="70"/>
        <v>28</v>
      </c>
      <c r="CE119" s="645">
        <f t="shared" si="70"/>
        <v>22</v>
      </c>
      <c r="CF119" s="163">
        <f t="shared" si="70"/>
        <v>4</v>
      </c>
      <c r="CG119" s="163">
        <f t="shared" si="70"/>
        <v>2</v>
      </c>
      <c r="CH119" s="163">
        <f t="shared" si="70"/>
        <v>16</v>
      </c>
      <c r="CI119" s="644">
        <f t="shared" si="70"/>
        <v>0</v>
      </c>
      <c r="CJ119" s="645">
        <f t="shared" si="70"/>
        <v>6</v>
      </c>
      <c r="CK119" s="163">
        <f t="shared" si="70"/>
        <v>0</v>
      </c>
      <c r="CL119" s="163">
        <f t="shared" si="70"/>
        <v>0</v>
      </c>
      <c r="CM119" s="163">
        <f t="shared" si="70"/>
        <v>6</v>
      </c>
      <c r="CN119" s="643">
        <f t="shared" si="70"/>
        <v>0</v>
      </c>
      <c r="CO119" s="646">
        <f t="shared" si="70"/>
        <v>28</v>
      </c>
      <c r="CP119" s="645">
        <f t="shared" si="70"/>
        <v>22</v>
      </c>
      <c r="CQ119" s="163">
        <f t="shared" si="70"/>
        <v>6</v>
      </c>
      <c r="CR119" s="163">
        <f t="shared" si="70"/>
        <v>1</v>
      </c>
      <c r="CS119" s="163">
        <f t="shared" si="70"/>
        <v>15</v>
      </c>
      <c r="CT119" s="644">
        <f t="shared" si="69"/>
        <v>0</v>
      </c>
      <c r="CU119" s="645">
        <f t="shared" si="69"/>
        <v>6</v>
      </c>
      <c r="CV119" s="163">
        <f t="shared" si="69"/>
        <v>0</v>
      </c>
      <c r="CW119" s="163">
        <f t="shared" si="69"/>
        <v>0</v>
      </c>
      <c r="CX119" s="163">
        <f t="shared" si="69"/>
        <v>6</v>
      </c>
      <c r="CY119" s="643">
        <f t="shared" si="69"/>
        <v>0</v>
      </c>
      <c r="CZ119" s="646">
        <f t="shared" si="69"/>
        <v>3</v>
      </c>
      <c r="DA119" s="645">
        <f t="shared" si="69"/>
        <v>2</v>
      </c>
      <c r="DB119" s="163">
        <f t="shared" si="69"/>
        <v>0</v>
      </c>
      <c r="DC119" s="163">
        <f t="shared" si="69"/>
        <v>0</v>
      </c>
      <c r="DD119" s="163">
        <f t="shared" si="69"/>
        <v>2</v>
      </c>
      <c r="DE119" s="644">
        <f t="shared" si="69"/>
        <v>0</v>
      </c>
      <c r="DF119" s="645">
        <f t="shared" si="69"/>
        <v>1</v>
      </c>
      <c r="DG119" s="163">
        <f t="shared" si="69"/>
        <v>0</v>
      </c>
      <c r="DH119" s="163">
        <f t="shared" si="69"/>
        <v>0</v>
      </c>
      <c r="DI119" s="163">
        <f t="shared" si="69"/>
        <v>1</v>
      </c>
      <c r="DJ119" s="643">
        <f t="shared" si="69"/>
        <v>0</v>
      </c>
      <c r="DK119" s="646">
        <f t="shared" si="69"/>
        <v>0</v>
      </c>
      <c r="DL119" s="645">
        <f t="shared" si="69"/>
        <v>0</v>
      </c>
      <c r="DM119" s="163">
        <f t="shared" si="69"/>
        <v>0</v>
      </c>
      <c r="DN119" s="163">
        <f t="shared" si="69"/>
        <v>0</v>
      </c>
      <c r="DO119" s="163">
        <f t="shared" si="68"/>
        <v>0</v>
      </c>
      <c r="DP119" s="644">
        <f t="shared" si="68"/>
        <v>0</v>
      </c>
      <c r="DQ119" s="645">
        <f t="shared" si="68"/>
        <v>0</v>
      </c>
      <c r="DR119" s="163">
        <f t="shared" si="68"/>
        <v>0</v>
      </c>
      <c r="DS119" s="163">
        <f t="shared" si="68"/>
        <v>0</v>
      </c>
      <c r="DT119" s="163">
        <f t="shared" si="68"/>
        <v>0</v>
      </c>
      <c r="DU119" s="643">
        <f t="shared" si="68"/>
        <v>0</v>
      </c>
      <c r="DW119" s="646">
        <f t="shared" si="40"/>
        <v>478</v>
      </c>
      <c r="DX119" s="645">
        <f t="shared" si="40"/>
        <v>381</v>
      </c>
      <c r="DY119" s="163">
        <f t="shared" si="40"/>
        <v>107</v>
      </c>
      <c r="DZ119" s="163">
        <f t="shared" si="40"/>
        <v>11</v>
      </c>
      <c r="EA119" s="163">
        <f t="shared" si="67"/>
        <v>263</v>
      </c>
      <c r="EB119" s="644">
        <f t="shared" si="67"/>
        <v>0</v>
      </c>
      <c r="EC119" s="645">
        <f t="shared" si="67"/>
        <v>97</v>
      </c>
      <c r="ED119" s="163">
        <f t="shared" si="67"/>
        <v>8</v>
      </c>
      <c r="EE119" s="163">
        <f t="shared" si="67"/>
        <v>0</v>
      </c>
      <c r="EF119" s="163">
        <f t="shared" si="67"/>
        <v>87</v>
      </c>
      <c r="EG119" s="643">
        <f t="shared" si="67"/>
        <v>2</v>
      </c>
      <c r="EH119" s="646">
        <f t="shared" si="29"/>
        <v>138</v>
      </c>
      <c r="EI119" s="645">
        <f t="shared" si="29"/>
        <v>92</v>
      </c>
      <c r="EJ119" s="163">
        <f t="shared" si="29"/>
        <v>33</v>
      </c>
      <c r="EK119" s="163">
        <f t="shared" si="29"/>
        <v>4</v>
      </c>
      <c r="EL119" s="163">
        <f t="shared" si="29"/>
        <v>55</v>
      </c>
      <c r="EM119" s="644">
        <f t="shared" si="49"/>
        <v>0</v>
      </c>
      <c r="EN119" s="645">
        <f t="shared" si="49"/>
        <v>46</v>
      </c>
      <c r="EO119" s="163">
        <f t="shared" si="49"/>
        <v>1</v>
      </c>
      <c r="EP119" s="163">
        <f t="shared" si="49"/>
        <v>0</v>
      </c>
      <c r="EQ119" s="163">
        <f t="shared" si="49"/>
        <v>45</v>
      </c>
      <c r="ER119" s="643">
        <f t="shared" si="49"/>
        <v>0</v>
      </c>
    </row>
    <row r="120" spans="1:148">
      <c r="A120" s="654" t="s">
        <v>250</v>
      </c>
      <c r="B120" s="658">
        <v>45170</v>
      </c>
      <c r="C120" s="659">
        <v>2023</v>
      </c>
      <c r="D120" s="646">
        <f t="shared" si="59"/>
        <v>178596</v>
      </c>
      <c r="E120" s="646">
        <f t="shared" si="65"/>
        <v>14710</v>
      </c>
      <c r="F120" s="645">
        <f t="shared" si="65"/>
        <v>11458</v>
      </c>
      <c r="G120" s="163">
        <f t="shared" si="65"/>
        <v>3129</v>
      </c>
      <c r="H120" s="163">
        <f t="shared" si="65"/>
        <v>523</v>
      </c>
      <c r="I120" s="163">
        <f t="shared" si="65"/>
        <v>7730</v>
      </c>
      <c r="J120" s="644">
        <f t="shared" si="65"/>
        <v>76</v>
      </c>
      <c r="K120" s="645">
        <f t="shared" si="65"/>
        <v>3252</v>
      </c>
      <c r="L120" s="163">
        <f t="shared" si="65"/>
        <v>322</v>
      </c>
      <c r="M120" s="163">
        <f t="shared" si="65"/>
        <v>0</v>
      </c>
      <c r="N120" s="163">
        <f t="shared" si="65"/>
        <v>2825</v>
      </c>
      <c r="O120" s="643">
        <f t="shared" si="65"/>
        <v>105</v>
      </c>
      <c r="P120" s="646">
        <f t="shared" si="65"/>
        <v>25</v>
      </c>
      <c r="Q120" s="645">
        <f t="shared" si="65"/>
        <v>18</v>
      </c>
      <c r="R120" s="163">
        <f t="shared" si="65"/>
        <v>8</v>
      </c>
      <c r="S120" s="163">
        <f t="shared" si="65"/>
        <v>0</v>
      </c>
      <c r="T120" s="163">
        <f t="shared" si="65"/>
        <v>10</v>
      </c>
      <c r="U120" s="644">
        <f t="shared" si="64"/>
        <v>0</v>
      </c>
      <c r="V120" s="645">
        <f t="shared" si="64"/>
        <v>7</v>
      </c>
      <c r="W120" s="163">
        <f t="shared" si="64"/>
        <v>1</v>
      </c>
      <c r="X120" s="163">
        <f t="shared" si="64"/>
        <v>0</v>
      </c>
      <c r="Y120" s="163">
        <f t="shared" si="64"/>
        <v>6</v>
      </c>
      <c r="Z120" s="643">
        <f t="shared" si="64"/>
        <v>0</v>
      </c>
      <c r="AA120" s="646">
        <f t="shared" si="64"/>
        <v>15</v>
      </c>
      <c r="AB120" s="645">
        <f t="shared" si="64"/>
        <v>9</v>
      </c>
      <c r="AC120" s="163">
        <f t="shared" si="64"/>
        <v>1</v>
      </c>
      <c r="AD120" s="163">
        <f t="shared" si="64"/>
        <v>0</v>
      </c>
      <c r="AE120" s="163">
        <f t="shared" si="64"/>
        <v>8</v>
      </c>
      <c r="AF120" s="644">
        <f t="shared" si="64"/>
        <v>0</v>
      </c>
      <c r="AG120" s="645">
        <f t="shared" si="64"/>
        <v>6</v>
      </c>
      <c r="AH120" s="163">
        <f t="shared" si="64"/>
        <v>2</v>
      </c>
      <c r="AI120" s="163">
        <f t="shared" si="62"/>
        <v>0</v>
      </c>
      <c r="AJ120" s="163">
        <f t="shared" si="62"/>
        <v>4</v>
      </c>
      <c r="AK120" s="643">
        <f t="shared" si="62"/>
        <v>0</v>
      </c>
      <c r="AL120" s="646">
        <f t="shared" si="62"/>
        <v>138</v>
      </c>
      <c r="AM120" s="645">
        <f t="shared" si="62"/>
        <v>92</v>
      </c>
      <c r="AN120" s="163">
        <f t="shared" si="62"/>
        <v>33</v>
      </c>
      <c r="AO120" s="163">
        <f t="shared" si="62"/>
        <v>4</v>
      </c>
      <c r="AP120" s="163">
        <f t="shared" si="62"/>
        <v>55</v>
      </c>
      <c r="AQ120" s="644">
        <f t="shared" si="62"/>
        <v>0</v>
      </c>
      <c r="AR120" s="645">
        <f t="shared" si="62"/>
        <v>46</v>
      </c>
      <c r="AS120" s="163">
        <f t="shared" si="62"/>
        <v>1</v>
      </c>
      <c r="AT120" s="163">
        <f t="shared" si="62"/>
        <v>0</v>
      </c>
      <c r="AU120" s="163">
        <f t="shared" si="62"/>
        <v>45</v>
      </c>
      <c r="AV120" s="643">
        <f t="shared" si="62"/>
        <v>0</v>
      </c>
      <c r="AW120" s="646">
        <f t="shared" si="62"/>
        <v>82</v>
      </c>
      <c r="AX120" s="645">
        <f t="shared" si="62"/>
        <v>69</v>
      </c>
      <c r="AY120" s="163">
        <f t="shared" si="62"/>
        <v>16</v>
      </c>
      <c r="AZ120" s="163">
        <f t="shared" si="70"/>
        <v>4</v>
      </c>
      <c r="BA120" s="163">
        <f t="shared" si="70"/>
        <v>49</v>
      </c>
      <c r="BB120" s="644">
        <f t="shared" si="70"/>
        <v>0</v>
      </c>
      <c r="BC120" s="645">
        <f t="shared" si="70"/>
        <v>13</v>
      </c>
      <c r="BD120" s="163">
        <f t="shared" si="70"/>
        <v>1</v>
      </c>
      <c r="BE120" s="163">
        <f t="shared" si="70"/>
        <v>0</v>
      </c>
      <c r="BF120" s="163">
        <f t="shared" si="70"/>
        <v>12</v>
      </c>
      <c r="BG120" s="643">
        <f t="shared" si="70"/>
        <v>0</v>
      </c>
      <c r="BH120" s="646">
        <f t="shared" si="70"/>
        <v>126</v>
      </c>
      <c r="BI120" s="645">
        <f t="shared" si="70"/>
        <v>104</v>
      </c>
      <c r="BJ120" s="163">
        <f t="shared" si="70"/>
        <v>28</v>
      </c>
      <c r="BK120" s="163">
        <f t="shared" si="70"/>
        <v>2</v>
      </c>
      <c r="BL120" s="163">
        <f t="shared" si="70"/>
        <v>74</v>
      </c>
      <c r="BM120" s="644">
        <f t="shared" si="70"/>
        <v>0</v>
      </c>
      <c r="BN120" s="645">
        <f t="shared" si="70"/>
        <v>22</v>
      </c>
      <c r="BO120" s="163">
        <f t="shared" si="70"/>
        <v>1</v>
      </c>
      <c r="BP120" s="163">
        <f t="shared" si="70"/>
        <v>0</v>
      </c>
      <c r="BQ120" s="163">
        <f t="shared" si="70"/>
        <v>20</v>
      </c>
      <c r="BR120" s="643">
        <f t="shared" si="70"/>
        <v>1</v>
      </c>
      <c r="BS120" s="646">
        <f t="shared" si="70"/>
        <v>171</v>
      </c>
      <c r="BT120" s="645">
        <f t="shared" si="70"/>
        <v>135</v>
      </c>
      <c r="BU120" s="163">
        <f t="shared" si="70"/>
        <v>44</v>
      </c>
      <c r="BV120" s="163">
        <f t="shared" si="70"/>
        <v>2</v>
      </c>
      <c r="BW120" s="163">
        <f t="shared" si="70"/>
        <v>89</v>
      </c>
      <c r="BX120" s="644">
        <f t="shared" si="70"/>
        <v>0</v>
      </c>
      <c r="BY120" s="645">
        <f t="shared" si="70"/>
        <v>36</v>
      </c>
      <c r="BZ120" s="163">
        <f t="shared" si="70"/>
        <v>3</v>
      </c>
      <c r="CA120" s="163">
        <f t="shared" si="70"/>
        <v>0</v>
      </c>
      <c r="CB120" s="163">
        <f t="shared" si="70"/>
        <v>32</v>
      </c>
      <c r="CC120" s="643">
        <f t="shared" si="70"/>
        <v>1</v>
      </c>
      <c r="CD120" s="646">
        <f t="shared" si="70"/>
        <v>28</v>
      </c>
      <c r="CE120" s="645">
        <f t="shared" si="70"/>
        <v>22</v>
      </c>
      <c r="CF120" s="163">
        <f t="shared" si="70"/>
        <v>4</v>
      </c>
      <c r="CG120" s="163">
        <f t="shared" si="70"/>
        <v>2</v>
      </c>
      <c r="CH120" s="163">
        <f t="shared" si="70"/>
        <v>16</v>
      </c>
      <c r="CI120" s="644">
        <f t="shared" si="70"/>
        <v>0</v>
      </c>
      <c r="CJ120" s="645">
        <f t="shared" si="70"/>
        <v>6</v>
      </c>
      <c r="CK120" s="163">
        <f t="shared" si="70"/>
        <v>0</v>
      </c>
      <c r="CL120" s="163">
        <f t="shared" si="70"/>
        <v>0</v>
      </c>
      <c r="CM120" s="163">
        <f t="shared" si="70"/>
        <v>6</v>
      </c>
      <c r="CN120" s="643">
        <f t="shared" si="70"/>
        <v>0</v>
      </c>
      <c r="CO120" s="646">
        <f t="shared" si="70"/>
        <v>28</v>
      </c>
      <c r="CP120" s="645">
        <f t="shared" si="70"/>
        <v>22</v>
      </c>
      <c r="CQ120" s="163">
        <f t="shared" si="70"/>
        <v>6</v>
      </c>
      <c r="CR120" s="163">
        <f t="shared" si="70"/>
        <v>1</v>
      </c>
      <c r="CS120" s="163">
        <f t="shared" si="70"/>
        <v>15</v>
      </c>
      <c r="CT120" s="644">
        <f t="shared" si="70"/>
        <v>0</v>
      </c>
      <c r="CU120" s="645">
        <f t="shared" si="69"/>
        <v>6</v>
      </c>
      <c r="CV120" s="163">
        <f t="shared" si="69"/>
        <v>0</v>
      </c>
      <c r="CW120" s="163">
        <f t="shared" si="69"/>
        <v>0</v>
      </c>
      <c r="CX120" s="163">
        <f t="shared" si="69"/>
        <v>6</v>
      </c>
      <c r="CY120" s="643">
        <f t="shared" si="69"/>
        <v>0</v>
      </c>
      <c r="CZ120" s="646">
        <f t="shared" si="69"/>
        <v>3</v>
      </c>
      <c r="DA120" s="645">
        <f t="shared" si="69"/>
        <v>2</v>
      </c>
      <c r="DB120" s="163">
        <f t="shared" si="69"/>
        <v>0</v>
      </c>
      <c r="DC120" s="163">
        <f t="shared" si="69"/>
        <v>0</v>
      </c>
      <c r="DD120" s="163">
        <f t="shared" si="69"/>
        <v>2</v>
      </c>
      <c r="DE120" s="644">
        <f t="shared" si="69"/>
        <v>0</v>
      </c>
      <c r="DF120" s="645">
        <f t="shared" si="69"/>
        <v>1</v>
      </c>
      <c r="DG120" s="163">
        <f t="shared" si="69"/>
        <v>0</v>
      </c>
      <c r="DH120" s="163">
        <f t="shared" si="69"/>
        <v>0</v>
      </c>
      <c r="DI120" s="163">
        <f t="shared" si="69"/>
        <v>1</v>
      </c>
      <c r="DJ120" s="643">
        <f t="shared" si="69"/>
        <v>0</v>
      </c>
      <c r="DK120" s="646">
        <f t="shared" si="69"/>
        <v>0</v>
      </c>
      <c r="DL120" s="645">
        <f t="shared" si="69"/>
        <v>0</v>
      </c>
      <c r="DM120" s="163">
        <f t="shared" si="69"/>
        <v>0</v>
      </c>
      <c r="DN120" s="163">
        <f t="shared" si="69"/>
        <v>0</v>
      </c>
      <c r="DO120" s="163">
        <f t="shared" si="68"/>
        <v>0</v>
      </c>
      <c r="DP120" s="644">
        <f t="shared" si="68"/>
        <v>0</v>
      </c>
      <c r="DQ120" s="645">
        <f t="shared" si="68"/>
        <v>0</v>
      </c>
      <c r="DR120" s="163">
        <f t="shared" si="68"/>
        <v>0</v>
      </c>
      <c r="DS120" s="163">
        <f t="shared" si="68"/>
        <v>0</v>
      </c>
      <c r="DT120" s="163">
        <f t="shared" si="68"/>
        <v>0</v>
      </c>
      <c r="DU120" s="643">
        <f t="shared" si="68"/>
        <v>0</v>
      </c>
      <c r="DW120" s="646">
        <f t="shared" si="40"/>
        <v>478</v>
      </c>
      <c r="DX120" s="645">
        <f t="shared" si="40"/>
        <v>381</v>
      </c>
      <c r="DY120" s="163">
        <f t="shared" si="40"/>
        <v>107</v>
      </c>
      <c r="DZ120" s="163">
        <f t="shared" si="40"/>
        <v>11</v>
      </c>
      <c r="EA120" s="163">
        <f t="shared" si="67"/>
        <v>263</v>
      </c>
      <c r="EB120" s="644">
        <f t="shared" si="67"/>
        <v>0</v>
      </c>
      <c r="EC120" s="645">
        <f t="shared" si="67"/>
        <v>97</v>
      </c>
      <c r="ED120" s="163">
        <f t="shared" si="67"/>
        <v>8</v>
      </c>
      <c r="EE120" s="163">
        <f t="shared" si="67"/>
        <v>0</v>
      </c>
      <c r="EF120" s="163">
        <f t="shared" si="67"/>
        <v>87</v>
      </c>
      <c r="EG120" s="643">
        <f t="shared" si="67"/>
        <v>2</v>
      </c>
      <c r="EH120" s="646">
        <f t="shared" si="29"/>
        <v>138</v>
      </c>
      <c r="EI120" s="645">
        <f t="shared" si="29"/>
        <v>92</v>
      </c>
      <c r="EJ120" s="163">
        <f t="shared" si="29"/>
        <v>33</v>
      </c>
      <c r="EK120" s="163">
        <f t="shared" si="29"/>
        <v>4</v>
      </c>
      <c r="EL120" s="163">
        <f t="shared" si="29"/>
        <v>55</v>
      </c>
      <c r="EM120" s="644">
        <f t="shared" si="49"/>
        <v>0</v>
      </c>
      <c r="EN120" s="645">
        <f t="shared" si="49"/>
        <v>46</v>
      </c>
      <c r="EO120" s="163">
        <f t="shared" si="49"/>
        <v>1</v>
      </c>
      <c r="EP120" s="163">
        <f t="shared" si="49"/>
        <v>0</v>
      </c>
      <c r="EQ120" s="163">
        <f t="shared" si="49"/>
        <v>45</v>
      </c>
      <c r="ER120" s="643">
        <f t="shared" si="49"/>
        <v>0</v>
      </c>
    </row>
    <row r="121" spans="1:148">
      <c r="A121" s="654" t="s">
        <v>251</v>
      </c>
      <c r="B121" s="658">
        <v>45200</v>
      </c>
      <c r="C121" s="659">
        <v>2023</v>
      </c>
      <c r="D121" s="646">
        <f t="shared" si="59"/>
        <v>171135</v>
      </c>
      <c r="E121" s="646">
        <f t="shared" si="65"/>
        <v>14105</v>
      </c>
      <c r="F121" s="645">
        <f t="shared" si="65"/>
        <v>10931</v>
      </c>
      <c r="G121" s="163">
        <f t="shared" si="65"/>
        <v>2488</v>
      </c>
      <c r="H121" s="163">
        <f t="shared" si="65"/>
        <v>550</v>
      </c>
      <c r="I121" s="163">
        <f t="shared" si="65"/>
        <v>7734</v>
      </c>
      <c r="J121" s="644">
        <f t="shared" si="65"/>
        <v>159</v>
      </c>
      <c r="K121" s="645">
        <f t="shared" si="65"/>
        <v>3174</v>
      </c>
      <c r="L121" s="163">
        <f t="shared" si="65"/>
        <v>210</v>
      </c>
      <c r="M121" s="163">
        <f t="shared" si="65"/>
        <v>0</v>
      </c>
      <c r="N121" s="163">
        <f t="shared" si="65"/>
        <v>2902</v>
      </c>
      <c r="O121" s="643">
        <f t="shared" si="65"/>
        <v>62</v>
      </c>
      <c r="P121" s="646">
        <f t="shared" si="65"/>
        <v>27</v>
      </c>
      <c r="Q121" s="645">
        <f t="shared" si="65"/>
        <v>20</v>
      </c>
      <c r="R121" s="163">
        <f t="shared" si="65"/>
        <v>5</v>
      </c>
      <c r="S121" s="163">
        <f t="shared" si="65"/>
        <v>1</v>
      </c>
      <c r="T121" s="163">
        <f t="shared" si="65"/>
        <v>14</v>
      </c>
      <c r="U121" s="644">
        <f t="shared" si="64"/>
        <v>0</v>
      </c>
      <c r="V121" s="645">
        <f t="shared" si="64"/>
        <v>7</v>
      </c>
      <c r="W121" s="163">
        <f t="shared" si="64"/>
        <v>0</v>
      </c>
      <c r="X121" s="163">
        <f t="shared" si="64"/>
        <v>0</v>
      </c>
      <c r="Y121" s="163">
        <f t="shared" si="64"/>
        <v>7</v>
      </c>
      <c r="Z121" s="643">
        <f t="shared" si="64"/>
        <v>0</v>
      </c>
      <c r="AA121" s="646">
        <f t="shared" si="64"/>
        <v>9</v>
      </c>
      <c r="AB121" s="645">
        <f t="shared" si="64"/>
        <v>8</v>
      </c>
      <c r="AC121" s="163">
        <f t="shared" si="64"/>
        <v>3</v>
      </c>
      <c r="AD121" s="163">
        <f t="shared" si="64"/>
        <v>1</v>
      </c>
      <c r="AE121" s="163">
        <f t="shared" si="64"/>
        <v>4</v>
      </c>
      <c r="AF121" s="644">
        <f t="shared" si="64"/>
        <v>0</v>
      </c>
      <c r="AG121" s="645">
        <f t="shared" si="64"/>
        <v>1</v>
      </c>
      <c r="AH121" s="163">
        <f t="shared" si="64"/>
        <v>0</v>
      </c>
      <c r="AI121" s="163">
        <f t="shared" si="62"/>
        <v>0</v>
      </c>
      <c r="AJ121" s="163">
        <f t="shared" si="62"/>
        <v>1</v>
      </c>
      <c r="AK121" s="643">
        <f t="shared" si="62"/>
        <v>0</v>
      </c>
      <c r="AL121" s="646">
        <f t="shared" si="62"/>
        <v>160</v>
      </c>
      <c r="AM121" s="645">
        <f t="shared" si="62"/>
        <v>125</v>
      </c>
      <c r="AN121" s="163">
        <f t="shared" si="62"/>
        <v>20</v>
      </c>
      <c r="AO121" s="163">
        <f t="shared" si="62"/>
        <v>8</v>
      </c>
      <c r="AP121" s="163">
        <f t="shared" si="62"/>
        <v>97</v>
      </c>
      <c r="AQ121" s="644">
        <f t="shared" si="62"/>
        <v>0</v>
      </c>
      <c r="AR121" s="645">
        <f t="shared" si="62"/>
        <v>35</v>
      </c>
      <c r="AS121" s="163">
        <f t="shared" si="62"/>
        <v>1</v>
      </c>
      <c r="AT121" s="163">
        <f t="shared" si="62"/>
        <v>0</v>
      </c>
      <c r="AU121" s="163">
        <f t="shared" si="62"/>
        <v>34</v>
      </c>
      <c r="AV121" s="643">
        <f t="shared" si="62"/>
        <v>0</v>
      </c>
      <c r="AW121" s="646">
        <f t="shared" si="62"/>
        <v>74</v>
      </c>
      <c r="AX121" s="645">
        <f t="shared" si="62"/>
        <v>55</v>
      </c>
      <c r="AY121" s="163">
        <f t="shared" si="62"/>
        <v>12</v>
      </c>
      <c r="AZ121" s="163">
        <f t="shared" si="70"/>
        <v>2</v>
      </c>
      <c r="BA121" s="163">
        <f t="shared" si="70"/>
        <v>41</v>
      </c>
      <c r="BB121" s="644">
        <f t="shared" si="70"/>
        <v>0</v>
      </c>
      <c r="BC121" s="645">
        <f t="shared" si="70"/>
        <v>19</v>
      </c>
      <c r="BD121" s="163">
        <f t="shared" si="70"/>
        <v>1</v>
      </c>
      <c r="BE121" s="163">
        <f t="shared" si="70"/>
        <v>0</v>
      </c>
      <c r="BF121" s="163">
        <f t="shared" si="70"/>
        <v>17</v>
      </c>
      <c r="BG121" s="643">
        <f t="shared" si="70"/>
        <v>1</v>
      </c>
      <c r="BH121" s="646">
        <f t="shared" si="70"/>
        <v>108</v>
      </c>
      <c r="BI121" s="645">
        <f t="shared" si="70"/>
        <v>89</v>
      </c>
      <c r="BJ121" s="163">
        <f t="shared" si="70"/>
        <v>25</v>
      </c>
      <c r="BK121" s="163">
        <f t="shared" si="70"/>
        <v>1</v>
      </c>
      <c r="BL121" s="163">
        <f t="shared" si="70"/>
        <v>63</v>
      </c>
      <c r="BM121" s="644">
        <f t="shared" si="70"/>
        <v>0</v>
      </c>
      <c r="BN121" s="645">
        <f t="shared" si="70"/>
        <v>19</v>
      </c>
      <c r="BO121" s="163">
        <f t="shared" si="70"/>
        <v>0</v>
      </c>
      <c r="BP121" s="163">
        <f t="shared" si="70"/>
        <v>0</v>
      </c>
      <c r="BQ121" s="163">
        <f t="shared" si="70"/>
        <v>19</v>
      </c>
      <c r="BR121" s="643">
        <f t="shared" si="70"/>
        <v>0</v>
      </c>
      <c r="BS121" s="646">
        <f t="shared" si="70"/>
        <v>151</v>
      </c>
      <c r="BT121" s="645">
        <f t="shared" si="70"/>
        <v>116</v>
      </c>
      <c r="BU121" s="163">
        <f t="shared" si="70"/>
        <v>27</v>
      </c>
      <c r="BV121" s="163">
        <f t="shared" si="70"/>
        <v>2</v>
      </c>
      <c r="BW121" s="163">
        <f t="shared" si="70"/>
        <v>87</v>
      </c>
      <c r="BX121" s="644">
        <f t="shared" si="70"/>
        <v>0</v>
      </c>
      <c r="BY121" s="645">
        <f t="shared" si="70"/>
        <v>35</v>
      </c>
      <c r="BZ121" s="163">
        <f t="shared" si="70"/>
        <v>3</v>
      </c>
      <c r="CA121" s="163">
        <f t="shared" si="70"/>
        <v>0</v>
      </c>
      <c r="CB121" s="163">
        <f t="shared" si="70"/>
        <v>31</v>
      </c>
      <c r="CC121" s="643">
        <f t="shared" si="70"/>
        <v>1</v>
      </c>
      <c r="CD121" s="646">
        <f t="shared" si="70"/>
        <v>22</v>
      </c>
      <c r="CE121" s="645">
        <f t="shared" si="70"/>
        <v>19</v>
      </c>
      <c r="CF121" s="163">
        <f t="shared" si="70"/>
        <v>5</v>
      </c>
      <c r="CG121" s="163">
        <f t="shared" si="70"/>
        <v>2</v>
      </c>
      <c r="CH121" s="163">
        <f t="shared" si="70"/>
        <v>12</v>
      </c>
      <c r="CI121" s="644">
        <f t="shared" si="70"/>
        <v>0</v>
      </c>
      <c r="CJ121" s="645">
        <f t="shared" si="70"/>
        <v>3</v>
      </c>
      <c r="CK121" s="163">
        <f t="shared" si="70"/>
        <v>0</v>
      </c>
      <c r="CL121" s="163">
        <f t="shared" si="70"/>
        <v>0</v>
      </c>
      <c r="CM121" s="163">
        <f t="shared" si="70"/>
        <v>3</v>
      </c>
      <c r="CN121" s="643">
        <f t="shared" si="70"/>
        <v>0</v>
      </c>
      <c r="CO121" s="646">
        <f t="shared" si="70"/>
        <v>19</v>
      </c>
      <c r="CP121" s="645">
        <f t="shared" si="70"/>
        <v>16</v>
      </c>
      <c r="CQ121" s="163">
        <f t="shared" si="70"/>
        <v>2</v>
      </c>
      <c r="CR121" s="163">
        <f t="shared" si="70"/>
        <v>3</v>
      </c>
      <c r="CS121" s="163">
        <f t="shared" si="70"/>
        <v>10</v>
      </c>
      <c r="CT121" s="644">
        <f t="shared" si="70"/>
        <v>1</v>
      </c>
      <c r="CU121" s="645">
        <f t="shared" si="69"/>
        <v>3</v>
      </c>
      <c r="CV121" s="163">
        <f t="shared" si="69"/>
        <v>0</v>
      </c>
      <c r="CW121" s="163">
        <f t="shared" si="69"/>
        <v>0</v>
      </c>
      <c r="CX121" s="163">
        <f t="shared" si="69"/>
        <v>3</v>
      </c>
      <c r="CY121" s="643">
        <f t="shared" si="69"/>
        <v>0</v>
      </c>
      <c r="CZ121" s="646">
        <f t="shared" si="69"/>
        <v>4</v>
      </c>
      <c r="DA121" s="645">
        <f t="shared" si="69"/>
        <v>3</v>
      </c>
      <c r="DB121" s="163">
        <f t="shared" si="69"/>
        <v>1</v>
      </c>
      <c r="DC121" s="163">
        <f t="shared" si="69"/>
        <v>0</v>
      </c>
      <c r="DD121" s="163">
        <f t="shared" si="69"/>
        <v>2</v>
      </c>
      <c r="DE121" s="644">
        <f t="shared" si="69"/>
        <v>0</v>
      </c>
      <c r="DF121" s="645">
        <f t="shared" si="69"/>
        <v>1</v>
      </c>
      <c r="DG121" s="163">
        <f t="shared" si="69"/>
        <v>0</v>
      </c>
      <c r="DH121" s="163">
        <f t="shared" si="69"/>
        <v>0</v>
      </c>
      <c r="DI121" s="163">
        <f t="shared" si="69"/>
        <v>1</v>
      </c>
      <c r="DJ121" s="643">
        <f t="shared" si="69"/>
        <v>0</v>
      </c>
      <c r="DK121" s="646">
        <f t="shared" si="69"/>
        <v>0</v>
      </c>
      <c r="DL121" s="645">
        <f t="shared" si="69"/>
        <v>0</v>
      </c>
      <c r="DM121" s="163">
        <f t="shared" si="69"/>
        <v>0</v>
      </c>
      <c r="DN121" s="163">
        <f t="shared" si="69"/>
        <v>0</v>
      </c>
      <c r="DO121" s="163">
        <f t="shared" si="68"/>
        <v>0</v>
      </c>
      <c r="DP121" s="644">
        <f t="shared" si="68"/>
        <v>0</v>
      </c>
      <c r="DQ121" s="645">
        <f t="shared" si="68"/>
        <v>0</v>
      </c>
      <c r="DR121" s="163">
        <f t="shared" si="68"/>
        <v>0</v>
      </c>
      <c r="DS121" s="163">
        <f t="shared" si="68"/>
        <v>0</v>
      </c>
      <c r="DT121" s="163">
        <f t="shared" si="68"/>
        <v>0</v>
      </c>
      <c r="DU121" s="643">
        <f t="shared" si="68"/>
        <v>0</v>
      </c>
      <c r="DW121" s="646">
        <f t="shared" si="40"/>
        <v>414</v>
      </c>
      <c r="DX121" s="645">
        <f t="shared" si="40"/>
        <v>326</v>
      </c>
      <c r="DY121" s="163">
        <f t="shared" si="40"/>
        <v>80</v>
      </c>
      <c r="DZ121" s="163">
        <f t="shared" si="40"/>
        <v>12</v>
      </c>
      <c r="EA121" s="163">
        <f t="shared" si="67"/>
        <v>233</v>
      </c>
      <c r="EB121" s="644">
        <f t="shared" si="67"/>
        <v>1</v>
      </c>
      <c r="EC121" s="645">
        <f t="shared" si="67"/>
        <v>88</v>
      </c>
      <c r="ED121" s="163">
        <f t="shared" si="67"/>
        <v>4</v>
      </c>
      <c r="EE121" s="163">
        <f t="shared" si="67"/>
        <v>0</v>
      </c>
      <c r="EF121" s="163">
        <f t="shared" si="67"/>
        <v>82</v>
      </c>
      <c r="EG121" s="643">
        <f t="shared" si="67"/>
        <v>2</v>
      </c>
      <c r="EH121" s="646">
        <f t="shared" si="29"/>
        <v>160</v>
      </c>
      <c r="EI121" s="645">
        <f t="shared" si="29"/>
        <v>125</v>
      </c>
      <c r="EJ121" s="163">
        <f t="shared" si="29"/>
        <v>20</v>
      </c>
      <c r="EK121" s="163">
        <f t="shared" si="29"/>
        <v>8</v>
      </c>
      <c r="EL121" s="163">
        <f t="shared" si="29"/>
        <v>97</v>
      </c>
      <c r="EM121" s="644">
        <f t="shared" si="49"/>
        <v>0</v>
      </c>
      <c r="EN121" s="645">
        <f t="shared" si="49"/>
        <v>35</v>
      </c>
      <c r="EO121" s="163">
        <f t="shared" si="49"/>
        <v>1</v>
      </c>
      <c r="EP121" s="163">
        <f t="shared" si="49"/>
        <v>0</v>
      </c>
      <c r="EQ121" s="163">
        <f t="shared" si="49"/>
        <v>34</v>
      </c>
      <c r="ER121" s="643">
        <f t="shared" si="49"/>
        <v>0</v>
      </c>
    </row>
    <row r="122" spans="1:148">
      <c r="A122" s="654" t="s">
        <v>251</v>
      </c>
      <c r="B122" s="658">
        <v>45231</v>
      </c>
      <c r="C122" s="659">
        <v>2023</v>
      </c>
      <c r="D122" s="646">
        <f t="shared" si="59"/>
        <v>171135</v>
      </c>
      <c r="E122" s="646">
        <f t="shared" si="65"/>
        <v>14105</v>
      </c>
      <c r="F122" s="645">
        <f t="shared" si="65"/>
        <v>10931</v>
      </c>
      <c r="G122" s="163">
        <f t="shared" si="65"/>
        <v>2488</v>
      </c>
      <c r="H122" s="163">
        <f t="shared" si="65"/>
        <v>550</v>
      </c>
      <c r="I122" s="163">
        <f t="shared" si="65"/>
        <v>7734</v>
      </c>
      <c r="J122" s="644">
        <f t="shared" si="65"/>
        <v>159</v>
      </c>
      <c r="K122" s="645">
        <f t="shared" si="65"/>
        <v>3174</v>
      </c>
      <c r="L122" s="163">
        <f t="shared" si="65"/>
        <v>210</v>
      </c>
      <c r="M122" s="163">
        <f t="shared" si="65"/>
        <v>0</v>
      </c>
      <c r="N122" s="163">
        <f t="shared" si="65"/>
        <v>2902</v>
      </c>
      <c r="O122" s="643">
        <f t="shared" si="65"/>
        <v>62</v>
      </c>
      <c r="P122" s="646">
        <f t="shared" si="65"/>
        <v>27</v>
      </c>
      <c r="Q122" s="645">
        <f t="shared" si="65"/>
        <v>20</v>
      </c>
      <c r="R122" s="163">
        <f t="shared" si="65"/>
        <v>5</v>
      </c>
      <c r="S122" s="163">
        <f t="shared" si="65"/>
        <v>1</v>
      </c>
      <c r="T122" s="163">
        <f t="shared" si="65"/>
        <v>14</v>
      </c>
      <c r="U122" s="644">
        <f t="shared" si="64"/>
        <v>0</v>
      </c>
      <c r="V122" s="645">
        <f t="shared" si="64"/>
        <v>7</v>
      </c>
      <c r="W122" s="163">
        <f t="shared" si="64"/>
        <v>0</v>
      </c>
      <c r="X122" s="163">
        <f t="shared" si="64"/>
        <v>0</v>
      </c>
      <c r="Y122" s="163">
        <f t="shared" si="64"/>
        <v>7</v>
      </c>
      <c r="Z122" s="643">
        <f t="shared" si="64"/>
        <v>0</v>
      </c>
      <c r="AA122" s="646">
        <f t="shared" si="64"/>
        <v>9</v>
      </c>
      <c r="AB122" s="645">
        <f t="shared" si="64"/>
        <v>8</v>
      </c>
      <c r="AC122" s="163">
        <f t="shared" si="64"/>
        <v>3</v>
      </c>
      <c r="AD122" s="163">
        <f t="shared" si="64"/>
        <v>1</v>
      </c>
      <c r="AE122" s="163">
        <f t="shared" si="64"/>
        <v>4</v>
      </c>
      <c r="AF122" s="644">
        <f t="shared" si="64"/>
        <v>0</v>
      </c>
      <c r="AG122" s="645">
        <f t="shared" si="64"/>
        <v>1</v>
      </c>
      <c r="AH122" s="163">
        <f t="shared" si="64"/>
        <v>0</v>
      </c>
      <c r="AI122" s="163">
        <f t="shared" si="62"/>
        <v>0</v>
      </c>
      <c r="AJ122" s="163">
        <f t="shared" si="62"/>
        <v>1</v>
      </c>
      <c r="AK122" s="643">
        <f t="shared" si="62"/>
        <v>0</v>
      </c>
      <c r="AL122" s="646">
        <f t="shared" si="62"/>
        <v>160</v>
      </c>
      <c r="AM122" s="645">
        <f t="shared" si="62"/>
        <v>125</v>
      </c>
      <c r="AN122" s="163">
        <f t="shared" si="62"/>
        <v>20</v>
      </c>
      <c r="AO122" s="163">
        <f t="shared" si="62"/>
        <v>8</v>
      </c>
      <c r="AP122" s="163">
        <f t="shared" si="62"/>
        <v>97</v>
      </c>
      <c r="AQ122" s="644">
        <f t="shared" si="62"/>
        <v>0</v>
      </c>
      <c r="AR122" s="645">
        <f t="shared" si="62"/>
        <v>35</v>
      </c>
      <c r="AS122" s="163">
        <f t="shared" si="62"/>
        <v>1</v>
      </c>
      <c r="AT122" s="163">
        <f t="shared" si="62"/>
        <v>0</v>
      </c>
      <c r="AU122" s="163">
        <f t="shared" si="62"/>
        <v>34</v>
      </c>
      <c r="AV122" s="643">
        <f t="shared" si="62"/>
        <v>0</v>
      </c>
      <c r="AW122" s="646">
        <f t="shared" si="62"/>
        <v>74</v>
      </c>
      <c r="AX122" s="645">
        <f t="shared" si="62"/>
        <v>55</v>
      </c>
      <c r="AY122" s="163">
        <f t="shared" si="62"/>
        <v>12</v>
      </c>
      <c r="AZ122" s="163">
        <f t="shared" si="70"/>
        <v>2</v>
      </c>
      <c r="BA122" s="163">
        <f t="shared" si="70"/>
        <v>41</v>
      </c>
      <c r="BB122" s="644">
        <f t="shared" si="70"/>
        <v>0</v>
      </c>
      <c r="BC122" s="645">
        <f t="shared" si="70"/>
        <v>19</v>
      </c>
      <c r="BD122" s="163">
        <f t="shared" si="70"/>
        <v>1</v>
      </c>
      <c r="BE122" s="163">
        <f t="shared" si="70"/>
        <v>0</v>
      </c>
      <c r="BF122" s="163">
        <f t="shared" si="70"/>
        <v>17</v>
      </c>
      <c r="BG122" s="643">
        <f t="shared" si="70"/>
        <v>1</v>
      </c>
      <c r="BH122" s="646">
        <f t="shared" si="70"/>
        <v>108</v>
      </c>
      <c r="BI122" s="645">
        <f t="shared" si="70"/>
        <v>89</v>
      </c>
      <c r="BJ122" s="163">
        <f t="shared" si="70"/>
        <v>25</v>
      </c>
      <c r="BK122" s="163">
        <f t="shared" si="70"/>
        <v>1</v>
      </c>
      <c r="BL122" s="163">
        <f t="shared" si="70"/>
        <v>63</v>
      </c>
      <c r="BM122" s="644">
        <f t="shared" si="70"/>
        <v>0</v>
      </c>
      <c r="BN122" s="645">
        <f t="shared" si="70"/>
        <v>19</v>
      </c>
      <c r="BO122" s="163">
        <f t="shared" si="70"/>
        <v>0</v>
      </c>
      <c r="BP122" s="163">
        <f t="shared" si="70"/>
        <v>0</v>
      </c>
      <c r="BQ122" s="163">
        <f t="shared" si="70"/>
        <v>19</v>
      </c>
      <c r="BR122" s="643">
        <f t="shared" si="70"/>
        <v>0</v>
      </c>
      <c r="BS122" s="646">
        <f t="shared" si="70"/>
        <v>151</v>
      </c>
      <c r="BT122" s="645">
        <f t="shared" si="70"/>
        <v>116</v>
      </c>
      <c r="BU122" s="163">
        <f t="shared" si="70"/>
        <v>27</v>
      </c>
      <c r="BV122" s="163">
        <f t="shared" si="70"/>
        <v>2</v>
      </c>
      <c r="BW122" s="163">
        <f t="shared" si="70"/>
        <v>87</v>
      </c>
      <c r="BX122" s="644">
        <f t="shared" si="70"/>
        <v>0</v>
      </c>
      <c r="BY122" s="645">
        <f t="shared" si="70"/>
        <v>35</v>
      </c>
      <c r="BZ122" s="163">
        <f t="shared" si="70"/>
        <v>3</v>
      </c>
      <c r="CA122" s="163">
        <f t="shared" si="70"/>
        <v>0</v>
      </c>
      <c r="CB122" s="163">
        <f t="shared" si="70"/>
        <v>31</v>
      </c>
      <c r="CC122" s="643">
        <f t="shared" si="70"/>
        <v>1</v>
      </c>
      <c r="CD122" s="646">
        <f t="shared" si="70"/>
        <v>22</v>
      </c>
      <c r="CE122" s="645">
        <f t="shared" si="70"/>
        <v>19</v>
      </c>
      <c r="CF122" s="163">
        <f t="shared" si="70"/>
        <v>5</v>
      </c>
      <c r="CG122" s="163">
        <f t="shared" si="70"/>
        <v>2</v>
      </c>
      <c r="CH122" s="163">
        <f t="shared" si="70"/>
        <v>12</v>
      </c>
      <c r="CI122" s="644">
        <f t="shared" si="70"/>
        <v>0</v>
      </c>
      <c r="CJ122" s="645">
        <f t="shared" si="70"/>
        <v>3</v>
      </c>
      <c r="CK122" s="163">
        <f t="shared" si="70"/>
        <v>0</v>
      </c>
      <c r="CL122" s="163">
        <f t="shared" si="70"/>
        <v>0</v>
      </c>
      <c r="CM122" s="163">
        <f t="shared" si="70"/>
        <v>3</v>
      </c>
      <c r="CN122" s="643">
        <f t="shared" si="70"/>
        <v>0</v>
      </c>
      <c r="CO122" s="646">
        <f t="shared" si="70"/>
        <v>19</v>
      </c>
      <c r="CP122" s="645">
        <f t="shared" si="70"/>
        <v>16</v>
      </c>
      <c r="CQ122" s="163">
        <f t="shared" si="70"/>
        <v>2</v>
      </c>
      <c r="CR122" s="163">
        <f t="shared" si="70"/>
        <v>3</v>
      </c>
      <c r="CS122" s="163">
        <f t="shared" si="70"/>
        <v>10</v>
      </c>
      <c r="CT122" s="644">
        <f t="shared" si="70"/>
        <v>1</v>
      </c>
      <c r="CU122" s="645">
        <f t="shared" si="69"/>
        <v>3</v>
      </c>
      <c r="CV122" s="163">
        <f t="shared" si="69"/>
        <v>0</v>
      </c>
      <c r="CW122" s="163">
        <f t="shared" si="69"/>
        <v>0</v>
      </c>
      <c r="CX122" s="163">
        <f t="shared" si="69"/>
        <v>3</v>
      </c>
      <c r="CY122" s="643">
        <f t="shared" si="69"/>
        <v>0</v>
      </c>
      <c r="CZ122" s="646">
        <f t="shared" si="69"/>
        <v>4</v>
      </c>
      <c r="DA122" s="645">
        <f t="shared" si="69"/>
        <v>3</v>
      </c>
      <c r="DB122" s="163">
        <f t="shared" si="69"/>
        <v>1</v>
      </c>
      <c r="DC122" s="163">
        <f t="shared" si="69"/>
        <v>0</v>
      </c>
      <c r="DD122" s="163">
        <f t="shared" si="69"/>
        <v>2</v>
      </c>
      <c r="DE122" s="644">
        <f t="shared" si="69"/>
        <v>0</v>
      </c>
      <c r="DF122" s="645">
        <f t="shared" si="69"/>
        <v>1</v>
      </c>
      <c r="DG122" s="163">
        <f t="shared" si="69"/>
        <v>0</v>
      </c>
      <c r="DH122" s="163">
        <f t="shared" si="69"/>
        <v>0</v>
      </c>
      <c r="DI122" s="163">
        <f t="shared" si="69"/>
        <v>1</v>
      </c>
      <c r="DJ122" s="643">
        <f t="shared" si="69"/>
        <v>0</v>
      </c>
      <c r="DK122" s="646">
        <f t="shared" si="69"/>
        <v>0</v>
      </c>
      <c r="DL122" s="645">
        <f t="shared" si="69"/>
        <v>0</v>
      </c>
      <c r="DM122" s="163">
        <f t="shared" si="69"/>
        <v>0</v>
      </c>
      <c r="DN122" s="163">
        <f t="shared" si="69"/>
        <v>0</v>
      </c>
      <c r="DO122" s="163">
        <f t="shared" si="68"/>
        <v>0</v>
      </c>
      <c r="DP122" s="644">
        <f t="shared" si="68"/>
        <v>0</v>
      </c>
      <c r="DQ122" s="645">
        <f t="shared" si="68"/>
        <v>0</v>
      </c>
      <c r="DR122" s="163">
        <f t="shared" si="68"/>
        <v>0</v>
      </c>
      <c r="DS122" s="163">
        <f t="shared" si="68"/>
        <v>0</v>
      </c>
      <c r="DT122" s="163">
        <f t="shared" si="68"/>
        <v>0</v>
      </c>
      <c r="DU122" s="643">
        <f t="shared" si="68"/>
        <v>0</v>
      </c>
      <c r="DW122" s="646">
        <f t="shared" si="40"/>
        <v>414</v>
      </c>
      <c r="DX122" s="645">
        <f t="shared" si="40"/>
        <v>326</v>
      </c>
      <c r="DY122" s="163">
        <f t="shared" si="40"/>
        <v>80</v>
      </c>
      <c r="DZ122" s="163">
        <f t="shared" si="40"/>
        <v>12</v>
      </c>
      <c r="EA122" s="163">
        <f t="shared" si="67"/>
        <v>233</v>
      </c>
      <c r="EB122" s="644">
        <f t="shared" si="67"/>
        <v>1</v>
      </c>
      <c r="EC122" s="645">
        <f t="shared" si="67"/>
        <v>88</v>
      </c>
      <c r="ED122" s="163">
        <f t="shared" si="67"/>
        <v>4</v>
      </c>
      <c r="EE122" s="163">
        <f t="shared" si="67"/>
        <v>0</v>
      </c>
      <c r="EF122" s="163">
        <f t="shared" si="67"/>
        <v>82</v>
      </c>
      <c r="EG122" s="643">
        <f t="shared" si="67"/>
        <v>2</v>
      </c>
      <c r="EH122" s="646">
        <f t="shared" si="29"/>
        <v>160</v>
      </c>
      <c r="EI122" s="645">
        <f t="shared" si="29"/>
        <v>125</v>
      </c>
      <c r="EJ122" s="163">
        <f t="shared" si="29"/>
        <v>20</v>
      </c>
      <c r="EK122" s="163">
        <f t="shared" si="29"/>
        <v>8</v>
      </c>
      <c r="EL122" s="163">
        <f t="shared" si="29"/>
        <v>97</v>
      </c>
      <c r="EM122" s="644">
        <f t="shared" si="49"/>
        <v>0</v>
      </c>
      <c r="EN122" s="645">
        <f t="shared" si="49"/>
        <v>35</v>
      </c>
      <c r="EO122" s="163">
        <f t="shared" si="49"/>
        <v>1</v>
      </c>
      <c r="EP122" s="163">
        <f t="shared" si="49"/>
        <v>0</v>
      </c>
      <c r="EQ122" s="163">
        <f t="shared" si="49"/>
        <v>34</v>
      </c>
      <c r="ER122" s="643">
        <f t="shared" si="49"/>
        <v>0</v>
      </c>
    </row>
    <row r="123" spans="1:148">
      <c r="A123" s="654" t="s">
        <v>251</v>
      </c>
      <c r="B123" s="658">
        <v>45261</v>
      </c>
      <c r="C123" s="659">
        <v>2023</v>
      </c>
      <c r="D123" s="646">
        <f t="shared" si="59"/>
        <v>171135</v>
      </c>
      <c r="E123" s="646">
        <f t="shared" si="65"/>
        <v>14105</v>
      </c>
      <c r="F123" s="645">
        <f t="shared" si="65"/>
        <v>10931</v>
      </c>
      <c r="G123" s="163">
        <f t="shared" si="65"/>
        <v>2488</v>
      </c>
      <c r="H123" s="163">
        <f t="shared" si="65"/>
        <v>550</v>
      </c>
      <c r="I123" s="163">
        <f t="shared" si="65"/>
        <v>7734</v>
      </c>
      <c r="J123" s="644">
        <f t="shared" si="65"/>
        <v>159</v>
      </c>
      <c r="K123" s="645">
        <f t="shared" si="65"/>
        <v>3174</v>
      </c>
      <c r="L123" s="163">
        <f t="shared" si="65"/>
        <v>210</v>
      </c>
      <c r="M123" s="163">
        <f t="shared" si="65"/>
        <v>0</v>
      </c>
      <c r="N123" s="163">
        <f t="shared" si="65"/>
        <v>2902</v>
      </c>
      <c r="O123" s="643">
        <f t="shared" si="65"/>
        <v>62</v>
      </c>
      <c r="P123" s="646">
        <f t="shared" si="65"/>
        <v>27</v>
      </c>
      <c r="Q123" s="645">
        <f t="shared" si="65"/>
        <v>20</v>
      </c>
      <c r="R123" s="163">
        <f t="shared" si="65"/>
        <v>5</v>
      </c>
      <c r="S123" s="163">
        <f t="shared" si="65"/>
        <v>1</v>
      </c>
      <c r="T123" s="163">
        <f t="shared" si="65"/>
        <v>14</v>
      </c>
      <c r="U123" s="644">
        <f t="shared" si="64"/>
        <v>0</v>
      </c>
      <c r="V123" s="645">
        <f t="shared" si="64"/>
        <v>7</v>
      </c>
      <c r="W123" s="163">
        <f t="shared" si="64"/>
        <v>0</v>
      </c>
      <c r="X123" s="163">
        <f t="shared" si="64"/>
        <v>0</v>
      </c>
      <c r="Y123" s="163">
        <f t="shared" si="64"/>
        <v>7</v>
      </c>
      <c r="Z123" s="643">
        <f t="shared" si="64"/>
        <v>0</v>
      </c>
      <c r="AA123" s="646">
        <f t="shared" si="64"/>
        <v>9</v>
      </c>
      <c r="AB123" s="645">
        <f t="shared" si="64"/>
        <v>8</v>
      </c>
      <c r="AC123" s="163">
        <f t="shared" si="64"/>
        <v>3</v>
      </c>
      <c r="AD123" s="163">
        <f t="shared" si="64"/>
        <v>1</v>
      </c>
      <c r="AE123" s="163">
        <f t="shared" si="64"/>
        <v>4</v>
      </c>
      <c r="AF123" s="644">
        <f t="shared" si="64"/>
        <v>0</v>
      </c>
      <c r="AG123" s="645">
        <f t="shared" si="64"/>
        <v>1</v>
      </c>
      <c r="AH123" s="163">
        <f t="shared" si="64"/>
        <v>0</v>
      </c>
      <c r="AI123" s="163">
        <f t="shared" si="62"/>
        <v>0</v>
      </c>
      <c r="AJ123" s="163">
        <f t="shared" si="62"/>
        <v>1</v>
      </c>
      <c r="AK123" s="643">
        <f t="shared" si="62"/>
        <v>0</v>
      </c>
      <c r="AL123" s="646">
        <f t="shared" si="62"/>
        <v>160</v>
      </c>
      <c r="AM123" s="645">
        <f t="shared" si="62"/>
        <v>125</v>
      </c>
      <c r="AN123" s="163">
        <f t="shared" ref="AN123:CT127" si="71">SUMIFS(AN$5:AN$36,$B$5:$B$36,$A123)</f>
        <v>20</v>
      </c>
      <c r="AO123" s="163">
        <f t="shared" si="71"/>
        <v>8</v>
      </c>
      <c r="AP123" s="163">
        <f t="shared" si="71"/>
        <v>97</v>
      </c>
      <c r="AQ123" s="644">
        <f t="shared" si="71"/>
        <v>0</v>
      </c>
      <c r="AR123" s="645">
        <f t="shared" si="71"/>
        <v>35</v>
      </c>
      <c r="AS123" s="163">
        <f t="shared" si="71"/>
        <v>1</v>
      </c>
      <c r="AT123" s="163">
        <f t="shared" si="71"/>
        <v>0</v>
      </c>
      <c r="AU123" s="163">
        <f t="shared" si="71"/>
        <v>34</v>
      </c>
      <c r="AV123" s="643">
        <f t="shared" si="71"/>
        <v>0</v>
      </c>
      <c r="AW123" s="646">
        <f t="shared" si="71"/>
        <v>74</v>
      </c>
      <c r="AX123" s="645">
        <f t="shared" si="71"/>
        <v>55</v>
      </c>
      <c r="AY123" s="163">
        <f t="shared" si="71"/>
        <v>12</v>
      </c>
      <c r="AZ123" s="163">
        <f t="shared" si="71"/>
        <v>2</v>
      </c>
      <c r="BA123" s="163">
        <f t="shared" si="71"/>
        <v>41</v>
      </c>
      <c r="BB123" s="644">
        <f t="shared" si="71"/>
        <v>0</v>
      </c>
      <c r="BC123" s="645">
        <f t="shared" si="71"/>
        <v>19</v>
      </c>
      <c r="BD123" s="163">
        <f t="shared" si="71"/>
        <v>1</v>
      </c>
      <c r="BE123" s="163">
        <f t="shared" si="71"/>
        <v>0</v>
      </c>
      <c r="BF123" s="163">
        <f t="shared" si="71"/>
        <v>17</v>
      </c>
      <c r="BG123" s="643">
        <f t="shared" si="71"/>
        <v>1</v>
      </c>
      <c r="BH123" s="646">
        <f t="shared" si="71"/>
        <v>108</v>
      </c>
      <c r="BI123" s="645">
        <f t="shared" si="71"/>
        <v>89</v>
      </c>
      <c r="BJ123" s="163">
        <f t="shared" si="71"/>
        <v>25</v>
      </c>
      <c r="BK123" s="163">
        <f t="shared" si="71"/>
        <v>1</v>
      </c>
      <c r="BL123" s="163">
        <f t="shared" si="71"/>
        <v>63</v>
      </c>
      <c r="BM123" s="644">
        <f t="shared" si="71"/>
        <v>0</v>
      </c>
      <c r="BN123" s="645">
        <f t="shared" si="71"/>
        <v>19</v>
      </c>
      <c r="BO123" s="163">
        <f t="shared" si="71"/>
        <v>0</v>
      </c>
      <c r="BP123" s="163">
        <f t="shared" si="71"/>
        <v>0</v>
      </c>
      <c r="BQ123" s="163">
        <f t="shared" si="71"/>
        <v>19</v>
      </c>
      <c r="BR123" s="643">
        <f t="shared" si="71"/>
        <v>0</v>
      </c>
      <c r="BS123" s="646">
        <f t="shared" si="71"/>
        <v>151</v>
      </c>
      <c r="BT123" s="645">
        <f t="shared" si="71"/>
        <v>116</v>
      </c>
      <c r="BU123" s="163">
        <f t="shared" si="71"/>
        <v>27</v>
      </c>
      <c r="BV123" s="163">
        <f t="shared" si="71"/>
        <v>2</v>
      </c>
      <c r="BW123" s="163">
        <f t="shared" si="71"/>
        <v>87</v>
      </c>
      <c r="BX123" s="644">
        <f t="shared" si="71"/>
        <v>0</v>
      </c>
      <c r="BY123" s="645">
        <f t="shared" si="71"/>
        <v>35</v>
      </c>
      <c r="BZ123" s="163">
        <f t="shared" si="71"/>
        <v>3</v>
      </c>
      <c r="CA123" s="163">
        <f t="shared" si="71"/>
        <v>0</v>
      </c>
      <c r="CB123" s="163">
        <f t="shared" si="71"/>
        <v>31</v>
      </c>
      <c r="CC123" s="643">
        <f t="shared" si="71"/>
        <v>1</v>
      </c>
      <c r="CD123" s="646">
        <f t="shared" si="71"/>
        <v>22</v>
      </c>
      <c r="CE123" s="645">
        <f t="shared" si="71"/>
        <v>19</v>
      </c>
      <c r="CF123" s="163">
        <f t="shared" si="71"/>
        <v>5</v>
      </c>
      <c r="CG123" s="163">
        <f t="shared" si="71"/>
        <v>2</v>
      </c>
      <c r="CH123" s="163">
        <f t="shared" si="71"/>
        <v>12</v>
      </c>
      <c r="CI123" s="644">
        <f t="shared" si="71"/>
        <v>0</v>
      </c>
      <c r="CJ123" s="645">
        <f t="shared" si="71"/>
        <v>3</v>
      </c>
      <c r="CK123" s="163">
        <f t="shared" si="71"/>
        <v>0</v>
      </c>
      <c r="CL123" s="163">
        <f t="shared" si="71"/>
        <v>0</v>
      </c>
      <c r="CM123" s="163">
        <f t="shared" si="71"/>
        <v>3</v>
      </c>
      <c r="CN123" s="643">
        <f t="shared" si="71"/>
        <v>0</v>
      </c>
      <c r="CO123" s="646">
        <f t="shared" si="71"/>
        <v>19</v>
      </c>
      <c r="CP123" s="645">
        <f t="shared" si="71"/>
        <v>16</v>
      </c>
      <c r="CQ123" s="163">
        <f t="shared" si="71"/>
        <v>2</v>
      </c>
      <c r="CR123" s="163">
        <f t="shared" si="71"/>
        <v>3</v>
      </c>
      <c r="CS123" s="163">
        <f t="shared" si="71"/>
        <v>10</v>
      </c>
      <c r="CT123" s="644">
        <f t="shared" si="70"/>
        <v>1</v>
      </c>
      <c r="CU123" s="645">
        <f t="shared" si="70"/>
        <v>3</v>
      </c>
      <c r="CV123" s="163">
        <f t="shared" si="70"/>
        <v>0</v>
      </c>
      <c r="CW123" s="163">
        <f t="shared" si="70"/>
        <v>0</v>
      </c>
      <c r="CX123" s="163">
        <f t="shared" si="70"/>
        <v>3</v>
      </c>
      <c r="CY123" s="643">
        <f t="shared" si="70"/>
        <v>0</v>
      </c>
      <c r="CZ123" s="646">
        <f t="shared" si="70"/>
        <v>4</v>
      </c>
      <c r="DA123" s="645">
        <f t="shared" si="70"/>
        <v>3</v>
      </c>
      <c r="DB123" s="163">
        <f t="shared" si="70"/>
        <v>1</v>
      </c>
      <c r="DC123" s="163">
        <f t="shared" si="70"/>
        <v>0</v>
      </c>
      <c r="DD123" s="163">
        <f t="shared" si="70"/>
        <v>2</v>
      </c>
      <c r="DE123" s="644">
        <f t="shared" si="70"/>
        <v>0</v>
      </c>
      <c r="DF123" s="645">
        <f t="shared" si="70"/>
        <v>1</v>
      </c>
      <c r="DG123" s="163">
        <f t="shared" si="70"/>
        <v>0</v>
      </c>
      <c r="DH123" s="163">
        <f t="shared" si="70"/>
        <v>0</v>
      </c>
      <c r="DI123" s="163">
        <f t="shared" si="70"/>
        <v>1</v>
      </c>
      <c r="DJ123" s="643">
        <f t="shared" si="70"/>
        <v>0</v>
      </c>
      <c r="DK123" s="646">
        <f t="shared" si="70"/>
        <v>0</v>
      </c>
      <c r="DL123" s="645">
        <f t="shared" si="69"/>
        <v>0</v>
      </c>
      <c r="DM123" s="163">
        <f t="shared" si="69"/>
        <v>0</v>
      </c>
      <c r="DN123" s="163">
        <f t="shared" si="69"/>
        <v>0</v>
      </c>
      <c r="DO123" s="163">
        <f t="shared" si="68"/>
        <v>0</v>
      </c>
      <c r="DP123" s="644">
        <f t="shared" si="68"/>
        <v>0</v>
      </c>
      <c r="DQ123" s="645">
        <f t="shared" si="68"/>
        <v>0</v>
      </c>
      <c r="DR123" s="163">
        <f t="shared" si="68"/>
        <v>0</v>
      </c>
      <c r="DS123" s="163">
        <f t="shared" si="68"/>
        <v>0</v>
      </c>
      <c r="DT123" s="163">
        <f t="shared" si="68"/>
        <v>0</v>
      </c>
      <c r="DU123" s="643">
        <f t="shared" si="68"/>
        <v>0</v>
      </c>
      <c r="DW123" s="646">
        <f t="shared" si="40"/>
        <v>414</v>
      </c>
      <c r="DX123" s="645">
        <f t="shared" si="40"/>
        <v>326</v>
      </c>
      <c r="DY123" s="163">
        <f t="shared" si="40"/>
        <v>80</v>
      </c>
      <c r="DZ123" s="163">
        <f t="shared" si="40"/>
        <v>12</v>
      </c>
      <c r="EA123" s="163">
        <f t="shared" si="67"/>
        <v>233</v>
      </c>
      <c r="EB123" s="644">
        <f t="shared" si="67"/>
        <v>1</v>
      </c>
      <c r="EC123" s="645">
        <f t="shared" si="67"/>
        <v>88</v>
      </c>
      <c r="ED123" s="163">
        <f t="shared" si="67"/>
        <v>4</v>
      </c>
      <c r="EE123" s="163">
        <f t="shared" si="67"/>
        <v>0</v>
      </c>
      <c r="EF123" s="163">
        <f t="shared" si="67"/>
        <v>82</v>
      </c>
      <c r="EG123" s="643">
        <f t="shared" si="67"/>
        <v>2</v>
      </c>
      <c r="EH123" s="646">
        <f t="shared" si="29"/>
        <v>160</v>
      </c>
      <c r="EI123" s="645">
        <f t="shared" si="29"/>
        <v>125</v>
      </c>
      <c r="EJ123" s="163">
        <f t="shared" si="29"/>
        <v>20</v>
      </c>
      <c r="EK123" s="163">
        <f t="shared" si="29"/>
        <v>8</v>
      </c>
      <c r="EL123" s="163">
        <f t="shared" si="29"/>
        <v>97</v>
      </c>
      <c r="EM123" s="644">
        <f t="shared" si="49"/>
        <v>0</v>
      </c>
      <c r="EN123" s="645">
        <f t="shared" si="49"/>
        <v>35</v>
      </c>
      <c r="EO123" s="163">
        <f t="shared" si="49"/>
        <v>1</v>
      </c>
      <c r="EP123" s="163">
        <f t="shared" si="49"/>
        <v>0</v>
      </c>
      <c r="EQ123" s="163">
        <f t="shared" si="49"/>
        <v>34</v>
      </c>
      <c r="ER123" s="643">
        <f t="shared" si="49"/>
        <v>0</v>
      </c>
    </row>
    <row r="124" spans="1:148">
      <c r="A124" s="654" t="s">
        <v>359</v>
      </c>
      <c r="B124" s="658">
        <v>45292</v>
      </c>
      <c r="C124" s="659">
        <v>2024</v>
      </c>
      <c r="D124" s="646">
        <f t="shared" si="59"/>
        <v>163027</v>
      </c>
      <c r="E124" s="646">
        <f t="shared" si="65"/>
        <v>11026</v>
      </c>
      <c r="F124" s="645">
        <f t="shared" si="65"/>
        <v>8144</v>
      </c>
      <c r="G124" s="163">
        <f t="shared" si="65"/>
        <v>1596</v>
      </c>
      <c r="H124" s="163">
        <f t="shared" si="65"/>
        <v>469</v>
      </c>
      <c r="I124" s="163">
        <f t="shared" si="65"/>
        <v>6030</v>
      </c>
      <c r="J124" s="644">
        <f t="shared" si="65"/>
        <v>49</v>
      </c>
      <c r="K124" s="645">
        <f t="shared" si="65"/>
        <v>2882</v>
      </c>
      <c r="L124" s="163">
        <f t="shared" si="65"/>
        <v>388</v>
      </c>
      <c r="M124" s="163">
        <f t="shared" si="65"/>
        <v>0</v>
      </c>
      <c r="N124" s="163">
        <f t="shared" si="65"/>
        <v>2423</v>
      </c>
      <c r="O124" s="643">
        <f t="shared" si="65"/>
        <v>71</v>
      </c>
      <c r="P124" s="646">
        <f t="shared" si="65"/>
        <v>20</v>
      </c>
      <c r="Q124" s="645">
        <f t="shared" si="65"/>
        <v>9</v>
      </c>
      <c r="R124" s="163">
        <f t="shared" si="65"/>
        <v>1</v>
      </c>
      <c r="S124" s="163">
        <f t="shared" si="65"/>
        <v>1</v>
      </c>
      <c r="T124" s="163">
        <f t="shared" si="65"/>
        <v>7</v>
      </c>
      <c r="U124" s="644">
        <f t="shared" si="64"/>
        <v>0</v>
      </c>
      <c r="V124" s="645">
        <f t="shared" si="64"/>
        <v>11</v>
      </c>
      <c r="W124" s="163">
        <f t="shared" si="64"/>
        <v>3</v>
      </c>
      <c r="X124" s="163">
        <f t="shared" si="64"/>
        <v>0</v>
      </c>
      <c r="Y124" s="163">
        <f t="shared" si="64"/>
        <v>8</v>
      </c>
      <c r="Z124" s="643">
        <f t="shared" si="64"/>
        <v>0</v>
      </c>
      <c r="AA124" s="646">
        <f t="shared" si="64"/>
        <v>13</v>
      </c>
      <c r="AB124" s="645">
        <f t="shared" si="64"/>
        <v>12</v>
      </c>
      <c r="AC124" s="163">
        <f t="shared" si="64"/>
        <v>0</v>
      </c>
      <c r="AD124" s="163">
        <f t="shared" si="64"/>
        <v>2</v>
      </c>
      <c r="AE124" s="163">
        <f t="shared" si="64"/>
        <v>10</v>
      </c>
      <c r="AF124" s="644">
        <f t="shared" si="64"/>
        <v>0</v>
      </c>
      <c r="AG124" s="645">
        <f t="shared" si="64"/>
        <v>1</v>
      </c>
      <c r="AH124" s="163">
        <f t="shared" si="64"/>
        <v>0</v>
      </c>
      <c r="AI124" s="163">
        <f t="shared" si="64"/>
        <v>0</v>
      </c>
      <c r="AJ124" s="163">
        <f t="shared" si="64"/>
        <v>1</v>
      </c>
      <c r="AK124" s="643">
        <f t="shared" si="64"/>
        <v>0</v>
      </c>
      <c r="AL124" s="646">
        <f t="shared" si="64"/>
        <v>161</v>
      </c>
      <c r="AM124" s="645">
        <f t="shared" si="64"/>
        <v>109</v>
      </c>
      <c r="AN124" s="163">
        <f t="shared" si="64"/>
        <v>19</v>
      </c>
      <c r="AO124" s="163">
        <f t="shared" si="64"/>
        <v>7</v>
      </c>
      <c r="AP124" s="163">
        <f t="shared" si="64"/>
        <v>83</v>
      </c>
      <c r="AQ124" s="644">
        <f t="shared" si="64"/>
        <v>0</v>
      </c>
      <c r="AR124" s="645">
        <f t="shared" si="64"/>
        <v>52</v>
      </c>
      <c r="AS124" s="163">
        <f t="shared" si="64"/>
        <v>6</v>
      </c>
      <c r="AT124" s="163">
        <f t="shared" si="64"/>
        <v>0</v>
      </c>
      <c r="AU124" s="163">
        <f t="shared" si="64"/>
        <v>45</v>
      </c>
      <c r="AV124" s="643">
        <f t="shared" si="64"/>
        <v>1</v>
      </c>
      <c r="AW124" s="646">
        <f t="shared" si="71"/>
        <v>64</v>
      </c>
      <c r="AX124" s="645">
        <f t="shared" si="71"/>
        <v>48</v>
      </c>
      <c r="AY124" s="163">
        <f t="shared" si="71"/>
        <v>8</v>
      </c>
      <c r="AZ124" s="163">
        <f t="shared" si="71"/>
        <v>4</v>
      </c>
      <c r="BA124" s="163">
        <f t="shared" si="71"/>
        <v>36</v>
      </c>
      <c r="BB124" s="644">
        <f t="shared" si="71"/>
        <v>0</v>
      </c>
      <c r="BC124" s="645">
        <f t="shared" si="71"/>
        <v>16</v>
      </c>
      <c r="BD124" s="163">
        <f t="shared" si="71"/>
        <v>3</v>
      </c>
      <c r="BE124" s="163">
        <f t="shared" si="71"/>
        <v>0</v>
      </c>
      <c r="BF124" s="163">
        <f t="shared" si="71"/>
        <v>13</v>
      </c>
      <c r="BG124" s="643">
        <f t="shared" si="71"/>
        <v>0</v>
      </c>
      <c r="BH124" s="646">
        <f t="shared" si="71"/>
        <v>83</v>
      </c>
      <c r="BI124" s="645">
        <f t="shared" si="71"/>
        <v>68</v>
      </c>
      <c r="BJ124" s="163">
        <f t="shared" si="71"/>
        <v>12</v>
      </c>
      <c r="BK124" s="163">
        <f t="shared" si="71"/>
        <v>3</v>
      </c>
      <c r="BL124" s="163">
        <f t="shared" si="71"/>
        <v>53</v>
      </c>
      <c r="BM124" s="644">
        <f t="shared" si="71"/>
        <v>0</v>
      </c>
      <c r="BN124" s="645">
        <f t="shared" si="71"/>
        <v>15</v>
      </c>
      <c r="BO124" s="163">
        <f t="shared" si="71"/>
        <v>2</v>
      </c>
      <c r="BP124" s="163">
        <f t="shared" si="71"/>
        <v>0</v>
      </c>
      <c r="BQ124" s="163">
        <f t="shared" si="71"/>
        <v>12</v>
      </c>
      <c r="BR124" s="643">
        <f t="shared" si="71"/>
        <v>1</v>
      </c>
      <c r="BS124" s="646">
        <f t="shared" si="71"/>
        <v>174</v>
      </c>
      <c r="BT124" s="645">
        <f t="shared" si="71"/>
        <v>142</v>
      </c>
      <c r="BU124" s="163">
        <f t="shared" si="71"/>
        <v>27</v>
      </c>
      <c r="BV124" s="163">
        <f t="shared" si="71"/>
        <v>0</v>
      </c>
      <c r="BW124" s="163">
        <f t="shared" si="71"/>
        <v>115</v>
      </c>
      <c r="BX124" s="644">
        <f t="shared" si="71"/>
        <v>0</v>
      </c>
      <c r="BY124" s="645">
        <f t="shared" si="71"/>
        <v>32</v>
      </c>
      <c r="BZ124" s="163">
        <f t="shared" si="71"/>
        <v>5</v>
      </c>
      <c r="CA124" s="163">
        <f t="shared" si="71"/>
        <v>0</v>
      </c>
      <c r="CB124" s="163">
        <f t="shared" si="71"/>
        <v>27</v>
      </c>
      <c r="CC124" s="643">
        <f t="shared" si="71"/>
        <v>0</v>
      </c>
      <c r="CD124" s="646">
        <f t="shared" si="71"/>
        <v>18</v>
      </c>
      <c r="CE124" s="645">
        <f t="shared" si="71"/>
        <v>16</v>
      </c>
      <c r="CF124" s="163">
        <f t="shared" si="71"/>
        <v>2</v>
      </c>
      <c r="CG124" s="163">
        <f t="shared" si="71"/>
        <v>1</v>
      </c>
      <c r="CH124" s="163">
        <f t="shared" si="71"/>
        <v>13</v>
      </c>
      <c r="CI124" s="644">
        <f t="shared" si="71"/>
        <v>0</v>
      </c>
      <c r="CJ124" s="645">
        <f t="shared" si="71"/>
        <v>2</v>
      </c>
      <c r="CK124" s="163">
        <f t="shared" si="71"/>
        <v>0</v>
      </c>
      <c r="CL124" s="163">
        <f t="shared" si="71"/>
        <v>0</v>
      </c>
      <c r="CM124" s="163">
        <f t="shared" si="71"/>
        <v>2</v>
      </c>
      <c r="CN124" s="643">
        <f t="shared" si="71"/>
        <v>0</v>
      </c>
      <c r="CO124" s="646">
        <f t="shared" si="71"/>
        <v>17</v>
      </c>
      <c r="CP124" s="645">
        <f t="shared" si="71"/>
        <v>13</v>
      </c>
      <c r="CQ124" s="163">
        <f t="shared" si="71"/>
        <v>2</v>
      </c>
      <c r="CR124" s="163">
        <f t="shared" si="71"/>
        <v>2</v>
      </c>
      <c r="CS124" s="163">
        <f t="shared" si="71"/>
        <v>9</v>
      </c>
      <c r="CT124" s="644">
        <f t="shared" si="71"/>
        <v>0</v>
      </c>
      <c r="CU124" s="645">
        <f t="shared" si="70"/>
        <v>4</v>
      </c>
      <c r="CV124" s="163">
        <f t="shared" si="70"/>
        <v>1</v>
      </c>
      <c r="CW124" s="163">
        <f t="shared" si="70"/>
        <v>0</v>
      </c>
      <c r="CX124" s="163">
        <f t="shared" si="70"/>
        <v>3</v>
      </c>
      <c r="CY124" s="643">
        <f t="shared" si="70"/>
        <v>0</v>
      </c>
      <c r="CZ124" s="646">
        <f t="shared" si="70"/>
        <v>4</v>
      </c>
      <c r="DA124" s="645">
        <f t="shared" si="70"/>
        <v>3</v>
      </c>
      <c r="DB124" s="163">
        <f t="shared" si="70"/>
        <v>1</v>
      </c>
      <c r="DC124" s="163">
        <f t="shared" si="70"/>
        <v>0</v>
      </c>
      <c r="DD124" s="163">
        <f t="shared" si="70"/>
        <v>2</v>
      </c>
      <c r="DE124" s="644">
        <f t="shared" si="70"/>
        <v>0</v>
      </c>
      <c r="DF124" s="645">
        <f t="shared" si="70"/>
        <v>1</v>
      </c>
      <c r="DG124" s="163">
        <f t="shared" si="70"/>
        <v>0</v>
      </c>
      <c r="DH124" s="163">
        <f t="shared" si="70"/>
        <v>0</v>
      </c>
      <c r="DI124" s="163">
        <f t="shared" si="70"/>
        <v>1</v>
      </c>
      <c r="DJ124" s="643">
        <f t="shared" si="70"/>
        <v>0</v>
      </c>
      <c r="DK124" s="646">
        <f t="shared" si="70"/>
        <v>0</v>
      </c>
      <c r="DL124" s="645">
        <f t="shared" si="69"/>
        <v>0</v>
      </c>
      <c r="DM124" s="163">
        <f t="shared" si="69"/>
        <v>0</v>
      </c>
      <c r="DN124" s="163">
        <f t="shared" si="69"/>
        <v>0</v>
      </c>
      <c r="DO124" s="163">
        <f t="shared" si="68"/>
        <v>0</v>
      </c>
      <c r="DP124" s="644">
        <f t="shared" si="68"/>
        <v>0</v>
      </c>
      <c r="DQ124" s="645">
        <f t="shared" si="68"/>
        <v>0</v>
      </c>
      <c r="DR124" s="163">
        <f t="shared" si="68"/>
        <v>0</v>
      </c>
      <c r="DS124" s="163">
        <f t="shared" si="68"/>
        <v>0</v>
      </c>
      <c r="DT124" s="163">
        <f t="shared" si="68"/>
        <v>0</v>
      </c>
      <c r="DU124" s="643">
        <f t="shared" si="68"/>
        <v>0</v>
      </c>
      <c r="DW124" s="646">
        <f t="shared" si="40"/>
        <v>393</v>
      </c>
      <c r="DX124" s="645">
        <f t="shared" si="40"/>
        <v>311</v>
      </c>
      <c r="DY124" s="163">
        <f t="shared" si="40"/>
        <v>53</v>
      </c>
      <c r="DZ124" s="163">
        <f t="shared" si="40"/>
        <v>13</v>
      </c>
      <c r="EA124" s="163">
        <f t="shared" si="67"/>
        <v>245</v>
      </c>
      <c r="EB124" s="644">
        <f t="shared" si="67"/>
        <v>0</v>
      </c>
      <c r="EC124" s="645">
        <f t="shared" si="67"/>
        <v>82</v>
      </c>
      <c r="ED124" s="163">
        <f t="shared" si="67"/>
        <v>14</v>
      </c>
      <c r="EE124" s="163">
        <f t="shared" si="67"/>
        <v>0</v>
      </c>
      <c r="EF124" s="163">
        <f t="shared" si="67"/>
        <v>67</v>
      </c>
      <c r="EG124" s="643">
        <f t="shared" si="67"/>
        <v>1</v>
      </c>
      <c r="EH124" s="646">
        <f t="shared" si="29"/>
        <v>161</v>
      </c>
      <c r="EI124" s="645">
        <f t="shared" si="29"/>
        <v>109</v>
      </c>
      <c r="EJ124" s="163">
        <f t="shared" si="29"/>
        <v>19</v>
      </c>
      <c r="EK124" s="163">
        <f t="shared" si="29"/>
        <v>7</v>
      </c>
      <c r="EL124" s="163">
        <f t="shared" si="29"/>
        <v>83</v>
      </c>
      <c r="EM124" s="644">
        <f t="shared" si="49"/>
        <v>0</v>
      </c>
      <c r="EN124" s="645">
        <f t="shared" si="49"/>
        <v>52</v>
      </c>
      <c r="EO124" s="163">
        <f t="shared" si="49"/>
        <v>6</v>
      </c>
      <c r="EP124" s="163">
        <f t="shared" si="49"/>
        <v>0</v>
      </c>
      <c r="EQ124" s="163">
        <f t="shared" si="49"/>
        <v>45</v>
      </c>
      <c r="ER124" s="643">
        <f t="shared" si="49"/>
        <v>1</v>
      </c>
    </row>
    <row r="125" spans="1:148">
      <c r="A125" s="654" t="s">
        <v>359</v>
      </c>
      <c r="B125" s="658">
        <v>45323</v>
      </c>
      <c r="C125" s="659">
        <v>2024</v>
      </c>
      <c r="D125" s="646">
        <f t="shared" si="59"/>
        <v>163027</v>
      </c>
      <c r="E125" s="646">
        <f t="shared" si="65"/>
        <v>11026</v>
      </c>
      <c r="F125" s="645">
        <f t="shared" si="65"/>
        <v>8144</v>
      </c>
      <c r="G125" s="163">
        <f t="shared" si="65"/>
        <v>1596</v>
      </c>
      <c r="H125" s="163">
        <f t="shared" si="65"/>
        <v>469</v>
      </c>
      <c r="I125" s="163">
        <f t="shared" si="65"/>
        <v>6030</v>
      </c>
      <c r="J125" s="644">
        <f t="shared" si="65"/>
        <v>49</v>
      </c>
      <c r="K125" s="645">
        <f t="shared" si="65"/>
        <v>2882</v>
      </c>
      <c r="L125" s="163">
        <f t="shared" si="65"/>
        <v>388</v>
      </c>
      <c r="M125" s="163">
        <f t="shared" si="65"/>
        <v>0</v>
      </c>
      <c r="N125" s="163">
        <f t="shared" si="65"/>
        <v>2423</v>
      </c>
      <c r="O125" s="643">
        <f t="shared" si="65"/>
        <v>71</v>
      </c>
      <c r="P125" s="646">
        <f t="shared" si="65"/>
        <v>20</v>
      </c>
      <c r="Q125" s="645">
        <f t="shared" si="65"/>
        <v>9</v>
      </c>
      <c r="R125" s="163">
        <f t="shared" si="65"/>
        <v>1</v>
      </c>
      <c r="S125" s="163">
        <f t="shared" si="65"/>
        <v>1</v>
      </c>
      <c r="T125" s="163">
        <f t="shared" si="65"/>
        <v>7</v>
      </c>
      <c r="U125" s="644">
        <f t="shared" si="64"/>
        <v>0</v>
      </c>
      <c r="V125" s="645">
        <f t="shared" si="64"/>
        <v>11</v>
      </c>
      <c r="W125" s="163">
        <f t="shared" si="64"/>
        <v>3</v>
      </c>
      <c r="X125" s="163">
        <f t="shared" si="64"/>
        <v>0</v>
      </c>
      <c r="Y125" s="163">
        <f t="shared" si="64"/>
        <v>8</v>
      </c>
      <c r="Z125" s="643">
        <f t="shared" si="64"/>
        <v>0</v>
      </c>
      <c r="AA125" s="646">
        <f t="shared" si="64"/>
        <v>13</v>
      </c>
      <c r="AB125" s="645">
        <f t="shared" si="64"/>
        <v>12</v>
      </c>
      <c r="AC125" s="163">
        <f t="shared" si="64"/>
        <v>0</v>
      </c>
      <c r="AD125" s="163">
        <f t="shared" si="64"/>
        <v>2</v>
      </c>
      <c r="AE125" s="163">
        <f t="shared" si="64"/>
        <v>10</v>
      </c>
      <c r="AF125" s="644">
        <f t="shared" si="64"/>
        <v>0</v>
      </c>
      <c r="AG125" s="645">
        <f t="shared" si="64"/>
        <v>1</v>
      </c>
      <c r="AH125" s="163">
        <f t="shared" si="64"/>
        <v>0</v>
      </c>
      <c r="AI125" s="163">
        <f t="shared" si="64"/>
        <v>0</v>
      </c>
      <c r="AJ125" s="163">
        <f t="shared" si="64"/>
        <v>1</v>
      </c>
      <c r="AK125" s="643">
        <f t="shared" si="64"/>
        <v>0</v>
      </c>
      <c r="AL125" s="646">
        <f t="shared" si="64"/>
        <v>161</v>
      </c>
      <c r="AM125" s="645">
        <f t="shared" si="64"/>
        <v>109</v>
      </c>
      <c r="AN125" s="163">
        <f t="shared" si="64"/>
        <v>19</v>
      </c>
      <c r="AO125" s="163">
        <f t="shared" si="64"/>
        <v>7</v>
      </c>
      <c r="AP125" s="163">
        <f t="shared" si="64"/>
        <v>83</v>
      </c>
      <c r="AQ125" s="644">
        <f t="shared" si="64"/>
        <v>0</v>
      </c>
      <c r="AR125" s="645">
        <f t="shared" si="64"/>
        <v>52</v>
      </c>
      <c r="AS125" s="163">
        <f t="shared" si="64"/>
        <v>6</v>
      </c>
      <c r="AT125" s="163">
        <f t="shared" si="64"/>
        <v>0</v>
      </c>
      <c r="AU125" s="163">
        <f t="shared" si="64"/>
        <v>45</v>
      </c>
      <c r="AV125" s="643">
        <f t="shared" si="64"/>
        <v>1</v>
      </c>
      <c r="AW125" s="646">
        <f t="shared" si="71"/>
        <v>64</v>
      </c>
      <c r="AX125" s="645">
        <f t="shared" si="71"/>
        <v>48</v>
      </c>
      <c r="AY125" s="163">
        <f t="shared" si="71"/>
        <v>8</v>
      </c>
      <c r="AZ125" s="163">
        <f t="shared" si="71"/>
        <v>4</v>
      </c>
      <c r="BA125" s="163">
        <f t="shared" si="71"/>
        <v>36</v>
      </c>
      <c r="BB125" s="644">
        <f t="shared" si="71"/>
        <v>0</v>
      </c>
      <c r="BC125" s="645">
        <f t="shared" si="71"/>
        <v>16</v>
      </c>
      <c r="BD125" s="163">
        <f t="shared" si="71"/>
        <v>3</v>
      </c>
      <c r="BE125" s="163">
        <f t="shared" si="71"/>
        <v>0</v>
      </c>
      <c r="BF125" s="163">
        <f t="shared" si="71"/>
        <v>13</v>
      </c>
      <c r="BG125" s="643">
        <f t="shared" si="71"/>
        <v>0</v>
      </c>
      <c r="BH125" s="646">
        <f t="shared" si="71"/>
        <v>83</v>
      </c>
      <c r="BI125" s="645">
        <f t="shared" si="71"/>
        <v>68</v>
      </c>
      <c r="BJ125" s="163">
        <f t="shared" si="71"/>
        <v>12</v>
      </c>
      <c r="BK125" s="163">
        <f t="shared" si="71"/>
        <v>3</v>
      </c>
      <c r="BL125" s="163">
        <f t="shared" si="71"/>
        <v>53</v>
      </c>
      <c r="BM125" s="644">
        <f t="shared" si="71"/>
        <v>0</v>
      </c>
      <c r="BN125" s="645">
        <f t="shared" si="71"/>
        <v>15</v>
      </c>
      <c r="BO125" s="163">
        <f t="shared" si="71"/>
        <v>2</v>
      </c>
      <c r="BP125" s="163">
        <f t="shared" si="71"/>
        <v>0</v>
      </c>
      <c r="BQ125" s="163">
        <f t="shared" si="71"/>
        <v>12</v>
      </c>
      <c r="BR125" s="643">
        <f t="shared" si="71"/>
        <v>1</v>
      </c>
      <c r="BS125" s="646">
        <f t="shared" si="71"/>
        <v>174</v>
      </c>
      <c r="BT125" s="645">
        <f t="shared" si="71"/>
        <v>142</v>
      </c>
      <c r="BU125" s="163">
        <f t="shared" si="71"/>
        <v>27</v>
      </c>
      <c r="BV125" s="163">
        <f t="shared" si="71"/>
        <v>0</v>
      </c>
      <c r="BW125" s="163">
        <f t="shared" si="71"/>
        <v>115</v>
      </c>
      <c r="BX125" s="644">
        <f t="shared" si="71"/>
        <v>0</v>
      </c>
      <c r="BY125" s="645">
        <f t="shared" si="71"/>
        <v>32</v>
      </c>
      <c r="BZ125" s="163">
        <f t="shared" si="71"/>
        <v>5</v>
      </c>
      <c r="CA125" s="163">
        <f t="shared" si="71"/>
        <v>0</v>
      </c>
      <c r="CB125" s="163">
        <f t="shared" si="71"/>
        <v>27</v>
      </c>
      <c r="CC125" s="643">
        <f t="shared" si="71"/>
        <v>0</v>
      </c>
      <c r="CD125" s="646">
        <f t="shared" si="71"/>
        <v>18</v>
      </c>
      <c r="CE125" s="645">
        <f t="shared" si="71"/>
        <v>16</v>
      </c>
      <c r="CF125" s="163">
        <f t="shared" si="71"/>
        <v>2</v>
      </c>
      <c r="CG125" s="163">
        <f t="shared" si="71"/>
        <v>1</v>
      </c>
      <c r="CH125" s="163">
        <f t="shared" si="71"/>
        <v>13</v>
      </c>
      <c r="CI125" s="644">
        <f t="shared" si="71"/>
        <v>0</v>
      </c>
      <c r="CJ125" s="645">
        <f t="shared" si="71"/>
        <v>2</v>
      </c>
      <c r="CK125" s="163">
        <f t="shared" si="71"/>
        <v>0</v>
      </c>
      <c r="CL125" s="163">
        <f t="shared" si="71"/>
        <v>0</v>
      </c>
      <c r="CM125" s="163">
        <f t="shared" si="71"/>
        <v>2</v>
      </c>
      <c r="CN125" s="643">
        <f t="shared" si="71"/>
        <v>0</v>
      </c>
      <c r="CO125" s="646">
        <f t="shared" si="71"/>
        <v>17</v>
      </c>
      <c r="CP125" s="645">
        <f t="shared" si="71"/>
        <v>13</v>
      </c>
      <c r="CQ125" s="163">
        <f t="shared" si="71"/>
        <v>2</v>
      </c>
      <c r="CR125" s="163">
        <f t="shared" si="71"/>
        <v>2</v>
      </c>
      <c r="CS125" s="163">
        <f t="shared" si="71"/>
        <v>9</v>
      </c>
      <c r="CT125" s="644">
        <f t="shared" si="71"/>
        <v>0</v>
      </c>
      <c r="CU125" s="645">
        <f t="shared" si="70"/>
        <v>4</v>
      </c>
      <c r="CV125" s="163">
        <f t="shared" si="70"/>
        <v>1</v>
      </c>
      <c r="CW125" s="163">
        <f t="shared" si="70"/>
        <v>0</v>
      </c>
      <c r="CX125" s="163">
        <f t="shared" si="70"/>
        <v>3</v>
      </c>
      <c r="CY125" s="643">
        <f t="shared" si="70"/>
        <v>0</v>
      </c>
      <c r="CZ125" s="646">
        <f t="shared" si="70"/>
        <v>4</v>
      </c>
      <c r="DA125" s="645">
        <f t="shared" si="70"/>
        <v>3</v>
      </c>
      <c r="DB125" s="163">
        <f t="shared" si="70"/>
        <v>1</v>
      </c>
      <c r="DC125" s="163">
        <f t="shared" si="70"/>
        <v>0</v>
      </c>
      <c r="DD125" s="163">
        <f t="shared" si="70"/>
        <v>2</v>
      </c>
      <c r="DE125" s="644">
        <f t="shared" si="70"/>
        <v>0</v>
      </c>
      <c r="DF125" s="645">
        <f t="shared" si="70"/>
        <v>1</v>
      </c>
      <c r="DG125" s="163">
        <f t="shared" si="70"/>
        <v>0</v>
      </c>
      <c r="DH125" s="163">
        <f t="shared" si="70"/>
        <v>0</v>
      </c>
      <c r="DI125" s="163">
        <f t="shared" si="70"/>
        <v>1</v>
      </c>
      <c r="DJ125" s="643">
        <f t="shared" si="70"/>
        <v>0</v>
      </c>
      <c r="DK125" s="646">
        <f t="shared" si="70"/>
        <v>0</v>
      </c>
      <c r="DL125" s="645">
        <f t="shared" si="69"/>
        <v>0</v>
      </c>
      <c r="DM125" s="163">
        <f t="shared" si="69"/>
        <v>0</v>
      </c>
      <c r="DN125" s="163">
        <f t="shared" si="69"/>
        <v>0</v>
      </c>
      <c r="DO125" s="163">
        <f t="shared" si="68"/>
        <v>0</v>
      </c>
      <c r="DP125" s="644">
        <f t="shared" si="68"/>
        <v>0</v>
      </c>
      <c r="DQ125" s="645">
        <f t="shared" si="68"/>
        <v>0</v>
      </c>
      <c r="DR125" s="163">
        <f t="shared" si="68"/>
        <v>0</v>
      </c>
      <c r="DS125" s="163">
        <f t="shared" si="68"/>
        <v>0</v>
      </c>
      <c r="DT125" s="163">
        <f t="shared" si="68"/>
        <v>0</v>
      </c>
      <c r="DU125" s="643">
        <f t="shared" si="68"/>
        <v>0</v>
      </c>
      <c r="DW125" s="646">
        <f t="shared" si="40"/>
        <v>393</v>
      </c>
      <c r="DX125" s="645">
        <f t="shared" si="40"/>
        <v>311</v>
      </c>
      <c r="DY125" s="163">
        <f t="shared" si="40"/>
        <v>53</v>
      </c>
      <c r="DZ125" s="163">
        <f t="shared" si="40"/>
        <v>13</v>
      </c>
      <c r="EA125" s="163">
        <f t="shared" si="67"/>
        <v>245</v>
      </c>
      <c r="EB125" s="644">
        <f t="shared" si="67"/>
        <v>0</v>
      </c>
      <c r="EC125" s="645">
        <f t="shared" si="67"/>
        <v>82</v>
      </c>
      <c r="ED125" s="163">
        <f t="shared" si="67"/>
        <v>14</v>
      </c>
      <c r="EE125" s="163">
        <f t="shared" si="67"/>
        <v>0</v>
      </c>
      <c r="EF125" s="163">
        <f t="shared" si="67"/>
        <v>67</v>
      </c>
      <c r="EG125" s="643">
        <f t="shared" si="67"/>
        <v>1</v>
      </c>
      <c r="EH125" s="646">
        <f t="shared" si="29"/>
        <v>161</v>
      </c>
      <c r="EI125" s="645">
        <f t="shared" si="29"/>
        <v>109</v>
      </c>
      <c r="EJ125" s="163">
        <f t="shared" si="29"/>
        <v>19</v>
      </c>
      <c r="EK125" s="163">
        <f t="shared" si="29"/>
        <v>7</v>
      </c>
      <c r="EL125" s="163">
        <f t="shared" si="29"/>
        <v>83</v>
      </c>
      <c r="EM125" s="644">
        <f t="shared" si="49"/>
        <v>0</v>
      </c>
      <c r="EN125" s="645">
        <f t="shared" si="49"/>
        <v>52</v>
      </c>
      <c r="EO125" s="163">
        <f t="shared" si="49"/>
        <v>6</v>
      </c>
      <c r="EP125" s="163">
        <f t="shared" si="49"/>
        <v>0</v>
      </c>
      <c r="EQ125" s="163">
        <f t="shared" si="49"/>
        <v>45</v>
      </c>
      <c r="ER125" s="643">
        <f t="shared" si="49"/>
        <v>1</v>
      </c>
    </row>
    <row r="126" spans="1:148">
      <c r="A126" s="654" t="s">
        <v>359</v>
      </c>
      <c r="B126" s="658">
        <v>45352</v>
      </c>
      <c r="C126" s="659">
        <v>2024</v>
      </c>
      <c r="D126" s="646">
        <f t="shared" si="59"/>
        <v>163027</v>
      </c>
      <c r="E126" s="646">
        <f t="shared" si="65"/>
        <v>11026</v>
      </c>
      <c r="F126" s="645">
        <f t="shared" si="65"/>
        <v>8144</v>
      </c>
      <c r="G126" s="163">
        <f t="shared" si="65"/>
        <v>1596</v>
      </c>
      <c r="H126" s="163">
        <f t="shared" si="65"/>
        <v>469</v>
      </c>
      <c r="I126" s="163">
        <f t="shared" si="65"/>
        <v>6030</v>
      </c>
      <c r="J126" s="644">
        <f t="shared" si="65"/>
        <v>49</v>
      </c>
      <c r="K126" s="645">
        <f t="shared" si="65"/>
        <v>2882</v>
      </c>
      <c r="L126" s="163">
        <f t="shared" si="65"/>
        <v>388</v>
      </c>
      <c r="M126" s="163">
        <f t="shared" si="65"/>
        <v>0</v>
      </c>
      <c r="N126" s="163">
        <f t="shared" si="65"/>
        <v>2423</v>
      </c>
      <c r="O126" s="643">
        <f t="shared" si="65"/>
        <v>71</v>
      </c>
      <c r="P126" s="646">
        <f t="shared" si="65"/>
        <v>20</v>
      </c>
      <c r="Q126" s="645">
        <f t="shared" si="65"/>
        <v>9</v>
      </c>
      <c r="R126" s="163">
        <f t="shared" si="65"/>
        <v>1</v>
      </c>
      <c r="S126" s="163">
        <f t="shared" si="65"/>
        <v>1</v>
      </c>
      <c r="T126" s="163">
        <f t="shared" si="65"/>
        <v>7</v>
      </c>
      <c r="U126" s="644">
        <f t="shared" si="64"/>
        <v>0</v>
      </c>
      <c r="V126" s="645">
        <f t="shared" si="64"/>
        <v>11</v>
      </c>
      <c r="W126" s="163">
        <f t="shared" si="64"/>
        <v>3</v>
      </c>
      <c r="X126" s="163">
        <f t="shared" si="64"/>
        <v>0</v>
      </c>
      <c r="Y126" s="163">
        <f t="shared" si="64"/>
        <v>8</v>
      </c>
      <c r="Z126" s="643">
        <f t="shared" si="64"/>
        <v>0</v>
      </c>
      <c r="AA126" s="646">
        <f t="shared" si="64"/>
        <v>13</v>
      </c>
      <c r="AB126" s="645">
        <f t="shared" si="64"/>
        <v>12</v>
      </c>
      <c r="AC126" s="163">
        <f t="shared" si="64"/>
        <v>0</v>
      </c>
      <c r="AD126" s="163">
        <f t="shared" si="64"/>
        <v>2</v>
      </c>
      <c r="AE126" s="163">
        <f t="shared" si="64"/>
        <v>10</v>
      </c>
      <c r="AF126" s="644">
        <f t="shared" si="64"/>
        <v>0</v>
      </c>
      <c r="AG126" s="645">
        <f t="shared" si="64"/>
        <v>1</v>
      </c>
      <c r="AH126" s="163">
        <f t="shared" si="64"/>
        <v>0</v>
      </c>
      <c r="AI126" s="163">
        <f t="shared" si="64"/>
        <v>0</v>
      </c>
      <c r="AJ126" s="163">
        <f t="shared" si="64"/>
        <v>1</v>
      </c>
      <c r="AK126" s="643">
        <f t="shared" si="64"/>
        <v>0</v>
      </c>
      <c r="AL126" s="646">
        <f t="shared" si="64"/>
        <v>161</v>
      </c>
      <c r="AM126" s="645">
        <f t="shared" si="64"/>
        <v>109</v>
      </c>
      <c r="AN126" s="163">
        <f t="shared" si="64"/>
        <v>19</v>
      </c>
      <c r="AO126" s="163">
        <f t="shared" si="64"/>
        <v>7</v>
      </c>
      <c r="AP126" s="163">
        <f t="shared" si="64"/>
        <v>83</v>
      </c>
      <c r="AQ126" s="644">
        <f t="shared" si="64"/>
        <v>0</v>
      </c>
      <c r="AR126" s="645">
        <f t="shared" si="64"/>
        <v>52</v>
      </c>
      <c r="AS126" s="163">
        <f t="shared" si="64"/>
        <v>6</v>
      </c>
      <c r="AT126" s="163">
        <f t="shared" si="64"/>
        <v>0</v>
      </c>
      <c r="AU126" s="163">
        <f t="shared" si="64"/>
        <v>45</v>
      </c>
      <c r="AV126" s="643">
        <f t="shared" si="64"/>
        <v>1</v>
      </c>
      <c r="AW126" s="646">
        <f t="shared" si="71"/>
        <v>64</v>
      </c>
      <c r="AX126" s="645">
        <f t="shared" si="71"/>
        <v>48</v>
      </c>
      <c r="AY126" s="163">
        <f t="shared" si="71"/>
        <v>8</v>
      </c>
      <c r="AZ126" s="163">
        <f t="shared" si="71"/>
        <v>4</v>
      </c>
      <c r="BA126" s="163">
        <f t="shared" si="71"/>
        <v>36</v>
      </c>
      <c r="BB126" s="644">
        <f t="shared" si="71"/>
        <v>0</v>
      </c>
      <c r="BC126" s="645">
        <f t="shared" si="71"/>
        <v>16</v>
      </c>
      <c r="BD126" s="163">
        <f t="shared" si="71"/>
        <v>3</v>
      </c>
      <c r="BE126" s="163">
        <f t="shared" si="71"/>
        <v>0</v>
      </c>
      <c r="BF126" s="163">
        <f t="shared" si="71"/>
        <v>13</v>
      </c>
      <c r="BG126" s="643">
        <f t="shared" si="71"/>
        <v>0</v>
      </c>
      <c r="BH126" s="646">
        <f t="shared" si="71"/>
        <v>83</v>
      </c>
      <c r="BI126" s="645">
        <f t="shared" si="71"/>
        <v>68</v>
      </c>
      <c r="BJ126" s="163">
        <f t="shared" si="71"/>
        <v>12</v>
      </c>
      <c r="BK126" s="163">
        <f t="shared" si="71"/>
        <v>3</v>
      </c>
      <c r="BL126" s="163">
        <f t="shared" si="71"/>
        <v>53</v>
      </c>
      <c r="BM126" s="644">
        <f t="shared" si="71"/>
        <v>0</v>
      </c>
      <c r="BN126" s="645">
        <f t="shared" si="71"/>
        <v>15</v>
      </c>
      <c r="BO126" s="163">
        <f t="shared" si="71"/>
        <v>2</v>
      </c>
      <c r="BP126" s="163">
        <f t="shared" si="71"/>
        <v>0</v>
      </c>
      <c r="BQ126" s="163">
        <f t="shared" si="71"/>
        <v>12</v>
      </c>
      <c r="BR126" s="643">
        <f t="shared" si="71"/>
        <v>1</v>
      </c>
      <c r="BS126" s="646">
        <f t="shared" si="71"/>
        <v>174</v>
      </c>
      <c r="BT126" s="645">
        <f t="shared" si="71"/>
        <v>142</v>
      </c>
      <c r="BU126" s="163">
        <f t="shared" si="71"/>
        <v>27</v>
      </c>
      <c r="BV126" s="163">
        <f t="shared" si="71"/>
        <v>0</v>
      </c>
      <c r="BW126" s="163">
        <f t="shared" si="71"/>
        <v>115</v>
      </c>
      <c r="BX126" s="644">
        <f t="shared" si="71"/>
        <v>0</v>
      </c>
      <c r="BY126" s="645">
        <f t="shared" si="71"/>
        <v>32</v>
      </c>
      <c r="BZ126" s="163">
        <f t="shared" si="71"/>
        <v>5</v>
      </c>
      <c r="CA126" s="163">
        <f t="shared" si="71"/>
        <v>0</v>
      </c>
      <c r="CB126" s="163">
        <f t="shared" si="71"/>
        <v>27</v>
      </c>
      <c r="CC126" s="643">
        <f t="shared" si="71"/>
        <v>0</v>
      </c>
      <c r="CD126" s="646">
        <f t="shared" si="71"/>
        <v>18</v>
      </c>
      <c r="CE126" s="645">
        <f t="shared" si="71"/>
        <v>16</v>
      </c>
      <c r="CF126" s="163">
        <f t="shared" si="71"/>
        <v>2</v>
      </c>
      <c r="CG126" s="163">
        <f t="shared" si="71"/>
        <v>1</v>
      </c>
      <c r="CH126" s="163">
        <f t="shared" si="71"/>
        <v>13</v>
      </c>
      <c r="CI126" s="644">
        <f t="shared" si="71"/>
        <v>0</v>
      </c>
      <c r="CJ126" s="645">
        <f t="shared" si="71"/>
        <v>2</v>
      </c>
      <c r="CK126" s="163">
        <f t="shared" si="71"/>
        <v>0</v>
      </c>
      <c r="CL126" s="163">
        <f t="shared" si="71"/>
        <v>0</v>
      </c>
      <c r="CM126" s="163">
        <f t="shared" si="71"/>
        <v>2</v>
      </c>
      <c r="CN126" s="643">
        <f t="shared" si="71"/>
        <v>0</v>
      </c>
      <c r="CO126" s="646">
        <f t="shared" si="71"/>
        <v>17</v>
      </c>
      <c r="CP126" s="645">
        <f t="shared" si="71"/>
        <v>13</v>
      </c>
      <c r="CQ126" s="163">
        <f t="shared" si="71"/>
        <v>2</v>
      </c>
      <c r="CR126" s="163">
        <f t="shared" si="71"/>
        <v>2</v>
      </c>
      <c r="CS126" s="163">
        <f t="shared" si="71"/>
        <v>9</v>
      </c>
      <c r="CT126" s="644">
        <f t="shared" si="71"/>
        <v>0</v>
      </c>
      <c r="CU126" s="645">
        <f t="shared" si="70"/>
        <v>4</v>
      </c>
      <c r="CV126" s="163">
        <f t="shared" si="70"/>
        <v>1</v>
      </c>
      <c r="CW126" s="163">
        <f t="shared" si="70"/>
        <v>0</v>
      </c>
      <c r="CX126" s="163">
        <f t="shared" si="70"/>
        <v>3</v>
      </c>
      <c r="CY126" s="643">
        <f t="shared" si="70"/>
        <v>0</v>
      </c>
      <c r="CZ126" s="646">
        <f t="shared" si="70"/>
        <v>4</v>
      </c>
      <c r="DA126" s="645">
        <f t="shared" si="70"/>
        <v>3</v>
      </c>
      <c r="DB126" s="163">
        <f t="shared" si="70"/>
        <v>1</v>
      </c>
      <c r="DC126" s="163">
        <f t="shared" si="70"/>
        <v>0</v>
      </c>
      <c r="DD126" s="163">
        <f t="shared" si="70"/>
        <v>2</v>
      </c>
      <c r="DE126" s="644">
        <f t="shared" si="70"/>
        <v>0</v>
      </c>
      <c r="DF126" s="645">
        <f t="shared" si="70"/>
        <v>1</v>
      </c>
      <c r="DG126" s="163">
        <f t="shared" si="70"/>
        <v>0</v>
      </c>
      <c r="DH126" s="163">
        <f t="shared" si="70"/>
        <v>0</v>
      </c>
      <c r="DI126" s="163">
        <f t="shared" si="70"/>
        <v>1</v>
      </c>
      <c r="DJ126" s="643">
        <f t="shared" si="70"/>
        <v>0</v>
      </c>
      <c r="DK126" s="646">
        <f t="shared" ref="DK126:DT126" si="72">SUMIFS(DK$5:DK$36,$B$5:$B$36,$A126)</f>
        <v>0</v>
      </c>
      <c r="DL126" s="645">
        <f t="shared" si="72"/>
        <v>0</v>
      </c>
      <c r="DM126" s="163">
        <f t="shared" si="72"/>
        <v>0</v>
      </c>
      <c r="DN126" s="163">
        <f t="shared" si="72"/>
        <v>0</v>
      </c>
      <c r="DO126" s="163">
        <f t="shared" si="72"/>
        <v>0</v>
      </c>
      <c r="DP126" s="644">
        <f t="shared" si="72"/>
        <v>0</v>
      </c>
      <c r="DQ126" s="645">
        <f t="shared" si="72"/>
        <v>0</v>
      </c>
      <c r="DR126" s="163">
        <f t="shared" si="72"/>
        <v>0</v>
      </c>
      <c r="DS126" s="163">
        <f t="shared" si="72"/>
        <v>0</v>
      </c>
      <c r="DT126" s="163">
        <f t="shared" si="72"/>
        <v>0</v>
      </c>
      <c r="DU126" s="643">
        <f t="shared" si="68"/>
        <v>0</v>
      </c>
      <c r="DW126" s="646">
        <f t="shared" si="40"/>
        <v>393</v>
      </c>
      <c r="DX126" s="645">
        <f t="shared" si="40"/>
        <v>311</v>
      </c>
      <c r="DY126" s="163">
        <f t="shared" si="40"/>
        <v>53</v>
      </c>
      <c r="DZ126" s="163">
        <f t="shared" si="40"/>
        <v>13</v>
      </c>
      <c r="EA126" s="163">
        <f t="shared" si="67"/>
        <v>245</v>
      </c>
      <c r="EB126" s="644">
        <f t="shared" si="67"/>
        <v>0</v>
      </c>
      <c r="EC126" s="645">
        <f t="shared" si="67"/>
        <v>82</v>
      </c>
      <c r="ED126" s="163">
        <f t="shared" si="67"/>
        <v>14</v>
      </c>
      <c r="EE126" s="163">
        <f t="shared" si="67"/>
        <v>0</v>
      </c>
      <c r="EF126" s="163">
        <f t="shared" si="67"/>
        <v>67</v>
      </c>
      <c r="EG126" s="643">
        <f t="shared" si="67"/>
        <v>1</v>
      </c>
      <c r="EH126" s="646">
        <f t="shared" ref="EH126:EO160" si="73">AL126</f>
        <v>161</v>
      </c>
      <c r="EI126" s="645">
        <f t="shared" si="73"/>
        <v>109</v>
      </c>
      <c r="EJ126" s="163">
        <f t="shared" si="73"/>
        <v>19</v>
      </c>
      <c r="EK126" s="163">
        <f t="shared" si="73"/>
        <v>7</v>
      </c>
      <c r="EL126" s="163">
        <f t="shared" si="73"/>
        <v>83</v>
      </c>
      <c r="EM126" s="644">
        <f t="shared" si="49"/>
        <v>0</v>
      </c>
      <c r="EN126" s="645">
        <f t="shared" si="49"/>
        <v>52</v>
      </c>
      <c r="EO126" s="163">
        <f t="shared" si="49"/>
        <v>6</v>
      </c>
      <c r="EP126" s="163">
        <f t="shared" si="49"/>
        <v>0</v>
      </c>
      <c r="EQ126" s="163">
        <f t="shared" si="49"/>
        <v>45</v>
      </c>
      <c r="ER126" s="643">
        <f t="shared" si="49"/>
        <v>1</v>
      </c>
    </row>
    <row r="127" spans="1:148">
      <c r="A127" s="654" t="s">
        <v>360</v>
      </c>
      <c r="B127" s="658">
        <v>45383</v>
      </c>
      <c r="C127" s="659">
        <v>2024</v>
      </c>
      <c r="D127" s="646">
        <f t="shared" si="59"/>
        <v>190530</v>
      </c>
      <c r="E127" s="646">
        <f t="shared" si="65"/>
        <v>14370</v>
      </c>
      <c r="F127" s="645">
        <f t="shared" si="65"/>
        <v>10462</v>
      </c>
      <c r="G127" s="163">
        <f t="shared" si="65"/>
        <v>2474</v>
      </c>
      <c r="H127" s="163">
        <f t="shared" si="65"/>
        <v>730</v>
      </c>
      <c r="I127" s="163">
        <f t="shared" si="65"/>
        <v>7209</v>
      </c>
      <c r="J127" s="644">
        <f t="shared" si="65"/>
        <v>49</v>
      </c>
      <c r="K127" s="645">
        <f t="shared" si="65"/>
        <v>3908</v>
      </c>
      <c r="L127" s="163">
        <f t="shared" si="65"/>
        <v>196</v>
      </c>
      <c r="M127" s="163">
        <f t="shared" si="65"/>
        <v>0</v>
      </c>
      <c r="N127" s="163">
        <f t="shared" si="65"/>
        <v>3578</v>
      </c>
      <c r="O127" s="643">
        <f t="shared" si="65"/>
        <v>134</v>
      </c>
      <c r="P127" s="646">
        <f t="shared" si="65"/>
        <v>32</v>
      </c>
      <c r="Q127" s="645">
        <f t="shared" si="65"/>
        <v>21</v>
      </c>
      <c r="R127" s="163">
        <f t="shared" si="65"/>
        <v>8</v>
      </c>
      <c r="S127" s="163">
        <f t="shared" si="65"/>
        <v>0</v>
      </c>
      <c r="T127" s="163">
        <f t="shared" si="65"/>
        <v>13</v>
      </c>
      <c r="U127" s="644">
        <f t="shared" si="64"/>
        <v>0</v>
      </c>
      <c r="V127" s="645">
        <f t="shared" si="64"/>
        <v>11</v>
      </c>
      <c r="W127" s="163">
        <f t="shared" ref="W127:AY135" si="74">SUMIFS(W$5:W$36,$B$5:$B$36,$A127)</f>
        <v>0</v>
      </c>
      <c r="X127" s="163">
        <f t="shared" si="74"/>
        <v>0</v>
      </c>
      <c r="Y127" s="163">
        <f t="shared" si="74"/>
        <v>11</v>
      </c>
      <c r="Z127" s="643">
        <f t="shared" si="74"/>
        <v>0</v>
      </c>
      <c r="AA127" s="646">
        <f t="shared" si="74"/>
        <v>10</v>
      </c>
      <c r="AB127" s="645">
        <f t="shared" si="74"/>
        <v>9</v>
      </c>
      <c r="AC127" s="163">
        <f t="shared" si="74"/>
        <v>1</v>
      </c>
      <c r="AD127" s="163">
        <f t="shared" si="74"/>
        <v>1</v>
      </c>
      <c r="AE127" s="163">
        <f t="shared" si="74"/>
        <v>7</v>
      </c>
      <c r="AF127" s="644">
        <f t="shared" si="74"/>
        <v>0</v>
      </c>
      <c r="AG127" s="645">
        <f t="shared" si="74"/>
        <v>1</v>
      </c>
      <c r="AH127" s="163">
        <f t="shared" si="74"/>
        <v>0</v>
      </c>
      <c r="AI127" s="163">
        <f t="shared" si="74"/>
        <v>0</v>
      </c>
      <c r="AJ127" s="163">
        <f t="shared" si="74"/>
        <v>1</v>
      </c>
      <c r="AK127" s="643">
        <f t="shared" si="74"/>
        <v>0</v>
      </c>
      <c r="AL127" s="646">
        <f t="shared" si="74"/>
        <v>173</v>
      </c>
      <c r="AM127" s="645">
        <f t="shared" si="74"/>
        <v>123</v>
      </c>
      <c r="AN127" s="163">
        <f t="shared" si="74"/>
        <v>24</v>
      </c>
      <c r="AO127" s="163">
        <f t="shared" si="74"/>
        <v>8</v>
      </c>
      <c r="AP127" s="163">
        <f t="shared" si="74"/>
        <v>91</v>
      </c>
      <c r="AQ127" s="644">
        <f t="shared" si="74"/>
        <v>0</v>
      </c>
      <c r="AR127" s="645">
        <f t="shared" si="74"/>
        <v>50</v>
      </c>
      <c r="AS127" s="163">
        <f t="shared" si="74"/>
        <v>2</v>
      </c>
      <c r="AT127" s="163">
        <f t="shared" si="74"/>
        <v>0</v>
      </c>
      <c r="AU127" s="163">
        <f t="shared" si="74"/>
        <v>47</v>
      </c>
      <c r="AV127" s="643">
        <f t="shared" si="74"/>
        <v>1</v>
      </c>
      <c r="AW127" s="646">
        <f t="shared" si="74"/>
        <v>98</v>
      </c>
      <c r="AX127" s="645">
        <f t="shared" si="74"/>
        <v>79</v>
      </c>
      <c r="AY127" s="163">
        <f t="shared" si="74"/>
        <v>17</v>
      </c>
      <c r="AZ127" s="163">
        <f t="shared" si="71"/>
        <v>4</v>
      </c>
      <c r="BA127" s="163">
        <f t="shared" si="71"/>
        <v>58</v>
      </c>
      <c r="BB127" s="644">
        <f t="shared" si="71"/>
        <v>0</v>
      </c>
      <c r="BC127" s="645">
        <f t="shared" si="71"/>
        <v>19</v>
      </c>
      <c r="BD127" s="163">
        <f t="shared" si="71"/>
        <v>0</v>
      </c>
      <c r="BE127" s="163">
        <f t="shared" si="71"/>
        <v>0</v>
      </c>
      <c r="BF127" s="163">
        <f t="shared" si="71"/>
        <v>17</v>
      </c>
      <c r="BG127" s="643">
        <f t="shared" si="71"/>
        <v>2</v>
      </c>
      <c r="BH127" s="646">
        <f t="shared" si="71"/>
        <v>115</v>
      </c>
      <c r="BI127" s="645">
        <f t="shared" si="71"/>
        <v>95</v>
      </c>
      <c r="BJ127" s="163">
        <f t="shared" si="71"/>
        <v>18</v>
      </c>
      <c r="BK127" s="163">
        <f t="shared" si="71"/>
        <v>5</v>
      </c>
      <c r="BL127" s="163">
        <f t="shared" si="71"/>
        <v>72</v>
      </c>
      <c r="BM127" s="644">
        <f t="shared" si="71"/>
        <v>0</v>
      </c>
      <c r="BN127" s="645">
        <f t="shared" si="71"/>
        <v>20</v>
      </c>
      <c r="BO127" s="163">
        <f t="shared" si="71"/>
        <v>0</v>
      </c>
      <c r="BP127" s="163">
        <f t="shared" si="71"/>
        <v>0</v>
      </c>
      <c r="BQ127" s="163">
        <f t="shared" si="71"/>
        <v>19</v>
      </c>
      <c r="BR127" s="643">
        <f t="shared" si="71"/>
        <v>1</v>
      </c>
      <c r="BS127" s="646">
        <f t="shared" si="71"/>
        <v>194</v>
      </c>
      <c r="BT127" s="645">
        <f t="shared" si="71"/>
        <v>146</v>
      </c>
      <c r="BU127" s="163">
        <f t="shared" si="71"/>
        <v>35</v>
      </c>
      <c r="BV127" s="163">
        <f t="shared" si="71"/>
        <v>2</v>
      </c>
      <c r="BW127" s="163">
        <f t="shared" si="71"/>
        <v>109</v>
      </c>
      <c r="BX127" s="644">
        <f t="shared" si="71"/>
        <v>0</v>
      </c>
      <c r="BY127" s="645">
        <f t="shared" si="71"/>
        <v>48</v>
      </c>
      <c r="BZ127" s="163">
        <f t="shared" si="71"/>
        <v>0</v>
      </c>
      <c r="CA127" s="163">
        <f t="shared" si="71"/>
        <v>0</v>
      </c>
      <c r="CB127" s="163">
        <f t="shared" si="71"/>
        <v>47</v>
      </c>
      <c r="CC127" s="643">
        <f t="shared" si="71"/>
        <v>1</v>
      </c>
      <c r="CD127" s="646">
        <f t="shared" si="71"/>
        <v>24</v>
      </c>
      <c r="CE127" s="645">
        <f t="shared" si="71"/>
        <v>19</v>
      </c>
      <c r="CF127" s="163">
        <f t="shared" si="71"/>
        <v>3</v>
      </c>
      <c r="CG127" s="163">
        <f t="shared" si="71"/>
        <v>1</v>
      </c>
      <c r="CH127" s="163">
        <f t="shared" si="71"/>
        <v>15</v>
      </c>
      <c r="CI127" s="644">
        <f t="shared" si="71"/>
        <v>0</v>
      </c>
      <c r="CJ127" s="645">
        <f t="shared" si="71"/>
        <v>5</v>
      </c>
      <c r="CK127" s="163">
        <f t="shared" si="71"/>
        <v>0</v>
      </c>
      <c r="CL127" s="163">
        <f t="shared" si="71"/>
        <v>0</v>
      </c>
      <c r="CM127" s="163">
        <f t="shared" si="71"/>
        <v>5</v>
      </c>
      <c r="CN127" s="643">
        <f t="shared" si="71"/>
        <v>0</v>
      </c>
      <c r="CO127" s="646">
        <f t="shared" si="71"/>
        <v>19</v>
      </c>
      <c r="CP127" s="645">
        <f t="shared" si="71"/>
        <v>14</v>
      </c>
      <c r="CQ127" s="163">
        <f t="shared" si="71"/>
        <v>4</v>
      </c>
      <c r="CR127" s="163">
        <f t="shared" si="71"/>
        <v>1</v>
      </c>
      <c r="CS127" s="163">
        <f t="shared" si="71"/>
        <v>9</v>
      </c>
      <c r="CT127" s="644">
        <f t="shared" si="71"/>
        <v>0</v>
      </c>
      <c r="CU127" s="645">
        <f t="shared" ref="CU127:DU135" si="75">SUMIFS(CU$5:CU$36,$B$5:$B$36,$A127)</f>
        <v>5</v>
      </c>
      <c r="CV127" s="163">
        <f t="shared" si="75"/>
        <v>0</v>
      </c>
      <c r="CW127" s="163">
        <f t="shared" si="75"/>
        <v>0</v>
      </c>
      <c r="CX127" s="163">
        <f t="shared" si="75"/>
        <v>5</v>
      </c>
      <c r="CY127" s="643">
        <f t="shared" si="75"/>
        <v>0</v>
      </c>
      <c r="CZ127" s="646">
        <f t="shared" si="75"/>
        <v>4</v>
      </c>
      <c r="DA127" s="645">
        <f t="shared" si="75"/>
        <v>2</v>
      </c>
      <c r="DB127" s="163">
        <f t="shared" si="75"/>
        <v>0</v>
      </c>
      <c r="DC127" s="163">
        <f t="shared" si="75"/>
        <v>0</v>
      </c>
      <c r="DD127" s="163">
        <f t="shared" si="75"/>
        <v>2</v>
      </c>
      <c r="DE127" s="644">
        <f t="shared" si="75"/>
        <v>0</v>
      </c>
      <c r="DF127" s="645">
        <f t="shared" si="75"/>
        <v>2</v>
      </c>
      <c r="DG127" s="163">
        <f t="shared" si="75"/>
        <v>0</v>
      </c>
      <c r="DH127" s="163">
        <f t="shared" si="75"/>
        <v>0</v>
      </c>
      <c r="DI127" s="163">
        <f t="shared" si="75"/>
        <v>2</v>
      </c>
      <c r="DJ127" s="643">
        <f t="shared" si="75"/>
        <v>0</v>
      </c>
      <c r="DK127" s="646">
        <f t="shared" si="75"/>
        <v>0</v>
      </c>
      <c r="DL127" s="645">
        <f t="shared" si="75"/>
        <v>0</v>
      </c>
      <c r="DM127" s="163">
        <f t="shared" si="75"/>
        <v>0</v>
      </c>
      <c r="DN127" s="163">
        <f t="shared" si="75"/>
        <v>0</v>
      </c>
      <c r="DO127" s="163">
        <f t="shared" si="75"/>
        <v>0</v>
      </c>
      <c r="DP127" s="644">
        <f t="shared" si="75"/>
        <v>0</v>
      </c>
      <c r="DQ127" s="645">
        <f t="shared" si="75"/>
        <v>0</v>
      </c>
      <c r="DR127" s="163">
        <f t="shared" si="75"/>
        <v>0</v>
      </c>
      <c r="DS127" s="163">
        <f t="shared" si="75"/>
        <v>0</v>
      </c>
      <c r="DT127" s="163">
        <f t="shared" si="75"/>
        <v>0</v>
      </c>
      <c r="DU127" s="643">
        <f t="shared" si="68"/>
        <v>0</v>
      </c>
      <c r="DW127" s="646">
        <f t="shared" si="40"/>
        <v>496</v>
      </c>
      <c r="DX127" s="645">
        <f t="shared" si="40"/>
        <v>385</v>
      </c>
      <c r="DY127" s="163">
        <f t="shared" si="40"/>
        <v>86</v>
      </c>
      <c r="DZ127" s="163">
        <f t="shared" si="40"/>
        <v>14</v>
      </c>
      <c r="EA127" s="163">
        <f t="shared" si="67"/>
        <v>285</v>
      </c>
      <c r="EB127" s="644">
        <f t="shared" si="67"/>
        <v>0</v>
      </c>
      <c r="EC127" s="645">
        <f t="shared" si="67"/>
        <v>111</v>
      </c>
      <c r="ED127" s="163">
        <f t="shared" si="67"/>
        <v>0</v>
      </c>
      <c r="EE127" s="163">
        <f t="shared" si="67"/>
        <v>0</v>
      </c>
      <c r="EF127" s="163">
        <f t="shared" si="67"/>
        <v>107</v>
      </c>
      <c r="EG127" s="643">
        <f t="shared" si="67"/>
        <v>4</v>
      </c>
      <c r="EH127" s="646">
        <f t="shared" si="73"/>
        <v>173</v>
      </c>
      <c r="EI127" s="645">
        <f t="shared" si="73"/>
        <v>123</v>
      </c>
      <c r="EJ127" s="163">
        <f t="shared" si="73"/>
        <v>24</v>
      </c>
      <c r="EK127" s="163">
        <f t="shared" si="73"/>
        <v>8</v>
      </c>
      <c r="EL127" s="163">
        <f t="shared" si="73"/>
        <v>91</v>
      </c>
      <c r="EM127" s="644">
        <f t="shared" si="49"/>
        <v>0</v>
      </c>
      <c r="EN127" s="645">
        <f t="shared" si="49"/>
        <v>50</v>
      </c>
      <c r="EO127" s="163">
        <f t="shared" si="49"/>
        <v>2</v>
      </c>
      <c r="EP127" s="163">
        <f t="shared" si="49"/>
        <v>0</v>
      </c>
      <c r="EQ127" s="163">
        <f t="shared" si="49"/>
        <v>47</v>
      </c>
      <c r="ER127" s="643">
        <f t="shared" si="49"/>
        <v>1</v>
      </c>
    </row>
    <row r="128" spans="1:148">
      <c r="A128" s="654" t="s">
        <v>360</v>
      </c>
      <c r="B128" s="658">
        <v>45413</v>
      </c>
      <c r="C128" s="659">
        <v>2024</v>
      </c>
      <c r="D128" s="646">
        <f t="shared" si="59"/>
        <v>190530</v>
      </c>
      <c r="E128" s="646">
        <f t="shared" si="65"/>
        <v>14370</v>
      </c>
      <c r="F128" s="645">
        <f t="shared" si="65"/>
        <v>10462</v>
      </c>
      <c r="G128" s="163">
        <f t="shared" si="65"/>
        <v>2474</v>
      </c>
      <c r="H128" s="163">
        <f t="shared" si="65"/>
        <v>730</v>
      </c>
      <c r="I128" s="163">
        <f t="shared" si="65"/>
        <v>7209</v>
      </c>
      <c r="J128" s="644">
        <f t="shared" si="65"/>
        <v>49</v>
      </c>
      <c r="K128" s="645">
        <f t="shared" si="65"/>
        <v>3908</v>
      </c>
      <c r="L128" s="163">
        <f t="shared" si="65"/>
        <v>196</v>
      </c>
      <c r="M128" s="163">
        <f t="shared" si="65"/>
        <v>0</v>
      </c>
      <c r="N128" s="163">
        <f t="shared" si="65"/>
        <v>3578</v>
      </c>
      <c r="O128" s="643">
        <f t="shared" si="65"/>
        <v>134</v>
      </c>
      <c r="P128" s="646">
        <f t="shared" si="65"/>
        <v>32</v>
      </c>
      <c r="Q128" s="645">
        <f t="shared" si="65"/>
        <v>21</v>
      </c>
      <c r="R128" s="163">
        <f t="shared" si="65"/>
        <v>8</v>
      </c>
      <c r="S128" s="163">
        <f t="shared" si="65"/>
        <v>0</v>
      </c>
      <c r="T128" s="163">
        <f t="shared" ref="T128:AH135" si="76">SUMIFS(T$5:T$36,$B$5:$B$36,$A128)</f>
        <v>13</v>
      </c>
      <c r="U128" s="644">
        <f t="shared" si="76"/>
        <v>0</v>
      </c>
      <c r="V128" s="645">
        <f t="shared" si="76"/>
        <v>11</v>
      </c>
      <c r="W128" s="163">
        <f t="shared" si="76"/>
        <v>0</v>
      </c>
      <c r="X128" s="163">
        <f t="shared" si="76"/>
        <v>0</v>
      </c>
      <c r="Y128" s="163">
        <f t="shared" si="76"/>
        <v>11</v>
      </c>
      <c r="Z128" s="643">
        <f t="shared" si="76"/>
        <v>0</v>
      </c>
      <c r="AA128" s="646">
        <f t="shared" si="76"/>
        <v>10</v>
      </c>
      <c r="AB128" s="645">
        <f t="shared" si="76"/>
        <v>9</v>
      </c>
      <c r="AC128" s="163">
        <f t="shared" si="76"/>
        <v>1</v>
      </c>
      <c r="AD128" s="163">
        <f t="shared" si="76"/>
        <v>1</v>
      </c>
      <c r="AE128" s="163">
        <f t="shared" si="76"/>
        <v>7</v>
      </c>
      <c r="AF128" s="644">
        <f t="shared" si="76"/>
        <v>0</v>
      </c>
      <c r="AG128" s="645">
        <f t="shared" si="76"/>
        <v>1</v>
      </c>
      <c r="AH128" s="163">
        <f t="shared" si="74"/>
        <v>0</v>
      </c>
      <c r="AI128" s="163">
        <f t="shared" si="74"/>
        <v>0</v>
      </c>
      <c r="AJ128" s="163">
        <f t="shared" si="74"/>
        <v>1</v>
      </c>
      <c r="AK128" s="643">
        <f t="shared" si="74"/>
        <v>0</v>
      </c>
      <c r="AL128" s="646">
        <f t="shared" si="74"/>
        <v>173</v>
      </c>
      <c r="AM128" s="645">
        <f t="shared" si="74"/>
        <v>123</v>
      </c>
      <c r="AN128" s="163">
        <f t="shared" si="74"/>
        <v>24</v>
      </c>
      <c r="AO128" s="163">
        <f t="shared" si="74"/>
        <v>8</v>
      </c>
      <c r="AP128" s="163">
        <f t="shared" si="74"/>
        <v>91</v>
      </c>
      <c r="AQ128" s="644">
        <f t="shared" si="74"/>
        <v>0</v>
      </c>
      <c r="AR128" s="645">
        <f t="shared" si="74"/>
        <v>50</v>
      </c>
      <c r="AS128" s="163">
        <f t="shared" si="74"/>
        <v>2</v>
      </c>
      <c r="AT128" s="163">
        <f t="shared" si="74"/>
        <v>0</v>
      </c>
      <c r="AU128" s="163">
        <f t="shared" si="74"/>
        <v>47</v>
      </c>
      <c r="AV128" s="643">
        <f t="shared" si="74"/>
        <v>1</v>
      </c>
      <c r="AW128" s="646">
        <f t="shared" si="74"/>
        <v>98</v>
      </c>
      <c r="AX128" s="645">
        <f t="shared" si="74"/>
        <v>79</v>
      </c>
      <c r="AY128" s="163">
        <f t="shared" si="74"/>
        <v>17</v>
      </c>
      <c r="AZ128" s="163">
        <f t="shared" ref="AZ128:DK133" si="77">SUMIFS(AZ$5:AZ$36,$B$5:$B$36,$A128)</f>
        <v>4</v>
      </c>
      <c r="BA128" s="163">
        <f t="shared" si="77"/>
        <v>58</v>
      </c>
      <c r="BB128" s="644">
        <f t="shared" si="77"/>
        <v>0</v>
      </c>
      <c r="BC128" s="645">
        <f t="shared" si="77"/>
        <v>19</v>
      </c>
      <c r="BD128" s="163">
        <f t="shared" si="77"/>
        <v>0</v>
      </c>
      <c r="BE128" s="163">
        <f t="shared" si="77"/>
        <v>0</v>
      </c>
      <c r="BF128" s="163">
        <f t="shared" si="77"/>
        <v>17</v>
      </c>
      <c r="BG128" s="643">
        <f t="shared" si="77"/>
        <v>2</v>
      </c>
      <c r="BH128" s="646">
        <f t="shared" si="77"/>
        <v>115</v>
      </c>
      <c r="BI128" s="645">
        <f t="shared" si="77"/>
        <v>95</v>
      </c>
      <c r="BJ128" s="163">
        <f t="shared" si="77"/>
        <v>18</v>
      </c>
      <c r="BK128" s="163">
        <f t="shared" si="77"/>
        <v>5</v>
      </c>
      <c r="BL128" s="163">
        <f t="shared" si="77"/>
        <v>72</v>
      </c>
      <c r="BM128" s="644">
        <f t="shared" si="77"/>
        <v>0</v>
      </c>
      <c r="BN128" s="645">
        <f t="shared" si="77"/>
        <v>20</v>
      </c>
      <c r="BO128" s="163">
        <f t="shared" si="77"/>
        <v>0</v>
      </c>
      <c r="BP128" s="163">
        <f t="shared" si="77"/>
        <v>0</v>
      </c>
      <c r="BQ128" s="163">
        <f t="shared" si="77"/>
        <v>19</v>
      </c>
      <c r="BR128" s="643">
        <f t="shared" si="77"/>
        <v>1</v>
      </c>
      <c r="BS128" s="646">
        <f t="shared" si="77"/>
        <v>194</v>
      </c>
      <c r="BT128" s="645">
        <f t="shared" si="77"/>
        <v>146</v>
      </c>
      <c r="BU128" s="163">
        <f t="shared" si="77"/>
        <v>35</v>
      </c>
      <c r="BV128" s="163">
        <f t="shared" si="77"/>
        <v>2</v>
      </c>
      <c r="BW128" s="163">
        <f t="shared" si="77"/>
        <v>109</v>
      </c>
      <c r="BX128" s="644">
        <f t="shared" si="77"/>
        <v>0</v>
      </c>
      <c r="BY128" s="645">
        <f t="shared" si="77"/>
        <v>48</v>
      </c>
      <c r="BZ128" s="163">
        <f t="shared" si="77"/>
        <v>0</v>
      </c>
      <c r="CA128" s="163">
        <f t="shared" si="77"/>
        <v>0</v>
      </c>
      <c r="CB128" s="163">
        <f t="shared" si="77"/>
        <v>47</v>
      </c>
      <c r="CC128" s="643">
        <f t="shared" si="77"/>
        <v>1</v>
      </c>
      <c r="CD128" s="646">
        <f t="shared" si="77"/>
        <v>24</v>
      </c>
      <c r="CE128" s="645">
        <f t="shared" si="77"/>
        <v>19</v>
      </c>
      <c r="CF128" s="163">
        <f t="shared" si="77"/>
        <v>3</v>
      </c>
      <c r="CG128" s="163">
        <f t="shared" si="77"/>
        <v>1</v>
      </c>
      <c r="CH128" s="163">
        <f t="shared" si="77"/>
        <v>15</v>
      </c>
      <c r="CI128" s="644">
        <f t="shared" si="77"/>
        <v>0</v>
      </c>
      <c r="CJ128" s="645">
        <f t="shared" si="77"/>
        <v>5</v>
      </c>
      <c r="CK128" s="163">
        <f t="shared" si="77"/>
        <v>0</v>
      </c>
      <c r="CL128" s="163">
        <f t="shared" si="77"/>
        <v>0</v>
      </c>
      <c r="CM128" s="163">
        <f t="shared" si="77"/>
        <v>5</v>
      </c>
      <c r="CN128" s="643">
        <f t="shared" si="77"/>
        <v>0</v>
      </c>
      <c r="CO128" s="646">
        <f t="shared" si="77"/>
        <v>19</v>
      </c>
      <c r="CP128" s="645">
        <f t="shared" si="77"/>
        <v>14</v>
      </c>
      <c r="CQ128" s="163">
        <f t="shared" si="77"/>
        <v>4</v>
      </c>
      <c r="CR128" s="163">
        <f t="shared" si="77"/>
        <v>1</v>
      </c>
      <c r="CS128" s="163">
        <f t="shared" si="77"/>
        <v>9</v>
      </c>
      <c r="CT128" s="644">
        <f t="shared" si="77"/>
        <v>0</v>
      </c>
      <c r="CU128" s="645">
        <f t="shared" si="75"/>
        <v>5</v>
      </c>
      <c r="CV128" s="163">
        <f t="shared" si="75"/>
        <v>0</v>
      </c>
      <c r="CW128" s="163">
        <f t="shared" si="75"/>
        <v>0</v>
      </c>
      <c r="CX128" s="163">
        <f t="shared" si="75"/>
        <v>5</v>
      </c>
      <c r="CY128" s="643">
        <f t="shared" si="75"/>
        <v>0</v>
      </c>
      <c r="CZ128" s="646">
        <f t="shared" si="75"/>
        <v>4</v>
      </c>
      <c r="DA128" s="645">
        <f t="shared" si="75"/>
        <v>2</v>
      </c>
      <c r="DB128" s="163">
        <f t="shared" si="75"/>
        <v>0</v>
      </c>
      <c r="DC128" s="163">
        <f t="shared" si="75"/>
        <v>0</v>
      </c>
      <c r="DD128" s="163">
        <f t="shared" si="75"/>
        <v>2</v>
      </c>
      <c r="DE128" s="644">
        <f t="shared" si="75"/>
        <v>0</v>
      </c>
      <c r="DF128" s="645">
        <f t="shared" si="75"/>
        <v>2</v>
      </c>
      <c r="DG128" s="163">
        <f t="shared" si="75"/>
        <v>0</v>
      </c>
      <c r="DH128" s="163">
        <f t="shared" si="75"/>
        <v>0</v>
      </c>
      <c r="DI128" s="163">
        <f t="shared" si="75"/>
        <v>2</v>
      </c>
      <c r="DJ128" s="643">
        <f t="shared" si="75"/>
        <v>0</v>
      </c>
      <c r="DK128" s="646">
        <f t="shared" si="75"/>
        <v>0</v>
      </c>
      <c r="DL128" s="645">
        <f t="shared" si="75"/>
        <v>0</v>
      </c>
      <c r="DM128" s="163">
        <f t="shared" si="75"/>
        <v>0</v>
      </c>
      <c r="DN128" s="163">
        <f t="shared" si="75"/>
        <v>0</v>
      </c>
      <c r="DO128" s="163">
        <f t="shared" si="75"/>
        <v>0</v>
      </c>
      <c r="DP128" s="644">
        <f t="shared" si="75"/>
        <v>0</v>
      </c>
      <c r="DQ128" s="645">
        <f t="shared" si="75"/>
        <v>0</v>
      </c>
      <c r="DR128" s="163">
        <f t="shared" si="75"/>
        <v>0</v>
      </c>
      <c r="DS128" s="163">
        <f t="shared" si="75"/>
        <v>0</v>
      </c>
      <c r="DT128" s="163">
        <f t="shared" si="75"/>
        <v>0</v>
      </c>
      <c r="DU128" s="643">
        <f t="shared" si="68"/>
        <v>0</v>
      </c>
      <c r="DW128" s="646">
        <f t="shared" si="40"/>
        <v>496</v>
      </c>
      <c r="DX128" s="645">
        <f t="shared" si="40"/>
        <v>385</v>
      </c>
      <c r="DY128" s="163">
        <f t="shared" si="40"/>
        <v>86</v>
      </c>
      <c r="DZ128" s="163">
        <f t="shared" si="40"/>
        <v>14</v>
      </c>
      <c r="EA128" s="163">
        <f t="shared" si="67"/>
        <v>285</v>
      </c>
      <c r="EB128" s="644">
        <f t="shared" si="67"/>
        <v>0</v>
      </c>
      <c r="EC128" s="645">
        <f t="shared" si="67"/>
        <v>111</v>
      </c>
      <c r="ED128" s="163">
        <f t="shared" si="67"/>
        <v>0</v>
      </c>
      <c r="EE128" s="163">
        <f t="shared" si="67"/>
        <v>0</v>
      </c>
      <c r="EF128" s="163">
        <f t="shared" si="67"/>
        <v>107</v>
      </c>
      <c r="EG128" s="643">
        <f t="shared" si="67"/>
        <v>4</v>
      </c>
      <c r="EH128" s="646">
        <f t="shared" si="73"/>
        <v>173</v>
      </c>
      <c r="EI128" s="645">
        <f t="shared" si="73"/>
        <v>123</v>
      </c>
      <c r="EJ128" s="163">
        <f t="shared" si="73"/>
        <v>24</v>
      </c>
      <c r="EK128" s="163">
        <f t="shared" si="73"/>
        <v>8</v>
      </c>
      <c r="EL128" s="163">
        <f t="shared" si="73"/>
        <v>91</v>
      </c>
      <c r="EM128" s="644">
        <f t="shared" si="49"/>
        <v>0</v>
      </c>
      <c r="EN128" s="645">
        <f t="shared" si="49"/>
        <v>50</v>
      </c>
      <c r="EO128" s="163">
        <f t="shared" si="49"/>
        <v>2</v>
      </c>
      <c r="EP128" s="163">
        <f t="shared" si="49"/>
        <v>0</v>
      </c>
      <c r="EQ128" s="163">
        <f t="shared" si="49"/>
        <v>47</v>
      </c>
      <c r="ER128" s="643">
        <f t="shared" si="49"/>
        <v>1</v>
      </c>
    </row>
    <row r="129" spans="1:148">
      <c r="A129" s="654" t="s">
        <v>360</v>
      </c>
      <c r="B129" s="658">
        <v>45444</v>
      </c>
      <c r="C129" s="659">
        <v>2024</v>
      </c>
      <c r="D129" s="646">
        <f t="shared" ref="D129:T135" si="78">SUMIFS(D$5:D$36,$B$5:$B$36,$A129)</f>
        <v>190530</v>
      </c>
      <c r="E129" s="646">
        <f t="shared" si="78"/>
        <v>14370</v>
      </c>
      <c r="F129" s="645">
        <f t="shared" si="78"/>
        <v>10462</v>
      </c>
      <c r="G129" s="163">
        <f t="shared" si="78"/>
        <v>2474</v>
      </c>
      <c r="H129" s="163">
        <f t="shared" si="78"/>
        <v>730</v>
      </c>
      <c r="I129" s="163">
        <f t="shared" si="78"/>
        <v>7209</v>
      </c>
      <c r="J129" s="644">
        <f t="shared" si="78"/>
        <v>49</v>
      </c>
      <c r="K129" s="645">
        <f t="shared" si="78"/>
        <v>3908</v>
      </c>
      <c r="L129" s="163">
        <f t="shared" si="78"/>
        <v>196</v>
      </c>
      <c r="M129" s="163">
        <f t="shared" si="78"/>
        <v>0</v>
      </c>
      <c r="N129" s="163">
        <f t="shared" si="78"/>
        <v>3578</v>
      </c>
      <c r="O129" s="643">
        <f t="shared" si="78"/>
        <v>134</v>
      </c>
      <c r="P129" s="646">
        <f t="shared" si="78"/>
        <v>32</v>
      </c>
      <c r="Q129" s="645">
        <f t="shared" si="78"/>
        <v>21</v>
      </c>
      <c r="R129" s="163">
        <f t="shared" si="78"/>
        <v>8</v>
      </c>
      <c r="S129" s="163">
        <f t="shared" si="78"/>
        <v>0</v>
      </c>
      <c r="T129" s="163">
        <f t="shared" si="78"/>
        <v>13</v>
      </c>
      <c r="U129" s="644">
        <f t="shared" si="76"/>
        <v>0</v>
      </c>
      <c r="V129" s="645">
        <f t="shared" si="76"/>
        <v>11</v>
      </c>
      <c r="W129" s="163">
        <f t="shared" si="76"/>
        <v>0</v>
      </c>
      <c r="X129" s="163">
        <f t="shared" si="76"/>
        <v>0</v>
      </c>
      <c r="Y129" s="163">
        <f t="shared" si="76"/>
        <v>11</v>
      </c>
      <c r="Z129" s="643">
        <f t="shared" si="76"/>
        <v>0</v>
      </c>
      <c r="AA129" s="646">
        <f t="shared" si="76"/>
        <v>10</v>
      </c>
      <c r="AB129" s="645">
        <f t="shared" si="76"/>
        <v>9</v>
      </c>
      <c r="AC129" s="163">
        <f t="shared" si="76"/>
        <v>1</v>
      </c>
      <c r="AD129" s="163">
        <f t="shared" si="76"/>
        <v>1</v>
      </c>
      <c r="AE129" s="163">
        <f t="shared" si="76"/>
        <v>7</v>
      </c>
      <c r="AF129" s="644">
        <f t="shared" si="76"/>
        <v>0</v>
      </c>
      <c r="AG129" s="645">
        <f t="shared" si="76"/>
        <v>1</v>
      </c>
      <c r="AH129" s="163">
        <f t="shared" si="76"/>
        <v>0</v>
      </c>
      <c r="AI129" s="163">
        <f t="shared" si="74"/>
        <v>0</v>
      </c>
      <c r="AJ129" s="163">
        <f t="shared" si="74"/>
        <v>1</v>
      </c>
      <c r="AK129" s="643">
        <f t="shared" si="74"/>
        <v>0</v>
      </c>
      <c r="AL129" s="646">
        <f t="shared" si="74"/>
        <v>173</v>
      </c>
      <c r="AM129" s="645">
        <f t="shared" si="74"/>
        <v>123</v>
      </c>
      <c r="AN129" s="163">
        <f t="shared" si="74"/>
        <v>24</v>
      </c>
      <c r="AO129" s="163">
        <f t="shared" si="74"/>
        <v>8</v>
      </c>
      <c r="AP129" s="163">
        <f t="shared" si="74"/>
        <v>91</v>
      </c>
      <c r="AQ129" s="644">
        <f t="shared" si="74"/>
        <v>0</v>
      </c>
      <c r="AR129" s="645">
        <f t="shared" si="74"/>
        <v>50</v>
      </c>
      <c r="AS129" s="163">
        <f t="shared" si="74"/>
        <v>2</v>
      </c>
      <c r="AT129" s="163">
        <f t="shared" si="74"/>
        <v>0</v>
      </c>
      <c r="AU129" s="163">
        <f t="shared" si="74"/>
        <v>47</v>
      </c>
      <c r="AV129" s="643">
        <f t="shared" si="74"/>
        <v>1</v>
      </c>
      <c r="AW129" s="646">
        <f t="shared" si="74"/>
        <v>98</v>
      </c>
      <c r="AX129" s="645">
        <f t="shared" si="74"/>
        <v>79</v>
      </c>
      <c r="AY129" s="163">
        <f t="shared" si="74"/>
        <v>17</v>
      </c>
      <c r="AZ129" s="163">
        <f t="shared" si="77"/>
        <v>4</v>
      </c>
      <c r="BA129" s="163">
        <f t="shared" si="77"/>
        <v>58</v>
      </c>
      <c r="BB129" s="644">
        <f t="shared" si="77"/>
        <v>0</v>
      </c>
      <c r="BC129" s="645">
        <f t="shared" si="77"/>
        <v>19</v>
      </c>
      <c r="BD129" s="163">
        <f t="shared" si="77"/>
        <v>0</v>
      </c>
      <c r="BE129" s="163">
        <f t="shared" si="77"/>
        <v>0</v>
      </c>
      <c r="BF129" s="163">
        <f t="shared" si="77"/>
        <v>17</v>
      </c>
      <c r="BG129" s="643">
        <f t="shared" si="77"/>
        <v>2</v>
      </c>
      <c r="BH129" s="646">
        <f t="shared" si="77"/>
        <v>115</v>
      </c>
      <c r="BI129" s="645">
        <f t="shared" si="77"/>
        <v>95</v>
      </c>
      <c r="BJ129" s="163">
        <f t="shared" si="77"/>
        <v>18</v>
      </c>
      <c r="BK129" s="163">
        <f t="shared" si="77"/>
        <v>5</v>
      </c>
      <c r="BL129" s="163">
        <f t="shared" si="77"/>
        <v>72</v>
      </c>
      <c r="BM129" s="644">
        <f t="shared" si="77"/>
        <v>0</v>
      </c>
      <c r="BN129" s="645">
        <f t="shared" si="77"/>
        <v>20</v>
      </c>
      <c r="BO129" s="163">
        <f t="shared" si="77"/>
        <v>0</v>
      </c>
      <c r="BP129" s="163">
        <f t="shared" si="77"/>
        <v>0</v>
      </c>
      <c r="BQ129" s="163">
        <f t="shared" si="77"/>
        <v>19</v>
      </c>
      <c r="BR129" s="643">
        <f t="shared" si="77"/>
        <v>1</v>
      </c>
      <c r="BS129" s="646">
        <f t="shared" si="77"/>
        <v>194</v>
      </c>
      <c r="BT129" s="645">
        <f t="shared" si="77"/>
        <v>146</v>
      </c>
      <c r="BU129" s="163">
        <f t="shared" si="77"/>
        <v>35</v>
      </c>
      <c r="BV129" s="163">
        <f t="shared" si="77"/>
        <v>2</v>
      </c>
      <c r="BW129" s="163">
        <f t="shared" si="77"/>
        <v>109</v>
      </c>
      <c r="BX129" s="644">
        <f t="shared" si="77"/>
        <v>0</v>
      </c>
      <c r="BY129" s="645">
        <f t="shared" si="77"/>
        <v>48</v>
      </c>
      <c r="BZ129" s="163">
        <f t="shared" si="77"/>
        <v>0</v>
      </c>
      <c r="CA129" s="163">
        <f t="shared" si="77"/>
        <v>0</v>
      </c>
      <c r="CB129" s="163">
        <f t="shared" si="77"/>
        <v>47</v>
      </c>
      <c r="CC129" s="643">
        <f t="shared" si="77"/>
        <v>1</v>
      </c>
      <c r="CD129" s="646">
        <f t="shared" si="77"/>
        <v>24</v>
      </c>
      <c r="CE129" s="645">
        <f t="shared" si="77"/>
        <v>19</v>
      </c>
      <c r="CF129" s="163">
        <f t="shared" si="77"/>
        <v>3</v>
      </c>
      <c r="CG129" s="163">
        <f t="shared" si="77"/>
        <v>1</v>
      </c>
      <c r="CH129" s="163">
        <f t="shared" si="77"/>
        <v>15</v>
      </c>
      <c r="CI129" s="644">
        <f t="shared" si="77"/>
        <v>0</v>
      </c>
      <c r="CJ129" s="645">
        <f t="shared" si="77"/>
        <v>5</v>
      </c>
      <c r="CK129" s="163">
        <f t="shared" si="77"/>
        <v>0</v>
      </c>
      <c r="CL129" s="163">
        <f t="shared" si="77"/>
        <v>0</v>
      </c>
      <c r="CM129" s="163">
        <f t="shared" si="77"/>
        <v>5</v>
      </c>
      <c r="CN129" s="643">
        <f t="shared" si="77"/>
        <v>0</v>
      </c>
      <c r="CO129" s="646">
        <f t="shared" si="77"/>
        <v>19</v>
      </c>
      <c r="CP129" s="645">
        <f t="shared" si="77"/>
        <v>14</v>
      </c>
      <c r="CQ129" s="163">
        <f t="shared" si="77"/>
        <v>4</v>
      </c>
      <c r="CR129" s="163">
        <f t="shared" si="77"/>
        <v>1</v>
      </c>
      <c r="CS129" s="163">
        <f t="shared" si="77"/>
        <v>9</v>
      </c>
      <c r="CT129" s="644">
        <f t="shared" si="77"/>
        <v>0</v>
      </c>
      <c r="CU129" s="645">
        <f t="shared" si="75"/>
        <v>5</v>
      </c>
      <c r="CV129" s="163">
        <f t="shared" si="75"/>
        <v>0</v>
      </c>
      <c r="CW129" s="163">
        <f t="shared" si="75"/>
        <v>0</v>
      </c>
      <c r="CX129" s="163">
        <f t="shared" si="75"/>
        <v>5</v>
      </c>
      <c r="CY129" s="643">
        <f t="shared" si="75"/>
        <v>0</v>
      </c>
      <c r="CZ129" s="646">
        <f t="shared" si="75"/>
        <v>4</v>
      </c>
      <c r="DA129" s="645">
        <f t="shared" si="75"/>
        <v>2</v>
      </c>
      <c r="DB129" s="163">
        <f t="shared" si="75"/>
        <v>0</v>
      </c>
      <c r="DC129" s="163">
        <f t="shared" si="75"/>
        <v>0</v>
      </c>
      <c r="DD129" s="163">
        <f t="shared" si="75"/>
        <v>2</v>
      </c>
      <c r="DE129" s="644">
        <f t="shared" si="75"/>
        <v>0</v>
      </c>
      <c r="DF129" s="645">
        <f t="shared" si="75"/>
        <v>2</v>
      </c>
      <c r="DG129" s="163">
        <f t="shared" si="75"/>
        <v>0</v>
      </c>
      <c r="DH129" s="163">
        <f t="shared" si="75"/>
        <v>0</v>
      </c>
      <c r="DI129" s="163">
        <f t="shared" si="75"/>
        <v>2</v>
      </c>
      <c r="DJ129" s="643">
        <f t="shared" si="75"/>
        <v>0</v>
      </c>
      <c r="DK129" s="646">
        <f t="shared" si="75"/>
        <v>0</v>
      </c>
      <c r="DL129" s="645">
        <f t="shared" si="75"/>
        <v>0</v>
      </c>
      <c r="DM129" s="163">
        <f t="shared" si="75"/>
        <v>0</v>
      </c>
      <c r="DN129" s="163">
        <f t="shared" si="75"/>
        <v>0</v>
      </c>
      <c r="DO129" s="163">
        <f t="shared" si="75"/>
        <v>0</v>
      </c>
      <c r="DP129" s="644">
        <f t="shared" si="75"/>
        <v>0</v>
      </c>
      <c r="DQ129" s="645">
        <f t="shared" si="75"/>
        <v>0</v>
      </c>
      <c r="DR129" s="163">
        <f t="shared" si="75"/>
        <v>0</v>
      </c>
      <c r="DS129" s="163">
        <f t="shared" si="75"/>
        <v>0</v>
      </c>
      <c r="DT129" s="163">
        <f t="shared" si="75"/>
        <v>0</v>
      </c>
      <c r="DU129" s="643">
        <f t="shared" si="68"/>
        <v>0</v>
      </c>
      <c r="DW129" s="646">
        <f t="shared" si="40"/>
        <v>496</v>
      </c>
      <c r="DX129" s="645">
        <f t="shared" si="40"/>
        <v>385</v>
      </c>
      <c r="DY129" s="163">
        <f t="shared" si="40"/>
        <v>86</v>
      </c>
      <c r="DZ129" s="163">
        <f t="shared" si="40"/>
        <v>14</v>
      </c>
      <c r="EA129" s="163">
        <f t="shared" si="67"/>
        <v>285</v>
      </c>
      <c r="EB129" s="644">
        <f t="shared" si="67"/>
        <v>0</v>
      </c>
      <c r="EC129" s="645">
        <f t="shared" si="67"/>
        <v>111</v>
      </c>
      <c r="ED129" s="163">
        <f t="shared" si="67"/>
        <v>0</v>
      </c>
      <c r="EE129" s="163">
        <f t="shared" si="67"/>
        <v>0</v>
      </c>
      <c r="EF129" s="163">
        <f t="shared" si="67"/>
        <v>107</v>
      </c>
      <c r="EG129" s="643">
        <f t="shared" si="67"/>
        <v>4</v>
      </c>
      <c r="EH129" s="646">
        <f t="shared" si="73"/>
        <v>173</v>
      </c>
      <c r="EI129" s="645">
        <f t="shared" si="73"/>
        <v>123</v>
      </c>
      <c r="EJ129" s="163">
        <f t="shared" si="73"/>
        <v>24</v>
      </c>
      <c r="EK129" s="163">
        <f t="shared" si="73"/>
        <v>8</v>
      </c>
      <c r="EL129" s="163">
        <f t="shared" si="73"/>
        <v>91</v>
      </c>
      <c r="EM129" s="644">
        <f t="shared" si="49"/>
        <v>0</v>
      </c>
      <c r="EN129" s="645">
        <f t="shared" si="49"/>
        <v>50</v>
      </c>
      <c r="EO129" s="163">
        <f t="shared" si="49"/>
        <v>2</v>
      </c>
      <c r="EP129" s="163">
        <f t="shared" si="49"/>
        <v>0</v>
      </c>
      <c r="EQ129" s="163">
        <f t="shared" si="49"/>
        <v>47</v>
      </c>
      <c r="ER129" s="643">
        <f t="shared" si="49"/>
        <v>1</v>
      </c>
    </row>
    <row r="130" spans="1:148">
      <c r="A130" s="654" t="s">
        <v>687</v>
      </c>
      <c r="B130" s="658">
        <v>45474</v>
      </c>
      <c r="C130" s="659">
        <v>2024</v>
      </c>
      <c r="D130" s="646">
        <f t="shared" si="78"/>
        <v>182361</v>
      </c>
      <c r="E130" s="646">
        <f t="shared" si="78"/>
        <v>15946</v>
      </c>
      <c r="F130" s="645">
        <f t="shared" si="78"/>
        <v>11771</v>
      </c>
      <c r="G130" s="163">
        <f t="shared" si="78"/>
        <v>2542</v>
      </c>
      <c r="H130" s="163">
        <f t="shared" si="78"/>
        <v>967</v>
      </c>
      <c r="I130" s="163">
        <f t="shared" si="78"/>
        <v>8192</v>
      </c>
      <c r="J130" s="644">
        <f t="shared" si="78"/>
        <v>70</v>
      </c>
      <c r="K130" s="645">
        <f t="shared" si="78"/>
        <v>4175</v>
      </c>
      <c r="L130" s="163">
        <f t="shared" si="78"/>
        <v>435</v>
      </c>
      <c r="M130" s="163">
        <f t="shared" si="78"/>
        <v>0</v>
      </c>
      <c r="N130" s="163">
        <f t="shared" si="78"/>
        <v>3645</v>
      </c>
      <c r="O130" s="643">
        <f t="shared" si="78"/>
        <v>95</v>
      </c>
      <c r="P130" s="646">
        <f t="shared" si="78"/>
        <v>31</v>
      </c>
      <c r="Q130" s="645">
        <f t="shared" si="78"/>
        <v>20</v>
      </c>
      <c r="R130" s="163">
        <f t="shared" si="78"/>
        <v>4</v>
      </c>
      <c r="S130" s="163">
        <f t="shared" si="78"/>
        <v>3</v>
      </c>
      <c r="T130" s="163">
        <f t="shared" si="78"/>
        <v>13</v>
      </c>
      <c r="U130" s="644">
        <f t="shared" si="76"/>
        <v>0</v>
      </c>
      <c r="V130" s="645">
        <f t="shared" si="76"/>
        <v>11</v>
      </c>
      <c r="W130" s="163">
        <f t="shared" si="76"/>
        <v>2</v>
      </c>
      <c r="X130" s="163">
        <f t="shared" si="76"/>
        <v>0</v>
      </c>
      <c r="Y130" s="163">
        <f t="shared" si="76"/>
        <v>9</v>
      </c>
      <c r="Z130" s="643">
        <f t="shared" si="76"/>
        <v>0</v>
      </c>
      <c r="AA130" s="646">
        <f t="shared" si="76"/>
        <v>13</v>
      </c>
      <c r="AB130" s="645">
        <f t="shared" si="76"/>
        <v>11</v>
      </c>
      <c r="AC130" s="163">
        <f t="shared" si="76"/>
        <v>5</v>
      </c>
      <c r="AD130" s="163">
        <f t="shared" si="76"/>
        <v>0</v>
      </c>
      <c r="AE130" s="163">
        <f t="shared" si="76"/>
        <v>6</v>
      </c>
      <c r="AF130" s="644">
        <f t="shared" si="76"/>
        <v>0</v>
      </c>
      <c r="AG130" s="645">
        <f t="shared" si="76"/>
        <v>2</v>
      </c>
      <c r="AH130" s="163">
        <f t="shared" si="76"/>
        <v>0</v>
      </c>
      <c r="AI130" s="163">
        <f t="shared" si="74"/>
        <v>0</v>
      </c>
      <c r="AJ130" s="163">
        <f t="shared" si="74"/>
        <v>2</v>
      </c>
      <c r="AK130" s="643">
        <f t="shared" si="74"/>
        <v>0</v>
      </c>
      <c r="AL130" s="646">
        <f t="shared" si="74"/>
        <v>211</v>
      </c>
      <c r="AM130" s="645">
        <f t="shared" si="74"/>
        <v>160</v>
      </c>
      <c r="AN130" s="163">
        <f t="shared" si="74"/>
        <v>30</v>
      </c>
      <c r="AO130" s="163">
        <f t="shared" si="74"/>
        <v>22</v>
      </c>
      <c r="AP130" s="163">
        <f t="shared" si="74"/>
        <v>107</v>
      </c>
      <c r="AQ130" s="644">
        <f t="shared" si="74"/>
        <v>1</v>
      </c>
      <c r="AR130" s="645">
        <f t="shared" si="74"/>
        <v>51</v>
      </c>
      <c r="AS130" s="163">
        <f t="shared" si="74"/>
        <v>3</v>
      </c>
      <c r="AT130" s="163">
        <f t="shared" si="74"/>
        <v>0</v>
      </c>
      <c r="AU130" s="163">
        <f t="shared" si="74"/>
        <v>48</v>
      </c>
      <c r="AV130" s="643">
        <f t="shared" si="74"/>
        <v>0</v>
      </c>
      <c r="AW130" s="646">
        <f t="shared" si="74"/>
        <v>106</v>
      </c>
      <c r="AX130" s="645">
        <f t="shared" si="74"/>
        <v>84</v>
      </c>
      <c r="AY130" s="163">
        <f t="shared" si="74"/>
        <v>15</v>
      </c>
      <c r="AZ130" s="163">
        <f t="shared" si="77"/>
        <v>2</v>
      </c>
      <c r="BA130" s="163">
        <f t="shared" si="77"/>
        <v>67</v>
      </c>
      <c r="BB130" s="644">
        <f t="shared" si="77"/>
        <v>0</v>
      </c>
      <c r="BC130" s="645">
        <f t="shared" si="77"/>
        <v>22</v>
      </c>
      <c r="BD130" s="163">
        <f t="shared" si="77"/>
        <v>4</v>
      </c>
      <c r="BE130" s="163">
        <f t="shared" si="77"/>
        <v>0</v>
      </c>
      <c r="BF130" s="163">
        <f t="shared" si="77"/>
        <v>18</v>
      </c>
      <c r="BG130" s="643">
        <f t="shared" si="77"/>
        <v>0</v>
      </c>
      <c r="BH130" s="646">
        <f t="shared" si="77"/>
        <v>106</v>
      </c>
      <c r="BI130" s="645">
        <f t="shared" si="77"/>
        <v>77</v>
      </c>
      <c r="BJ130" s="163">
        <f t="shared" si="77"/>
        <v>14</v>
      </c>
      <c r="BK130" s="163">
        <f t="shared" si="77"/>
        <v>3</v>
      </c>
      <c r="BL130" s="163">
        <f t="shared" si="77"/>
        <v>58</v>
      </c>
      <c r="BM130" s="644">
        <f t="shared" si="77"/>
        <v>2</v>
      </c>
      <c r="BN130" s="645">
        <f t="shared" si="77"/>
        <v>29</v>
      </c>
      <c r="BO130" s="163">
        <f t="shared" si="77"/>
        <v>4</v>
      </c>
      <c r="BP130" s="163">
        <f t="shared" si="77"/>
        <v>0</v>
      </c>
      <c r="BQ130" s="163">
        <f t="shared" si="77"/>
        <v>25</v>
      </c>
      <c r="BR130" s="643">
        <f t="shared" si="77"/>
        <v>0</v>
      </c>
      <c r="BS130" s="646">
        <f t="shared" si="77"/>
        <v>188</v>
      </c>
      <c r="BT130" s="645">
        <f t="shared" si="77"/>
        <v>149</v>
      </c>
      <c r="BU130" s="163">
        <f t="shared" si="77"/>
        <v>31</v>
      </c>
      <c r="BV130" s="163">
        <f t="shared" si="77"/>
        <v>4</v>
      </c>
      <c r="BW130" s="163">
        <f t="shared" si="77"/>
        <v>113</v>
      </c>
      <c r="BX130" s="644">
        <f t="shared" si="77"/>
        <v>1</v>
      </c>
      <c r="BY130" s="645">
        <f t="shared" si="77"/>
        <v>39</v>
      </c>
      <c r="BZ130" s="163">
        <f t="shared" si="77"/>
        <v>2</v>
      </c>
      <c r="CA130" s="163">
        <f t="shared" si="77"/>
        <v>0</v>
      </c>
      <c r="CB130" s="163">
        <f t="shared" si="77"/>
        <v>36</v>
      </c>
      <c r="CC130" s="643">
        <f t="shared" si="77"/>
        <v>1</v>
      </c>
      <c r="CD130" s="646">
        <f t="shared" si="77"/>
        <v>19</v>
      </c>
      <c r="CE130" s="645">
        <f t="shared" si="77"/>
        <v>12</v>
      </c>
      <c r="CF130" s="163">
        <f t="shared" si="77"/>
        <v>0</v>
      </c>
      <c r="CG130" s="163">
        <f t="shared" si="77"/>
        <v>1</v>
      </c>
      <c r="CH130" s="163">
        <f t="shared" si="77"/>
        <v>11</v>
      </c>
      <c r="CI130" s="644">
        <f t="shared" si="77"/>
        <v>0</v>
      </c>
      <c r="CJ130" s="645">
        <f t="shared" si="77"/>
        <v>7</v>
      </c>
      <c r="CK130" s="163">
        <f t="shared" si="77"/>
        <v>0</v>
      </c>
      <c r="CL130" s="163">
        <f t="shared" si="77"/>
        <v>0</v>
      </c>
      <c r="CM130" s="163">
        <f t="shared" si="77"/>
        <v>7</v>
      </c>
      <c r="CN130" s="643">
        <f t="shared" si="77"/>
        <v>0</v>
      </c>
      <c r="CO130" s="646">
        <f t="shared" si="77"/>
        <v>20</v>
      </c>
      <c r="CP130" s="645">
        <f t="shared" si="77"/>
        <v>12</v>
      </c>
      <c r="CQ130" s="163">
        <f t="shared" si="77"/>
        <v>1</v>
      </c>
      <c r="CR130" s="163">
        <f t="shared" si="77"/>
        <v>2</v>
      </c>
      <c r="CS130" s="163">
        <f t="shared" si="77"/>
        <v>9</v>
      </c>
      <c r="CT130" s="644">
        <f t="shared" si="77"/>
        <v>0</v>
      </c>
      <c r="CU130" s="645">
        <f t="shared" si="75"/>
        <v>8</v>
      </c>
      <c r="CV130" s="163">
        <f t="shared" si="75"/>
        <v>0</v>
      </c>
      <c r="CW130" s="163">
        <f t="shared" si="75"/>
        <v>0</v>
      </c>
      <c r="CX130" s="163">
        <f t="shared" si="75"/>
        <v>8</v>
      </c>
      <c r="CY130" s="643">
        <f t="shared" si="75"/>
        <v>0</v>
      </c>
      <c r="CZ130" s="646">
        <f t="shared" si="75"/>
        <v>6</v>
      </c>
      <c r="DA130" s="645">
        <f t="shared" si="75"/>
        <v>5</v>
      </c>
      <c r="DB130" s="163">
        <f t="shared" si="75"/>
        <v>1</v>
      </c>
      <c r="DC130" s="163">
        <f t="shared" si="75"/>
        <v>2</v>
      </c>
      <c r="DD130" s="163">
        <f t="shared" si="75"/>
        <v>2</v>
      </c>
      <c r="DE130" s="644">
        <f t="shared" si="75"/>
        <v>0</v>
      </c>
      <c r="DF130" s="645">
        <f t="shared" si="75"/>
        <v>1</v>
      </c>
      <c r="DG130" s="163">
        <f t="shared" si="75"/>
        <v>0</v>
      </c>
      <c r="DH130" s="163">
        <f t="shared" si="75"/>
        <v>0</v>
      </c>
      <c r="DI130" s="163">
        <f t="shared" si="75"/>
        <v>1</v>
      </c>
      <c r="DJ130" s="643">
        <f t="shared" si="75"/>
        <v>0</v>
      </c>
      <c r="DK130" s="646">
        <f t="shared" si="75"/>
        <v>1</v>
      </c>
      <c r="DL130" s="645">
        <f t="shared" si="75"/>
        <v>1</v>
      </c>
      <c r="DM130" s="163">
        <f t="shared" si="75"/>
        <v>0</v>
      </c>
      <c r="DN130" s="163">
        <f t="shared" si="75"/>
        <v>1</v>
      </c>
      <c r="DO130" s="163">
        <f t="shared" si="75"/>
        <v>0</v>
      </c>
      <c r="DP130" s="644">
        <f t="shared" si="75"/>
        <v>0</v>
      </c>
      <c r="DQ130" s="645">
        <f t="shared" si="75"/>
        <v>0</v>
      </c>
      <c r="DR130" s="163">
        <f t="shared" si="75"/>
        <v>0</v>
      </c>
      <c r="DS130" s="163">
        <f t="shared" si="75"/>
        <v>0</v>
      </c>
      <c r="DT130" s="163">
        <f t="shared" si="75"/>
        <v>0</v>
      </c>
      <c r="DU130" s="643">
        <f t="shared" si="68"/>
        <v>0</v>
      </c>
      <c r="DW130" s="646">
        <f t="shared" si="40"/>
        <v>490</v>
      </c>
      <c r="DX130" s="645">
        <f t="shared" si="40"/>
        <v>371</v>
      </c>
      <c r="DY130" s="163">
        <f t="shared" si="40"/>
        <v>71</v>
      </c>
      <c r="DZ130" s="163">
        <f t="shared" si="40"/>
        <v>18</v>
      </c>
      <c r="EA130" s="163">
        <f t="shared" si="67"/>
        <v>279</v>
      </c>
      <c r="EB130" s="644">
        <f t="shared" si="67"/>
        <v>3</v>
      </c>
      <c r="EC130" s="645">
        <f t="shared" si="67"/>
        <v>119</v>
      </c>
      <c r="ED130" s="163">
        <f t="shared" si="67"/>
        <v>12</v>
      </c>
      <c r="EE130" s="163">
        <f t="shared" si="67"/>
        <v>0</v>
      </c>
      <c r="EF130" s="163">
        <f t="shared" si="67"/>
        <v>106</v>
      </c>
      <c r="EG130" s="643">
        <f t="shared" si="67"/>
        <v>1</v>
      </c>
      <c r="EH130" s="646">
        <f t="shared" si="73"/>
        <v>211</v>
      </c>
      <c r="EI130" s="645">
        <f t="shared" si="73"/>
        <v>160</v>
      </c>
      <c r="EJ130" s="163">
        <f t="shared" si="73"/>
        <v>30</v>
      </c>
      <c r="EK130" s="163">
        <f t="shared" si="73"/>
        <v>22</v>
      </c>
      <c r="EL130" s="163">
        <f t="shared" si="73"/>
        <v>107</v>
      </c>
      <c r="EM130" s="644">
        <f t="shared" si="49"/>
        <v>1</v>
      </c>
      <c r="EN130" s="645">
        <f t="shared" si="49"/>
        <v>51</v>
      </c>
      <c r="EO130" s="163">
        <f t="shared" si="49"/>
        <v>3</v>
      </c>
      <c r="EP130" s="163">
        <f t="shared" si="49"/>
        <v>0</v>
      </c>
      <c r="EQ130" s="163">
        <f t="shared" si="49"/>
        <v>48</v>
      </c>
      <c r="ER130" s="643">
        <f t="shared" si="49"/>
        <v>0</v>
      </c>
    </row>
    <row r="131" spans="1:148">
      <c r="A131" s="654" t="s">
        <v>687</v>
      </c>
      <c r="B131" s="658">
        <v>45505</v>
      </c>
      <c r="C131" s="659">
        <v>2024</v>
      </c>
      <c r="D131" s="646">
        <f t="shared" si="78"/>
        <v>182361</v>
      </c>
      <c r="E131" s="646">
        <f t="shared" si="78"/>
        <v>15946</v>
      </c>
      <c r="F131" s="645">
        <f t="shared" si="78"/>
        <v>11771</v>
      </c>
      <c r="G131" s="163">
        <f t="shared" si="78"/>
        <v>2542</v>
      </c>
      <c r="H131" s="163">
        <f t="shared" si="78"/>
        <v>967</v>
      </c>
      <c r="I131" s="163">
        <f t="shared" si="78"/>
        <v>8192</v>
      </c>
      <c r="J131" s="644">
        <f t="shared" si="78"/>
        <v>70</v>
      </c>
      <c r="K131" s="645">
        <f t="shared" si="78"/>
        <v>4175</v>
      </c>
      <c r="L131" s="163">
        <f t="shared" si="78"/>
        <v>435</v>
      </c>
      <c r="M131" s="163">
        <f t="shared" si="78"/>
        <v>0</v>
      </c>
      <c r="N131" s="163">
        <f t="shared" si="78"/>
        <v>3645</v>
      </c>
      <c r="O131" s="643">
        <f t="shared" si="78"/>
        <v>95</v>
      </c>
      <c r="P131" s="646">
        <f t="shared" si="78"/>
        <v>31</v>
      </c>
      <c r="Q131" s="645">
        <f t="shared" si="78"/>
        <v>20</v>
      </c>
      <c r="R131" s="163">
        <f t="shared" si="78"/>
        <v>4</v>
      </c>
      <c r="S131" s="163">
        <f t="shared" si="78"/>
        <v>3</v>
      </c>
      <c r="T131" s="163">
        <f t="shared" si="78"/>
        <v>13</v>
      </c>
      <c r="U131" s="644">
        <f t="shared" si="76"/>
        <v>0</v>
      </c>
      <c r="V131" s="645">
        <f t="shared" si="76"/>
        <v>11</v>
      </c>
      <c r="W131" s="163">
        <f t="shared" si="76"/>
        <v>2</v>
      </c>
      <c r="X131" s="163">
        <f t="shared" si="76"/>
        <v>0</v>
      </c>
      <c r="Y131" s="163">
        <f t="shared" si="76"/>
        <v>9</v>
      </c>
      <c r="Z131" s="643">
        <f t="shared" si="76"/>
        <v>0</v>
      </c>
      <c r="AA131" s="646">
        <f t="shared" si="76"/>
        <v>13</v>
      </c>
      <c r="AB131" s="645">
        <f t="shared" si="76"/>
        <v>11</v>
      </c>
      <c r="AC131" s="163">
        <f t="shared" si="76"/>
        <v>5</v>
      </c>
      <c r="AD131" s="163">
        <f t="shared" si="76"/>
        <v>0</v>
      </c>
      <c r="AE131" s="163">
        <f t="shared" si="76"/>
        <v>6</v>
      </c>
      <c r="AF131" s="644">
        <f t="shared" si="76"/>
        <v>0</v>
      </c>
      <c r="AG131" s="645">
        <f t="shared" si="76"/>
        <v>2</v>
      </c>
      <c r="AH131" s="163">
        <f t="shared" si="76"/>
        <v>0</v>
      </c>
      <c r="AI131" s="163">
        <f t="shared" si="74"/>
        <v>0</v>
      </c>
      <c r="AJ131" s="163">
        <f t="shared" si="74"/>
        <v>2</v>
      </c>
      <c r="AK131" s="643">
        <f t="shared" si="74"/>
        <v>0</v>
      </c>
      <c r="AL131" s="646">
        <f t="shared" si="74"/>
        <v>211</v>
      </c>
      <c r="AM131" s="645">
        <f t="shared" si="74"/>
        <v>160</v>
      </c>
      <c r="AN131" s="163">
        <f t="shared" si="74"/>
        <v>30</v>
      </c>
      <c r="AO131" s="163">
        <f t="shared" si="74"/>
        <v>22</v>
      </c>
      <c r="AP131" s="163">
        <f t="shared" si="74"/>
        <v>107</v>
      </c>
      <c r="AQ131" s="644">
        <f t="shared" si="74"/>
        <v>1</v>
      </c>
      <c r="AR131" s="645">
        <f t="shared" si="74"/>
        <v>51</v>
      </c>
      <c r="AS131" s="163">
        <f t="shared" si="74"/>
        <v>3</v>
      </c>
      <c r="AT131" s="163">
        <f t="shared" si="74"/>
        <v>0</v>
      </c>
      <c r="AU131" s="163">
        <f t="shared" si="74"/>
        <v>48</v>
      </c>
      <c r="AV131" s="643">
        <f t="shared" si="74"/>
        <v>0</v>
      </c>
      <c r="AW131" s="646">
        <f t="shared" si="74"/>
        <v>106</v>
      </c>
      <c r="AX131" s="645">
        <f t="shared" si="74"/>
        <v>84</v>
      </c>
      <c r="AY131" s="163">
        <f t="shared" si="74"/>
        <v>15</v>
      </c>
      <c r="AZ131" s="163">
        <f t="shared" si="77"/>
        <v>2</v>
      </c>
      <c r="BA131" s="163">
        <f t="shared" si="77"/>
        <v>67</v>
      </c>
      <c r="BB131" s="644">
        <f t="shared" si="77"/>
        <v>0</v>
      </c>
      <c r="BC131" s="645">
        <f t="shared" si="77"/>
        <v>22</v>
      </c>
      <c r="BD131" s="163">
        <f t="shared" si="77"/>
        <v>4</v>
      </c>
      <c r="BE131" s="163">
        <f t="shared" si="77"/>
        <v>0</v>
      </c>
      <c r="BF131" s="163">
        <f t="shared" si="77"/>
        <v>18</v>
      </c>
      <c r="BG131" s="643">
        <f t="shared" si="77"/>
        <v>0</v>
      </c>
      <c r="BH131" s="646">
        <f t="shared" si="77"/>
        <v>106</v>
      </c>
      <c r="BI131" s="645">
        <f t="shared" si="77"/>
        <v>77</v>
      </c>
      <c r="BJ131" s="163">
        <f t="shared" si="77"/>
        <v>14</v>
      </c>
      <c r="BK131" s="163">
        <f t="shared" si="77"/>
        <v>3</v>
      </c>
      <c r="BL131" s="163">
        <f t="shared" si="77"/>
        <v>58</v>
      </c>
      <c r="BM131" s="644">
        <f t="shared" si="77"/>
        <v>2</v>
      </c>
      <c r="BN131" s="645">
        <f t="shared" si="77"/>
        <v>29</v>
      </c>
      <c r="BO131" s="163">
        <f t="shared" si="77"/>
        <v>4</v>
      </c>
      <c r="BP131" s="163">
        <f t="shared" si="77"/>
        <v>0</v>
      </c>
      <c r="BQ131" s="163">
        <f t="shared" si="77"/>
        <v>25</v>
      </c>
      <c r="BR131" s="643">
        <f t="shared" si="77"/>
        <v>0</v>
      </c>
      <c r="BS131" s="646">
        <f t="shared" si="77"/>
        <v>188</v>
      </c>
      <c r="BT131" s="645">
        <f t="shared" si="77"/>
        <v>149</v>
      </c>
      <c r="BU131" s="163">
        <f t="shared" si="77"/>
        <v>31</v>
      </c>
      <c r="BV131" s="163">
        <f t="shared" si="77"/>
        <v>4</v>
      </c>
      <c r="BW131" s="163">
        <f t="shared" si="77"/>
        <v>113</v>
      </c>
      <c r="BX131" s="644">
        <f t="shared" si="77"/>
        <v>1</v>
      </c>
      <c r="BY131" s="645">
        <f t="shared" si="77"/>
        <v>39</v>
      </c>
      <c r="BZ131" s="163">
        <f t="shared" si="77"/>
        <v>2</v>
      </c>
      <c r="CA131" s="163">
        <f t="shared" si="77"/>
        <v>0</v>
      </c>
      <c r="CB131" s="163">
        <f t="shared" si="77"/>
        <v>36</v>
      </c>
      <c r="CC131" s="643">
        <f t="shared" si="77"/>
        <v>1</v>
      </c>
      <c r="CD131" s="646">
        <f t="shared" si="77"/>
        <v>19</v>
      </c>
      <c r="CE131" s="645">
        <f t="shared" si="77"/>
        <v>12</v>
      </c>
      <c r="CF131" s="163">
        <f t="shared" si="77"/>
        <v>0</v>
      </c>
      <c r="CG131" s="163">
        <f t="shared" si="77"/>
        <v>1</v>
      </c>
      <c r="CH131" s="163">
        <f t="shared" si="77"/>
        <v>11</v>
      </c>
      <c r="CI131" s="644">
        <f t="shared" si="77"/>
        <v>0</v>
      </c>
      <c r="CJ131" s="645">
        <f t="shared" si="77"/>
        <v>7</v>
      </c>
      <c r="CK131" s="163">
        <f t="shared" si="77"/>
        <v>0</v>
      </c>
      <c r="CL131" s="163">
        <f t="shared" si="77"/>
        <v>0</v>
      </c>
      <c r="CM131" s="163">
        <f t="shared" si="77"/>
        <v>7</v>
      </c>
      <c r="CN131" s="643">
        <f t="shared" si="77"/>
        <v>0</v>
      </c>
      <c r="CO131" s="646">
        <f t="shared" si="77"/>
        <v>20</v>
      </c>
      <c r="CP131" s="645">
        <f t="shared" si="77"/>
        <v>12</v>
      </c>
      <c r="CQ131" s="163">
        <f t="shared" si="77"/>
        <v>1</v>
      </c>
      <c r="CR131" s="163">
        <f t="shared" si="77"/>
        <v>2</v>
      </c>
      <c r="CS131" s="163">
        <f t="shared" si="77"/>
        <v>9</v>
      </c>
      <c r="CT131" s="644">
        <f t="shared" si="77"/>
        <v>0</v>
      </c>
      <c r="CU131" s="645">
        <f t="shared" si="77"/>
        <v>8</v>
      </c>
      <c r="CV131" s="163">
        <f t="shared" si="77"/>
        <v>0</v>
      </c>
      <c r="CW131" s="163">
        <f t="shared" si="77"/>
        <v>0</v>
      </c>
      <c r="CX131" s="163">
        <f t="shared" si="77"/>
        <v>8</v>
      </c>
      <c r="CY131" s="643">
        <f t="shared" si="77"/>
        <v>0</v>
      </c>
      <c r="CZ131" s="646">
        <f t="shared" si="77"/>
        <v>6</v>
      </c>
      <c r="DA131" s="645">
        <f t="shared" si="77"/>
        <v>5</v>
      </c>
      <c r="DB131" s="163">
        <f t="shared" si="77"/>
        <v>1</v>
      </c>
      <c r="DC131" s="163">
        <f t="shared" si="77"/>
        <v>2</v>
      </c>
      <c r="DD131" s="163">
        <f t="shared" si="77"/>
        <v>2</v>
      </c>
      <c r="DE131" s="644">
        <f t="shared" si="77"/>
        <v>0</v>
      </c>
      <c r="DF131" s="645">
        <f t="shared" si="77"/>
        <v>1</v>
      </c>
      <c r="DG131" s="163">
        <f t="shared" si="77"/>
        <v>0</v>
      </c>
      <c r="DH131" s="163">
        <f t="shared" si="77"/>
        <v>0</v>
      </c>
      <c r="DI131" s="163">
        <f t="shared" si="77"/>
        <v>1</v>
      </c>
      <c r="DJ131" s="643">
        <f t="shared" si="77"/>
        <v>0</v>
      </c>
      <c r="DK131" s="646">
        <f t="shared" si="77"/>
        <v>1</v>
      </c>
      <c r="DL131" s="645">
        <f t="shared" si="75"/>
        <v>1</v>
      </c>
      <c r="DM131" s="163">
        <f t="shared" si="75"/>
        <v>0</v>
      </c>
      <c r="DN131" s="163">
        <f t="shared" si="75"/>
        <v>1</v>
      </c>
      <c r="DO131" s="163">
        <f t="shared" si="75"/>
        <v>0</v>
      </c>
      <c r="DP131" s="644">
        <f t="shared" si="75"/>
        <v>0</v>
      </c>
      <c r="DQ131" s="645">
        <f t="shared" si="75"/>
        <v>0</v>
      </c>
      <c r="DR131" s="163">
        <f t="shared" si="75"/>
        <v>0</v>
      </c>
      <c r="DS131" s="163">
        <f t="shared" si="75"/>
        <v>0</v>
      </c>
      <c r="DT131" s="163">
        <f t="shared" si="75"/>
        <v>0</v>
      </c>
      <c r="DU131" s="643">
        <f t="shared" si="68"/>
        <v>0</v>
      </c>
      <c r="DW131" s="646">
        <f t="shared" si="40"/>
        <v>490</v>
      </c>
      <c r="DX131" s="645">
        <f t="shared" si="40"/>
        <v>371</v>
      </c>
      <c r="DY131" s="163">
        <f t="shared" si="40"/>
        <v>71</v>
      </c>
      <c r="DZ131" s="163">
        <f t="shared" si="40"/>
        <v>18</v>
      </c>
      <c r="EA131" s="163">
        <f t="shared" si="67"/>
        <v>279</v>
      </c>
      <c r="EB131" s="644">
        <f t="shared" si="67"/>
        <v>3</v>
      </c>
      <c r="EC131" s="645">
        <f t="shared" si="67"/>
        <v>119</v>
      </c>
      <c r="ED131" s="163">
        <f t="shared" si="67"/>
        <v>12</v>
      </c>
      <c r="EE131" s="163">
        <f t="shared" si="67"/>
        <v>0</v>
      </c>
      <c r="EF131" s="163">
        <f t="shared" si="67"/>
        <v>106</v>
      </c>
      <c r="EG131" s="643">
        <f t="shared" si="67"/>
        <v>1</v>
      </c>
      <c r="EH131" s="646">
        <f t="shared" si="73"/>
        <v>211</v>
      </c>
      <c r="EI131" s="645">
        <f t="shared" si="73"/>
        <v>160</v>
      </c>
      <c r="EJ131" s="163">
        <f t="shared" si="73"/>
        <v>30</v>
      </c>
      <c r="EK131" s="163">
        <f t="shared" si="73"/>
        <v>22</v>
      </c>
      <c r="EL131" s="163">
        <f t="shared" si="73"/>
        <v>107</v>
      </c>
      <c r="EM131" s="644">
        <f t="shared" si="49"/>
        <v>1</v>
      </c>
      <c r="EN131" s="645">
        <f t="shared" si="49"/>
        <v>51</v>
      </c>
      <c r="EO131" s="163">
        <f t="shared" si="49"/>
        <v>3</v>
      </c>
      <c r="EP131" s="163">
        <f t="shared" ref="EP131:ER194" si="79">AT131</f>
        <v>0</v>
      </c>
      <c r="EQ131" s="163">
        <f t="shared" si="79"/>
        <v>48</v>
      </c>
      <c r="ER131" s="643">
        <f t="shared" si="79"/>
        <v>0</v>
      </c>
    </row>
    <row r="132" spans="1:148">
      <c r="A132" s="654" t="s">
        <v>687</v>
      </c>
      <c r="B132" s="658">
        <v>45536</v>
      </c>
      <c r="C132" s="659">
        <v>2024</v>
      </c>
      <c r="D132" s="646">
        <f t="shared" si="78"/>
        <v>182361</v>
      </c>
      <c r="E132" s="646">
        <f t="shared" si="78"/>
        <v>15946</v>
      </c>
      <c r="F132" s="645">
        <f t="shared" si="78"/>
        <v>11771</v>
      </c>
      <c r="G132" s="163">
        <f t="shared" si="78"/>
        <v>2542</v>
      </c>
      <c r="H132" s="163">
        <f t="shared" si="78"/>
        <v>967</v>
      </c>
      <c r="I132" s="163">
        <f t="shared" si="78"/>
        <v>8192</v>
      </c>
      <c r="J132" s="644">
        <f t="shared" si="78"/>
        <v>70</v>
      </c>
      <c r="K132" s="645">
        <f t="shared" si="78"/>
        <v>4175</v>
      </c>
      <c r="L132" s="163">
        <f t="shared" si="78"/>
        <v>435</v>
      </c>
      <c r="M132" s="163">
        <f t="shared" si="78"/>
        <v>0</v>
      </c>
      <c r="N132" s="163">
        <f t="shared" si="78"/>
        <v>3645</v>
      </c>
      <c r="O132" s="643">
        <f t="shared" si="78"/>
        <v>95</v>
      </c>
      <c r="P132" s="646">
        <f t="shared" si="78"/>
        <v>31</v>
      </c>
      <c r="Q132" s="645">
        <f t="shared" si="78"/>
        <v>20</v>
      </c>
      <c r="R132" s="163">
        <f t="shared" si="78"/>
        <v>4</v>
      </c>
      <c r="S132" s="163">
        <f t="shared" si="78"/>
        <v>3</v>
      </c>
      <c r="T132" s="163">
        <f t="shared" si="78"/>
        <v>13</v>
      </c>
      <c r="U132" s="644">
        <f t="shared" si="76"/>
        <v>0</v>
      </c>
      <c r="V132" s="645">
        <f t="shared" si="76"/>
        <v>11</v>
      </c>
      <c r="W132" s="163">
        <f t="shared" si="76"/>
        <v>2</v>
      </c>
      <c r="X132" s="163">
        <f t="shared" si="76"/>
        <v>0</v>
      </c>
      <c r="Y132" s="163">
        <f t="shared" si="76"/>
        <v>9</v>
      </c>
      <c r="Z132" s="643">
        <f t="shared" si="76"/>
        <v>0</v>
      </c>
      <c r="AA132" s="646">
        <f t="shared" si="76"/>
        <v>13</v>
      </c>
      <c r="AB132" s="645">
        <f t="shared" si="76"/>
        <v>11</v>
      </c>
      <c r="AC132" s="163">
        <f t="shared" si="76"/>
        <v>5</v>
      </c>
      <c r="AD132" s="163">
        <f t="shared" si="76"/>
        <v>0</v>
      </c>
      <c r="AE132" s="163">
        <f t="shared" si="76"/>
        <v>6</v>
      </c>
      <c r="AF132" s="644">
        <f t="shared" si="76"/>
        <v>0</v>
      </c>
      <c r="AG132" s="645">
        <f t="shared" si="76"/>
        <v>2</v>
      </c>
      <c r="AH132" s="163">
        <f t="shared" si="76"/>
        <v>0</v>
      </c>
      <c r="AI132" s="163">
        <f t="shared" si="74"/>
        <v>0</v>
      </c>
      <c r="AJ132" s="163">
        <f t="shared" si="74"/>
        <v>2</v>
      </c>
      <c r="AK132" s="643">
        <f t="shared" si="74"/>
        <v>0</v>
      </c>
      <c r="AL132" s="646">
        <f t="shared" si="74"/>
        <v>211</v>
      </c>
      <c r="AM132" s="645">
        <f t="shared" si="74"/>
        <v>160</v>
      </c>
      <c r="AN132" s="163">
        <f t="shared" si="74"/>
        <v>30</v>
      </c>
      <c r="AO132" s="163">
        <f t="shared" si="74"/>
        <v>22</v>
      </c>
      <c r="AP132" s="163">
        <f t="shared" si="74"/>
        <v>107</v>
      </c>
      <c r="AQ132" s="644">
        <f t="shared" si="74"/>
        <v>1</v>
      </c>
      <c r="AR132" s="645">
        <f t="shared" si="74"/>
        <v>51</v>
      </c>
      <c r="AS132" s="163">
        <f t="shared" si="74"/>
        <v>3</v>
      </c>
      <c r="AT132" s="163">
        <f t="shared" si="74"/>
        <v>0</v>
      </c>
      <c r="AU132" s="163">
        <f t="shared" si="74"/>
        <v>48</v>
      </c>
      <c r="AV132" s="643">
        <f t="shared" si="74"/>
        <v>0</v>
      </c>
      <c r="AW132" s="646">
        <f t="shared" si="74"/>
        <v>106</v>
      </c>
      <c r="AX132" s="645">
        <f t="shared" si="74"/>
        <v>84</v>
      </c>
      <c r="AY132" s="163">
        <f t="shared" si="74"/>
        <v>15</v>
      </c>
      <c r="AZ132" s="163">
        <f t="shared" si="77"/>
        <v>2</v>
      </c>
      <c r="BA132" s="163">
        <f t="shared" si="77"/>
        <v>67</v>
      </c>
      <c r="BB132" s="644">
        <f t="shared" si="77"/>
        <v>0</v>
      </c>
      <c r="BC132" s="645">
        <f t="shared" si="77"/>
        <v>22</v>
      </c>
      <c r="BD132" s="163">
        <f t="shared" si="77"/>
        <v>4</v>
      </c>
      <c r="BE132" s="163">
        <f t="shared" si="77"/>
        <v>0</v>
      </c>
      <c r="BF132" s="163">
        <f t="shared" si="77"/>
        <v>18</v>
      </c>
      <c r="BG132" s="643">
        <f t="shared" si="77"/>
        <v>0</v>
      </c>
      <c r="BH132" s="646">
        <f t="shared" si="77"/>
        <v>106</v>
      </c>
      <c r="BI132" s="645">
        <f t="shared" si="77"/>
        <v>77</v>
      </c>
      <c r="BJ132" s="163">
        <f t="shared" si="77"/>
        <v>14</v>
      </c>
      <c r="BK132" s="163">
        <f t="shared" si="77"/>
        <v>3</v>
      </c>
      <c r="BL132" s="163">
        <f t="shared" si="77"/>
        <v>58</v>
      </c>
      <c r="BM132" s="644">
        <f t="shared" si="77"/>
        <v>2</v>
      </c>
      <c r="BN132" s="645">
        <f t="shared" si="77"/>
        <v>29</v>
      </c>
      <c r="BO132" s="163">
        <f t="shared" si="77"/>
        <v>4</v>
      </c>
      <c r="BP132" s="163">
        <f t="shared" si="77"/>
        <v>0</v>
      </c>
      <c r="BQ132" s="163">
        <f t="shared" si="77"/>
        <v>25</v>
      </c>
      <c r="BR132" s="643">
        <f t="shared" si="77"/>
        <v>0</v>
      </c>
      <c r="BS132" s="646">
        <f t="shared" si="77"/>
        <v>188</v>
      </c>
      <c r="BT132" s="645">
        <f t="shared" si="77"/>
        <v>149</v>
      </c>
      <c r="BU132" s="163">
        <f t="shared" si="77"/>
        <v>31</v>
      </c>
      <c r="BV132" s="163">
        <f t="shared" si="77"/>
        <v>4</v>
      </c>
      <c r="BW132" s="163">
        <f t="shared" si="77"/>
        <v>113</v>
      </c>
      <c r="BX132" s="644">
        <f t="shared" si="77"/>
        <v>1</v>
      </c>
      <c r="BY132" s="645">
        <f t="shared" si="77"/>
        <v>39</v>
      </c>
      <c r="BZ132" s="163">
        <f t="shared" si="77"/>
        <v>2</v>
      </c>
      <c r="CA132" s="163">
        <f t="shared" si="77"/>
        <v>0</v>
      </c>
      <c r="CB132" s="163">
        <f t="shared" si="77"/>
        <v>36</v>
      </c>
      <c r="CC132" s="643">
        <f t="shared" si="77"/>
        <v>1</v>
      </c>
      <c r="CD132" s="646">
        <f t="shared" si="77"/>
        <v>19</v>
      </c>
      <c r="CE132" s="645">
        <f t="shared" si="77"/>
        <v>12</v>
      </c>
      <c r="CF132" s="163">
        <f t="shared" si="77"/>
        <v>0</v>
      </c>
      <c r="CG132" s="163">
        <f t="shared" si="77"/>
        <v>1</v>
      </c>
      <c r="CH132" s="163">
        <f t="shared" si="77"/>
        <v>11</v>
      </c>
      <c r="CI132" s="644">
        <f t="shared" si="77"/>
        <v>0</v>
      </c>
      <c r="CJ132" s="645">
        <f t="shared" si="77"/>
        <v>7</v>
      </c>
      <c r="CK132" s="163">
        <f t="shared" si="77"/>
        <v>0</v>
      </c>
      <c r="CL132" s="163">
        <f t="shared" si="77"/>
        <v>0</v>
      </c>
      <c r="CM132" s="163">
        <f t="shared" si="77"/>
        <v>7</v>
      </c>
      <c r="CN132" s="643">
        <f t="shared" si="77"/>
        <v>0</v>
      </c>
      <c r="CO132" s="646">
        <f t="shared" si="77"/>
        <v>20</v>
      </c>
      <c r="CP132" s="645">
        <f t="shared" si="77"/>
        <v>12</v>
      </c>
      <c r="CQ132" s="163">
        <f t="shared" si="77"/>
        <v>1</v>
      </c>
      <c r="CR132" s="163">
        <f t="shared" si="77"/>
        <v>2</v>
      </c>
      <c r="CS132" s="163">
        <f t="shared" si="77"/>
        <v>9</v>
      </c>
      <c r="CT132" s="644">
        <f t="shared" si="77"/>
        <v>0</v>
      </c>
      <c r="CU132" s="645">
        <f t="shared" si="75"/>
        <v>8</v>
      </c>
      <c r="CV132" s="163">
        <f t="shared" si="75"/>
        <v>0</v>
      </c>
      <c r="CW132" s="163">
        <f t="shared" si="75"/>
        <v>0</v>
      </c>
      <c r="CX132" s="163">
        <f t="shared" si="75"/>
        <v>8</v>
      </c>
      <c r="CY132" s="643">
        <f t="shared" si="75"/>
        <v>0</v>
      </c>
      <c r="CZ132" s="646">
        <f t="shared" si="75"/>
        <v>6</v>
      </c>
      <c r="DA132" s="645">
        <f t="shared" si="75"/>
        <v>5</v>
      </c>
      <c r="DB132" s="163">
        <f t="shared" si="75"/>
        <v>1</v>
      </c>
      <c r="DC132" s="163">
        <f t="shared" si="75"/>
        <v>2</v>
      </c>
      <c r="DD132" s="163">
        <f t="shared" si="75"/>
        <v>2</v>
      </c>
      <c r="DE132" s="644">
        <f t="shared" si="75"/>
        <v>0</v>
      </c>
      <c r="DF132" s="645">
        <f t="shared" si="75"/>
        <v>1</v>
      </c>
      <c r="DG132" s="163">
        <f t="shared" si="75"/>
        <v>0</v>
      </c>
      <c r="DH132" s="163">
        <f t="shared" si="75"/>
        <v>0</v>
      </c>
      <c r="DI132" s="163">
        <f t="shared" si="75"/>
        <v>1</v>
      </c>
      <c r="DJ132" s="643">
        <f t="shared" si="75"/>
        <v>0</v>
      </c>
      <c r="DK132" s="646">
        <f t="shared" si="75"/>
        <v>1</v>
      </c>
      <c r="DL132" s="645">
        <f t="shared" si="75"/>
        <v>1</v>
      </c>
      <c r="DM132" s="163">
        <f t="shared" si="75"/>
        <v>0</v>
      </c>
      <c r="DN132" s="163">
        <f t="shared" si="75"/>
        <v>1</v>
      </c>
      <c r="DO132" s="163">
        <f t="shared" si="75"/>
        <v>0</v>
      </c>
      <c r="DP132" s="644">
        <f t="shared" si="75"/>
        <v>0</v>
      </c>
      <c r="DQ132" s="645">
        <f t="shared" si="75"/>
        <v>0</v>
      </c>
      <c r="DR132" s="163">
        <f t="shared" si="75"/>
        <v>0</v>
      </c>
      <c r="DS132" s="163">
        <f t="shared" si="75"/>
        <v>0</v>
      </c>
      <c r="DT132" s="163">
        <f t="shared" si="75"/>
        <v>0</v>
      </c>
      <c r="DU132" s="643">
        <f t="shared" si="68"/>
        <v>0</v>
      </c>
      <c r="DW132" s="646">
        <f t="shared" si="40"/>
        <v>490</v>
      </c>
      <c r="DX132" s="645">
        <f t="shared" si="40"/>
        <v>371</v>
      </c>
      <c r="DY132" s="163">
        <f t="shared" si="40"/>
        <v>71</v>
      </c>
      <c r="DZ132" s="163">
        <f t="shared" si="40"/>
        <v>18</v>
      </c>
      <c r="EA132" s="163">
        <f t="shared" si="67"/>
        <v>279</v>
      </c>
      <c r="EB132" s="644">
        <f t="shared" si="67"/>
        <v>3</v>
      </c>
      <c r="EC132" s="645">
        <f t="shared" si="67"/>
        <v>119</v>
      </c>
      <c r="ED132" s="163">
        <f t="shared" si="67"/>
        <v>12</v>
      </c>
      <c r="EE132" s="163">
        <f t="shared" si="67"/>
        <v>0</v>
      </c>
      <c r="EF132" s="163">
        <f t="shared" si="67"/>
        <v>106</v>
      </c>
      <c r="EG132" s="643">
        <f t="shared" si="67"/>
        <v>1</v>
      </c>
      <c r="EH132" s="646">
        <f t="shared" si="73"/>
        <v>211</v>
      </c>
      <c r="EI132" s="645">
        <f t="shared" si="73"/>
        <v>160</v>
      </c>
      <c r="EJ132" s="163">
        <f t="shared" si="73"/>
        <v>30</v>
      </c>
      <c r="EK132" s="163">
        <f t="shared" si="73"/>
        <v>22</v>
      </c>
      <c r="EL132" s="163">
        <f t="shared" si="73"/>
        <v>107</v>
      </c>
      <c r="EM132" s="644">
        <f t="shared" si="73"/>
        <v>1</v>
      </c>
      <c r="EN132" s="645">
        <f t="shared" si="73"/>
        <v>51</v>
      </c>
      <c r="EO132" s="163">
        <f t="shared" si="73"/>
        <v>3</v>
      </c>
      <c r="EP132" s="163">
        <f t="shared" si="79"/>
        <v>0</v>
      </c>
      <c r="EQ132" s="163">
        <f t="shared" si="79"/>
        <v>48</v>
      </c>
      <c r="ER132" s="643">
        <f t="shared" si="79"/>
        <v>0</v>
      </c>
    </row>
    <row r="133" spans="1:148">
      <c r="A133" s="654" t="s">
        <v>688</v>
      </c>
      <c r="B133" s="658">
        <v>45566</v>
      </c>
      <c r="C133" s="659">
        <v>2024</v>
      </c>
      <c r="D133" s="646">
        <f t="shared" si="78"/>
        <v>163345</v>
      </c>
      <c r="E133" s="646">
        <f t="shared" si="78"/>
        <v>15251</v>
      </c>
      <c r="F133" s="645">
        <f t="shared" si="78"/>
        <v>11282</v>
      </c>
      <c r="G133" s="163">
        <f t="shared" si="78"/>
        <v>1816</v>
      </c>
      <c r="H133" s="163">
        <f t="shared" si="78"/>
        <v>1914</v>
      </c>
      <c r="I133" s="163">
        <f t="shared" si="78"/>
        <v>7442</v>
      </c>
      <c r="J133" s="644">
        <f t="shared" si="78"/>
        <v>110</v>
      </c>
      <c r="K133" s="645">
        <f t="shared" si="78"/>
        <v>3969</v>
      </c>
      <c r="L133" s="163">
        <f t="shared" si="78"/>
        <v>341</v>
      </c>
      <c r="M133" s="163">
        <f t="shared" si="78"/>
        <v>0</v>
      </c>
      <c r="N133" s="163">
        <f t="shared" si="78"/>
        <v>3574</v>
      </c>
      <c r="O133" s="643">
        <f t="shared" si="78"/>
        <v>54</v>
      </c>
      <c r="P133" s="646">
        <f t="shared" si="78"/>
        <v>27</v>
      </c>
      <c r="Q133" s="645">
        <f t="shared" si="78"/>
        <v>15</v>
      </c>
      <c r="R133" s="163">
        <f t="shared" si="78"/>
        <v>3</v>
      </c>
      <c r="S133" s="163">
        <f t="shared" si="78"/>
        <v>1</v>
      </c>
      <c r="T133" s="163">
        <f t="shared" si="78"/>
        <v>10</v>
      </c>
      <c r="U133" s="644">
        <f t="shared" si="76"/>
        <v>1</v>
      </c>
      <c r="V133" s="645">
        <f t="shared" si="76"/>
        <v>12</v>
      </c>
      <c r="W133" s="163">
        <f t="shared" si="76"/>
        <v>0</v>
      </c>
      <c r="X133" s="163">
        <f t="shared" si="76"/>
        <v>0</v>
      </c>
      <c r="Y133" s="163">
        <f t="shared" si="76"/>
        <v>12</v>
      </c>
      <c r="Z133" s="643">
        <f t="shared" si="76"/>
        <v>0</v>
      </c>
      <c r="AA133" s="646">
        <f t="shared" si="76"/>
        <v>24</v>
      </c>
      <c r="AB133" s="645">
        <f t="shared" si="76"/>
        <v>18</v>
      </c>
      <c r="AC133" s="163">
        <f t="shared" si="76"/>
        <v>3</v>
      </c>
      <c r="AD133" s="163">
        <f t="shared" si="76"/>
        <v>4</v>
      </c>
      <c r="AE133" s="163">
        <f t="shared" si="76"/>
        <v>10</v>
      </c>
      <c r="AF133" s="644">
        <f t="shared" si="76"/>
        <v>1</v>
      </c>
      <c r="AG133" s="645">
        <f t="shared" si="76"/>
        <v>6</v>
      </c>
      <c r="AH133" s="163">
        <f t="shared" si="76"/>
        <v>0</v>
      </c>
      <c r="AI133" s="163">
        <f t="shared" si="74"/>
        <v>0</v>
      </c>
      <c r="AJ133" s="163">
        <f t="shared" si="74"/>
        <v>6</v>
      </c>
      <c r="AK133" s="643">
        <f t="shared" si="74"/>
        <v>0</v>
      </c>
      <c r="AL133" s="646">
        <f t="shared" si="74"/>
        <v>202</v>
      </c>
      <c r="AM133" s="645">
        <f t="shared" si="74"/>
        <v>147</v>
      </c>
      <c r="AN133" s="163">
        <f t="shared" si="74"/>
        <v>28</v>
      </c>
      <c r="AO133" s="163">
        <f t="shared" si="74"/>
        <v>32</v>
      </c>
      <c r="AP133" s="163">
        <f t="shared" si="74"/>
        <v>86</v>
      </c>
      <c r="AQ133" s="644">
        <f t="shared" si="74"/>
        <v>1</v>
      </c>
      <c r="AR133" s="645">
        <f t="shared" si="74"/>
        <v>55</v>
      </c>
      <c r="AS133" s="163">
        <f t="shared" si="74"/>
        <v>3</v>
      </c>
      <c r="AT133" s="163">
        <f t="shared" si="74"/>
        <v>0</v>
      </c>
      <c r="AU133" s="163">
        <f t="shared" si="74"/>
        <v>52</v>
      </c>
      <c r="AV133" s="643">
        <f t="shared" si="74"/>
        <v>0</v>
      </c>
      <c r="AW133" s="646">
        <f t="shared" si="74"/>
        <v>119</v>
      </c>
      <c r="AX133" s="645">
        <f t="shared" si="74"/>
        <v>99</v>
      </c>
      <c r="AY133" s="163">
        <f t="shared" si="74"/>
        <v>14</v>
      </c>
      <c r="AZ133" s="163">
        <f t="shared" si="77"/>
        <v>13</v>
      </c>
      <c r="BA133" s="163">
        <f t="shared" si="77"/>
        <v>71</v>
      </c>
      <c r="BB133" s="644">
        <f t="shared" si="77"/>
        <v>1</v>
      </c>
      <c r="BC133" s="645">
        <f t="shared" ref="BC133:CT133" si="80">SUMIFS(BC$5:BC$36,$B$5:$B$36,$A133)</f>
        <v>20</v>
      </c>
      <c r="BD133" s="163">
        <f t="shared" si="80"/>
        <v>0</v>
      </c>
      <c r="BE133" s="163">
        <f t="shared" si="80"/>
        <v>0</v>
      </c>
      <c r="BF133" s="163">
        <f t="shared" si="80"/>
        <v>20</v>
      </c>
      <c r="BG133" s="643">
        <f t="shared" si="80"/>
        <v>0</v>
      </c>
      <c r="BH133" s="646">
        <f t="shared" si="80"/>
        <v>129</v>
      </c>
      <c r="BI133" s="645">
        <f t="shared" si="80"/>
        <v>100</v>
      </c>
      <c r="BJ133" s="163">
        <f t="shared" si="80"/>
        <v>15</v>
      </c>
      <c r="BK133" s="163">
        <f t="shared" si="80"/>
        <v>16</v>
      </c>
      <c r="BL133" s="163">
        <f t="shared" si="80"/>
        <v>69</v>
      </c>
      <c r="BM133" s="644">
        <f t="shared" si="80"/>
        <v>0</v>
      </c>
      <c r="BN133" s="645">
        <f t="shared" si="80"/>
        <v>29</v>
      </c>
      <c r="BO133" s="163">
        <f t="shared" si="80"/>
        <v>4</v>
      </c>
      <c r="BP133" s="163">
        <f t="shared" si="80"/>
        <v>0</v>
      </c>
      <c r="BQ133" s="163">
        <f t="shared" si="80"/>
        <v>25</v>
      </c>
      <c r="BR133" s="643">
        <f t="shared" si="80"/>
        <v>0</v>
      </c>
      <c r="BS133" s="646">
        <f t="shared" si="80"/>
        <v>174</v>
      </c>
      <c r="BT133" s="645">
        <f t="shared" si="80"/>
        <v>135</v>
      </c>
      <c r="BU133" s="163">
        <f t="shared" si="80"/>
        <v>18</v>
      </c>
      <c r="BV133" s="163">
        <f t="shared" si="80"/>
        <v>7</v>
      </c>
      <c r="BW133" s="163">
        <f t="shared" si="80"/>
        <v>110</v>
      </c>
      <c r="BX133" s="644">
        <f t="shared" si="80"/>
        <v>0</v>
      </c>
      <c r="BY133" s="645">
        <f t="shared" si="80"/>
        <v>39</v>
      </c>
      <c r="BZ133" s="163">
        <f t="shared" si="80"/>
        <v>2</v>
      </c>
      <c r="CA133" s="163">
        <f t="shared" si="80"/>
        <v>0</v>
      </c>
      <c r="CB133" s="163">
        <f t="shared" si="80"/>
        <v>36</v>
      </c>
      <c r="CC133" s="643">
        <f t="shared" si="80"/>
        <v>1</v>
      </c>
      <c r="CD133" s="646">
        <f t="shared" si="80"/>
        <v>24</v>
      </c>
      <c r="CE133" s="645">
        <f t="shared" si="80"/>
        <v>20</v>
      </c>
      <c r="CF133" s="163">
        <f t="shared" si="80"/>
        <v>2</v>
      </c>
      <c r="CG133" s="163">
        <f t="shared" si="80"/>
        <v>5</v>
      </c>
      <c r="CH133" s="163">
        <f t="shared" si="80"/>
        <v>13</v>
      </c>
      <c r="CI133" s="644">
        <f t="shared" si="80"/>
        <v>0</v>
      </c>
      <c r="CJ133" s="645">
        <f t="shared" si="80"/>
        <v>4</v>
      </c>
      <c r="CK133" s="163">
        <f t="shared" si="80"/>
        <v>0</v>
      </c>
      <c r="CL133" s="163">
        <f t="shared" si="80"/>
        <v>0</v>
      </c>
      <c r="CM133" s="163">
        <f t="shared" si="80"/>
        <v>4</v>
      </c>
      <c r="CN133" s="643">
        <f t="shared" si="80"/>
        <v>0</v>
      </c>
      <c r="CO133" s="646">
        <f t="shared" si="80"/>
        <v>26</v>
      </c>
      <c r="CP133" s="645">
        <f t="shared" si="80"/>
        <v>16</v>
      </c>
      <c r="CQ133" s="163">
        <f t="shared" si="80"/>
        <v>4</v>
      </c>
      <c r="CR133" s="163">
        <f t="shared" si="80"/>
        <v>0</v>
      </c>
      <c r="CS133" s="163">
        <f t="shared" si="80"/>
        <v>12</v>
      </c>
      <c r="CT133" s="644">
        <f t="shared" si="80"/>
        <v>0</v>
      </c>
      <c r="CU133" s="645">
        <f t="shared" si="75"/>
        <v>10</v>
      </c>
      <c r="CV133" s="163">
        <f t="shared" si="75"/>
        <v>0</v>
      </c>
      <c r="CW133" s="163">
        <f t="shared" si="75"/>
        <v>0</v>
      </c>
      <c r="CX133" s="163">
        <f t="shared" si="75"/>
        <v>10</v>
      </c>
      <c r="CY133" s="643">
        <f t="shared" si="75"/>
        <v>0</v>
      </c>
      <c r="CZ133" s="646">
        <f t="shared" si="75"/>
        <v>6</v>
      </c>
      <c r="DA133" s="645">
        <f t="shared" si="75"/>
        <v>4</v>
      </c>
      <c r="DB133" s="163">
        <f t="shared" si="75"/>
        <v>0</v>
      </c>
      <c r="DC133" s="163">
        <f t="shared" si="75"/>
        <v>1</v>
      </c>
      <c r="DD133" s="163">
        <f t="shared" si="75"/>
        <v>3</v>
      </c>
      <c r="DE133" s="644">
        <f t="shared" si="75"/>
        <v>0</v>
      </c>
      <c r="DF133" s="645">
        <f t="shared" si="75"/>
        <v>2</v>
      </c>
      <c r="DG133" s="163">
        <f t="shared" si="75"/>
        <v>0</v>
      </c>
      <c r="DH133" s="163">
        <f t="shared" si="75"/>
        <v>0</v>
      </c>
      <c r="DI133" s="163">
        <f t="shared" si="75"/>
        <v>2</v>
      </c>
      <c r="DJ133" s="643">
        <f t="shared" si="75"/>
        <v>0</v>
      </c>
      <c r="DK133" s="646">
        <f t="shared" si="75"/>
        <v>0</v>
      </c>
      <c r="DL133" s="645">
        <f t="shared" si="75"/>
        <v>0</v>
      </c>
      <c r="DM133" s="163">
        <f t="shared" si="75"/>
        <v>0</v>
      </c>
      <c r="DN133" s="163">
        <f t="shared" si="75"/>
        <v>0</v>
      </c>
      <c r="DO133" s="163">
        <f t="shared" si="75"/>
        <v>0</v>
      </c>
      <c r="DP133" s="644">
        <f t="shared" si="75"/>
        <v>0</v>
      </c>
      <c r="DQ133" s="645">
        <f t="shared" si="75"/>
        <v>0</v>
      </c>
      <c r="DR133" s="163">
        <f t="shared" si="75"/>
        <v>0</v>
      </c>
      <c r="DS133" s="163">
        <f t="shared" si="75"/>
        <v>0</v>
      </c>
      <c r="DT133" s="163">
        <f t="shared" si="75"/>
        <v>0</v>
      </c>
      <c r="DU133" s="643">
        <f t="shared" si="75"/>
        <v>0</v>
      </c>
      <c r="DW133" s="646">
        <f t="shared" si="40"/>
        <v>529</v>
      </c>
      <c r="DX133" s="645">
        <f t="shared" si="40"/>
        <v>407</v>
      </c>
      <c r="DY133" s="163">
        <f t="shared" si="40"/>
        <v>59</v>
      </c>
      <c r="DZ133" s="163">
        <f t="shared" si="40"/>
        <v>47</v>
      </c>
      <c r="EA133" s="163">
        <f t="shared" si="67"/>
        <v>298</v>
      </c>
      <c r="EB133" s="644">
        <f t="shared" si="67"/>
        <v>3</v>
      </c>
      <c r="EC133" s="645">
        <f t="shared" si="67"/>
        <v>122</v>
      </c>
      <c r="ED133" s="163">
        <f t="shared" si="67"/>
        <v>6</v>
      </c>
      <c r="EE133" s="163">
        <f t="shared" si="67"/>
        <v>0</v>
      </c>
      <c r="EF133" s="163">
        <f t="shared" si="67"/>
        <v>115</v>
      </c>
      <c r="EG133" s="643">
        <f t="shared" si="67"/>
        <v>1</v>
      </c>
      <c r="EH133" s="646">
        <f t="shared" si="73"/>
        <v>202</v>
      </c>
      <c r="EI133" s="645">
        <f t="shared" si="73"/>
        <v>147</v>
      </c>
      <c r="EJ133" s="163">
        <f t="shared" si="73"/>
        <v>28</v>
      </c>
      <c r="EK133" s="163">
        <f t="shared" si="73"/>
        <v>32</v>
      </c>
      <c r="EL133" s="163">
        <f t="shared" si="73"/>
        <v>86</v>
      </c>
      <c r="EM133" s="644">
        <f t="shared" si="73"/>
        <v>1</v>
      </c>
      <c r="EN133" s="645">
        <f t="shared" si="73"/>
        <v>55</v>
      </c>
      <c r="EO133" s="163">
        <f t="shared" si="73"/>
        <v>3</v>
      </c>
      <c r="EP133" s="163">
        <f t="shared" si="79"/>
        <v>0</v>
      </c>
      <c r="EQ133" s="163">
        <f t="shared" si="79"/>
        <v>52</v>
      </c>
      <c r="ER133" s="643">
        <f t="shared" si="79"/>
        <v>0</v>
      </c>
    </row>
    <row r="134" spans="1:148">
      <c r="A134" s="654" t="s">
        <v>688</v>
      </c>
      <c r="B134" s="658">
        <v>45597</v>
      </c>
      <c r="C134" s="659">
        <v>2024</v>
      </c>
      <c r="D134" s="646">
        <f t="shared" si="78"/>
        <v>163345</v>
      </c>
      <c r="E134" s="646">
        <f t="shared" si="78"/>
        <v>15251</v>
      </c>
      <c r="F134" s="645">
        <f t="shared" si="78"/>
        <v>11282</v>
      </c>
      <c r="G134" s="163">
        <f t="shared" si="78"/>
        <v>1816</v>
      </c>
      <c r="H134" s="163">
        <f t="shared" si="78"/>
        <v>1914</v>
      </c>
      <c r="I134" s="163">
        <f t="shared" si="78"/>
        <v>7442</v>
      </c>
      <c r="J134" s="644">
        <f t="shared" si="78"/>
        <v>110</v>
      </c>
      <c r="K134" s="645">
        <f t="shared" si="78"/>
        <v>3969</v>
      </c>
      <c r="L134" s="163">
        <f t="shared" si="78"/>
        <v>341</v>
      </c>
      <c r="M134" s="163">
        <f t="shared" si="78"/>
        <v>0</v>
      </c>
      <c r="N134" s="163">
        <f t="shared" si="78"/>
        <v>3574</v>
      </c>
      <c r="O134" s="643">
        <f t="shared" si="78"/>
        <v>54</v>
      </c>
      <c r="P134" s="646">
        <f t="shared" si="78"/>
        <v>27</v>
      </c>
      <c r="Q134" s="645">
        <f t="shared" si="78"/>
        <v>15</v>
      </c>
      <c r="R134" s="163">
        <f t="shared" si="78"/>
        <v>3</v>
      </c>
      <c r="S134" s="163">
        <f t="shared" si="78"/>
        <v>1</v>
      </c>
      <c r="T134" s="163">
        <f t="shared" si="78"/>
        <v>10</v>
      </c>
      <c r="U134" s="644">
        <f t="shared" si="76"/>
        <v>1</v>
      </c>
      <c r="V134" s="645">
        <f t="shared" si="76"/>
        <v>12</v>
      </c>
      <c r="W134" s="163">
        <f t="shared" si="76"/>
        <v>0</v>
      </c>
      <c r="X134" s="163">
        <f t="shared" si="76"/>
        <v>0</v>
      </c>
      <c r="Y134" s="163">
        <f t="shared" si="76"/>
        <v>12</v>
      </c>
      <c r="Z134" s="643">
        <f t="shared" si="76"/>
        <v>0</v>
      </c>
      <c r="AA134" s="646">
        <f t="shared" si="76"/>
        <v>24</v>
      </c>
      <c r="AB134" s="645">
        <f t="shared" si="76"/>
        <v>18</v>
      </c>
      <c r="AC134" s="163">
        <f t="shared" si="76"/>
        <v>3</v>
      </c>
      <c r="AD134" s="163">
        <f t="shared" si="76"/>
        <v>4</v>
      </c>
      <c r="AE134" s="163">
        <f t="shared" si="76"/>
        <v>10</v>
      </c>
      <c r="AF134" s="644">
        <f t="shared" si="76"/>
        <v>1</v>
      </c>
      <c r="AG134" s="645">
        <f t="shared" si="76"/>
        <v>6</v>
      </c>
      <c r="AH134" s="163">
        <f t="shared" si="76"/>
        <v>0</v>
      </c>
      <c r="AI134" s="163">
        <f t="shared" si="74"/>
        <v>0</v>
      </c>
      <c r="AJ134" s="163">
        <f t="shared" si="74"/>
        <v>6</v>
      </c>
      <c r="AK134" s="643">
        <f t="shared" si="74"/>
        <v>0</v>
      </c>
      <c r="AL134" s="646">
        <f t="shared" si="74"/>
        <v>202</v>
      </c>
      <c r="AM134" s="645">
        <f t="shared" si="74"/>
        <v>147</v>
      </c>
      <c r="AN134" s="163">
        <f t="shared" si="74"/>
        <v>28</v>
      </c>
      <c r="AO134" s="163">
        <f t="shared" si="74"/>
        <v>32</v>
      </c>
      <c r="AP134" s="163">
        <f t="shared" si="74"/>
        <v>86</v>
      </c>
      <c r="AQ134" s="644">
        <f t="shared" si="74"/>
        <v>1</v>
      </c>
      <c r="AR134" s="645">
        <f t="shared" si="74"/>
        <v>55</v>
      </c>
      <c r="AS134" s="163">
        <f t="shared" si="74"/>
        <v>3</v>
      </c>
      <c r="AT134" s="163">
        <f t="shared" si="74"/>
        <v>0</v>
      </c>
      <c r="AU134" s="163">
        <f t="shared" si="74"/>
        <v>52</v>
      </c>
      <c r="AV134" s="643">
        <f t="shared" si="74"/>
        <v>0</v>
      </c>
      <c r="AW134" s="646">
        <f t="shared" si="74"/>
        <v>119</v>
      </c>
      <c r="AX134" s="645">
        <f t="shared" si="74"/>
        <v>99</v>
      </c>
      <c r="AY134" s="163">
        <f t="shared" si="74"/>
        <v>14</v>
      </c>
      <c r="AZ134" s="163">
        <f t="shared" ref="AZ134:DK135" si="81">SUMIFS(AZ$5:AZ$36,$B$5:$B$36,$A134)</f>
        <v>13</v>
      </c>
      <c r="BA134" s="163">
        <f t="shared" si="81"/>
        <v>71</v>
      </c>
      <c r="BB134" s="644">
        <f t="shared" si="81"/>
        <v>1</v>
      </c>
      <c r="BC134" s="645">
        <f t="shared" si="81"/>
        <v>20</v>
      </c>
      <c r="BD134" s="163">
        <f t="shared" si="81"/>
        <v>0</v>
      </c>
      <c r="BE134" s="163">
        <f t="shared" si="81"/>
        <v>0</v>
      </c>
      <c r="BF134" s="163">
        <f t="shared" si="81"/>
        <v>20</v>
      </c>
      <c r="BG134" s="643">
        <f t="shared" si="81"/>
        <v>0</v>
      </c>
      <c r="BH134" s="646">
        <f t="shared" si="81"/>
        <v>129</v>
      </c>
      <c r="BI134" s="645">
        <f t="shared" si="81"/>
        <v>100</v>
      </c>
      <c r="BJ134" s="163">
        <f t="shared" si="81"/>
        <v>15</v>
      </c>
      <c r="BK134" s="163">
        <f t="shared" si="81"/>
        <v>16</v>
      </c>
      <c r="BL134" s="163">
        <f t="shared" si="81"/>
        <v>69</v>
      </c>
      <c r="BM134" s="644">
        <f t="shared" si="81"/>
        <v>0</v>
      </c>
      <c r="BN134" s="645">
        <f t="shared" si="81"/>
        <v>29</v>
      </c>
      <c r="BO134" s="163">
        <f t="shared" si="81"/>
        <v>4</v>
      </c>
      <c r="BP134" s="163">
        <f t="shared" si="81"/>
        <v>0</v>
      </c>
      <c r="BQ134" s="163">
        <f t="shared" si="81"/>
        <v>25</v>
      </c>
      <c r="BR134" s="643">
        <f t="shared" si="81"/>
        <v>0</v>
      </c>
      <c r="BS134" s="646">
        <f t="shared" si="81"/>
        <v>174</v>
      </c>
      <c r="BT134" s="645">
        <f t="shared" si="81"/>
        <v>135</v>
      </c>
      <c r="BU134" s="163">
        <f t="shared" si="81"/>
        <v>18</v>
      </c>
      <c r="BV134" s="163">
        <f t="shared" si="81"/>
        <v>7</v>
      </c>
      <c r="BW134" s="163">
        <f t="shared" si="81"/>
        <v>110</v>
      </c>
      <c r="BX134" s="644">
        <f t="shared" si="81"/>
        <v>0</v>
      </c>
      <c r="BY134" s="645">
        <f t="shared" si="81"/>
        <v>39</v>
      </c>
      <c r="BZ134" s="163">
        <f t="shared" si="81"/>
        <v>2</v>
      </c>
      <c r="CA134" s="163">
        <f t="shared" si="81"/>
        <v>0</v>
      </c>
      <c r="CB134" s="163">
        <f t="shared" si="81"/>
        <v>36</v>
      </c>
      <c r="CC134" s="643">
        <f t="shared" si="81"/>
        <v>1</v>
      </c>
      <c r="CD134" s="646">
        <f t="shared" si="81"/>
        <v>24</v>
      </c>
      <c r="CE134" s="645">
        <f t="shared" si="81"/>
        <v>20</v>
      </c>
      <c r="CF134" s="163">
        <f t="shared" si="81"/>
        <v>2</v>
      </c>
      <c r="CG134" s="163">
        <f t="shared" si="81"/>
        <v>5</v>
      </c>
      <c r="CH134" s="163">
        <f t="shared" si="81"/>
        <v>13</v>
      </c>
      <c r="CI134" s="644">
        <f t="shared" si="81"/>
        <v>0</v>
      </c>
      <c r="CJ134" s="645">
        <f t="shared" si="81"/>
        <v>4</v>
      </c>
      <c r="CK134" s="163">
        <f t="shared" si="81"/>
        <v>0</v>
      </c>
      <c r="CL134" s="163">
        <f t="shared" si="81"/>
        <v>0</v>
      </c>
      <c r="CM134" s="163">
        <f t="shared" si="81"/>
        <v>4</v>
      </c>
      <c r="CN134" s="643">
        <f t="shared" si="81"/>
        <v>0</v>
      </c>
      <c r="CO134" s="646">
        <f t="shared" si="81"/>
        <v>26</v>
      </c>
      <c r="CP134" s="645">
        <f t="shared" si="81"/>
        <v>16</v>
      </c>
      <c r="CQ134" s="163">
        <f t="shared" si="81"/>
        <v>4</v>
      </c>
      <c r="CR134" s="163">
        <f t="shared" si="81"/>
        <v>0</v>
      </c>
      <c r="CS134" s="163">
        <f t="shared" si="81"/>
        <v>12</v>
      </c>
      <c r="CT134" s="644">
        <f t="shared" si="81"/>
        <v>0</v>
      </c>
      <c r="CU134" s="645">
        <f t="shared" si="75"/>
        <v>10</v>
      </c>
      <c r="CV134" s="163">
        <f t="shared" si="75"/>
        <v>0</v>
      </c>
      <c r="CW134" s="163">
        <f t="shared" si="75"/>
        <v>0</v>
      </c>
      <c r="CX134" s="163">
        <f t="shared" si="75"/>
        <v>10</v>
      </c>
      <c r="CY134" s="643">
        <f t="shared" si="75"/>
        <v>0</v>
      </c>
      <c r="CZ134" s="646">
        <f t="shared" si="75"/>
        <v>6</v>
      </c>
      <c r="DA134" s="645">
        <f t="shared" si="75"/>
        <v>4</v>
      </c>
      <c r="DB134" s="163">
        <f t="shared" si="75"/>
        <v>0</v>
      </c>
      <c r="DC134" s="163">
        <f t="shared" si="75"/>
        <v>1</v>
      </c>
      <c r="DD134" s="163">
        <f t="shared" si="75"/>
        <v>3</v>
      </c>
      <c r="DE134" s="644">
        <f t="shared" si="75"/>
        <v>0</v>
      </c>
      <c r="DF134" s="645">
        <f t="shared" si="75"/>
        <v>2</v>
      </c>
      <c r="DG134" s="163">
        <f t="shared" si="75"/>
        <v>0</v>
      </c>
      <c r="DH134" s="163">
        <f t="shared" si="75"/>
        <v>0</v>
      </c>
      <c r="DI134" s="163">
        <f t="shared" si="75"/>
        <v>2</v>
      </c>
      <c r="DJ134" s="643">
        <f t="shared" si="75"/>
        <v>0</v>
      </c>
      <c r="DK134" s="646">
        <f t="shared" si="75"/>
        <v>0</v>
      </c>
      <c r="DL134" s="645">
        <f t="shared" si="75"/>
        <v>0</v>
      </c>
      <c r="DM134" s="163">
        <f t="shared" si="75"/>
        <v>0</v>
      </c>
      <c r="DN134" s="163">
        <f t="shared" si="75"/>
        <v>0</v>
      </c>
      <c r="DO134" s="163">
        <f t="shared" si="75"/>
        <v>0</v>
      </c>
      <c r="DP134" s="644">
        <f t="shared" si="75"/>
        <v>0</v>
      </c>
      <c r="DQ134" s="645">
        <f t="shared" si="75"/>
        <v>0</v>
      </c>
      <c r="DR134" s="163">
        <f t="shared" si="75"/>
        <v>0</v>
      </c>
      <c r="DS134" s="163">
        <f t="shared" si="75"/>
        <v>0</v>
      </c>
      <c r="DT134" s="163">
        <f t="shared" si="75"/>
        <v>0</v>
      </c>
      <c r="DU134" s="643">
        <f t="shared" si="75"/>
        <v>0</v>
      </c>
      <c r="DW134" s="646">
        <f t="shared" si="40"/>
        <v>529</v>
      </c>
      <c r="DX134" s="645">
        <f t="shared" si="40"/>
        <v>407</v>
      </c>
      <c r="DY134" s="163">
        <f t="shared" si="40"/>
        <v>59</v>
      </c>
      <c r="DZ134" s="163">
        <f t="shared" si="40"/>
        <v>47</v>
      </c>
      <c r="EA134" s="163">
        <f t="shared" si="67"/>
        <v>298</v>
      </c>
      <c r="EB134" s="644">
        <f t="shared" si="67"/>
        <v>3</v>
      </c>
      <c r="EC134" s="645">
        <f t="shared" si="67"/>
        <v>122</v>
      </c>
      <c r="ED134" s="163">
        <f t="shared" si="67"/>
        <v>6</v>
      </c>
      <c r="EE134" s="163">
        <f t="shared" si="67"/>
        <v>0</v>
      </c>
      <c r="EF134" s="163">
        <f t="shared" si="67"/>
        <v>115</v>
      </c>
      <c r="EG134" s="643">
        <f t="shared" si="67"/>
        <v>1</v>
      </c>
      <c r="EH134" s="646">
        <f t="shared" si="73"/>
        <v>202</v>
      </c>
      <c r="EI134" s="645">
        <f t="shared" si="73"/>
        <v>147</v>
      </c>
      <c r="EJ134" s="163">
        <f t="shared" si="73"/>
        <v>28</v>
      </c>
      <c r="EK134" s="163">
        <f t="shared" si="73"/>
        <v>32</v>
      </c>
      <c r="EL134" s="163">
        <f t="shared" si="73"/>
        <v>86</v>
      </c>
      <c r="EM134" s="644">
        <f t="shared" si="73"/>
        <v>1</v>
      </c>
      <c r="EN134" s="645">
        <f t="shared" si="73"/>
        <v>55</v>
      </c>
      <c r="EO134" s="163">
        <f t="shared" si="73"/>
        <v>3</v>
      </c>
      <c r="EP134" s="163">
        <f t="shared" si="79"/>
        <v>0</v>
      </c>
      <c r="EQ134" s="163">
        <f t="shared" si="79"/>
        <v>52</v>
      </c>
      <c r="ER134" s="643">
        <f t="shared" si="79"/>
        <v>0</v>
      </c>
    </row>
    <row r="135" spans="1:148" ht="15" thickBot="1">
      <c r="A135" s="657" t="s">
        <v>688</v>
      </c>
      <c r="B135" s="656">
        <v>45627</v>
      </c>
      <c r="C135" s="655">
        <v>2024</v>
      </c>
      <c r="D135" s="642">
        <f t="shared" si="78"/>
        <v>163345</v>
      </c>
      <c r="E135" s="642">
        <f t="shared" si="78"/>
        <v>15251</v>
      </c>
      <c r="F135" s="641">
        <f t="shared" si="78"/>
        <v>11282</v>
      </c>
      <c r="G135" s="640">
        <f t="shared" si="78"/>
        <v>1816</v>
      </c>
      <c r="H135" s="640">
        <f t="shared" si="78"/>
        <v>1914</v>
      </c>
      <c r="I135" s="640">
        <f t="shared" si="78"/>
        <v>7442</v>
      </c>
      <c r="J135" s="652">
        <f t="shared" si="78"/>
        <v>110</v>
      </c>
      <c r="K135" s="641">
        <f t="shared" si="78"/>
        <v>3969</v>
      </c>
      <c r="L135" s="640">
        <f t="shared" si="78"/>
        <v>341</v>
      </c>
      <c r="M135" s="640">
        <f t="shared" si="78"/>
        <v>0</v>
      </c>
      <c r="N135" s="640">
        <f t="shared" si="78"/>
        <v>3574</v>
      </c>
      <c r="O135" s="639">
        <f t="shared" si="78"/>
        <v>54</v>
      </c>
      <c r="P135" s="642">
        <f t="shared" si="78"/>
        <v>27</v>
      </c>
      <c r="Q135" s="641">
        <f t="shared" si="78"/>
        <v>15</v>
      </c>
      <c r="R135" s="640">
        <f t="shared" si="78"/>
        <v>3</v>
      </c>
      <c r="S135" s="640">
        <f t="shared" si="78"/>
        <v>1</v>
      </c>
      <c r="T135" s="640">
        <f t="shared" si="78"/>
        <v>10</v>
      </c>
      <c r="U135" s="652">
        <f t="shared" si="76"/>
        <v>1</v>
      </c>
      <c r="V135" s="641">
        <f t="shared" si="76"/>
        <v>12</v>
      </c>
      <c r="W135" s="640">
        <f t="shared" si="76"/>
        <v>0</v>
      </c>
      <c r="X135" s="640">
        <f t="shared" si="76"/>
        <v>0</v>
      </c>
      <c r="Y135" s="640">
        <f t="shared" si="76"/>
        <v>12</v>
      </c>
      <c r="Z135" s="639">
        <f t="shared" si="76"/>
        <v>0</v>
      </c>
      <c r="AA135" s="642">
        <f t="shared" si="76"/>
        <v>24</v>
      </c>
      <c r="AB135" s="641">
        <f t="shared" si="76"/>
        <v>18</v>
      </c>
      <c r="AC135" s="640">
        <f t="shared" si="76"/>
        <v>3</v>
      </c>
      <c r="AD135" s="640">
        <f t="shared" si="76"/>
        <v>4</v>
      </c>
      <c r="AE135" s="640">
        <f t="shared" si="76"/>
        <v>10</v>
      </c>
      <c r="AF135" s="652">
        <f t="shared" si="76"/>
        <v>1</v>
      </c>
      <c r="AG135" s="641">
        <f t="shared" si="76"/>
        <v>6</v>
      </c>
      <c r="AH135" s="640">
        <f t="shared" si="76"/>
        <v>0</v>
      </c>
      <c r="AI135" s="640">
        <f t="shared" si="74"/>
        <v>0</v>
      </c>
      <c r="AJ135" s="640">
        <f t="shared" si="74"/>
        <v>6</v>
      </c>
      <c r="AK135" s="639">
        <f t="shared" si="74"/>
        <v>0</v>
      </c>
      <c r="AL135" s="642">
        <f t="shared" si="74"/>
        <v>202</v>
      </c>
      <c r="AM135" s="641">
        <f t="shared" si="74"/>
        <v>147</v>
      </c>
      <c r="AN135" s="640">
        <f t="shared" si="74"/>
        <v>28</v>
      </c>
      <c r="AO135" s="640">
        <f t="shared" si="74"/>
        <v>32</v>
      </c>
      <c r="AP135" s="640">
        <f t="shared" si="74"/>
        <v>86</v>
      </c>
      <c r="AQ135" s="652">
        <f t="shared" si="74"/>
        <v>1</v>
      </c>
      <c r="AR135" s="641">
        <f t="shared" si="74"/>
        <v>55</v>
      </c>
      <c r="AS135" s="640">
        <f t="shared" si="74"/>
        <v>3</v>
      </c>
      <c r="AT135" s="640">
        <f t="shared" si="74"/>
        <v>0</v>
      </c>
      <c r="AU135" s="640">
        <f t="shared" si="74"/>
        <v>52</v>
      </c>
      <c r="AV135" s="639">
        <f t="shared" si="74"/>
        <v>0</v>
      </c>
      <c r="AW135" s="642">
        <f t="shared" si="74"/>
        <v>119</v>
      </c>
      <c r="AX135" s="641">
        <f t="shared" si="74"/>
        <v>99</v>
      </c>
      <c r="AY135" s="640">
        <f t="shared" si="74"/>
        <v>14</v>
      </c>
      <c r="AZ135" s="640">
        <f t="shared" si="81"/>
        <v>13</v>
      </c>
      <c r="BA135" s="640">
        <f t="shared" si="81"/>
        <v>71</v>
      </c>
      <c r="BB135" s="652">
        <f t="shared" si="81"/>
        <v>1</v>
      </c>
      <c r="BC135" s="641">
        <f t="shared" si="81"/>
        <v>20</v>
      </c>
      <c r="BD135" s="640">
        <f t="shared" si="81"/>
        <v>0</v>
      </c>
      <c r="BE135" s="640">
        <f t="shared" si="81"/>
        <v>0</v>
      </c>
      <c r="BF135" s="640">
        <f t="shared" si="81"/>
        <v>20</v>
      </c>
      <c r="BG135" s="639">
        <f t="shared" si="81"/>
        <v>0</v>
      </c>
      <c r="BH135" s="642">
        <f t="shared" si="81"/>
        <v>129</v>
      </c>
      <c r="BI135" s="641">
        <f t="shared" si="81"/>
        <v>100</v>
      </c>
      <c r="BJ135" s="640">
        <f t="shared" si="81"/>
        <v>15</v>
      </c>
      <c r="BK135" s="640">
        <f t="shared" si="81"/>
        <v>16</v>
      </c>
      <c r="BL135" s="640">
        <f t="shared" si="81"/>
        <v>69</v>
      </c>
      <c r="BM135" s="652">
        <f t="shared" si="81"/>
        <v>0</v>
      </c>
      <c r="BN135" s="641">
        <f t="shared" si="81"/>
        <v>29</v>
      </c>
      <c r="BO135" s="640">
        <f t="shared" si="81"/>
        <v>4</v>
      </c>
      <c r="BP135" s="640">
        <f t="shared" si="81"/>
        <v>0</v>
      </c>
      <c r="BQ135" s="640">
        <f t="shared" si="81"/>
        <v>25</v>
      </c>
      <c r="BR135" s="639">
        <f t="shared" si="81"/>
        <v>0</v>
      </c>
      <c r="BS135" s="642">
        <f t="shared" si="81"/>
        <v>174</v>
      </c>
      <c r="BT135" s="641">
        <f t="shared" si="81"/>
        <v>135</v>
      </c>
      <c r="BU135" s="640">
        <f t="shared" si="81"/>
        <v>18</v>
      </c>
      <c r="BV135" s="640">
        <f t="shared" si="81"/>
        <v>7</v>
      </c>
      <c r="BW135" s="640">
        <f t="shared" si="81"/>
        <v>110</v>
      </c>
      <c r="BX135" s="652">
        <f t="shared" si="81"/>
        <v>0</v>
      </c>
      <c r="BY135" s="641">
        <f t="shared" si="81"/>
        <v>39</v>
      </c>
      <c r="BZ135" s="640">
        <f t="shared" si="81"/>
        <v>2</v>
      </c>
      <c r="CA135" s="640">
        <f t="shared" si="81"/>
        <v>0</v>
      </c>
      <c r="CB135" s="640">
        <f t="shared" si="81"/>
        <v>36</v>
      </c>
      <c r="CC135" s="639">
        <f t="shared" si="81"/>
        <v>1</v>
      </c>
      <c r="CD135" s="642">
        <f t="shared" si="81"/>
        <v>24</v>
      </c>
      <c r="CE135" s="641">
        <f t="shared" si="81"/>
        <v>20</v>
      </c>
      <c r="CF135" s="640">
        <f t="shared" si="81"/>
        <v>2</v>
      </c>
      <c r="CG135" s="640">
        <f t="shared" si="81"/>
        <v>5</v>
      </c>
      <c r="CH135" s="640">
        <f t="shared" si="81"/>
        <v>13</v>
      </c>
      <c r="CI135" s="652">
        <f t="shared" si="81"/>
        <v>0</v>
      </c>
      <c r="CJ135" s="641">
        <f t="shared" si="81"/>
        <v>4</v>
      </c>
      <c r="CK135" s="640">
        <f t="shared" si="81"/>
        <v>0</v>
      </c>
      <c r="CL135" s="640">
        <f t="shared" si="81"/>
        <v>0</v>
      </c>
      <c r="CM135" s="640">
        <f t="shared" si="81"/>
        <v>4</v>
      </c>
      <c r="CN135" s="639">
        <f t="shared" si="81"/>
        <v>0</v>
      </c>
      <c r="CO135" s="642">
        <f t="shared" si="81"/>
        <v>26</v>
      </c>
      <c r="CP135" s="641">
        <f t="shared" si="81"/>
        <v>16</v>
      </c>
      <c r="CQ135" s="640">
        <f t="shared" si="81"/>
        <v>4</v>
      </c>
      <c r="CR135" s="640">
        <f t="shared" si="81"/>
        <v>0</v>
      </c>
      <c r="CS135" s="640">
        <f t="shared" si="81"/>
        <v>12</v>
      </c>
      <c r="CT135" s="652">
        <f t="shared" si="81"/>
        <v>0</v>
      </c>
      <c r="CU135" s="641">
        <f t="shared" si="81"/>
        <v>10</v>
      </c>
      <c r="CV135" s="640">
        <f t="shared" si="81"/>
        <v>0</v>
      </c>
      <c r="CW135" s="640">
        <f t="shared" si="81"/>
        <v>0</v>
      </c>
      <c r="CX135" s="640">
        <f t="shared" si="81"/>
        <v>10</v>
      </c>
      <c r="CY135" s="639">
        <f t="shared" si="81"/>
        <v>0</v>
      </c>
      <c r="CZ135" s="642">
        <f t="shared" si="81"/>
        <v>6</v>
      </c>
      <c r="DA135" s="641">
        <f t="shared" si="81"/>
        <v>4</v>
      </c>
      <c r="DB135" s="640">
        <f t="shared" si="81"/>
        <v>0</v>
      </c>
      <c r="DC135" s="640">
        <f t="shared" si="81"/>
        <v>1</v>
      </c>
      <c r="DD135" s="640">
        <f t="shared" si="81"/>
        <v>3</v>
      </c>
      <c r="DE135" s="652">
        <f t="shared" si="81"/>
        <v>0</v>
      </c>
      <c r="DF135" s="641">
        <f t="shared" si="81"/>
        <v>2</v>
      </c>
      <c r="DG135" s="640">
        <f t="shared" si="81"/>
        <v>0</v>
      </c>
      <c r="DH135" s="640">
        <f t="shared" si="81"/>
        <v>0</v>
      </c>
      <c r="DI135" s="640">
        <f t="shared" si="81"/>
        <v>2</v>
      </c>
      <c r="DJ135" s="639">
        <f t="shared" si="81"/>
        <v>0</v>
      </c>
      <c r="DK135" s="642">
        <f t="shared" si="81"/>
        <v>0</v>
      </c>
      <c r="DL135" s="641">
        <f t="shared" si="75"/>
        <v>0</v>
      </c>
      <c r="DM135" s="640">
        <f t="shared" si="75"/>
        <v>0</v>
      </c>
      <c r="DN135" s="640">
        <f t="shared" si="75"/>
        <v>0</v>
      </c>
      <c r="DO135" s="640">
        <f t="shared" si="75"/>
        <v>0</v>
      </c>
      <c r="DP135" s="652">
        <f t="shared" si="75"/>
        <v>0</v>
      </c>
      <c r="DQ135" s="641">
        <f t="shared" si="75"/>
        <v>0</v>
      </c>
      <c r="DR135" s="640">
        <f t="shared" si="75"/>
        <v>0</v>
      </c>
      <c r="DS135" s="640">
        <f t="shared" si="75"/>
        <v>0</v>
      </c>
      <c r="DT135" s="640">
        <f t="shared" si="75"/>
        <v>0</v>
      </c>
      <c r="DU135" s="639">
        <f t="shared" si="75"/>
        <v>0</v>
      </c>
      <c r="DW135" s="642">
        <f t="shared" si="40"/>
        <v>529</v>
      </c>
      <c r="DX135" s="641">
        <f t="shared" si="40"/>
        <v>407</v>
      </c>
      <c r="DY135" s="640">
        <f t="shared" si="40"/>
        <v>59</v>
      </c>
      <c r="DZ135" s="640">
        <f t="shared" si="40"/>
        <v>47</v>
      </c>
      <c r="EA135" s="640">
        <f t="shared" si="67"/>
        <v>298</v>
      </c>
      <c r="EB135" s="652">
        <f t="shared" si="67"/>
        <v>3</v>
      </c>
      <c r="EC135" s="641">
        <f t="shared" si="67"/>
        <v>122</v>
      </c>
      <c r="ED135" s="640">
        <f t="shared" si="67"/>
        <v>6</v>
      </c>
      <c r="EE135" s="640">
        <f t="shared" si="67"/>
        <v>0</v>
      </c>
      <c r="EF135" s="640">
        <f t="shared" si="67"/>
        <v>115</v>
      </c>
      <c r="EG135" s="639">
        <f t="shared" si="67"/>
        <v>1</v>
      </c>
      <c r="EH135" s="642">
        <f t="shared" si="73"/>
        <v>202</v>
      </c>
      <c r="EI135" s="641">
        <f t="shared" si="73"/>
        <v>147</v>
      </c>
      <c r="EJ135" s="640">
        <f t="shared" si="73"/>
        <v>28</v>
      </c>
      <c r="EK135" s="640">
        <f t="shared" si="73"/>
        <v>32</v>
      </c>
      <c r="EL135" s="640">
        <f t="shared" si="73"/>
        <v>86</v>
      </c>
      <c r="EM135" s="652">
        <f t="shared" si="73"/>
        <v>1</v>
      </c>
      <c r="EN135" s="641">
        <f t="shared" si="73"/>
        <v>55</v>
      </c>
      <c r="EO135" s="640">
        <f t="shared" si="73"/>
        <v>3</v>
      </c>
      <c r="EP135" s="640">
        <f t="shared" si="79"/>
        <v>0</v>
      </c>
      <c r="EQ135" s="640">
        <f t="shared" si="79"/>
        <v>52</v>
      </c>
      <c r="ER135" s="639">
        <f t="shared" si="79"/>
        <v>0</v>
      </c>
    </row>
    <row r="136" spans="1:148" ht="15" thickBot="1">
      <c r="DW136" s="638"/>
      <c r="DX136" s="638"/>
      <c r="DY136" s="638"/>
      <c r="DZ136" s="638"/>
      <c r="EA136" s="638"/>
      <c r="EB136" s="638"/>
      <c r="EC136" s="638"/>
      <c r="ED136" s="638"/>
      <c r="EE136" s="638"/>
      <c r="EF136" s="638"/>
      <c r="EG136" s="638"/>
      <c r="EH136" s="638">
        <f t="shared" si="73"/>
        <v>0</v>
      </c>
      <c r="EI136" s="638">
        <f t="shared" si="73"/>
        <v>0</v>
      </c>
      <c r="EJ136" s="638">
        <f t="shared" si="73"/>
        <v>0</v>
      </c>
      <c r="EK136" s="638">
        <f t="shared" si="73"/>
        <v>0</v>
      </c>
      <c r="EL136" s="638">
        <f t="shared" si="73"/>
        <v>0</v>
      </c>
      <c r="EM136" s="638">
        <f t="shared" si="73"/>
        <v>0</v>
      </c>
      <c r="EN136" s="638">
        <f t="shared" si="73"/>
        <v>0</v>
      </c>
      <c r="EO136" s="638">
        <f t="shared" si="73"/>
        <v>0</v>
      </c>
      <c r="EP136" s="638">
        <f t="shared" si="79"/>
        <v>0</v>
      </c>
      <c r="EQ136" s="638">
        <f t="shared" si="79"/>
        <v>0</v>
      </c>
      <c r="ER136" s="638">
        <f t="shared" si="79"/>
        <v>0</v>
      </c>
    </row>
    <row r="137" spans="1:148" ht="15.75" thickBot="1">
      <c r="A137" s="842" t="s">
        <v>218</v>
      </c>
      <c r="B137" s="843"/>
      <c r="C137" s="843"/>
      <c r="D137" s="843"/>
      <c r="E137" s="843"/>
      <c r="F137" s="843"/>
      <c r="G137" s="843"/>
      <c r="H137" s="843"/>
      <c r="I137" s="843"/>
      <c r="J137" s="843"/>
      <c r="K137" s="843"/>
      <c r="L137" s="843"/>
      <c r="M137" s="843"/>
      <c r="N137" s="843"/>
      <c r="O137" s="843"/>
      <c r="P137" s="843"/>
      <c r="Q137" s="843"/>
      <c r="R137" s="843"/>
      <c r="S137" s="843"/>
      <c r="T137" s="843"/>
      <c r="U137" s="843"/>
      <c r="V137" s="843"/>
      <c r="W137" s="843"/>
      <c r="X137" s="843"/>
      <c r="Y137" s="843"/>
      <c r="Z137" s="843"/>
      <c r="AA137" s="843"/>
      <c r="AB137" s="843"/>
      <c r="AC137" s="843"/>
      <c r="AD137" s="843"/>
      <c r="AE137" s="843"/>
      <c r="AF137" s="843"/>
      <c r="AG137" s="843"/>
      <c r="AH137" s="843"/>
      <c r="AI137" s="843"/>
      <c r="AJ137" s="843"/>
      <c r="AK137" s="843"/>
      <c r="AL137" s="843"/>
      <c r="AM137" s="843"/>
      <c r="AN137" s="843"/>
      <c r="AO137" s="843"/>
      <c r="AP137" s="843"/>
      <c r="AQ137" s="843"/>
      <c r="AR137" s="843"/>
      <c r="AS137" s="843"/>
      <c r="AT137" s="843"/>
      <c r="AU137" s="843"/>
      <c r="AV137" s="843"/>
      <c r="AW137" s="843"/>
      <c r="AX137" s="843"/>
      <c r="AY137" s="843"/>
      <c r="AZ137" s="843"/>
      <c r="BA137" s="843"/>
      <c r="BB137" s="843"/>
      <c r="BC137" s="843"/>
      <c r="BD137" s="843"/>
      <c r="BE137" s="843"/>
      <c r="BF137" s="843"/>
      <c r="BG137" s="843"/>
      <c r="BH137" s="843"/>
      <c r="BI137" s="843"/>
      <c r="BJ137" s="843"/>
      <c r="BK137" s="843"/>
      <c r="BL137" s="843"/>
      <c r="BM137" s="843"/>
      <c r="BN137" s="843"/>
      <c r="BO137" s="843"/>
      <c r="BP137" s="843"/>
      <c r="BQ137" s="843"/>
      <c r="BR137" s="843"/>
      <c r="BS137" s="843"/>
      <c r="BT137" s="843"/>
      <c r="BU137" s="843"/>
      <c r="BV137" s="843"/>
      <c r="BW137" s="843"/>
      <c r="BX137" s="843"/>
      <c r="BY137" s="843"/>
      <c r="BZ137" s="843"/>
      <c r="CA137" s="843"/>
      <c r="CB137" s="843"/>
      <c r="CC137" s="843"/>
      <c r="CD137" s="843"/>
      <c r="CE137" s="843"/>
      <c r="CF137" s="843"/>
      <c r="CG137" s="843"/>
      <c r="CH137" s="843"/>
      <c r="CI137" s="843"/>
      <c r="CJ137" s="843"/>
      <c r="CK137" s="843"/>
      <c r="CL137" s="843"/>
      <c r="CM137" s="843"/>
      <c r="CN137" s="843"/>
      <c r="CO137" s="843"/>
      <c r="CP137" s="843"/>
      <c r="CQ137" s="843"/>
      <c r="CR137" s="843"/>
      <c r="CS137" s="843"/>
      <c r="CT137" s="843"/>
      <c r="CU137" s="843"/>
      <c r="CV137" s="843"/>
      <c r="CW137" s="843"/>
      <c r="CX137" s="843"/>
      <c r="CY137" s="843"/>
      <c r="CZ137" s="843"/>
      <c r="DA137" s="843"/>
      <c r="DB137" s="843"/>
      <c r="DC137" s="843"/>
      <c r="DD137" s="843"/>
      <c r="DE137" s="843"/>
      <c r="DF137" s="843"/>
      <c r="DG137" s="843"/>
      <c r="DH137" s="843"/>
      <c r="DI137" s="843"/>
      <c r="DJ137" s="843"/>
      <c r="DK137" s="843"/>
      <c r="DL137" s="843"/>
      <c r="DM137" s="843"/>
      <c r="DN137" s="843"/>
      <c r="DO137" s="843"/>
      <c r="DP137" s="843"/>
      <c r="DQ137" s="843"/>
      <c r="DR137" s="843"/>
      <c r="DS137" s="843"/>
      <c r="DT137" s="843"/>
      <c r="DU137" s="844"/>
      <c r="DW137" s="638"/>
      <c r="DX137" s="638"/>
      <c r="DY137" s="638"/>
      <c r="DZ137" s="638"/>
      <c r="EA137" s="638"/>
      <c r="EB137" s="638"/>
      <c r="EC137" s="638"/>
      <c r="ED137" s="638"/>
      <c r="EE137" s="638"/>
      <c r="EF137" s="638"/>
      <c r="EG137" s="638"/>
      <c r="EH137" s="638">
        <f t="shared" si="73"/>
        <v>0</v>
      </c>
      <c r="EI137" s="638">
        <f t="shared" si="73"/>
        <v>0</v>
      </c>
      <c r="EJ137" s="638">
        <f t="shared" si="73"/>
        <v>0</v>
      </c>
      <c r="EK137" s="638">
        <f t="shared" si="73"/>
        <v>0</v>
      </c>
      <c r="EL137" s="638">
        <f t="shared" si="73"/>
        <v>0</v>
      </c>
      <c r="EM137" s="638">
        <f t="shared" si="73"/>
        <v>0</v>
      </c>
      <c r="EN137" s="638">
        <f t="shared" si="73"/>
        <v>0</v>
      </c>
      <c r="EO137" s="638">
        <f t="shared" si="73"/>
        <v>0</v>
      </c>
      <c r="EP137" s="638">
        <f t="shared" si="79"/>
        <v>0</v>
      </c>
      <c r="EQ137" s="638">
        <f t="shared" si="79"/>
        <v>0</v>
      </c>
      <c r="ER137" s="638">
        <f t="shared" si="79"/>
        <v>0</v>
      </c>
    </row>
    <row r="138" spans="1:148" ht="15" thickBot="1">
      <c r="DW138" s="638"/>
      <c r="DX138" s="638"/>
      <c r="DY138" s="638"/>
      <c r="DZ138" s="638"/>
      <c r="EA138" s="638"/>
      <c r="EB138" s="638"/>
      <c r="EC138" s="638"/>
      <c r="ED138" s="638"/>
      <c r="EE138" s="638"/>
      <c r="EF138" s="638"/>
      <c r="EG138" s="638"/>
      <c r="EH138" s="638">
        <f t="shared" si="73"/>
        <v>0</v>
      </c>
      <c r="EI138" s="638">
        <f t="shared" si="73"/>
        <v>0</v>
      </c>
      <c r="EJ138" s="638">
        <f t="shared" si="73"/>
        <v>0</v>
      </c>
      <c r="EK138" s="638">
        <f t="shared" si="73"/>
        <v>0</v>
      </c>
      <c r="EL138" s="638">
        <f t="shared" si="73"/>
        <v>0</v>
      </c>
      <c r="EM138" s="638">
        <f t="shared" si="73"/>
        <v>0</v>
      </c>
      <c r="EN138" s="638">
        <f t="shared" si="73"/>
        <v>0</v>
      </c>
      <c r="EO138" s="638">
        <f t="shared" si="73"/>
        <v>0</v>
      </c>
      <c r="EP138" s="638">
        <f t="shared" si="79"/>
        <v>0</v>
      </c>
      <c r="EQ138" s="638">
        <f t="shared" si="79"/>
        <v>0</v>
      </c>
      <c r="ER138" s="638">
        <f t="shared" si="79"/>
        <v>0</v>
      </c>
    </row>
    <row r="139" spans="1:148">
      <c r="A139" s="665" t="s">
        <v>222</v>
      </c>
      <c r="B139" s="665">
        <v>42736</v>
      </c>
      <c r="C139" s="664">
        <v>2017</v>
      </c>
      <c r="D139" s="637">
        <f>D40/3</f>
        <v>56075</v>
      </c>
      <c r="E139" s="637">
        <f>E40/3</f>
        <v>440</v>
      </c>
      <c r="F139" s="636">
        <f t="shared" ref="F139:BQ139" si="82">F40/3</f>
        <v>198.33333333333334</v>
      </c>
      <c r="G139" s="635">
        <f t="shared" si="82"/>
        <v>138</v>
      </c>
      <c r="H139" s="635">
        <f t="shared" si="82"/>
        <v>0</v>
      </c>
      <c r="I139" s="635">
        <f t="shared" si="82"/>
        <v>60.333333333333336</v>
      </c>
      <c r="J139" s="634">
        <f t="shared" si="82"/>
        <v>0</v>
      </c>
      <c r="K139" s="636">
        <f t="shared" si="82"/>
        <v>241.66666666666666</v>
      </c>
      <c r="L139" s="635">
        <f t="shared" si="82"/>
        <v>209.33333333333334</v>
      </c>
      <c r="M139" s="635">
        <f t="shared" si="82"/>
        <v>0</v>
      </c>
      <c r="N139" s="635">
        <f t="shared" si="82"/>
        <v>29.333333333333332</v>
      </c>
      <c r="O139" s="633">
        <f t="shared" si="82"/>
        <v>3</v>
      </c>
      <c r="P139" s="637">
        <f t="shared" si="82"/>
        <v>0.66666666666666663</v>
      </c>
      <c r="Q139" s="636">
        <f t="shared" si="82"/>
        <v>0</v>
      </c>
      <c r="R139" s="635">
        <f t="shared" si="82"/>
        <v>0</v>
      </c>
      <c r="S139" s="635">
        <f t="shared" si="82"/>
        <v>0</v>
      </c>
      <c r="T139" s="635">
        <f t="shared" si="82"/>
        <v>0</v>
      </c>
      <c r="U139" s="634">
        <f t="shared" si="82"/>
        <v>0</v>
      </c>
      <c r="V139" s="636">
        <f t="shared" si="82"/>
        <v>0.66666666666666663</v>
      </c>
      <c r="W139" s="635">
        <f t="shared" si="82"/>
        <v>0.33333333333333331</v>
      </c>
      <c r="X139" s="635">
        <f t="shared" si="82"/>
        <v>0</v>
      </c>
      <c r="Y139" s="635">
        <f t="shared" si="82"/>
        <v>0.33333333333333331</v>
      </c>
      <c r="Z139" s="633">
        <f t="shared" si="82"/>
        <v>0</v>
      </c>
      <c r="AA139" s="637">
        <f t="shared" si="82"/>
        <v>0.33333333333333331</v>
      </c>
      <c r="AB139" s="636">
        <f t="shared" si="82"/>
        <v>0</v>
      </c>
      <c r="AC139" s="635">
        <f t="shared" si="82"/>
        <v>0</v>
      </c>
      <c r="AD139" s="635">
        <f t="shared" si="82"/>
        <v>0</v>
      </c>
      <c r="AE139" s="635">
        <f t="shared" si="82"/>
        <v>0</v>
      </c>
      <c r="AF139" s="634">
        <f t="shared" si="82"/>
        <v>0</v>
      </c>
      <c r="AG139" s="636">
        <f t="shared" si="82"/>
        <v>0.33333333333333331</v>
      </c>
      <c r="AH139" s="635">
        <f t="shared" si="82"/>
        <v>0.33333333333333331</v>
      </c>
      <c r="AI139" s="635">
        <f t="shared" si="82"/>
        <v>0</v>
      </c>
      <c r="AJ139" s="635">
        <f t="shared" si="82"/>
        <v>0</v>
      </c>
      <c r="AK139" s="633">
        <f t="shared" si="82"/>
        <v>0</v>
      </c>
      <c r="AL139" s="637">
        <f t="shared" si="82"/>
        <v>3.6666666666666665</v>
      </c>
      <c r="AM139" s="636">
        <f t="shared" si="82"/>
        <v>1.3333333333333333</v>
      </c>
      <c r="AN139" s="635">
        <f t="shared" si="82"/>
        <v>1</v>
      </c>
      <c r="AO139" s="635">
        <f t="shared" si="82"/>
        <v>0</v>
      </c>
      <c r="AP139" s="635">
        <f t="shared" si="82"/>
        <v>0.33333333333333331</v>
      </c>
      <c r="AQ139" s="634">
        <f t="shared" si="82"/>
        <v>0</v>
      </c>
      <c r="AR139" s="636">
        <f t="shared" si="82"/>
        <v>2.3333333333333335</v>
      </c>
      <c r="AS139" s="635">
        <f t="shared" si="82"/>
        <v>2</v>
      </c>
      <c r="AT139" s="635">
        <f t="shared" si="82"/>
        <v>0</v>
      </c>
      <c r="AU139" s="635">
        <f t="shared" si="82"/>
        <v>0.33333333333333331</v>
      </c>
      <c r="AV139" s="633">
        <f t="shared" si="82"/>
        <v>0</v>
      </c>
      <c r="AW139" s="637">
        <f t="shared" si="82"/>
        <v>1.3333333333333333</v>
      </c>
      <c r="AX139" s="636">
        <f t="shared" si="82"/>
        <v>0.33333333333333331</v>
      </c>
      <c r="AY139" s="635">
        <f t="shared" si="82"/>
        <v>0.33333333333333331</v>
      </c>
      <c r="AZ139" s="635">
        <f t="shared" si="82"/>
        <v>0</v>
      </c>
      <c r="BA139" s="635">
        <f t="shared" si="82"/>
        <v>0</v>
      </c>
      <c r="BB139" s="634">
        <f t="shared" si="82"/>
        <v>0</v>
      </c>
      <c r="BC139" s="636">
        <f t="shared" si="82"/>
        <v>1</v>
      </c>
      <c r="BD139" s="635">
        <f t="shared" si="82"/>
        <v>1</v>
      </c>
      <c r="BE139" s="635">
        <f t="shared" si="82"/>
        <v>0</v>
      </c>
      <c r="BF139" s="635">
        <f t="shared" si="82"/>
        <v>0</v>
      </c>
      <c r="BG139" s="633">
        <f t="shared" si="82"/>
        <v>0</v>
      </c>
      <c r="BH139" s="637">
        <f t="shared" si="82"/>
        <v>2</v>
      </c>
      <c r="BI139" s="636">
        <f t="shared" si="82"/>
        <v>1.6666666666666667</v>
      </c>
      <c r="BJ139" s="635">
        <f t="shared" si="82"/>
        <v>1</v>
      </c>
      <c r="BK139" s="635">
        <f t="shared" si="82"/>
        <v>0</v>
      </c>
      <c r="BL139" s="635">
        <f t="shared" si="82"/>
        <v>0.66666666666666663</v>
      </c>
      <c r="BM139" s="634">
        <f t="shared" si="82"/>
        <v>0</v>
      </c>
      <c r="BN139" s="636">
        <f t="shared" si="82"/>
        <v>0.33333333333333331</v>
      </c>
      <c r="BO139" s="635">
        <f t="shared" si="82"/>
        <v>0.33333333333333331</v>
      </c>
      <c r="BP139" s="635">
        <f t="shared" si="82"/>
        <v>0</v>
      </c>
      <c r="BQ139" s="635">
        <f t="shared" si="82"/>
        <v>0</v>
      </c>
      <c r="BR139" s="633">
        <f t="shared" ref="BR139:DU139" si="83">BR40/3</f>
        <v>0</v>
      </c>
      <c r="BS139" s="637">
        <f t="shared" si="83"/>
        <v>1.6666666666666667</v>
      </c>
      <c r="BT139" s="636">
        <f t="shared" si="83"/>
        <v>0.66666666666666663</v>
      </c>
      <c r="BU139" s="635">
        <f t="shared" si="83"/>
        <v>0.33333333333333331</v>
      </c>
      <c r="BV139" s="635">
        <f t="shared" si="83"/>
        <v>0</v>
      </c>
      <c r="BW139" s="635">
        <f t="shared" si="83"/>
        <v>0.33333333333333331</v>
      </c>
      <c r="BX139" s="634">
        <f t="shared" si="83"/>
        <v>0</v>
      </c>
      <c r="BY139" s="636">
        <f t="shared" si="83"/>
        <v>1</v>
      </c>
      <c r="BZ139" s="635">
        <f t="shared" si="83"/>
        <v>1</v>
      </c>
      <c r="CA139" s="635">
        <f t="shared" si="83"/>
        <v>0</v>
      </c>
      <c r="CB139" s="635">
        <f t="shared" si="83"/>
        <v>0</v>
      </c>
      <c r="CC139" s="633">
        <f t="shared" si="83"/>
        <v>0</v>
      </c>
      <c r="CD139" s="637">
        <f t="shared" si="83"/>
        <v>1.3333333333333333</v>
      </c>
      <c r="CE139" s="636">
        <f t="shared" si="83"/>
        <v>1</v>
      </c>
      <c r="CF139" s="635">
        <f t="shared" si="83"/>
        <v>0.66666666666666663</v>
      </c>
      <c r="CG139" s="635">
        <f t="shared" si="83"/>
        <v>0</v>
      </c>
      <c r="CH139" s="635">
        <f t="shared" si="83"/>
        <v>0.33333333333333331</v>
      </c>
      <c r="CI139" s="634">
        <f t="shared" si="83"/>
        <v>0</v>
      </c>
      <c r="CJ139" s="636">
        <f t="shared" si="83"/>
        <v>0.33333333333333331</v>
      </c>
      <c r="CK139" s="635">
        <f t="shared" si="83"/>
        <v>0.33333333333333331</v>
      </c>
      <c r="CL139" s="635">
        <f t="shared" si="83"/>
        <v>0</v>
      </c>
      <c r="CM139" s="635">
        <f t="shared" si="83"/>
        <v>0</v>
      </c>
      <c r="CN139" s="633">
        <f t="shared" si="83"/>
        <v>0</v>
      </c>
      <c r="CO139" s="637">
        <f t="shared" si="83"/>
        <v>0.33333333333333331</v>
      </c>
      <c r="CP139" s="636">
        <f t="shared" si="83"/>
        <v>0</v>
      </c>
      <c r="CQ139" s="635">
        <f t="shared" si="83"/>
        <v>0</v>
      </c>
      <c r="CR139" s="635">
        <f t="shared" si="83"/>
        <v>0</v>
      </c>
      <c r="CS139" s="635">
        <f t="shared" si="83"/>
        <v>0</v>
      </c>
      <c r="CT139" s="634">
        <f t="shared" si="83"/>
        <v>0</v>
      </c>
      <c r="CU139" s="636">
        <f t="shared" si="83"/>
        <v>0.33333333333333331</v>
      </c>
      <c r="CV139" s="635">
        <f t="shared" si="83"/>
        <v>0.33333333333333331</v>
      </c>
      <c r="CW139" s="635">
        <f t="shared" si="83"/>
        <v>0</v>
      </c>
      <c r="CX139" s="635">
        <f t="shared" si="83"/>
        <v>0</v>
      </c>
      <c r="CY139" s="633">
        <f t="shared" si="83"/>
        <v>0</v>
      </c>
      <c r="CZ139" s="637">
        <f t="shared" si="83"/>
        <v>0.33333333333333331</v>
      </c>
      <c r="DA139" s="636">
        <f t="shared" si="83"/>
        <v>0</v>
      </c>
      <c r="DB139" s="635">
        <f t="shared" si="83"/>
        <v>0</v>
      </c>
      <c r="DC139" s="635">
        <f t="shared" si="83"/>
        <v>0</v>
      </c>
      <c r="DD139" s="635">
        <f t="shared" si="83"/>
        <v>0</v>
      </c>
      <c r="DE139" s="634">
        <f t="shared" si="83"/>
        <v>0</v>
      </c>
      <c r="DF139" s="636">
        <f t="shared" si="83"/>
        <v>0.33333333333333331</v>
      </c>
      <c r="DG139" s="635">
        <f t="shared" si="83"/>
        <v>0.33333333333333331</v>
      </c>
      <c r="DH139" s="635">
        <f t="shared" si="83"/>
        <v>0</v>
      </c>
      <c r="DI139" s="635">
        <f t="shared" si="83"/>
        <v>0</v>
      </c>
      <c r="DJ139" s="633">
        <f t="shared" si="83"/>
        <v>0</v>
      </c>
      <c r="DK139" s="637">
        <f t="shared" si="83"/>
        <v>0</v>
      </c>
      <c r="DL139" s="636">
        <f t="shared" si="83"/>
        <v>0</v>
      </c>
      <c r="DM139" s="635">
        <f t="shared" si="83"/>
        <v>0</v>
      </c>
      <c r="DN139" s="635">
        <f t="shared" si="83"/>
        <v>0</v>
      </c>
      <c r="DO139" s="635">
        <f t="shared" si="83"/>
        <v>0</v>
      </c>
      <c r="DP139" s="634">
        <f t="shared" si="83"/>
        <v>0</v>
      </c>
      <c r="DQ139" s="636">
        <f t="shared" si="83"/>
        <v>0</v>
      </c>
      <c r="DR139" s="635">
        <f t="shared" si="83"/>
        <v>0</v>
      </c>
      <c r="DS139" s="635">
        <f t="shared" si="83"/>
        <v>0</v>
      </c>
      <c r="DT139" s="635">
        <f t="shared" si="83"/>
        <v>0</v>
      </c>
      <c r="DU139" s="633">
        <f t="shared" si="83"/>
        <v>0</v>
      </c>
      <c r="DW139" s="637">
        <f t="shared" ref="DW139:EG162" si="84">P139+AA139+AW139+BH139+BS139+CD139+CO139+CZ139+DK139</f>
        <v>7.9999999999999991</v>
      </c>
      <c r="DX139" s="636">
        <f t="shared" si="84"/>
        <v>3.6666666666666665</v>
      </c>
      <c r="DY139" s="635">
        <f t="shared" si="84"/>
        <v>2.333333333333333</v>
      </c>
      <c r="DZ139" s="635">
        <f t="shared" si="84"/>
        <v>0</v>
      </c>
      <c r="EA139" s="635">
        <f t="shared" si="84"/>
        <v>1.3333333333333333</v>
      </c>
      <c r="EB139" s="634">
        <f t="shared" si="84"/>
        <v>0</v>
      </c>
      <c r="EC139" s="636">
        <f t="shared" si="84"/>
        <v>4.333333333333333</v>
      </c>
      <c r="ED139" s="635">
        <f t="shared" si="84"/>
        <v>4</v>
      </c>
      <c r="EE139" s="635">
        <f t="shared" si="84"/>
        <v>0</v>
      </c>
      <c r="EF139" s="635">
        <f t="shared" si="84"/>
        <v>0.33333333333333331</v>
      </c>
      <c r="EG139" s="633">
        <f t="shared" si="84"/>
        <v>0</v>
      </c>
      <c r="EH139" s="637">
        <f t="shared" si="73"/>
        <v>3.6666666666666665</v>
      </c>
      <c r="EI139" s="636">
        <f t="shared" si="73"/>
        <v>1.3333333333333333</v>
      </c>
      <c r="EJ139" s="635">
        <f t="shared" si="73"/>
        <v>1</v>
      </c>
      <c r="EK139" s="635">
        <f t="shared" si="73"/>
        <v>0</v>
      </c>
      <c r="EL139" s="635">
        <f t="shared" si="73"/>
        <v>0.33333333333333331</v>
      </c>
      <c r="EM139" s="634">
        <f t="shared" si="73"/>
        <v>0</v>
      </c>
      <c r="EN139" s="636">
        <f t="shared" si="73"/>
        <v>2.3333333333333335</v>
      </c>
      <c r="EO139" s="635">
        <f t="shared" si="73"/>
        <v>2</v>
      </c>
      <c r="EP139" s="635">
        <f t="shared" si="79"/>
        <v>0</v>
      </c>
      <c r="EQ139" s="635">
        <f t="shared" si="79"/>
        <v>0.33333333333333331</v>
      </c>
      <c r="ER139" s="633">
        <f t="shared" si="79"/>
        <v>0</v>
      </c>
    </row>
    <row r="140" spans="1:148">
      <c r="A140" s="665" t="s">
        <v>222</v>
      </c>
      <c r="B140" s="665">
        <v>42767</v>
      </c>
      <c r="C140" s="664">
        <v>2017</v>
      </c>
      <c r="D140" s="646">
        <f>D41/3+D139</f>
        <v>112150</v>
      </c>
      <c r="E140" s="646">
        <f>E41/3+E139</f>
        <v>880</v>
      </c>
      <c r="F140" s="645">
        <f t="shared" ref="F140:BQ143" si="85">F41/3+F139</f>
        <v>396.66666666666669</v>
      </c>
      <c r="G140" s="163">
        <f t="shared" si="85"/>
        <v>276</v>
      </c>
      <c r="H140" s="163">
        <f t="shared" si="85"/>
        <v>0</v>
      </c>
      <c r="I140" s="163">
        <f t="shared" si="85"/>
        <v>120.66666666666667</v>
      </c>
      <c r="J140" s="644">
        <f t="shared" si="85"/>
        <v>0</v>
      </c>
      <c r="K140" s="645">
        <f t="shared" si="85"/>
        <v>483.33333333333331</v>
      </c>
      <c r="L140" s="163">
        <f t="shared" si="85"/>
        <v>418.66666666666669</v>
      </c>
      <c r="M140" s="163">
        <f t="shared" si="85"/>
        <v>0</v>
      </c>
      <c r="N140" s="163">
        <f t="shared" si="85"/>
        <v>58.666666666666664</v>
      </c>
      <c r="O140" s="643">
        <f t="shared" si="85"/>
        <v>6</v>
      </c>
      <c r="P140" s="646">
        <f t="shared" si="85"/>
        <v>1.3333333333333333</v>
      </c>
      <c r="Q140" s="645">
        <f t="shared" si="85"/>
        <v>0</v>
      </c>
      <c r="R140" s="163">
        <f t="shared" si="85"/>
        <v>0</v>
      </c>
      <c r="S140" s="163">
        <f t="shared" si="85"/>
        <v>0</v>
      </c>
      <c r="T140" s="163">
        <f t="shared" si="85"/>
        <v>0</v>
      </c>
      <c r="U140" s="644">
        <f t="shared" si="85"/>
        <v>0</v>
      </c>
      <c r="V140" s="645">
        <f t="shared" si="85"/>
        <v>1.3333333333333333</v>
      </c>
      <c r="W140" s="163">
        <f t="shared" si="85"/>
        <v>0.66666666666666663</v>
      </c>
      <c r="X140" s="163">
        <f t="shared" si="85"/>
        <v>0</v>
      </c>
      <c r="Y140" s="163">
        <f t="shared" si="85"/>
        <v>0.66666666666666663</v>
      </c>
      <c r="Z140" s="643">
        <f t="shared" si="85"/>
        <v>0</v>
      </c>
      <c r="AA140" s="646">
        <f t="shared" si="85"/>
        <v>0.66666666666666663</v>
      </c>
      <c r="AB140" s="645">
        <f t="shared" si="85"/>
        <v>0</v>
      </c>
      <c r="AC140" s="163">
        <f t="shared" si="85"/>
        <v>0</v>
      </c>
      <c r="AD140" s="163">
        <f t="shared" si="85"/>
        <v>0</v>
      </c>
      <c r="AE140" s="163">
        <f t="shared" si="85"/>
        <v>0</v>
      </c>
      <c r="AF140" s="644">
        <f t="shared" si="85"/>
        <v>0</v>
      </c>
      <c r="AG140" s="645">
        <f t="shared" si="85"/>
        <v>0.66666666666666663</v>
      </c>
      <c r="AH140" s="163">
        <f t="shared" si="85"/>
        <v>0.66666666666666663</v>
      </c>
      <c r="AI140" s="163">
        <f t="shared" si="85"/>
        <v>0</v>
      </c>
      <c r="AJ140" s="163">
        <f t="shared" si="85"/>
        <v>0</v>
      </c>
      <c r="AK140" s="643">
        <f t="shared" si="85"/>
        <v>0</v>
      </c>
      <c r="AL140" s="646">
        <f t="shared" si="85"/>
        <v>7.333333333333333</v>
      </c>
      <c r="AM140" s="645">
        <f t="shared" si="85"/>
        <v>2.6666666666666665</v>
      </c>
      <c r="AN140" s="163">
        <f t="shared" si="85"/>
        <v>2</v>
      </c>
      <c r="AO140" s="163">
        <f t="shared" si="85"/>
        <v>0</v>
      </c>
      <c r="AP140" s="163">
        <f t="shared" si="85"/>
        <v>0.66666666666666663</v>
      </c>
      <c r="AQ140" s="644">
        <f t="shared" si="85"/>
        <v>0</v>
      </c>
      <c r="AR140" s="645">
        <f t="shared" si="85"/>
        <v>4.666666666666667</v>
      </c>
      <c r="AS140" s="163">
        <f t="shared" si="85"/>
        <v>4</v>
      </c>
      <c r="AT140" s="163">
        <f t="shared" si="85"/>
        <v>0</v>
      </c>
      <c r="AU140" s="163">
        <f t="shared" si="85"/>
        <v>0.66666666666666663</v>
      </c>
      <c r="AV140" s="643">
        <f t="shared" si="85"/>
        <v>0</v>
      </c>
      <c r="AW140" s="646">
        <f t="shared" si="85"/>
        <v>2.6666666666666665</v>
      </c>
      <c r="AX140" s="645">
        <f t="shared" si="85"/>
        <v>0.66666666666666663</v>
      </c>
      <c r="AY140" s="163">
        <f t="shared" si="85"/>
        <v>0.66666666666666663</v>
      </c>
      <c r="AZ140" s="163">
        <f t="shared" si="85"/>
        <v>0</v>
      </c>
      <c r="BA140" s="163">
        <f t="shared" si="85"/>
        <v>0</v>
      </c>
      <c r="BB140" s="644">
        <f t="shared" si="85"/>
        <v>0</v>
      </c>
      <c r="BC140" s="645">
        <f t="shared" si="85"/>
        <v>2</v>
      </c>
      <c r="BD140" s="163">
        <f t="shared" si="85"/>
        <v>2</v>
      </c>
      <c r="BE140" s="163">
        <f t="shared" si="85"/>
        <v>0</v>
      </c>
      <c r="BF140" s="163">
        <f t="shared" si="85"/>
        <v>0</v>
      </c>
      <c r="BG140" s="643">
        <f t="shared" si="85"/>
        <v>0</v>
      </c>
      <c r="BH140" s="646">
        <f t="shared" si="85"/>
        <v>4</v>
      </c>
      <c r="BI140" s="645">
        <f t="shared" si="85"/>
        <v>3.3333333333333335</v>
      </c>
      <c r="BJ140" s="163">
        <f t="shared" si="85"/>
        <v>2</v>
      </c>
      <c r="BK140" s="163">
        <f t="shared" si="85"/>
        <v>0</v>
      </c>
      <c r="BL140" s="163">
        <f t="shared" si="85"/>
        <v>1.3333333333333333</v>
      </c>
      <c r="BM140" s="644">
        <f t="shared" si="85"/>
        <v>0</v>
      </c>
      <c r="BN140" s="645">
        <f t="shared" si="85"/>
        <v>0.66666666666666663</v>
      </c>
      <c r="BO140" s="163">
        <f t="shared" si="85"/>
        <v>0.66666666666666663</v>
      </c>
      <c r="BP140" s="163">
        <f t="shared" si="85"/>
        <v>0</v>
      </c>
      <c r="BQ140" s="163">
        <f t="shared" si="85"/>
        <v>0</v>
      </c>
      <c r="BR140" s="643">
        <f t="shared" ref="BR140:DU144" si="86">BR41/3+BR139</f>
        <v>0</v>
      </c>
      <c r="BS140" s="646">
        <f t="shared" si="86"/>
        <v>3.3333333333333335</v>
      </c>
      <c r="BT140" s="645">
        <f t="shared" si="86"/>
        <v>1.3333333333333333</v>
      </c>
      <c r="BU140" s="163">
        <f t="shared" si="86"/>
        <v>0.66666666666666663</v>
      </c>
      <c r="BV140" s="163">
        <f t="shared" si="86"/>
        <v>0</v>
      </c>
      <c r="BW140" s="163">
        <f t="shared" si="86"/>
        <v>0.66666666666666663</v>
      </c>
      <c r="BX140" s="644">
        <f t="shared" si="86"/>
        <v>0</v>
      </c>
      <c r="BY140" s="645">
        <f t="shared" si="86"/>
        <v>2</v>
      </c>
      <c r="BZ140" s="163">
        <f t="shared" si="86"/>
        <v>2</v>
      </c>
      <c r="CA140" s="163">
        <f t="shared" si="86"/>
        <v>0</v>
      </c>
      <c r="CB140" s="163">
        <f t="shared" si="86"/>
        <v>0</v>
      </c>
      <c r="CC140" s="643">
        <f t="shared" si="86"/>
        <v>0</v>
      </c>
      <c r="CD140" s="646">
        <f t="shared" si="86"/>
        <v>2.6666666666666665</v>
      </c>
      <c r="CE140" s="645">
        <f t="shared" si="86"/>
        <v>2</v>
      </c>
      <c r="CF140" s="163">
        <f t="shared" si="86"/>
        <v>1.3333333333333333</v>
      </c>
      <c r="CG140" s="163">
        <f t="shared" si="86"/>
        <v>0</v>
      </c>
      <c r="CH140" s="163">
        <f t="shared" si="86"/>
        <v>0.66666666666666663</v>
      </c>
      <c r="CI140" s="644">
        <f t="shared" si="86"/>
        <v>0</v>
      </c>
      <c r="CJ140" s="645">
        <f t="shared" si="86"/>
        <v>0.66666666666666663</v>
      </c>
      <c r="CK140" s="163">
        <f t="shared" si="86"/>
        <v>0.66666666666666663</v>
      </c>
      <c r="CL140" s="163">
        <f t="shared" si="86"/>
        <v>0</v>
      </c>
      <c r="CM140" s="163">
        <f t="shared" si="86"/>
        <v>0</v>
      </c>
      <c r="CN140" s="643">
        <f t="shared" si="86"/>
        <v>0</v>
      </c>
      <c r="CO140" s="646">
        <f t="shared" si="86"/>
        <v>0.66666666666666663</v>
      </c>
      <c r="CP140" s="645">
        <f t="shared" si="86"/>
        <v>0</v>
      </c>
      <c r="CQ140" s="163">
        <f t="shared" si="86"/>
        <v>0</v>
      </c>
      <c r="CR140" s="163">
        <f t="shared" si="86"/>
        <v>0</v>
      </c>
      <c r="CS140" s="163">
        <f t="shared" si="86"/>
        <v>0</v>
      </c>
      <c r="CT140" s="644">
        <f t="shared" si="86"/>
        <v>0</v>
      </c>
      <c r="CU140" s="645">
        <f t="shared" si="86"/>
        <v>0.66666666666666663</v>
      </c>
      <c r="CV140" s="163">
        <f t="shared" si="86"/>
        <v>0.66666666666666663</v>
      </c>
      <c r="CW140" s="163">
        <f t="shared" si="86"/>
        <v>0</v>
      </c>
      <c r="CX140" s="163">
        <f t="shared" si="86"/>
        <v>0</v>
      </c>
      <c r="CY140" s="643">
        <f t="shared" si="86"/>
        <v>0</v>
      </c>
      <c r="CZ140" s="646">
        <f t="shared" si="86"/>
        <v>0.66666666666666663</v>
      </c>
      <c r="DA140" s="645">
        <f t="shared" si="86"/>
        <v>0</v>
      </c>
      <c r="DB140" s="163">
        <f t="shared" si="86"/>
        <v>0</v>
      </c>
      <c r="DC140" s="163">
        <f t="shared" si="86"/>
        <v>0</v>
      </c>
      <c r="DD140" s="163">
        <f t="shared" si="86"/>
        <v>0</v>
      </c>
      <c r="DE140" s="644">
        <f t="shared" si="86"/>
        <v>0</v>
      </c>
      <c r="DF140" s="645">
        <f t="shared" si="86"/>
        <v>0.66666666666666663</v>
      </c>
      <c r="DG140" s="163">
        <f t="shared" si="86"/>
        <v>0.66666666666666663</v>
      </c>
      <c r="DH140" s="163">
        <f t="shared" si="86"/>
        <v>0</v>
      </c>
      <c r="DI140" s="163">
        <f t="shared" si="86"/>
        <v>0</v>
      </c>
      <c r="DJ140" s="643">
        <f t="shared" si="86"/>
        <v>0</v>
      </c>
      <c r="DK140" s="646">
        <f t="shared" si="86"/>
        <v>0</v>
      </c>
      <c r="DL140" s="645">
        <f t="shared" si="86"/>
        <v>0</v>
      </c>
      <c r="DM140" s="163">
        <f t="shared" si="86"/>
        <v>0</v>
      </c>
      <c r="DN140" s="163">
        <f t="shared" si="86"/>
        <v>0</v>
      </c>
      <c r="DO140" s="163">
        <f t="shared" si="86"/>
        <v>0</v>
      </c>
      <c r="DP140" s="644">
        <f t="shared" si="86"/>
        <v>0</v>
      </c>
      <c r="DQ140" s="645">
        <f t="shared" si="86"/>
        <v>0</v>
      </c>
      <c r="DR140" s="163">
        <f t="shared" si="86"/>
        <v>0</v>
      </c>
      <c r="DS140" s="163">
        <f t="shared" si="86"/>
        <v>0</v>
      </c>
      <c r="DT140" s="163">
        <f t="shared" si="86"/>
        <v>0</v>
      </c>
      <c r="DU140" s="643">
        <f t="shared" si="86"/>
        <v>0</v>
      </c>
      <c r="DW140" s="646">
        <f t="shared" si="84"/>
        <v>15.999999999999998</v>
      </c>
      <c r="DX140" s="645">
        <f t="shared" si="84"/>
        <v>7.333333333333333</v>
      </c>
      <c r="DY140" s="163">
        <f t="shared" si="84"/>
        <v>4.6666666666666661</v>
      </c>
      <c r="DZ140" s="163">
        <f t="shared" si="84"/>
        <v>0</v>
      </c>
      <c r="EA140" s="163">
        <f t="shared" si="84"/>
        <v>2.6666666666666665</v>
      </c>
      <c r="EB140" s="644">
        <f t="shared" si="84"/>
        <v>0</v>
      </c>
      <c r="EC140" s="645">
        <f t="shared" si="84"/>
        <v>8.6666666666666661</v>
      </c>
      <c r="ED140" s="163">
        <f t="shared" si="84"/>
        <v>8</v>
      </c>
      <c r="EE140" s="163">
        <f t="shared" si="84"/>
        <v>0</v>
      </c>
      <c r="EF140" s="163">
        <f t="shared" si="84"/>
        <v>0.66666666666666663</v>
      </c>
      <c r="EG140" s="643">
        <f t="shared" si="84"/>
        <v>0</v>
      </c>
      <c r="EH140" s="646">
        <f t="shared" si="73"/>
        <v>7.333333333333333</v>
      </c>
      <c r="EI140" s="645">
        <f t="shared" si="73"/>
        <v>2.6666666666666665</v>
      </c>
      <c r="EJ140" s="163">
        <f t="shared" si="73"/>
        <v>2</v>
      </c>
      <c r="EK140" s="163">
        <f t="shared" si="73"/>
        <v>0</v>
      </c>
      <c r="EL140" s="163">
        <f t="shared" si="73"/>
        <v>0.66666666666666663</v>
      </c>
      <c r="EM140" s="644">
        <f t="shared" si="73"/>
        <v>0</v>
      </c>
      <c r="EN140" s="645">
        <f t="shared" si="73"/>
        <v>4.666666666666667</v>
      </c>
      <c r="EO140" s="163">
        <f t="shared" si="73"/>
        <v>4</v>
      </c>
      <c r="EP140" s="163">
        <f t="shared" si="79"/>
        <v>0</v>
      </c>
      <c r="EQ140" s="163">
        <f t="shared" si="79"/>
        <v>0.66666666666666663</v>
      </c>
      <c r="ER140" s="643">
        <f t="shared" si="79"/>
        <v>0</v>
      </c>
    </row>
    <row r="141" spans="1:148">
      <c r="A141" s="665" t="s">
        <v>222</v>
      </c>
      <c r="B141" s="665">
        <v>42795</v>
      </c>
      <c r="C141" s="664">
        <v>2017</v>
      </c>
      <c r="D141" s="646">
        <f t="shared" ref="D141" si="87">D42/3+D140</f>
        <v>168225</v>
      </c>
      <c r="E141" s="646">
        <f t="shared" ref="E141:T156" si="88">E42/3+E140</f>
        <v>1320</v>
      </c>
      <c r="F141" s="645">
        <f t="shared" si="85"/>
        <v>595</v>
      </c>
      <c r="G141" s="163">
        <f t="shared" si="85"/>
        <v>414</v>
      </c>
      <c r="H141" s="163">
        <f t="shared" si="85"/>
        <v>0</v>
      </c>
      <c r="I141" s="163">
        <f t="shared" si="85"/>
        <v>181</v>
      </c>
      <c r="J141" s="644">
        <f t="shared" si="85"/>
        <v>0</v>
      </c>
      <c r="K141" s="645">
        <f t="shared" si="85"/>
        <v>725</v>
      </c>
      <c r="L141" s="163">
        <f t="shared" si="85"/>
        <v>628</v>
      </c>
      <c r="M141" s="163">
        <f t="shared" si="85"/>
        <v>0</v>
      </c>
      <c r="N141" s="163">
        <f t="shared" si="85"/>
        <v>88</v>
      </c>
      <c r="O141" s="643">
        <f t="shared" si="85"/>
        <v>9</v>
      </c>
      <c r="P141" s="646">
        <f t="shared" si="85"/>
        <v>2</v>
      </c>
      <c r="Q141" s="645">
        <f t="shared" si="85"/>
        <v>0</v>
      </c>
      <c r="R141" s="163">
        <f t="shared" si="85"/>
        <v>0</v>
      </c>
      <c r="S141" s="163">
        <f t="shared" si="85"/>
        <v>0</v>
      </c>
      <c r="T141" s="163">
        <f t="shared" si="85"/>
        <v>0</v>
      </c>
      <c r="U141" s="644">
        <f t="shared" si="85"/>
        <v>0</v>
      </c>
      <c r="V141" s="645">
        <f t="shared" si="85"/>
        <v>2</v>
      </c>
      <c r="W141" s="163">
        <f t="shared" si="85"/>
        <v>1</v>
      </c>
      <c r="X141" s="163">
        <f t="shared" si="85"/>
        <v>0</v>
      </c>
      <c r="Y141" s="163">
        <f t="shared" si="85"/>
        <v>1</v>
      </c>
      <c r="Z141" s="643">
        <f t="shared" si="85"/>
        <v>0</v>
      </c>
      <c r="AA141" s="646">
        <f t="shared" si="85"/>
        <v>1</v>
      </c>
      <c r="AB141" s="645">
        <f t="shared" si="85"/>
        <v>0</v>
      </c>
      <c r="AC141" s="163">
        <f t="shared" si="85"/>
        <v>0</v>
      </c>
      <c r="AD141" s="163">
        <f t="shared" si="85"/>
        <v>0</v>
      </c>
      <c r="AE141" s="163">
        <f t="shared" si="85"/>
        <v>0</v>
      </c>
      <c r="AF141" s="644">
        <f t="shared" si="85"/>
        <v>0</v>
      </c>
      <c r="AG141" s="645">
        <f t="shared" si="85"/>
        <v>1</v>
      </c>
      <c r="AH141" s="163">
        <f t="shared" si="85"/>
        <v>1</v>
      </c>
      <c r="AI141" s="163">
        <f t="shared" si="85"/>
        <v>0</v>
      </c>
      <c r="AJ141" s="163">
        <f t="shared" si="85"/>
        <v>0</v>
      </c>
      <c r="AK141" s="643">
        <f t="shared" si="85"/>
        <v>0</v>
      </c>
      <c r="AL141" s="646">
        <f t="shared" si="85"/>
        <v>11</v>
      </c>
      <c r="AM141" s="645">
        <f t="shared" si="85"/>
        <v>4</v>
      </c>
      <c r="AN141" s="163">
        <f t="shared" si="85"/>
        <v>3</v>
      </c>
      <c r="AO141" s="163">
        <f t="shared" si="85"/>
        <v>0</v>
      </c>
      <c r="AP141" s="163">
        <f t="shared" si="85"/>
        <v>1</v>
      </c>
      <c r="AQ141" s="644">
        <f t="shared" si="85"/>
        <v>0</v>
      </c>
      <c r="AR141" s="645">
        <f t="shared" si="85"/>
        <v>7</v>
      </c>
      <c r="AS141" s="163">
        <f t="shared" si="85"/>
        <v>6</v>
      </c>
      <c r="AT141" s="163">
        <f t="shared" si="85"/>
        <v>0</v>
      </c>
      <c r="AU141" s="163">
        <f t="shared" si="85"/>
        <v>1</v>
      </c>
      <c r="AV141" s="643">
        <f t="shared" si="85"/>
        <v>0</v>
      </c>
      <c r="AW141" s="646">
        <f t="shared" si="85"/>
        <v>4</v>
      </c>
      <c r="AX141" s="645">
        <f t="shared" si="85"/>
        <v>1</v>
      </c>
      <c r="AY141" s="163">
        <f t="shared" si="85"/>
        <v>1</v>
      </c>
      <c r="AZ141" s="163">
        <f t="shared" si="85"/>
        <v>0</v>
      </c>
      <c r="BA141" s="163">
        <f t="shared" si="85"/>
        <v>0</v>
      </c>
      <c r="BB141" s="644">
        <f t="shared" si="85"/>
        <v>0</v>
      </c>
      <c r="BC141" s="645">
        <f t="shared" si="85"/>
        <v>3</v>
      </c>
      <c r="BD141" s="163">
        <f t="shared" si="85"/>
        <v>3</v>
      </c>
      <c r="BE141" s="163">
        <f t="shared" si="85"/>
        <v>0</v>
      </c>
      <c r="BF141" s="163">
        <f t="shared" si="85"/>
        <v>0</v>
      </c>
      <c r="BG141" s="643">
        <f t="shared" si="85"/>
        <v>0</v>
      </c>
      <c r="BH141" s="646">
        <f t="shared" si="85"/>
        <v>6</v>
      </c>
      <c r="BI141" s="645">
        <f t="shared" si="85"/>
        <v>5</v>
      </c>
      <c r="BJ141" s="163">
        <f t="shared" si="85"/>
        <v>3</v>
      </c>
      <c r="BK141" s="163">
        <f t="shared" si="85"/>
        <v>0</v>
      </c>
      <c r="BL141" s="163">
        <f t="shared" si="85"/>
        <v>2</v>
      </c>
      <c r="BM141" s="644">
        <f t="shared" si="85"/>
        <v>0</v>
      </c>
      <c r="BN141" s="645">
        <f t="shared" si="85"/>
        <v>1</v>
      </c>
      <c r="BO141" s="163">
        <f t="shared" si="85"/>
        <v>1</v>
      </c>
      <c r="BP141" s="163">
        <f t="shared" si="85"/>
        <v>0</v>
      </c>
      <c r="BQ141" s="163">
        <f t="shared" si="85"/>
        <v>0</v>
      </c>
      <c r="BR141" s="643">
        <f t="shared" si="86"/>
        <v>0</v>
      </c>
      <c r="BS141" s="646">
        <f t="shared" si="86"/>
        <v>5</v>
      </c>
      <c r="BT141" s="645">
        <f t="shared" si="86"/>
        <v>2</v>
      </c>
      <c r="BU141" s="163">
        <f t="shared" si="86"/>
        <v>1</v>
      </c>
      <c r="BV141" s="163">
        <f t="shared" si="86"/>
        <v>0</v>
      </c>
      <c r="BW141" s="163">
        <f t="shared" si="86"/>
        <v>1</v>
      </c>
      <c r="BX141" s="644">
        <f t="shared" si="86"/>
        <v>0</v>
      </c>
      <c r="BY141" s="645">
        <f t="shared" si="86"/>
        <v>3</v>
      </c>
      <c r="BZ141" s="163">
        <f t="shared" si="86"/>
        <v>3</v>
      </c>
      <c r="CA141" s="163">
        <f t="shared" si="86"/>
        <v>0</v>
      </c>
      <c r="CB141" s="163">
        <f t="shared" si="86"/>
        <v>0</v>
      </c>
      <c r="CC141" s="643">
        <f t="shared" si="86"/>
        <v>0</v>
      </c>
      <c r="CD141" s="646">
        <f t="shared" si="86"/>
        <v>4</v>
      </c>
      <c r="CE141" s="645">
        <f t="shared" si="86"/>
        <v>3</v>
      </c>
      <c r="CF141" s="163">
        <f t="shared" si="86"/>
        <v>2</v>
      </c>
      <c r="CG141" s="163">
        <f t="shared" si="86"/>
        <v>0</v>
      </c>
      <c r="CH141" s="163">
        <f t="shared" si="86"/>
        <v>1</v>
      </c>
      <c r="CI141" s="644">
        <f t="shared" si="86"/>
        <v>0</v>
      </c>
      <c r="CJ141" s="645">
        <f t="shared" si="86"/>
        <v>1</v>
      </c>
      <c r="CK141" s="163">
        <f t="shared" si="86"/>
        <v>1</v>
      </c>
      <c r="CL141" s="163">
        <f t="shared" si="86"/>
        <v>0</v>
      </c>
      <c r="CM141" s="163">
        <f t="shared" si="86"/>
        <v>0</v>
      </c>
      <c r="CN141" s="643">
        <f t="shared" si="86"/>
        <v>0</v>
      </c>
      <c r="CO141" s="646">
        <f t="shared" si="86"/>
        <v>1</v>
      </c>
      <c r="CP141" s="645">
        <f t="shared" si="86"/>
        <v>0</v>
      </c>
      <c r="CQ141" s="163">
        <f t="shared" si="86"/>
        <v>0</v>
      </c>
      <c r="CR141" s="163">
        <f t="shared" si="86"/>
        <v>0</v>
      </c>
      <c r="CS141" s="163">
        <f t="shared" si="86"/>
        <v>0</v>
      </c>
      <c r="CT141" s="644">
        <f t="shared" si="86"/>
        <v>0</v>
      </c>
      <c r="CU141" s="645">
        <f t="shared" si="86"/>
        <v>1</v>
      </c>
      <c r="CV141" s="163">
        <f t="shared" si="86"/>
        <v>1</v>
      </c>
      <c r="CW141" s="163">
        <f t="shared" si="86"/>
        <v>0</v>
      </c>
      <c r="CX141" s="163">
        <f t="shared" si="86"/>
        <v>0</v>
      </c>
      <c r="CY141" s="643">
        <f t="shared" si="86"/>
        <v>0</v>
      </c>
      <c r="CZ141" s="646">
        <f t="shared" si="86"/>
        <v>1</v>
      </c>
      <c r="DA141" s="645">
        <f t="shared" si="86"/>
        <v>0</v>
      </c>
      <c r="DB141" s="163">
        <f t="shared" si="86"/>
        <v>0</v>
      </c>
      <c r="DC141" s="163">
        <f t="shared" si="86"/>
        <v>0</v>
      </c>
      <c r="DD141" s="163">
        <f t="shared" si="86"/>
        <v>0</v>
      </c>
      <c r="DE141" s="644">
        <f t="shared" si="86"/>
        <v>0</v>
      </c>
      <c r="DF141" s="645">
        <f t="shared" si="86"/>
        <v>1</v>
      </c>
      <c r="DG141" s="163">
        <f t="shared" si="86"/>
        <v>1</v>
      </c>
      <c r="DH141" s="163">
        <f t="shared" si="86"/>
        <v>0</v>
      </c>
      <c r="DI141" s="163">
        <f t="shared" si="86"/>
        <v>0</v>
      </c>
      <c r="DJ141" s="643">
        <f t="shared" si="86"/>
        <v>0</v>
      </c>
      <c r="DK141" s="646">
        <f t="shared" si="86"/>
        <v>0</v>
      </c>
      <c r="DL141" s="645">
        <f t="shared" si="86"/>
        <v>0</v>
      </c>
      <c r="DM141" s="163">
        <f t="shared" si="86"/>
        <v>0</v>
      </c>
      <c r="DN141" s="163">
        <f t="shared" si="86"/>
        <v>0</v>
      </c>
      <c r="DO141" s="163">
        <f t="shared" si="86"/>
        <v>0</v>
      </c>
      <c r="DP141" s="644">
        <f t="shared" si="86"/>
        <v>0</v>
      </c>
      <c r="DQ141" s="645">
        <f t="shared" si="86"/>
        <v>0</v>
      </c>
      <c r="DR141" s="163">
        <f t="shared" si="86"/>
        <v>0</v>
      </c>
      <c r="DS141" s="163">
        <f t="shared" si="86"/>
        <v>0</v>
      </c>
      <c r="DT141" s="163">
        <f t="shared" si="86"/>
        <v>0</v>
      </c>
      <c r="DU141" s="643">
        <f t="shared" si="86"/>
        <v>0</v>
      </c>
      <c r="DW141" s="646">
        <f t="shared" si="84"/>
        <v>24</v>
      </c>
      <c r="DX141" s="645">
        <f t="shared" si="84"/>
        <v>11</v>
      </c>
      <c r="DY141" s="163">
        <f t="shared" si="84"/>
        <v>7</v>
      </c>
      <c r="DZ141" s="163">
        <f t="shared" si="84"/>
        <v>0</v>
      </c>
      <c r="EA141" s="163">
        <f t="shared" si="84"/>
        <v>4</v>
      </c>
      <c r="EB141" s="644">
        <f t="shared" si="84"/>
        <v>0</v>
      </c>
      <c r="EC141" s="645">
        <f t="shared" si="84"/>
        <v>13</v>
      </c>
      <c r="ED141" s="163">
        <f t="shared" si="84"/>
        <v>12</v>
      </c>
      <c r="EE141" s="163">
        <f t="shared" si="84"/>
        <v>0</v>
      </c>
      <c r="EF141" s="163">
        <f t="shared" si="84"/>
        <v>1</v>
      </c>
      <c r="EG141" s="643">
        <f t="shared" si="84"/>
        <v>0</v>
      </c>
      <c r="EH141" s="646">
        <f t="shared" si="73"/>
        <v>11</v>
      </c>
      <c r="EI141" s="645">
        <f t="shared" si="73"/>
        <v>4</v>
      </c>
      <c r="EJ141" s="163">
        <f t="shared" si="73"/>
        <v>3</v>
      </c>
      <c r="EK141" s="163">
        <f t="shared" si="73"/>
        <v>0</v>
      </c>
      <c r="EL141" s="163">
        <f t="shared" si="73"/>
        <v>1</v>
      </c>
      <c r="EM141" s="644">
        <f t="shared" si="73"/>
        <v>0</v>
      </c>
      <c r="EN141" s="645">
        <f t="shared" si="73"/>
        <v>7</v>
      </c>
      <c r="EO141" s="163">
        <f t="shared" si="73"/>
        <v>6</v>
      </c>
      <c r="EP141" s="163">
        <f t="shared" si="79"/>
        <v>0</v>
      </c>
      <c r="EQ141" s="163">
        <f t="shared" si="79"/>
        <v>1</v>
      </c>
      <c r="ER141" s="643">
        <f t="shared" si="79"/>
        <v>0</v>
      </c>
    </row>
    <row r="142" spans="1:148">
      <c r="A142" s="665" t="s">
        <v>225</v>
      </c>
      <c r="B142" s="665">
        <v>42826</v>
      </c>
      <c r="C142" s="664">
        <v>2017</v>
      </c>
      <c r="D142" s="646">
        <f t="shared" ref="D142" si="89">D43/3+D141</f>
        <v>246232</v>
      </c>
      <c r="E142" s="646">
        <f t="shared" si="88"/>
        <v>2016.3333333333335</v>
      </c>
      <c r="F142" s="645">
        <f t="shared" si="85"/>
        <v>872.33333333333326</v>
      </c>
      <c r="G142" s="163">
        <f t="shared" si="85"/>
        <v>615.66666666666663</v>
      </c>
      <c r="H142" s="163">
        <f t="shared" si="85"/>
        <v>0</v>
      </c>
      <c r="I142" s="163">
        <f t="shared" si="85"/>
        <v>256.66666666666669</v>
      </c>
      <c r="J142" s="644">
        <f t="shared" si="85"/>
        <v>0</v>
      </c>
      <c r="K142" s="645">
        <f t="shared" si="85"/>
        <v>1144</v>
      </c>
      <c r="L142" s="163">
        <f t="shared" si="85"/>
        <v>940.33333333333326</v>
      </c>
      <c r="M142" s="163">
        <f t="shared" si="85"/>
        <v>0</v>
      </c>
      <c r="N142" s="163">
        <f t="shared" si="85"/>
        <v>139</v>
      </c>
      <c r="O142" s="643">
        <f t="shared" si="85"/>
        <v>64.666666666666657</v>
      </c>
      <c r="P142" s="646">
        <f t="shared" si="85"/>
        <v>3</v>
      </c>
      <c r="Q142" s="645">
        <f t="shared" si="85"/>
        <v>0.33333333333333331</v>
      </c>
      <c r="R142" s="163">
        <f t="shared" si="85"/>
        <v>0.33333333333333331</v>
      </c>
      <c r="S142" s="163">
        <f t="shared" si="85"/>
        <v>0</v>
      </c>
      <c r="T142" s="163">
        <f t="shared" si="85"/>
        <v>0</v>
      </c>
      <c r="U142" s="644">
        <f t="shared" si="85"/>
        <v>0</v>
      </c>
      <c r="V142" s="645">
        <f t="shared" si="85"/>
        <v>2.6666666666666665</v>
      </c>
      <c r="W142" s="163">
        <f t="shared" si="85"/>
        <v>1.6666666666666665</v>
      </c>
      <c r="X142" s="163">
        <f t="shared" si="85"/>
        <v>0</v>
      </c>
      <c r="Y142" s="163">
        <f t="shared" si="85"/>
        <v>1</v>
      </c>
      <c r="Z142" s="643">
        <f t="shared" si="85"/>
        <v>0</v>
      </c>
      <c r="AA142" s="646">
        <f t="shared" si="85"/>
        <v>2</v>
      </c>
      <c r="AB142" s="645">
        <f t="shared" si="85"/>
        <v>0</v>
      </c>
      <c r="AC142" s="163">
        <f t="shared" si="85"/>
        <v>0</v>
      </c>
      <c r="AD142" s="163">
        <f t="shared" si="85"/>
        <v>0</v>
      </c>
      <c r="AE142" s="163">
        <f t="shared" si="85"/>
        <v>0</v>
      </c>
      <c r="AF142" s="644">
        <f t="shared" si="85"/>
        <v>0</v>
      </c>
      <c r="AG142" s="645">
        <f t="shared" si="85"/>
        <v>2</v>
      </c>
      <c r="AH142" s="163">
        <f t="shared" si="85"/>
        <v>2</v>
      </c>
      <c r="AI142" s="163">
        <f t="shared" si="85"/>
        <v>0</v>
      </c>
      <c r="AJ142" s="163">
        <f t="shared" si="85"/>
        <v>0</v>
      </c>
      <c r="AK142" s="643">
        <f t="shared" si="85"/>
        <v>0</v>
      </c>
      <c r="AL142" s="646">
        <f t="shared" si="85"/>
        <v>15.333333333333332</v>
      </c>
      <c r="AM142" s="645">
        <f t="shared" si="85"/>
        <v>6</v>
      </c>
      <c r="AN142" s="163">
        <f t="shared" si="85"/>
        <v>5</v>
      </c>
      <c r="AO142" s="163">
        <f t="shared" si="85"/>
        <v>0</v>
      </c>
      <c r="AP142" s="163">
        <f t="shared" si="85"/>
        <v>1</v>
      </c>
      <c r="AQ142" s="644">
        <f t="shared" si="85"/>
        <v>0</v>
      </c>
      <c r="AR142" s="645">
        <f t="shared" si="85"/>
        <v>9.3333333333333339</v>
      </c>
      <c r="AS142" s="163">
        <f t="shared" si="85"/>
        <v>8</v>
      </c>
      <c r="AT142" s="163">
        <f t="shared" si="85"/>
        <v>0</v>
      </c>
      <c r="AU142" s="163">
        <f t="shared" si="85"/>
        <v>1</v>
      </c>
      <c r="AV142" s="643">
        <f t="shared" si="85"/>
        <v>0.33333333333333331</v>
      </c>
      <c r="AW142" s="646">
        <f t="shared" si="85"/>
        <v>8</v>
      </c>
      <c r="AX142" s="645">
        <f t="shared" si="85"/>
        <v>2.666666666666667</v>
      </c>
      <c r="AY142" s="163">
        <f t="shared" si="85"/>
        <v>2.333333333333333</v>
      </c>
      <c r="AZ142" s="163">
        <f t="shared" si="85"/>
        <v>0</v>
      </c>
      <c r="BA142" s="163">
        <f t="shared" si="85"/>
        <v>0.33333333333333331</v>
      </c>
      <c r="BB142" s="644">
        <f t="shared" si="85"/>
        <v>0</v>
      </c>
      <c r="BC142" s="645">
        <f t="shared" si="85"/>
        <v>5.3333333333333339</v>
      </c>
      <c r="BD142" s="163">
        <f t="shared" si="85"/>
        <v>5</v>
      </c>
      <c r="BE142" s="163">
        <f t="shared" si="85"/>
        <v>0</v>
      </c>
      <c r="BF142" s="163">
        <f t="shared" si="85"/>
        <v>0.33333333333333331</v>
      </c>
      <c r="BG142" s="643">
        <f t="shared" si="85"/>
        <v>0</v>
      </c>
      <c r="BH142" s="646">
        <f t="shared" si="85"/>
        <v>12</v>
      </c>
      <c r="BI142" s="645">
        <f t="shared" si="85"/>
        <v>6.333333333333333</v>
      </c>
      <c r="BJ142" s="163">
        <f t="shared" si="85"/>
        <v>4.333333333333333</v>
      </c>
      <c r="BK142" s="163">
        <f t="shared" si="85"/>
        <v>0</v>
      </c>
      <c r="BL142" s="163">
        <f t="shared" si="85"/>
        <v>2</v>
      </c>
      <c r="BM142" s="644">
        <f t="shared" si="85"/>
        <v>0</v>
      </c>
      <c r="BN142" s="645">
        <f t="shared" si="85"/>
        <v>5.666666666666667</v>
      </c>
      <c r="BO142" s="163">
        <f t="shared" si="85"/>
        <v>4.6666666666666661</v>
      </c>
      <c r="BP142" s="163">
        <f t="shared" si="85"/>
        <v>0</v>
      </c>
      <c r="BQ142" s="163">
        <f t="shared" si="85"/>
        <v>0</v>
      </c>
      <c r="BR142" s="643">
        <f t="shared" si="86"/>
        <v>1</v>
      </c>
      <c r="BS142" s="646">
        <f t="shared" si="86"/>
        <v>14</v>
      </c>
      <c r="BT142" s="645">
        <f t="shared" si="86"/>
        <v>7.333333333333333</v>
      </c>
      <c r="BU142" s="163">
        <f t="shared" si="86"/>
        <v>6</v>
      </c>
      <c r="BV142" s="163">
        <f t="shared" si="86"/>
        <v>0</v>
      </c>
      <c r="BW142" s="163">
        <f t="shared" si="86"/>
        <v>1.3333333333333333</v>
      </c>
      <c r="BX142" s="644">
        <f t="shared" si="86"/>
        <v>0</v>
      </c>
      <c r="BY142" s="645">
        <f t="shared" si="86"/>
        <v>6.6666666666666661</v>
      </c>
      <c r="BZ142" s="163">
        <f t="shared" si="86"/>
        <v>6</v>
      </c>
      <c r="CA142" s="163">
        <f t="shared" si="86"/>
        <v>0</v>
      </c>
      <c r="CB142" s="163">
        <f t="shared" si="86"/>
        <v>0</v>
      </c>
      <c r="CC142" s="643">
        <f t="shared" si="86"/>
        <v>0.66666666666666663</v>
      </c>
      <c r="CD142" s="646">
        <f t="shared" si="86"/>
        <v>7.6666666666666661</v>
      </c>
      <c r="CE142" s="645">
        <f t="shared" si="86"/>
        <v>4.666666666666667</v>
      </c>
      <c r="CF142" s="163">
        <f t="shared" si="86"/>
        <v>3.333333333333333</v>
      </c>
      <c r="CG142" s="163">
        <f t="shared" si="86"/>
        <v>0</v>
      </c>
      <c r="CH142" s="163">
        <f t="shared" si="86"/>
        <v>1.3333333333333333</v>
      </c>
      <c r="CI142" s="644">
        <f t="shared" si="86"/>
        <v>0</v>
      </c>
      <c r="CJ142" s="645">
        <f t="shared" si="86"/>
        <v>3</v>
      </c>
      <c r="CK142" s="163">
        <f t="shared" si="86"/>
        <v>2.333333333333333</v>
      </c>
      <c r="CL142" s="163">
        <f t="shared" si="86"/>
        <v>0</v>
      </c>
      <c r="CM142" s="163">
        <f t="shared" si="86"/>
        <v>0.33333333333333331</v>
      </c>
      <c r="CN142" s="643">
        <f t="shared" si="86"/>
        <v>0.33333333333333331</v>
      </c>
      <c r="CO142" s="646">
        <f t="shared" si="86"/>
        <v>2</v>
      </c>
      <c r="CP142" s="645">
        <f t="shared" si="86"/>
        <v>0.66666666666666663</v>
      </c>
      <c r="CQ142" s="163">
        <f t="shared" si="86"/>
        <v>0.66666666666666663</v>
      </c>
      <c r="CR142" s="163">
        <f t="shared" si="86"/>
        <v>0</v>
      </c>
      <c r="CS142" s="163">
        <f t="shared" si="86"/>
        <v>0</v>
      </c>
      <c r="CT142" s="644">
        <f t="shared" si="86"/>
        <v>0</v>
      </c>
      <c r="CU142" s="645">
        <f t="shared" si="86"/>
        <v>1.3333333333333333</v>
      </c>
      <c r="CV142" s="163">
        <f t="shared" si="86"/>
        <v>1.3333333333333333</v>
      </c>
      <c r="CW142" s="163">
        <f t="shared" si="86"/>
        <v>0</v>
      </c>
      <c r="CX142" s="163">
        <f t="shared" si="86"/>
        <v>0</v>
      </c>
      <c r="CY142" s="643">
        <f t="shared" si="86"/>
        <v>0</v>
      </c>
      <c r="CZ142" s="646">
        <f t="shared" si="86"/>
        <v>1.3333333333333333</v>
      </c>
      <c r="DA142" s="645">
        <f t="shared" si="86"/>
        <v>0.33333333333333331</v>
      </c>
      <c r="DB142" s="163">
        <f t="shared" si="86"/>
        <v>0</v>
      </c>
      <c r="DC142" s="163">
        <f t="shared" si="86"/>
        <v>0</v>
      </c>
      <c r="DD142" s="163">
        <f t="shared" si="86"/>
        <v>0.33333333333333331</v>
      </c>
      <c r="DE142" s="644">
        <f t="shared" si="86"/>
        <v>0</v>
      </c>
      <c r="DF142" s="645">
        <f t="shared" si="86"/>
        <v>1</v>
      </c>
      <c r="DG142" s="163">
        <f t="shared" si="86"/>
        <v>1</v>
      </c>
      <c r="DH142" s="163">
        <f t="shared" si="86"/>
        <v>0</v>
      </c>
      <c r="DI142" s="163">
        <f t="shared" si="86"/>
        <v>0</v>
      </c>
      <c r="DJ142" s="643">
        <f t="shared" si="86"/>
        <v>0</v>
      </c>
      <c r="DK142" s="646">
        <f t="shared" si="86"/>
        <v>0</v>
      </c>
      <c r="DL142" s="645">
        <f t="shared" si="86"/>
        <v>0</v>
      </c>
      <c r="DM142" s="163">
        <f t="shared" si="86"/>
        <v>0</v>
      </c>
      <c r="DN142" s="163">
        <f t="shared" si="86"/>
        <v>0</v>
      </c>
      <c r="DO142" s="163">
        <f t="shared" si="86"/>
        <v>0</v>
      </c>
      <c r="DP142" s="644">
        <f t="shared" si="86"/>
        <v>0</v>
      </c>
      <c r="DQ142" s="645">
        <f t="shared" si="86"/>
        <v>0</v>
      </c>
      <c r="DR142" s="163">
        <f t="shared" si="86"/>
        <v>0</v>
      </c>
      <c r="DS142" s="163">
        <f t="shared" si="86"/>
        <v>0</v>
      </c>
      <c r="DT142" s="163">
        <f t="shared" si="86"/>
        <v>0</v>
      </c>
      <c r="DU142" s="643">
        <f t="shared" si="86"/>
        <v>0</v>
      </c>
      <c r="DW142" s="646">
        <f t="shared" si="84"/>
        <v>50</v>
      </c>
      <c r="DX142" s="645">
        <f t="shared" si="84"/>
        <v>22.333333333333336</v>
      </c>
      <c r="DY142" s="163">
        <f t="shared" si="84"/>
        <v>17</v>
      </c>
      <c r="DZ142" s="163">
        <f t="shared" si="84"/>
        <v>0</v>
      </c>
      <c r="EA142" s="163">
        <f t="shared" si="84"/>
        <v>5.333333333333333</v>
      </c>
      <c r="EB142" s="644">
        <f t="shared" si="84"/>
        <v>0</v>
      </c>
      <c r="EC142" s="645">
        <f t="shared" si="84"/>
        <v>27.666666666666668</v>
      </c>
      <c r="ED142" s="163">
        <f t="shared" si="84"/>
        <v>23.999999999999996</v>
      </c>
      <c r="EE142" s="163">
        <f t="shared" si="84"/>
        <v>0</v>
      </c>
      <c r="EF142" s="163">
        <f t="shared" si="84"/>
        <v>1.6666666666666665</v>
      </c>
      <c r="EG142" s="643">
        <f t="shared" si="84"/>
        <v>1.9999999999999998</v>
      </c>
      <c r="EH142" s="646">
        <f t="shared" si="73"/>
        <v>15.333333333333332</v>
      </c>
      <c r="EI142" s="645">
        <f t="shared" si="73"/>
        <v>6</v>
      </c>
      <c r="EJ142" s="163">
        <f t="shared" si="73"/>
        <v>5</v>
      </c>
      <c r="EK142" s="163">
        <f t="shared" si="73"/>
        <v>0</v>
      </c>
      <c r="EL142" s="163">
        <f t="shared" si="73"/>
        <v>1</v>
      </c>
      <c r="EM142" s="644">
        <f t="shared" si="73"/>
        <v>0</v>
      </c>
      <c r="EN142" s="645">
        <f t="shared" si="73"/>
        <v>9.3333333333333339</v>
      </c>
      <c r="EO142" s="163">
        <f t="shared" si="73"/>
        <v>8</v>
      </c>
      <c r="EP142" s="163">
        <f t="shared" si="79"/>
        <v>0</v>
      </c>
      <c r="EQ142" s="163">
        <f t="shared" si="79"/>
        <v>1</v>
      </c>
      <c r="ER142" s="643">
        <f t="shared" si="79"/>
        <v>0.33333333333333331</v>
      </c>
    </row>
    <row r="143" spans="1:148">
      <c r="A143" s="665" t="s">
        <v>225</v>
      </c>
      <c r="B143" s="665">
        <v>42856</v>
      </c>
      <c r="C143" s="664">
        <v>2017</v>
      </c>
      <c r="D143" s="646">
        <f t="shared" ref="D143" si="90">D44/3+D142</f>
        <v>324239</v>
      </c>
      <c r="E143" s="646">
        <f t="shared" si="88"/>
        <v>2712.666666666667</v>
      </c>
      <c r="F143" s="645">
        <f t="shared" si="85"/>
        <v>1149.6666666666665</v>
      </c>
      <c r="G143" s="163">
        <f t="shared" si="85"/>
        <v>817.33333333333326</v>
      </c>
      <c r="H143" s="163">
        <f t="shared" si="85"/>
        <v>0</v>
      </c>
      <c r="I143" s="163">
        <f t="shared" si="85"/>
        <v>332.33333333333337</v>
      </c>
      <c r="J143" s="644">
        <f t="shared" si="85"/>
        <v>0</v>
      </c>
      <c r="K143" s="645">
        <f t="shared" si="85"/>
        <v>1563</v>
      </c>
      <c r="L143" s="163">
        <f t="shared" si="85"/>
        <v>1252.6666666666665</v>
      </c>
      <c r="M143" s="163">
        <f t="shared" si="85"/>
        <v>0</v>
      </c>
      <c r="N143" s="163">
        <f t="shared" si="85"/>
        <v>190</v>
      </c>
      <c r="O143" s="643">
        <f t="shared" si="85"/>
        <v>120.33333333333331</v>
      </c>
      <c r="P143" s="646">
        <f t="shared" si="85"/>
        <v>4</v>
      </c>
      <c r="Q143" s="645">
        <f t="shared" si="85"/>
        <v>0.66666666666666663</v>
      </c>
      <c r="R143" s="163">
        <f t="shared" si="85"/>
        <v>0.66666666666666663</v>
      </c>
      <c r="S143" s="163">
        <f t="shared" si="85"/>
        <v>0</v>
      </c>
      <c r="T143" s="163">
        <f t="shared" si="85"/>
        <v>0</v>
      </c>
      <c r="U143" s="644">
        <f t="shared" si="85"/>
        <v>0</v>
      </c>
      <c r="V143" s="645">
        <f t="shared" si="85"/>
        <v>3.333333333333333</v>
      </c>
      <c r="W143" s="163">
        <f t="shared" si="85"/>
        <v>2.333333333333333</v>
      </c>
      <c r="X143" s="163">
        <f t="shared" si="85"/>
        <v>0</v>
      </c>
      <c r="Y143" s="163">
        <f t="shared" si="85"/>
        <v>1</v>
      </c>
      <c r="Z143" s="643">
        <f t="shared" si="85"/>
        <v>0</v>
      </c>
      <c r="AA143" s="646">
        <f t="shared" si="85"/>
        <v>3</v>
      </c>
      <c r="AB143" s="645">
        <f t="shared" si="85"/>
        <v>0</v>
      </c>
      <c r="AC143" s="163">
        <f t="shared" si="85"/>
        <v>0</v>
      </c>
      <c r="AD143" s="163">
        <f t="shared" si="85"/>
        <v>0</v>
      </c>
      <c r="AE143" s="163">
        <f t="shared" si="85"/>
        <v>0</v>
      </c>
      <c r="AF143" s="644">
        <f t="shared" si="85"/>
        <v>0</v>
      </c>
      <c r="AG143" s="645">
        <f t="shared" si="85"/>
        <v>3</v>
      </c>
      <c r="AH143" s="163">
        <f t="shared" si="85"/>
        <v>3</v>
      </c>
      <c r="AI143" s="163">
        <f t="shared" si="85"/>
        <v>0</v>
      </c>
      <c r="AJ143" s="163">
        <f t="shared" si="85"/>
        <v>0</v>
      </c>
      <c r="AK143" s="643">
        <f t="shared" si="85"/>
        <v>0</v>
      </c>
      <c r="AL143" s="646">
        <f t="shared" si="85"/>
        <v>19.666666666666664</v>
      </c>
      <c r="AM143" s="645">
        <f t="shared" si="85"/>
        <v>8</v>
      </c>
      <c r="AN143" s="163">
        <f t="shared" si="85"/>
        <v>7</v>
      </c>
      <c r="AO143" s="163">
        <f t="shared" si="85"/>
        <v>0</v>
      </c>
      <c r="AP143" s="163">
        <f t="shared" si="85"/>
        <v>1</v>
      </c>
      <c r="AQ143" s="644">
        <f t="shared" si="85"/>
        <v>0</v>
      </c>
      <c r="AR143" s="645">
        <f t="shared" si="85"/>
        <v>11.666666666666668</v>
      </c>
      <c r="AS143" s="163">
        <f t="shared" si="85"/>
        <v>10</v>
      </c>
      <c r="AT143" s="163">
        <f t="shared" si="85"/>
        <v>0</v>
      </c>
      <c r="AU143" s="163">
        <f t="shared" si="85"/>
        <v>1</v>
      </c>
      <c r="AV143" s="643">
        <f t="shared" si="85"/>
        <v>0.66666666666666663</v>
      </c>
      <c r="AW143" s="646">
        <f t="shared" si="85"/>
        <v>12</v>
      </c>
      <c r="AX143" s="645">
        <f t="shared" si="85"/>
        <v>4.3333333333333339</v>
      </c>
      <c r="AY143" s="163">
        <f t="shared" si="85"/>
        <v>3.6666666666666661</v>
      </c>
      <c r="AZ143" s="163">
        <f t="shared" si="85"/>
        <v>0</v>
      </c>
      <c r="BA143" s="163">
        <f t="shared" si="85"/>
        <v>0.66666666666666663</v>
      </c>
      <c r="BB143" s="644">
        <f t="shared" si="85"/>
        <v>0</v>
      </c>
      <c r="BC143" s="645">
        <f t="shared" si="85"/>
        <v>7.6666666666666679</v>
      </c>
      <c r="BD143" s="163">
        <f t="shared" si="85"/>
        <v>7</v>
      </c>
      <c r="BE143" s="163">
        <f t="shared" si="85"/>
        <v>0</v>
      </c>
      <c r="BF143" s="163">
        <f t="shared" si="85"/>
        <v>0.66666666666666663</v>
      </c>
      <c r="BG143" s="643">
        <f t="shared" si="85"/>
        <v>0</v>
      </c>
      <c r="BH143" s="646">
        <f t="shared" si="85"/>
        <v>18</v>
      </c>
      <c r="BI143" s="645">
        <f t="shared" si="85"/>
        <v>7.6666666666666661</v>
      </c>
      <c r="BJ143" s="163">
        <f t="shared" si="85"/>
        <v>5.6666666666666661</v>
      </c>
      <c r="BK143" s="163">
        <f t="shared" si="85"/>
        <v>0</v>
      </c>
      <c r="BL143" s="163">
        <f t="shared" si="85"/>
        <v>2</v>
      </c>
      <c r="BM143" s="644">
        <f t="shared" si="85"/>
        <v>0</v>
      </c>
      <c r="BN143" s="645">
        <f t="shared" si="85"/>
        <v>10.333333333333334</v>
      </c>
      <c r="BO143" s="163">
        <f t="shared" si="85"/>
        <v>8.3333333333333321</v>
      </c>
      <c r="BP143" s="163">
        <f t="shared" si="85"/>
        <v>0</v>
      </c>
      <c r="BQ143" s="163">
        <f t="shared" ref="BQ143:CF158" si="91">BQ44/3+BQ142</f>
        <v>0</v>
      </c>
      <c r="BR143" s="643">
        <f t="shared" si="86"/>
        <v>2</v>
      </c>
      <c r="BS143" s="646">
        <f t="shared" si="86"/>
        <v>23</v>
      </c>
      <c r="BT143" s="645">
        <f t="shared" si="86"/>
        <v>12.666666666666666</v>
      </c>
      <c r="BU143" s="163">
        <f t="shared" si="86"/>
        <v>11</v>
      </c>
      <c r="BV143" s="163">
        <f t="shared" si="86"/>
        <v>0</v>
      </c>
      <c r="BW143" s="163">
        <f t="shared" si="86"/>
        <v>1.6666666666666665</v>
      </c>
      <c r="BX143" s="644">
        <f t="shared" si="86"/>
        <v>0</v>
      </c>
      <c r="BY143" s="645">
        <f t="shared" si="86"/>
        <v>10.333333333333332</v>
      </c>
      <c r="BZ143" s="163">
        <f t="shared" si="86"/>
        <v>9</v>
      </c>
      <c r="CA143" s="163">
        <f t="shared" si="86"/>
        <v>0</v>
      </c>
      <c r="CB143" s="163">
        <f t="shared" si="86"/>
        <v>0</v>
      </c>
      <c r="CC143" s="643">
        <f t="shared" si="86"/>
        <v>1.3333333333333333</v>
      </c>
      <c r="CD143" s="646">
        <f t="shared" si="86"/>
        <v>11.333333333333332</v>
      </c>
      <c r="CE143" s="645">
        <f t="shared" si="86"/>
        <v>6.3333333333333339</v>
      </c>
      <c r="CF143" s="163">
        <f t="shared" si="86"/>
        <v>4.6666666666666661</v>
      </c>
      <c r="CG143" s="163">
        <f t="shared" si="86"/>
        <v>0</v>
      </c>
      <c r="CH143" s="163">
        <f t="shared" si="86"/>
        <v>1.6666666666666665</v>
      </c>
      <c r="CI143" s="644">
        <f t="shared" si="86"/>
        <v>0</v>
      </c>
      <c r="CJ143" s="645">
        <f t="shared" si="86"/>
        <v>5</v>
      </c>
      <c r="CK143" s="163">
        <f t="shared" si="86"/>
        <v>3.6666666666666661</v>
      </c>
      <c r="CL143" s="163">
        <f t="shared" si="86"/>
        <v>0</v>
      </c>
      <c r="CM143" s="163">
        <f t="shared" si="86"/>
        <v>0.66666666666666663</v>
      </c>
      <c r="CN143" s="643">
        <f t="shared" si="86"/>
        <v>0.66666666666666663</v>
      </c>
      <c r="CO143" s="646">
        <f t="shared" si="86"/>
        <v>3</v>
      </c>
      <c r="CP143" s="645">
        <f t="shared" si="86"/>
        <v>1.3333333333333333</v>
      </c>
      <c r="CQ143" s="163">
        <f t="shared" si="86"/>
        <v>1.3333333333333333</v>
      </c>
      <c r="CR143" s="163">
        <f t="shared" si="86"/>
        <v>0</v>
      </c>
      <c r="CS143" s="163">
        <f t="shared" si="86"/>
        <v>0</v>
      </c>
      <c r="CT143" s="644">
        <f t="shared" si="86"/>
        <v>0</v>
      </c>
      <c r="CU143" s="645">
        <f t="shared" si="86"/>
        <v>1.6666666666666665</v>
      </c>
      <c r="CV143" s="163">
        <f t="shared" si="86"/>
        <v>1.6666666666666665</v>
      </c>
      <c r="CW143" s="163">
        <f t="shared" si="86"/>
        <v>0</v>
      </c>
      <c r="CX143" s="163">
        <f t="shared" si="86"/>
        <v>0</v>
      </c>
      <c r="CY143" s="643">
        <f t="shared" si="86"/>
        <v>0</v>
      </c>
      <c r="CZ143" s="646">
        <f t="shared" si="86"/>
        <v>1.6666666666666665</v>
      </c>
      <c r="DA143" s="645">
        <f t="shared" si="86"/>
        <v>0.66666666666666663</v>
      </c>
      <c r="DB143" s="163">
        <f t="shared" si="86"/>
        <v>0</v>
      </c>
      <c r="DC143" s="163">
        <f t="shared" si="86"/>
        <v>0</v>
      </c>
      <c r="DD143" s="163">
        <f t="shared" si="86"/>
        <v>0.66666666666666663</v>
      </c>
      <c r="DE143" s="644">
        <f t="shared" si="86"/>
        <v>0</v>
      </c>
      <c r="DF143" s="645">
        <f t="shared" si="86"/>
        <v>1</v>
      </c>
      <c r="DG143" s="163">
        <f t="shared" si="86"/>
        <v>1</v>
      </c>
      <c r="DH143" s="163">
        <f t="shared" si="86"/>
        <v>0</v>
      </c>
      <c r="DI143" s="163">
        <f t="shared" si="86"/>
        <v>0</v>
      </c>
      <c r="DJ143" s="643">
        <f t="shared" si="86"/>
        <v>0</v>
      </c>
      <c r="DK143" s="646">
        <f t="shared" si="86"/>
        <v>0</v>
      </c>
      <c r="DL143" s="645">
        <f t="shared" si="86"/>
        <v>0</v>
      </c>
      <c r="DM143" s="163">
        <f t="shared" si="86"/>
        <v>0</v>
      </c>
      <c r="DN143" s="163">
        <f t="shared" si="86"/>
        <v>0</v>
      </c>
      <c r="DO143" s="163">
        <f t="shared" si="86"/>
        <v>0</v>
      </c>
      <c r="DP143" s="644">
        <f t="shared" si="86"/>
        <v>0</v>
      </c>
      <c r="DQ143" s="645">
        <f t="shared" si="86"/>
        <v>0</v>
      </c>
      <c r="DR143" s="163">
        <f t="shared" si="86"/>
        <v>0</v>
      </c>
      <c r="DS143" s="163">
        <f t="shared" si="86"/>
        <v>0</v>
      </c>
      <c r="DT143" s="163">
        <f t="shared" si="86"/>
        <v>0</v>
      </c>
      <c r="DU143" s="643">
        <f t="shared" si="86"/>
        <v>0</v>
      </c>
      <c r="DW143" s="646">
        <f t="shared" si="84"/>
        <v>76</v>
      </c>
      <c r="DX143" s="645">
        <f t="shared" si="84"/>
        <v>33.666666666666671</v>
      </c>
      <c r="DY143" s="163">
        <f t="shared" si="84"/>
        <v>26.999999999999996</v>
      </c>
      <c r="DZ143" s="163">
        <f t="shared" si="84"/>
        <v>0</v>
      </c>
      <c r="EA143" s="163">
        <f t="shared" si="84"/>
        <v>6.666666666666667</v>
      </c>
      <c r="EB143" s="644">
        <f t="shared" si="84"/>
        <v>0</v>
      </c>
      <c r="EC143" s="645">
        <f t="shared" si="84"/>
        <v>42.333333333333336</v>
      </c>
      <c r="ED143" s="163">
        <f t="shared" si="84"/>
        <v>35.999999999999993</v>
      </c>
      <c r="EE143" s="163">
        <f t="shared" si="84"/>
        <v>0</v>
      </c>
      <c r="EF143" s="163">
        <f t="shared" si="84"/>
        <v>2.333333333333333</v>
      </c>
      <c r="EG143" s="643">
        <f t="shared" si="84"/>
        <v>3.9999999999999996</v>
      </c>
      <c r="EH143" s="646">
        <f t="shared" si="73"/>
        <v>19.666666666666664</v>
      </c>
      <c r="EI143" s="645">
        <f t="shared" si="73"/>
        <v>8</v>
      </c>
      <c r="EJ143" s="163">
        <f t="shared" si="73"/>
        <v>7</v>
      </c>
      <c r="EK143" s="163">
        <f t="shared" si="73"/>
        <v>0</v>
      </c>
      <c r="EL143" s="163">
        <f t="shared" si="73"/>
        <v>1</v>
      </c>
      <c r="EM143" s="644">
        <f t="shared" si="73"/>
        <v>0</v>
      </c>
      <c r="EN143" s="645">
        <f t="shared" si="73"/>
        <v>11.666666666666668</v>
      </c>
      <c r="EO143" s="163">
        <f t="shared" si="73"/>
        <v>10</v>
      </c>
      <c r="EP143" s="163">
        <f t="shared" si="79"/>
        <v>0</v>
      </c>
      <c r="EQ143" s="163">
        <f t="shared" si="79"/>
        <v>1</v>
      </c>
      <c r="ER143" s="643">
        <f t="shared" si="79"/>
        <v>0.66666666666666663</v>
      </c>
    </row>
    <row r="144" spans="1:148">
      <c r="A144" s="665" t="s">
        <v>225</v>
      </c>
      <c r="B144" s="665">
        <v>42887</v>
      </c>
      <c r="C144" s="664">
        <v>2017</v>
      </c>
      <c r="D144" s="646">
        <f t="shared" ref="D144" si="92">D45/3+D143</f>
        <v>402246</v>
      </c>
      <c r="E144" s="646">
        <f t="shared" si="88"/>
        <v>3409.0000000000005</v>
      </c>
      <c r="F144" s="645">
        <f t="shared" si="88"/>
        <v>1426.9999999999998</v>
      </c>
      <c r="G144" s="163">
        <f t="shared" si="88"/>
        <v>1018.9999999999999</v>
      </c>
      <c r="H144" s="163">
        <f t="shared" si="88"/>
        <v>0</v>
      </c>
      <c r="I144" s="163">
        <f t="shared" si="88"/>
        <v>408.00000000000006</v>
      </c>
      <c r="J144" s="644">
        <f t="shared" si="88"/>
        <v>0</v>
      </c>
      <c r="K144" s="645">
        <f t="shared" si="88"/>
        <v>1982</v>
      </c>
      <c r="L144" s="163">
        <f t="shared" si="88"/>
        <v>1564.9999999999998</v>
      </c>
      <c r="M144" s="163">
        <f t="shared" si="88"/>
        <v>0</v>
      </c>
      <c r="N144" s="163">
        <f t="shared" si="88"/>
        <v>241</v>
      </c>
      <c r="O144" s="643">
        <f t="shared" si="88"/>
        <v>175.99999999999997</v>
      </c>
      <c r="P144" s="646">
        <f t="shared" si="88"/>
        <v>5</v>
      </c>
      <c r="Q144" s="645">
        <f t="shared" si="88"/>
        <v>1</v>
      </c>
      <c r="R144" s="163">
        <f t="shared" si="88"/>
        <v>1</v>
      </c>
      <c r="S144" s="163">
        <f t="shared" si="88"/>
        <v>0</v>
      </c>
      <c r="T144" s="163">
        <f t="shared" si="88"/>
        <v>0</v>
      </c>
      <c r="U144" s="644">
        <f t="shared" ref="U144:BP149" si="93">U45/3+U143</f>
        <v>0</v>
      </c>
      <c r="V144" s="645">
        <f t="shared" si="93"/>
        <v>3.9999999999999996</v>
      </c>
      <c r="W144" s="163">
        <f t="shared" si="93"/>
        <v>2.9999999999999996</v>
      </c>
      <c r="X144" s="163">
        <f t="shared" si="93"/>
        <v>0</v>
      </c>
      <c r="Y144" s="163">
        <f t="shared" si="93"/>
        <v>1</v>
      </c>
      <c r="Z144" s="643">
        <f t="shared" si="93"/>
        <v>0</v>
      </c>
      <c r="AA144" s="646">
        <f t="shared" si="93"/>
        <v>4</v>
      </c>
      <c r="AB144" s="645">
        <f t="shared" si="93"/>
        <v>0</v>
      </c>
      <c r="AC144" s="163">
        <f t="shared" si="93"/>
        <v>0</v>
      </c>
      <c r="AD144" s="163">
        <f t="shared" si="93"/>
        <v>0</v>
      </c>
      <c r="AE144" s="163">
        <f t="shared" si="93"/>
        <v>0</v>
      </c>
      <c r="AF144" s="644">
        <f t="shared" si="93"/>
        <v>0</v>
      </c>
      <c r="AG144" s="645">
        <f t="shared" si="93"/>
        <v>4</v>
      </c>
      <c r="AH144" s="163">
        <f t="shared" si="93"/>
        <v>4</v>
      </c>
      <c r="AI144" s="163">
        <f t="shared" si="93"/>
        <v>0</v>
      </c>
      <c r="AJ144" s="163">
        <f t="shared" si="93"/>
        <v>0</v>
      </c>
      <c r="AK144" s="643">
        <f t="shared" si="93"/>
        <v>0</v>
      </c>
      <c r="AL144" s="646">
        <f t="shared" si="93"/>
        <v>23.999999999999996</v>
      </c>
      <c r="AM144" s="645">
        <f t="shared" si="93"/>
        <v>10</v>
      </c>
      <c r="AN144" s="163">
        <f t="shared" si="93"/>
        <v>9</v>
      </c>
      <c r="AO144" s="163">
        <f t="shared" si="93"/>
        <v>0</v>
      </c>
      <c r="AP144" s="163">
        <f t="shared" si="93"/>
        <v>1</v>
      </c>
      <c r="AQ144" s="644">
        <f t="shared" si="93"/>
        <v>0</v>
      </c>
      <c r="AR144" s="645">
        <f t="shared" si="93"/>
        <v>14.000000000000002</v>
      </c>
      <c r="AS144" s="163">
        <f t="shared" si="93"/>
        <v>12</v>
      </c>
      <c r="AT144" s="163">
        <f t="shared" si="93"/>
        <v>0</v>
      </c>
      <c r="AU144" s="163">
        <f t="shared" si="93"/>
        <v>1</v>
      </c>
      <c r="AV144" s="643">
        <f t="shared" si="93"/>
        <v>1</v>
      </c>
      <c r="AW144" s="646">
        <f t="shared" si="93"/>
        <v>16</v>
      </c>
      <c r="AX144" s="645">
        <f t="shared" si="93"/>
        <v>6.0000000000000009</v>
      </c>
      <c r="AY144" s="163">
        <f t="shared" si="93"/>
        <v>4.9999999999999991</v>
      </c>
      <c r="AZ144" s="163">
        <f t="shared" si="93"/>
        <v>0</v>
      </c>
      <c r="BA144" s="163">
        <f t="shared" si="93"/>
        <v>1</v>
      </c>
      <c r="BB144" s="644">
        <f t="shared" si="93"/>
        <v>0</v>
      </c>
      <c r="BC144" s="645">
        <f t="shared" si="93"/>
        <v>10.000000000000002</v>
      </c>
      <c r="BD144" s="163">
        <f t="shared" si="93"/>
        <v>9</v>
      </c>
      <c r="BE144" s="163">
        <f t="shared" si="93"/>
        <v>0</v>
      </c>
      <c r="BF144" s="163">
        <f t="shared" si="93"/>
        <v>1</v>
      </c>
      <c r="BG144" s="643">
        <f t="shared" si="93"/>
        <v>0</v>
      </c>
      <c r="BH144" s="646">
        <f t="shared" si="93"/>
        <v>24</v>
      </c>
      <c r="BI144" s="645">
        <f t="shared" si="93"/>
        <v>9</v>
      </c>
      <c r="BJ144" s="163">
        <f t="shared" si="93"/>
        <v>6.9999999999999991</v>
      </c>
      <c r="BK144" s="163">
        <f t="shared" si="93"/>
        <v>0</v>
      </c>
      <c r="BL144" s="163">
        <f t="shared" si="93"/>
        <v>2</v>
      </c>
      <c r="BM144" s="644">
        <f t="shared" si="93"/>
        <v>0</v>
      </c>
      <c r="BN144" s="645">
        <f t="shared" si="93"/>
        <v>15</v>
      </c>
      <c r="BO144" s="163">
        <f t="shared" si="93"/>
        <v>11.999999999999998</v>
      </c>
      <c r="BP144" s="163">
        <f t="shared" si="93"/>
        <v>0</v>
      </c>
      <c r="BQ144" s="163">
        <f t="shared" si="91"/>
        <v>0</v>
      </c>
      <c r="BR144" s="643">
        <f t="shared" si="86"/>
        <v>3</v>
      </c>
      <c r="BS144" s="646">
        <f t="shared" si="86"/>
        <v>32</v>
      </c>
      <c r="BT144" s="645">
        <f t="shared" si="86"/>
        <v>18</v>
      </c>
      <c r="BU144" s="163">
        <f t="shared" si="86"/>
        <v>16</v>
      </c>
      <c r="BV144" s="163">
        <f t="shared" si="86"/>
        <v>0</v>
      </c>
      <c r="BW144" s="163">
        <f t="shared" si="86"/>
        <v>1.9999999999999998</v>
      </c>
      <c r="BX144" s="644">
        <f t="shared" si="86"/>
        <v>0</v>
      </c>
      <c r="BY144" s="645">
        <f t="shared" si="86"/>
        <v>13.999999999999998</v>
      </c>
      <c r="BZ144" s="163">
        <f t="shared" si="86"/>
        <v>12</v>
      </c>
      <c r="CA144" s="163">
        <f t="shared" si="86"/>
        <v>0</v>
      </c>
      <c r="CB144" s="163">
        <f t="shared" si="86"/>
        <v>0</v>
      </c>
      <c r="CC144" s="643">
        <f t="shared" si="86"/>
        <v>2</v>
      </c>
      <c r="CD144" s="646">
        <f t="shared" si="86"/>
        <v>14.999999999999998</v>
      </c>
      <c r="CE144" s="645">
        <f t="shared" si="86"/>
        <v>8</v>
      </c>
      <c r="CF144" s="163">
        <f t="shared" si="86"/>
        <v>5.9999999999999991</v>
      </c>
      <c r="CG144" s="163">
        <f t="shared" si="86"/>
        <v>0</v>
      </c>
      <c r="CH144" s="163">
        <f t="shared" si="86"/>
        <v>1.9999999999999998</v>
      </c>
      <c r="CI144" s="644">
        <f t="shared" si="86"/>
        <v>0</v>
      </c>
      <c r="CJ144" s="645">
        <f t="shared" si="86"/>
        <v>7</v>
      </c>
      <c r="CK144" s="163">
        <f t="shared" si="86"/>
        <v>4.9999999999999991</v>
      </c>
      <c r="CL144" s="163">
        <f t="shared" si="86"/>
        <v>0</v>
      </c>
      <c r="CM144" s="163">
        <f t="shared" si="86"/>
        <v>1</v>
      </c>
      <c r="CN144" s="643">
        <f t="shared" si="86"/>
        <v>1</v>
      </c>
      <c r="CO144" s="646">
        <f t="shared" si="86"/>
        <v>4</v>
      </c>
      <c r="CP144" s="645">
        <f t="shared" si="86"/>
        <v>2</v>
      </c>
      <c r="CQ144" s="163">
        <f t="shared" si="86"/>
        <v>2</v>
      </c>
      <c r="CR144" s="163">
        <f t="shared" si="86"/>
        <v>0</v>
      </c>
      <c r="CS144" s="163">
        <f t="shared" si="86"/>
        <v>0</v>
      </c>
      <c r="CT144" s="644">
        <f t="shared" si="86"/>
        <v>0</v>
      </c>
      <c r="CU144" s="645">
        <f t="shared" si="86"/>
        <v>1.9999999999999998</v>
      </c>
      <c r="CV144" s="163">
        <f t="shared" si="86"/>
        <v>1.9999999999999998</v>
      </c>
      <c r="CW144" s="163">
        <f t="shared" ref="CW144:DU154" si="94">CW45/3+CW143</f>
        <v>0</v>
      </c>
      <c r="CX144" s="163">
        <f t="shared" si="94"/>
        <v>0</v>
      </c>
      <c r="CY144" s="643">
        <f t="shared" si="94"/>
        <v>0</v>
      </c>
      <c r="CZ144" s="646">
        <f t="shared" si="94"/>
        <v>1.9999999999999998</v>
      </c>
      <c r="DA144" s="645">
        <f t="shared" si="94"/>
        <v>1</v>
      </c>
      <c r="DB144" s="163">
        <f t="shared" si="94"/>
        <v>0</v>
      </c>
      <c r="DC144" s="163">
        <f t="shared" si="94"/>
        <v>0</v>
      </c>
      <c r="DD144" s="163">
        <f t="shared" si="94"/>
        <v>1</v>
      </c>
      <c r="DE144" s="644">
        <f t="shared" si="94"/>
        <v>0</v>
      </c>
      <c r="DF144" s="645">
        <f t="shared" si="94"/>
        <v>1</v>
      </c>
      <c r="DG144" s="163">
        <f t="shared" si="94"/>
        <v>1</v>
      </c>
      <c r="DH144" s="163">
        <f t="shared" si="94"/>
        <v>0</v>
      </c>
      <c r="DI144" s="163">
        <f t="shared" si="94"/>
        <v>0</v>
      </c>
      <c r="DJ144" s="643">
        <f t="shared" si="94"/>
        <v>0</v>
      </c>
      <c r="DK144" s="646">
        <f t="shared" si="94"/>
        <v>0</v>
      </c>
      <c r="DL144" s="645">
        <f t="shared" si="94"/>
        <v>0</v>
      </c>
      <c r="DM144" s="163">
        <f t="shared" si="94"/>
        <v>0</v>
      </c>
      <c r="DN144" s="163">
        <f t="shared" si="94"/>
        <v>0</v>
      </c>
      <c r="DO144" s="163">
        <f t="shared" si="94"/>
        <v>0</v>
      </c>
      <c r="DP144" s="644">
        <f t="shared" si="94"/>
        <v>0</v>
      </c>
      <c r="DQ144" s="645">
        <f t="shared" si="94"/>
        <v>0</v>
      </c>
      <c r="DR144" s="163">
        <f t="shared" si="94"/>
        <v>0</v>
      </c>
      <c r="DS144" s="163">
        <f t="shared" si="94"/>
        <v>0</v>
      </c>
      <c r="DT144" s="163">
        <f t="shared" si="94"/>
        <v>0</v>
      </c>
      <c r="DU144" s="643">
        <f t="shared" si="94"/>
        <v>0</v>
      </c>
      <c r="DW144" s="646">
        <f t="shared" si="84"/>
        <v>102</v>
      </c>
      <c r="DX144" s="645">
        <f t="shared" si="84"/>
        <v>45</v>
      </c>
      <c r="DY144" s="163">
        <f t="shared" si="84"/>
        <v>37</v>
      </c>
      <c r="DZ144" s="163">
        <f t="shared" si="84"/>
        <v>0</v>
      </c>
      <c r="EA144" s="163">
        <f t="shared" si="84"/>
        <v>8</v>
      </c>
      <c r="EB144" s="644">
        <f t="shared" si="84"/>
        <v>0</v>
      </c>
      <c r="EC144" s="645">
        <f t="shared" si="84"/>
        <v>57</v>
      </c>
      <c r="ED144" s="163">
        <f t="shared" si="84"/>
        <v>48</v>
      </c>
      <c r="EE144" s="163">
        <f t="shared" si="84"/>
        <v>0</v>
      </c>
      <c r="EF144" s="163">
        <f t="shared" si="84"/>
        <v>3</v>
      </c>
      <c r="EG144" s="643">
        <f t="shared" si="84"/>
        <v>6</v>
      </c>
      <c r="EH144" s="646">
        <f t="shared" si="73"/>
        <v>23.999999999999996</v>
      </c>
      <c r="EI144" s="645">
        <f t="shared" si="73"/>
        <v>10</v>
      </c>
      <c r="EJ144" s="163">
        <f t="shared" si="73"/>
        <v>9</v>
      </c>
      <c r="EK144" s="163">
        <f t="shared" si="73"/>
        <v>0</v>
      </c>
      <c r="EL144" s="163">
        <f t="shared" si="73"/>
        <v>1</v>
      </c>
      <c r="EM144" s="644">
        <f t="shared" si="73"/>
        <v>0</v>
      </c>
      <c r="EN144" s="645">
        <f t="shared" si="73"/>
        <v>14.000000000000002</v>
      </c>
      <c r="EO144" s="163">
        <f t="shared" si="73"/>
        <v>12</v>
      </c>
      <c r="EP144" s="163">
        <f t="shared" si="79"/>
        <v>0</v>
      </c>
      <c r="EQ144" s="163">
        <f t="shared" si="79"/>
        <v>1</v>
      </c>
      <c r="ER144" s="643">
        <f t="shared" si="79"/>
        <v>1</v>
      </c>
    </row>
    <row r="145" spans="1:148">
      <c r="A145" s="665" t="s">
        <v>226</v>
      </c>
      <c r="B145" s="665">
        <v>42917</v>
      </c>
      <c r="C145" s="664">
        <v>2017</v>
      </c>
      <c r="D145" s="646">
        <f t="shared" ref="D145" si="95">D46/3+D144</f>
        <v>475456.66666666669</v>
      </c>
      <c r="E145" s="646">
        <f t="shared" si="88"/>
        <v>4118.666666666667</v>
      </c>
      <c r="F145" s="645">
        <f t="shared" si="88"/>
        <v>1743.6666666666665</v>
      </c>
      <c r="G145" s="163">
        <f t="shared" si="88"/>
        <v>1247.3333333333333</v>
      </c>
      <c r="H145" s="163">
        <f t="shared" si="88"/>
        <v>0</v>
      </c>
      <c r="I145" s="163">
        <f t="shared" si="88"/>
        <v>496.33333333333337</v>
      </c>
      <c r="J145" s="644">
        <f t="shared" si="88"/>
        <v>0</v>
      </c>
      <c r="K145" s="645">
        <f t="shared" si="88"/>
        <v>2375</v>
      </c>
      <c r="L145" s="163">
        <f t="shared" si="88"/>
        <v>1892.9999999999998</v>
      </c>
      <c r="M145" s="163">
        <f t="shared" si="88"/>
        <v>0</v>
      </c>
      <c r="N145" s="163">
        <f t="shared" si="88"/>
        <v>273.66666666666669</v>
      </c>
      <c r="O145" s="643">
        <f t="shared" si="88"/>
        <v>208.33333333333331</v>
      </c>
      <c r="P145" s="646">
        <f t="shared" si="88"/>
        <v>6</v>
      </c>
      <c r="Q145" s="645">
        <f t="shared" si="88"/>
        <v>1.3333333333333333</v>
      </c>
      <c r="R145" s="163">
        <f t="shared" si="88"/>
        <v>1.3333333333333333</v>
      </c>
      <c r="S145" s="163">
        <f t="shared" si="88"/>
        <v>0</v>
      </c>
      <c r="T145" s="163">
        <f t="shared" si="88"/>
        <v>0</v>
      </c>
      <c r="U145" s="644">
        <f t="shared" si="93"/>
        <v>0</v>
      </c>
      <c r="V145" s="645">
        <f t="shared" si="93"/>
        <v>4.6666666666666661</v>
      </c>
      <c r="W145" s="163">
        <f t="shared" si="93"/>
        <v>3.6666666666666661</v>
      </c>
      <c r="X145" s="163">
        <f t="shared" si="93"/>
        <v>0</v>
      </c>
      <c r="Y145" s="163">
        <f t="shared" si="93"/>
        <v>1</v>
      </c>
      <c r="Z145" s="643">
        <f t="shared" si="93"/>
        <v>0</v>
      </c>
      <c r="AA145" s="646">
        <f t="shared" si="93"/>
        <v>5.333333333333333</v>
      </c>
      <c r="AB145" s="645">
        <f t="shared" si="93"/>
        <v>0.66666666666666663</v>
      </c>
      <c r="AC145" s="163">
        <f t="shared" si="93"/>
        <v>0.66666666666666663</v>
      </c>
      <c r="AD145" s="163">
        <f t="shared" si="93"/>
        <v>0</v>
      </c>
      <c r="AE145" s="163">
        <f t="shared" si="93"/>
        <v>0</v>
      </c>
      <c r="AF145" s="644">
        <f t="shared" si="93"/>
        <v>0</v>
      </c>
      <c r="AG145" s="645">
        <f t="shared" si="93"/>
        <v>4.666666666666667</v>
      </c>
      <c r="AH145" s="163">
        <f t="shared" si="93"/>
        <v>4.666666666666667</v>
      </c>
      <c r="AI145" s="163">
        <f t="shared" si="93"/>
        <v>0</v>
      </c>
      <c r="AJ145" s="163">
        <f t="shared" si="93"/>
        <v>0</v>
      </c>
      <c r="AK145" s="643">
        <f t="shared" si="93"/>
        <v>0</v>
      </c>
      <c r="AL145" s="646">
        <f t="shared" si="93"/>
        <v>30.666666666666664</v>
      </c>
      <c r="AM145" s="645">
        <f t="shared" si="93"/>
        <v>13</v>
      </c>
      <c r="AN145" s="163">
        <f t="shared" si="93"/>
        <v>10.666666666666666</v>
      </c>
      <c r="AO145" s="163">
        <f t="shared" si="93"/>
        <v>0</v>
      </c>
      <c r="AP145" s="163">
        <f t="shared" si="93"/>
        <v>2.333333333333333</v>
      </c>
      <c r="AQ145" s="644">
        <f t="shared" si="93"/>
        <v>0</v>
      </c>
      <c r="AR145" s="645">
        <f t="shared" si="93"/>
        <v>17.666666666666668</v>
      </c>
      <c r="AS145" s="163">
        <f t="shared" si="93"/>
        <v>15</v>
      </c>
      <c r="AT145" s="163">
        <f t="shared" si="93"/>
        <v>0</v>
      </c>
      <c r="AU145" s="163">
        <f t="shared" si="93"/>
        <v>1.3333333333333333</v>
      </c>
      <c r="AV145" s="643">
        <f t="shared" si="93"/>
        <v>1.3333333333333333</v>
      </c>
      <c r="AW145" s="646">
        <f t="shared" si="93"/>
        <v>18.666666666666668</v>
      </c>
      <c r="AX145" s="645">
        <f t="shared" si="93"/>
        <v>7.0000000000000009</v>
      </c>
      <c r="AY145" s="163">
        <f t="shared" si="93"/>
        <v>5.6666666666666661</v>
      </c>
      <c r="AZ145" s="163">
        <f t="shared" si="93"/>
        <v>0</v>
      </c>
      <c r="BA145" s="163">
        <f t="shared" si="93"/>
        <v>1.3333333333333333</v>
      </c>
      <c r="BB145" s="644">
        <f t="shared" si="93"/>
        <v>0</v>
      </c>
      <c r="BC145" s="645">
        <f t="shared" si="93"/>
        <v>11.666666666666668</v>
      </c>
      <c r="BD145" s="163">
        <f t="shared" si="93"/>
        <v>10.333333333333334</v>
      </c>
      <c r="BE145" s="163">
        <f t="shared" si="93"/>
        <v>0</v>
      </c>
      <c r="BF145" s="163">
        <f t="shared" si="93"/>
        <v>1</v>
      </c>
      <c r="BG145" s="643">
        <f t="shared" si="93"/>
        <v>0.33333333333333331</v>
      </c>
      <c r="BH145" s="646">
        <f t="shared" si="93"/>
        <v>28</v>
      </c>
      <c r="BI145" s="645">
        <f t="shared" si="93"/>
        <v>12</v>
      </c>
      <c r="BJ145" s="163">
        <f t="shared" si="93"/>
        <v>10</v>
      </c>
      <c r="BK145" s="163">
        <f t="shared" si="93"/>
        <v>0</v>
      </c>
      <c r="BL145" s="163">
        <f t="shared" si="93"/>
        <v>2</v>
      </c>
      <c r="BM145" s="644">
        <f t="shared" si="93"/>
        <v>0</v>
      </c>
      <c r="BN145" s="645">
        <f t="shared" si="93"/>
        <v>16</v>
      </c>
      <c r="BO145" s="163">
        <f t="shared" si="93"/>
        <v>12.999999999999998</v>
      </c>
      <c r="BP145" s="163">
        <f t="shared" si="93"/>
        <v>0</v>
      </c>
      <c r="BQ145" s="163">
        <f t="shared" si="91"/>
        <v>0</v>
      </c>
      <c r="BR145" s="643">
        <f t="shared" si="91"/>
        <v>3</v>
      </c>
      <c r="BS145" s="646">
        <f t="shared" si="91"/>
        <v>37.333333333333336</v>
      </c>
      <c r="BT145" s="645">
        <f t="shared" si="91"/>
        <v>20.666666666666668</v>
      </c>
      <c r="BU145" s="163">
        <f t="shared" si="91"/>
        <v>18.333333333333332</v>
      </c>
      <c r="BV145" s="163">
        <f t="shared" si="91"/>
        <v>0</v>
      </c>
      <c r="BW145" s="163">
        <f t="shared" si="91"/>
        <v>2.333333333333333</v>
      </c>
      <c r="BX145" s="644">
        <f t="shared" si="91"/>
        <v>0</v>
      </c>
      <c r="BY145" s="645">
        <f t="shared" si="91"/>
        <v>16.666666666666664</v>
      </c>
      <c r="BZ145" s="163">
        <f t="shared" si="91"/>
        <v>14.333333333333334</v>
      </c>
      <c r="CA145" s="163">
        <f t="shared" si="91"/>
        <v>0</v>
      </c>
      <c r="CB145" s="163">
        <f t="shared" si="91"/>
        <v>0.33333333333333331</v>
      </c>
      <c r="CC145" s="643">
        <f t="shared" si="91"/>
        <v>2</v>
      </c>
      <c r="CD145" s="646">
        <f t="shared" si="91"/>
        <v>17.333333333333332</v>
      </c>
      <c r="CE145" s="645">
        <f t="shared" si="91"/>
        <v>9.3333333333333339</v>
      </c>
      <c r="CF145" s="163">
        <f t="shared" si="91"/>
        <v>6.6666666666666661</v>
      </c>
      <c r="CG145" s="163">
        <f t="shared" ref="CG145:CV160" si="96">CG46/3+CG144</f>
        <v>0</v>
      </c>
      <c r="CH145" s="163">
        <f t="shared" si="96"/>
        <v>2.6666666666666665</v>
      </c>
      <c r="CI145" s="644">
        <f t="shared" si="96"/>
        <v>0</v>
      </c>
      <c r="CJ145" s="645">
        <f t="shared" si="96"/>
        <v>8</v>
      </c>
      <c r="CK145" s="163">
        <f t="shared" si="96"/>
        <v>5.9999999999999991</v>
      </c>
      <c r="CL145" s="163">
        <f t="shared" si="96"/>
        <v>0</v>
      </c>
      <c r="CM145" s="163">
        <f t="shared" si="96"/>
        <v>1</v>
      </c>
      <c r="CN145" s="643">
        <f t="shared" si="96"/>
        <v>1</v>
      </c>
      <c r="CO145" s="646">
        <f t="shared" si="96"/>
        <v>4.666666666666667</v>
      </c>
      <c r="CP145" s="645">
        <f t="shared" si="96"/>
        <v>2.3333333333333335</v>
      </c>
      <c r="CQ145" s="163">
        <f t="shared" si="96"/>
        <v>2.3333333333333335</v>
      </c>
      <c r="CR145" s="163">
        <f t="shared" si="96"/>
        <v>0</v>
      </c>
      <c r="CS145" s="163">
        <f t="shared" si="96"/>
        <v>0</v>
      </c>
      <c r="CT145" s="644">
        <f t="shared" si="96"/>
        <v>0</v>
      </c>
      <c r="CU145" s="645">
        <f t="shared" si="96"/>
        <v>2.333333333333333</v>
      </c>
      <c r="CV145" s="163">
        <f t="shared" si="96"/>
        <v>2.333333333333333</v>
      </c>
      <c r="CW145" s="163">
        <f t="shared" si="94"/>
        <v>0</v>
      </c>
      <c r="CX145" s="163">
        <f t="shared" si="94"/>
        <v>0</v>
      </c>
      <c r="CY145" s="643">
        <f t="shared" si="94"/>
        <v>0</v>
      </c>
      <c r="CZ145" s="646">
        <f t="shared" si="94"/>
        <v>1.9999999999999998</v>
      </c>
      <c r="DA145" s="645">
        <f t="shared" si="94"/>
        <v>1</v>
      </c>
      <c r="DB145" s="163">
        <f t="shared" si="94"/>
        <v>0</v>
      </c>
      <c r="DC145" s="163">
        <f t="shared" si="94"/>
        <v>0</v>
      </c>
      <c r="DD145" s="163">
        <f t="shared" si="94"/>
        <v>1</v>
      </c>
      <c r="DE145" s="644">
        <f t="shared" si="94"/>
        <v>0</v>
      </c>
      <c r="DF145" s="645">
        <f t="shared" si="94"/>
        <v>1</v>
      </c>
      <c r="DG145" s="163">
        <f t="shared" si="94"/>
        <v>1</v>
      </c>
      <c r="DH145" s="163">
        <f t="shared" si="94"/>
        <v>0</v>
      </c>
      <c r="DI145" s="163">
        <f t="shared" si="94"/>
        <v>0</v>
      </c>
      <c r="DJ145" s="643">
        <f t="shared" si="94"/>
        <v>0</v>
      </c>
      <c r="DK145" s="646">
        <f t="shared" si="94"/>
        <v>0</v>
      </c>
      <c r="DL145" s="645">
        <f t="shared" si="94"/>
        <v>0</v>
      </c>
      <c r="DM145" s="163">
        <f t="shared" si="94"/>
        <v>0</v>
      </c>
      <c r="DN145" s="163">
        <f t="shared" si="94"/>
        <v>0</v>
      </c>
      <c r="DO145" s="163">
        <f t="shared" si="94"/>
        <v>0</v>
      </c>
      <c r="DP145" s="644">
        <f t="shared" si="94"/>
        <v>0</v>
      </c>
      <c r="DQ145" s="645">
        <f t="shared" si="94"/>
        <v>0</v>
      </c>
      <c r="DR145" s="163">
        <f t="shared" si="94"/>
        <v>0</v>
      </c>
      <c r="DS145" s="163">
        <f t="shared" si="94"/>
        <v>0</v>
      </c>
      <c r="DT145" s="163">
        <f t="shared" si="94"/>
        <v>0</v>
      </c>
      <c r="DU145" s="643">
        <f t="shared" si="94"/>
        <v>0</v>
      </c>
      <c r="DW145" s="646">
        <f t="shared" si="84"/>
        <v>119.33333333333334</v>
      </c>
      <c r="DX145" s="645">
        <f t="shared" si="84"/>
        <v>54.333333333333343</v>
      </c>
      <c r="DY145" s="163">
        <f t="shared" si="84"/>
        <v>45</v>
      </c>
      <c r="DZ145" s="163">
        <f t="shared" si="84"/>
        <v>0</v>
      </c>
      <c r="EA145" s="163">
        <f t="shared" si="84"/>
        <v>9.3333333333333321</v>
      </c>
      <c r="EB145" s="644">
        <f t="shared" si="84"/>
        <v>0</v>
      </c>
      <c r="EC145" s="645">
        <f t="shared" si="84"/>
        <v>65</v>
      </c>
      <c r="ED145" s="163">
        <f t="shared" si="84"/>
        <v>55.333333333333336</v>
      </c>
      <c r="EE145" s="163">
        <f t="shared" si="84"/>
        <v>0</v>
      </c>
      <c r="EF145" s="163">
        <f t="shared" si="84"/>
        <v>3.3333333333333335</v>
      </c>
      <c r="EG145" s="643">
        <f t="shared" si="84"/>
        <v>6.3333333333333339</v>
      </c>
      <c r="EH145" s="646">
        <f t="shared" si="73"/>
        <v>30.666666666666664</v>
      </c>
      <c r="EI145" s="645">
        <f t="shared" si="73"/>
        <v>13</v>
      </c>
      <c r="EJ145" s="163">
        <f t="shared" si="73"/>
        <v>10.666666666666666</v>
      </c>
      <c r="EK145" s="163">
        <f t="shared" si="73"/>
        <v>0</v>
      </c>
      <c r="EL145" s="163">
        <f t="shared" si="73"/>
        <v>2.333333333333333</v>
      </c>
      <c r="EM145" s="644">
        <f t="shared" si="73"/>
        <v>0</v>
      </c>
      <c r="EN145" s="645">
        <f t="shared" si="73"/>
        <v>17.666666666666668</v>
      </c>
      <c r="EO145" s="163">
        <f t="shared" si="73"/>
        <v>15</v>
      </c>
      <c r="EP145" s="163">
        <f t="shared" si="79"/>
        <v>0</v>
      </c>
      <c r="EQ145" s="163">
        <f t="shared" si="79"/>
        <v>1.3333333333333333</v>
      </c>
      <c r="ER145" s="643">
        <f t="shared" si="79"/>
        <v>1.3333333333333333</v>
      </c>
    </row>
    <row r="146" spans="1:148">
      <c r="A146" s="665" t="s">
        <v>226</v>
      </c>
      <c r="B146" s="665">
        <v>42948</v>
      </c>
      <c r="C146" s="664">
        <v>2017</v>
      </c>
      <c r="D146" s="646">
        <f t="shared" ref="D146" si="97">D47/3+D145</f>
        <v>548667.33333333337</v>
      </c>
      <c r="E146" s="646">
        <f t="shared" si="88"/>
        <v>4828.3333333333339</v>
      </c>
      <c r="F146" s="645">
        <f t="shared" si="88"/>
        <v>2060.333333333333</v>
      </c>
      <c r="G146" s="163">
        <f t="shared" si="88"/>
        <v>1475.6666666666665</v>
      </c>
      <c r="H146" s="163">
        <f t="shared" si="88"/>
        <v>0</v>
      </c>
      <c r="I146" s="163">
        <f t="shared" si="88"/>
        <v>584.66666666666674</v>
      </c>
      <c r="J146" s="644">
        <f t="shared" si="88"/>
        <v>0</v>
      </c>
      <c r="K146" s="645">
        <f t="shared" si="88"/>
        <v>2768</v>
      </c>
      <c r="L146" s="163">
        <f t="shared" si="88"/>
        <v>2221</v>
      </c>
      <c r="M146" s="163">
        <f t="shared" si="88"/>
        <v>0</v>
      </c>
      <c r="N146" s="163">
        <f t="shared" si="88"/>
        <v>306.33333333333337</v>
      </c>
      <c r="O146" s="643">
        <f t="shared" si="88"/>
        <v>240.66666666666666</v>
      </c>
      <c r="P146" s="646">
        <f t="shared" si="88"/>
        <v>7</v>
      </c>
      <c r="Q146" s="645">
        <f t="shared" si="88"/>
        <v>1.6666666666666665</v>
      </c>
      <c r="R146" s="163">
        <f t="shared" si="88"/>
        <v>1.6666666666666665</v>
      </c>
      <c r="S146" s="163">
        <f t="shared" si="88"/>
        <v>0</v>
      </c>
      <c r="T146" s="163">
        <f t="shared" si="88"/>
        <v>0</v>
      </c>
      <c r="U146" s="644">
        <f t="shared" si="93"/>
        <v>0</v>
      </c>
      <c r="V146" s="645">
        <f t="shared" si="93"/>
        <v>5.333333333333333</v>
      </c>
      <c r="W146" s="163">
        <f t="shared" si="93"/>
        <v>4.333333333333333</v>
      </c>
      <c r="X146" s="163">
        <f t="shared" si="93"/>
        <v>0</v>
      </c>
      <c r="Y146" s="163">
        <f t="shared" si="93"/>
        <v>1</v>
      </c>
      <c r="Z146" s="643">
        <f t="shared" si="93"/>
        <v>0</v>
      </c>
      <c r="AA146" s="646">
        <f t="shared" si="93"/>
        <v>6.6666666666666661</v>
      </c>
      <c r="AB146" s="645">
        <f t="shared" si="93"/>
        <v>1.3333333333333333</v>
      </c>
      <c r="AC146" s="163">
        <f t="shared" si="93"/>
        <v>1.3333333333333333</v>
      </c>
      <c r="AD146" s="163">
        <f t="shared" si="93"/>
        <v>0</v>
      </c>
      <c r="AE146" s="163">
        <f t="shared" si="93"/>
        <v>0</v>
      </c>
      <c r="AF146" s="644">
        <f t="shared" si="93"/>
        <v>0</v>
      </c>
      <c r="AG146" s="645">
        <f t="shared" si="93"/>
        <v>5.3333333333333339</v>
      </c>
      <c r="AH146" s="163">
        <f t="shared" si="93"/>
        <v>5.3333333333333339</v>
      </c>
      <c r="AI146" s="163">
        <f t="shared" si="93"/>
        <v>0</v>
      </c>
      <c r="AJ146" s="163">
        <f t="shared" si="93"/>
        <v>0</v>
      </c>
      <c r="AK146" s="643">
        <f t="shared" si="93"/>
        <v>0</v>
      </c>
      <c r="AL146" s="646">
        <f t="shared" si="93"/>
        <v>37.333333333333329</v>
      </c>
      <c r="AM146" s="645">
        <f t="shared" si="93"/>
        <v>16</v>
      </c>
      <c r="AN146" s="163">
        <f t="shared" si="93"/>
        <v>12.333333333333332</v>
      </c>
      <c r="AO146" s="163">
        <f t="shared" si="93"/>
        <v>0</v>
      </c>
      <c r="AP146" s="163">
        <f t="shared" si="93"/>
        <v>3.6666666666666661</v>
      </c>
      <c r="AQ146" s="644">
        <f t="shared" si="93"/>
        <v>0</v>
      </c>
      <c r="AR146" s="645">
        <f t="shared" si="93"/>
        <v>21.333333333333336</v>
      </c>
      <c r="AS146" s="163">
        <f t="shared" si="93"/>
        <v>18</v>
      </c>
      <c r="AT146" s="163">
        <f t="shared" si="93"/>
        <v>0</v>
      </c>
      <c r="AU146" s="163">
        <f t="shared" si="93"/>
        <v>1.6666666666666665</v>
      </c>
      <c r="AV146" s="643">
        <f t="shared" si="93"/>
        <v>1.6666666666666665</v>
      </c>
      <c r="AW146" s="646">
        <f t="shared" si="93"/>
        <v>21.333333333333336</v>
      </c>
      <c r="AX146" s="645">
        <f t="shared" si="93"/>
        <v>8</v>
      </c>
      <c r="AY146" s="163">
        <f t="shared" si="93"/>
        <v>6.333333333333333</v>
      </c>
      <c r="AZ146" s="163">
        <f t="shared" si="93"/>
        <v>0</v>
      </c>
      <c r="BA146" s="163">
        <f t="shared" si="93"/>
        <v>1.6666666666666665</v>
      </c>
      <c r="BB146" s="644">
        <f t="shared" si="93"/>
        <v>0</v>
      </c>
      <c r="BC146" s="645">
        <f t="shared" si="93"/>
        <v>13.333333333333334</v>
      </c>
      <c r="BD146" s="163">
        <f t="shared" si="93"/>
        <v>11.666666666666668</v>
      </c>
      <c r="BE146" s="163">
        <f t="shared" si="93"/>
        <v>0</v>
      </c>
      <c r="BF146" s="163">
        <f t="shared" si="93"/>
        <v>1</v>
      </c>
      <c r="BG146" s="643">
        <f t="shared" si="93"/>
        <v>0.66666666666666663</v>
      </c>
      <c r="BH146" s="646">
        <f t="shared" si="93"/>
        <v>32</v>
      </c>
      <c r="BI146" s="645">
        <f t="shared" si="93"/>
        <v>15</v>
      </c>
      <c r="BJ146" s="163">
        <f t="shared" si="93"/>
        <v>13</v>
      </c>
      <c r="BK146" s="163">
        <f t="shared" si="93"/>
        <v>0</v>
      </c>
      <c r="BL146" s="163">
        <f t="shared" si="93"/>
        <v>2</v>
      </c>
      <c r="BM146" s="644">
        <f t="shared" si="93"/>
        <v>0</v>
      </c>
      <c r="BN146" s="645">
        <f t="shared" si="93"/>
        <v>17</v>
      </c>
      <c r="BO146" s="163">
        <f t="shared" si="93"/>
        <v>13.999999999999998</v>
      </c>
      <c r="BP146" s="163">
        <f t="shared" si="93"/>
        <v>0</v>
      </c>
      <c r="BQ146" s="163">
        <f t="shared" si="91"/>
        <v>0</v>
      </c>
      <c r="BR146" s="643">
        <f t="shared" si="91"/>
        <v>3</v>
      </c>
      <c r="BS146" s="646">
        <f t="shared" si="91"/>
        <v>42.666666666666671</v>
      </c>
      <c r="BT146" s="645">
        <f t="shared" si="91"/>
        <v>23.333333333333336</v>
      </c>
      <c r="BU146" s="163">
        <f t="shared" si="91"/>
        <v>20.666666666666664</v>
      </c>
      <c r="BV146" s="163">
        <f t="shared" si="91"/>
        <v>0</v>
      </c>
      <c r="BW146" s="163">
        <f t="shared" si="91"/>
        <v>2.6666666666666665</v>
      </c>
      <c r="BX146" s="644">
        <f t="shared" si="91"/>
        <v>0</v>
      </c>
      <c r="BY146" s="645">
        <f t="shared" si="91"/>
        <v>19.333333333333332</v>
      </c>
      <c r="BZ146" s="163">
        <f t="shared" si="91"/>
        <v>16.666666666666668</v>
      </c>
      <c r="CA146" s="163">
        <f t="shared" si="91"/>
        <v>0</v>
      </c>
      <c r="CB146" s="163">
        <f t="shared" si="91"/>
        <v>0.66666666666666663</v>
      </c>
      <c r="CC146" s="643">
        <f t="shared" si="91"/>
        <v>2</v>
      </c>
      <c r="CD146" s="646">
        <f t="shared" si="91"/>
        <v>19.666666666666664</v>
      </c>
      <c r="CE146" s="645">
        <f t="shared" si="91"/>
        <v>10.666666666666668</v>
      </c>
      <c r="CF146" s="163">
        <f t="shared" si="91"/>
        <v>7.333333333333333</v>
      </c>
      <c r="CG146" s="163">
        <f t="shared" si="96"/>
        <v>0</v>
      </c>
      <c r="CH146" s="163">
        <f t="shared" si="96"/>
        <v>3.333333333333333</v>
      </c>
      <c r="CI146" s="644">
        <f t="shared" si="96"/>
        <v>0</v>
      </c>
      <c r="CJ146" s="645">
        <f t="shared" si="96"/>
        <v>9</v>
      </c>
      <c r="CK146" s="163">
        <f t="shared" si="96"/>
        <v>6.9999999999999991</v>
      </c>
      <c r="CL146" s="163">
        <f t="shared" si="96"/>
        <v>0</v>
      </c>
      <c r="CM146" s="163">
        <f t="shared" si="96"/>
        <v>1</v>
      </c>
      <c r="CN146" s="643">
        <f t="shared" si="96"/>
        <v>1</v>
      </c>
      <c r="CO146" s="646">
        <f t="shared" si="96"/>
        <v>5.3333333333333339</v>
      </c>
      <c r="CP146" s="645">
        <f t="shared" si="96"/>
        <v>2.666666666666667</v>
      </c>
      <c r="CQ146" s="163">
        <f t="shared" si="96"/>
        <v>2.666666666666667</v>
      </c>
      <c r="CR146" s="163">
        <f t="shared" si="96"/>
        <v>0</v>
      </c>
      <c r="CS146" s="163">
        <f t="shared" si="96"/>
        <v>0</v>
      </c>
      <c r="CT146" s="644">
        <f t="shared" si="96"/>
        <v>0</v>
      </c>
      <c r="CU146" s="645">
        <f t="shared" si="96"/>
        <v>2.6666666666666665</v>
      </c>
      <c r="CV146" s="163">
        <f t="shared" si="96"/>
        <v>2.6666666666666665</v>
      </c>
      <c r="CW146" s="163">
        <f t="shared" si="94"/>
        <v>0</v>
      </c>
      <c r="CX146" s="163">
        <f t="shared" si="94"/>
        <v>0</v>
      </c>
      <c r="CY146" s="643">
        <f t="shared" si="94"/>
        <v>0</v>
      </c>
      <c r="CZ146" s="646">
        <f t="shared" si="94"/>
        <v>1.9999999999999998</v>
      </c>
      <c r="DA146" s="645">
        <f t="shared" si="94"/>
        <v>1</v>
      </c>
      <c r="DB146" s="163">
        <f t="shared" si="94"/>
        <v>0</v>
      </c>
      <c r="DC146" s="163">
        <f t="shared" si="94"/>
        <v>0</v>
      </c>
      <c r="DD146" s="163">
        <f t="shared" si="94"/>
        <v>1</v>
      </c>
      <c r="DE146" s="644">
        <f t="shared" si="94"/>
        <v>0</v>
      </c>
      <c r="DF146" s="645">
        <f t="shared" si="94"/>
        <v>1</v>
      </c>
      <c r="DG146" s="163">
        <f t="shared" si="94"/>
        <v>1</v>
      </c>
      <c r="DH146" s="163">
        <f t="shared" si="94"/>
        <v>0</v>
      </c>
      <c r="DI146" s="163">
        <f t="shared" si="94"/>
        <v>0</v>
      </c>
      <c r="DJ146" s="643">
        <f t="shared" si="94"/>
        <v>0</v>
      </c>
      <c r="DK146" s="646">
        <f t="shared" si="94"/>
        <v>0</v>
      </c>
      <c r="DL146" s="645">
        <f t="shared" si="94"/>
        <v>0</v>
      </c>
      <c r="DM146" s="163">
        <f t="shared" si="94"/>
        <v>0</v>
      </c>
      <c r="DN146" s="163">
        <f t="shared" si="94"/>
        <v>0</v>
      </c>
      <c r="DO146" s="163">
        <f t="shared" si="94"/>
        <v>0</v>
      </c>
      <c r="DP146" s="644">
        <f t="shared" si="94"/>
        <v>0</v>
      </c>
      <c r="DQ146" s="645">
        <f t="shared" si="94"/>
        <v>0</v>
      </c>
      <c r="DR146" s="163">
        <f t="shared" si="94"/>
        <v>0</v>
      </c>
      <c r="DS146" s="163">
        <f t="shared" si="94"/>
        <v>0</v>
      </c>
      <c r="DT146" s="163">
        <f t="shared" si="94"/>
        <v>0</v>
      </c>
      <c r="DU146" s="643">
        <f t="shared" si="94"/>
        <v>0</v>
      </c>
      <c r="DW146" s="646">
        <f t="shared" si="84"/>
        <v>136.66666666666669</v>
      </c>
      <c r="DX146" s="645">
        <f t="shared" si="84"/>
        <v>63.666666666666664</v>
      </c>
      <c r="DY146" s="163">
        <f t="shared" si="84"/>
        <v>53</v>
      </c>
      <c r="DZ146" s="163">
        <f t="shared" si="84"/>
        <v>0</v>
      </c>
      <c r="EA146" s="163">
        <f t="shared" si="84"/>
        <v>10.666666666666666</v>
      </c>
      <c r="EB146" s="644">
        <f t="shared" si="84"/>
        <v>0</v>
      </c>
      <c r="EC146" s="645">
        <f t="shared" si="84"/>
        <v>73</v>
      </c>
      <c r="ED146" s="163">
        <f t="shared" si="84"/>
        <v>62.666666666666664</v>
      </c>
      <c r="EE146" s="163">
        <f t="shared" si="84"/>
        <v>0</v>
      </c>
      <c r="EF146" s="163">
        <f t="shared" si="84"/>
        <v>3.6666666666666665</v>
      </c>
      <c r="EG146" s="643">
        <f t="shared" si="84"/>
        <v>6.6666666666666661</v>
      </c>
      <c r="EH146" s="646">
        <f t="shared" si="73"/>
        <v>37.333333333333329</v>
      </c>
      <c r="EI146" s="645">
        <f t="shared" si="73"/>
        <v>16</v>
      </c>
      <c r="EJ146" s="163">
        <f t="shared" si="73"/>
        <v>12.333333333333332</v>
      </c>
      <c r="EK146" s="163">
        <f t="shared" si="73"/>
        <v>0</v>
      </c>
      <c r="EL146" s="163">
        <f t="shared" si="73"/>
        <v>3.6666666666666661</v>
      </c>
      <c r="EM146" s="644">
        <f t="shared" si="73"/>
        <v>0</v>
      </c>
      <c r="EN146" s="645">
        <f t="shared" si="73"/>
        <v>21.333333333333336</v>
      </c>
      <c r="EO146" s="163">
        <f t="shared" si="73"/>
        <v>18</v>
      </c>
      <c r="EP146" s="163">
        <f t="shared" si="79"/>
        <v>0</v>
      </c>
      <c r="EQ146" s="163">
        <f t="shared" si="79"/>
        <v>1.6666666666666665</v>
      </c>
      <c r="ER146" s="643">
        <f t="shared" si="79"/>
        <v>1.6666666666666665</v>
      </c>
    </row>
    <row r="147" spans="1:148">
      <c r="A147" s="665" t="s">
        <v>226</v>
      </c>
      <c r="B147" s="665">
        <v>42979</v>
      </c>
      <c r="C147" s="664">
        <v>2017</v>
      </c>
      <c r="D147" s="646">
        <f t="shared" ref="D147" si="98">D48/3+D146</f>
        <v>621878</v>
      </c>
      <c r="E147" s="646">
        <f t="shared" si="88"/>
        <v>5538.0000000000009</v>
      </c>
      <c r="F147" s="645">
        <f t="shared" si="88"/>
        <v>2376.9999999999995</v>
      </c>
      <c r="G147" s="163">
        <f t="shared" si="88"/>
        <v>1703.9999999999998</v>
      </c>
      <c r="H147" s="163">
        <f t="shared" si="88"/>
        <v>0</v>
      </c>
      <c r="I147" s="163">
        <f t="shared" si="88"/>
        <v>673.00000000000011</v>
      </c>
      <c r="J147" s="644">
        <f t="shared" si="88"/>
        <v>0</v>
      </c>
      <c r="K147" s="645">
        <f t="shared" si="88"/>
        <v>3161</v>
      </c>
      <c r="L147" s="163">
        <f t="shared" si="88"/>
        <v>2549</v>
      </c>
      <c r="M147" s="163">
        <f t="shared" si="88"/>
        <v>0</v>
      </c>
      <c r="N147" s="163">
        <f t="shared" si="88"/>
        <v>339.00000000000006</v>
      </c>
      <c r="O147" s="643">
        <f t="shared" si="88"/>
        <v>273</v>
      </c>
      <c r="P147" s="646">
        <f t="shared" si="88"/>
        <v>8</v>
      </c>
      <c r="Q147" s="645">
        <f t="shared" si="88"/>
        <v>1.9999999999999998</v>
      </c>
      <c r="R147" s="163">
        <f t="shared" si="88"/>
        <v>1.9999999999999998</v>
      </c>
      <c r="S147" s="163">
        <f t="shared" si="88"/>
        <v>0</v>
      </c>
      <c r="T147" s="163">
        <f t="shared" si="88"/>
        <v>0</v>
      </c>
      <c r="U147" s="644">
        <f t="shared" si="93"/>
        <v>0</v>
      </c>
      <c r="V147" s="645">
        <f t="shared" si="93"/>
        <v>6</v>
      </c>
      <c r="W147" s="163">
        <f t="shared" si="93"/>
        <v>5</v>
      </c>
      <c r="X147" s="163">
        <f t="shared" si="93"/>
        <v>0</v>
      </c>
      <c r="Y147" s="163">
        <f t="shared" si="93"/>
        <v>1</v>
      </c>
      <c r="Z147" s="643">
        <f t="shared" si="93"/>
        <v>0</v>
      </c>
      <c r="AA147" s="646">
        <f t="shared" si="93"/>
        <v>7.9999999999999991</v>
      </c>
      <c r="AB147" s="645">
        <f t="shared" si="93"/>
        <v>2</v>
      </c>
      <c r="AC147" s="163">
        <f t="shared" si="93"/>
        <v>2</v>
      </c>
      <c r="AD147" s="163">
        <f t="shared" si="93"/>
        <v>0</v>
      </c>
      <c r="AE147" s="163">
        <f t="shared" si="93"/>
        <v>0</v>
      </c>
      <c r="AF147" s="644">
        <f t="shared" si="93"/>
        <v>0</v>
      </c>
      <c r="AG147" s="645">
        <f t="shared" si="93"/>
        <v>6.0000000000000009</v>
      </c>
      <c r="AH147" s="163">
        <f t="shared" si="93"/>
        <v>6.0000000000000009</v>
      </c>
      <c r="AI147" s="163">
        <f t="shared" si="93"/>
        <v>0</v>
      </c>
      <c r="AJ147" s="163">
        <f t="shared" si="93"/>
        <v>0</v>
      </c>
      <c r="AK147" s="643">
        <f t="shared" si="93"/>
        <v>0</v>
      </c>
      <c r="AL147" s="646">
        <f t="shared" si="93"/>
        <v>43.999999999999993</v>
      </c>
      <c r="AM147" s="645">
        <f t="shared" si="93"/>
        <v>19</v>
      </c>
      <c r="AN147" s="163">
        <f t="shared" si="93"/>
        <v>13.999999999999998</v>
      </c>
      <c r="AO147" s="163">
        <f t="shared" si="93"/>
        <v>0</v>
      </c>
      <c r="AP147" s="163">
        <f t="shared" si="93"/>
        <v>4.9999999999999991</v>
      </c>
      <c r="AQ147" s="644">
        <f t="shared" si="93"/>
        <v>0</v>
      </c>
      <c r="AR147" s="645">
        <f t="shared" si="93"/>
        <v>25.000000000000004</v>
      </c>
      <c r="AS147" s="163">
        <f t="shared" si="93"/>
        <v>21</v>
      </c>
      <c r="AT147" s="163">
        <f t="shared" si="93"/>
        <v>0</v>
      </c>
      <c r="AU147" s="163">
        <f t="shared" si="93"/>
        <v>1.9999999999999998</v>
      </c>
      <c r="AV147" s="643">
        <f t="shared" si="93"/>
        <v>1.9999999999999998</v>
      </c>
      <c r="AW147" s="646">
        <f t="shared" si="93"/>
        <v>24.000000000000004</v>
      </c>
      <c r="AX147" s="645">
        <f t="shared" si="93"/>
        <v>9</v>
      </c>
      <c r="AY147" s="163">
        <f t="shared" si="93"/>
        <v>7</v>
      </c>
      <c r="AZ147" s="163">
        <f t="shared" si="93"/>
        <v>0</v>
      </c>
      <c r="BA147" s="163">
        <f t="shared" si="93"/>
        <v>1.9999999999999998</v>
      </c>
      <c r="BB147" s="644">
        <f t="shared" si="93"/>
        <v>0</v>
      </c>
      <c r="BC147" s="645">
        <f t="shared" si="93"/>
        <v>15</v>
      </c>
      <c r="BD147" s="163">
        <f t="shared" si="93"/>
        <v>13.000000000000002</v>
      </c>
      <c r="BE147" s="163">
        <f t="shared" si="93"/>
        <v>0</v>
      </c>
      <c r="BF147" s="163">
        <f t="shared" si="93"/>
        <v>1</v>
      </c>
      <c r="BG147" s="643">
        <f t="shared" si="93"/>
        <v>1</v>
      </c>
      <c r="BH147" s="646">
        <f t="shared" si="93"/>
        <v>36</v>
      </c>
      <c r="BI147" s="645">
        <f t="shared" si="93"/>
        <v>18</v>
      </c>
      <c r="BJ147" s="163">
        <f t="shared" si="93"/>
        <v>16</v>
      </c>
      <c r="BK147" s="163">
        <f t="shared" si="93"/>
        <v>0</v>
      </c>
      <c r="BL147" s="163">
        <f t="shared" si="93"/>
        <v>2</v>
      </c>
      <c r="BM147" s="644">
        <f t="shared" si="93"/>
        <v>0</v>
      </c>
      <c r="BN147" s="645">
        <f t="shared" si="93"/>
        <v>18</v>
      </c>
      <c r="BO147" s="163">
        <f t="shared" si="93"/>
        <v>14.999999999999998</v>
      </c>
      <c r="BP147" s="163">
        <f t="shared" si="93"/>
        <v>0</v>
      </c>
      <c r="BQ147" s="163">
        <f t="shared" si="91"/>
        <v>0</v>
      </c>
      <c r="BR147" s="643">
        <f t="shared" si="91"/>
        <v>3</v>
      </c>
      <c r="BS147" s="646">
        <f t="shared" si="91"/>
        <v>48.000000000000007</v>
      </c>
      <c r="BT147" s="645">
        <f t="shared" si="91"/>
        <v>26.000000000000004</v>
      </c>
      <c r="BU147" s="163">
        <f t="shared" si="91"/>
        <v>22.999999999999996</v>
      </c>
      <c r="BV147" s="163">
        <f t="shared" si="91"/>
        <v>0</v>
      </c>
      <c r="BW147" s="163">
        <f t="shared" si="91"/>
        <v>3</v>
      </c>
      <c r="BX147" s="644">
        <f t="shared" si="91"/>
        <v>0</v>
      </c>
      <c r="BY147" s="645">
        <f t="shared" si="91"/>
        <v>22</v>
      </c>
      <c r="BZ147" s="163">
        <f t="shared" si="91"/>
        <v>19</v>
      </c>
      <c r="CA147" s="163">
        <f t="shared" si="91"/>
        <v>0</v>
      </c>
      <c r="CB147" s="163">
        <f t="shared" si="91"/>
        <v>1</v>
      </c>
      <c r="CC147" s="643">
        <f t="shared" si="91"/>
        <v>2</v>
      </c>
      <c r="CD147" s="646">
        <f t="shared" si="91"/>
        <v>21.999999999999996</v>
      </c>
      <c r="CE147" s="645">
        <f t="shared" si="91"/>
        <v>12.000000000000002</v>
      </c>
      <c r="CF147" s="163">
        <f t="shared" si="91"/>
        <v>8</v>
      </c>
      <c r="CG147" s="163">
        <f t="shared" si="96"/>
        <v>0</v>
      </c>
      <c r="CH147" s="163">
        <f t="shared" si="96"/>
        <v>3.9999999999999996</v>
      </c>
      <c r="CI147" s="644">
        <f t="shared" si="96"/>
        <v>0</v>
      </c>
      <c r="CJ147" s="645">
        <f t="shared" si="96"/>
        <v>10</v>
      </c>
      <c r="CK147" s="163">
        <f t="shared" si="96"/>
        <v>7.9999999999999991</v>
      </c>
      <c r="CL147" s="163">
        <f t="shared" si="96"/>
        <v>0</v>
      </c>
      <c r="CM147" s="163">
        <f t="shared" si="96"/>
        <v>1</v>
      </c>
      <c r="CN147" s="643">
        <f t="shared" si="96"/>
        <v>1</v>
      </c>
      <c r="CO147" s="646">
        <f t="shared" si="96"/>
        <v>6.0000000000000009</v>
      </c>
      <c r="CP147" s="645">
        <f t="shared" si="96"/>
        <v>3.0000000000000004</v>
      </c>
      <c r="CQ147" s="163">
        <f t="shared" si="96"/>
        <v>3.0000000000000004</v>
      </c>
      <c r="CR147" s="163">
        <f t="shared" si="96"/>
        <v>0</v>
      </c>
      <c r="CS147" s="163">
        <f t="shared" si="96"/>
        <v>0</v>
      </c>
      <c r="CT147" s="644">
        <f t="shared" si="96"/>
        <v>0</v>
      </c>
      <c r="CU147" s="645">
        <f t="shared" si="96"/>
        <v>3</v>
      </c>
      <c r="CV147" s="163">
        <f t="shared" si="96"/>
        <v>3</v>
      </c>
      <c r="CW147" s="163">
        <f t="shared" si="94"/>
        <v>0</v>
      </c>
      <c r="CX147" s="163">
        <f t="shared" si="94"/>
        <v>0</v>
      </c>
      <c r="CY147" s="643">
        <f t="shared" si="94"/>
        <v>0</v>
      </c>
      <c r="CZ147" s="646">
        <f t="shared" si="94"/>
        <v>1.9999999999999998</v>
      </c>
      <c r="DA147" s="645">
        <f t="shared" si="94"/>
        <v>1</v>
      </c>
      <c r="DB147" s="163">
        <f t="shared" si="94"/>
        <v>0</v>
      </c>
      <c r="DC147" s="163">
        <f t="shared" si="94"/>
        <v>0</v>
      </c>
      <c r="DD147" s="163">
        <f t="shared" si="94"/>
        <v>1</v>
      </c>
      <c r="DE147" s="644">
        <f t="shared" si="94"/>
        <v>0</v>
      </c>
      <c r="DF147" s="645">
        <f t="shared" si="94"/>
        <v>1</v>
      </c>
      <c r="DG147" s="163">
        <f t="shared" si="94"/>
        <v>1</v>
      </c>
      <c r="DH147" s="163">
        <f t="shared" si="94"/>
        <v>0</v>
      </c>
      <c r="DI147" s="163">
        <f t="shared" si="94"/>
        <v>0</v>
      </c>
      <c r="DJ147" s="643">
        <f t="shared" si="94"/>
        <v>0</v>
      </c>
      <c r="DK147" s="646">
        <f t="shared" si="94"/>
        <v>0</v>
      </c>
      <c r="DL147" s="645">
        <f t="shared" si="94"/>
        <v>0</v>
      </c>
      <c r="DM147" s="163">
        <f t="shared" si="94"/>
        <v>0</v>
      </c>
      <c r="DN147" s="163">
        <f t="shared" si="94"/>
        <v>0</v>
      </c>
      <c r="DO147" s="163">
        <f t="shared" si="94"/>
        <v>0</v>
      </c>
      <c r="DP147" s="644">
        <f t="shared" si="94"/>
        <v>0</v>
      </c>
      <c r="DQ147" s="645">
        <f t="shared" si="94"/>
        <v>0</v>
      </c>
      <c r="DR147" s="163">
        <f t="shared" si="94"/>
        <v>0</v>
      </c>
      <c r="DS147" s="163">
        <f t="shared" si="94"/>
        <v>0</v>
      </c>
      <c r="DT147" s="163">
        <f t="shared" si="94"/>
        <v>0</v>
      </c>
      <c r="DU147" s="643">
        <f t="shared" si="94"/>
        <v>0</v>
      </c>
      <c r="DW147" s="646">
        <f t="shared" si="84"/>
        <v>154</v>
      </c>
      <c r="DX147" s="645">
        <f t="shared" si="84"/>
        <v>73</v>
      </c>
      <c r="DY147" s="163">
        <f t="shared" si="84"/>
        <v>61</v>
      </c>
      <c r="DZ147" s="163">
        <f t="shared" si="84"/>
        <v>0</v>
      </c>
      <c r="EA147" s="163">
        <f t="shared" si="84"/>
        <v>12</v>
      </c>
      <c r="EB147" s="644">
        <f t="shared" si="84"/>
        <v>0</v>
      </c>
      <c r="EC147" s="645">
        <f t="shared" si="84"/>
        <v>81</v>
      </c>
      <c r="ED147" s="163">
        <f t="shared" si="84"/>
        <v>70</v>
      </c>
      <c r="EE147" s="163">
        <f t="shared" si="84"/>
        <v>0</v>
      </c>
      <c r="EF147" s="163">
        <f t="shared" si="84"/>
        <v>4</v>
      </c>
      <c r="EG147" s="643">
        <f t="shared" si="84"/>
        <v>7</v>
      </c>
      <c r="EH147" s="646">
        <f t="shared" si="73"/>
        <v>43.999999999999993</v>
      </c>
      <c r="EI147" s="645">
        <f t="shared" si="73"/>
        <v>19</v>
      </c>
      <c r="EJ147" s="163">
        <f t="shared" si="73"/>
        <v>13.999999999999998</v>
      </c>
      <c r="EK147" s="163">
        <f t="shared" si="73"/>
        <v>0</v>
      </c>
      <c r="EL147" s="163">
        <f t="shared" si="73"/>
        <v>4.9999999999999991</v>
      </c>
      <c r="EM147" s="644">
        <f t="shared" si="73"/>
        <v>0</v>
      </c>
      <c r="EN147" s="645">
        <f t="shared" si="73"/>
        <v>25.000000000000004</v>
      </c>
      <c r="EO147" s="163">
        <f t="shared" si="73"/>
        <v>21</v>
      </c>
      <c r="EP147" s="163">
        <f t="shared" si="79"/>
        <v>0</v>
      </c>
      <c r="EQ147" s="163">
        <f t="shared" si="79"/>
        <v>1.9999999999999998</v>
      </c>
      <c r="ER147" s="643">
        <f t="shared" si="79"/>
        <v>1.9999999999999998</v>
      </c>
    </row>
    <row r="148" spans="1:148">
      <c r="A148" s="665" t="s">
        <v>227</v>
      </c>
      <c r="B148" s="665">
        <v>43009</v>
      </c>
      <c r="C148" s="664">
        <v>2017</v>
      </c>
      <c r="D148" s="646">
        <f t="shared" ref="D148" si="99">D49/3+D147</f>
        <v>681717</v>
      </c>
      <c r="E148" s="646">
        <f t="shared" si="88"/>
        <v>6418.0000000000009</v>
      </c>
      <c r="F148" s="645">
        <f t="shared" si="88"/>
        <v>2772.333333333333</v>
      </c>
      <c r="G148" s="163">
        <f t="shared" si="88"/>
        <v>1979.9999999999998</v>
      </c>
      <c r="H148" s="163">
        <f t="shared" si="88"/>
        <v>0</v>
      </c>
      <c r="I148" s="163">
        <f t="shared" si="88"/>
        <v>792.33333333333348</v>
      </c>
      <c r="J148" s="644">
        <f t="shared" si="88"/>
        <v>0</v>
      </c>
      <c r="K148" s="645">
        <f t="shared" si="88"/>
        <v>3645.6666666666665</v>
      </c>
      <c r="L148" s="163">
        <f t="shared" si="88"/>
        <v>2918.3333333333335</v>
      </c>
      <c r="M148" s="163">
        <f t="shared" si="88"/>
        <v>0</v>
      </c>
      <c r="N148" s="163">
        <f t="shared" si="88"/>
        <v>371.33333333333337</v>
      </c>
      <c r="O148" s="643">
        <f t="shared" si="88"/>
        <v>356</v>
      </c>
      <c r="P148" s="646">
        <f t="shared" si="88"/>
        <v>8.6666666666666661</v>
      </c>
      <c r="Q148" s="645">
        <f t="shared" si="88"/>
        <v>2.333333333333333</v>
      </c>
      <c r="R148" s="163">
        <f t="shared" si="88"/>
        <v>2.333333333333333</v>
      </c>
      <c r="S148" s="163">
        <f t="shared" si="88"/>
        <v>0</v>
      </c>
      <c r="T148" s="163">
        <f t="shared" si="88"/>
        <v>0</v>
      </c>
      <c r="U148" s="644">
        <f t="shared" si="93"/>
        <v>0</v>
      </c>
      <c r="V148" s="645">
        <f t="shared" si="93"/>
        <v>6.333333333333333</v>
      </c>
      <c r="W148" s="163">
        <f t="shared" si="93"/>
        <v>5.333333333333333</v>
      </c>
      <c r="X148" s="163">
        <f t="shared" si="93"/>
        <v>0</v>
      </c>
      <c r="Y148" s="163">
        <f t="shared" si="93"/>
        <v>1</v>
      </c>
      <c r="Z148" s="643">
        <f t="shared" si="93"/>
        <v>0</v>
      </c>
      <c r="AA148" s="646">
        <f t="shared" si="93"/>
        <v>9.3333333333333321</v>
      </c>
      <c r="AB148" s="645">
        <f t="shared" si="93"/>
        <v>2</v>
      </c>
      <c r="AC148" s="163">
        <f t="shared" si="93"/>
        <v>2</v>
      </c>
      <c r="AD148" s="163">
        <f t="shared" si="93"/>
        <v>0</v>
      </c>
      <c r="AE148" s="163">
        <f t="shared" si="93"/>
        <v>0</v>
      </c>
      <c r="AF148" s="644">
        <f t="shared" si="93"/>
        <v>0</v>
      </c>
      <c r="AG148" s="645">
        <f t="shared" si="93"/>
        <v>7.3333333333333339</v>
      </c>
      <c r="AH148" s="163">
        <f t="shared" si="93"/>
        <v>7.3333333333333339</v>
      </c>
      <c r="AI148" s="163">
        <f t="shared" si="93"/>
        <v>0</v>
      </c>
      <c r="AJ148" s="163">
        <f t="shared" si="93"/>
        <v>0</v>
      </c>
      <c r="AK148" s="643">
        <f t="shared" si="93"/>
        <v>0</v>
      </c>
      <c r="AL148" s="646">
        <f t="shared" si="93"/>
        <v>52.999999999999993</v>
      </c>
      <c r="AM148" s="645">
        <f t="shared" si="93"/>
        <v>22.666666666666668</v>
      </c>
      <c r="AN148" s="163">
        <f t="shared" si="93"/>
        <v>15.999999999999998</v>
      </c>
      <c r="AO148" s="163">
        <f t="shared" si="93"/>
        <v>0</v>
      </c>
      <c r="AP148" s="163">
        <f t="shared" si="93"/>
        <v>6.6666666666666661</v>
      </c>
      <c r="AQ148" s="644">
        <f t="shared" si="93"/>
        <v>0</v>
      </c>
      <c r="AR148" s="645">
        <f t="shared" si="93"/>
        <v>30.333333333333336</v>
      </c>
      <c r="AS148" s="163">
        <f t="shared" si="93"/>
        <v>24</v>
      </c>
      <c r="AT148" s="163">
        <f t="shared" si="93"/>
        <v>0</v>
      </c>
      <c r="AU148" s="163">
        <f t="shared" si="93"/>
        <v>1.9999999999999998</v>
      </c>
      <c r="AV148" s="643">
        <f t="shared" si="93"/>
        <v>4.333333333333333</v>
      </c>
      <c r="AW148" s="646">
        <f t="shared" si="93"/>
        <v>29.000000000000004</v>
      </c>
      <c r="AX148" s="645">
        <f t="shared" si="93"/>
        <v>10.666666666666666</v>
      </c>
      <c r="AY148" s="163">
        <f t="shared" si="93"/>
        <v>8.6666666666666661</v>
      </c>
      <c r="AZ148" s="163">
        <f t="shared" si="93"/>
        <v>0</v>
      </c>
      <c r="BA148" s="163">
        <f t="shared" si="93"/>
        <v>1.9999999999999998</v>
      </c>
      <c r="BB148" s="644">
        <f t="shared" si="93"/>
        <v>0</v>
      </c>
      <c r="BC148" s="645">
        <f t="shared" si="93"/>
        <v>18.333333333333332</v>
      </c>
      <c r="BD148" s="163">
        <f t="shared" si="93"/>
        <v>16</v>
      </c>
      <c r="BE148" s="163">
        <f t="shared" si="93"/>
        <v>0</v>
      </c>
      <c r="BF148" s="163">
        <f t="shared" si="93"/>
        <v>1</v>
      </c>
      <c r="BG148" s="643">
        <f t="shared" si="93"/>
        <v>1.3333333333333333</v>
      </c>
      <c r="BH148" s="646">
        <f t="shared" si="93"/>
        <v>40.666666666666664</v>
      </c>
      <c r="BI148" s="645">
        <f t="shared" si="93"/>
        <v>20</v>
      </c>
      <c r="BJ148" s="163">
        <f t="shared" si="93"/>
        <v>17.333333333333332</v>
      </c>
      <c r="BK148" s="163">
        <f t="shared" si="93"/>
        <v>0</v>
      </c>
      <c r="BL148" s="163">
        <f t="shared" si="93"/>
        <v>2.6666666666666665</v>
      </c>
      <c r="BM148" s="644">
        <f t="shared" si="93"/>
        <v>0</v>
      </c>
      <c r="BN148" s="645">
        <f t="shared" si="93"/>
        <v>20.666666666666668</v>
      </c>
      <c r="BO148" s="163">
        <f t="shared" si="93"/>
        <v>17</v>
      </c>
      <c r="BP148" s="163">
        <f t="shared" si="93"/>
        <v>0</v>
      </c>
      <c r="BQ148" s="163">
        <f t="shared" si="91"/>
        <v>0.33333333333333331</v>
      </c>
      <c r="BR148" s="643">
        <f t="shared" si="91"/>
        <v>3.3333333333333335</v>
      </c>
      <c r="BS148" s="646">
        <f t="shared" si="91"/>
        <v>55.333333333333343</v>
      </c>
      <c r="BT148" s="645">
        <f t="shared" si="91"/>
        <v>29.666666666666671</v>
      </c>
      <c r="BU148" s="163">
        <f t="shared" si="91"/>
        <v>25.999999999999996</v>
      </c>
      <c r="BV148" s="163">
        <f t="shared" si="91"/>
        <v>0</v>
      </c>
      <c r="BW148" s="163">
        <f t="shared" si="91"/>
        <v>3.6666666666666665</v>
      </c>
      <c r="BX148" s="644">
        <f t="shared" si="91"/>
        <v>0</v>
      </c>
      <c r="BY148" s="645">
        <f t="shared" si="91"/>
        <v>25.666666666666668</v>
      </c>
      <c r="BZ148" s="163">
        <f t="shared" si="91"/>
        <v>22</v>
      </c>
      <c r="CA148" s="163">
        <f t="shared" si="91"/>
        <v>0</v>
      </c>
      <c r="CB148" s="163">
        <f t="shared" si="91"/>
        <v>1.3333333333333333</v>
      </c>
      <c r="CC148" s="643">
        <f t="shared" si="91"/>
        <v>2.3333333333333335</v>
      </c>
      <c r="CD148" s="646">
        <f t="shared" si="91"/>
        <v>23.333333333333329</v>
      </c>
      <c r="CE148" s="645">
        <f t="shared" si="91"/>
        <v>12.666666666666668</v>
      </c>
      <c r="CF148" s="163">
        <f t="shared" si="91"/>
        <v>8.3333333333333339</v>
      </c>
      <c r="CG148" s="163">
        <f t="shared" si="96"/>
        <v>0</v>
      </c>
      <c r="CH148" s="163">
        <f t="shared" si="96"/>
        <v>4.333333333333333</v>
      </c>
      <c r="CI148" s="644">
        <f t="shared" si="96"/>
        <v>0</v>
      </c>
      <c r="CJ148" s="645">
        <f t="shared" si="96"/>
        <v>10.666666666666666</v>
      </c>
      <c r="CK148" s="163">
        <f t="shared" si="96"/>
        <v>8.3333333333333321</v>
      </c>
      <c r="CL148" s="163">
        <f t="shared" si="96"/>
        <v>0</v>
      </c>
      <c r="CM148" s="163">
        <f t="shared" si="96"/>
        <v>1</v>
      </c>
      <c r="CN148" s="643">
        <f t="shared" si="96"/>
        <v>1.3333333333333333</v>
      </c>
      <c r="CO148" s="646">
        <f t="shared" si="96"/>
        <v>7.0000000000000009</v>
      </c>
      <c r="CP148" s="645">
        <f t="shared" si="96"/>
        <v>3.0000000000000004</v>
      </c>
      <c r="CQ148" s="163">
        <f t="shared" si="96"/>
        <v>3.0000000000000004</v>
      </c>
      <c r="CR148" s="163">
        <f t="shared" si="96"/>
        <v>0</v>
      </c>
      <c r="CS148" s="163">
        <f t="shared" si="96"/>
        <v>0</v>
      </c>
      <c r="CT148" s="644">
        <f t="shared" si="96"/>
        <v>0</v>
      </c>
      <c r="CU148" s="645">
        <f t="shared" si="96"/>
        <v>4</v>
      </c>
      <c r="CV148" s="163">
        <f t="shared" si="96"/>
        <v>4</v>
      </c>
      <c r="CW148" s="163">
        <f t="shared" si="94"/>
        <v>0</v>
      </c>
      <c r="CX148" s="163">
        <f t="shared" si="94"/>
        <v>0</v>
      </c>
      <c r="CY148" s="643">
        <f t="shared" si="94"/>
        <v>0</v>
      </c>
      <c r="CZ148" s="646">
        <f t="shared" si="94"/>
        <v>3.6666666666666665</v>
      </c>
      <c r="DA148" s="645">
        <f t="shared" si="94"/>
        <v>1</v>
      </c>
      <c r="DB148" s="163">
        <f t="shared" si="94"/>
        <v>0</v>
      </c>
      <c r="DC148" s="163">
        <f t="shared" si="94"/>
        <v>0</v>
      </c>
      <c r="DD148" s="163">
        <f t="shared" si="94"/>
        <v>1</v>
      </c>
      <c r="DE148" s="644">
        <f t="shared" si="94"/>
        <v>0</v>
      </c>
      <c r="DF148" s="645">
        <f t="shared" si="94"/>
        <v>2.666666666666667</v>
      </c>
      <c r="DG148" s="163">
        <f t="shared" si="94"/>
        <v>2.666666666666667</v>
      </c>
      <c r="DH148" s="163">
        <f t="shared" si="94"/>
        <v>0</v>
      </c>
      <c r="DI148" s="163">
        <f t="shared" si="94"/>
        <v>0</v>
      </c>
      <c r="DJ148" s="643">
        <f t="shared" si="94"/>
        <v>0</v>
      </c>
      <c r="DK148" s="646">
        <f t="shared" si="94"/>
        <v>0</v>
      </c>
      <c r="DL148" s="645">
        <f t="shared" si="94"/>
        <v>0</v>
      </c>
      <c r="DM148" s="163">
        <f t="shared" si="94"/>
        <v>0</v>
      </c>
      <c r="DN148" s="163">
        <f t="shared" si="94"/>
        <v>0</v>
      </c>
      <c r="DO148" s="163">
        <f t="shared" si="94"/>
        <v>0</v>
      </c>
      <c r="DP148" s="644">
        <f t="shared" si="94"/>
        <v>0</v>
      </c>
      <c r="DQ148" s="645">
        <f t="shared" si="94"/>
        <v>0</v>
      </c>
      <c r="DR148" s="163">
        <f t="shared" si="94"/>
        <v>0</v>
      </c>
      <c r="DS148" s="163">
        <f t="shared" si="94"/>
        <v>0</v>
      </c>
      <c r="DT148" s="163">
        <f t="shared" si="94"/>
        <v>0</v>
      </c>
      <c r="DU148" s="643">
        <f t="shared" si="94"/>
        <v>0</v>
      </c>
      <c r="DW148" s="646">
        <f t="shared" si="84"/>
        <v>176.99999999999997</v>
      </c>
      <c r="DX148" s="645">
        <f t="shared" si="84"/>
        <v>81.333333333333343</v>
      </c>
      <c r="DY148" s="163">
        <f t="shared" si="84"/>
        <v>67.666666666666657</v>
      </c>
      <c r="DZ148" s="163">
        <f t="shared" si="84"/>
        <v>0</v>
      </c>
      <c r="EA148" s="163">
        <f t="shared" si="84"/>
        <v>13.666666666666664</v>
      </c>
      <c r="EB148" s="644">
        <f t="shared" si="84"/>
        <v>0</v>
      </c>
      <c r="EC148" s="645">
        <f t="shared" si="84"/>
        <v>95.666666666666686</v>
      </c>
      <c r="ED148" s="163">
        <f t="shared" si="84"/>
        <v>82.666666666666671</v>
      </c>
      <c r="EE148" s="163">
        <f t="shared" si="84"/>
        <v>0</v>
      </c>
      <c r="EF148" s="163">
        <f t="shared" si="84"/>
        <v>4.666666666666667</v>
      </c>
      <c r="EG148" s="643">
        <f t="shared" si="84"/>
        <v>8.3333333333333339</v>
      </c>
      <c r="EH148" s="646">
        <f t="shared" si="73"/>
        <v>52.999999999999993</v>
      </c>
      <c r="EI148" s="645">
        <f t="shared" si="73"/>
        <v>22.666666666666668</v>
      </c>
      <c r="EJ148" s="163">
        <f t="shared" si="73"/>
        <v>15.999999999999998</v>
      </c>
      <c r="EK148" s="163">
        <f t="shared" si="73"/>
        <v>0</v>
      </c>
      <c r="EL148" s="163">
        <f t="shared" si="73"/>
        <v>6.6666666666666661</v>
      </c>
      <c r="EM148" s="644">
        <f t="shared" si="73"/>
        <v>0</v>
      </c>
      <c r="EN148" s="645">
        <f t="shared" si="73"/>
        <v>30.333333333333336</v>
      </c>
      <c r="EO148" s="163">
        <f t="shared" si="73"/>
        <v>24</v>
      </c>
      <c r="EP148" s="163">
        <f t="shared" si="79"/>
        <v>0</v>
      </c>
      <c r="EQ148" s="163">
        <f t="shared" si="79"/>
        <v>1.9999999999999998</v>
      </c>
      <c r="ER148" s="643">
        <f t="shared" si="79"/>
        <v>4.333333333333333</v>
      </c>
    </row>
    <row r="149" spans="1:148">
      <c r="A149" s="665" t="s">
        <v>227</v>
      </c>
      <c r="B149" s="665">
        <v>43040</v>
      </c>
      <c r="C149" s="664">
        <v>2017</v>
      </c>
      <c r="D149" s="646">
        <f t="shared" ref="D149" si="100">D50/3+D148</f>
        <v>741556</v>
      </c>
      <c r="E149" s="646">
        <f t="shared" si="88"/>
        <v>7298.0000000000009</v>
      </c>
      <c r="F149" s="645">
        <f t="shared" si="88"/>
        <v>3167.6666666666665</v>
      </c>
      <c r="G149" s="163">
        <f t="shared" si="88"/>
        <v>2256</v>
      </c>
      <c r="H149" s="163">
        <f t="shared" si="88"/>
        <v>0</v>
      </c>
      <c r="I149" s="163">
        <f t="shared" si="88"/>
        <v>911.66666666666686</v>
      </c>
      <c r="J149" s="644">
        <f t="shared" si="88"/>
        <v>0</v>
      </c>
      <c r="K149" s="645">
        <f t="shared" si="88"/>
        <v>4130.333333333333</v>
      </c>
      <c r="L149" s="163">
        <f t="shared" si="88"/>
        <v>3287.666666666667</v>
      </c>
      <c r="M149" s="163">
        <f t="shared" si="88"/>
        <v>0</v>
      </c>
      <c r="N149" s="163">
        <f t="shared" si="88"/>
        <v>403.66666666666669</v>
      </c>
      <c r="O149" s="643">
        <f t="shared" si="88"/>
        <v>439</v>
      </c>
      <c r="P149" s="646">
        <f t="shared" si="88"/>
        <v>9.3333333333333321</v>
      </c>
      <c r="Q149" s="645">
        <f t="shared" si="88"/>
        <v>2.6666666666666665</v>
      </c>
      <c r="R149" s="163">
        <f t="shared" si="88"/>
        <v>2.6666666666666665</v>
      </c>
      <c r="S149" s="163">
        <f t="shared" si="88"/>
        <v>0</v>
      </c>
      <c r="T149" s="163">
        <f t="shared" si="88"/>
        <v>0</v>
      </c>
      <c r="U149" s="644">
        <f t="shared" si="93"/>
        <v>0</v>
      </c>
      <c r="V149" s="645">
        <f t="shared" si="93"/>
        <v>6.6666666666666661</v>
      </c>
      <c r="W149" s="163">
        <f t="shared" si="93"/>
        <v>5.6666666666666661</v>
      </c>
      <c r="X149" s="163">
        <f t="shared" si="93"/>
        <v>0</v>
      </c>
      <c r="Y149" s="163">
        <f t="shared" si="93"/>
        <v>1</v>
      </c>
      <c r="Z149" s="643">
        <f t="shared" si="93"/>
        <v>0</v>
      </c>
      <c r="AA149" s="646">
        <f t="shared" si="93"/>
        <v>10.666666666666666</v>
      </c>
      <c r="AB149" s="645">
        <f t="shared" si="93"/>
        <v>2</v>
      </c>
      <c r="AC149" s="163">
        <f t="shared" si="93"/>
        <v>2</v>
      </c>
      <c r="AD149" s="163">
        <f t="shared" si="93"/>
        <v>0</v>
      </c>
      <c r="AE149" s="163">
        <f t="shared" si="93"/>
        <v>0</v>
      </c>
      <c r="AF149" s="644">
        <f t="shared" si="93"/>
        <v>0</v>
      </c>
      <c r="AG149" s="645">
        <f t="shared" si="93"/>
        <v>8.6666666666666679</v>
      </c>
      <c r="AH149" s="163">
        <f t="shared" si="93"/>
        <v>8.6666666666666679</v>
      </c>
      <c r="AI149" s="163">
        <f t="shared" si="93"/>
        <v>0</v>
      </c>
      <c r="AJ149" s="163">
        <f t="shared" ref="AJ149:BP156" si="101">AJ50/3+AJ148</f>
        <v>0</v>
      </c>
      <c r="AK149" s="643">
        <f t="shared" si="101"/>
        <v>0</v>
      </c>
      <c r="AL149" s="646">
        <f t="shared" si="101"/>
        <v>61.999999999999993</v>
      </c>
      <c r="AM149" s="645">
        <f t="shared" si="101"/>
        <v>26.333333333333336</v>
      </c>
      <c r="AN149" s="163">
        <f t="shared" si="101"/>
        <v>18</v>
      </c>
      <c r="AO149" s="163">
        <f t="shared" si="101"/>
        <v>0</v>
      </c>
      <c r="AP149" s="163">
        <f t="shared" si="101"/>
        <v>8.3333333333333321</v>
      </c>
      <c r="AQ149" s="644">
        <f t="shared" si="101"/>
        <v>0</v>
      </c>
      <c r="AR149" s="645">
        <f t="shared" si="101"/>
        <v>35.666666666666671</v>
      </c>
      <c r="AS149" s="163">
        <f t="shared" si="101"/>
        <v>27</v>
      </c>
      <c r="AT149" s="163">
        <f t="shared" si="101"/>
        <v>0</v>
      </c>
      <c r="AU149" s="163">
        <f t="shared" si="101"/>
        <v>1.9999999999999998</v>
      </c>
      <c r="AV149" s="643">
        <f t="shared" si="101"/>
        <v>6.6666666666666661</v>
      </c>
      <c r="AW149" s="646">
        <f t="shared" si="101"/>
        <v>34</v>
      </c>
      <c r="AX149" s="645">
        <f t="shared" si="101"/>
        <v>12.333333333333332</v>
      </c>
      <c r="AY149" s="163">
        <f t="shared" si="101"/>
        <v>10.333333333333332</v>
      </c>
      <c r="AZ149" s="163">
        <f t="shared" si="101"/>
        <v>0</v>
      </c>
      <c r="BA149" s="163">
        <f t="shared" si="101"/>
        <v>1.9999999999999998</v>
      </c>
      <c r="BB149" s="644">
        <f t="shared" si="101"/>
        <v>0</v>
      </c>
      <c r="BC149" s="645">
        <f t="shared" si="101"/>
        <v>21.666666666666664</v>
      </c>
      <c r="BD149" s="163">
        <f t="shared" si="101"/>
        <v>19</v>
      </c>
      <c r="BE149" s="163">
        <f t="shared" si="101"/>
        <v>0</v>
      </c>
      <c r="BF149" s="163">
        <f t="shared" si="101"/>
        <v>1</v>
      </c>
      <c r="BG149" s="643">
        <f t="shared" si="101"/>
        <v>1.6666666666666665</v>
      </c>
      <c r="BH149" s="646">
        <f t="shared" si="101"/>
        <v>45.333333333333329</v>
      </c>
      <c r="BI149" s="645">
        <f t="shared" si="101"/>
        <v>22</v>
      </c>
      <c r="BJ149" s="163">
        <f t="shared" si="101"/>
        <v>18.666666666666664</v>
      </c>
      <c r="BK149" s="163">
        <f t="shared" si="101"/>
        <v>0</v>
      </c>
      <c r="BL149" s="163">
        <f t="shared" si="101"/>
        <v>3.333333333333333</v>
      </c>
      <c r="BM149" s="644">
        <f t="shared" si="101"/>
        <v>0</v>
      </c>
      <c r="BN149" s="645">
        <f t="shared" si="101"/>
        <v>23.333333333333336</v>
      </c>
      <c r="BO149" s="163">
        <f t="shared" si="101"/>
        <v>19</v>
      </c>
      <c r="BP149" s="163">
        <f t="shared" si="101"/>
        <v>0</v>
      </c>
      <c r="BQ149" s="163">
        <f t="shared" si="91"/>
        <v>0.66666666666666663</v>
      </c>
      <c r="BR149" s="643">
        <f t="shared" si="91"/>
        <v>3.666666666666667</v>
      </c>
      <c r="BS149" s="646">
        <f t="shared" si="91"/>
        <v>62.666666666666679</v>
      </c>
      <c r="BT149" s="645">
        <f t="shared" si="91"/>
        <v>33.333333333333336</v>
      </c>
      <c r="BU149" s="163">
        <f t="shared" si="91"/>
        <v>28.999999999999996</v>
      </c>
      <c r="BV149" s="163">
        <f t="shared" si="91"/>
        <v>0</v>
      </c>
      <c r="BW149" s="163">
        <f t="shared" si="91"/>
        <v>4.333333333333333</v>
      </c>
      <c r="BX149" s="644">
        <f t="shared" si="91"/>
        <v>0</v>
      </c>
      <c r="BY149" s="645">
        <f t="shared" si="91"/>
        <v>29.333333333333336</v>
      </c>
      <c r="BZ149" s="163">
        <f t="shared" si="91"/>
        <v>25</v>
      </c>
      <c r="CA149" s="163">
        <f t="shared" si="91"/>
        <v>0</v>
      </c>
      <c r="CB149" s="163">
        <f t="shared" si="91"/>
        <v>1.6666666666666665</v>
      </c>
      <c r="CC149" s="643">
        <f t="shared" si="91"/>
        <v>2.666666666666667</v>
      </c>
      <c r="CD149" s="646">
        <f t="shared" si="91"/>
        <v>24.666666666666661</v>
      </c>
      <c r="CE149" s="645">
        <f t="shared" si="91"/>
        <v>13.333333333333334</v>
      </c>
      <c r="CF149" s="163">
        <f t="shared" si="91"/>
        <v>8.6666666666666679</v>
      </c>
      <c r="CG149" s="163">
        <f t="shared" si="96"/>
        <v>0</v>
      </c>
      <c r="CH149" s="163">
        <f t="shared" si="96"/>
        <v>4.6666666666666661</v>
      </c>
      <c r="CI149" s="644">
        <f t="shared" si="96"/>
        <v>0</v>
      </c>
      <c r="CJ149" s="645">
        <f t="shared" si="96"/>
        <v>11.333333333333332</v>
      </c>
      <c r="CK149" s="163">
        <f t="shared" si="96"/>
        <v>8.6666666666666661</v>
      </c>
      <c r="CL149" s="163">
        <f t="shared" si="96"/>
        <v>0</v>
      </c>
      <c r="CM149" s="163">
        <f t="shared" si="96"/>
        <v>1</v>
      </c>
      <c r="CN149" s="643">
        <f t="shared" si="96"/>
        <v>1.6666666666666665</v>
      </c>
      <c r="CO149" s="646">
        <f t="shared" si="96"/>
        <v>8</v>
      </c>
      <c r="CP149" s="645">
        <f t="shared" si="96"/>
        <v>3.0000000000000004</v>
      </c>
      <c r="CQ149" s="163">
        <f t="shared" si="96"/>
        <v>3.0000000000000004</v>
      </c>
      <c r="CR149" s="163">
        <f t="shared" si="96"/>
        <v>0</v>
      </c>
      <c r="CS149" s="163">
        <f t="shared" si="96"/>
        <v>0</v>
      </c>
      <c r="CT149" s="644">
        <f t="shared" si="96"/>
        <v>0</v>
      </c>
      <c r="CU149" s="645">
        <f t="shared" si="96"/>
        <v>5</v>
      </c>
      <c r="CV149" s="163">
        <f t="shared" si="96"/>
        <v>5</v>
      </c>
      <c r="CW149" s="163">
        <f t="shared" si="94"/>
        <v>0</v>
      </c>
      <c r="CX149" s="163">
        <f t="shared" si="94"/>
        <v>0</v>
      </c>
      <c r="CY149" s="643">
        <f t="shared" si="94"/>
        <v>0</v>
      </c>
      <c r="CZ149" s="646">
        <f t="shared" si="94"/>
        <v>5.333333333333333</v>
      </c>
      <c r="DA149" s="645">
        <f t="shared" si="94"/>
        <v>1</v>
      </c>
      <c r="DB149" s="163">
        <f t="shared" si="94"/>
        <v>0</v>
      </c>
      <c r="DC149" s="163">
        <f t="shared" si="94"/>
        <v>0</v>
      </c>
      <c r="DD149" s="163">
        <f t="shared" si="94"/>
        <v>1</v>
      </c>
      <c r="DE149" s="644">
        <f t="shared" si="94"/>
        <v>0</v>
      </c>
      <c r="DF149" s="645">
        <f t="shared" si="94"/>
        <v>4.3333333333333339</v>
      </c>
      <c r="DG149" s="163">
        <f t="shared" si="94"/>
        <v>4.3333333333333339</v>
      </c>
      <c r="DH149" s="163">
        <f t="shared" si="94"/>
        <v>0</v>
      </c>
      <c r="DI149" s="163">
        <f t="shared" si="94"/>
        <v>0</v>
      </c>
      <c r="DJ149" s="643">
        <f t="shared" si="94"/>
        <v>0</v>
      </c>
      <c r="DK149" s="646">
        <f t="shared" si="94"/>
        <v>0</v>
      </c>
      <c r="DL149" s="645">
        <f t="shared" si="94"/>
        <v>0</v>
      </c>
      <c r="DM149" s="163">
        <f t="shared" si="94"/>
        <v>0</v>
      </c>
      <c r="DN149" s="163">
        <f t="shared" si="94"/>
        <v>0</v>
      </c>
      <c r="DO149" s="163">
        <f t="shared" si="94"/>
        <v>0</v>
      </c>
      <c r="DP149" s="644">
        <f t="shared" si="94"/>
        <v>0</v>
      </c>
      <c r="DQ149" s="645">
        <f t="shared" si="94"/>
        <v>0</v>
      </c>
      <c r="DR149" s="163">
        <f t="shared" si="94"/>
        <v>0</v>
      </c>
      <c r="DS149" s="163">
        <f t="shared" si="94"/>
        <v>0</v>
      </c>
      <c r="DT149" s="163">
        <f t="shared" si="94"/>
        <v>0</v>
      </c>
      <c r="DU149" s="643">
        <f t="shared" si="94"/>
        <v>0</v>
      </c>
      <c r="DW149" s="646">
        <f t="shared" si="84"/>
        <v>200</v>
      </c>
      <c r="DX149" s="645">
        <f t="shared" si="84"/>
        <v>89.666666666666671</v>
      </c>
      <c r="DY149" s="163">
        <f t="shared" si="84"/>
        <v>74.333333333333329</v>
      </c>
      <c r="DZ149" s="163">
        <f t="shared" si="84"/>
        <v>0</v>
      </c>
      <c r="EA149" s="163">
        <f t="shared" si="84"/>
        <v>15.333333333333332</v>
      </c>
      <c r="EB149" s="644">
        <f t="shared" si="84"/>
        <v>0</v>
      </c>
      <c r="EC149" s="645">
        <f t="shared" si="84"/>
        <v>110.33333333333333</v>
      </c>
      <c r="ED149" s="163">
        <f t="shared" si="84"/>
        <v>95.333333333333343</v>
      </c>
      <c r="EE149" s="163">
        <f t="shared" si="84"/>
        <v>0</v>
      </c>
      <c r="EF149" s="163">
        <f t="shared" si="84"/>
        <v>5.333333333333333</v>
      </c>
      <c r="EG149" s="643">
        <f t="shared" si="84"/>
        <v>9.6666666666666661</v>
      </c>
      <c r="EH149" s="646">
        <f t="shared" si="73"/>
        <v>61.999999999999993</v>
      </c>
      <c r="EI149" s="645">
        <f t="shared" si="73"/>
        <v>26.333333333333336</v>
      </c>
      <c r="EJ149" s="163">
        <f t="shared" si="73"/>
        <v>18</v>
      </c>
      <c r="EK149" s="163">
        <f t="shared" si="73"/>
        <v>0</v>
      </c>
      <c r="EL149" s="163">
        <f t="shared" si="73"/>
        <v>8.3333333333333321</v>
      </c>
      <c r="EM149" s="644">
        <f t="shared" si="73"/>
        <v>0</v>
      </c>
      <c r="EN149" s="645">
        <f t="shared" si="73"/>
        <v>35.666666666666671</v>
      </c>
      <c r="EO149" s="163">
        <f t="shared" si="73"/>
        <v>27</v>
      </c>
      <c r="EP149" s="163">
        <f t="shared" si="79"/>
        <v>0</v>
      </c>
      <c r="EQ149" s="163">
        <f t="shared" si="79"/>
        <v>1.9999999999999998</v>
      </c>
      <c r="ER149" s="643">
        <f t="shared" si="79"/>
        <v>6.6666666666666661</v>
      </c>
    </row>
    <row r="150" spans="1:148">
      <c r="A150" s="665" t="s">
        <v>227</v>
      </c>
      <c r="B150" s="665">
        <v>43070</v>
      </c>
      <c r="C150" s="664">
        <v>2017</v>
      </c>
      <c r="D150" s="646">
        <f t="shared" ref="D150" si="102">D51/3+D149</f>
        <v>801395</v>
      </c>
      <c r="E150" s="646">
        <f t="shared" si="88"/>
        <v>8178.0000000000009</v>
      </c>
      <c r="F150" s="645">
        <f t="shared" si="88"/>
        <v>3563</v>
      </c>
      <c r="G150" s="163">
        <f t="shared" si="88"/>
        <v>2532</v>
      </c>
      <c r="H150" s="163">
        <f t="shared" si="88"/>
        <v>0</v>
      </c>
      <c r="I150" s="163">
        <f t="shared" si="88"/>
        <v>1031.0000000000002</v>
      </c>
      <c r="J150" s="644">
        <f t="shared" si="88"/>
        <v>0</v>
      </c>
      <c r="K150" s="645">
        <f t="shared" si="88"/>
        <v>4615</v>
      </c>
      <c r="L150" s="163">
        <f t="shared" si="88"/>
        <v>3657.0000000000005</v>
      </c>
      <c r="M150" s="163">
        <f t="shared" si="88"/>
        <v>0</v>
      </c>
      <c r="N150" s="163">
        <f t="shared" si="88"/>
        <v>436</v>
      </c>
      <c r="O150" s="643">
        <f t="shared" si="88"/>
        <v>522</v>
      </c>
      <c r="P150" s="646">
        <f t="shared" si="88"/>
        <v>9.9999999999999982</v>
      </c>
      <c r="Q150" s="645">
        <f t="shared" si="88"/>
        <v>3</v>
      </c>
      <c r="R150" s="163">
        <f t="shared" si="88"/>
        <v>3</v>
      </c>
      <c r="S150" s="163">
        <f t="shared" si="88"/>
        <v>0</v>
      </c>
      <c r="T150" s="163">
        <f t="shared" si="88"/>
        <v>0</v>
      </c>
      <c r="U150" s="644">
        <f t="shared" ref="U150:AJ165" si="103">U51/3+U149</f>
        <v>0</v>
      </c>
      <c r="V150" s="645">
        <f t="shared" si="103"/>
        <v>6.9999999999999991</v>
      </c>
      <c r="W150" s="163">
        <f t="shared" si="103"/>
        <v>5.9999999999999991</v>
      </c>
      <c r="X150" s="163">
        <f t="shared" si="103"/>
        <v>0</v>
      </c>
      <c r="Y150" s="163">
        <f t="shared" si="103"/>
        <v>1</v>
      </c>
      <c r="Z150" s="643">
        <f t="shared" si="103"/>
        <v>0</v>
      </c>
      <c r="AA150" s="646">
        <f t="shared" si="103"/>
        <v>12</v>
      </c>
      <c r="AB150" s="645">
        <f t="shared" si="103"/>
        <v>2</v>
      </c>
      <c r="AC150" s="163">
        <f t="shared" si="103"/>
        <v>2</v>
      </c>
      <c r="AD150" s="163">
        <f t="shared" si="103"/>
        <v>0</v>
      </c>
      <c r="AE150" s="163">
        <f t="shared" si="103"/>
        <v>0</v>
      </c>
      <c r="AF150" s="644">
        <f t="shared" si="103"/>
        <v>0</v>
      </c>
      <c r="AG150" s="645">
        <f t="shared" si="103"/>
        <v>10.000000000000002</v>
      </c>
      <c r="AH150" s="163">
        <f t="shared" si="103"/>
        <v>10.000000000000002</v>
      </c>
      <c r="AI150" s="163">
        <f t="shared" si="103"/>
        <v>0</v>
      </c>
      <c r="AJ150" s="163">
        <f t="shared" si="101"/>
        <v>0</v>
      </c>
      <c r="AK150" s="643">
        <f t="shared" si="101"/>
        <v>0</v>
      </c>
      <c r="AL150" s="646">
        <f t="shared" si="101"/>
        <v>71</v>
      </c>
      <c r="AM150" s="645">
        <f t="shared" si="101"/>
        <v>30.000000000000004</v>
      </c>
      <c r="AN150" s="163">
        <f t="shared" si="101"/>
        <v>20</v>
      </c>
      <c r="AO150" s="163">
        <f t="shared" si="101"/>
        <v>0</v>
      </c>
      <c r="AP150" s="163">
        <f t="shared" si="101"/>
        <v>9.9999999999999982</v>
      </c>
      <c r="AQ150" s="644">
        <f t="shared" si="101"/>
        <v>0</v>
      </c>
      <c r="AR150" s="645">
        <f t="shared" si="101"/>
        <v>41.000000000000007</v>
      </c>
      <c r="AS150" s="163">
        <f t="shared" si="101"/>
        <v>30</v>
      </c>
      <c r="AT150" s="163">
        <f t="shared" si="101"/>
        <v>0</v>
      </c>
      <c r="AU150" s="163">
        <f t="shared" si="101"/>
        <v>1.9999999999999998</v>
      </c>
      <c r="AV150" s="643">
        <f t="shared" si="101"/>
        <v>9</v>
      </c>
      <c r="AW150" s="646">
        <f t="shared" si="101"/>
        <v>39</v>
      </c>
      <c r="AX150" s="645">
        <f t="shared" si="101"/>
        <v>13.999999999999998</v>
      </c>
      <c r="AY150" s="163">
        <f t="shared" si="101"/>
        <v>11.999999999999998</v>
      </c>
      <c r="AZ150" s="163">
        <f t="shared" si="101"/>
        <v>0</v>
      </c>
      <c r="BA150" s="163">
        <f t="shared" si="101"/>
        <v>1.9999999999999998</v>
      </c>
      <c r="BB150" s="644">
        <f t="shared" si="101"/>
        <v>0</v>
      </c>
      <c r="BC150" s="645">
        <f t="shared" si="101"/>
        <v>24.999999999999996</v>
      </c>
      <c r="BD150" s="163">
        <f t="shared" si="101"/>
        <v>22</v>
      </c>
      <c r="BE150" s="163">
        <f t="shared" si="101"/>
        <v>0</v>
      </c>
      <c r="BF150" s="163">
        <f t="shared" si="101"/>
        <v>1</v>
      </c>
      <c r="BG150" s="643">
        <f t="shared" si="101"/>
        <v>1.9999999999999998</v>
      </c>
      <c r="BH150" s="646">
        <f t="shared" si="101"/>
        <v>49.999999999999993</v>
      </c>
      <c r="BI150" s="645">
        <f t="shared" si="101"/>
        <v>24</v>
      </c>
      <c r="BJ150" s="163">
        <f t="shared" si="101"/>
        <v>19.999999999999996</v>
      </c>
      <c r="BK150" s="163">
        <f t="shared" si="101"/>
        <v>0</v>
      </c>
      <c r="BL150" s="163">
        <f t="shared" si="101"/>
        <v>3.9999999999999996</v>
      </c>
      <c r="BM150" s="644">
        <f t="shared" si="101"/>
        <v>0</v>
      </c>
      <c r="BN150" s="645">
        <f t="shared" si="101"/>
        <v>26.000000000000004</v>
      </c>
      <c r="BO150" s="163">
        <f t="shared" si="101"/>
        <v>21</v>
      </c>
      <c r="BP150" s="163">
        <f t="shared" si="101"/>
        <v>0</v>
      </c>
      <c r="BQ150" s="163">
        <f t="shared" si="91"/>
        <v>1</v>
      </c>
      <c r="BR150" s="643">
        <f t="shared" si="91"/>
        <v>4</v>
      </c>
      <c r="BS150" s="646">
        <f t="shared" si="91"/>
        <v>70.000000000000014</v>
      </c>
      <c r="BT150" s="645">
        <f t="shared" si="91"/>
        <v>37</v>
      </c>
      <c r="BU150" s="163">
        <f t="shared" si="91"/>
        <v>31.999999999999996</v>
      </c>
      <c r="BV150" s="163">
        <f t="shared" si="91"/>
        <v>0</v>
      </c>
      <c r="BW150" s="163">
        <f t="shared" si="91"/>
        <v>5</v>
      </c>
      <c r="BX150" s="644">
        <f t="shared" si="91"/>
        <v>0</v>
      </c>
      <c r="BY150" s="645">
        <f t="shared" si="91"/>
        <v>33</v>
      </c>
      <c r="BZ150" s="163">
        <f t="shared" si="91"/>
        <v>28</v>
      </c>
      <c r="CA150" s="163">
        <f t="shared" si="91"/>
        <v>0</v>
      </c>
      <c r="CB150" s="163">
        <f t="shared" si="91"/>
        <v>1.9999999999999998</v>
      </c>
      <c r="CC150" s="643">
        <f t="shared" si="91"/>
        <v>3.0000000000000004</v>
      </c>
      <c r="CD150" s="646">
        <f t="shared" si="91"/>
        <v>25.999999999999993</v>
      </c>
      <c r="CE150" s="645">
        <f t="shared" si="91"/>
        <v>14</v>
      </c>
      <c r="CF150" s="163">
        <f t="shared" si="91"/>
        <v>9.0000000000000018</v>
      </c>
      <c r="CG150" s="163">
        <f t="shared" si="96"/>
        <v>0</v>
      </c>
      <c r="CH150" s="163">
        <f t="shared" si="96"/>
        <v>4.9999999999999991</v>
      </c>
      <c r="CI150" s="644">
        <f t="shared" si="96"/>
        <v>0</v>
      </c>
      <c r="CJ150" s="645">
        <f t="shared" si="96"/>
        <v>11.999999999999998</v>
      </c>
      <c r="CK150" s="163">
        <f t="shared" si="96"/>
        <v>9</v>
      </c>
      <c r="CL150" s="163">
        <f t="shared" si="96"/>
        <v>0</v>
      </c>
      <c r="CM150" s="163">
        <f t="shared" si="96"/>
        <v>1</v>
      </c>
      <c r="CN150" s="643">
        <f t="shared" si="96"/>
        <v>1.9999999999999998</v>
      </c>
      <c r="CO150" s="646">
        <f t="shared" si="96"/>
        <v>9</v>
      </c>
      <c r="CP150" s="645">
        <f t="shared" si="96"/>
        <v>3.0000000000000004</v>
      </c>
      <c r="CQ150" s="163">
        <f t="shared" si="96"/>
        <v>3.0000000000000004</v>
      </c>
      <c r="CR150" s="163">
        <f t="shared" si="96"/>
        <v>0</v>
      </c>
      <c r="CS150" s="163">
        <f t="shared" si="96"/>
        <v>0</v>
      </c>
      <c r="CT150" s="644">
        <f t="shared" si="96"/>
        <v>0</v>
      </c>
      <c r="CU150" s="645">
        <f t="shared" si="96"/>
        <v>6</v>
      </c>
      <c r="CV150" s="163">
        <f t="shared" si="96"/>
        <v>6</v>
      </c>
      <c r="CW150" s="163">
        <f t="shared" si="94"/>
        <v>0</v>
      </c>
      <c r="CX150" s="163">
        <f t="shared" si="94"/>
        <v>0</v>
      </c>
      <c r="CY150" s="643">
        <f t="shared" si="94"/>
        <v>0</v>
      </c>
      <c r="CZ150" s="646">
        <f t="shared" si="94"/>
        <v>7</v>
      </c>
      <c r="DA150" s="645">
        <f t="shared" si="94"/>
        <v>1</v>
      </c>
      <c r="DB150" s="163">
        <f t="shared" si="94"/>
        <v>0</v>
      </c>
      <c r="DC150" s="163">
        <f t="shared" si="94"/>
        <v>0</v>
      </c>
      <c r="DD150" s="163">
        <f t="shared" si="94"/>
        <v>1</v>
      </c>
      <c r="DE150" s="644">
        <f t="shared" si="94"/>
        <v>0</v>
      </c>
      <c r="DF150" s="645">
        <f t="shared" si="94"/>
        <v>6.0000000000000009</v>
      </c>
      <c r="DG150" s="163">
        <f t="shared" si="94"/>
        <v>6.0000000000000009</v>
      </c>
      <c r="DH150" s="163">
        <f t="shared" si="94"/>
        <v>0</v>
      </c>
      <c r="DI150" s="163">
        <f t="shared" si="94"/>
        <v>0</v>
      </c>
      <c r="DJ150" s="643">
        <f t="shared" si="94"/>
        <v>0</v>
      </c>
      <c r="DK150" s="646">
        <f t="shared" si="94"/>
        <v>0</v>
      </c>
      <c r="DL150" s="645">
        <f t="shared" si="94"/>
        <v>0</v>
      </c>
      <c r="DM150" s="163">
        <f t="shared" si="94"/>
        <v>0</v>
      </c>
      <c r="DN150" s="163">
        <f t="shared" si="94"/>
        <v>0</v>
      </c>
      <c r="DO150" s="163">
        <f t="shared" si="94"/>
        <v>0</v>
      </c>
      <c r="DP150" s="644">
        <f t="shared" si="94"/>
        <v>0</v>
      </c>
      <c r="DQ150" s="645">
        <f t="shared" si="94"/>
        <v>0</v>
      </c>
      <c r="DR150" s="163">
        <f t="shared" si="94"/>
        <v>0</v>
      </c>
      <c r="DS150" s="163">
        <f t="shared" si="94"/>
        <v>0</v>
      </c>
      <c r="DT150" s="163">
        <f t="shared" si="94"/>
        <v>0</v>
      </c>
      <c r="DU150" s="643">
        <f t="shared" si="94"/>
        <v>0</v>
      </c>
      <c r="DW150" s="646">
        <f t="shared" si="84"/>
        <v>223</v>
      </c>
      <c r="DX150" s="645">
        <f t="shared" si="84"/>
        <v>98</v>
      </c>
      <c r="DY150" s="163">
        <f t="shared" si="84"/>
        <v>81</v>
      </c>
      <c r="DZ150" s="163">
        <f t="shared" si="84"/>
        <v>0</v>
      </c>
      <c r="EA150" s="163">
        <f t="shared" si="84"/>
        <v>17</v>
      </c>
      <c r="EB150" s="644">
        <f t="shared" si="84"/>
        <v>0</v>
      </c>
      <c r="EC150" s="645">
        <f t="shared" si="84"/>
        <v>125</v>
      </c>
      <c r="ED150" s="163">
        <f t="shared" si="84"/>
        <v>108</v>
      </c>
      <c r="EE150" s="163">
        <f t="shared" si="84"/>
        <v>0</v>
      </c>
      <c r="EF150" s="163">
        <f t="shared" si="84"/>
        <v>6</v>
      </c>
      <c r="EG150" s="643">
        <f t="shared" si="84"/>
        <v>11</v>
      </c>
      <c r="EH150" s="646">
        <f t="shared" si="73"/>
        <v>71</v>
      </c>
      <c r="EI150" s="645">
        <f t="shared" si="73"/>
        <v>30.000000000000004</v>
      </c>
      <c r="EJ150" s="163">
        <f t="shared" si="73"/>
        <v>20</v>
      </c>
      <c r="EK150" s="163">
        <f t="shared" si="73"/>
        <v>0</v>
      </c>
      <c r="EL150" s="163">
        <f t="shared" si="73"/>
        <v>9.9999999999999982</v>
      </c>
      <c r="EM150" s="644">
        <f t="shared" si="73"/>
        <v>0</v>
      </c>
      <c r="EN150" s="645">
        <f t="shared" si="73"/>
        <v>41.000000000000007</v>
      </c>
      <c r="EO150" s="163">
        <f t="shared" si="73"/>
        <v>30</v>
      </c>
      <c r="EP150" s="163">
        <f t="shared" si="79"/>
        <v>0</v>
      </c>
      <c r="EQ150" s="163">
        <f t="shared" si="79"/>
        <v>1.9999999999999998</v>
      </c>
      <c r="ER150" s="643">
        <f t="shared" si="79"/>
        <v>9</v>
      </c>
    </row>
    <row r="151" spans="1:148">
      <c r="A151" s="665" t="s">
        <v>228</v>
      </c>
      <c r="B151" s="665">
        <v>43101</v>
      </c>
      <c r="C151" s="664">
        <v>2018</v>
      </c>
      <c r="D151" s="646">
        <f t="shared" ref="D151" si="104">D52/3+D150</f>
        <v>856527.33333333337</v>
      </c>
      <c r="E151" s="646">
        <f t="shared" si="88"/>
        <v>9093.6666666666679</v>
      </c>
      <c r="F151" s="645">
        <f t="shared" si="88"/>
        <v>3872.3333333333335</v>
      </c>
      <c r="G151" s="163">
        <f t="shared" si="88"/>
        <v>2783.3333333333335</v>
      </c>
      <c r="H151" s="163">
        <f t="shared" si="88"/>
        <v>0</v>
      </c>
      <c r="I151" s="163">
        <f t="shared" si="88"/>
        <v>1089.0000000000002</v>
      </c>
      <c r="J151" s="644">
        <f t="shared" si="88"/>
        <v>0</v>
      </c>
      <c r="K151" s="645">
        <f t="shared" si="88"/>
        <v>5221.333333333333</v>
      </c>
      <c r="L151" s="163">
        <f t="shared" si="88"/>
        <v>4074.0000000000005</v>
      </c>
      <c r="M151" s="163">
        <f t="shared" si="88"/>
        <v>0</v>
      </c>
      <c r="N151" s="163">
        <f t="shared" si="88"/>
        <v>555.66666666666663</v>
      </c>
      <c r="O151" s="643">
        <f t="shared" si="88"/>
        <v>591.66666666666663</v>
      </c>
      <c r="P151" s="646">
        <f t="shared" si="88"/>
        <v>11.666666666666664</v>
      </c>
      <c r="Q151" s="645">
        <f t="shared" si="88"/>
        <v>3</v>
      </c>
      <c r="R151" s="163">
        <f t="shared" si="88"/>
        <v>3</v>
      </c>
      <c r="S151" s="163">
        <f t="shared" si="88"/>
        <v>0</v>
      </c>
      <c r="T151" s="163">
        <f t="shared" si="88"/>
        <v>0</v>
      </c>
      <c r="U151" s="644">
        <f t="shared" si="103"/>
        <v>0</v>
      </c>
      <c r="V151" s="645">
        <f t="shared" si="103"/>
        <v>8.6666666666666661</v>
      </c>
      <c r="W151" s="163">
        <f t="shared" si="103"/>
        <v>6.9999999999999991</v>
      </c>
      <c r="X151" s="163">
        <f t="shared" si="103"/>
        <v>0</v>
      </c>
      <c r="Y151" s="163">
        <f t="shared" si="103"/>
        <v>1.3333333333333333</v>
      </c>
      <c r="Z151" s="643">
        <f t="shared" si="103"/>
        <v>0.33333333333333331</v>
      </c>
      <c r="AA151" s="646">
        <f t="shared" si="103"/>
        <v>13.333333333333334</v>
      </c>
      <c r="AB151" s="645">
        <f t="shared" si="103"/>
        <v>2</v>
      </c>
      <c r="AC151" s="163">
        <f t="shared" si="103"/>
        <v>2</v>
      </c>
      <c r="AD151" s="163">
        <f t="shared" si="103"/>
        <v>0</v>
      </c>
      <c r="AE151" s="163">
        <f t="shared" si="103"/>
        <v>0</v>
      </c>
      <c r="AF151" s="644">
        <f t="shared" si="103"/>
        <v>0</v>
      </c>
      <c r="AG151" s="645">
        <f t="shared" si="103"/>
        <v>11.333333333333336</v>
      </c>
      <c r="AH151" s="163">
        <f t="shared" si="103"/>
        <v>11.000000000000002</v>
      </c>
      <c r="AI151" s="163">
        <f t="shared" si="103"/>
        <v>0</v>
      </c>
      <c r="AJ151" s="163">
        <f t="shared" si="101"/>
        <v>0</v>
      </c>
      <c r="AK151" s="643">
        <f t="shared" si="101"/>
        <v>0.33333333333333331</v>
      </c>
      <c r="AL151" s="646">
        <f t="shared" si="101"/>
        <v>80</v>
      </c>
      <c r="AM151" s="645">
        <f t="shared" si="101"/>
        <v>33.333333333333336</v>
      </c>
      <c r="AN151" s="163">
        <f t="shared" si="101"/>
        <v>22.666666666666668</v>
      </c>
      <c r="AO151" s="163">
        <f t="shared" si="101"/>
        <v>0</v>
      </c>
      <c r="AP151" s="163">
        <f t="shared" si="101"/>
        <v>10.666666666666664</v>
      </c>
      <c r="AQ151" s="644">
        <f t="shared" si="101"/>
        <v>0</v>
      </c>
      <c r="AR151" s="645">
        <f t="shared" si="101"/>
        <v>46.666666666666671</v>
      </c>
      <c r="AS151" s="163">
        <f t="shared" si="101"/>
        <v>34.666666666666664</v>
      </c>
      <c r="AT151" s="163">
        <f t="shared" si="101"/>
        <v>0</v>
      </c>
      <c r="AU151" s="163">
        <f t="shared" si="101"/>
        <v>3</v>
      </c>
      <c r="AV151" s="643">
        <f t="shared" si="101"/>
        <v>9</v>
      </c>
      <c r="AW151" s="646">
        <f t="shared" si="101"/>
        <v>47</v>
      </c>
      <c r="AX151" s="645">
        <f t="shared" si="101"/>
        <v>16.666666666666664</v>
      </c>
      <c r="AY151" s="163">
        <f t="shared" si="101"/>
        <v>14.333333333333332</v>
      </c>
      <c r="AZ151" s="163">
        <f t="shared" si="101"/>
        <v>0</v>
      </c>
      <c r="BA151" s="163">
        <f t="shared" si="101"/>
        <v>2.333333333333333</v>
      </c>
      <c r="BB151" s="644">
        <f t="shared" si="101"/>
        <v>0</v>
      </c>
      <c r="BC151" s="645">
        <f t="shared" si="101"/>
        <v>30.333333333333329</v>
      </c>
      <c r="BD151" s="163">
        <f t="shared" si="101"/>
        <v>26.666666666666668</v>
      </c>
      <c r="BE151" s="163">
        <f t="shared" si="101"/>
        <v>0</v>
      </c>
      <c r="BF151" s="163">
        <f t="shared" si="101"/>
        <v>1</v>
      </c>
      <c r="BG151" s="643">
        <f t="shared" si="101"/>
        <v>2.6666666666666665</v>
      </c>
      <c r="BH151" s="646">
        <f t="shared" si="101"/>
        <v>54.999999999999993</v>
      </c>
      <c r="BI151" s="645">
        <f t="shared" si="101"/>
        <v>26.333333333333332</v>
      </c>
      <c r="BJ151" s="163">
        <f t="shared" si="101"/>
        <v>21.999999999999996</v>
      </c>
      <c r="BK151" s="163">
        <f t="shared" si="101"/>
        <v>0</v>
      </c>
      <c r="BL151" s="163">
        <f t="shared" si="101"/>
        <v>4.333333333333333</v>
      </c>
      <c r="BM151" s="644">
        <f t="shared" si="101"/>
        <v>0</v>
      </c>
      <c r="BN151" s="645">
        <f t="shared" si="101"/>
        <v>28.666666666666671</v>
      </c>
      <c r="BO151" s="163">
        <f t="shared" si="101"/>
        <v>23</v>
      </c>
      <c r="BP151" s="163">
        <f t="shared" si="101"/>
        <v>0</v>
      </c>
      <c r="BQ151" s="163">
        <f t="shared" si="91"/>
        <v>1.6666666666666665</v>
      </c>
      <c r="BR151" s="643">
        <f t="shared" si="91"/>
        <v>4</v>
      </c>
      <c r="BS151" s="646">
        <f t="shared" si="91"/>
        <v>80.000000000000014</v>
      </c>
      <c r="BT151" s="645">
        <f t="shared" si="91"/>
        <v>39.333333333333336</v>
      </c>
      <c r="BU151" s="163">
        <f t="shared" si="91"/>
        <v>34.333333333333329</v>
      </c>
      <c r="BV151" s="163">
        <f t="shared" si="91"/>
        <v>0</v>
      </c>
      <c r="BW151" s="163">
        <f t="shared" si="91"/>
        <v>5</v>
      </c>
      <c r="BX151" s="644">
        <f t="shared" si="91"/>
        <v>0</v>
      </c>
      <c r="BY151" s="645">
        <f t="shared" si="91"/>
        <v>40.666666666666664</v>
      </c>
      <c r="BZ151" s="163">
        <f t="shared" si="91"/>
        <v>33</v>
      </c>
      <c r="CA151" s="163">
        <f t="shared" si="91"/>
        <v>0</v>
      </c>
      <c r="CB151" s="163">
        <f t="shared" si="91"/>
        <v>3.333333333333333</v>
      </c>
      <c r="CC151" s="643">
        <f t="shared" si="91"/>
        <v>4.3333333333333339</v>
      </c>
      <c r="CD151" s="646">
        <f t="shared" si="91"/>
        <v>29.333333333333325</v>
      </c>
      <c r="CE151" s="645">
        <f t="shared" si="91"/>
        <v>16</v>
      </c>
      <c r="CF151" s="163">
        <f t="shared" si="91"/>
        <v>10.666666666666668</v>
      </c>
      <c r="CG151" s="163">
        <f t="shared" si="96"/>
        <v>0</v>
      </c>
      <c r="CH151" s="163">
        <f t="shared" si="96"/>
        <v>5.3333333333333321</v>
      </c>
      <c r="CI151" s="644">
        <f t="shared" si="96"/>
        <v>0</v>
      </c>
      <c r="CJ151" s="645">
        <f t="shared" si="96"/>
        <v>13.333333333333332</v>
      </c>
      <c r="CK151" s="163">
        <f t="shared" si="96"/>
        <v>10.333333333333334</v>
      </c>
      <c r="CL151" s="163">
        <f t="shared" si="96"/>
        <v>0</v>
      </c>
      <c r="CM151" s="163">
        <f t="shared" si="96"/>
        <v>1</v>
      </c>
      <c r="CN151" s="643">
        <f t="shared" si="96"/>
        <v>1.9999999999999998</v>
      </c>
      <c r="CO151" s="646">
        <f t="shared" si="96"/>
        <v>10.333333333333334</v>
      </c>
      <c r="CP151" s="645">
        <f t="shared" si="96"/>
        <v>3.666666666666667</v>
      </c>
      <c r="CQ151" s="163">
        <f t="shared" si="96"/>
        <v>3.666666666666667</v>
      </c>
      <c r="CR151" s="163">
        <f t="shared" si="96"/>
        <v>0</v>
      </c>
      <c r="CS151" s="163">
        <f t="shared" si="96"/>
        <v>0</v>
      </c>
      <c r="CT151" s="644">
        <f t="shared" si="96"/>
        <v>0</v>
      </c>
      <c r="CU151" s="645">
        <f t="shared" si="96"/>
        <v>6.666666666666667</v>
      </c>
      <c r="CV151" s="163">
        <f t="shared" si="96"/>
        <v>6.666666666666667</v>
      </c>
      <c r="CW151" s="163">
        <f t="shared" si="94"/>
        <v>0</v>
      </c>
      <c r="CX151" s="163">
        <f t="shared" si="94"/>
        <v>0</v>
      </c>
      <c r="CY151" s="643">
        <f t="shared" si="94"/>
        <v>0</v>
      </c>
      <c r="CZ151" s="646">
        <f t="shared" si="94"/>
        <v>7.666666666666667</v>
      </c>
      <c r="DA151" s="645">
        <f t="shared" si="94"/>
        <v>1</v>
      </c>
      <c r="DB151" s="163">
        <f t="shared" si="94"/>
        <v>0</v>
      </c>
      <c r="DC151" s="163">
        <f t="shared" si="94"/>
        <v>0</v>
      </c>
      <c r="DD151" s="163">
        <f t="shared" si="94"/>
        <v>1</v>
      </c>
      <c r="DE151" s="644">
        <f t="shared" si="94"/>
        <v>0</v>
      </c>
      <c r="DF151" s="645">
        <f t="shared" si="94"/>
        <v>6.6666666666666679</v>
      </c>
      <c r="DG151" s="163">
        <f t="shared" si="94"/>
        <v>6.6666666666666679</v>
      </c>
      <c r="DH151" s="163">
        <f t="shared" si="94"/>
        <v>0</v>
      </c>
      <c r="DI151" s="163">
        <f t="shared" si="94"/>
        <v>0</v>
      </c>
      <c r="DJ151" s="643">
        <f t="shared" si="94"/>
        <v>0</v>
      </c>
      <c r="DK151" s="646">
        <f t="shared" si="94"/>
        <v>0</v>
      </c>
      <c r="DL151" s="645">
        <f t="shared" si="94"/>
        <v>0</v>
      </c>
      <c r="DM151" s="163">
        <f t="shared" si="94"/>
        <v>0</v>
      </c>
      <c r="DN151" s="163">
        <f t="shared" si="94"/>
        <v>0</v>
      </c>
      <c r="DO151" s="163">
        <f t="shared" si="94"/>
        <v>0</v>
      </c>
      <c r="DP151" s="644">
        <f t="shared" si="94"/>
        <v>0</v>
      </c>
      <c r="DQ151" s="645">
        <f t="shared" si="94"/>
        <v>0</v>
      </c>
      <c r="DR151" s="163">
        <f t="shared" si="94"/>
        <v>0</v>
      </c>
      <c r="DS151" s="163">
        <f t="shared" si="94"/>
        <v>0</v>
      </c>
      <c r="DT151" s="163">
        <f t="shared" si="94"/>
        <v>0</v>
      </c>
      <c r="DU151" s="643">
        <f t="shared" si="94"/>
        <v>0</v>
      </c>
      <c r="DW151" s="646">
        <f t="shared" si="84"/>
        <v>254.33333333333331</v>
      </c>
      <c r="DX151" s="645">
        <f t="shared" si="84"/>
        <v>108.00000000000001</v>
      </c>
      <c r="DY151" s="163">
        <f t="shared" si="84"/>
        <v>90</v>
      </c>
      <c r="DZ151" s="163">
        <f t="shared" si="84"/>
        <v>0</v>
      </c>
      <c r="EA151" s="163">
        <f t="shared" si="84"/>
        <v>18</v>
      </c>
      <c r="EB151" s="644">
        <f t="shared" si="84"/>
        <v>0</v>
      </c>
      <c r="EC151" s="645">
        <f t="shared" si="84"/>
        <v>146.33333333333331</v>
      </c>
      <c r="ED151" s="163">
        <f t="shared" si="84"/>
        <v>124.33333333333334</v>
      </c>
      <c r="EE151" s="163">
        <f t="shared" si="84"/>
        <v>0</v>
      </c>
      <c r="EF151" s="163">
        <f t="shared" si="84"/>
        <v>8.3333333333333321</v>
      </c>
      <c r="EG151" s="643">
        <f t="shared" si="84"/>
        <v>13.666666666666668</v>
      </c>
      <c r="EH151" s="646">
        <f t="shared" si="73"/>
        <v>80</v>
      </c>
      <c r="EI151" s="645">
        <f t="shared" si="73"/>
        <v>33.333333333333336</v>
      </c>
      <c r="EJ151" s="163">
        <f t="shared" si="73"/>
        <v>22.666666666666668</v>
      </c>
      <c r="EK151" s="163">
        <f t="shared" si="73"/>
        <v>0</v>
      </c>
      <c r="EL151" s="163">
        <f t="shared" si="73"/>
        <v>10.666666666666664</v>
      </c>
      <c r="EM151" s="644">
        <f t="shared" si="73"/>
        <v>0</v>
      </c>
      <c r="EN151" s="645">
        <f t="shared" si="73"/>
        <v>46.666666666666671</v>
      </c>
      <c r="EO151" s="163">
        <f t="shared" si="73"/>
        <v>34.666666666666664</v>
      </c>
      <c r="EP151" s="163">
        <f t="shared" si="79"/>
        <v>0</v>
      </c>
      <c r="EQ151" s="163">
        <f t="shared" si="79"/>
        <v>3</v>
      </c>
      <c r="ER151" s="643">
        <f t="shared" si="79"/>
        <v>9</v>
      </c>
    </row>
    <row r="152" spans="1:148">
      <c r="A152" s="665" t="s">
        <v>228</v>
      </c>
      <c r="B152" s="665">
        <v>43132</v>
      </c>
      <c r="C152" s="664">
        <v>2018</v>
      </c>
      <c r="D152" s="646">
        <f t="shared" ref="D152" si="105">D53/3+D151</f>
        <v>911659.66666666674</v>
      </c>
      <c r="E152" s="646">
        <f t="shared" si="88"/>
        <v>10009.333333333334</v>
      </c>
      <c r="F152" s="645">
        <f t="shared" si="88"/>
        <v>4181.666666666667</v>
      </c>
      <c r="G152" s="163">
        <f t="shared" si="88"/>
        <v>3034.666666666667</v>
      </c>
      <c r="H152" s="163">
        <f t="shared" si="88"/>
        <v>0</v>
      </c>
      <c r="I152" s="163">
        <f t="shared" si="88"/>
        <v>1147.0000000000002</v>
      </c>
      <c r="J152" s="644">
        <f t="shared" si="88"/>
        <v>0</v>
      </c>
      <c r="K152" s="645">
        <f t="shared" si="88"/>
        <v>5827.6666666666661</v>
      </c>
      <c r="L152" s="163">
        <f t="shared" si="88"/>
        <v>4491</v>
      </c>
      <c r="M152" s="163">
        <f t="shared" si="88"/>
        <v>0</v>
      </c>
      <c r="N152" s="163">
        <f t="shared" si="88"/>
        <v>675.33333333333326</v>
      </c>
      <c r="O152" s="643">
        <f t="shared" si="88"/>
        <v>661.33333333333326</v>
      </c>
      <c r="P152" s="646">
        <f t="shared" si="88"/>
        <v>13.33333333333333</v>
      </c>
      <c r="Q152" s="645">
        <f t="shared" si="88"/>
        <v>3</v>
      </c>
      <c r="R152" s="163">
        <f t="shared" si="88"/>
        <v>3</v>
      </c>
      <c r="S152" s="163">
        <f t="shared" si="88"/>
        <v>0</v>
      </c>
      <c r="T152" s="163">
        <f t="shared" si="88"/>
        <v>0</v>
      </c>
      <c r="U152" s="644">
        <f t="shared" si="103"/>
        <v>0</v>
      </c>
      <c r="V152" s="645">
        <f t="shared" si="103"/>
        <v>10.333333333333332</v>
      </c>
      <c r="W152" s="163">
        <f t="shared" si="103"/>
        <v>7.9999999999999991</v>
      </c>
      <c r="X152" s="163">
        <f t="shared" si="103"/>
        <v>0</v>
      </c>
      <c r="Y152" s="163">
        <f t="shared" si="103"/>
        <v>1.6666666666666665</v>
      </c>
      <c r="Z152" s="643">
        <f t="shared" si="103"/>
        <v>0.66666666666666663</v>
      </c>
      <c r="AA152" s="646">
        <f t="shared" si="103"/>
        <v>14.666666666666668</v>
      </c>
      <c r="AB152" s="645">
        <f t="shared" si="103"/>
        <v>2</v>
      </c>
      <c r="AC152" s="163">
        <f t="shared" si="103"/>
        <v>2</v>
      </c>
      <c r="AD152" s="163">
        <f t="shared" si="103"/>
        <v>0</v>
      </c>
      <c r="AE152" s="163">
        <f t="shared" si="103"/>
        <v>0</v>
      </c>
      <c r="AF152" s="644">
        <f t="shared" si="103"/>
        <v>0</v>
      </c>
      <c r="AG152" s="645">
        <f t="shared" si="103"/>
        <v>12.66666666666667</v>
      </c>
      <c r="AH152" s="163">
        <f t="shared" si="103"/>
        <v>12.000000000000002</v>
      </c>
      <c r="AI152" s="163">
        <f t="shared" si="103"/>
        <v>0</v>
      </c>
      <c r="AJ152" s="163">
        <f t="shared" si="101"/>
        <v>0</v>
      </c>
      <c r="AK152" s="643">
        <f t="shared" si="101"/>
        <v>0.66666666666666663</v>
      </c>
      <c r="AL152" s="646">
        <f t="shared" si="101"/>
        <v>89</v>
      </c>
      <c r="AM152" s="645">
        <f t="shared" si="101"/>
        <v>36.666666666666671</v>
      </c>
      <c r="AN152" s="163">
        <f t="shared" si="101"/>
        <v>25.333333333333336</v>
      </c>
      <c r="AO152" s="163">
        <f t="shared" si="101"/>
        <v>0</v>
      </c>
      <c r="AP152" s="163">
        <f t="shared" si="101"/>
        <v>11.33333333333333</v>
      </c>
      <c r="AQ152" s="644">
        <f t="shared" si="101"/>
        <v>0</v>
      </c>
      <c r="AR152" s="645">
        <f t="shared" si="101"/>
        <v>52.333333333333336</v>
      </c>
      <c r="AS152" s="163">
        <f t="shared" si="101"/>
        <v>39.333333333333329</v>
      </c>
      <c r="AT152" s="163">
        <f t="shared" si="101"/>
        <v>0</v>
      </c>
      <c r="AU152" s="163">
        <f t="shared" si="101"/>
        <v>4</v>
      </c>
      <c r="AV152" s="643">
        <f t="shared" si="101"/>
        <v>9</v>
      </c>
      <c r="AW152" s="646">
        <f t="shared" si="101"/>
        <v>55</v>
      </c>
      <c r="AX152" s="645">
        <f t="shared" si="101"/>
        <v>19.333333333333332</v>
      </c>
      <c r="AY152" s="163">
        <f t="shared" si="101"/>
        <v>16.666666666666664</v>
      </c>
      <c r="AZ152" s="163">
        <f t="shared" si="101"/>
        <v>0</v>
      </c>
      <c r="BA152" s="163">
        <f t="shared" si="101"/>
        <v>2.6666666666666665</v>
      </c>
      <c r="BB152" s="644">
        <f t="shared" si="101"/>
        <v>0</v>
      </c>
      <c r="BC152" s="645">
        <f t="shared" si="101"/>
        <v>35.666666666666664</v>
      </c>
      <c r="BD152" s="163">
        <f t="shared" si="101"/>
        <v>31.333333333333336</v>
      </c>
      <c r="BE152" s="163">
        <f t="shared" si="101"/>
        <v>0</v>
      </c>
      <c r="BF152" s="163">
        <f t="shared" si="101"/>
        <v>1</v>
      </c>
      <c r="BG152" s="643">
        <f t="shared" si="101"/>
        <v>3.333333333333333</v>
      </c>
      <c r="BH152" s="646">
        <f t="shared" si="101"/>
        <v>59.999999999999993</v>
      </c>
      <c r="BI152" s="645">
        <f t="shared" si="101"/>
        <v>28.666666666666664</v>
      </c>
      <c r="BJ152" s="163">
        <f t="shared" si="101"/>
        <v>23.999999999999996</v>
      </c>
      <c r="BK152" s="163">
        <f t="shared" si="101"/>
        <v>0</v>
      </c>
      <c r="BL152" s="163">
        <f t="shared" si="101"/>
        <v>4.6666666666666661</v>
      </c>
      <c r="BM152" s="644">
        <f t="shared" si="101"/>
        <v>0</v>
      </c>
      <c r="BN152" s="645">
        <f t="shared" si="101"/>
        <v>31.333333333333339</v>
      </c>
      <c r="BO152" s="163">
        <f t="shared" si="101"/>
        <v>25</v>
      </c>
      <c r="BP152" s="163">
        <f t="shared" si="101"/>
        <v>0</v>
      </c>
      <c r="BQ152" s="163">
        <f t="shared" si="91"/>
        <v>2.333333333333333</v>
      </c>
      <c r="BR152" s="643">
        <f t="shared" si="91"/>
        <v>4</v>
      </c>
      <c r="BS152" s="646">
        <f t="shared" si="91"/>
        <v>90.000000000000014</v>
      </c>
      <c r="BT152" s="645">
        <f t="shared" si="91"/>
        <v>41.666666666666671</v>
      </c>
      <c r="BU152" s="163">
        <f t="shared" si="91"/>
        <v>36.666666666666664</v>
      </c>
      <c r="BV152" s="163">
        <f t="shared" si="91"/>
        <v>0</v>
      </c>
      <c r="BW152" s="163">
        <f t="shared" si="91"/>
        <v>5</v>
      </c>
      <c r="BX152" s="644">
        <f t="shared" si="91"/>
        <v>0</v>
      </c>
      <c r="BY152" s="645">
        <f t="shared" si="91"/>
        <v>48.333333333333329</v>
      </c>
      <c r="BZ152" s="163">
        <f t="shared" si="91"/>
        <v>38</v>
      </c>
      <c r="CA152" s="163">
        <f t="shared" si="91"/>
        <v>0</v>
      </c>
      <c r="CB152" s="163">
        <f t="shared" si="91"/>
        <v>4.6666666666666661</v>
      </c>
      <c r="CC152" s="643">
        <f t="shared" si="91"/>
        <v>5.666666666666667</v>
      </c>
      <c r="CD152" s="646">
        <f t="shared" si="91"/>
        <v>32.666666666666657</v>
      </c>
      <c r="CE152" s="645">
        <f t="shared" si="91"/>
        <v>18</v>
      </c>
      <c r="CF152" s="163">
        <f t="shared" si="91"/>
        <v>12.333333333333334</v>
      </c>
      <c r="CG152" s="163">
        <f t="shared" si="96"/>
        <v>0</v>
      </c>
      <c r="CH152" s="163">
        <f t="shared" si="96"/>
        <v>5.6666666666666652</v>
      </c>
      <c r="CI152" s="644">
        <f t="shared" si="96"/>
        <v>0</v>
      </c>
      <c r="CJ152" s="645">
        <f t="shared" si="96"/>
        <v>14.666666666666666</v>
      </c>
      <c r="CK152" s="163">
        <f t="shared" si="96"/>
        <v>11.666666666666668</v>
      </c>
      <c r="CL152" s="163">
        <f t="shared" si="96"/>
        <v>0</v>
      </c>
      <c r="CM152" s="163">
        <f t="shared" si="96"/>
        <v>1</v>
      </c>
      <c r="CN152" s="643">
        <f t="shared" si="96"/>
        <v>1.9999999999999998</v>
      </c>
      <c r="CO152" s="646">
        <f t="shared" si="96"/>
        <v>11.666666666666668</v>
      </c>
      <c r="CP152" s="645">
        <f t="shared" si="96"/>
        <v>4.3333333333333339</v>
      </c>
      <c r="CQ152" s="163">
        <f t="shared" si="96"/>
        <v>4.3333333333333339</v>
      </c>
      <c r="CR152" s="163">
        <f t="shared" si="96"/>
        <v>0</v>
      </c>
      <c r="CS152" s="163">
        <f t="shared" si="96"/>
        <v>0</v>
      </c>
      <c r="CT152" s="644">
        <f t="shared" si="96"/>
        <v>0</v>
      </c>
      <c r="CU152" s="645">
        <f t="shared" si="96"/>
        <v>7.3333333333333339</v>
      </c>
      <c r="CV152" s="163">
        <f t="shared" si="96"/>
        <v>7.3333333333333339</v>
      </c>
      <c r="CW152" s="163">
        <f t="shared" si="94"/>
        <v>0</v>
      </c>
      <c r="CX152" s="163">
        <f t="shared" si="94"/>
        <v>0</v>
      </c>
      <c r="CY152" s="643">
        <f t="shared" si="94"/>
        <v>0</v>
      </c>
      <c r="CZ152" s="646">
        <f t="shared" si="94"/>
        <v>8.3333333333333339</v>
      </c>
      <c r="DA152" s="645">
        <f t="shared" si="94"/>
        <v>1</v>
      </c>
      <c r="DB152" s="163">
        <f t="shared" si="94"/>
        <v>0</v>
      </c>
      <c r="DC152" s="163">
        <f t="shared" si="94"/>
        <v>0</v>
      </c>
      <c r="DD152" s="163">
        <f t="shared" si="94"/>
        <v>1</v>
      </c>
      <c r="DE152" s="644">
        <f t="shared" si="94"/>
        <v>0</v>
      </c>
      <c r="DF152" s="645">
        <f t="shared" si="94"/>
        <v>7.3333333333333348</v>
      </c>
      <c r="DG152" s="163">
        <f t="shared" si="94"/>
        <v>7.3333333333333348</v>
      </c>
      <c r="DH152" s="163">
        <f t="shared" si="94"/>
        <v>0</v>
      </c>
      <c r="DI152" s="163">
        <f t="shared" si="94"/>
        <v>0</v>
      </c>
      <c r="DJ152" s="643">
        <f t="shared" si="94"/>
        <v>0</v>
      </c>
      <c r="DK152" s="646">
        <f t="shared" si="94"/>
        <v>0</v>
      </c>
      <c r="DL152" s="645">
        <f t="shared" si="94"/>
        <v>0</v>
      </c>
      <c r="DM152" s="163">
        <f t="shared" si="94"/>
        <v>0</v>
      </c>
      <c r="DN152" s="163">
        <f t="shared" si="94"/>
        <v>0</v>
      </c>
      <c r="DO152" s="163">
        <f t="shared" si="94"/>
        <v>0</v>
      </c>
      <c r="DP152" s="644">
        <f t="shared" si="94"/>
        <v>0</v>
      </c>
      <c r="DQ152" s="645">
        <f t="shared" si="94"/>
        <v>0</v>
      </c>
      <c r="DR152" s="163">
        <f t="shared" si="94"/>
        <v>0</v>
      </c>
      <c r="DS152" s="163">
        <f t="shared" si="94"/>
        <v>0</v>
      </c>
      <c r="DT152" s="163">
        <f t="shared" si="94"/>
        <v>0</v>
      </c>
      <c r="DU152" s="643">
        <f t="shared" si="94"/>
        <v>0</v>
      </c>
      <c r="DW152" s="646">
        <f t="shared" si="84"/>
        <v>285.66666666666663</v>
      </c>
      <c r="DX152" s="645">
        <f t="shared" si="84"/>
        <v>118</v>
      </c>
      <c r="DY152" s="163">
        <f t="shared" si="84"/>
        <v>98.999999999999972</v>
      </c>
      <c r="DZ152" s="163">
        <f t="shared" si="84"/>
        <v>0</v>
      </c>
      <c r="EA152" s="163">
        <f t="shared" si="84"/>
        <v>18.999999999999996</v>
      </c>
      <c r="EB152" s="644">
        <f t="shared" si="84"/>
        <v>0</v>
      </c>
      <c r="EC152" s="645">
        <f t="shared" si="84"/>
        <v>167.66666666666666</v>
      </c>
      <c r="ED152" s="163">
        <f t="shared" si="84"/>
        <v>140.66666666666669</v>
      </c>
      <c r="EE152" s="163">
        <f t="shared" si="84"/>
        <v>0</v>
      </c>
      <c r="EF152" s="163">
        <f t="shared" si="84"/>
        <v>10.666666666666666</v>
      </c>
      <c r="EG152" s="643">
        <f t="shared" si="84"/>
        <v>16.333333333333332</v>
      </c>
      <c r="EH152" s="646">
        <f t="shared" si="73"/>
        <v>89</v>
      </c>
      <c r="EI152" s="645">
        <f t="shared" si="73"/>
        <v>36.666666666666671</v>
      </c>
      <c r="EJ152" s="163">
        <f t="shared" si="73"/>
        <v>25.333333333333336</v>
      </c>
      <c r="EK152" s="163">
        <f t="shared" si="73"/>
        <v>0</v>
      </c>
      <c r="EL152" s="163">
        <f t="shared" si="73"/>
        <v>11.33333333333333</v>
      </c>
      <c r="EM152" s="644">
        <f t="shared" si="73"/>
        <v>0</v>
      </c>
      <c r="EN152" s="645">
        <f t="shared" si="73"/>
        <v>52.333333333333336</v>
      </c>
      <c r="EO152" s="163">
        <f t="shared" si="73"/>
        <v>39.333333333333329</v>
      </c>
      <c r="EP152" s="163">
        <f t="shared" si="79"/>
        <v>0</v>
      </c>
      <c r="EQ152" s="163">
        <f t="shared" si="79"/>
        <v>4</v>
      </c>
      <c r="ER152" s="643">
        <f t="shared" si="79"/>
        <v>9</v>
      </c>
    </row>
    <row r="153" spans="1:148">
      <c r="A153" s="665" t="s">
        <v>228</v>
      </c>
      <c r="B153" s="665">
        <v>43160</v>
      </c>
      <c r="C153" s="664">
        <v>2018</v>
      </c>
      <c r="D153" s="646">
        <f t="shared" ref="D153" si="106">D54/3+D152</f>
        <v>966792.00000000012</v>
      </c>
      <c r="E153" s="646">
        <f t="shared" si="88"/>
        <v>10925</v>
      </c>
      <c r="F153" s="645">
        <f t="shared" si="88"/>
        <v>4491</v>
      </c>
      <c r="G153" s="163">
        <f t="shared" si="88"/>
        <v>3286.0000000000005</v>
      </c>
      <c r="H153" s="163">
        <f t="shared" si="88"/>
        <v>0</v>
      </c>
      <c r="I153" s="163">
        <f t="shared" si="88"/>
        <v>1205.0000000000002</v>
      </c>
      <c r="J153" s="644">
        <f t="shared" si="88"/>
        <v>0</v>
      </c>
      <c r="K153" s="645">
        <f t="shared" si="88"/>
        <v>6433.9999999999991</v>
      </c>
      <c r="L153" s="163">
        <f t="shared" si="88"/>
        <v>4908</v>
      </c>
      <c r="M153" s="163">
        <f t="shared" si="88"/>
        <v>0</v>
      </c>
      <c r="N153" s="163">
        <f t="shared" si="88"/>
        <v>794.99999999999989</v>
      </c>
      <c r="O153" s="643">
        <f t="shared" si="88"/>
        <v>730.99999999999989</v>
      </c>
      <c r="P153" s="646">
        <f t="shared" si="88"/>
        <v>14.999999999999996</v>
      </c>
      <c r="Q153" s="645">
        <f t="shared" si="88"/>
        <v>3</v>
      </c>
      <c r="R153" s="163">
        <f t="shared" si="88"/>
        <v>3</v>
      </c>
      <c r="S153" s="163">
        <f t="shared" si="88"/>
        <v>0</v>
      </c>
      <c r="T153" s="163">
        <f t="shared" si="88"/>
        <v>0</v>
      </c>
      <c r="U153" s="644">
        <f t="shared" si="103"/>
        <v>0</v>
      </c>
      <c r="V153" s="645">
        <f t="shared" si="103"/>
        <v>11.999999999999998</v>
      </c>
      <c r="W153" s="163">
        <f t="shared" si="103"/>
        <v>9</v>
      </c>
      <c r="X153" s="163">
        <f t="shared" si="103"/>
        <v>0</v>
      </c>
      <c r="Y153" s="163">
        <f t="shared" si="103"/>
        <v>1.9999999999999998</v>
      </c>
      <c r="Z153" s="643">
        <f t="shared" si="103"/>
        <v>1</v>
      </c>
      <c r="AA153" s="646">
        <f t="shared" si="103"/>
        <v>16</v>
      </c>
      <c r="AB153" s="645">
        <f t="shared" si="103"/>
        <v>2</v>
      </c>
      <c r="AC153" s="163">
        <f t="shared" si="103"/>
        <v>2</v>
      </c>
      <c r="AD153" s="163">
        <f t="shared" si="103"/>
        <v>0</v>
      </c>
      <c r="AE153" s="163">
        <f t="shared" si="103"/>
        <v>0</v>
      </c>
      <c r="AF153" s="644">
        <f t="shared" si="103"/>
        <v>0</v>
      </c>
      <c r="AG153" s="645">
        <f t="shared" si="103"/>
        <v>14.000000000000004</v>
      </c>
      <c r="AH153" s="163">
        <f t="shared" si="103"/>
        <v>13.000000000000002</v>
      </c>
      <c r="AI153" s="163">
        <f t="shared" si="103"/>
        <v>0</v>
      </c>
      <c r="AJ153" s="163">
        <f t="shared" si="101"/>
        <v>0</v>
      </c>
      <c r="AK153" s="643">
        <f t="shared" si="101"/>
        <v>1</v>
      </c>
      <c r="AL153" s="646">
        <f t="shared" si="101"/>
        <v>98</v>
      </c>
      <c r="AM153" s="645">
        <f t="shared" si="101"/>
        <v>40.000000000000007</v>
      </c>
      <c r="AN153" s="163">
        <f t="shared" si="101"/>
        <v>28.000000000000004</v>
      </c>
      <c r="AO153" s="163">
        <f t="shared" si="101"/>
        <v>0</v>
      </c>
      <c r="AP153" s="163">
        <f t="shared" si="101"/>
        <v>11.999999999999996</v>
      </c>
      <c r="AQ153" s="644">
        <f t="shared" si="101"/>
        <v>0</v>
      </c>
      <c r="AR153" s="645">
        <f t="shared" si="101"/>
        <v>58</v>
      </c>
      <c r="AS153" s="163">
        <f t="shared" si="101"/>
        <v>43.999999999999993</v>
      </c>
      <c r="AT153" s="163">
        <f t="shared" si="101"/>
        <v>0</v>
      </c>
      <c r="AU153" s="163">
        <f t="shared" si="101"/>
        <v>5</v>
      </c>
      <c r="AV153" s="643">
        <f t="shared" si="101"/>
        <v>9</v>
      </c>
      <c r="AW153" s="646">
        <f t="shared" si="101"/>
        <v>63</v>
      </c>
      <c r="AX153" s="645">
        <f t="shared" si="101"/>
        <v>22</v>
      </c>
      <c r="AY153" s="163">
        <f t="shared" si="101"/>
        <v>18.999999999999996</v>
      </c>
      <c r="AZ153" s="163">
        <f t="shared" si="101"/>
        <v>0</v>
      </c>
      <c r="BA153" s="163">
        <f t="shared" si="101"/>
        <v>3</v>
      </c>
      <c r="BB153" s="644">
        <f t="shared" si="101"/>
        <v>0</v>
      </c>
      <c r="BC153" s="645">
        <f t="shared" si="101"/>
        <v>41</v>
      </c>
      <c r="BD153" s="163">
        <f t="shared" si="101"/>
        <v>36</v>
      </c>
      <c r="BE153" s="163">
        <f t="shared" si="101"/>
        <v>0</v>
      </c>
      <c r="BF153" s="163">
        <f t="shared" si="101"/>
        <v>1</v>
      </c>
      <c r="BG153" s="643">
        <f t="shared" si="101"/>
        <v>3.9999999999999996</v>
      </c>
      <c r="BH153" s="646">
        <f t="shared" si="101"/>
        <v>65</v>
      </c>
      <c r="BI153" s="645">
        <f t="shared" si="101"/>
        <v>30.999999999999996</v>
      </c>
      <c r="BJ153" s="163">
        <f t="shared" si="101"/>
        <v>25.999999999999996</v>
      </c>
      <c r="BK153" s="163">
        <f t="shared" si="101"/>
        <v>0</v>
      </c>
      <c r="BL153" s="163">
        <f t="shared" si="101"/>
        <v>4.9999999999999991</v>
      </c>
      <c r="BM153" s="644">
        <f t="shared" si="101"/>
        <v>0</v>
      </c>
      <c r="BN153" s="645">
        <f t="shared" si="101"/>
        <v>34.000000000000007</v>
      </c>
      <c r="BO153" s="163">
        <f t="shared" si="101"/>
        <v>27</v>
      </c>
      <c r="BP153" s="163">
        <f t="shared" si="101"/>
        <v>0</v>
      </c>
      <c r="BQ153" s="163">
        <f t="shared" si="91"/>
        <v>2.9999999999999996</v>
      </c>
      <c r="BR153" s="643">
        <f t="shared" si="91"/>
        <v>4</v>
      </c>
      <c r="BS153" s="646">
        <f t="shared" si="91"/>
        <v>100.00000000000001</v>
      </c>
      <c r="BT153" s="645">
        <f t="shared" si="91"/>
        <v>44.000000000000007</v>
      </c>
      <c r="BU153" s="163">
        <f t="shared" si="91"/>
        <v>39</v>
      </c>
      <c r="BV153" s="163">
        <f t="shared" si="91"/>
        <v>0</v>
      </c>
      <c r="BW153" s="163">
        <f t="shared" si="91"/>
        <v>5</v>
      </c>
      <c r="BX153" s="644">
        <f t="shared" si="91"/>
        <v>0</v>
      </c>
      <c r="BY153" s="645">
        <f t="shared" si="91"/>
        <v>55.999999999999993</v>
      </c>
      <c r="BZ153" s="163">
        <f t="shared" si="91"/>
        <v>43</v>
      </c>
      <c r="CA153" s="163">
        <f t="shared" si="91"/>
        <v>0</v>
      </c>
      <c r="CB153" s="163">
        <f t="shared" si="91"/>
        <v>5.9999999999999991</v>
      </c>
      <c r="CC153" s="643">
        <f t="shared" si="91"/>
        <v>7</v>
      </c>
      <c r="CD153" s="646">
        <f t="shared" si="91"/>
        <v>35.999999999999993</v>
      </c>
      <c r="CE153" s="645">
        <f t="shared" si="91"/>
        <v>20</v>
      </c>
      <c r="CF153" s="163">
        <f t="shared" si="91"/>
        <v>14</v>
      </c>
      <c r="CG153" s="163">
        <f t="shared" si="96"/>
        <v>0</v>
      </c>
      <c r="CH153" s="163">
        <f t="shared" si="96"/>
        <v>5.9999999999999982</v>
      </c>
      <c r="CI153" s="644">
        <f t="shared" si="96"/>
        <v>0</v>
      </c>
      <c r="CJ153" s="645">
        <f t="shared" si="96"/>
        <v>16</v>
      </c>
      <c r="CK153" s="163">
        <f t="shared" si="96"/>
        <v>13.000000000000002</v>
      </c>
      <c r="CL153" s="163">
        <f t="shared" si="96"/>
        <v>0</v>
      </c>
      <c r="CM153" s="163">
        <f t="shared" si="96"/>
        <v>1</v>
      </c>
      <c r="CN153" s="643">
        <f t="shared" si="96"/>
        <v>1.9999999999999998</v>
      </c>
      <c r="CO153" s="646">
        <f t="shared" si="96"/>
        <v>13.000000000000002</v>
      </c>
      <c r="CP153" s="645">
        <f t="shared" si="96"/>
        <v>5.0000000000000009</v>
      </c>
      <c r="CQ153" s="163">
        <f t="shared" si="96"/>
        <v>5.0000000000000009</v>
      </c>
      <c r="CR153" s="163">
        <f t="shared" si="96"/>
        <v>0</v>
      </c>
      <c r="CS153" s="163">
        <f t="shared" si="96"/>
        <v>0</v>
      </c>
      <c r="CT153" s="644">
        <f t="shared" si="96"/>
        <v>0</v>
      </c>
      <c r="CU153" s="645">
        <f t="shared" si="96"/>
        <v>8</v>
      </c>
      <c r="CV153" s="163">
        <f t="shared" si="96"/>
        <v>8</v>
      </c>
      <c r="CW153" s="163">
        <f t="shared" si="94"/>
        <v>0</v>
      </c>
      <c r="CX153" s="163">
        <f t="shared" si="94"/>
        <v>0</v>
      </c>
      <c r="CY153" s="643">
        <f t="shared" si="94"/>
        <v>0</v>
      </c>
      <c r="CZ153" s="646">
        <f t="shared" si="94"/>
        <v>9</v>
      </c>
      <c r="DA153" s="645">
        <f t="shared" si="94"/>
        <v>1</v>
      </c>
      <c r="DB153" s="163">
        <f t="shared" si="94"/>
        <v>0</v>
      </c>
      <c r="DC153" s="163">
        <f t="shared" si="94"/>
        <v>0</v>
      </c>
      <c r="DD153" s="163">
        <f t="shared" si="94"/>
        <v>1</v>
      </c>
      <c r="DE153" s="644">
        <f t="shared" si="94"/>
        <v>0</v>
      </c>
      <c r="DF153" s="645">
        <f t="shared" si="94"/>
        <v>8.0000000000000018</v>
      </c>
      <c r="DG153" s="163">
        <f t="shared" si="94"/>
        <v>8.0000000000000018</v>
      </c>
      <c r="DH153" s="163">
        <f t="shared" si="94"/>
        <v>0</v>
      </c>
      <c r="DI153" s="163">
        <f t="shared" si="94"/>
        <v>0</v>
      </c>
      <c r="DJ153" s="643">
        <f t="shared" si="94"/>
        <v>0</v>
      </c>
      <c r="DK153" s="646">
        <f t="shared" si="94"/>
        <v>0</v>
      </c>
      <c r="DL153" s="645">
        <f t="shared" si="94"/>
        <v>0</v>
      </c>
      <c r="DM153" s="163">
        <f t="shared" si="94"/>
        <v>0</v>
      </c>
      <c r="DN153" s="163">
        <f t="shared" si="94"/>
        <v>0</v>
      </c>
      <c r="DO153" s="163">
        <f t="shared" si="94"/>
        <v>0</v>
      </c>
      <c r="DP153" s="644">
        <f t="shared" si="94"/>
        <v>0</v>
      </c>
      <c r="DQ153" s="645">
        <f t="shared" si="94"/>
        <v>0</v>
      </c>
      <c r="DR153" s="163">
        <f t="shared" si="94"/>
        <v>0</v>
      </c>
      <c r="DS153" s="163">
        <f t="shared" si="94"/>
        <v>0</v>
      </c>
      <c r="DT153" s="163">
        <f t="shared" si="94"/>
        <v>0</v>
      </c>
      <c r="DU153" s="643">
        <f t="shared" si="94"/>
        <v>0</v>
      </c>
      <c r="DW153" s="646">
        <f t="shared" si="84"/>
        <v>317</v>
      </c>
      <c r="DX153" s="645">
        <f t="shared" si="84"/>
        <v>128</v>
      </c>
      <c r="DY153" s="163">
        <f t="shared" si="84"/>
        <v>108</v>
      </c>
      <c r="DZ153" s="163">
        <f t="shared" si="84"/>
        <v>0</v>
      </c>
      <c r="EA153" s="163">
        <f t="shared" si="84"/>
        <v>20</v>
      </c>
      <c r="EB153" s="644">
        <f t="shared" si="84"/>
        <v>0</v>
      </c>
      <c r="EC153" s="645">
        <f t="shared" si="84"/>
        <v>189</v>
      </c>
      <c r="ED153" s="163">
        <f t="shared" si="84"/>
        <v>157</v>
      </c>
      <c r="EE153" s="163">
        <f t="shared" si="84"/>
        <v>0</v>
      </c>
      <c r="EF153" s="163">
        <f t="shared" si="84"/>
        <v>13</v>
      </c>
      <c r="EG153" s="643">
        <f t="shared" si="84"/>
        <v>19</v>
      </c>
      <c r="EH153" s="646">
        <f t="shared" si="73"/>
        <v>98</v>
      </c>
      <c r="EI153" s="645">
        <f t="shared" si="73"/>
        <v>40.000000000000007</v>
      </c>
      <c r="EJ153" s="163">
        <f t="shared" si="73"/>
        <v>28.000000000000004</v>
      </c>
      <c r="EK153" s="163">
        <f t="shared" si="73"/>
        <v>0</v>
      </c>
      <c r="EL153" s="163">
        <f t="shared" si="73"/>
        <v>11.999999999999996</v>
      </c>
      <c r="EM153" s="644">
        <f t="shared" si="73"/>
        <v>0</v>
      </c>
      <c r="EN153" s="645">
        <f t="shared" si="73"/>
        <v>58</v>
      </c>
      <c r="EO153" s="163">
        <f t="shared" si="73"/>
        <v>43.999999999999993</v>
      </c>
      <c r="EP153" s="163">
        <f t="shared" si="79"/>
        <v>0</v>
      </c>
      <c r="EQ153" s="163">
        <f t="shared" si="79"/>
        <v>5</v>
      </c>
      <c r="ER153" s="643">
        <f t="shared" si="79"/>
        <v>9</v>
      </c>
    </row>
    <row r="154" spans="1:148">
      <c r="A154" s="665" t="s">
        <v>229</v>
      </c>
      <c r="B154" s="665">
        <v>43191</v>
      </c>
      <c r="C154" s="664">
        <v>2018</v>
      </c>
      <c r="D154" s="646">
        <f t="shared" ref="D154" si="107">D55/3+D153</f>
        <v>1046752.3333333335</v>
      </c>
      <c r="E154" s="646">
        <f t="shared" si="88"/>
        <v>13241.333333333334</v>
      </c>
      <c r="F154" s="645">
        <f t="shared" si="88"/>
        <v>5696.666666666667</v>
      </c>
      <c r="G154" s="163">
        <f t="shared" si="88"/>
        <v>4388</v>
      </c>
      <c r="H154" s="163">
        <f t="shared" si="88"/>
        <v>0</v>
      </c>
      <c r="I154" s="163">
        <f t="shared" si="88"/>
        <v>1308.666666666667</v>
      </c>
      <c r="J154" s="644">
        <f t="shared" si="88"/>
        <v>0</v>
      </c>
      <c r="K154" s="645">
        <f t="shared" si="88"/>
        <v>7544.6666666666661</v>
      </c>
      <c r="L154" s="163">
        <f t="shared" si="88"/>
        <v>5647.333333333333</v>
      </c>
      <c r="M154" s="163">
        <f t="shared" si="88"/>
        <v>0</v>
      </c>
      <c r="N154" s="163">
        <f t="shared" si="88"/>
        <v>1030.6666666666665</v>
      </c>
      <c r="O154" s="643">
        <f t="shared" si="88"/>
        <v>866.66666666666652</v>
      </c>
      <c r="P154" s="646">
        <f t="shared" si="88"/>
        <v>19.333333333333329</v>
      </c>
      <c r="Q154" s="645">
        <f t="shared" si="88"/>
        <v>5.6666666666666661</v>
      </c>
      <c r="R154" s="163">
        <f t="shared" si="88"/>
        <v>5.3333333333333339</v>
      </c>
      <c r="S154" s="163">
        <f t="shared" si="88"/>
        <v>0</v>
      </c>
      <c r="T154" s="163">
        <f t="shared" si="88"/>
        <v>0.33333333333333331</v>
      </c>
      <c r="U154" s="644">
        <f t="shared" si="103"/>
        <v>0</v>
      </c>
      <c r="V154" s="645">
        <f t="shared" si="103"/>
        <v>13.666666666666664</v>
      </c>
      <c r="W154" s="163">
        <f t="shared" si="103"/>
        <v>10</v>
      </c>
      <c r="X154" s="163">
        <f t="shared" si="103"/>
        <v>0</v>
      </c>
      <c r="Y154" s="163">
        <f t="shared" si="103"/>
        <v>2.333333333333333</v>
      </c>
      <c r="Z154" s="643">
        <f t="shared" si="103"/>
        <v>1.3333333333333333</v>
      </c>
      <c r="AA154" s="646">
        <f t="shared" si="103"/>
        <v>20.333333333333332</v>
      </c>
      <c r="AB154" s="645">
        <f t="shared" si="103"/>
        <v>3.666666666666667</v>
      </c>
      <c r="AC154" s="163">
        <f t="shared" si="103"/>
        <v>3.333333333333333</v>
      </c>
      <c r="AD154" s="163">
        <f t="shared" si="103"/>
        <v>0</v>
      </c>
      <c r="AE154" s="163">
        <f t="shared" si="103"/>
        <v>0.33333333333333331</v>
      </c>
      <c r="AF154" s="644">
        <f t="shared" si="103"/>
        <v>0</v>
      </c>
      <c r="AG154" s="645">
        <f t="shared" si="103"/>
        <v>16.666666666666671</v>
      </c>
      <c r="AH154" s="163">
        <f t="shared" si="103"/>
        <v>15.333333333333336</v>
      </c>
      <c r="AI154" s="163">
        <f t="shared" si="103"/>
        <v>0</v>
      </c>
      <c r="AJ154" s="163">
        <f t="shared" si="101"/>
        <v>0</v>
      </c>
      <c r="AK154" s="643">
        <f t="shared" si="101"/>
        <v>1.3333333333333333</v>
      </c>
      <c r="AL154" s="646">
        <f t="shared" si="101"/>
        <v>116.66666666666667</v>
      </c>
      <c r="AM154" s="645">
        <f t="shared" si="101"/>
        <v>50.000000000000007</v>
      </c>
      <c r="AN154" s="163">
        <f t="shared" si="101"/>
        <v>37.333333333333336</v>
      </c>
      <c r="AO154" s="163">
        <f t="shared" si="101"/>
        <v>0</v>
      </c>
      <c r="AP154" s="163">
        <f t="shared" si="101"/>
        <v>12.666666666666663</v>
      </c>
      <c r="AQ154" s="644">
        <f t="shared" si="101"/>
        <v>0</v>
      </c>
      <c r="AR154" s="645">
        <f t="shared" si="101"/>
        <v>66.666666666666671</v>
      </c>
      <c r="AS154" s="163">
        <f t="shared" si="101"/>
        <v>49.666666666666657</v>
      </c>
      <c r="AT154" s="163">
        <f t="shared" si="101"/>
        <v>0</v>
      </c>
      <c r="AU154" s="163">
        <f t="shared" si="101"/>
        <v>7.3333333333333339</v>
      </c>
      <c r="AV154" s="643">
        <f t="shared" si="101"/>
        <v>9.6666666666666661</v>
      </c>
      <c r="AW154" s="646">
        <f t="shared" si="101"/>
        <v>76.666666666666671</v>
      </c>
      <c r="AX154" s="645">
        <f t="shared" si="101"/>
        <v>28.666666666666668</v>
      </c>
      <c r="AY154" s="163">
        <f t="shared" si="101"/>
        <v>24.999999999999996</v>
      </c>
      <c r="AZ154" s="163">
        <f t="shared" si="101"/>
        <v>0</v>
      </c>
      <c r="BA154" s="163">
        <f t="shared" si="101"/>
        <v>3.6666666666666665</v>
      </c>
      <c r="BB154" s="644">
        <f t="shared" si="101"/>
        <v>0</v>
      </c>
      <c r="BC154" s="645">
        <f t="shared" si="101"/>
        <v>48</v>
      </c>
      <c r="BD154" s="163">
        <f t="shared" si="101"/>
        <v>41.333333333333336</v>
      </c>
      <c r="BE154" s="163">
        <f t="shared" si="101"/>
        <v>0</v>
      </c>
      <c r="BF154" s="163">
        <f t="shared" si="101"/>
        <v>2</v>
      </c>
      <c r="BG154" s="643">
        <f t="shared" si="101"/>
        <v>4.6666666666666661</v>
      </c>
      <c r="BH154" s="646">
        <f t="shared" si="101"/>
        <v>82.666666666666671</v>
      </c>
      <c r="BI154" s="645">
        <f t="shared" si="101"/>
        <v>42</v>
      </c>
      <c r="BJ154" s="163">
        <f t="shared" si="101"/>
        <v>36.333333333333329</v>
      </c>
      <c r="BK154" s="163">
        <f t="shared" si="101"/>
        <v>0</v>
      </c>
      <c r="BL154" s="163">
        <f t="shared" si="101"/>
        <v>5.6666666666666661</v>
      </c>
      <c r="BM154" s="644">
        <f t="shared" si="101"/>
        <v>0</v>
      </c>
      <c r="BN154" s="645">
        <f t="shared" si="101"/>
        <v>40.666666666666671</v>
      </c>
      <c r="BO154" s="163">
        <f t="shared" si="101"/>
        <v>31</v>
      </c>
      <c r="BP154" s="163">
        <f t="shared" si="101"/>
        <v>0</v>
      </c>
      <c r="BQ154" s="163">
        <f t="shared" si="91"/>
        <v>5.333333333333333</v>
      </c>
      <c r="BR154" s="643">
        <f t="shared" si="91"/>
        <v>4.333333333333333</v>
      </c>
      <c r="BS154" s="646">
        <f t="shared" si="91"/>
        <v>125.00000000000001</v>
      </c>
      <c r="BT154" s="645">
        <f t="shared" si="91"/>
        <v>57.666666666666671</v>
      </c>
      <c r="BU154" s="163">
        <f t="shared" si="91"/>
        <v>52.333333333333336</v>
      </c>
      <c r="BV154" s="163">
        <f t="shared" si="91"/>
        <v>0</v>
      </c>
      <c r="BW154" s="163">
        <f t="shared" si="91"/>
        <v>5.333333333333333</v>
      </c>
      <c r="BX154" s="644">
        <f t="shared" si="91"/>
        <v>0</v>
      </c>
      <c r="BY154" s="645">
        <f t="shared" si="91"/>
        <v>67.333333333333329</v>
      </c>
      <c r="BZ154" s="163">
        <f t="shared" si="91"/>
        <v>49.666666666666664</v>
      </c>
      <c r="CA154" s="163">
        <f t="shared" si="91"/>
        <v>0</v>
      </c>
      <c r="CB154" s="163">
        <f t="shared" si="91"/>
        <v>9</v>
      </c>
      <c r="CC154" s="643">
        <f t="shared" si="91"/>
        <v>8.6666666666666661</v>
      </c>
      <c r="CD154" s="646">
        <f t="shared" si="91"/>
        <v>41.999999999999993</v>
      </c>
      <c r="CE154" s="645">
        <f t="shared" si="91"/>
        <v>23.666666666666668</v>
      </c>
      <c r="CF154" s="163">
        <f t="shared" si="91"/>
        <v>17.666666666666668</v>
      </c>
      <c r="CG154" s="163">
        <f t="shared" si="96"/>
        <v>0</v>
      </c>
      <c r="CH154" s="163">
        <f t="shared" si="96"/>
        <v>5.9999999999999982</v>
      </c>
      <c r="CI154" s="644">
        <f t="shared" si="96"/>
        <v>0</v>
      </c>
      <c r="CJ154" s="645">
        <f t="shared" si="96"/>
        <v>18.333333333333332</v>
      </c>
      <c r="CK154" s="163">
        <f t="shared" si="96"/>
        <v>14.666666666666668</v>
      </c>
      <c r="CL154" s="163">
        <f t="shared" si="96"/>
        <v>0</v>
      </c>
      <c r="CM154" s="163">
        <f t="shared" si="96"/>
        <v>1.3333333333333333</v>
      </c>
      <c r="CN154" s="643">
        <f t="shared" si="96"/>
        <v>2.333333333333333</v>
      </c>
      <c r="CO154" s="646">
        <f t="shared" si="96"/>
        <v>19.666666666666668</v>
      </c>
      <c r="CP154" s="645">
        <f t="shared" si="96"/>
        <v>8.3333333333333339</v>
      </c>
      <c r="CQ154" s="163">
        <f t="shared" si="96"/>
        <v>8.3333333333333339</v>
      </c>
      <c r="CR154" s="163">
        <f t="shared" si="96"/>
        <v>0</v>
      </c>
      <c r="CS154" s="163">
        <f t="shared" si="96"/>
        <v>0</v>
      </c>
      <c r="CT154" s="644">
        <f t="shared" si="96"/>
        <v>0</v>
      </c>
      <c r="CU154" s="645">
        <f t="shared" si="96"/>
        <v>11.333333333333334</v>
      </c>
      <c r="CV154" s="163">
        <f t="shared" si="96"/>
        <v>11</v>
      </c>
      <c r="CW154" s="163">
        <f t="shared" si="94"/>
        <v>0</v>
      </c>
      <c r="CX154" s="163">
        <f t="shared" si="94"/>
        <v>0.33333333333333331</v>
      </c>
      <c r="CY154" s="643">
        <f t="shared" si="94"/>
        <v>0</v>
      </c>
      <c r="CZ154" s="646">
        <f t="shared" si="94"/>
        <v>9.3333333333333339</v>
      </c>
      <c r="DA154" s="645">
        <f t="shared" si="94"/>
        <v>1</v>
      </c>
      <c r="DB154" s="163">
        <f t="shared" ref="DB154:DU166" si="108">DB55/3+DB153</f>
        <v>0</v>
      </c>
      <c r="DC154" s="163">
        <f t="shared" si="108"/>
        <v>0</v>
      </c>
      <c r="DD154" s="163">
        <f t="shared" si="108"/>
        <v>1</v>
      </c>
      <c r="DE154" s="644">
        <f t="shared" si="108"/>
        <v>0</v>
      </c>
      <c r="DF154" s="645">
        <f t="shared" si="108"/>
        <v>8.3333333333333357</v>
      </c>
      <c r="DG154" s="163">
        <f t="shared" si="108"/>
        <v>8.3333333333333357</v>
      </c>
      <c r="DH154" s="163">
        <f t="shared" si="108"/>
        <v>0</v>
      </c>
      <c r="DI154" s="163">
        <f t="shared" si="108"/>
        <v>0</v>
      </c>
      <c r="DJ154" s="643">
        <f t="shared" si="108"/>
        <v>0</v>
      </c>
      <c r="DK154" s="646">
        <f t="shared" si="108"/>
        <v>0</v>
      </c>
      <c r="DL154" s="645">
        <f t="shared" si="108"/>
        <v>0</v>
      </c>
      <c r="DM154" s="163">
        <f t="shared" si="108"/>
        <v>0</v>
      </c>
      <c r="DN154" s="163">
        <f t="shared" si="108"/>
        <v>0</v>
      </c>
      <c r="DO154" s="163">
        <f t="shared" si="108"/>
        <v>0</v>
      </c>
      <c r="DP154" s="644">
        <f t="shared" si="108"/>
        <v>0</v>
      </c>
      <c r="DQ154" s="645">
        <f t="shared" si="108"/>
        <v>0</v>
      </c>
      <c r="DR154" s="163">
        <f t="shared" si="108"/>
        <v>0</v>
      </c>
      <c r="DS154" s="163">
        <f t="shared" si="108"/>
        <v>0</v>
      </c>
      <c r="DT154" s="163">
        <f t="shared" si="108"/>
        <v>0</v>
      </c>
      <c r="DU154" s="643">
        <f t="shared" si="108"/>
        <v>0</v>
      </c>
      <c r="DW154" s="646">
        <f t="shared" si="84"/>
        <v>395</v>
      </c>
      <c r="DX154" s="645">
        <f t="shared" si="84"/>
        <v>170.66666666666669</v>
      </c>
      <c r="DY154" s="163">
        <f t="shared" si="84"/>
        <v>148.33333333333334</v>
      </c>
      <c r="DZ154" s="163">
        <f t="shared" si="84"/>
        <v>0</v>
      </c>
      <c r="EA154" s="163">
        <f t="shared" si="84"/>
        <v>22.333333333333329</v>
      </c>
      <c r="EB154" s="644">
        <f t="shared" si="84"/>
        <v>0</v>
      </c>
      <c r="EC154" s="645">
        <f t="shared" si="84"/>
        <v>224.33333333333337</v>
      </c>
      <c r="ED154" s="163">
        <f t="shared" si="84"/>
        <v>181.33333333333334</v>
      </c>
      <c r="EE154" s="163">
        <f t="shared" si="84"/>
        <v>0</v>
      </c>
      <c r="EF154" s="163">
        <f t="shared" si="84"/>
        <v>20.333333333333329</v>
      </c>
      <c r="EG154" s="643">
        <f t="shared" si="84"/>
        <v>22.666666666666661</v>
      </c>
      <c r="EH154" s="646">
        <f t="shared" si="73"/>
        <v>116.66666666666667</v>
      </c>
      <c r="EI154" s="645">
        <f t="shared" si="73"/>
        <v>50.000000000000007</v>
      </c>
      <c r="EJ154" s="163">
        <f t="shared" si="73"/>
        <v>37.333333333333336</v>
      </c>
      <c r="EK154" s="163">
        <f t="shared" si="73"/>
        <v>0</v>
      </c>
      <c r="EL154" s="163">
        <f t="shared" si="73"/>
        <v>12.666666666666663</v>
      </c>
      <c r="EM154" s="644">
        <f t="shared" si="73"/>
        <v>0</v>
      </c>
      <c r="EN154" s="645">
        <f t="shared" si="73"/>
        <v>66.666666666666671</v>
      </c>
      <c r="EO154" s="163">
        <f t="shared" si="73"/>
        <v>49.666666666666657</v>
      </c>
      <c r="EP154" s="163">
        <f t="shared" si="79"/>
        <v>0</v>
      </c>
      <c r="EQ154" s="163">
        <f t="shared" si="79"/>
        <v>7.3333333333333339</v>
      </c>
      <c r="ER154" s="643">
        <f t="shared" si="79"/>
        <v>9.6666666666666661</v>
      </c>
    </row>
    <row r="155" spans="1:148">
      <c r="A155" s="665" t="s">
        <v>229</v>
      </c>
      <c r="B155" s="665">
        <v>43221</v>
      </c>
      <c r="C155" s="664">
        <v>2018</v>
      </c>
      <c r="D155" s="646">
        <f t="shared" ref="D155" si="109">D56/3+D154</f>
        <v>1126712.6666666667</v>
      </c>
      <c r="E155" s="646">
        <f t="shared" si="88"/>
        <v>15557.666666666668</v>
      </c>
      <c r="F155" s="645">
        <f t="shared" si="88"/>
        <v>6902.3333333333339</v>
      </c>
      <c r="G155" s="163">
        <f t="shared" si="88"/>
        <v>5490</v>
      </c>
      <c r="H155" s="163">
        <f t="shared" si="88"/>
        <v>0</v>
      </c>
      <c r="I155" s="163">
        <f t="shared" si="88"/>
        <v>1412.3333333333337</v>
      </c>
      <c r="J155" s="644">
        <f t="shared" si="88"/>
        <v>0</v>
      </c>
      <c r="K155" s="645">
        <f t="shared" si="88"/>
        <v>8655.3333333333321</v>
      </c>
      <c r="L155" s="163">
        <f t="shared" si="88"/>
        <v>6386.6666666666661</v>
      </c>
      <c r="M155" s="163">
        <f t="shared" si="88"/>
        <v>0</v>
      </c>
      <c r="N155" s="163">
        <f t="shared" si="88"/>
        <v>1266.3333333333333</v>
      </c>
      <c r="O155" s="643">
        <f t="shared" si="88"/>
        <v>1002.3333333333331</v>
      </c>
      <c r="P155" s="646">
        <f t="shared" si="88"/>
        <v>23.666666666666661</v>
      </c>
      <c r="Q155" s="645">
        <f t="shared" si="88"/>
        <v>8.3333333333333321</v>
      </c>
      <c r="R155" s="163">
        <f t="shared" si="88"/>
        <v>7.6666666666666679</v>
      </c>
      <c r="S155" s="163">
        <f t="shared" si="88"/>
        <v>0</v>
      </c>
      <c r="T155" s="163">
        <f t="shared" si="88"/>
        <v>0.66666666666666663</v>
      </c>
      <c r="U155" s="644">
        <f t="shared" si="103"/>
        <v>0</v>
      </c>
      <c r="V155" s="645">
        <f t="shared" si="103"/>
        <v>15.33333333333333</v>
      </c>
      <c r="W155" s="163">
        <f t="shared" si="103"/>
        <v>11</v>
      </c>
      <c r="X155" s="163">
        <f t="shared" si="103"/>
        <v>0</v>
      </c>
      <c r="Y155" s="163">
        <f t="shared" si="103"/>
        <v>2.6666666666666665</v>
      </c>
      <c r="Z155" s="643">
        <f t="shared" si="103"/>
        <v>1.6666666666666665</v>
      </c>
      <c r="AA155" s="646">
        <f t="shared" si="103"/>
        <v>24.666666666666664</v>
      </c>
      <c r="AB155" s="645">
        <f t="shared" si="103"/>
        <v>5.3333333333333339</v>
      </c>
      <c r="AC155" s="163">
        <f t="shared" si="103"/>
        <v>4.6666666666666661</v>
      </c>
      <c r="AD155" s="163">
        <f t="shared" si="103"/>
        <v>0</v>
      </c>
      <c r="AE155" s="163">
        <f t="shared" si="103"/>
        <v>0.66666666666666663</v>
      </c>
      <c r="AF155" s="644">
        <f t="shared" si="103"/>
        <v>0</v>
      </c>
      <c r="AG155" s="645">
        <f t="shared" si="103"/>
        <v>19.333333333333339</v>
      </c>
      <c r="AH155" s="163">
        <f t="shared" si="103"/>
        <v>17.666666666666668</v>
      </c>
      <c r="AI155" s="163">
        <f t="shared" si="103"/>
        <v>0</v>
      </c>
      <c r="AJ155" s="163">
        <f t="shared" si="101"/>
        <v>0</v>
      </c>
      <c r="AK155" s="643">
        <f t="shared" si="101"/>
        <v>1.6666666666666665</v>
      </c>
      <c r="AL155" s="646">
        <f t="shared" si="101"/>
        <v>135.33333333333334</v>
      </c>
      <c r="AM155" s="645">
        <f t="shared" si="101"/>
        <v>60.000000000000007</v>
      </c>
      <c r="AN155" s="163">
        <f t="shared" si="101"/>
        <v>46.666666666666671</v>
      </c>
      <c r="AO155" s="163">
        <f t="shared" si="101"/>
        <v>0</v>
      </c>
      <c r="AP155" s="163">
        <f t="shared" si="101"/>
        <v>13.333333333333329</v>
      </c>
      <c r="AQ155" s="644">
        <f t="shared" si="101"/>
        <v>0</v>
      </c>
      <c r="AR155" s="645">
        <f t="shared" si="101"/>
        <v>75.333333333333343</v>
      </c>
      <c r="AS155" s="163">
        <f t="shared" si="101"/>
        <v>55.333333333333321</v>
      </c>
      <c r="AT155" s="163">
        <f t="shared" si="101"/>
        <v>0</v>
      </c>
      <c r="AU155" s="163">
        <f t="shared" si="101"/>
        <v>9.6666666666666679</v>
      </c>
      <c r="AV155" s="643">
        <f t="shared" si="101"/>
        <v>10.333333333333332</v>
      </c>
      <c r="AW155" s="646">
        <f t="shared" si="101"/>
        <v>90.333333333333343</v>
      </c>
      <c r="AX155" s="645">
        <f t="shared" si="101"/>
        <v>35.333333333333336</v>
      </c>
      <c r="AY155" s="163">
        <f t="shared" si="101"/>
        <v>30.999999999999996</v>
      </c>
      <c r="AZ155" s="163">
        <f t="shared" si="101"/>
        <v>0</v>
      </c>
      <c r="BA155" s="163">
        <f t="shared" si="101"/>
        <v>4.333333333333333</v>
      </c>
      <c r="BB155" s="644">
        <f t="shared" si="101"/>
        <v>0</v>
      </c>
      <c r="BC155" s="645">
        <f t="shared" si="101"/>
        <v>55</v>
      </c>
      <c r="BD155" s="163">
        <f t="shared" si="101"/>
        <v>46.666666666666671</v>
      </c>
      <c r="BE155" s="163">
        <f t="shared" si="101"/>
        <v>0</v>
      </c>
      <c r="BF155" s="163">
        <f t="shared" si="101"/>
        <v>3</v>
      </c>
      <c r="BG155" s="643">
        <f t="shared" si="101"/>
        <v>5.333333333333333</v>
      </c>
      <c r="BH155" s="646">
        <f t="shared" si="101"/>
        <v>100.33333333333334</v>
      </c>
      <c r="BI155" s="645">
        <f t="shared" si="101"/>
        <v>53</v>
      </c>
      <c r="BJ155" s="163">
        <f t="shared" si="101"/>
        <v>46.666666666666664</v>
      </c>
      <c r="BK155" s="163">
        <f t="shared" si="101"/>
        <v>0</v>
      </c>
      <c r="BL155" s="163">
        <f t="shared" si="101"/>
        <v>6.333333333333333</v>
      </c>
      <c r="BM155" s="644">
        <f t="shared" si="101"/>
        <v>0</v>
      </c>
      <c r="BN155" s="645">
        <f t="shared" si="101"/>
        <v>47.333333333333336</v>
      </c>
      <c r="BO155" s="163">
        <f t="shared" si="101"/>
        <v>35</v>
      </c>
      <c r="BP155" s="163">
        <f t="shared" si="101"/>
        <v>0</v>
      </c>
      <c r="BQ155" s="163">
        <f t="shared" si="91"/>
        <v>7.6666666666666661</v>
      </c>
      <c r="BR155" s="643">
        <f t="shared" si="91"/>
        <v>4.6666666666666661</v>
      </c>
      <c r="BS155" s="646">
        <f t="shared" si="91"/>
        <v>150</v>
      </c>
      <c r="BT155" s="645">
        <f t="shared" si="91"/>
        <v>71.333333333333343</v>
      </c>
      <c r="BU155" s="163">
        <f t="shared" si="91"/>
        <v>65.666666666666671</v>
      </c>
      <c r="BV155" s="163">
        <f t="shared" si="91"/>
        <v>0</v>
      </c>
      <c r="BW155" s="163">
        <f t="shared" si="91"/>
        <v>5.6666666666666661</v>
      </c>
      <c r="BX155" s="644">
        <f t="shared" si="91"/>
        <v>0</v>
      </c>
      <c r="BY155" s="645">
        <f t="shared" si="91"/>
        <v>78.666666666666657</v>
      </c>
      <c r="BZ155" s="163">
        <f t="shared" si="91"/>
        <v>56.333333333333329</v>
      </c>
      <c r="CA155" s="163">
        <f t="shared" si="91"/>
        <v>0</v>
      </c>
      <c r="CB155" s="163">
        <f t="shared" si="91"/>
        <v>12</v>
      </c>
      <c r="CC155" s="643">
        <f t="shared" si="91"/>
        <v>10.333333333333332</v>
      </c>
      <c r="CD155" s="646">
        <f t="shared" si="91"/>
        <v>47.999999999999993</v>
      </c>
      <c r="CE155" s="645">
        <f t="shared" si="91"/>
        <v>27.333333333333336</v>
      </c>
      <c r="CF155" s="163">
        <f t="shared" si="91"/>
        <v>21.333333333333336</v>
      </c>
      <c r="CG155" s="163">
        <f t="shared" si="96"/>
        <v>0</v>
      </c>
      <c r="CH155" s="163">
        <f t="shared" si="96"/>
        <v>5.9999999999999982</v>
      </c>
      <c r="CI155" s="644">
        <f t="shared" si="96"/>
        <v>0</v>
      </c>
      <c r="CJ155" s="645">
        <f t="shared" si="96"/>
        <v>20.666666666666664</v>
      </c>
      <c r="CK155" s="163">
        <f t="shared" si="96"/>
        <v>16.333333333333336</v>
      </c>
      <c r="CL155" s="163">
        <f t="shared" si="96"/>
        <v>0</v>
      </c>
      <c r="CM155" s="163">
        <f t="shared" si="96"/>
        <v>1.6666666666666665</v>
      </c>
      <c r="CN155" s="643">
        <f t="shared" si="96"/>
        <v>2.6666666666666665</v>
      </c>
      <c r="CO155" s="646">
        <f t="shared" si="96"/>
        <v>26.333333333333336</v>
      </c>
      <c r="CP155" s="645">
        <f t="shared" si="96"/>
        <v>11.666666666666668</v>
      </c>
      <c r="CQ155" s="163">
        <f t="shared" si="96"/>
        <v>11.666666666666668</v>
      </c>
      <c r="CR155" s="163">
        <f t="shared" si="96"/>
        <v>0</v>
      </c>
      <c r="CS155" s="163">
        <f t="shared" si="96"/>
        <v>0</v>
      </c>
      <c r="CT155" s="644">
        <f t="shared" si="96"/>
        <v>0</v>
      </c>
      <c r="CU155" s="645">
        <f t="shared" si="96"/>
        <v>14.666666666666668</v>
      </c>
      <c r="CV155" s="163">
        <f t="shared" si="96"/>
        <v>14</v>
      </c>
      <c r="CW155" s="163">
        <f t="shared" ref="CW155:DL170" si="110">CW56/3+CW154</f>
        <v>0</v>
      </c>
      <c r="CX155" s="163">
        <f t="shared" si="110"/>
        <v>0.66666666666666663</v>
      </c>
      <c r="CY155" s="643">
        <f t="shared" si="110"/>
        <v>0</v>
      </c>
      <c r="CZ155" s="646">
        <f t="shared" si="110"/>
        <v>9.6666666666666679</v>
      </c>
      <c r="DA155" s="645">
        <f t="shared" si="110"/>
        <v>1</v>
      </c>
      <c r="DB155" s="163">
        <f t="shared" si="108"/>
        <v>0</v>
      </c>
      <c r="DC155" s="163">
        <f t="shared" si="108"/>
        <v>0</v>
      </c>
      <c r="DD155" s="163">
        <f t="shared" si="108"/>
        <v>1</v>
      </c>
      <c r="DE155" s="644">
        <f t="shared" si="108"/>
        <v>0</v>
      </c>
      <c r="DF155" s="645">
        <f t="shared" si="108"/>
        <v>8.6666666666666696</v>
      </c>
      <c r="DG155" s="163">
        <f t="shared" si="108"/>
        <v>8.6666666666666696</v>
      </c>
      <c r="DH155" s="163">
        <f t="shared" si="108"/>
        <v>0</v>
      </c>
      <c r="DI155" s="163">
        <f t="shared" si="108"/>
        <v>0</v>
      </c>
      <c r="DJ155" s="643">
        <f t="shared" si="108"/>
        <v>0</v>
      </c>
      <c r="DK155" s="646">
        <f t="shared" si="108"/>
        <v>0</v>
      </c>
      <c r="DL155" s="645">
        <f t="shared" si="108"/>
        <v>0</v>
      </c>
      <c r="DM155" s="163">
        <f t="shared" si="108"/>
        <v>0</v>
      </c>
      <c r="DN155" s="163">
        <f t="shared" si="108"/>
        <v>0</v>
      </c>
      <c r="DO155" s="163">
        <f t="shared" si="108"/>
        <v>0</v>
      </c>
      <c r="DP155" s="644">
        <f t="shared" si="108"/>
        <v>0</v>
      </c>
      <c r="DQ155" s="645">
        <f t="shared" si="108"/>
        <v>0</v>
      </c>
      <c r="DR155" s="163">
        <f t="shared" si="108"/>
        <v>0</v>
      </c>
      <c r="DS155" s="163">
        <f t="shared" si="108"/>
        <v>0</v>
      </c>
      <c r="DT155" s="163">
        <f t="shared" si="108"/>
        <v>0</v>
      </c>
      <c r="DU155" s="643">
        <f t="shared" si="108"/>
        <v>0</v>
      </c>
      <c r="DW155" s="646">
        <f t="shared" si="84"/>
        <v>473</v>
      </c>
      <c r="DX155" s="645">
        <f t="shared" si="84"/>
        <v>213.33333333333334</v>
      </c>
      <c r="DY155" s="163">
        <f t="shared" si="84"/>
        <v>188.66666666666669</v>
      </c>
      <c r="DZ155" s="163">
        <f t="shared" si="84"/>
        <v>0</v>
      </c>
      <c r="EA155" s="163">
        <f t="shared" si="84"/>
        <v>24.666666666666664</v>
      </c>
      <c r="EB155" s="644">
        <f t="shared" si="84"/>
        <v>0</v>
      </c>
      <c r="EC155" s="645">
        <f t="shared" si="84"/>
        <v>259.66666666666663</v>
      </c>
      <c r="ED155" s="163">
        <f t="shared" si="84"/>
        <v>205.66666666666669</v>
      </c>
      <c r="EE155" s="163">
        <f t="shared" si="84"/>
        <v>0</v>
      </c>
      <c r="EF155" s="163">
        <f t="shared" si="84"/>
        <v>27.666666666666668</v>
      </c>
      <c r="EG155" s="643">
        <f t="shared" si="84"/>
        <v>26.333333333333332</v>
      </c>
      <c r="EH155" s="646">
        <f t="shared" si="73"/>
        <v>135.33333333333334</v>
      </c>
      <c r="EI155" s="645">
        <f t="shared" si="73"/>
        <v>60.000000000000007</v>
      </c>
      <c r="EJ155" s="163">
        <f t="shared" si="73"/>
        <v>46.666666666666671</v>
      </c>
      <c r="EK155" s="163">
        <f t="shared" si="73"/>
        <v>0</v>
      </c>
      <c r="EL155" s="163">
        <f t="shared" si="73"/>
        <v>13.333333333333329</v>
      </c>
      <c r="EM155" s="644">
        <f t="shared" si="73"/>
        <v>0</v>
      </c>
      <c r="EN155" s="645">
        <f t="shared" si="73"/>
        <v>75.333333333333343</v>
      </c>
      <c r="EO155" s="163">
        <f t="shared" si="73"/>
        <v>55.333333333333321</v>
      </c>
      <c r="EP155" s="163">
        <f t="shared" si="79"/>
        <v>0</v>
      </c>
      <c r="EQ155" s="163">
        <f t="shared" si="79"/>
        <v>9.6666666666666679</v>
      </c>
      <c r="ER155" s="643">
        <f t="shared" si="79"/>
        <v>10.333333333333332</v>
      </c>
    </row>
    <row r="156" spans="1:148">
      <c r="A156" s="665" t="s">
        <v>229</v>
      </c>
      <c r="B156" s="665">
        <v>43252</v>
      </c>
      <c r="C156" s="664">
        <v>2018</v>
      </c>
      <c r="D156" s="646">
        <f t="shared" ref="D156:D172" si="111">D57/3+D155</f>
        <v>1206673</v>
      </c>
      <c r="E156" s="646">
        <f t="shared" si="88"/>
        <v>17874</v>
      </c>
      <c r="F156" s="645">
        <f t="shared" si="88"/>
        <v>8108.0000000000009</v>
      </c>
      <c r="G156" s="163">
        <f t="shared" si="88"/>
        <v>6592</v>
      </c>
      <c r="H156" s="163">
        <f t="shared" si="88"/>
        <v>0</v>
      </c>
      <c r="I156" s="163">
        <f t="shared" si="88"/>
        <v>1516.0000000000005</v>
      </c>
      <c r="J156" s="644">
        <f t="shared" si="88"/>
        <v>0</v>
      </c>
      <c r="K156" s="645">
        <f t="shared" si="88"/>
        <v>9765.9999999999982</v>
      </c>
      <c r="L156" s="163">
        <f t="shared" si="88"/>
        <v>7125.9999999999991</v>
      </c>
      <c r="M156" s="163">
        <f t="shared" si="88"/>
        <v>0</v>
      </c>
      <c r="N156" s="163">
        <f t="shared" si="88"/>
        <v>1502</v>
      </c>
      <c r="O156" s="643">
        <f t="shared" si="88"/>
        <v>1137.9999999999998</v>
      </c>
      <c r="P156" s="646">
        <f t="shared" si="88"/>
        <v>27.999999999999993</v>
      </c>
      <c r="Q156" s="645">
        <f t="shared" si="88"/>
        <v>10.999999999999998</v>
      </c>
      <c r="R156" s="163">
        <f t="shared" si="88"/>
        <v>10.000000000000002</v>
      </c>
      <c r="S156" s="163">
        <f t="shared" si="88"/>
        <v>0</v>
      </c>
      <c r="T156" s="163">
        <f t="shared" si="88"/>
        <v>1</v>
      </c>
      <c r="U156" s="644">
        <f t="shared" si="103"/>
        <v>0</v>
      </c>
      <c r="V156" s="645">
        <f t="shared" si="103"/>
        <v>16.999999999999996</v>
      </c>
      <c r="W156" s="163">
        <f t="shared" si="103"/>
        <v>12</v>
      </c>
      <c r="X156" s="163">
        <f t="shared" si="103"/>
        <v>0</v>
      </c>
      <c r="Y156" s="163">
        <f t="shared" si="103"/>
        <v>3</v>
      </c>
      <c r="Z156" s="643">
        <f t="shared" si="103"/>
        <v>1.9999999999999998</v>
      </c>
      <c r="AA156" s="646">
        <f t="shared" si="103"/>
        <v>28.999999999999996</v>
      </c>
      <c r="AB156" s="645">
        <f t="shared" si="103"/>
        <v>7.0000000000000009</v>
      </c>
      <c r="AC156" s="163">
        <f t="shared" si="103"/>
        <v>5.9999999999999991</v>
      </c>
      <c r="AD156" s="163">
        <f t="shared" si="103"/>
        <v>0</v>
      </c>
      <c r="AE156" s="163">
        <f t="shared" si="103"/>
        <v>1</v>
      </c>
      <c r="AF156" s="644">
        <f t="shared" si="103"/>
        <v>0</v>
      </c>
      <c r="AG156" s="645">
        <f t="shared" si="103"/>
        <v>22.000000000000007</v>
      </c>
      <c r="AH156" s="163">
        <f t="shared" si="103"/>
        <v>20</v>
      </c>
      <c r="AI156" s="163">
        <f t="shared" si="103"/>
        <v>0</v>
      </c>
      <c r="AJ156" s="163">
        <f t="shared" si="101"/>
        <v>0</v>
      </c>
      <c r="AK156" s="643">
        <f t="shared" si="101"/>
        <v>1.9999999999999998</v>
      </c>
      <c r="AL156" s="646">
        <f t="shared" si="101"/>
        <v>154</v>
      </c>
      <c r="AM156" s="645">
        <f t="shared" si="101"/>
        <v>70</v>
      </c>
      <c r="AN156" s="163">
        <f t="shared" si="101"/>
        <v>56.000000000000007</v>
      </c>
      <c r="AO156" s="163">
        <f t="shared" si="101"/>
        <v>0</v>
      </c>
      <c r="AP156" s="163">
        <f t="shared" si="101"/>
        <v>13.999999999999995</v>
      </c>
      <c r="AQ156" s="644">
        <f t="shared" si="101"/>
        <v>0</v>
      </c>
      <c r="AR156" s="645">
        <f t="shared" si="101"/>
        <v>84.000000000000014</v>
      </c>
      <c r="AS156" s="163">
        <f t="shared" si="101"/>
        <v>60.999999999999986</v>
      </c>
      <c r="AT156" s="163">
        <f t="shared" si="101"/>
        <v>0</v>
      </c>
      <c r="AU156" s="163">
        <f t="shared" si="101"/>
        <v>12.000000000000002</v>
      </c>
      <c r="AV156" s="643">
        <f t="shared" si="101"/>
        <v>10.999999999999998</v>
      </c>
      <c r="AW156" s="646">
        <f t="shared" si="101"/>
        <v>104.00000000000001</v>
      </c>
      <c r="AX156" s="645">
        <f t="shared" si="101"/>
        <v>42</v>
      </c>
      <c r="AY156" s="163">
        <f t="shared" si="101"/>
        <v>37</v>
      </c>
      <c r="AZ156" s="163">
        <f t="shared" si="101"/>
        <v>0</v>
      </c>
      <c r="BA156" s="163">
        <f t="shared" si="101"/>
        <v>5</v>
      </c>
      <c r="BB156" s="644">
        <f t="shared" si="101"/>
        <v>0</v>
      </c>
      <c r="BC156" s="645">
        <f t="shared" si="101"/>
        <v>62</v>
      </c>
      <c r="BD156" s="163">
        <f t="shared" si="101"/>
        <v>52.000000000000007</v>
      </c>
      <c r="BE156" s="163">
        <f t="shared" si="101"/>
        <v>0</v>
      </c>
      <c r="BF156" s="163">
        <f t="shared" si="101"/>
        <v>4</v>
      </c>
      <c r="BG156" s="643">
        <f t="shared" si="101"/>
        <v>6</v>
      </c>
      <c r="BH156" s="646">
        <f t="shared" ref="BH156:BW171" si="112">BH57/3+BH155</f>
        <v>118.00000000000001</v>
      </c>
      <c r="BI156" s="645">
        <f t="shared" si="112"/>
        <v>64</v>
      </c>
      <c r="BJ156" s="163">
        <f t="shared" si="112"/>
        <v>57</v>
      </c>
      <c r="BK156" s="163">
        <f t="shared" si="112"/>
        <v>0</v>
      </c>
      <c r="BL156" s="163">
        <f t="shared" si="112"/>
        <v>7</v>
      </c>
      <c r="BM156" s="644">
        <f t="shared" si="112"/>
        <v>0</v>
      </c>
      <c r="BN156" s="645">
        <f t="shared" si="112"/>
        <v>54</v>
      </c>
      <c r="BO156" s="163">
        <f t="shared" si="112"/>
        <v>39</v>
      </c>
      <c r="BP156" s="163">
        <f t="shared" si="112"/>
        <v>0</v>
      </c>
      <c r="BQ156" s="163">
        <f t="shared" si="91"/>
        <v>10</v>
      </c>
      <c r="BR156" s="643">
        <f t="shared" si="91"/>
        <v>4.9999999999999991</v>
      </c>
      <c r="BS156" s="646">
        <f t="shared" si="91"/>
        <v>175</v>
      </c>
      <c r="BT156" s="645">
        <f t="shared" si="91"/>
        <v>85.000000000000014</v>
      </c>
      <c r="BU156" s="163">
        <f t="shared" si="91"/>
        <v>79</v>
      </c>
      <c r="BV156" s="163">
        <f t="shared" si="91"/>
        <v>0</v>
      </c>
      <c r="BW156" s="163">
        <f t="shared" si="91"/>
        <v>5.9999999999999991</v>
      </c>
      <c r="BX156" s="644">
        <f t="shared" si="91"/>
        <v>0</v>
      </c>
      <c r="BY156" s="645">
        <f t="shared" si="91"/>
        <v>89.999999999999986</v>
      </c>
      <c r="BZ156" s="163">
        <f t="shared" si="91"/>
        <v>62.999999999999993</v>
      </c>
      <c r="CA156" s="163">
        <f t="shared" si="91"/>
        <v>0</v>
      </c>
      <c r="CB156" s="163">
        <f t="shared" si="91"/>
        <v>15</v>
      </c>
      <c r="CC156" s="643">
        <f t="shared" si="91"/>
        <v>11.999999999999998</v>
      </c>
      <c r="CD156" s="646">
        <f t="shared" si="91"/>
        <v>53.999999999999993</v>
      </c>
      <c r="CE156" s="645">
        <f t="shared" si="91"/>
        <v>31.000000000000004</v>
      </c>
      <c r="CF156" s="163">
        <f t="shared" si="91"/>
        <v>25.000000000000004</v>
      </c>
      <c r="CG156" s="163">
        <f t="shared" si="96"/>
        <v>0</v>
      </c>
      <c r="CH156" s="163">
        <f t="shared" si="96"/>
        <v>5.9999999999999982</v>
      </c>
      <c r="CI156" s="644">
        <f t="shared" si="96"/>
        <v>0</v>
      </c>
      <c r="CJ156" s="645">
        <f t="shared" si="96"/>
        <v>22.999999999999996</v>
      </c>
      <c r="CK156" s="163">
        <f t="shared" si="96"/>
        <v>18.000000000000004</v>
      </c>
      <c r="CL156" s="163">
        <f t="shared" si="96"/>
        <v>0</v>
      </c>
      <c r="CM156" s="163">
        <f t="shared" si="96"/>
        <v>1.9999999999999998</v>
      </c>
      <c r="CN156" s="643">
        <f t="shared" si="96"/>
        <v>3</v>
      </c>
      <c r="CO156" s="646">
        <f t="shared" si="96"/>
        <v>33</v>
      </c>
      <c r="CP156" s="645">
        <f t="shared" si="96"/>
        <v>15.000000000000002</v>
      </c>
      <c r="CQ156" s="163">
        <f t="shared" si="96"/>
        <v>15.000000000000002</v>
      </c>
      <c r="CR156" s="163">
        <f t="shared" si="96"/>
        <v>0</v>
      </c>
      <c r="CS156" s="163">
        <f t="shared" si="96"/>
        <v>0</v>
      </c>
      <c r="CT156" s="644">
        <f t="shared" si="96"/>
        <v>0</v>
      </c>
      <c r="CU156" s="645">
        <f t="shared" si="96"/>
        <v>18</v>
      </c>
      <c r="CV156" s="163">
        <f t="shared" si="96"/>
        <v>17</v>
      </c>
      <c r="CW156" s="163">
        <f t="shared" si="110"/>
        <v>0</v>
      </c>
      <c r="CX156" s="163">
        <f t="shared" si="110"/>
        <v>1</v>
      </c>
      <c r="CY156" s="643">
        <f t="shared" si="110"/>
        <v>0</v>
      </c>
      <c r="CZ156" s="646">
        <f t="shared" si="110"/>
        <v>10.000000000000002</v>
      </c>
      <c r="DA156" s="645">
        <f t="shared" si="110"/>
        <v>1</v>
      </c>
      <c r="DB156" s="163">
        <f t="shared" si="108"/>
        <v>0</v>
      </c>
      <c r="DC156" s="163">
        <f t="shared" si="108"/>
        <v>0</v>
      </c>
      <c r="DD156" s="163">
        <f t="shared" si="108"/>
        <v>1</v>
      </c>
      <c r="DE156" s="644">
        <f t="shared" si="108"/>
        <v>0</v>
      </c>
      <c r="DF156" s="645">
        <f t="shared" si="108"/>
        <v>9.0000000000000036</v>
      </c>
      <c r="DG156" s="163">
        <f t="shared" si="108"/>
        <v>9.0000000000000036</v>
      </c>
      <c r="DH156" s="163">
        <f t="shared" si="108"/>
        <v>0</v>
      </c>
      <c r="DI156" s="163">
        <f t="shared" si="108"/>
        <v>0</v>
      </c>
      <c r="DJ156" s="643">
        <f t="shared" si="108"/>
        <v>0</v>
      </c>
      <c r="DK156" s="646">
        <f t="shared" si="108"/>
        <v>0</v>
      </c>
      <c r="DL156" s="645">
        <f t="shared" si="108"/>
        <v>0</v>
      </c>
      <c r="DM156" s="163">
        <f t="shared" si="108"/>
        <v>0</v>
      </c>
      <c r="DN156" s="163">
        <f t="shared" si="108"/>
        <v>0</v>
      </c>
      <c r="DO156" s="163">
        <f t="shared" si="108"/>
        <v>0</v>
      </c>
      <c r="DP156" s="644">
        <f t="shared" si="108"/>
        <v>0</v>
      </c>
      <c r="DQ156" s="645">
        <f t="shared" si="108"/>
        <v>0</v>
      </c>
      <c r="DR156" s="163">
        <f t="shared" si="108"/>
        <v>0</v>
      </c>
      <c r="DS156" s="163">
        <f t="shared" si="108"/>
        <v>0</v>
      </c>
      <c r="DT156" s="163">
        <f t="shared" si="108"/>
        <v>0</v>
      </c>
      <c r="DU156" s="643">
        <f t="shared" si="108"/>
        <v>0</v>
      </c>
      <c r="DW156" s="646">
        <f t="shared" si="84"/>
        <v>551</v>
      </c>
      <c r="DX156" s="645">
        <f t="shared" si="84"/>
        <v>256</v>
      </c>
      <c r="DY156" s="163">
        <f t="shared" si="84"/>
        <v>229</v>
      </c>
      <c r="DZ156" s="163">
        <f t="shared" si="84"/>
        <v>0</v>
      </c>
      <c r="EA156" s="163">
        <f t="shared" si="84"/>
        <v>27</v>
      </c>
      <c r="EB156" s="644">
        <f t="shared" si="84"/>
        <v>0</v>
      </c>
      <c r="EC156" s="645">
        <f t="shared" si="84"/>
        <v>295</v>
      </c>
      <c r="ED156" s="163">
        <f t="shared" si="84"/>
        <v>230</v>
      </c>
      <c r="EE156" s="163">
        <f t="shared" si="84"/>
        <v>0</v>
      </c>
      <c r="EF156" s="163">
        <f t="shared" si="84"/>
        <v>35</v>
      </c>
      <c r="EG156" s="643">
        <f t="shared" si="84"/>
        <v>30</v>
      </c>
      <c r="EH156" s="646">
        <f t="shared" si="73"/>
        <v>154</v>
      </c>
      <c r="EI156" s="645">
        <f t="shared" si="73"/>
        <v>70</v>
      </c>
      <c r="EJ156" s="163">
        <f t="shared" si="73"/>
        <v>56.000000000000007</v>
      </c>
      <c r="EK156" s="163">
        <f t="shared" si="73"/>
        <v>0</v>
      </c>
      <c r="EL156" s="163">
        <f t="shared" si="73"/>
        <v>13.999999999999995</v>
      </c>
      <c r="EM156" s="644">
        <f t="shared" si="73"/>
        <v>0</v>
      </c>
      <c r="EN156" s="645">
        <f t="shared" si="73"/>
        <v>84.000000000000014</v>
      </c>
      <c r="EO156" s="163">
        <f t="shared" si="73"/>
        <v>60.999999999999986</v>
      </c>
      <c r="EP156" s="163">
        <f t="shared" si="79"/>
        <v>0</v>
      </c>
      <c r="EQ156" s="163">
        <f t="shared" si="79"/>
        <v>12.000000000000002</v>
      </c>
      <c r="ER156" s="643">
        <f t="shared" si="79"/>
        <v>10.999999999999998</v>
      </c>
    </row>
    <row r="157" spans="1:148">
      <c r="A157" s="665" t="s">
        <v>230</v>
      </c>
      <c r="B157" s="665">
        <v>43282</v>
      </c>
      <c r="C157" s="664">
        <v>2018</v>
      </c>
      <c r="D157" s="646">
        <f t="shared" si="111"/>
        <v>1279597</v>
      </c>
      <c r="E157" s="646">
        <f t="shared" ref="E157:T172" si="113">E58/3+E156</f>
        <v>19600</v>
      </c>
      <c r="F157" s="645">
        <f t="shared" si="113"/>
        <v>8950</v>
      </c>
      <c r="G157" s="163">
        <f t="shared" si="113"/>
        <v>7350.333333333333</v>
      </c>
      <c r="H157" s="163">
        <f t="shared" si="113"/>
        <v>0</v>
      </c>
      <c r="I157" s="163">
        <f t="shared" si="113"/>
        <v>1599.6666666666672</v>
      </c>
      <c r="J157" s="644">
        <f t="shared" si="113"/>
        <v>0</v>
      </c>
      <c r="K157" s="645">
        <f t="shared" si="113"/>
        <v>10649.999999999998</v>
      </c>
      <c r="L157" s="163">
        <f t="shared" si="113"/>
        <v>7660.3333333333321</v>
      </c>
      <c r="M157" s="163">
        <f t="shared" si="113"/>
        <v>0</v>
      </c>
      <c r="N157" s="163">
        <f t="shared" si="113"/>
        <v>1783.3333333333333</v>
      </c>
      <c r="O157" s="643">
        <f t="shared" si="113"/>
        <v>1206.333333333333</v>
      </c>
      <c r="P157" s="646">
        <f t="shared" si="113"/>
        <v>30.999999999999993</v>
      </c>
      <c r="Q157" s="645">
        <f t="shared" si="113"/>
        <v>12.333333333333332</v>
      </c>
      <c r="R157" s="163">
        <f t="shared" si="113"/>
        <v>11.333333333333336</v>
      </c>
      <c r="S157" s="163">
        <f t="shared" si="113"/>
        <v>0</v>
      </c>
      <c r="T157" s="163">
        <f t="shared" si="113"/>
        <v>1</v>
      </c>
      <c r="U157" s="644">
        <f t="shared" si="103"/>
        <v>0</v>
      </c>
      <c r="V157" s="645">
        <f t="shared" si="103"/>
        <v>18.666666666666664</v>
      </c>
      <c r="W157" s="163">
        <f t="shared" si="103"/>
        <v>13</v>
      </c>
      <c r="X157" s="163">
        <f t="shared" si="103"/>
        <v>0</v>
      </c>
      <c r="Y157" s="163">
        <f t="shared" si="103"/>
        <v>3.6666666666666665</v>
      </c>
      <c r="Z157" s="643">
        <f t="shared" si="103"/>
        <v>1.9999999999999998</v>
      </c>
      <c r="AA157" s="646">
        <f t="shared" si="103"/>
        <v>31.333333333333329</v>
      </c>
      <c r="AB157" s="645">
        <f t="shared" si="103"/>
        <v>8</v>
      </c>
      <c r="AC157" s="163">
        <f t="shared" si="103"/>
        <v>6.9999999999999991</v>
      </c>
      <c r="AD157" s="163">
        <f t="shared" si="103"/>
        <v>0</v>
      </c>
      <c r="AE157" s="163">
        <f t="shared" si="103"/>
        <v>1</v>
      </c>
      <c r="AF157" s="644">
        <f t="shared" si="103"/>
        <v>0</v>
      </c>
      <c r="AG157" s="645">
        <f t="shared" si="103"/>
        <v>23.333333333333339</v>
      </c>
      <c r="AH157" s="163">
        <f t="shared" si="103"/>
        <v>21</v>
      </c>
      <c r="AI157" s="163">
        <f t="shared" si="103"/>
        <v>0</v>
      </c>
      <c r="AJ157" s="163">
        <f t="shared" si="103"/>
        <v>0</v>
      </c>
      <c r="AK157" s="643">
        <f t="shared" ref="AK157:BG168" si="114">AK58/3+AK156</f>
        <v>2.333333333333333</v>
      </c>
      <c r="AL157" s="646">
        <f t="shared" si="114"/>
        <v>168</v>
      </c>
      <c r="AM157" s="645">
        <f t="shared" si="114"/>
        <v>78</v>
      </c>
      <c r="AN157" s="163">
        <f t="shared" si="114"/>
        <v>63.333333333333343</v>
      </c>
      <c r="AO157" s="163">
        <f t="shared" si="114"/>
        <v>0</v>
      </c>
      <c r="AP157" s="163">
        <f t="shared" si="114"/>
        <v>14.666666666666661</v>
      </c>
      <c r="AQ157" s="644">
        <f t="shared" si="114"/>
        <v>0</v>
      </c>
      <c r="AR157" s="645">
        <f t="shared" si="114"/>
        <v>90.000000000000014</v>
      </c>
      <c r="AS157" s="163">
        <f t="shared" si="114"/>
        <v>64.333333333333314</v>
      </c>
      <c r="AT157" s="163">
        <f t="shared" si="114"/>
        <v>0</v>
      </c>
      <c r="AU157" s="163">
        <f t="shared" si="114"/>
        <v>14.333333333333336</v>
      </c>
      <c r="AV157" s="643">
        <f t="shared" si="114"/>
        <v>11.333333333333332</v>
      </c>
      <c r="AW157" s="646">
        <f t="shared" si="114"/>
        <v>111.66666666666669</v>
      </c>
      <c r="AX157" s="645">
        <f t="shared" si="114"/>
        <v>45.666666666666664</v>
      </c>
      <c r="AY157" s="163">
        <f t="shared" si="114"/>
        <v>40</v>
      </c>
      <c r="AZ157" s="163">
        <f t="shared" si="114"/>
        <v>0</v>
      </c>
      <c r="BA157" s="163">
        <f t="shared" si="114"/>
        <v>5.666666666666667</v>
      </c>
      <c r="BB157" s="644">
        <f t="shared" si="114"/>
        <v>0</v>
      </c>
      <c r="BC157" s="645">
        <f t="shared" si="114"/>
        <v>66</v>
      </c>
      <c r="BD157" s="163">
        <f t="shared" si="114"/>
        <v>54.000000000000007</v>
      </c>
      <c r="BE157" s="163">
        <f t="shared" si="114"/>
        <v>0</v>
      </c>
      <c r="BF157" s="163">
        <f t="shared" si="114"/>
        <v>5.666666666666667</v>
      </c>
      <c r="BG157" s="643">
        <f t="shared" si="114"/>
        <v>6.333333333333333</v>
      </c>
      <c r="BH157" s="646">
        <f t="shared" si="112"/>
        <v>131.66666666666669</v>
      </c>
      <c r="BI157" s="645">
        <f t="shared" si="112"/>
        <v>70.333333333333329</v>
      </c>
      <c r="BJ157" s="163">
        <f t="shared" si="112"/>
        <v>63</v>
      </c>
      <c r="BK157" s="163">
        <f t="shared" si="112"/>
        <v>0</v>
      </c>
      <c r="BL157" s="163">
        <f t="shared" si="112"/>
        <v>7.333333333333333</v>
      </c>
      <c r="BM157" s="644">
        <f t="shared" si="112"/>
        <v>0</v>
      </c>
      <c r="BN157" s="645">
        <f t="shared" si="112"/>
        <v>61.333333333333336</v>
      </c>
      <c r="BO157" s="163">
        <f t="shared" si="112"/>
        <v>42</v>
      </c>
      <c r="BP157" s="163">
        <f t="shared" si="112"/>
        <v>0</v>
      </c>
      <c r="BQ157" s="163">
        <f t="shared" si="91"/>
        <v>13.666666666666666</v>
      </c>
      <c r="BR157" s="643">
        <f t="shared" si="91"/>
        <v>5.6666666666666661</v>
      </c>
      <c r="BS157" s="646">
        <f t="shared" si="91"/>
        <v>191.33333333333334</v>
      </c>
      <c r="BT157" s="645">
        <f t="shared" si="91"/>
        <v>91.000000000000014</v>
      </c>
      <c r="BU157" s="163">
        <f t="shared" si="91"/>
        <v>84</v>
      </c>
      <c r="BV157" s="163">
        <f t="shared" si="91"/>
        <v>0</v>
      </c>
      <c r="BW157" s="163">
        <f t="shared" si="91"/>
        <v>6.9999999999999991</v>
      </c>
      <c r="BX157" s="644">
        <f t="shared" si="91"/>
        <v>0</v>
      </c>
      <c r="BY157" s="645">
        <f t="shared" si="91"/>
        <v>100.33333333333331</v>
      </c>
      <c r="BZ157" s="163">
        <f t="shared" si="91"/>
        <v>67.666666666666657</v>
      </c>
      <c r="CA157" s="163">
        <f t="shared" si="91"/>
        <v>0</v>
      </c>
      <c r="CB157" s="163">
        <f t="shared" si="91"/>
        <v>19.666666666666668</v>
      </c>
      <c r="CC157" s="643">
        <f t="shared" si="91"/>
        <v>12.999999999999998</v>
      </c>
      <c r="CD157" s="646">
        <f t="shared" si="91"/>
        <v>57.999999999999993</v>
      </c>
      <c r="CE157" s="645">
        <f t="shared" si="91"/>
        <v>33.333333333333336</v>
      </c>
      <c r="CF157" s="163">
        <f t="shared" si="91"/>
        <v>27.000000000000004</v>
      </c>
      <c r="CG157" s="163">
        <f t="shared" si="96"/>
        <v>0</v>
      </c>
      <c r="CH157" s="163">
        <f t="shared" si="96"/>
        <v>6.3333333333333313</v>
      </c>
      <c r="CI157" s="644">
        <f t="shared" si="96"/>
        <v>0</v>
      </c>
      <c r="CJ157" s="645">
        <f t="shared" si="96"/>
        <v>24.666666666666664</v>
      </c>
      <c r="CK157" s="163">
        <f t="shared" si="96"/>
        <v>18.333333333333336</v>
      </c>
      <c r="CL157" s="163">
        <f t="shared" si="96"/>
        <v>0</v>
      </c>
      <c r="CM157" s="163">
        <f t="shared" si="96"/>
        <v>3.333333333333333</v>
      </c>
      <c r="CN157" s="643">
        <f t="shared" si="96"/>
        <v>3</v>
      </c>
      <c r="CO157" s="646">
        <f t="shared" si="96"/>
        <v>37</v>
      </c>
      <c r="CP157" s="645">
        <f t="shared" si="96"/>
        <v>16.333333333333336</v>
      </c>
      <c r="CQ157" s="163">
        <f t="shared" si="96"/>
        <v>16.333333333333336</v>
      </c>
      <c r="CR157" s="163">
        <f t="shared" si="96"/>
        <v>0</v>
      </c>
      <c r="CS157" s="163">
        <f t="shared" si="96"/>
        <v>0</v>
      </c>
      <c r="CT157" s="644">
        <f t="shared" si="96"/>
        <v>0</v>
      </c>
      <c r="CU157" s="645">
        <f t="shared" si="96"/>
        <v>20.666666666666668</v>
      </c>
      <c r="CV157" s="163">
        <f t="shared" si="96"/>
        <v>17.333333333333332</v>
      </c>
      <c r="CW157" s="163">
        <f t="shared" si="110"/>
        <v>0</v>
      </c>
      <c r="CX157" s="163">
        <f t="shared" si="110"/>
        <v>3.3333333333333335</v>
      </c>
      <c r="CY157" s="643">
        <f t="shared" si="110"/>
        <v>0</v>
      </c>
      <c r="CZ157" s="646">
        <f t="shared" si="110"/>
        <v>11.000000000000002</v>
      </c>
      <c r="DA157" s="645">
        <f t="shared" si="110"/>
        <v>1.3333333333333333</v>
      </c>
      <c r="DB157" s="163">
        <f t="shared" si="108"/>
        <v>0</v>
      </c>
      <c r="DC157" s="163">
        <f t="shared" si="108"/>
        <v>0</v>
      </c>
      <c r="DD157" s="163">
        <f t="shared" si="108"/>
        <v>1.3333333333333333</v>
      </c>
      <c r="DE157" s="644">
        <f t="shared" si="108"/>
        <v>0</v>
      </c>
      <c r="DF157" s="645">
        <f t="shared" si="108"/>
        <v>9.6666666666666696</v>
      </c>
      <c r="DG157" s="163">
        <f t="shared" si="108"/>
        <v>9.3333333333333375</v>
      </c>
      <c r="DH157" s="163">
        <f t="shared" si="108"/>
        <v>0</v>
      </c>
      <c r="DI157" s="163">
        <f t="shared" si="108"/>
        <v>0.33333333333333331</v>
      </c>
      <c r="DJ157" s="643">
        <f t="shared" si="108"/>
        <v>0</v>
      </c>
      <c r="DK157" s="646">
        <f t="shared" si="108"/>
        <v>0</v>
      </c>
      <c r="DL157" s="645">
        <f t="shared" si="108"/>
        <v>0</v>
      </c>
      <c r="DM157" s="163">
        <f t="shared" si="108"/>
        <v>0</v>
      </c>
      <c r="DN157" s="163">
        <f t="shared" si="108"/>
        <v>0</v>
      </c>
      <c r="DO157" s="163">
        <f t="shared" si="108"/>
        <v>0</v>
      </c>
      <c r="DP157" s="644">
        <f t="shared" si="108"/>
        <v>0</v>
      </c>
      <c r="DQ157" s="645">
        <f t="shared" si="108"/>
        <v>0</v>
      </c>
      <c r="DR157" s="163">
        <f t="shared" si="108"/>
        <v>0</v>
      </c>
      <c r="DS157" s="163">
        <f t="shared" si="108"/>
        <v>0</v>
      </c>
      <c r="DT157" s="163">
        <f t="shared" si="108"/>
        <v>0</v>
      </c>
      <c r="DU157" s="643">
        <f t="shared" si="108"/>
        <v>0</v>
      </c>
      <c r="DW157" s="646">
        <f t="shared" si="84"/>
        <v>603</v>
      </c>
      <c r="DX157" s="645">
        <f t="shared" si="84"/>
        <v>278.33333333333326</v>
      </c>
      <c r="DY157" s="163">
        <f t="shared" si="84"/>
        <v>248.66666666666669</v>
      </c>
      <c r="DZ157" s="163">
        <f t="shared" si="84"/>
        <v>0</v>
      </c>
      <c r="EA157" s="163">
        <f t="shared" si="84"/>
        <v>29.666666666666664</v>
      </c>
      <c r="EB157" s="644">
        <f t="shared" si="84"/>
        <v>0</v>
      </c>
      <c r="EC157" s="645">
        <f t="shared" si="84"/>
        <v>324.66666666666669</v>
      </c>
      <c r="ED157" s="163">
        <f t="shared" si="84"/>
        <v>242.66666666666669</v>
      </c>
      <c r="EE157" s="163">
        <f t="shared" si="84"/>
        <v>0</v>
      </c>
      <c r="EF157" s="163">
        <f t="shared" si="84"/>
        <v>49.666666666666679</v>
      </c>
      <c r="EG157" s="643">
        <f t="shared" si="84"/>
        <v>32.333333333333329</v>
      </c>
      <c r="EH157" s="646">
        <f t="shared" si="73"/>
        <v>168</v>
      </c>
      <c r="EI157" s="645">
        <f t="shared" si="73"/>
        <v>78</v>
      </c>
      <c r="EJ157" s="163">
        <f t="shared" si="73"/>
        <v>63.333333333333343</v>
      </c>
      <c r="EK157" s="163">
        <f t="shared" si="73"/>
        <v>0</v>
      </c>
      <c r="EL157" s="163">
        <f t="shared" si="73"/>
        <v>14.666666666666661</v>
      </c>
      <c r="EM157" s="644">
        <f t="shared" si="73"/>
        <v>0</v>
      </c>
      <c r="EN157" s="645">
        <f t="shared" si="73"/>
        <v>90.000000000000014</v>
      </c>
      <c r="EO157" s="163">
        <f t="shared" si="73"/>
        <v>64.333333333333314</v>
      </c>
      <c r="EP157" s="163">
        <f t="shared" si="79"/>
        <v>0</v>
      </c>
      <c r="EQ157" s="163">
        <f t="shared" si="79"/>
        <v>14.333333333333336</v>
      </c>
      <c r="ER157" s="643">
        <f t="shared" si="79"/>
        <v>11.333333333333332</v>
      </c>
    </row>
    <row r="158" spans="1:148">
      <c r="A158" s="665" t="s">
        <v>230</v>
      </c>
      <c r="B158" s="665">
        <v>43313</v>
      </c>
      <c r="C158" s="664">
        <v>2018</v>
      </c>
      <c r="D158" s="646">
        <f t="shared" si="111"/>
        <v>1352521</v>
      </c>
      <c r="E158" s="646">
        <f t="shared" si="113"/>
        <v>21326</v>
      </c>
      <c r="F158" s="645">
        <f t="shared" si="113"/>
        <v>9792</v>
      </c>
      <c r="G158" s="163">
        <f t="shared" si="113"/>
        <v>8108.6666666666661</v>
      </c>
      <c r="H158" s="163">
        <f t="shared" si="113"/>
        <v>0</v>
      </c>
      <c r="I158" s="163">
        <f t="shared" si="113"/>
        <v>1683.3333333333339</v>
      </c>
      <c r="J158" s="644">
        <f t="shared" si="113"/>
        <v>0</v>
      </c>
      <c r="K158" s="645">
        <f t="shared" si="113"/>
        <v>11533.999999999998</v>
      </c>
      <c r="L158" s="163">
        <f t="shared" si="113"/>
        <v>8194.6666666666661</v>
      </c>
      <c r="M158" s="163">
        <f t="shared" si="113"/>
        <v>0</v>
      </c>
      <c r="N158" s="163">
        <f t="shared" si="113"/>
        <v>2064.6666666666665</v>
      </c>
      <c r="O158" s="643">
        <f t="shared" si="113"/>
        <v>1274.6666666666663</v>
      </c>
      <c r="P158" s="646">
        <f t="shared" si="113"/>
        <v>33.999999999999993</v>
      </c>
      <c r="Q158" s="645">
        <f t="shared" si="113"/>
        <v>13.666666666666666</v>
      </c>
      <c r="R158" s="163">
        <f t="shared" si="113"/>
        <v>12.66666666666667</v>
      </c>
      <c r="S158" s="163">
        <f t="shared" si="113"/>
        <v>0</v>
      </c>
      <c r="T158" s="163">
        <f t="shared" si="113"/>
        <v>1</v>
      </c>
      <c r="U158" s="644">
        <f t="shared" si="103"/>
        <v>0</v>
      </c>
      <c r="V158" s="645">
        <f t="shared" si="103"/>
        <v>20.333333333333332</v>
      </c>
      <c r="W158" s="163">
        <f t="shared" si="103"/>
        <v>14</v>
      </c>
      <c r="X158" s="163">
        <f t="shared" si="103"/>
        <v>0</v>
      </c>
      <c r="Y158" s="163">
        <f t="shared" si="103"/>
        <v>4.333333333333333</v>
      </c>
      <c r="Z158" s="643">
        <f t="shared" si="103"/>
        <v>1.9999999999999998</v>
      </c>
      <c r="AA158" s="646">
        <f t="shared" si="103"/>
        <v>33.666666666666664</v>
      </c>
      <c r="AB158" s="645">
        <f t="shared" si="103"/>
        <v>9</v>
      </c>
      <c r="AC158" s="163">
        <f t="shared" si="103"/>
        <v>7.9999999999999991</v>
      </c>
      <c r="AD158" s="163">
        <f t="shared" si="103"/>
        <v>0</v>
      </c>
      <c r="AE158" s="163">
        <f t="shared" si="103"/>
        <v>1</v>
      </c>
      <c r="AF158" s="644">
        <f t="shared" si="103"/>
        <v>0</v>
      </c>
      <c r="AG158" s="645">
        <f t="shared" si="103"/>
        <v>24.666666666666671</v>
      </c>
      <c r="AH158" s="163">
        <f t="shared" si="103"/>
        <v>22</v>
      </c>
      <c r="AI158" s="163">
        <f t="shared" si="103"/>
        <v>0</v>
      </c>
      <c r="AJ158" s="163">
        <f t="shared" si="103"/>
        <v>0</v>
      </c>
      <c r="AK158" s="643">
        <f t="shared" si="114"/>
        <v>2.6666666666666665</v>
      </c>
      <c r="AL158" s="646">
        <f t="shared" si="114"/>
        <v>182</v>
      </c>
      <c r="AM158" s="645">
        <f t="shared" si="114"/>
        <v>86</v>
      </c>
      <c r="AN158" s="163">
        <f t="shared" si="114"/>
        <v>70.666666666666671</v>
      </c>
      <c r="AO158" s="163">
        <f t="shared" si="114"/>
        <v>0</v>
      </c>
      <c r="AP158" s="163">
        <f t="shared" si="114"/>
        <v>15.333333333333327</v>
      </c>
      <c r="AQ158" s="644">
        <f t="shared" si="114"/>
        <v>0</v>
      </c>
      <c r="AR158" s="645">
        <f t="shared" si="114"/>
        <v>96.000000000000014</v>
      </c>
      <c r="AS158" s="163">
        <f t="shared" si="114"/>
        <v>67.666666666666643</v>
      </c>
      <c r="AT158" s="163">
        <f t="shared" si="114"/>
        <v>0</v>
      </c>
      <c r="AU158" s="163">
        <f t="shared" si="114"/>
        <v>16.666666666666668</v>
      </c>
      <c r="AV158" s="643">
        <f t="shared" si="114"/>
        <v>11.666666666666666</v>
      </c>
      <c r="AW158" s="646">
        <f t="shared" si="114"/>
        <v>119.33333333333336</v>
      </c>
      <c r="AX158" s="645">
        <f t="shared" si="114"/>
        <v>49.333333333333329</v>
      </c>
      <c r="AY158" s="163">
        <f t="shared" si="114"/>
        <v>43</v>
      </c>
      <c r="AZ158" s="163">
        <f t="shared" si="114"/>
        <v>0</v>
      </c>
      <c r="BA158" s="163">
        <f t="shared" si="114"/>
        <v>6.3333333333333339</v>
      </c>
      <c r="BB158" s="644">
        <f t="shared" si="114"/>
        <v>0</v>
      </c>
      <c r="BC158" s="645">
        <f t="shared" si="114"/>
        <v>70</v>
      </c>
      <c r="BD158" s="163">
        <f t="shared" si="114"/>
        <v>56.000000000000007</v>
      </c>
      <c r="BE158" s="163">
        <f t="shared" si="114"/>
        <v>0</v>
      </c>
      <c r="BF158" s="163">
        <f t="shared" si="114"/>
        <v>7.3333333333333339</v>
      </c>
      <c r="BG158" s="643">
        <f t="shared" si="114"/>
        <v>6.6666666666666661</v>
      </c>
      <c r="BH158" s="646">
        <f t="shared" si="112"/>
        <v>145.33333333333334</v>
      </c>
      <c r="BI158" s="645">
        <f t="shared" si="112"/>
        <v>76.666666666666657</v>
      </c>
      <c r="BJ158" s="163">
        <f t="shared" si="112"/>
        <v>69</v>
      </c>
      <c r="BK158" s="163">
        <f t="shared" si="112"/>
        <v>0</v>
      </c>
      <c r="BL158" s="163">
        <f t="shared" si="112"/>
        <v>7.6666666666666661</v>
      </c>
      <c r="BM158" s="644">
        <f t="shared" si="112"/>
        <v>0</v>
      </c>
      <c r="BN158" s="645">
        <f t="shared" si="112"/>
        <v>68.666666666666671</v>
      </c>
      <c r="BO158" s="163">
        <f t="shared" si="112"/>
        <v>45</v>
      </c>
      <c r="BP158" s="163">
        <f t="shared" si="112"/>
        <v>0</v>
      </c>
      <c r="BQ158" s="163">
        <f t="shared" si="91"/>
        <v>17.333333333333332</v>
      </c>
      <c r="BR158" s="643">
        <f t="shared" si="91"/>
        <v>6.333333333333333</v>
      </c>
      <c r="BS158" s="646">
        <f t="shared" si="91"/>
        <v>207.66666666666669</v>
      </c>
      <c r="BT158" s="645">
        <f t="shared" si="91"/>
        <v>97.000000000000014</v>
      </c>
      <c r="BU158" s="163">
        <f t="shared" si="91"/>
        <v>89</v>
      </c>
      <c r="BV158" s="163">
        <f t="shared" si="91"/>
        <v>0</v>
      </c>
      <c r="BW158" s="163">
        <f t="shared" si="91"/>
        <v>7.9999999999999991</v>
      </c>
      <c r="BX158" s="644">
        <f t="shared" si="91"/>
        <v>0</v>
      </c>
      <c r="BY158" s="645">
        <f t="shared" si="91"/>
        <v>110.66666666666664</v>
      </c>
      <c r="BZ158" s="163">
        <f t="shared" si="91"/>
        <v>72.333333333333329</v>
      </c>
      <c r="CA158" s="163">
        <f t="shared" si="91"/>
        <v>0</v>
      </c>
      <c r="CB158" s="163">
        <f t="shared" si="91"/>
        <v>24.333333333333336</v>
      </c>
      <c r="CC158" s="643">
        <f t="shared" si="91"/>
        <v>13.999999999999998</v>
      </c>
      <c r="CD158" s="646">
        <f t="shared" si="91"/>
        <v>61.999999999999993</v>
      </c>
      <c r="CE158" s="645">
        <f t="shared" si="91"/>
        <v>35.666666666666671</v>
      </c>
      <c r="CF158" s="163">
        <f t="shared" si="91"/>
        <v>29.000000000000004</v>
      </c>
      <c r="CG158" s="163">
        <f t="shared" si="96"/>
        <v>0</v>
      </c>
      <c r="CH158" s="163">
        <f t="shared" si="96"/>
        <v>6.6666666666666643</v>
      </c>
      <c r="CI158" s="644">
        <f t="shared" si="96"/>
        <v>0</v>
      </c>
      <c r="CJ158" s="645">
        <f t="shared" si="96"/>
        <v>26.333333333333332</v>
      </c>
      <c r="CK158" s="163">
        <f t="shared" si="96"/>
        <v>18.666666666666668</v>
      </c>
      <c r="CL158" s="163">
        <f t="shared" si="96"/>
        <v>0</v>
      </c>
      <c r="CM158" s="163">
        <f t="shared" si="96"/>
        <v>4.6666666666666661</v>
      </c>
      <c r="CN158" s="643">
        <f t="shared" si="96"/>
        <v>3</v>
      </c>
      <c r="CO158" s="646">
        <f t="shared" si="96"/>
        <v>41</v>
      </c>
      <c r="CP158" s="645">
        <f t="shared" si="96"/>
        <v>17.666666666666668</v>
      </c>
      <c r="CQ158" s="163">
        <f t="shared" si="96"/>
        <v>17.666666666666668</v>
      </c>
      <c r="CR158" s="163">
        <f t="shared" si="96"/>
        <v>0</v>
      </c>
      <c r="CS158" s="163">
        <f t="shared" si="96"/>
        <v>0</v>
      </c>
      <c r="CT158" s="644">
        <f t="shared" si="96"/>
        <v>0</v>
      </c>
      <c r="CU158" s="645">
        <f t="shared" si="96"/>
        <v>23.333333333333336</v>
      </c>
      <c r="CV158" s="163">
        <f t="shared" si="96"/>
        <v>17.666666666666664</v>
      </c>
      <c r="CW158" s="163">
        <f t="shared" si="110"/>
        <v>0</v>
      </c>
      <c r="CX158" s="163">
        <f t="shared" si="110"/>
        <v>5.666666666666667</v>
      </c>
      <c r="CY158" s="643">
        <f t="shared" si="110"/>
        <v>0</v>
      </c>
      <c r="CZ158" s="646">
        <f t="shared" si="110"/>
        <v>12.000000000000002</v>
      </c>
      <c r="DA158" s="645">
        <f t="shared" si="110"/>
        <v>1.6666666666666665</v>
      </c>
      <c r="DB158" s="163">
        <f t="shared" si="108"/>
        <v>0</v>
      </c>
      <c r="DC158" s="163">
        <f t="shared" si="108"/>
        <v>0</v>
      </c>
      <c r="DD158" s="163">
        <f t="shared" si="108"/>
        <v>1.6666666666666665</v>
      </c>
      <c r="DE158" s="644">
        <f t="shared" si="108"/>
        <v>0</v>
      </c>
      <c r="DF158" s="645">
        <f t="shared" si="108"/>
        <v>10.333333333333336</v>
      </c>
      <c r="DG158" s="163">
        <f t="shared" si="108"/>
        <v>9.6666666666666714</v>
      </c>
      <c r="DH158" s="163">
        <f t="shared" si="108"/>
        <v>0</v>
      </c>
      <c r="DI158" s="163">
        <f t="shared" si="108"/>
        <v>0.66666666666666663</v>
      </c>
      <c r="DJ158" s="643">
        <f t="shared" si="108"/>
        <v>0</v>
      </c>
      <c r="DK158" s="646">
        <f t="shared" si="108"/>
        <v>0</v>
      </c>
      <c r="DL158" s="645">
        <f t="shared" si="108"/>
        <v>0</v>
      </c>
      <c r="DM158" s="163">
        <f t="shared" si="108"/>
        <v>0</v>
      </c>
      <c r="DN158" s="163">
        <f t="shared" si="108"/>
        <v>0</v>
      </c>
      <c r="DO158" s="163">
        <f t="shared" si="108"/>
        <v>0</v>
      </c>
      <c r="DP158" s="644">
        <f t="shared" si="108"/>
        <v>0</v>
      </c>
      <c r="DQ158" s="645">
        <f t="shared" si="108"/>
        <v>0</v>
      </c>
      <c r="DR158" s="163">
        <f t="shared" si="108"/>
        <v>0</v>
      </c>
      <c r="DS158" s="163">
        <f t="shared" si="108"/>
        <v>0</v>
      </c>
      <c r="DT158" s="163">
        <f t="shared" si="108"/>
        <v>0</v>
      </c>
      <c r="DU158" s="643">
        <f t="shared" si="108"/>
        <v>0</v>
      </c>
      <c r="DW158" s="646">
        <f t="shared" si="84"/>
        <v>655</v>
      </c>
      <c r="DX158" s="645">
        <f t="shared" si="84"/>
        <v>300.66666666666674</v>
      </c>
      <c r="DY158" s="163">
        <f t="shared" si="84"/>
        <v>268.33333333333337</v>
      </c>
      <c r="DZ158" s="163">
        <f t="shared" si="84"/>
        <v>0</v>
      </c>
      <c r="EA158" s="163">
        <f t="shared" si="84"/>
        <v>32.333333333333329</v>
      </c>
      <c r="EB158" s="644">
        <f t="shared" si="84"/>
        <v>0</v>
      </c>
      <c r="EC158" s="645">
        <f t="shared" si="84"/>
        <v>354.33333333333326</v>
      </c>
      <c r="ED158" s="163">
        <f t="shared" si="84"/>
        <v>255.33333333333331</v>
      </c>
      <c r="EE158" s="163">
        <f t="shared" si="84"/>
        <v>0</v>
      </c>
      <c r="EF158" s="163">
        <f t="shared" si="84"/>
        <v>64.333333333333329</v>
      </c>
      <c r="EG158" s="643">
        <f t="shared" si="84"/>
        <v>34.666666666666664</v>
      </c>
      <c r="EH158" s="646">
        <f t="shared" si="73"/>
        <v>182</v>
      </c>
      <c r="EI158" s="645">
        <f t="shared" si="73"/>
        <v>86</v>
      </c>
      <c r="EJ158" s="163">
        <f t="shared" si="73"/>
        <v>70.666666666666671</v>
      </c>
      <c r="EK158" s="163">
        <f t="shared" si="73"/>
        <v>0</v>
      </c>
      <c r="EL158" s="163">
        <f t="shared" si="73"/>
        <v>15.333333333333327</v>
      </c>
      <c r="EM158" s="644">
        <f t="shared" si="73"/>
        <v>0</v>
      </c>
      <c r="EN158" s="645">
        <f t="shared" si="73"/>
        <v>96.000000000000014</v>
      </c>
      <c r="EO158" s="163">
        <f t="shared" si="73"/>
        <v>67.666666666666643</v>
      </c>
      <c r="EP158" s="163">
        <f t="shared" si="79"/>
        <v>0</v>
      </c>
      <c r="EQ158" s="163">
        <f t="shared" si="79"/>
        <v>16.666666666666668</v>
      </c>
      <c r="ER158" s="643">
        <f t="shared" si="79"/>
        <v>11.666666666666666</v>
      </c>
    </row>
    <row r="159" spans="1:148">
      <c r="A159" s="665" t="s">
        <v>230</v>
      </c>
      <c r="B159" s="665">
        <v>43344</v>
      </c>
      <c r="C159" s="664">
        <v>2018</v>
      </c>
      <c r="D159" s="646">
        <f t="shared" si="111"/>
        <v>1425445</v>
      </c>
      <c r="E159" s="646">
        <f t="shared" si="113"/>
        <v>23052</v>
      </c>
      <c r="F159" s="645">
        <f t="shared" si="113"/>
        <v>10634</v>
      </c>
      <c r="G159" s="163">
        <f t="shared" si="113"/>
        <v>8867</v>
      </c>
      <c r="H159" s="163">
        <f t="shared" si="113"/>
        <v>0</v>
      </c>
      <c r="I159" s="163">
        <f t="shared" si="113"/>
        <v>1767.0000000000007</v>
      </c>
      <c r="J159" s="644">
        <f t="shared" si="113"/>
        <v>0</v>
      </c>
      <c r="K159" s="645">
        <f t="shared" si="113"/>
        <v>12417.999999999998</v>
      </c>
      <c r="L159" s="163">
        <f t="shared" si="113"/>
        <v>8729</v>
      </c>
      <c r="M159" s="163">
        <f t="shared" si="113"/>
        <v>0</v>
      </c>
      <c r="N159" s="163">
        <f t="shared" si="113"/>
        <v>2346</v>
      </c>
      <c r="O159" s="643">
        <f t="shared" si="113"/>
        <v>1342.9999999999995</v>
      </c>
      <c r="P159" s="646">
        <f t="shared" si="113"/>
        <v>36.999999999999993</v>
      </c>
      <c r="Q159" s="645">
        <f t="shared" si="113"/>
        <v>15</v>
      </c>
      <c r="R159" s="163">
        <f t="shared" si="113"/>
        <v>14.000000000000004</v>
      </c>
      <c r="S159" s="163">
        <f t="shared" si="113"/>
        <v>0</v>
      </c>
      <c r="T159" s="163">
        <f t="shared" si="113"/>
        <v>1</v>
      </c>
      <c r="U159" s="644">
        <f t="shared" si="103"/>
        <v>0</v>
      </c>
      <c r="V159" s="645">
        <f t="shared" si="103"/>
        <v>22</v>
      </c>
      <c r="W159" s="163">
        <f t="shared" si="103"/>
        <v>15</v>
      </c>
      <c r="X159" s="163">
        <f t="shared" si="103"/>
        <v>0</v>
      </c>
      <c r="Y159" s="163">
        <f t="shared" si="103"/>
        <v>5</v>
      </c>
      <c r="Z159" s="643">
        <f t="shared" si="103"/>
        <v>1.9999999999999998</v>
      </c>
      <c r="AA159" s="646">
        <f t="shared" si="103"/>
        <v>36</v>
      </c>
      <c r="AB159" s="645">
        <f t="shared" si="103"/>
        <v>10</v>
      </c>
      <c r="AC159" s="163">
        <f t="shared" si="103"/>
        <v>9</v>
      </c>
      <c r="AD159" s="163">
        <f t="shared" si="103"/>
        <v>0</v>
      </c>
      <c r="AE159" s="163">
        <f t="shared" si="103"/>
        <v>1</v>
      </c>
      <c r="AF159" s="644">
        <f t="shared" si="103"/>
        <v>0</v>
      </c>
      <c r="AG159" s="645">
        <f t="shared" si="103"/>
        <v>26.000000000000004</v>
      </c>
      <c r="AH159" s="163">
        <f t="shared" si="103"/>
        <v>23</v>
      </c>
      <c r="AI159" s="163">
        <f t="shared" si="103"/>
        <v>0</v>
      </c>
      <c r="AJ159" s="163">
        <f t="shared" si="103"/>
        <v>0</v>
      </c>
      <c r="AK159" s="643">
        <f t="shared" si="114"/>
        <v>3</v>
      </c>
      <c r="AL159" s="646">
        <f t="shared" si="114"/>
        <v>196</v>
      </c>
      <c r="AM159" s="645">
        <f t="shared" si="114"/>
        <v>94</v>
      </c>
      <c r="AN159" s="163">
        <f t="shared" si="114"/>
        <v>78</v>
      </c>
      <c r="AO159" s="163">
        <f t="shared" si="114"/>
        <v>0</v>
      </c>
      <c r="AP159" s="163">
        <f t="shared" si="114"/>
        <v>15.999999999999993</v>
      </c>
      <c r="AQ159" s="644">
        <f t="shared" si="114"/>
        <v>0</v>
      </c>
      <c r="AR159" s="645">
        <f t="shared" si="114"/>
        <v>102.00000000000001</v>
      </c>
      <c r="AS159" s="163">
        <f t="shared" si="114"/>
        <v>70.999999999999972</v>
      </c>
      <c r="AT159" s="163">
        <f t="shared" si="114"/>
        <v>0</v>
      </c>
      <c r="AU159" s="163">
        <f t="shared" si="114"/>
        <v>19</v>
      </c>
      <c r="AV159" s="643">
        <f t="shared" si="114"/>
        <v>12</v>
      </c>
      <c r="AW159" s="646">
        <f t="shared" si="114"/>
        <v>127.00000000000003</v>
      </c>
      <c r="AX159" s="645">
        <f t="shared" si="114"/>
        <v>52.999999999999993</v>
      </c>
      <c r="AY159" s="163">
        <f t="shared" si="114"/>
        <v>46</v>
      </c>
      <c r="AZ159" s="163">
        <f t="shared" si="114"/>
        <v>0</v>
      </c>
      <c r="BA159" s="163">
        <f t="shared" si="114"/>
        <v>7.0000000000000009</v>
      </c>
      <c r="BB159" s="644">
        <f t="shared" si="114"/>
        <v>0</v>
      </c>
      <c r="BC159" s="645">
        <f t="shared" si="114"/>
        <v>74</v>
      </c>
      <c r="BD159" s="163">
        <f t="shared" si="114"/>
        <v>58.000000000000007</v>
      </c>
      <c r="BE159" s="163">
        <f t="shared" si="114"/>
        <v>0</v>
      </c>
      <c r="BF159" s="163">
        <f t="shared" si="114"/>
        <v>9</v>
      </c>
      <c r="BG159" s="643">
        <f t="shared" si="114"/>
        <v>6.9999999999999991</v>
      </c>
      <c r="BH159" s="646">
        <f t="shared" si="112"/>
        <v>159</v>
      </c>
      <c r="BI159" s="645">
        <f t="shared" si="112"/>
        <v>82.999999999999986</v>
      </c>
      <c r="BJ159" s="163">
        <f t="shared" si="112"/>
        <v>75</v>
      </c>
      <c r="BK159" s="163">
        <f t="shared" si="112"/>
        <v>0</v>
      </c>
      <c r="BL159" s="163">
        <f t="shared" si="112"/>
        <v>7.9999999999999991</v>
      </c>
      <c r="BM159" s="644">
        <f t="shared" si="112"/>
        <v>0</v>
      </c>
      <c r="BN159" s="645">
        <f t="shared" si="112"/>
        <v>76</v>
      </c>
      <c r="BO159" s="163">
        <f t="shared" si="112"/>
        <v>48</v>
      </c>
      <c r="BP159" s="163">
        <f t="shared" si="112"/>
        <v>0</v>
      </c>
      <c r="BQ159" s="163">
        <f t="shared" si="112"/>
        <v>21</v>
      </c>
      <c r="BR159" s="643">
        <f t="shared" si="112"/>
        <v>7</v>
      </c>
      <c r="BS159" s="646">
        <f t="shared" si="112"/>
        <v>224.00000000000003</v>
      </c>
      <c r="BT159" s="645">
        <f t="shared" si="112"/>
        <v>103.00000000000001</v>
      </c>
      <c r="BU159" s="163">
        <f t="shared" si="112"/>
        <v>94</v>
      </c>
      <c r="BV159" s="163">
        <f t="shared" si="112"/>
        <v>0</v>
      </c>
      <c r="BW159" s="163">
        <f t="shared" si="112"/>
        <v>9</v>
      </c>
      <c r="BX159" s="644">
        <f t="shared" ref="BX159:CM174" si="115">BX60/3+BX158</f>
        <v>0</v>
      </c>
      <c r="BY159" s="645">
        <f t="shared" si="115"/>
        <v>120.99999999999997</v>
      </c>
      <c r="BZ159" s="163">
        <f t="shared" si="115"/>
        <v>77</v>
      </c>
      <c r="CA159" s="163">
        <f t="shared" si="115"/>
        <v>0</v>
      </c>
      <c r="CB159" s="163">
        <f t="shared" si="115"/>
        <v>29.000000000000004</v>
      </c>
      <c r="CC159" s="643">
        <f t="shared" si="115"/>
        <v>14.999999999999998</v>
      </c>
      <c r="CD159" s="646">
        <f t="shared" si="115"/>
        <v>66</v>
      </c>
      <c r="CE159" s="645">
        <f t="shared" si="115"/>
        <v>38.000000000000007</v>
      </c>
      <c r="CF159" s="163">
        <f t="shared" si="115"/>
        <v>31.000000000000004</v>
      </c>
      <c r="CG159" s="163">
        <f t="shared" si="96"/>
        <v>0</v>
      </c>
      <c r="CH159" s="163">
        <f t="shared" si="96"/>
        <v>6.9999999999999973</v>
      </c>
      <c r="CI159" s="644">
        <f t="shared" si="96"/>
        <v>0</v>
      </c>
      <c r="CJ159" s="645">
        <f t="shared" si="96"/>
        <v>28</v>
      </c>
      <c r="CK159" s="163">
        <f t="shared" si="96"/>
        <v>19</v>
      </c>
      <c r="CL159" s="163">
        <f t="shared" si="96"/>
        <v>0</v>
      </c>
      <c r="CM159" s="163">
        <f t="shared" si="96"/>
        <v>5.9999999999999991</v>
      </c>
      <c r="CN159" s="643">
        <f t="shared" si="96"/>
        <v>3</v>
      </c>
      <c r="CO159" s="646">
        <f t="shared" si="96"/>
        <v>45</v>
      </c>
      <c r="CP159" s="645">
        <f t="shared" si="96"/>
        <v>19</v>
      </c>
      <c r="CQ159" s="163">
        <f t="shared" si="96"/>
        <v>19</v>
      </c>
      <c r="CR159" s="163">
        <f t="shared" si="96"/>
        <v>0</v>
      </c>
      <c r="CS159" s="163">
        <f t="shared" si="96"/>
        <v>0</v>
      </c>
      <c r="CT159" s="644">
        <f t="shared" si="96"/>
        <v>0</v>
      </c>
      <c r="CU159" s="645">
        <f t="shared" si="96"/>
        <v>26.000000000000004</v>
      </c>
      <c r="CV159" s="163">
        <f t="shared" si="96"/>
        <v>17.999999999999996</v>
      </c>
      <c r="CW159" s="163">
        <f t="shared" si="110"/>
        <v>0</v>
      </c>
      <c r="CX159" s="163">
        <f t="shared" si="110"/>
        <v>8</v>
      </c>
      <c r="CY159" s="643">
        <f t="shared" si="110"/>
        <v>0</v>
      </c>
      <c r="CZ159" s="646">
        <f t="shared" si="110"/>
        <v>13.000000000000002</v>
      </c>
      <c r="DA159" s="645">
        <f t="shared" si="110"/>
        <v>1.9999999999999998</v>
      </c>
      <c r="DB159" s="163">
        <f t="shared" si="108"/>
        <v>0</v>
      </c>
      <c r="DC159" s="163">
        <f t="shared" si="108"/>
        <v>0</v>
      </c>
      <c r="DD159" s="163">
        <f t="shared" si="108"/>
        <v>1.9999999999999998</v>
      </c>
      <c r="DE159" s="644">
        <f t="shared" si="108"/>
        <v>0</v>
      </c>
      <c r="DF159" s="645">
        <f t="shared" si="108"/>
        <v>11.000000000000002</v>
      </c>
      <c r="DG159" s="163">
        <f t="shared" si="108"/>
        <v>10.000000000000005</v>
      </c>
      <c r="DH159" s="163">
        <f t="shared" si="108"/>
        <v>0</v>
      </c>
      <c r="DI159" s="163">
        <f t="shared" si="108"/>
        <v>1</v>
      </c>
      <c r="DJ159" s="643">
        <f t="shared" si="108"/>
        <v>0</v>
      </c>
      <c r="DK159" s="646">
        <f t="shared" si="108"/>
        <v>0</v>
      </c>
      <c r="DL159" s="645">
        <f t="shared" si="108"/>
        <v>0</v>
      </c>
      <c r="DM159" s="163">
        <f t="shared" si="108"/>
        <v>0</v>
      </c>
      <c r="DN159" s="163">
        <f t="shared" si="108"/>
        <v>0</v>
      </c>
      <c r="DO159" s="163">
        <f t="shared" si="108"/>
        <v>0</v>
      </c>
      <c r="DP159" s="644">
        <f t="shared" si="108"/>
        <v>0</v>
      </c>
      <c r="DQ159" s="645">
        <f t="shared" si="108"/>
        <v>0</v>
      </c>
      <c r="DR159" s="163">
        <f t="shared" si="108"/>
        <v>0</v>
      </c>
      <c r="DS159" s="163">
        <f t="shared" si="108"/>
        <v>0</v>
      </c>
      <c r="DT159" s="163">
        <f t="shared" si="108"/>
        <v>0</v>
      </c>
      <c r="DU159" s="643">
        <f t="shared" si="108"/>
        <v>0</v>
      </c>
      <c r="DW159" s="646">
        <f t="shared" si="84"/>
        <v>707</v>
      </c>
      <c r="DX159" s="645">
        <f t="shared" si="84"/>
        <v>323</v>
      </c>
      <c r="DY159" s="163">
        <f t="shared" si="84"/>
        <v>288</v>
      </c>
      <c r="DZ159" s="163">
        <f t="shared" si="84"/>
        <v>0</v>
      </c>
      <c r="EA159" s="163">
        <f t="shared" si="84"/>
        <v>35</v>
      </c>
      <c r="EB159" s="644">
        <f t="shared" si="84"/>
        <v>0</v>
      </c>
      <c r="EC159" s="645">
        <f t="shared" si="84"/>
        <v>384</v>
      </c>
      <c r="ED159" s="163">
        <f t="shared" si="84"/>
        <v>268</v>
      </c>
      <c r="EE159" s="163">
        <f t="shared" si="84"/>
        <v>0</v>
      </c>
      <c r="EF159" s="163">
        <f t="shared" si="84"/>
        <v>79</v>
      </c>
      <c r="EG159" s="643">
        <f t="shared" si="84"/>
        <v>37</v>
      </c>
      <c r="EH159" s="646">
        <f t="shared" si="73"/>
        <v>196</v>
      </c>
      <c r="EI159" s="645">
        <f t="shared" si="73"/>
        <v>94</v>
      </c>
      <c r="EJ159" s="163">
        <f t="shared" si="73"/>
        <v>78</v>
      </c>
      <c r="EK159" s="163">
        <f t="shared" si="73"/>
        <v>0</v>
      </c>
      <c r="EL159" s="163">
        <f t="shared" si="73"/>
        <v>15.999999999999993</v>
      </c>
      <c r="EM159" s="644">
        <f t="shared" si="73"/>
        <v>0</v>
      </c>
      <c r="EN159" s="645">
        <f t="shared" si="73"/>
        <v>102.00000000000001</v>
      </c>
      <c r="EO159" s="163">
        <f t="shared" si="73"/>
        <v>70.999999999999972</v>
      </c>
      <c r="EP159" s="163">
        <f t="shared" si="79"/>
        <v>0</v>
      </c>
      <c r="EQ159" s="163">
        <f t="shared" si="79"/>
        <v>19</v>
      </c>
      <c r="ER159" s="643">
        <f t="shared" si="79"/>
        <v>12</v>
      </c>
    </row>
    <row r="160" spans="1:148">
      <c r="A160" s="665" t="s">
        <v>231</v>
      </c>
      <c r="B160" s="665">
        <v>43374</v>
      </c>
      <c r="C160" s="664">
        <v>2018</v>
      </c>
      <c r="D160" s="646">
        <f t="shared" si="111"/>
        <v>1483619.3333333333</v>
      </c>
      <c r="E160" s="646">
        <f t="shared" si="113"/>
        <v>23680.666666666668</v>
      </c>
      <c r="F160" s="645">
        <f t="shared" si="113"/>
        <v>11015.666666666666</v>
      </c>
      <c r="G160" s="163">
        <f t="shared" si="113"/>
        <v>9194</v>
      </c>
      <c r="H160" s="163">
        <f t="shared" si="113"/>
        <v>0</v>
      </c>
      <c r="I160" s="163">
        <f t="shared" si="113"/>
        <v>1821.6666666666674</v>
      </c>
      <c r="J160" s="644">
        <f t="shared" si="113"/>
        <v>0</v>
      </c>
      <c r="K160" s="645">
        <f t="shared" si="113"/>
        <v>12664.999999999998</v>
      </c>
      <c r="L160" s="163">
        <f t="shared" si="113"/>
        <v>8877.6666666666661</v>
      </c>
      <c r="M160" s="163">
        <f t="shared" si="113"/>
        <v>0</v>
      </c>
      <c r="N160" s="163">
        <f t="shared" si="113"/>
        <v>2426.6666666666665</v>
      </c>
      <c r="O160" s="643">
        <f t="shared" si="113"/>
        <v>1360.6666666666663</v>
      </c>
      <c r="P160" s="646">
        <f t="shared" si="113"/>
        <v>38.333333333333329</v>
      </c>
      <c r="Q160" s="645">
        <f t="shared" si="113"/>
        <v>15.666666666666666</v>
      </c>
      <c r="R160" s="163">
        <f t="shared" si="113"/>
        <v>14.66666666666667</v>
      </c>
      <c r="S160" s="163">
        <f t="shared" si="113"/>
        <v>0</v>
      </c>
      <c r="T160" s="163">
        <f t="shared" si="113"/>
        <v>1</v>
      </c>
      <c r="U160" s="644">
        <f t="shared" si="103"/>
        <v>0</v>
      </c>
      <c r="V160" s="645">
        <f t="shared" si="103"/>
        <v>22.666666666666668</v>
      </c>
      <c r="W160" s="163">
        <f t="shared" si="103"/>
        <v>15.333333333333334</v>
      </c>
      <c r="X160" s="163">
        <f t="shared" si="103"/>
        <v>0</v>
      </c>
      <c r="Y160" s="163">
        <f t="shared" si="103"/>
        <v>5.333333333333333</v>
      </c>
      <c r="Z160" s="643">
        <f t="shared" si="103"/>
        <v>1.9999999999999998</v>
      </c>
      <c r="AA160" s="646">
        <f t="shared" si="103"/>
        <v>37</v>
      </c>
      <c r="AB160" s="645">
        <f t="shared" si="103"/>
        <v>10.333333333333334</v>
      </c>
      <c r="AC160" s="163">
        <f t="shared" si="103"/>
        <v>9.3333333333333339</v>
      </c>
      <c r="AD160" s="163">
        <f t="shared" si="103"/>
        <v>0</v>
      </c>
      <c r="AE160" s="163">
        <f t="shared" si="103"/>
        <v>1</v>
      </c>
      <c r="AF160" s="644">
        <f t="shared" si="103"/>
        <v>0</v>
      </c>
      <c r="AG160" s="645">
        <f t="shared" si="103"/>
        <v>26.666666666666671</v>
      </c>
      <c r="AH160" s="163">
        <f t="shared" si="103"/>
        <v>23.333333333333332</v>
      </c>
      <c r="AI160" s="163">
        <f t="shared" si="103"/>
        <v>0</v>
      </c>
      <c r="AJ160" s="163">
        <f t="shared" si="103"/>
        <v>0</v>
      </c>
      <c r="AK160" s="643">
        <f t="shared" si="114"/>
        <v>3.3333333333333335</v>
      </c>
      <c r="AL160" s="646">
        <f t="shared" si="114"/>
        <v>201</v>
      </c>
      <c r="AM160" s="645">
        <f t="shared" si="114"/>
        <v>97.333333333333329</v>
      </c>
      <c r="AN160" s="163">
        <f t="shared" si="114"/>
        <v>81</v>
      </c>
      <c r="AO160" s="163">
        <f t="shared" si="114"/>
        <v>0</v>
      </c>
      <c r="AP160" s="163">
        <f t="shared" si="114"/>
        <v>16.333333333333325</v>
      </c>
      <c r="AQ160" s="644">
        <f t="shared" si="114"/>
        <v>0</v>
      </c>
      <c r="AR160" s="645">
        <f t="shared" si="114"/>
        <v>103.66666666666669</v>
      </c>
      <c r="AS160" s="163">
        <f t="shared" si="114"/>
        <v>70.999999999999972</v>
      </c>
      <c r="AT160" s="163">
        <f t="shared" si="114"/>
        <v>0</v>
      </c>
      <c r="AU160" s="163">
        <f t="shared" si="114"/>
        <v>20.666666666666668</v>
      </c>
      <c r="AV160" s="643">
        <f t="shared" si="114"/>
        <v>12</v>
      </c>
      <c r="AW160" s="646">
        <f t="shared" si="114"/>
        <v>130.33333333333337</v>
      </c>
      <c r="AX160" s="645">
        <f t="shared" si="114"/>
        <v>55.333333333333329</v>
      </c>
      <c r="AY160" s="163">
        <f t="shared" si="114"/>
        <v>48.333333333333336</v>
      </c>
      <c r="AZ160" s="163">
        <f t="shared" si="114"/>
        <v>0</v>
      </c>
      <c r="BA160" s="163">
        <f t="shared" si="114"/>
        <v>7.0000000000000009</v>
      </c>
      <c r="BB160" s="644">
        <f t="shared" si="114"/>
        <v>0</v>
      </c>
      <c r="BC160" s="645">
        <f t="shared" si="114"/>
        <v>75</v>
      </c>
      <c r="BD160" s="163">
        <f t="shared" si="114"/>
        <v>58.666666666666671</v>
      </c>
      <c r="BE160" s="163">
        <f t="shared" si="114"/>
        <v>0</v>
      </c>
      <c r="BF160" s="163">
        <f t="shared" si="114"/>
        <v>9.3333333333333339</v>
      </c>
      <c r="BG160" s="643">
        <f t="shared" si="114"/>
        <v>6.9999999999999991</v>
      </c>
      <c r="BH160" s="646">
        <f t="shared" si="112"/>
        <v>165</v>
      </c>
      <c r="BI160" s="645">
        <f t="shared" si="112"/>
        <v>86.999999999999986</v>
      </c>
      <c r="BJ160" s="163">
        <f t="shared" si="112"/>
        <v>78</v>
      </c>
      <c r="BK160" s="163">
        <f t="shared" si="112"/>
        <v>0</v>
      </c>
      <c r="BL160" s="163">
        <f t="shared" si="112"/>
        <v>9</v>
      </c>
      <c r="BM160" s="644">
        <f t="shared" si="112"/>
        <v>0</v>
      </c>
      <c r="BN160" s="645">
        <f t="shared" si="112"/>
        <v>78</v>
      </c>
      <c r="BO160" s="163">
        <f t="shared" si="112"/>
        <v>49.333333333333336</v>
      </c>
      <c r="BP160" s="163">
        <f t="shared" si="112"/>
        <v>0</v>
      </c>
      <c r="BQ160" s="163">
        <f t="shared" si="112"/>
        <v>21.666666666666668</v>
      </c>
      <c r="BR160" s="643">
        <f t="shared" si="112"/>
        <v>7</v>
      </c>
      <c r="BS160" s="646">
        <f t="shared" si="112"/>
        <v>230.33333333333337</v>
      </c>
      <c r="BT160" s="645">
        <f t="shared" si="112"/>
        <v>107.00000000000001</v>
      </c>
      <c r="BU160" s="163">
        <f t="shared" si="112"/>
        <v>97.333333333333329</v>
      </c>
      <c r="BV160" s="163">
        <f t="shared" si="112"/>
        <v>0</v>
      </c>
      <c r="BW160" s="163">
        <f t="shared" si="112"/>
        <v>9.6666666666666661</v>
      </c>
      <c r="BX160" s="644">
        <f t="shared" si="115"/>
        <v>0</v>
      </c>
      <c r="BY160" s="645">
        <f t="shared" si="115"/>
        <v>123.3333333333333</v>
      </c>
      <c r="BZ160" s="163">
        <f t="shared" si="115"/>
        <v>78.666666666666671</v>
      </c>
      <c r="CA160" s="163">
        <f t="shared" si="115"/>
        <v>0</v>
      </c>
      <c r="CB160" s="163">
        <f t="shared" si="115"/>
        <v>29.333333333333336</v>
      </c>
      <c r="CC160" s="643">
        <f t="shared" si="115"/>
        <v>15.333333333333332</v>
      </c>
      <c r="CD160" s="646">
        <f t="shared" si="115"/>
        <v>67.333333333333329</v>
      </c>
      <c r="CE160" s="645">
        <f t="shared" si="115"/>
        <v>39.333333333333343</v>
      </c>
      <c r="CF160" s="163">
        <f t="shared" si="115"/>
        <v>32</v>
      </c>
      <c r="CG160" s="163">
        <f t="shared" si="96"/>
        <v>0</v>
      </c>
      <c r="CH160" s="163">
        <f t="shared" si="96"/>
        <v>7.3333333333333304</v>
      </c>
      <c r="CI160" s="644">
        <f t="shared" si="96"/>
        <v>0</v>
      </c>
      <c r="CJ160" s="645">
        <f t="shared" si="96"/>
        <v>28</v>
      </c>
      <c r="CK160" s="163">
        <f t="shared" si="96"/>
        <v>19</v>
      </c>
      <c r="CL160" s="163">
        <f t="shared" si="96"/>
        <v>0</v>
      </c>
      <c r="CM160" s="163">
        <f t="shared" si="96"/>
        <v>5.9999999999999991</v>
      </c>
      <c r="CN160" s="643">
        <f t="shared" si="96"/>
        <v>3</v>
      </c>
      <c r="CO160" s="646">
        <f t="shared" si="96"/>
        <v>46</v>
      </c>
      <c r="CP160" s="645">
        <f t="shared" si="96"/>
        <v>19.666666666666668</v>
      </c>
      <c r="CQ160" s="163">
        <f t="shared" si="96"/>
        <v>19.666666666666668</v>
      </c>
      <c r="CR160" s="163">
        <f t="shared" si="96"/>
        <v>0</v>
      </c>
      <c r="CS160" s="163">
        <f t="shared" si="96"/>
        <v>0</v>
      </c>
      <c r="CT160" s="644">
        <f t="shared" si="96"/>
        <v>0</v>
      </c>
      <c r="CU160" s="645">
        <f t="shared" si="96"/>
        <v>26.333333333333336</v>
      </c>
      <c r="CV160" s="163">
        <f t="shared" ref="CV160:DK175" si="116">CV61/3+CV159</f>
        <v>18.333333333333329</v>
      </c>
      <c r="CW160" s="163">
        <f t="shared" si="110"/>
        <v>0</v>
      </c>
      <c r="CX160" s="163">
        <f t="shared" si="110"/>
        <v>8</v>
      </c>
      <c r="CY160" s="643">
        <f t="shared" si="110"/>
        <v>0</v>
      </c>
      <c r="CZ160" s="646">
        <f t="shared" si="110"/>
        <v>13.333333333333336</v>
      </c>
      <c r="DA160" s="645">
        <f t="shared" si="110"/>
        <v>1.9999999999999998</v>
      </c>
      <c r="DB160" s="163">
        <f t="shared" si="108"/>
        <v>0</v>
      </c>
      <c r="DC160" s="163">
        <f t="shared" si="108"/>
        <v>0</v>
      </c>
      <c r="DD160" s="163">
        <f t="shared" si="108"/>
        <v>1.9999999999999998</v>
      </c>
      <c r="DE160" s="644">
        <f t="shared" si="108"/>
        <v>0</v>
      </c>
      <c r="DF160" s="645">
        <f t="shared" si="108"/>
        <v>11.333333333333336</v>
      </c>
      <c r="DG160" s="163">
        <f t="shared" si="108"/>
        <v>10.333333333333339</v>
      </c>
      <c r="DH160" s="163">
        <f t="shared" si="108"/>
        <v>0</v>
      </c>
      <c r="DI160" s="163">
        <f t="shared" si="108"/>
        <v>1</v>
      </c>
      <c r="DJ160" s="643">
        <f t="shared" si="108"/>
        <v>0</v>
      </c>
      <c r="DK160" s="646">
        <f t="shared" si="108"/>
        <v>0</v>
      </c>
      <c r="DL160" s="645">
        <f t="shared" si="108"/>
        <v>0</v>
      </c>
      <c r="DM160" s="163">
        <f t="shared" si="108"/>
        <v>0</v>
      </c>
      <c r="DN160" s="163">
        <f t="shared" si="108"/>
        <v>0</v>
      </c>
      <c r="DO160" s="163">
        <f t="shared" si="108"/>
        <v>0</v>
      </c>
      <c r="DP160" s="644">
        <f t="shared" si="108"/>
        <v>0</v>
      </c>
      <c r="DQ160" s="645">
        <f t="shared" si="108"/>
        <v>0</v>
      </c>
      <c r="DR160" s="163">
        <f t="shared" si="108"/>
        <v>0</v>
      </c>
      <c r="DS160" s="163">
        <f t="shared" si="108"/>
        <v>0</v>
      </c>
      <c r="DT160" s="163">
        <f t="shared" si="108"/>
        <v>0</v>
      </c>
      <c r="DU160" s="643">
        <f t="shared" si="108"/>
        <v>0</v>
      </c>
      <c r="DW160" s="646">
        <f t="shared" si="84"/>
        <v>727.66666666666674</v>
      </c>
      <c r="DX160" s="645">
        <f t="shared" si="84"/>
        <v>336.33333333333331</v>
      </c>
      <c r="DY160" s="163">
        <f t="shared" si="84"/>
        <v>299.33333333333337</v>
      </c>
      <c r="DZ160" s="163">
        <f t="shared" si="84"/>
        <v>0</v>
      </c>
      <c r="EA160" s="163">
        <f t="shared" si="84"/>
        <v>36.999999999999993</v>
      </c>
      <c r="EB160" s="644">
        <f t="shared" si="84"/>
        <v>0</v>
      </c>
      <c r="EC160" s="645">
        <f t="shared" si="84"/>
        <v>391.33333333333326</v>
      </c>
      <c r="ED160" s="163">
        <f t="shared" si="84"/>
        <v>273</v>
      </c>
      <c r="EE160" s="163">
        <f t="shared" si="84"/>
        <v>0</v>
      </c>
      <c r="EF160" s="163">
        <f t="shared" si="84"/>
        <v>80.666666666666671</v>
      </c>
      <c r="EG160" s="643">
        <f t="shared" si="84"/>
        <v>37.666666666666664</v>
      </c>
      <c r="EH160" s="646">
        <f t="shared" si="73"/>
        <v>201</v>
      </c>
      <c r="EI160" s="645">
        <f t="shared" ref="EI160:ER195" si="117">AM160</f>
        <v>97.333333333333329</v>
      </c>
      <c r="EJ160" s="163">
        <f t="shared" si="117"/>
        <v>81</v>
      </c>
      <c r="EK160" s="163">
        <f t="shared" si="117"/>
        <v>0</v>
      </c>
      <c r="EL160" s="163">
        <f t="shared" si="117"/>
        <v>16.333333333333325</v>
      </c>
      <c r="EM160" s="644">
        <f t="shared" si="117"/>
        <v>0</v>
      </c>
      <c r="EN160" s="645">
        <f t="shared" si="117"/>
        <v>103.66666666666669</v>
      </c>
      <c r="EO160" s="163">
        <f t="shared" si="117"/>
        <v>70.999999999999972</v>
      </c>
      <c r="EP160" s="163">
        <f t="shared" si="79"/>
        <v>0</v>
      </c>
      <c r="EQ160" s="163">
        <f t="shared" si="79"/>
        <v>20.666666666666668</v>
      </c>
      <c r="ER160" s="643">
        <f t="shared" si="79"/>
        <v>12</v>
      </c>
    </row>
    <row r="161" spans="1:148">
      <c r="A161" s="665" t="s">
        <v>231</v>
      </c>
      <c r="B161" s="665">
        <v>43405</v>
      </c>
      <c r="C161" s="664">
        <v>2018</v>
      </c>
      <c r="D161" s="646">
        <f t="shared" si="111"/>
        <v>1541793.6666666665</v>
      </c>
      <c r="E161" s="646">
        <f t="shared" si="113"/>
        <v>24309.333333333336</v>
      </c>
      <c r="F161" s="645">
        <f t="shared" si="113"/>
        <v>11397.333333333332</v>
      </c>
      <c r="G161" s="163">
        <f t="shared" si="113"/>
        <v>9521</v>
      </c>
      <c r="H161" s="163">
        <f t="shared" si="113"/>
        <v>0</v>
      </c>
      <c r="I161" s="163">
        <f t="shared" si="113"/>
        <v>1876.3333333333342</v>
      </c>
      <c r="J161" s="644">
        <f t="shared" si="113"/>
        <v>0</v>
      </c>
      <c r="K161" s="645">
        <f t="shared" si="113"/>
        <v>12911.999999999998</v>
      </c>
      <c r="L161" s="163">
        <f t="shared" si="113"/>
        <v>9026.3333333333321</v>
      </c>
      <c r="M161" s="163">
        <f t="shared" si="113"/>
        <v>0</v>
      </c>
      <c r="N161" s="163">
        <f t="shared" si="113"/>
        <v>2507.333333333333</v>
      </c>
      <c r="O161" s="643">
        <f t="shared" si="113"/>
        <v>1378.333333333333</v>
      </c>
      <c r="P161" s="646">
        <f t="shared" si="113"/>
        <v>39.666666666666664</v>
      </c>
      <c r="Q161" s="645">
        <f t="shared" si="113"/>
        <v>16.333333333333332</v>
      </c>
      <c r="R161" s="163">
        <f t="shared" si="113"/>
        <v>15.333333333333336</v>
      </c>
      <c r="S161" s="163">
        <f t="shared" si="113"/>
        <v>0</v>
      </c>
      <c r="T161" s="163">
        <f t="shared" si="113"/>
        <v>1</v>
      </c>
      <c r="U161" s="644">
        <f t="shared" si="103"/>
        <v>0</v>
      </c>
      <c r="V161" s="645">
        <f t="shared" si="103"/>
        <v>23.333333333333336</v>
      </c>
      <c r="W161" s="163">
        <f t="shared" si="103"/>
        <v>15.666666666666668</v>
      </c>
      <c r="X161" s="163">
        <f t="shared" si="103"/>
        <v>0</v>
      </c>
      <c r="Y161" s="163">
        <f t="shared" si="103"/>
        <v>5.6666666666666661</v>
      </c>
      <c r="Z161" s="643">
        <f t="shared" si="103"/>
        <v>1.9999999999999998</v>
      </c>
      <c r="AA161" s="646">
        <f t="shared" si="103"/>
        <v>38</v>
      </c>
      <c r="AB161" s="645">
        <f t="shared" si="103"/>
        <v>10.666666666666668</v>
      </c>
      <c r="AC161" s="163">
        <f t="shared" si="103"/>
        <v>9.6666666666666679</v>
      </c>
      <c r="AD161" s="163">
        <f t="shared" si="103"/>
        <v>0</v>
      </c>
      <c r="AE161" s="163">
        <f t="shared" si="103"/>
        <v>1</v>
      </c>
      <c r="AF161" s="644">
        <f t="shared" si="103"/>
        <v>0</v>
      </c>
      <c r="AG161" s="645">
        <f t="shared" si="103"/>
        <v>27.333333333333339</v>
      </c>
      <c r="AH161" s="163">
        <f t="shared" si="103"/>
        <v>23.666666666666664</v>
      </c>
      <c r="AI161" s="163">
        <f t="shared" si="103"/>
        <v>0</v>
      </c>
      <c r="AJ161" s="163">
        <f t="shared" si="103"/>
        <v>0</v>
      </c>
      <c r="AK161" s="643">
        <f t="shared" si="114"/>
        <v>3.666666666666667</v>
      </c>
      <c r="AL161" s="646">
        <f t="shared" si="114"/>
        <v>206</v>
      </c>
      <c r="AM161" s="645">
        <f t="shared" si="114"/>
        <v>100.66666666666666</v>
      </c>
      <c r="AN161" s="163">
        <f t="shared" si="114"/>
        <v>84</v>
      </c>
      <c r="AO161" s="163">
        <f t="shared" si="114"/>
        <v>0</v>
      </c>
      <c r="AP161" s="163">
        <f t="shared" si="114"/>
        <v>16.666666666666657</v>
      </c>
      <c r="AQ161" s="644">
        <f t="shared" si="114"/>
        <v>0</v>
      </c>
      <c r="AR161" s="645">
        <f t="shared" si="114"/>
        <v>105.33333333333336</v>
      </c>
      <c r="AS161" s="163">
        <f t="shared" si="114"/>
        <v>70.999999999999972</v>
      </c>
      <c r="AT161" s="163">
        <f t="shared" si="114"/>
        <v>0</v>
      </c>
      <c r="AU161" s="163">
        <f t="shared" si="114"/>
        <v>22.333333333333336</v>
      </c>
      <c r="AV161" s="643">
        <f t="shared" si="114"/>
        <v>12</v>
      </c>
      <c r="AW161" s="646">
        <f t="shared" si="114"/>
        <v>133.66666666666671</v>
      </c>
      <c r="AX161" s="645">
        <f t="shared" si="114"/>
        <v>57.666666666666664</v>
      </c>
      <c r="AY161" s="163">
        <f t="shared" si="114"/>
        <v>50.666666666666671</v>
      </c>
      <c r="AZ161" s="163">
        <f t="shared" si="114"/>
        <v>0</v>
      </c>
      <c r="BA161" s="163">
        <f t="shared" si="114"/>
        <v>7.0000000000000009</v>
      </c>
      <c r="BB161" s="644">
        <f t="shared" si="114"/>
        <v>0</v>
      </c>
      <c r="BC161" s="645">
        <f t="shared" si="114"/>
        <v>76</v>
      </c>
      <c r="BD161" s="163">
        <f t="shared" si="114"/>
        <v>59.333333333333336</v>
      </c>
      <c r="BE161" s="163">
        <f t="shared" si="114"/>
        <v>0</v>
      </c>
      <c r="BF161" s="163">
        <f t="shared" si="114"/>
        <v>9.6666666666666679</v>
      </c>
      <c r="BG161" s="643">
        <f t="shared" si="114"/>
        <v>6.9999999999999991</v>
      </c>
      <c r="BH161" s="646">
        <f t="shared" si="112"/>
        <v>171</v>
      </c>
      <c r="BI161" s="645">
        <f t="shared" si="112"/>
        <v>90.999999999999986</v>
      </c>
      <c r="BJ161" s="163">
        <f t="shared" si="112"/>
        <v>81</v>
      </c>
      <c r="BK161" s="163">
        <f t="shared" si="112"/>
        <v>0</v>
      </c>
      <c r="BL161" s="163">
        <f t="shared" si="112"/>
        <v>10</v>
      </c>
      <c r="BM161" s="644">
        <f t="shared" si="112"/>
        <v>0</v>
      </c>
      <c r="BN161" s="645">
        <f t="shared" si="112"/>
        <v>80</v>
      </c>
      <c r="BO161" s="163">
        <f t="shared" si="112"/>
        <v>50.666666666666671</v>
      </c>
      <c r="BP161" s="163">
        <f t="shared" si="112"/>
        <v>0</v>
      </c>
      <c r="BQ161" s="163">
        <f t="shared" si="112"/>
        <v>22.333333333333336</v>
      </c>
      <c r="BR161" s="643">
        <f t="shared" si="112"/>
        <v>7</v>
      </c>
      <c r="BS161" s="646">
        <f t="shared" si="112"/>
        <v>236.66666666666671</v>
      </c>
      <c r="BT161" s="645">
        <f t="shared" si="112"/>
        <v>111.00000000000001</v>
      </c>
      <c r="BU161" s="163">
        <f t="shared" si="112"/>
        <v>100.66666666666666</v>
      </c>
      <c r="BV161" s="163">
        <f t="shared" si="112"/>
        <v>0</v>
      </c>
      <c r="BW161" s="163">
        <f t="shared" si="112"/>
        <v>10.333333333333332</v>
      </c>
      <c r="BX161" s="644">
        <f t="shared" si="115"/>
        <v>0</v>
      </c>
      <c r="BY161" s="645">
        <f t="shared" si="115"/>
        <v>125.66666666666663</v>
      </c>
      <c r="BZ161" s="163">
        <f t="shared" si="115"/>
        <v>80.333333333333343</v>
      </c>
      <c r="CA161" s="163">
        <f t="shared" si="115"/>
        <v>0</v>
      </c>
      <c r="CB161" s="163">
        <f t="shared" si="115"/>
        <v>29.666666666666668</v>
      </c>
      <c r="CC161" s="643">
        <f t="shared" si="115"/>
        <v>15.666666666666666</v>
      </c>
      <c r="CD161" s="646">
        <f t="shared" si="115"/>
        <v>68.666666666666657</v>
      </c>
      <c r="CE161" s="645">
        <f t="shared" si="115"/>
        <v>40.666666666666679</v>
      </c>
      <c r="CF161" s="163">
        <f t="shared" si="115"/>
        <v>33</v>
      </c>
      <c r="CG161" s="163">
        <f t="shared" si="115"/>
        <v>0</v>
      </c>
      <c r="CH161" s="163">
        <f t="shared" si="115"/>
        <v>7.6666666666666634</v>
      </c>
      <c r="CI161" s="644">
        <f t="shared" si="115"/>
        <v>0</v>
      </c>
      <c r="CJ161" s="645">
        <f t="shared" si="115"/>
        <v>28</v>
      </c>
      <c r="CK161" s="163">
        <f t="shared" si="115"/>
        <v>19</v>
      </c>
      <c r="CL161" s="163">
        <f t="shared" si="115"/>
        <v>0</v>
      </c>
      <c r="CM161" s="163">
        <f t="shared" si="115"/>
        <v>5.9999999999999991</v>
      </c>
      <c r="CN161" s="643">
        <f t="shared" ref="CN161:DC176" si="118">CN62/3+CN160</f>
        <v>3</v>
      </c>
      <c r="CO161" s="646">
        <f t="shared" si="118"/>
        <v>47</v>
      </c>
      <c r="CP161" s="645">
        <f t="shared" si="118"/>
        <v>20.333333333333336</v>
      </c>
      <c r="CQ161" s="163">
        <f t="shared" si="118"/>
        <v>20.333333333333336</v>
      </c>
      <c r="CR161" s="163">
        <f t="shared" si="118"/>
        <v>0</v>
      </c>
      <c r="CS161" s="163">
        <f t="shared" si="118"/>
        <v>0</v>
      </c>
      <c r="CT161" s="644">
        <f t="shared" si="118"/>
        <v>0</v>
      </c>
      <c r="CU161" s="645">
        <f t="shared" si="118"/>
        <v>26.666666666666668</v>
      </c>
      <c r="CV161" s="163">
        <f t="shared" si="116"/>
        <v>18.666666666666661</v>
      </c>
      <c r="CW161" s="163">
        <f t="shared" si="110"/>
        <v>0</v>
      </c>
      <c r="CX161" s="163">
        <f t="shared" si="110"/>
        <v>8</v>
      </c>
      <c r="CY161" s="643">
        <f t="shared" si="110"/>
        <v>0</v>
      </c>
      <c r="CZ161" s="646">
        <f t="shared" si="110"/>
        <v>13.66666666666667</v>
      </c>
      <c r="DA161" s="645">
        <f t="shared" si="110"/>
        <v>1.9999999999999998</v>
      </c>
      <c r="DB161" s="163">
        <f t="shared" si="108"/>
        <v>0</v>
      </c>
      <c r="DC161" s="163">
        <f t="shared" si="108"/>
        <v>0</v>
      </c>
      <c r="DD161" s="163">
        <f t="shared" si="108"/>
        <v>1.9999999999999998</v>
      </c>
      <c r="DE161" s="644">
        <f t="shared" si="108"/>
        <v>0</v>
      </c>
      <c r="DF161" s="645">
        <f t="shared" si="108"/>
        <v>11.66666666666667</v>
      </c>
      <c r="DG161" s="163">
        <f t="shared" si="108"/>
        <v>10.666666666666673</v>
      </c>
      <c r="DH161" s="163">
        <f t="shared" si="108"/>
        <v>0</v>
      </c>
      <c r="DI161" s="163">
        <f t="shared" si="108"/>
        <v>1</v>
      </c>
      <c r="DJ161" s="643">
        <f t="shared" si="108"/>
        <v>0</v>
      </c>
      <c r="DK161" s="646">
        <f t="shared" si="108"/>
        <v>0</v>
      </c>
      <c r="DL161" s="645">
        <f t="shared" si="108"/>
        <v>0</v>
      </c>
      <c r="DM161" s="163">
        <f t="shared" si="108"/>
        <v>0</v>
      </c>
      <c r="DN161" s="163">
        <f t="shared" si="108"/>
        <v>0</v>
      </c>
      <c r="DO161" s="163">
        <f t="shared" si="108"/>
        <v>0</v>
      </c>
      <c r="DP161" s="644">
        <f t="shared" si="108"/>
        <v>0</v>
      </c>
      <c r="DQ161" s="645">
        <f t="shared" si="108"/>
        <v>0</v>
      </c>
      <c r="DR161" s="163">
        <f t="shared" si="108"/>
        <v>0</v>
      </c>
      <c r="DS161" s="163">
        <f t="shared" si="108"/>
        <v>0</v>
      </c>
      <c r="DT161" s="163">
        <f t="shared" si="108"/>
        <v>0</v>
      </c>
      <c r="DU161" s="643">
        <f t="shared" si="108"/>
        <v>0</v>
      </c>
      <c r="DW161" s="646">
        <f t="shared" si="84"/>
        <v>748.33333333333337</v>
      </c>
      <c r="DX161" s="645">
        <f t="shared" si="84"/>
        <v>349.66666666666663</v>
      </c>
      <c r="DY161" s="163">
        <f t="shared" si="84"/>
        <v>310.66666666666669</v>
      </c>
      <c r="DZ161" s="163">
        <f t="shared" si="84"/>
        <v>0</v>
      </c>
      <c r="EA161" s="163">
        <f t="shared" si="84"/>
        <v>38.999999999999993</v>
      </c>
      <c r="EB161" s="644">
        <f t="shared" si="84"/>
        <v>0</v>
      </c>
      <c r="EC161" s="645">
        <f t="shared" si="84"/>
        <v>398.66666666666669</v>
      </c>
      <c r="ED161" s="163">
        <f t="shared" si="84"/>
        <v>278</v>
      </c>
      <c r="EE161" s="163">
        <f t="shared" si="84"/>
        <v>0</v>
      </c>
      <c r="EF161" s="163">
        <f t="shared" si="84"/>
        <v>82.333333333333343</v>
      </c>
      <c r="EG161" s="643">
        <f t="shared" si="84"/>
        <v>38.333333333333329</v>
      </c>
      <c r="EH161" s="646">
        <f t="shared" ref="EH161:ER215" si="119">AL161</f>
        <v>206</v>
      </c>
      <c r="EI161" s="645">
        <f t="shared" si="117"/>
        <v>100.66666666666666</v>
      </c>
      <c r="EJ161" s="163">
        <f t="shared" si="117"/>
        <v>84</v>
      </c>
      <c r="EK161" s="163">
        <f t="shared" si="117"/>
        <v>0</v>
      </c>
      <c r="EL161" s="163">
        <f t="shared" si="117"/>
        <v>16.666666666666657</v>
      </c>
      <c r="EM161" s="644">
        <f t="shared" si="117"/>
        <v>0</v>
      </c>
      <c r="EN161" s="645">
        <f t="shared" si="117"/>
        <v>105.33333333333336</v>
      </c>
      <c r="EO161" s="163">
        <f t="shared" si="117"/>
        <v>70.999999999999972</v>
      </c>
      <c r="EP161" s="163">
        <f t="shared" si="79"/>
        <v>0</v>
      </c>
      <c r="EQ161" s="163">
        <f t="shared" si="79"/>
        <v>22.333333333333336</v>
      </c>
      <c r="ER161" s="643">
        <f t="shared" si="79"/>
        <v>12</v>
      </c>
    </row>
    <row r="162" spans="1:148">
      <c r="A162" s="665" t="s">
        <v>231</v>
      </c>
      <c r="B162" s="665">
        <v>43435</v>
      </c>
      <c r="C162" s="664">
        <v>2018</v>
      </c>
      <c r="D162" s="646">
        <f t="shared" si="111"/>
        <v>1599967.9999999998</v>
      </c>
      <c r="E162" s="646">
        <f t="shared" si="113"/>
        <v>24938.000000000004</v>
      </c>
      <c r="F162" s="645">
        <f t="shared" si="113"/>
        <v>11778.999999999998</v>
      </c>
      <c r="G162" s="163">
        <f t="shared" si="113"/>
        <v>9848</v>
      </c>
      <c r="H162" s="163">
        <f t="shared" si="113"/>
        <v>0</v>
      </c>
      <c r="I162" s="163">
        <f t="shared" si="113"/>
        <v>1931.0000000000009</v>
      </c>
      <c r="J162" s="644">
        <f t="shared" si="113"/>
        <v>0</v>
      </c>
      <c r="K162" s="645">
        <f t="shared" si="113"/>
        <v>13158.999999999998</v>
      </c>
      <c r="L162" s="163">
        <f t="shared" si="113"/>
        <v>9174.9999999999982</v>
      </c>
      <c r="M162" s="163">
        <f t="shared" si="113"/>
        <v>0</v>
      </c>
      <c r="N162" s="163">
        <f t="shared" si="113"/>
        <v>2587.9999999999995</v>
      </c>
      <c r="O162" s="643">
        <f t="shared" si="113"/>
        <v>1395.9999999999998</v>
      </c>
      <c r="P162" s="646">
        <f t="shared" si="113"/>
        <v>41</v>
      </c>
      <c r="Q162" s="645">
        <f t="shared" si="113"/>
        <v>17</v>
      </c>
      <c r="R162" s="163">
        <f t="shared" si="113"/>
        <v>16.000000000000004</v>
      </c>
      <c r="S162" s="163">
        <f t="shared" si="113"/>
        <v>0</v>
      </c>
      <c r="T162" s="163">
        <f t="shared" si="113"/>
        <v>1</v>
      </c>
      <c r="U162" s="644">
        <f t="shared" si="103"/>
        <v>0</v>
      </c>
      <c r="V162" s="645">
        <f t="shared" si="103"/>
        <v>24.000000000000004</v>
      </c>
      <c r="W162" s="163">
        <f t="shared" si="103"/>
        <v>16</v>
      </c>
      <c r="X162" s="163">
        <f t="shared" si="103"/>
        <v>0</v>
      </c>
      <c r="Y162" s="163">
        <f t="shared" si="103"/>
        <v>5.9999999999999991</v>
      </c>
      <c r="Z162" s="643">
        <f t="shared" si="103"/>
        <v>1.9999999999999998</v>
      </c>
      <c r="AA162" s="646">
        <f t="shared" si="103"/>
        <v>39</v>
      </c>
      <c r="AB162" s="645">
        <f t="shared" si="103"/>
        <v>11.000000000000002</v>
      </c>
      <c r="AC162" s="163">
        <f t="shared" si="103"/>
        <v>10.000000000000002</v>
      </c>
      <c r="AD162" s="163">
        <f t="shared" si="103"/>
        <v>0</v>
      </c>
      <c r="AE162" s="163">
        <f t="shared" si="103"/>
        <v>1</v>
      </c>
      <c r="AF162" s="644">
        <f t="shared" si="103"/>
        <v>0</v>
      </c>
      <c r="AG162" s="645">
        <f t="shared" si="103"/>
        <v>28.000000000000007</v>
      </c>
      <c r="AH162" s="163">
        <f t="shared" si="103"/>
        <v>23.999999999999996</v>
      </c>
      <c r="AI162" s="163">
        <f t="shared" si="103"/>
        <v>0</v>
      </c>
      <c r="AJ162" s="163">
        <f t="shared" si="103"/>
        <v>0</v>
      </c>
      <c r="AK162" s="643">
        <f t="shared" si="114"/>
        <v>4</v>
      </c>
      <c r="AL162" s="646">
        <f t="shared" si="114"/>
        <v>211</v>
      </c>
      <c r="AM162" s="645">
        <f t="shared" si="114"/>
        <v>103.99999999999999</v>
      </c>
      <c r="AN162" s="163">
        <f t="shared" si="114"/>
        <v>87</v>
      </c>
      <c r="AO162" s="163">
        <f t="shared" si="114"/>
        <v>0</v>
      </c>
      <c r="AP162" s="163">
        <f t="shared" si="114"/>
        <v>16.999999999999989</v>
      </c>
      <c r="AQ162" s="644">
        <f t="shared" si="114"/>
        <v>0</v>
      </c>
      <c r="AR162" s="645">
        <f t="shared" si="114"/>
        <v>107.00000000000003</v>
      </c>
      <c r="AS162" s="163">
        <f t="shared" si="114"/>
        <v>70.999999999999972</v>
      </c>
      <c r="AT162" s="163">
        <f t="shared" si="114"/>
        <v>0</v>
      </c>
      <c r="AU162" s="163">
        <f t="shared" si="114"/>
        <v>24.000000000000004</v>
      </c>
      <c r="AV162" s="643">
        <f t="shared" si="114"/>
        <v>12</v>
      </c>
      <c r="AW162" s="646">
        <f t="shared" si="114"/>
        <v>137.00000000000006</v>
      </c>
      <c r="AX162" s="645">
        <f t="shared" si="114"/>
        <v>60</v>
      </c>
      <c r="AY162" s="163">
        <f t="shared" si="114"/>
        <v>53.000000000000007</v>
      </c>
      <c r="AZ162" s="163">
        <f t="shared" si="114"/>
        <v>0</v>
      </c>
      <c r="BA162" s="163">
        <f t="shared" si="114"/>
        <v>7.0000000000000009</v>
      </c>
      <c r="BB162" s="644">
        <f t="shared" si="114"/>
        <v>0</v>
      </c>
      <c r="BC162" s="645">
        <f t="shared" si="114"/>
        <v>77</v>
      </c>
      <c r="BD162" s="163">
        <f t="shared" si="114"/>
        <v>60</v>
      </c>
      <c r="BE162" s="163">
        <f t="shared" si="114"/>
        <v>0</v>
      </c>
      <c r="BF162" s="163">
        <f t="shared" si="114"/>
        <v>10.000000000000002</v>
      </c>
      <c r="BG162" s="643">
        <f t="shared" si="114"/>
        <v>6.9999999999999991</v>
      </c>
      <c r="BH162" s="646">
        <f t="shared" si="112"/>
        <v>177</v>
      </c>
      <c r="BI162" s="645">
        <f t="shared" si="112"/>
        <v>94.999999999999986</v>
      </c>
      <c r="BJ162" s="163">
        <f t="shared" si="112"/>
        <v>84</v>
      </c>
      <c r="BK162" s="163">
        <f t="shared" si="112"/>
        <v>0</v>
      </c>
      <c r="BL162" s="163">
        <f t="shared" si="112"/>
        <v>11</v>
      </c>
      <c r="BM162" s="644">
        <f t="shared" si="112"/>
        <v>0</v>
      </c>
      <c r="BN162" s="645">
        <f t="shared" si="112"/>
        <v>82</v>
      </c>
      <c r="BO162" s="163">
        <f t="shared" si="112"/>
        <v>52.000000000000007</v>
      </c>
      <c r="BP162" s="163">
        <f t="shared" si="112"/>
        <v>0</v>
      </c>
      <c r="BQ162" s="163">
        <f t="shared" si="112"/>
        <v>23.000000000000004</v>
      </c>
      <c r="BR162" s="643">
        <f t="shared" si="112"/>
        <v>7</v>
      </c>
      <c r="BS162" s="646">
        <f t="shared" si="112"/>
        <v>243.00000000000006</v>
      </c>
      <c r="BT162" s="645">
        <f t="shared" si="112"/>
        <v>115.00000000000001</v>
      </c>
      <c r="BU162" s="163">
        <f t="shared" si="112"/>
        <v>103.99999999999999</v>
      </c>
      <c r="BV162" s="163">
        <f t="shared" si="112"/>
        <v>0</v>
      </c>
      <c r="BW162" s="163">
        <f t="shared" si="112"/>
        <v>10.999999999999998</v>
      </c>
      <c r="BX162" s="644">
        <f t="shared" si="115"/>
        <v>0</v>
      </c>
      <c r="BY162" s="645">
        <f t="shared" si="115"/>
        <v>127.99999999999996</v>
      </c>
      <c r="BZ162" s="163">
        <f t="shared" si="115"/>
        <v>82.000000000000014</v>
      </c>
      <c r="CA162" s="163">
        <f t="shared" si="115"/>
        <v>0</v>
      </c>
      <c r="CB162" s="163">
        <f t="shared" si="115"/>
        <v>30</v>
      </c>
      <c r="CC162" s="643">
        <f t="shared" si="115"/>
        <v>16</v>
      </c>
      <c r="CD162" s="646">
        <f t="shared" si="115"/>
        <v>69.999999999999986</v>
      </c>
      <c r="CE162" s="645">
        <f t="shared" si="115"/>
        <v>42.000000000000014</v>
      </c>
      <c r="CF162" s="163">
        <f t="shared" si="115"/>
        <v>34</v>
      </c>
      <c r="CG162" s="163">
        <f t="shared" si="115"/>
        <v>0</v>
      </c>
      <c r="CH162" s="163">
        <f t="shared" si="115"/>
        <v>7.9999999999999964</v>
      </c>
      <c r="CI162" s="644">
        <f t="shared" si="115"/>
        <v>0</v>
      </c>
      <c r="CJ162" s="645">
        <f t="shared" si="115"/>
        <v>28</v>
      </c>
      <c r="CK162" s="163">
        <f t="shared" si="115"/>
        <v>19</v>
      </c>
      <c r="CL162" s="163">
        <f t="shared" si="115"/>
        <v>0</v>
      </c>
      <c r="CM162" s="163">
        <f t="shared" si="115"/>
        <v>5.9999999999999991</v>
      </c>
      <c r="CN162" s="643">
        <f t="shared" si="118"/>
        <v>3</v>
      </c>
      <c r="CO162" s="646">
        <f t="shared" si="118"/>
        <v>48</v>
      </c>
      <c r="CP162" s="645">
        <f t="shared" si="118"/>
        <v>21.000000000000004</v>
      </c>
      <c r="CQ162" s="163">
        <f t="shared" si="118"/>
        <v>21.000000000000004</v>
      </c>
      <c r="CR162" s="163">
        <f t="shared" si="118"/>
        <v>0</v>
      </c>
      <c r="CS162" s="163">
        <f t="shared" si="118"/>
        <v>0</v>
      </c>
      <c r="CT162" s="644">
        <f t="shared" si="118"/>
        <v>0</v>
      </c>
      <c r="CU162" s="645">
        <f t="shared" si="118"/>
        <v>27</v>
      </c>
      <c r="CV162" s="163">
        <f t="shared" si="116"/>
        <v>18.999999999999993</v>
      </c>
      <c r="CW162" s="163">
        <f t="shared" si="110"/>
        <v>0</v>
      </c>
      <c r="CX162" s="163">
        <f t="shared" si="110"/>
        <v>8</v>
      </c>
      <c r="CY162" s="643">
        <f t="shared" si="110"/>
        <v>0</v>
      </c>
      <c r="CZ162" s="646">
        <f t="shared" si="110"/>
        <v>14.000000000000004</v>
      </c>
      <c r="DA162" s="645">
        <f t="shared" si="110"/>
        <v>1.9999999999999998</v>
      </c>
      <c r="DB162" s="163">
        <f t="shared" si="108"/>
        <v>0</v>
      </c>
      <c r="DC162" s="163">
        <f t="shared" si="108"/>
        <v>0</v>
      </c>
      <c r="DD162" s="163">
        <f t="shared" si="108"/>
        <v>1.9999999999999998</v>
      </c>
      <c r="DE162" s="644">
        <f t="shared" si="108"/>
        <v>0</v>
      </c>
      <c r="DF162" s="645">
        <f t="shared" si="108"/>
        <v>12.000000000000004</v>
      </c>
      <c r="DG162" s="163">
        <f t="shared" si="108"/>
        <v>11.000000000000007</v>
      </c>
      <c r="DH162" s="163">
        <f t="shared" si="108"/>
        <v>0</v>
      </c>
      <c r="DI162" s="163">
        <f t="shared" si="108"/>
        <v>1</v>
      </c>
      <c r="DJ162" s="643">
        <f t="shared" si="108"/>
        <v>0</v>
      </c>
      <c r="DK162" s="646">
        <f t="shared" si="108"/>
        <v>0</v>
      </c>
      <c r="DL162" s="645">
        <f t="shared" si="108"/>
        <v>0</v>
      </c>
      <c r="DM162" s="163">
        <f t="shared" si="108"/>
        <v>0</v>
      </c>
      <c r="DN162" s="163">
        <f t="shared" si="108"/>
        <v>0</v>
      </c>
      <c r="DO162" s="163">
        <f t="shared" si="108"/>
        <v>0</v>
      </c>
      <c r="DP162" s="644">
        <f t="shared" si="108"/>
        <v>0</v>
      </c>
      <c r="DQ162" s="645">
        <f t="shared" si="108"/>
        <v>0</v>
      </c>
      <c r="DR162" s="163">
        <f t="shared" si="108"/>
        <v>0</v>
      </c>
      <c r="DS162" s="163">
        <f t="shared" si="108"/>
        <v>0</v>
      </c>
      <c r="DT162" s="163">
        <f t="shared" si="108"/>
        <v>0</v>
      </c>
      <c r="DU162" s="643">
        <f t="shared" si="108"/>
        <v>0</v>
      </c>
      <c r="DW162" s="646">
        <f t="shared" si="84"/>
        <v>769.00000000000011</v>
      </c>
      <c r="DX162" s="645">
        <f t="shared" si="84"/>
        <v>363</v>
      </c>
      <c r="DY162" s="163">
        <f t="shared" ref="DY162:EG190" si="120">R162+AC162+AY162+BJ162+BU162+CF162+CQ162+DB162+DM162</f>
        <v>322</v>
      </c>
      <c r="DZ162" s="163">
        <f t="shared" si="120"/>
        <v>0</v>
      </c>
      <c r="EA162" s="163">
        <f t="shared" si="120"/>
        <v>41</v>
      </c>
      <c r="EB162" s="644">
        <f t="shared" si="120"/>
        <v>0</v>
      </c>
      <c r="EC162" s="645">
        <f t="shared" si="120"/>
        <v>405.99999999999994</v>
      </c>
      <c r="ED162" s="163">
        <f t="shared" si="120"/>
        <v>283</v>
      </c>
      <c r="EE162" s="163">
        <f t="shared" si="120"/>
        <v>0</v>
      </c>
      <c r="EF162" s="163">
        <f t="shared" si="120"/>
        <v>84</v>
      </c>
      <c r="EG162" s="643">
        <f t="shared" si="120"/>
        <v>39</v>
      </c>
      <c r="EH162" s="646">
        <f t="shared" si="119"/>
        <v>211</v>
      </c>
      <c r="EI162" s="645">
        <f t="shared" si="117"/>
        <v>103.99999999999999</v>
      </c>
      <c r="EJ162" s="163">
        <f t="shared" si="117"/>
        <v>87</v>
      </c>
      <c r="EK162" s="163">
        <f t="shared" si="117"/>
        <v>0</v>
      </c>
      <c r="EL162" s="163">
        <f t="shared" si="117"/>
        <v>16.999999999999989</v>
      </c>
      <c r="EM162" s="644">
        <f t="shared" si="117"/>
        <v>0</v>
      </c>
      <c r="EN162" s="645">
        <f t="shared" si="117"/>
        <v>107.00000000000003</v>
      </c>
      <c r="EO162" s="163">
        <f t="shared" si="117"/>
        <v>70.999999999999972</v>
      </c>
      <c r="EP162" s="163">
        <f t="shared" si="79"/>
        <v>0</v>
      </c>
      <c r="EQ162" s="163">
        <f t="shared" si="79"/>
        <v>24.000000000000004</v>
      </c>
      <c r="ER162" s="643">
        <f t="shared" si="79"/>
        <v>12</v>
      </c>
    </row>
    <row r="163" spans="1:148">
      <c r="A163" s="665" t="s">
        <v>232</v>
      </c>
      <c r="B163" s="665">
        <v>43466</v>
      </c>
      <c r="C163" s="664">
        <v>2019</v>
      </c>
      <c r="D163" s="646">
        <f t="shared" si="111"/>
        <v>1656287.6666666665</v>
      </c>
      <c r="E163" s="646">
        <f t="shared" si="113"/>
        <v>25385.666666666672</v>
      </c>
      <c r="F163" s="645">
        <f t="shared" si="113"/>
        <v>12062.333333333332</v>
      </c>
      <c r="G163" s="163">
        <f t="shared" si="113"/>
        <v>10036.333333333334</v>
      </c>
      <c r="H163" s="163">
        <f t="shared" si="113"/>
        <v>0</v>
      </c>
      <c r="I163" s="163">
        <f t="shared" si="113"/>
        <v>2026.0000000000009</v>
      </c>
      <c r="J163" s="644">
        <f t="shared" si="113"/>
        <v>0</v>
      </c>
      <c r="K163" s="645">
        <f t="shared" si="113"/>
        <v>13323.333333333332</v>
      </c>
      <c r="L163" s="163">
        <f t="shared" si="113"/>
        <v>9268.3333333333321</v>
      </c>
      <c r="M163" s="163">
        <f t="shared" si="113"/>
        <v>0</v>
      </c>
      <c r="N163" s="163">
        <f t="shared" si="113"/>
        <v>2650.9999999999995</v>
      </c>
      <c r="O163" s="643">
        <f t="shared" si="113"/>
        <v>1403.9999999999998</v>
      </c>
      <c r="P163" s="646">
        <f t="shared" si="113"/>
        <v>42</v>
      </c>
      <c r="Q163" s="645">
        <f t="shared" si="113"/>
        <v>17</v>
      </c>
      <c r="R163" s="163">
        <f t="shared" si="113"/>
        <v>16.000000000000004</v>
      </c>
      <c r="S163" s="163">
        <f t="shared" si="113"/>
        <v>0</v>
      </c>
      <c r="T163" s="163">
        <f t="shared" si="113"/>
        <v>1</v>
      </c>
      <c r="U163" s="644">
        <f t="shared" si="103"/>
        <v>0</v>
      </c>
      <c r="V163" s="645">
        <f t="shared" si="103"/>
        <v>25.000000000000004</v>
      </c>
      <c r="W163" s="163">
        <f t="shared" si="103"/>
        <v>16.666666666666668</v>
      </c>
      <c r="X163" s="163">
        <f t="shared" si="103"/>
        <v>0</v>
      </c>
      <c r="Y163" s="163">
        <f t="shared" si="103"/>
        <v>6.3333333333333321</v>
      </c>
      <c r="Z163" s="643">
        <f t="shared" si="103"/>
        <v>1.9999999999999998</v>
      </c>
      <c r="AA163" s="646">
        <f t="shared" si="103"/>
        <v>39</v>
      </c>
      <c r="AB163" s="645">
        <f t="shared" si="103"/>
        <v>11.000000000000002</v>
      </c>
      <c r="AC163" s="163">
        <f t="shared" si="103"/>
        <v>10.000000000000002</v>
      </c>
      <c r="AD163" s="163">
        <f t="shared" si="103"/>
        <v>0</v>
      </c>
      <c r="AE163" s="163">
        <f t="shared" si="103"/>
        <v>1</v>
      </c>
      <c r="AF163" s="644">
        <f t="shared" si="103"/>
        <v>0</v>
      </c>
      <c r="AG163" s="645">
        <f t="shared" si="103"/>
        <v>28.000000000000007</v>
      </c>
      <c r="AH163" s="163">
        <f t="shared" si="103"/>
        <v>23.999999999999996</v>
      </c>
      <c r="AI163" s="163">
        <f t="shared" si="103"/>
        <v>0</v>
      </c>
      <c r="AJ163" s="163">
        <f t="shared" si="103"/>
        <v>0</v>
      </c>
      <c r="AK163" s="643">
        <f t="shared" si="114"/>
        <v>4</v>
      </c>
      <c r="AL163" s="646">
        <f t="shared" si="114"/>
        <v>214.66666666666666</v>
      </c>
      <c r="AM163" s="645">
        <f t="shared" si="114"/>
        <v>106.66666666666666</v>
      </c>
      <c r="AN163" s="163">
        <f t="shared" si="114"/>
        <v>88.333333333333329</v>
      </c>
      <c r="AO163" s="163">
        <f t="shared" si="114"/>
        <v>0</v>
      </c>
      <c r="AP163" s="163">
        <f t="shared" si="114"/>
        <v>18.333333333333321</v>
      </c>
      <c r="AQ163" s="644">
        <f t="shared" si="114"/>
        <v>0</v>
      </c>
      <c r="AR163" s="645">
        <f t="shared" si="114"/>
        <v>108.00000000000003</v>
      </c>
      <c r="AS163" s="163">
        <f t="shared" si="114"/>
        <v>70.999999999999972</v>
      </c>
      <c r="AT163" s="163">
        <f t="shared" si="114"/>
        <v>0</v>
      </c>
      <c r="AU163" s="163">
        <f t="shared" si="114"/>
        <v>25.000000000000004</v>
      </c>
      <c r="AV163" s="643">
        <f t="shared" si="114"/>
        <v>12</v>
      </c>
      <c r="AW163" s="646">
        <f t="shared" si="114"/>
        <v>138.3333333333334</v>
      </c>
      <c r="AX163" s="645">
        <f t="shared" si="114"/>
        <v>60.666666666666664</v>
      </c>
      <c r="AY163" s="163">
        <f t="shared" si="114"/>
        <v>53.666666666666671</v>
      </c>
      <c r="AZ163" s="163">
        <f t="shared" si="114"/>
        <v>0</v>
      </c>
      <c r="BA163" s="163">
        <f t="shared" si="114"/>
        <v>7.0000000000000009</v>
      </c>
      <c r="BB163" s="644">
        <f t="shared" si="114"/>
        <v>0</v>
      </c>
      <c r="BC163" s="645">
        <f t="shared" si="114"/>
        <v>77.666666666666671</v>
      </c>
      <c r="BD163" s="163">
        <f t="shared" si="114"/>
        <v>60.333333333333336</v>
      </c>
      <c r="BE163" s="163">
        <f t="shared" si="114"/>
        <v>0</v>
      </c>
      <c r="BF163" s="163">
        <f t="shared" si="114"/>
        <v>10.333333333333336</v>
      </c>
      <c r="BG163" s="643">
        <f t="shared" si="114"/>
        <v>6.9999999999999991</v>
      </c>
      <c r="BH163" s="646">
        <f t="shared" si="112"/>
        <v>178</v>
      </c>
      <c r="BI163" s="645">
        <f t="shared" si="112"/>
        <v>95.666666666666657</v>
      </c>
      <c r="BJ163" s="163">
        <f t="shared" si="112"/>
        <v>84.666666666666671</v>
      </c>
      <c r="BK163" s="163">
        <f t="shared" si="112"/>
        <v>0</v>
      </c>
      <c r="BL163" s="163">
        <f t="shared" si="112"/>
        <v>11</v>
      </c>
      <c r="BM163" s="644">
        <f t="shared" si="112"/>
        <v>0</v>
      </c>
      <c r="BN163" s="645">
        <f t="shared" si="112"/>
        <v>82.333333333333329</v>
      </c>
      <c r="BO163" s="163">
        <f t="shared" si="112"/>
        <v>52.000000000000007</v>
      </c>
      <c r="BP163" s="163">
        <f t="shared" si="112"/>
        <v>0</v>
      </c>
      <c r="BQ163" s="163">
        <f t="shared" si="112"/>
        <v>23.333333333333336</v>
      </c>
      <c r="BR163" s="643">
        <f t="shared" si="112"/>
        <v>7</v>
      </c>
      <c r="BS163" s="646">
        <f t="shared" si="112"/>
        <v>246.3333333333334</v>
      </c>
      <c r="BT163" s="645">
        <f t="shared" si="112"/>
        <v>116.66666666666669</v>
      </c>
      <c r="BU163" s="163">
        <f t="shared" si="112"/>
        <v>104.99999999999999</v>
      </c>
      <c r="BV163" s="163">
        <f t="shared" si="112"/>
        <v>0</v>
      </c>
      <c r="BW163" s="163">
        <f t="shared" si="112"/>
        <v>11.666666666666664</v>
      </c>
      <c r="BX163" s="644">
        <f t="shared" si="115"/>
        <v>0</v>
      </c>
      <c r="BY163" s="645">
        <f t="shared" si="115"/>
        <v>129.66666666666663</v>
      </c>
      <c r="BZ163" s="163">
        <f t="shared" si="115"/>
        <v>82.333333333333343</v>
      </c>
      <c r="CA163" s="163">
        <f t="shared" si="115"/>
        <v>0</v>
      </c>
      <c r="CB163" s="163">
        <f t="shared" si="115"/>
        <v>31.333333333333332</v>
      </c>
      <c r="CC163" s="643">
        <f t="shared" si="115"/>
        <v>16</v>
      </c>
      <c r="CD163" s="646">
        <f t="shared" si="115"/>
        <v>69.999999999999986</v>
      </c>
      <c r="CE163" s="645">
        <f t="shared" si="115"/>
        <v>42.000000000000014</v>
      </c>
      <c r="CF163" s="163">
        <f t="shared" si="115"/>
        <v>34</v>
      </c>
      <c r="CG163" s="163">
        <f t="shared" si="115"/>
        <v>0</v>
      </c>
      <c r="CH163" s="163">
        <f t="shared" si="115"/>
        <v>7.9999999999999964</v>
      </c>
      <c r="CI163" s="644">
        <f t="shared" si="115"/>
        <v>0</v>
      </c>
      <c r="CJ163" s="645">
        <f t="shared" si="115"/>
        <v>28</v>
      </c>
      <c r="CK163" s="163">
        <f t="shared" si="115"/>
        <v>19</v>
      </c>
      <c r="CL163" s="163">
        <f t="shared" si="115"/>
        <v>0</v>
      </c>
      <c r="CM163" s="163">
        <f t="shared" si="115"/>
        <v>5.9999999999999991</v>
      </c>
      <c r="CN163" s="643">
        <f t="shared" si="118"/>
        <v>3</v>
      </c>
      <c r="CO163" s="646">
        <f t="shared" si="118"/>
        <v>48</v>
      </c>
      <c r="CP163" s="645">
        <f t="shared" si="118"/>
        <v>21.000000000000004</v>
      </c>
      <c r="CQ163" s="163">
        <f t="shared" si="118"/>
        <v>21.000000000000004</v>
      </c>
      <c r="CR163" s="163">
        <f t="shared" si="118"/>
        <v>0</v>
      </c>
      <c r="CS163" s="163">
        <f t="shared" si="118"/>
        <v>0</v>
      </c>
      <c r="CT163" s="644">
        <f t="shared" si="118"/>
        <v>0</v>
      </c>
      <c r="CU163" s="645">
        <f t="shared" si="118"/>
        <v>27</v>
      </c>
      <c r="CV163" s="163">
        <f t="shared" si="116"/>
        <v>18.999999999999993</v>
      </c>
      <c r="CW163" s="163">
        <f t="shared" si="110"/>
        <v>0</v>
      </c>
      <c r="CX163" s="163">
        <f t="shared" si="110"/>
        <v>8</v>
      </c>
      <c r="CY163" s="643">
        <f t="shared" si="110"/>
        <v>0</v>
      </c>
      <c r="CZ163" s="646">
        <f t="shared" si="110"/>
        <v>14.000000000000004</v>
      </c>
      <c r="DA163" s="645">
        <f t="shared" si="110"/>
        <v>1.9999999999999998</v>
      </c>
      <c r="DB163" s="163">
        <f t="shared" si="108"/>
        <v>0</v>
      </c>
      <c r="DC163" s="163">
        <f t="shared" si="108"/>
        <v>0</v>
      </c>
      <c r="DD163" s="163">
        <f t="shared" si="108"/>
        <v>1.9999999999999998</v>
      </c>
      <c r="DE163" s="644">
        <f t="shared" si="108"/>
        <v>0</v>
      </c>
      <c r="DF163" s="645">
        <f t="shared" si="108"/>
        <v>12.000000000000004</v>
      </c>
      <c r="DG163" s="163">
        <f t="shared" si="108"/>
        <v>11.000000000000007</v>
      </c>
      <c r="DH163" s="163">
        <f t="shared" si="108"/>
        <v>0</v>
      </c>
      <c r="DI163" s="163">
        <f t="shared" si="108"/>
        <v>1</v>
      </c>
      <c r="DJ163" s="643">
        <f t="shared" si="108"/>
        <v>0</v>
      </c>
      <c r="DK163" s="646">
        <f t="shared" si="108"/>
        <v>0</v>
      </c>
      <c r="DL163" s="645">
        <f t="shared" si="108"/>
        <v>0</v>
      </c>
      <c r="DM163" s="163">
        <f t="shared" si="108"/>
        <v>0</v>
      </c>
      <c r="DN163" s="163">
        <f t="shared" si="108"/>
        <v>0</v>
      </c>
      <c r="DO163" s="163">
        <f t="shared" si="108"/>
        <v>0</v>
      </c>
      <c r="DP163" s="644">
        <f t="shared" si="108"/>
        <v>0</v>
      </c>
      <c r="DQ163" s="645">
        <f t="shared" si="108"/>
        <v>0</v>
      </c>
      <c r="DR163" s="163">
        <f t="shared" si="108"/>
        <v>0</v>
      </c>
      <c r="DS163" s="163">
        <f t="shared" si="108"/>
        <v>0</v>
      </c>
      <c r="DT163" s="163">
        <f t="shared" si="108"/>
        <v>0</v>
      </c>
      <c r="DU163" s="643">
        <f t="shared" si="108"/>
        <v>0</v>
      </c>
      <c r="DW163" s="646">
        <f t="shared" ref="DW163:EA223" si="121">P163+AA163+AW163+BH163+BS163+CD163+CO163+CZ163+DK163</f>
        <v>775.66666666666674</v>
      </c>
      <c r="DX163" s="645">
        <f t="shared" si="121"/>
        <v>366</v>
      </c>
      <c r="DY163" s="163">
        <f t="shared" si="120"/>
        <v>324.33333333333337</v>
      </c>
      <c r="DZ163" s="163">
        <f t="shared" si="120"/>
        <v>0</v>
      </c>
      <c r="EA163" s="163">
        <f t="shared" si="120"/>
        <v>41.666666666666657</v>
      </c>
      <c r="EB163" s="644">
        <f t="shared" si="120"/>
        <v>0</v>
      </c>
      <c r="EC163" s="645">
        <f t="shared" si="120"/>
        <v>409.66666666666663</v>
      </c>
      <c r="ED163" s="163">
        <f t="shared" si="120"/>
        <v>284.33333333333331</v>
      </c>
      <c r="EE163" s="163">
        <f t="shared" si="120"/>
        <v>0</v>
      </c>
      <c r="EF163" s="163">
        <f t="shared" si="120"/>
        <v>86.333333333333329</v>
      </c>
      <c r="EG163" s="643">
        <f t="shared" si="120"/>
        <v>39</v>
      </c>
      <c r="EH163" s="646">
        <f t="shared" si="119"/>
        <v>214.66666666666666</v>
      </c>
      <c r="EI163" s="645">
        <f t="shared" si="117"/>
        <v>106.66666666666666</v>
      </c>
      <c r="EJ163" s="163">
        <f t="shared" si="117"/>
        <v>88.333333333333329</v>
      </c>
      <c r="EK163" s="163">
        <f t="shared" si="117"/>
        <v>0</v>
      </c>
      <c r="EL163" s="163">
        <f t="shared" si="117"/>
        <v>18.333333333333321</v>
      </c>
      <c r="EM163" s="644">
        <f t="shared" si="117"/>
        <v>0</v>
      </c>
      <c r="EN163" s="645">
        <f t="shared" si="117"/>
        <v>108.00000000000003</v>
      </c>
      <c r="EO163" s="163">
        <f t="shared" si="117"/>
        <v>70.999999999999972</v>
      </c>
      <c r="EP163" s="163">
        <f t="shared" si="79"/>
        <v>0</v>
      </c>
      <c r="EQ163" s="163">
        <f t="shared" si="79"/>
        <v>25.000000000000004</v>
      </c>
      <c r="ER163" s="643">
        <f t="shared" si="79"/>
        <v>12</v>
      </c>
    </row>
    <row r="164" spans="1:148">
      <c r="A164" s="665" t="s">
        <v>232</v>
      </c>
      <c r="B164" s="665">
        <v>43497</v>
      </c>
      <c r="C164" s="664">
        <v>2019</v>
      </c>
      <c r="D164" s="646">
        <f t="shared" si="111"/>
        <v>1712607.3333333333</v>
      </c>
      <c r="E164" s="646">
        <f t="shared" si="113"/>
        <v>25833.333333333339</v>
      </c>
      <c r="F164" s="645">
        <f t="shared" si="113"/>
        <v>12345.666666666666</v>
      </c>
      <c r="G164" s="163">
        <f t="shared" si="113"/>
        <v>10224.666666666668</v>
      </c>
      <c r="H164" s="163">
        <f t="shared" si="113"/>
        <v>0</v>
      </c>
      <c r="I164" s="163">
        <f t="shared" si="113"/>
        <v>2121.0000000000009</v>
      </c>
      <c r="J164" s="644">
        <f t="shared" si="113"/>
        <v>0</v>
      </c>
      <c r="K164" s="645">
        <f t="shared" si="113"/>
        <v>13487.666666666666</v>
      </c>
      <c r="L164" s="163">
        <f t="shared" si="113"/>
        <v>9361.6666666666661</v>
      </c>
      <c r="M164" s="163">
        <f t="shared" si="113"/>
        <v>0</v>
      </c>
      <c r="N164" s="163">
        <f t="shared" si="113"/>
        <v>2713.9999999999995</v>
      </c>
      <c r="O164" s="643">
        <f t="shared" si="113"/>
        <v>1411.9999999999998</v>
      </c>
      <c r="P164" s="646">
        <f t="shared" si="113"/>
        <v>43</v>
      </c>
      <c r="Q164" s="645">
        <f t="shared" si="113"/>
        <v>17</v>
      </c>
      <c r="R164" s="163">
        <f t="shared" si="113"/>
        <v>16.000000000000004</v>
      </c>
      <c r="S164" s="163">
        <f t="shared" si="113"/>
        <v>0</v>
      </c>
      <c r="T164" s="163">
        <f t="shared" si="113"/>
        <v>1</v>
      </c>
      <c r="U164" s="644">
        <f t="shared" si="103"/>
        <v>0</v>
      </c>
      <c r="V164" s="645">
        <f t="shared" si="103"/>
        <v>26.000000000000004</v>
      </c>
      <c r="W164" s="163">
        <f t="shared" si="103"/>
        <v>17.333333333333336</v>
      </c>
      <c r="X164" s="163">
        <f t="shared" si="103"/>
        <v>0</v>
      </c>
      <c r="Y164" s="163">
        <f t="shared" si="103"/>
        <v>6.6666666666666652</v>
      </c>
      <c r="Z164" s="643">
        <f t="shared" si="103"/>
        <v>1.9999999999999998</v>
      </c>
      <c r="AA164" s="646">
        <f t="shared" si="103"/>
        <v>39</v>
      </c>
      <c r="AB164" s="645">
        <f t="shared" si="103"/>
        <v>11.000000000000002</v>
      </c>
      <c r="AC164" s="163">
        <f t="shared" si="103"/>
        <v>10.000000000000002</v>
      </c>
      <c r="AD164" s="163">
        <f t="shared" si="103"/>
        <v>0</v>
      </c>
      <c r="AE164" s="163">
        <f t="shared" si="103"/>
        <v>1</v>
      </c>
      <c r="AF164" s="644">
        <f t="shared" si="103"/>
        <v>0</v>
      </c>
      <c r="AG164" s="645">
        <f t="shared" si="103"/>
        <v>28.000000000000007</v>
      </c>
      <c r="AH164" s="163">
        <f t="shared" si="103"/>
        <v>23.999999999999996</v>
      </c>
      <c r="AI164" s="163">
        <f t="shared" si="103"/>
        <v>0</v>
      </c>
      <c r="AJ164" s="163">
        <f t="shared" si="103"/>
        <v>0</v>
      </c>
      <c r="AK164" s="643">
        <f t="shared" si="114"/>
        <v>4</v>
      </c>
      <c r="AL164" s="646">
        <f t="shared" si="114"/>
        <v>218.33333333333331</v>
      </c>
      <c r="AM164" s="645">
        <f t="shared" si="114"/>
        <v>109.33333333333333</v>
      </c>
      <c r="AN164" s="163">
        <f t="shared" si="114"/>
        <v>89.666666666666657</v>
      </c>
      <c r="AO164" s="163">
        <f t="shared" si="114"/>
        <v>0</v>
      </c>
      <c r="AP164" s="163">
        <f t="shared" si="114"/>
        <v>19.666666666666654</v>
      </c>
      <c r="AQ164" s="644">
        <f t="shared" si="114"/>
        <v>0</v>
      </c>
      <c r="AR164" s="645">
        <f t="shared" si="114"/>
        <v>109.00000000000003</v>
      </c>
      <c r="AS164" s="163">
        <f t="shared" si="114"/>
        <v>70.999999999999972</v>
      </c>
      <c r="AT164" s="163">
        <f t="shared" si="114"/>
        <v>0</v>
      </c>
      <c r="AU164" s="163">
        <f t="shared" si="114"/>
        <v>26.000000000000004</v>
      </c>
      <c r="AV164" s="643">
        <f t="shared" si="114"/>
        <v>12</v>
      </c>
      <c r="AW164" s="646">
        <f t="shared" si="114"/>
        <v>139.66666666666674</v>
      </c>
      <c r="AX164" s="645">
        <f t="shared" si="114"/>
        <v>61.333333333333329</v>
      </c>
      <c r="AY164" s="163">
        <f t="shared" si="114"/>
        <v>54.333333333333336</v>
      </c>
      <c r="AZ164" s="163">
        <f t="shared" si="114"/>
        <v>0</v>
      </c>
      <c r="BA164" s="163">
        <f t="shared" si="114"/>
        <v>7.0000000000000009</v>
      </c>
      <c r="BB164" s="644">
        <f t="shared" si="114"/>
        <v>0</v>
      </c>
      <c r="BC164" s="645">
        <f t="shared" si="114"/>
        <v>78.333333333333343</v>
      </c>
      <c r="BD164" s="163">
        <f t="shared" si="114"/>
        <v>60.666666666666671</v>
      </c>
      <c r="BE164" s="163">
        <f t="shared" si="114"/>
        <v>0</v>
      </c>
      <c r="BF164" s="163">
        <f t="shared" si="114"/>
        <v>10.66666666666667</v>
      </c>
      <c r="BG164" s="643">
        <f t="shared" si="114"/>
        <v>6.9999999999999991</v>
      </c>
      <c r="BH164" s="646">
        <f t="shared" si="112"/>
        <v>179</v>
      </c>
      <c r="BI164" s="645">
        <f t="shared" si="112"/>
        <v>96.333333333333329</v>
      </c>
      <c r="BJ164" s="163">
        <f t="shared" si="112"/>
        <v>85.333333333333343</v>
      </c>
      <c r="BK164" s="163">
        <f t="shared" si="112"/>
        <v>0</v>
      </c>
      <c r="BL164" s="163">
        <f t="shared" si="112"/>
        <v>11</v>
      </c>
      <c r="BM164" s="644">
        <f t="shared" si="112"/>
        <v>0</v>
      </c>
      <c r="BN164" s="645">
        <f t="shared" si="112"/>
        <v>82.666666666666657</v>
      </c>
      <c r="BO164" s="163">
        <f t="shared" si="112"/>
        <v>52.000000000000007</v>
      </c>
      <c r="BP164" s="163">
        <f t="shared" si="112"/>
        <v>0</v>
      </c>
      <c r="BQ164" s="163">
        <f t="shared" si="112"/>
        <v>23.666666666666668</v>
      </c>
      <c r="BR164" s="643">
        <f t="shared" si="112"/>
        <v>7</v>
      </c>
      <c r="BS164" s="646">
        <f t="shared" si="112"/>
        <v>249.66666666666674</v>
      </c>
      <c r="BT164" s="645">
        <f t="shared" si="112"/>
        <v>118.33333333333336</v>
      </c>
      <c r="BU164" s="163">
        <f t="shared" si="112"/>
        <v>105.99999999999999</v>
      </c>
      <c r="BV164" s="163">
        <f t="shared" si="112"/>
        <v>0</v>
      </c>
      <c r="BW164" s="163">
        <f t="shared" si="112"/>
        <v>12.33333333333333</v>
      </c>
      <c r="BX164" s="644">
        <f t="shared" si="115"/>
        <v>0</v>
      </c>
      <c r="BY164" s="645">
        <f t="shared" si="115"/>
        <v>131.33333333333329</v>
      </c>
      <c r="BZ164" s="163">
        <f t="shared" si="115"/>
        <v>82.666666666666671</v>
      </c>
      <c r="CA164" s="163">
        <f t="shared" si="115"/>
        <v>0</v>
      </c>
      <c r="CB164" s="163">
        <f t="shared" si="115"/>
        <v>32.666666666666664</v>
      </c>
      <c r="CC164" s="643">
        <f t="shared" si="115"/>
        <v>16</v>
      </c>
      <c r="CD164" s="646">
        <f t="shared" si="115"/>
        <v>69.999999999999986</v>
      </c>
      <c r="CE164" s="645">
        <f t="shared" si="115"/>
        <v>42.000000000000014</v>
      </c>
      <c r="CF164" s="163">
        <f t="shared" si="115"/>
        <v>34</v>
      </c>
      <c r="CG164" s="163">
        <f t="shared" si="115"/>
        <v>0</v>
      </c>
      <c r="CH164" s="163">
        <f t="shared" si="115"/>
        <v>7.9999999999999964</v>
      </c>
      <c r="CI164" s="644">
        <f t="shared" si="115"/>
        <v>0</v>
      </c>
      <c r="CJ164" s="645">
        <f t="shared" si="115"/>
        <v>28</v>
      </c>
      <c r="CK164" s="163">
        <f t="shared" si="115"/>
        <v>19</v>
      </c>
      <c r="CL164" s="163">
        <f t="shared" si="115"/>
        <v>0</v>
      </c>
      <c r="CM164" s="163">
        <f t="shared" si="115"/>
        <v>5.9999999999999991</v>
      </c>
      <c r="CN164" s="643">
        <f t="shared" si="118"/>
        <v>3</v>
      </c>
      <c r="CO164" s="646">
        <f t="shared" si="118"/>
        <v>48</v>
      </c>
      <c r="CP164" s="645">
        <f t="shared" si="118"/>
        <v>21.000000000000004</v>
      </c>
      <c r="CQ164" s="163">
        <f t="shared" si="118"/>
        <v>21.000000000000004</v>
      </c>
      <c r="CR164" s="163">
        <f t="shared" si="118"/>
        <v>0</v>
      </c>
      <c r="CS164" s="163">
        <f t="shared" si="118"/>
        <v>0</v>
      </c>
      <c r="CT164" s="644">
        <f t="shared" si="118"/>
        <v>0</v>
      </c>
      <c r="CU164" s="645">
        <f t="shared" si="118"/>
        <v>27</v>
      </c>
      <c r="CV164" s="163">
        <f t="shared" si="116"/>
        <v>18.999999999999993</v>
      </c>
      <c r="CW164" s="163">
        <f t="shared" si="110"/>
        <v>0</v>
      </c>
      <c r="CX164" s="163">
        <f t="shared" si="110"/>
        <v>8</v>
      </c>
      <c r="CY164" s="643">
        <f t="shared" si="110"/>
        <v>0</v>
      </c>
      <c r="CZ164" s="646">
        <f t="shared" si="110"/>
        <v>14.000000000000004</v>
      </c>
      <c r="DA164" s="645">
        <f t="shared" si="110"/>
        <v>1.9999999999999998</v>
      </c>
      <c r="DB164" s="163">
        <f t="shared" si="108"/>
        <v>0</v>
      </c>
      <c r="DC164" s="163">
        <f t="shared" si="108"/>
        <v>0</v>
      </c>
      <c r="DD164" s="163">
        <f t="shared" si="108"/>
        <v>1.9999999999999998</v>
      </c>
      <c r="DE164" s="644">
        <f t="shared" si="108"/>
        <v>0</v>
      </c>
      <c r="DF164" s="645">
        <f t="shared" si="108"/>
        <v>12.000000000000004</v>
      </c>
      <c r="DG164" s="163">
        <f t="shared" si="108"/>
        <v>11.000000000000007</v>
      </c>
      <c r="DH164" s="163">
        <f t="shared" si="108"/>
        <v>0</v>
      </c>
      <c r="DI164" s="163">
        <f t="shared" si="108"/>
        <v>1</v>
      </c>
      <c r="DJ164" s="643">
        <f t="shared" si="108"/>
        <v>0</v>
      </c>
      <c r="DK164" s="646">
        <f t="shared" si="108"/>
        <v>0</v>
      </c>
      <c r="DL164" s="645">
        <f t="shared" si="108"/>
        <v>0</v>
      </c>
      <c r="DM164" s="163">
        <f t="shared" si="108"/>
        <v>0</v>
      </c>
      <c r="DN164" s="163">
        <f t="shared" si="108"/>
        <v>0</v>
      </c>
      <c r="DO164" s="163">
        <f t="shared" si="108"/>
        <v>0</v>
      </c>
      <c r="DP164" s="644">
        <f t="shared" si="108"/>
        <v>0</v>
      </c>
      <c r="DQ164" s="645">
        <f t="shared" si="108"/>
        <v>0</v>
      </c>
      <c r="DR164" s="163">
        <f t="shared" si="108"/>
        <v>0</v>
      </c>
      <c r="DS164" s="163">
        <f t="shared" si="108"/>
        <v>0</v>
      </c>
      <c r="DT164" s="163">
        <f t="shared" si="108"/>
        <v>0</v>
      </c>
      <c r="DU164" s="643">
        <f t="shared" si="108"/>
        <v>0</v>
      </c>
      <c r="DW164" s="646">
        <f t="shared" si="121"/>
        <v>782.33333333333348</v>
      </c>
      <c r="DX164" s="645">
        <f t="shared" si="121"/>
        <v>369</v>
      </c>
      <c r="DY164" s="163">
        <f t="shared" si="120"/>
        <v>326.66666666666669</v>
      </c>
      <c r="DZ164" s="163">
        <f t="shared" si="120"/>
        <v>0</v>
      </c>
      <c r="EA164" s="163">
        <f t="shared" si="120"/>
        <v>42.333333333333329</v>
      </c>
      <c r="EB164" s="644">
        <f t="shared" si="120"/>
        <v>0</v>
      </c>
      <c r="EC164" s="645">
        <f t="shared" si="120"/>
        <v>413.33333333333331</v>
      </c>
      <c r="ED164" s="163">
        <f t="shared" si="120"/>
        <v>285.66666666666669</v>
      </c>
      <c r="EE164" s="163">
        <f t="shared" si="120"/>
        <v>0</v>
      </c>
      <c r="EF164" s="163">
        <f t="shared" si="120"/>
        <v>88.666666666666657</v>
      </c>
      <c r="EG164" s="643">
        <f t="shared" si="120"/>
        <v>39</v>
      </c>
      <c r="EH164" s="646">
        <f t="shared" si="119"/>
        <v>218.33333333333331</v>
      </c>
      <c r="EI164" s="645">
        <f t="shared" si="117"/>
        <v>109.33333333333333</v>
      </c>
      <c r="EJ164" s="163">
        <f t="shared" si="117"/>
        <v>89.666666666666657</v>
      </c>
      <c r="EK164" s="163">
        <f t="shared" si="117"/>
        <v>0</v>
      </c>
      <c r="EL164" s="163">
        <f t="shared" si="117"/>
        <v>19.666666666666654</v>
      </c>
      <c r="EM164" s="644">
        <f t="shared" si="117"/>
        <v>0</v>
      </c>
      <c r="EN164" s="645">
        <f t="shared" si="117"/>
        <v>109.00000000000003</v>
      </c>
      <c r="EO164" s="163">
        <f t="shared" si="117"/>
        <v>70.999999999999972</v>
      </c>
      <c r="EP164" s="163">
        <f t="shared" si="79"/>
        <v>0</v>
      </c>
      <c r="EQ164" s="163">
        <f t="shared" si="79"/>
        <v>26.000000000000004</v>
      </c>
      <c r="ER164" s="643">
        <f t="shared" si="79"/>
        <v>12</v>
      </c>
    </row>
    <row r="165" spans="1:148">
      <c r="A165" s="665" t="s">
        <v>232</v>
      </c>
      <c r="B165" s="665">
        <v>43525</v>
      </c>
      <c r="C165" s="664">
        <v>2019</v>
      </c>
      <c r="D165" s="646">
        <f t="shared" si="111"/>
        <v>1768927</v>
      </c>
      <c r="E165" s="646">
        <f t="shared" si="113"/>
        <v>26281.000000000007</v>
      </c>
      <c r="F165" s="645">
        <f t="shared" si="113"/>
        <v>12629</v>
      </c>
      <c r="G165" s="163">
        <f t="shared" si="113"/>
        <v>10413.000000000002</v>
      </c>
      <c r="H165" s="163">
        <f t="shared" si="113"/>
        <v>0</v>
      </c>
      <c r="I165" s="163">
        <f t="shared" si="113"/>
        <v>2216.0000000000009</v>
      </c>
      <c r="J165" s="644">
        <f t="shared" si="113"/>
        <v>0</v>
      </c>
      <c r="K165" s="645">
        <f t="shared" si="113"/>
        <v>13652</v>
      </c>
      <c r="L165" s="163">
        <f t="shared" si="113"/>
        <v>9455</v>
      </c>
      <c r="M165" s="163">
        <f t="shared" si="113"/>
        <v>0</v>
      </c>
      <c r="N165" s="163">
        <f t="shared" si="113"/>
        <v>2776.9999999999995</v>
      </c>
      <c r="O165" s="643">
        <f t="shared" si="113"/>
        <v>1419.9999999999998</v>
      </c>
      <c r="P165" s="646">
        <f t="shared" si="113"/>
        <v>44</v>
      </c>
      <c r="Q165" s="645">
        <f t="shared" si="113"/>
        <v>17</v>
      </c>
      <c r="R165" s="163">
        <f t="shared" si="113"/>
        <v>16.000000000000004</v>
      </c>
      <c r="S165" s="163">
        <f t="shared" si="113"/>
        <v>0</v>
      </c>
      <c r="T165" s="163">
        <f t="shared" si="113"/>
        <v>1</v>
      </c>
      <c r="U165" s="644">
        <f t="shared" si="103"/>
        <v>0</v>
      </c>
      <c r="V165" s="645">
        <f t="shared" si="103"/>
        <v>27.000000000000004</v>
      </c>
      <c r="W165" s="163">
        <f t="shared" si="103"/>
        <v>18.000000000000004</v>
      </c>
      <c r="X165" s="163">
        <f t="shared" si="103"/>
        <v>0</v>
      </c>
      <c r="Y165" s="163">
        <f t="shared" si="103"/>
        <v>6.9999999999999982</v>
      </c>
      <c r="Z165" s="643">
        <f t="shared" si="103"/>
        <v>1.9999999999999998</v>
      </c>
      <c r="AA165" s="646">
        <f t="shared" si="103"/>
        <v>39</v>
      </c>
      <c r="AB165" s="645">
        <f t="shared" si="103"/>
        <v>11.000000000000002</v>
      </c>
      <c r="AC165" s="163">
        <f t="shared" si="103"/>
        <v>10.000000000000002</v>
      </c>
      <c r="AD165" s="163">
        <f t="shared" si="103"/>
        <v>0</v>
      </c>
      <c r="AE165" s="163">
        <f t="shared" si="103"/>
        <v>1</v>
      </c>
      <c r="AF165" s="644">
        <f t="shared" si="103"/>
        <v>0</v>
      </c>
      <c r="AG165" s="645">
        <f t="shared" si="103"/>
        <v>28.000000000000007</v>
      </c>
      <c r="AH165" s="163">
        <f t="shared" si="103"/>
        <v>23.999999999999996</v>
      </c>
      <c r="AI165" s="163">
        <f t="shared" si="103"/>
        <v>0</v>
      </c>
      <c r="AJ165" s="163">
        <f t="shared" si="103"/>
        <v>0</v>
      </c>
      <c r="AK165" s="643">
        <f t="shared" si="114"/>
        <v>4</v>
      </c>
      <c r="AL165" s="646">
        <f t="shared" si="114"/>
        <v>221.99999999999997</v>
      </c>
      <c r="AM165" s="645">
        <f t="shared" si="114"/>
        <v>112</v>
      </c>
      <c r="AN165" s="163">
        <f t="shared" si="114"/>
        <v>90.999999999999986</v>
      </c>
      <c r="AO165" s="163">
        <f t="shared" si="114"/>
        <v>0</v>
      </c>
      <c r="AP165" s="163">
        <f t="shared" si="114"/>
        <v>20.999999999999986</v>
      </c>
      <c r="AQ165" s="644">
        <f t="shared" si="114"/>
        <v>0</v>
      </c>
      <c r="AR165" s="645">
        <f t="shared" si="114"/>
        <v>110.00000000000003</v>
      </c>
      <c r="AS165" s="163">
        <f t="shared" si="114"/>
        <v>70.999999999999972</v>
      </c>
      <c r="AT165" s="163">
        <f t="shared" si="114"/>
        <v>0</v>
      </c>
      <c r="AU165" s="163">
        <f t="shared" si="114"/>
        <v>27.000000000000004</v>
      </c>
      <c r="AV165" s="643">
        <f t="shared" si="114"/>
        <v>12</v>
      </c>
      <c r="AW165" s="646">
        <f t="shared" si="114"/>
        <v>141.00000000000009</v>
      </c>
      <c r="AX165" s="645">
        <f t="shared" si="114"/>
        <v>61.999999999999993</v>
      </c>
      <c r="AY165" s="163">
        <f t="shared" si="114"/>
        <v>55</v>
      </c>
      <c r="AZ165" s="163">
        <f t="shared" si="114"/>
        <v>0</v>
      </c>
      <c r="BA165" s="163">
        <f t="shared" si="114"/>
        <v>7.0000000000000009</v>
      </c>
      <c r="BB165" s="644">
        <f t="shared" si="114"/>
        <v>0</v>
      </c>
      <c r="BC165" s="645">
        <f t="shared" si="114"/>
        <v>79.000000000000014</v>
      </c>
      <c r="BD165" s="163">
        <f t="shared" si="114"/>
        <v>61.000000000000007</v>
      </c>
      <c r="BE165" s="163">
        <f t="shared" si="114"/>
        <v>0</v>
      </c>
      <c r="BF165" s="163">
        <f t="shared" si="114"/>
        <v>11.000000000000004</v>
      </c>
      <c r="BG165" s="643">
        <f t="shared" si="114"/>
        <v>6.9999999999999991</v>
      </c>
      <c r="BH165" s="646">
        <f t="shared" si="112"/>
        <v>180</v>
      </c>
      <c r="BI165" s="645">
        <f t="shared" si="112"/>
        <v>97</v>
      </c>
      <c r="BJ165" s="163">
        <f t="shared" si="112"/>
        <v>86.000000000000014</v>
      </c>
      <c r="BK165" s="163">
        <f t="shared" si="112"/>
        <v>0</v>
      </c>
      <c r="BL165" s="163">
        <f t="shared" si="112"/>
        <v>11</v>
      </c>
      <c r="BM165" s="644">
        <f t="shared" si="112"/>
        <v>0</v>
      </c>
      <c r="BN165" s="645">
        <f t="shared" si="112"/>
        <v>82.999999999999986</v>
      </c>
      <c r="BO165" s="163">
        <f t="shared" si="112"/>
        <v>52.000000000000007</v>
      </c>
      <c r="BP165" s="163">
        <f t="shared" si="112"/>
        <v>0</v>
      </c>
      <c r="BQ165" s="163">
        <f t="shared" si="112"/>
        <v>24</v>
      </c>
      <c r="BR165" s="643">
        <f t="shared" si="112"/>
        <v>7</v>
      </c>
      <c r="BS165" s="646">
        <f t="shared" si="112"/>
        <v>253.00000000000009</v>
      </c>
      <c r="BT165" s="645">
        <f t="shared" si="112"/>
        <v>120.00000000000003</v>
      </c>
      <c r="BU165" s="163">
        <f t="shared" si="112"/>
        <v>106.99999999999999</v>
      </c>
      <c r="BV165" s="163">
        <f t="shared" si="112"/>
        <v>0</v>
      </c>
      <c r="BW165" s="163">
        <f t="shared" si="112"/>
        <v>12.999999999999996</v>
      </c>
      <c r="BX165" s="644">
        <f t="shared" si="115"/>
        <v>0</v>
      </c>
      <c r="BY165" s="645">
        <f t="shared" si="115"/>
        <v>132.99999999999994</v>
      </c>
      <c r="BZ165" s="163">
        <f t="shared" si="115"/>
        <v>83</v>
      </c>
      <c r="CA165" s="163">
        <f t="shared" si="115"/>
        <v>0</v>
      </c>
      <c r="CB165" s="163">
        <f t="shared" si="115"/>
        <v>34</v>
      </c>
      <c r="CC165" s="643">
        <f t="shared" si="115"/>
        <v>16</v>
      </c>
      <c r="CD165" s="646">
        <f t="shared" si="115"/>
        <v>69.999999999999986</v>
      </c>
      <c r="CE165" s="645">
        <f t="shared" si="115"/>
        <v>42.000000000000014</v>
      </c>
      <c r="CF165" s="163">
        <f t="shared" si="115"/>
        <v>34</v>
      </c>
      <c r="CG165" s="163">
        <f t="shared" si="115"/>
        <v>0</v>
      </c>
      <c r="CH165" s="163">
        <f t="shared" si="115"/>
        <v>7.9999999999999964</v>
      </c>
      <c r="CI165" s="644">
        <f t="shared" si="115"/>
        <v>0</v>
      </c>
      <c r="CJ165" s="645">
        <f t="shared" si="115"/>
        <v>28</v>
      </c>
      <c r="CK165" s="163">
        <f t="shared" si="115"/>
        <v>19</v>
      </c>
      <c r="CL165" s="163">
        <f t="shared" si="115"/>
        <v>0</v>
      </c>
      <c r="CM165" s="163">
        <f t="shared" si="115"/>
        <v>5.9999999999999991</v>
      </c>
      <c r="CN165" s="643">
        <f t="shared" si="118"/>
        <v>3</v>
      </c>
      <c r="CO165" s="646">
        <f t="shared" si="118"/>
        <v>48</v>
      </c>
      <c r="CP165" s="645">
        <f t="shared" si="118"/>
        <v>21.000000000000004</v>
      </c>
      <c r="CQ165" s="163">
        <f t="shared" si="118"/>
        <v>21.000000000000004</v>
      </c>
      <c r="CR165" s="163">
        <f t="shared" si="118"/>
        <v>0</v>
      </c>
      <c r="CS165" s="163">
        <f t="shared" si="118"/>
        <v>0</v>
      </c>
      <c r="CT165" s="644">
        <f t="shared" si="118"/>
        <v>0</v>
      </c>
      <c r="CU165" s="645">
        <f t="shared" si="118"/>
        <v>27</v>
      </c>
      <c r="CV165" s="163">
        <f t="shared" si="116"/>
        <v>18.999999999999993</v>
      </c>
      <c r="CW165" s="163">
        <f t="shared" si="110"/>
        <v>0</v>
      </c>
      <c r="CX165" s="163">
        <f t="shared" si="110"/>
        <v>8</v>
      </c>
      <c r="CY165" s="643">
        <f t="shared" si="110"/>
        <v>0</v>
      </c>
      <c r="CZ165" s="646">
        <f t="shared" si="110"/>
        <v>14.000000000000004</v>
      </c>
      <c r="DA165" s="645">
        <f t="shared" si="110"/>
        <v>1.9999999999999998</v>
      </c>
      <c r="DB165" s="163">
        <f t="shared" si="108"/>
        <v>0</v>
      </c>
      <c r="DC165" s="163">
        <f t="shared" si="108"/>
        <v>0</v>
      </c>
      <c r="DD165" s="163">
        <f t="shared" si="108"/>
        <v>1.9999999999999998</v>
      </c>
      <c r="DE165" s="644">
        <f t="shared" si="108"/>
        <v>0</v>
      </c>
      <c r="DF165" s="645">
        <f t="shared" si="108"/>
        <v>12.000000000000004</v>
      </c>
      <c r="DG165" s="163">
        <f t="shared" si="108"/>
        <v>11.000000000000007</v>
      </c>
      <c r="DH165" s="163">
        <f t="shared" si="108"/>
        <v>0</v>
      </c>
      <c r="DI165" s="163">
        <f t="shared" si="108"/>
        <v>1</v>
      </c>
      <c r="DJ165" s="643">
        <f t="shared" si="108"/>
        <v>0</v>
      </c>
      <c r="DK165" s="646">
        <f t="shared" si="108"/>
        <v>0</v>
      </c>
      <c r="DL165" s="645">
        <f t="shared" si="108"/>
        <v>0</v>
      </c>
      <c r="DM165" s="163">
        <f t="shared" si="108"/>
        <v>0</v>
      </c>
      <c r="DN165" s="163">
        <f t="shared" si="108"/>
        <v>0</v>
      </c>
      <c r="DO165" s="163">
        <f t="shared" si="108"/>
        <v>0</v>
      </c>
      <c r="DP165" s="644">
        <f t="shared" si="108"/>
        <v>0</v>
      </c>
      <c r="DQ165" s="645">
        <f t="shared" si="108"/>
        <v>0</v>
      </c>
      <c r="DR165" s="163">
        <f t="shared" si="108"/>
        <v>0</v>
      </c>
      <c r="DS165" s="163">
        <f t="shared" si="108"/>
        <v>0</v>
      </c>
      <c r="DT165" s="163">
        <f t="shared" si="108"/>
        <v>0</v>
      </c>
      <c r="DU165" s="643">
        <f t="shared" si="108"/>
        <v>0</v>
      </c>
      <c r="DW165" s="646">
        <f t="shared" si="121"/>
        <v>789.00000000000023</v>
      </c>
      <c r="DX165" s="645">
        <f t="shared" si="121"/>
        <v>372</v>
      </c>
      <c r="DY165" s="163">
        <f t="shared" si="120"/>
        <v>329</v>
      </c>
      <c r="DZ165" s="163">
        <f t="shared" si="120"/>
        <v>0</v>
      </c>
      <c r="EA165" s="163">
        <f t="shared" si="120"/>
        <v>43</v>
      </c>
      <c r="EB165" s="644">
        <f t="shared" si="120"/>
        <v>0</v>
      </c>
      <c r="EC165" s="645">
        <f t="shared" si="120"/>
        <v>416.99999999999994</v>
      </c>
      <c r="ED165" s="163">
        <f t="shared" si="120"/>
        <v>287</v>
      </c>
      <c r="EE165" s="163">
        <f t="shared" si="120"/>
        <v>0</v>
      </c>
      <c r="EF165" s="163">
        <f t="shared" si="120"/>
        <v>91</v>
      </c>
      <c r="EG165" s="643">
        <f t="shared" si="120"/>
        <v>39</v>
      </c>
      <c r="EH165" s="646">
        <f t="shared" si="119"/>
        <v>221.99999999999997</v>
      </c>
      <c r="EI165" s="645">
        <f t="shared" si="117"/>
        <v>112</v>
      </c>
      <c r="EJ165" s="163">
        <f t="shared" si="117"/>
        <v>90.999999999999986</v>
      </c>
      <c r="EK165" s="163">
        <f t="shared" si="117"/>
        <v>0</v>
      </c>
      <c r="EL165" s="163">
        <f t="shared" si="117"/>
        <v>20.999999999999986</v>
      </c>
      <c r="EM165" s="644">
        <f t="shared" si="117"/>
        <v>0</v>
      </c>
      <c r="EN165" s="645">
        <f t="shared" si="117"/>
        <v>110.00000000000003</v>
      </c>
      <c r="EO165" s="163">
        <f t="shared" si="117"/>
        <v>70.999999999999972</v>
      </c>
      <c r="EP165" s="163">
        <f t="shared" si="79"/>
        <v>0</v>
      </c>
      <c r="EQ165" s="163">
        <f t="shared" si="79"/>
        <v>27.000000000000004</v>
      </c>
      <c r="ER165" s="643">
        <f t="shared" si="79"/>
        <v>12</v>
      </c>
    </row>
    <row r="166" spans="1:148">
      <c r="A166" s="665" t="s">
        <v>233</v>
      </c>
      <c r="B166" s="665">
        <v>43556</v>
      </c>
      <c r="C166" s="664">
        <v>2019</v>
      </c>
      <c r="D166" s="646">
        <f t="shared" si="111"/>
        <v>1843191</v>
      </c>
      <c r="E166" s="646">
        <f t="shared" si="113"/>
        <v>27239.333333333339</v>
      </c>
      <c r="F166" s="645">
        <f t="shared" si="113"/>
        <v>13293</v>
      </c>
      <c r="G166" s="163">
        <f t="shared" si="113"/>
        <v>10965.000000000002</v>
      </c>
      <c r="H166" s="163">
        <f t="shared" si="113"/>
        <v>0</v>
      </c>
      <c r="I166" s="163">
        <f t="shared" si="113"/>
        <v>2328.0000000000009</v>
      </c>
      <c r="J166" s="644">
        <f t="shared" si="113"/>
        <v>0</v>
      </c>
      <c r="K166" s="645">
        <f t="shared" si="113"/>
        <v>13946.333333333334</v>
      </c>
      <c r="L166" s="163">
        <f t="shared" si="113"/>
        <v>9620.6666666666661</v>
      </c>
      <c r="M166" s="163">
        <f t="shared" si="113"/>
        <v>0</v>
      </c>
      <c r="N166" s="163">
        <f t="shared" si="113"/>
        <v>2893.333333333333</v>
      </c>
      <c r="O166" s="643">
        <f t="shared" si="113"/>
        <v>1432.333333333333</v>
      </c>
      <c r="P166" s="646">
        <f t="shared" si="113"/>
        <v>45.666666666666664</v>
      </c>
      <c r="Q166" s="645">
        <f t="shared" si="113"/>
        <v>17.333333333333332</v>
      </c>
      <c r="R166" s="163">
        <f t="shared" si="113"/>
        <v>16.333333333333336</v>
      </c>
      <c r="S166" s="163">
        <f t="shared" si="113"/>
        <v>0</v>
      </c>
      <c r="T166" s="163">
        <f t="shared" si="113"/>
        <v>1</v>
      </c>
      <c r="U166" s="644">
        <f t="shared" ref="U166:AJ181" si="122">U67/3+U165</f>
        <v>0</v>
      </c>
      <c r="V166" s="645">
        <f t="shared" si="122"/>
        <v>28.333333333333336</v>
      </c>
      <c r="W166" s="163">
        <f t="shared" si="122"/>
        <v>18.666666666666671</v>
      </c>
      <c r="X166" s="163">
        <f t="shared" si="122"/>
        <v>0</v>
      </c>
      <c r="Y166" s="163">
        <f t="shared" si="122"/>
        <v>7.3333333333333313</v>
      </c>
      <c r="Z166" s="643">
        <f t="shared" si="122"/>
        <v>2.333333333333333</v>
      </c>
      <c r="AA166" s="646">
        <f t="shared" si="122"/>
        <v>39.666666666666664</v>
      </c>
      <c r="AB166" s="645">
        <f t="shared" si="122"/>
        <v>11.666666666666668</v>
      </c>
      <c r="AC166" s="163">
        <f t="shared" si="122"/>
        <v>10.000000000000002</v>
      </c>
      <c r="AD166" s="163">
        <f t="shared" si="122"/>
        <v>0</v>
      </c>
      <c r="AE166" s="163">
        <f t="shared" si="122"/>
        <v>1.6666666666666665</v>
      </c>
      <c r="AF166" s="644">
        <f t="shared" si="122"/>
        <v>0</v>
      </c>
      <c r="AG166" s="645">
        <f t="shared" si="122"/>
        <v>28.000000000000007</v>
      </c>
      <c r="AH166" s="163">
        <f t="shared" si="122"/>
        <v>23.999999999999996</v>
      </c>
      <c r="AI166" s="163">
        <f t="shared" si="122"/>
        <v>0</v>
      </c>
      <c r="AJ166" s="163">
        <f t="shared" si="122"/>
        <v>0</v>
      </c>
      <c r="AK166" s="643">
        <f t="shared" si="114"/>
        <v>4</v>
      </c>
      <c r="AL166" s="646">
        <f t="shared" si="114"/>
        <v>228.99999999999997</v>
      </c>
      <c r="AM166" s="645">
        <f t="shared" si="114"/>
        <v>117.66666666666667</v>
      </c>
      <c r="AN166" s="163">
        <f t="shared" si="114"/>
        <v>95.333333333333314</v>
      </c>
      <c r="AO166" s="163">
        <f t="shared" si="114"/>
        <v>0</v>
      </c>
      <c r="AP166" s="163">
        <f t="shared" si="114"/>
        <v>22.333333333333318</v>
      </c>
      <c r="AQ166" s="644">
        <f t="shared" si="114"/>
        <v>0</v>
      </c>
      <c r="AR166" s="645">
        <f t="shared" si="114"/>
        <v>111.33333333333336</v>
      </c>
      <c r="AS166" s="163">
        <f t="shared" si="114"/>
        <v>71.666666666666643</v>
      </c>
      <c r="AT166" s="163">
        <f t="shared" si="114"/>
        <v>0</v>
      </c>
      <c r="AU166" s="163">
        <f t="shared" si="114"/>
        <v>27.666666666666671</v>
      </c>
      <c r="AV166" s="643">
        <f t="shared" si="114"/>
        <v>12</v>
      </c>
      <c r="AW166" s="646">
        <f t="shared" si="114"/>
        <v>146.33333333333343</v>
      </c>
      <c r="AX166" s="645">
        <f t="shared" si="114"/>
        <v>65</v>
      </c>
      <c r="AY166" s="163">
        <f t="shared" si="114"/>
        <v>57.666666666666664</v>
      </c>
      <c r="AZ166" s="163">
        <f t="shared" si="114"/>
        <v>0</v>
      </c>
      <c r="BA166" s="163">
        <f t="shared" si="114"/>
        <v>7.3333333333333339</v>
      </c>
      <c r="BB166" s="644">
        <f t="shared" si="114"/>
        <v>0</v>
      </c>
      <c r="BC166" s="645">
        <f t="shared" si="114"/>
        <v>81.333333333333343</v>
      </c>
      <c r="BD166" s="163">
        <f t="shared" si="114"/>
        <v>62.333333333333343</v>
      </c>
      <c r="BE166" s="163">
        <f t="shared" si="114"/>
        <v>0</v>
      </c>
      <c r="BF166" s="163">
        <f t="shared" si="114"/>
        <v>12.000000000000004</v>
      </c>
      <c r="BG166" s="643">
        <f t="shared" si="114"/>
        <v>6.9999999999999991</v>
      </c>
      <c r="BH166" s="646">
        <f t="shared" si="112"/>
        <v>184.66666666666666</v>
      </c>
      <c r="BI166" s="645">
        <f t="shared" si="112"/>
        <v>100</v>
      </c>
      <c r="BJ166" s="163">
        <f t="shared" si="112"/>
        <v>89.000000000000014</v>
      </c>
      <c r="BK166" s="163">
        <f t="shared" si="112"/>
        <v>0</v>
      </c>
      <c r="BL166" s="163">
        <f t="shared" si="112"/>
        <v>11</v>
      </c>
      <c r="BM166" s="644">
        <f t="shared" si="112"/>
        <v>0</v>
      </c>
      <c r="BN166" s="645">
        <f t="shared" si="112"/>
        <v>84.666666666666657</v>
      </c>
      <c r="BO166" s="163">
        <f t="shared" si="112"/>
        <v>53.000000000000007</v>
      </c>
      <c r="BP166" s="163">
        <f t="shared" si="112"/>
        <v>0</v>
      </c>
      <c r="BQ166" s="163">
        <f t="shared" si="112"/>
        <v>24.666666666666668</v>
      </c>
      <c r="BR166" s="643">
        <f t="shared" si="112"/>
        <v>7</v>
      </c>
      <c r="BS166" s="646">
        <f t="shared" si="112"/>
        <v>260.33333333333343</v>
      </c>
      <c r="BT166" s="645">
        <f t="shared" si="112"/>
        <v>126.00000000000003</v>
      </c>
      <c r="BU166" s="163">
        <f t="shared" si="112"/>
        <v>109.99999999999999</v>
      </c>
      <c r="BV166" s="163">
        <f t="shared" si="112"/>
        <v>0</v>
      </c>
      <c r="BW166" s="163">
        <f t="shared" si="112"/>
        <v>15.999999999999996</v>
      </c>
      <c r="BX166" s="644">
        <f t="shared" si="115"/>
        <v>0</v>
      </c>
      <c r="BY166" s="645">
        <f t="shared" si="115"/>
        <v>134.33333333333329</v>
      </c>
      <c r="BZ166" s="163">
        <f t="shared" si="115"/>
        <v>83.666666666666671</v>
      </c>
      <c r="CA166" s="163">
        <f t="shared" si="115"/>
        <v>0</v>
      </c>
      <c r="CB166" s="163">
        <f t="shared" si="115"/>
        <v>34.666666666666664</v>
      </c>
      <c r="CC166" s="643">
        <f t="shared" si="115"/>
        <v>16</v>
      </c>
      <c r="CD166" s="646">
        <f t="shared" si="115"/>
        <v>71.666666666666657</v>
      </c>
      <c r="CE166" s="645">
        <f t="shared" si="115"/>
        <v>43.000000000000014</v>
      </c>
      <c r="CF166" s="163">
        <f t="shared" si="115"/>
        <v>34.666666666666664</v>
      </c>
      <c r="CG166" s="163">
        <f t="shared" si="115"/>
        <v>0</v>
      </c>
      <c r="CH166" s="163">
        <f t="shared" si="115"/>
        <v>8.3333333333333304</v>
      </c>
      <c r="CI166" s="644">
        <f t="shared" si="115"/>
        <v>0</v>
      </c>
      <c r="CJ166" s="645">
        <f t="shared" si="115"/>
        <v>28.666666666666668</v>
      </c>
      <c r="CK166" s="163">
        <f t="shared" si="115"/>
        <v>19.333333333333332</v>
      </c>
      <c r="CL166" s="163">
        <f t="shared" si="115"/>
        <v>0</v>
      </c>
      <c r="CM166" s="163">
        <f t="shared" si="115"/>
        <v>6.3333333333333321</v>
      </c>
      <c r="CN166" s="643">
        <f t="shared" si="118"/>
        <v>3</v>
      </c>
      <c r="CO166" s="646">
        <f t="shared" si="118"/>
        <v>50</v>
      </c>
      <c r="CP166" s="645">
        <f t="shared" si="118"/>
        <v>22.666666666666671</v>
      </c>
      <c r="CQ166" s="163">
        <f t="shared" si="118"/>
        <v>22.333333333333336</v>
      </c>
      <c r="CR166" s="163">
        <f t="shared" si="118"/>
        <v>0</v>
      </c>
      <c r="CS166" s="163">
        <f t="shared" si="118"/>
        <v>0.33333333333333331</v>
      </c>
      <c r="CT166" s="644">
        <f t="shared" si="118"/>
        <v>0</v>
      </c>
      <c r="CU166" s="645">
        <f t="shared" si="118"/>
        <v>27.333333333333332</v>
      </c>
      <c r="CV166" s="163">
        <f t="shared" si="116"/>
        <v>19.333333333333325</v>
      </c>
      <c r="CW166" s="163">
        <f t="shared" si="110"/>
        <v>0</v>
      </c>
      <c r="CX166" s="163">
        <f t="shared" si="110"/>
        <v>8</v>
      </c>
      <c r="CY166" s="643">
        <f t="shared" si="110"/>
        <v>0</v>
      </c>
      <c r="CZ166" s="646">
        <f t="shared" si="110"/>
        <v>14.000000000000004</v>
      </c>
      <c r="DA166" s="645">
        <f t="shared" si="110"/>
        <v>1.9999999999999998</v>
      </c>
      <c r="DB166" s="163">
        <f t="shared" si="108"/>
        <v>0</v>
      </c>
      <c r="DC166" s="163">
        <f t="shared" si="108"/>
        <v>0</v>
      </c>
      <c r="DD166" s="163">
        <f t="shared" si="108"/>
        <v>1.9999999999999998</v>
      </c>
      <c r="DE166" s="644">
        <f t="shared" si="108"/>
        <v>0</v>
      </c>
      <c r="DF166" s="645">
        <f t="shared" si="108"/>
        <v>12.000000000000004</v>
      </c>
      <c r="DG166" s="163">
        <f t="shared" si="108"/>
        <v>11.000000000000007</v>
      </c>
      <c r="DH166" s="163">
        <f t="shared" si="108"/>
        <v>0</v>
      </c>
      <c r="DI166" s="163">
        <f t="shared" si="108"/>
        <v>1</v>
      </c>
      <c r="DJ166" s="643">
        <f t="shared" si="108"/>
        <v>0</v>
      </c>
      <c r="DK166" s="646">
        <f t="shared" si="108"/>
        <v>0</v>
      </c>
      <c r="DL166" s="645">
        <f t="shared" si="108"/>
        <v>0</v>
      </c>
      <c r="DM166" s="163">
        <f t="shared" si="108"/>
        <v>0</v>
      </c>
      <c r="DN166" s="163">
        <f t="shared" si="108"/>
        <v>0</v>
      </c>
      <c r="DO166" s="163">
        <f t="shared" si="108"/>
        <v>0</v>
      </c>
      <c r="DP166" s="644">
        <f t="shared" si="108"/>
        <v>0</v>
      </c>
      <c r="DQ166" s="645">
        <f t="shared" ref="DQ166:DU181" si="123">DQ67/3+DQ165</f>
        <v>0</v>
      </c>
      <c r="DR166" s="163">
        <f t="shared" si="123"/>
        <v>0</v>
      </c>
      <c r="DS166" s="163">
        <f t="shared" si="123"/>
        <v>0</v>
      </c>
      <c r="DT166" s="163">
        <f t="shared" si="123"/>
        <v>0</v>
      </c>
      <c r="DU166" s="643">
        <f t="shared" si="123"/>
        <v>0</v>
      </c>
      <c r="DW166" s="646">
        <f t="shared" si="121"/>
        <v>812.33333333333337</v>
      </c>
      <c r="DX166" s="645">
        <f t="shared" si="121"/>
        <v>387.66666666666669</v>
      </c>
      <c r="DY166" s="163">
        <f t="shared" si="120"/>
        <v>340</v>
      </c>
      <c r="DZ166" s="163">
        <f t="shared" si="120"/>
        <v>0</v>
      </c>
      <c r="EA166" s="163">
        <f t="shared" si="120"/>
        <v>47.666666666666664</v>
      </c>
      <c r="EB166" s="644">
        <f t="shared" si="120"/>
        <v>0</v>
      </c>
      <c r="EC166" s="645">
        <f t="shared" si="120"/>
        <v>424.66666666666663</v>
      </c>
      <c r="ED166" s="163">
        <f t="shared" si="120"/>
        <v>291.33333333333331</v>
      </c>
      <c r="EE166" s="163">
        <f t="shared" si="120"/>
        <v>0</v>
      </c>
      <c r="EF166" s="163">
        <f t="shared" si="120"/>
        <v>93.999999999999986</v>
      </c>
      <c r="EG166" s="643">
        <f t="shared" si="120"/>
        <v>39.333333333333329</v>
      </c>
      <c r="EH166" s="646">
        <f t="shared" si="119"/>
        <v>228.99999999999997</v>
      </c>
      <c r="EI166" s="645">
        <f t="shared" si="117"/>
        <v>117.66666666666667</v>
      </c>
      <c r="EJ166" s="163">
        <f t="shared" si="117"/>
        <v>95.333333333333314</v>
      </c>
      <c r="EK166" s="163">
        <f t="shared" si="117"/>
        <v>0</v>
      </c>
      <c r="EL166" s="163">
        <f t="shared" si="117"/>
        <v>22.333333333333318</v>
      </c>
      <c r="EM166" s="644">
        <f t="shared" si="117"/>
        <v>0</v>
      </c>
      <c r="EN166" s="645">
        <f t="shared" si="117"/>
        <v>111.33333333333336</v>
      </c>
      <c r="EO166" s="163">
        <f t="shared" si="117"/>
        <v>71.666666666666643</v>
      </c>
      <c r="EP166" s="163">
        <f t="shared" si="79"/>
        <v>0</v>
      </c>
      <c r="EQ166" s="163">
        <f t="shared" si="79"/>
        <v>27.666666666666671</v>
      </c>
      <c r="ER166" s="643">
        <f t="shared" si="79"/>
        <v>12</v>
      </c>
    </row>
    <row r="167" spans="1:148">
      <c r="A167" s="665" t="s">
        <v>233</v>
      </c>
      <c r="B167" s="665">
        <v>43586</v>
      </c>
      <c r="C167" s="664">
        <v>2019</v>
      </c>
      <c r="D167" s="646">
        <f t="shared" si="111"/>
        <v>1917455</v>
      </c>
      <c r="E167" s="646">
        <f t="shared" si="113"/>
        <v>28197.666666666672</v>
      </c>
      <c r="F167" s="645">
        <f t="shared" si="113"/>
        <v>13957</v>
      </c>
      <c r="G167" s="163">
        <f t="shared" si="113"/>
        <v>11517.000000000002</v>
      </c>
      <c r="H167" s="163">
        <f t="shared" si="113"/>
        <v>0</v>
      </c>
      <c r="I167" s="163">
        <f t="shared" si="113"/>
        <v>2440.0000000000009</v>
      </c>
      <c r="J167" s="644">
        <f t="shared" si="113"/>
        <v>0</v>
      </c>
      <c r="K167" s="645">
        <f t="shared" si="113"/>
        <v>14240.666666666668</v>
      </c>
      <c r="L167" s="163">
        <f t="shared" si="113"/>
        <v>9786.3333333333321</v>
      </c>
      <c r="M167" s="163">
        <f t="shared" si="113"/>
        <v>0</v>
      </c>
      <c r="N167" s="163">
        <f t="shared" si="113"/>
        <v>3009.6666666666665</v>
      </c>
      <c r="O167" s="643">
        <f t="shared" si="113"/>
        <v>1444.6666666666663</v>
      </c>
      <c r="P167" s="646">
        <f t="shared" si="113"/>
        <v>47.333333333333329</v>
      </c>
      <c r="Q167" s="645">
        <f t="shared" si="113"/>
        <v>17.666666666666664</v>
      </c>
      <c r="R167" s="163">
        <f t="shared" si="113"/>
        <v>16.666666666666668</v>
      </c>
      <c r="S167" s="163">
        <f t="shared" si="113"/>
        <v>0</v>
      </c>
      <c r="T167" s="163">
        <f t="shared" si="113"/>
        <v>1</v>
      </c>
      <c r="U167" s="644">
        <f t="shared" si="122"/>
        <v>0</v>
      </c>
      <c r="V167" s="645">
        <f t="shared" si="122"/>
        <v>29.666666666666668</v>
      </c>
      <c r="W167" s="163">
        <f t="shared" si="122"/>
        <v>19.333333333333339</v>
      </c>
      <c r="X167" s="163">
        <f t="shared" si="122"/>
        <v>0</v>
      </c>
      <c r="Y167" s="163">
        <f t="shared" si="122"/>
        <v>7.6666666666666643</v>
      </c>
      <c r="Z167" s="643">
        <f t="shared" si="122"/>
        <v>2.6666666666666665</v>
      </c>
      <c r="AA167" s="646">
        <f t="shared" si="122"/>
        <v>40.333333333333329</v>
      </c>
      <c r="AB167" s="645">
        <f t="shared" si="122"/>
        <v>12.333333333333334</v>
      </c>
      <c r="AC167" s="163">
        <f t="shared" si="122"/>
        <v>10.000000000000002</v>
      </c>
      <c r="AD167" s="163">
        <f t="shared" si="122"/>
        <v>0</v>
      </c>
      <c r="AE167" s="163">
        <f t="shared" si="122"/>
        <v>2.333333333333333</v>
      </c>
      <c r="AF167" s="644">
        <f t="shared" si="122"/>
        <v>0</v>
      </c>
      <c r="AG167" s="645">
        <f t="shared" si="122"/>
        <v>28.000000000000007</v>
      </c>
      <c r="AH167" s="163">
        <f t="shared" si="122"/>
        <v>23.999999999999996</v>
      </c>
      <c r="AI167" s="163">
        <f t="shared" si="122"/>
        <v>0</v>
      </c>
      <c r="AJ167" s="163">
        <f t="shared" si="122"/>
        <v>0</v>
      </c>
      <c r="AK167" s="643">
        <f t="shared" si="114"/>
        <v>4</v>
      </c>
      <c r="AL167" s="646">
        <f t="shared" si="114"/>
        <v>235.99999999999997</v>
      </c>
      <c r="AM167" s="645">
        <f t="shared" si="114"/>
        <v>123.33333333333334</v>
      </c>
      <c r="AN167" s="163">
        <f t="shared" si="114"/>
        <v>99.666666666666643</v>
      </c>
      <c r="AO167" s="163">
        <f t="shared" si="114"/>
        <v>0</v>
      </c>
      <c r="AP167" s="163">
        <f t="shared" si="114"/>
        <v>23.66666666666665</v>
      </c>
      <c r="AQ167" s="644">
        <f t="shared" si="114"/>
        <v>0</v>
      </c>
      <c r="AR167" s="645">
        <f t="shared" si="114"/>
        <v>112.66666666666669</v>
      </c>
      <c r="AS167" s="163">
        <f t="shared" si="114"/>
        <v>72.333333333333314</v>
      </c>
      <c r="AT167" s="163">
        <f t="shared" si="114"/>
        <v>0</v>
      </c>
      <c r="AU167" s="163">
        <f t="shared" si="114"/>
        <v>28.333333333333339</v>
      </c>
      <c r="AV167" s="643">
        <f t="shared" si="114"/>
        <v>12</v>
      </c>
      <c r="AW167" s="646">
        <f t="shared" si="114"/>
        <v>151.66666666666677</v>
      </c>
      <c r="AX167" s="645">
        <f t="shared" si="114"/>
        <v>68</v>
      </c>
      <c r="AY167" s="163">
        <f t="shared" si="114"/>
        <v>60.333333333333329</v>
      </c>
      <c r="AZ167" s="163">
        <f t="shared" si="114"/>
        <v>0</v>
      </c>
      <c r="BA167" s="163">
        <f t="shared" si="114"/>
        <v>7.666666666666667</v>
      </c>
      <c r="BB167" s="644">
        <f t="shared" si="114"/>
        <v>0</v>
      </c>
      <c r="BC167" s="645">
        <f t="shared" si="114"/>
        <v>83.666666666666671</v>
      </c>
      <c r="BD167" s="163">
        <f t="shared" si="114"/>
        <v>63.666666666666679</v>
      </c>
      <c r="BE167" s="163">
        <f t="shared" si="114"/>
        <v>0</v>
      </c>
      <c r="BF167" s="163">
        <f t="shared" si="114"/>
        <v>13.000000000000004</v>
      </c>
      <c r="BG167" s="643">
        <f t="shared" si="114"/>
        <v>6.9999999999999991</v>
      </c>
      <c r="BH167" s="646">
        <f t="shared" si="112"/>
        <v>189.33333333333331</v>
      </c>
      <c r="BI167" s="645">
        <f t="shared" si="112"/>
        <v>103</v>
      </c>
      <c r="BJ167" s="163">
        <f t="shared" si="112"/>
        <v>92.000000000000014</v>
      </c>
      <c r="BK167" s="163">
        <f t="shared" si="112"/>
        <v>0</v>
      </c>
      <c r="BL167" s="163">
        <f t="shared" si="112"/>
        <v>11</v>
      </c>
      <c r="BM167" s="644">
        <f t="shared" si="112"/>
        <v>0</v>
      </c>
      <c r="BN167" s="645">
        <f t="shared" si="112"/>
        <v>86.333333333333329</v>
      </c>
      <c r="BO167" s="163">
        <f t="shared" si="112"/>
        <v>54.000000000000007</v>
      </c>
      <c r="BP167" s="163">
        <f t="shared" si="112"/>
        <v>0</v>
      </c>
      <c r="BQ167" s="163">
        <f t="shared" si="112"/>
        <v>25.333333333333336</v>
      </c>
      <c r="BR167" s="643">
        <f t="shared" si="112"/>
        <v>7</v>
      </c>
      <c r="BS167" s="646">
        <f t="shared" si="112"/>
        <v>267.66666666666674</v>
      </c>
      <c r="BT167" s="645">
        <f t="shared" si="112"/>
        <v>132.00000000000003</v>
      </c>
      <c r="BU167" s="163">
        <f t="shared" si="112"/>
        <v>112.99999999999999</v>
      </c>
      <c r="BV167" s="163">
        <f t="shared" si="112"/>
        <v>0</v>
      </c>
      <c r="BW167" s="163">
        <f t="shared" si="112"/>
        <v>18.999999999999996</v>
      </c>
      <c r="BX167" s="644">
        <f t="shared" si="115"/>
        <v>0</v>
      </c>
      <c r="BY167" s="645">
        <f t="shared" si="115"/>
        <v>135.66666666666663</v>
      </c>
      <c r="BZ167" s="163">
        <f t="shared" si="115"/>
        <v>84.333333333333343</v>
      </c>
      <c r="CA167" s="163">
        <f t="shared" si="115"/>
        <v>0</v>
      </c>
      <c r="CB167" s="163">
        <f t="shared" si="115"/>
        <v>35.333333333333329</v>
      </c>
      <c r="CC167" s="643">
        <f t="shared" si="115"/>
        <v>16</v>
      </c>
      <c r="CD167" s="646">
        <f t="shared" si="115"/>
        <v>73.333333333333329</v>
      </c>
      <c r="CE167" s="645">
        <f t="shared" si="115"/>
        <v>44.000000000000014</v>
      </c>
      <c r="CF167" s="163">
        <f t="shared" si="115"/>
        <v>35.333333333333329</v>
      </c>
      <c r="CG167" s="163">
        <f t="shared" si="115"/>
        <v>0</v>
      </c>
      <c r="CH167" s="163">
        <f t="shared" si="115"/>
        <v>8.6666666666666643</v>
      </c>
      <c r="CI167" s="644">
        <f t="shared" si="115"/>
        <v>0</v>
      </c>
      <c r="CJ167" s="645">
        <f t="shared" si="115"/>
        <v>29.333333333333336</v>
      </c>
      <c r="CK167" s="163">
        <f t="shared" si="115"/>
        <v>19.666666666666664</v>
      </c>
      <c r="CL167" s="163">
        <f t="shared" si="115"/>
        <v>0</v>
      </c>
      <c r="CM167" s="163">
        <f t="shared" si="115"/>
        <v>6.6666666666666652</v>
      </c>
      <c r="CN167" s="643">
        <f t="shared" si="118"/>
        <v>3</v>
      </c>
      <c r="CO167" s="646">
        <f t="shared" si="118"/>
        <v>52</v>
      </c>
      <c r="CP167" s="645">
        <f t="shared" si="118"/>
        <v>24.333333333333339</v>
      </c>
      <c r="CQ167" s="163">
        <f t="shared" si="118"/>
        <v>23.666666666666668</v>
      </c>
      <c r="CR167" s="163">
        <f t="shared" si="118"/>
        <v>0</v>
      </c>
      <c r="CS167" s="163">
        <f t="shared" si="118"/>
        <v>0.66666666666666663</v>
      </c>
      <c r="CT167" s="644">
        <f t="shared" si="118"/>
        <v>0</v>
      </c>
      <c r="CU167" s="645">
        <f t="shared" si="118"/>
        <v>27.666666666666664</v>
      </c>
      <c r="CV167" s="163">
        <f t="shared" si="116"/>
        <v>19.666666666666657</v>
      </c>
      <c r="CW167" s="163">
        <f t="shared" si="110"/>
        <v>0</v>
      </c>
      <c r="CX167" s="163">
        <f t="shared" si="110"/>
        <v>8</v>
      </c>
      <c r="CY167" s="643">
        <f t="shared" si="110"/>
        <v>0</v>
      </c>
      <c r="CZ167" s="646">
        <f t="shared" si="110"/>
        <v>14.000000000000004</v>
      </c>
      <c r="DA167" s="645">
        <f t="shared" si="110"/>
        <v>1.9999999999999998</v>
      </c>
      <c r="DB167" s="163">
        <f t="shared" si="110"/>
        <v>0</v>
      </c>
      <c r="DC167" s="163">
        <f t="shared" si="110"/>
        <v>0</v>
      </c>
      <c r="DD167" s="163">
        <f t="shared" si="110"/>
        <v>1.9999999999999998</v>
      </c>
      <c r="DE167" s="644">
        <f t="shared" si="110"/>
        <v>0</v>
      </c>
      <c r="DF167" s="645">
        <f t="shared" si="110"/>
        <v>12.000000000000004</v>
      </c>
      <c r="DG167" s="163">
        <f t="shared" si="110"/>
        <v>11.000000000000007</v>
      </c>
      <c r="DH167" s="163">
        <f t="shared" si="110"/>
        <v>0</v>
      </c>
      <c r="DI167" s="163">
        <f t="shared" si="110"/>
        <v>1</v>
      </c>
      <c r="DJ167" s="643">
        <f t="shared" si="110"/>
        <v>0</v>
      </c>
      <c r="DK167" s="646">
        <f t="shared" si="110"/>
        <v>0</v>
      </c>
      <c r="DL167" s="645">
        <f t="shared" si="110"/>
        <v>0</v>
      </c>
      <c r="DM167" s="163">
        <f t="shared" ref="DM167:DU182" si="124">DM68/3+DM166</f>
        <v>0</v>
      </c>
      <c r="DN167" s="163">
        <f t="shared" si="124"/>
        <v>0</v>
      </c>
      <c r="DO167" s="163">
        <f t="shared" si="124"/>
        <v>0</v>
      </c>
      <c r="DP167" s="644">
        <f t="shared" si="124"/>
        <v>0</v>
      </c>
      <c r="DQ167" s="645">
        <f t="shared" si="123"/>
        <v>0</v>
      </c>
      <c r="DR167" s="163">
        <f t="shared" si="123"/>
        <v>0</v>
      </c>
      <c r="DS167" s="163">
        <f t="shared" si="123"/>
        <v>0</v>
      </c>
      <c r="DT167" s="163">
        <f t="shared" si="123"/>
        <v>0</v>
      </c>
      <c r="DU167" s="643">
        <f t="shared" si="123"/>
        <v>0</v>
      </c>
      <c r="DW167" s="646">
        <f t="shared" si="121"/>
        <v>835.66666666666686</v>
      </c>
      <c r="DX167" s="645">
        <f t="shared" si="121"/>
        <v>403.33333333333331</v>
      </c>
      <c r="DY167" s="163">
        <f t="shared" si="120"/>
        <v>351</v>
      </c>
      <c r="DZ167" s="163">
        <f t="shared" si="120"/>
        <v>0</v>
      </c>
      <c r="EA167" s="163">
        <f t="shared" si="120"/>
        <v>52.333333333333329</v>
      </c>
      <c r="EB167" s="644">
        <f t="shared" si="120"/>
        <v>0</v>
      </c>
      <c r="EC167" s="645">
        <f t="shared" si="120"/>
        <v>432.33333333333331</v>
      </c>
      <c r="ED167" s="163">
        <f t="shared" si="120"/>
        <v>295.66666666666674</v>
      </c>
      <c r="EE167" s="163">
        <f t="shared" si="120"/>
        <v>0</v>
      </c>
      <c r="EF167" s="163">
        <f t="shared" si="120"/>
        <v>97</v>
      </c>
      <c r="EG167" s="643">
        <f t="shared" si="120"/>
        <v>39.666666666666664</v>
      </c>
      <c r="EH167" s="646">
        <f t="shared" si="119"/>
        <v>235.99999999999997</v>
      </c>
      <c r="EI167" s="645">
        <f t="shared" si="117"/>
        <v>123.33333333333334</v>
      </c>
      <c r="EJ167" s="163">
        <f t="shared" si="117"/>
        <v>99.666666666666643</v>
      </c>
      <c r="EK167" s="163">
        <f t="shared" si="117"/>
        <v>0</v>
      </c>
      <c r="EL167" s="163">
        <f t="shared" si="117"/>
        <v>23.66666666666665</v>
      </c>
      <c r="EM167" s="644">
        <f t="shared" si="117"/>
        <v>0</v>
      </c>
      <c r="EN167" s="645">
        <f t="shared" si="117"/>
        <v>112.66666666666669</v>
      </c>
      <c r="EO167" s="163">
        <f t="shared" si="117"/>
        <v>72.333333333333314</v>
      </c>
      <c r="EP167" s="163">
        <f t="shared" si="79"/>
        <v>0</v>
      </c>
      <c r="EQ167" s="163">
        <f t="shared" si="79"/>
        <v>28.333333333333339</v>
      </c>
      <c r="ER167" s="643">
        <f t="shared" si="79"/>
        <v>12</v>
      </c>
    </row>
    <row r="168" spans="1:148">
      <c r="A168" s="665" t="s">
        <v>233</v>
      </c>
      <c r="B168" s="665">
        <v>43617</v>
      </c>
      <c r="C168" s="664">
        <v>2019</v>
      </c>
      <c r="D168" s="646">
        <f t="shared" si="111"/>
        <v>1991719</v>
      </c>
      <c r="E168" s="646">
        <f t="shared" si="113"/>
        <v>29156.000000000004</v>
      </c>
      <c r="F168" s="645">
        <f t="shared" si="113"/>
        <v>14621</v>
      </c>
      <c r="G168" s="163">
        <f t="shared" si="113"/>
        <v>12069.000000000002</v>
      </c>
      <c r="H168" s="163">
        <f t="shared" si="113"/>
        <v>0</v>
      </c>
      <c r="I168" s="163">
        <f t="shared" si="113"/>
        <v>2552.0000000000009</v>
      </c>
      <c r="J168" s="644">
        <f t="shared" si="113"/>
        <v>0</v>
      </c>
      <c r="K168" s="645">
        <f t="shared" si="113"/>
        <v>14535.000000000002</v>
      </c>
      <c r="L168" s="163">
        <f t="shared" si="113"/>
        <v>9951.9999999999982</v>
      </c>
      <c r="M168" s="163">
        <f t="shared" si="113"/>
        <v>0</v>
      </c>
      <c r="N168" s="163">
        <f t="shared" si="113"/>
        <v>3126</v>
      </c>
      <c r="O168" s="643">
        <f t="shared" si="113"/>
        <v>1456.9999999999995</v>
      </c>
      <c r="P168" s="646">
        <f t="shared" si="113"/>
        <v>48.999999999999993</v>
      </c>
      <c r="Q168" s="645">
        <f t="shared" si="113"/>
        <v>17.999999999999996</v>
      </c>
      <c r="R168" s="163">
        <f t="shared" si="113"/>
        <v>17</v>
      </c>
      <c r="S168" s="163">
        <f t="shared" si="113"/>
        <v>0</v>
      </c>
      <c r="T168" s="163">
        <f t="shared" si="113"/>
        <v>1</v>
      </c>
      <c r="U168" s="644">
        <f t="shared" si="122"/>
        <v>0</v>
      </c>
      <c r="V168" s="645">
        <f t="shared" si="122"/>
        <v>31</v>
      </c>
      <c r="W168" s="163">
        <f t="shared" si="122"/>
        <v>20.000000000000007</v>
      </c>
      <c r="X168" s="163">
        <f t="shared" si="122"/>
        <v>0</v>
      </c>
      <c r="Y168" s="163">
        <f t="shared" si="122"/>
        <v>7.9999999999999973</v>
      </c>
      <c r="Z168" s="643">
        <f t="shared" si="122"/>
        <v>3</v>
      </c>
      <c r="AA168" s="646">
        <f t="shared" si="122"/>
        <v>40.999999999999993</v>
      </c>
      <c r="AB168" s="645">
        <f t="shared" si="122"/>
        <v>13</v>
      </c>
      <c r="AC168" s="163">
        <f t="shared" si="122"/>
        <v>10.000000000000002</v>
      </c>
      <c r="AD168" s="163">
        <f t="shared" si="122"/>
        <v>0</v>
      </c>
      <c r="AE168" s="163">
        <f t="shared" si="122"/>
        <v>2.9999999999999996</v>
      </c>
      <c r="AF168" s="644">
        <f t="shared" si="122"/>
        <v>0</v>
      </c>
      <c r="AG168" s="645">
        <f t="shared" si="122"/>
        <v>28.000000000000007</v>
      </c>
      <c r="AH168" s="163">
        <f t="shared" si="122"/>
        <v>23.999999999999996</v>
      </c>
      <c r="AI168" s="163">
        <f t="shared" si="122"/>
        <v>0</v>
      </c>
      <c r="AJ168" s="163">
        <f t="shared" si="122"/>
        <v>0</v>
      </c>
      <c r="AK168" s="643">
        <f t="shared" si="114"/>
        <v>4</v>
      </c>
      <c r="AL168" s="646">
        <f t="shared" si="114"/>
        <v>242.99999999999997</v>
      </c>
      <c r="AM168" s="645">
        <f t="shared" ref="AM168:BG180" si="125">AM69/3+AM167</f>
        <v>129</v>
      </c>
      <c r="AN168" s="163">
        <f t="shared" si="125"/>
        <v>103.99999999999997</v>
      </c>
      <c r="AO168" s="163">
        <f t="shared" si="125"/>
        <v>0</v>
      </c>
      <c r="AP168" s="163">
        <f t="shared" si="125"/>
        <v>24.999999999999982</v>
      </c>
      <c r="AQ168" s="644">
        <f t="shared" si="125"/>
        <v>0</v>
      </c>
      <c r="AR168" s="645">
        <f t="shared" si="125"/>
        <v>114.00000000000001</v>
      </c>
      <c r="AS168" s="163">
        <f t="shared" si="125"/>
        <v>72.999999999999986</v>
      </c>
      <c r="AT168" s="163">
        <f t="shared" si="125"/>
        <v>0</v>
      </c>
      <c r="AU168" s="163">
        <f t="shared" si="125"/>
        <v>29.000000000000007</v>
      </c>
      <c r="AV168" s="643">
        <f t="shared" si="125"/>
        <v>12</v>
      </c>
      <c r="AW168" s="646">
        <f t="shared" si="125"/>
        <v>157.00000000000011</v>
      </c>
      <c r="AX168" s="645">
        <f t="shared" si="125"/>
        <v>71</v>
      </c>
      <c r="AY168" s="163">
        <f t="shared" si="125"/>
        <v>62.999999999999993</v>
      </c>
      <c r="AZ168" s="163">
        <f t="shared" si="125"/>
        <v>0</v>
      </c>
      <c r="BA168" s="163">
        <f t="shared" si="125"/>
        <v>8</v>
      </c>
      <c r="BB168" s="644">
        <f t="shared" si="125"/>
        <v>0</v>
      </c>
      <c r="BC168" s="645">
        <f t="shared" si="125"/>
        <v>86</v>
      </c>
      <c r="BD168" s="163">
        <f t="shared" si="125"/>
        <v>65.000000000000014</v>
      </c>
      <c r="BE168" s="163">
        <f t="shared" si="125"/>
        <v>0</v>
      </c>
      <c r="BF168" s="163">
        <f t="shared" si="125"/>
        <v>14.000000000000004</v>
      </c>
      <c r="BG168" s="643">
        <f t="shared" si="125"/>
        <v>6.9999999999999991</v>
      </c>
      <c r="BH168" s="646">
        <f t="shared" si="112"/>
        <v>193.99999999999997</v>
      </c>
      <c r="BI168" s="645">
        <f t="shared" si="112"/>
        <v>106</v>
      </c>
      <c r="BJ168" s="163">
        <f t="shared" si="112"/>
        <v>95.000000000000014</v>
      </c>
      <c r="BK168" s="163">
        <f t="shared" si="112"/>
        <v>0</v>
      </c>
      <c r="BL168" s="163">
        <f t="shared" si="112"/>
        <v>11</v>
      </c>
      <c r="BM168" s="644">
        <f t="shared" si="112"/>
        <v>0</v>
      </c>
      <c r="BN168" s="645">
        <f t="shared" si="112"/>
        <v>88</v>
      </c>
      <c r="BO168" s="163">
        <f t="shared" si="112"/>
        <v>55.000000000000007</v>
      </c>
      <c r="BP168" s="163">
        <f t="shared" si="112"/>
        <v>0</v>
      </c>
      <c r="BQ168" s="163">
        <f t="shared" si="112"/>
        <v>26.000000000000004</v>
      </c>
      <c r="BR168" s="643">
        <f t="shared" si="112"/>
        <v>7</v>
      </c>
      <c r="BS168" s="646">
        <f t="shared" si="112"/>
        <v>275.00000000000006</v>
      </c>
      <c r="BT168" s="645">
        <f t="shared" si="112"/>
        <v>138.00000000000003</v>
      </c>
      <c r="BU168" s="163">
        <f t="shared" si="112"/>
        <v>115.99999999999999</v>
      </c>
      <c r="BV168" s="163">
        <f t="shared" si="112"/>
        <v>0</v>
      </c>
      <c r="BW168" s="163">
        <f t="shared" si="112"/>
        <v>21.999999999999996</v>
      </c>
      <c r="BX168" s="644">
        <f t="shared" si="115"/>
        <v>0</v>
      </c>
      <c r="BY168" s="645">
        <f t="shared" si="115"/>
        <v>136.99999999999997</v>
      </c>
      <c r="BZ168" s="163">
        <f t="shared" si="115"/>
        <v>85.000000000000014</v>
      </c>
      <c r="CA168" s="163">
        <f t="shared" si="115"/>
        <v>0</v>
      </c>
      <c r="CB168" s="163">
        <f t="shared" si="115"/>
        <v>35.999999999999993</v>
      </c>
      <c r="CC168" s="643">
        <f t="shared" si="115"/>
        <v>16</v>
      </c>
      <c r="CD168" s="646">
        <f t="shared" si="115"/>
        <v>75</v>
      </c>
      <c r="CE168" s="645">
        <f t="shared" si="115"/>
        <v>45.000000000000014</v>
      </c>
      <c r="CF168" s="163">
        <f t="shared" si="115"/>
        <v>35.999999999999993</v>
      </c>
      <c r="CG168" s="163">
        <f t="shared" si="115"/>
        <v>0</v>
      </c>
      <c r="CH168" s="163">
        <f t="shared" si="115"/>
        <v>8.9999999999999982</v>
      </c>
      <c r="CI168" s="644">
        <f t="shared" si="115"/>
        <v>0</v>
      </c>
      <c r="CJ168" s="645">
        <f t="shared" si="115"/>
        <v>30.000000000000004</v>
      </c>
      <c r="CK168" s="163">
        <f t="shared" si="115"/>
        <v>19.999999999999996</v>
      </c>
      <c r="CL168" s="163">
        <f t="shared" si="115"/>
        <v>0</v>
      </c>
      <c r="CM168" s="163">
        <f t="shared" si="115"/>
        <v>6.9999999999999982</v>
      </c>
      <c r="CN168" s="643">
        <f t="shared" si="118"/>
        <v>3</v>
      </c>
      <c r="CO168" s="646">
        <f t="shared" si="118"/>
        <v>54</v>
      </c>
      <c r="CP168" s="645">
        <f t="shared" si="118"/>
        <v>26.000000000000007</v>
      </c>
      <c r="CQ168" s="163">
        <f t="shared" si="118"/>
        <v>25</v>
      </c>
      <c r="CR168" s="163">
        <f t="shared" si="118"/>
        <v>0</v>
      </c>
      <c r="CS168" s="163">
        <f t="shared" si="118"/>
        <v>1</v>
      </c>
      <c r="CT168" s="644">
        <f t="shared" si="118"/>
        <v>0</v>
      </c>
      <c r="CU168" s="645">
        <f t="shared" si="118"/>
        <v>27.999999999999996</v>
      </c>
      <c r="CV168" s="163">
        <f t="shared" si="116"/>
        <v>19.999999999999989</v>
      </c>
      <c r="CW168" s="163">
        <f t="shared" si="110"/>
        <v>0</v>
      </c>
      <c r="CX168" s="163">
        <f t="shared" si="110"/>
        <v>8</v>
      </c>
      <c r="CY168" s="643">
        <f t="shared" si="110"/>
        <v>0</v>
      </c>
      <c r="CZ168" s="646">
        <f t="shared" si="110"/>
        <v>14.000000000000004</v>
      </c>
      <c r="DA168" s="645">
        <f t="shared" si="110"/>
        <v>1.9999999999999998</v>
      </c>
      <c r="DB168" s="163">
        <f t="shared" si="110"/>
        <v>0</v>
      </c>
      <c r="DC168" s="163">
        <f t="shared" si="110"/>
        <v>0</v>
      </c>
      <c r="DD168" s="163">
        <f t="shared" si="110"/>
        <v>1.9999999999999998</v>
      </c>
      <c r="DE168" s="644">
        <f t="shared" si="110"/>
        <v>0</v>
      </c>
      <c r="DF168" s="645">
        <f t="shared" si="110"/>
        <v>12.000000000000004</v>
      </c>
      <c r="DG168" s="163">
        <f t="shared" si="110"/>
        <v>11.000000000000007</v>
      </c>
      <c r="DH168" s="163">
        <f t="shared" si="110"/>
        <v>0</v>
      </c>
      <c r="DI168" s="163">
        <f t="shared" si="110"/>
        <v>1</v>
      </c>
      <c r="DJ168" s="643">
        <f t="shared" si="110"/>
        <v>0</v>
      </c>
      <c r="DK168" s="646">
        <f t="shared" si="110"/>
        <v>0</v>
      </c>
      <c r="DL168" s="645">
        <f t="shared" si="110"/>
        <v>0</v>
      </c>
      <c r="DM168" s="163">
        <f t="shared" si="124"/>
        <v>0</v>
      </c>
      <c r="DN168" s="163">
        <f t="shared" si="124"/>
        <v>0</v>
      </c>
      <c r="DO168" s="163">
        <f t="shared" si="124"/>
        <v>0</v>
      </c>
      <c r="DP168" s="644">
        <f t="shared" si="124"/>
        <v>0</v>
      </c>
      <c r="DQ168" s="645">
        <f t="shared" si="123"/>
        <v>0</v>
      </c>
      <c r="DR168" s="163">
        <f t="shared" si="123"/>
        <v>0</v>
      </c>
      <c r="DS168" s="163">
        <f t="shared" si="123"/>
        <v>0</v>
      </c>
      <c r="DT168" s="163">
        <f t="shared" si="123"/>
        <v>0</v>
      </c>
      <c r="DU168" s="643">
        <f t="shared" si="123"/>
        <v>0</v>
      </c>
      <c r="DW168" s="646">
        <f t="shared" si="121"/>
        <v>859.00000000000023</v>
      </c>
      <c r="DX168" s="645">
        <f t="shared" si="121"/>
        <v>419</v>
      </c>
      <c r="DY168" s="163">
        <f t="shared" si="120"/>
        <v>362</v>
      </c>
      <c r="DZ168" s="163">
        <f t="shared" si="120"/>
        <v>0</v>
      </c>
      <c r="EA168" s="163">
        <f t="shared" si="120"/>
        <v>57</v>
      </c>
      <c r="EB168" s="644">
        <f t="shared" si="120"/>
        <v>0</v>
      </c>
      <c r="EC168" s="645">
        <f t="shared" si="120"/>
        <v>440</v>
      </c>
      <c r="ED168" s="163">
        <f t="shared" si="120"/>
        <v>300.00000000000006</v>
      </c>
      <c r="EE168" s="163">
        <f t="shared" si="120"/>
        <v>0</v>
      </c>
      <c r="EF168" s="163">
        <f t="shared" si="120"/>
        <v>100</v>
      </c>
      <c r="EG168" s="643">
        <f t="shared" si="120"/>
        <v>40</v>
      </c>
      <c r="EH168" s="646">
        <f t="shared" si="119"/>
        <v>242.99999999999997</v>
      </c>
      <c r="EI168" s="645">
        <f t="shared" si="117"/>
        <v>129</v>
      </c>
      <c r="EJ168" s="163">
        <f t="shared" si="117"/>
        <v>103.99999999999997</v>
      </c>
      <c r="EK168" s="163">
        <f t="shared" si="117"/>
        <v>0</v>
      </c>
      <c r="EL168" s="163">
        <f t="shared" si="117"/>
        <v>24.999999999999982</v>
      </c>
      <c r="EM168" s="644">
        <f t="shared" si="117"/>
        <v>0</v>
      </c>
      <c r="EN168" s="645">
        <f t="shared" si="117"/>
        <v>114.00000000000001</v>
      </c>
      <c r="EO168" s="163">
        <f t="shared" si="117"/>
        <v>72.999999999999986</v>
      </c>
      <c r="EP168" s="163">
        <f t="shared" si="79"/>
        <v>0</v>
      </c>
      <c r="EQ168" s="163">
        <f t="shared" si="79"/>
        <v>29.000000000000007</v>
      </c>
      <c r="ER168" s="643">
        <f t="shared" si="79"/>
        <v>12</v>
      </c>
    </row>
    <row r="169" spans="1:148">
      <c r="A169" s="665" t="s">
        <v>234</v>
      </c>
      <c r="B169" s="665">
        <v>43647</v>
      </c>
      <c r="C169" s="664">
        <v>2019</v>
      </c>
      <c r="D169" s="646">
        <f t="shared" si="111"/>
        <v>2064915.6666666667</v>
      </c>
      <c r="E169" s="646">
        <f t="shared" si="113"/>
        <v>30205.666666666672</v>
      </c>
      <c r="F169" s="645">
        <f t="shared" si="113"/>
        <v>15348</v>
      </c>
      <c r="G169" s="163">
        <f t="shared" si="113"/>
        <v>12683.666666666668</v>
      </c>
      <c r="H169" s="163">
        <f t="shared" si="113"/>
        <v>0</v>
      </c>
      <c r="I169" s="163">
        <f t="shared" si="113"/>
        <v>2664.3333333333344</v>
      </c>
      <c r="J169" s="644">
        <f t="shared" si="113"/>
        <v>0</v>
      </c>
      <c r="K169" s="645">
        <f t="shared" si="113"/>
        <v>14857.666666666668</v>
      </c>
      <c r="L169" s="163">
        <f t="shared" si="113"/>
        <v>10166.666666666664</v>
      </c>
      <c r="M169" s="163">
        <f t="shared" si="113"/>
        <v>0</v>
      </c>
      <c r="N169" s="163">
        <f t="shared" si="113"/>
        <v>3228</v>
      </c>
      <c r="O169" s="643">
        <f t="shared" si="113"/>
        <v>1462.9999999999995</v>
      </c>
      <c r="P169" s="646">
        <f t="shared" si="113"/>
        <v>50.999999999999993</v>
      </c>
      <c r="Q169" s="645">
        <f t="shared" si="113"/>
        <v>19.333333333333329</v>
      </c>
      <c r="R169" s="163">
        <f t="shared" si="113"/>
        <v>18.333333333333332</v>
      </c>
      <c r="S169" s="163">
        <f t="shared" si="113"/>
        <v>0</v>
      </c>
      <c r="T169" s="163">
        <f t="shared" si="113"/>
        <v>1</v>
      </c>
      <c r="U169" s="644">
        <f t="shared" si="122"/>
        <v>0</v>
      </c>
      <c r="V169" s="645">
        <f t="shared" si="122"/>
        <v>31.666666666666668</v>
      </c>
      <c r="W169" s="163">
        <f t="shared" si="122"/>
        <v>20.666666666666675</v>
      </c>
      <c r="X169" s="163">
        <f t="shared" si="122"/>
        <v>0</v>
      </c>
      <c r="Y169" s="163">
        <f t="shared" si="122"/>
        <v>7.9999999999999973</v>
      </c>
      <c r="Z169" s="643">
        <f t="shared" si="122"/>
        <v>3</v>
      </c>
      <c r="AA169" s="646">
        <f t="shared" si="122"/>
        <v>41.333333333333329</v>
      </c>
      <c r="AB169" s="645">
        <f t="shared" si="122"/>
        <v>13.333333333333334</v>
      </c>
      <c r="AC169" s="163">
        <f t="shared" si="122"/>
        <v>10.000000000000002</v>
      </c>
      <c r="AD169" s="163">
        <f t="shared" si="122"/>
        <v>0</v>
      </c>
      <c r="AE169" s="163">
        <f t="shared" si="122"/>
        <v>3.333333333333333</v>
      </c>
      <c r="AF169" s="644">
        <f t="shared" si="122"/>
        <v>0</v>
      </c>
      <c r="AG169" s="645">
        <f t="shared" si="122"/>
        <v>28.000000000000007</v>
      </c>
      <c r="AH169" s="163">
        <f t="shared" si="122"/>
        <v>23.999999999999996</v>
      </c>
      <c r="AI169" s="163">
        <f t="shared" si="122"/>
        <v>0</v>
      </c>
      <c r="AJ169" s="163">
        <f t="shared" si="122"/>
        <v>0</v>
      </c>
      <c r="AK169" s="643">
        <f t="shared" ref="AK169:AO184" si="126">AK70/3+AK168</f>
        <v>4</v>
      </c>
      <c r="AL169" s="646">
        <f t="shared" si="126"/>
        <v>252.66666666666663</v>
      </c>
      <c r="AM169" s="645">
        <f t="shared" si="125"/>
        <v>137</v>
      </c>
      <c r="AN169" s="163">
        <f t="shared" si="125"/>
        <v>111.66666666666664</v>
      </c>
      <c r="AO169" s="163">
        <f t="shared" si="125"/>
        <v>0</v>
      </c>
      <c r="AP169" s="163">
        <f t="shared" si="125"/>
        <v>25.333333333333314</v>
      </c>
      <c r="AQ169" s="644">
        <f t="shared" si="125"/>
        <v>0</v>
      </c>
      <c r="AR169" s="645">
        <f t="shared" si="125"/>
        <v>115.66666666666669</v>
      </c>
      <c r="AS169" s="163">
        <f t="shared" si="125"/>
        <v>73.999999999999986</v>
      </c>
      <c r="AT169" s="163">
        <f t="shared" si="125"/>
        <v>0</v>
      </c>
      <c r="AU169" s="163">
        <f t="shared" si="125"/>
        <v>29.666666666666675</v>
      </c>
      <c r="AV169" s="643">
        <f t="shared" si="125"/>
        <v>12</v>
      </c>
      <c r="AW169" s="646">
        <f t="shared" si="125"/>
        <v>162.66666666666677</v>
      </c>
      <c r="AX169" s="645">
        <f t="shared" si="125"/>
        <v>75.333333333333329</v>
      </c>
      <c r="AY169" s="163">
        <f t="shared" si="125"/>
        <v>66.333333333333329</v>
      </c>
      <c r="AZ169" s="163">
        <f t="shared" si="125"/>
        <v>0</v>
      </c>
      <c r="BA169" s="163">
        <f t="shared" si="125"/>
        <v>9</v>
      </c>
      <c r="BB169" s="644">
        <f t="shared" si="125"/>
        <v>0</v>
      </c>
      <c r="BC169" s="645">
        <f t="shared" si="125"/>
        <v>87.333333333333329</v>
      </c>
      <c r="BD169" s="163">
        <f t="shared" si="125"/>
        <v>66.333333333333343</v>
      </c>
      <c r="BE169" s="163">
        <f t="shared" si="125"/>
        <v>0</v>
      </c>
      <c r="BF169" s="163">
        <f t="shared" si="125"/>
        <v>14.000000000000004</v>
      </c>
      <c r="BG169" s="643">
        <f t="shared" si="125"/>
        <v>6.9999999999999991</v>
      </c>
      <c r="BH169" s="646">
        <f t="shared" si="112"/>
        <v>199.99999999999997</v>
      </c>
      <c r="BI169" s="645">
        <f t="shared" si="112"/>
        <v>111.33333333333333</v>
      </c>
      <c r="BJ169" s="163">
        <f t="shared" si="112"/>
        <v>100.33333333333334</v>
      </c>
      <c r="BK169" s="163">
        <f t="shared" si="112"/>
        <v>0</v>
      </c>
      <c r="BL169" s="163">
        <f t="shared" si="112"/>
        <v>11</v>
      </c>
      <c r="BM169" s="644">
        <f t="shared" si="112"/>
        <v>0</v>
      </c>
      <c r="BN169" s="645">
        <f t="shared" si="112"/>
        <v>88.666666666666671</v>
      </c>
      <c r="BO169" s="163">
        <f t="shared" si="112"/>
        <v>55.333333333333343</v>
      </c>
      <c r="BP169" s="163">
        <f t="shared" si="112"/>
        <v>0</v>
      </c>
      <c r="BQ169" s="163">
        <f t="shared" si="112"/>
        <v>26.333333333333336</v>
      </c>
      <c r="BR169" s="643">
        <f t="shared" si="112"/>
        <v>7</v>
      </c>
      <c r="BS169" s="646">
        <f t="shared" si="112"/>
        <v>286.66666666666674</v>
      </c>
      <c r="BT169" s="645">
        <f t="shared" si="112"/>
        <v>147.00000000000003</v>
      </c>
      <c r="BU169" s="163">
        <f t="shared" si="112"/>
        <v>124.33333333333331</v>
      </c>
      <c r="BV169" s="163">
        <f t="shared" si="112"/>
        <v>0</v>
      </c>
      <c r="BW169" s="163">
        <f t="shared" si="112"/>
        <v>22.666666666666664</v>
      </c>
      <c r="BX169" s="644">
        <f t="shared" si="115"/>
        <v>0</v>
      </c>
      <c r="BY169" s="645">
        <f t="shared" si="115"/>
        <v>139.66666666666663</v>
      </c>
      <c r="BZ169" s="163">
        <f t="shared" si="115"/>
        <v>87.000000000000014</v>
      </c>
      <c r="CA169" s="163">
        <f t="shared" si="115"/>
        <v>0</v>
      </c>
      <c r="CB169" s="163">
        <f t="shared" si="115"/>
        <v>36.666666666666657</v>
      </c>
      <c r="CC169" s="643">
        <f t="shared" si="115"/>
        <v>16</v>
      </c>
      <c r="CD169" s="646">
        <f t="shared" si="115"/>
        <v>76</v>
      </c>
      <c r="CE169" s="645">
        <f t="shared" si="115"/>
        <v>45.33333333333335</v>
      </c>
      <c r="CF169" s="163">
        <f t="shared" si="115"/>
        <v>36.333333333333329</v>
      </c>
      <c r="CG169" s="163">
        <f t="shared" si="115"/>
        <v>0</v>
      </c>
      <c r="CH169" s="163">
        <f t="shared" si="115"/>
        <v>8.9999999999999982</v>
      </c>
      <c r="CI169" s="644">
        <f t="shared" si="115"/>
        <v>0</v>
      </c>
      <c r="CJ169" s="645">
        <f t="shared" si="115"/>
        <v>30.666666666666671</v>
      </c>
      <c r="CK169" s="163">
        <f t="shared" si="115"/>
        <v>20.333333333333329</v>
      </c>
      <c r="CL169" s="163">
        <f t="shared" si="115"/>
        <v>0</v>
      </c>
      <c r="CM169" s="163">
        <f t="shared" si="115"/>
        <v>7.3333333333333313</v>
      </c>
      <c r="CN169" s="643">
        <f t="shared" si="118"/>
        <v>3</v>
      </c>
      <c r="CO169" s="646">
        <f t="shared" si="118"/>
        <v>55.666666666666664</v>
      </c>
      <c r="CP169" s="645">
        <f t="shared" si="118"/>
        <v>26.666666666666675</v>
      </c>
      <c r="CQ169" s="163">
        <f t="shared" si="118"/>
        <v>25.666666666666668</v>
      </c>
      <c r="CR169" s="163">
        <f t="shared" si="118"/>
        <v>0</v>
      </c>
      <c r="CS169" s="163">
        <f t="shared" si="118"/>
        <v>1</v>
      </c>
      <c r="CT169" s="644">
        <f t="shared" si="118"/>
        <v>0</v>
      </c>
      <c r="CU169" s="645">
        <f t="shared" si="118"/>
        <v>28.999999999999996</v>
      </c>
      <c r="CV169" s="163">
        <f t="shared" si="116"/>
        <v>20.999999999999989</v>
      </c>
      <c r="CW169" s="163">
        <f t="shared" si="110"/>
        <v>0</v>
      </c>
      <c r="CX169" s="163">
        <f t="shared" si="110"/>
        <v>8</v>
      </c>
      <c r="CY169" s="643">
        <f t="shared" si="110"/>
        <v>0</v>
      </c>
      <c r="CZ169" s="646">
        <f t="shared" si="110"/>
        <v>14.000000000000004</v>
      </c>
      <c r="DA169" s="645">
        <f t="shared" si="110"/>
        <v>1.9999999999999998</v>
      </c>
      <c r="DB169" s="163">
        <f t="shared" si="110"/>
        <v>0</v>
      </c>
      <c r="DC169" s="163">
        <f t="shared" si="110"/>
        <v>0</v>
      </c>
      <c r="DD169" s="163">
        <f t="shared" si="110"/>
        <v>1.9999999999999998</v>
      </c>
      <c r="DE169" s="644">
        <f t="shared" si="110"/>
        <v>0</v>
      </c>
      <c r="DF169" s="645">
        <f t="shared" si="110"/>
        <v>12.000000000000004</v>
      </c>
      <c r="DG169" s="163">
        <f t="shared" si="110"/>
        <v>11.000000000000007</v>
      </c>
      <c r="DH169" s="163">
        <f t="shared" si="110"/>
        <v>0</v>
      </c>
      <c r="DI169" s="163">
        <f t="shared" si="110"/>
        <v>1</v>
      </c>
      <c r="DJ169" s="643">
        <f t="shared" si="110"/>
        <v>0</v>
      </c>
      <c r="DK169" s="646">
        <f t="shared" si="110"/>
        <v>0</v>
      </c>
      <c r="DL169" s="645">
        <f t="shared" si="110"/>
        <v>0</v>
      </c>
      <c r="DM169" s="163">
        <f t="shared" si="124"/>
        <v>0</v>
      </c>
      <c r="DN169" s="163">
        <f t="shared" si="124"/>
        <v>0</v>
      </c>
      <c r="DO169" s="163">
        <f t="shared" si="124"/>
        <v>0</v>
      </c>
      <c r="DP169" s="644">
        <f t="shared" si="124"/>
        <v>0</v>
      </c>
      <c r="DQ169" s="645">
        <f t="shared" si="123"/>
        <v>0.33333333333333331</v>
      </c>
      <c r="DR169" s="163">
        <f t="shared" si="123"/>
        <v>0.33333333333333331</v>
      </c>
      <c r="DS169" s="163">
        <f t="shared" si="123"/>
        <v>0</v>
      </c>
      <c r="DT169" s="163">
        <f t="shared" si="123"/>
        <v>0</v>
      </c>
      <c r="DU169" s="643">
        <f t="shared" si="123"/>
        <v>0</v>
      </c>
      <c r="DW169" s="646">
        <f t="shared" si="121"/>
        <v>887.33333333333337</v>
      </c>
      <c r="DX169" s="645">
        <f t="shared" si="121"/>
        <v>440.33333333333343</v>
      </c>
      <c r="DY169" s="163">
        <f t="shared" si="120"/>
        <v>381.33333333333331</v>
      </c>
      <c r="DZ169" s="163">
        <f t="shared" si="120"/>
        <v>0</v>
      </c>
      <c r="EA169" s="163">
        <f t="shared" si="120"/>
        <v>59</v>
      </c>
      <c r="EB169" s="644">
        <f t="shared" si="120"/>
        <v>0</v>
      </c>
      <c r="EC169" s="645">
        <f t="shared" si="120"/>
        <v>447.33333333333331</v>
      </c>
      <c r="ED169" s="163">
        <f t="shared" si="120"/>
        <v>306</v>
      </c>
      <c r="EE169" s="163">
        <f t="shared" si="120"/>
        <v>0</v>
      </c>
      <c r="EF169" s="163">
        <f t="shared" si="120"/>
        <v>101.33333333333333</v>
      </c>
      <c r="EG169" s="643">
        <f t="shared" si="120"/>
        <v>40</v>
      </c>
      <c r="EH169" s="646">
        <f t="shared" si="119"/>
        <v>252.66666666666663</v>
      </c>
      <c r="EI169" s="645">
        <f t="shared" si="117"/>
        <v>137</v>
      </c>
      <c r="EJ169" s="163">
        <f t="shared" si="117"/>
        <v>111.66666666666664</v>
      </c>
      <c r="EK169" s="163">
        <f t="shared" si="117"/>
        <v>0</v>
      </c>
      <c r="EL169" s="163">
        <f t="shared" si="117"/>
        <v>25.333333333333314</v>
      </c>
      <c r="EM169" s="644">
        <f t="shared" si="117"/>
        <v>0</v>
      </c>
      <c r="EN169" s="645">
        <f t="shared" si="117"/>
        <v>115.66666666666669</v>
      </c>
      <c r="EO169" s="163">
        <f t="shared" si="117"/>
        <v>73.999999999999986</v>
      </c>
      <c r="EP169" s="163">
        <f t="shared" si="79"/>
        <v>0</v>
      </c>
      <c r="EQ169" s="163">
        <f t="shared" si="79"/>
        <v>29.666666666666675</v>
      </c>
      <c r="ER169" s="643">
        <f t="shared" si="79"/>
        <v>12</v>
      </c>
    </row>
    <row r="170" spans="1:148">
      <c r="A170" s="665" t="s">
        <v>234</v>
      </c>
      <c r="B170" s="665">
        <v>43678</v>
      </c>
      <c r="C170" s="664">
        <v>2019</v>
      </c>
      <c r="D170" s="646">
        <f t="shared" si="111"/>
        <v>2138112.3333333335</v>
      </c>
      <c r="E170" s="646">
        <f t="shared" si="113"/>
        <v>31255.333333333339</v>
      </c>
      <c r="F170" s="645">
        <f t="shared" si="113"/>
        <v>16075</v>
      </c>
      <c r="G170" s="163">
        <f t="shared" si="113"/>
        <v>13298.333333333334</v>
      </c>
      <c r="H170" s="163">
        <f t="shared" si="113"/>
        <v>0</v>
      </c>
      <c r="I170" s="163">
        <f t="shared" si="113"/>
        <v>2776.6666666666679</v>
      </c>
      <c r="J170" s="644">
        <f t="shared" si="113"/>
        <v>0</v>
      </c>
      <c r="K170" s="645">
        <f t="shared" si="113"/>
        <v>15180.333333333334</v>
      </c>
      <c r="L170" s="163">
        <f t="shared" si="113"/>
        <v>10381.33333333333</v>
      </c>
      <c r="M170" s="163">
        <f t="shared" si="113"/>
        <v>0</v>
      </c>
      <c r="N170" s="163">
        <f t="shared" si="113"/>
        <v>3330</v>
      </c>
      <c r="O170" s="643">
        <f t="shared" si="113"/>
        <v>1468.9999999999995</v>
      </c>
      <c r="P170" s="646">
        <f t="shared" si="113"/>
        <v>52.999999999999993</v>
      </c>
      <c r="Q170" s="645">
        <f t="shared" si="113"/>
        <v>20.666666666666661</v>
      </c>
      <c r="R170" s="163">
        <f t="shared" si="113"/>
        <v>19.666666666666664</v>
      </c>
      <c r="S170" s="163">
        <f t="shared" si="113"/>
        <v>0</v>
      </c>
      <c r="T170" s="163">
        <f t="shared" si="113"/>
        <v>1</v>
      </c>
      <c r="U170" s="644">
        <f t="shared" si="122"/>
        <v>0</v>
      </c>
      <c r="V170" s="645">
        <f t="shared" si="122"/>
        <v>32.333333333333336</v>
      </c>
      <c r="W170" s="163">
        <f t="shared" si="122"/>
        <v>21.333333333333343</v>
      </c>
      <c r="X170" s="163">
        <f t="shared" si="122"/>
        <v>0</v>
      </c>
      <c r="Y170" s="163">
        <f t="shared" si="122"/>
        <v>7.9999999999999973</v>
      </c>
      <c r="Z170" s="643">
        <f t="shared" si="122"/>
        <v>3</v>
      </c>
      <c r="AA170" s="646">
        <f t="shared" si="122"/>
        <v>41.666666666666664</v>
      </c>
      <c r="AB170" s="645">
        <f t="shared" si="122"/>
        <v>13.666666666666668</v>
      </c>
      <c r="AC170" s="163">
        <f t="shared" si="122"/>
        <v>10.000000000000002</v>
      </c>
      <c r="AD170" s="163">
        <f t="shared" si="122"/>
        <v>0</v>
      </c>
      <c r="AE170" s="163">
        <f t="shared" si="122"/>
        <v>3.6666666666666665</v>
      </c>
      <c r="AF170" s="644">
        <f t="shared" si="122"/>
        <v>0</v>
      </c>
      <c r="AG170" s="645">
        <f t="shared" si="122"/>
        <v>28.000000000000007</v>
      </c>
      <c r="AH170" s="163">
        <f t="shared" si="122"/>
        <v>23.999999999999996</v>
      </c>
      <c r="AI170" s="163">
        <f t="shared" si="122"/>
        <v>0</v>
      </c>
      <c r="AJ170" s="163">
        <f t="shared" si="122"/>
        <v>0</v>
      </c>
      <c r="AK170" s="643">
        <f t="shared" si="126"/>
        <v>4</v>
      </c>
      <c r="AL170" s="646">
        <f t="shared" si="126"/>
        <v>262.33333333333331</v>
      </c>
      <c r="AM170" s="645">
        <f t="shared" si="125"/>
        <v>145</v>
      </c>
      <c r="AN170" s="163">
        <f t="shared" si="125"/>
        <v>119.33333333333331</v>
      </c>
      <c r="AO170" s="163">
        <f t="shared" si="125"/>
        <v>0</v>
      </c>
      <c r="AP170" s="163">
        <f t="shared" si="125"/>
        <v>25.666666666666647</v>
      </c>
      <c r="AQ170" s="644">
        <f t="shared" si="125"/>
        <v>0</v>
      </c>
      <c r="AR170" s="645">
        <f t="shared" si="125"/>
        <v>117.33333333333336</v>
      </c>
      <c r="AS170" s="163">
        <f t="shared" si="125"/>
        <v>74.999999999999986</v>
      </c>
      <c r="AT170" s="163">
        <f t="shared" si="125"/>
        <v>0</v>
      </c>
      <c r="AU170" s="163">
        <f t="shared" si="125"/>
        <v>30.333333333333343</v>
      </c>
      <c r="AV170" s="643">
        <f t="shared" si="125"/>
        <v>12</v>
      </c>
      <c r="AW170" s="646">
        <f t="shared" si="125"/>
        <v>168.33333333333343</v>
      </c>
      <c r="AX170" s="645">
        <f t="shared" si="125"/>
        <v>79.666666666666657</v>
      </c>
      <c r="AY170" s="163">
        <f t="shared" si="125"/>
        <v>69.666666666666657</v>
      </c>
      <c r="AZ170" s="163">
        <f t="shared" si="125"/>
        <v>0</v>
      </c>
      <c r="BA170" s="163">
        <f t="shared" si="125"/>
        <v>10</v>
      </c>
      <c r="BB170" s="644">
        <f t="shared" si="125"/>
        <v>0</v>
      </c>
      <c r="BC170" s="645">
        <f t="shared" si="125"/>
        <v>88.666666666666657</v>
      </c>
      <c r="BD170" s="163">
        <f t="shared" si="125"/>
        <v>67.666666666666671</v>
      </c>
      <c r="BE170" s="163">
        <f t="shared" si="125"/>
        <v>0</v>
      </c>
      <c r="BF170" s="163">
        <f t="shared" si="125"/>
        <v>14.000000000000004</v>
      </c>
      <c r="BG170" s="643">
        <f t="shared" si="125"/>
        <v>6.9999999999999991</v>
      </c>
      <c r="BH170" s="646">
        <f t="shared" si="112"/>
        <v>205.99999999999997</v>
      </c>
      <c r="BI170" s="645">
        <f t="shared" si="112"/>
        <v>116.66666666666666</v>
      </c>
      <c r="BJ170" s="163">
        <f t="shared" si="112"/>
        <v>105.66666666666667</v>
      </c>
      <c r="BK170" s="163">
        <f t="shared" si="112"/>
        <v>0</v>
      </c>
      <c r="BL170" s="163">
        <f t="shared" si="112"/>
        <v>11</v>
      </c>
      <c r="BM170" s="644">
        <f t="shared" si="112"/>
        <v>0</v>
      </c>
      <c r="BN170" s="645">
        <f t="shared" si="112"/>
        <v>89.333333333333343</v>
      </c>
      <c r="BO170" s="163">
        <f t="shared" si="112"/>
        <v>55.666666666666679</v>
      </c>
      <c r="BP170" s="163">
        <f t="shared" si="112"/>
        <v>0</v>
      </c>
      <c r="BQ170" s="163">
        <f t="shared" si="112"/>
        <v>26.666666666666668</v>
      </c>
      <c r="BR170" s="643">
        <f t="shared" si="112"/>
        <v>7</v>
      </c>
      <c r="BS170" s="646">
        <f t="shared" si="112"/>
        <v>298.33333333333343</v>
      </c>
      <c r="BT170" s="645">
        <f t="shared" si="112"/>
        <v>156.00000000000003</v>
      </c>
      <c r="BU170" s="163">
        <f t="shared" si="112"/>
        <v>132.66666666666666</v>
      </c>
      <c r="BV170" s="163">
        <f t="shared" si="112"/>
        <v>0</v>
      </c>
      <c r="BW170" s="163">
        <f t="shared" si="112"/>
        <v>23.333333333333332</v>
      </c>
      <c r="BX170" s="644">
        <f t="shared" si="115"/>
        <v>0</v>
      </c>
      <c r="BY170" s="645">
        <f t="shared" si="115"/>
        <v>142.33333333333329</v>
      </c>
      <c r="BZ170" s="163">
        <f t="shared" si="115"/>
        <v>89.000000000000014</v>
      </c>
      <c r="CA170" s="163">
        <f t="shared" si="115"/>
        <v>0</v>
      </c>
      <c r="CB170" s="163">
        <f t="shared" si="115"/>
        <v>37.333333333333321</v>
      </c>
      <c r="CC170" s="643">
        <f t="shared" si="115"/>
        <v>16</v>
      </c>
      <c r="CD170" s="646">
        <f t="shared" si="115"/>
        <v>77</v>
      </c>
      <c r="CE170" s="645">
        <f t="shared" si="115"/>
        <v>45.666666666666686</v>
      </c>
      <c r="CF170" s="163">
        <f t="shared" si="115"/>
        <v>36.666666666666664</v>
      </c>
      <c r="CG170" s="163">
        <f t="shared" si="115"/>
        <v>0</v>
      </c>
      <c r="CH170" s="163">
        <f t="shared" si="115"/>
        <v>8.9999999999999982</v>
      </c>
      <c r="CI170" s="644">
        <f t="shared" si="115"/>
        <v>0</v>
      </c>
      <c r="CJ170" s="645">
        <f t="shared" si="115"/>
        <v>31.333333333333339</v>
      </c>
      <c r="CK170" s="163">
        <f t="shared" si="115"/>
        <v>20.666666666666661</v>
      </c>
      <c r="CL170" s="163">
        <f t="shared" si="115"/>
        <v>0</v>
      </c>
      <c r="CM170" s="163">
        <f t="shared" si="115"/>
        <v>7.6666666666666643</v>
      </c>
      <c r="CN170" s="643">
        <f t="shared" si="118"/>
        <v>3</v>
      </c>
      <c r="CO170" s="646">
        <f t="shared" si="118"/>
        <v>57.333333333333329</v>
      </c>
      <c r="CP170" s="645">
        <f t="shared" si="118"/>
        <v>27.333333333333343</v>
      </c>
      <c r="CQ170" s="163">
        <f t="shared" si="118"/>
        <v>26.333333333333336</v>
      </c>
      <c r="CR170" s="163">
        <f t="shared" si="118"/>
        <v>0</v>
      </c>
      <c r="CS170" s="163">
        <f t="shared" si="118"/>
        <v>1</v>
      </c>
      <c r="CT170" s="644">
        <f t="shared" si="118"/>
        <v>0</v>
      </c>
      <c r="CU170" s="645">
        <f t="shared" si="118"/>
        <v>29.999999999999996</v>
      </c>
      <c r="CV170" s="163">
        <f t="shared" si="116"/>
        <v>21.999999999999989</v>
      </c>
      <c r="CW170" s="163">
        <f t="shared" si="110"/>
        <v>0</v>
      </c>
      <c r="CX170" s="163">
        <f t="shared" si="110"/>
        <v>8</v>
      </c>
      <c r="CY170" s="643">
        <f t="shared" si="110"/>
        <v>0</v>
      </c>
      <c r="CZ170" s="646">
        <f t="shared" si="110"/>
        <v>14.000000000000004</v>
      </c>
      <c r="DA170" s="645">
        <f t="shared" si="110"/>
        <v>1.9999999999999998</v>
      </c>
      <c r="DB170" s="163">
        <f t="shared" si="110"/>
        <v>0</v>
      </c>
      <c r="DC170" s="163">
        <f t="shared" si="110"/>
        <v>0</v>
      </c>
      <c r="DD170" s="163">
        <f t="shared" si="110"/>
        <v>1.9999999999999998</v>
      </c>
      <c r="DE170" s="644">
        <f t="shared" si="110"/>
        <v>0</v>
      </c>
      <c r="DF170" s="645">
        <f t="shared" si="110"/>
        <v>12.000000000000004</v>
      </c>
      <c r="DG170" s="163">
        <f t="shared" si="110"/>
        <v>11.000000000000007</v>
      </c>
      <c r="DH170" s="163">
        <f t="shared" si="110"/>
        <v>0</v>
      </c>
      <c r="DI170" s="163">
        <f t="shared" si="110"/>
        <v>1</v>
      </c>
      <c r="DJ170" s="643">
        <f t="shared" si="110"/>
        <v>0</v>
      </c>
      <c r="DK170" s="646">
        <f t="shared" si="110"/>
        <v>0</v>
      </c>
      <c r="DL170" s="645">
        <f t="shared" si="110"/>
        <v>0</v>
      </c>
      <c r="DM170" s="163">
        <f t="shared" si="124"/>
        <v>0</v>
      </c>
      <c r="DN170" s="163">
        <f t="shared" si="124"/>
        <v>0</v>
      </c>
      <c r="DO170" s="163">
        <f t="shared" si="124"/>
        <v>0</v>
      </c>
      <c r="DP170" s="644">
        <f t="shared" si="124"/>
        <v>0</v>
      </c>
      <c r="DQ170" s="645">
        <f t="shared" si="123"/>
        <v>0.66666666666666663</v>
      </c>
      <c r="DR170" s="163">
        <f t="shared" si="123"/>
        <v>0.66666666666666663</v>
      </c>
      <c r="DS170" s="163">
        <f t="shared" si="123"/>
        <v>0</v>
      </c>
      <c r="DT170" s="163">
        <f t="shared" si="123"/>
        <v>0</v>
      </c>
      <c r="DU170" s="643">
        <f t="shared" si="123"/>
        <v>0</v>
      </c>
      <c r="DW170" s="646">
        <f t="shared" si="121"/>
        <v>915.66666666666686</v>
      </c>
      <c r="DX170" s="645">
        <f t="shared" si="121"/>
        <v>461.66666666666663</v>
      </c>
      <c r="DY170" s="163">
        <f t="shared" si="120"/>
        <v>400.66666666666663</v>
      </c>
      <c r="DZ170" s="163">
        <f t="shared" si="120"/>
        <v>0</v>
      </c>
      <c r="EA170" s="163">
        <f t="shared" si="120"/>
        <v>61</v>
      </c>
      <c r="EB170" s="644">
        <f t="shared" si="120"/>
        <v>0</v>
      </c>
      <c r="EC170" s="645">
        <f t="shared" si="120"/>
        <v>454.66666666666663</v>
      </c>
      <c r="ED170" s="163">
        <f t="shared" si="120"/>
        <v>312.00000000000006</v>
      </c>
      <c r="EE170" s="163">
        <f t="shared" si="120"/>
        <v>0</v>
      </c>
      <c r="EF170" s="163">
        <f t="shared" si="120"/>
        <v>102.66666666666666</v>
      </c>
      <c r="EG170" s="643">
        <f t="shared" si="120"/>
        <v>40</v>
      </c>
      <c r="EH170" s="646">
        <f t="shared" si="119"/>
        <v>262.33333333333331</v>
      </c>
      <c r="EI170" s="645">
        <f t="shared" si="117"/>
        <v>145</v>
      </c>
      <c r="EJ170" s="163">
        <f t="shared" si="117"/>
        <v>119.33333333333331</v>
      </c>
      <c r="EK170" s="163">
        <f t="shared" si="117"/>
        <v>0</v>
      </c>
      <c r="EL170" s="163">
        <f t="shared" si="117"/>
        <v>25.666666666666647</v>
      </c>
      <c r="EM170" s="644">
        <f t="shared" si="117"/>
        <v>0</v>
      </c>
      <c r="EN170" s="645">
        <f t="shared" si="117"/>
        <v>117.33333333333336</v>
      </c>
      <c r="EO170" s="163">
        <f t="shared" si="117"/>
        <v>74.999999999999986</v>
      </c>
      <c r="EP170" s="163">
        <f t="shared" si="79"/>
        <v>0</v>
      </c>
      <c r="EQ170" s="163">
        <f t="shared" si="79"/>
        <v>30.333333333333343</v>
      </c>
      <c r="ER170" s="643">
        <f t="shared" si="79"/>
        <v>12</v>
      </c>
    </row>
    <row r="171" spans="1:148">
      <c r="A171" s="665" t="s">
        <v>234</v>
      </c>
      <c r="B171" s="665">
        <v>43709</v>
      </c>
      <c r="C171" s="664">
        <v>2019</v>
      </c>
      <c r="D171" s="646">
        <f t="shared" si="111"/>
        <v>2211309</v>
      </c>
      <c r="E171" s="646">
        <f t="shared" si="113"/>
        <v>32305.000000000007</v>
      </c>
      <c r="F171" s="645">
        <f t="shared" si="113"/>
        <v>16802</v>
      </c>
      <c r="G171" s="163">
        <f t="shared" si="113"/>
        <v>13913</v>
      </c>
      <c r="H171" s="163">
        <f t="shared" si="113"/>
        <v>0</v>
      </c>
      <c r="I171" s="163">
        <f t="shared" si="113"/>
        <v>2889.0000000000014</v>
      </c>
      <c r="J171" s="644">
        <f t="shared" si="113"/>
        <v>0</v>
      </c>
      <c r="K171" s="645">
        <f t="shared" si="113"/>
        <v>15503</v>
      </c>
      <c r="L171" s="163">
        <f t="shared" si="113"/>
        <v>10595.999999999996</v>
      </c>
      <c r="M171" s="163">
        <f t="shared" si="113"/>
        <v>0</v>
      </c>
      <c r="N171" s="163">
        <f t="shared" si="113"/>
        <v>3432</v>
      </c>
      <c r="O171" s="643">
        <f t="shared" si="113"/>
        <v>1474.9999999999995</v>
      </c>
      <c r="P171" s="646">
        <f t="shared" si="113"/>
        <v>54.999999999999993</v>
      </c>
      <c r="Q171" s="645">
        <f t="shared" si="113"/>
        <v>21.999999999999993</v>
      </c>
      <c r="R171" s="163">
        <f t="shared" si="113"/>
        <v>20.999999999999996</v>
      </c>
      <c r="S171" s="163">
        <f t="shared" si="113"/>
        <v>0</v>
      </c>
      <c r="T171" s="163">
        <f t="shared" si="113"/>
        <v>1</v>
      </c>
      <c r="U171" s="644">
        <f t="shared" si="122"/>
        <v>0</v>
      </c>
      <c r="V171" s="645">
        <f t="shared" si="122"/>
        <v>33</v>
      </c>
      <c r="W171" s="163">
        <f t="shared" si="122"/>
        <v>22.000000000000011</v>
      </c>
      <c r="X171" s="163">
        <f t="shared" si="122"/>
        <v>0</v>
      </c>
      <c r="Y171" s="163">
        <f t="shared" si="122"/>
        <v>7.9999999999999973</v>
      </c>
      <c r="Z171" s="643">
        <f t="shared" si="122"/>
        <v>3</v>
      </c>
      <c r="AA171" s="646">
        <f t="shared" si="122"/>
        <v>42</v>
      </c>
      <c r="AB171" s="645">
        <f t="shared" si="122"/>
        <v>14.000000000000002</v>
      </c>
      <c r="AC171" s="163">
        <f t="shared" si="122"/>
        <v>10.000000000000002</v>
      </c>
      <c r="AD171" s="163">
        <f t="shared" si="122"/>
        <v>0</v>
      </c>
      <c r="AE171" s="163">
        <f t="shared" si="122"/>
        <v>4</v>
      </c>
      <c r="AF171" s="644">
        <f t="shared" si="122"/>
        <v>0</v>
      </c>
      <c r="AG171" s="645">
        <f t="shared" si="122"/>
        <v>28.000000000000007</v>
      </c>
      <c r="AH171" s="163">
        <f t="shared" si="122"/>
        <v>23.999999999999996</v>
      </c>
      <c r="AI171" s="163">
        <f t="shared" si="122"/>
        <v>0</v>
      </c>
      <c r="AJ171" s="163">
        <f t="shared" si="122"/>
        <v>0</v>
      </c>
      <c r="AK171" s="643">
        <f t="shared" si="126"/>
        <v>4</v>
      </c>
      <c r="AL171" s="646">
        <f t="shared" si="126"/>
        <v>272</v>
      </c>
      <c r="AM171" s="645">
        <f t="shared" si="125"/>
        <v>153</v>
      </c>
      <c r="AN171" s="163">
        <f t="shared" si="125"/>
        <v>126.99999999999999</v>
      </c>
      <c r="AO171" s="163">
        <f t="shared" si="125"/>
        <v>0</v>
      </c>
      <c r="AP171" s="163">
        <f t="shared" si="125"/>
        <v>25.999999999999979</v>
      </c>
      <c r="AQ171" s="644">
        <f t="shared" si="125"/>
        <v>0</v>
      </c>
      <c r="AR171" s="645">
        <f t="shared" si="125"/>
        <v>119.00000000000003</v>
      </c>
      <c r="AS171" s="163">
        <f t="shared" si="125"/>
        <v>75.999999999999986</v>
      </c>
      <c r="AT171" s="163">
        <f t="shared" si="125"/>
        <v>0</v>
      </c>
      <c r="AU171" s="163">
        <f t="shared" si="125"/>
        <v>31.000000000000011</v>
      </c>
      <c r="AV171" s="643">
        <f t="shared" si="125"/>
        <v>12</v>
      </c>
      <c r="AW171" s="646">
        <f t="shared" si="125"/>
        <v>174.00000000000009</v>
      </c>
      <c r="AX171" s="645">
        <f t="shared" si="125"/>
        <v>83.999999999999986</v>
      </c>
      <c r="AY171" s="163">
        <f t="shared" si="125"/>
        <v>72.999999999999986</v>
      </c>
      <c r="AZ171" s="163">
        <f t="shared" si="125"/>
        <v>0</v>
      </c>
      <c r="BA171" s="163">
        <f t="shared" si="125"/>
        <v>11</v>
      </c>
      <c r="BB171" s="644">
        <f t="shared" si="125"/>
        <v>0</v>
      </c>
      <c r="BC171" s="645">
        <f t="shared" si="125"/>
        <v>89.999999999999986</v>
      </c>
      <c r="BD171" s="163">
        <f t="shared" si="125"/>
        <v>69</v>
      </c>
      <c r="BE171" s="163">
        <f t="shared" si="125"/>
        <v>0</v>
      </c>
      <c r="BF171" s="163">
        <f t="shared" si="125"/>
        <v>14.000000000000004</v>
      </c>
      <c r="BG171" s="643">
        <f t="shared" si="125"/>
        <v>6.9999999999999991</v>
      </c>
      <c r="BH171" s="646">
        <f t="shared" si="112"/>
        <v>211.99999999999997</v>
      </c>
      <c r="BI171" s="645">
        <f t="shared" si="112"/>
        <v>121.99999999999999</v>
      </c>
      <c r="BJ171" s="163">
        <f t="shared" si="112"/>
        <v>111</v>
      </c>
      <c r="BK171" s="163">
        <f t="shared" si="112"/>
        <v>0</v>
      </c>
      <c r="BL171" s="163">
        <f t="shared" si="112"/>
        <v>11</v>
      </c>
      <c r="BM171" s="644">
        <f t="shared" si="112"/>
        <v>0</v>
      </c>
      <c r="BN171" s="645">
        <f t="shared" si="112"/>
        <v>90.000000000000014</v>
      </c>
      <c r="BO171" s="163">
        <f t="shared" si="112"/>
        <v>56.000000000000014</v>
      </c>
      <c r="BP171" s="163">
        <f t="shared" si="112"/>
        <v>0</v>
      </c>
      <c r="BQ171" s="163">
        <f t="shared" si="112"/>
        <v>27</v>
      </c>
      <c r="BR171" s="643">
        <f t="shared" si="112"/>
        <v>7</v>
      </c>
      <c r="BS171" s="646">
        <f t="shared" si="112"/>
        <v>310.00000000000011</v>
      </c>
      <c r="BT171" s="645">
        <f t="shared" si="112"/>
        <v>165.00000000000003</v>
      </c>
      <c r="BU171" s="163">
        <f t="shared" si="112"/>
        <v>141</v>
      </c>
      <c r="BV171" s="163">
        <f t="shared" si="112"/>
        <v>0</v>
      </c>
      <c r="BW171" s="163">
        <f t="shared" si="112"/>
        <v>24</v>
      </c>
      <c r="BX171" s="644">
        <f t="shared" si="115"/>
        <v>0</v>
      </c>
      <c r="BY171" s="645">
        <f t="shared" si="115"/>
        <v>144.99999999999994</v>
      </c>
      <c r="BZ171" s="163">
        <f t="shared" si="115"/>
        <v>91.000000000000014</v>
      </c>
      <c r="CA171" s="163">
        <f t="shared" si="115"/>
        <v>0</v>
      </c>
      <c r="CB171" s="163">
        <f t="shared" si="115"/>
        <v>37.999999999999986</v>
      </c>
      <c r="CC171" s="643">
        <f t="shared" si="115"/>
        <v>16</v>
      </c>
      <c r="CD171" s="646">
        <f t="shared" si="115"/>
        <v>78</v>
      </c>
      <c r="CE171" s="645">
        <f t="shared" si="115"/>
        <v>46.000000000000021</v>
      </c>
      <c r="CF171" s="163">
        <f t="shared" si="115"/>
        <v>37</v>
      </c>
      <c r="CG171" s="163">
        <f t="shared" si="115"/>
        <v>0</v>
      </c>
      <c r="CH171" s="163">
        <f t="shared" si="115"/>
        <v>8.9999999999999982</v>
      </c>
      <c r="CI171" s="644">
        <f t="shared" si="115"/>
        <v>0</v>
      </c>
      <c r="CJ171" s="645">
        <f t="shared" si="115"/>
        <v>32.000000000000007</v>
      </c>
      <c r="CK171" s="163">
        <f t="shared" si="115"/>
        <v>20.999999999999993</v>
      </c>
      <c r="CL171" s="163">
        <f t="shared" si="115"/>
        <v>0</v>
      </c>
      <c r="CM171" s="163">
        <f t="shared" si="115"/>
        <v>7.9999999999999973</v>
      </c>
      <c r="CN171" s="643">
        <f t="shared" si="118"/>
        <v>3</v>
      </c>
      <c r="CO171" s="646">
        <f t="shared" si="118"/>
        <v>58.999999999999993</v>
      </c>
      <c r="CP171" s="645">
        <f t="shared" si="118"/>
        <v>28.000000000000011</v>
      </c>
      <c r="CQ171" s="163">
        <f t="shared" si="118"/>
        <v>27.000000000000004</v>
      </c>
      <c r="CR171" s="163">
        <f t="shared" si="118"/>
        <v>0</v>
      </c>
      <c r="CS171" s="163">
        <f t="shared" si="118"/>
        <v>1</v>
      </c>
      <c r="CT171" s="644">
        <f t="shared" si="118"/>
        <v>0</v>
      </c>
      <c r="CU171" s="645">
        <f t="shared" si="118"/>
        <v>30.999999999999996</v>
      </c>
      <c r="CV171" s="163">
        <f t="shared" si="116"/>
        <v>22.999999999999989</v>
      </c>
      <c r="CW171" s="163">
        <f t="shared" si="116"/>
        <v>0</v>
      </c>
      <c r="CX171" s="163">
        <f t="shared" si="116"/>
        <v>8</v>
      </c>
      <c r="CY171" s="643">
        <f t="shared" si="116"/>
        <v>0</v>
      </c>
      <c r="CZ171" s="646">
        <f t="shared" si="116"/>
        <v>14.000000000000004</v>
      </c>
      <c r="DA171" s="645">
        <f t="shared" si="116"/>
        <v>1.9999999999999998</v>
      </c>
      <c r="DB171" s="163">
        <f t="shared" si="116"/>
        <v>0</v>
      </c>
      <c r="DC171" s="163">
        <f t="shared" si="116"/>
        <v>0</v>
      </c>
      <c r="DD171" s="163">
        <f t="shared" si="116"/>
        <v>1.9999999999999998</v>
      </c>
      <c r="DE171" s="644">
        <f t="shared" si="116"/>
        <v>0</v>
      </c>
      <c r="DF171" s="645">
        <f t="shared" si="116"/>
        <v>12.000000000000004</v>
      </c>
      <c r="DG171" s="163">
        <f t="shared" si="116"/>
        <v>11.000000000000007</v>
      </c>
      <c r="DH171" s="163">
        <f t="shared" si="116"/>
        <v>0</v>
      </c>
      <c r="DI171" s="163">
        <f t="shared" si="116"/>
        <v>1</v>
      </c>
      <c r="DJ171" s="643">
        <f t="shared" si="116"/>
        <v>0</v>
      </c>
      <c r="DK171" s="646">
        <f t="shared" si="116"/>
        <v>0</v>
      </c>
      <c r="DL171" s="645">
        <f t="shared" ref="DL171:DU186" si="127">DL72/3+DL170</f>
        <v>0</v>
      </c>
      <c r="DM171" s="163">
        <f t="shared" si="124"/>
        <v>0</v>
      </c>
      <c r="DN171" s="163">
        <f t="shared" si="124"/>
        <v>0</v>
      </c>
      <c r="DO171" s="163">
        <f t="shared" si="124"/>
        <v>0</v>
      </c>
      <c r="DP171" s="644">
        <f t="shared" si="124"/>
        <v>0</v>
      </c>
      <c r="DQ171" s="645">
        <f t="shared" si="123"/>
        <v>1</v>
      </c>
      <c r="DR171" s="163">
        <f t="shared" si="123"/>
        <v>1</v>
      </c>
      <c r="DS171" s="163">
        <f t="shared" si="123"/>
        <v>0</v>
      </c>
      <c r="DT171" s="163">
        <f t="shared" si="123"/>
        <v>0</v>
      </c>
      <c r="DU171" s="643">
        <f t="shared" si="123"/>
        <v>0</v>
      </c>
      <c r="DW171" s="646">
        <f t="shared" si="121"/>
        <v>944.00000000000023</v>
      </c>
      <c r="DX171" s="645">
        <f t="shared" si="121"/>
        <v>483</v>
      </c>
      <c r="DY171" s="163">
        <f t="shared" si="120"/>
        <v>420</v>
      </c>
      <c r="DZ171" s="163">
        <f t="shared" si="120"/>
        <v>0</v>
      </c>
      <c r="EA171" s="163">
        <f t="shared" si="120"/>
        <v>63</v>
      </c>
      <c r="EB171" s="644">
        <f t="shared" si="120"/>
        <v>0</v>
      </c>
      <c r="EC171" s="645">
        <f t="shared" si="120"/>
        <v>461.99999999999994</v>
      </c>
      <c r="ED171" s="163">
        <f t="shared" si="120"/>
        <v>318</v>
      </c>
      <c r="EE171" s="163">
        <f t="shared" si="120"/>
        <v>0</v>
      </c>
      <c r="EF171" s="163">
        <f t="shared" si="120"/>
        <v>103.99999999999999</v>
      </c>
      <c r="EG171" s="643">
        <f t="shared" si="120"/>
        <v>40</v>
      </c>
      <c r="EH171" s="646">
        <f t="shared" si="119"/>
        <v>272</v>
      </c>
      <c r="EI171" s="645">
        <f t="shared" si="117"/>
        <v>153</v>
      </c>
      <c r="EJ171" s="163">
        <f t="shared" si="117"/>
        <v>126.99999999999999</v>
      </c>
      <c r="EK171" s="163">
        <f t="shared" si="117"/>
        <v>0</v>
      </c>
      <c r="EL171" s="163">
        <f t="shared" si="117"/>
        <v>25.999999999999979</v>
      </c>
      <c r="EM171" s="644">
        <f t="shared" si="117"/>
        <v>0</v>
      </c>
      <c r="EN171" s="645">
        <f t="shared" si="117"/>
        <v>119.00000000000003</v>
      </c>
      <c r="EO171" s="163">
        <f t="shared" si="117"/>
        <v>75.999999999999986</v>
      </c>
      <c r="EP171" s="163">
        <f t="shared" si="79"/>
        <v>0</v>
      </c>
      <c r="EQ171" s="163">
        <f t="shared" si="79"/>
        <v>31.000000000000011</v>
      </c>
      <c r="ER171" s="643">
        <f t="shared" si="79"/>
        <v>12</v>
      </c>
    </row>
    <row r="172" spans="1:148">
      <c r="A172" s="665" t="s">
        <v>235</v>
      </c>
      <c r="B172" s="665">
        <v>43739</v>
      </c>
      <c r="C172" s="664">
        <v>2019</v>
      </c>
      <c r="D172" s="646">
        <f t="shared" si="111"/>
        <v>2272888</v>
      </c>
      <c r="E172" s="646">
        <f t="shared" si="113"/>
        <v>33064.333333333343</v>
      </c>
      <c r="F172" s="645">
        <f t="shared" si="113"/>
        <v>17315</v>
      </c>
      <c r="G172" s="163">
        <f t="shared" si="113"/>
        <v>14311</v>
      </c>
      <c r="H172" s="163">
        <f t="shared" si="113"/>
        <v>0</v>
      </c>
      <c r="I172" s="163">
        <f t="shared" si="113"/>
        <v>3004.0000000000014</v>
      </c>
      <c r="J172" s="644">
        <f t="shared" si="113"/>
        <v>0</v>
      </c>
      <c r="K172" s="645">
        <f t="shared" si="113"/>
        <v>15749.333333333334</v>
      </c>
      <c r="L172" s="163">
        <f t="shared" si="113"/>
        <v>10743.33333333333</v>
      </c>
      <c r="M172" s="163">
        <f t="shared" si="113"/>
        <v>0</v>
      </c>
      <c r="N172" s="163">
        <f t="shared" si="113"/>
        <v>3526.6666666666665</v>
      </c>
      <c r="O172" s="643">
        <f t="shared" si="113"/>
        <v>1479.3333333333328</v>
      </c>
      <c r="P172" s="646">
        <f t="shared" si="113"/>
        <v>57.333333333333329</v>
      </c>
      <c r="Q172" s="645">
        <f t="shared" si="113"/>
        <v>23.999999999999993</v>
      </c>
      <c r="R172" s="163">
        <f t="shared" si="113"/>
        <v>22.333333333333329</v>
      </c>
      <c r="S172" s="163">
        <f t="shared" si="113"/>
        <v>0</v>
      </c>
      <c r="T172" s="163">
        <f t="shared" ref="T172:AI187" si="128">T73/3+T171</f>
        <v>1.6666666666666665</v>
      </c>
      <c r="U172" s="644">
        <f t="shared" si="122"/>
        <v>0</v>
      </c>
      <c r="V172" s="645">
        <f t="shared" si="122"/>
        <v>33.333333333333336</v>
      </c>
      <c r="W172" s="163">
        <f t="shared" si="122"/>
        <v>22.000000000000011</v>
      </c>
      <c r="X172" s="163">
        <f t="shared" si="122"/>
        <v>0</v>
      </c>
      <c r="Y172" s="163">
        <f t="shared" si="122"/>
        <v>8.3333333333333304</v>
      </c>
      <c r="Z172" s="643">
        <f t="shared" si="122"/>
        <v>3</v>
      </c>
      <c r="AA172" s="646">
        <f t="shared" si="122"/>
        <v>42</v>
      </c>
      <c r="AB172" s="645">
        <f t="shared" si="122"/>
        <v>14.000000000000002</v>
      </c>
      <c r="AC172" s="163">
        <f t="shared" si="122"/>
        <v>10.000000000000002</v>
      </c>
      <c r="AD172" s="163">
        <f t="shared" si="122"/>
        <v>0</v>
      </c>
      <c r="AE172" s="163">
        <f t="shared" si="122"/>
        <v>4</v>
      </c>
      <c r="AF172" s="644">
        <f t="shared" si="122"/>
        <v>0</v>
      </c>
      <c r="AG172" s="645">
        <f t="shared" si="122"/>
        <v>28.000000000000007</v>
      </c>
      <c r="AH172" s="163">
        <f t="shared" si="122"/>
        <v>23.999999999999996</v>
      </c>
      <c r="AI172" s="163">
        <f t="shared" si="122"/>
        <v>0</v>
      </c>
      <c r="AJ172" s="163">
        <f t="shared" si="122"/>
        <v>0</v>
      </c>
      <c r="AK172" s="643">
        <f t="shared" si="126"/>
        <v>4</v>
      </c>
      <c r="AL172" s="646">
        <f t="shared" si="126"/>
        <v>281.66666666666669</v>
      </c>
      <c r="AM172" s="645">
        <f t="shared" si="125"/>
        <v>160</v>
      </c>
      <c r="AN172" s="163">
        <f t="shared" si="125"/>
        <v>133</v>
      </c>
      <c r="AO172" s="163">
        <f t="shared" si="125"/>
        <v>0</v>
      </c>
      <c r="AP172" s="163">
        <f t="shared" si="125"/>
        <v>26.999999999999979</v>
      </c>
      <c r="AQ172" s="644">
        <f t="shared" si="125"/>
        <v>0</v>
      </c>
      <c r="AR172" s="645">
        <f t="shared" si="125"/>
        <v>121.6666666666667</v>
      </c>
      <c r="AS172" s="163">
        <f t="shared" si="125"/>
        <v>77.999999999999986</v>
      </c>
      <c r="AT172" s="163">
        <f t="shared" si="125"/>
        <v>0</v>
      </c>
      <c r="AU172" s="163">
        <f t="shared" si="125"/>
        <v>31.666666666666679</v>
      </c>
      <c r="AV172" s="643">
        <f t="shared" si="125"/>
        <v>12</v>
      </c>
      <c r="AW172" s="646">
        <f t="shared" si="125"/>
        <v>177.33333333333343</v>
      </c>
      <c r="AX172" s="645">
        <f t="shared" si="125"/>
        <v>86.666666666666657</v>
      </c>
      <c r="AY172" s="163">
        <f t="shared" si="125"/>
        <v>75.333333333333314</v>
      </c>
      <c r="AZ172" s="163">
        <f t="shared" si="125"/>
        <v>0</v>
      </c>
      <c r="BA172" s="163">
        <f t="shared" si="125"/>
        <v>11.333333333333334</v>
      </c>
      <c r="BB172" s="644">
        <f t="shared" si="125"/>
        <v>0</v>
      </c>
      <c r="BC172" s="645">
        <f t="shared" si="125"/>
        <v>90.666666666666657</v>
      </c>
      <c r="BD172" s="163">
        <f t="shared" si="125"/>
        <v>69.333333333333329</v>
      </c>
      <c r="BE172" s="163">
        <f t="shared" si="125"/>
        <v>0</v>
      </c>
      <c r="BF172" s="163">
        <f t="shared" si="125"/>
        <v>14.333333333333337</v>
      </c>
      <c r="BG172" s="643">
        <f t="shared" si="125"/>
        <v>6.9999999999999991</v>
      </c>
      <c r="BH172" s="646">
        <f t="shared" ref="BH172:BW187" si="129">BH73/3+BH171</f>
        <v>218.99999999999997</v>
      </c>
      <c r="BI172" s="645">
        <f t="shared" si="129"/>
        <v>127.99999999999999</v>
      </c>
      <c r="BJ172" s="163">
        <f t="shared" si="129"/>
        <v>115.33333333333333</v>
      </c>
      <c r="BK172" s="163">
        <f t="shared" si="129"/>
        <v>0</v>
      </c>
      <c r="BL172" s="163">
        <f t="shared" si="129"/>
        <v>12.666666666666666</v>
      </c>
      <c r="BM172" s="644">
        <f t="shared" si="129"/>
        <v>0</v>
      </c>
      <c r="BN172" s="645">
        <f t="shared" si="129"/>
        <v>91.000000000000014</v>
      </c>
      <c r="BO172" s="163">
        <f t="shared" si="129"/>
        <v>56.666666666666679</v>
      </c>
      <c r="BP172" s="163">
        <f t="shared" si="129"/>
        <v>0</v>
      </c>
      <c r="BQ172" s="163">
        <f t="shared" si="129"/>
        <v>27.333333333333332</v>
      </c>
      <c r="BR172" s="643">
        <f t="shared" si="129"/>
        <v>7</v>
      </c>
      <c r="BS172" s="646">
        <f t="shared" si="129"/>
        <v>320.6666666666668</v>
      </c>
      <c r="BT172" s="645">
        <f t="shared" si="129"/>
        <v>173.33333333333337</v>
      </c>
      <c r="BU172" s="163">
        <f t="shared" si="129"/>
        <v>145</v>
      </c>
      <c r="BV172" s="163">
        <f t="shared" si="129"/>
        <v>0</v>
      </c>
      <c r="BW172" s="163">
        <f t="shared" si="129"/>
        <v>28.333333333333332</v>
      </c>
      <c r="BX172" s="644">
        <f t="shared" si="115"/>
        <v>0</v>
      </c>
      <c r="BY172" s="645">
        <f t="shared" si="115"/>
        <v>147.33333333333329</v>
      </c>
      <c r="BZ172" s="163">
        <f t="shared" si="115"/>
        <v>92.666666666666686</v>
      </c>
      <c r="CA172" s="163">
        <f t="shared" si="115"/>
        <v>0</v>
      </c>
      <c r="CB172" s="163">
        <f t="shared" si="115"/>
        <v>38.66666666666665</v>
      </c>
      <c r="CC172" s="643">
        <f t="shared" si="115"/>
        <v>16</v>
      </c>
      <c r="CD172" s="646">
        <f t="shared" si="115"/>
        <v>80</v>
      </c>
      <c r="CE172" s="645">
        <f t="shared" si="115"/>
        <v>47.333333333333357</v>
      </c>
      <c r="CF172" s="163">
        <f t="shared" si="115"/>
        <v>38</v>
      </c>
      <c r="CG172" s="163">
        <f t="shared" si="115"/>
        <v>0</v>
      </c>
      <c r="CH172" s="163">
        <f t="shared" si="115"/>
        <v>9.3333333333333321</v>
      </c>
      <c r="CI172" s="644">
        <f t="shared" si="115"/>
        <v>0</v>
      </c>
      <c r="CJ172" s="645">
        <f t="shared" si="115"/>
        <v>32.666666666666671</v>
      </c>
      <c r="CK172" s="163">
        <f t="shared" si="115"/>
        <v>21.666666666666661</v>
      </c>
      <c r="CL172" s="163">
        <f t="shared" si="115"/>
        <v>0</v>
      </c>
      <c r="CM172" s="163">
        <f t="shared" si="115"/>
        <v>7.9999999999999973</v>
      </c>
      <c r="CN172" s="643">
        <f t="shared" si="118"/>
        <v>3</v>
      </c>
      <c r="CO172" s="646">
        <f t="shared" si="118"/>
        <v>60.666666666666657</v>
      </c>
      <c r="CP172" s="645">
        <f t="shared" si="118"/>
        <v>29.666666666666679</v>
      </c>
      <c r="CQ172" s="163">
        <f t="shared" si="118"/>
        <v>28.666666666666671</v>
      </c>
      <c r="CR172" s="163">
        <f t="shared" si="118"/>
        <v>0</v>
      </c>
      <c r="CS172" s="163">
        <f t="shared" si="118"/>
        <v>1</v>
      </c>
      <c r="CT172" s="644">
        <f t="shared" si="118"/>
        <v>0</v>
      </c>
      <c r="CU172" s="645">
        <f t="shared" si="118"/>
        <v>30.999999999999996</v>
      </c>
      <c r="CV172" s="163">
        <f t="shared" si="116"/>
        <v>22.999999999999989</v>
      </c>
      <c r="CW172" s="163">
        <f t="shared" si="116"/>
        <v>0</v>
      </c>
      <c r="CX172" s="163">
        <f t="shared" si="116"/>
        <v>8</v>
      </c>
      <c r="CY172" s="643">
        <f t="shared" si="116"/>
        <v>0</v>
      </c>
      <c r="CZ172" s="646">
        <f t="shared" si="116"/>
        <v>14.000000000000004</v>
      </c>
      <c r="DA172" s="645">
        <f t="shared" si="116"/>
        <v>1.9999999999999998</v>
      </c>
      <c r="DB172" s="163">
        <f t="shared" si="116"/>
        <v>0</v>
      </c>
      <c r="DC172" s="163">
        <f t="shared" si="116"/>
        <v>0</v>
      </c>
      <c r="DD172" s="163">
        <f t="shared" si="116"/>
        <v>1.9999999999999998</v>
      </c>
      <c r="DE172" s="644">
        <f t="shared" si="116"/>
        <v>0</v>
      </c>
      <c r="DF172" s="645">
        <f t="shared" si="116"/>
        <v>12.000000000000004</v>
      </c>
      <c r="DG172" s="163">
        <f t="shared" si="116"/>
        <v>11.000000000000007</v>
      </c>
      <c r="DH172" s="163">
        <f t="shared" si="116"/>
        <v>0</v>
      </c>
      <c r="DI172" s="163">
        <f t="shared" si="116"/>
        <v>1</v>
      </c>
      <c r="DJ172" s="643">
        <f t="shared" si="116"/>
        <v>0</v>
      </c>
      <c r="DK172" s="646">
        <f t="shared" si="116"/>
        <v>0</v>
      </c>
      <c r="DL172" s="645">
        <f t="shared" si="127"/>
        <v>0</v>
      </c>
      <c r="DM172" s="163">
        <f t="shared" si="124"/>
        <v>0</v>
      </c>
      <c r="DN172" s="163">
        <f t="shared" si="124"/>
        <v>0</v>
      </c>
      <c r="DO172" s="163">
        <f t="shared" si="124"/>
        <v>0</v>
      </c>
      <c r="DP172" s="644">
        <f t="shared" si="124"/>
        <v>0</v>
      </c>
      <c r="DQ172" s="645">
        <f t="shared" si="123"/>
        <v>1</v>
      </c>
      <c r="DR172" s="163">
        <f t="shared" si="123"/>
        <v>1</v>
      </c>
      <c r="DS172" s="163">
        <f t="shared" si="123"/>
        <v>0</v>
      </c>
      <c r="DT172" s="163">
        <f t="shared" si="123"/>
        <v>0</v>
      </c>
      <c r="DU172" s="643">
        <f t="shared" si="123"/>
        <v>0</v>
      </c>
      <c r="DW172" s="646">
        <f t="shared" si="121"/>
        <v>971.00000000000011</v>
      </c>
      <c r="DX172" s="645">
        <f t="shared" si="121"/>
        <v>505.00000000000006</v>
      </c>
      <c r="DY172" s="163">
        <f t="shared" si="120"/>
        <v>434.66666666666669</v>
      </c>
      <c r="DZ172" s="163">
        <f t="shared" si="120"/>
        <v>0</v>
      </c>
      <c r="EA172" s="163">
        <f t="shared" si="120"/>
        <v>70.333333333333329</v>
      </c>
      <c r="EB172" s="644">
        <f t="shared" si="120"/>
        <v>0</v>
      </c>
      <c r="EC172" s="645">
        <f t="shared" si="120"/>
        <v>466.99999999999994</v>
      </c>
      <c r="ED172" s="163">
        <f t="shared" si="120"/>
        <v>321.33333333333343</v>
      </c>
      <c r="EE172" s="163">
        <f t="shared" si="120"/>
        <v>0</v>
      </c>
      <c r="EF172" s="163">
        <f t="shared" si="120"/>
        <v>105.66666666666666</v>
      </c>
      <c r="EG172" s="643">
        <f t="shared" si="120"/>
        <v>40</v>
      </c>
      <c r="EH172" s="646">
        <f t="shared" si="119"/>
        <v>281.66666666666669</v>
      </c>
      <c r="EI172" s="645">
        <f t="shared" si="117"/>
        <v>160</v>
      </c>
      <c r="EJ172" s="163">
        <f t="shared" si="117"/>
        <v>133</v>
      </c>
      <c r="EK172" s="163">
        <f t="shared" si="117"/>
        <v>0</v>
      </c>
      <c r="EL172" s="163">
        <f t="shared" si="117"/>
        <v>26.999999999999979</v>
      </c>
      <c r="EM172" s="644">
        <f t="shared" si="117"/>
        <v>0</v>
      </c>
      <c r="EN172" s="645">
        <f t="shared" si="117"/>
        <v>121.6666666666667</v>
      </c>
      <c r="EO172" s="163">
        <f t="shared" si="117"/>
        <v>77.999999999999986</v>
      </c>
      <c r="EP172" s="163">
        <f t="shared" si="79"/>
        <v>0</v>
      </c>
      <c r="EQ172" s="163">
        <f t="shared" si="79"/>
        <v>31.666666666666679</v>
      </c>
      <c r="ER172" s="643">
        <f t="shared" si="79"/>
        <v>12</v>
      </c>
    </row>
    <row r="173" spans="1:148">
      <c r="A173" s="665" t="s">
        <v>235</v>
      </c>
      <c r="B173" s="665">
        <v>43770</v>
      </c>
      <c r="C173" s="664">
        <v>2019</v>
      </c>
      <c r="D173" s="646">
        <f t="shared" ref="D173" si="130">D74/3+D172</f>
        <v>2334467</v>
      </c>
      <c r="E173" s="646">
        <f t="shared" ref="E173:T188" si="131">E74/3+E172</f>
        <v>33823.666666666679</v>
      </c>
      <c r="F173" s="645">
        <f t="shared" si="131"/>
        <v>17828</v>
      </c>
      <c r="G173" s="163">
        <f t="shared" si="131"/>
        <v>14709</v>
      </c>
      <c r="H173" s="163">
        <f t="shared" si="131"/>
        <v>0</v>
      </c>
      <c r="I173" s="163">
        <f t="shared" si="131"/>
        <v>3119.0000000000014</v>
      </c>
      <c r="J173" s="644">
        <f t="shared" si="131"/>
        <v>0</v>
      </c>
      <c r="K173" s="645">
        <f t="shared" si="131"/>
        <v>15995.666666666668</v>
      </c>
      <c r="L173" s="163">
        <f t="shared" si="131"/>
        <v>10890.666666666664</v>
      </c>
      <c r="M173" s="163">
        <f t="shared" si="131"/>
        <v>0</v>
      </c>
      <c r="N173" s="163">
        <f t="shared" si="131"/>
        <v>3621.333333333333</v>
      </c>
      <c r="O173" s="643">
        <f t="shared" si="131"/>
        <v>1483.6666666666661</v>
      </c>
      <c r="P173" s="646">
        <f t="shared" si="131"/>
        <v>59.666666666666664</v>
      </c>
      <c r="Q173" s="645">
        <f t="shared" si="131"/>
        <v>25.999999999999993</v>
      </c>
      <c r="R173" s="163">
        <f t="shared" si="131"/>
        <v>23.666666666666661</v>
      </c>
      <c r="S173" s="163">
        <f t="shared" si="131"/>
        <v>0</v>
      </c>
      <c r="T173" s="163">
        <f t="shared" si="128"/>
        <v>2.333333333333333</v>
      </c>
      <c r="U173" s="644">
        <f t="shared" si="122"/>
        <v>0</v>
      </c>
      <c r="V173" s="645">
        <f t="shared" si="122"/>
        <v>33.666666666666671</v>
      </c>
      <c r="W173" s="163">
        <f t="shared" si="122"/>
        <v>22.000000000000011</v>
      </c>
      <c r="X173" s="163">
        <f t="shared" si="122"/>
        <v>0</v>
      </c>
      <c r="Y173" s="163">
        <f t="shared" si="122"/>
        <v>8.6666666666666643</v>
      </c>
      <c r="Z173" s="643">
        <f t="shared" si="122"/>
        <v>3</v>
      </c>
      <c r="AA173" s="646">
        <f t="shared" si="122"/>
        <v>42</v>
      </c>
      <c r="AB173" s="645">
        <f t="shared" si="122"/>
        <v>14.000000000000002</v>
      </c>
      <c r="AC173" s="163">
        <f t="shared" si="122"/>
        <v>10.000000000000002</v>
      </c>
      <c r="AD173" s="163">
        <f t="shared" si="122"/>
        <v>0</v>
      </c>
      <c r="AE173" s="163">
        <f t="shared" si="122"/>
        <v>4</v>
      </c>
      <c r="AF173" s="644">
        <f t="shared" si="122"/>
        <v>0</v>
      </c>
      <c r="AG173" s="645">
        <f t="shared" si="122"/>
        <v>28.000000000000007</v>
      </c>
      <c r="AH173" s="163">
        <f t="shared" si="122"/>
        <v>23.999999999999996</v>
      </c>
      <c r="AI173" s="163">
        <f t="shared" si="122"/>
        <v>0</v>
      </c>
      <c r="AJ173" s="163">
        <f t="shared" si="122"/>
        <v>0</v>
      </c>
      <c r="AK173" s="643">
        <f t="shared" si="126"/>
        <v>4</v>
      </c>
      <c r="AL173" s="646">
        <f t="shared" si="126"/>
        <v>291.33333333333337</v>
      </c>
      <c r="AM173" s="645">
        <f t="shared" si="125"/>
        <v>167</v>
      </c>
      <c r="AN173" s="163">
        <f t="shared" si="125"/>
        <v>139</v>
      </c>
      <c r="AO173" s="163">
        <f t="shared" si="125"/>
        <v>0</v>
      </c>
      <c r="AP173" s="163">
        <f t="shared" si="125"/>
        <v>27.999999999999979</v>
      </c>
      <c r="AQ173" s="644">
        <f t="shared" si="125"/>
        <v>0</v>
      </c>
      <c r="AR173" s="645">
        <f t="shared" si="125"/>
        <v>124.33333333333337</v>
      </c>
      <c r="AS173" s="163">
        <f t="shared" si="125"/>
        <v>79.999999999999986</v>
      </c>
      <c r="AT173" s="163">
        <f t="shared" si="125"/>
        <v>0</v>
      </c>
      <c r="AU173" s="163">
        <f t="shared" si="125"/>
        <v>32.333333333333343</v>
      </c>
      <c r="AV173" s="643">
        <f t="shared" si="125"/>
        <v>12</v>
      </c>
      <c r="AW173" s="646">
        <f t="shared" si="125"/>
        <v>180.66666666666677</v>
      </c>
      <c r="AX173" s="645">
        <f t="shared" si="125"/>
        <v>89.333333333333329</v>
      </c>
      <c r="AY173" s="163">
        <f t="shared" si="125"/>
        <v>77.666666666666643</v>
      </c>
      <c r="AZ173" s="163">
        <f t="shared" si="125"/>
        <v>0</v>
      </c>
      <c r="BA173" s="163">
        <f t="shared" si="125"/>
        <v>11.666666666666668</v>
      </c>
      <c r="BB173" s="644">
        <f t="shared" si="125"/>
        <v>0</v>
      </c>
      <c r="BC173" s="645">
        <f t="shared" si="125"/>
        <v>91.333333333333329</v>
      </c>
      <c r="BD173" s="163">
        <f t="shared" si="125"/>
        <v>69.666666666666657</v>
      </c>
      <c r="BE173" s="163">
        <f t="shared" si="125"/>
        <v>0</v>
      </c>
      <c r="BF173" s="163">
        <f t="shared" si="125"/>
        <v>14.666666666666671</v>
      </c>
      <c r="BG173" s="643">
        <f t="shared" si="125"/>
        <v>6.9999999999999991</v>
      </c>
      <c r="BH173" s="646">
        <f t="shared" si="129"/>
        <v>225.99999999999997</v>
      </c>
      <c r="BI173" s="645">
        <f t="shared" si="129"/>
        <v>134</v>
      </c>
      <c r="BJ173" s="163">
        <f t="shared" si="129"/>
        <v>119.66666666666666</v>
      </c>
      <c r="BK173" s="163">
        <f t="shared" si="129"/>
        <v>0</v>
      </c>
      <c r="BL173" s="163">
        <f t="shared" si="129"/>
        <v>14.333333333333332</v>
      </c>
      <c r="BM173" s="644">
        <f t="shared" si="129"/>
        <v>0</v>
      </c>
      <c r="BN173" s="645">
        <f t="shared" si="129"/>
        <v>92.000000000000014</v>
      </c>
      <c r="BO173" s="163">
        <f t="shared" si="129"/>
        <v>57.333333333333343</v>
      </c>
      <c r="BP173" s="163">
        <f t="shared" si="129"/>
        <v>0</v>
      </c>
      <c r="BQ173" s="163">
        <f t="shared" si="129"/>
        <v>27.666666666666664</v>
      </c>
      <c r="BR173" s="643">
        <f t="shared" si="129"/>
        <v>7</v>
      </c>
      <c r="BS173" s="646">
        <f t="shared" si="129"/>
        <v>331.33333333333348</v>
      </c>
      <c r="BT173" s="645">
        <f t="shared" si="129"/>
        <v>181.66666666666671</v>
      </c>
      <c r="BU173" s="163">
        <f t="shared" si="129"/>
        <v>149</v>
      </c>
      <c r="BV173" s="163">
        <f t="shared" si="129"/>
        <v>0</v>
      </c>
      <c r="BW173" s="163">
        <f t="shared" si="129"/>
        <v>32.666666666666664</v>
      </c>
      <c r="BX173" s="644">
        <f t="shared" si="115"/>
        <v>0</v>
      </c>
      <c r="BY173" s="645">
        <f t="shared" si="115"/>
        <v>149.66666666666663</v>
      </c>
      <c r="BZ173" s="163">
        <f t="shared" si="115"/>
        <v>94.333333333333357</v>
      </c>
      <c r="CA173" s="163">
        <f t="shared" si="115"/>
        <v>0</v>
      </c>
      <c r="CB173" s="163">
        <f t="shared" si="115"/>
        <v>39.333333333333314</v>
      </c>
      <c r="CC173" s="643">
        <f t="shared" si="115"/>
        <v>16</v>
      </c>
      <c r="CD173" s="646">
        <f t="shared" si="115"/>
        <v>82</v>
      </c>
      <c r="CE173" s="645">
        <f t="shared" si="115"/>
        <v>48.666666666666693</v>
      </c>
      <c r="CF173" s="163">
        <f t="shared" si="115"/>
        <v>39</v>
      </c>
      <c r="CG173" s="163">
        <f t="shared" si="115"/>
        <v>0</v>
      </c>
      <c r="CH173" s="163">
        <f t="shared" si="115"/>
        <v>9.6666666666666661</v>
      </c>
      <c r="CI173" s="644">
        <f t="shared" si="115"/>
        <v>0</v>
      </c>
      <c r="CJ173" s="645">
        <f t="shared" si="115"/>
        <v>33.333333333333336</v>
      </c>
      <c r="CK173" s="163">
        <f t="shared" si="115"/>
        <v>22.333333333333329</v>
      </c>
      <c r="CL173" s="163">
        <f t="shared" si="115"/>
        <v>0</v>
      </c>
      <c r="CM173" s="163">
        <f t="shared" si="115"/>
        <v>7.9999999999999973</v>
      </c>
      <c r="CN173" s="643">
        <f t="shared" si="118"/>
        <v>3</v>
      </c>
      <c r="CO173" s="646">
        <f t="shared" si="118"/>
        <v>62.333333333333321</v>
      </c>
      <c r="CP173" s="645">
        <f t="shared" si="118"/>
        <v>31.333333333333346</v>
      </c>
      <c r="CQ173" s="163">
        <f t="shared" si="118"/>
        <v>30.333333333333339</v>
      </c>
      <c r="CR173" s="163">
        <f t="shared" si="118"/>
        <v>0</v>
      </c>
      <c r="CS173" s="163">
        <f t="shared" si="118"/>
        <v>1</v>
      </c>
      <c r="CT173" s="644">
        <f t="shared" si="118"/>
        <v>0</v>
      </c>
      <c r="CU173" s="645">
        <f t="shared" si="118"/>
        <v>30.999999999999996</v>
      </c>
      <c r="CV173" s="163">
        <f t="shared" si="116"/>
        <v>22.999999999999989</v>
      </c>
      <c r="CW173" s="163">
        <f t="shared" si="116"/>
        <v>0</v>
      </c>
      <c r="CX173" s="163">
        <f t="shared" si="116"/>
        <v>8</v>
      </c>
      <c r="CY173" s="643">
        <f t="shared" si="116"/>
        <v>0</v>
      </c>
      <c r="CZ173" s="646">
        <f t="shared" si="116"/>
        <v>14.000000000000004</v>
      </c>
      <c r="DA173" s="645">
        <f t="shared" si="116"/>
        <v>1.9999999999999998</v>
      </c>
      <c r="DB173" s="163">
        <f t="shared" si="116"/>
        <v>0</v>
      </c>
      <c r="DC173" s="163">
        <f t="shared" si="116"/>
        <v>0</v>
      </c>
      <c r="DD173" s="163">
        <f t="shared" si="116"/>
        <v>1.9999999999999998</v>
      </c>
      <c r="DE173" s="644">
        <f t="shared" si="116"/>
        <v>0</v>
      </c>
      <c r="DF173" s="645">
        <f t="shared" si="116"/>
        <v>12.000000000000004</v>
      </c>
      <c r="DG173" s="163">
        <f t="shared" si="116"/>
        <v>11.000000000000007</v>
      </c>
      <c r="DH173" s="163">
        <f t="shared" si="116"/>
        <v>0</v>
      </c>
      <c r="DI173" s="163">
        <f t="shared" si="116"/>
        <v>1</v>
      </c>
      <c r="DJ173" s="643">
        <f t="shared" si="116"/>
        <v>0</v>
      </c>
      <c r="DK173" s="646">
        <f t="shared" si="116"/>
        <v>0</v>
      </c>
      <c r="DL173" s="645">
        <f t="shared" si="127"/>
        <v>0</v>
      </c>
      <c r="DM173" s="163">
        <f t="shared" si="124"/>
        <v>0</v>
      </c>
      <c r="DN173" s="163">
        <f t="shared" si="124"/>
        <v>0</v>
      </c>
      <c r="DO173" s="163">
        <f t="shared" si="124"/>
        <v>0</v>
      </c>
      <c r="DP173" s="644">
        <f t="shared" si="124"/>
        <v>0</v>
      </c>
      <c r="DQ173" s="645">
        <f t="shared" si="123"/>
        <v>1</v>
      </c>
      <c r="DR173" s="163">
        <f t="shared" si="123"/>
        <v>1</v>
      </c>
      <c r="DS173" s="163">
        <f t="shared" si="123"/>
        <v>0</v>
      </c>
      <c r="DT173" s="163">
        <f t="shared" si="123"/>
        <v>0</v>
      </c>
      <c r="DU173" s="643">
        <f t="shared" si="123"/>
        <v>0</v>
      </c>
      <c r="DW173" s="646">
        <f t="shared" si="121"/>
        <v>998.00000000000023</v>
      </c>
      <c r="DX173" s="645">
        <f t="shared" si="121"/>
        <v>527</v>
      </c>
      <c r="DY173" s="163">
        <f t="shared" si="120"/>
        <v>449.33333333333331</v>
      </c>
      <c r="DZ173" s="163">
        <f t="shared" si="120"/>
        <v>0</v>
      </c>
      <c r="EA173" s="163">
        <f t="shared" si="120"/>
        <v>77.666666666666671</v>
      </c>
      <c r="EB173" s="644">
        <f t="shared" si="120"/>
        <v>0</v>
      </c>
      <c r="EC173" s="645">
        <f t="shared" si="120"/>
        <v>471.99999999999994</v>
      </c>
      <c r="ED173" s="163">
        <f t="shared" si="120"/>
        <v>324.66666666666669</v>
      </c>
      <c r="EE173" s="163">
        <f t="shared" si="120"/>
        <v>0</v>
      </c>
      <c r="EF173" s="163">
        <f t="shared" si="120"/>
        <v>107.33333333333331</v>
      </c>
      <c r="EG173" s="643">
        <f t="shared" si="120"/>
        <v>40</v>
      </c>
      <c r="EH173" s="646">
        <f t="shared" si="119"/>
        <v>291.33333333333337</v>
      </c>
      <c r="EI173" s="645">
        <f t="shared" si="117"/>
        <v>167</v>
      </c>
      <c r="EJ173" s="163">
        <f t="shared" si="117"/>
        <v>139</v>
      </c>
      <c r="EK173" s="163">
        <f t="shared" si="117"/>
        <v>0</v>
      </c>
      <c r="EL173" s="163">
        <f t="shared" si="117"/>
        <v>27.999999999999979</v>
      </c>
      <c r="EM173" s="644">
        <f t="shared" si="117"/>
        <v>0</v>
      </c>
      <c r="EN173" s="645">
        <f t="shared" si="117"/>
        <v>124.33333333333337</v>
      </c>
      <c r="EO173" s="163">
        <f t="shared" si="117"/>
        <v>79.999999999999986</v>
      </c>
      <c r="EP173" s="163">
        <f t="shared" si="79"/>
        <v>0</v>
      </c>
      <c r="EQ173" s="163">
        <f t="shared" si="79"/>
        <v>32.333333333333343</v>
      </c>
      <c r="ER173" s="643">
        <f t="shared" si="79"/>
        <v>12</v>
      </c>
    </row>
    <row r="174" spans="1:148">
      <c r="A174" s="665" t="s">
        <v>235</v>
      </c>
      <c r="B174" s="665">
        <v>43800</v>
      </c>
      <c r="C174" s="664">
        <v>2019</v>
      </c>
      <c r="D174" s="646">
        <f t="shared" ref="D174" si="132">D75/3+D173</f>
        <v>2396046</v>
      </c>
      <c r="E174" s="646">
        <f t="shared" si="131"/>
        <v>34583.000000000015</v>
      </c>
      <c r="F174" s="645">
        <f t="shared" si="131"/>
        <v>18341</v>
      </c>
      <c r="G174" s="163">
        <f t="shared" si="131"/>
        <v>15107</v>
      </c>
      <c r="H174" s="163">
        <f t="shared" si="131"/>
        <v>0</v>
      </c>
      <c r="I174" s="163">
        <f t="shared" si="131"/>
        <v>3234.0000000000014</v>
      </c>
      <c r="J174" s="644">
        <f t="shared" si="131"/>
        <v>0</v>
      </c>
      <c r="K174" s="645">
        <f t="shared" si="131"/>
        <v>16242.000000000002</v>
      </c>
      <c r="L174" s="163">
        <f t="shared" si="131"/>
        <v>11037.999999999998</v>
      </c>
      <c r="M174" s="163">
        <f t="shared" si="131"/>
        <v>0</v>
      </c>
      <c r="N174" s="163">
        <f t="shared" si="131"/>
        <v>3715.9999999999995</v>
      </c>
      <c r="O174" s="643">
        <f t="shared" si="131"/>
        <v>1487.9999999999993</v>
      </c>
      <c r="P174" s="646">
        <f t="shared" si="131"/>
        <v>62</v>
      </c>
      <c r="Q174" s="645">
        <f t="shared" si="131"/>
        <v>27.999999999999993</v>
      </c>
      <c r="R174" s="163">
        <f t="shared" si="131"/>
        <v>24.999999999999993</v>
      </c>
      <c r="S174" s="163">
        <f t="shared" si="131"/>
        <v>0</v>
      </c>
      <c r="T174" s="163">
        <f t="shared" si="128"/>
        <v>2.9999999999999996</v>
      </c>
      <c r="U174" s="644">
        <f t="shared" si="122"/>
        <v>0</v>
      </c>
      <c r="V174" s="645">
        <f t="shared" si="122"/>
        <v>34.000000000000007</v>
      </c>
      <c r="W174" s="163">
        <f t="shared" si="122"/>
        <v>22.000000000000011</v>
      </c>
      <c r="X174" s="163">
        <f t="shared" si="122"/>
        <v>0</v>
      </c>
      <c r="Y174" s="163">
        <f t="shared" si="122"/>
        <v>8.9999999999999982</v>
      </c>
      <c r="Z174" s="643">
        <f t="shared" si="122"/>
        <v>3</v>
      </c>
      <c r="AA174" s="646">
        <f t="shared" si="122"/>
        <v>42</v>
      </c>
      <c r="AB174" s="645">
        <f t="shared" si="122"/>
        <v>14.000000000000002</v>
      </c>
      <c r="AC174" s="163">
        <f t="shared" si="122"/>
        <v>10.000000000000002</v>
      </c>
      <c r="AD174" s="163">
        <f t="shared" si="122"/>
        <v>0</v>
      </c>
      <c r="AE174" s="163">
        <f t="shared" si="122"/>
        <v>4</v>
      </c>
      <c r="AF174" s="644">
        <f t="shared" si="122"/>
        <v>0</v>
      </c>
      <c r="AG174" s="645">
        <f t="shared" si="122"/>
        <v>28.000000000000007</v>
      </c>
      <c r="AH174" s="163">
        <f t="shared" si="122"/>
        <v>23.999999999999996</v>
      </c>
      <c r="AI174" s="163">
        <f t="shared" si="122"/>
        <v>0</v>
      </c>
      <c r="AJ174" s="163">
        <f t="shared" si="122"/>
        <v>0</v>
      </c>
      <c r="AK174" s="643">
        <f t="shared" si="126"/>
        <v>4</v>
      </c>
      <c r="AL174" s="646">
        <f t="shared" si="126"/>
        <v>301.00000000000006</v>
      </c>
      <c r="AM174" s="645">
        <f t="shared" si="125"/>
        <v>174</v>
      </c>
      <c r="AN174" s="163">
        <f t="shared" si="125"/>
        <v>145</v>
      </c>
      <c r="AO174" s="163">
        <f t="shared" si="125"/>
        <v>0</v>
      </c>
      <c r="AP174" s="163">
        <f t="shared" si="125"/>
        <v>28.999999999999979</v>
      </c>
      <c r="AQ174" s="644">
        <f t="shared" si="125"/>
        <v>0</v>
      </c>
      <c r="AR174" s="645">
        <f t="shared" si="125"/>
        <v>127.00000000000004</v>
      </c>
      <c r="AS174" s="163">
        <f t="shared" si="125"/>
        <v>81.999999999999986</v>
      </c>
      <c r="AT174" s="163">
        <f t="shared" si="125"/>
        <v>0</v>
      </c>
      <c r="AU174" s="163">
        <f t="shared" si="125"/>
        <v>33.000000000000007</v>
      </c>
      <c r="AV174" s="643">
        <f t="shared" si="125"/>
        <v>12</v>
      </c>
      <c r="AW174" s="646">
        <f t="shared" si="125"/>
        <v>184.00000000000011</v>
      </c>
      <c r="AX174" s="645">
        <f t="shared" si="125"/>
        <v>92</v>
      </c>
      <c r="AY174" s="163">
        <f t="shared" si="125"/>
        <v>79.999999999999972</v>
      </c>
      <c r="AZ174" s="163">
        <f t="shared" si="125"/>
        <v>0</v>
      </c>
      <c r="BA174" s="163">
        <f t="shared" si="125"/>
        <v>12.000000000000002</v>
      </c>
      <c r="BB174" s="644">
        <f t="shared" si="125"/>
        <v>0</v>
      </c>
      <c r="BC174" s="645">
        <f t="shared" si="125"/>
        <v>92</v>
      </c>
      <c r="BD174" s="163">
        <f t="shared" si="125"/>
        <v>69.999999999999986</v>
      </c>
      <c r="BE174" s="163">
        <f t="shared" si="125"/>
        <v>0</v>
      </c>
      <c r="BF174" s="163">
        <f t="shared" si="125"/>
        <v>15.000000000000005</v>
      </c>
      <c r="BG174" s="643">
        <f t="shared" si="125"/>
        <v>6.9999999999999991</v>
      </c>
      <c r="BH174" s="646">
        <f t="shared" si="129"/>
        <v>232.99999999999997</v>
      </c>
      <c r="BI174" s="645">
        <f t="shared" si="129"/>
        <v>140</v>
      </c>
      <c r="BJ174" s="163">
        <f t="shared" si="129"/>
        <v>123.99999999999999</v>
      </c>
      <c r="BK174" s="163">
        <f t="shared" si="129"/>
        <v>0</v>
      </c>
      <c r="BL174" s="163">
        <f t="shared" si="129"/>
        <v>15.999999999999998</v>
      </c>
      <c r="BM174" s="644">
        <f t="shared" si="129"/>
        <v>0</v>
      </c>
      <c r="BN174" s="645">
        <f t="shared" si="129"/>
        <v>93.000000000000014</v>
      </c>
      <c r="BO174" s="163">
        <f t="shared" si="129"/>
        <v>58.000000000000007</v>
      </c>
      <c r="BP174" s="163">
        <f t="shared" si="129"/>
        <v>0</v>
      </c>
      <c r="BQ174" s="163">
        <f t="shared" si="129"/>
        <v>27.999999999999996</v>
      </c>
      <c r="BR174" s="643">
        <f t="shared" si="129"/>
        <v>7</v>
      </c>
      <c r="BS174" s="646">
        <f t="shared" si="129"/>
        <v>342.00000000000017</v>
      </c>
      <c r="BT174" s="645">
        <f t="shared" si="129"/>
        <v>190.00000000000006</v>
      </c>
      <c r="BU174" s="163">
        <f t="shared" si="129"/>
        <v>153</v>
      </c>
      <c r="BV174" s="163">
        <f t="shared" si="129"/>
        <v>0</v>
      </c>
      <c r="BW174" s="163">
        <f t="shared" si="129"/>
        <v>37</v>
      </c>
      <c r="BX174" s="644">
        <f t="shared" si="115"/>
        <v>0</v>
      </c>
      <c r="BY174" s="645">
        <f t="shared" si="115"/>
        <v>151.99999999999997</v>
      </c>
      <c r="BZ174" s="163">
        <f t="shared" si="115"/>
        <v>96.000000000000028</v>
      </c>
      <c r="CA174" s="163">
        <f t="shared" si="115"/>
        <v>0</v>
      </c>
      <c r="CB174" s="163">
        <f t="shared" si="115"/>
        <v>39.999999999999979</v>
      </c>
      <c r="CC174" s="643">
        <f t="shared" si="115"/>
        <v>16</v>
      </c>
      <c r="CD174" s="646">
        <f t="shared" si="115"/>
        <v>84</v>
      </c>
      <c r="CE174" s="645">
        <f t="shared" si="115"/>
        <v>50.000000000000028</v>
      </c>
      <c r="CF174" s="163">
        <f t="shared" si="115"/>
        <v>40</v>
      </c>
      <c r="CG174" s="163">
        <f t="shared" si="115"/>
        <v>0</v>
      </c>
      <c r="CH174" s="163">
        <f t="shared" si="115"/>
        <v>10</v>
      </c>
      <c r="CI174" s="644">
        <f t="shared" si="115"/>
        <v>0</v>
      </c>
      <c r="CJ174" s="645">
        <f t="shared" si="115"/>
        <v>34</v>
      </c>
      <c r="CK174" s="163">
        <f t="shared" si="115"/>
        <v>22.999999999999996</v>
      </c>
      <c r="CL174" s="163">
        <f t="shared" si="115"/>
        <v>0</v>
      </c>
      <c r="CM174" s="163">
        <f t="shared" si="115"/>
        <v>7.9999999999999973</v>
      </c>
      <c r="CN174" s="643">
        <f t="shared" si="118"/>
        <v>3</v>
      </c>
      <c r="CO174" s="646">
        <f t="shared" si="118"/>
        <v>63.999999999999986</v>
      </c>
      <c r="CP174" s="645">
        <f t="shared" si="118"/>
        <v>33.000000000000014</v>
      </c>
      <c r="CQ174" s="163">
        <f t="shared" si="118"/>
        <v>32.000000000000007</v>
      </c>
      <c r="CR174" s="163">
        <f t="shared" si="118"/>
        <v>0</v>
      </c>
      <c r="CS174" s="163">
        <f t="shared" si="118"/>
        <v>1</v>
      </c>
      <c r="CT174" s="644">
        <f t="shared" si="118"/>
        <v>0</v>
      </c>
      <c r="CU174" s="645">
        <f t="shared" si="118"/>
        <v>30.999999999999996</v>
      </c>
      <c r="CV174" s="163">
        <f t="shared" si="116"/>
        <v>22.999999999999989</v>
      </c>
      <c r="CW174" s="163">
        <f t="shared" si="116"/>
        <v>0</v>
      </c>
      <c r="CX174" s="163">
        <f t="shared" si="116"/>
        <v>8</v>
      </c>
      <c r="CY174" s="643">
        <f t="shared" si="116"/>
        <v>0</v>
      </c>
      <c r="CZ174" s="646">
        <f t="shared" si="116"/>
        <v>14.000000000000004</v>
      </c>
      <c r="DA174" s="645">
        <f t="shared" si="116"/>
        <v>1.9999999999999998</v>
      </c>
      <c r="DB174" s="163">
        <f t="shared" si="116"/>
        <v>0</v>
      </c>
      <c r="DC174" s="163">
        <f t="shared" si="116"/>
        <v>0</v>
      </c>
      <c r="DD174" s="163">
        <f t="shared" si="116"/>
        <v>1.9999999999999998</v>
      </c>
      <c r="DE174" s="644">
        <f t="shared" si="116"/>
        <v>0</v>
      </c>
      <c r="DF174" s="645">
        <f t="shared" si="116"/>
        <v>12.000000000000004</v>
      </c>
      <c r="DG174" s="163">
        <f t="shared" si="116"/>
        <v>11.000000000000007</v>
      </c>
      <c r="DH174" s="163">
        <f t="shared" si="116"/>
        <v>0</v>
      </c>
      <c r="DI174" s="163">
        <f t="shared" si="116"/>
        <v>1</v>
      </c>
      <c r="DJ174" s="643">
        <f t="shared" si="116"/>
        <v>0</v>
      </c>
      <c r="DK174" s="646">
        <f t="shared" si="116"/>
        <v>0</v>
      </c>
      <c r="DL174" s="645">
        <f t="shared" si="127"/>
        <v>0</v>
      </c>
      <c r="DM174" s="163">
        <f t="shared" si="124"/>
        <v>0</v>
      </c>
      <c r="DN174" s="163">
        <f t="shared" si="124"/>
        <v>0</v>
      </c>
      <c r="DO174" s="163">
        <f t="shared" si="124"/>
        <v>0</v>
      </c>
      <c r="DP174" s="644">
        <f t="shared" si="124"/>
        <v>0</v>
      </c>
      <c r="DQ174" s="645">
        <f t="shared" si="123"/>
        <v>1</v>
      </c>
      <c r="DR174" s="163">
        <f t="shared" si="123"/>
        <v>1</v>
      </c>
      <c r="DS174" s="163">
        <f t="shared" si="123"/>
        <v>0</v>
      </c>
      <c r="DT174" s="163">
        <f t="shared" si="123"/>
        <v>0</v>
      </c>
      <c r="DU174" s="643">
        <f t="shared" si="123"/>
        <v>0</v>
      </c>
      <c r="DW174" s="646">
        <f t="shared" si="121"/>
        <v>1025.0000000000002</v>
      </c>
      <c r="DX174" s="645">
        <f t="shared" si="121"/>
        <v>549.00000000000011</v>
      </c>
      <c r="DY174" s="163">
        <f t="shared" si="120"/>
        <v>463.99999999999994</v>
      </c>
      <c r="DZ174" s="163">
        <f t="shared" si="120"/>
        <v>0</v>
      </c>
      <c r="EA174" s="163">
        <f t="shared" si="120"/>
        <v>85</v>
      </c>
      <c r="EB174" s="644">
        <f t="shared" si="120"/>
        <v>0</v>
      </c>
      <c r="EC174" s="645">
        <f t="shared" si="120"/>
        <v>477</v>
      </c>
      <c r="ED174" s="163">
        <f t="shared" si="120"/>
        <v>328</v>
      </c>
      <c r="EE174" s="163">
        <f t="shared" si="120"/>
        <v>0</v>
      </c>
      <c r="EF174" s="163">
        <f t="shared" si="120"/>
        <v>108.99999999999997</v>
      </c>
      <c r="EG174" s="643">
        <f t="shared" si="120"/>
        <v>40</v>
      </c>
      <c r="EH174" s="646">
        <f t="shared" si="119"/>
        <v>301.00000000000006</v>
      </c>
      <c r="EI174" s="645">
        <f t="shared" si="117"/>
        <v>174</v>
      </c>
      <c r="EJ174" s="163">
        <f t="shared" si="117"/>
        <v>145</v>
      </c>
      <c r="EK174" s="163">
        <f t="shared" si="117"/>
        <v>0</v>
      </c>
      <c r="EL174" s="163">
        <f t="shared" si="117"/>
        <v>28.999999999999979</v>
      </c>
      <c r="EM174" s="644">
        <f t="shared" si="117"/>
        <v>0</v>
      </c>
      <c r="EN174" s="645">
        <f t="shared" si="117"/>
        <v>127.00000000000004</v>
      </c>
      <c r="EO174" s="163">
        <f t="shared" si="117"/>
        <v>81.999999999999986</v>
      </c>
      <c r="EP174" s="163">
        <f t="shared" si="79"/>
        <v>0</v>
      </c>
      <c r="EQ174" s="163">
        <f t="shared" si="79"/>
        <v>33.000000000000007</v>
      </c>
      <c r="ER174" s="643">
        <f t="shared" si="79"/>
        <v>12</v>
      </c>
    </row>
    <row r="175" spans="1:148">
      <c r="A175" s="665" t="s">
        <v>236</v>
      </c>
      <c r="B175" s="665">
        <v>43831</v>
      </c>
      <c r="C175" s="664">
        <v>2020</v>
      </c>
      <c r="D175" s="646">
        <f t="shared" ref="D175" si="133">D76/3+D174</f>
        <v>2442406</v>
      </c>
      <c r="E175" s="646">
        <f t="shared" si="131"/>
        <v>35153.666666666679</v>
      </c>
      <c r="F175" s="645">
        <f t="shared" si="131"/>
        <v>18735.666666666668</v>
      </c>
      <c r="G175" s="163">
        <f t="shared" si="131"/>
        <v>15353.666666666666</v>
      </c>
      <c r="H175" s="163">
        <f t="shared" si="131"/>
        <v>0</v>
      </c>
      <c r="I175" s="163">
        <f t="shared" si="131"/>
        <v>3382.0000000000014</v>
      </c>
      <c r="J175" s="644">
        <f t="shared" si="131"/>
        <v>0</v>
      </c>
      <c r="K175" s="645">
        <f t="shared" si="131"/>
        <v>16418</v>
      </c>
      <c r="L175" s="163">
        <f t="shared" si="131"/>
        <v>11122.333333333332</v>
      </c>
      <c r="M175" s="163">
        <f t="shared" si="131"/>
        <v>0</v>
      </c>
      <c r="N175" s="163">
        <f t="shared" si="131"/>
        <v>3793.9999999999995</v>
      </c>
      <c r="O175" s="643">
        <f t="shared" si="131"/>
        <v>1501.6666666666661</v>
      </c>
      <c r="P175" s="646">
        <f t="shared" si="131"/>
        <v>63</v>
      </c>
      <c r="Q175" s="645">
        <f t="shared" si="131"/>
        <v>28.666666666666661</v>
      </c>
      <c r="R175" s="163">
        <f t="shared" si="131"/>
        <v>24.999999999999993</v>
      </c>
      <c r="S175" s="163">
        <f t="shared" si="131"/>
        <v>0</v>
      </c>
      <c r="T175" s="163">
        <f t="shared" si="128"/>
        <v>3.6666666666666661</v>
      </c>
      <c r="U175" s="644">
        <f t="shared" si="122"/>
        <v>0</v>
      </c>
      <c r="V175" s="645">
        <f t="shared" si="122"/>
        <v>34.333333333333343</v>
      </c>
      <c r="W175" s="163">
        <f t="shared" si="122"/>
        <v>22.000000000000011</v>
      </c>
      <c r="X175" s="163">
        <f t="shared" si="122"/>
        <v>0</v>
      </c>
      <c r="Y175" s="163">
        <f t="shared" si="122"/>
        <v>9.3333333333333321</v>
      </c>
      <c r="Z175" s="643">
        <f t="shared" si="122"/>
        <v>3</v>
      </c>
      <c r="AA175" s="646">
        <f t="shared" si="122"/>
        <v>42.333333333333336</v>
      </c>
      <c r="AB175" s="645">
        <f t="shared" si="122"/>
        <v>14.000000000000002</v>
      </c>
      <c r="AC175" s="163">
        <f t="shared" si="122"/>
        <v>10.000000000000002</v>
      </c>
      <c r="AD175" s="163">
        <f t="shared" si="122"/>
        <v>0</v>
      </c>
      <c r="AE175" s="163">
        <f t="shared" si="122"/>
        <v>4</v>
      </c>
      <c r="AF175" s="644">
        <f t="shared" si="122"/>
        <v>0</v>
      </c>
      <c r="AG175" s="645">
        <f t="shared" si="122"/>
        <v>28.333333333333339</v>
      </c>
      <c r="AH175" s="163">
        <f t="shared" si="122"/>
        <v>23.999999999999996</v>
      </c>
      <c r="AI175" s="163">
        <f t="shared" si="122"/>
        <v>0</v>
      </c>
      <c r="AJ175" s="163">
        <f t="shared" si="122"/>
        <v>0.33333333333333331</v>
      </c>
      <c r="AK175" s="643">
        <f t="shared" si="126"/>
        <v>4</v>
      </c>
      <c r="AL175" s="646">
        <f t="shared" si="126"/>
        <v>306.33333333333337</v>
      </c>
      <c r="AM175" s="645">
        <f t="shared" si="125"/>
        <v>177.33333333333334</v>
      </c>
      <c r="AN175" s="163">
        <f t="shared" si="125"/>
        <v>147.66666666666666</v>
      </c>
      <c r="AO175" s="163">
        <f t="shared" si="125"/>
        <v>0</v>
      </c>
      <c r="AP175" s="163">
        <f t="shared" si="125"/>
        <v>29.666666666666647</v>
      </c>
      <c r="AQ175" s="644">
        <f t="shared" si="125"/>
        <v>0</v>
      </c>
      <c r="AR175" s="645">
        <f t="shared" si="125"/>
        <v>129.00000000000006</v>
      </c>
      <c r="AS175" s="163">
        <f t="shared" si="125"/>
        <v>83.333333333333314</v>
      </c>
      <c r="AT175" s="163">
        <f t="shared" si="125"/>
        <v>0</v>
      </c>
      <c r="AU175" s="163">
        <f t="shared" si="125"/>
        <v>33.333333333333343</v>
      </c>
      <c r="AV175" s="643">
        <f t="shared" si="125"/>
        <v>12.333333333333334</v>
      </c>
      <c r="AW175" s="646">
        <f t="shared" si="125"/>
        <v>188.00000000000011</v>
      </c>
      <c r="AX175" s="645">
        <f t="shared" si="125"/>
        <v>95.333333333333329</v>
      </c>
      <c r="AY175" s="163">
        <f t="shared" si="125"/>
        <v>82.999999999999972</v>
      </c>
      <c r="AZ175" s="163">
        <f t="shared" si="125"/>
        <v>0</v>
      </c>
      <c r="BA175" s="163">
        <f t="shared" si="125"/>
        <v>12.333333333333336</v>
      </c>
      <c r="BB175" s="644">
        <f t="shared" si="125"/>
        <v>0</v>
      </c>
      <c r="BC175" s="645">
        <f t="shared" si="125"/>
        <v>92.666666666666671</v>
      </c>
      <c r="BD175" s="163">
        <f t="shared" si="125"/>
        <v>70.666666666666657</v>
      </c>
      <c r="BE175" s="163">
        <f t="shared" si="125"/>
        <v>0</v>
      </c>
      <c r="BF175" s="163">
        <f t="shared" si="125"/>
        <v>15.000000000000005</v>
      </c>
      <c r="BG175" s="643">
        <f t="shared" si="125"/>
        <v>6.9999999999999991</v>
      </c>
      <c r="BH175" s="646">
        <f t="shared" si="129"/>
        <v>237.33333333333331</v>
      </c>
      <c r="BI175" s="645">
        <f t="shared" si="129"/>
        <v>143.33333333333334</v>
      </c>
      <c r="BJ175" s="163">
        <f t="shared" si="129"/>
        <v>126.33333333333331</v>
      </c>
      <c r="BK175" s="163">
        <f t="shared" si="129"/>
        <v>0</v>
      </c>
      <c r="BL175" s="163">
        <f t="shared" si="129"/>
        <v>17</v>
      </c>
      <c r="BM175" s="644">
        <f t="shared" si="129"/>
        <v>0</v>
      </c>
      <c r="BN175" s="645">
        <f t="shared" si="129"/>
        <v>94.000000000000014</v>
      </c>
      <c r="BO175" s="163">
        <f t="shared" si="129"/>
        <v>58.000000000000007</v>
      </c>
      <c r="BP175" s="163">
        <f t="shared" si="129"/>
        <v>0</v>
      </c>
      <c r="BQ175" s="163">
        <f t="shared" si="129"/>
        <v>28.666666666666664</v>
      </c>
      <c r="BR175" s="643">
        <f t="shared" si="129"/>
        <v>7.333333333333333</v>
      </c>
      <c r="BS175" s="646">
        <f t="shared" si="129"/>
        <v>349.33333333333348</v>
      </c>
      <c r="BT175" s="645">
        <f t="shared" si="129"/>
        <v>194.00000000000006</v>
      </c>
      <c r="BU175" s="163">
        <f t="shared" si="129"/>
        <v>155.66666666666666</v>
      </c>
      <c r="BV175" s="163">
        <f t="shared" si="129"/>
        <v>0</v>
      </c>
      <c r="BW175" s="163">
        <f t="shared" si="129"/>
        <v>38.333333333333336</v>
      </c>
      <c r="BX175" s="644">
        <f t="shared" ref="BX175:CM190" si="134">BX76/3+BX174</f>
        <v>0</v>
      </c>
      <c r="BY175" s="645">
        <f t="shared" si="134"/>
        <v>155.33333333333331</v>
      </c>
      <c r="BZ175" s="163">
        <f t="shared" si="134"/>
        <v>96.6666666666667</v>
      </c>
      <c r="CA175" s="163">
        <f t="shared" si="134"/>
        <v>0</v>
      </c>
      <c r="CB175" s="163">
        <f t="shared" si="134"/>
        <v>42.666666666666643</v>
      </c>
      <c r="CC175" s="643">
        <f t="shared" si="134"/>
        <v>16</v>
      </c>
      <c r="CD175" s="646">
        <f t="shared" si="134"/>
        <v>84.666666666666671</v>
      </c>
      <c r="CE175" s="645">
        <f t="shared" si="134"/>
        <v>50.000000000000028</v>
      </c>
      <c r="CF175" s="163">
        <f t="shared" si="134"/>
        <v>40</v>
      </c>
      <c r="CG175" s="163">
        <f t="shared" si="134"/>
        <v>0</v>
      </c>
      <c r="CH175" s="163">
        <f t="shared" si="134"/>
        <v>10</v>
      </c>
      <c r="CI175" s="644">
        <f t="shared" si="134"/>
        <v>0</v>
      </c>
      <c r="CJ175" s="645">
        <f t="shared" si="134"/>
        <v>34.666666666666664</v>
      </c>
      <c r="CK175" s="163">
        <f t="shared" si="134"/>
        <v>23.666666666666664</v>
      </c>
      <c r="CL175" s="163">
        <f t="shared" si="134"/>
        <v>0</v>
      </c>
      <c r="CM175" s="163">
        <f t="shared" si="134"/>
        <v>7.9999999999999973</v>
      </c>
      <c r="CN175" s="643">
        <f t="shared" si="118"/>
        <v>3</v>
      </c>
      <c r="CO175" s="646">
        <f t="shared" si="118"/>
        <v>64.333333333333314</v>
      </c>
      <c r="CP175" s="645">
        <f t="shared" si="118"/>
        <v>33.33333333333335</v>
      </c>
      <c r="CQ175" s="163">
        <f t="shared" si="118"/>
        <v>32.333333333333343</v>
      </c>
      <c r="CR175" s="163">
        <f t="shared" si="118"/>
        <v>0</v>
      </c>
      <c r="CS175" s="163">
        <f t="shared" si="118"/>
        <v>1</v>
      </c>
      <c r="CT175" s="644">
        <f t="shared" si="118"/>
        <v>0</v>
      </c>
      <c r="CU175" s="645">
        <f t="shared" si="118"/>
        <v>30.999999999999996</v>
      </c>
      <c r="CV175" s="163">
        <f t="shared" si="116"/>
        <v>22.999999999999989</v>
      </c>
      <c r="CW175" s="163">
        <f t="shared" si="116"/>
        <v>0</v>
      </c>
      <c r="CX175" s="163">
        <f t="shared" si="116"/>
        <v>8</v>
      </c>
      <c r="CY175" s="643">
        <f t="shared" si="116"/>
        <v>0</v>
      </c>
      <c r="CZ175" s="646">
        <f t="shared" si="116"/>
        <v>14.333333333333337</v>
      </c>
      <c r="DA175" s="645">
        <f t="shared" si="116"/>
        <v>2.333333333333333</v>
      </c>
      <c r="DB175" s="163">
        <f t="shared" si="116"/>
        <v>0</v>
      </c>
      <c r="DC175" s="163">
        <f t="shared" si="116"/>
        <v>0</v>
      </c>
      <c r="DD175" s="163">
        <f t="shared" si="116"/>
        <v>2.333333333333333</v>
      </c>
      <c r="DE175" s="644">
        <f t="shared" si="116"/>
        <v>0</v>
      </c>
      <c r="DF175" s="645">
        <f t="shared" si="116"/>
        <v>12.000000000000004</v>
      </c>
      <c r="DG175" s="163">
        <f t="shared" si="116"/>
        <v>11.000000000000007</v>
      </c>
      <c r="DH175" s="163">
        <f t="shared" si="116"/>
        <v>0</v>
      </c>
      <c r="DI175" s="163">
        <f t="shared" si="116"/>
        <v>1</v>
      </c>
      <c r="DJ175" s="643">
        <f t="shared" si="116"/>
        <v>0</v>
      </c>
      <c r="DK175" s="646">
        <f t="shared" si="116"/>
        <v>0</v>
      </c>
      <c r="DL175" s="645">
        <f t="shared" si="127"/>
        <v>0</v>
      </c>
      <c r="DM175" s="163">
        <f t="shared" si="124"/>
        <v>0</v>
      </c>
      <c r="DN175" s="163">
        <f t="shared" si="124"/>
        <v>0</v>
      </c>
      <c r="DO175" s="163">
        <f t="shared" si="124"/>
        <v>0</v>
      </c>
      <c r="DP175" s="644">
        <f t="shared" si="124"/>
        <v>0</v>
      </c>
      <c r="DQ175" s="645">
        <f t="shared" si="123"/>
        <v>1</v>
      </c>
      <c r="DR175" s="163">
        <f t="shared" si="123"/>
        <v>1</v>
      </c>
      <c r="DS175" s="163">
        <f t="shared" si="123"/>
        <v>0</v>
      </c>
      <c r="DT175" s="163">
        <f t="shared" si="123"/>
        <v>0</v>
      </c>
      <c r="DU175" s="643">
        <f t="shared" si="123"/>
        <v>0</v>
      </c>
      <c r="DW175" s="646">
        <f t="shared" si="121"/>
        <v>1043.3333333333335</v>
      </c>
      <c r="DX175" s="645">
        <f t="shared" si="121"/>
        <v>561.00000000000023</v>
      </c>
      <c r="DY175" s="163">
        <f t="shared" si="120"/>
        <v>472.33333333333326</v>
      </c>
      <c r="DZ175" s="163">
        <f t="shared" si="120"/>
        <v>0</v>
      </c>
      <c r="EA175" s="163">
        <f t="shared" si="120"/>
        <v>88.666666666666671</v>
      </c>
      <c r="EB175" s="644">
        <f t="shared" si="120"/>
        <v>0</v>
      </c>
      <c r="EC175" s="645">
        <f t="shared" si="120"/>
        <v>483.33333333333337</v>
      </c>
      <c r="ED175" s="163">
        <f t="shared" si="120"/>
        <v>330.00000000000006</v>
      </c>
      <c r="EE175" s="163">
        <f t="shared" si="120"/>
        <v>0</v>
      </c>
      <c r="EF175" s="163">
        <f t="shared" si="120"/>
        <v>112.99999999999997</v>
      </c>
      <c r="EG175" s="643">
        <f t="shared" si="120"/>
        <v>40.333333333333329</v>
      </c>
      <c r="EH175" s="646">
        <f t="shared" si="119"/>
        <v>306.33333333333337</v>
      </c>
      <c r="EI175" s="645">
        <f t="shared" si="117"/>
        <v>177.33333333333334</v>
      </c>
      <c r="EJ175" s="163">
        <f t="shared" si="117"/>
        <v>147.66666666666666</v>
      </c>
      <c r="EK175" s="163">
        <f t="shared" si="117"/>
        <v>0</v>
      </c>
      <c r="EL175" s="163">
        <f t="shared" si="117"/>
        <v>29.666666666666647</v>
      </c>
      <c r="EM175" s="644">
        <f t="shared" si="117"/>
        <v>0</v>
      </c>
      <c r="EN175" s="645">
        <f t="shared" si="117"/>
        <v>129.00000000000006</v>
      </c>
      <c r="EO175" s="163">
        <f t="shared" si="117"/>
        <v>83.333333333333314</v>
      </c>
      <c r="EP175" s="163">
        <f t="shared" si="79"/>
        <v>0</v>
      </c>
      <c r="EQ175" s="163">
        <f t="shared" si="79"/>
        <v>33.333333333333343</v>
      </c>
      <c r="ER175" s="643">
        <f t="shared" si="79"/>
        <v>12.333333333333334</v>
      </c>
    </row>
    <row r="176" spans="1:148">
      <c r="A176" s="665" t="s">
        <v>236</v>
      </c>
      <c r="B176" s="665">
        <v>43862</v>
      </c>
      <c r="C176" s="664">
        <v>2020</v>
      </c>
      <c r="D176" s="646">
        <f t="shared" ref="D176" si="135">D77/3+D175</f>
        <v>2488766</v>
      </c>
      <c r="E176" s="646">
        <f t="shared" si="131"/>
        <v>35724.333333333343</v>
      </c>
      <c r="F176" s="645">
        <f t="shared" si="131"/>
        <v>19130.333333333336</v>
      </c>
      <c r="G176" s="163">
        <f t="shared" si="131"/>
        <v>15600.333333333332</v>
      </c>
      <c r="H176" s="163">
        <f t="shared" si="131"/>
        <v>0</v>
      </c>
      <c r="I176" s="163">
        <f t="shared" si="131"/>
        <v>3530.0000000000014</v>
      </c>
      <c r="J176" s="644">
        <f t="shared" si="131"/>
        <v>0</v>
      </c>
      <c r="K176" s="645">
        <f t="shared" si="131"/>
        <v>16594</v>
      </c>
      <c r="L176" s="163">
        <f t="shared" si="131"/>
        <v>11206.666666666666</v>
      </c>
      <c r="M176" s="163">
        <f t="shared" si="131"/>
        <v>0</v>
      </c>
      <c r="N176" s="163">
        <f t="shared" si="131"/>
        <v>3871.9999999999995</v>
      </c>
      <c r="O176" s="643">
        <f t="shared" si="131"/>
        <v>1515.3333333333328</v>
      </c>
      <c r="P176" s="646">
        <f t="shared" si="131"/>
        <v>64</v>
      </c>
      <c r="Q176" s="645">
        <f t="shared" si="131"/>
        <v>29.333333333333329</v>
      </c>
      <c r="R176" s="163">
        <f t="shared" si="131"/>
        <v>24.999999999999993</v>
      </c>
      <c r="S176" s="163">
        <f t="shared" si="131"/>
        <v>0</v>
      </c>
      <c r="T176" s="163">
        <f t="shared" si="128"/>
        <v>4.333333333333333</v>
      </c>
      <c r="U176" s="644">
        <f t="shared" si="122"/>
        <v>0</v>
      </c>
      <c r="V176" s="645">
        <f t="shared" si="122"/>
        <v>34.666666666666679</v>
      </c>
      <c r="W176" s="163">
        <f t="shared" si="122"/>
        <v>22.000000000000011</v>
      </c>
      <c r="X176" s="163">
        <f t="shared" si="122"/>
        <v>0</v>
      </c>
      <c r="Y176" s="163">
        <f t="shared" si="122"/>
        <v>9.6666666666666661</v>
      </c>
      <c r="Z176" s="643">
        <f t="shared" si="122"/>
        <v>3</v>
      </c>
      <c r="AA176" s="646">
        <f t="shared" si="122"/>
        <v>42.666666666666671</v>
      </c>
      <c r="AB176" s="645">
        <f t="shared" si="122"/>
        <v>14.000000000000002</v>
      </c>
      <c r="AC176" s="163">
        <f t="shared" si="122"/>
        <v>10.000000000000002</v>
      </c>
      <c r="AD176" s="163">
        <f t="shared" si="122"/>
        <v>0</v>
      </c>
      <c r="AE176" s="163">
        <f t="shared" si="122"/>
        <v>4</v>
      </c>
      <c r="AF176" s="644">
        <f t="shared" si="122"/>
        <v>0</v>
      </c>
      <c r="AG176" s="645">
        <f t="shared" si="122"/>
        <v>28.666666666666671</v>
      </c>
      <c r="AH176" s="163">
        <f t="shared" si="122"/>
        <v>23.999999999999996</v>
      </c>
      <c r="AI176" s="163">
        <f t="shared" si="122"/>
        <v>0</v>
      </c>
      <c r="AJ176" s="163">
        <f t="shared" si="122"/>
        <v>0.66666666666666663</v>
      </c>
      <c r="AK176" s="643">
        <f t="shared" si="126"/>
        <v>4</v>
      </c>
      <c r="AL176" s="646">
        <f t="shared" si="126"/>
        <v>311.66666666666669</v>
      </c>
      <c r="AM176" s="645">
        <f t="shared" si="125"/>
        <v>180.66666666666669</v>
      </c>
      <c r="AN176" s="163">
        <f t="shared" si="125"/>
        <v>150.33333333333331</v>
      </c>
      <c r="AO176" s="163">
        <f t="shared" si="125"/>
        <v>0</v>
      </c>
      <c r="AP176" s="163">
        <f t="shared" si="125"/>
        <v>30.333333333333314</v>
      </c>
      <c r="AQ176" s="644">
        <f t="shared" si="125"/>
        <v>0</v>
      </c>
      <c r="AR176" s="645">
        <f t="shared" si="125"/>
        <v>131.00000000000006</v>
      </c>
      <c r="AS176" s="163">
        <f t="shared" si="125"/>
        <v>84.666666666666643</v>
      </c>
      <c r="AT176" s="163">
        <f t="shared" si="125"/>
        <v>0</v>
      </c>
      <c r="AU176" s="163">
        <f t="shared" si="125"/>
        <v>33.666666666666679</v>
      </c>
      <c r="AV176" s="643">
        <f t="shared" si="125"/>
        <v>12.666666666666668</v>
      </c>
      <c r="AW176" s="646">
        <f t="shared" si="125"/>
        <v>192.00000000000011</v>
      </c>
      <c r="AX176" s="645">
        <f t="shared" si="125"/>
        <v>98.666666666666657</v>
      </c>
      <c r="AY176" s="163">
        <f t="shared" si="125"/>
        <v>85.999999999999972</v>
      </c>
      <c r="AZ176" s="163">
        <f t="shared" si="125"/>
        <v>0</v>
      </c>
      <c r="BA176" s="163">
        <f t="shared" si="125"/>
        <v>12.66666666666667</v>
      </c>
      <c r="BB176" s="644">
        <f t="shared" si="125"/>
        <v>0</v>
      </c>
      <c r="BC176" s="645">
        <f t="shared" si="125"/>
        <v>93.333333333333343</v>
      </c>
      <c r="BD176" s="163">
        <f t="shared" si="125"/>
        <v>71.333333333333329</v>
      </c>
      <c r="BE176" s="163">
        <f t="shared" si="125"/>
        <v>0</v>
      </c>
      <c r="BF176" s="163">
        <f t="shared" si="125"/>
        <v>15.000000000000005</v>
      </c>
      <c r="BG176" s="643">
        <f t="shared" si="125"/>
        <v>6.9999999999999991</v>
      </c>
      <c r="BH176" s="646">
        <f t="shared" si="129"/>
        <v>241.66666666666666</v>
      </c>
      <c r="BI176" s="645">
        <f t="shared" si="129"/>
        <v>146.66666666666669</v>
      </c>
      <c r="BJ176" s="163">
        <f t="shared" si="129"/>
        <v>128.66666666666666</v>
      </c>
      <c r="BK176" s="163">
        <f t="shared" si="129"/>
        <v>0</v>
      </c>
      <c r="BL176" s="163">
        <f t="shared" si="129"/>
        <v>18</v>
      </c>
      <c r="BM176" s="644">
        <f t="shared" si="129"/>
        <v>0</v>
      </c>
      <c r="BN176" s="645">
        <f t="shared" si="129"/>
        <v>95.000000000000014</v>
      </c>
      <c r="BO176" s="163">
        <f t="shared" si="129"/>
        <v>58.000000000000007</v>
      </c>
      <c r="BP176" s="163">
        <f t="shared" si="129"/>
        <v>0</v>
      </c>
      <c r="BQ176" s="163">
        <f t="shared" si="129"/>
        <v>29.333333333333332</v>
      </c>
      <c r="BR176" s="643">
        <f t="shared" si="129"/>
        <v>7.6666666666666661</v>
      </c>
      <c r="BS176" s="646">
        <f t="shared" si="129"/>
        <v>356.6666666666668</v>
      </c>
      <c r="BT176" s="645">
        <f t="shared" si="129"/>
        <v>198.00000000000006</v>
      </c>
      <c r="BU176" s="163">
        <f t="shared" si="129"/>
        <v>158.33333333333331</v>
      </c>
      <c r="BV176" s="163">
        <f t="shared" si="129"/>
        <v>0</v>
      </c>
      <c r="BW176" s="163">
        <f t="shared" si="129"/>
        <v>39.666666666666671</v>
      </c>
      <c r="BX176" s="644">
        <f t="shared" si="134"/>
        <v>0</v>
      </c>
      <c r="BY176" s="645">
        <f t="shared" si="134"/>
        <v>158.66666666666666</v>
      </c>
      <c r="BZ176" s="163">
        <f t="shared" si="134"/>
        <v>97.333333333333371</v>
      </c>
      <c r="CA176" s="163">
        <f t="shared" si="134"/>
        <v>0</v>
      </c>
      <c r="CB176" s="163">
        <f t="shared" si="134"/>
        <v>45.333333333333307</v>
      </c>
      <c r="CC176" s="643">
        <f t="shared" si="134"/>
        <v>16</v>
      </c>
      <c r="CD176" s="646">
        <f t="shared" si="134"/>
        <v>85.333333333333343</v>
      </c>
      <c r="CE176" s="645">
        <f t="shared" si="134"/>
        <v>50.000000000000028</v>
      </c>
      <c r="CF176" s="163">
        <f t="shared" si="134"/>
        <v>40</v>
      </c>
      <c r="CG176" s="163">
        <f t="shared" si="134"/>
        <v>0</v>
      </c>
      <c r="CH176" s="163">
        <f t="shared" si="134"/>
        <v>10</v>
      </c>
      <c r="CI176" s="644">
        <f t="shared" si="134"/>
        <v>0</v>
      </c>
      <c r="CJ176" s="645">
        <f t="shared" si="134"/>
        <v>35.333333333333329</v>
      </c>
      <c r="CK176" s="163">
        <f t="shared" si="134"/>
        <v>24.333333333333332</v>
      </c>
      <c r="CL176" s="163">
        <f t="shared" si="134"/>
        <v>0</v>
      </c>
      <c r="CM176" s="163">
        <f t="shared" si="134"/>
        <v>7.9999999999999973</v>
      </c>
      <c r="CN176" s="643">
        <f t="shared" si="118"/>
        <v>3</v>
      </c>
      <c r="CO176" s="646">
        <f t="shared" si="118"/>
        <v>64.666666666666643</v>
      </c>
      <c r="CP176" s="645">
        <f t="shared" si="118"/>
        <v>33.666666666666686</v>
      </c>
      <c r="CQ176" s="163">
        <f t="shared" si="118"/>
        <v>32.666666666666679</v>
      </c>
      <c r="CR176" s="163">
        <f t="shared" si="118"/>
        <v>0</v>
      </c>
      <c r="CS176" s="163">
        <f t="shared" si="118"/>
        <v>1</v>
      </c>
      <c r="CT176" s="644">
        <f t="shared" si="118"/>
        <v>0</v>
      </c>
      <c r="CU176" s="645">
        <f t="shared" si="118"/>
        <v>30.999999999999996</v>
      </c>
      <c r="CV176" s="163">
        <f t="shared" si="118"/>
        <v>22.999999999999989</v>
      </c>
      <c r="CW176" s="163">
        <f t="shared" si="118"/>
        <v>0</v>
      </c>
      <c r="CX176" s="163">
        <f t="shared" si="118"/>
        <v>8</v>
      </c>
      <c r="CY176" s="643">
        <f t="shared" si="118"/>
        <v>0</v>
      </c>
      <c r="CZ176" s="646">
        <f t="shared" si="118"/>
        <v>14.666666666666671</v>
      </c>
      <c r="DA176" s="645">
        <f t="shared" si="118"/>
        <v>2.6666666666666665</v>
      </c>
      <c r="DB176" s="163">
        <f t="shared" si="118"/>
        <v>0</v>
      </c>
      <c r="DC176" s="163">
        <f t="shared" si="118"/>
        <v>0</v>
      </c>
      <c r="DD176" s="163">
        <f t="shared" ref="DD176:DS191" si="136">DD77/3+DD175</f>
        <v>2.6666666666666665</v>
      </c>
      <c r="DE176" s="644">
        <f t="shared" si="136"/>
        <v>0</v>
      </c>
      <c r="DF176" s="645">
        <f t="shared" si="136"/>
        <v>12.000000000000004</v>
      </c>
      <c r="DG176" s="163">
        <f t="shared" si="136"/>
        <v>11.000000000000007</v>
      </c>
      <c r="DH176" s="163">
        <f t="shared" si="136"/>
        <v>0</v>
      </c>
      <c r="DI176" s="163">
        <f t="shared" si="136"/>
        <v>1</v>
      </c>
      <c r="DJ176" s="643">
        <f t="shared" si="136"/>
        <v>0</v>
      </c>
      <c r="DK176" s="646">
        <f t="shared" si="136"/>
        <v>0</v>
      </c>
      <c r="DL176" s="645">
        <f t="shared" si="127"/>
        <v>0</v>
      </c>
      <c r="DM176" s="163">
        <f t="shared" si="124"/>
        <v>0</v>
      </c>
      <c r="DN176" s="163">
        <f t="shared" si="124"/>
        <v>0</v>
      </c>
      <c r="DO176" s="163">
        <f t="shared" si="124"/>
        <v>0</v>
      </c>
      <c r="DP176" s="644">
        <f t="shared" si="124"/>
        <v>0</v>
      </c>
      <c r="DQ176" s="645">
        <f t="shared" si="123"/>
        <v>1</v>
      </c>
      <c r="DR176" s="163">
        <f t="shared" si="123"/>
        <v>1</v>
      </c>
      <c r="DS176" s="163">
        <f t="shared" si="123"/>
        <v>0</v>
      </c>
      <c r="DT176" s="163">
        <f t="shared" si="123"/>
        <v>0</v>
      </c>
      <c r="DU176" s="643">
        <f t="shared" si="123"/>
        <v>0</v>
      </c>
      <c r="DW176" s="646">
        <f t="shared" si="121"/>
        <v>1061.666666666667</v>
      </c>
      <c r="DX176" s="645">
        <f t="shared" si="121"/>
        <v>573.00000000000011</v>
      </c>
      <c r="DY176" s="163">
        <f t="shared" si="120"/>
        <v>480.66666666666663</v>
      </c>
      <c r="DZ176" s="163">
        <f t="shared" si="120"/>
        <v>0</v>
      </c>
      <c r="EA176" s="163">
        <f t="shared" si="120"/>
        <v>92.333333333333343</v>
      </c>
      <c r="EB176" s="644">
        <f t="shared" si="120"/>
        <v>0</v>
      </c>
      <c r="EC176" s="645">
        <f t="shared" si="120"/>
        <v>489.66666666666669</v>
      </c>
      <c r="ED176" s="163">
        <f t="shared" si="120"/>
        <v>332.00000000000006</v>
      </c>
      <c r="EE176" s="163">
        <f t="shared" si="120"/>
        <v>0</v>
      </c>
      <c r="EF176" s="163">
        <f t="shared" si="120"/>
        <v>116.99999999999997</v>
      </c>
      <c r="EG176" s="643">
        <f t="shared" si="120"/>
        <v>40.666666666666664</v>
      </c>
      <c r="EH176" s="646">
        <f t="shared" si="119"/>
        <v>311.66666666666669</v>
      </c>
      <c r="EI176" s="645">
        <f t="shared" si="117"/>
        <v>180.66666666666669</v>
      </c>
      <c r="EJ176" s="163">
        <f t="shared" si="117"/>
        <v>150.33333333333331</v>
      </c>
      <c r="EK176" s="163">
        <f t="shared" si="117"/>
        <v>0</v>
      </c>
      <c r="EL176" s="163">
        <f t="shared" si="117"/>
        <v>30.333333333333314</v>
      </c>
      <c r="EM176" s="644">
        <f t="shared" si="117"/>
        <v>0</v>
      </c>
      <c r="EN176" s="645">
        <f t="shared" si="117"/>
        <v>131.00000000000006</v>
      </c>
      <c r="EO176" s="163">
        <f t="shared" si="117"/>
        <v>84.666666666666643</v>
      </c>
      <c r="EP176" s="163">
        <f t="shared" si="79"/>
        <v>0</v>
      </c>
      <c r="EQ176" s="163">
        <f t="shared" si="79"/>
        <v>33.666666666666679</v>
      </c>
      <c r="ER176" s="643">
        <f t="shared" si="79"/>
        <v>12.666666666666668</v>
      </c>
    </row>
    <row r="177" spans="1:148">
      <c r="A177" s="665" t="s">
        <v>236</v>
      </c>
      <c r="B177" s="665">
        <v>43891</v>
      </c>
      <c r="C177" s="664">
        <v>2020</v>
      </c>
      <c r="D177" s="646">
        <f t="shared" ref="D177" si="137">D78/3+D176</f>
        <v>2535126</v>
      </c>
      <c r="E177" s="646">
        <f t="shared" si="131"/>
        <v>36295.000000000007</v>
      </c>
      <c r="F177" s="645">
        <f t="shared" si="131"/>
        <v>19525.000000000004</v>
      </c>
      <c r="G177" s="163">
        <f t="shared" si="131"/>
        <v>15846.999999999998</v>
      </c>
      <c r="H177" s="163">
        <f t="shared" si="131"/>
        <v>0</v>
      </c>
      <c r="I177" s="163">
        <f t="shared" si="131"/>
        <v>3678.0000000000014</v>
      </c>
      <c r="J177" s="644">
        <f t="shared" si="131"/>
        <v>0</v>
      </c>
      <c r="K177" s="645">
        <f t="shared" si="131"/>
        <v>16770</v>
      </c>
      <c r="L177" s="163">
        <f t="shared" si="131"/>
        <v>11291</v>
      </c>
      <c r="M177" s="163">
        <f t="shared" si="131"/>
        <v>0</v>
      </c>
      <c r="N177" s="163">
        <f t="shared" si="131"/>
        <v>3949.9999999999995</v>
      </c>
      <c r="O177" s="643">
        <f t="shared" si="131"/>
        <v>1528.9999999999995</v>
      </c>
      <c r="P177" s="646">
        <f t="shared" si="131"/>
        <v>65</v>
      </c>
      <c r="Q177" s="645">
        <f t="shared" si="131"/>
        <v>29.999999999999996</v>
      </c>
      <c r="R177" s="163">
        <f t="shared" si="131"/>
        <v>24.999999999999993</v>
      </c>
      <c r="S177" s="163">
        <f t="shared" si="131"/>
        <v>0</v>
      </c>
      <c r="T177" s="163">
        <f t="shared" si="128"/>
        <v>5</v>
      </c>
      <c r="U177" s="644">
        <f t="shared" si="122"/>
        <v>0</v>
      </c>
      <c r="V177" s="645">
        <f t="shared" si="122"/>
        <v>35.000000000000014</v>
      </c>
      <c r="W177" s="163">
        <f t="shared" si="122"/>
        <v>22.000000000000011</v>
      </c>
      <c r="X177" s="163">
        <f t="shared" si="122"/>
        <v>0</v>
      </c>
      <c r="Y177" s="163">
        <f t="shared" si="122"/>
        <v>10</v>
      </c>
      <c r="Z177" s="643">
        <f t="shared" si="122"/>
        <v>3</v>
      </c>
      <c r="AA177" s="646">
        <f t="shared" si="122"/>
        <v>43.000000000000007</v>
      </c>
      <c r="AB177" s="645">
        <f t="shared" si="122"/>
        <v>14.000000000000002</v>
      </c>
      <c r="AC177" s="163">
        <f t="shared" si="122"/>
        <v>10.000000000000002</v>
      </c>
      <c r="AD177" s="163">
        <f t="shared" si="122"/>
        <v>0</v>
      </c>
      <c r="AE177" s="163">
        <f t="shared" si="122"/>
        <v>4</v>
      </c>
      <c r="AF177" s="644">
        <f t="shared" si="122"/>
        <v>0</v>
      </c>
      <c r="AG177" s="645">
        <f t="shared" si="122"/>
        <v>29.000000000000004</v>
      </c>
      <c r="AH177" s="163">
        <f t="shared" si="122"/>
        <v>23.999999999999996</v>
      </c>
      <c r="AI177" s="163">
        <f t="shared" si="122"/>
        <v>0</v>
      </c>
      <c r="AJ177" s="163">
        <f t="shared" si="122"/>
        <v>1</v>
      </c>
      <c r="AK177" s="643">
        <f t="shared" si="126"/>
        <v>4</v>
      </c>
      <c r="AL177" s="646">
        <f t="shared" si="126"/>
        <v>317</v>
      </c>
      <c r="AM177" s="645">
        <f t="shared" si="125"/>
        <v>184.00000000000003</v>
      </c>
      <c r="AN177" s="163">
        <f t="shared" si="125"/>
        <v>152.99999999999997</v>
      </c>
      <c r="AO177" s="163">
        <f t="shared" si="125"/>
        <v>0</v>
      </c>
      <c r="AP177" s="163">
        <f t="shared" si="125"/>
        <v>30.999999999999982</v>
      </c>
      <c r="AQ177" s="644">
        <f t="shared" si="125"/>
        <v>0</v>
      </c>
      <c r="AR177" s="645">
        <f t="shared" si="125"/>
        <v>133.00000000000006</v>
      </c>
      <c r="AS177" s="163">
        <f t="shared" si="125"/>
        <v>85.999999999999972</v>
      </c>
      <c r="AT177" s="163">
        <f t="shared" si="125"/>
        <v>0</v>
      </c>
      <c r="AU177" s="163">
        <f t="shared" si="125"/>
        <v>34.000000000000014</v>
      </c>
      <c r="AV177" s="643">
        <f t="shared" si="125"/>
        <v>13.000000000000002</v>
      </c>
      <c r="AW177" s="646">
        <f t="shared" si="125"/>
        <v>196.00000000000011</v>
      </c>
      <c r="AX177" s="645">
        <f t="shared" si="125"/>
        <v>101.99999999999999</v>
      </c>
      <c r="AY177" s="163">
        <f t="shared" si="125"/>
        <v>88.999999999999972</v>
      </c>
      <c r="AZ177" s="163">
        <f t="shared" si="125"/>
        <v>0</v>
      </c>
      <c r="BA177" s="163">
        <f t="shared" si="125"/>
        <v>13.000000000000004</v>
      </c>
      <c r="BB177" s="644">
        <f t="shared" si="125"/>
        <v>0</v>
      </c>
      <c r="BC177" s="645">
        <f t="shared" si="125"/>
        <v>94.000000000000014</v>
      </c>
      <c r="BD177" s="163">
        <f t="shared" si="125"/>
        <v>72</v>
      </c>
      <c r="BE177" s="163">
        <f t="shared" si="125"/>
        <v>0</v>
      </c>
      <c r="BF177" s="163">
        <f t="shared" si="125"/>
        <v>15.000000000000005</v>
      </c>
      <c r="BG177" s="643">
        <f t="shared" si="125"/>
        <v>6.9999999999999991</v>
      </c>
      <c r="BH177" s="646">
        <f t="shared" si="129"/>
        <v>246</v>
      </c>
      <c r="BI177" s="645">
        <f t="shared" si="129"/>
        <v>150.00000000000003</v>
      </c>
      <c r="BJ177" s="163">
        <f t="shared" si="129"/>
        <v>131</v>
      </c>
      <c r="BK177" s="163">
        <f t="shared" si="129"/>
        <v>0</v>
      </c>
      <c r="BL177" s="163">
        <f t="shared" si="129"/>
        <v>19</v>
      </c>
      <c r="BM177" s="644">
        <f t="shared" si="129"/>
        <v>0</v>
      </c>
      <c r="BN177" s="645">
        <f t="shared" si="129"/>
        <v>96.000000000000014</v>
      </c>
      <c r="BO177" s="163">
        <f t="shared" si="129"/>
        <v>58.000000000000007</v>
      </c>
      <c r="BP177" s="163">
        <f t="shared" si="129"/>
        <v>0</v>
      </c>
      <c r="BQ177" s="163">
        <f t="shared" si="129"/>
        <v>30</v>
      </c>
      <c r="BR177" s="643">
        <f t="shared" si="129"/>
        <v>7.9999999999999991</v>
      </c>
      <c r="BS177" s="646">
        <f t="shared" si="129"/>
        <v>364.00000000000011</v>
      </c>
      <c r="BT177" s="645">
        <f t="shared" si="129"/>
        <v>202.00000000000006</v>
      </c>
      <c r="BU177" s="163">
        <f t="shared" si="129"/>
        <v>160.99999999999997</v>
      </c>
      <c r="BV177" s="163">
        <f t="shared" si="129"/>
        <v>0</v>
      </c>
      <c r="BW177" s="163">
        <f t="shared" si="129"/>
        <v>41.000000000000007</v>
      </c>
      <c r="BX177" s="644">
        <f t="shared" si="134"/>
        <v>0</v>
      </c>
      <c r="BY177" s="645">
        <f t="shared" si="134"/>
        <v>162</v>
      </c>
      <c r="BZ177" s="163">
        <f t="shared" si="134"/>
        <v>98.000000000000043</v>
      </c>
      <c r="CA177" s="163">
        <f t="shared" si="134"/>
        <v>0</v>
      </c>
      <c r="CB177" s="163">
        <f t="shared" si="134"/>
        <v>47.999999999999972</v>
      </c>
      <c r="CC177" s="643">
        <f t="shared" si="134"/>
        <v>16</v>
      </c>
      <c r="CD177" s="646">
        <f t="shared" si="134"/>
        <v>86.000000000000014</v>
      </c>
      <c r="CE177" s="645">
        <f t="shared" si="134"/>
        <v>50.000000000000028</v>
      </c>
      <c r="CF177" s="163">
        <f t="shared" si="134"/>
        <v>40</v>
      </c>
      <c r="CG177" s="163">
        <f t="shared" si="134"/>
        <v>0</v>
      </c>
      <c r="CH177" s="163">
        <f t="shared" si="134"/>
        <v>10</v>
      </c>
      <c r="CI177" s="644">
        <f t="shared" si="134"/>
        <v>0</v>
      </c>
      <c r="CJ177" s="645">
        <f t="shared" si="134"/>
        <v>35.999999999999993</v>
      </c>
      <c r="CK177" s="163">
        <f t="shared" si="134"/>
        <v>25</v>
      </c>
      <c r="CL177" s="163">
        <f t="shared" si="134"/>
        <v>0</v>
      </c>
      <c r="CM177" s="163">
        <f t="shared" si="134"/>
        <v>7.9999999999999973</v>
      </c>
      <c r="CN177" s="643">
        <f t="shared" ref="CN177:DC192" si="138">CN78/3+CN176</f>
        <v>3</v>
      </c>
      <c r="CO177" s="646">
        <f t="shared" si="138"/>
        <v>64.999999999999972</v>
      </c>
      <c r="CP177" s="645">
        <f t="shared" si="138"/>
        <v>34.000000000000021</v>
      </c>
      <c r="CQ177" s="163">
        <f t="shared" si="138"/>
        <v>33.000000000000014</v>
      </c>
      <c r="CR177" s="163">
        <f t="shared" si="138"/>
        <v>0</v>
      </c>
      <c r="CS177" s="163">
        <f t="shared" si="138"/>
        <v>1</v>
      </c>
      <c r="CT177" s="644">
        <f t="shared" si="138"/>
        <v>0</v>
      </c>
      <c r="CU177" s="645">
        <f t="shared" si="138"/>
        <v>30.999999999999996</v>
      </c>
      <c r="CV177" s="163">
        <f t="shared" si="138"/>
        <v>22.999999999999989</v>
      </c>
      <c r="CW177" s="163">
        <f t="shared" si="138"/>
        <v>0</v>
      </c>
      <c r="CX177" s="163">
        <f t="shared" si="138"/>
        <v>8</v>
      </c>
      <c r="CY177" s="643">
        <f t="shared" si="138"/>
        <v>0</v>
      </c>
      <c r="CZ177" s="646">
        <f t="shared" si="138"/>
        <v>15.000000000000005</v>
      </c>
      <c r="DA177" s="645">
        <f t="shared" si="138"/>
        <v>3</v>
      </c>
      <c r="DB177" s="163">
        <f t="shared" si="138"/>
        <v>0</v>
      </c>
      <c r="DC177" s="163">
        <f t="shared" si="138"/>
        <v>0</v>
      </c>
      <c r="DD177" s="163">
        <f t="shared" si="136"/>
        <v>3</v>
      </c>
      <c r="DE177" s="644">
        <f t="shared" si="136"/>
        <v>0</v>
      </c>
      <c r="DF177" s="645">
        <f t="shared" si="136"/>
        <v>12.000000000000004</v>
      </c>
      <c r="DG177" s="163">
        <f t="shared" si="136"/>
        <v>11.000000000000007</v>
      </c>
      <c r="DH177" s="163">
        <f t="shared" si="136"/>
        <v>0</v>
      </c>
      <c r="DI177" s="163">
        <f t="shared" si="136"/>
        <v>1</v>
      </c>
      <c r="DJ177" s="643">
        <f t="shared" si="136"/>
        <v>0</v>
      </c>
      <c r="DK177" s="646">
        <f t="shared" si="136"/>
        <v>0</v>
      </c>
      <c r="DL177" s="645">
        <f t="shared" si="127"/>
        <v>0</v>
      </c>
      <c r="DM177" s="163">
        <f t="shared" si="124"/>
        <v>0</v>
      </c>
      <c r="DN177" s="163">
        <f t="shared" si="124"/>
        <v>0</v>
      </c>
      <c r="DO177" s="163">
        <f t="shared" si="124"/>
        <v>0</v>
      </c>
      <c r="DP177" s="644">
        <f t="shared" si="124"/>
        <v>0</v>
      </c>
      <c r="DQ177" s="645">
        <f t="shared" si="123"/>
        <v>1</v>
      </c>
      <c r="DR177" s="163">
        <f t="shared" si="123"/>
        <v>1</v>
      </c>
      <c r="DS177" s="163">
        <f t="shared" si="123"/>
        <v>0</v>
      </c>
      <c r="DT177" s="163">
        <f t="shared" si="123"/>
        <v>0</v>
      </c>
      <c r="DU177" s="643">
        <f t="shared" si="123"/>
        <v>0</v>
      </c>
      <c r="DW177" s="646">
        <f t="shared" si="121"/>
        <v>1080.0000000000002</v>
      </c>
      <c r="DX177" s="645">
        <f t="shared" si="121"/>
        <v>585.00000000000011</v>
      </c>
      <c r="DY177" s="163">
        <f t="shared" si="120"/>
        <v>488.99999999999994</v>
      </c>
      <c r="DZ177" s="163">
        <f t="shared" si="120"/>
        <v>0</v>
      </c>
      <c r="EA177" s="163">
        <f t="shared" si="120"/>
        <v>96</v>
      </c>
      <c r="EB177" s="644">
        <f t="shared" si="120"/>
        <v>0</v>
      </c>
      <c r="EC177" s="645">
        <f t="shared" si="120"/>
        <v>496.00000000000006</v>
      </c>
      <c r="ED177" s="163">
        <f t="shared" si="120"/>
        <v>334.00000000000006</v>
      </c>
      <c r="EE177" s="163">
        <f t="shared" si="120"/>
        <v>0</v>
      </c>
      <c r="EF177" s="163">
        <f t="shared" si="120"/>
        <v>120.99999999999997</v>
      </c>
      <c r="EG177" s="643">
        <f t="shared" si="120"/>
        <v>41</v>
      </c>
      <c r="EH177" s="646">
        <f t="shared" si="119"/>
        <v>317</v>
      </c>
      <c r="EI177" s="645">
        <f t="shared" si="117"/>
        <v>184.00000000000003</v>
      </c>
      <c r="EJ177" s="163">
        <f t="shared" si="117"/>
        <v>152.99999999999997</v>
      </c>
      <c r="EK177" s="163">
        <f t="shared" si="117"/>
        <v>0</v>
      </c>
      <c r="EL177" s="163">
        <f t="shared" si="117"/>
        <v>30.999999999999982</v>
      </c>
      <c r="EM177" s="644">
        <f t="shared" si="117"/>
        <v>0</v>
      </c>
      <c r="EN177" s="645">
        <f t="shared" si="117"/>
        <v>133.00000000000006</v>
      </c>
      <c r="EO177" s="163">
        <f t="shared" si="117"/>
        <v>85.999999999999972</v>
      </c>
      <c r="EP177" s="163">
        <f t="shared" si="79"/>
        <v>0</v>
      </c>
      <c r="EQ177" s="163">
        <f t="shared" si="79"/>
        <v>34.000000000000014</v>
      </c>
      <c r="ER177" s="643">
        <f t="shared" si="79"/>
        <v>13.000000000000002</v>
      </c>
    </row>
    <row r="178" spans="1:148">
      <c r="A178" s="665" t="s">
        <v>237</v>
      </c>
      <c r="B178" s="665">
        <v>43922</v>
      </c>
      <c r="C178" s="664">
        <v>2020</v>
      </c>
      <c r="D178" s="646">
        <f t="shared" ref="D178" si="139">D79/3+D177</f>
        <v>2571525</v>
      </c>
      <c r="E178" s="646">
        <f t="shared" si="131"/>
        <v>36882.000000000007</v>
      </c>
      <c r="F178" s="645">
        <f t="shared" si="131"/>
        <v>19970.666666666672</v>
      </c>
      <c r="G178" s="163">
        <f t="shared" si="131"/>
        <v>16220.999999999998</v>
      </c>
      <c r="H178" s="163">
        <f t="shared" si="131"/>
        <v>0</v>
      </c>
      <c r="I178" s="163">
        <f t="shared" si="131"/>
        <v>3749.6666666666679</v>
      </c>
      <c r="J178" s="644">
        <f t="shared" si="131"/>
        <v>0</v>
      </c>
      <c r="K178" s="645">
        <f t="shared" si="131"/>
        <v>16911.333333333332</v>
      </c>
      <c r="L178" s="163">
        <f t="shared" si="131"/>
        <v>11361</v>
      </c>
      <c r="M178" s="163">
        <f t="shared" si="131"/>
        <v>0</v>
      </c>
      <c r="N178" s="163">
        <f t="shared" si="131"/>
        <v>4013.9999999999995</v>
      </c>
      <c r="O178" s="643">
        <f t="shared" si="131"/>
        <v>1536.3333333333328</v>
      </c>
      <c r="P178" s="646">
        <f t="shared" si="131"/>
        <v>66.666666666666671</v>
      </c>
      <c r="Q178" s="645">
        <f t="shared" si="131"/>
        <v>30.999999999999996</v>
      </c>
      <c r="R178" s="163">
        <f t="shared" si="131"/>
        <v>25.666666666666661</v>
      </c>
      <c r="S178" s="163">
        <f t="shared" si="131"/>
        <v>0</v>
      </c>
      <c r="T178" s="163">
        <f t="shared" si="128"/>
        <v>5.333333333333333</v>
      </c>
      <c r="U178" s="644">
        <f t="shared" si="122"/>
        <v>0</v>
      </c>
      <c r="V178" s="645">
        <f t="shared" si="122"/>
        <v>35.666666666666679</v>
      </c>
      <c r="W178" s="163">
        <f t="shared" si="122"/>
        <v>22.333333333333343</v>
      </c>
      <c r="X178" s="163">
        <f t="shared" si="122"/>
        <v>0</v>
      </c>
      <c r="Y178" s="163">
        <f t="shared" si="122"/>
        <v>10.333333333333334</v>
      </c>
      <c r="Z178" s="643">
        <f t="shared" si="122"/>
        <v>3</v>
      </c>
      <c r="AA178" s="646">
        <f t="shared" si="122"/>
        <v>43.333333333333343</v>
      </c>
      <c r="AB178" s="645">
        <f t="shared" si="122"/>
        <v>14.333333333333336</v>
      </c>
      <c r="AC178" s="163">
        <f t="shared" si="122"/>
        <v>10.000000000000002</v>
      </c>
      <c r="AD178" s="163">
        <f t="shared" si="122"/>
        <v>0</v>
      </c>
      <c r="AE178" s="163">
        <f t="shared" si="122"/>
        <v>4.333333333333333</v>
      </c>
      <c r="AF178" s="644">
        <f t="shared" si="122"/>
        <v>0</v>
      </c>
      <c r="AG178" s="645">
        <f t="shared" si="122"/>
        <v>29.000000000000004</v>
      </c>
      <c r="AH178" s="163">
        <f t="shared" si="122"/>
        <v>23.999999999999996</v>
      </c>
      <c r="AI178" s="163">
        <f t="shared" si="122"/>
        <v>0</v>
      </c>
      <c r="AJ178" s="163">
        <f t="shared" si="122"/>
        <v>1</v>
      </c>
      <c r="AK178" s="643">
        <f t="shared" si="126"/>
        <v>4</v>
      </c>
      <c r="AL178" s="646">
        <f t="shared" si="126"/>
        <v>323</v>
      </c>
      <c r="AM178" s="645">
        <f t="shared" si="125"/>
        <v>188.33333333333337</v>
      </c>
      <c r="AN178" s="163">
        <f t="shared" si="125"/>
        <v>156.99999999999997</v>
      </c>
      <c r="AO178" s="163">
        <f t="shared" si="125"/>
        <v>0</v>
      </c>
      <c r="AP178" s="163">
        <f t="shared" si="125"/>
        <v>31.333333333333314</v>
      </c>
      <c r="AQ178" s="644">
        <f t="shared" si="125"/>
        <v>0</v>
      </c>
      <c r="AR178" s="645">
        <f t="shared" si="125"/>
        <v>134.66666666666671</v>
      </c>
      <c r="AS178" s="163">
        <f t="shared" si="125"/>
        <v>87.3333333333333</v>
      </c>
      <c r="AT178" s="163">
        <f t="shared" si="125"/>
        <v>0</v>
      </c>
      <c r="AU178" s="163">
        <f t="shared" si="125"/>
        <v>34.33333333333335</v>
      </c>
      <c r="AV178" s="643">
        <f t="shared" si="125"/>
        <v>13.000000000000002</v>
      </c>
      <c r="AW178" s="646">
        <f t="shared" si="125"/>
        <v>199.00000000000011</v>
      </c>
      <c r="AX178" s="645">
        <f t="shared" si="125"/>
        <v>104.33333333333331</v>
      </c>
      <c r="AY178" s="163">
        <f t="shared" si="125"/>
        <v>90.999999999999972</v>
      </c>
      <c r="AZ178" s="163">
        <f t="shared" si="125"/>
        <v>0</v>
      </c>
      <c r="BA178" s="163">
        <f t="shared" si="125"/>
        <v>13.333333333333337</v>
      </c>
      <c r="BB178" s="644">
        <f t="shared" si="125"/>
        <v>0</v>
      </c>
      <c r="BC178" s="645">
        <f t="shared" si="125"/>
        <v>94.666666666666686</v>
      </c>
      <c r="BD178" s="163">
        <f t="shared" si="125"/>
        <v>72.333333333333329</v>
      </c>
      <c r="BE178" s="163">
        <f t="shared" si="125"/>
        <v>0</v>
      </c>
      <c r="BF178" s="163">
        <f t="shared" si="125"/>
        <v>15.333333333333339</v>
      </c>
      <c r="BG178" s="643">
        <f t="shared" si="125"/>
        <v>6.9999999999999991</v>
      </c>
      <c r="BH178" s="646">
        <f t="shared" si="129"/>
        <v>248.33333333333334</v>
      </c>
      <c r="BI178" s="645">
        <f t="shared" si="129"/>
        <v>151.66666666666669</v>
      </c>
      <c r="BJ178" s="163">
        <f t="shared" si="129"/>
        <v>132.66666666666666</v>
      </c>
      <c r="BK178" s="163">
        <f t="shared" si="129"/>
        <v>0</v>
      </c>
      <c r="BL178" s="163">
        <f t="shared" si="129"/>
        <v>19</v>
      </c>
      <c r="BM178" s="644">
        <f t="shared" si="129"/>
        <v>0</v>
      </c>
      <c r="BN178" s="645">
        <f t="shared" si="129"/>
        <v>96.666666666666686</v>
      </c>
      <c r="BO178" s="163">
        <f t="shared" si="129"/>
        <v>58.333333333333343</v>
      </c>
      <c r="BP178" s="163">
        <f t="shared" si="129"/>
        <v>0</v>
      </c>
      <c r="BQ178" s="163">
        <f t="shared" si="129"/>
        <v>30.333333333333332</v>
      </c>
      <c r="BR178" s="643">
        <f t="shared" si="129"/>
        <v>7.9999999999999991</v>
      </c>
      <c r="BS178" s="646">
        <f t="shared" si="129"/>
        <v>370.00000000000011</v>
      </c>
      <c r="BT178" s="645">
        <f t="shared" si="129"/>
        <v>207.00000000000006</v>
      </c>
      <c r="BU178" s="163">
        <f t="shared" si="129"/>
        <v>165.66666666666663</v>
      </c>
      <c r="BV178" s="163">
        <f t="shared" si="129"/>
        <v>0</v>
      </c>
      <c r="BW178" s="163">
        <f t="shared" si="129"/>
        <v>41.333333333333343</v>
      </c>
      <c r="BX178" s="644">
        <f t="shared" si="134"/>
        <v>0</v>
      </c>
      <c r="BY178" s="645">
        <f t="shared" si="134"/>
        <v>163</v>
      </c>
      <c r="BZ178" s="163">
        <f t="shared" si="134"/>
        <v>98.333333333333371</v>
      </c>
      <c r="CA178" s="163">
        <f t="shared" si="134"/>
        <v>0</v>
      </c>
      <c r="CB178" s="163">
        <f t="shared" si="134"/>
        <v>48.333333333333307</v>
      </c>
      <c r="CC178" s="643">
        <f t="shared" si="134"/>
        <v>16.333333333333332</v>
      </c>
      <c r="CD178" s="646">
        <f t="shared" si="134"/>
        <v>87.000000000000014</v>
      </c>
      <c r="CE178" s="645">
        <f t="shared" si="134"/>
        <v>51.000000000000028</v>
      </c>
      <c r="CF178" s="163">
        <f t="shared" si="134"/>
        <v>41</v>
      </c>
      <c r="CG178" s="163">
        <f t="shared" si="134"/>
        <v>0</v>
      </c>
      <c r="CH178" s="163">
        <f t="shared" si="134"/>
        <v>10</v>
      </c>
      <c r="CI178" s="644">
        <f t="shared" si="134"/>
        <v>0</v>
      </c>
      <c r="CJ178" s="645">
        <f t="shared" si="134"/>
        <v>35.999999999999993</v>
      </c>
      <c r="CK178" s="163">
        <f t="shared" si="134"/>
        <v>25</v>
      </c>
      <c r="CL178" s="163">
        <f t="shared" si="134"/>
        <v>0</v>
      </c>
      <c r="CM178" s="163">
        <f t="shared" si="134"/>
        <v>7.9999999999999973</v>
      </c>
      <c r="CN178" s="643">
        <f t="shared" si="138"/>
        <v>3</v>
      </c>
      <c r="CO178" s="646">
        <f t="shared" si="138"/>
        <v>65.3333333333333</v>
      </c>
      <c r="CP178" s="645">
        <f t="shared" si="138"/>
        <v>34.333333333333357</v>
      </c>
      <c r="CQ178" s="163">
        <f t="shared" si="138"/>
        <v>33.33333333333335</v>
      </c>
      <c r="CR178" s="163">
        <f t="shared" si="138"/>
        <v>0</v>
      </c>
      <c r="CS178" s="163">
        <f t="shared" si="138"/>
        <v>1</v>
      </c>
      <c r="CT178" s="644">
        <f t="shared" si="138"/>
        <v>0</v>
      </c>
      <c r="CU178" s="645">
        <f t="shared" si="138"/>
        <v>30.999999999999996</v>
      </c>
      <c r="CV178" s="163">
        <f t="shared" si="138"/>
        <v>22.999999999999989</v>
      </c>
      <c r="CW178" s="163">
        <f t="shared" si="138"/>
        <v>0</v>
      </c>
      <c r="CX178" s="163">
        <f t="shared" si="138"/>
        <v>8</v>
      </c>
      <c r="CY178" s="643">
        <f t="shared" si="138"/>
        <v>0</v>
      </c>
      <c r="CZ178" s="646">
        <f t="shared" si="138"/>
        <v>15.000000000000005</v>
      </c>
      <c r="DA178" s="645">
        <f t="shared" si="138"/>
        <v>3</v>
      </c>
      <c r="DB178" s="163">
        <f t="shared" si="138"/>
        <v>0</v>
      </c>
      <c r="DC178" s="163">
        <f t="shared" si="138"/>
        <v>0</v>
      </c>
      <c r="DD178" s="163">
        <f t="shared" si="136"/>
        <v>3</v>
      </c>
      <c r="DE178" s="644">
        <f t="shared" si="136"/>
        <v>0</v>
      </c>
      <c r="DF178" s="645">
        <f t="shared" si="136"/>
        <v>12.000000000000004</v>
      </c>
      <c r="DG178" s="163">
        <f t="shared" si="136"/>
        <v>11.000000000000007</v>
      </c>
      <c r="DH178" s="163">
        <f t="shared" si="136"/>
        <v>0</v>
      </c>
      <c r="DI178" s="163">
        <f t="shared" si="136"/>
        <v>1</v>
      </c>
      <c r="DJ178" s="643">
        <f t="shared" si="136"/>
        <v>0</v>
      </c>
      <c r="DK178" s="646">
        <f t="shared" si="136"/>
        <v>0</v>
      </c>
      <c r="DL178" s="645">
        <f t="shared" si="127"/>
        <v>0</v>
      </c>
      <c r="DM178" s="163">
        <f t="shared" si="124"/>
        <v>0</v>
      </c>
      <c r="DN178" s="163">
        <f t="shared" si="124"/>
        <v>0</v>
      </c>
      <c r="DO178" s="163">
        <f t="shared" si="124"/>
        <v>0</v>
      </c>
      <c r="DP178" s="644">
        <f t="shared" si="124"/>
        <v>0</v>
      </c>
      <c r="DQ178" s="645">
        <f t="shared" si="123"/>
        <v>1</v>
      </c>
      <c r="DR178" s="163">
        <f t="shared" si="123"/>
        <v>1</v>
      </c>
      <c r="DS178" s="163">
        <f t="shared" si="123"/>
        <v>0</v>
      </c>
      <c r="DT178" s="163">
        <f t="shared" si="123"/>
        <v>0</v>
      </c>
      <c r="DU178" s="643">
        <f t="shared" si="123"/>
        <v>0</v>
      </c>
      <c r="DW178" s="646">
        <f t="shared" si="121"/>
        <v>1094.666666666667</v>
      </c>
      <c r="DX178" s="645">
        <f t="shared" si="121"/>
        <v>596.66666666666674</v>
      </c>
      <c r="DY178" s="163">
        <f t="shared" si="120"/>
        <v>499.33333333333326</v>
      </c>
      <c r="DZ178" s="163">
        <f t="shared" si="120"/>
        <v>0</v>
      </c>
      <c r="EA178" s="163">
        <f t="shared" si="120"/>
        <v>97.333333333333343</v>
      </c>
      <c r="EB178" s="644">
        <f t="shared" si="120"/>
        <v>0</v>
      </c>
      <c r="EC178" s="645">
        <f t="shared" si="120"/>
        <v>499.00000000000006</v>
      </c>
      <c r="ED178" s="163">
        <f t="shared" si="120"/>
        <v>335.33333333333337</v>
      </c>
      <c r="EE178" s="163">
        <f t="shared" si="120"/>
        <v>0</v>
      </c>
      <c r="EF178" s="163">
        <f t="shared" si="120"/>
        <v>122.33333333333331</v>
      </c>
      <c r="EG178" s="643">
        <f t="shared" si="120"/>
        <v>41.333333333333329</v>
      </c>
      <c r="EH178" s="646">
        <f t="shared" si="119"/>
        <v>323</v>
      </c>
      <c r="EI178" s="645">
        <f t="shared" si="117"/>
        <v>188.33333333333337</v>
      </c>
      <c r="EJ178" s="163">
        <f t="shared" si="117"/>
        <v>156.99999999999997</v>
      </c>
      <c r="EK178" s="163">
        <f t="shared" si="117"/>
        <v>0</v>
      </c>
      <c r="EL178" s="163">
        <f t="shared" si="117"/>
        <v>31.333333333333314</v>
      </c>
      <c r="EM178" s="644">
        <f t="shared" si="117"/>
        <v>0</v>
      </c>
      <c r="EN178" s="645">
        <f t="shared" si="117"/>
        <v>134.66666666666671</v>
      </c>
      <c r="EO178" s="163">
        <f t="shared" si="117"/>
        <v>87.3333333333333</v>
      </c>
      <c r="EP178" s="163">
        <f t="shared" si="79"/>
        <v>0</v>
      </c>
      <c r="EQ178" s="163">
        <f t="shared" si="79"/>
        <v>34.33333333333335</v>
      </c>
      <c r="ER178" s="643">
        <f t="shared" si="79"/>
        <v>13.000000000000002</v>
      </c>
    </row>
    <row r="179" spans="1:148">
      <c r="A179" s="665" t="s">
        <v>237</v>
      </c>
      <c r="B179" s="665">
        <v>43952</v>
      </c>
      <c r="C179" s="664">
        <v>2020</v>
      </c>
      <c r="D179" s="646">
        <f t="shared" ref="D179" si="140">D80/3+D178</f>
        <v>2607924</v>
      </c>
      <c r="E179" s="646">
        <f t="shared" si="131"/>
        <v>37469.000000000007</v>
      </c>
      <c r="F179" s="645">
        <f t="shared" si="131"/>
        <v>20416.333333333339</v>
      </c>
      <c r="G179" s="163">
        <f t="shared" si="131"/>
        <v>16595</v>
      </c>
      <c r="H179" s="163">
        <f t="shared" si="131"/>
        <v>0</v>
      </c>
      <c r="I179" s="163">
        <f t="shared" si="131"/>
        <v>3821.3333333333344</v>
      </c>
      <c r="J179" s="644">
        <f t="shared" si="131"/>
        <v>0</v>
      </c>
      <c r="K179" s="645">
        <f t="shared" si="131"/>
        <v>17052.666666666664</v>
      </c>
      <c r="L179" s="163">
        <f t="shared" si="131"/>
        <v>11431</v>
      </c>
      <c r="M179" s="163">
        <f t="shared" si="131"/>
        <v>0</v>
      </c>
      <c r="N179" s="163">
        <f t="shared" si="131"/>
        <v>4077.9999999999995</v>
      </c>
      <c r="O179" s="643">
        <f t="shared" si="131"/>
        <v>1543.6666666666661</v>
      </c>
      <c r="P179" s="646">
        <f t="shared" si="131"/>
        <v>68.333333333333343</v>
      </c>
      <c r="Q179" s="645">
        <f t="shared" si="131"/>
        <v>31.999999999999996</v>
      </c>
      <c r="R179" s="163">
        <f t="shared" si="131"/>
        <v>26.333333333333329</v>
      </c>
      <c r="S179" s="163">
        <f t="shared" si="131"/>
        <v>0</v>
      </c>
      <c r="T179" s="163">
        <f t="shared" si="128"/>
        <v>5.6666666666666661</v>
      </c>
      <c r="U179" s="644">
        <f t="shared" si="122"/>
        <v>0</v>
      </c>
      <c r="V179" s="645">
        <f t="shared" si="122"/>
        <v>36.333333333333343</v>
      </c>
      <c r="W179" s="163">
        <f t="shared" si="122"/>
        <v>22.666666666666675</v>
      </c>
      <c r="X179" s="163">
        <f t="shared" si="122"/>
        <v>0</v>
      </c>
      <c r="Y179" s="163">
        <f t="shared" si="122"/>
        <v>10.666666666666668</v>
      </c>
      <c r="Z179" s="643">
        <f t="shared" si="122"/>
        <v>3</v>
      </c>
      <c r="AA179" s="646">
        <f t="shared" si="122"/>
        <v>43.666666666666679</v>
      </c>
      <c r="AB179" s="645">
        <f t="shared" si="122"/>
        <v>14.66666666666667</v>
      </c>
      <c r="AC179" s="163">
        <f t="shared" si="122"/>
        <v>10.000000000000002</v>
      </c>
      <c r="AD179" s="163">
        <f t="shared" si="122"/>
        <v>0</v>
      </c>
      <c r="AE179" s="163">
        <f t="shared" si="122"/>
        <v>4.6666666666666661</v>
      </c>
      <c r="AF179" s="644">
        <f t="shared" si="122"/>
        <v>0</v>
      </c>
      <c r="AG179" s="645">
        <f t="shared" si="122"/>
        <v>29.000000000000004</v>
      </c>
      <c r="AH179" s="163">
        <f t="shared" si="122"/>
        <v>23.999999999999996</v>
      </c>
      <c r="AI179" s="163">
        <f t="shared" si="122"/>
        <v>0</v>
      </c>
      <c r="AJ179" s="163">
        <f t="shared" si="122"/>
        <v>1</v>
      </c>
      <c r="AK179" s="643">
        <f t="shared" si="126"/>
        <v>4</v>
      </c>
      <c r="AL179" s="646">
        <f t="shared" si="126"/>
        <v>329</v>
      </c>
      <c r="AM179" s="645">
        <f t="shared" si="125"/>
        <v>192.66666666666671</v>
      </c>
      <c r="AN179" s="163">
        <f t="shared" si="125"/>
        <v>160.99999999999997</v>
      </c>
      <c r="AO179" s="163">
        <f t="shared" si="125"/>
        <v>0</v>
      </c>
      <c r="AP179" s="163">
        <f t="shared" si="125"/>
        <v>31.666666666666647</v>
      </c>
      <c r="AQ179" s="644">
        <f t="shared" si="125"/>
        <v>0</v>
      </c>
      <c r="AR179" s="645">
        <f t="shared" si="125"/>
        <v>136.33333333333337</v>
      </c>
      <c r="AS179" s="163">
        <f t="shared" si="125"/>
        <v>88.666666666666629</v>
      </c>
      <c r="AT179" s="163">
        <f t="shared" si="125"/>
        <v>0</v>
      </c>
      <c r="AU179" s="163">
        <f t="shared" si="125"/>
        <v>34.666666666666686</v>
      </c>
      <c r="AV179" s="643">
        <f t="shared" si="125"/>
        <v>13.000000000000002</v>
      </c>
      <c r="AW179" s="646">
        <f t="shared" si="125"/>
        <v>202.00000000000011</v>
      </c>
      <c r="AX179" s="645">
        <f t="shared" si="125"/>
        <v>106.66666666666664</v>
      </c>
      <c r="AY179" s="163">
        <f t="shared" si="125"/>
        <v>92.999999999999972</v>
      </c>
      <c r="AZ179" s="163">
        <f t="shared" si="125"/>
        <v>0</v>
      </c>
      <c r="BA179" s="163">
        <f t="shared" si="125"/>
        <v>13.666666666666671</v>
      </c>
      <c r="BB179" s="644">
        <f t="shared" si="125"/>
        <v>0</v>
      </c>
      <c r="BC179" s="645">
        <f t="shared" si="125"/>
        <v>95.333333333333357</v>
      </c>
      <c r="BD179" s="163">
        <f t="shared" si="125"/>
        <v>72.666666666666657</v>
      </c>
      <c r="BE179" s="163">
        <f t="shared" si="125"/>
        <v>0</v>
      </c>
      <c r="BF179" s="163">
        <f t="shared" si="125"/>
        <v>15.666666666666673</v>
      </c>
      <c r="BG179" s="643">
        <f t="shared" si="125"/>
        <v>6.9999999999999991</v>
      </c>
      <c r="BH179" s="646">
        <f t="shared" si="129"/>
        <v>250.66666666666669</v>
      </c>
      <c r="BI179" s="645">
        <f t="shared" si="129"/>
        <v>153.33333333333334</v>
      </c>
      <c r="BJ179" s="163">
        <f t="shared" si="129"/>
        <v>134.33333333333331</v>
      </c>
      <c r="BK179" s="163">
        <f t="shared" si="129"/>
        <v>0</v>
      </c>
      <c r="BL179" s="163">
        <f t="shared" si="129"/>
        <v>19</v>
      </c>
      <c r="BM179" s="644">
        <f t="shared" si="129"/>
        <v>0</v>
      </c>
      <c r="BN179" s="645">
        <f t="shared" si="129"/>
        <v>97.333333333333357</v>
      </c>
      <c r="BO179" s="163">
        <f t="shared" si="129"/>
        <v>58.666666666666679</v>
      </c>
      <c r="BP179" s="163">
        <f t="shared" si="129"/>
        <v>0</v>
      </c>
      <c r="BQ179" s="163">
        <f t="shared" si="129"/>
        <v>30.666666666666664</v>
      </c>
      <c r="BR179" s="643">
        <f t="shared" si="129"/>
        <v>7.9999999999999991</v>
      </c>
      <c r="BS179" s="646">
        <f t="shared" si="129"/>
        <v>376.00000000000011</v>
      </c>
      <c r="BT179" s="645">
        <f t="shared" si="129"/>
        <v>212.00000000000006</v>
      </c>
      <c r="BU179" s="163">
        <f t="shared" si="129"/>
        <v>170.33333333333329</v>
      </c>
      <c r="BV179" s="163">
        <f t="shared" si="129"/>
        <v>0</v>
      </c>
      <c r="BW179" s="163">
        <f t="shared" si="129"/>
        <v>41.666666666666679</v>
      </c>
      <c r="BX179" s="644">
        <f t="shared" si="134"/>
        <v>0</v>
      </c>
      <c r="BY179" s="645">
        <f t="shared" si="134"/>
        <v>164</v>
      </c>
      <c r="BZ179" s="163">
        <f t="shared" si="134"/>
        <v>98.6666666666667</v>
      </c>
      <c r="CA179" s="163">
        <f t="shared" si="134"/>
        <v>0</v>
      </c>
      <c r="CB179" s="163">
        <f t="shared" si="134"/>
        <v>48.666666666666643</v>
      </c>
      <c r="CC179" s="643">
        <f t="shared" si="134"/>
        <v>16.666666666666664</v>
      </c>
      <c r="CD179" s="646">
        <f t="shared" si="134"/>
        <v>88.000000000000014</v>
      </c>
      <c r="CE179" s="645">
        <f t="shared" si="134"/>
        <v>52.000000000000028</v>
      </c>
      <c r="CF179" s="163">
        <f t="shared" si="134"/>
        <v>42</v>
      </c>
      <c r="CG179" s="163">
        <f t="shared" si="134"/>
        <v>0</v>
      </c>
      <c r="CH179" s="163">
        <f t="shared" si="134"/>
        <v>10</v>
      </c>
      <c r="CI179" s="644">
        <f t="shared" si="134"/>
        <v>0</v>
      </c>
      <c r="CJ179" s="645">
        <f t="shared" si="134"/>
        <v>35.999999999999993</v>
      </c>
      <c r="CK179" s="163">
        <f t="shared" si="134"/>
        <v>25</v>
      </c>
      <c r="CL179" s="163">
        <f t="shared" si="134"/>
        <v>0</v>
      </c>
      <c r="CM179" s="163">
        <f t="shared" si="134"/>
        <v>7.9999999999999973</v>
      </c>
      <c r="CN179" s="643">
        <f t="shared" si="138"/>
        <v>3</v>
      </c>
      <c r="CO179" s="646">
        <f t="shared" si="138"/>
        <v>65.666666666666629</v>
      </c>
      <c r="CP179" s="645">
        <f t="shared" si="138"/>
        <v>34.666666666666693</v>
      </c>
      <c r="CQ179" s="163">
        <f t="shared" si="138"/>
        <v>33.666666666666686</v>
      </c>
      <c r="CR179" s="163">
        <f t="shared" si="138"/>
        <v>0</v>
      </c>
      <c r="CS179" s="163">
        <f t="shared" si="138"/>
        <v>1</v>
      </c>
      <c r="CT179" s="644">
        <f t="shared" si="138"/>
        <v>0</v>
      </c>
      <c r="CU179" s="645">
        <f t="shared" si="138"/>
        <v>30.999999999999996</v>
      </c>
      <c r="CV179" s="163">
        <f t="shared" si="138"/>
        <v>22.999999999999989</v>
      </c>
      <c r="CW179" s="163">
        <f t="shared" si="138"/>
        <v>0</v>
      </c>
      <c r="CX179" s="163">
        <f t="shared" si="138"/>
        <v>8</v>
      </c>
      <c r="CY179" s="643">
        <f t="shared" si="138"/>
        <v>0</v>
      </c>
      <c r="CZ179" s="646">
        <f t="shared" si="138"/>
        <v>15.000000000000005</v>
      </c>
      <c r="DA179" s="645">
        <f t="shared" si="138"/>
        <v>3</v>
      </c>
      <c r="DB179" s="163">
        <f t="shared" si="138"/>
        <v>0</v>
      </c>
      <c r="DC179" s="163">
        <f t="shared" si="138"/>
        <v>0</v>
      </c>
      <c r="DD179" s="163">
        <f t="shared" si="136"/>
        <v>3</v>
      </c>
      <c r="DE179" s="644">
        <f t="shared" si="136"/>
        <v>0</v>
      </c>
      <c r="DF179" s="645">
        <f t="shared" si="136"/>
        <v>12.000000000000004</v>
      </c>
      <c r="DG179" s="163">
        <f t="shared" si="136"/>
        <v>11.000000000000007</v>
      </c>
      <c r="DH179" s="163">
        <f t="shared" si="136"/>
        <v>0</v>
      </c>
      <c r="DI179" s="163">
        <f t="shared" si="136"/>
        <v>1</v>
      </c>
      <c r="DJ179" s="643">
        <f t="shared" si="136"/>
        <v>0</v>
      </c>
      <c r="DK179" s="646">
        <f t="shared" si="136"/>
        <v>0</v>
      </c>
      <c r="DL179" s="645">
        <f t="shared" si="127"/>
        <v>0</v>
      </c>
      <c r="DM179" s="163">
        <f t="shared" si="124"/>
        <v>0</v>
      </c>
      <c r="DN179" s="163">
        <f t="shared" si="124"/>
        <v>0</v>
      </c>
      <c r="DO179" s="163">
        <f t="shared" si="124"/>
        <v>0</v>
      </c>
      <c r="DP179" s="644">
        <f t="shared" si="124"/>
        <v>0</v>
      </c>
      <c r="DQ179" s="645">
        <f t="shared" si="123"/>
        <v>1</v>
      </c>
      <c r="DR179" s="163">
        <f t="shared" si="123"/>
        <v>1</v>
      </c>
      <c r="DS179" s="163">
        <f t="shared" si="123"/>
        <v>0</v>
      </c>
      <c r="DT179" s="163">
        <f t="shared" si="123"/>
        <v>0</v>
      </c>
      <c r="DU179" s="643">
        <f t="shared" si="123"/>
        <v>0</v>
      </c>
      <c r="DW179" s="646">
        <f t="shared" si="121"/>
        <v>1109.3333333333335</v>
      </c>
      <c r="DX179" s="645">
        <f t="shared" si="121"/>
        <v>608.33333333333348</v>
      </c>
      <c r="DY179" s="163">
        <f t="shared" si="120"/>
        <v>509.66666666666657</v>
      </c>
      <c r="DZ179" s="163">
        <f t="shared" si="120"/>
        <v>0</v>
      </c>
      <c r="EA179" s="163">
        <f t="shared" si="120"/>
        <v>98.666666666666686</v>
      </c>
      <c r="EB179" s="644">
        <f t="shared" si="120"/>
        <v>0</v>
      </c>
      <c r="EC179" s="645">
        <f t="shared" si="120"/>
        <v>502.00000000000006</v>
      </c>
      <c r="ED179" s="163">
        <f t="shared" si="120"/>
        <v>336.66666666666669</v>
      </c>
      <c r="EE179" s="163">
        <f t="shared" si="120"/>
        <v>0</v>
      </c>
      <c r="EF179" s="163">
        <f t="shared" si="120"/>
        <v>123.66666666666666</v>
      </c>
      <c r="EG179" s="643">
        <f t="shared" si="120"/>
        <v>41.666666666666664</v>
      </c>
      <c r="EH179" s="646">
        <f t="shared" si="119"/>
        <v>329</v>
      </c>
      <c r="EI179" s="645">
        <f t="shared" si="117"/>
        <v>192.66666666666671</v>
      </c>
      <c r="EJ179" s="163">
        <f t="shared" si="117"/>
        <v>160.99999999999997</v>
      </c>
      <c r="EK179" s="163">
        <f t="shared" si="117"/>
        <v>0</v>
      </c>
      <c r="EL179" s="163">
        <f t="shared" si="117"/>
        <v>31.666666666666647</v>
      </c>
      <c r="EM179" s="644">
        <f t="shared" si="117"/>
        <v>0</v>
      </c>
      <c r="EN179" s="645">
        <f t="shared" si="117"/>
        <v>136.33333333333337</v>
      </c>
      <c r="EO179" s="163">
        <f t="shared" si="117"/>
        <v>88.666666666666629</v>
      </c>
      <c r="EP179" s="163">
        <f t="shared" si="79"/>
        <v>0</v>
      </c>
      <c r="EQ179" s="163">
        <f t="shared" si="79"/>
        <v>34.666666666666686</v>
      </c>
      <c r="ER179" s="643">
        <f t="shared" si="79"/>
        <v>13.000000000000002</v>
      </c>
    </row>
    <row r="180" spans="1:148">
      <c r="A180" s="665" t="s">
        <v>237</v>
      </c>
      <c r="B180" s="665">
        <v>43983</v>
      </c>
      <c r="C180" s="664">
        <v>2020</v>
      </c>
      <c r="D180" s="646">
        <f t="shared" ref="D180" si="141">D81/3+D179</f>
        <v>2644323</v>
      </c>
      <c r="E180" s="646">
        <f t="shared" si="131"/>
        <v>38056.000000000007</v>
      </c>
      <c r="F180" s="645">
        <f t="shared" si="131"/>
        <v>20862.000000000007</v>
      </c>
      <c r="G180" s="163">
        <f t="shared" si="131"/>
        <v>16969</v>
      </c>
      <c r="H180" s="163">
        <f t="shared" si="131"/>
        <v>0</v>
      </c>
      <c r="I180" s="163">
        <f t="shared" si="131"/>
        <v>3893.0000000000009</v>
      </c>
      <c r="J180" s="644">
        <f t="shared" si="131"/>
        <v>0</v>
      </c>
      <c r="K180" s="645">
        <f t="shared" si="131"/>
        <v>17193.999999999996</v>
      </c>
      <c r="L180" s="163">
        <f t="shared" si="131"/>
        <v>11501</v>
      </c>
      <c r="M180" s="163">
        <f t="shared" si="131"/>
        <v>0</v>
      </c>
      <c r="N180" s="163">
        <f t="shared" si="131"/>
        <v>4142</v>
      </c>
      <c r="O180" s="643">
        <f t="shared" si="131"/>
        <v>1550.9999999999993</v>
      </c>
      <c r="P180" s="646">
        <f t="shared" si="131"/>
        <v>70.000000000000014</v>
      </c>
      <c r="Q180" s="645">
        <f t="shared" si="131"/>
        <v>33</v>
      </c>
      <c r="R180" s="163">
        <f t="shared" si="131"/>
        <v>26.999999999999996</v>
      </c>
      <c r="S180" s="163">
        <f t="shared" si="131"/>
        <v>0</v>
      </c>
      <c r="T180" s="163">
        <f t="shared" si="128"/>
        <v>5.9999999999999991</v>
      </c>
      <c r="U180" s="644">
        <f t="shared" si="122"/>
        <v>0</v>
      </c>
      <c r="V180" s="645">
        <f t="shared" si="122"/>
        <v>37.000000000000007</v>
      </c>
      <c r="W180" s="163">
        <f t="shared" si="122"/>
        <v>23.000000000000007</v>
      </c>
      <c r="X180" s="163">
        <f t="shared" si="122"/>
        <v>0</v>
      </c>
      <c r="Y180" s="163">
        <f t="shared" si="122"/>
        <v>11.000000000000002</v>
      </c>
      <c r="Z180" s="643">
        <f t="shared" si="122"/>
        <v>3</v>
      </c>
      <c r="AA180" s="646">
        <f t="shared" si="122"/>
        <v>44.000000000000014</v>
      </c>
      <c r="AB180" s="645">
        <f t="shared" si="122"/>
        <v>15.000000000000004</v>
      </c>
      <c r="AC180" s="163">
        <f t="shared" si="122"/>
        <v>10.000000000000002</v>
      </c>
      <c r="AD180" s="163">
        <f t="shared" si="122"/>
        <v>0</v>
      </c>
      <c r="AE180" s="163">
        <f t="shared" si="122"/>
        <v>4.9999999999999991</v>
      </c>
      <c r="AF180" s="644">
        <f t="shared" si="122"/>
        <v>0</v>
      </c>
      <c r="AG180" s="645">
        <f t="shared" si="122"/>
        <v>29.000000000000004</v>
      </c>
      <c r="AH180" s="163">
        <f t="shared" si="122"/>
        <v>23.999999999999996</v>
      </c>
      <c r="AI180" s="163">
        <f t="shared" si="122"/>
        <v>0</v>
      </c>
      <c r="AJ180" s="163">
        <f t="shared" si="122"/>
        <v>1</v>
      </c>
      <c r="AK180" s="643">
        <f t="shared" si="126"/>
        <v>4</v>
      </c>
      <c r="AL180" s="646">
        <f t="shared" si="126"/>
        <v>335</v>
      </c>
      <c r="AM180" s="645">
        <f t="shared" si="125"/>
        <v>197.00000000000006</v>
      </c>
      <c r="AN180" s="163">
        <f t="shared" si="125"/>
        <v>164.99999999999997</v>
      </c>
      <c r="AO180" s="163">
        <f t="shared" si="125"/>
        <v>0</v>
      </c>
      <c r="AP180" s="163">
        <f t="shared" ref="AP180:BG194" si="142">AP81/3+AP179</f>
        <v>31.999999999999979</v>
      </c>
      <c r="AQ180" s="644">
        <f t="shared" si="142"/>
        <v>0</v>
      </c>
      <c r="AR180" s="645">
        <f t="shared" si="142"/>
        <v>138.00000000000003</v>
      </c>
      <c r="AS180" s="163">
        <f t="shared" si="142"/>
        <v>89.999999999999957</v>
      </c>
      <c r="AT180" s="163">
        <f t="shared" si="142"/>
        <v>0</v>
      </c>
      <c r="AU180" s="163">
        <f t="shared" si="142"/>
        <v>35.000000000000021</v>
      </c>
      <c r="AV180" s="643">
        <f t="shared" si="142"/>
        <v>13.000000000000002</v>
      </c>
      <c r="AW180" s="646">
        <f t="shared" si="142"/>
        <v>205.00000000000011</v>
      </c>
      <c r="AX180" s="645">
        <f t="shared" si="142"/>
        <v>108.99999999999997</v>
      </c>
      <c r="AY180" s="163">
        <f t="shared" si="142"/>
        <v>94.999999999999972</v>
      </c>
      <c r="AZ180" s="163">
        <f t="shared" si="142"/>
        <v>0</v>
      </c>
      <c r="BA180" s="163">
        <f t="shared" si="142"/>
        <v>14.000000000000005</v>
      </c>
      <c r="BB180" s="644">
        <f t="shared" si="142"/>
        <v>0</v>
      </c>
      <c r="BC180" s="645">
        <f t="shared" si="142"/>
        <v>96.000000000000028</v>
      </c>
      <c r="BD180" s="163">
        <f t="shared" si="142"/>
        <v>72.999999999999986</v>
      </c>
      <c r="BE180" s="163">
        <f t="shared" si="142"/>
        <v>0</v>
      </c>
      <c r="BF180" s="163">
        <f t="shared" si="142"/>
        <v>16.000000000000007</v>
      </c>
      <c r="BG180" s="643">
        <f t="shared" si="142"/>
        <v>6.9999999999999991</v>
      </c>
      <c r="BH180" s="646">
        <f t="shared" si="129"/>
        <v>253.00000000000003</v>
      </c>
      <c r="BI180" s="645">
        <f t="shared" si="129"/>
        <v>155</v>
      </c>
      <c r="BJ180" s="163">
        <f t="shared" si="129"/>
        <v>135.99999999999997</v>
      </c>
      <c r="BK180" s="163">
        <f t="shared" si="129"/>
        <v>0</v>
      </c>
      <c r="BL180" s="163">
        <f t="shared" si="129"/>
        <v>19</v>
      </c>
      <c r="BM180" s="644">
        <f t="shared" si="129"/>
        <v>0</v>
      </c>
      <c r="BN180" s="645">
        <f t="shared" si="129"/>
        <v>98.000000000000028</v>
      </c>
      <c r="BO180" s="163">
        <f t="shared" si="129"/>
        <v>59.000000000000014</v>
      </c>
      <c r="BP180" s="163">
        <f t="shared" si="129"/>
        <v>0</v>
      </c>
      <c r="BQ180" s="163">
        <f t="shared" si="129"/>
        <v>30.999999999999996</v>
      </c>
      <c r="BR180" s="643">
        <f t="shared" si="129"/>
        <v>7.9999999999999991</v>
      </c>
      <c r="BS180" s="646">
        <f t="shared" si="129"/>
        <v>382.00000000000011</v>
      </c>
      <c r="BT180" s="645">
        <f t="shared" si="129"/>
        <v>217.00000000000006</v>
      </c>
      <c r="BU180" s="163">
        <f t="shared" si="129"/>
        <v>174.99999999999994</v>
      </c>
      <c r="BV180" s="163">
        <f t="shared" si="129"/>
        <v>0</v>
      </c>
      <c r="BW180" s="163">
        <f t="shared" si="129"/>
        <v>42.000000000000014</v>
      </c>
      <c r="BX180" s="644">
        <f t="shared" si="134"/>
        <v>0</v>
      </c>
      <c r="BY180" s="645">
        <f t="shared" si="134"/>
        <v>165</v>
      </c>
      <c r="BZ180" s="163">
        <f t="shared" si="134"/>
        <v>99.000000000000028</v>
      </c>
      <c r="CA180" s="163">
        <f t="shared" si="134"/>
        <v>0</v>
      </c>
      <c r="CB180" s="163">
        <f t="shared" si="134"/>
        <v>48.999999999999979</v>
      </c>
      <c r="CC180" s="643">
        <f t="shared" si="134"/>
        <v>16.999999999999996</v>
      </c>
      <c r="CD180" s="646">
        <f t="shared" si="134"/>
        <v>89.000000000000014</v>
      </c>
      <c r="CE180" s="645">
        <f t="shared" si="134"/>
        <v>53.000000000000028</v>
      </c>
      <c r="CF180" s="163">
        <f t="shared" si="134"/>
        <v>43</v>
      </c>
      <c r="CG180" s="163">
        <f t="shared" si="134"/>
        <v>0</v>
      </c>
      <c r="CH180" s="163">
        <f t="shared" si="134"/>
        <v>10</v>
      </c>
      <c r="CI180" s="644">
        <f t="shared" si="134"/>
        <v>0</v>
      </c>
      <c r="CJ180" s="645">
        <f t="shared" si="134"/>
        <v>35.999999999999993</v>
      </c>
      <c r="CK180" s="163">
        <f t="shared" si="134"/>
        <v>25</v>
      </c>
      <c r="CL180" s="163">
        <f t="shared" si="134"/>
        <v>0</v>
      </c>
      <c r="CM180" s="163">
        <f t="shared" si="134"/>
        <v>7.9999999999999973</v>
      </c>
      <c r="CN180" s="643">
        <f t="shared" si="138"/>
        <v>3</v>
      </c>
      <c r="CO180" s="646">
        <f t="shared" si="138"/>
        <v>65.999999999999957</v>
      </c>
      <c r="CP180" s="645">
        <f t="shared" si="138"/>
        <v>35.000000000000028</v>
      </c>
      <c r="CQ180" s="163">
        <f t="shared" si="138"/>
        <v>34.000000000000021</v>
      </c>
      <c r="CR180" s="163">
        <f t="shared" si="138"/>
        <v>0</v>
      </c>
      <c r="CS180" s="163">
        <f t="shared" si="138"/>
        <v>1</v>
      </c>
      <c r="CT180" s="644">
        <f t="shared" si="138"/>
        <v>0</v>
      </c>
      <c r="CU180" s="645">
        <f t="shared" si="138"/>
        <v>30.999999999999996</v>
      </c>
      <c r="CV180" s="163">
        <f t="shared" si="138"/>
        <v>22.999999999999989</v>
      </c>
      <c r="CW180" s="163">
        <f t="shared" si="138"/>
        <v>0</v>
      </c>
      <c r="CX180" s="163">
        <f t="shared" si="138"/>
        <v>8</v>
      </c>
      <c r="CY180" s="643">
        <f t="shared" si="138"/>
        <v>0</v>
      </c>
      <c r="CZ180" s="646">
        <f t="shared" si="138"/>
        <v>15.000000000000005</v>
      </c>
      <c r="DA180" s="645">
        <f t="shared" si="138"/>
        <v>3</v>
      </c>
      <c r="DB180" s="163">
        <f t="shared" si="138"/>
        <v>0</v>
      </c>
      <c r="DC180" s="163">
        <f t="shared" si="138"/>
        <v>0</v>
      </c>
      <c r="DD180" s="163">
        <f t="shared" si="136"/>
        <v>3</v>
      </c>
      <c r="DE180" s="644">
        <f t="shared" si="136"/>
        <v>0</v>
      </c>
      <c r="DF180" s="645">
        <f t="shared" si="136"/>
        <v>12.000000000000004</v>
      </c>
      <c r="DG180" s="163">
        <f t="shared" si="136"/>
        <v>11.000000000000007</v>
      </c>
      <c r="DH180" s="163">
        <f t="shared" si="136"/>
        <v>0</v>
      </c>
      <c r="DI180" s="163">
        <f t="shared" si="136"/>
        <v>1</v>
      </c>
      <c r="DJ180" s="643">
        <f t="shared" si="136"/>
        <v>0</v>
      </c>
      <c r="DK180" s="646">
        <f t="shared" si="136"/>
        <v>0</v>
      </c>
      <c r="DL180" s="645">
        <f t="shared" si="127"/>
        <v>0</v>
      </c>
      <c r="DM180" s="163">
        <f t="shared" si="124"/>
        <v>0</v>
      </c>
      <c r="DN180" s="163">
        <f t="shared" si="124"/>
        <v>0</v>
      </c>
      <c r="DO180" s="163">
        <f t="shared" si="124"/>
        <v>0</v>
      </c>
      <c r="DP180" s="644">
        <f t="shared" si="124"/>
        <v>0</v>
      </c>
      <c r="DQ180" s="645">
        <f t="shared" si="123"/>
        <v>1</v>
      </c>
      <c r="DR180" s="163">
        <f t="shared" si="123"/>
        <v>1</v>
      </c>
      <c r="DS180" s="163">
        <f t="shared" si="123"/>
        <v>0</v>
      </c>
      <c r="DT180" s="163">
        <f t="shared" si="123"/>
        <v>0</v>
      </c>
      <c r="DU180" s="643">
        <f t="shared" si="123"/>
        <v>0</v>
      </c>
      <c r="DW180" s="646">
        <f t="shared" si="121"/>
        <v>1124.0000000000002</v>
      </c>
      <c r="DX180" s="645">
        <f t="shared" si="121"/>
        <v>620</v>
      </c>
      <c r="DY180" s="163">
        <f t="shared" si="120"/>
        <v>519.99999999999989</v>
      </c>
      <c r="DZ180" s="163">
        <f t="shared" si="120"/>
        <v>0</v>
      </c>
      <c r="EA180" s="163">
        <f t="shared" si="120"/>
        <v>100.00000000000001</v>
      </c>
      <c r="EB180" s="644">
        <f t="shared" si="120"/>
        <v>0</v>
      </c>
      <c r="EC180" s="645">
        <f t="shared" si="120"/>
        <v>505.00000000000011</v>
      </c>
      <c r="ED180" s="163">
        <f t="shared" si="120"/>
        <v>338</v>
      </c>
      <c r="EE180" s="163">
        <f t="shared" si="120"/>
        <v>0</v>
      </c>
      <c r="EF180" s="163">
        <f t="shared" si="120"/>
        <v>124.99999999999997</v>
      </c>
      <c r="EG180" s="643">
        <f t="shared" si="120"/>
        <v>42</v>
      </c>
      <c r="EH180" s="646">
        <f t="shared" si="119"/>
        <v>335</v>
      </c>
      <c r="EI180" s="645">
        <f t="shared" si="117"/>
        <v>197.00000000000006</v>
      </c>
      <c r="EJ180" s="163">
        <f t="shared" si="117"/>
        <v>164.99999999999997</v>
      </c>
      <c r="EK180" s="163">
        <f t="shared" si="117"/>
        <v>0</v>
      </c>
      <c r="EL180" s="163">
        <f t="shared" si="117"/>
        <v>31.999999999999979</v>
      </c>
      <c r="EM180" s="644">
        <f t="shared" si="117"/>
        <v>0</v>
      </c>
      <c r="EN180" s="645">
        <f t="shared" si="117"/>
        <v>138.00000000000003</v>
      </c>
      <c r="EO180" s="163">
        <f t="shared" si="117"/>
        <v>89.999999999999957</v>
      </c>
      <c r="EP180" s="163">
        <f t="shared" si="79"/>
        <v>0</v>
      </c>
      <c r="EQ180" s="163">
        <f t="shared" si="79"/>
        <v>35.000000000000021</v>
      </c>
      <c r="ER180" s="643">
        <f t="shared" si="79"/>
        <v>13.000000000000002</v>
      </c>
    </row>
    <row r="181" spans="1:148">
      <c r="A181" s="665" t="s">
        <v>238</v>
      </c>
      <c r="B181" s="665">
        <v>44013</v>
      </c>
      <c r="C181" s="664">
        <v>2020</v>
      </c>
      <c r="D181" s="646">
        <f t="shared" ref="D181" si="143">D82/3+D180</f>
        <v>2710458.3333333335</v>
      </c>
      <c r="E181" s="646">
        <f t="shared" si="131"/>
        <v>39245.333333333343</v>
      </c>
      <c r="F181" s="645">
        <f t="shared" si="131"/>
        <v>21797.666666666675</v>
      </c>
      <c r="G181" s="163">
        <f t="shared" si="131"/>
        <v>17462</v>
      </c>
      <c r="H181" s="163">
        <f t="shared" si="131"/>
        <v>0</v>
      </c>
      <c r="I181" s="163">
        <f t="shared" si="131"/>
        <v>4335.6666666666679</v>
      </c>
      <c r="J181" s="644">
        <f t="shared" si="131"/>
        <v>0</v>
      </c>
      <c r="K181" s="645">
        <f t="shared" si="131"/>
        <v>17447.666666666664</v>
      </c>
      <c r="L181" s="163">
        <f t="shared" si="131"/>
        <v>11609</v>
      </c>
      <c r="M181" s="163">
        <f t="shared" si="131"/>
        <v>0</v>
      </c>
      <c r="N181" s="163">
        <f t="shared" si="131"/>
        <v>4277</v>
      </c>
      <c r="O181" s="643">
        <f t="shared" si="131"/>
        <v>1561.6666666666661</v>
      </c>
      <c r="P181" s="646">
        <f t="shared" si="131"/>
        <v>72.333333333333343</v>
      </c>
      <c r="Q181" s="645">
        <f t="shared" si="131"/>
        <v>35</v>
      </c>
      <c r="R181" s="163">
        <f t="shared" si="131"/>
        <v>28.333333333333329</v>
      </c>
      <c r="S181" s="163">
        <f t="shared" si="131"/>
        <v>0</v>
      </c>
      <c r="T181" s="163">
        <f t="shared" si="128"/>
        <v>6.6666666666666661</v>
      </c>
      <c r="U181" s="644">
        <f t="shared" si="122"/>
        <v>0</v>
      </c>
      <c r="V181" s="645">
        <f t="shared" si="122"/>
        <v>37.333333333333343</v>
      </c>
      <c r="W181" s="163">
        <f t="shared" si="122"/>
        <v>23.333333333333339</v>
      </c>
      <c r="X181" s="163">
        <f t="shared" si="122"/>
        <v>0</v>
      </c>
      <c r="Y181" s="163">
        <f t="shared" si="122"/>
        <v>11.000000000000002</v>
      </c>
      <c r="Z181" s="643">
        <f t="shared" si="122"/>
        <v>3</v>
      </c>
      <c r="AA181" s="646">
        <f t="shared" si="122"/>
        <v>46.33333333333335</v>
      </c>
      <c r="AB181" s="645">
        <f t="shared" si="122"/>
        <v>16.666666666666671</v>
      </c>
      <c r="AC181" s="163">
        <f t="shared" si="122"/>
        <v>11.000000000000002</v>
      </c>
      <c r="AD181" s="163">
        <f t="shared" si="122"/>
        <v>0</v>
      </c>
      <c r="AE181" s="163">
        <f t="shared" si="122"/>
        <v>5.6666666666666661</v>
      </c>
      <c r="AF181" s="644">
        <f t="shared" si="122"/>
        <v>0</v>
      </c>
      <c r="AG181" s="645">
        <f t="shared" si="122"/>
        <v>29.666666666666671</v>
      </c>
      <c r="AH181" s="163">
        <f t="shared" si="122"/>
        <v>24.666666666666664</v>
      </c>
      <c r="AI181" s="163">
        <f t="shared" si="122"/>
        <v>0</v>
      </c>
      <c r="AJ181" s="163">
        <f t="shared" ref="AJ181:AR196" si="144">AJ82/3+AJ180</f>
        <v>1</v>
      </c>
      <c r="AK181" s="643">
        <f t="shared" si="126"/>
        <v>4</v>
      </c>
      <c r="AL181" s="646">
        <f t="shared" si="126"/>
        <v>344.66666666666669</v>
      </c>
      <c r="AM181" s="645">
        <f t="shared" si="126"/>
        <v>205.3333333333334</v>
      </c>
      <c r="AN181" s="163">
        <f t="shared" si="126"/>
        <v>169.33333333333331</v>
      </c>
      <c r="AO181" s="163">
        <f t="shared" si="126"/>
        <v>0</v>
      </c>
      <c r="AP181" s="163">
        <f t="shared" si="142"/>
        <v>35.999999999999979</v>
      </c>
      <c r="AQ181" s="644">
        <f t="shared" si="142"/>
        <v>0</v>
      </c>
      <c r="AR181" s="645">
        <f t="shared" si="142"/>
        <v>139.33333333333337</v>
      </c>
      <c r="AS181" s="163">
        <f t="shared" si="142"/>
        <v>89.999999999999957</v>
      </c>
      <c r="AT181" s="163">
        <f t="shared" si="142"/>
        <v>0</v>
      </c>
      <c r="AU181" s="163">
        <f t="shared" si="142"/>
        <v>36.000000000000021</v>
      </c>
      <c r="AV181" s="643">
        <f t="shared" si="142"/>
        <v>13.333333333333336</v>
      </c>
      <c r="AW181" s="646">
        <f t="shared" si="142"/>
        <v>209.66666666666677</v>
      </c>
      <c r="AX181" s="645">
        <f t="shared" si="142"/>
        <v>112.66666666666664</v>
      </c>
      <c r="AY181" s="163">
        <f t="shared" si="142"/>
        <v>95.999999999999972</v>
      </c>
      <c r="AZ181" s="163">
        <f t="shared" si="142"/>
        <v>0</v>
      </c>
      <c r="BA181" s="163">
        <f t="shared" si="142"/>
        <v>16.666666666666671</v>
      </c>
      <c r="BB181" s="644">
        <f t="shared" si="142"/>
        <v>0</v>
      </c>
      <c r="BC181" s="645">
        <f t="shared" si="142"/>
        <v>97.000000000000028</v>
      </c>
      <c r="BD181" s="163">
        <f t="shared" si="142"/>
        <v>73.333333333333314</v>
      </c>
      <c r="BE181" s="163">
        <f t="shared" si="142"/>
        <v>0</v>
      </c>
      <c r="BF181" s="163">
        <f t="shared" si="142"/>
        <v>16.666666666666675</v>
      </c>
      <c r="BG181" s="643">
        <f t="shared" si="142"/>
        <v>6.9999999999999991</v>
      </c>
      <c r="BH181" s="646">
        <f t="shared" si="129"/>
        <v>259</v>
      </c>
      <c r="BI181" s="645">
        <f t="shared" si="129"/>
        <v>160.33333333333334</v>
      </c>
      <c r="BJ181" s="163">
        <f t="shared" si="129"/>
        <v>139.33333333333331</v>
      </c>
      <c r="BK181" s="163">
        <f t="shared" si="129"/>
        <v>0</v>
      </c>
      <c r="BL181" s="163">
        <f t="shared" si="129"/>
        <v>21</v>
      </c>
      <c r="BM181" s="644">
        <f t="shared" si="129"/>
        <v>0</v>
      </c>
      <c r="BN181" s="645">
        <f t="shared" si="129"/>
        <v>98.6666666666667</v>
      </c>
      <c r="BO181" s="163">
        <f t="shared" si="129"/>
        <v>59.33333333333335</v>
      </c>
      <c r="BP181" s="163">
        <f t="shared" si="129"/>
        <v>0</v>
      </c>
      <c r="BQ181" s="163">
        <f t="shared" si="129"/>
        <v>31.333333333333329</v>
      </c>
      <c r="BR181" s="643">
        <f t="shared" si="129"/>
        <v>7.9999999999999991</v>
      </c>
      <c r="BS181" s="646">
        <f t="shared" si="129"/>
        <v>392.6666666666668</v>
      </c>
      <c r="BT181" s="645">
        <f t="shared" si="129"/>
        <v>227.3333333333334</v>
      </c>
      <c r="BU181" s="163">
        <f t="shared" si="129"/>
        <v>180.99999999999994</v>
      </c>
      <c r="BV181" s="163">
        <f t="shared" si="129"/>
        <v>0</v>
      </c>
      <c r="BW181" s="163">
        <f t="shared" si="129"/>
        <v>46.33333333333335</v>
      </c>
      <c r="BX181" s="644">
        <f t="shared" si="134"/>
        <v>0</v>
      </c>
      <c r="BY181" s="645">
        <f t="shared" si="134"/>
        <v>165.33333333333334</v>
      </c>
      <c r="BZ181" s="163">
        <f t="shared" si="134"/>
        <v>99.333333333333357</v>
      </c>
      <c r="CA181" s="163">
        <f t="shared" si="134"/>
        <v>0</v>
      </c>
      <c r="CB181" s="163">
        <f t="shared" si="134"/>
        <v>48.999999999999979</v>
      </c>
      <c r="CC181" s="643">
        <f t="shared" si="134"/>
        <v>16.999999999999996</v>
      </c>
      <c r="CD181" s="646">
        <f t="shared" si="134"/>
        <v>91.000000000000014</v>
      </c>
      <c r="CE181" s="645">
        <f t="shared" si="134"/>
        <v>55.000000000000028</v>
      </c>
      <c r="CF181" s="163">
        <f t="shared" si="134"/>
        <v>44</v>
      </c>
      <c r="CG181" s="163">
        <f t="shared" si="134"/>
        <v>0</v>
      </c>
      <c r="CH181" s="163">
        <f t="shared" si="134"/>
        <v>11</v>
      </c>
      <c r="CI181" s="644">
        <f t="shared" si="134"/>
        <v>0</v>
      </c>
      <c r="CJ181" s="645">
        <f t="shared" si="134"/>
        <v>35.999999999999993</v>
      </c>
      <c r="CK181" s="163">
        <f t="shared" si="134"/>
        <v>25</v>
      </c>
      <c r="CL181" s="163">
        <f t="shared" si="134"/>
        <v>0</v>
      </c>
      <c r="CM181" s="163">
        <f t="shared" si="134"/>
        <v>7.9999999999999973</v>
      </c>
      <c r="CN181" s="643">
        <f t="shared" si="138"/>
        <v>3</v>
      </c>
      <c r="CO181" s="646">
        <f t="shared" si="138"/>
        <v>67.666666666666629</v>
      </c>
      <c r="CP181" s="645">
        <f t="shared" si="138"/>
        <v>36.666666666666693</v>
      </c>
      <c r="CQ181" s="163">
        <f t="shared" si="138"/>
        <v>34.666666666666686</v>
      </c>
      <c r="CR181" s="163">
        <f t="shared" si="138"/>
        <v>0</v>
      </c>
      <c r="CS181" s="163">
        <f t="shared" si="138"/>
        <v>2</v>
      </c>
      <c r="CT181" s="644">
        <f t="shared" si="138"/>
        <v>0</v>
      </c>
      <c r="CU181" s="645">
        <f t="shared" si="138"/>
        <v>30.999999999999996</v>
      </c>
      <c r="CV181" s="163">
        <f t="shared" si="138"/>
        <v>22.999999999999989</v>
      </c>
      <c r="CW181" s="163">
        <f t="shared" si="138"/>
        <v>0</v>
      </c>
      <c r="CX181" s="163">
        <f t="shared" si="138"/>
        <v>8</v>
      </c>
      <c r="CY181" s="643">
        <f t="shared" si="138"/>
        <v>0</v>
      </c>
      <c r="CZ181" s="646">
        <f t="shared" si="138"/>
        <v>16.333333333333339</v>
      </c>
      <c r="DA181" s="645">
        <f t="shared" si="138"/>
        <v>4</v>
      </c>
      <c r="DB181" s="163">
        <f t="shared" si="138"/>
        <v>1</v>
      </c>
      <c r="DC181" s="163">
        <f t="shared" si="138"/>
        <v>0</v>
      </c>
      <c r="DD181" s="163">
        <f t="shared" si="136"/>
        <v>3</v>
      </c>
      <c r="DE181" s="644">
        <f t="shared" si="136"/>
        <v>0</v>
      </c>
      <c r="DF181" s="645">
        <f t="shared" si="136"/>
        <v>12.333333333333337</v>
      </c>
      <c r="DG181" s="163">
        <f t="shared" si="136"/>
        <v>11.333333333333341</v>
      </c>
      <c r="DH181" s="163">
        <f t="shared" si="136"/>
        <v>0</v>
      </c>
      <c r="DI181" s="163">
        <f t="shared" si="136"/>
        <v>1</v>
      </c>
      <c r="DJ181" s="643">
        <f t="shared" si="136"/>
        <v>0</v>
      </c>
      <c r="DK181" s="646">
        <f t="shared" si="136"/>
        <v>0</v>
      </c>
      <c r="DL181" s="645">
        <f t="shared" si="127"/>
        <v>0</v>
      </c>
      <c r="DM181" s="163">
        <f t="shared" si="124"/>
        <v>0</v>
      </c>
      <c r="DN181" s="163">
        <f t="shared" si="124"/>
        <v>0</v>
      </c>
      <c r="DO181" s="163">
        <f t="shared" si="124"/>
        <v>0</v>
      </c>
      <c r="DP181" s="644">
        <f t="shared" si="124"/>
        <v>0</v>
      </c>
      <c r="DQ181" s="645">
        <f t="shared" si="123"/>
        <v>1</v>
      </c>
      <c r="DR181" s="163">
        <f t="shared" si="123"/>
        <v>1</v>
      </c>
      <c r="DS181" s="163">
        <f t="shared" si="123"/>
        <v>0</v>
      </c>
      <c r="DT181" s="163">
        <f t="shared" si="123"/>
        <v>0</v>
      </c>
      <c r="DU181" s="643">
        <f t="shared" si="123"/>
        <v>0</v>
      </c>
      <c r="DW181" s="646">
        <f t="shared" si="121"/>
        <v>1155.0000000000002</v>
      </c>
      <c r="DX181" s="645">
        <f t="shared" si="121"/>
        <v>647.66666666666674</v>
      </c>
      <c r="DY181" s="163">
        <f t="shared" si="120"/>
        <v>535.33333333333326</v>
      </c>
      <c r="DZ181" s="163">
        <f t="shared" si="120"/>
        <v>0</v>
      </c>
      <c r="EA181" s="163">
        <f t="shared" si="120"/>
        <v>112.33333333333334</v>
      </c>
      <c r="EB181" s="644">
        <f t="shared" si="120"/>
        <v>0</v>
      </c>
      <c r="EC181" s="645">
        <f t="shared" si="120"/>
        <v>508.33333333333343</v>
      </c>
      <c r="ED181" s="163">
        <f t="shared" si="120"/>
        <v>340.33333333333331</v>
      </c>
      <c r="EE181" s="163">
        <f t="shared" si="120"/>
        <v>0</v>
      </c>
      <c r="EF181" s="163">
        <f t="shared" si="120"/>
        <v>125.99999999999999</v>
      </c>
      <c r="EG181" s="643">
        <f t="shared" si="120"/>
        <v>42</v>
      </c>
      <c r="EH181" s="646">
        <f t="shared" si="119"/>
        <v>344.66666666666669</v>
      </c>
      <c r="EI181" s="645">
        <f t="shared" si="117"/>
        <v>205.3333333333334</v>
      </c>
      <c r="EJ181" s="163">
        <f t="shared" si="117"/>
        <v>169.33333333333331</v>
      </c>
      <c r="EK181" s="163">
        <f t="shared" si="117"/>
        <v>0</v>
      </c>
      <c r="EL181" s="163">
        <f t="shared" si="117"/>
        <v>35.999999999999979</v>
      </c>
      <c r="EM181" s="644">
        <f t="shared" si="117"/>
        <v>0</v>
      </c>
      <c r="EN181" s="645">
        <f t="shared" si="117"/>
        <v>139.33333333333337</v>
      </c>
      <c r="EO181" s="163">
        <f t="shared" si="117"/>
        <v>89.999999999999957</v>
      </c>
      <c r="EP181" s="163">
        <f t="shared" si="79"/>
        <v>0</v>
      </c>
      <c r="EQ181" s="163">
        <f t="shared" si="79"/>
        <v>36.000000000000021</v>
      </c>
      <c r="ER181" s="643">
        <f t="shared" si="79"/>
        <v>13.333333333333336</v>
      </c>
    </row>
    <row r="182" spans="1:148">
      <c r="A182" s="665" t="s">
        <v>238</v>
      </c>
      <c r="B182" s="665">
        <v>44044</v>
      </c>
      <c r="C182" s="664">
        <v>2020</v>
      </c>
      <c r="D182" s="646">
        <f t="shared" ref="D182" si="145">D83/3+D181</f>
        <v>2776593.666666667</v>
      </c>
      <c r="E182" s="646">
        <f t="shared" si="131"/>
        <v>40434.666666666679</v>
      </c>
      <c r="F182" s="645">
        <f t="shared" si="131"/>
        <v>22733.333333333343</v>
      </c>
      <c r="G182" s="163">
        <f t="shared" si="131"/>
        <v>17955</v>
      </c>
      <c r="H182" s="163">
        <f t="shared" si="131"/>
        <v>0</v>
      </c>
      <c r="I182" s="163">
        <f t="shared" si="131"/>
        <v>4778.3333333333348</v>
      </c>
      <c r="J182" s="644">
        <f t="shared" si="131"/>
        <v>0</v>
      </c>
      <c r="K182" s="645">
        <f t="shared" si="131"/>
        <v>17701.333333333332</v>
      </c>
      <c r="L182" s="163">
        <f t="shared" si="131"/>
        <v>11717</v>
      </c>
      <c r="M182" s="163">
        <f t="shared" si="131"/>
        <v>0</v>
      </c>
      <c r="N182" s="163">
        <f t="shared" si="131"/>
        <v>4412</v>
      </c>
      <c r="O182" s="643">
        <f t="shared" si="131"/>
        <v>1572.3333333333328</v>
      </c>
      <c r="P182" s="646">
        <f t="shared" si="131"/>
        <v>74.666666666666671</v>
      </c>
      <c r="Q182" s="645">
        <f t="shared" si="131"/>
        <v>37</v>
      </c>
      <c r="R182" s="163">
        <f t="shared" si="131"/>
        <v>29.666666666666661</v>
      </c>
      <c r="S182" s="163">
        <f t="shared" si="131"/>
        <v>0</v>
      </c>
      <c r="T182" s="163">
        <f t="shared" si="128"/>
        <v>7.333333333333333</v>
      </c>
      <c r="U182" s="644">
        <f t="shared" si="128"/>
        <v>0</v>
      </c>
      <c r="V182" s="645">
        <f t="shared" si="128"/>
        <v>37.666666666666679</v>
      </c>
      <c r="W182" s="163">
        <f t="shared" si="128"/>
        <v>23.666666666666671</v>
      </c>
      <c r="X182" s="163">
        <f t="shared" si="128"/>
        <v>0</v>
      </c>
      <c r="Y182" s="163">
        <f t="shared" si="128"/>
        <v>11.000000000000002</v>
      </c>
      <c r="Z182" s="643">
        <f t="shared" si="128"/>
        <v>3</v>
      </c>
      <c r="AA182" s="646">
        <f t="shared" si="128"/>
        <v>48.666666666666686</v>
      </c>
      <c r="AB182" s="645">
        <f t="shared" si="128"/>
        <v>18.333333333333339</v>
      </c>
      <c r="AC182" s="163">
        <f t="shared" si="128"/>
        <v>12.000000000000002</v>
      </c>
      <c r="AD182" s="163">
        <f t="shared" si="128"/>
        <v>0</v>
      </c>
      <c r="AE182" s="163">
        <f t="shared" si="128"/>
        <v>6.333333333333333</v>
      </c>
      <c r="AF182" s="644">
        <f t="shared" si="128"/>
        <v>0</v>
      </c>
      <c r="AG182" s="645">
        <f t="shared" si="128"/>
        <v>30.333333333333339</v>
      </c>
      <c r="AH182" s="163">
        <f t="shared" si="128"/>
        <v>25.333333333333332</v>
      </c>
      <c r="AI182" s="163">
        <f t="shared" si="128"/>
        <v>0</v>
      </c>
      <c r="AJ182" s="163">
        <f t="shared" si="144"/>
        <v>1</v>
      </c>
      <c r="AK182" s="643">
        <f t="shared" si="126"/>
        <v>4</v>
      </c>
      <c r="AL182" s="646">
        <f t="shared" si="126"/>
        <v>354.33333333333337</v>
      </c>
      <c r="AM182" s="645">
        <f t="shared" si="126"/>
        <v>213.66666666666674</v>
      </c>
      <c r="AN182" s="163">
        <f t="shared" si="126"/>
        <v>173.66666666666666</v>
      </c>
      <c r="AO182" s="163">
        <f t="shared" si="126"/>
        <v>0</v>
      </c>
      <c r="AP182" s="163">
        <f t="shared" si="142"/>
        <v>39.999999999999979</v>
      </c>
      <c r="AQ182" s="644">
        <f t="shared" si="142"/>
        <v>0</v>
      </c>
      <c r="AR182" s="645">
        <f t="shared" si="142"/>
        <v>140.66666666666671</v>
      </c>
      <c r="AS182" s="163">
        <f t="shared" si="142"/>
        <v>89.999999999999957</v>
      </c>
      <c r="AT182" s="163">
        <f t="shared" si="142"/>
        <v>0</v>
      </c>
      <c r="AU182" s="163">
        <f t="shared" si="142"/>
        <v>37.000000000000021</v>
      </c>
      <c r="AV182" s="643">
        <f t="shared" si="142"/>
        <v>13.66666666666667</v>
      </c>
      <c r="AW182" s="646">
        <f t="shared" si="142"/>
        <v>214.33333333333343</v>
      </c>
      <c r="AX182" s="645">
        <f t="shared" si="142"/>
        <v>116.33333333333331</v>
      </c>
      <c r="AY182" s="163">
        <f t="shared" si="142"/>
        <v>96.999999999999972</v>
      </c>
      <c r="AZ182" s="163">
        <f t="shared" si="142"/>
        <v>0</v>
      </c>
      <c r="BA182" s="163">
        <f t="shared" si="142"/>
        <v>19.333333333333339</v>
      </c>
      <c r="BB182" s="644">
        <f t="shared" si="142"/>
        <v>0</v>
      </c>
      <c r="BC182" s="645">
        <f t="shared" si="142"/>
        <v>98.000000000000028</v>
      </c>
      <c r="BD182" s="163">
        <f t="shared" si="142"/>
        <v>73.666666666666643</v>
      </c>
      <c r="BE182" s="163">
        <f t="shared" si="142"/>
        <v>0</v>
      </c>
      <c r="BF182" s="163">
        <f t="shared" si="142"/>
        <v>17.333333333333343</v>
      </c>
      <c r="BG182" s="643">
        <f t="shared" si="142"/>
        <v>6.9999999999999991</v>
      </c>
      <c r="BH182" s="646">
        <f t="shared" si="129"/>
        <v>265</v>
      </c>
      <c r="BI182" s="645">
        <f t="shared" si="129"/>
        <v>165.66666666666669</v>
      </c>
      <c r="BJ182" s="163">
        <f t="shared" si="129"/>
        <v>142.66666666666666</v>
      </c>
      <c r="BK182" s="163">
        <f t="shared" si="129"/>
        <v>0</v>
      </c>
      <c r="BL182" s="163">
        <f t="shared" si="129"/>
        <v>23</v>
      </c>
      <c r="BM182" s="644">
        <f t="shared" si="129"/>
        <v>0</v>
      </c>
      <c r="BN182" s="645">
        <f t="shared" si="129"/>
        <v>99.333333333333371</v>
      </c>
      <c r="BO182" s="163">
        <f t="shared" si="129"/>
        <v>59.666666666666686</v>
      </c>
      <c r="BP182" s="163">
        <f t="shared" si="129"/>
        <v>0</v>
      </c>
      <c r="BQ182" s="163">
        <f t="shared" si="129"/>
        <v>31.666666666666661</v>
      </c>
      <c r="BR182" s="643">
        <f t="shared" si="129"/>
        <v>7.9999999999999991</v>
      </c>
      <c r="BS182" s="646">
        <f t="shared" si="129"/>
        <v>403.33333333333348</v>
      </c>
      <c r="BT182" s="645">
        <f t="shared" si="129"/>
        <v>237.66666666666674</v>
      </c>
      <c r="BU182" s="163">
        <f t="shared" si="129"/>
        <v>186.99999999999994</v>
      </c>
      <c r="BV182" s="163">
        <f t="shared" si="129"/>
        <v>0</v>
      </c>
      <c r="BW182" s="163">
        <f t="shared" si="129"/>
        <v>50.666666666666686</v>
      </c>
      <c r="BX182" s="644">
        <f t="shared" si="134"/>
        <v>0</v>
      </c>
      <c r="BY182" s="645">
        <f t="shared" si="134"/>
        <v>165.66666666666669</v>
      </c>
      <c r="BZ182" s="163">
        <f t="shared" si="134"/>
        <v>99.666666666666686</v>
      </c>
      <c r="CA182" s="163">
        <f t="shared" si="134"/>
        <v>0</v>
      </c>
      <c r="CB182" s="163">
        <f t="shared" si="134"/>
        <v>48.999999999999979</v>
      </c>
      <c r="CC182" s="643">
        <f t="shared" si="134"/>
        <v>16.999999999999996</v>
      </c>
      <c r="CD182" s="646">
        <f t="shared" si="134"/>
        <v>93.000000000000014</v>
      </c>
      <c r="CE182" s="645">
        <f t="shared" si="134"/>
        <v>57.000000000000028</v>
      </c>
      <c r="CF182" s="163">
        <f t="shared" si="134"/>
        <v>45</v>
      </c>
      <c r="CG182" s="163">
        <f t="shared" si="134"/>
        <v>0</v>
      </c>
      <c r="CH182" s="163">
        <f t="shared" si="134"/>
        <v>12</v>
      </c>
      <c r="CI182" s="644">
        <f t="shared" si="134"/>
        <v>0</v>
      </c>
      <c r="CJ182" s="645">
        <f t="shared" si="134"/>
        <v>35.999999999999993</v>
      </c>
      <c r="CK182" s="163">
        <f t="shared" si="134"/>
        <v>25</v>
      </c>
      <c r="CL182" s="163">
        <f t="shared" si="134"/>
        <v>0</v>
      </c>
      <c r="CM182" s="163">
        <f t="shared" si="134"/>
        <v>7.9999999999999973</v>
      </c>
      <c r="CN182" s="643">
        <f t="shared" si="138"/>
        <v>3</v>
      </c>
      <c r="CO182" s="646">
        <f t="shared" si="138"/>
        <v>69.3333333333333</v>
      </c>
      <c r="CP182" s="645">
        <f t="shared" si="138"/>
        <v>38.333333333333357</v>
      </c>
      <c r="CQ182" s="163">
        <f t="shared" si="138"/>
        <v>35.33333333333335</v>
      </c>
      <c r="CR182" s="163">
        <f t="shared" si="138"/>
        <v>0</v>
      </c>
      <c r="CS182" s="163">
        <f t="shared" si="138"/>
        <v>3</v>
      </c>
      <c r="CT182" s="644">
        <f t="shared" si="138"/>
        <v>0</v>
      </c>
      <c r="CU182" s="645">
        <f t="shared" si="138"/>
        <v>30.999999999999996</v>
      </c>
      <c r="CV182" s="163">
        <f t="shared" si="138"/>
        <v>22.999999999999989</v>
      </c>
      <c r="CW182" s="163">
        <f t="shared" si="138"/>
        <v>0</v>
      </c>
      <c r="CX182" s="163">
        <f t="shared" si="138"/>
        <v>8</v>
      </c>
      <c r="CY182" s="643">
        <f t="shared" si="138"/>
        <v>0</v>
      </c>
      <c r="CZ182" s="646">
        <f t="shared" si="138"/>
        <v>17.666666666666671</v>
      </c>
      <c r="DA182" s="645">
        <f t="shared" si="138"/>
        <v>5</v>
      </c>
      <c r="DB182" s="163">
        <f t="shared" si="138"/>
        <v>2</v>
      </c>
      <c r="DC182" s="163">
        <f t="shared" si="138"/>
        <v>0</v>
      </c>
      <c r="DD182" s="163">
        <f t="shared" si="136"/>
        <v>3</v>
      </c>
      <c r="DE182" s="644">
        <f t="shared" si="136"/>
        <v>0</v>
      </c>
      <c r="DF182" s="645">
        <f t="shared" si="136"/>
        <v>12.666666666666671</v>
      </c>
      <c r="DG182" s="163">
        <f t="shared" si="136"/>
        <v>11.666666666666675</v>
      </c>
      <c r="DH182" s="163">
        <f t="shared" si="136"/>
        <v>0</v>
      </c>
      <c r="DI182" s="163">
        <f t="shared" si="136"/>
        <v>1</v>
      </c>
      <c r="DJ182" s="643">
        <f t="shared" si="136"/>
        <v>0</v>
      </c>
      <c r="DK182" s="646">
        <f t="shared" si="136"/>
        <v>0</v>
      </c>
      <c r="DL182" s="645">
        <f t="shared" si="127"/>
        <v>0</v>
      </c>
      <c r="DM182" s="163">
        <f t="shared" si="124"/>
        <v>0</v>
      </c>
      <c r="DN182" s="163">
        <f t="shared" si="124"/>
        <v>0</v>
      </c>
      <c r="DO182" s="163">
        <f t="shared" si="124"/>
        <v>0</v>
      </c>
      <c r="DP182" s="644">
        <f t="shared" si="124"/>
        <v>0</v>
      </c>
      <c r="DQ182" s="645">
        <f t="shared" si="124"/>
        <v>1</v>
      </c>
      <c r="DR182" s="163">
        <f t="shared" si="124"/>
        <v>1</v>
      </c>
      <c r="DS182" s="163">
        <f t="shared" si="124"/>
        <v>0</v>
      </c>
      <c r="DT182" s="163">
        <f t="shared" si="124"/>
        <v>0</v>
      </c>
      <c r="DU182" s="643">
        <f t="shared" si="124"/>
        <v>0</v>
      </c>
      <c r="DW182" s="646">
        <f t="shared" si="121"/>
        <v>1186.0000000000002</v>
      </c>
      <c r="DX182" s="645">
        <f t="shared" si="121"/>
        <v>675.33333333333348</v>
      </c>
      <c r="DY182" s="163">
        <f t="shared" si="120"/>
        <v>550.66666666666663</v>
      </c>
      <c r="DZ182" s="163">
        <f t="shared" si="120"/>
        <v>0</v>
      </c>
      <c r="EA182" s="163">
        <f t="shared" si="120"/>
        <v>124.66666666666669</v>
      </c>
      <c r="EB182" s="644">
        <f t="shared" si="120"/>
        <v>0</v>
      </c>
      <c r="EC182" s="645">
        <f t="shared" si="120"/>
        <v>511.6666666666668</v>
      </c>
      <c r="ED182" s="163">
        <f t="shared" si="120"/>
        <v>342.66666666666669</v>
      </c>
      <c r="EE182" s="163">
        <f t="shared" si="120"/>
        <v>0</v>
      </c>
      <c r="EF182" s="163">
        <f t="shared" si="120"/>
        <v>126.99999999999997</v>
      </c>
      <c r="EG182" s="643">
        <f t="shared" si="120"/>
        <v>42</v>
      </c>
      <c r="EH182" s="646">
        <f t="shared" si="119"/>
        <v>354.33333333333337</v>
      </c>
      <c r="EI182" s="645">
        <f t="shared" si="117"/>
        <v>213.66666666666674</v>
      </c>
      <c r="EJ182" s="163">
        <f t="shared" si="117"/>
        <v>173.66666666666666</v>
      </c>
      <c r="EK182" s="163">
        <f t="shared" si="117"/>
        <v>0</v>
      </c>
      <c r="EL182" s="163">
        <f t="shared" si="117"/>
        <v>39.999999999999979</v>
      </c>
      <c r="EM182" s="644">
        <f t="shared" si="117"/>
        <v>0</v>
      </c>
      <c r="EN182" s="645">
        <f t="shared" si="117"/>
        <v>140.66666666666671</v>
      </c>
      <c r="EO182" s="163">
        <f t="shared" si="117"/>
        <v>89.999999999999957</v>
      </c>
      <c r="EP182" s="163">
        <f t="shared" si="79"/>
        <v>0</v>
      </c>
      <c r="EQ182" s="163">
        <f t="shared" si="79"/>
        <v>37.000000000000021</v>
      </c>
      <c r="ER182" s="643">
        <f t="shared" si="79"/>
        <v>13.66666666666667</v>
      </c>
    </row>
    <row r="183" spans="1:148">
      <c r="A183" s="665" t="s">
        <v>238</v>
      </c>
      <c r="B183" s="665">
        <v>44075</v>
      </c>
      <c r="C183" s="664">
        <v>2020</v>
      </c>
      <c r="D183" s="646">
        <f t="shared" ref="D183" si="146">D84/3+D182</f>
        <v>2842729.0000000005</v>
      </c>
      <c r="E183" s="646">
        <f t="shared" si="131"/>
        <v>41624.000000000015</v>
      </c>
      <c r="F183" s="645">
        <f t="shared" si="131"/>
        <v>23669.000000000011</v>
      </c>
      <c r="G183" s="163">
        <f t="shared" si="131"/>
        <v>18448</v>
      </c>
      <c r="H183" s="163">
        <f t="shared" si="131"/>
        <v>0</v>
      </c>
      <c r="I183" s="163">
        <f t="shared" si="131"/>
        <v>5221.0000000000018</v>
      </c>
      <c r="J183" s="644">
        <f t="shared" si="131"/>
        <v>0</v>
      </c>
      <c r="K183" s="645">
        <f t="shared" si="131"/>
        <v>17955</v>
      </c>
      <c r="L183" s="163">
        <f t="shared" si="131"/>
        <v>11825</v>
      </c>
      <c r="M183" s="163">
        <f t="shared" si="131"/>
        <v>0</v>
      </c>
      <c r="N183" s="163">
        <f t="shared" si="131"/>
        <v>4547</v>
      </c>
      <c r="O183" s="643">
        <f t="shared" si="131"/>
        <v>1582.9999999999995</v>
      </c>
      <c r="P183" s="646">
        <f t="shared" si="131"/>
        <v>77</v>
      </c>
      <c r="Q183" s="645">
        <f t="shared" si="131"/>
        <v>39</v>
      </c>
      <c r="R183" s="163">
        <f t="shared" si="131"/>
        <v>30.999999999999993</v>
      </c>
      <c r="S183" s="163">
        <f t="shared" si="131"/>
        <v>0</v>
      </c>
      <c r="T183" s="163">
        <f t="shared" si="128"/>
        <v>8</v>
      </c>
      <c r="U183" s="644">
        <f t="shared" si="128"/>
        <v>0</v>
      </c>
      <c r="V183" s="645">
        <f t="shared" si="128"/>
        <v>38.000000000000014</v>
      </c>
      <c r="W183" s="163">
        <f t="shared" si="128"/>
        <v>24.000000000000004</v>
      </c>
      <c r="X183" s="163">
        <f t="shared" si="128"/>
        <v>0</v>
      </c>
      <c r="Y183" s="163">
        <f t="shared" si="128"/>
        <v>11.000000000000002</v>
      </c>
      <c r="Z183" s="643">
        <f t="shared" si="128"/>
        <v>3</v>
      </c>
      <c r="AA183" s="646">
        <f t="shared" si="128"/>
        <v>51.000000000000021</v>
      </c>
      <c r="AB183" s="645">
        <f t="shared" si="128"/>
        <v>20.000000000000007</v>
      </c>
      <c r="AC183" s="163">
        <f t="shared" si="128"/>
        <v>13.000000000000002</v>
      </c>
      <c r="AD183" s="163">
        <f t="shared" si="128"/>
        <v>0</v>
      </c>
      <c r="AE183" s="163">
        <f t="shared" si="128"/>
        <v>7</v>
      </c>
      <c r="AF183" s="644">
        <f t="shared" si="128"/>
        <v>0</v>
      </c>
      <c r="AG183" s="645">
        <f t="shared" si="128"/>
        <v>31.000000000000007</v>
      </c>
      <c r="AH183" s="163">
        <f t="shared" si="128"/>
        <v>26</v>
      </c>
      <c r="AI183" s="163">
        <f t="shared" si="128"/>
        <v>0</v>
      </c>
      <c r="AJ183" s="163">
        <f t="shared" si="144"/>
        <v>1</v>
      </c>
      <c r="AK183" s="643">
        <f t="shared" si="126"/>
        <v>4</v>
      </c>
      <c r="AL183" s="646">
        <f t="shared" si="126"/>
        <v>364.00000000000006</v>
      </c>
      <c r="AM183" s="645">
        <f t="shared" si="126"/>
        <v>222.00000000000009</v>
      </c>
      <c r="AN183" s="163">
        <f t="shared" si="126"/>
        <v>178</v>
      </c>
      <c r="AO183" s="163">
        <f t="shared" si="126"/>
        <v>0</v>
      </c>
      <c r="AP183" s="163">
        <f t="shared" si="142"/>
        <v>43.999999999999979</v>
      </c>
      <c r="AQ183" s="644">
        <f t="shared" si="142"/>
        <v>0</v>
      </c>
      <c r="AR183" s="645">
        <f t="shared" si="142"/>
        <v>142.00000000000006</v>
      </c>
      <c r="AS183" s="163">
        <f t="shared" si="142"/>
        <v>89.999999999999957</v>
      </c>
      <c r="AT183" s="163">
        <f t="shared" si="142"/>
        <v>0</v>
      </c>
      <c r="AU183" s="163">
        <f t="shared" si="142"/>
        <v>38.000000000000021</v>
      </c>
      <c r="AV183" s="643">
        <f t="shared" si="142"/>
        <v>14.000000000000004</v>
      </c>
      <c r="AW183" s="646">
        <f t="shared" si="142"/>
        <v>219.00000000000009</v>
      </c>
      <c r="AX183" s="645">
        <f t="shared" si="142"/>
        <v>119.99999999999999</v>
      </c>
      <c r="AY183" s="163">
        <f t="shared" si="142"/>
        <v>97.999999999999972</v>
      </c>
      <c r="AZ183" s="163">
        <f t="shared" si="142"/>
        <v>0</v>
      </c>
      <c r="BA183" s="163">
        <f t="shared" si="142"/>
        <v>22.000000000000007</v>
      </c>
      <c r="BB183" s="644">
        <f t="shared" si="142"/>
        <v>0</v>
      </c>
      <c r="BC183" s="645">
        <f t="shared" si="142"/>
        <v>99.000000000000028</v>
      </c>
      <c r="BD183" s="163">
        <f t="shared" si="142"/>
        <v>73.999999999999972</v>
      </c>
      <c r="BE183" s="163">
        <f t="shared" si="142"/>
        <v>0</v>
      </c>
      <c r="BF183" s="163">
        <f t="shared" si="142"/>
        <v>18.000000000000011</v>
      </c>
      <c r="BG183" s="643">
        <f t="shared" si="142"/>
        <v>6.9999999999999991</v>
      </c>
      <c r="BH183" s="646">
        <f t="shared" si="129"/>
        <v>271</v>
      </c>
      <c r="BI183" s="645">
        <f t="shared" si="129"/>
        <v>171.00000000000003</v>
      </c>
      <c r="BJ183" s="163">
        <f t="shared" si="129"/>
        <v>146</v>
      </c>
      <c r="BK183" s="163">
        <f t="shared" si="129"/>
        <v>0</v>
      </c>
      <c r="BL183" s="163">
        <f t="shared" si="129"/>
        <v>25</v>
      </c>
      <c r="BM183" s="644">
        <f t="shared" si="129"/>
        <v>0</v>
      </c>
      <c r="BN183" s="645">
        <f t="shared" si="129"/>
        <v>100.00000000000004</v>
      </c>
      <c r="BO183" s="163">
        <f t="shared" si="129"/>
        <v>60.000000000000021</v>
      </c>
      <c r="BP183" s="163">
        <f t="shared" si="129"/>
        <v>0</v>
      </c>
      <c r="BQ183" s="163">
        <f t="shared" si="129"/>
        <v>31.999999999999993</v>
      </c>
      <c r="BR183" s="643">
        <f t="shared" si="129"/>
        <v>7.9999999999999991</v>
      </c>
      <c r="BS183" s="646">
        <f t="shared" si="129"/>
        <v>414.00000000000017</v>
      </c>
      <c r="BT183" s="645">
        <f t="shared" si="129"/>
        <v>248.00000000000009</v>
      </c>
      <c r="BU183" s="163">
        <f t="shared" si="129"/>
        <v>192.99999999999994</v>
      </c>
      <c r="BV183" s="163">
        <f t="shared" si="129"/>
        <v>0</v>
      </c>
      <c r="BW183" s="163">
        <f t="shared" si="129"/>
        <v>55.000000000000021</v>
      </c>
      <c r="BX183" s="644">
        <f t="shared" si="134"/>
        <v>0</v>
      </c>
      <c r="BY183" s="645">
        <f t="shared" si="134"/>
        <v>166.00000000000003</v>
      </c>
      <c r="BZ183" s="163">
        <f t="shared" si="134"/>
        <v>100.00000000000001</v>
      </c>
      <c r="CA183" s="163">
        <f t="shared" si="134"/>
        <v>0</v>
      </c>
      <c r="CB183" s="163">
        <f t="shared" si="134"/>
        <v>48.999999999999979</v>
      </c>
      <c r="CC183" s="643">
        <f t="shared" si="134"/>
        <v>16.999999999999996</v>
      </c>
      <c r="CD183" s="646">
        <f t="shared" si="134"/>
        <v>95.000000000000014</v>
      </c>
      <c r="CE183" s="645">
        <f t="shared" si="134"/>
        <v>59.000000000000028</v>
      </c>
      <c r="CF183" s="163">
        <f t="shared" si="134"/>
        <v>46</v>
      </c>
      <c r="CG183" s="163">
        <f t="shared" si="134"/>
        <v>0</v>
      </c>
      <c r="CH183" s="163">
        <f t="shared" si="134"/>
        <v>13</v>
      </c>
      <c r="CI183" s="644">
        <f t="shared" si="134"/>
        <v>0</v>
      </c>
      <c r="CJ183" s="645">
        <f t="shared" si="134"/>
        <v>35.999999999999993</v>
      </c>
      <c r="CK183" s="163">
        <f t="shared" si="134"/>
        <v>25</v>
      </c>
      <c r="CL183" s="163">
        <f t="shared" si="134"/>
        <v>0</v>
      </c>
      <c r="CM183" s="163">
        <f t="shared" si="134"/>
        <v>7.9999999999999973</v>
      </c>
      <c r="CN183" s="643">
        <f t="shared" si="138"/>
        <v>3</v>
      </c>
      <c r="CO183" s="646">
        <f t="shared" si="138"/>
        <v>70.999999999999972</v>
      </c>
      <c r="CP183" s="645">
        <f t="shared" si="138"/>
        <v>40.000000000000021</v>
      </c>
      <c r="CQ183" s="163">
        <f t="shared" si="138"/>
        <v>36.000000000000014</v>
      </c>
      <c r="CR183" s="163">
        <f t="shared" si="138"/>
        <v>0</v>
      </c>
      <c r="CS183" s="163">
        <f t="shared" si="138"/>
        <v>4</v>
      </c>
      <c r="CT183" s="644">
        <f t="shared" si="138"/>
        <v>0</v>
      </c>
      <c r="CU183" s="645">
        <f t="shared" si="138"/>
        <v>30.999999999999996</v>
      </c>
      <c r="CV183" s="163">
        <f t="shared" si="138"/>
        <v>22.999999999999989</v>
      </c>
      <c r="CW183" s="163">
        <f t="shared" si="138"/>
        <v>0</v>
      </c>
      <c r="CX183" s="163">
        <f t="shared" si="138"/>
        <v>8</v>
      </c>
      <c r="CY183" s="643">
        <f t="shared" si="138"/>
        <v>0</v>
      </c>
      <c r="CZ183" s="646">
        <f t="shared" si="138"/>
        <v>19.000000000000004</v>
      </c>
      <c r="DA183" s="645">
        <f t="shared" si="138"/>
        <v>6</v>
      </c>
      <c r="DB183" s="163">
        <f t="shared" si="138"/>
        <v>3</v>
      </c>
      <c r="DC183" s="163">
        <f t="shared" si="138"/>
        <v>0</v>
      </c>
      <c r="DD183" s="163">
        <f t="shared" si="136"/>
        <v>3</v>
      </c>
      <c r="DE183" s="644">
        <f t="shared" si="136"/>
        <v>0</v>
      </c>
      <c r="DF183" s="645">
        <f t="shared" si="136"/>
        <v>13.000000000000005</v>
      </c>
      <c r="DG183" s="163">
        <f t="shared" si="136"/>
        <v>12.000000000000009</v>
      </c>
      <c r="DH183" s="163">
        <f t="shared" si="136"/>
        <v>0</v>
      </c>
      <c r="DI183" s="163">
        <f t="shared" si="136"/>
        <v>1</v>
      </c>
      <c r="DJ183" s="643">
        <f t="shared" si="136"/>
        <v>0</v>
      </c>
      <c r="DK183" s="646">
        <f t="shared" si="136"/>
        <v>0</v>
      </c>
      <c r="DL183" s="645">
        <f t="shared" si="127"/>
        <v>0</v>
      </c>
      <c r="DM183" s="163">
        <f t="shared" si="127"/>
        <v>0</v>
      </c>
      <c r="DN183" s="163">
        <f t="shared" si="127"/>
        <v>0</v>
      </c>
      <c r="DO183" s="163">
        <f t="shared" si="127"/>
        <v>0</v>
      </c>
      <c r="DP183" s="644">
        <f t="shared" si="127"/>
        <v>0</v>
      </c>
      <c r="DQ183" s="645">
        <f t="shared" si="127"/>
        <v>1</v>
      </c>
      <c r="DR183" s="163">
        <f t="shared" si="127"/>
        <v>1</v>
      </c>
      <c r="DS183" s="163">
        <f t="shared" si="127"/>
        <v>0</v>
      </c>
      <c r="DT183" s="163">
        <f t="shared" si="127"/>
        <v>0</v>
      </c>
      <c r="DU183" s="643">
        <f t="shared" si="127"/>
        <v>0</v>
      </c>
      <c r="DW183" s="646">
        <f t="shared" si="121"/>
        <v>1217.0000000000002</v>
      </c>
      <c r="DX183" s="645">
        <f t="shared" si="121"/>
        <v>703.00000000000011</v>
      </c>
      <c r="DY183" s="163">
        <f t="shared" si="120"/>
        <v>566</v>
      </c>
      <c r="DZ183" s="163">
        <f t="shared" si="120"/>
        <v>0</v>
      </c>
      <c r="EA183" s="163">
        <f t="shared" si="120"/>
        <v>137.00000000000003</v>
      </c>
      <c r="EB183" s="644">
        <f t="shared" si="120"/>
        <v>0</v>
      </c>
      <c r="EC183" s="645">
        <f t="shared" si="120"/>
        <v>515.00000000000011</v>
      </c>
      <c r="ED183" s="163">
        <f t="shared" si="120"/>
        <v>345</v>
      </c>
      <c r="EE183" s="163">
        <f t="shared" si="120"/>
        <v>0</v>
      </c>
      <c r="EF183" s="163">
        <f t="shared" si="120"/>
        <v>127.99999999999999</v>
      </c>
      <c r="EG183" s="643">
        <f t="shared" si="120"/>
        <v>42</v>
      </c>
      <c r="EH183" s="646">
        <f t="shared" si="119"/>
        <v>364.00000000000006</v>
      </c>
      <c r="EI183" s="645">
        <f t="shared" si="117"/>
        <v>222.00000000000009</v>
      </c>
      <c r="EJ183" s="163">
        <f t="shared" si="117"/>
        <v>178</v>
      </c>
      <c r="EK183" s="163">
        <f t="shared" si="117"/>
        <v>0</v>
      </c>
      <c r="EL183" s="163">
        <f t="shared" si="117"/>
        <v>43.999999999999979</v>
      </c>
      <c r="EM183" s="644">
        <f t="shared" si="117"/>
        <v>0</v>
      </c>
      <c r="EN183" s="645">
        <f t="shared" si="117"/>
        <v>142.00000000000006</v>
      </c>
      <c r="EO183" s="163">
        <f t="shared" si="117"/>
        <v>89.999999999999957</v>
      </c>
      <c r="EP183" s="163">
        <f t="shared" si="79"/>
        <v>0</v>
      </c>
      <c r="EQ183" s="163">
        <f t="shared" si="79"/>
        <v>38.000000000000021</v>
      </c>
      <c r="ER183" s="643">
        <f t="shared" si="79"/>
        <v>14.000000000000004</v>
      </c>
    </row>
    <row r="184" spans="1:148">
      <c r="A184" s="665" t="s">
        <v>239</v>
      </c>
      <c r="B184" s="665">
        <v>44105</v>
      </c>
      <c r="C184" s="664">
        <v>2020</v>
      </c>
      <c r="D184" s="646">
        <f t="shared" ref="D184" si="147">D85/3+D183</f>
        <v>2894020.333333334</v>
      </c>
      <c r="E184" s="646">
        <f t="shared" si="131"/>
        <v>42782.666666666679</v>
      </c>
      <c r="F184" s="645">
        <f t="shared" si="131"/>
        <v>24613.333333333343</v>
      </c>
      <c r="G184" s="163">
        <f t="shared" si="131"/>
        <v>18900.666666666668</v>
      </c>
      <c r="H184" s="163">
        <f t="shared" si="131"/>
        <v>0</v>
      </c>
      <c r="I184" s="163">
        <f t="shared" si="131"/>
        <v>5712.6666666666688</v>
      </c>
      <c r="J184" s="644">
        <f t="shared" si="131"/>
        <v>0</v>
      </c>
      <c r="K184" s="645">
        <f t="shared" si="131"/>
        <v>18169.333333333332</v>
      </c>
      <c r="L184" s="163">
        <f t="shared" si="131"/>
        <v>11898</v>
      </c>
      <c r="M184" s="163">
        <f t="shared" si="131"/>
        <v>0</v>
      </c>
      <c r="N184" s="163">
        <f t="shared" si="131"/>
        <v>4675</v>
      </c>
      <c r="O184" s="643">
        <f t="shared" si="131"/>
        <v>1596.3333333333328</v>
      </c>
      <c r="P184" s="646">
        <f t="shared" si="131"/>
        <v>78</v>
      </c>
      <c r="Q184" s="645">
        <f t="shared" si="131"/>
        <v>40</v>
      </c>
      <c r="R184" s="163">
        <f t="shared" si="131"/>
        <v>31.666666666666661</v>
      </c>
      <c r="S184" s="163">
        <f t="shared" si="131"/>
        <v>0</v>
      </c>
      <c r="T184" s="163">
        <f t="shared" si="128"/>
        <v>8.3333333333333339</v>
      </c>
      <c r="U184" s="644">
        <f t="shared" si="128"/>
        <v>0</v>
      </c>
      <c r="V184" s="645">
        <f t="shared" si="128"/>
        <v>38.000000000000014</v>
      </c>
      <c r="W184" s="163">
        <f t="shared" si="128"/>
        <v>24.000000000000004</v>
      </c>
      <c r="X184" s="163">
        <f t="shared" si="128"/>
        <v>0</v>
      </c>
      <c r="Y184" s="163">
        <f t="shared" si="128"/>
        <v>11.000000000000002</v>
      </c>
      <c r="Z184" s="643">
        <f t="shared" si="128"/>
        <v>3</v>
      </c>
      <c r="AA184" s="646">
        <f t="shared" si="128"/>
        <v>52.000000000000021</v>
      </c>
      <c r="AB184" s="645">
        <f t="shared" si="128"/>
        <v>21.000000000000007</v>
      </c>
      <c r="AC184" s="163">
        <f t="shared" si="128"/>
        <v>13.333333333333336</v>
      </c>
      <c r="AD184" s="163">
        <f t="shared" si="128"/>
        <v>0</v>
      </c>
      <c r="AE184" s="163">
        <f t="shared" si="128"/>
        <v>7.666666666666667</v>
      </c>
      <c r="AF184" s="644">
        <f t="shared" si="128"/>
        <v>0</v>
      </c>
      <c r="AG184" s="645">
        <f t="shared" si="128"/>
        <v>31.000000000000007</v>
      </c>
      <c r="AH184" s="163">
        <f t="shared" si="128"/>
        <v>26</v>
      </c>
      <c r="AI184" s="163">
        <f t="shared" si="128"/>
        <v>0</v>
      </c>
      <c r="AJ184" s="163">
        <f t="shared" si="144"/>
        <v>1</v>
      </c>
      <c r="AK184" s="643">
        <f t="shared" si="126"/>
        <v>4</v>
      </c>
      <c r="AL184" s="646">
        <f t="shared" si="126"/>
        <v>375.33333333333337</v>
      </c>
      <c r="AM184" s="645">
        <f t="shared" si="126"/>
        <v>232.66666666666674</v>
      </c>
      <c r="AN184" s="163">
        <f t="shared" si="126"/>
        <v>184</v>
      </c>
      <c r="AO184" s="163">
        <f t="shared" si="126"/>
        <v>0</v>
      </c>
      <c r="AP184" s="163">
        <f t="shared" si="142"/>
        <v>48.666666666666643</v>
      </c>
      <c r="AQ184" s="644">
        <f t="shared" si="142"/>
        <v>0</v>
      </c>
      <c r="AR184" s="645">
        <f t="shared" si="142"/>
        <v>142.66666666666671</v>
      </c>
      <c r="AS184" s="163">
        <f t="shared" si="142"/>
        <v>89.999999999999957</v>
      </c>
      <c r="AT184" s="163">
        <f t="shared" si="142"/>
        <v>0</v>
      </c>
      <c r="AU184" s="163">
        <f t="shared" si="142"/>
        <v>38.333333333333357</v>
      </c>
      <c r="AV184" s="643">
        <f t="shared" si="142"/>
        <v>14.333333333333337</v>
      </c>
      <c r="AW184" s="646">
        <f t="shared" si="142"/>
        <v>221.66666666666674</v>
      </c>
      <c r="AX184" s="645">
        <f t="shared" si="142"/>
        <v>122.33333333333331</v>
      </c>
      <c r="AY184" s="163">
        <f t="shared" si="142"/>
        <v>98.666666666666643</v>
      </c>
      <c r="AZ184" s="163">
        <f t="shared" si="142"/>
        <v>0</v>
      </c>
      <c r="BA184" s="163">
        <f t="shared" si="142"/>
        <v>23.666666666666675</v>
      </c>
      <c r="BB184" s="644">
        <f t="shared" si="142"/>
        <v>0</v>
      </c>
      <c r="BC184" s="645">
        <f t="shared" si="142"/>
        <v>99.333333333333357</v>
      </c>
      <c r="BD184" s="163">
        <f t="shared" si="142"/>
        <v>74.3333333333333</v>
      </c>
      <c r="BE184" s="163">
        <f t="shared" si="142"/>
        <v>0</v>
      </c>
      <c r="BF184" s="163">
        <f t="shared" si="142"/>
        <v>18.000000000000011</v>
      </c>
      <c r="BG184" s="643">
        <f t="shared" si="142"/>
        <v>6.9999999999999991</v>
      </c>
      <c r="BH184" s="646">
        <f t="shared" si="129"/>
        <v>278</v>
      </c>
      <c r="BI184" s="645">
        <f t="shared" si="129"/>
        <v>177.33333333333337</v>
      </c>
      <c r="BJ184" s="163">
        <f t="shared" si="129"/>
        <v>149.33333333333334</v>
      </c>
      <c r="BK184" s="163">
        <f t="shared" si="129"/>
        <v>0</v>
      </c>
      <c r="BL184" s="163">
        <f t="shared" si="129"/>
        <v>28</v>
      </c>
      <c r="BM184" s="644">
        <f t="shared" si="129"/>
        <v>0</v>
      </c>
      <c r="BN184" s="645">
        <f t="shared" si="129"/>
        <v>100.66666666666671</v>
      </c>
      <c r="BO184" s="163">
        <f t="shared" si="129"/>
        <v>60.000000000000021</v>
      </c>
      <c r="BP184" s="163">
        <f t="shared" si="129"/>
        <v>0</v>
      </c>
      <c r="BQ184" s="163">
        <f t="shared" si="129"/>
        <v>32.666666666666657</v>
      </c>
      <c r="BR184" s="643">
        <f t="shared" si="129"/>
        <v>7.9999999999999991</v>
      </c>
      <c r="BS184" s="646">
        <f t="shared" si="129"/>
        <v>430.66666666666686</v>
      </c>
      <c r="BT184" s="645">
        <f t="shared" si="129"/>
        <v>261.66666666666674</v>
      </c>
      <c r="BU184" s="163">
        <f t="shared" si="129"/>
        <v>197.99999999999994</v>
      </c>
      <c r="BV184" s="163">
        <f t="shared" si="129"/>
        <v>0</v>
      </c>
      <c r="BW184" s="163">
        <f t="shared" si="129"/>
        <v>63.666666666666686</v>
      </c>
      <c r="BX184" s="644">
        <f t="shared" si="134"/>
        <v>0</v>
      </c>
      <c r="BY184" s="645">
        <f t="shared" si="134"/>
        <v>169.00000000000003</v>
      </c>
      <c r="BZ184" s="163">
        <f t="shared" si="134"/>
        <v>100.33333333333334</v>
      </c>
      <c r="CA184" s="163">
        <f t="shared" si="134"/>
        <v>0</v>
      </c>
      <c r="CB184" s="163">
        <f t="shared" si="134"/>
        <v>51.666666666666643</v>
      </c>
      <c r="CC184" s="643">
        <f t="shared" si="134"/>
        <v>16.999999999999996</v>
      </c>
      <c r="CD184" s="646">
        <f t="shared" si="134"/>
        <v>96.333333333333343</v>
      </c>
      <c r="CE184" s="645">
        <f t="shared" si="134"/>
        <v>60.333333333333364</v>
      </c>
      <c r="CF184" s="163">
        <f t="shared" si="134"/>
        <v>46.666666666666664</v>
      </c>
      <c r="CG184" s="163">
        <f t="shared" si="134"/>
        <v>0</v>
      </c>
      <c r="CH184" s="163">
        <f t="shared" si="134"/>
        <v>13.666666666666666</v>
      </c>
      <c r="CI184" s="644">
        <f t="shared" si="134"/>
        <v>0</v>
      </c>
      <c r="CJ184" s="645">
        <f t="shared" si="134"/>
        <v>35.999999999999993</v>
      </c>
      <c r="CK184" s="163">
        <f t="shared" si="134"/>
        <v>25</v>
      </c>
      <c r="CL184" s="163">
        <f t="shared" si="134"/>
        <v>0</v>
      </c>
      <c r="CM184" s="163">
        <f t="shared" si="134"/>
        <v>7.9999999999999973</v>
      </c>
      <c r="CN184" s="643">
        <f t="shared" si="138"/>
        <v>3</v>
      </c>
      <c r="CO184" s="646">
        <f t="shared" si="138"/>
        <v>71.999999999999972</v>
      </c>
      <c r="CP184" s="645">
        <f t="shared" si="138"/>
        <v>40.333333333333357</v>
      </c>
      <c r="CQ184" s="163">
        <f t="shared" si="138"/>
        <v>36.000000000000014</v>
      </c>
      <c r="CR184" s="163">
        <f t="shared" si="138"/>
        <v>0</v>
      </c>
      <c r="CS184" s="163">
        <f t="shared" si="138"/>
        <v>4.333333333333333</v>
      </c>
      <c r="CT184" s="644">
        <f t="shared" si="138"/>
        <v>0</v>
      </c>
      <c r="CU184" s="645">
        <f t="shared" si="138"/>
        <v>31.666666666666664</v>
      </c>
      <c r="CV184" s="163">
        <f t="shared" si="138"/>
        <v>23.333333333333321</v>
      </c>
      <c r="CW184" s="163">
        <f t="shared" si="138"/>
        <v>0</v>
      </c>
      <c r="CX184" s="163">
        <f t="shared" si="138"/>
        <v>8.3333333333333339</v>
      </c>
      <c r="CY184" s="643">
        <f t="shared" si="138"/>
        <v>0</v>
      </c>
      <c r="CZ184" s="646">
        <f t="shared" si="138"/>
        <v>19.333333333333336</v>
      </c>
      <c r="DA184" s="645">
        <f t="shared" si="138"/>
        <v>6.333333333333333</v>
      </c>
      <c r="DB184" s="163">
        <f t="shared" si="138"/>
        <v>3.3333333333333335</v>
      </c>
      <c r="DC184" s="163">
        <f t="shared" si="138"/>
        <v>0</v>
      </c>
      <c r="DD184" s="163">
        <f t="shared" si="136"/>
        <v>3</v>
      </c>
      <c r="DE184" s="644">
        <f t="shared" si="136"/>
        <v>0</v>
      </c>
      <c r="DF184" s="645">
        <f t="shared" si="136"/>
        <v>13.000000000000005</v>
      </c>
      <c r="DG184" s="163">
        <f t="shared" si="136"/>
        <v>12.000000000000009</v>
      </c>
      <c r="DH184" s="163">
        <f t="shared" si="136"/>
        <v>0</v>
      </c>
      <c r="DI184" s="163">
        <f t="shared" si="136"/>
        <v>1</v>
      </c>
      <c r="DJ184" s="643">
        <f t="shared" si="136"/>
        <v>0</v>
      </c>
      <c r="DK184" s="646">
        <f t="shared" si="136"/>
        <v>0</v>
      </c>
      <c r="DL184" s="645">
        <f t="shared" si="127"/>
        <v>0</v>
      </c>
      <c r="DM184" s="163">
        <f t="shared" si="127"/>
        <v>0</v>
      </c>
      <c r="DN184" s="163">
        <f t="shared" si="127"/>
        <v>0</v>
      </c>
      <c r="DO184" s="163">
        <f t="shared" si="127"/>
        <v>0</v>
      </c>
      <c r="DP184" s="644">
        <f t="shared" si="127"/>
        <v>0</v>
      </c>
      <c r="DQ184" s="645">
        <f t="shared" si="127"/>
        <v>1</v>
      </c>
      <c r="DR184" s="163">
        <f t="shared" si="127"/>
        <v>1</v>
      </c>
      <c r="DS184" s="163">
        <f t="shared" si="127"/>
        <v>0</v>
      </c>
      <c r="DT184" s="163">
        <f t="shared" si="127"/>
        <v>0</v>
      </c>
      <c r="DU184" s="643">
        <f t="shared" si="127"/>
        <v>0</v>
      </c>
      <c r="DW184" s="646">
        <f t="shared" si="121"/>
        <v>1248</v>
      </c>
      <c r="DX184" s="645">
        <f t="shared" si="121"/>
        <v>729.3333333333336</v>
      </c>
      <c r="DY184" s="163">
        <f t="shared" si="120"/>
        <v>577</v>
      </c>
      <c r="DZ184" s="163">
        <f t="shared" si="120"/>
        <v>0</v>
      </c>
      <c r="EA184" s="163">
        <f t="shared" si="120"/>
        <v>152.33333333333337</v>
      </c>
      <c r="EB184" s="644">
        <f t="shared" si="120"/>
        <v>0</v>
      </c>
      <c r="EC184" s="645">
        <f t="shared" si="120"/>
        <v>519.66666666666686</v>
      </c>
      <c r="ED184" s="163">
        <f t="shared" si="120"/>
        <v>345.99999999999994</v>
      </c>
      <c r="EE184" s="163">
        <f t="shared" si="120"/>
        <v>0</v>
      </c>
      <c r="EF184" s="163">
        <f t="shared" si="120"/>
        <v>131.66666666666666</v>
      </c>
      <c r="EG184" s="643">
        <f t="shared" si="120"/>
        <v>42</v>
      </c>
      <c r="EH184" s="646">
        <f t="shared" si="119"/>
        <v>375.33333333333337</v>
      </c>
      <c r="EI184" s="645">
        <f t="shared" si="117"/>
        <v>232.66666666666674</v>
      </c>
      <c r="EJ184" s="163">
        <f t="shared" si="117"/>
        <v>184</v>
      </c>
      <c r="EK184" s="163">
        <f t="shared" si="117"/>
        <v>0</v>
      </c>
      <c r="EL184" s="163">
        <f t="shared" si="117"/>
        <v>48.666666666666643</v>
      </c>
      <c r="EM184" s="644">
        <f t="shared" si="117"/>
        <v>0</v>
      </c>
      <c r="EN184" s="645">
        <f t="shared" si="117"/>
        <v>142.66666666666671</v>
      </c>
      <c r="EO184" s="163">
        <f t="shared" si="117"/>
        <v>89.999999999999957</v>
      </c>
      <c r="EP184" s="163">
        <f t="shared" si="79"/>
        <v>0</v>
      </c>
      <c r="EQ184" s="163">
        <f t="shared" si="79"/>
        <v>38.333333333333357</v>
      </c>
      <c r="ER184" s="643">
        <f t="shared" si="79"/>
        <v>14.333333333333337</v>
      </c>
    </row>
    <row r="185" spans="1:148">
      <c r="A185" s="665" t="s">
        <v>239</v>
      </c>
      <c r="B185" s="665">
        <v>44136</v>
      </c>
      <c r="C185" s="664">
        <v>2020</v>
      </c>
      <c r="D185" s="646">
        <f t="shared" ref="D185" si="148">D86/3+D184</f>
        <v>2945311.6666666674</v>
      </c>
      <c r="E185" s="646">
        <f t="shared" si="131"/>
        <v>43941.333333333343</v>
      </c>
      <c r="F185" s="645">
        <f t="shared" si="131"/>
        <v>25557.666666666675</v>
      </c>
      <c r="G185" s="163">
        <f t="shared" si="131"/>
        <v>19353.333333333336</v>
      </c>
      <c r="H185" s="163">
        <f t="shared" si="131"/>
        <v>0</v>
      </c>
      <c r="I185" s="163">
        <f t="shared" si="131"/>
        <v>6204.3333333333358</v>
      </c>
      <c r="J185" s="644">
        <f t="shared" si="131"/>
        <v>0</v>
      </c>
      <c r="K185" s="645">
        <f t="shared" si="131"/>
        <v>18383.666666666664</v>
      </c>
      <c r="L185" s="163">
        <f t="shared" si="131"/>
        <v>11971</v>
      </c>
      <c r="M185" s="163">
        <f t="shared" si="131"/>
        <v>0</v>
      </c>
      <c r="N185" s="163">
        <f t="shared" si="131"/>
        <v>4803</v>
      </c>
      <c r="O185" s="643">
        <f t="shared" si="131"/>
        <v>1609.6666666666661</v>
      </c>
      <c r="P185" s="646">
        <f t="shared" si="131"/>
        <v>79</v>
      </c>
      <c r="Q185" s="645">
        <f t="shared" si="131"/>
        <v>41</v>
      </c>
      <c r="R185" s="163">
        <f t="shared" si="131"/>
        <v>32.333333333333329</v>
      </c>
      <c r="S185" s="163">
        <f t="shared" si="131"/>
        <v>0</v>
      </c>
      <c r="T185" s="163">
        <f t="shared" si="128"/>
        <v>8.6666666666666679</v>
      </c>
      <c r="U185" s="644">
        <f t="shared" si="128"/>
        <v>0</v>
      </c>
      <c r="V185" s="645">
        <f t="shared" si="128"/>
        <v>38.000000000000014</v>
      </c>
      <c r="W185" s="163">
        <f t="shared" si="128"/>
        <v>24.000000000000004</v>
      </c>
      <c r="X185" s="163">
        <f t="shared" si="128"/>
        <v>0</v>
      </c>
      <c r="Y185" s="163">
        <f t="shared" si="128"/>
        <v>11.000000000000002</v>
      </c>
      <c r="Z185" s="643">
        <f t="shared" si="128"/>
        <v>3</v>
      </c>
      <c r="AA185" s="646">
        <f t="shared" si="128"/>
        <v>53.000000000000021</v>
      </c>
      <c r="AB185" s="645">
        <f t="shared" si="128"/>
        <v>22.000000000000007</v>
      </c>
      <c r="AC185" s="163">
        <f t="shared" si="128"/>
        <v>13.66666666666667</v>
      </c>
      <c r="AD185" s="163">
        <f t="shared" si="128"/>
        <v>0</v>
      </c>
      <c r="AE185" s="163">
        <f t="shared" si="128"/>
        <v>8.3333333333333339</v>
      </c>
      <c r="AF185" s="644">
        <f t="shared" si="128"/>
        <v>0</v>
      </c>
      <c r="AG185" s="645">
        <f t="shared" si="128"/>
        <v>31.000000000000007</v>
      </c>
      <c r="AH185" s="163">
        <f t="shared" si="128"/>
        <v>26</v>
      </c>
      <c r="AI185" s="163">
        <f t="shared" si="128"/>
        <v>0</v>
      </c>
      <c r="AJ185" s="163">
        <f t="shared" si="144"/>
        <v>1</v>
      </c>
      <c r="AK185" s="643">
        <f t="shared" si="144"/>
        <v>4</v>
      </c>
      <c r="AL185" s="646">
        <f t="shared" si="144"/>
        <v>386.66666666666669</v>
      </c>
      <c r="AM185" s="645">
        <f t="shared" si="144"/>
        <v>243.3333333333334</v>
      </c>
      <c r="AN185" s="163">
        <f t="shared" si="144"/>
        <v>190</v>
      </c>
      <c r="AO185" s="163">
        <f t="shared" si="144"/>
        <v>0</v>
      </c>
      <c r="AP185" s="163">
        <f t="shared" si="142"/>
        <v>53.333333333333307</v>
      </c>
      <c r="AQ185" s="644">
        <f t="shared" si="142"/>
        <v>0</v>
      </c>
      <c r="AR185" s="645">
        <f t="shared" si="142"/>
        <v>143.33333333333337</v>
      </c>
      <c r="AS185" s="163">
        <f t="shared" si="142"/>
        <v>89.999999999999957</v>
      </c>
      <c r="AT185" s="163">
        <f t="shared" si="142"/>
        <v>0</v>
      </c>
      <c r="AU185" s="163">
        <f t="shared" si="142"/>
        <v>38.666666666666693</v>
      </c>
      <c r="AV185" s="643">
        <f t="shared" si="142"/>
        <v>14.666666666666671</v>
      </c>
      <c r="AW185" s="646">
        <f t="shared" si="142"/>
        <v>224.3333333333334</v>
      </c>
      <c r="AX185" s="645">
        <f t="shared" si="142"/>
        <v>124.66666666666664</v>
      </c>
      <c r="AY185" s="163">
        <f t="shared" si="142"/>
        <v>99.333333333333314</v>
      </c>
      <c r="AZ185" s="163">
        <f t="shared" si="142"/>
        <v>0</v>
      </c>
      <c r="BA185" s="163">
        <f t="shared" si="142"/>
        <v>25.333333333333343</v>
      </c>
      <c r="BB185" s="644">
        <f t="shared" si="142"/>
        <v>0</v>
      </c>
      <c r="BC185" s="645">
        <f t="shared" si="142"/>
        <v>99.666666666666686</v>
      </c>
      <c r="BD185" s="163">
        <f t="shared" si="142"/>
        <v>74.666666666666629</v>
      </c>
      <c r="BE185" s="163">
        <f t="shared" si="142"/>
        <v>0</v>
      </c>
      <c r="BF185" s="163">
        <f t="shared" si="142"/>
        <v>18.000000000000011</v>
      </c>
      <c r="BG185" s="643">
        <f t="shared" si="142"/>
        <v>6.9999999999999991</v>
      </c>
      <c r="BH185" s="646">
        <f t="shared" si="129"/>
        <v>285</v>
      </c>
      <c r="BI185" s="645">
        <f t="shared" si="129"/>
        <v>183.66666666666671</v>
      </c>
      <c r="BJ185" s="163">
        <f t="shared" si="129"/>
        <v>152.66666666666669</v>
      </c>
      <c r="BK185" s="163">
        <f t="shared" si="129"/>
        <v>0</v>
      </c>
      <c r="BL185" s="163">
        <f t="shared" si="129"/>
        <v>31</v>
      </c>
      <c r="BM185" s="644">
        <f t="shared" si="129"/>
        <v>0</v>
      </c>
      <c r="BN185" s="645">
        <f t="shared" si="129"/>
        <v>101.33333333333339</v>
      </c>
      <c r="BO185" s="163">
        <f t="shared" si="129"/>
        <v>60.000000000000021</v>
      </c>
      <c r="BP185" s="163">
        <f t="shared" si="129"/>
        <v>0</v>
      </c>
      <c r="BQ185" s="163">
        <f t="shared" si="129"/>
        <v>33.333333333333321</v>
      </c>
      <c r="BR185" s="643">
        <f t="shared" si="129"/>
        <v>7.9999999999999991</v>
      </c>
      <c r="BS185" s="646">
        <f t="shared" si="129"/>
        <v>447.33333333333354</v>
      </c>
      <c r="BT185" s="645">
        <f t="shared" si="129"/>
        <v>275.33333333333343</v>
      </c>
      <c r="BU185" s="163">
        <f t="shared" si="129"/>
        <v>202.99999999999994</v>
      </c>
      <c r="BV185" s="163">
        <f t="shared" si="129"/>
        <v>0</v>
      </c>
      <c r="BW185" s="163">
        <f t="shared" si="129"/>
        <v>72.333333333333357</v>
      </c>
      <c r="BX185" s="644">
        <f t="shared" si="134"/>
        <v>0</v>
      </c>
      <c r="BY185" s="645">
        <f t="shared" si="134"/>
        <v>172.00000000000003</v>
      </c>
      <c r="BZ185" s="163">
        <f t="shared" si="134"/>
        <v>100.66666666666667</v>
      </c>
      <c r="CA185" s="163">
        <f t="shared" si="134"/>
        <v>0</v>
      </c>
      <c r="CB185" s="163">
        <f t="shared" si="134"/>
        <v>54.333333333333307</v>
      </c>
      <c r="CC185" s="643">
        <f t="shared" si="134"/>
        <v>16.999999999999996</v>
      </c>
      <c r="CD185" s="646">
        <f t="shared" si="134"/>
        <v>97.666666666666671</v>
      </c>
      <c r="CE185" s="645">
        <f t="shared" si="134"/>
        <v>61.6666666666667</v>
      </c>
      <c r="CF185" s="163">
        <f t="shared" si="134"/>
        <v>47.333333333333329</v>
      </c>
      <c r="CG185" s="163">
        <f t="shared" si="134"/>
        <v>0</v>
      </c>
      <c r="CH185" s="163">
        <f t="shared" si="134"/>
        <v>14.333333333333332</v>
      </c>
      <c r="CI185" s="644">
        <f t="shared" si="134"/>
        <v>0</v>
      </c>
      <c r="CJ185" s="645">
        <f t="shared" si="134"/>
        <v>35.999999999999993</v>
      </c>
      <c r="CK185" s="163">
        <f t="shared" si="134"/>
        <v>25</v>
      </c>
      <c r="CL185" s="163">
        <f t="shared" si="134"/>
        <v>0</v>
      </c>
      <c r="CM185" s="163">
        <f t="shared" si="134"/>
        <v>7.9999999999999973</v>
      </c>
      <c r="CN185" s="643">
        <f t="shared" si="138"/>
        <v>3</v>
      </c>
      <c r="CO185" s="646">
        <f t="shared" si="138"/>
        <v>72.999999999999972</v>
      </c>
      <c r="CP185" s="645">
        <f t="shared" si="138"/>
        <v>40.666666666666693</v>
      </c>
      <c r="CQ185" s="163">
        <f t="shared" si="138"/>
        <v>36.000000000000014</v>
      </c>
      <c r="CR185" s="163">
        <f t="shared" si="138"/>
        <v>0</v>
      </c>
      <c r="CS185" s="163">
        <f t="shared" si="138"/>
        <v>4.6666666666666661</v>
      </c>
      <c r="CT185" s="644">
        <f t="shared" si="138"/>
        <v>0</v>
      </c>
      <c r="CU185" s="645">
        <f t="shared" si="138"/>
        <v>32.333333333333329</v>
      </c>
      <c r="CV185" s="163">
        <f t="shared" si="138"/>
        <v>23.666666666666654</v>
      </c>
      <c r="CW185" s="163">
        <f t="shared" si="138"/>
        <v>0</v>
      </c>
      <c r="CX185" s="163">
        <f t="shared" si="138"/>
        <v>8.6666666666666679</v>
      </c>
      <c r="CY185" s="643">
        <f t="shared" si="138"/>
        <v>0</v>
      </c>
      <c r="CZ185" s="646">
        <f t="shared" si="138"/>
        <v>19.666666666666668</v>
      </c>
      <c r="DA185" s="645">
        <f t="shared" si="138"/>
        <v>6.6666666666666661</v>
      </c>
      <c r="DB185" s="163">
        <f t="shared" si="138"/>
        <v>3.666666666666667</v>
      </c>
      <c r="DC185" s="163">
        <f t="shared" si="138"/>
        <v>0</v>
      </c>
      <c r="DD185" s="163">
        <f t="shared" si="136"/>
        <v>3</v>
      </c>
      <c r="DE185" s="644">
        <f t="shared" si="136"/>
        <v>0</v>
      </c>
      <c r="DF185" s="645">
        <f t="shared" si="136"/>
        <v>13.000000000000005</v>
      </c>
      <c r="DG185" s="163">
        <f t="shared" si="136"/>
        <v>12.000000000000009</v>
      </c>
      <c r="DH185" s="163">
        <f t="shared" si="136"/>
        <v>0</v>
      </c>
      <c r="DI185" s="163">
        <f t="shared" si="136"/>
        <v>1</v>
      </c>
      <c r="DJ185" s="643">
        <f t="shared" si="136"/>
        <v>0</v>
      </c>
      <c r="DK185" s="646">
        <f t="shared" si="136"/>
        <v>0</v>
      </c>
      <c r="DL185" s="645">
        <f t="shared" si="127"/>
        <v>0</v>
      </c>
      <c r="DM185" s="163">
        <f t="shared" si="127"/>
        <v>0</v>
      </c>
      <c r="DN185" s="163">
        <f t="shared" si="127"/>
        <v>0</v>
      </c>
      <c r="DO185" s="163">
        <f t="shared" si="127"/>
        <v>0</v>
      </c>
      <c r="DP185" s="644">
        <f t="shared" si="127"/>
        <v>0</v>
      </c>
      <c r="DQ185" s="645">
        <f t="shared" si="127"/>
        <v>1</v>
      </c>
      <c r="DR185" s="163">
        <f t="shared" si="127"/>
        <v>1</v>
      </c>
      <c r="DS185" s="163">
        <f t="shared" si="127"/>
        <v>0</v>
      </c>
      <c r="DT185" s="163">
        <f t="shared" si="127"/>
        <v>0</v>
      </c>
      <c r="DU185" s="643">
        <f t="shared" si="127"/>
        <v>0</v>
      </c>
      <c r="DW185" s="646">
        <f t="shared" si="121"/>
        <v>1279.0000000000005</v>
      </c>
      <c r="DX185" s="645">
        <f t="shared" si="121"/>
        <v>755.66666666666686</v>
      </c>
      <c r="DY185" s="163">
        <f t="shared" si="120"/>
        <v>587.99999999999989</v>
      </c>
      <c r="DZ185" s="163">
        <f t="shared" si="120"/>
        <v>0</v>
      </c>
      <c r="EA185" s="163">
        <f t="shared" si="120"/>
        <v>167.66666666666669</v>
      </c>
      <c r="EB185" s="644">
        <f t="shared" si="120"/>
        <v>0</v>
      </c>
      <c r="EC185" s="645">
        <f t="shared" si="120"/>
        <v>524.33333333333348</v>
      </c>
      <c r="ED185" s="163">
        <f t="shared" si="120"/>
        <v>346.99999999999994</v>
      </c>
      <c r="EE185" s="163">
        <f t="shared" si="120"/>
        <v>0</v>
      </c>
      <c r="EF185" s="163">
        <f t="shared" si="120"/>
        <v>135.33333333333331</v>
      </c>
      <c r="EG185" s="643">
        <f t="shared" si="120"/>
        <v>42</v>
      </c>
      <c r="EH185" s="646">
        <f t="shared" si="119"/>
        <v>386.66666666666669</v>
      </c>
      <c r="EI185" s="645">
        <f t="shared" si="117"/>
        <v>243.3333333333334</v>
      </c>
      <c r="EJ185" s="163">
        <f t="shared" si="117"/>
        <v>190</v>
      </c>
      <c r="EK185" s="163">
        <f t="shared" si="117"/>
        <v>0</v>
      </c>
      <c r="EL185" s="163">
        <f t="shared" si="117"/>
        <v>53.333333333333307</v>
      </c>
      <c r="EM185" s="644">
        <f t="shared" si="117"/>
        <v>0</v>
      </c>
      <c r="EN185" s="645">
        <f t="shared" si="117"/>
        <v>143.33333333333337</v>
      </c>
      <c r="EO185" s="163">
        <f t="shared" si="117"/>
        <v>89.999999999999957</v>
      </c>
      <c r="EP185" s="163">
        <f t="shared" si="79"/>
        <v>0</v>
      </c>
      <c r="EQ185" s="163">
        <f t="shared" si="79"/>
        <v>38.666666666666693</v>
      </c>
      <c r="ER185" s="643">
        <f t="shared" si="79"/>
        <v>14.666666666666671</v>
      </c>
    </row>
    <row r="186" spans="1:148">
      <c r="A186" s="665" t="s">
        <v>239</v>
      </c>
      <c r="B186" s="665">
        <v>44166</v>
      </c>
      <c r="C186" s="664">
        <v>2020</v>
      </c>
      <c r="D186" s="646">
        <f t="shared" ref="D186" si="149">D87/3+D185</f>
        <v>2996603.0000000009</v>
      </c>
      <c r="E186" s="646">
        <f t="shared" si="131"/>
        <v>45100.000000000007</v>
      </c>
      <c r="F186" s="645">
        <f t="shared" si="131"/>
        <v>26502.000000000007</v>
      </c>
      <c r="G186" s="163">
        <f t="shared" si="131"/>
        <v>19806.000000000004</v>
      </c>
      <c r="H186" s="163">
        <f t="shared" si="131"/>
        <v>0</v>
      </c>
      <c r="I186" s="163">
        <f t="shared" si="131"/>
        <v>6696.0000000000027</v>
      </c>
      <c r="J186" s="644">
        <f t="shared" si="131"/>
        <v>0</v>
      </c>
      <c r="K186" s="645">
        <f t="shared" si="131"/>
        <v>18597.999999999996</v>
      </c>
      <c r="L186" s="163">
        <f t="shared" si="131"/>
        <v>12044</v>
      </c>
      <c r="M186" s="163">
        <f t="shared" si="131"/>
        <v>0</v>
      </c>
      <c r="N186" s="163">
        <f t="shared" si="131"/>
        <v>4931</v>
      </c>
      <c r="O186" s="643">
        <f t="shared" si="131"/>
        <v>1622.9999999999993</v>
      </c>
      <c r="P186" s="646">
        <f t="shared" si="131"/>
        <v>80</v>
      </c>
      <c r="Q186" s="645">
        <f t="shared" si="131"/>
        <v>42</v>
      </c>
      <c r="R186" s="163">
        <f t="shared" si="131"/>
        <v>32.999999999999993</v>
      </c>
      <c r="S186" s="163">
        <f t="shared" si="131"/>
        <v>0</v>
      </c>
      <c r="T186" s="163">
        <f t="shared" si="128"/>
        <v>9.0000000000000018</v>
      </c>
      <c r="U186" s="644">
        <f t="shared" si="128"/>
        <v>0</v>
      </c>
      <c r="V186" s="645">
        <f t="shared" si="128"/>
        <v>38.000000000000014</v>
      </c>
      <c r="W186" s="163">
        <f t="shared" si="128"/>
        <v>24.000000000000004</v>
      </c>
      <c r="X186" s="163">
        <f t="shared" si="128"/>
        <v>0</v>
      </c>
      <c r="Y186" s="163">
        <f t="shared" si="128"/>
        <v>11.000000000000002</v>
      </c>
      <c r="Z186" s="643">
        <f t="shared" si="128"/>
        <v>3</v>
      </c>
      <c r="AA186" s="646">
        <f t="shared" si="128"/>
        <v>54.000000000000021</v>
      </c>
      <c r="AB186" s="645">
        <f t="shared" si="128"/>
        <v>23.000000000000007</v>
      </c>
      <c r="AC186" s="163">
        <f t="shared" si="128"/>
        <v>14.000000000000004</v>
      </c>
      <c r="AD186" s="163">
        <f t="shared" si="128"/>
        <v>0</v>
      </c>
      <c r="AE186" s="163">
        <f t="shared" si="128"/>
        <v>9</v>
      </c>
      <c r="AF186" s="644">
        <f t="shared" si="128"/>
        <v>0</v>
      </c>
      <c r="AG186" s="645">
        <f t="shared" si="128"/>
        <v>31.000000000000007</v>
      </c>
      <c r="AH186" s="163">
        <f t="shared" si="128"/>
        <v>26</v>
      </c>
      <c r="AI186" s="163">
        <f t="shared" si="128"/>
        <v>0</v>
      </c>
      <c r="AJ186" s="163">
        <f t="shared" si="144"/>
        <v>1</v>
      </c>
      <c r="AK186" s="643">
        <f t="shared" si="144"/>
        <v>4</v>
      </c>
      <c r="AL186" s="646">
        <f t="shared" si="144"/>
        <v>398</v>
      </c>
      <c r="AM186" s="645">
        <f t="shared" si="144"/>
        <v>254.00000000000006</v>
      </c>
      <c r="AN186" s="163">
        <f t="shared" si="144"/>
        <v>196</v>
      </c>
      <c r="AO186" s="163">
        <f t="shared" si="144"/>
        <v>0</v>
      </c>
      <c r="AP186" s="163">
        <f t="shared" si="142"/>
        <v>57.999999999999972</v>
      </c>
      <c r="AQ186" s="644">
        <f t="shared" si="142"/>
        <v>0</v>
      </c>
      <c r="AR186" s="645">
        <f t="shared" si="142"/>
        <v>144.00000000000003</v>
      </c>
      <c r="AS186" s="163">
        <f t="shared" si="142"/>
        <v>89.999999999999957</v>
      </c>
      <c r="AT186" s="163">
        <f t="shared" si="142"/>
        <v>0</v>
      </c>
      <c r="AU186" s="163">
        <f t="shared" si="142"/>
        <v>39.000000000000028</v>
      </c>
      <c r="AV186" s="643">
        <f t="shared" si="142"/>
        <v>15.000000000000005</v>
      </c>
      <c r="AW186" s="646">
        <f t="shared" si="142"/>
        <v>227.00000000000006</v>
      </c>
      <c r="AX186" s="645">
        <f t="shared" si="142"/>
        <v>126.99999999999997</v>
      </c>
      <c r="AY186" s="163">
        <f t="shared" si="142"/>
        <v>99.999999999999986</v>
      </c>
      <c r="AZ186" s="163">
        <f t="shared" si="142"/>
        <v>0</v>
      </c>
      <c r="BA186" s="163">
        <f t="shared" si="142"/>
        <v>27.000000000000011</v>
      </c>
      <c r="BB186" s="644">
        <f t="shared" si="142"/>
        <v>0</v>
      </c>
      <c r="BC186" s="645">
        <f t="shared" si="142"/>
        <v>100.00000000000001</v>
      </c>
      <c r="BD186" s="163">
        <f t="shared" si="142"/>
        <v>74.999999999999957</v>
      </c>
      <c r="BE186" s="163">
        <f t="shared" si="142"/>
        <v>0</v>
      </c>
      <c r="BF186" s="163">
        <f t="shared" si="142"/>
        <v>18.000000000000011</v>
      </c>
      <c r="BG186" s="643">
        <f t="shared" si="142"/>
        <v>6.9999999999999991</v>
      </c>
      <c r="BH186" s="646">
        <f t="shared" si="129"/>
        <v>292</v>
      </c>
      <c r="BI186" s="645">
        <f t="shared" si="129"/>
        <v>190.00000000000006</v>
      </c>
      <c r="BJ186" s="163">
        <f t="shared" si="129"/>
        <v>156.00000000000003</v>
      </c>
      <c r="BK186" s="163">
        <f t="shared" si="129"/>
        <v>0</v>
      </c>
      <c r="BL186" s="163">
        <f t="shared" si="129"/>
        <v>34</v>
      </c>
      <c r="BM186" s="644">
        <f t="shared" si="129"/>
        <v>0</v>
      </c>
      <c r="BN186" s="645">
        <f t="shared" si="129"/>
        <v>102.00000000000006</v>
      </c>
      <c r="BO186" s="163">
        <f t="shared" si="129"/>
        <v>60.000000000000021</v>
      </c>
      <c r="BP186" s="163">
        <f t="shared" si="129"/>
        <v>0</v>
      </c>
      <c r="BQ186" s="163">
        <f t="shared" si="129"/>
        <v>33.999999999999986</v>
      </c>
      <c r="BR186" s="643">
        <f t="shared" si="129"/>
        <v>7.9999999999999991</v>
      </c>
      <c r="BS186" s="646">
        <f t="shared" si="129"/>
        <v>464.00000000000023</v>
      </c>
      <c r="BT186" s="645">
        <f t="shared" si="129"/>
        <v>289.00000000000011</v>
      </c>
      <c r="BU186" s="163">
        <f t="shared" si="129"/>
        <v>207.99999999999994</v>
      </c>
      <c r="BV186" s="163">
        <f t="shared" si="129"/>
        <v>0</v>
      </c>
      <c r="BW186" s="163">
        <f t="shared" si="129"/>
        <v>81.000000000000028</v>
      </c>
      <c r="BX186" s="644">
        <f t="shared" si="134"/>
        <v>0</v>
      </c>
      <c r="BY186" s="645">
        <f t="shared" si="134"/>
        <v>175.00000000000003</v>
      </c>
      <c r="BZ186" s="163">
        <f t="shared" si="134"/>
        <v>101</v>
      </c>
      <c r="CA186" s="163">
        <f t="shared" si="134"/>
        <v>0</v>
      </c>
      <c r="CB186" s="163">
        <f t="shared" si="134"/>
        <v>56.999999999999972</v>
      </c>
      <c r="CC186" s="643">
        <f t="shared" si="134"/>
        <v>16.999999999999996</v>
      </c>
      <c r="CD186" s="646">
        <f t="shared" si="134"/>
        <v>99</v>
      </c>
      <c r="CE186" s="645">
        <f t="shared" si="134"/>
        <v>63.000000000000036</v>
      </c>
      <c r="CF186" s="163">
        <f t="shared" si="134"/>
        <v>47.999999999999993</v>
      </c>
      <c r="CG186" s="163">
        <f t="shared" si="134"/>
        <v>0</v>
      </c>
      <c r="CH186" s="163">
        <f t="shared" si="134"/>
        <v>14.999999999999998</v>
      </c>
      <c r="CI186" s="644">
        <f t="shared" si="134"/>
        <v>0</v>
      </c>
      <c r="CJ186" s="645">
        <f t="shared" si="134"/>
        <v>35.999999999999993</v>
      </c>
      <c r="CK186" s="163">
        <f t="shared" si="134"/>
        <v>25</v>
      </c>
      <c r="CL186" s="163">
        <f t="shared" si="134"/>
        <v>0</v>
      </c>
      <c r="CM186" s="163">
        <f t="shared" si="134"/>
        <v>7.9999999999999973</v>
      </c>
      <c r="CN186" s="643">
        <f t="shared" si="138"/>
        <v>3</v>
      </c>
      <c r="CO186" s="646">
        <f t="shared" si="138"/>
        <v>73.999999999999972</v>
      </c>
      <c r="CP186" s="645">
        <f t="shared" si="138"/>
        <v>41.000000000000028</v>
      </c>
      <c r="CQ186" s="163">
        <f t="shared" si="138"/>
        <v>36.000000000000014</v>
      </c>
      <c r="CR186" s="163">
        <f t="shared" si="138"/>
        <v>0</v>
      </c>
      <c r="CS186" s="163">
        <f t="shared" si="138"/>
        <v>4.9999999999999991</v>
      </c>
      <c r="CT186" s="644">
        <f t="shared" si="138"/>
        <v>0</v>
      </c>
      <c r="CU186" s="645">
        <f t="shared" si="138"/>
        <v>32.999999999999993</v>
      </c>
      <c r="CV186" s="163">
        <f t="shared" si="138"/>
        <v>23.999999999999986</v>
      </c>
      <c r="CW186" s="163">
        <f t="shared" si="138"/>
        <v>0</v>
      </c>
      <c r="CX186" s="163">
        <f t="shared" si="138"/>
        <v>9.0000000000000018</v>
      </c>
      <c r="CY186" s="643">
        <f t="shared" si="138"/>
        <v>0</v>
      </c>
      <c r="CZ186" s="646">
        <f t="shared" si="138"/>
        <v>20</v>
      </c>
      <c r="DA186" s="645">
        <f t="shared" si="138"/>
        <v>6.9999999999999991</v>
      </c>
      <c r="DB186" s="163">
        <f t="shared" si="138"/>
        <v>4</v>
      </c>
      <c r="DC186" s="163">
        <f t="shared" si="138"/>
        <v>0</v>
      </c>
      <c r="DD186" s="163">
        <f t="shared" si="136"/>
        <v>3</v>
      </c>
      <c r="DE186" s="644">
        <f t="shared" si="136"/>
        <v>0</v>
      </c>
      <c r="DF186" s="645">
        <f t="shared" si="136"/>
        <v>13.000000000000005</v>
      </c>
      <c r="DG186" s="163">
        <f t="shared" si="136"/>
        <v>12.000000000000009</v>
      </c>
      <c r="DH186" s="163">
        <f t="shared" si="136"/>
        <v>0</v>
      </c>
      <c r="DI186" s="163">
        <f t="shared" si="136"/>
        <v>1</v>
      </c>
      <c r="DJ186" s="643">
        <f t="shared" si="136"/>
        <v>0</v>
      </c>
      <c r="DK186" s="646">
        <f t="shared" si="136"/>
        <v>0</v>
      </c>
      <c r="DL186" s="645">
        <f t="shared" si="127"/>
        <v>0</v>
      </c>
      <c r="DM186" s="163">
        <f t="shared" si="127"/>
        <v>0</v>
      </c>
      <c r="DN186" s="163">
        <f t="shared" si="127"/>
        <v>0</v>
      </c>
      <c r="DO186" s="163">
        <f t="shared" si="127"/>
        <v>0</v>
      </c>
      <c r="DP186" s="644">
        <f t="shared" si="127"/>
        <v>0</v>
      </c>
      <c r="DQ186" s="645">
        <f t="shared" si="127"/>
        <v>1</v>
      </c>
      <c r="DR186" s="163">
        <f t="shared" si="127"/>
        <v>1</v>
      </c>
      <c r="DS186" s="163">
        <f t="shared" si="127"/>
        <v>0</v>
      </c>
      <c r="DT186" s="163">
        <f t="shared" si="127"/>
        <v>0</v>
      </c>
      <c r="DU186" s="643">
        <f t="shared" si="127"/>
        <v>0</v>
      </c>
      <c r="DW186" s="646">
        <f t="shared" si="121"/>
        <v>1310.0000000000005</v>
      </c>
      <c r="DX186" s="645">
        <f t="shared" si="121"/>
        <v>782.00000000000011</v>
      </c>
      <c r="DY186" s="163">
        <f t="shared" si="120"/>
        <v>598.99999999999989</v>
      </c>
      <c r="DZ186" s="163">
        <f t="shared" si="120"/>
        <v>0</v>
      </c>
      <c r="EA186" s="163">
        <f t="shared" si="120"/>
        <v>183.00000000000006</v>
      </c>
      <c r="EB186" s="644">
        <f t="shared" si="120"/>
        <v>0</v>
      </c>
      <c r="EC186" s="645">
        <f t="shared" si="120"/>
        <v>529.00000000000011</v>
      </c>
      <c r="ED186" s="163">
        <f t="shared" si="120"/>
        <v>348</v>
      </c>
      <c r="EE186" s="163">
        <f t="shared" si="120"/>
        <v>0</v>
      </c>
      <c r="EF186" s="163">
        <f t="shared" si="120"/>
        <v>138.99999999999997</v>
      </c>
      <c r="EG186" s="643">
        <f t="shared" si="120"/>
        <v>42</v>
      </c>
      <c r="EH186" s="646">
        <f t="shared" si="119"/>
        <v>398</v>
      </c>
      <c r="EI186" s="645">
        <f t="shared" si="117"/>
        <v>254.00000000000006</v>
      </c>
      <c r="EJ186" s="163">
        <f t="shared" si="117"/>
        <v>196</v>
      </c>
      <c r="EK186" s="163">
        <f t="shared" si="117"/>
        <v>0</v>
      </c>
      <c r="EL186" s="163">
        <f t="shared" si="117"/>
        <v>57.999999999999972</v>
      </c>
      <c r="EM186" s="644">
        <f t="shared" si="117"/>
        <v>0</v>
      </c>
      <c r="EN186" s="645">
        <f t="shared" si="117"/>
        <v>144.00000000000003</v>
      </c>
      <c r="EO186" s="163">
        <f t="shared" si="117"/>
        <v>89.999999999999957</v>
      </c>
      <c r="EP186" s="163">
        <f t="shared" si="79"/>
        <v>0</v>
      </c>
      <c r="EQ186" s="163">
        <f t="shared" si="79"/>
        <v>39.000000000000028</v>
      </c>
      <c r="ER186" s="643">
        <f t="shared" si="79"/>
        <v>15.000000000000005</v>
      </c>
    </row>
    <row r="187" spans="1:148">
      <c r="A187" s="665" t="s">
        <v>240</v>
      </c>
      <c r="B187" s="665">
        <v>44197</v>
      </c>
      <c r="C187" s="664">
        <v>2021</v>
      </c>
      <c r="D187" s="646">
        <f t="shared" ref="D187" si="150">D88/3+D186</f>
        <v>3043876.0000000009</v>
      </c>
      <c r="E187" s="646">
        <f t="shared" si="131"/>
        <v>46220.666666666672</v>
      </c>
      <c r="F187" s="645">
        <f t="shared" si="131"/>
        <v>27368.666666666675</v>
      </c>
      <c r="G187" s="163">
        <f t="shared" si="131"/>
        <v>20145.333333333336</v>
      </c>
      <c r="H187" s="163">
        <f t="shared" si="131"/>
        <v>0</v>
      </c>
      <c r="I187" s="163">
        <f t="shared" si="131"/>
        <v>7223.3333333333358</v>
      </c>
      <c r="J187" s="644">
        <f t="shared" si="131"/>
        <v>0</v>
      </c>
      <c r="K187" s="645">
        <f t="shared" si="131"/>
        <v>18851.999999999996</v>
      </c>
      <c r="L187" s="163">
        <f t="shared" si="131"/>
        <v>12105</v>
      </c>
      <c r="M187" s="163">
        <f t="shared" si="131"/>
        <v>0</v>
      </c>
      <c r="N187" s="163">
        <f t="shared" si="131"/>
        <v>5101.666666666667</v>
      </c>
      <c r="O187" s="643">
        <f t="shared" si="131"/>
        <v>1645.3333333333326</v>
      </c>
      <c r="P187" s="646">
        <f t="shared" si="131"/>
        <v>81.666666666666671</v>
      </c>
      <c r="Q187" s="645">
        <f t="shared" si="131"/>
        <v>43.333333333333336</v>
      </c>
      <c r="R187" s="163">
        <f t="shared" si="131"/>
        <v>33.333333333333329</v>
      </c>
      <c r="S187" s="163">
        <f t="shared" si="131"/>
        <v>0</v>
      </c>
      <c r="T187" s="163">
        <f t="shared" si="128"/>
        <v>10.000000000000002</v>
      </c>
      <c r="U187" s="644">
        <f t="shared" si="128"/>
        <v>0</v>
      </c>
      <c r="V187" s="645">
        <f t="shared" si="128"/>
        <v>38.33333333333335</v>
      </c>
      <c r="W187" s="163">
        <f t="shared" si="128"/>
        <v>24.333333333333336</v>
      </c>
      <c r="X187" s="163">
        <f t="shared" si="128"/>
        <v>0</v>
      </c>
      <c r="Y187" s="163">
        <f t="shared" si="128"/>
        <v>11.000000000000002</v>
      </c>
      <c r="Z187" s="643">
        <f t="shared" si="128"/>
        <v>3</v>
      </c>
      <c r="AA187" s="646">
        <f t="shared" si="128"/>
        <v>55.333333333333357</v>
      </c>
      <c r="AB187" s="645">
        <f t="shared" si="128"/>
        <v>24.333333333333339</v>
      </c>
      <c r="AC187" s="163">
        <f t="shared" si="128"/>
        <v>15.000000000000004</v>
      </c>
      <c r="AD187" s="163">
        <f t="shared" si="128"/>
        <v>0</v>
      </c>
      <c r="AE187" s="163">
        <f t="shared" si="128"/>
        <v>9.3333333333333339</v>
      </c>
      <c r="AF187" s="644">
        <f t="shared" si="128"/>
        <v>0</v>
      </c>
      <c r="AG187" s="645">
        <f t="shared" si="128"/>
        <v>31.000000000000007</v>
      </c>
      <c r="AH187" s="163">
        <f t="shared" si="128"/>
        <v>26</v>
      </c>
      <c r="AI187" s="163">
        <f t="shared" si="128"/>
        <v>0</v>
      </c>
      <c r="AJ187" s="163">
        <f t="shared" si="144"/>
        <v>1</v>
      </c>
      <c r="AK187" s="643">
        <f t="shared" si="144"/>
        <v>4</v>
      </c>
      <c r="AL187" s="646">
        <f t="shared" si="144"/>
        <v>408</v>
      </c>
      <c r="AM187" s="645">
        <f t="shared" si="144"/>
        <v>262.00000000000006</v>
      </c>
      <c r="AN187" s="163">
        <f t="shared" si="144"/>
        <v>200</v>
      </c>
      <c r="AO187" s="163">
        <f t="shared" si="144"/>
        <v>0</v>
      </c>
      <c r="AP187" s="163">
        <f t="shared" si="142"/>
        <v>61.999999999999972</v>
      </c>
      <c r="AQ187" s="644">
        <f t="shared" si="142"/>
        <v>0</v>
      </c>
      <c r="AR187" s="645">
        <f t="shared" si="142"/>
        <v>146.00000000000003</v>
      </c>
      <c r="AS187" s="163">
        <f t="shared" si="142"/>
        <v>90.999999999999957</v>
      </c>
      <c r="AT187" s="163">
        <f t="shared" si="142"/>
        <v>0</v>
      </c>
      <c r="AU187" s="163">
        <f t="shared" si="142"/>
        <v>40.000000000000028</v>
      </c>
      <c r="AV187" s="643">
        <f t="shared" si="142"/>
        <v>15.000000000000005</v>
      </c>
      <c r="AW187" s="646">
        <f t="shared" si="142"/>
        <v>230.66666666666671</v>
      </c>
      <c r="AX187" s="645">
        <f t="shared" si="142"/>
        <v>130.66666666666663</v>
      </c>
      <c r="AY187" s="163">
        <f t="shared" si="142"/>
        <v>101.33333333333331</v>
      </c>
      <c r="AZ187" s="163">
        <f t="shared" si="142"/>
        <v>0</v>
      </c>
      <c r="BA187" s="163">
        <f t="shared" si="142"/>
        <v>29.333333333333343</v>
      </c>
      <c r="BB187" s="644">
        <f t="shared" si="142"/>
        <v>0</v>
      </c>
      <c r="BC187" s="645">
        <f t="shared" si="142"/>
        <v>100.00000000000001</v>
      </c>
      <c r="BD187" s="163">
        <f t="shared" si="142"/>
        <v>74.999999999999957</v>
      </c>
      <c r="BE187" s="163">
        <f t="shared" si="142"/>
        <v>0</v>
      </c>
      <c r="BF187" s="163">
        <f t="shared" si="142"/>
        <v>18.000000000000011</v>
      </c>
      <c r="BG187" s="643">
        <f t="shared" si="142"/>
        <v>6.9999999999999991</v>
      </c>
      <c r="BH187" s="646">
        <f t="shared" si="129"/>
        <v>301.66666666666669</v>
      </c>
      <c r="BI187" s="645">
        <f t="shared" si="129"/>
        <v>198.00000000000006</v>
      </c>
      <c r="BJ187" s="163">
        <f t="shared" si="129"/>
        <v>160.33333333333337</v>
      </c>
      <c r="BK187" s="163">
        <f t="shared" si="129"/>
        <v>0</v>
      </c>
      <c r="BL187" s="163">
        <f t="shared" si="129"/>
        <v>37.666666666666664</v>
      </c>
      <c r="BM187" s="644">
        <f t="shared" si="129"/>
        <v>0</v>
      </c>
      <c r="BN187" s="645">
        <f t="shared" si="129"/>
        <v>103.66666666666673</v>
      </c>
      <c r="BO187" s="163">
        <f t="shared" si="129"/>
        <v>60.000000000000021</v>
      </c>
      <c r="BP187" s="163">
        <f t="shared" si="129"/>
        <v>0</v>
      </c>
      <c r="BQ187" s="163">
        <f t="shared" si="129"/>
        <v>35.333333333333321</v>
      </c>
      <c r="BR187" s="643">
        <f t="shared" si="129"/>
        <v>8.3333333333333321</v>
      </c>
      <c r="BS187" s="646">
        <f t="shared" si="129"/>
        <v>474.33333333333354</v>
      </c>
      <c r="BT187" s="645">
        <f t="shared" si="129"/>
        <v>298.33333333333343</v>
      </c>
      <c r="BU187" s="163">
        <f t="shared" si="129"/>
        <v>212.99999999999994</v>
      </c>
      <c r="BV187" s="163">
        <f t="shared" si="129"/>
        <v>0</v>
      </c>
      <c r="BW187" s="163">
        <f t="shared" ref="BW187:CL202" si="151">BW88/3+BW186</f>
        <v>85.333333333333357</v>
      </c>
      <c r="BX187" s="644">
        <f t="shared" si="134"/>
        <v>0</v>
      </c>
      <c r="BY187" s="645">
        <f t="shared" si="134"/>
        <v>176.00000000000003</v>
      </c>
      <c r="BZ187" s="163">
        <f t="shared" si="134"/>
        <v>101.33333333333333</v>
      </c>
      <c r="CA187" s="163">
        <f t="shared" si="134"/>
        <v>0</v>
      </c>
      <c r="CB187" s="163">
        <f t="shared" si="134"/>
        <v>57.666666666666636</v>
      </c>
      <c r="CC187" s="643">
        <f t="shared" si="134"/>
        <v>16.999999999999996</v>
      </c>
      <c r="CD187" s="646">
        <f t="shared" si="134"/>
        <v>100</v>
      </c>
      <c r="CE187" s="645">
        <f t="shared" si="134"/>
        <v>64.000000000000028</v>
      </c>
      <c r="CF187" s="163">
        <f t="shared" si="134"/>
        <v>47.999999999999993</v>
      </c>
      <c r="CG187" s="163">
        <f t="shared" si="134"/>
        <v>0</v>
      </c>
      <c r="CH187" s="163">
        <f t="shared" si="134"/>
        <v>15.999999999999998</v>
      </c>
      <c r="CI187" s="644">
        <f t="shared" si="134"/>
        <v>0</v>
      </c>
      <c r="CJ187" s="645">
        <f t="shared" si="134"/>
        <v>35.999999999999993</v>
      </c>
      <c r="CK187" s="163">
        <f t="shared" si="134"/>
        <v>25</v>
      </c>
      <c r="CL187" s="163">
        <f t="shared" si="134"/>
        <v>0</v>
      </c>
      <c r="CM187" s="163">
        <f t="shared" si="134"/>
        <v>7.9999999999999973</v>
      </c>
      <c r="CN187" s="643">
        <f t="shared" si="138"/>
        <v>3</v>
      </c>
      <c r="CO187" s="646">
        <f t="shared" si="138"/>
        <v>75.666666666666643</v>
      </c>
      <c r="CP187" s="645">
        <f t="shared" si="138"/>
        <v>42.333333333333364</v>
      </c>
      <c r="CQ187" s="163">
        <f t="shared" si="138"/>
        <v>37.000000000000014</v>
      </c>
      <c r="CR187" s="163">
        <f t="shared" si="138"/>
        <v>0</v>
      </c>
      <c r="CS187" s="163">
        <f t="shared" si="138"/>
        <v>5.3333333333333321</v>
      </c>
      <c r="CT187" s="644">
        <f t="shared" si="138"/>
        <v>0</v>
      </c>
      <c r="CU187" s="645">
        <f t="shared" si="138"/>
        <v>33.333333333333329</v>
      </c>
      <c r="CV187" s="163">
        <f t="shared" si="138"/>
        <v>23.999999999999986</v>
      </c>
      <c r="CW187" s="163">
        <f t="shared" si="138"/>
        <v>0</v>
      </c>
      <c r="CX187" s="163">
        <f t="shared" si="138"/>
        <v>9.3333333333333357</v>
      </c>
      <c r="CY187" s="643">
        <f t="shared" si="138"/>
        <v>0</v>
      </c>
      <c r="CZ187" s="646">
        <f t="shared" si="138"/>
        <v>20.333333333333332</v>
      </c>
      <c r="DA187" s="645">
        <f t="shared" si="138"/>
        <v>7.3333333333333321</v>
      </c>
      <c r="DB187" s="163">
        <f t="shared" si="138"/>
        <v>4</v>
      </c>
      <c r="DC187" s="163">
        <f t="shared" si="138"/>
        <v>0</v>
      </c>
      <c r="DD187" s="163">
        <f t="shared" si="136"/>
        <v>3.3333333333333335</v>
      </c>
      <c r="DE187" s="644">
        <f t="shared" si="136"/>
        <v>0</v>
      </c>
      <c r="DF187" s="645">
        <f t="shared" si="136"/>
        <v>13.000000000000005</v>
      </c>
      <c r="DG187" s="163">
        <f t="shared" si="136"/>
        <v>12.000000000000009</v>
      </c>
      <c r="DH187" s="163">
        <f t="shared" si="136"/>
        <v>0</v>
      </c>
      <c r="DI187" s="163">
        <f t="shared" si="136"/>
        <v>1</v>
      </c>
      <c r="DJ187" s="643">
        <f t="shared" si="136"/>
        <v>0</v>
      </c>
      <c r="DK187" s="646">
        <f t="shared" si="136"/>
        <v>0</v>
      </c>
      <c r="DL187" s="645">
        <f t="shared" si="136"/>
        <v>0</v>
      </c>
      <c r="DM187" s="163">
        <f t="shared" si="136"/>
        <v>0</v>
      </c>
      <c r="DN187" s="163">
        <f t="shared" si="136"/>
        <v>0</v>
      </c>
      <c r="DO187" s="163">
        <f t="shared" si="136"/>
        <v>0</v>
      </c>
      <c r="DP187" s="644">
        <f t="shared" si="136"/>
        <v>0</v>
      </c>
      <c r="DQ187" s="645">
        <f t="shared" si="136"/>
        <v>1</v>
      </c>
      <c r="DR187" s="163">
        <f t="shared" si="136"/>
        <v>1</v>
      </c>
      <c r="DS187" s="163">
        <f t="shared" si="136"/>
        <v>0</v>
      </c>
      <c r="DT187" s="163">
        <f t="shared" ref="DT187:DU202" si="152">DT88/3+DT186</f>
        <v>0</v>
      </c>
      <c r="DU187" s="643">
        <f t="shared" si="152"/>
        <v>0</v>
      </c>
      <c r="DW187" s="646">
        <f t="shared" si="121"/>
        <v>1339.666666666667</v>
      </c>
      <c r="DX187" s="645">
        <f t="shared" si="121"/>
        <v>808.33333333333348</v>
      </c>
      <c r="DY187" s="163">
        <f t="shared" si="120"/>
        <v>612</v>
      </c>
      <c r="DZ187" s="163">
        <f t="shared" si="120"/>
        <v>0</v>
      </c>
      <c r="EA187" s="163">
        <f t="shared" si="120"/>
        <v>196.33333333333337</v>
      </c>
      <c r="EB187" s="644">
        <f t="shared" si="120"/>
        <v>0</v>
      </c>
      <c r="EC187" s="645">
        <f t="shared" si="120"/>
        <v>532.33333333333348</v>
      </c>
      <c r="ED187" s="163">
        <f t="shared" si="120"/>
        <v>348.66666666666663</v>
      </c>
      <c r="EE187" s="163">
        <f t="shared" si="120"/>
        <v>0</v>
      </c>
      <c r="EF187" s="163">
        <f t="shared" si="120"/>
        <v>141.33333333333331</v>
      </c>
      <c r="EG187" s="643">
        <f t="shared" si="120"/>
        <v>42.333333333333329</v>
      </c>
      <c r="EH187" s="646">
        <f t="shared" si="119"/>
        <v>408</v>
      </c>
      <c r="EI187" s="645">
        <f t="shared" si="117"/>
        <v>262.00000000000006</v>
      </c>
      <c r="EJ187" s="163">
        <f t="shared" si="117"/>
        <v>200</v>
      </c>
      <c r="EK187" s="163">
        <f t="shared" si="117"/>
        <v>0</v>
      </c>
      <c r="EL187" s="163">
        <f t="shared" si="117"/>
        <v>61.999999999999972</v>
      </c>
      <c r="EM187" s="644">
        <f t="shared" si="117"/>
        <v>0</v>
      </c>
      <c r="EN187" s="645">
        <f t="shared" si="117"/>
        <v>146.00000000000003</v>
      </c>
      <c r="EO187" s="163">
        <f t="shared" si="117"/>
        <v>90.999999999999957</v>
      </c>
      <c r="EP187" s="163">
        <f t="shared" si="79"/>
        <v>0</v>
      </c>
      <c r="EQ187" s="163">
        <f t="shared" si="79"/>
        <v>40.000000000000028</v>
      </c>
      <c r="ER187" s="643">
        <f t="shared" si="79"/>
        <v>15.000000000000005</v>
      </c>
    </row>
    <row r="188" spans="1:148">
      <c r="A188" s="665" t="s">
        <v>240</v>
      </c>
      <c r="B188" s="665">
        <v>44228</v>
      </c>
      <c r="C188" s="664">
        <v>2021</v>
      </c>
      <c r="D188" s="646">
        <f t="shared" ref="D188:D204" si="153">D89/3+D187</f>
        <v>3091149.0000000009</v>
      </c>
      <c r="E188" s="646">
        <f t="shared" si="131"/>
        <v>47341.333333333336</v>
      </c>
      <c r="F188" s="645">
        <f t="shared" si="131"/>
        <v>28235.333333333343</v>
      </c>
      <c r="G188" s="163">
        <f t="shared" si="131"/>
        <v>20484.666666666668</v>
      </c>
      <c r="H188" s="163">
        <f t="shared" si="131"/>
        <v>0</v>
      </c>
      <c r="I188" s="163">
        <f t="shared" si="131"/>
        <v>7750.6666666666688</v>
      </c>
      <c r="J188" s="644">
        <f t="shared" si="131"/>
        <v>0</v>
      </c>
      <c r="K188" s="645">
        <f t="shared" si="131"/>
        <v>19105.999999999996</v>
      </c>
      <c r="L188" s="163">
        <f t="shared" si="131"/>
        <v>12166</v>
      </c>
      <c r="M188" s="163">
        <f t="shared" si="131"/>
        <v>0</v>
      </c>
      <c r="N188" s="163">
        <f t="shared" si="131"/>
        <v>5272.3333333333339</v>
      </c>
      <c r="O188" s="643">
        <f t="shared" si="131"/>
        <v>1667.6666666666658</v>
      </c>
      <c r="P188" s="646">
        <f t="shared" si="131"/>
        <v>83.333333333333343</v>
      </c>
      <c r="Q188" s="645">
        <f t="shared" si="131"/>
        <v>44.666666666666671</v>
      </c>
      <c r="R188" s="163">
        <f t="shared" si="131"/>
        <v>33.666666666666664</v>
      </c>
      <c r="S188" s="163">
        <f t="shared" si="131"/>
        <v>0</v>
      </c>
      <c r="T188" s="163">
        <f t="shared" si="131"/>
        <v>11.000000000000002</v>
      </c>
      <c r="U188" s="644">
        <f t="shared" ref="U188:AJ203" si="154">U89/3+U187</f>
        <v>0</v>
      </c>
      <c r="V188" s="645">
        <f t="shared" si="154"/>
        <v>38.666666666666686</v>
      </c>
      <c r="W188" s="163">
        <f t="shared" si="154"/>
        <v>24.666666666666668</v>
      </c>
      <c r="X188" s="163">
        <f t="shared" si="154"/>
        <v>0</v>
      </c>
      <c r="Y188" s="163">
        <f t="shared" si="154"/>
        <v>11.000000000000002</v>
      </c>
      <c r="Z188" s="643">
        <f t="shared" si="154"/>
        <v>3</v>
      </c>
      <c r="AA188" s="646">
        <f t="shared" si="154"/>
        <v>56.666666666666693</v>
      </c>
      <c r="AB188" s="645">
        <f t="shared" si="154"/>
        <v>25.666666666666671</v>
      </c>
      <c r="AC188" s="163">
        <f t="shared" si="154"/>
        <v>16.000000000000004</v>
      </c>
      <c r="AD188" s="163">
        <f t="shared" si="154"/>
        <v>0</v>
      </c>
      <c r="AE188" s="163">
        <f t="shared" si="154"/>
        <v>9.6666666666666679</v>
      </c>
      <c r="AF188" s="644">
        <f t="shared" si="154"/>
        <v>0</v>
      </c>
      <c r="AG188" s="645">
        <f t="shared" si="154"/>
        <v>31.000000000000007</v>
      </c>
      <c r="AH188" s="163">
        <f t="shared" si="154"/>
        <v>26</v>
      </c>
      <c r="AI188" s="163">
        <f t="shared" si="154"/>
        <v>0</v>
      </c>
      <c r="AJ188" s="163">
        <f t="shared" si="144"/>
        <v>1</v>
      </c>
      <c r="AK188" s="643">
        <f t="shared" si="144"/>
        <v>4</v>
      </c>
      <c r="AL188" s="646">
        <f t="shared" si="144"/>
        <v>418</v>
      </c>
      <c r="AM188" s="645">
        <f t="shared" si="144"/>
        <v>270.00000000000006</v>
      </c>
      <c r="AN188" s="163">
        <f t="shared" si="144"/>
        <v>204</v>
      </c>
      <c r="AO188" s="163">
        <f t="shared" si="144"/>
        <v>0</v>
      </c>
      <c r="AP188" s="163">
        <f t="shared" si="142"/>
        <v>65.999999999999972</v>
      </c>
      <c r="AQ188" s="644">
        <f t="shared" si="142"/>
        <v>0</v>
      </c>
      <c r="AR188" s="645">
        <f t="shared" si="142"/>
        <v>148.00000000000003</v>
      </c>
      <c r="AS188" s="163">
        <f t="shared" si="142"/>
        <v>91.999999999999957</v>
      </c>
      <c r="AT188" s="163">
        <f t="shared" si="142"/>
        <v>0</v>
      </c>
      <c r="AU188" s="163">
        <f t="shared" si="142"/>
        <v>41.000000000000028</v>
      </c>
      <c r="AV188" s="643">
        <f t="shared" si="142"/>
        <v>15.000000000000005</v>
      </c>
      <c r="AW188" s="646">
        <f t="shared" si="142"/>
        <v>234.33333333333337</v>
      </c>
      <c r="AX188" s="645">
        <f t="shared" si="142"/>
        <v>134.33333333333329</v>
      </c>
      <c r="AY188" s="163">
        <f t="shared" si="142"/>
        <v>102.66666666666664</v>
      </c>
      <c r="AZ188" s="163">
        <f t="shared" si="142"/>
        <v>0</v>
      </c>
      <c r="BA188" s="163">
        <f t="shared" si="142"/>
        <v>31.666666666666675</v>
      </c>
      <c r="BB188" s="644">
        <f t="shared" si="142"/>
        <v>0</v>
      </c>
      <c r="BC188" s="645">
        <f t="shared" si="142"/>
        <v>100.00000000000001</v>
      </c>
      <c r="BD188" s="163">
        <f t="shared" si="142"/>
        <v>74.999999999999957</v>
      </c>
      <c r="BE188" s="163">
        <f t="shared" si="142"/>
        <v>0</v>
      </c>
      <c r="BF188" s="163">
        <f t="shared" si="142"/>
        <v>18.000000000000011</v>
      </c>
      <c r="BG188" s="643">
        <f t="shared" si="142"/>
        <v>6.9999999999999991</v>
      </c>
      <c r="BH188" s="646">
        <f t="shared" ref="BH188:BW203" si="155">BH89/3+BH187</f>
        <v>311.33333333333337</v>
      </c>
      <c r="BI188" s="645">
        <f t="shared" si="155"/>
        <v>206.00000000000006</v>
      </c>
      <c r="BJ188" s="163">
        <f t="shared" si="155"/>
        <v>164.66666666666671</v>
      </c>
      <c r="BK188" s="163">
        <f t="shared" si="155"/>
        <v>0</v>
      </c>
      <c r="BL188" s="163">
        <f t="shared" si="155"/>
        <v>41.333333333333329</v>
      </c>
      <c r="BM188" s="644">
        <f t="shared" si="155"/>
        <v>0</v>
      </c>
      <c r="BN188" s="645">
        <f t="shared" si="155"/>
        <v>105.3333333333334</v>
      </c>
      <c r="BO188" s="163">
        <f t="shared" si="155"/>
        <v>60.000000000000021</v>
      </c>
      <c r="BP188" s="163">
        <f t="shared" si="155"/>
        <v>0</v>
      </c>
      <c r="BQ188" s="163">
        <f t="shared" si="155"/>
        <v>36.666666666666657</v>
      </c>
      <c r="BR188" s="643">
        <f t="shared" si="155"/>
        <v>8.6666666666666661</v>
      </c>
      <c r="BS188" s="646">
        <f t="shared" si="155"/>
        <v>484.66666666666686</v>
      </c>
      <c r="BT188" s="645">
        <f t="shared" si="155"/>
        <v>307.66666666666674</v>
      </c>
      <c r="BU188" s="163">
        <f t="shared" si="155"/>
        <v>217.99999999999994</v>
      </c>
      <c r="BV188" s="163">
        <f t="shared" si="155"/>
        <v>0</v>
      </c>
      <c r="BW188" s="163">
        <f t="shared" si="151"/>
        <v>89.666666666666686</v>
      </c>
      <c r="BX188" s="644">
        <f t="shared" si="134"/>
        <v>0</v>
      </c>
      <c r="BY188" s="645">
        <f t="shared" si="134"/>
        <v>177.00000000000003</v>
      </c>
      <c r="BZ188" s="163">
        <f t="shared" si="134"/>
        <v>101.66666666666666</v>
      </c>
      <c r="CA188" s="163">
        <f t="shared" si="134"/>
        <v>0</v>
      </c>
      <c r="CB188" s="163">
        <f t="shared" si="134"/>
        <v>58.3333333333333</v>
      </c>
      <c r="CC188" s="643">
        <f t="shared" si="134"/>
        <v>16.999999999999996</v>
      </c>
      <c r="CD188" s="646">
        <f t="shared" si="134"/>
        <v>101</v>
      </c>
      <c r="CE188" s="645">
        <f t="shared" si="134"/>
        <v>65.000000000000028</v>
      </c>
      <c r="CF188" s="163">
        <f t="shared" si="134"/>
        <v>47.999999999999993</v>
      </c>
      <c r="CG188" s="163">
        <f t="shared" si="134"/>
        <v>0</v>
      </c>
      <c r="CH188" s="163">
        <f t="shared" si="134"/>
        <v>17</v>
      </c>
      <c r="CI188" s="644">
        <f t="shared" si="134"/>
        <v>0</v>
      </c>
      <c r="CJ188" s="645">
        <f t="shared" si="134"/>
        <v>35.999999999999993</v>
      </c>
      <c r="CK188" s="163">
        <f t="shared" si="134"/>
        <v>25</v>
      </c>
      <c r="CL188" s="163">
        <f t="shared" si="134"/>
        <v>0</v>
      </c>
      <c r="CM188" s="163">
        <f t="shared" si="134"/>
        <v>7.9999999999999973</v>
      </c>
      <c r="CN188" s="643">
        <f t="shared" si="138"/>
        <v>3</v>
      </c>
      <c r="CO188" s="646">
        <f t="shared" si="138"/>
        <v>77.333333333333314</v>
      </c>
      <c r="CP188" s="645">
        <f t="shared" si="138"/>
        <v>43.6666666666667</v>
      </c>
      <c r="CQ188" s="163">
        <f t="shared" si="138"/>
        <v>38.000000000000014</v>
      </c>
      <c r="CR188" s="163">
        <f t="shared" si="138"/>
        <v>0</v>
      </c>
      <c r="CS188" s="163">
        <f t="shared" si="138"/>
        <v>5.6666666666666652</v>
      </c>
      <c r="CT188" s="644">
        <f t="shared" si="138"/>
        <v>0</v>
      </c>
      <c r="CU188" s="645">
        <f t="shared" si="138"/>
        <v>33.666666666666664</v>
      </c>
      <c r="CV188" s="163">
        <f t="shared" si="138"/>
        <v>23.999999999999986</v>
      </c>
      <c r="CW188" s="163">
        <f t="shared" si="138"/>
        <v>0</v>
      </c>
      <c r="CX188" s="163">
        <f t="shared" si="138"/>
        <v>9.6666666666666696</v>
      </c>
      <c r="CY188" s="643">
        <f t="shared" si="138"/>
        <v>0</v>
      </c>
      <c r="CZ188" s="646">
        <f t="shared" si="138"/>
        <v>20.666666666666664</v>
      </c>
      <c r="DA188" s="645">
        <f t="shared" si="138"/>
        <v>7.6666666666666652</v>
      </c>
      <c r="DB188" s="163">
        <f t="shared" si="138"/>
        <v>4</v>
      </c>
      <c r="DC188" s="163">
        <f t="shared" si="138"/>
        <v>0</v>
      </c>
      <c r="DD188" s="163">
        <f t="shared" si="136"/>
        <v>3.666666666666667</v>
      </c>
      <c r="DE188" s="644">
        <f t="shared" si="136"/>
        <v>0</v>
      </c>
      <c r="DF188" s="645">
        <f t="shared" si="136"/>
        <v>13.000000000000005</v>
      </c>
      <c r="DG188" s="163">
        <f t="shared" si="136"/>
        <v>12.000000000000009</v>
      </c>
      <c r="DH188" s="163">
        <f t="shared" si="136"/>
        <v>0</v>
      </c>
      <c r="DI188" s="163">
        <f t="shared" si="136"/>
        <v>1</v>
      </c>
      <c r="DJ188" s="643">
        <f t="shared" si="136"/>
        <v>0</v>
      </c>
      <c r="DK188" s="646">
        <f t="shared" si="136"/>
        <v>0</v>
      </c>
      <c r="DL188" s="645">
        <f t="shared" si="136"/>
        <v>0</v>
      </c>
      <c r="DM188" s="163">
        <f t="shared" si="136"/>
        <v>0</v>
      </c>
      <c r="DN188" s="163">
        <f t="shared" si="136"/>
        <v>0</v>
      </c>
      <c r="DO188" s="163">
        <f t="shared" si="136"/>
        <v>0</v>
      </c>
      <c r="DP188" s="644">
        <f t="shared" si="136"/>
        <v>0</v>
      </c>
      <c r="DQ188" s="645">
        <f t="shared" si="136"/>
        <v>1</v>
      </c>
      <c r="DR188" s="163">
        <f t="shared" si="136"/>
        <v>1</v>
      </c>
      <c r="DS188" s="163">
        <f t="shared" si="136"/>
        <v>0</v>
      </c>
      <c r="DT188" s="163">
        <f t="shared" si="152"/>
        <v>0</v>
      </c>
      <c r="DU188" s="643">
        <f t="shared" si="152"/>
        <v>0</v>
      </c>
      <c r="DW188" s="646">
        <f t="shared" si="121"/>
        <v>1369.3333333333335</v>
      </c>
      <c r="DX188" s="645">
        <f t="shared" si="121"/>
        <v>834.66666666666686</v>
      </c>
      <c r="DY188" s="163">
        <f t="shared" si="120"/>
        <v>625</v>
      </c>
      <c r="DZ188" s="163">
        <f t="shared" si="120"/>
        <v>0</v>
      </c>
      <c r="EA188" s="163">
        <f t="shared" si="120"/>
        <v>209.66666666666669</v>
      </c>
      <c r="EB188" s="644">
        <f t="shared" si="120"/>
        <v>0</v>
      </c>
      <c r="EC188" s="645">
        <f t="shared" si="120"/>
        <v>535.66666666666674</v>
      </c>
      <c r="ED188" s="163">
        <f t="shared" si="120"/>
        <v>349.33333333333331</v>
      </c>
      <c r="EE188" s="163">
        <f t="shared" si="120"/>
        <v>0</v>
      </c>
      <c r="EF188" s="163">
        <f t="shared" si="120"/>
        <v>143.66666666666663</v>
      </c>
      <c r="EG188" s="643">
        <f t="shared" si="120"/>
        <v>42.666666666666657</v>
      </c>
      <c r="EH188" s="646">
        <f t="shared" si="119"/>
        <v>418</v>
      </c>
      <c r="EI188" s="645">
        <f t="shared" si="117"/>
        <v>270.00000000000006</v>
      </c>
      <c r="EJ188" s="163">
        <f t="shared" si="117"/>
        <v>204</v>
      </c>
      <c r="EK188" s="163">
        <f t="shared" si="117"/>
        <v>0</v>
      </c>
      <c r="EL188" s="163">
        <f t="shared" si="117"/>
        <v>65.999999999999972</v>
      </c>
      <c r="EM188" s="644">
        <f t="shared" si="117"/>
        <v>0</v>
      </c>
      <c r="EN188" s="645">
        <f t="shared" si="117"/>
        <v>148.00000000000003</v>
      </c>
      <c r="EO188" s="163">
        <f t="shared" si="117"/>
        <v>91.999999999999957</v>
      </c>
      <c r="EP188" s="163">
        <f t="shared" si="79"/>
        <v>0</v>
      </c>
      <c r="EQ188" s="163">
        <f t="shared" si="79"/>
        <v>41.000000000000028</v>
      </c>
      <c r="ER188" s="643">
        <f t="shared" si="79"/>
        <v>15.000000000000005</v>
      </c>
    </row>
    <row r="189" spans="1:148">
      <c r="A189" s="665" t="s">
        <v>240</v>
      </c>
      <c r="B189" s="665">
        <v>44256</v>
      </c>
      <c r="C189" s="664">
        <v>2021</v>
      </c>
      <c r="D189" s="646">
        <f t="shared" si="153"/>
        <v>3138422.0000000009</v>
      </c>
      <c r="E189" s="646">
        <f t="shared" ref="E189:T204" si="156">E90/3+E188</f>
        <v>48462</v>
      </c>
      <c r="F189" s="645">
        <f t="shared" si="156"/>
        <v>29102.000000000011</v>
      </c>
      <c r="G189" s="163">
        <f t="shared" si="156"/>
        <v>20824</v>
      </c>
      <c r="H189" s="163">
        <f t="shared" si="156"/>
        <v>0</v>
      </c>
      <c r="I189" s="163">
        <f t="shared" si="156"/>
        <v>8278.0000000000018</v>
      </c>
      <c r="J189" s="644">
        <f t="shared" si="156"/>
        <v>0</v>
      </c>
      <c r="K189" s="645">
        <f t="shared" si="156"/>
        <v>19359.999999999996</v>
      </c>
      <c r="L189" s="163">
        <f t="shared" si="156"/>
        <v>12227</v>
      </c>
      <c r="M189" s="163">
        <f t="shared" si="156"/>
        <v>0</v>
      </c>
      <c r="N189" s="163">
        <f t="shared" si="156"/>
        <v>5443.0000000000009</v>
      </c>
      <c r="O189" s="643">
        <f t="shared" si="156"/>
        <v>1689.9999999999991</v>
      </c>
      <c r="P189" s="646">
        <f t="shared" si="156"/>
        <v>85.000000000000014</v>
      </c>
      <c r="Q189" s="645">
        <f t="shared" si="156"/>
        <v>46.000000000000007</v>
      </c>
      <c r="R189" s="163">
        <f t="shared" si="156"/>
        <v>34</v>
      </c>
      <c r="S189" s="163">
        <f t="shared" si="156"/>
        <v>0</v>
      </c>
      <c r="T189" s="163">
        <f t="shared" si="156"/>
        <v>12.000000000000002</v>
      </c>
      <c r="U189" s="644">
        <f t="shared" si="154"/>
        <v>0</v>
      </c>
      <c r="V189" s="645">
        <f t="shared" si="154"/>
        <v>39.000000000000021</v>
      </c>
      <c r="W189" s="163">
        <f t="shared" si="154"/>
        <v>25</v>
      </c>
      <c r="X189" s="163">
        <f t="shared" si="154"/>
        <v>0</v>
      </c>
      <c r="Y189" s="163">
        <f t="shared" si="154"/>
        <v>11.000000000000002</v>
      </c>
      <c r="Z189" s="643">
        <f t="shared" si="154"/>
        <v>3</v>
      </c>
      <c r="AA189" s="646">
        <f t="shared" si="154"/>
        <v>58.000000000000028</v>
      </c>
      <c r="AB189" s="645">
        <f t="shared" si="154"/>
        <v>27.000000000000004</v>
      </c>
      <c r="AC189" s="163">
        <f t="shared" si="154"/>
        <v>17.000000000000004</v>
      </c>
      <c r="AD189" s="163">
        <f t="shared" si="154"/>
        <v>0</v>
      </c>
      <c r="AE189" s="163">
        <f t="shared" si="154"/>
        <v>10.000000000000002</v>
      </c>
      <c r="AF189" s="644">
        <f t="shared" si="154"/>
        <v>0</v>
      </c>
      <c r="AG189" s="645">
        <f t="shared" si="154"/>
        <v>31.000000000000007</v>
      </c>
      <c r="AH189" s="163">
        <f t="shared" si="154"/>
        <v>26</v>
      </c>
      <c r="AI189" s="163">
        <f t="shared" si="154"/>
        <v>0</v>
      </c>
      <c r="AJ189" s="163">
        <f t="shared" si="144"/>
        <v>1</v>
      </c>
      <c r="AK189" s="643">
        <f t="shared" si="144"/>
        <v>4</v>
      </c>
      <c r="AL189" s="646">
        <f t="shared" si="144"/>
        <v>428</v>
      </c>
      <c r="AM189" s="645">
        <f t="shared" si="144"/>
        <v>278.00000000000006</v>
      </c>
      <c r="AN189" s="163">
        <f t="shared" si="144"/>
        <v>208</v>
      </c>
      <c r="AO189" s="163">
        <f t="shared" si="144"/>
        <v>0</v>
      </c>
      <c r="AP189" s="163">
        <f t="shared" si="142"/>
        <v>69.999999999999972</v>
      </c>
      <c r="AQ189" s="644">
        <f t="shared" si="142"/>
        <v>0</v>
      </c>
      <c r="AR189" s="645">
        <f t="shared" si="142"/>
        <v>150.00000000000003</v>
      </c>
      <c r="AS189" s="163">
        <f t="shared" si="142"/>
        <v>92.999999999999957</v>
      </c>
      <c r="AT189" s="163">
        <f t="shared" si="142"/>
        <v>0</v>
      </c>
      <c r="AU189" s="163">
        <f t="shared" si="142"/>
        <v>42.000000000000028</v>
      </c>
      <c r="AV189" s="643">
        <f t="shared" si="142"/>
        <v>15.000000000000005</v>
      </c>
      <c r="AW189" s="646">
        <f t="shared" si="142"/>
        <v>238.00000000000003</v>
      </c>
      <c r="AX189" s="645">
        <f t="shared" si="142"/>
        <v>137.99999999999994</v>
      </c>
      <c r="AY189" s="163">
        <f t="shared" si="142"/>
        <v>103.99999999999997</v>
      </c>
      <c r="AZ189" s="163">
        <f t="shared" si="142"/>
        <v>0</v>
      </c>
      <c r="BA189" s="163">
        <f t="shared" si="142"/>
        <v>34.000000000000007</v>
      </c>
      <c r="BB189" s="644">
        <f t="shared" si="142"/>
        <v>0</v>
      </c>
      <c r="BC189" s="645">
        <f t="shared" si="142"/>
        <v>100.00000000000001</v>
      </c>
      <c r="BD189" s="163">
        <f t="shared" si="142"/>
        <v>74.999999999999957</v>
      </c>
      <c r="BE189" s="163">
        <f t="shared" si="142"/>
        <v>0</v>
      </c>
      <c r="BF189" s="163">
        <f t="shared" si="142"/>
        <v>18.000000000000011</v>
      </c>
      <c r="BG189" s="643">
        <f t="shared" si="142"/>
        <v>6.9999999999999991</v>
      </c>
      <c r="BH189" s="646">
        <f t="shared" si="155"/>
        <v>321.00000000000006</v>
      </c>
      <c r="BI189" s="645">
        <f t="shared" si="155"/>
        <v>214.00000000000006</v>
      </c>
      <c r="BJ189" s="163">
        <f t="shared" si="155"/>
        <v>169.00000000000006</v>
      </c>
      <c r="BK189" s="163">
        <f t="shared" si="155"/>
        <v>0</v>
      </c>
      <c r="BL189" s="163">
        <f t="shared" si="155"/>
        <v>44.999999999999993</v>
      </c>
      <c r="BM189" s="644">
        <f t="shared" si="155"/>
        <v>0</v>
      </c>
      <c r="BN189" s="645">
        <f t="shared" si="155"/>
        <v>107.00000000000007</v>
      </c>
      <c r="BO189" s="163">
        <f t="shared" si="155"/>
        <v>60.000000000000021</v>
      </c>
      <c r="BP189" s="163">
        <f t="shared" si="155"/>
        <v>0</v>
      </c>
      <c r="BQ189" s="163">
        <f t="shared" si="155"/>
        <v>37.999999999999993</v>
      </c>
      <c r="BR189" s="643">
        <f t="shared" si="155"/>
        <v>9</v>
      </c>
      <c r="BS189" s="646">
        <f t="shared" si="155"/>
        <v>495.00000000000017</v>
      </c>
      <c r="BT189" s="645">
        <f t="shared" si="155"/>
        <v>317.00000000000006</v>
      </c>
      <c r="BU189" s="163">
        <f t="shared" si="155"/>
        <v>222.99999999999994</v>
      </c>
      <c r="BV189" s="163">
        <f t="shared" si="155"/>
        <v>0</v>
      </c>
      <c r="BW189" s="163">
        <f t="shared" si="151"/>
        <v>94.000000000000014</v>
      </c>
      <c r="BX189" s="644">
        <f t="shared" si="134"/>
        <v>0</v>
      </c>
      <c r="BY189" s="645">
        <f t="shared" si="134"/>
        <v>178.00000000000003</v>
      </c>
      <c r="BZ189" s="163">
        <f t="shared" si="134"/>
        <v>101.99999999999999</v>
      </c>
      <c r="CA189" s="163">
        <f t="shared" si="134"/>
        <v>0</v>
      </c>
      <c r="CB189" s="163">
        <f t="shared" si="134"/>
        <v>58.999999999999964</v>
      </c>
      <c r="CC189" s="643">
        <f t="shared" si="134"/>
        <v>16.999999999999996</v>
      </c>
      <c r="CD189" s="646">
        <f t="shared" si="134"/>
        <v>102</v>
      </c>
      <c r="CE189" s="645">
        <f t="shared" si="134"/>
        <v>66.000000000000028</v>
      </c>
      <c r="CF189" s="163">
        <f t="shared" si="134"/>
        <v>47.999999999999993</v>
      </c>
      <c r="CG189" s="163">
        <f t="shared" si="134"/>
        <v>0</v>
      </c>
      <c r="CH189" s="163">
        <f t="shared" si="134"/>
        <v>18</v>
      </c>
      <c r="CI189" s="644">
        <f t="shared" si="134"/>
        <v>0</v>
      </c>
      <c r="CJ189" s="645">
        <f t="shared" si="134"/>
        <v>35.999999999999993</v>
      </c>
      <c r="CK189" s="163">
        <f t="shared" si="134"/>
        <v>25</v>
      </c>
      <c r="CL189" s="163">
        <f t="shared" si="134"/>
        <v>0</v>
      </c>
      <c r="CM189" s="163">
        <f t="shared" si="134"/>
        <v>7.9999999999999973</v>
      </c>
      <c r="CN189" s="643">
        <f t="shared" si="138"/>
        <v>3</v>
      </c>
      <c r="CO189" s="646">
        <f t="shared" si="138"/>
        <v>78.999999999999986</v>
      </c>
      <c r="CP189" s="645">
        <f t="shared" si="138"/>
        <v>45.000000000000036</v>
      </c>
      <c r="CQ189" s="163">
        <f t="shared" si="138"/>
        <v>39.000000000000014</v>
      </c>
      <c r="CR189" s="163">
        <f t="shared" si="138"/>
        <v>0</v>
      </c>
      <c r="CS189" s="163">
        <f t="shared" si="138"/>
        <v>5.9999999999999982</v>
      </c>
      <c r="CT189" s="644">
        <f t="shared" si="138"/>
        <v>0</v>
      </c>
      <c r="CU189" s="645">
        <f t="shared" si="138"/>
        <v>34</v>
      </c>
      <c r="CV189" s="163">
        <f t="shared" si="138"/>
        <v>23.999999999999986</v>
      </c>
      <c r="CW189" s="163">
        <f t="shared" si="138"/>
        <v>0</v>
      </c>
      <c r="CX189" s="163">
        <f t="shared" si="138"/>
        <v>10.000000000000004</v>
      </c>
      <c r="CY189" s="643">
        <f t="shared" si="138"/>
        <v>0</v>
      </c>
      <c r="CZ189" s="646">
        <f t="shared" si="138"/>
        <v>20.999999999999996</v>
      </c>
      <c r="DA189" s="645">
        <f t="shared" si="138"/>
        <v>7.9999999999999982</v>
      </c>
      <c r="DB189" s="163">
        <f t="shared" si="138"/>
        <v>4</v>
      </c>
      <c r="DC189" s="163">
        <f t="shared" si="138"/>
        <v>0</v>
      </c>
      <c r="DD189" s="163">
        <f t="shared" si="136"/>
        <v>4</v>
      </c>
      <c r="DE189" s="644">
        <f t="shared" si="136"/>
        <v>0</v>
      </c>
      <c r="DF189" s="645">
        <f t="shared" si="136"/>
        <v>13.000000000000005</v>
      </c>
      <c r="DG189" s="163">
        <f t="shared" si="136"/>
        <v>12.000000000000009</v>
      </c>
      <c r="DH189" s="163">
        <f t="shared" si="136"/>
        <v>0</v>
      </c>
      <c r="DI189" s="163">
        <f t="shared" si="136"/>
        <v>1</v>
      </c>
      <c r="DJ189" s="643">
        <f t="shared" si="136"/>
        <v>0</v>
      </c>
      <c r="DK189" s="646">
        <f t="shared" si="136"/>
        <v>0</v>
      </c>
      <c r="DL189" s="645">
        <f t="shared" si="136"/>
        <v>0</v>
      </c>
      <c r="DM189" s="163">
        <f t="shared" si="136"/>
        <v>0</v>
      </c>
      <c r="DN189" s="163">
        <f t="shared" si="136"/>
        <v>0</v>
      </c>
      <c r="DO189" s="163">
        <f t="shared" si="136"/>
        <v>0</v>
      </c>
      <c r="DP189" s="644">
        <f t="shared" si="136"/>
        <v>0</v>
      </c>
      <c r="DQ189" s="645">
        <f t="shared" si="136"/>
        <v>1</v>
      </c>
      <c r="DR189" s="163">
        <f t="shared" si="136"/>
        <v>1</v>
      </c>
      <c r="DS189" s="163">
        <f t="shared" si="136"/>
        <v>0</v>
      </c>
      <c r="DT189" s="163">
        <f t="shared" si="152"/>
        <v>0</v>
      </c>
      <c r="DU189" s="643">
        <f t="shared" si="152"/>
        <v>0</v>
      </c>
      <c r="DW189" s="646">
        <f t="shared" si="121"/>
        <v>1399.0000000000005</v>
      </c>
      <c r="DX189" s="645">
        <f t="shared" si="121"/>
        <v>861</v>
      </c>
      <c r="DY189" s="163">
        <f t="shared" si="120"/>
        <v>638</v>
      </c>
      <c r="DZ189" s="163">
        <f t="shared" si="120"/>
        <v>0</v>
      </c>
      <c r="EA189" s="163">
        <f t="shared" si="120"/>
        <v>223</v>
      </c>
      <c r="EB189" s="644">
        <f t="shared" si="120"/>
        <v>0</v>
      </c>
      <c r="EC189" s="645">
        <f t="shared" si="120"/>
        <v>539.00000000000011</v>
      </c>
      <c r="ED189" s="163">
        <f t="shared" si="120"/>
        <v>349.99999999999994</v>
      </c>
      <c r="EE189" s="163">
        <f t="shared" si="120"/>
        <v>0</v>
      </c>
      <c r="EF189" s="163">
        <f t="shared" si="120"/>
        <v>145.99999999999997</v>
      </c>
      <c r="EG189" s="643">
        <f t="shared" si="120"/>
        <v>43</v>
      </c>
      <c r="EH189" s="646">
        <f t="shared" si="119"/>
        <v>428</v>
      </c>
      <c r="EI189" s="645">
        <f t="shared" si="117"/>
        <v>278.00000000000006</v>
      </c>
      <c r="EJ189" s="163">
        <f t="shared" si="117"/>
        <v>208</v>
      </c>
      <c r="EK189" s="163">
        <f t="shared" si="117"/>
        <v>0</v>
      </c>
      <c r="EL189" s="163">
        <f t="shared" si="117"/>
        <v>69.999999999999972</v>
      </c>
      <c r="EM189" s="644">
        <f t="shared" si="117"/>
        <v>0</v>
      </c>
      <c r="EN189" s="645">
        <f t="shared" si="117"/>
        <v>150.00000000000003</v>
      </c>
      <c r="EO189" s="163">
        <f t="shared" si="117"/>
        <v>92.999999999999957</v>
      </c>
      <c r="EP189" s="163">
        <f t="shared" si="79"/>
        <v>0</v>
      </c>
      <c r="EQ189" s="163">
        <f t="shared" si="79"/>
        <v>42.000000000000028</v>
      </c>
      <c r="ER189" s="643">
        <f t="shared" si="79"/>
        <v>15.000000000000005</v>
      </c>
    </row>
    <row r="190" spans="1:148">
      <c r="A190" s="665" t="s">
        <v>241</v>
      </c>
      <c r="B190" s="665">
        <v>44287</v>
      </c>
      <c r="C190" s="664">
        <v>2021</v>
      </c>
      <c r="D190" s="646">
        <f t="shared" si="153"/>
        <v>3198482.3333333344</v>
      </c>
      <c r="E190" s="646">
        <f t="shared" si="156"/>
        <v>50178</v>
      </c>
      <c r="F190" s="645">
        <f t="shared" si="156"/>
        <v>30356.000000000011</v>
      </c>
      <c r="G190" s="163">
        <f t="shared" si="156"/>
        <v>21391.333333333332</v>
      </c>
      <c r="H190" s="163">
        <f t="shared" si="156"/>
        <v>0</v>
      </c>
      <c r="I190" s="163">
        <f t="shared" si="156"/>
        <v>8964.6666666666679</v>
      </c>
      <c r="J190" s="644">
        <f t="shared" si="156"/>
        <v>0</v>
      </c>
      <c r="K190" s="645">
        <f t="shared" si="156"/>
        <v>19821.999999999996</v>
      </c>
      <c r="L190" s="163">
        <f t="shared" si="156"/>
        <v>12316</v>
      </c>
      <c r="M190" s="163">
        <f t="shared" si="156"/>
        <v>0</v>
      </c>
      <c r="N190" s="163">
        <f t="shared" si="156"/>
        <v>5797.3333333333339</v>
      </c>
      <c r="O190" s="643">
        <f t="shared" si="156"/>
        <v>1708.6666666666658</v>
      </c>
      <c r="P190" s="646">
        <f t="shared" si="156"/>
        <v>86.000000000000014</v>
      </c>
      <c r="Q190" s="645">
        <f t="shared" si="156"/>
        <v>47.000000000000007</v>
      </c>
      <c r="R190" s="163">
        <f t="shared" si="156"/>
        <v>34.666666666666664</v>
      </c>
      <c r="S190" s="163">
        <f t="shared" si="156"/>
        <v>0</v>
      </c>
      <c r="T190" s="163">
        <f t="shared" si="156"/>
        <v>12.333333333333336</v>
      </c>
      <c r="U190" s="644">
        <f t="shared" si="154"/>
        <v>0</v>
      </c>
      <c r="V190" s="645">
        <f t="shared" si="154"/>
        <v>39.000000000000021</v>
      </c>
      <c r="W190" s="163">
        <f t="shared" si="154"/>
        <v>25</v>
      </c>
      <c r="X190" s="163">
        <f t="shared" si="154"/>
        <v>0</v>
      </c>
      <c r="Y190" s="163">
        <f t="shared" si="154"/>
        <v>11.000000000000002</v>
      </c>
      <c r="Z190" s="643">
        <f t="shared" si="154"/>
        <v>3</v>
      </c>
      <c r="AA190" s="646">
        <f t="shared" si="154"/>
        <v>59.333333333333364</v>
      </c>
      <c r="AB190" s="645">
        <f t="shared" si="154"/>
        <v>28.000000000000004</v>
      </c>
      <c r="AC190" s="163">
        <f t="shared" si="154"/>
        <v>17.000000000000004</v>
      </c>
      <c r="AD190" s="163">
        <f t="shared" si="154"/>
        <v>0</v>
      </c>
      <c r="AE190" s="163">
        <f t="shared" si="154"/>
        <v>11.000000000000002</v>
      </c>
      <c r="AF190" s="644">
        <f t="shared" si="154"/>
        <v>0</v>
      </c>
      <c r="AG190" s="645">
        <f t="shared" si="154"/>
        <v>31.333333333333339</v>
      </c>
      <c r="AH190" s="163">
        <f t="shared" si="154"/>
        <v>26.333333333333332</v>
      </c>
      <c r="AI190" s="163">
        <f t="shared" si="154"/>
        <v>0</v>
      </c>
      <c r="AJ190" s="163">
        <f t="shared" si="144"/>
        <v>1</v>
      </c>
      <c r="AK190" s="643">
        <f t="shared" si="144"/>
        <v>4</v>
      </c>
      <c r="AL190" s="646">
        <f t="shared" si="144"/>
        <v>446.66666666666669</v>
      </c>
      <c r="AM190" s="645">
        <f t="shared" si="144"/>
        <v>291.00000000000006</v>
      </c>
      <c r="AN190" s="163">
        <f t="shared" si="144"/>
        <v>214</v>
      </c>
      <c r="AO190" s="163">
        <f t="shared" si="144"/>
        <v>0</v>
      </c>
      <c r="AP190" s="163">
        <f t="shared" si="142"/>
        <v>76.999999999999972</v>
      </c>
      <c r="AQ190" s="644">
        <f t="shared" si="142"/>
        <v>0</v>
      </c>
      <c r="AR190" s="645">
        <f t="shared" si="142"/>
        <v>155.66666666666669</v>
      </c>
      <c r="AS190" s="163">
        <f t="shared" si="142"/>
        <v>93.999999999999957</v>
      </c>
      <c r="AT190" s="163">
        <f t="shared" si="142"/>
        <v>0</v>
      </c>
      <c r="AU190" s="163">
        <f t="shared" si="142"/>
        <v>46.666666666666693</v>
      </c>
      <c r="AV190" s="643">
        <f t="shared" si="142"/>
        <v>15.000000000000005</v>
      </c>
      <c r="AW190" s="646">
        <f t="shared" si="142"/>
        <v>246.00000000000003</v>
      </c>
      <c r="AX190" s="645">
        <f t="shared" si="142"/>
        <v>144.6666666666666</v>
      </c>
      <c r="AY190" s="163">
        <f t="shared" si="142"/>
        <v>107.66666666666664</v>
      </c>
      <c r="AZ190" s="163">
        <f t="shared" si="142"/>
        <v>0</v>
      </c>
      <c r="BA190" s="163">
        <f t="shared" si="142"/>
        <v>37.000000000000007</v>
      </c>
      <c r="BB190" s="644">
        <f t="shared" si="142"/>
        <v>0</v>
      </c>
      <c r="BC190" s="645">
        <f t="shared" si="142"/>
        <v>101.33333333333334</v>
      </c>
      <c r="BD190" s="163">
        <f t="shared" si="142"/>
        <v>75.666666666666629</v>
      </c>
      <c r="BE190" s="163">
        <f t="shared" si="142"/>
        <v>0</v>
      </c>
      <c r="BF190" s="163">
        <f t="shared" si="142"/>
        <v>18.666666666666679</v>
      </c>
      <c r="BG190" s="643">
        <f t="shared" si="142"/>
        <v>6.9999999999999991</v>
      </c>
      <c r="BH190" s="646">
        <f t="shared" si="155"/>
        <v>336.00000000000006</v>
      </c>
      <c r="BI190" s="645">
        <f t="shared" si="155"/>
        <v>226.66666666666671</v>
      </c>
      <c r="BJ190" s="163">
        <f t="shared" si="155"/>
        <v>174.66666666666671</v>
      </c>
      <c r="BK190" s="163">
        <f t="shared" si="155"/>
        <v>0</v>
      </c>
      <c r="BL190" s="163">
        <f t="shared" si="155"/>
        <v>51.999999999999993</v>
      </c>
      <c r="BM190" s="644">
        <f t="shared" si="155"/>
        <v>0</v>
      </c>
      <c r="BN190" s="645">
        <f t="shared" si="155"/>
        <v>109.3333333333334</v>
      </c>
      <c r="BO190" s="163">
        <f t="shared" si="155"/>
        <v>60.666666666666686</v>
      </c>
      <c r="BP190" s="163">
        <f t="shared" si="155"/>
        <v>0</v>
      </c>
      <c r="BQ190" s="163">
        <f t="shared" si="155"/>
        <v>39.333333333333329</v>
      </c>
      <c r="BR190" s="643">
        <f t="shared" si="155"/>
        <v>9.3333333333333339</v>
      </c>
      <c r="BS190" s="646">
        <f t="shared" si="155"/>
        <v>510.33333333333348</v>
      </c>
      <c r="BT190" s="645">
        <f t="shared" si="155"/>
        <v>329.66666666666674</v>
      </c>
      <c r="BU190" s="163">
        <f t="shared" si="155"/>
        <v>228.33333333333329</v>
      </c>
      <c r="BV190" s="163">
        <f t="shared" si="155"/>
        <v>0</v>
      </c>
      <c r="BW190" s="163">
        <f t="shared" si="151"/>
        <v>101.33333333333334</v>
      </c>
      <c r="BX190" s="644">
        <f t="shared" si="134"/>
        <v>0</v>
      </c>
      <c r="BY190" s="645">
        <f t="shared" si="134"/>
        <v>180.66666666666669</v>
      </c>
      <c r="BZ190" s="163">
        <f t="shared" si="134"/>
        <v>102.99999999999999</v>
      </c>
      <c r="CA190" s="163">
        <f t="shared" si="134"/>
        <v>0</v>
      </c>
      <c r="CB190" s="163">
        <f t="shared" si="134"/>
        <v>60.666666666666629</v>
      </c>
      <c r="CC190" s="643">
        <f t="shared" si="134"/>
        <v>16.999999999999996</v>
      </c>
      <c r="CD190" s="646">
        <f t="shared" si="134"/>
        <v>104.66666666666667</v>
      </c>
      <c r="CE190" s="645">
        <f t="shared" si="134"/>
        <v>68.000000000000028</v>
      </c>
      <c r="CF190" s="163">
        <f t="shared" si="134"/>
        <v>47.999999999999993</v>
      </c>
      <c r="CG190" s="163">
        <f t="shared" si="134"/>
        <v>0</v>
      </c>
      <c r="CH190" s="163">
        <f t="shared" si="134"/>
        <v>20</v>
      </c>
      <c r="CI190" s="644">
        <f t="shared" si="134"/>
        <v>0</v>
      </c>
      <c r="CJ190" s="645">
        <f t="shared" si="134"/>
        <v>36.666666666666657</v>
      </c>
      <c r="CK190" s="163">
        <f t="shared" si="134"/>
        <v>25</v>
      </c>
      <c r="CL190" s="163">
        <f t="shared" si="134"/>
        <v>0</v>
      </c>
      <c r="CM190" s="163">
        <f t="shared" ref="CM190:DB205" si="157">CM91/3+CM189</f>
        <v>8.6666666666666643</v>
      </c>
      <c r="CN190" s="643">
        <f t="shared" si="138"/>
        <v>3</v>
      </c>
      <c r="CO190" s="646">
        <f t="shared" si="138"/>
        <v>80.999999999999986</v>
      </c>
      <c r="CP190" s="645">
        <f t="shared" si="138"/>
        <v>46.333333333333371</v>
      </c>
      <c r="CQ190" s="163">
        <f t="shared" si="138"/>
        <v>39.33333333333335</v>
      </c>
      <c r="CR190" s="163">
        <f t="shared" si="138"/>
        <v>0</v>
      </c>
      <c r="CS190" s="163">
        <f t="shared" si="138"/>
        <v>6.9999999999999982</v>
      </c>
      <c r="CT190" s="644">
        <f t="shared" si="138"/>
        <v>0</v>
      </c>
      <c r="CU190" s="645">
        <f t="shared" si="138"/>
        <v>34.666666666666664</v>
      </c>
      <c r="CV190" s="163">
        <f t="shared" si="138"/>
        <v>23.999999999999986</v>
      </c>
      <c r="CW190" s="163">
        <f t="shared" si="138"/>
        <v>0</v>
      </c>
      <c r="CX190" s="163">
        <f t="shared" si="138"/>
        <v>10.66666666666667</v>
      </c>
      <c r="CY190" s="643">
        <f t="shared" si="138"/>
        <v>0</v>
      </c>
      <c r="CZ190" s="646">
        <f t="shared" si="138"/>
        <v>21.333333333333329</v>
      </c>
      <c r="DA190" s="645">
        <f t="shared" si="138"/>
        <v>8.3333333333333321</v>
      </c>
      <c r="DB190" s="163">
        <f t="shared" si="138"/>
        <v>4</v>
      </c>
      <c r="DC190" s="163">
        <f t="shared" si="138"/>
        <v>0</v>
      </c>
      <c r="DD190" s="163">
        <f t="shared" si="136"/>
        <v>4.333333333333333</v>
      </c>
      <c r="DE190" s="644">
        <f t="shared" si="136"/>
        <v>0</v>
      </c>
      <c r="DF190" s="645">
        <f t="shared" si="136"/>
        <v>13.000000000000005</v>
      </c>
      <c r="DG190" s="163">
        <f t="shared" si="136"/>
        <v>12.000000000000009</v>
      </c>
      <c r="DH190" s="163">
        <f t="shared" si="136"/>
        <v>0</v>
      </c>
      <c r="DI190" s="163">
        <f t="shared" si="136"/>
        <v>1</v>
      </c>
      <c r="DJ190" s="643">
        <f t="shared" si="136"/>
        <v>0</v>
      </c>
      <c r="DK190" s="646">
        <f t="shared" si="136"/>
        <v>0</v>
      </c>
      <c r="DL190" s="645">
        <f t="shared" si="136"/>
        <v>0</v>
      </c>
      <c r="DM190" s="163">
        <f t="shared" si="136"/>
        <v>0</v>
      </c>
      <c r="DN190" s="163">
        <f t="shared" si="136"/>
        <v>0</v>
      </c>
      <c r="DO190" s="163">
        <f t="shared" si="136"/>
        <v>0</v>
      </c>
      <c r="DP190" s="644">
        <f t="shared" si="136"/>
        <v>0</v>
      </c>
      <c r="DQ190" s="645">
        <f t="shared" si="136"/>
        <v>1</v>
      </c>
      <c r="DR190" s="163">
        <f t="shared" si="136"/>
        <v>1</v>
      </c>
      <c r="DS190" s="163">
        <f t="shared" si="136"/>
        <v>0</v>
      </c>
      <c r="DT190" s="163">
        <f t="shared" si="152"/>
        <v>0</v>
      </c>
      <c r="DU190" s="643">
        <f t="shared" si="152"/>
        <v>0</v>
      </c>
      <c r="DW190" s="646">
        <f t="shared" si="121"/>
        <v>1444.666666666667</v>
      </c>
      <c r="DX190" s="645">
        <f t="shared" si="121"/>
        <v>898.66666666666686</v>
      </c>
      <c r="DY190" s="163">
        <f t="shared" si="120"/>
        <v>653.66666666666663</v>
      </c>
      <c r="DZ190" s="163">
        <f t="shared" si="120"/>
        <v>0</v>
      </c>
      <c r="EA190" s="163">
        <f t="shared" si="120"/>
        <v>245.00000000000003</v>
      </c>
      <c r="EB190" s="644">
        <f t="shared" ref="EB190:EG232" si="158">U190+AF190+BB190+BM190+BX190+CI190+CT190+DE190+DP190</f>
        <v>0</v>
      </c>
      <c r="EC190" s="645">
        <f t="shared" si="158"/>
        <v>547.00000000000011</v>
      </c>
      <c r="ED190" s="163">
        <f t="shared" si="158"/>
        <v>352.66666666666663</v>
      </c>
      <c r="EE190" s="163">
        <f t="shared" si="158"/>
        <v>0</v>
      </c>
      <c r="EF190" s="163">
        <f t="shared" si="158"/>
        <v>150.99999999999994</v>
      </c>
      <c r="EG190" s="643">
        <f t="shared" si="158"/>
        <v>43.333333333333329</v>
      </c>
      <c r="EH190" s="646">
        <f t="shared" si="119"/>
        <v>446.66666666666669</v>
      </c>
      <c r="EI190" s="645">
        <f t="shared" si="117"/>
        <v>291.00000000000006</v>
      </c>
      <c r="EJ190" s="163">
        <f t="shared" si="117"/>
        <v>214</v>
      </c>
      <c r="EK190" s="163">
        <f t="shared" si="117"/>
        <v>0</v>
      </c>
      <c r="EL190" s="163">
        <f t="shared" si="117"/>
        <v>76.999999999999972</v>
      </c>
      <c r="EM190" s="644">
        <f t="shared" si="117"/>
        <v>0</v>
      </c>
      <c r="EN190" s="645">
        <f t="shared" si="117"/>
        <v>155.66666666666669</v>
      </c>
      <c r="EO190" s="163">
        <f t="shared" si="117"/>
        <v>93.999999999999957</v>
      </c>
      <c r="EP190" s="163">
        <f t="shared" si="79"/>
        <v>0</v>
      </c>
      <c r="EQ190" s="163">
        <f t="shared" si="79"/>
        <v>46.666666666666693</v>
      </c>
      <c r="ER190" s="643">
        <f t="shared" si="79"/>
        <v>15.000000000000005</v>
      </c>
    </row>
    <row r="191" spans="1:148">
      <c r="A191" s="665" t="s">
        <v>241</v>
      </c>
      <c r="B191" s="665">
        <v>44317</v>
      </c>
      <c r="C191" s="664">
        <v>2021</v>
      </c>
      <c r="D191" s="646">
        <f t="shared" si="153"/>
        <v>3258542.6666666679</v>
      </c>
      <c r="E191" s="646">
        <f t="shared" si="156"/>
        <v>51894</v>
      </c>
      <c r="F191" s="645">
        <f t="shared" si="156"/>
        <v>31610.000000000011</v>
      </c>
      <c r="G191" s="163">
        <f t="shared" si="156"/>
        <v>21958.666666666664</v>
      </c>
      <c r="H191" s="163">
        <f t="shared" si="156"/>
        <v>0</v>
      </c>
      <c r="I191" s="163">
        <f t="shared" si="156"/>
        <v>9651.3333333333339</v>
      </c>
      <c r="J191" s="644">
        <f t="shared" si="156"/>
        <v>0</v>
      </c>
      <c r="K191" s="645">
        <f t="shared" si="156"/>
        <v>20283.999999999996</v>
      </c>
      <c r="L191" s="163">
        <f t="shared" si="156"/>
        <v>12405</v>
      </c>
      <c r="M191" s="163">
        <f t="shared" si="156"/>
        <v>0</v>
      </c>
      <c r="N191" s="163">
        <f t="shared" si="156"/>
        <v>6151.666666666667</v>
      </c>
      <c r="O191" s="643">
        <f t="shared" si="156"/>
        <v>1727.3333333333326</v>
      </c>
      <c r="P191" s="646">
        <f t="shared" si="156"/>
        <v>87.000000000000014</v>
      </c>
      <c r="Q191" s="645">
        <f t="shared" si="156"/>
        <v>48.000000000000007</v>
      </c>
      <c r="R191" s="163">
        <f t="shared" si="156"/>
        <v>35.333333333333329</v>
      </c>
      <c r="S191" s="163">
        <f t="shared" si="156"/>
        <v>0</v>
      </c>
      <c r="T191" s="163">
        <f t="shared" si="156"/>
        <v>12.66666666666667</v>
      </c>
      <c r="U191" s="644">
        <f t="shared" si="154"/>
        <v>0</v>
      </c>
      <c r="V191" s="645">
        <f t="shared" si="154"/>
        <v>39.000000000000021</v>
      </c>
      <c r="W191" s="163">
        <f t="shared" si="154"/>
        <v>25</v>
      </c>
      <c r="X191" s="163">
        <f t="shared" si="154"/>
        <v>0</v>
      </c>
      <c r="Y191" s="163">
        <f t="shared" si="154"/>
        <v>11.000000000000002</v>
      </c>
      <c r="Z191" s="643">
        <f t="shared" si="154"/>
        <v>3</v>
      </c>
      <c r="AA191" s="646">
        <f t="shared" si="154"/>
        <v>60.6666666666667</v>
      </c>
      <c r="AB191" s="645">
        <f t="shared" si="154"/>
        <v>29.000000000000004</v>
      </c>
      <c r="AC191" s="163">
        <f t="shared" si="154"/>
        <v>17.000000000000004</v>
      </c>
      <c r="AD191" s="163">
        <f t="shared" si="154"/>
        <v>0</v>
      </c>
      <c r="AE191" s="163">
        <f t="shared" si="154"/>
        <v>12.000000000000002</v>
      </c>
      <c r="AF191" s="644">
        <f t="shared" si="154"/>
        <v>0</v>
      </c>
      <c r="AG191" s="645">
        <f t="shared" si="154"/>
        <v>31.666666666666671</v>
      </c>
      <c r="AH191" s="163">
        <f t="shared" si="154"/>
        <v>26.666666666666664</v>
      </c>
      <c r="AI191" s="163">
        <f t="shared" si="154"/>
        <v>0</v>
      </c>
      <c r="AJ191" s="163">
        <f t="shared" si="144"/>
        <v>1</v>
      </c>
      <c r="AK191" s="643">
        <f t="shared" si="144"/>
        <v>4</v>
      </c>
      <c r="AL191" s="646">
        <f t="shared" si="144"/>
        <v>465.33333333333337</v>
      </c>
      <c r="AM191" s="645">
        <f t="shared" si="144"/>
        <v>304.00000000000006</v>
      </c>
      <c r="AN191" s="163">
        <f t="shared" si="144"/>
        <v>220</v>
      </c>
      <c r="AO191" s="163">
        <f t="shared" si="144"/>
        <v>0</v>
      </c>
      <c r="AP191" s="163">
        <f t="shared" si="142"/>
        <v>83.999999999999972</v>
      </c>
      <c r="AQ191" s="644">
        <f t="shared" si="142"/>
        <v>0</v>
      </c>
      <c r="AR191" s="645">
        <f t="shared" si="142"/>
        <v>161.33333333333334</v>
      </c>
      <c r="AS191" s="163">
        <f t="shared" si="142"/>
        <v>94.999999999999957</v>
      </c>
      <c r="AT191" s="163">
        <f t="shared" si="142"/>
        <v>0</v>
      </c>
      <c r="AU191" s="163">
        <f t="shared" si="142"/>
        <v>51.333333333333357</v>
      </c>
      <c r="AV191" s="643">
        <f t="shared" si="142"/>
        <v>15.000000000000005</v>
      </c>
      <c r="AW191" s="646">
        <f t="shared" si="142"/>
        <v>254.00000000000003</v>
      </c>
      <c r="AX191" s="645">
        <f t="shared" si="142"/>
        <v>151.33333333333326</v>
      </c>
      <c r="AY191" s="163">
        <f t="shared" si="142"/>
        <v>111.33333333333331</v>
      </c>
      <c r="AZ191" s="163">
        <f t="shared" si="142"/>
        <v>0</v>
      </c>
      <c r="BA191" s="163">
        <f t="shared" si="142"/>
        <v>40.000000000000007</v>
      </c>
      <c r="BB191" s="644">
        <f t="shared" si="142"/>
        <v>0</v>
      </c>
      <c r="BC191" s="645">
        <f t="shared" si="142"/>
        <v>102.66666666666667</v>
      </c>
      <c r="BD191" s="163">
        <f t="shared" si="142"/>
        <v>76.3333333333333</v>
      </c>
      <c r="BE191" s="163">
        <f t="shared" si="142"/>
        <v>0</v>
      </c>
      <c r="BF191" s="163">
        <f t="shared" si="142"/>
        <v>19.333333333333346</v>
      </c>
      <c r="BG191" s="643">
        <f t="shared" si="142"/>
        <v>6.9999999999999991</v>
      </c>
      <c r="BH191" s="646">
        <f t="shared" si="155"/>
        <v>351.00000000000006</v>
      </c>
      <c r="BI191" s="645">
        <f t="shared" si="155"/>
        <v>239.33333333333337</v>
      </c>
      <c r="BJ191" s="163">
        <f t="shared" si="155"/>
        <v>180.33333333333337</v>
      </c>
      <c r="BK191" s="163">
        <f t="shared" si="155"/>
        <v>0</v>
      </c>
      <c r="BL191" s="163">
        <f t="shared" si="155"/>
        <v>58.999999999999993</v>
      </c>
      <c r="BM191" s="644">
        <f t="shared" si="155"/>
        <v>0</v>
      </c>
      <c r="BN191" s="645">
        <f t="shared" si="155"/>
        <v>111.66666666666673</v>
      </c>
      <c r="BO191" s="163">
        <f t="shared" si="155"/>
        <v>61.33333333333335</v>
      </c>
      <c r="BP191" s="163">
        <f t="shared" si="155"/>
        <v>0</v>
      </c>
      <c r="BQ191" s="163">
        <f t="shared" si="155"/>
        <v>40.666666666666664</v>
      </c>
      <c r="BR191" s="643">
        <f t="shared" si="155"/>
        <v>9.6666666666666679</v>
      </c>
      <c r="BS191" s="646">
        <f t="shared" si="155"/>
        <v>525.66666666666686</v>
      </c>
      <c r="BT191" s="645">
        <f t="shared" si="155"/>
        <v>342.33333333333343</v>
      </c>
      <c r="BU191" s="163">
        <f t="shared" si="155"/>
        <v>233.66666666666663</v>
      </c>
      <c r="BV191" s="163">
        <f t="shared" si="155"/>
        <v>0</v>
      </c>
      <c r="BW191" s="163">
        <f t="shared" si="151"/>
        <v>108.66666666666667</v>
      </c>
      <c r="BX191" s="644">
        <f t="shared" si="151"/>
        <v>0</v>
      </c>
      <c r="BY191" s="645">
        <f t="shared" si="151"/>
        <v>183.33333333333334</v>
      </c>
      <c r="BZ191" s="163">
        <f t="shared" si="151"/>
        <v>103.99999999999999</v>
      </c>
      <c r="CA191" s="163">
        <f t="shared" si="151"/>
        <v>0</v>
      </c>
      <c r="CB191" s="163">
        <f t="shared" si="151"/>
        <v>62.333333333333293</v>
      </c>
      <c r="CC191" s="643">
        <f t="shared" si="151"/>
        <v>16.999999999999996</v>
      </c>
      <c r="CD191" s="646">
        <f t="shared" si="151"/>
        <v>107.33333333333334</v>
      </c>
      <c r="CE191" s="645">
        <f t="shared" si="151"/>
        <v>70.000000000000028</v>
      </c>
      <c r="CF191" s="163">
        <f t="shared" si="151"/>
        <v>47.999999999999993</v>
      </c>
      <c r="CG191" s="163">
        <f t="shared" si="151"/>
        <v>0</v>
      </c>
      <c r="CH191" s="163">
        <f t="shared" si="151"/>
        <v>22</v>
      </c>
      <c r="CI191" s="644">
        <f t="shared" si="151"/>
        <v>0</v>
      </c>
      <c r="CJ191" s="645">
        <f t="shared" si="151"/>
        <v>37.333333333333321</v>
      </c>
      <c r="CK191" s="163">
        <f t="shared" si="151"/>
        <v>25</v>
      </c>
      <c r="CL191" s="163">
        <f t="shared" si="151"/>
        <v>0</v>
      </c>
      <c r="CM191" s="163">
        <f t="shared" si="157"/>
        <v>9.3333333333333304</v>
      </c>
      <c r="CN191" s="643">
        <f t="shared" si="138"/>
        <v>3</v>
      </c>
      <c r="CO191" s="646">
        <f t="shared" si="138"/>
        <v>82.999999999999986</v>
      </c>
      <c r="CP191" s="645">
        <f t="shared" si="138"/>
        <v>47.666666666666707</v>
      </c>
      <c r="CQ191" s="163">
        <f t="shared" si="138"/>
        <v>39.666666666666686</v>
      </c>
      <c r="CR191" s="163">
        <f t="shared" si="138"/>
        <v>0</v>
      </c>
      <c r="CS191" s="163">
        <f t="shared" si="138"/>
        <v>7.9999999999999982</v>
      </c>
      <c r="CT191" s="644">
        <f t="shared" si="138"/>
        <v>0</v>
      </c>
      <c r="CU191" s="645">
        <f t="shared" si="138"/>
        <v>35.333333333333329</v>
      </c>
      <c r="CV191" s="163">
        <f t="shared" si="138"/>
        <v>23.999999999999986</v>
      </c>
      <c r="CW191" s="163">
        <f t="shared" si="138"/>
        <v>0</v>
      </c>
      <c r="CX191" s="163">
        <f t="shared" si="138"/>
        <v>11.333333333333336</v>
      </c>
      <c r="CY191" s="643">
        <f t="shared" si="138"/>
        <v>0</v>
      </c>
      <c r="CZ191" s="646">
        <f t="shared" si="138"/>
        <v>21.666666666666661</v>
      </c>
      <c r="DA191" s="645">
        <f t="shared" si="138"/>
        <v>8.6666666666666661</v>
      </c>
      <c r="DB191" s="163">
        <f t="shared" si="138"/>
        <v>4</v>
      </c>
      <c r="DC191" s="163">
        <f t="shared" si="138"/>
        <v>0</v>
      </c>
      <c r="DD191" s="163">
        <f t="shared" si="136"/>
        <v>4.6666666666666661</v>
      </c>
      <c r="DE191" s="644">
        <f t="shared" si="136"/>
        <v>0</v>
      </c>
      <c r="DF191" s="645">
        <f t="shared" si="136"/>
        <v>13.000000000000005</v>
      </c>
      <c r="DG191" s="163">
        <f t="shared" si="136"/>
        <v>12.000000000000009</v>
      </c>
      <c r="DH191" s="163">
        <f t="shared" si="136"/>
        <v>0</v>
      </c>
      <c r="DI191" s="163">
        <f t="shared" si="136"/>
        <v>1</v>
      </c>
      <c r="DJ191" s="643">
        <f t="shared" si="136"/>
        <v>0</v>
      </c>
      <c r="DK191" s="646">
        <f t="shared" si="136"/>
        <v>0</v>
      </c>
      <c r="DL191" s="645">
        <f t="shared" si="136"/>
        <v>0</v>
      </c>
      <c r="DM191" s="163">
        <f t="shared" si="136"/>
        <v>0</v>
      </c>
      <c r="DN191" s="163">
        <f t="shared" si="136"/>
        <v>0</v>
      </c>
      <c r="DO191" s="163">
        <f t="shared" si="136"/>
        <v>0</v>
      </c>
      <c r="DP191" s="644">
        <f t="shared" si="136"/>
        <v>0</v>
      </c>
      <c r="DQ191" s="645">
        <f t="shared" si="136"/>
        <v>1</v>
      </c>
      <c r="DR191" s="163">
        <f t="shared" si="136"/>
        <v>1</v>
      </c>
      <c r="DS191" s="163">
        <f t="shared" si="136"/>
        <v>0</v>
      </c>
      <c r="DT191" s="163">
        <f t="shared" si="152"/>
        <v>0</v>
      </c>
      <c r="DU191" s="643">
        <f t="shared" si="152"/>
        <v>0</v>
      </c>
      <c r="DW191" s="646">
        <f t="shared" si="121"/>
        <v>1490.3333333333335</v>
      </c>
      <c r="DX191" s="645">
        <f t="shared" si="121"/>
        <v>936.33333333333337</v>
      </c>
      <c r="DY191" s="163">
        <f t="shared" si="121"/>
        <v>669.33333333333326</v>
      </c>
      <c r="DZ191" s="163">
        <f t="shared" si="121"/>
        <v>0</v>
      </c>
      <c r="EA191" s="163">
        <f t="shared" si="121"/>
        <v>267.00000000000006</v>
      </c>
      <c r="EB191" s="644">
        <f t="shared" si="158"/>
        <v>0</v>
      </c>
      <c r="EC191" s="645">
        <f t="shared" si="158"/>
        <v>555.00000000000011</v>
      </c>
      <c r="ED191" s="163">
        <f t="shared" si="158"/>
        <v>355.33333333333331</v>
      </c>
      <c r="EE191" s="163">
        <f t="shared" si="158"/>
        <v>0</v>
      </c>
      <c r="EF191" s="163">
        <f t="shared" si="158"/>
        <v>156</v>
      </c>
      <c r="EG191" s="643">
        <f t="shared" si="158"/>
        <v>43.666666666666664</v>
      </c>
      <c r="EH191" s="646">
        <f t="shared" si="119"/>
        <v>465.33333333333337</v>
      </c>
      <c r="EI191" s="645">
        <f t="shared" si="117"/>
        <v>304.00000000000006</v>
      </c>
      <c r="EJ191" s="163">
        <f t="shared" si="117"/>
        <v>220</v>
      </c>
      <c r="EK191" s="163">
        <f t="shared" si="117"/>
        <v>0</v>
      </c>
      <c r="EL191" s="163">
        <f t="shared" si="117"/>
        <v>83.999999999999972</v>
      </c>
      <c r="EM191" s="644">
        <f t="shared" si="117"/>
        <v>0</v>
      </c>
      <c r="EN191" s="645">
        <f t="shared" si="117"/>
        <v>161.33333333333334</v>
      </c>
      <c r="EO191" s="163">
        <f t="shared" si="117"/>
        <v>94.999999999999957</v>
      </c>
      <c r="EP191" s="163">
        <f t="shared" si="79"/>
        <v>0</v>
      </c>
      <c r="EQ191" s="163">
        <f t="shared" si="79"/>
        <v>51.333333333333357</v>
      </c>
      <c r="ER191" s="643">
        <f t="shared" si="79"/>
        <v>15.000000000000005</v>
      </c>
    </row>
    <row r="192" spans="1:148">
      <c r="A192" s="665" t="s">
        <v>241</v>
      </c>
      <c r="B192" s="665">
        <v>44348</v>
      </c>
      <c r="C192" s="664">
        <v>2021</v>
      </c>
      <c r="D192" s="646">
        <f t="shared" si="153"/>
        <v>3318603.0000000014</v>
      </c>
      <c r="E192" s="646">
        <f t="shared" si="156"/>
        <v>53610</v>
      </c>
      <c r="F192" s="645">
        <f t="shared" si="156"/>
        <v>32864.000000000015</v>
      </c>
      <c r="G192" s="163">
        <f t="shared" si="156"/>
        <v>22525.999999999996</v>
      </c>
      <c r="H192" s="163">
        <f t="shared" si="156"/>
        <v>0</v>
      </c>
      <c r="I192" s="163">
        <f t="shared" si="156"/>
        <v>10338</v>
      </c>
      <c r="J192" s="644">
        <f t="shared" si="156"/>
        <v>0</v>
      </c>
      <c r="K192" s="645">
        <f t="shared" si="156"/>
        <v>20745.999999999996</v>
      </c>
      <c r="L192" s="163">
        <f t="shared" si="156"/>
        <v>12494</v>
      </c>
      <c r="M192" s="163">
        <f t="shared" si="156"/>
        <v>0</v>
      </c>
      <c r="N192" s="163">
        <f t="shared" si="156"/>
        <v>6506</v>
      </c>
      <c r="O192" s="643">
        <f t="shared" si="156"/>
        <v>1745.9999999999993</v>
      </c>
      <c r="P192" s="646">
        <f t="shared" si="156"/>
        <v>88.000000000000014</v>
      </c>
      <c r="Q192" s="645">
        <f t="shared" si="156"/>
        <v>49.000000000000007</v>
      </c>
      <c r="R192" s="163">
        <f t="shared" si="156"/>
        <v>35.999999999999993</v>
      </c>
      <c r="S192" s="163">
        <f t="shared" si="156"/>
        <v>0</v>
      </c>
      <c r="T192" s="163">
        <f t="shared" si="156"/>
        <v>13.000000000000004</v>
      </c>
      <c r="U192" s="644">
        <f t="shared" si="154"/>
        <v>0</v>
      </c>
      <c r="V192" s="645">
        <f t="shared" si="154"/>
        <v>39.000000000000021</v>
      </c>
      <c r="W192" s="163">
        <f t="shared" si="154"/>
        <v>25</v>
      </c>
      <c r="X192" s="163">
        <f t="shared" si="154"/>
        <v>0</v>
      </c>
      <c r="Y192" s="163">
        <f t="shared" si="154"/>
        <v>11.000000000000002</v>
      </c>
      <c r="Z192" s="643">
        <f t="shared" si="154"/>
        <v>3</v>
      </c>
      <c r="AA192" s="646">
        <f t="shared" si="154"/>
        <v>62.000000000000036</v>
      </c>
      <c r="AB192" s="645">
        <f t="shared" si="154"/>
        <v>30.000000000000004</v>
      </c>
      <c r="AC192" s="163">
        <f t="shared" si="154"/>
        <v>17.000000000000004</v>
      </c>
      <c r="AD192" s="163">
        <f t="shared" si="154"/>
        <v>0</v>
      </c>
      <c r="AE192" s="163">
        <f t="shared" si="154"/>
        <v>13.000000000000002</v>
      </c>
      <c r="AF192" s="644">
        <f t="shared" si="154"/>
        <v>0</v>
      </c>
      <c r="AG192" s="645">
        <f t="shared" si="154"/>
        <v>32.000000000000007</v>
      </c>
      <c r="AH192" s="163">
        <f t="shared" si="154"/>
        <v>26.999999999999996</v>
      </c>
      <c r="AI192" s="163">
        <f t="shared" si="154"/>
        <v>0</v>
      </c>
      <c r="AJ192" s="163">
        <f t="shared" si="144"/>
        <v>1</v>
      </c>
      <c r="AK192" s="643">
        <f t="shared" si="144"/>
        <v>4</v>
      </c>
      <c r="AL192" s="646">
        <f t="shared" si="144"/>
        <v>484.00000000000006</v>
      </c>
      <c r="AM192" s="645">
        <f t="shared" si="144"/>
        <v>317.00000000000006</v>
      </c>
      <c r="AN192" s="163">
        <f t="shared" si="144"/>
        <v>226</v>
      </c>
      <c r="AO192" s="163">
        <f t="shared" si="144"/>
        <v>0</v>
      </c>
      <c r="AP192" s="163">
        <f t="shared" si="142"/>
        <v>90.999999999999972</v>
      </c>
      <c r="AQ192" s="644">
        <f t="shared" si="142"/>
        <v>0</v>
      </c>
      <c r="AR192" s="645">
        <f t="shared" si="142"/>
        <v>167</v>
      </c>
      <c r="AS192" s="163">
        <f t="shared" si="142"/>
        <v>95.999999999999957</v>
      </c>
      <c r="AT192" s="163">
        <f t="shared" si="142"/>
        <v>0</v>
      </c>
      <c r="AU192" s="163">
        <f t="shared" si="142"/>
        <v>56.000000000000021</v>
      </c>
      <c r="AV192" s="643">
        <f t="shared" si="142"/>
        <v>15.000000000000005</v>
      </c>
      <c r="AW192" s="646">
        <f t="shared" si="142"/>
        <v>262</v>
      </c>
      <c r="AX192" s="645">
        <f t="shared" si="142"/>
        <v>157.99999999999991</v>
      </c>
      <c r="AY192" s="163">
        <f t="shared" si="142"/>
        <v>114.99999999999999</v>
      </c>
      <c r="AZ192" s="163">
        <f t="shared" si="142"/>
        <v>0</v>
      </c>
      <c r="BA192" s="163">
        <f t="shared" si="142"/>
        <v>43.000000000000007</v>
      </c>
      <c r="BB192" s="644">
        <f t="shared" si="142"/>
        <v>0</v>
      </c>
      <c r="BC192" s="645">
        <f t="shared" si="142"/>
        <v>104</v>
      </c>
      <c r="BD192" s="163">
        <f t="shared" si="142"/>
        <v>76.999999999999972</v>
      </c>
      <c r="BE192" s="163">
        <f t="shared" si="142"/>
        <v>0</v>
      </c>
      <c r="BF192" s="163">
        <f t="shared" si="142"/>
        <v>20.000000000000014</v>
      </c>
      <c r="BG192" s="643">
        <f t="shared" si="142"/>
        <v>6.9999999999999991</v>
      </c>
      <c r="BH192" s="646">
        <f t="shared" si="155"/>
        <v>366.00000000000006</v>
      </c>
      <c r="BI192" s="645">
        <f t="shared" si="155"/>
        <v>252.00000000000003</v>
      </c>
      <c r="BJ192" s="163">
        <f t="shared" si="155"/>
        <v>186.00000000000003</v>
      </c>
      <c r="BK192" s="163">
        <f t="shared" si="155"/>
        <v>0</v>
      </c>
      <c r="BL192" s="163">
        <f t="shared" si="155"/>
        <v>66</v>
      </c>
      <c r="BM192" s="644">
        <f t="shared" si="155"/>
        <v>0</v>
      </c>
      <c r="BN192" s="645">
        <f t="shared" si="155"/>
        <v>114.00000000000006</v>
      </c>
      <c r="BO192" s="163">
        <f t="shared" si="155"/>
        <v>62.000000000000014</v>
      </c>
      <c r="BP192" s="163">
        <f t="shared" si="155"/>
        <v>0</v>
      </c>
      <c r="BQ192" s="163">
        <f t="shared" si="155"/>
        <v>42</v>
      </c>
      <c r="BR192" s="643">
        <f t="shared" si="155"/>
        <v>10.000000000000002</v>
      </c>
      <c r="BS192" s="646">
        <f t="shared" si="155"/>
        <v>541.00000000000023</v>
      </c>
      <c r="BT192" s="645">
        <f t="shared" si="155"/>
        <v>355.00000000000011</v>
      </c>
      <c r="BU192" s="163">
        <f t="shared" si="155"/>
        <v>238.99999999999997</v>
      </c>
      <c r="BV192" s="163">
        <f t="shared" si="155"/>
        <v>0</v>
      </c>
      <c r="BW192" s="163">
        <f t="shared" si="151"/>
        <v>116</v>
      </c>
      <c r="BX192" s="644">
        <f t="shared" si="151"/>
        <v>0</v>
      </c>
      <c r="BY192" s="645">
        <f t="shared" si="151"/>
        <v>186</v>
      </c>
      <c r="BZ192" s="163">
        <f t="shared" si="151"/>
        <v>104.99999999999999</v>
      </c>
      <c r="CA192" s="163">
        <f t="shared" si="151"/>
        <v>0</v>
      </c>
      <c r="CB192" s="163">
        <f t="shared" si="151"/>
        <v>63.999999999999957</v>
      </c>
      <c r="CC192" s="643">
        <f t="shared" si="151"/>
        <v>16.999999999999996</v>
      </c>
      <c r="CD192" s="646">
        <f t="shared" si="151"/>
        <v>110.00000000000001</v>
      </c>
      <c r="CE192" s="645">
        <f t="shared" si="151"/>
        <v>72.000000000000028</v>
      </c>
      <c r="CF192" s="163">
        <f t="shared" si="151"/>
        <v>47.999999999999993</v>
      </c>
      <c r="CG192" s="163">
        <f t="shared" si="151"/>
        <v>0</v>
      </c>
      <c r="CH192" s="163">
        <f t="shared" si="151"/>
        <v>24</v>
      </c>
      <c r="CI192" s="644">
        <f t="shared" si="151"/>
        <v>0</v>
      </c>
      <c r="CJ192" s="645">
        <f t="shared" si="151"/>
        <v>37.999999999999986</v>
      </c>
      <c r="CK192" s="163">
        <f t="shared" si="151"/>
        <v>25</v>
      </c>
      <c r="CL192" s="163">
        <f t="shared" si="151"/>
        <v>0</v>
      </c>
      <c r="CM192" s="163">
        <f t="shared" si="157"/>
        <v>9.9999999999999964</v>
      </c>
      <c r="CN192" s="643">
        <f t="shared" si="138"/>
        <v>3</v>
      </c>
      <c r="CO192" s="646">
        <f t="shared" si="138"/>
        <v>84.999999999999986</v>
      </c>
      <c r="CP192" s="645">
        <f t="shared" si="138"/>
        <v>49.000000000000043</v>
      </c>
      <c r="CQ192" s="163">
        <f t="shared" si="138"/>
        <v>40.000000000000021</v>
      </c>
      <c r="CR192" s="163">
        <f t="shared" si="138"/>
        <v>0</v>
      </c>
      <c r="CS192" s="163">
        <f t="shared" si="138"/>
        <v>8.9999999999999982</v>
      </c>
      <c r="CT192" s="644">
        <f t="shared" si="138"/>
        <v>0</v>
      </c>
      <c r="CU192" s="645">
        <f t="shared" si="138"/>
        <v>35.999999999999993</v>
      </c>
      <c r="CV192" s="163">
        <f t="shared" si="138"/>
        <v>23.999999999999986</v>
      </c>
      <c r="CW192" s="163">
        <f t="shared" si="138"/>
        <v>0</v>
      </c>
      <c r="CX192" s="163">
        <f t="shared" si="138"/>
        <v>12.000000000000002</v>
      </c>
      <c r="CY192" s="643">
        <f t="shared" si="138"/>
        <v>0</v>
      </c>
      <c r="CZ192" s="646">
        <f t="shared" si="138"/>
        <v>21.999999999999993</v>
      </c>
      <c r="DA192" s="645">
        <f t="shared" si="138"/>
        <v>9</v>
      </c>
      <c r="DB192" s="163">
        <f t="shared" si="138"/>
        <v>4</v>
      </c>
      <c r="DC192" s="163">
        <f t="shared" ref="DC192:DS206" si="159">DC93/3+DC191</f>
        <v>0</v>
      </c>
      <c r="DD192" s="163">
        <f t="shared" si="159"/>
        <v>4.9999999999999991</v>
      </c>
      <c r="DE192" s="644">
        <f t="shared" si="159"/>
        <v>0</v>
      </c>
      <c r="DF192" s="645">
        <f t="shared" si="159"/>
        <v>13.000000000000005</v>
      </c>
      <c r="DG192" s="163">
        <f t="shared" si="159"/>
        <v>12.000000000000009</v>
      </c>
      <c r="DH192" s="163">
        <f t="shared" si="159"/>
        <v>0</v>
      </c>
      <c r="DI192" s="163">
        <f t="shared" si="159"/>
        <v>1</v>
      </c>
      <c r="DJ192" s="643">
        <f t="shared" si="159"/>
        <v>0</v>
      </c>
      <c r="DK192" s="646">
        <f t="shared" si="159"/>
        <v>0</v>
      </c>
      <c r="DL192" s="645">
        <f t="shared" si="159"/>
        <v>0</v>
      </c>
      <c r="DM192" s="163">
        <f t="shared" si="159"/>
        <v>0</v>
      </c>
      <c r="DN192" s="163">
        <f t="shared" si="159"/>
        <v>0</v>
      </c>
      <c r="DO192" s="163">
        <f t="shared" si="159"/>
        <v>0</v>
      </c>
      <c r="DP192" s="644">
        <f t="shared" si="159"/>
        <v>0</v>
      </c>
      <c r="DQ192" s="645">
        <f t="shared" si="159"/>
        <v>1</v>
      </c>
      <c r="DR192" s="163">
        <f t="shared" si="159"/>
        <v>1</v>
      </c>
      <c r="DS192" s="163">
        <f t="shared" si="159"/>
        <v>0</v>
      </c>
      <c r="DT192" s="163">
        <f t="shared" si="152"/>
        <v>0</v>
      </c>
      <c r="DU192" s="643">
        <f t="shared" si="152"/>
        <v>0</v>
      </c>
      <c r="DW192" s="646">
        <f t="shared" si="121"/>
        <v>1536.0000000000005</v>
      </c>
      <c r="DX192" s="645">
        <f t="shared" si="121"/>
        <v>974.00000000000011</v>
      </c>
      <c r="DY192" s="163">
        <f t="shared" si="121"/>
        <v>685</v>
      </c>
      <c r="DZ192" s="163">
        <f t="shared" si="121"/>
        <v>0</v>
      </c>
      <c r="EA192" s="163">
        <f t="shared" si="121"/>
        <v>289</v>
      </c>
      <c r="EB192" s="644">
        <f t="shared" si="158"/>
        <v>0</v>
      </c>
      <c r="EC192" s="645">
        <f t="shared" si="158"/>
        <v>563.00000000000011</v>
      </c>
      <c r="ED192" s="163">
        <f t="shared" si="158"/>
        <v>358</v>
      </c>
      <c r="EE192" s="163">
        <f t="shared" si="158"/>
        <v>0</v>
      </c>
      <c r="EF192" s="163">
        <f t="shared" si="158"/>
        <v>160.99999999999997</v>
      </c>
      <c r="EG192" s="643">
        <f t="shared" si="158"/>
        <v>44</v>
      </c>
      <c r="EH192" s="646">
        <f t="shared" si="119"/>
        <v>484.00000000000006</v>
      </c>
      <c r="EI192" s="645">
        <f t="shared" si="117"/>
        <v>317.00000000000006</v>
      </c>
      <c r="EJ192" s="163">
        <f t="shared" si="117"/>
        <v>226</v>
      </c>
      <c r="EK192" s="163">
        <f t="shared" si="117"/>
        <v>0</v>
      </c>
      <c r="EL192" s="163">
        <f t="shared" si="117"/>
        <v>90.999999999999972</v>
      </c>
      <c r="EM192" s="644">
        <f t="shared" si="117"/>
        <v>0</v>
      </c>
      <c r="EN192" s="645">
        <f t="shared" si="117"/>
        <v>167</v>
      </c>
      <c r="EO192" s="163">
        <f t="shared" si="117"/>
        <v>95.999999999999957</v>
      </c>
      <c r="EP192" s="163">
        <f t="shared" si="79"/>
        <v>0</v>
      </c>
      <c r="EQ192" s="163">
        <f t="shared" si="79"/>
        <v>56.000000000000021</v>
      </c>
      <c r="ER192" s="643">
        <f t="shared" si="79"/>
        <v>15.000000000000005</v>
      </c>
    </row>
    <row r="193" spans="1:148">
      <c r="A193" s="665" t="s">
        <v>242</v>
      </c>
      <c r="B193" s="665">
        <v>44378</v>
      </c>
      <c r="C193" s="664">
        <v>2021</v>
      </c>
      <c r="D193" s="646">
        <f t="shared" si="153"/>
        <v>3376815.6666666679</v>
      </c>
      <c r="E193" s="646">
        <f t="shared" si="156"/>
        <v>55333.666666666664</v>
      </c>
      <c r="F193" s="645">
        <f t="shared" si="156"/>
        <v>34088.000000000015</v>
      </c>
      <c r="G193" s="163">
        <f t="shared" si="156"/>
        <v>23198.666666666664</v>
      </c>
      <c r="H193" s="163">
        <f t="shared" si="156"/>
        <v>0</v>
      </c>
      <c r="I193" s="163">
        <f t="shared" si="156"/>
        <v>10889.333333333334</v>
      </c>
      <c r="J193" s="644">
        <f t="shared" si="156"/>
        <v>0</v>
      </c>
      <c r="K193" s="645">
        <f t="shared" si="156"/>
        <v>21245.666666666664</v>
      </c>
      <c r="L193" s="163">
        <f t="shared" si="156"/>
        <v>12621.333333333334</v>
      </c>
      <c r="M193" s="163">
        <f t="shared" si="156"/>
        <v>0</v>
      </c>
      <c r="N193" s="163">
        <f t="shared" si="156"/>
        <v>6835</v>
      </c>
      <c r="O193" s="643">
        <f t="shared" si="156"/>
        <v>1789.3333333333326</v>
      </c>
      <c r="P193" s="646">
        <f t="shared" si="156"/>
        <v>91.000000000000014</v>
      </c>
      <c r="Q193" s="645">
        <f t="shared" si="156"/>
        <v>50.666666666666671</v>
      </c>
      <c r="R193" s="163">
        <f t="shared" si="156"/>
        <v>37.333333333333329</v>
      </c>
      <c r="S193" s="163">
        <f t="shared" si="156"/>
        <v>0</v>
      </c>
      <c r="T193" s="163">
        <f t="shared" si="156"/>
        <v>13.333333333333337</v>
      </c>
      <c r="U193" s="644">
        <f t="shared" si="154"/>
        <v>0</v>
      </c>
      <c r="V193" s="645">
        <f t="shared" si="154"/>
        <v>40.333333333333357</v>
      </c>
      <c r="W193" s="163">
        <f t="shared" si="154"/>
        <v>25.666666666666668</v>
      </c>
      <c r="X193" s="163">
        <f t="shared" si="154"/>
        <v>0</v>
      </c>
      <c r="Y193" s="163">
        <f t="shared" si="154"/>
        <v>11.333333333333336</v>
      </c>
      <c r="Z193" s="643">
        <f t="shared" si="154"/>
        <v>3.3333333333333335</v>
      </c>
      <c r="AA193" s="646">
        <f t="shared" si="154"/>
        <v>63.000000000000036</v>
      </c>
      <c r="AB193" s="645">
        <f t="shared" si="154"/>
        <v>30.666666666666671</v>
      </c>
      <c r="AC193" s="163">
        <f t="shared" si="154"/>
        <v>17.000000000000004</v>
      </c>
      <c r="AD193" s="163">
        <f t="shared" si="154"/>
        <v>0</v>
      </c>
      <c r="AE193" s="163">
        <f t="shared" si="154"/>
        <v>13.666666666666668</v>
      </c>
      <c r="AF193" s="644">
        <f t="shared" si="154"/>
        <v>0</v>
      </c>
      <c r="AG193" s="645">
        <f t="shared" si="154"/>
        <v>32.333333333333343</v>
      </c>
      <c r="AH193" s="163">
        <f t="shared" si="154"/>
        <v>27.333333333333329</v>
      </c>
      <c r="AI193" s="163">
        <f t="shared" si="154"/>
        <v>0</v>
      </c>
      <c r="AJ193" s="163">
        <f t="shared" si="144"/>
        <v>1</v>
      </c>
      <c r="AK193" s="643">
        <f t="shared" si="144"/>
        <v>4</v>
      </c>
      <c r="AL193" s="646">
        <f t="shared" si="144"/>
        <v>503.33333333333337</v>
      </c>
      <c r="AM193" s="645">
        <f t="shared" si="144"/>
        <v>331.33333333333337</v>
      </c>
      <c r="AN193" s="163">
        <f t="shared" si="144"/>
        <v>234.66666666666666</v>
      </c>
      <c r="AO193" s="163">
        <f t="shared" si="144"/>
        <v>0</v>
      </c>
      <c r="AP193" s="163">
        <f t="shared" si="142"/>
        <v>96.666666666666643</v>
      </c>
      <c r="AQ193" s="644">
        <f t="shared" si="142"/>
        <v>0</v>
      </c>
      <c r="AR193" s="645">
        <f t="shared" si="142"/>
        <v>172</v>
      </c>
      <c r="AS193" s="163">
        <f t="shared" si="142"/>
        <v>96.999999999999957</v>
      </c>
      <c r="AT193" s="163">
        <f t="shared" si="142"/>
        <v>0</v>
      </c>
      <c r="AU193" s="163">
        <f t="shared" si="142"/>
        <v>60.000000000000021</v>
      </c>
      <c r="AV193" s="643">
        <f t="shared" si="142"/>
        <v>15.000000000000005</v>
      </c>
      <c r="AW193" s="646">
        <f t="shared" si="142"/>
        <v>271.66666666666669</v>
      </c>
      <c r="AX193" s="645">
        <f t="shared" si="142"/>
        <v>165.66666666666657</v>
      </c>
      <c r="AY193" s="163">
        <f t="shared" si="142"/>
        <v>120.66666666666666</v>
      </c>
      <c r="AZ193" s="163">
        <f t="shared" si="142"/>
        <v>0</v>
      </c>
      <c r="BA193" s="163">
        <f t="shared" si="142"/>
        <v>45.000000000000007</v>
      </c>
      <c r="BB193" s="644">
        <f t="shared" si="142"/>
        <v>0</v>
      </c>
      <c r="BC193" s="645">
        <f t="shared" si="142"/>
        <v>106</v>
      </c>
      <c r="BD193" s="163">
        <f t="shared" si="142"/>
        <v>77.999999999999972</v>
      </c>
      <c r="BE193" s="163">
        <f t="shared" si="142"/>
        <v>0</v>
      </c>
      <c r="BF193" s="163">
        <f t="shared" si="142"/>
        <v>20.666666666666682</v>
      </c>
      <c r="BG193" s="643">
        <f t="shared" si="142"/>
        <v>7.3333333333333321</v>
      </c>
      <c r="BH193" s="646">
        <f t="shared" si="155"/>
        <v>383.00000000000006</v>
      </c>
      <c r="BI193" s="645">
        <f t="shared" si="155"/>
        <v>265.33333333333337</v>
      </c>
      <c r="BJ193" s="163">
        <f t="shared" si="155"/>
        <v>194.33333333333337</v>
      </c>
      <c r="BK193" s="163">
        <f t="shared" si="155"/>
        <v>0</v>
      </c>
      <c r="BL193" s="163">
        <f t="shared" si="155"/>
        <v>71</v>
      </c>
      <c r="BM193" s="644">
        <f t="shared" si="155"/>
        <v>0</v>
      </c>
      <c r="BN193" s="645">
        <f t="shared" si="155"/>
        <v>117.66666666666673</v>
      </c>
      <c r="BO193" s="163">
        <f t="shared" si="155"/>
        <v>62.000000000000014</v>
      </c>
      <c r="BP193" s="163">
        <f t="shared" si="155"/>
        <v>0</v>
      </c>
      <c r="BQ193" s="163">
        <f t="shared" si="155"/>
        <v>45.333333333333336</v>
      </c>
      <c r="BR193" s="643">
        <f t="shared" si="155"/>
        <v>10.333333333333336</v>
      </c>
      <c r="BS193" s="646">
        <f t="shared" si="155"/>
        <v>558.3333333333336</v>
      </c>
      <c r="BT193" s="645">
        <f t="shared" si="155"/>
        <v>368.00000000000011</v>
      </c>
      <c r="BU193" s="163">
        <f t="shared" si="155"/>
        <v>246.33333333333331</v>
      </c>
      <c r="BV193" s="163">
        <f t="shared" si="155"/>
        <v>0</v>
      </c>
      <c r="BW193" s="163">
        <f t="shared" si="151"/>
        <v>121.66666666666667</v>
      </c>
      <c r="BX193" s="644">
        <f t="shared" si="151"/>
        <v>0</v>
      </c>
      <c r="BY193" s="645">
        <f t="shared" si="151"/>
        <v>190.33333333333334</v>
      </c>
      <c r="BZ193" s="163">
        <f t="shared" si="151"/>
        <v>106.33333333333331</v>
      </c>
      <c r="CA193" s="163">
        <f t="shared" si="151"/>
        <v>0</v>
      </c>
      <c r="CB193" s="163">
        <f t="shared" si="151"/>
        <v>66.333333333333286</v>
      </c>
      <c r="CC193" s="643">
        <f t="shared" si="151"/>
        <v>17.666666666666664</v>
      </c>
      <c r="CD193" s="646">
        <f t="shared" si="151"/>
        <v>112.33333333333334</v>
      </c>
      <c r="CE193" s="645">
        <f t="shared" si="151"/>
        <v>74.000000000000028</v>
      </c>
      <c r="CF193" s="163">
        <f t="shared" si="151"/>
        <v>48.666666666666657</v>
      </c>
      <c r="CG193" s="163">
        <f t="shared" si="151"/>
        <v>0</v>
      </c>
      <c r="CH193" s="163">
        <f t="shared" si="151"/>
        <v>25.333333333333332</v>
      </c>
      <c r="CI193" s="644">
        <f t="shared" si="151"/>
        <v>0</v>
      </c>
      <c r="CJ193" s="645">
        <f t="shared" si="151"/>
        <v>38.333333333333321</v>
      </c>
      <c r="CK193" s="163">
        <f t="shared" si="151"/>
        <v>25</v>
      </c>
      <c r="CL193" s="163">
        <f t="shared" si="151"/>
        <v>0</v>
      </c>
      <c r="CM193" s="163">
        <f t="shared" si="157"/>
        <v>10.33333333333333</v>
      </c>
      <c r="CN193" s="643">
        <f t="shared" si="157"/>
        <v>3</v>
      </c>
      <c r="CO193" s="646">
        <f t="shared" si="157"/>
        <v>89.666666666666657</v>
      </c>
      <c r="CP193" s="645">
        <f t="shared" si="157"/>
        <v>52.000000000000043</v>
      </c>
      <c r="CQ193" s="163">
        <f t="shared" si="157"/>
        <v>42.000000000000021</v>
      </c>
      <c r="CR193" s="163">
        <f t="shared" si="157"/>
        <v>0</v>
      </c>
      <c r="CS193" s="163">
        <f t="shared" si="157"/>
        <v>9.9999999999999982</v>
      </c>
      <c r="CT193" s="644">
        <f t="shared" si="157"/>
        <v>0</v>
      </c>
      <c r="CU193" s="645">
        <f t="shared" si="157"/>
        <v>37.666666666666657</v>
      </c>
      <c r="CV193" s="163">
        <f t="shared" si="157"/>
        <v>23.999999999999986</v>
      </c>
      <c r="CW193" s="163">
        <f t="shared" si="157"/>
        <v>0</v>
      </c>
      <c r="CX193" s="163">
        <f t="shared" si="157"/>
        <v>13.666666666666668</v>
      </c>
      <c r="CY193" s="643">
        <f t="shared" si="157"/>
        <v>0</v>
      </c>
      <c r="CZ193" s="646">
        <f t="shared" si="157"/>
        <v>23.333333333333325</v>
      </c>
      <c r="DA193" s="645">
        <f t="shared" si="157"/>
        <v>10</v>
      </c>
      <c r="DB193" s="163">
        <f t="shared" si="157"/>
        <v>4.666666666666667</v>
      </c>
      <c r="DC193" s="163">
        <f t="shared" si="159"/>
        <v>0</v>
      </c>
      <c r="DD193" s="163">
        <f t="shared" si="159"/>
        <v>5.3333333333333321</v>
      </c>
      <c r="DE193" s="644">
        <f t="shared" si="159"/>
        <v>0</v>
      </c>
      <c r="DF193" s="645">
        <f t="shared" si="159"/>
        <v>13.333333333333339</v>
      </c>
      <c r="DG193" s="163">
        <f t="shared" si="159"/>
        <v>12.333333333333343</v>
      </c>
      <c r="DH193" s="163">
        <f t="shared" si="159"/>
        <v>0</v>
      </c>
      <c r="DI193" s="163">
        <f t="shared" si="159"/>
        <v>1</v>
      </c>
      <c r="DJ193" s="643">
        <f t="shared" si="159"/>
        <v>0</v>
      </c>
      <c r="DK193" s="646">
        <f t="shared" si="159"/>
        <v>0</v>
      </c>
      <c r="DL193" s="645">
        <f t="shared" si="159"/>
        <v>0</v>
      </c>
      <c r="DM193" s="163">
        <f t="shared" si="159"/>
        <v>0</v>
      </c>
      <c r="DN193" s="163">
        <f t="shared" si="159"/>
        <v>0</v>
      </c>
      <c r="DO193" s="163">
        <f t="shared" si="159"/>
        <v>0</v>
      </c>
      <c r="DP193" s="644">
        <f t="shared" si="159"/>
        <v>0</v>
      </c>
      <c r="DQ193" s="645">
        <f t="shared" si="159"/>
        <v>1</v>
      </c>
      <c r="DR193" s="163">
        <f t="shared" si="159"/>
        <v>1</v>
      </c>
      <c r="DS193" s="163">
        <f t="shared" si="159"/>
        <v>0</v>
      </c>
      <c r="DT193" s="163">
        <f t="shared" si="152"/>
        <v>0</v>
      </c>
      <c r="DU193" s="643">
        <f t="shared" si="152"/>
        <v>0</v>
      </c>
      <c r="DW193" s="646">
        <f t="shared" si="121"/>
        <v>1592.3333333333337</v>
      </c>
      <c r="DX193" s="645">
        <f t="shared" si="121"/>
        <v>1016.3333333333334</v>
      </c>
      <c r="DY193" s="163">
        <f t="shared" si="121"/>
        <v>711</v>
      </c>
      <c r="DZ193" s="163">
        <f t="shared" si="121"/>
        <v>0</v>
      </c>
      <c r="EA193" s="163">
        <f t="shared" si="121"/>
        <v>305.33333333333331</v>
      </c>
      <c r="EB193" s="644">
        <f t="shared" si="158"/>
        <v>0</v>
      </c>
      <c r="EC193" s="645">
        <f t="shared" si="158"/>
        <v>577.00000000000011</v>
      </c>
      <c r="ED193" s="163">
        <f t="shared" si="158"/>
        <v>361.66666666666663</v>
      </c>
      <c r="EE193" s="163">
        <f t="shared" si="158"/>
        <v>0</v>
      </c>
      <c r="EF193" s="163">
        <f t="shared" si="158"/>
        <v>169.66666666666663</v>
      </c>
      <c r="EG193" s="643">
        <f t="shared" si="158"/>
        <v>45.666666666666664</v>
      </c>
      <c r="EH193" s="646">
        <f t="shared" si="119"/>
        <v>503.33333333333337</v>
      </c>
      <c r="EI193" s="645">
        <f t="shared" si="117"/>
        <v>331.33333333333337</v>
      </c>
      <c r="EJ193" s="163">
        <f t="shared" si="117"/>
        <v>234.66666666666666</v>
      </c>
      <c r="EK193" s="163">
        <f t="shared" si="117"/>
        <v>0</v>
      </c>
      <c r="EL193" s="163">
        <f t="shared" si="117"/>
        <v>96.666666666666643</v>
      </c>
      <c r="EM193" s="644">
        <f t="shared" si="117"/>
        <v>0</v>
      </c>
      <c r="EN193" s="645">
        <f t="shared" si="117"/>
        <v>172</v>
      </c>
      <c r="EO193" s="163">
        <f t="shared" si="117"/>
        <v>96.999999999999957</v>
      </c>
      <c r="EP193" s="163">
        <f t="shared" si="79"/>
        <v>0</v>
      </c>
      <c r="EQ193" s="163">
        <f t="shared" si="79"/>
        <v>60.000000000000021</v>
      </c>
      <c r="ER193" s="643">
        <f t="shared" si="79"/>
        <v>15.000000000000005</v>
      </c>
    </row>
    <row r="194" spans="1:148">
      <c r="A194" s="665" t="s">
        <v>242</v>
      </c>
      <c r="B194" s="665">
        <v>44409</v>
      </c>
      <c r="C194" s="664">
        <v>2021</v>
      </c>
      <c r="D194" s="646">
        <f t="shared" si="153"/>
        <v>3435028.3333333344</v>
      </c>
      <c r="E194" s="646">
        <f t="shared" si="156"/>
        <v>57057.333333333328</v>
      </c>
      <c r="F194" s="645">
        <f t="shared" si="156"/>
        <v>35312.000000000015</v>
      </c>
      <c r="G194" s="163">
        <f t="shared" si="156"/>
        <v>23871.333333333332</v>
      </c>
      <c r="H194" s="163">
        <f t="shared" si="156"/>
        <v>0</v>
      </c>
      <c r="I194" s="163">
        <f t="shared" si="156"/>
        <v>11440.666666666668</v>
      </c>
      <c r="J194" s="644">
        <f t="shared" si="156"/>
        <v>0</v>
      </c>
      <c r="K194" s="645">
        <f t="shared" si="156"/>
        <v>21745.333333333332</v>
      </c>
      <c r="L194" s="163">
        <f t="shared" si="156"/>
        <v>12748.666666666668</v>
      </c>
      <c r="M194" s="163">
        <f t="shared" si="156"/>
        <v>0</v>
      </c>
      <c r="N194" s="163">
        <f t="shared" si="156"/>
        <v>7164</v>
      </c>
      <c r="O194" s="643">
        <f t="shared" si="156"/>
        <v>1832.6666666666658</v>
      </c>
      <c r="P194" s="646">
        <f t="shared" si="156"/>
        <v>94.000000000000014</v>
      </c>
      <c r="Q194" s="645">
        <f t="shared" si="156"/>
        <v>52.333333333333336</v>
      </c>
      <c r="R194" s="163">
        <f t="shared" si="156"/>
        <v>38.666666666666664</v>
      </c>
      <c r="S194" s="163">
        <f t="shared" si="156"/>
        <v>0</v>
      </c>
      <c r="T194" s="163">
        <f t="shared" si="156"/>
        <v>13.666666666666671</v>
      </c>
      <c r="U194" s="644">
        <f t="shared" si="154"/>
        <v>0</v>
      </c>
      <c r="V194" s="645">
        <f t="shared" si="154"/>
        <v>41.666666666666693</v>
      </c>
      <c r="W194" s="163">
        <f t="shared" si="154"/>
        <v>26.333333333333336</v>
      </c>
      <c r="X194" s="163">
        <f t="shared" si="154"/>
        <v>0</v>
      </c>
      <c r="Y194" s="163">
        <f t="shared" si="154"/>
        <v>11.66666666666667</v>
      </c>
      <c r="Z194" s="643">
        <f t="shared" si="154"/>
        <v>3.666666666666667</v>
      </c>
      <c r="AA194" s="646">
        <f t="shared" si="154"/>
        <v>64.000000000000028</v>
      </c>
      <c r="AB194" s="645">
        <f t="shared" si="154"/>
        <v>31.333333333333339</v>
      </c>
      <c r="AC194" s="163">
        <f t="shared" si="154"/>
        <v>17.000000000000004</v>
      </c>
      <c r="AD194" s="163">
        <f t="shared" si="154"/>
        <v>0</v>
      </c>
      <c r="AE194" s="163">
        <f t="shared" si="154"/>
        <v>14.333333333333334</v>
      </c>
      <c r="AF194" s="644">
        <f t="shared" si="154"/>
        <v>0</v>
      </c>
      <c r="AG194" s="645">
        <f t="shared" si="154"/>
        <v>32.666666666666679</v>
      </c>
      <c r="AH194" s="163">
        <f t="shared" si="154"/>
        <v>27.666666666666661</v>
      </c>
      <c r="AI194" s="163">
        <f t="shared" si="154"/>
        <v>0</v>
      </c>
      <c r="AJ194" s="163">
        <f t="shared" si="144"/>
        <v>1</v>
      </c>
      <c r="AK194" s="643">
        <f t="shared" si="144"/>
        <v>4</v>
      </c>
      <c r="AL194" s="646">
        <f t="shared" si="144"/>
        <v>522.66666666666674</v>
      </c>
      <c r="AM194" s="645">
        <f t="shared" si="144"/>
        <v>345.66666666666669</v>
      </c>
      <c r="AN194" s="163">
        <f t="shared" si="144"/>
        <v>243.33333333333331</v>
      </c>
      <c r="AO194" s="163">
        <f t="shared" si="144"/>
        <v>0</v>
      </c>
      <c r="AP194" s="163">
        <f t="shared" si="142"/>
        <v>102.33333333333331</v>
      </c>
      <c r="AQ194" s="644">
        <f t="shared" si="142"/>
        <v>0</v>
      </c>
      <c r="AR194" s="645">
        <f t="shared" si="142"/>
        <v>177</v>
      </c>
      <c r="AS194" s="163">
        <f t="shared" ref="AS194:BH209" si="160">AS95/3+AS193</f>
        <v>97.999999999999957</v>
      </c>
      <c r="AT194" s="163">
        <f t="shared" si="160"/>
        <v>0</v>
      </c>
      <c r="AU194" s="163">
        <f t="shared" si="160"/>
        <v>64.000000000000028</v>
      </c>
      <c r="AV194" s="643">
        <f t="shared" si="160"/>
        <v>15.000000000000005</v>
      </c>
      <c r="AW194" s="646">
        <f t="shared" si="160"/>
        <v>281.33333333333337</v>
      </c>
      <c r="AX194" s="645">
        <f t="shared" si="160"/>
        <v>173.33333333333323</v>
      </c>
      <c r="AY194" s="163">
        <f t="shared" si="160"/>
        <v>126.33333333333333</v>
      </c>
      <c r="AZ194" s="163">
        <f t="shared" si="160"/>
        <v>0</v>
      </c>
      <c r="BA194" s="163">
        <f t="shared" si="160"/>
        <v>47.000000000000007</v>
      </c>
      <c r="BB194" s="644">
        <f t="shared" si="160"/>
        <v>0</v>
      </c>
      <c r="BC194" s="645">
        <f t="shared" si="160"/>
        <v>108</v>
      </c>
      <c r="BD194" s="163">
        <f t="shared" si="160"/>
        <v>78.999999999999972</v>
      </c>
      <c r="BE194" s="163">
        <f t="shared" si="160"/>
        <v>0</v>
      </c>
      <c r="BF194" s="163">
        <f t="shared" si="160"/>
        <v>21.33333333333335</v>
      </c>
      <c r="BG194" s="643">
        <f t="shared" si="160"/>
        <v>7.6666666666666652</v>
      </c>
      <c r="BH194" s="646">
        <f t="shared" si="155"/>
        <v>400.00000000000006</v>
      </c>
      <c r="BI194" s="645">
        <f t="shared" si="155"/>
        <v>278.66666666666669</v>
      </c>
      <c r="BJ194" s="163">
        <f t="shared" si="155"/>
        <v>202.66666666666671</v>
      </c>
      <c r="BK194" s="163">
        <f t="shared" si="155"/>
        <v>0</v>
      </c>
      <c r="BL194" s="163">
        <f t="shared" si="155"/>
        <v>76</v>
      </c>
      <c r="BM194" s="644">
        <f t="shared" si="155"/>
        <v>0</v>
      </c>
      <c r="BN194" s="645">
        <f t="shared" si="155"/>
        <v>121.3333333333334</v>
      </c>
      <c r="BO194" s="163">
        <f t="shared" si="155"/>
        <v>62.000000000000014</v>
      </c>
      <c r="BP194" s="163">
        <f t="shared" si="155"/>
        <v>0</v>
      </c>
      <c r="BQ194" s="163">
        <f t="shared" si="155"/>
        <v>48.666666666666671</v>
      </c>
      <c r="BR194" s="643">
        <f t="shared" si="155"/>
        <v>10.66666666666667</v>
      </c>
      <c r="BS194" s="646">
        <f t="shared" si="155"/>
        <v>575.66666666666697</v>
      </c>
      <c r="BT194" s="645">
        <f t="shared" si="155"/>
        <v>381.00000000000011</v>
      </c>
      <c r="BU194" s="163">
        <f t="shared" si="155"/>
        <v>253.66666666666666</v>
      </c>
      <c r="BV194" s="163">
        <f t="shared" si="155"/>
        <v>0</v>
      </c>
      <c r="BW194" s="163">
        <f t="shared" si="151"/>
        <v>127.33333333333334</v>
      </c>
      <c r="BX194" s="644">
        <f t="shared" si="151"/>
        <v>0</v>
      </c>
      <c r="BY194" s="645">
        <f t="shared" si="151"/>
        <v>194.66666666666669</v>
      </c>
      <c r="BZ194" s="163">
        <f t="shared" si="151"/>
        <v>107.66666666666664</v>
      </c>
      <c r="CA194" s="163">
        <f t="shared" si="151"/>
        <v>0</v>
      </c>
      <c r="CB194" s="163">
        <f t="shared" si="151"/>
        <v>68.666666666666615</v>
      </c>
      <c r="CC194" s="643">
        <f t="shared" si="151"/>
        <v>18.333333333333332</v>
      </c>
      <c r="CD194" s="646">
        <f t="shared" si="151"/>
        <v>114.66666666666667</v>
      </c>
      <c r="CE194" s="645">
        <f t="shared" si="151"/>
        <v>76.000000000000028</v>
      </c>
      <c r="CF194" s="163">
        <f t="shared" si="151"/>
        <v>49.333333333333321</v>
      </c>
      <c r="CG194" s="163">
        <f t="shared" si="151"/>
        <v>0</v>
      </c>
      <c r="CH194" s="163">
        <f t="shared" si="151"/>
        <v>26.666666666666664</v>
      </c>
      <c r="CI194" s="644">
        <f t="shared" si="151"/>
        <v>0</v>
      </c>
      <c r="CJ194" s="645">
        <f t="shared" si="151"/>
        <v>38.666666666666657</v>
      </c>
      <c r="CK194" s="163">
        <f t="shared" si="151"/>
        <v>25</v>
      </c>
      <c r="CL194" s="163">
        <f t="shared" si="151"/>
        <v>0</v>
      </c>
      <c r="CM194" s="163">
        <f t="shared" si="157"/>
        <v>10.666666666666664</v>
      </c>
      <c r="CN194" s="643">
        <f t="shared" si="157"/>
        <v>3</v>
      </c>
      <c r="CO194" s="646">
        <f t="shared" si="157"/>
        <v>94.333333333333329</v>
      </c>
      <c r="CP194" s="645">
        <f t="shared" si="157"/>
        <v>55.000000000000043</v>
      </c>
      <c r="CQ194" s="163">
        <f t="shared" si="157"/>
        <v>44.000000000000021</v>
      </c>
      <c r="CR194" s="163">
        <f t="shared" si="157"/>
        <v>0</v>
      </c>
      <c r="CS194" s="163">
        <f t="shared" si="157"/>
        <v>10.999999999999998</v>
      </c>
      <c r="CT194" s="644">
        <f t="shared" si="157"/>
        <v>0</v>
      </c>
      <c r="CU194" s="645">
        <f t="shared" si="157"/>
        <v>39.333333333333321</v>
      </c>
      <c r="CV194" s="163">
        <f t="shared" si="157"/>
        <v>23.999999999999986</v>
      </c>
      <c r="CW194" s="163">
        <f t="shared" si="157"/>
        <v>0</v>
      </c>
      <c r="CX194" s="163">
        <f t="shared" si="157"/>
        <v>15.333333333333334</v>
      </c>
      <c r="CY194" s="643">
        <f t="shared" si="157"/>
        <v>0</v>
      </c>
      <c r="CZ194" s="646">
        <f t="shared" si="157"/>
        <v>24.666666666666657</v>
      </c>
      <c r="DA194" s="645">
        <f t="shared" si="157"/>
        <v>11</v>
      </c>
      <c r="DB194" s="163">
        <f t="shared" si="157"/>
        <v>5.3333333333333339</v>
      </c>
      <c r="DC194" s="163">
        <f t="shared" si="159"/>
        <v>0</v>
      </c>
      <c r="DD194" s="163">
        <f t="shared" si="159"/>
        <v>5.6666666666666652</v>
      </c>
      <c r="DE194" s="644">
        <f t="shared" si="159"/>
        <v>0</v>
      </c>
      <c r="DF194" s="645">
        <f t="shared" si="159"/>
        <v>13.666666666666673</v>
      </c>
      <c r="DG194" s="163">
        <f t="shared" si="159"/>
        <v>12.666666666666677</v>
      </c>
      <c r="DH194" s="163">
        <f t="shared" si="159"/>
        <v>0</v>
      </c>
      <c r="DI194" s="163">
        <f t="shared" si="159"/>
        <v>1</v>
      </c>
      <c r="DJ194" s="643">
        <f t="shared" si="159"/>
        <v>0</v>
      </c>
      <c r="DK194" s="646">
        <f t="shared" si="159"/>
        <v>0</v>
      </c>
      <c r="DL194" s="645">
        <f t="shared" si="159"/>
        <v>0</v>
      </c>
      <c r="DM194" s="163">
        <f t="shared" si="159"/>
        <v>0</v>
      </c>
      <c r="DN194" s="163">
        <f t="shared" si="159"/>
        <v>0</v>
      </c>
      <c r="DO194" s="163">
        <f t="shared" si="159"/>
        <v>0</v>
      </c>
      <c r="DP194" s="644">
        <f t="shared" si="159"/>
        <v>0</v>
      </c>
      <c r="DQ194" s="645">
        <f t="shared" si="159"/>
        <v>1</v>
      </c>
      <c r="DR194" s="163">
        <f t="shared" si="159"/>
        <v>1</v>
      </c>
      <c r="DS194" s="163">
        <f t="shared" si="159"/>
        <v>0</v>
      </c>
      <c r="DT194" s="163">
        <f t="shared" si="152"/>
        <v>0</v>
      </c>
      <c r="DU194" s="643">
        <f t="shared" si="152"/>
        <v>0</v>
      </c>
      <c r="DW194" s="646">
        <f t="shared" si="121"/>
        <v>1648.6666666666672</v>
      </c>
      <c r="DX194" s="645">
        <f t="shared" si="121"/>
        <v>1058.6666666666667</v>
      </c>
      <c r="DY194" s="163">
        <f t="shared" si="121"/>
        <v>737.00000000000011</v>
      </c>
      <c r="DZ194" s="163">
        <f t="shared" si="121"/>
        <v>0</v>
      </c>
      <c r="EA194" s="163">
        <f t="shared" si="121"/>
        <v>321.66666666666674</v>
      </c>
      <c r="EB194" s="644">
        <f t="shared" si="158"/>
        <v>0</v>
      </c>
      <c r="EC194" s="645">
        <f t="shared" si="158"/>
        <v>591.00000000000011</v>
      </c>
      <c r="ED194" s="163">
        <f t="shared" si="158"/>
        <v>365.33333333333331</v>
      </c>
      <c r="EE194" s="163">
        <f t="shared" si="158"/>
        <v>0</v>
      </c>
      <c r="EF194" s="163">
        <f t="shared" si="158"/>
        <v>178.33333333333331</v>
      </c>
      <c r="EG194" s="643">
        <f t="shared" si="158"/>
        <v>47.333333333333329</v>
      </c>
      <c r="EH194" s="646">
        <f t="shared" si="119"/>
        <v>522.66666666666674</v>
      </c>
      <c r="EI194" s="645">
        <f t="shared" si="117"/>
        <v>345.66666666666669</v>
      </c>
      <c r="EJ194" s="163">
        <f t="shared" si="117"/>
        <v>243.33333333333331</v>
      </c>
      <c r="EK194" s="163">
        <f t="shared" si="117"/>
        <v>0</v>
      </c>
      <c r="EL194" s="163">
        <f t="shared" si="117"/>
        <v>102.33333333333331</v>
      </c>
      <c r="EM194" s="644">
        <f t="shared" si="117"/>
        <v>0</v>
      </c>
      <c r="EN194" s="645">
        <f t="shared" si="117"/>
        <v>177</v>
      </c>
      <c r="EO194" s="163">
        <f t="shared" si="117"/>
        <v>97.999999999999957</v>
      </c>
      <c r="EP194" s="163">
        <f t="shared" si="79"/>
        <v>0</v>
      </c>
      <c r="EQ194" s="163">
        <f t="shared" si="79"/>
        <v>64.000000000000028</v>
      </c>
      <c r="ER194" s="643">
        <f t="shared" si="79"/>
        <v>15.000000000000005</v>
      </c>
    </row>
    <row r="195" spans="1:148">
      <c r="A195" s="665" t="s">
        <v>242</v>
      </c>
      <c r="B195" s="665">
        <v>44440</v>
      </c>
      <c r="C195" s="664">
        <v>2021</v>
      </c>
      <c r="D195" s="646">
        <f t="shared" si="153"/>
        <v>3493241.0000000009</v>
      </c>
      <c r="E195" s="646">
        <f t="shared" si="156"/>
        <v>58780.999999999993</v>
      </c>
      <c r="F195" s="645">
        <f t="shared" si="156"/>
        <v>36536.000000000015</v>
      </c>
      <c r="G195" s="163">
        <f t="shared" si="156"/>
        <v>24544</v>
      </c>
      <c r="H195" s="163">
        <f t="shared" si="156"/>
        <v>0</v>
      </c>
      <c r="I195" s="163">
        <f t="shared" si="156"/>
        <v>11992.000000000002</v>
      </c>
      <c r="J195" s="644">
        <f t="shared" si="156"/>
        <v>0</v>
      </c>
      <c r="K195" s="645">
        <f t="shared" si="156"/>
        <v>22245</v>
      </c>
      <c r="L195" s="163">
        <f t="shared" si="156"/>
        <v>12876.000000000002</v>
      </c>
      <c r="M195" s="163">
        <f t="shared" si="156"/>
        <v>0</v>
      </c>
      <c r="N195" s="163">
        <f t="shared" si="156"/>
        <v>7493</v>
      </c>
      <c r="O195" s="643">
        <f t="shared" si="156"/>
        <v>1875.9999999999991</v>
      </c>
      <c r="P195" s="646">
        <f t="shared" si="156"/>
        <v>97.000000000000014</v>
      </c>
      <c r="Q195" s="645">
        <f t="shared" si="156"/>
        <v>54</v>
      </c>
      <c r="R195" s="163">
        <f t="shared" si="156"/>
        <v>40</v>
      </c>
      <c r="S195" s="163">
        <f t="shared" si="156"/>
        <v>0</v>
      </c>
      <c r="T195" s="163">
        <f t="shared" si="156"/>
        <v>14.000000000000005</v>
      </c>
      <c r="U195" s="644">
        <f t="shared" si="154"/>
        <v>0</v>
      </c>
      <c r="V195" s="645">
        <f t="shared" si="154"/>
        <v>43.000000000000028</v>
      </c>
      <c r="W195" s="163">
        <f t="shared" si="154"/>
        <v>27.000000000000004</v>
      </c>
      <c r="X195" s="163">
        <f t="shared" si="154"/>
        <v>0</v>
      </c>
      <c r="Y195" s="163">
        <f t="shared" si="154"/>
        <v>12.000000000000004</v>
      </c>
      <c r="Z195" s="643">
        <f t="shared" si="154"/>
        <v>4</v>
      </c>
      <c r="AA195" s="646">
        <f t="shared" si="154"/>
        <v>65.000000000000028</v>
      </c>
      <c r="AB195" s="645">
        <f t="shared" si="154"/>
        <v>32.000000000000007</v>
      </c>
      <c r="AC195" s="163">
        <f t="shared" si="154"/>
        <v>17.000000000000004</v>
      </c>
      <c r="AD195" s="163">
        <f t="shared" si="154"/>
        <v>0</v>
      </c>
      <c r="AE195" s="163">
        <f t="shared" si="154"/>
        <v>15</v>
      </c>
      <c r="AF195" s="644">
        <f t="shared" si="154"/>
        <v>0</v>
      </c>
      <c r="AG195" s="645">
        <f t="shared" si="154"/>
        <v>33.000000000000014</v>
      </c>
      <c r="AH195" s="163">
        <f t="shared" si="154"/>
        <v>27.999999999999993</v>
      </c>
      <c r="AI195" s="163">
        <f t="shared" si="154"/>
        <v>0</v>
      </c>
      <c r="AJ195" s="163">
        <f t="shared" si="144"/>
        <v>1</v>
      </c>
      <c r="AK195" s="643">
        <f t="shared" si="144"/>
        <v>4</v>
      </c>
      <c r="AL195" s="646">
        <f t="shared" si="144"/>
        <v>542.00000000000011</v>
      </c>
      <c r="AM195" s="645">
        <f t="shared" si="144"/>
        <v>360</v>
      </c>
      <c r="AN195" s="163">
        <f t="shared" si="144"/>
        <v>251.99999999999997</v>
      </c>
      <c r="AO195" s="163">
        <f t="shared" si="144"/>
        <v>0</v>
      </c>
      <c r="AP195" s="163">
        <f t="shared" si="144"/>
        <v>107.99999999999999</v>
      </c>
      <c r="AQ195" s="644">
        <f t="shared" si="144"/>
        <v>0</v>
      </c>
      <c r="AR195" s="645">
        <f t="shared" si="144"/>
        <v>182</v>
      </c>
      <c r="AS195" s="163">
        <f t="shared" si="160"/>
        <v>98.999999999999957</v>
      </c>
      <c r="AT195" s="163">
        <f t="shared" si="160"/>
        <v>0</v>
      </c>
      <c r="AU195" s="163">
        <f t="shared" si="160"/>
        <v>68.000000000000028</v>
      </c>
      <c r="AV195" s="643">
        <f t="shared" si="160"/>
        <v>15.000000000000005</v>
      </c>
      <c r="AW195" s="646">
        <f t="shared" si="160"/>
        <v>291.00000000000006</v>
      </c>
      <c r="AX195" s="645">
        <f t="shared" si="160"/>
        <v>180.99999999999989</v>
      </c>
      <c r="AY195" s="163">
        <f t="shared" si="160"/>
        <v>132</v>
      </c>
      <c r="AZ195" s="163">
        <f t="shared" si="160"/>
        <v>0</v>
      </c>
      <c r="BA195" s="163">
        <f t="shared" si="160"/>
        <v>49.000000000000007</v>
      </c>
      <c r="BB195" s="644">
        <f t="shared" si="160"/>
        <v>0</v>
      </c>
      <c r="BC195" s="645">
        <f t="shared" si="160"/>
        <v>110</v>
      </c>
      <c r="BD195" s="163">
        <f t="shared" si="160"/>
        <v>79.999999999999972</v>
      </c>
      <c r="BE195" s="163">
        <f t="shared" si="160"/>
        <v>0</v>
      </c>
      <c r="BF195" s="163">
        <f t="shared" si="160"/>
        <v>22.000000000000018</v>
      </c>
      <c r="BG195" s="643">
        <f t="shared" si="160"/>
        <v>7.9999999999999982</v>
      </c>
      <c r="BH195" s="646">
        <f t="shared" si="155"/>
        <v>417.00000000000006</v>
      </c>
      <c r="BI195" s="645">
        <f t="shared" si="155"/>
        <v>292</v>
      </c>
      <c r="BJ195" s="163">
        <f t="shared" si="155"/>
        <v>211.00000000000006</v>
      </c>
      <c r="BK195" s="163">
        <f t="shared" si="155"/>
        <v>0</v>
      </c>
      <c r="BL195" s="163">
        <f t="shared" si="155"/>
        <v>81</v>
      </c>
      <c r="BM195" s="644">
        <f t="shared" si="155"/>
        <v>0</v>
      </c>
      <c r="BN195" s="645">
        <f t="shared" si="155"/>
        <v>125.00000000000007</v>
      </c>
      <c r="BO195" s="163">
        <f t="shared" si="155"/>
        <v>62.000000000000014</v>
      </c>
      <c r="BP195" s="163">
        <f t="shared" si="155"/>
        <v>0</v>
      </c>
      <c r="BQ195" s="163">
        <f t="shared" si="155"/>
        <v>52.000000000000007</v>
      </c>
      <c r="BR195" s="643">
        <f t="shared" si="155"/>
        <v>11.000000000000004</v>
      </c>
      <c r="BS195" s="646">
        <f t="shared" si="155"/>
        <v>593.00000000000034</v>
      </c>
      <c r="BT195" s="645">
        <f t="shared" si="155"/>
        <v>394.00000000000011</v>
      </c>
      <c r="BU195" s="163">
        <f t="shared" si="155"/>
        <v>261</v>
      </c>
      <c r="BV195" s="163">
        <f t="shared" si="155"/>
        <v>0</v>
      </c>
      <c r="BW195" s="163">
        <f t="shared" si="151"/>
        <v>133</v>
      </c>
      <c r="BX195" s="644">
        <f t="shared" si="151"/>
        <v>0</v>
      </c>
      <c r="BY195" s="645">
        <f t="shared" si="151"/>
        <v>199.00000000000003</v>
      </c>
      <c r="BZ195" s="163">
        <f t="shared" si="151"/>
        <v>108.99999999999997</v>
      </c>
      <c r="CA195" s="163">
        <f t="shared" si="151"/>
        <v>0</v>
      </c>
      <c r="CB195" s="163">
        <f t="shared" si="151"/>
        <v>70.999999999999943</v>
      </c>
      <c r="CC195" s="643">
        <f t="shared" si="151"/>
        <v>19</v>
      </c>
      <c r="CD195" s="646">
        <f t="shared" si="151"/>
        <v>117</v>
      </c>
      <c r="CE195" s="645">
        <f t="shared" si="151"/>
        <v>78.000000000000028</v>
      </c>
      <c r="CF195" s="163">
        <f t="shared" si="151"/>
        <v>49.999999999999986</v>
      </c>
      <c r="CG195" s="163">
        <f t="shared" si="151"/>
        <v>0</v>
      </c>
      <c r="CH195" s="163">
        <f t="shared" si="151"/>
        <v>27.999999999999996</v>
      </c>
      <c r="CI195" s="644">
        <f t="shared" si="151"/>
        <v>0</v>
      </c>
      <c r="CJ195" s="645">
        <f t="shared" si="151"/>
        <v>38.999999999999993</v>
      </c>
      <c r="CK195" s="163">
        <f t="shared" si="151"/>
        <v>25</v>
      </c>
      <c r="CL195" s="163">
        <f t="shared" si="151"/>
        <v>0</v>
      </c>
      <c r="CM195" s="163">
        <f t="shared" si="157"/>
        <v>10.999999999999998</v>
      </c>
      <c r="CN195" s="643">
        <f t="shared" si="157"/>
        <v>3</v>
      </c>
      <c r="CO195" s="646">
        <f t="shared" si="157"/>
        <v>99</v>
      </c>
      <c r="CP195" s="645">
        <f t="shared" si="157"/>
        <v>58.000000000000043</v>
      </c>
      <c r="CQ195" s="163">
        <f t="shared" si="157"/>
        <v>46.000000000000021</v>
      </c>
      <c r="CR195" s="163">
        <f t="shared" si="157"/>
        <v>0</v>
      </c>
      <c r="CS195" s="163">
        <f t="shared" si="157"/>
        <v>11.999999999999998</v>
      </c>
      <c r="CT195" s="644">
        <f t="shared" si="157"/>
        <v>0</v>
      </c>
      <c r="CU195" s="645">
        <f t="shared" si="157"/>
        <v>40.999999999999986</v>
      </c>
      <c r="CV195" s="163">
        <f t="shared" si="157"/>
        <v>23.999999999999986</v>
      </c>
      <c r="CW195" s="163">
        <f t="shared" si="157"/>
        <v>0</v>
      </c>
      <c r="CX195" s="163">
        <f t="shared" si="157"/>
        <v>17</v>
      </c>
      <c r="CY195" s="643">
        <f t="shared" si="157"/>
        <v>0</v>
      </c>
      <c r="CZ195" s="646">
        <f t="shared" si="157"/>
        <v>25.999999999999989</v>
      </c>
      <c r="DA195" s="645">
        <f t="shared" si="157"/>
        <v>12</v>
      </c>
      <c r="DB195" s="163">
        <f t="shared" si="157"/>
        <v>6.0000000000000009</v>
      </c>
      <c r="DC195" s="163">
        <f t="shared" si="159"/>
        <v>0</v>
      </c>
      <c r="DD195" s="163">
        <f t="shared" si="159"/>
        <v>5.9999999999999982</v>
      </c>
      <c r="DE195" s="644">
        <f t="shared" si="159"/>
        <v>0</v>
      </c>
      <c r="DF195" s="645">
        <f t="shared" si="159"/>
        <v>14.000000000000007</v>
      </c>
      <c r="DG195" s="163">
        <f t="shared" si="159"/>
        <v>13.000000000000011</v>
      </c>
      <c r="DH195" s="163">
        <f t="shared" si="159"/>
        <v>0</v>
      </c>
      <c r="DI195" s="163">
        <f t="shared" si="159"/>
        <v>1</v>
      </c>
      <c r="DJ195" s="643">
        <f t="shared" si="159"/>
        <v>0</v>
      </c>
      <c r="DK195" s="646">
        <f t="shared" si="159"/>
        <v>0</v>
      </c>
      <c r="DL195" s="645">
        <f t="shared" si="159"/>
        <v>0</v>
      </c>
      <c r="DM195" s="163">
        <f t="shared" si="159"/>
        <v>0</v>
      </c>
      <c r="DN195" s="163">
        <f t="shared" si="159"/>
        <v>0</v>
      </c>
      <c r="DO195" s="163">
        <f t="shared" si="159"/>
        <v>0</v>
      </c>
      <c r="DP195" s="644">
        <f t="shared" si="159"/>
        <v>0</v>
      </c>
      <c r="DQ195" s="645">
        <f t="shared" si="159"/>
        <v>1</v>
      </c>
      <c r="DR195" s="163">
        <f t="shared" si="159"/>
        <v>1</v>
      </c>
      <c r="DS195" s="163">
        <f t="shared" si="159"/>
        <v>0</v>
      </c>
      <c r="DT195" s="163">
        <f t="shared" si="152"/>
        <v>0</v>
      </c>
      <c r="DU195" s="643">
        <f t="shared" si="152"/>
        <v>0</v>
      </c>
      <c r="DW195" s="646">
        <f t="shared" si="121"/>
        <v>1705.0000000000005</v>
      </c>
      <c r="DX195" s="645">
        <f t="shared" si="121"/>
        <v>1101</v>
      </c>
      <c r="DY195" s="163">
        <f t="shared" si="121"/>
        <v>763</v>
      </c>
      <c r="DZ195" s="163">
        <f t="shared" si="121"/>
        <v>0</v>
      </c>
      <c r="EA195" s="163">
        <f t="shared" si="121"/>
        <v>338</v>
      </c>
      <c r="EB195" s="644">
        <f t="shared" si="158"/>
        <v>0</v>
      </c>
      <c r="EC195" s="645">
        <f t="shared" si="158"/>
        <v>605.00000000000011</v>
      </c>
      <c r="ED195" s="163">
        <f t="shared" si="158"/>
        <v>369</v>
      </c>
      <c r="EE195" s="163">
        <f t="shared" si="158"/>
        <v>0</v>
      </c>
      <c r="EF195" s="163">
        <f t="shared" si="158"/>
        <v>186.99999999999997</v>
      </c>
      <c r="EG195" s="643">
        <f t="shared" si="158"/>
        <v>49</v>
      </c>
      <c r="EH195" s="646">
        <f t="shared" si="119"/>
        <v>542.00000000000011</v>
      </c>
      <c r="EI195" s="645">
        <f t="shared" si="117"/>
        <v>360</v>
      </c>
      <c r="EJ195" s="163">
        <f t="shared" si="117"/>
        <v>251.99999999999997</v>
      </c>
      <c r="EK195" s="163">
        <f t="shared" si="117"/>
        <v>0</v>
      </c>
      <c r="EL195" s="163">
        <f t="shared" si="117"/>
        <v>107.99999999999999</v>
      </c>
      <c r="EM195" s="644">
        <f t="shared" si="117"/>
        <v>0</v>
      </c>
      <c r="EN195" s="645">
        <f t="shared" si="117"/>
        <v>182</v>
      </c>
      <c r="EO195" s="163">
        <f t="shared" si="117"/>
        <v>98.999999999999957</v>
      </c>
      <c r="EP195" s="163">
        <f t="shared" si="117"/>
        <v>0</v>
      </c>
      <c r="EQ195" s="163">
        <f t="shared" si="117"/>
        <v>68.000000000000028</v>
      </c>
      <c r="ER195" s="643">
        <f t="shared" si="117"/>
        <v>15.000000000000005</v>
      </c>
    </row>
    <row r="196" spans="1:148">
      <c r="A196" s="665" t="s">
        <v>243</v>
      </c>
      <c r="B196" s="665">
        <v>44470</v>
      </c>
      <c r="C196" s="664">
        <v>2021</v>
      </c>
      <c r="D196" s="646">
        <f t="shared" si="153"/>
        <v>3536784.3333333344</v>
      </c>
      <c r="E196" s="646">
        <f t="shared" si="156"/>
        <v>60823.999999999993</v>
      </c>
      <c r="F196" s="645">
        <f t="shared" si="156"/>
        <v>38131.666666666679</v>
      </c>
      <c r="G196" s="163">
        <f t="shared" si="156"/>
        <v>25324.666666666668</v>
      </c>
      <c r="H196" s="163">
        <f t="shared" si="156"/>
        <v>0</v>
      </c>
      <c r="I196" s="163">
        <f t="shared" si="156"/>
        <v>12807.000000000002</v>
      </c>
      <c r="J196" s="644">
        <f t="shared" si="156"/>
        <v>0</v>
      </c>
      <c r="K196" s="645">
        <f t="shared" si="156"/>
        <v>22692.333333333332</v>
      </c>
      <c r="L196" s="163">
        <f t="shared" si="156"/>
        <v>12942.333333333336</v>
      </c>
      <c r="M196" s="163">
        <f t="shared" si="156"/>
        <v>0</v>
      </c>
      <c r="N196" s="163">
        <f t="shared" si="156"/>
        <v>7864.333333333333</v>
      </c>
      <c r="O196" s="643">
        <f t="shared" si="156"/>
        <v>1885.6666666666658</v>
      </c>
      <c r="P196" s="646">
        <f t="shared" si="156"/>
        <v>101.00000000000001</v>
      </c>
      <c r="Q196" s="645">
        <f t="shared" si="156"/>
        <v>56</v>
      </c>
      <c r="R196" s="163">
        <f t="shared" si="156"/>
        <v>40.666666666666664</v>
      </c>
      <c r="S196" s="163">
        <f t="shared" si="156"/>
        <v>0</v>
      </c>
      <c r="T196" s="163">
        <f t="shared" si="156"/>
        <v>15.333333333333339</v>
      </c>
      <c r="U196" s="644">
        <f t="shared" si="154"/>
        <v>0</v>
      </c>
      <c r="V196" s="645">
        <f t="shared" si="154"/>
        <v>45.000000000000028</v>
      </c>
      <c r="W196" s="163">
        <f t="shared" si="154"/>
        <v>27.000000000000004</v>
      </c>
      <c r="X196" s="163">
        <f t="shared" si="154"/>
        <v>0</v>
      </c>
      <c r="Y196" s="163">
        <f t="shared" si="154"/>
        <v>14.000000000000004</v>
      </c>
      <c r="Z196" s="643">
        <f t="shared" si="154"/>
        <v>4</v>
      </c>
      <c r="AA196" s="646">
        <f t="shared" si="154"/>
        <v>66.333333333333357</v>
      </c>
      <c r="AB196" s="645">
        <f t="shared" si="154"/>
        <v>33.000000000000007</v>
      </c>
      <c r="AC196" s="163">
        <f t="shared" si="154"/>
        <v>18.000000000000004</v>
      </c>
      <c r="AD196" s="163">
        <f t="shared" si="154"/>
        <v>0</v>
      </c>
      <c r="AE196" s="163">
        <f t="shared" si="154"/>
        <v>15</v>
      </c>
      <c r="AF196" s="644">
        <f t="shared" si="154"/>
        <v>0</v>
      </c>
      <c r="AG196" s="645">
        <f t="shared" si="154"/>
        <v>33.33333333333335</v>
      </c>
      <c r="AH196" s="163">
        <f t="shared" si="154"/>
        <v>28.333333333333325</v>
      </c>
      <c r="AI196" s="163">
        <f t="shared" si="154"/>
        <v>0</v>
      </c>
      <c r="AJ196" s="163">
        <f t="shared" si="144"/>
        <v>1</v>
      </c>
      <c r="AK196" s="643">
        <f t="shared" si="144"/>
        <v>4</v>
      </c>
      <c r="AL196" s="646">
        <f t="shared" si="144"/>
        <v>560.00000000000011</v>
      </c>
      <c r="AM196" s="645">
        <f t="shared" si="144"/>
        <v>376.33333333333331</v>
      </c>
      <c r="AN196" s="163">
        <f t="shared" si="144"/>
        <v>263</v>
      </c>
      <c r="AO196" s="163">
        <f t="shared" si="144"/>
        <v>0</v>
      </c>
      <c r="AP196" s="163">
        <f t="shared" si="144"/>
        <v>113.33333333333331</v>
      </c>
      <c r="AQ196" s="644">
        <f t="shared" si="144"/>
        <v>0</v>
      </c>
      <c r="AR196" s="645">
        <f t="shared" si="144"/>
        <v>183.66666666666666</v>
      </c>
      <c r="AS196" s="163">
        <f t="shared" si="160"/>
        <v>98.999999999999957</v>
      </c>
      <c r="AT196" s="163">
        <f t="shared" si="160"/>
        <v>0</v>
      </c>
      <c r="AU196" s="163">
        <f t="shared" si="160"/>
        <v>69.6666666666667</v>
      </c>
      <c r="AV196" s="643">
        <f t="shared" si="160"/>
        <v>15.000000000000005</v>
      </c>
      <c r="AW196" s="646">
        <f t="shared" si="160"/>
        <v>302.00000000000006</v>
      </c>
      <c r="AX196" s="645">
        <f t="shared" si="160"/>
        <v>188.33333333333323</v>
      </c>
      <c r="AY196" s="163">
        <f t="shared" si="160"/>
        <v>136.33333333333334</v>
      </c>
      <c r="AZ196" s="163">
        <f t="shared" si="160"/>
        <v>0</v>
      </c>
      <c r="BA196" s="163">
        <f t="shared" si="160"/>
        <v>52.000000000000007</v>
      </c>
      <c r="BB196" s="644">
        <f t="shared" si="160"/>
        <v>0</v>
      </c>
      <c r="BC196" s="645">
        <f t="shared" si="160"/>
        <v>113.66666666666667</v>
      </c>
      <c r="BD196" s="163">
        <f t="shared" si="160"/>
        <v>80.666666666666643</v>
      </c>
      <c r="BE196" s="163">
        <f t="shared" si="160"/>
        <v>0</v>
      </c>
      <c r="BF196" s="163">
        <f t="shared" si="160"/>
        <v>24.666666666666686</v>
      </c>
      <c r="BG196" s="643">
        <f t="shared" si="160"/>
        <v>8.3333333333333321</v>
      </c>
      <c r="BH196" s="646">
        <f t="shared" si="155"/>
        <v>428.33333333333337</v>
      </c>
      <c r="BI196" s="645">
        <f t="shared" si="155"/>
        <v>300.66666666666669</v>
      </c>
      <c r="BJ196" s="163">
        <f t="shared" si="155"/>
        <v>214.66666666666671</v>
      </c>
      <c r="BK196" s="163">
        <f t="shared" si="155"/>
        <v>0</v>
      </c>
      <c r="BL196" s="163">
        <f t="shared" si="155"/>
        <v>86</v>
      </c>
      <c r="BM196" s="644">
        <f t="shared" si="155"/>
        <v>0</v>
      </c>
      <c r="BN196" s="645">
        <f t="shared" si="155"/>
        <v>127.66666666666674</v>
      </c>
      <c r="BO196" s="163">
        <f t="shared" si="155"/>
        <v>62.666666666666679</v>
      </c>
      <c r="BP196" s="163">
        <f t="shared" si="155"/>
        <v>0</v>
      </c>
      <c r="BQ196" s="163">
        <f t="shared" si="155"/>
        <v>54.000000000000007</v>
      </c>
      <c r="BR196" s="643">
        <f t="shared" si="155"/>
        <v>11.000000000000004</v>
      </c>
      <c r="BS196" s="646">
        <f t="shared" si="155"/>
        <v>618.00000000000034</v>
      </c>
      <c r="BT196" s="645">
        <f t="shared" si="155"/>
        <v>411.33333333333343</v>
      </c>
      <c r="BU196" s="163">
        <f t="shared" si="155"/>
        <v>267.33333333333331</v>
      </c>
      <c r="BV196" s="163">
        <f t="shared" si="155"/>
        <v>0</v>
      </c>
      <c r="BW196" s="163">
        <f t="shared" si="151"/>
        <v>144</v>
      </c>
      <c r="BX196" s="644">
        <f t="shared" si="151"/>
        <v>0</v>
      </c>
      <c r="BY196" s="645">
        <f t="shared" si="151"/>
        <v>206.66666666666669</v>
      </c>
      <c r="BZ196" s="163">
        <f t="shared" si="151"/>
        <v>110.3333333333333</v>
      </c>
      <c r="CA196" s="163">
        <f t="shared" si="151"/>
        <v>0</v>
      </c>
      <c r="CB196" s="163">
        <f t="shared" si="151"/>
        <v>77.333333333333272</v>
      </c>
      <c r="CC196" s="643">
        <f t="shared" si="151"/>
        <v>19</v>
      </c>
      <c r="CD196" s="646">
        <f t="shared" si="151"/>
        <v>120.66666666666667</v>
      </c>
      <c r="CE196" s="645">
        <f t="shared" si="151"/>
        <v>80.6666666666667</v>
      </c>
      <c r="CF196" s="163">
        <f t="shared" si="151"/>
        <v>51.333333333333321</v>
      </c>
      <c r="CG196" s="163">
        <f t="shared" si="151"/>
        <v>0</v>
      </c>
      <c r="CH196" s="163">
        <f t="shared" si="151"/>
        <v>29.333333333333329</v>
      </c>
      <c r="CI196" s="644">
        <f t="shared" si="151"/>
        <v>0</v>
      </c>
      <c r="CJ196" s="645">
        <f t="shared" si="151"/>
        <v>39.999999999999993</v>
      </c>
      <c r="CK196" s="163">
        <f t="shared" si="151"/>
        <v>25</v>
      </c>
      <c r="CL196" s="163">
        <f t="shared" si="151"/>
        <v>0</v>
      </c>
      <c r="CM196" s="163">
        <f t="shared" si="157"/>
        <v>11.999999999999998</v>
      </c>
      <c r="CN196" s="643">
        <f t="shared" si="157"/>
        <v>3</v>
      </c>
      <c r="CO196" s="646">
        <f t="shared" si="157"/>
        <v>101</v>
      </c>
      <c r="CP196" s="645">
        <f t="shared" si="157"/>
        <v>59.666666666666707</v>
      </c>
      <c r="CQ196" s="163">
        <f t="shared" si="157"/>
        <v>47.666666666666686</v>
      </c>
      <c r="CR196" s="163">
        <f t="shared" si="157"/>
        <v>0</v>
      </c>
      <c r="CS196" s="163">
        <f t="shared" si="157"/>
        <v>11.999999999999998</v>
      </c>
      <c r="CT196" s="644">
        <f t="shared" si="157"/>
        <v>0</v>
      </c>
      <c r="CU196" s="645">
        <f t="shared" si="157"/>
        <v>41.333333333333321</v>
      </c>
      <c r="CV196" s="163">
        <f t="shared" si="157"/>
        <v>23.999999999999986</v>
      </c>
      <c r="CW196" s="163">
        <f t="shared" si="157"/>
        <v>0</v>
      </c>
      <c r="CX196" s="163">
        <f t="shared" si="157"/>
        <v>17.333333333333332</v>
      </c>
      <c r="CY196" s="643">
        <f t="shared" si="157"/>
        <v>0</v>
      </c>
      <c r="CZ196" s="646">
        <f t="shared" si="157"/>
        <v>26.666666666666657</v>
      </c>
      <c r="DA196" s="645">
        <f t="shared" si="157"/>
        <v>12.666666666666666</v>
      </c>
      <c r="DB196" s="163">
        <f t="shared" si="157"/>
        <v>6.3333333333333339</v>
      </c>
      <c r="DC196" s="163">
        <f t="shared" si="159"/>
        <v>0</v>
      </c>
      <c r="DD196" s="163">
        <f t="shared" si="159"/>
        <v>6.3333333333333313</v>
      </c>
      <c r="DE196" s="644">
        <f t="shared" si="159"/>
        <v>0</v>
      </c>
      <c r="DF196" s="645">
        <f t="shared" si="159"/>
        <v>14.000000000000007</v>
      </c>
      <c r="DG196" s="163">
        <f t="shared" si="159"/>
        <v>13.000000000000011</v>
      </c>
      <c r="DH196" s="163">
        <f t="shared" si="159"/>
        <v>0</v>
      </c>
      <c r="DI196" s="163">
        <f t="shared" si="159"/>
        <v>1</v>
      </c>
      <c r="DJ196" s="643">
        <f t="shared" si="159"/>
        <v>0</v>
      </c>
      <c r="DK196" s="646">
        <f t="shared" si="159"/>
        <v>0</v>
      </c>
      <c r="DL196" s="645">
        <f t="shared" si="159"/>
        <v>0</v>
      </c>
      <c r="DM196" s="163">
        <f t="shared" si="159"/>
        <v>0</v>
      </c>
      <c r="DN196" s="163">
        <f t="shared" si="159"/>
        <v>0</v>
      </c>
      <c r="DO196" s="163">
        <f t="shared" si="159"/>
        <v>0</v>
      </c>
      <c r="DP196" s="644">
        <f t="shared" si="159"/>
        <v>0</v>
      </c>
      <c r="DQ196" s="645">
        <f t="shared" si="159"/>
        <v>1</v>
      </c>
      <c r="DR196" s="163">
        <f t="shared" si="159"/>
        <v>1</v>
      </c>
      <c r="DS196" s="163">
        <f t="shared" si="159"/>
        <v>0</v>
      </c>
      <c r="DT196" s="163">
        <f t="shared" si="152"/>
        <v>0</v>
      </c>
      <c r="DU196" s="643">
        <f t="shared" si="152"/>
        <v>0</v>
      </c>
      <c r="DW196" s="646">
        <f t="shared" si="121"/>
        <v>1764.0000000000005</v>
      </c>
      <c r="DX196" s="645">
        <f t="shared" si="121"/>
        <v>1142.3333333333337</v>
      </c>
      <c r="DY196" s="163">
        <f t="shared" si="121"/>
        <v>782.33333333333337</v>
      </c>
      <c r="DZ196" s="163">
        <f t="shared" si="121"/>
        <v>0</v>
      </c>
      <c r="EA196" s="163">
        <f t="shared" si="121"/>
        <v>360</v>
      </c>
      <c r="EB196" s="644">
        <f t="shared" si="158"/>
        <v>0</v>
      </c>
      <c r="EC196" s="645">
        <f t="shared" si="158"/>
        <v>622.66666666666686</v>
      </c>
      <c r="ED196" s="163">
        <f t="shared" si="158"/>
        <v>371.99999999999994</v>
      </c>
      <c r="EE196" s="163">
        <f t="shared" si="158"/>
        <v>0</v>
      </c>
      <c r="EF196" s="163">
        <f t="shared" si="158"/>
        <v>201.33333333333329</v>
      </c>
      <c r="EG196" s="643">
        <f t="shared" si="158"/>
        <v>49.333333333333336</v>
      </c>
      <c r="EH196" s="646">
        <f t="shared" si="119"/>
        <v>560.00000000000011</v>
      </c>
      <c r="EI196" s="645">
        <f t="shared" si="119"/>
        <v>376.33333333333331</v>
      </c>
      <c r="EJ196" s="163">
        <f t="shared" si="119"/>
        <v>263</v>
      </c>
      <c r="EK196" s="163">
        <f t="shared" si="119"/>
        <v>0</v>
      </c>
      <c r="EL196" s="163">
        <f t="shared" si="119"/>
        <v>113.33333333333331</v>
      </c>
      <c r="EM196" s="644">
        <f t="shared" si="119"/>
        <v>0</v>
      </c>
      <c r="EN196" s="645">
        <f t="shared" si="119"/>
        <v>183.66666666666666</v>
      </c>
      <c r="EO196" s="163">
        <f t="shared" si="119"/>
        <v>98.999999999999957</v>
      </c>
      <c r="EP196" s="163">
        <f t="shared" si="119"/>
        <v>0</v>
      </c>
      <c r="EQ196" s="163">
        <f t="shared" si="119"/>
        <v>69.6666666666667</v>
      </c>
      <c r="ER196" s="643">
        <f t="shared" si="119"/>
        <v>15.000000000000005</v>
      </c>
    </row>
    <row r="197" spans="1:148">
      <c r="A197" s="665" t="s">
        <v>243</v>
      </c>
      <c r="B197" s="665">
        <v>44501</v>
      </c>
      <c r="C197" s="664">
        <v>2021</v>
      </c>
      <c r="D197" s="646">
        <f t="shared" si="153"/>
        <v>3580327.6666666679</v>
      </c>
      <c r="E197" s="646">
        <f t="shared" si="156"/>
        <v>62866.999999999993</v>
      </c>
      <c r="F197" s="645">
        <f t="shared" si="156"/>
        <v>39727.333333333343</v>
      </c>
      <c r="G197" s="163">
        <f t="shared" si="156"/>
        <v>26105.333333333336</v>
      </c>
      <c r="H197" s="163">
        <f t="shared" si="156"/>
        <v>0</v>
      </c>
      <c r="I197" s="163">
        <f t="shared" si="156"/>
        <v>13622.000000000002</v>
      </c>
      <c r="J197" s="644">
        <f t="shared" si="156"/>
        <v>0</v>
      </c>
      <c r="K197" s="645">
        <f t="shared" si="156"/>
        <v>23139.666666666664</v>
      </c>
      <c r="L197" s="163">
        <f t="shared" si="156"/>
        <v>13008.66666666667</v>
      </c>
      <c r="M197" s="163">
        <f t="shared" si="156"/>
        <v>0</v>
      </c>
      <c r="N197" s="163">
        <f t="shared" si="156"/>
        <v>8235.6666666666661</v>
      </c>
      <c r="O197" s="643">
        <f t="shared" si="156"/>
        <v>1895.3333333333326</v>
      </c>
      <c r="P197" s="646">
        <f t="shared" si="156"/>
        <v>105.00000000000001</v>
      </c>
      <c r="Q197" s="645">
        <f t="shared" si="156"/>
        <v>58</v>
      </c>
      <c r="R197" s="163">
        <f t="shared" si="156"/>
        <v>41.333333333333329</v>
      </c>
      <c r="S197" s="163">
        <f t="shared" si="156"/>
        <v>0</v>
      </c>
      <c r="T197" s="163">
        <f t="shared" si="156"/>
        <v>16.666666666666671</v>
      </c>
      <c r="U197" s="644">
        <f t="shared" si="154"/>
        <v>0</v>
      </c>
      <c r="V197" s="645">
        <f t="shared" si="154"/>
        <v>47.000000000000028</v>
      </c>
      <c r="W197" s="163">
        <f t="shared" si="154"/>
        <v>27.000000000000004</v>
      </c>
      <c r="X197" s="163">
        <f t="shared" si="154"/>
        <v>0</v>
      </c>
      <c r="Y197" s="163">
        <f t="shared" si="154"/>
        <v>16.000000000000004</v>
      </c>
      <c r="Z197" s="643">
        <f t="shared" si="154"/>
        <v>4</v>
      </c>
      <c r="AA197" s="646">
        <f t="shared" si="154"/>
        <v>67.666666666666686</v>
      </c>
      <c r="AB197" s="645">
        <f t="shared" si="154"/>
        <v>34.000000000000007</v>
      </c>
      <c r="AC197" s="163">
        <f t="shared" si="154"/>
        <v>19.000000000000004</v>
      </c>
      <c r="AD197" s="163">
        <f t="shared" si="154"/>
        <v>0</v>
      </c>
      <c r="AE197" s="163">
        <f t="shared" si="154"/>
        <v>15</v>
      </c>
      <c r="AF197" s="644">
        <f t="shared" si="154"/>
        <v>0</v>
      </c>
      <c r="AG197" s="645">
        <f t="shared" si="154"/>
        <v>33.666666666666686</v>
      </c>
      <c r="AH197" s="163">
        <f t="shared" si="154"/>
        <v>28.666666666666657</v>
      </c>
      <c r="AI197" s="163">
        <f t="shared" si="154"/>
        <v>0</v>
      </c>
      <c r="AJ197" s="163">
        <f t="shared" si="154"/>
        <v>1</v>
      </c>
      <c r="AK197" s="643">
        <f t="shared" ref="AK197:AZ212" si="161">AK98/3+AK196</f>
        <v>4</v>
      </c>
      <c r="AL197" s="646">
        <f t="shared" si="161"/>
        <v>578.00000000000011</v>
      </c>
      <c r="AM197" s="645">
        <f t="shared" si="161"/>
        <v>392.66666666666663</v>
      </c>
      <c r="AN197" s="163">
        <f t="shared" si="161"/>
        <v>274</v>
      </c>
      <c r="AO197" s="163">
        <f t="shared" si="161"/>
        <v>0</v>
      </c>
      <c r="AP197" s="163">
        <f t="shared" si="161"/>
        <v>118.66666666666664</v>
      </c>
      <c r="AQ197" s="644">
        <f t="shared" si="161"/>
        <v>0</v>
      </c>
      <c r="AR197" s="645">
        <f t="shared" si="161"/>
        <v>185.33333333333331</v>
      </c>
      <c r="AS197" s="163">
        <f t="shared" si="160"/>
        <v>98.999999999999957</v>
      </c>
      <c r="AT197" s="163">
        <f t="shared" si="160"/>
        <v>0</v>
      </c>
      <c r="AU197" s="163">
        <f t="shared" si="160"/>
        <v>71.333333333333371</v>
      </c>
      <c r="AV197" s="643">
        <f t="shared" si="160"/>
        <v>15.000000000000005</v>
      </c>
      <c r="AW197" s="646">
        <f t="shared" si="160"/>
        <v>313.00000000000006</v>
      </c>
      <c r="AX197" s="645">
        <f t="shared" si="160"/>
        <v>195.66666666666657</v>
      </c>
      <c r="AY197" s="163">
        <f t="shared" si="160"/>
        <v>140.66666666666669</v>
      </c>
      <c r="AZ197" s="163">
        <f t="shared" si="160"/>
        <v>0</v>
      </c>
      <c r="BA197" s="163">
        <f t="shared" si="160"/>
        <v>55.000000000000007</v>
      </c>
      <c r="BB197" s="644">
        <f t="shared" si="160"/>
        <v>0</v>
      </c>
      <c r="BC197" s="645">
        <f t="shared" si="160"/>
        <v>117.33333333333334</v>
      </c>
      <c r="BD197" s="163">
        <f t="shared" si="160"/>
        <v>81.333333333333314</v>
      </c>
      <c r="BE197" s="163">
        <f t="shared" si="160"/>
        <v>0</v>
      </c>
      <c r="BF197" s="163">
        <f t="shared" si="160"/>
        <v>27.333333333333353</v>
      </c>
      <c r="BG197" s="643">
        <f t="shared" si="160"/>
        <v>8.6666666666666661</v>
      </c>
      <c r="BH197" s="646">
        <f t="shared" si="155"/>
        <v>439.66666666666669</v>
      </c>
      <c r="BI197" s="645">
        <f t="shared" si="155"/>
        <v>309.33333333333337</v>
      </c>
      <c r="BJ197" s="163">
        <f t="shared" si="155"/>
        <v>218.33333333333337</v>
      </c>
      <c r="BK197" s="163">
        <f t="shared" si="155"/>
        <v>0</v>
      </c>
      <c r="BL197" s="163">
        <f t="shared" si="155"/>
        <v>91</v>
      </c>
      <c r="BM197" s="644">
        <f t="shared" si="155"/>
        <v>0</v>
      </c>
      <c r="BN197" s="645">
        <f t="shared" si="155"/>
        <v>130.3333333333334</v>
      </c>
      <c r="BO197" s="163">
        <f t="shared" si="155"/>
        <v>63.333333333333343</v>
      </c>
      <c r="BP197" s="163">
        <f t="shared" si="155"/>
        <v>0</v>
      </c>
      <c r="BQ197" s="163">
        <f t="shared" si="155"/>
        <v>56.000000000000007</v>
      </c>
      <c r="BR197" s="643">
        <f t="shared" si="155"/>
        <v>11.000000000000004</v>
      </c>
      <c r="BS197" s="646">
        <f t="shared" si="155"/>
        <v>643.00000000000034</v>
      </c>
      <c r="BT197" s="645">
        <f t="shared" si="155"/>
        <v>428.66666666666674</v>
      </c>
      <c r="BU197" s="163">
        <f t="shared" si="155"/>
        <v>273.66666666666663</v>
      </c>
      <c r="BV197" s="163">
        <f t="shared" si="155"/>
        <v>0</v>
      </c>
      <c r="BW197" s="163">
        <f t="shared" si="151"/>
        <v>155</v>
      </c>
      <c r="BX197" s="644">
        <f t="shared" si="151"/>
        <v>0</v>
      </c>
      <c r="BY197" s="645">
        <f t="shared" si="151"/>
        <v>214.33333333333334</v>
      </c>
      <c r="BZ197" s="163">
        <f t="shared" si="151"/>
        <v>111.66666666666663</v>
      </c>
      <c r="CA197" s="163">
        <f t="shared" si="151"/>
        <v>0</v>
      </c>
      <c r="CB197" s="163">
        <f t="shared" si="151"/>
        <v>83.6666666666666</v>
      </c>
      <c r="CC197" s="643">
        <f t="shared" si="151"/>
        <v>19</v>
      </c>
      <c r="CD197" s="646">
        <f t="shared" si="151"/>
        <v>124.33333333333334</v>
      </c>
      <c r="CE197" s="645">
        <f t="shared" si="151"/>
        <v>83.333333333333371</v>
      </c>
      <c r="CF197" s="163">
        <f t="shared" si="151"/>
        <v>52.666666666666657</v>
      </c>
      <c r="CG197" s="163">
        <f t="shared" si="151"/>
        <v>0</v>
      </c>
      <c r="CH197" s="163">
        <f t="shared" si="151"/>
        <v>30.666666666666661</v>
      </c>
      <c r="CI197" s="644">
        <f t="shared" si="151"/>
        <v>0</v>
      </c>
      <c r="CJ197" s="645">
        <f t="shared" si="151"/>
        <v>40.999999999999993</v>
      </c>
      <c r="CK197" s="163">
        <f t="shared" si="151"/>
        <v>25</v>
      </c>
      <c r="CL197" s="163">
        <f t="shared" si="151"/>
        <v>0</v>
      </c>
      <c r="CM197" s="163">
        <f t="shared" si="157"/>
        <v>12.999999999999998</v>
      </c>
      <c r="CN197" s="643">
        <f t="shared" si="157"/>
        <v>3</v>
      </c>
      <c r="CO197" s="646">
        <f t="shared" si="157"/>
        <v>103</v>
      </c>
      <c r="CP197" s="645">
        <f t="shared" si="157"/>
        <v>61.333333333333371</v>
      </c>
      <c r="CQ197" s="163">
        <f t="shared" si="157"/>
        <v>49.33333333333335</v>
      </c>
      <c r="CR197" s="163">
        <f t="shared" si="157"/>
        <v>0</v>
      </c>
      <c r="CS197" s="163">
        <f t="shared" si="157"/>
        <v>11.999999999999998</v>
      </c>
      <c r="CT197" s="644">
        <f t="shared" si="157"/>
        <v>0</v>
      </c>
      <c r="CU197" s="645">
        <f t="shared" si="157"/>
        <v>41.666666666666657</v>
      </c>
      <c r="CV197" s="163">
        <f t="shared" si="157"/>
        <v>23.999999999999986</v>
      </c>
      <c r="CW197" s="163">
        <f t="shared" si="157"/>
        <v>0</v>
      </c>
      <c r="CX197" s="163">
        <f t="shared" si="157"/>
        <v>17.666666666666664</v>
      </c>
      <c r="CY197" s="643">
        <f t="shared" si="157"/>
        <v>0</v>
      </c>
      <c r="CZ197" s="646">
        <f t="shared" si="157"/>
        <v>27.333333333333325</v>
      </c>
      <c r="DA197" s="645">
        <f t="shared" si="157"/>
        <v>13.333333333333332</v>
      </c>
      <c r="DB197" s="163">
        <f t="shared" si="157"/>
        <v>6.666666666666667</v>
      </c>
      <c r="DC197" s="163">
        <f t="shared" si="159"/>
        <v>0</v>
      </c>
      <c r="DD197" s="163">
        <f t="shared" si="159"/>
        <v>6.6666666666666643</v>
      </c>
      <c r="DE197" s="644">
        <f t="shared" si="159"/>
        <v>0</v>
      </c>
      <c r="DF197" s="645">
        <f t="shared" si="159"/>
        <v>14.000000000000007</v>
      </c>
      <c r="DG197" s="163">
        <f t="shared" si="159"/>
        <v>13.000000000000011</v>
      </c>
      <c r="DH197" s="163">
        <f t="shared" si="159"/>
        <v>0</v>
      </c>
      <c r="DI197" s="163">
        <f t="shared" si="159"/>
        <v>1</v>
      </c>
      <c r="DJ197" s="643">
        <f t="shared" si="159"/>
        <v>0</v>
      </c>
      <c r="DK197" s="646">
        <f t="shared" si="159"/>
        <v>0</v>
      </c>
      <c r="DL197" s="645">
        <f t="shared" si="159"/>
        <v>0</v>
      </c>
      <c r="DM197" s="163">
        <f t="shared" si="159"/>
        <v>0</v>
      </c>
      <c r="DN197" s="163">
        <f t="shared" si="159"/>
        <v>0</v>
      </c>
      <c r="DO197" s="163">
        <f t="shared" si="159"/>
        <v>0</v>
      </c>
      <c r="DP197" s="644">
        <f t="shared" si="159"/>
        <v>0</v>
      </c>
      <c r="DQ197" s="645">
        <f t="shared" si="159"/>
        <v>1</v>
      </c>
      <c r="DR197" s="163">
        <f t="shared" si="159"/>
        <v>1</v>
      </c>
      <c r="DS197" s="163">
        <f t="shared" si="159"/>
        <v>0</v>
      </c>
      <c r="DT197" s="163">
        <f t="shared" si="152"/>
        <v>0</v>
      </c>
      <c r="DU197" s="643">
        <f t="shared" si="152"/>
        <v>0</v>
      </c>
      <c r="DW197" s="646">
        <f t="shared" si="121"/>
        <v>1823.0000000000005</v>
      </c>
      <c r="DX197" s="645">
        <f t="shared" si="121"/>
        <v>1183.6666666666667</v>
      </c>
      <c r="DY197" s="163">
        <f t="shared" si="121"/>
        <v>801.66666666666663</v>
      </c>
      <c r="DZ197" s="163">
        <f t="shared" si="121"/>
        <v>0</v>
      </c>
      <c r="EA197" s="163">
        <f t="shared" si="121"/>
        <v>382.00000000000006</v>
      </c>
      <c r="EB197" s="644">
        <f t="shared" si="158"/>
        <v>0</v>
      </c>
      <c r="EC197" s="645">
        <f t="shared" si="158"/>
        <v>640.33333333333348</v>
      </c>
      <c r="ED197" s="163">
        <f t="shared" si="158"/>
        <v>374.99999999999994</v>
      </c>
      <c r="EE197" s="163">
        <f t="shared" si="158"/>
        <v>0</v>
      </c>
      <c r="EF197" s="163">
        <f t="shared" si="158"/>
        <v>215.66666666666663</v>
      </c>
      <c r="EG197" s="643">
        <f t="shared" si="158"/>
        <v>49.666666666666671</v>
      </c>
      <c r="EH197" s="646">
        <f t="shared" si="119"/>
        <v>578.00000000000011</v>
      </c>
      <c r="EI197" s="645">
        <f t="shared" si="119"/>
        <v>392.66666666666663</v>
      </c>
      <c r="EJ197" s="163">
        <f t="shared" si="119"/>
        <v>274</v>
      </c>
      <c r="EK197" s="163">
        <f t="shared" si="119"/>
        <v>0</v>
      </c>
      <c r="EL197" s="163">
        <f t="shared" si="119"/>
        <v>118.66666666666664</v>
      </c>
      <c r="EM197" s="644">
        <f t="shared" si="119"/>
        <v>0</v>
      </c>
      <c r="EN197" s="645">
        <f t="shared" si="119"/>
        <v>185.33333333333331</v>
      </c>
      <c r="EO197" s="163">
        <f t="shared" si="119"/>
        <v>98.999999999999957</v>
      </c>
      <c r="EP197" s="163">
        <f t="shared" si="119"/>
        <v>0</v>
      </c>
      <c r="EQ197" s="163">
        <f t="shared" si="119"/>
        <v>71.333333333333371</v>
      </c>
      <c r="ER197" s="643">
        <f t="shared" si="119"/>
        <v>15.000000000000005</v>
      </c>
    </row>
    <row r="198" spans="1:148">
      <c r="A198" s="665" t="s">
        <v>243</v>
      </c>
      <c r="B198" s="665">
        <v>44531</v>
      </c>
      <c r="C198" s="664">
        <v>2021</v>
      </c>
      <c r="D198" s="646">
        <f t="shared" si="153"/>
        <v>3623871.0000000014</v>
      </c>
      <c r="E198" s="646">
        <f t="shared" si="156"/>
        <v>64909.999999999993</v>
      </c>
      <c r="F198" s="645">
        <f t="shared" si="156"/>
        <v>41323.000000000007</v>
      </c>
      <c r="G198" s="163">
        <f t="shared" si="156"/>
        <v>26886.000000000004</v>
      </c>
      <c r="H198" s="163">
        <f t="shared" si="156"/>
        <v>0</v>
      </c>
      <c r="I198" s="163">
        <f t="shared" si="156"/>
        <v>14437.000000000002</v>
      </c>
      <c r="J198" s="644">
        <f t="shared" si="156"/>
        <v>0</v>
      </c>
      <c r="K198" s="645">
        <f t="shared" si="156"/>
        <v>23586.999999999996</v>
      </c>
      <c r="L198" s="163">
        <f t="shared" si="156"/>
        <v>13075.000000000004</v>
      </c>
      <c r="M198" s="163">
        <f t="shared" si="156"/>
        <v>0</v>
      </c>
      <c r="N198" s="163">
        <f t="shared" si="156"/>
        <v>8607</v>
      </c>
      <c r="O198" s="643">
        <f t="shared" si="156"/>
        <v>1904.9999999999993</v>
      </c>
      <c r="P198" s="646">
        <f t="shared" si="156"/>
        <v>109.00000000000001</v>
      </c>
      <c r="Q198" s="645">
        <f t="shared" si="156"/>
        <v>60</v>
      </c>
      <c r="R198" s="163">
        <f t="shared" si="156"/>
        <v>41.999999999999993</v>
      </c>
      <c r="S198" s="163">
        <f t="shared" si="156"/>
        <v>0</v>
      </c>
      <c r="T198" s="163">
        <f t="shared" si="156"/>
        <v>18.000000000000004</v>
      </c>
      <c r="U198" s="644">
        <f t="shared" si="154"/>
        <v>0</v>
      </c>
      <c r="V198" s="645">
        <f t="shared" si="154"/>
        <v>49.000000000000028</v>
      </c>
      <c r="W198" s="163">
        <f t="shared" si="154"/>
        <v>27.000000000000004</v>
      </c>
      <c r="X198" s="163">
        <f t="shared" si="154"/>
        <v>0</v>
      </c>
      <c r="Y198" s="163">
        <f t="shared" si="154"/>
        <v>18.000000000000004</v>
      </c>
      <c r="Z198" s="643">
        <f t="shared" si="154"/>
        <v>4</v>
      </c>
      <c r="AA198" s="646">
        <f t="shared" si="154"/>
        <v>69.000000000000014</v>
      </c>
      <c r="AB198" s="645">
        <f t="shared" si="154"/>
        <v>35.000000000000007</v>
      </c>
      <c r="AC198" s="163">
        <f t="shared" si="154"/>
        <v>20.000000000000004</v>
      </c>
      <c r="AD198" s="163">
        <f t="shared" si="154"/>
        <v>0</v>
      </c>
      <c r="AE198" s="163">
        <f t="shared" si="154"/>
        <v>15</v>
      </c>
      <c r="AF198" s="644">
        <f t="shared" si="154"/>
        <v>0</v>
      </c>
      <c r="AG198" s="645">
        <f t="shared" si="154"/>
        <v>34.000000000000021</v>
      </c>
      <c r="AH198" s="163">
        <f t="shared" si="154"/>
        <v>28.999999999999989</v>
      </c>
      <c r="AI198" s="163">
        <f t="shared" si="154"/>
        <v>0</v>
      </c>
      <c r="AJ198" s="163">
        <f t="shared" si="154"/>
        <v>1</v>
      </c>
      <c r="AK198" s="643">
        <f t="shared" si="161"/>
        <v>4</v>
      </c>
      <c r="AL198" s="646">
        <f t="shared" si="161"/>
        <v>596.00000000000011</v>
      </c>
      <c r="AM198" s="645">
        <f t="shared" si="161"/>
        <v>408.99999999999994</v>
      </c>
      <c r="AN198" s="163">
        <f t="shared" si="161"/>
        <v>285</v>
      </c>
      <c r="AO198" s="163">
        <f t="shared" si="161"/>
        <v>0</v>
      </c>
      <c r="AP198" s="163">
        <f t="shared" si="161"/>
        <v>123.99999999999997</v>
      </c>
      <c r="AQ198" s="644">
        <f t="shared" si="161"/>
        <v>0</v>
      </c>
      <c r="AR198" s="645">
        <f t="shared" si="161"/>
        <v>186.99999999999997</v>
      </c>
      <c r="AS198" s="163">
        <f t="shared" si="160"/>
        <v>98.999999999999957</v>
      </c>
      <c r="AT198" s="163">
        <f t="shared" si="160"/>
        <v>0</v>
      </c>
      <c r="AU198" s="163">
        <f t="shared" si="160"/>
        <v>73.000000000000043</v>
      </c>
      <c r="AV198" s="643">
        <f t="shared" si="160"/>
        <v>15.000000000000005</v>
      </c>
      <c r="AW198" s="646">
        <f t="shared" si="160"/>
        <v>324.00000000000006</v>
      </c>
      <c r="AX198" s="645">
        <f t="shared" si="160"/>
        <v>202.99999999999991</v>
      </c>
      <c r="AY198" s="163">
        <f t="shared" si="160"/>
        <v>145.00000000000003</v>
      </c>
      <c r="AZ198" s="163">
        <f t="shared" si="160"/>
        <v>0</v>
      </c>
      <c r="BA198" s="163">
        <f t="shared" si="160"/>
        <v>58.000000000000007</v>
      </c>
      <c r="BB198" s="644">
        <f t="shared" si="160"/>
        <v>0</v>
      </c>
      <c r="BC198" s="645">
        <f t="shared" si="160"/>
        <v>121.00000000000001</v>
      </c>
      <c r="BD198" s="163">
        <f t="shared" si="160"/>
        <v>81.999999999999986</v>
      </c>
      <c r="BE198" s="163">
        <f t="shared" si="160"/>
        <v>0</v>
      </c>
      <c r="BF198" s="163">
        <f t="shared" si="160"/>
        <v>30.000000000000021</v>
      </c>
      <c r="BG198" s="643">
        <f t="shared" si="160"/>
        <v>9</v>
      </c>
      <c r="BH198" s="646">
        <f t="shared" si="155"/>
        <v>451</v>
      </c>
      <c r="BI198" s="645">
        <f t="shared" si="155"/>
        <v>318.00000000000006</v>
      </c>
      <c r="BJ198" s="163">
        <f t="shared" si="155"/>
        <v>222.00000000000003</v>
      </c>
      <c r="BK198" s="163">
        <f t="shared" si="155"/>
        <v>0</v>
      </c>
      <c r="BL198" s="163">
        <f t="shared" si="155"/>
        <v>96</v>
      </c>
      <c r="BM198" s="644">
        <f t="shared" si="155"/>
        <v>0</v>
      </c>
      <c r="BN198" s="645">
        <f t="shared" si="155"/>
        <v>133.00000000000006</v>
      </c>
      <c r="BO198" s="163">
        <f t="shared" si="155"/>
        <v>64.000000000000014</v>
      </c>
      <c r="BP198" s="163">
        <f t="shared" si="155"/>
        <v>0</v>
      </c>
      <c r="BQ198" s="163">
        <f t="shared" si="155"/>
        <v>58.000000000000007</v>
      </c>
      <c r="BR198" s="643">
        <f t="shared" si="155"/>
        <v>11.000000000000004</v>
      </c>
      <c r="BS198" s="646">
        <f t="shared" si="155"/>
        <v>668.00000000000034</v>
      </c>
      <c r="BT198" s="645">
        <f t="shared" si="155"/>
        <v>446.00000000000006</v>
      </c>
      <c r="BU198" s="163">
        <f t="shared" si="155"/>
        <v>279.99999999999994</v>
      </c>
      <c r="BV198" s="163">
        <f t="shared" si="155"/>
        <v>0</v>
      </c>
      <c r="BW198" s="163">
        <f t="shared" si="151"/>
        <v>166</v>
      </c>
      <c r="BX198" s="644">
        <f t="shared" si="151"/>
        <v>0</v>
      </c>
      <c r="BY198" s="645">
        <f t="shared" si="151"/>
        <v>222</v>
      </c>
      <c r="BZ198" s="163">
        <f t="shared" si="151"/>
        <v>112.99999999999996</v>
      </c>
      <c r="CA198" s="163">
        <f t="shared" si="151"/>
        <v>0</v>
      </c>
      <c r="CB198" s="163">
        <f t="shared" si="151"/>
        <v>89.999999999999929</v>
      </c>
      <c r="CC198" s="643">
        <f t="shared" si="151"/>
        <v>19</v>
      </c>
      <c r="CD198" s="646">
        <f t="shared" si="151"/>
        <v>128</v>
      </c>
      <c r="CE198" s="645">
        <f t="shared" si="151"/>
        <v>86.000000000000043</v>
      </c>
      <c r="CF198" s="163">
        <f t="shared" si="151"/>
        <v>53.999999999999993</v>
      </c>
      <c r="CG198" s="163">
        <f t="shared" si="151"/>
        <v>0</v>
      </c>
      <c r="CH198" s="163">
        <f t="shared" si="151"/>
        <v>31.999999999999993</v>
      </c>
      <c r="CI198" s="644">
        <f t="shared" si="151"/>
        <v>0</v>
      </c>
      <c r="CJ198" s="645">
        <f t="shared" si="151"/>
        <v>41.999999999999993</v>
      </c>
      <c r="CK198" s="163">
        <f t="shared" si="151"/>
        <v>25</v>
      </c>
      <c r="CL198" s="163">
        <f t="shared" si="151"/>
        <v>0</v>
      </c>
      <c r="CM198" s="163">
        <f t="shared" si="157"/>
        <v>13.999999999999998</v>
      </c>
      <c r="CN198" s="643">
        <f t="shared" si="157"/>
        <v>3</v>
      </c>
      <c r="CO198" s="646">
        <f t="shared" si="157"/>
        <v>105</v>
      </c>
      <c r="CP198" s="645">
        <f t="shared" si="157"/>
        <v>63.000000000000036</v>
      </c>
      <c r="CQ198" s="163">
        <f t="shared" si="157"/>
        <v>51.000000000000014</v>
      </c>
      <c r="CR198" s="163">
        <f t="shared" si="157"/>
        <v>0</v>
      </c>
      <c r="CS198" s="163">
        <f t="shared" si="157"/>
        <v>11.999999999999998</v>
      </c>
      <c r="CT198" s="644">
        <f t="shared" si="157"/>
        <v>0</v>
      </c>
      <c r="CU198" s="645">
        <f t="shared" si="157"/>
        <v>41.999999999999993</v>
      </c>
      <c r="CV198" s="163">
        <f t="shared" si="157"/>
        <v>23.999999999999986</v>
      </c>
      <c r="CW198" s="163">
        <f t="shared" si="157"/>
        <v>0</v>
      </c>
      <c r="CX198" s="163">
        <f t="shared" si="157"/>
        <v>17.999999999999996</v>
      </c>
      <c r="CY198" s="643">
        <f t="shared" si="157"/>
        <v>0</v>
      </c>
      <c r="CZ198" s="646">
        <f t="shared" si="157"/>
        <v>27.999999999999993</v>
      </c>
      <c r="DA198" s="645">
        <f t="shared" si="157"/>
        <v>13.999999999999998</v>
      </c>
      <c r="DB198" s="163">
        <f t="shared" si="157"/>
        <v>7</v>
      </c>
      <c r="DC198" s="163">
        <f t="shared" si="159"/>
        <v>0</v>
      </c>
      <c r="DD198" s="163">
        <f t="shared" si="159"/>
        <v>6.9999999999999973</v>
      </c>
      <c r="DE198" s="644">
        <f t="shared" si="159"/>
        <v>0</v>
      </c>
      <c r="DF198" s="645">
        <f t="shared" si="159"/>
        <v>14.000000000000007</v>
      </c>
      <c r="DG198" s="163">
        <f t="shared" si="159"/>
        <v>13.000000000000011</v>
      </c>
      <c r="DH198" s="163">
        <f t="shared" si="159"/>
        <v>0</v>
      </c>
      <c r="DI198" s="163">
        <f t="shared" si="159"/>
        <v>1</v>
      </c>
      <c r="DJ198" s="643">
        <f t="shared" si="159"/>
        <v>0</v>
      </c>
      <c r="DK198" s="646">
        <f t="shared" si="159"/>
        <v>0</v>
      </c>
      <c r="DL198" s="645">
        <f t="shared" si="159"/>
        <v>0</v>
      </c>
      <c r="DM198" s="163">
        <f t="shared" si="159"/>
        <v>0</v>
      </c>
      <c r="DN198" s="163">
        <f t="shared" si="159"/>
        <v>0</v>
      </c>
      <c r="DO198" s="163">
        <f t="shared" si="159"/>
        <v>0</v>
      </c>
      <c r="DP198" s="644">
        <f t="shared" si="159"/>
        <v>0</v>
      </c>
      <c r="DQ198" s="645">
        <f t="shared" si="159"/>
        <v>1</v>
      </c>
      <c r="DR198" s="163">
        <f t="shared" si="159"/>
        <v>1</v>
      </c>
      <c r="DS198" s="163">
        <f t="shared" si="159"/>
        <v>0</v>
      </c>
      <c r="DT198" s="163">
        <f t="shared" si="152"/>
        <v>0</v>
      </c>
      <c r="DU198" s="643">
        <f t="shared" si="152"/>
        <v>0</v>
      </c>
      <c r="DW198" s="646">
        <f t="shared" si="121"/>
        <v>1882.0000000000005</v>
      </c>
      <c r="DX198" s="645">
        <f t="shared" si="121"/>
        <v>1225</v>
      </c>
      <c r="DY198" s="163">
        <f t="shared" si="121"/>
        <v>821</v>
      </c>
      <c r="DZ198" s="163">
        <f t="shared" si="121"/>
        <v>0</v>
      </c>
      <c r="EA198" s="163">
        <f t="shared" si="121"/>
        <v>404</v>
      </c>
      <c r="EB198" s="644">
        <f t="shared" si="158"/>
        <v>0</v>
      </c>
      <c r="EC198" s="645">
        <f t="shared" si="158"/>
        <v>658.00000000000011</v>
      </c>
      <c r="ED198" s="163">
        <f t="shared" si="158"/>
        <v>377.99999999999994</v>
      </c>
      <c r="EE198" s="163">
        <f t="shared" si="158"/>
        <v>0</v>
      </c>
      <c r="EF198" s="163">
        <f t="shared" si="158"/>
        <v>229.99999999999994</v>
      </c>
      <c r="EG198" s="643">
        <f t="shared" si="158"/>
        <v>50</v>
      </c>
      <c r="EH198" s="646">
        <f t="shared" si="119"/>
        <v>596.00000000000011</v>
      </c>
      <c r="EI198" s="645">
        <f t="shared" si="119"/>
        <v>408.99999999999994</v>
      </c>
      <c r="EJ198" s="163">
        <f t="shared" si="119"/>
        <v>285</v>
      </c>
      <c r="EK198" s="163">
        <f t="shared" si="119"/>
        <v>0</v>
      </c>
      <c r="EL198" s="163">
        <f t="shared" si="119"/>
        <v>123.99999999999997</v>
      </c>
      <c r="EM198" s="644">
        <f t="shared" si="119"/>
        <v>0</v>
      </c>
      <c r="EN198" s="645">
        <f t="shared" si="119"/>
        <v>186.99999999999997</v>
      </c>
      <c r="EO198" s="163">
        <f t="shared" si="119"/>
        <v>98.999999999999957</v>
      </c>
      <c r="EP198" s="163">
        <f t="shared" si="119"/>
        <v>0</v>
      </c>
      <c r="EQ198" s="163">
        <f t="shared" si="119"/>
        <v>73.000000000000043</v>
      </c>
      <c r="ER198" s="643">
        <f t="shared" si="119"/>
        <v>15.000000000000005</v>
      </c>
    </row>
    <row r="199" spans="1:148">
      <c r="A199" s="665" t="s">
        <v>244</v>
      </c>
      <c r="B199" s="665">
        <v>44562</v>
      </c>
      <c r="C199" s="664">
        <v>2022</v>
      </c>
      <c r="D199" s="646">
        <f t="shared" si="153"/>
        <v>3668917.0000000014</v>
      </c>
      <c r="E199" s="646">
        <f t="shared" si="156"/>
        <v>67284.666666666657</v>
      </c>
      <c r="F199" s="645">
        <f t="shared" si="156"/>
        <v>43218.333333333343</v>
      </c>
      <c r="G199" s="163">
        <f t="shared" si="156"/>
        <v>27842.333333333336</v>
      </c>
      <c r="H199" s="163">
        <f t="shared" si="156"/>
        <v>0</v>
      </c>
      <c r="I199" s="163">
        <f t="shared" si="156"/>
        <v>15374.666666666668</v>
      </c>
      <c r="J199" s="644">
        <f t="shared" si="156"/>
        <v>1.3333333333333333</v>
      </c>
      <c r="K199" s="645">
        <f t="shared" si="156"/>
        <v>24066.333333333328</v>
      </c>
      <c r="L199" s="163">
        <f t="shared" si="156"/>
        <v>13125.66666666667</v>
      </c>
      <c r="M199" s="163">
        <f t="shared" si="156"/>
        <v>0</v>
      </c>
      <c r="N199" s="163">
        <f t="shared" si="156"/>
        <v>8955.3333333333339</v>
      </c>
      <c r="O199" s="643">
        <f t="shared" si="156"/>
        <v>1985.3333333333326</v>
      </c>
      <c r="P199" s="646">
        <f t="shared" si="156"/>
        <v>112.00000000000001</v>
      </c>
      <c r="Q199" s="645">
        <f t="shared" si="156"/>
        <v>62</v>
      </c>
      <c r="R199" s="163">
        <f t="shared" si="156"/>
        <v>42.333333333333329</v>
      </c>
      <c r="S199" s="163">
        <f t="shared" si="156"/>
        <v>0</v>
      </c>
      <c r="T199" s="163">
        <f t="shared" si="156"/>
        <v>19.666666666666671</v>
      </c>
      <c r="U199" s="644">
        <f t="shared" si="154"/>
        <v>0</v>
      </c>
      <c r="V199" s="645">
        <f t="shared" si="154"/>
        <v>50.000000000000028</v>
      </c>
      <c r="W199" s="163">
        <f t="shared" si="154"/>
        <v>27.000000000000004</v>
      </c>
      <c r="X199" s="163">
        <f t="shared" si="154"/>
        <v>0</v>
      </c>
      <c r="Y199" s="163">
        <f t="shared" si="154"/>
        <v>19.000000000000004</v>
      </c>
      <c r="Z199" s="643">
        <f t="shared" si="154"/>
        <v>4</v>
      </c>
      <c r="AA199" s="646">
        <f t="shared" si="154"/>
        <v>70.666666666666686</v>
      </c>
      <c r="AB199" s="645">
        <f t="shared" si="154"/>
        <v>36.666666666666671</v>
      </c>
      <c r="AC199" s="163">
        <f t="shared" si="154"/>
        <v>20.666666666666671</v>
      </c>
      <c r="AD199" s="163">
        <f t="shared" si="154"/>
        <v>0</v>
      </c>
      <c r="AE199" s="163">
        <f t="shared" si="154"/>
        <v>16</v>
      </c>
      <c r="AF199" s="644">
        <f t="shared" si="154"/>
        <v>0</v>
      </c>
      <c r="AG199" s="645">
        <f t="shared" si="154"/>
        <v>34.000000000000021</v>
      </c>
      <c r="AH199" s="163">
        <f t="shared" si="154"/>
        <v>28.999999999999989</v>
      </c>
      <c r="AI199" s="163">
        <f t="shared" si="154"/>
        <v>0</v>
      </c>
      <c r="AJ199" s="163">
        <f t="shared" si="154"/>
        <v>1</v>
      </c>
      <c r="AK199" s="643">
        <f t="shared" si="161"/>
        <v>4</v>
      </c>
      <c r="AL199" s="646">
        <f t="shared" si="161"/>
        <v>623.00000000000011</v>
      </c>
      <c r="AM199" s="645">
        <f t="shared" si="161"/>
        <v>428.99999999999994</v>
      </c>
      <c r="AN199" s="163">
        <f t="shared" si="161"/>
        <v>294.33333333333331</v>
      </c>
      <c r="AO199" s="163">
        <f t="shared" si="161"/>
        <v>0</v>
      </c>
      <c r="AP199" s="163">
        <f t="shared" si="161"/>
        <v>134.66666666666663</v>
      </c>
      <c r="AQ199" s="644">
        <f t="shared" si="161"/>
        <v>0</v>
      </c>
      <c r="AR199" s="645">
        <f t="shared" si="161"/>
        <v>193.99999999999997</v>
      </c>
      <c r="AS199" s="163">
        <f t="shared" si="160"/>
        <v>98.999999999999957</v>
      </c>
      <c r="AT199" s="163">
        <f t="shared" si="160"/>
        <v>0</v>
      </c>
      <c r="AU199" s="163">
        <f t="shared" si="160"/>
        <v>79.666666666666714</v>
      </c>
      <c r="AV199" s="643">
        <f t="shared" si="160"/>
        <v>15.333333333333339</v>
      </c>
      <c r="AW199" s="646">
        <f t="shared" si="160"/>
        <v>337.00000000000006</v>
      </c>
      <c r="AX199" s="645">
        <f t="shared" si="160"/>
        <v>213.33333333333326</v>
      </c>
      <c r="AY199" s="163">
        <f t="shared" si="160"/>
        <v>150.66666666666669</v>
      </c>
      <c r="AZ199" s="163">
        <f t="shared" si="160"/>
        <v>0</v>
      </c>
      <c r="BA199" s="163">
        <f t="shared" si="160"/>
        <v>62.666666666666671</v>
      </c>
      <c r="BB199" s="644">
        <f t="shared" si="160"/>
        <v>0</v>
      </c>
      <c r="BC199" s="645">
        <f t="shared" si="160"/>
        <v>123.66666666666669</v>
      </c>
      <c r="BD199" s="163">
        <f t="shared" si="160"/>
        <v>82.333333333333314</v>
      </c>
      <c r="BE199" s="163">
        <f t="shared" si="160"/>
        <v>0</v>
      </c>
      <c r="BF199" s="163">
        <f t="shared" si="160"/>
        <v>32.333333333333357</v>
      </c>
      <c r="BG199" s="643">
        <f t="shared" si="160"/>
        <v>9</v>
      </c>
      <c r="BH199" s="646">
        <f t="shared" si="155"/>
        <v>469.66666666666669</v>
      </c>
      <c r="BI199" s="645">
        <f t="shared" si="155"/>
        <v>333.00000000000006</v>
      </c>
      <c r="BJ199" s="163">
        <f t="shared" si="155"/>
        <v>229.33333333333337</v>
      </c>
      <c r="BK199" s="163">
        <f t="shared" si="155"/>
        <v>0</v>
      </c>
      <c r="BL199" s="163">
        <f t="shared" si="155"/>
        <v>103.66666666666667</v>
      </c>
      <c r="BM199" s="644">
        <f t="shared" si="155"/>
        <v>0</v>
      </c>
      <c r="BN199" s="645">
        <f t="shared" si="155"/>
        <v>136.66666666666671</v>
      </c>
      <c r="BO199" s="163">
        <f t="shared" si="155"/>
        <v>64.333333333333343</v>
      </c>
      <c r="BP199" s="163">
        <f t="shared" si="155"/>
        <v>0</v>
      </c>
      <c r="BQ199" s="163">
        <f t="shared" si="155"/>
        <v>60.666666666666671</v>
      </c>
      <c r="BR199" s="643">
        <f t="shared" si="155"/>
        <v>11.66666666666667</v>
      </c>
      <c r="BS199" s="646">
        <f t="shared" si="155"/>
        <v>697.33333333333371</v>
      </c>
      <c r="BT199" s="645">
        <f t="shared" si="155"/>
        <v>469.33333333333337</v>
      </c>
      <c r="BU199" s="163">
        <f t="shared" si="155"/>
        <v>291.66666666666663</v>
      </c>
      <c r="BV199" s="163">
        <f t="shared" si="155"/>
        <v>0</v>
      </c>
      <c r="BW199" s="163">
        <f t="shared" si="151"/>
        <v>177.66666666666666</v>
      </c>
      <c r="BX199" s="644">
        <f t="shared" si="151"/>
        <v>0</v>
      </c>
      <c r="BY199" s="645">
        <f t="shared" si="151"/>
        <v>228</v>
      </c>
      <c r="BZ199" s="163">
        <f t="shared" si="151"/>
        <v>113.33333333333329</v>
      </c>
      <c r="CA199" s="163">
        <f t="shared" si="151"/>
        <v>0</v>
      </c>
      <c r="CB199" s="163">
        <f t="shared" si="151"/>
        <v>94.6666666666666</v>
      </c>
      <c r="CC199" s="643">
        <f t="shared" si="151"/>
        <v>20</v>
      </c>
      <c r="CD199" s="646">
        <f t="shared" si="151"/>
        <v>132</v>
      </c>
      <c r="CE199" s="645">
        <f t="shared" si="151"/>
        <v>89.000000000000043</v>
      </c>
      <c r="CF199" s="163">
        <f t="shared" si="151"/>
        <v>55.666666666666657</v>
      </c>
      <c r="CG199" s="163">
        <f t="shared" si="151"/>
        <v>0</v>
      </c>
      <c r="CH199" s="163">
        <f t="shared" si="151"/>
        <v>33.333333333333329</v>
      </c>
      <c r="CI199" s="644">
        <f t="shared" si="151"/>
        <v>0</v>
      </c>
      <c r="CJ199" s="645">
        <f t="shared" si="151"/>
        <v>42.999999999999993</v>
      </c>
      <c r="CK199" s="163">
        <f t="shared" si="151"/>
        <v>25</v>
      </c>
      <c r="CL199" s="163">
        <f t="shared" si="151"/>
        <v>0</v>
      </c>
      <c r="CM199" s="163">
        <f t="shared" si="157"/>
        <v>14.999999999999998</v>
      </c>
      <c r="CN199" s="643">
        <f t="shared" si="157"/>
        <v>3</v>
      </c>
      <c r="CO199" s="646">
        <f t="shared" si="157"/>
        <v>106.33333333333333</v>
      </c>
      <c r="CP199" s="645">
        <f t="shared" si="157"/>
        <v>64.000000000000028</v>
      </c>
      <c r="CQ199" s="163">
        <f t="shared" si="157"/>
        <v>51.33333333333335</v>
      </c>
      <c r="CR199" s="163">
        <f t="shared" si="157"/>
        <v>0</v>
      </c>
      <c r="CS199" s="163">
        <f t="shared" si="157"/>
        <v>12.666666666666664</v>
      </c>
      <c r="CT199" s="644">
        <f t="shared" si="157"/>
        <v>0</v>
      </c>
      <c r="CU199" s="645">
        <f t="shared" si="157"/>
        <v>42.333333333333329</v>
      </c>
      <c r="CV199" s="163">
        <f t="shared" si="157"/>
        <v>23.999999999999986</v>
      </c>
      <c r="CW199" s="163">
        <f t="shared" si="157"/>
        <v>0</v>
      </c>
      <c r="CX199" s="163">
        <f t="shared" si="157"/>
        <v>18.333333333333329</v>
      </c>
      <c r="CY199" s="643">
        <f t="shared" si="157"/>
        <v>0</v>
      </c>
      <c r="CZ199" s="646">
        <f t="shared" si="157"/>
        <v>28.999999999999993</v>
      </c>
      <c r="DA199" s="645">
        <f t="shared" si="157"/>
        <v>14.999999999999998</v>
      </c>
      <c r="DB199" s="163">
        <f t="shared" si="157"/>
        <v>7.333333333333333</v>
      </c>
      <c r="DC199" s="163">
        <f t="shared" si="159"/>
        <v>0</v>
      </c>
      <c r="DD199" s="163">
        <f t="shared" si="159"/>
        <v>7.6666666666666643</v>
      </c>
      <c r="DE199" s="644">
        <f t="shared" si="159"/>
        <v>0</v>
      </c>
      <c r="DF199" s="645">
        <f t="shared" si="159"/>
        <v>14.000000000000007</v>
      </c>
      <c r="DG199" s="163">
        <f t="shared" si="159"/>
        <v>13.000000000000011</v>
      </c>
      <c r="DH199" s="163">
        <f t="shared" si="159"/>
        <v>0</v>
      </c>
      <c r="DI199" s="163">
        <f t="shared" si="159"/>
        <v>1</v>
      </c>
      <c r="DJ199" s="643">
        <f t="shared" si="159"/>
        <v>0</v>
      </c>
      <c r="DK199" s="646">
        <f t="shared" si="159"/>
        <v>0</v>
      </c>
      <c r="DL199" s="645">
        <f t="shared" si="159"/>
        <v>0</v>
      </c>
      <c r="DM199" s="163">
        <f t="shared" si="159"/>
        <v>0</v>
      </c>
      <c r="DN199" s="163">
        <f t="shared" si="159"/>
        <v>0</v>
      </c>
      <c r="DO199" s="163">
        <f t="shared" si="159"/>
        <v>0</v>
      </c>
      <c r="DP199" s="644">
        <f t="shared" si="159"/>
        <v>0</v>
      </c>
      <c r="DQ199" s="645">
        <f t="shared" si="159"/>
        <v>1</v>
      </c>
      <c r="DR199" s="163">
        <f t="shared" si="159"/>
        <v>1</v>
      </c>
      <c r="DS199" s="163">
        <f t="shared" si="159"/>
        <v>0</v>
      </c>
      <c r="DT199" s="163">
        <f t="shared" si="152"/>
        <v>0</v>
      </c>
      <c r="DU199" s="643">
        <f t="shared" si="152"/>
        <v>0</v>
      </c>
      <c r="DW199" s="646">
        <f t="shared" si="121"/>
        <v>1954.0000000000005</v>
      </c>
      <c r="DX199" s="645">
        <f t="shared" si="121"/>
        <v>1282.3333333333335</v>
      </c>
      <c r="DY199" s="163">
        <f t="shared" si="121"/>
        <v>849.00000000000011</v>
      </c>
      <c r="DZ199" s="163">
        <f t="shared" si="121"/>
        <v>0</v>
      </c>
      <c r="EA199" s="163">
        <f t="shared" si="121"/>
        <v>433.33333333333331</v>
      </c>
      <c r="EB199" s="644">
        <f t="shared" si="158"/>
        <v>0</v>
      </c>
      <c r="EC199" s="645">
        <f t="shared" si="158"/>
        <v>672.66666666666686</v>
      </c>
      <c r="ED199" s="163">
        <f t="shared" si="158"/>
        <v>378.99999999999994</v>
      </c>
      <c r="EE199" s="163">
        <f t="shared" si="158"/>
        <v>0</v>
      </c>
      <c r="EF199" s="163">
        <f t="shared" si="158"/>
        <v>241.99999999999994</v>
      </c>
      <c r="EG199" s="643">
        <f t="shared" si="158"/>
        <v>51.666666666666671</v>
      </c>
      <c r="EH199" s="646">
        <f t="shared" si="119"/>
        <v>623.00000000000011</v>
      </c>
      <c r="EI199" s="645">
        <f t="shared" si="119"/>
        <v>428.99999999999994</v>
      </c>
      <c r="EJ199" s="163">
        <f t="shared" si="119"/>
        <v>294.33333333333331</v>
      </c>
      <c r="EK199" s="163">
        <f t="shared" si="119"/>
        <v>0</v>
      </c>
      <c r="EL199" s="163">
        <f t="shared" si="119"/>
        <v>134.66666666666663</v>
      </c>
      <c r="EM199" s="644">
        <f t="shared" si="119"/>
        <v>0</v>
      </c>
      <c r="EN199" s="645">
        <f t="shared" si="119"/>
        <v>193.99999999999997</v>
      </c>
      <c r="EO199" s="163">
        <f t="shared" si="119"/>
        <v>98.999999999999957</v>
      </c>
      <c r="EP199" s="163">
        <f t="shared" si="119"/>
        <v>0</v>
      </c>
      <c r="EQ199" s="163">
        <f t="shared" si="119"/>
        <v>79.666666666666714</v>
      </c>
      <c r="ER199" s="643">
        <f t="shared" si="119"/>
        <v>15.333333333333339</v>
      </c>
    </row>
    <row r="200" spans="1:148">
      <c r="A200" s="665" t="s">
        <v>244</v>
      </c>
      <c r="B200" s="665">
        <v>44593</v>
      </c>
      <c r="C200" s="664">
        <v>2022</v>
      </c>
      <c r="D200" s="646">
        <f t="shared" si="153"/>
        <v>3713963.0000000014</v>
      </c>
      <c r="E200" s="646">
        <f t="shared" si="156"/>
        <v>69659.333333333328</v>
      </c>
      <c r="F200" s="645">
        <f t="shared" si="156"/>
        <v>45113.666666666679</v>
      </c>
      <c r="G200" s="163">
        <f t="shared" si="156"/>
        <v>28798.666666666668</v>
      </c>
      <c r="H200" s="163">
        <f t="shared" si="156"/>
        <v>0</v>
      </c>
      <c r="I200" s="163">
        <f t="shared" si="156"/>
        <v>16312.333333333334</v>
      </c>
      <c r="J200" s="644">
        <f t="shared" si="156"/>
        <v>2.6666666666666665</v>
      </c>
      <c r="K200" s="645">
        <f t="shared" si="156"/>
        <v>24545.666666666661</v>
      </c>
      <c r="L200" s="163">
        <f t="shared" si="156"/>
        <v>13176.333333333336</v>
      </c>
      <c r="M200" s="163">
        <f t="shared" si="156"/>
        <v>0</v>
      </c>
      <c r="N200" s="163">
        <f t="shared" si="156"/>
        <v>9303.6666666666679</v>
      </c>
      <c r="O200" s="643">
        <f t="shared" si="156"/>
        <v>2065.6666666666661</v>
      </c>
      <c r="P200" s="646">
        <f t="shared" si="156"/>
        <v>115.00000000000001</v>
      </c>
      <c r="Q200" s="645">
        <f t="shared" si="156"/>
        <v>64</v>
      </c>
      <c r="R200" s="163">
        <f t="shared" si="156"/>
        <v>42.666666666666664</v>
      </c>
      <c r="S200" s="163">
        <f t="shared" si="156"/>
        <v>0</v>
      </c>
      <c r="T200" s="163">
        <f t="shared" si="156"/>
        <v>21.333333333333339</v>
      </c>
      <c r="U200" s="644">
        <f t="shared" si="154"/>
        <v>0</v>
      </c>
      <c r="V200" s="645">
        <f t="shared" si="154"/>
        <v>51.000000000000028</v>
      </c>
      <c r="W200" s="163">
        <f t="shared" si="154"/>
        <v>27.000000000000004</v>
      </c>
      <c r="X200" s="163">
        <f t="shared" si="154"/>
        <v>0</v>
      </c>
      <c r="Y200" s="163">
        <f t="shared" si="154"/>
        <v>20.000000000000004</v>
      </c>
      <c r="Z200" s="643">
        <f t="shared" si="154"/>
        <v>4</v>
      </c>
      <c r="AA200" s="646">
        <f t="shared" si="154"/>
        <v>72.333333333333357</v>
      </c>
      <c r="AB200" s="645">
        <f t="shared" si="154"/>
        <v>38.333333333333336</v>
      </c>
      <c r="AC200" s="163">
        <f t="shared" si="154"/>
        <v>21.333333333333339</v>
      </c>
      <c r="AD200" s="163">
        <f t="shared" si="154"/>
        <v>0</v>
      </c>
      <c r="AE200" s="163">
        <f t="shared" si="154"/>
        <v>17</v>
      </c>
      <c r="AF200" s="644">
        <f t="shared" si="154"/>
        <v>0</v>
      </c>
      <c r="AG200" s="645">
        <f t="shared" si="154"/>
        <v>34.000000000000021</v>
      </c>
      <c r="AH200" s="163">
        <f t="shared" si="154"/>
        <v>28.999999999999989</v>
      </c>
      <c r="AI200" s="163">
        <f t="shared" si="154"/>
        <v>0</v>
      </c>
      <c r="AJ200" s="163">
        <f t="shared" si="154"/>
        <v>1</v>
      </c>
      <c r="AK200" s="643">
        <f t="shared" si="161"/>
        <v>4</v>
      </c>
      <c r="AL200" s="646">
        <f t="shared" si="161"/>
        <v>650.00000000000011</v>
      </c>
      <c r="AM200" s="645">
        <f t="shared" si="161"/>
        <v>448.99999999999994</v>
      </c>
      <c r="AN200" s="163">
        <f t="shared" si="161"/>
        <v>303.66666666666663</v>
      </c>
      <c r="AO200" s="163">
        <f t="shared" si="161"/>
        <v>0</v>
      </c>
      <c r="AP200" s="163">
        <f t="shared" si="161"/>
        <v>145.33333333333329</v>
      </c>
      <c r="AQ200" s="644">
        <f t="shared" si="161"/>
        <v>0</v>
      </c>
      <c r="AR200" s="645">
        <f t="shared" si="161"/>
        <v>200.99999999999997</v>
      </c>
      <c r="AS200" s="163">
        <f t="shared" si="160"/>
        <v>98.999999999999957</v>
      </c>
      <c r="AT200" s="163">
        <f t="shared" si="160"/>
        <v>0</v>
      </c>
      <c r="AU200" s="163">
        <f t="shared" si="160"/>
        <v>86.333333333333385</v>
      </c>
      <c r="AV200" s="643">
        <f t="shared" si="160"/>
        <v>15.666666666666673</v>
      </c>
      <c r="AW200" s="646">
        <f t="shared" si="160"/>
        <v>350.00000000000006</v>
      </c>
      <c r="AX200" s="645">
        <f t="shared" si="160"/>
        <v>223.6666666666666</v>
      </c>
      <c r="AY200" s="163">
        <f t="shared" si="160"/>
        <v>156.33333333333334</v>
      </c>
      <c r="AZ200" s="163">
        <f t="shared" si="160"/>
        <v>0</v>
      </c>
      <c r="BA200" s="163">
        <f t="shared" si="160"/>
        <v>67.333333333333343</v>
      </c>
      <c r="BB200" s="644">
        <f t="shared" si="160"/>
        <v>0</v>
      </c>
      <c r="BC200" s="645">
        <f t="shared" si="160"/>
        <v>126.33333333333336</v>
      </c>
      <c r="BD200" s="163">
        <f t="shared" si="160"/>
        <v>82.666666666666643</v>
      </c>
      <c r="BE200" s="163">
        <f t="shared" si="160"/>
        <v>0</v>
      </c>
      <c r="BF200" s="163">
        <f t="shared" si="160"/>
        <v>34.666666666666693</v>
      </c>
      <c r="BG200" s="643">
        <f t="shared" si="160"/>
        <v>9</v>
      </c>
      <c r="BH200" s="646">
        <f t="shared" si="155"/>
        <v>488.33333333333337</v>
      </c>
      <c r="BI200" s="645">
        <f t="shared" si="155"/>
        <v>348.00000000000006</v>
      </c>
      <c r="BJ200" s="163">
        <f t="shared" si="155"/>
        <v>236.66666666666671</v>
      </c>
      <c r="BK200" s="163">
        <f t="shared" si="155"/>
        <v>0</v>
      </c>
      <c r="BL200" s="163">
        <f t="shared" si="155"/>
        <v>111.33333333333334</v>
      </c>
      <c r="BM200" s="644">
        <f t="shared" si="155"/>
        <v>0</v>
      </c>
      <c r="BN200" s="645">
        <f t="shared" si="155"/>
        <v>140.33333333333337</v>
      </c>
      <c r="BO200" s="163">
        <f t="shared" si="155"/>
        <v>64.666666666666671</v>
      </c>
      <c r="BP200" s="163">
        <f t="shared" si="155"/>
        <v>0</v>
      </c>
      <c r="BQ200" s="163">
        <f t="shared" si="155"/>
        <v>63.333333333333336</v>
      </c>
      <c r="BR200" s="643">
        <f t="shared" si="155"/>
        <v>12.333333333333336</v>
      </c>
      <c r="BS200" s="646">
        <f t="shared" si="155"/>
        <v>726.66666666666708</v>
      </c>
      <c r="BT200" s="645">
        <f t="shared" si="155"/>
        <v>492.66666666666669</v>
      </c>
      <c r="BU200" s="163">
        <f t="shared" si="155"/>
        <v>303.33333333333331</v>
      </c>
      <c r="BV200" s="163">
        <f t="shared" si="155"/>
        <v>0</v>
      </c>
      <c r="BW200" s="163">
        <f t="shared" si="151"/>
        <v>189.33333333333331</v>
      </c>
      <c r="BX200" s="644">
        <f t="shared" si="151"/>
        <v>0</v>
      </c>
      <c r="BY200" s="645">
        <f t="shared" si="151"/>
        <v>234</v>
      </c>
      <c r="BZ200" s="163">
        <f t="shared" si="151"/>
        <v>113.66666666666661</v>
      </c>
      <c r="CA200" s="163">
        <f t="shared" si="151"/>
        <v>0</v>
      </c>
      <c r="CB200" s="163">
        <f t="shared" si="151"/>
        <v>99.333333333333272</v>
      </c>
      <c r="CC200" s="643">
        <f t="shared" si="151"/>
        <v>21</v>
      </c>
      <c r="CD200" s="646">
        <f t="shared" si="151"/>
        <v>136</v>
      </c>
      <c r="CE200" s="645">
        <f t="shared" si="151"/>
        <v>92.000000000000043</v>
      </c>
      <c r="CF200" s="163">
        <f t="shared" si="151"/>
        <v>57.333333333333321</v>
      </c>
      <c r="CG200" s="163">
        <f t="shared" si="151"/>
        <v>0</v>
      </c>
      <c r="CH200" s="163">
        <f t="shared" si="151"/>
        <v>34.666666666666664</v>
      </c>
      <c r="CI200" s="644">
        <f t="shared" si="151"/>
        <v>0</v>
      </c>
      <c r="CJ200" s="645">
        <f t="shared" si="151"/>
        <v>43.999999999999993</v>
      </c>
      <c r="CK200" s="163">
        <f t="shared" si="151"/>
        <v>25</v>
      </c>
      <c r="CL200" s="163">
        <f t="shared" si="151"/>
        <v>0</v>
      </c>
      <c r="CM200" s="163">
        <f t="shared" si="157"/>
        <v>15.999999999999998</v>
      </c>
      <c r="CN200" s="643">
        <f t="shared" si="157"/>
        <v>3</v>
      </c>
      <c r="CO200" s="646">
        <f t="shared" si="157"/>
        <v>107.66666666666666</v>
      </c>
      <c r="CP200" s="645">
        <f t="shared" si="157"/>
        <v>65.000000000000028</v>
      </c>
      <c r="CQ200" s="163">
        <f t="shared" si="157"/>
        <v>51.666666666666686</v>
      </c>
      <c r="CR200" s="163">
        <f t="shared" si="157"/>
        <v>0</v>
      </c>
      <c r="CS200" s="163">
        <f t="shared" si="157"/>
        <v>13.33333333333333</v>
      </c>
      <c r="CT200" s="644">
        <f t="shared" si="157"/>
        <v>0</v>
      </c>
      <c r="CU200" s="645">
        <f t="shared" si="157"/>
        <v>42.666666666666664</v>
      </c>
      <c r="CV200" s="163">
        <f t="shared" si="157"/>
        <v>23.999999999999986</v>
      </c>
      <c r="CW200" s="163">
        <f t="shared" si="157"/>
        <v>0</v>
      </c>
      <c r="CX200" s="163">
        <f t="shared" si="157"/>
        <v>18.666666666666661</v>
      </c>
      <c r="CY200" s="643">
        <f t="shared" si="157"/>
        <v>0</v>
      </c>
      <c r="CZ200" s="646">
        <f t="shared" si="157"/>
        <v>29.999999999999993</v>
      </c>
      <c r="DA200" s="645">
        <f t="shared" si="157"/>
        <v>15.999999999999998</v>
      </c>
      <c r="DB200" s="163">
        <f t="shared" si="157"/>
        <v>7.6666666666666661</v>
      </c>
      <c r="DC200" s="163">
        <f t="shared" si="159"/>
        <v>0</v>
      </c>
      <c r="DD200" s="163">
        <f t="shared" si="159"/>
        <v>8.3333333333333304</v>
      </c>
      <c r="DE200" s="644">
        <f t="shared" si="159"/>
        <v>0</v>
      </c>
      <c r="DF200" s="645">
        <f t="shared" si="159"/>
        <v>14.000000000000007</v>
      </c>
      <c r="DG200" s="163">
        <f t="shared" si="159"/>
        <v>13.000000000000011</v>
      </c>
      <c r="DH200" s="163">
        <f t="shared" si="159"/>
        <v>0</v>
      </c>
      <c r="DI200" s="163">
        <f t="shared" si="159"/>
        <v>1</v>
      </c>
      <c r="DJ200" s="643">
        <f t="shared" si="159"/>
        <v>0</v>
      </c>
      <c r="DK200" s="646">
        <f t="shared" si="159"/>
        <v>0</v>
      </c>
      <c r="DL200" s="645">
        <f t="shared" si="159"/>
        <v>0</v>
      </c>
      <c r="DM200" s="163">
        <f t="shared" si="159"/>
        <v>0</v>
      </c>
      <c r="DN200" s="163">
        <f t="shared" si="159"/>
        <v>0</v>
      </c>
      <c r="DO200" s="163">
        <f t="shared" si="159"/>
        <v>0</v>
      </c>
      <c r="DP200" s="644">
        <f t="shared" si="159"/>
        <v>0</v>
      </c>
      <c r="DQ200" s="645">
        <f t="shared" si="159"/>
        <v>1</v>
      </c>
      <c r="DR200" s="163">
        <f t="shared" si="159"/>
        <v>1</v>
      </c>
      <c r="DS200" s="163">
        <f t="shared" si="159"/>
        <v>0</v>
      </c>
      <c r="DT200" s="163">
        <f t="shared" si="152"/>
        <v>0</v>
      </c>
      <c r="DU200" s="643">
        <f t="shared" si="152"/>
        <v>0</v>
      </c>
      <c r="DW200" s="646">
        <f t="shared" si="121"/>
        <v>2026.0000000000007</v>
      </c>
      <c r="DX200" s="645">
        <f t="shared" si="121"/>
        <v>1339.6666666666667</v>
      </c>
      <c r="DY200" s="163">
        <f t="shared" si="121"/>
        <v>877.00000000000011</v>
      </c>
      <c r="DZ200" s="163">
        <f t="shared" si="121"/>
        <v>0</v>
      </c>
      <c r="EA200" s="163">
        <f t="shared" si="121"/>
        <v>462.66666666666669</v>
      </c>
      <c r="EB200" s="644">
        <f t="shared" si="158"/>
        <v>0</v>
      </c>
      <c r="EC200" s="645">
        <f t="shared" si="158"/>
        <v>687.33333333333337</v>
      </c>
      <c r="ED200" s="163">
        <f t="shared" si="158"/>
        <v>379.99999999999994</v>
      </c>
      <c r="EE200" s="163">
        <f t="shared" si="158"/>
        <v>0</v>
      </c>
      <c r="EF200" s="163">
        <f t="shared" si="158"/>
        <v>253.99999999999997</v>
      </c>
      <c r="EG200" s="643">
        <f t="shared" si="158"/>
        <v>53.333333333333336</v>
      </c>
      <c r="EH200" s="646">
        <f t="shared" si="119"/>
        <v>650.00000000000011</v>
      </c>
      <c r="EI200" s="645">
        <f t="shared" si="119"/>
        <v>448.99999999999994</v>
      </c>
      <c r="EJ200" s="163">
        <f t="shared" si="119"/>
        <v>303.66666666666663</v>
      </c>
      <c r="EK200" s="163">
        <f t="shared" si="119"/>
        <v>0</v>
      </c>
      <c r="EL200" s="163">
        <f t="shared" si="119"/>
        <v>145.33333333333329</v>
      </c>
      <c r="EM200" s="644">
        <f t="shared" si="119"/>
        <v>0</v>
      </c>
      <c r="EN200" s="645">
        <f t="shared" si="119"/>
        <v>200.99999999999997</v>
      </c>
      <c r="EO200" s="163">
        <f t="shared" si="119"/>
        <v>98.999999999999957</v>
      </c>
      <c r="EP200" s="163">
        <f t="shared" si="119"/>
        <v>0</v>
      </c>
      <c r="EQ200" s="163">
        <f t="shared" si="119"/>
        <v>86.333333333333385</v>
      </c>
      <c r="ER200" s="643">
        <f t="shared" si="119"/>
        <v>15.666666666666673</v>
      </c>
    </row>
    <row r="201" spans="1:148">
      <c r="A201" s="665" t="s">
        <v>244</v>
      </c>
      <c r="B201" s="665">
        <v>44621</v>
      </c>
      <c r="C201" s="664">
        <v>2022</v>
      </c>
      <c r="D201" s="646">
        <f t="shared" si="153"/>
        <v>3759009.0000000014</v>
      </c>
      <c r="E201" s="646">
        <f t="shared" si="156"/>
        <v>72034</v>
      </c>
      <c r="F201" s="645">
        <f t="shared" si="156"/>
        <v>47009.000000000015</v>
      </c>
      <c r="G201" s="163">
        <f t="shared" si="156"/>
        <v>29755</v>
      </c>
      <c r="H201" s="163">
        <f t="shared" si="156"/>
        <v>0</v>
      </c>
      <c r="I201" s="163">
        <f t="shared" si="156"/>
        <v>17250</v>
      </c>
      <c r="J201" s="644">
        <f t="shared" si="156"/>
        <v>4</v>
      </c>
      <c r="K201" s="645">
        <f t="shared" si="156"/>
        <v>25024.999999999993</v>
      </c>
      <c r="L201" s="163">
        <f t="shared" si="156"/>
        <v>13227.000000000002</v>
      </c>
      <c r="M201" s="163">
        <f t="shared" si="156"/>
        <v>0</v>
      </c>
      <c r="N201" s="163">
        <f t="shared" si="156"/>
        <v>9652.0000000000018</v>
      </c>
      <c r="O201" s="643">
        <f t="shared" si="156"/>
        <v>2145.9999999999995</v>
      </c>
      <c r="P201" s="646">
        <f t="shared" si="156"/>
        <v>118.00000000000001</v>
      </c>
      <c r="Q201" s="645">
        <f t="shared" si="156"/>
        <v>66</v>
      </c>
      <c r="R201" s="163">
        <f t="shared" si="156"/>
        <v>43</v>
      </c>
      <c r="S201" s="163">
        <f t="shared" si="156"/>
        <v>0</v>
      </c>
      <c r="T201" s="163">
        <f t="shared" si="156"/>
        <v>23.000000000000007</v>
      </c>
      <c r="U201" s="644">
        <f t="shared" si="154"/>
        <v>0</v>
      </c>
      <c r="V201" s="645">
        <f t="shared" si="154"/>
        <v>52.000000000000028</v>
      </c>
      <c r="W201" s="163">
        <f t="shared" si="154"/>
        <v>27.000000000000004</v>
      </c>
      <c r="X201" s="163">
        <f t="shared" si="154"/>
        <v>0</v>
      </c>
      <c r="Y201" s="163">
        <f t="shared" si="154"/>
        <v>21.000000000000004</v>
      </c>
      <c r="Z201" s="643">
        <f t="shared" si="154"/>
        <v>4</v>
      </c>
      <c r="AA201" s="646">
        <f t="shared" si="154"/>
        <v>74.000000000000028</v>
      </c>
      <c r="AB201" s="645">
        <f t="shared" si="154"/>
        <v>40</v>
      </c>
      <c r="AC201" s="163">
        <f t="shared" si="154"/>
        <v>22.000000000000007</v>
      </c>
      <c r="AD201" s="163">
        <f t="shared" si="154"/>
        <v>0</v>
      </c>
      <c r="AE201" s="163">
        <f t="shared" si="154"/>
        <v>18</v>
      </c>
      <c r="AF201" s="644">
        <f t="shared" si="154"/>
        <v>0</v>
      </c>
      <c r="AG201" s="645">
        <f t="shared" si="154"/>
        <v>34.000000000000021</v>
      </c>
      <c r="AH201" s="163">
        <f t="shared" si="154"/>
        <v>28.999999999999989</v>
      </c>
      <c r="AI201" s="163">
        <f t="shared" si="154"/>
        <v>0</v>
      </c>
      <c r="AJ201" s="163">
        <f t="shared" si="154"/>
        <v>1</v>
      </c>
      <c r="AK201" s="643">
        <f t="shared" si="161"/>
        <v>4</v>
      </c>
      <c r="AL201" s="646">
        <f t="shared" si="161"/>
        <v>677.00000000000011</v>
      </c>
      <c r="AM201" s="645">
        <f t="shared" si="161"/>
        <v>468.99999999999994</v>
      </c>
      <c r="AN201" s="163">
        <f t="shared" si="161"/>
        <v>312.99999999999994</v>
      </c>
      <c r="AO201" s="163">
        <f t="shared" si="161"/>
        <v>0</v>
      </c>
      <c r="AP201" s="163">
        <f t="shared" si="161"/>
        <v>155.99999999999994</v>
      </c>
      <c r="AQ201" s="644">
        <f t="shared" si="161"/>
        <v>0</v>
      </c>
      <c r="AR201" s="645">
        <f t="shared" si="161"/>
        <v>207.99999999999997</v>
      </c>
      <c r="AS201" s="163">
        <f t="shared" si="160"/>
        <v>98.999999999999957</v>
      </c>
      <c r="AT201" s="163">
        <f t="shared" si="160"/>
        <v>0</v>
      </c>
      <c r="AU201" s="163">
        <f t="shared" si="160"/>
        <v>93.000000000000057</v>
      </c>
      <c r="AV201" s="643">
        <f t="shared" si="160"/>
        <v>16.000000000000007</v>
      </c>
      <c r="AW201" s="646">
        <f t="shared" si="160"/>
        <v>363.00000000000006</v>
      </c>
      <c r="AX201" s="645">
        <f t="shared" si="160"/>
        <v>233.99999999999994</v>
      </c>
      <c r="AY201" s="163">
        <f t="shared" si="160"/>
        <v>162</v>
      </c>
      <c r="AZ201" s="163">
        <f t="shared" si="160"/>
        <v>0</v>
      </c>
      <c r="BA201" s="163">
        <f t="shared" si="160"/>
        <v>72.000000000000014</v>
      </c>
      <c r="BB201" s="644">
        <f t="shared" si="160"/>
        <v>0</v>
      </c>
      <c r="BC201" s="645">
        <f t="shared" si="160"/>
        <v>129.00000000000003</v>
      </c>
      <c r="BD201" s="163">
        <f t="shared" si="160"/>
        <v>82.999999999999972</v>
      </c>
      <c r="BE201" s="163">
        <f t="shared" si="160"/>
        <v>0</v>
      </c>
      <c r="BF201" s="163">
        <f t="shared" si="160"/>
        <v>37.000000000000028</v>
      </c>
      <c r="BG201" s="643">
        <f t="shared" si="160"/>
        <v>9</v>
      </c>
      <c r="BH201" s="646">
        <f t="shared" si="155"/>
        <v>507.00000000000006</v>
      </c>
      <c r="BI201" s="645">
        <f t="shared" si="155"/>
        <v>363.00000000000006</v>
      </c>
      <c r="BJ201" s="163">
        <f t="shared" si="155"/>
        <v>244.00000000000006</v>
      </c>
      <c r="BK201" s="163">
        <f t="shared" si="155"/>
        <v>0</v>
      </c>
      <c r="BL201" s="163">
        <f t="shared" si="155"/>
        <v>119.00000000000001</v>
      </c>
      <c r="BM201" s="644">
        <f t="shared" si="155"/>
        <v>0</v>
      </c>
      <c r="BN201" s="645">
        <f t="shared" si="155"/>
        <v>144.00000000000003</v>
      </c>
      <c r="BO201" s="163">
        <f t="shared" si="155"/>
        <v>65</v>
      </c>
      <c r="BP201" s="163">
        <f t="shared" si="155"/>
        <v>0</v>
      </c>
      <c r="BQ201" s="163">
        <f t="shared" si="155"/>
        <v>66</v>
      </c>
      <c r="BR201" s="643">
        <f t="shared" si="155"/>
        <v>13.000000000000002</v>
      </c>
      <c r="BS201" s="646">
        <f t="shared" si="155"/>
        <v>756.00000000000045</v>
      </c>
      <c r="BT201" s="645">
        <f t="shared" si="155"/>
        <v>516</v>
      </c>
      <c r="BU201" s="163">
        <f t="shared" si="155"/>
        <v>315</v>
      </c>
      <c r="BV201" s="163">
        <f t="shared" si="155"/>
        <v>0</v>
      </c>
      <c r="BW201" s="163">
        <f t="shared" si="151"/>
        <v>200.99999999999997</v>
      </c>
      <c r="BX201" s="644">
        <f t="shared" si="151"/>
        <v>0</v>
      </c>
      <c r="BY201" s="645">
        <f t="shared" si="151"/>
        <v>240</v>
      </c>
      <c r="BZ201" s="163">
        <f t="shared" si="151"/>
        <v>113.99999999999994</v>
      </c>
      <c r="CA201" s="163">
        <f t="shared" si="151"/>
        <v>0</v>
      </c>
      <c r="CB201" s="163">
        <f t="shared" si="151"/>
        <v>103.99999999999994</v>
      </c>
      <c r="CC201" s="643">
        <f t="shared" si="151"/>
        <v>22</v>
      </c>
      <c r="CD201" s="646">
        <f t="shared" si="151"/>
        <v>140</v>
      </c>
      <c r="CE201" s="645">
        <f t="shared" si="151"/>
        <v>95.000000000000043</v>
      </c>
      <c r="CF201" s="163">
        <f t="shared" si="151"/>
        <v>58.999999999999986</v>
      </c>
      <c r="CG201" s="163">
        <f t="shared" si="151"/>
        <v>0</v>
      </c>
      <c r="CH201" s="163">
        <f t="shared" si="151"/>
        <v>36</v>
      </c>
      <c r="CI201" s="644">
        <f t="shared" si="151"/>
        <v>0</v>
      </c>
      <c r="CJ201" s="645">
        <f t="shared" si="151"/>
        <v>44.999999999999993</v>
      </c>
      <c r="CK201" s="163">
        <f t="shared" si="151"/>
        <v>25</v>
      </c>
      <c r="CL201" s="163">
        <f t="shared" si="151"/>
        <v>0</v>
      </c>
      <c r="CM201" s="163">
        <f t="shared" si="157"/>
        <v>17</v>
      </c>
      <c r="CN201" s="643">
        <f t="shared" si="157"/>
        <v>3</v>
      </c>
      <c r="CO201" s="646">
        <f t="shared" si="157"/>
        <v>108.99999999999999</v>
      </c>
      <c r="CP201" s="645">
        <f t="shared" si="157"/>
        <v>66.000000000000028</v>
      </c>
      <c r="CQ201" s="163">
        <f t="shared" si="157"/>
        <v>52.000000000000021</v>
      </c>
      <c r="CR201" s="163">
        <f t="shared" si="157"/>
        <v>0</v>
      </c>
      <c r="CS201" s="163">
        <f t="shared" si="157"/>
        <v>13.999999999999996</v>
      </c>
      <c r="CT201" s="644">
        <f t="shared" si="157"/>
        <v>0</v>
      </c>
      <c r="CU201" s="645">
        <f t="shared" si="157"/>
        <v>43</v>
      </c>
      <c r="CV201" s="163">
        <f t="shared" si="157"/>
        <v>23.999999999999986</v>
      </c>
      <c r="CW201" s="163">
        <f t="shared" si="157"/>
        <v>0</v>
      </c>
      <c r="CX201" s="163">
        <f t="shared" si="157"/>
        <v>18.999999999999993</v>
      </c>
      <c r="CY201" s="643">
        <f t="shared" si="157"/>
        <v>0</v>
      </c>
      <c r="CZ201" s="646">
        <f t="shared" si="157"/>
        <v>30.999999999999993</v>
      </c>
      <c r="DA201" s="645">
        <f t="shared" si="157"/>
        <v>17</v>
      </c>
      <c r="DB201" s="163">
        <f t="shared" si="157"/>
        <v>7.9999999999999991</v>
      </c>
      <c r="DC201" s="163">
        <f t="shared" si="159"/>
        <v>0</v>
      </c>
      <c r="DD201" s="163">
        <f t="shared" si="159"/>
        <v>8.9999999999999964</v>
      </c>
      <c r="DE201" s="644">
        <f t="shared" si="159"/>
        <v>0</v>
      </c>
      <c r="DF201" s="645">
        <f t="shared" si="159"/>
        <v>14.000000000000007</v>
      </c>
      <c r="DG201" s="163">
        <f t="shared" si="159"/>
        <v>13.000000000000011</v>
      </c>
      <c r="DH201" s="163">
        <f t="shared" si="159"/>
        <v>0</v>
      </c>
      <c r="DI201" s="163">
        <f t="shared" si="159"/>
        <v>1</v>
      </c>
      <c r="DJ201" s="643">
        <f t="shared" si="159"/>
        <v>0</v>
      </c>
      <c r="DK201" s="646">
        <f t="shared" si="159"/>
        <v>0</v>
      </c>
      <c r="DL201" s="645">
        <f t="shared" si="159"/>
        <v>0</v>
      </c>
      <c r="DM201" s="163">
        <f t="shared" si="159"/>
        <v>0</v>
      </c>
      <c r="DN201" s="163">
        <f t="shared" si="159"/>
        <v>0</v>
      </c>
      <c r="DO201" s="163">
        <f t="shared" si="159"/>
        <v>0</v>
      </c>
      <c r="DP201" s="644">
        <f t="shared" si="159"/>
        <v>0</v>
      </c>
      <c r="DQ201" s="645">
        <f t="shared" si="159"/>
        <v>1</v>
      </c>
      <c r="DR201" s="163">
        <f t="shared" si="159"/>
        <v>1</v>
      </c>
      <c r="DS201" s="163">
        <f t="shared" si="159"/>
        <v>0</v>
      </c>
      <c r="DT201" s="163">
        <f t="shared" si="152"/>
        <v>0</v>
      </c>
      <c r="DU201" s="643">
        <f t="shared" si="152"/>
        <v>0</v>
      </c>
      <c r="DW201" s="646">
        <f t="shared" si="121"/>
        <v>2098.0000000000005</v>
      </c>
      <c r="DX201" s="645">
        <f t="shared" si="121"/>
        <v>1397</v>
      </c>
      <c r="DY201" s="163">
        <f t="shared" si="121"/>
        <v>905</v>
      </c>
      <c r="DZ201" s="163">
        <f t="shared" si="121"/>
        <v>0</v>
      </c>
      <c r="EA201" s="163">
        <f t="shared" si="121"/>
        <v>492</v>
      </c>
      <c r="EB201" s="644">
        <f t="shared" si="158"/>
        <v>0</v>
      </c>
      <c r="EC201" s="645">
        <f t="shared" si="158"/>
        <v>702.00000000000011</v>
      </c>
      <c r="ED201" s="163">
        <f t="shared" si="158"/>
        <v>380.99999999999989</v>
      </c>
      <c r="EE201" s="163">
        <f t="shared" si="158"/>
        <v>0</v>
      </c>
      <c r="EF201" s="163">
        <f t="shared" si="158"/>
        <v>265.99999999999994</v>
      </c>
      <c r="EG201" s="643">
        <f t="shared" si="158"/>
        <v>55</v>
      </c>
      <c r="EH201" s="646">
        <f t="shared" si="119"/>
        <v>677.00000000000011</v>
      </c>
      <c r="EI201" s="645">
        <f t="shared" si="119"/>
        <v>468.99999999999994</v>
      </c>
      <c r="EJ201" s="163">
        <f t="shared" si="119"/>
        <v>312.99999999999994</v>
      </c>
      <c r="EK201" s="163">
        <f t="shared" si="119"/>
        <v>0</v>
      </c>
      <c r="EL201" s="163">
        <f t="shared" si="119"/>
        <v>155.99999999999994</v>
      </c>
      <c r="EM201" s="644">
        <f t="shared" si="119"/>
        <v>0</v>
      </c>
      <c r="EN201" s="645">
        <f t="shared" si="119"/>
        <v>207.99999999999997</v>
      </c>
      <c r="EO201" s="163">
        <f t="shared" si="119"/>
        <v>98.999999999999957</v>
      </c>
      <c r="EP201" s="163">
        <f t="shared" si="119"/>
        <v>0</v>
      </c>
      <c r="EQ201" s="163">
        <f t="shared" si="119"/>
        <v>93.000000000000057</v>
      </c>
      <c r="ER201" s="643">
        <f t="shared" si="119"/>
        <v>16.000000000000007</v>
      </c>
    </row>
    <row r="202" spans="1:148">
      <c r="A202" s="665" t="s">
        <v>245</v>
      </c>
      <c r="B202" s="665">
        <v>44652</v>
      </c>
      <c r="C202" s="664">
        <v>2022</v>
      </c>
      <c r="D202" s="646">
        <f t="shared" si="153"/>
        <v>3815423.6666666679</v>
      </c>
      <c r="E202" s="646">
        <f t="shared" si="156"/>
        <v>75212</v>
      </c>
      <c r="F202" s="645">
        <f t="shared" si="156"/>
        <v>49634.000000000015</v>
      </c>
      <c r="G202" s="163">
        <f t="shared" si="156"/>
        <v>30723</v>
      </c>
      <c r="H202" s="163">
        <f t="shared" si="156"/>
        <v>19.666666666666668</v>
      </c>
      <c r="I202" s="163">
        <f t="shared" si="156"/>
        <v>18872.666666666668</v>
      </c>
      <c r="J202" s="644">
        <f t="shared" si="156"/>
        <v>18.666666666666664</v>
      </c>
      <c r="K202" s="645">
        <f t="shared" si="156"/>
        <v>25577.999999999993</v>
      </c>
      <c r="L202" s="163">
        <f t="shared" si="156"/>
        <v>13317.333333333336</v>
      </c>
      <c r="M202" s="163">
        <f t="shared" si="156"/>
        <v>0</v>
      </c>
      <c r="N202" s="163">
        <f t="shared" si="156"/>
        <v>10075.666666666668</v>
      </c>
      <c r="O202" s="643">
        <f t="shared" si="156"/>
        <v>2184.9999999999995</v>
      </c>
      <c r="P202" s="646">
        <f t="shared" si="156"/>
        <v>122.33333333333334</v>
      </c>
      <c r="Q202" s="645">
        <f t="shared" si="156"/>
        <v>69.666666666666671</v>
      </c>
      <c r="R202" s="163">
        <f t="shared" si="156"/>
        <v>43.666666666666664</v>
      </c>
      <c r="S202" s="163">
        <f t="shared" si="156"/>
        <v>0.33333333333333331</v>
      </c>
      <c r="T202" s="163">
        <f t="shared" si="156"/>
        <v>25.666666666666675</v>
      </c>
      <c r="U202" s="644">
        <f t="shared" si="154"/>
        <v>0</v>
      </c>
      <c r="V202" s="645">
        <f t="shared" si="154"/>
        <v>52.666666666666693</v>
      </c>
      <c r="W202" s="163">
        <f t="shared" si="154"/>
        <v>27.000000000000004</v>
      </c>
      <c r="X202" s="163">
        <f t="shared" si="154"/>
        <v>0</v>
      </c>
      <c r="Y202" s="163">
        <f t="shared" si="154"/>
        <v>21.666666666666671</v>
      </c>
      <c r="Z202" s="643">
        <f t="shared" si="154"/>
        <v>4</v>
      </c>
      <c r="AA202" s="646">
        <f t="shared" si="154"/>
        <v>78.6666666666667</v>
      </c>
      <c r="AB202" s="645">
        <f t="shared" si="154"/>
        <v>43</v>
      </c>
      <c r="AC202" s="163">
        <f t="shared" si="154"/>
        <v>23.333333333333339</v>
      </c>
      <c r="AD202" s="163">
        <f t="shared" si="154"/>
        <v>0</v>
      </c>
      <c r="AE202" s="163">
        <f t="shared" si="154"/>
        <v>19.666666666666668</v>
      </c>
      <c r="AF202" s="644">
        <f t="shared" si="154"/>
        <v>0</v>
      </c>
      <c r="AG202" s="645">
        <f t="shared" si="154"/>
        <v>35.666666666666686</v>
      </c>
      <c r="AH202" s="163">
        <f t="shared" si="154"/>
        <v>28.999999999999989</v>
      </c>
      <c r="AI202" s="163">
        <f t="shared" si="154"/>
        <v>0</v>
      </c>
      <c r="AJ202" s="163">
        <f t="shared" si="154"/>
        <v>2.333333333333333</v>
      </c>
      <c r="AK202" s="643">
        <f t="shared" si="161"/>
        <v>4.333333333333333</v>
      </c>
      <c r="AL202" s="646">
        <f t="shared" si="161"/>
        <v>703.66666666666674</v>
      </c>
      <c r="AM202" s="645">
        <f t="shared" si="161"/>
        <v>488.99999999999994</v>
      </c>
      <c r="AN202" s="163">
        <f t="shared" si="161"/>
        <v>319.66666666666663</v>
      </c>
      <c r="AO202" s="163">
        <f t="shared" si="161"/>
        <v>0.33333333333333331</v>
      </c>
      <c r="AP202" s="163">
        <f t="shared" si="161"/>
        <v>168.6666666666666</v>
      </c>
      <c r="AQ202" s="644">
        <f t="shared" si="161"/>
        <v>0.33333333333333331</v>
      </c>
      <c r="AR202" s="645">
        <f t="shared" si="161"/>
        <v>214.66666666666663</v>
      </c>
      <c r="AS202" s="163">
        <f t="shared" si="160"/>
        <v>99.333333333333286</v>
      </c>
      <c r="AT202" s="163">
        <f t="shared" si="160"/>
        <v>0</v>
      </c>
      <c r="AU202" s="163">
        <f t="shared" si="160"/>
        <v>99.000000000000057</v>
      </c>
      <c r="AV202" s="643">
        <f t="shared" si="160"/>
        <v>16.333333333333339</v>
      </c>
      <c r="AW202" s="646">
        <f t="shared" si="160"/>
        <v>385.33333333333337</v>
      </c>
      <c r="AX202" s="645">
        <f t="shared" si="160"/>
        <v>251.99999999999994</v>
      </c>
      <c r="AY202" s="163">
        <f t="shared" si="160"/>
        <v>171.66666666666666</v>
      </c>
      <c r="AZ202" s="163">
        <f t="shared" si="160"/>
        <v>0</v>
      </c>
      <c r="BA202" s="163">
        <f t="shared" si="160"/>
        <v>80.333333333333343</v>
      </c>
      <c r="BB202" s="644">
        <f t="shared" si="160"/>
        <v>0</v>
      </c>
      <c r="BC202" s="645">
        <f t="shared" si="160"/>
        <v>133.33333333333337</v>
      </c>
      <c r="BD202" s="163">
        <f t="shared" si="160"/>
        <v>83.3333333333333</v>
      </c>
      <c r="BE202" s="163">
        <f t="shared" si="160"/>
        <v>0</v>
      </c>
      <c r="BF202" s="163">
        <f t="shared" si="160"/>
        <v>40.666666666666693</v>
      </c>
      <c r="BG202" s="643">
        <f t="shared" si="160"/>
        <v>9.3333333333333339</v>
      </c>
      <c r="BH202" s="646">
        <f t="shared" si="155"/>
        <v>534.33333333333337</v>
      </c>
      <c r="BI202" s="645">
        <f t="shared" si="155"/>
        <v>386.33333333333337</v>
      </c>
      <c r="BJ202" s="163">
        <f t="shared" si="155"/>
        <v>250.66666666666671</v>
      </c>
      <c r="BK202" s="163">
        <f t="shared" si="155"/>
        <v>0.66666666666666663</v>
      </c>
      <c r="BL202" s="163">
        <f t="shared" si="155"/>
        <v>135</v>
      </c>
      <c r="BM202" s="644">
        <f t="shared" si="155"/>
        <v>0</v>
      </c>
      <c r="BN202" s="645">
        <f t="shared" si="155"/>
        <v>148.00000000000003</v>
      </c>
      <c r="BO202" s="163">
        <f t="shared" si="155"/>
        <v>65.666666666666671</v>
      </c>
      <c r="BP202" s="163">
        <f t="shared" si="155"/>
        <v>0</v>
      </c>
      <c r="BQ202" s="163">
        <f t="shared" si="155"/>
        <v>69</v>
      </c>
      <c r="BR202" s="643">
        <f t="shared" si="155"/>
        <v>13.333333333333336</v>
      </c>
      <c r="BS202" s="646">
        <f t="shared" si="155"/>
        <v>789.66666666666708</v>
      </c>
      <c r="BT202" s="645">
        <f t="shared" si="155"/>
        <v>547</v>
      </c>
      <c r="BU202" s="163">
        <f t="shared" si="155"/>
        <v>324</v>
      </c>
      <c r="BV202" s="163">
        <f t="shared" si="155"/>
        <v>0.33333333333333331</v>
      </c>
      <c r="BW202" s="163">
        <f t="shared" si="151"/>
        <v>222.66666666666663</v>
      </c>
      <c r="BX202" s="644">
        <f t="shared" si="151"/>
        <v>0</v>
      </c>
      <c r="BY202" s="645">
        <f t="shared" si="151"/>
        <v>242.66666666666666</v>
      </c>
      <c r="BZ202" s="163">
        <f t="shared" si="151"/>
        <v>114.33333333333327</v>
      </c>
      <c r="CA202" s="163">
        <f t="shared" si="151"/>
        <v>0</v>
      </c>
      <c r="CB202" s="163">
        <f t="shared" si="151"/>
        <v>106.33333333333327</v>
      </c>
      <c r="CC202" s="643">
        <f t="shared" si="151"/>
        <v>22</v>
      </c>
      <c r="CD202" s="646">
        <f t="shared" si="151"/>
        <v>145.33333333333334</v>
      </c>
      <c r="CE202" s="645">
        <f t="shared" si="151"/>
        <v>99.333333333333371</v>
      </c>
      <c r="CF202" s="163">
        <f t="shared" si="151"/>
        <v>60.333333333333321</v>
      </c>
      <c r="CG202" s="163">
        <f t="shared" si="151"/>
        <v>0</v>
      </c>
      <c r="CH202" s="163">
        <f t="shared" si="151"/>
        <v>39</v>
      </c>
      <c r="CI202" s="644">
        <f t="shared" si="151"/>
        <v>0</v>
      </c>
      <c r="CJ202" s="645">
        <f t="shared" si="151"/>
        <v>45.999999999999993</v>
      </c>
      <c r="CK202" s="163">
        <f t="shared" si="151"/>
        <v>25.333333333333332</v>
      </c>
      <c r="CL202" s="163">
        <f t="shared" si="151"/>
        <v>0</v>
      </c>
      <c r="CM202" s="163">
        <f t="shared" si="157"/>
        <v>17.333333333333332</v>
      </c>
      <c r="CN202" s="643">
        <f t="shared" si="157"/>
        <v>3.3333333333333335</v>
      </c>
      <c r="CO202" s="646">
        <f t="shared" si="157"/>
        <v>113.66666666666666</v>
      </c>
      <c r="CP202" s="645">
        <f t="shared" si="157"/>
        <v>70.333333333333357</v>
      </c>
      <c r="CQ202" s="163">
        <f t="shared" si="157"/>
        <v>53.666666666666686</v>
      </c>
      <c r="CR202" s="163">
        <f t="shared" si="157"/>
        <v>0.33333333333333331</v>
      </c>
      <c r="CS202" s="163">
        <f t="shared" si="157"/>
        <v>16.333333333333329</v>
      </c>
      <c r="CT202" s="644">
        <f t="shared" si="157"/>
        <v>0</v>
      </c>
      <c r="CU202" s="645">
        <f t="shared" si="157"/>
        <v>43.333333333333336</v>
      </c>
      <c r="CV202" s="163">
        <f t="shared" si="157"/>
        <v>23.999999999999986</v>
      </c>
      <c r="CW202" s="163">
        <f t="shared" si="157"/>
        <v>0</v>
      </c>
      <c r="CX202" s="163">
        <f t="shared" si="157"/>
        <v>19.333333333333325</v>
      </c>
      <c r="CY202" s="643">
        <f t="shared" si="157"/>
        <v>0</v>
      </c>
      <c r="CZ202" s="646">
        <f t="shared" si="157"/>
        <v>32.333333333333329</v>
      </c>
      <c r="DA202" s="645">
        <f t="shared" si="157"/>
        <v>18</v>
      </c>
      <c r="DB202" s="163">
        <f t="shared" si="157"/>
        <v>7.9999999999999991</v>
      </c>
      <c r="DC202" s="163">
        <f t="shared" si="159"/>
        <v>0</v>
      </c>
      <c r="DD202" s="163">
        <f t="shared" si="159"/>
        <v>9.9999999999999964</v>
      </c>
      <c r="DE202" s="644">
        <f t="shared" si="159"/>
        <v>0</v>
      </c>
      <c r="DF202" s="645">
        <f t="shared" si="159"/>
        <v>14.333333333333341</v>
      </c>
      <c r="DG202" s="163">
        <f t="shared" si="159"/>
        <v>13.000000000000011</v>
      </c>
      <c r="DH202" s="163">
        <f t="shared" si="159"/>
        <v>0</v>
      </c>
      <c r="DI202" s="163">
        <f t="shared" si="159"/>
        <v>1.3333333333333333</v>
      </c>
      <c r="DJ202" s="643">
        <f t="shared" si="159"/>
        <v>0</v>
      </c>
      <c r="DK202" s="646">
        <f t="shared" si="159"/>
        <v>0</v>
      </c>
      <c r="DL202" s="645">
        <f t="shared" si="159"/>
        <v>0</v>
      </c>
      <c r="DM202" s="163">
        <f t="shared" si="159"/>
        <v>0</v>
      </c>
      <c r="DN202" s="163">
        <f t="shared" si="159"/>
        <v>0</v>
      </c>
      <c r="DO202" s="163">
        <f t="shared" si="159"/>
        <v>0</v>
      </c>
      <c r="DP202" s="644">
        <f t="shared" si="159"/>
        <v>0</v>
      </c>
      <c r="DQ202" s="645">
        <f t="shared" si="159"/>
        <v>1</v>
      </c>
      <c r="DR202" s="163">
        <f t="shared" si="159"/>
        <v>1</v>
      </c>
      <c r="DS202" s="163">
        <f t="shared" si="159"/>
        <v>0</v>
      </c>
      <c r="DT202" s="163">
        <f t="shared" si="152"/>
        <v>0</v>
      </c>
      <c r="DU202" s="643">
        <f t="shared" si="152"/>
        <v>0</v>
      </c>
      <c r="DW202" s="646">
        <f t="shared" si="121"/>
        <v>2201.6666666666674</v>
      </c>
      <c r="DX202" s="645">
        <f t="shared" si="121"/>
        <v>1485.6666666666667</v>
      </c>
      <c r="DY202" s="163">
        <f t="shared" si="121"/>
        <v>935.33333333333348</v>
      </c>
      <c r="DZ202" s="163">
        <f t="shared" si="121"/>
        <v>1.6666666666666665</v>
      </c>
      <c r="EA202" s="163">
        <f t="shared" si="121"/>
        <v>548.66666666666663</v>
      </c>
      <c r="EB202" s="644">
        <f t="shared" si="158"/>
        <v>0</v>
      </c>
      <c r="EC202" s="645">
        <f t="shared" si="158"/>
        <v>717.00000000000011</v>
      </c>
      <c r="ED202" s="163">
        <f t="shared" si="158"/>
        <v>382.66666666666652</v>
      </c>
      <c r="EE202" s="163">
        <f t="shared" si="158"/>
        <v>0</v>
      </c>
      <c r="EF202" s="163">
        <f t="shared" si="158"/>
        <v>277.99999999999989</v>
      </c>
      <c r="EG202" s="643">
        <f t="shared" si="158"/>
        <v>56.333333333333336</v>
      </c>
      <c r="EH202" s="646">
        <f t="shared" si="119"/>
        <v>703.66666666666674</v>
      </c>
      <c r="EI202" s="645">
        <f t="shared" si="119"/>
        <v>488.99999999999994</v>
      </c>
      <c r="EJ202" s="163">
        <f t="shared" si="119"/>
        <v>319.66666666666663</v>
      </c>
      <c r="EK202" s="163">
        <f t="shared" si="119"/>
        <v>0.33333333333333331</v>
      </c>
      <c r="EL202" s="163">
        <f t="shared" si="119"/>
        <v>168.6666666666666</v>
      </c>
      <c r="EM202" s="644">
        <f t="shared" si="119"/>
        <v>0.33333333333333331</v>
      </c>
      <c r="EN202" s="645">
        <f t="shared" si="119"/>
        <v>214.66666666666663</v>
      </c>
      <c r="EO202" s="163">
        <f t="shared" si="119"/>
        <v>99.333333333333286</v>
      </c>
      <c r="EP202" s="163">
        <f t="shared" si="119"/>
        <v>0</v>
      </c>
      <c r="EQ202" s="163">
        <f t="shared" si="119"/>
        <v>99.000000000000057</v>
      </c>
      <c r="ER202" s="643">
        <f t="shared" si="119"/>
        <v>16.333333333333339</v>
      </c>
    </row>
    <row r="203" spans="1:148">
      <c r="A203" s="665" t="s">
        <v>245</v>
      </c>
      <c r="B203" s="665">
        <v>44682</v>
      </c>
      <c r="C203" s="664">
        <v>2022</v>
      </c>
      <c r="D203" s="646">
        <f t="shared" si="153"/>
        <v>3871838.3333333344</v>
      </c>
      <c r="E203" s="646">
        <f t="shared" si="156"/>
        <v>78390</v>
      </c>
      <c r="F203" s="645">
        <f t="shared" si="156"/>
        <v>52259.000000000015</v>
      </c>
      <c r="G203" s="163">
        <f t="shared" si="156"/>
        <v>31691</v>
      </c>
      <c r="H203" s="163">
        <f t="shared" si="156"/>
        <v>39.333333333333336</v>
      </c>
      <c r="I203" s="163">
        <f t="shared" si="156"/>
        <v>20495.333333333336</v>
      </c>
      <c r="J203" s="644">
        <f t="shared" si="156"/>
        <v>33.333333333333329</v>
      </c>
      <c r="K203" s="645">
        <f t="shared" si="156"/>
        <v>26130.999999999993</v>
      </c>
      <c r="L203" s="163">
        <f t="shared" si="156"/>
        <v>13407.66666666667</v>
      </c>
      <c r="M203" s="163">
        <f t="shared" si="156"/>
        <v>0</v>
      </c>
      <c r="N203" s="163">
        <f t="shared" si="156"/>
        <v>10499.333333333334</v>
      </c>
      <c r="O203" s="643">
        <f t="shared" si="156"/>
        <v>2223.9999999999995</v>
      </c>
      <c r="P203" s="646">
        <f t="shared" si="156"/>
        <v>126.66666666666667</v>
      </c>
      <c r="Q203" s="645">
        <f t="shared" si="156"/>
        <v>73.333333333333343</v>
      </c>
      <c r="R203" s="163">
        <f t="shared" si="156"/>
        <v>44.333333333333329</v>
      </c>
      <c r="S203" s="163">
        <f t="shared" si="156"/>
        <v>0.66666666666666663</v>
      </c>
      <c r="T203" s="163">
        <f t="shared" si="156"/>
        <v>28.333333333333343</v>
      </c>
      <c r="U203" s="644">
        <f t="shared" si="154"/>
        <v>0</v>
      </c>
      <c r="V203" s="645">
        <f t="shared" si="154"/>
        <v>53.333333333333357</v>
      </c>
      <c r="W203" s="163">
        <f t="shared" si="154"/>
        <v>27.000000000000004</v>
      </c>
      <c r="X203" s="163">
        <f t="shared" si="154"/>
        <v>0</v>
      </c>
      <c r="Y203" s="163">
        <f t="shared" si="154"/>
        <v>22.333333333333339</v>
      </c>
      <c r="Z203" s="643">
        <f t="shared" si="154"/>
        <v>4</v>
      </c>
      <c r="AA203" s="646">
        <f t="shared" si="154"/>
        <v>83.333333333333371</v>
      </c>
      <c r="AB203" s="645">
        <f t="shared" si="154"/>
        <v>46</v>
      </c>
      <c r="AC203" s="163">
        <f t="shared" si="154"/>
        <v>24.666666666666671</v>
      </c>
      <c r="AD203" s="163">
        <f t="shared" si="154"/>
        <v>0</v>
      </c>
      <c r="AE203" s="163">
        <f t="shared" si="154"/>
        <v>21.333333333333336</v>
      </c>
      <c r="AF203" s="644">
        <f t="shared" si="154"/>
        <v>0</v>
      </c>
      <c r="AG203" s="645">
        <f t="shared" si="154"/>
        <v>37.33333333333335</v>
      </c>
      <c r="AH203" s="163">
        <f t="shared" si="154"/>
        <v>28.999999999999989</v>
      </c>
      <c r="AI203" s="163">
        <f t="shared" si="154"/>
        <v>0</v>
      </c>
      <c r="AJ203" s="163">
        <f t="shared" si="154"/>
        <v>3.6666666666666661</v>
      </c>
      <c r="AK203" s="643">
        <f t="shared" si="161"/>
        <v>4.6666666666666661</v>
      </c>
      <c r="AL203" s="646">
        <f t="shared" si="161"/>
        <v>730.33333333333337</v>
      </c>
      <c r="AM203" s="645">
        <f t="shared" si="161"/>
        <v>508.99999999999994</v>
      </c>
      <c r="AN203" s="163">
        <f t="shared" si="161"/>
        <v>326.33333333333331</v>
      </c>
      <c r="AO203" s="163">
        <f t="shared" si="161"/>
        <v>0.66666666666666663</v>
      </c>
      <c r="AP203" s="163">
        <f t="shared" si="161"/>
        <v>181.33333333333326</v>
      </c>
      <c r="AQ203" s="644">
        <f t="shared" si="161"/>
        <v>0.66666666666666663</v>
      </c>
      <c r="AR203" s="645">
        <f t="shared" si="161"/>
        <v>221.33333333333329</v>
      </c>
      <c r="AS203" s="163">
        <f t="shared" si="160"/>
        <v>99.666666666666615</v>
      </c>
      <c r="AT203" s="163">
        <f t="shared" si="160"/>
        <v>0</v>
      </c>
      <c r="AU203" s="163">
        <f t="shared" si="160"/>
        <v>105.00000000000006</v>
      </c>
      <c r="AV203" s="643">
        <f t="shared" si="160"/>
        <v>16.666666666666671</v>
      </c>
      <c r="AW203" s="646">
        <f t="shared" si="160"/>
        <v>407.66666666666669</v>
      </c>
      <c r="AX203" s="645">
        <f t="shared" si="160"/>
        <v>269.99999999999994</v>
      </c>
      <c r="AY203" s="163">
        <f t="shared" si="160"/>
        <v>181.33333333333331</v>
      </c>
      <c r="AZ203" s="163">
        <f t="shared" si="160"/>
        <v>0</v>
      </c>
      <c r="BA203" s="163">
        <f t="shared" si="160"/>
        <v>88.666666666666671</v>
      </c>
      <c r="BB203" s="644">
        <f t="shared" si="160"/>
        <v>0</v>
      </c>
      <c r="BC203" s="645">
        <f t="shared" si="160"/>
        <v>137.66666666666671</v>
      </c>
      <c r="BD203" s="163">
        <f t="shared" si="160"/>
        <v>83.666666666666629</v>
      </c>
      <c r="BE203" s="163">
        <f t="shared" si="160"/>
        <v>0</v>
      </c>
      <c r="BF203" s="163">
        <f t="shared" si="160"/>
        <v>44.333333333333357</v>
      </c>
      <c r="BG203" s="643">
        <f t="shared" si="160"/>
        <v>9.6666666666666679</v>
      </c>
      <c r="BH203" s="646">
        <f t="shared" si="155"/>
        <v>561.66666666666674</v>
      </c>
      <c r="BI203" s="645">
        <f t="shared" si="155"/>
        <v>409.66666666666669</v>
      </c>
      <c r="BJ203" s="163">
        <f t="shared" si="155"/>
        <v>257.33333333333337</v>
      </c>
      <c r="BK203" s="163">
        <f t="shared" si="155"/>
        <v>1.3333333333333333</v>
      </c>
      <c r="BL203" s="163">
        <f t="shared" si="155"/>
        <v>151</v>
      </c>
      <c r="BM203" s="644">
        <f t="shared" si="155"/>
        <v>0</v>
      </c>
      <c r="BN203" s="645">
        <f t="shared" si="155"/>
        <v>152.00000000000003</v>
      </c>
      <c r="BO203" s="163">
        <f t="shared" si="155"/>
        <v>66.333333333333343</v>
      </c>
      <c r="BP203" s="163">
        <f t="shared" si="155"/>
        <v>0</v>
      </c>
      <c r="BQ203" s="163">
        <f t="shared" si="155"/>
        <v>72</v>
      </c>
      <c r="BR203" s="643">
        <f t="shared" si="155"/>
        <v>13.66666666666667</v>
      </c>
      <c r="BS203" s="646">
        <f t="shared" si="155"/>
        <v>823.33333333333371</v>
      </c>
      <c r="BT203" s="645">
        <f t="shared" si="155"/>
        <v>578</v>
      </c>
      <c r="BU203" s="163">
        <f t="shared" si="155"/>
        <v>333</v>
      </c>
      <c r="BV203" s="163">
        <f t="shared" si="155"/>
        <v>0.66666666666666663</v>
      </c>
      <c r="BW203" s="163">
        <f t="shared" si="155"/>
        <v>244.33333333333329</v>
      </c>
      <c r="BX203" s="644">
        <f t="shared" ref="BX203:CM218" si="162">BX104/3+BX202</f>
        <v>0</v>
      </c>
      <c r="BY203" s="645">
        <f t="shared" si="162"/>
        <v>245.33333333333331</v>
      </c>
      <c r="BZ203" s="163">
        <f t="shared" si="162"/>
        <v>114.6666666666666</v>
      </c>
      <c r="CA203" s="163">
        <f t="shared" si="162"/>
        <v>0</v>
      </c>
      <c r="CB203" s="163">
        <f t="shared" si="162"/>
        <v>108.6666666666666</v>
      </c>
      <c r="CC203" s="643">
        <f t="shared" si="162"/>
        <v>22</v>
      </c>
      <c r="CD203" s="646">
        <f t="shared" si="162"/>
        <v>150.66666666666669</v>
      </c>
      <c r="CE203" s="645">
        <f t="shared" si="162"/>
        <v>103.6666666666667</v>
      </c>
      <c r="CF203" s="163">
        <f t="shared" si="162"/>
        <v>61.666666666666657</v>
      </c>
      <c r="CG203" s="163">
        <f t="shared" si="162"/>
        <v>0</v>
      </c>
      <c r="CH203" s="163">
        <f t="shared" si="162"/>
        <v>42</v>
      </c>
      <c r="CI203" s="644">
        <f t="shared" si="162"/>
        <v>0</v>
      </c>
      <c r="CJ203" s="645">
        <f t="shared" si="162"/>
        <v>46.999999999999993</v>
      </c>
      <c r="CK203" s="163">
        <f t="shared" si="162"/>
        <v>25.666666666666664</v>
      </c>
      <c r="CL203" s="163">
        <f t="shared" si="162"/>
        <v>0</v>
      </c>
      <c r="CM203" s="163">
        <f t="shared" si="157"/>
        <v>17.666666666666664</v>
      </c>
      <c r="CN203" s="643">
        <f t="shared" si="157"/>
        <v>3.666666666666667</v>
      </c>
      <c r="CO203" s="646">
        <f t="shared" si="157"/>
        <v>118.33333333333333</v>
      </c>
      <c r="CP203" s="645">
        <f t="shared" si="157"/>
        <v>74.666666666666686</v>
      </c>
      <c r="CQ203" s="163">
        <f t="shared" si="157"/>
        <v>55.33333333333335</v>
      </c>
      <c r="CR203" s="163">
        <f t="shared" si="157"/>
        <v>0.66666666666666663</v>
      </c>
      <c r="CS203" s="163">
        <f t="shared" si="157"/>
        <v>18.666666666666661</v>
      </c>
      <c r="CT203" s="644">
        <f t="shared" si="157"/>
        <v>0</v>
      </c>
      <c r="CU203" s="645">
        <f t="shared" si="157"/>
        <v>43.666666666666671</v>
      </c>
      <c r="CV203" s="163">
        <f t="shared" si="157"/>
        <v>23.999999999999986</v>
      </c>
      <c r="CW203" s="163">
        <f t="shared" si="157"/>
        <v>0</v>
      </c>
      <c r="CX203" s="163">
        <f t="shared" si="157"/>
        <v>19.666666666666657</v>
      </c>
      <c r="CY203" s="643">
        <f t="shared" si="157"/>
        <v>0</v>
      </c>
      <c r="CZ203" s="646">
        <f t="shared" si="157"/>
        <v>33.666666666666664</v>
      </c>
      <c r="DA203" s="645">
        <f t="shared" si="157"/>
        <v>19</v>
      </c>
      <c r="DB203" s="163">
        <f t="shared" si="157"/>
        <v>7.9999999999999991</v>
      </c>
      <c r="DC203" s="163">
        <f t="shared" si="159"/>
        <v>0</v>
      </c>
      <c r="DD203" s="163">
        <f t="shared" si="159"/>
        <v>10.999999999999996</v>
      </c>
      <c r="DE203" s="644">
        <f t="shared" si="159"/>
        <v>0</v>
      </c>
      <c r="DF203" s="645">
        <f t="shared" si="159"/>
        <v>14.666666666666675</v>
      </c>
      <c r="DG203" s="163">
        <f t="shared" si="159"/>
        <v>13.000000000000011</v>
      </c>
      <c r="DH203" s="163">
        <f t="shared" si="159"/>
        <v>0</v>
      </c>
      <c r="DI203" s="163">
        <f t="shared" si="159"/>
        <v>1.6666666666666665</v>
      </c>
      <c r="DJ203" s="643">
        <f t="shared" si="159"/>
        <v>0</v>
      </c>
      <c r="DK203" s="646">
        <f t="shared" si="159"/>
        <v>0</v>
      </c>
      <c r="DL203" s="645">
        <f t="shared" si="159"/>
        <v>0</v>
      </c>
      <c r="DM203" s="163">
        <f t="shared" si="159"/>
        <v>0</v>
      </c>
      <c r="DN203" s="163">
        <f t="shared" si="159"/>
        <v>0</v>
      </c>
      <c r="DO203" s="163">
        <f t="shared" si="159"/>
        <v>0</v>
      </c>
      <c r="DP203" s="644">
        <f t="shared" si="159"/>
        <v>0</v>
      </c>
      <c r="DQ203" s="645">
        <f t="shared" si="159"/>
        <v>1</v>
      </c>
      <c r="DR203" s="163">
        <f t="shared" si="159"/>
        <v>1</v>
      </c>
      <c r="DS203" s="163">
        <f t="shared" si="159"/>
        <v>0</v>
      </c>
      <c r="DT203" s="163">
        <f t="shared" ref="DT203:DU218" si="163">DT104/3+DT202</f>
        <v>0</v>
      </c>
      <c r="DU203" s="643">
        <f t="shared" si="163"/>
        <v>0</v>
      </c>
      <c r="DW203" s="646">
        <f t="shared" si="121"/>
        <v>2305.3333333333339</v>
      </c>
      <c r="DX203" s="645">
        <f t="shared" si="121"/>
        <v>1574.3333333333335</v>
      </c>
      <c r="DY203" s="163">
        <f t="shared" si="121"/>
        <v>965.66666666666674</v>
      </c>
      <c r="DZ203" s="163">
        <f t="shared" si="121"/>
        <v>3.333333333333333</v>
      </c>
      <c r="EA203" s="163">
        <f t="shared" si="121"/>
        <v>605.33333333333326</v>
      </c>
      <c r="EB203" s="644">
        <f t="shared" si="158"/>
        <v>0</v>
      </c>
      <c r="EC203" s="645">
        <f t="shared" si="158"/>
        <v>732</v>
      </c>
      <c r="ED203" s="163">
        <f t="shared" si="158"/>
        <v>384.33333333333326</v>
      </c>
      <c r="EE203" s="163">
        <f t="shared" si="158"/>
        <v>0</v>
      </c>
      <c r="EF203" s="163">
        <f t="shared" si="158"/>
        <v>289.99999999999994</v>
      </c>
      <c r="EG203" s="643">
        <f t="shared" si="158"/>
        <v>57.666666666666671</v>
      </c>
      <c r="EH203" s="646">
        <f t="shared" si="119"/>
        <v>730.33333333333337</v>
      </c>
      <c r="EI203" s="645">
        <f t="shared" si="119"/>
        <v>508.99999999999994</v>
      </c>
      <c r="EJ203" s="163">
        <f t="shared" si="119"/>
        <v>326.33333333333331</v>
      </c>
      <c r="EK203" s="163">
        <f t="shared" si="119"/>
        <v>0.66666666666666663</v>
      </c>
      <c r="EL203" s="163">
        <f t="shared" si="119"/>
        <v>181.33333333333326</v>
      </c>
      <c r="EM203" s="644">
        <f t="shared" si="119"/>
        <v>0.66666666666666663</v>
      </c>
      <c r="EN203" s="645">
        <f t="shared" si="119"/>
        <v>221.33333333333329</v>
      </c>
      <c r="EO203" s="163">
        <f t="shared" si="119"/>
        <v>99.666666666666615</v>
      </c>
      <c r="EP203" s="163">
        <f t="shared" si="119"/>
        <v>0</v>
      </c>
      <c r="EQ203" s="163">
        <f t="shared" si="119"/>
        <v>105.00000000000006</v>
      </c>
      <c r="ER203" s="643">
        <f t="shared" si="119"/>
        <v>16.666666666666671</v>
      </c>
    </row>
    <row r="204" spans="1:148">
      <c r="A204" s="665" t="s">
        <v>245</v>
      </c>
      <c r="B204" s="665">
        <v>44713</v>
      </c>
      <c r="C204" s="664">
        <v>2022</v>
      </c>
      <c r="D204" s="646">
        <f t="shared" si="153"/>
        <v>3928253.0000000009</v>
      </c>
      <c r="E204" s="646">
        <f t="shared" si="156"/>
        <v>81568</v>
      </c>
      <c r="F204" s="645">
        <f t="shared" si="156"/>
        <v>54884.000000000015</v>
      </c>
      <c r="G204" s="163">
        <f t="shared" si="156"/>
        <v>32659</v>
      </c>
      <c r="H204" s="163">
        <f t="shared" si="156"/>
        <v>59</v>
      </c>
      <c r="I204" s="163">
        <f t="shared" si="156"/>
        <v>22118.000000000004</v>
      </c>
      <c r="J204" s="644">
        <f t="shared" si="156"/>
        <v>47.999999999999993</v>
      </c>
      <c r="K204" s="645">
        <f t="shared" si="156"/>
        <v>26683.999999999993</v>
      </c>
      <c r="L204" s="163">
        <f t="shared" si="156"/>
        <v>13498.000000000004</v>
      </c>
      <c r="M204" s="163">
        <f t="shared" si="156"/>
        <v>0</v>
      </c>
      <c r="N204" s="163">
        <f t="shared" si="156"/>
        <v>10923</v>
      </c>
      <c r="O204" s="643">
        <f t="shared" si="156"/>
        <v>2262.9999999999995</v>
      </c>
      <c r="P204" s="646">
        <f t="shared" si="156"/>
        <v>131</v>
      </c>
      <c r="Q204" s="645">
        <f t="shared" si="156"/>
        <v>77.000000000000014</v>
      </c>
      <c r="R204" s="163">
        <f t="shared" si="156"/>
        <v>44.999999999999993</v>
      </c>
      <c r="S204" s="163">
        <f t="shared" si="156"/>
        <v>1</v>
      </c>
      <c r="T204" s="163">
        <f t="shared" ref="T204:AJ218" si="164">T105/3+T203</f>
        <v>31.000000000000011</v>
      </c>
      <c r="U204" s="644">
        <f t="shared" si="164"/>
        <v>0</v>
      </c>
      <c r="V204" s="645">
        <f t="shared" si="164"/>
        <v>54.000000000000021</v>
      </c>
      <c r="W204" s="163">
        <f t="shared" si="164"/>
        <v>27.000000000000004</v>
      </c>
      <c r="X204" s="163">
        <f t="shared" si="164"/>
        <v>0</v>
      </c>
      <c r="Y204" s="163">
        <f t="shared" si="164"/>
        <v>23.000000000000007</v>
      </c>
      <c r="Z204" s="643">
        <f t="shared" si="164"/>
        <v>4</v>
      </c>
      <c r="AA204" s="646">
        <f t="shared" si="164"/>
        <v>88.000000000000043</v>
      </c>
      <c r="AB204" s="645">
        <f t="shared" si="164"/>
        <v>49</v>
      </c>
      <c r="AC204" s="163">
        <f t="shared" si="164"/>
        <v>26.000000000000004</v>
      </c>
      <c r="AD204" s="163">
        <f t="shared" si="164"/>
        <v>0</v>
      </c>
      <c r="AE204" s="163">
        <f t="shared" si="164"/>
        <v>23.000000000000004</v>
      </c>
      <c r="AF204" s="644">
        <f t="shared" si="164"/>
        <v>0</v>
      </c>
      <c r="AG204" s="645">
        <f t="shared" si="164"/>
        <v>39.000000000000014</v>
      </c>
      <c r="AH204" s="163">
        <f t="shared" si="164"/>
        <v>28.999999999999989</v>
      </c>
      <c r="AI204" s="163">
        <f t="shared" si="164"/>
        <v>0</v>
      </c>
      <c r="AJ204" s="163">
        <f t="shared" si="164"/>
        <v>4.9999999999999991</v>
      </c>
      <c r="AK204" s="643">
        <f t="shared" si="161"/>
        <v>4.9999999999999991</v>
      </c>
      <c r="AL204" s="646">
        <f t="shared" si="161"/>
        <v>757</v>
      </c>
      <c r="AM204" s="645">
        <f t="shared" si="161"/>
        <v>529</v>
      </c>
      <c r="AN204" s="163">
        <f t="shared" si="161"/>
        <v>333</v>
      </c>
      <c r="AO204" s="163">
        <f t="shared" si="161"/>
        <v>1</v>
      </c>
      <c r="AP204" s="163">
        <f t="shared" si="161"/>
        <v>193.99999999999991</v>
      </c>
      <c r="AQ204" s="644">
        <f t="shared" si="161"/>
        <v>1</v>
      </c>
      <c r="AR204" s="645">
        <f t="shared" si="161"/>
        <v>227.99999999999994</v>
      </c>
      <c r="AS204" s="163">
        <f t="shared" si="160"/>
        <v>99.999999999999943</v>
      </c>
      <c r="AT204" s="163">
        <f t="shared" si="160"/>
        <v>0</v>
      </c>
      <c r="AU204" s="163">
        <f t="shared" si="160"/>
        <v>111.00000000000006</v>
      </c>
      <c r="AV204" s="643">
        <f t="shared" si="160"/>
        <v>17.000000000000004</v>
      </c>
      <c r="AW204" s="646">
        <f t="shared" si="160"/>
        <v>430</v>
      </c>
      <c r="AX204" s="645">
        <f t="shared" si="160"/>
        <v>287.99999999999994</v>
      </c>
      <c r="AY204" s="163">
        <f t="shared" si="160"/>
        <v>190.99999999999997</v>
      </c>
      <c r="AZ204" s="163">
        <f t="shared" si="160"/>
        <v>0</v>
      </c>
      <c r="BA204" s="163">
        <f t="shared" si="160"/>
        <v>97</v>
      </c>
      <c r="BB204" s="644">
        <f t="shared" si="160"/>
        <v>0</v>
      </c>
      <c r="BC204" s="645">
        <f t="shared" si="160"/>
        <v>142.00000000000006</v>
      </c>
      <c r="BD204" s="163">
        <f t="shared" si="160"/>
        <v>83.999999999999957</v>
      </c>
      <c r="BE204" s="163">
        <f t="shared" si="160"/>
        <v>0</v>
      </c>
      <c r="BF204" s="163">
        <f t="shared" si="160"/>
        <v>48.000000000000021</v>
      </c>
      <c r="BG204" s="643">
        <f t="shared" si="160"/>
        <v>10.000000000000002</v>
      </c>
      <c r="BH204" s="646">
        <f t="shared" si="160"/>
        <v>589.00000000000011</v>
      </c>
      <c r="BI204" s="645">
        <f t="shared" ref="BI204:BX219" si="165">BI105/3+BI203</f>
        <v>433</v>
      </c>
      <c r="BJ204" s="163">
        <f t="shared" si="165"/>
        <v>264.00000000000006</v>
      </c>
      <c r="BK204" s="163">
        <f t="shared" si="165"/>
        <v>2</v>
      </c>
      <c r="BL204" s="163">
        <f t="shared" si="165"/>
        <v>167</v>
      </c>
      <c r="BM204" s="644">
        <f t="shared" si="165"/>
        <v>0</v>
      </c>
      <c r="BN204" s="645">
        <f t="shared" si="165"/>
        <v>156.00000000000003</v>
      </c>
      <c r="BO204" s="163">
        <f t="shared" si="165"/>
        <v>67.000000000000014</v>
      </c>
      <c r="BP204" s="163">
        <f t="shared" si="165"/>
        <v>0</v>
      </c>
      <c r="BQ204" s="163">
        <f t="shared" si="165"/>
        <v>75</v>
      </c>
      <c r="BR204" s="643">
        <f t="shared" si="165"/>
        <v>14.000000000000004</v>
      </c>
      <c r="BS204" s="646">
        <f t="shared" si="165"/>
        <v>857.00000000000034</v>
      </c>
      <c r="BT204" s="645">
        <f t="shared" si="165"/>
        <v>609</v>
      </c>
      <c r="BU204" s="163">
        <f t="shared" si="165"/>
        <v>342</v>
      </c>
      <c r="BV204" s="163">
        <f t="shared" si="165"/>
        <v>1</v>
      </c>
      <c r="BW204" s="163">
        <f t="shared" si="165"/>
        <v>265.99999999999994</v>
      </c>
      <c r="BX204" s="644">
        <f t="shared" si="162"/>
        <v>0</v>
      </c>
      <c r="BY204" s="645">
        <f t="shared" si="162"/>
        <v>247.99999999999997</v>
      </c>
      <c r="BZ204" s="163">
        <f t="shared" si="162"/>
        <v>114.99999999999993</v>
      </c>
      <c r="CA204" s="163">
        <f t="shared" si="162"/>
        <v>0</v>
      </c>
      <c r="CB204" s="163">
        <f t="shared" si="162"/>
        <v>110.99999999999993</v>
      </c>
      <c r="CC204" s="643">
        <f t="shared" si="162"/>
        <v>22</v>
      </c>
      <c r="CD204" s="646">
        <f t="shared" si="162"/>
        <v>156.00000000000003</v>
      </c>
      <c r="CE204" s="645">
        <f t="shared" si="162"/>
        <v>108.00000000000003</v>
      </c>
      <c r="CF204" s="163">
        <f t="shared" si="162"/>
        <v>62.999999999999993</v>
      </c>
      <c r="CG204" s="163">
        <f t="shared" si="162"/>
        <v>0</v>
      </c>
      <c r="CH204" s="163">
        <f t="shared" si="162"/>
        <v>45</v>
      </c>
      <c r="CI204" s="644">
        <f t="shared" si="162"/>
        <v>0</v>
      </c>
      <c r="CJ204" s="645">
        <f t="shared" si="162"/>
        <v>47.999999999999993</v>
      </c>
      <c r="CK204" s="163">
        <f t="shared" si="162"/>
        <v>25.999999999999996</v>
      </c>
      <c r="CL204" s="163">
        <f t="shared" si="162"/>
        <v>0</v>
      </c>
      <c r="CM204" s="163">
        <f t="shared" si="157"/>
        <v>17.999999999999996</v>
      </c>
      <c r="CN204" s="643">
        <f t="shared" si="157"/>
        <v>4</v>
      </c>
      <c r="CO204" s="646">
        <f t="shared" si="157"/>
        <v>123</v>
      </c>
      <c r="CP204" s="645">
        <f t="shared" si="157"/>
        <v>79.000000000000014</v>
      </c>
      <c r="CQ204" s="163">
        <f t="shared" si="157"/>
        <v>57.000000000000014</v>
      </c>
      <c r="CR204" s="163">
        <f t="shared" si="157"/>
        <v>1</v>
      </c>
      <c r="CS204" s="163">
        <f t="shared" si="157"/>
        <v>20.999999999999993</v>
      </c>
      <c r="CT204" s="644">
        <f t="shared" si="157"/>
        <v>0</v>
      </c>
      <c r="CU204" s="645">
        <f t="shared" si="157"/>
        <v>44.000000000000007</v>
      </c>
      <c r="CV204" s="163">
        <f t="shared" si="157"/>
        <v>23.999999999999986</v>
      </c>
      <c r="CW204" s="163">
        <f t="shared" si="157"/>
        <v>0</v>
      </c>
      <c r="CX204" s="163">
        <f t="shared" si="157"/>
        <v>19.999999999999989</v>
      </c>
      <c r="CY204" s="643">
        <f t="shared" si="157"/>
        <v>0</v>
      </c>
      <c r="CZ204" s="646">
        <f t="shared" si="157"/>
        <v>35</v>
      </c>
      <c r="DA204" s="645">
        <f t="shared" si="157"/>
        <v>20</v>
      </c>
      <c r="DB204" s="163">
        <f t="shared" si="157"/>
        <v>7.9999999999999991</v>
      </c>
      <c r="DC204" s="163">
        <f t="shared" si="159"/>
        <v>0</v>
      </c>
      <c r="DD204" s="163">
        <f t="shared" si="159"/>
        <v>11.999999999999996</v>
      </c>
      <c r="DE204" s="644">
        <f t="shared" si="159"/>
        <v>0</v>
      </c>
      <c r="DF204" s="645">
        <f t="shared" si="159"/>
        <v>15.000000000000009</v>
      </c>
      <c r="DG204" s="163">
        <f t="shared" si="159"/>
        <v>13.000000000000011</v>
      </c>
      <c r="DH204" s="163">
        <f t="shared" si="159"/>
        <v>0</v>
      </c>
      <c r="DI204" s="163">
        <f t="shared" si="159"/>
        <v>1.9999999999999998</v>
      </c>
      <c r="DJ204" s="643">
        <f t="shared" si="159"/>
        <v>0</v>
      </c>
      <c r="DK204" s="646">
        <f t="shared" si="159"/>
        <v>0</v>
      </c>
      <c r="DL204" s="645">
        <f t="shared" si="159"/>
        <v>0</v>
      </c>
      <c r="DM204" s="163">
        <f t="shared" si="159"/>
        <v>0</v>
      </c>
      <c r="DN204" s="163">
        <f t="shared" si="159"/>
        <v>0</v>
      </c>
      <c r="DO204" s="163">
        <f t="shared" si="159"/>
        <v>0</v>
      </c>
      <c r="DP204" s="644">
        <f t="shared" si="159"/>
        <v>0</v>
      </c>
      <c r="DQ204" s="645">
        <f t="shared" si="159"/>
        <v>1</v>
      </c>
      <c r="DR204" s="163">
        <f t="shared" si="159"/>
        <v>1</v>
      </c>
      <c r="DS204" s="163">
        <f t="shared" si="159"/>
        <v>0</v>
      </c>
      <c r="DT204" s="163">
        <f t="shared" si="163"/>
        <v>0</v>
      </c>
      <c r="DU204" s="643">
        <f t="shared" si="163"/>
        <v>0</v>
      </c>
      <c r="DW204" s="646">
        <f t="shared" si="121"/>
        <v>2409.0000000000005</v>
      </c>
      <c r="DX204" s="645">
        <f t="shared" si="121"/>
        <v>1663</v>
      </c>
      <c r="DY204" s="163">
        <f t="shared" si="121"/>
        <v>996</v>
      </c>
      <c r="DZ204" s="163">
        <f t="shared" si="121"/>
        <v>5</v>
      </c>
      <c r="EA204" s="163">
        <f t="shared" si="121"/>
        <v>662</v>
      </c>
      <c r="EB204" s="644">
        <f t="shared" si="158"/>
        <v>0</v>
      </c>
      <c r="EC204" s="645">
        <f t="shared" si="158"/>
        <v>747.00000000000011</v>
      </c>
      <c r="ED204" s="163">
        <f t="shared" si="158"/>
        <v>385.99999999999989</v>
      </c>
      <c r="EE204" s="163">
        <f t="shared" si="158"/>
        <v>0</v>
      </c>
      <c r="EF204" s="163">
        <f t="shared" si="158"/>
        <v>301.99999999999994</v>
      </c>
      <c r="EG204" s="643">
        <f t="shared" si="158"/>
        <v>59</v>
      </c>
      <c r="EH204" s="646">
        <f t="shared" si="119"/>
        <v>757</v>
      </c>
      <c r="EI204" s="645">
        <f t="shared" si="119"/>
        <v>529</v>
      </c>
      <c r="EJ204" s="163">
        <f t="shared" si="119"/>
        <v>333</v>
      </c>
      <c r="EK204" s="163">
        <f t="shared" si="119"/>
        <v>1</v>
      </c>
      <c r="EL204" s="163">
        <f t="shared" si="119"/>
        <v>193.99999999999991</v>
      </c>
      <c r="EM204" s="644">
        <f t="shared" si="119"/>
        <v>1</v>
      </c>
      <c r="EN204" s="645">
        <f t="shared" si="119"/>
        <v>227.99999999999994</v>
      </c>
      <c r="EO204" s="163">
        <f t="shared" si="119"/>
        <v>99.999999999999943</v>
      </c>
      <c r="EP204" s="163">
        <f t="shared" si="119"/>
        <v>0</v>
      </c>
      <c r="EQ204" s="163">
        <f t="shared" si="119"/>
        <v>111.00000000000006</v>
      </c>
      <c r="ER204" s="643">
        <f t="shared" si="119"/>
        <v>17.000000000000004</v>
      </c>
    </row>
    <row r="205" spans="1:148">
      <c r="A205" s="665" t="s">
        <v>246</v>
      </c>
      <c r="B205" s="665">
        <v>44743</v>
      </c>
      <c r="C205" s="664">
        <v>2022</v>
      </c>
      <c r="D205" s="646">
        <f t="shared" ref="D205" si="166">D106/3+D204</f>
        <v>3979512.6666666674</v>
      </c>
      <c r="E205" s="646">
        <f t="shared" ref="E205:T220" si="167">E106/3+E204</f>
        <v>85239</v>
      </c>
      <c r="F205" s="645">
        <f t="shared" si="167"/>
        <v>58122.666666666679</v>
      </c>
      <c r="G205" s="163">
        <f t="shared" si="167"/>
        <v>33990.666666666664</v>
      </c>
      <c r="H205" s="163">
        <f t="shared" si="167"/>
        <v>215.33333333333334</v>
      </c>
      <c r="I205" s="163">
        <f t="shared" si="167"/>
        <v>23853.333333333336</v>
      </c>
      <c r="J205" s="644">
        <f t="shared" si="167"/>
        <v>63.333333333333329</v>
      </c>
      <c r="K205" s="645">
        <f t="shared" si="167"/>
        <v>27116.333333333325</v>
      </c>
      <c r="L205" s="163">
        <f t="shared" si="167"/>
        <v>13565.000000000004</v>
      </c>
      <c r="M205" s="163">
        <f t="shared" si="167"/>
        <v>0</v>
      </c>
      <c r="N205" s="163">
        <f t="shared" si="167"/>
        <v>11256.666666666666</v>
      </c>
      <c r="O205" s="643">
        <f t="shared" si="167"/>
        <v>2294.6666666666661</v>
      </c>
      <c r="P205" s="646">
        <f t="shared" si="167"/>
        <v>136</v>
      </c>
      <c r="Q205" s="645">
        <f t="shared" si="167"/>
        <v>80.666666666666686</v>
      </c>
      <c r="R205" s="163">
        <f t="shared" si="167"/>
        <v>46.333333333333329</v>
      </c>
      <c r="S205" s="163">
        <f t="shared" si="167"/>
        <v>1</v>
      </c>
      <c r="T205" s="163">
        <f t="shared" si="164"/>
        <v>33.333333333333343</v>
      </c>
      <c r="U205" s="644">
        <f t="shared" si="164"/>
        <v>0</v>
      </c>
      <c r="V205" s="645">
        <f t="shared" si="164"/>
        <v>55.333333333333357</v>
      </c>
      <c r="W205" s="163">
        <f t="shared" si="164"/>
        <v>27.000000000000004</v>
      </c>
      <c r="X205" s="163">
        <f t="shared" si="164"/>
        <v>0</v>
      </c>
      <c r="Y205" s="163">
        <f t="shared" si="164"/>
        <v>24.000000000000007</v>
      </c>
      <c r="Z205" s="643">
        <f t="shared" si="164"/>
        <v>4.333333333333333</v>
      </c>
      <c r="AA205" s="646">
        <f t="shared" si="164"/>
        <v>90.333333333333371</v>
      </c>
      <c r="AB205" s="645">
        <f t="shared" si="164"/>
        <v>50.666666666666664</v>
      </c>
      <c r="AC205" s="163">
        <f t="shared" si="164"/>
        <v>26.333333333333336</v>
      </c>
      <c r="AD205" s="163">
        <f t="shared" si="164"/>
        <v>0.33333333333333331</v>
      </c>
      <c r="AE205" s="163">
        <f t="shared" si="164"/>
        <v>24.000000000000004</v>
      </c>
      <c r="AF205" s="644">
        <f t="shared" si="164"/>
        <v>0</v>
      </c>
      <c r="AG205" s="645">
        <f t="shared" si="164"/>
        <v>39.666666666666679</v>
      </c>
      <c r="AH205" s="163">
        <f t="shared" si="164"/>
        <v>29.333333333333321</v>
      </c>
      <c r="AI205" s="163">
        <f t="shared" si="164"/>
        <v>0</v>
      </c>
      <c r="AJ205" s="163">
        <f t="shared" si="164"/>
        <v>5.3333333333333321</v>
      </c>
      <c r="AK205" s="643">
        <f t="shared" si="161"/>
        <v>4.9999999999999991</v>
      </c>
      <c r="AL205" s="646">
        <f t="shared" si="161"/>
        <v>791.66666666666663</v>
      </c>
      <c r="AM205" s="645">
        <f t="shared" si="161"/>
        <v>558.66666666666663</v>
      </c>
      <c r="AN205" s="163">
        <f t="shared" si="161"/>
        <v>345</v>
      </c>
      <c r="AO205" s="163">
        <f t="shared" si="161"/>
        <v>2.666666666666667</v>
      </c>
      <c r="AP205" s="163">
        <f t="shared" si="161"/>
        <v>209.99999999999991</v>
      </c>
      <c r="AQ205" s="644">
        <f t="shared" si="161"/>
        <v>1</v>
      </c>
      <c r="AR205" s="645">
        <f t="shared" si="161"/>
        <v>232.99999999999994</v>
      </c>
      <c r="AS205" s="163">
        <f t="shared" si="160"/>
        <v>100.66666666666661</v>
      </c>
      <c r="AT205" s="163">
        <f t="shared" si="160"/>
        <v>0</v>
      </c>
      <c r="AU205" s="163">
        <f t="shared" si="160"/>
        <v>115.00000000000006</v>
      </c>
      <c r="AV205" s="643">
        <f t="shared" si="160"/>
        <v>17.333333333333336</v>
      </c>
      <c r="AW205" s="646">
        <f t="shared" si="160"/>
        <v>446</v>
      </c>
      <c r="AX205" s="645">
        <f t="shared" si="160"/>
        <v>301.99999999999994</v>
      </c>
      <c r="AY205" s="163">
        <f t="shared" si="160"/>
        <v>197.33333333333331</v>
      </c>
      <c r="AZ205" s="163">
        <f t="shared" si="160"/>
        <v>0</v>
      </c>
      <c r="BA205" s="163">
        <f t="shared" si="160"/>
        <v>104.66666666666667</v>
      </c>
      <c r="BB205" s="644">
        <f t="shared" si="160"/>
        <v>0</v>
      </c>
      <c r="BC205" s="645">
        <f t="shared" si="160"/>
        <v>144.00000000000006</v>
      </c>
      <c r="BD205" s="163">
        <f t="shared" si="160"/>
        <v>84.333333333333286</v>
      </c>
      <c r="BE205" s="163">
        <f t="shared" si="160"/>
        <v>0</v>
      </c>
      <c r="BF205" s="163">
        <f t="shared" si="160"/>
        <v>49.666666666666686</v>
      </c>
      <c r="BG205" s="643">
        <f t="shared" si="160"/>
        <v>10.000000000000002</v>
      </c>
      <c r="BH205" s="646">
        <f t="shared" si="160"/>
        <v>624.00000000000011</v>
      </c>
      <c r="BI205" s="645">
        <f t="shared" si="165"/>
        <v>465.33333333333331</v>
      </c>
      <c r="BJ205" s="163">
        <f t="shared" si="165"/>
        <v>278.00000000000006</v>
      </c>
      <c r="BK205" s="163">
        <f t="shared" si="165"/>
        <v>2.3333333333333335</v>
      </c>
      <c r="BL205" s="163">
        <f t="shared" si="165"/>
        <v>185</v>
      </c>
      <c r="BM205" s="644">
        <f t="shared" si="165"/>
        <v>0</v>
      </c>
      <c r="BN205" s="645">
        <f t="shared" si="165"/>
        <v>158.66666666666669</v>
      </c>
      <c r="BO205" s="163">
        <f t="shared" si="165"/>
        <v>68.000000000000014</v>
      </c>
      <c r="BP205" s="163">
        <f t="shared" si="165"/>
        <v>0</v>
      </c>
      <c r="BQ205" s="163">
        <f t="shared" si="165"/>
        <v>76.666666666666671</v>
      </c>
      <c r="BR205" s="643">
        <f t="shared" si="165"/>
        <v>14.000000000000004</v>
      </c>
      <c r="BS205" s="646">
        <f t="shared" si="165"/>
        <v>898.00000000000034</v>
      </c>
      <c r="BT205" s="645">
        <f t="shared" si="165"/>
        <v>646.33333333333337</v>
      </c>
      <c r="BU205" s="163">
        <f t="shared" si="165"/>
        <v>357.33333333333331</v>
      </c>
      <c r="BV205" s="163">
        <f t="shared" si="165"/>
        <v>1</v>
      </c>
      <c r="BW205" s="163">
        <f t="shared" si="165"/>
        <v>287.99999999999994</v>
      </c>
      <c r="BX205" s="644">
        <f t="shared" si="162"/>
        <v>0</v>
      </c>
      <c r="BY205" s="645">
        <f t="shared" si="162"/>
        <v>251.66666666666663</v>
      </c>
      <c r="BZ205" s="163">
        <f t="shared" si="162"/>
        <v>116.33333333333326</v>
      </c>
      <c r="CA205" s="163">
        <f t="shared" si="162"/>
        <v>0</v>
      </c>
      <c r="CB205" s="163">
        <f t="shared" si="162"/>
        <v>113.33333333333326</v>
      </c>
      <c r="CC205" s="643">
        <f t="shared" si="162"/>
        <v>22</v>
      </c>
      <c r="CD205" s="646">
        <f t="shared" si="162"/>
        <v>163.66666666666669</v>
      </c>
      <c r="CE205" s="645">
        <f t="shared" si="162"/>
        <v>115.00000000000003</v>
      </c>
      <c r="CF205" s="163">
        <f t="shared" si="162"/>
        <v>65.333333333333329</v>
      </c>
      <c r="CG205" s="163">
        <f t="shared" si="162"/>
        <v>0.66666666666666663</v>
      </c>
      <c r="CH205" s="163">
        <f t="shared" si="162"/>
        <v>49</v>
      </c>
      <c r="CI205" s="644">
        <f t="shared" si="162"/>
        <v>0</v>
      </c>
      <c r="CJ205" s="645">
        <f t="shared" si="162"/>
        <v>48.666666666666657</v>
      </c>
      <c r="CK205" s="163">
        <f t="shared" si="162"/>
        <v>25.999999999999996</v>
      </c>
      <c r="CL205" s="163">
        <f t="shared" si="162"/>
        <v>0</v>
      </c>
      <c r="CM205" s="163">
        <f t="shared" si="157"/>
        <v>18.666666666666664</v>
      </c>
      <c r="CN205" s="643">
        <f t="shared" si="157"/>
        <v>4</v>
      </c>
      <c r="CO205" s="646">
        <f t="shared" si="157"/>
        <v>127.33333333333333</v>
      </c>
      <c r="CP205" s="645">
        <f t="shared" si="157"/>
        <v>82.333333333333343</v>
      </c>
      <c r="CQ205" s="163">
        <f t="shared" si="157"/>
        <v>57.666666666666679</v>
      </c>
      <c r="CR205" s="163">
        <f t="shared" si="157"/>
        <v>1</v>
      </c>
      <c r="CS205" s="163">
        <f t="shared" si="157"/>
        <v>23.666666666666661</v>
      </c>
      <c r="CT205" s="644">
        <f t="shared" si="157"/>
        <v>0</v>
      </c>
      <c r="CU205" s="645">
        <f t="shared" si="157"/>
        <v>45.000000000000007</v>
      </c>
      <c r="CV205" s="163">
        <f t="shared" si="157"/>
        <v>23.999999999999986</v>
      </c>
      <c r="CW205" s="163">
        <f t="shared" si="157"/>
        <v>0</v>
      </c>
      <c r="CX205" s="163">
        <f t="shared" si="157"/>
        <v>20.999999999999989</v>
      </c>
      <c r="CY205" s="643">
        <f t="shared" si="157"/>
        <v>0</v>
      </c>
      <c r="CZ205" s="646">
        <f t="shared" si="157"/>
        <v>37.333333333333336</v>
      </c>
      <c r="DA205" s="645">
        <f t="shared" si="157"/>
        <v>21.666666666666668</v>
      </c>
      <c r="DB205" s="163">
        <f t="shared" si="157"/>
        <v>9</v>
      </c>
      <c r="DC205" s="163">
        <f t="shared" si="159"/>
        <v>0</v>
      </c>
      <c r="DD205" s="163">
        <f t="shared" si="159"/>
        <v>12.666666666666663</v>
      </c>
      <c r="DE205" s="644">
        <f t="shared" si="159"/>
        <v>0</v>
      </c>
      <c r="DF205" s="645">
        <f t="shared" si="159"/>
        <v>15.666666666666675</v>
      </c>
      <c r="DG205" s="163">
        <f t="shared" si="159"/>
        <v>13.000000000000011</v>
      </c>
      <c r="DH205" s="163">
        <f t="shared" si="159"/>
        <v>0</v>
      </c>
      <c r="DI205" s="163">
        <f t="shared" si="159"/>
        <v>2.6666666666666665</v>
      </c>
      <c r="DJ205" s="643">
        <f t="shared" si="159"/>
        <v>0</v>
      </c>
      <c r="DK205" s="646">
        <f t="shared" si="159"/>
        <v>0</v>
      </c>
      <c r="DL205" s="645">
        <f t="shared" si="159"/>
        <v>0</v>
      </c>
      <c r="DM205" s="163">
        <f t="shared" si="159"/>
        <v>0</v>
      </c>
      <c r="DN205" s="163">
        <f t="shared" si="159"/>
        <v>0</v>
      </c>
      <c r="DO205" s="163">
        <f t="shared" si="159"/>
        <v>0</v>
      </c>
      <c r="DP205" s="644">
        <f t="shared" si="159"/>
        <v>0</v>
      </c>
      <c r="DQ205" s="645">
        <f t="shared" si="159"/>
        <v>1</v>
      </c>
      <c r="DR205" s="163">
        <f t="shared" si="159"/>
        <v>1</v>
      </c>
      <c r="DS205" s="163">
        <f t="shared" si="159"/>
        <v>0</v>
      </c>
      <c r="DT205" s="163">
        <f t="shared" si="163"/>
        <v>0</v>
      </c>
      <c r="DU205" s="643">
        <f t="shared" si="163"/>
        <v>0</v>
      </c>
      <c r="DW205" s="646">
        <f t="shared" si="121"/>
        <v>2522.6666666666674</v>
      </c>
      <c r="DX205" s="645">
        <f t="shared" si="121"/>
        <v>1764</v>
      </c>
      <c r="DY205" s="163">
        <f t="shared" si="121"/>
        <v>1037.3333333333333</v>
      </c>
      <c r="DZ205" s="163">
        <f t="shared" si="121"/>
        <v>6.3333333333333339</v>
      </c>
      <c r="EA205" s="163">
        <f t="shared" si="121"/>
        <v>720.33333333333326</v>
      </c>
      <c r="EB205" s="644">
        <f t="shared" si="158"/>
        <v>0</v>
      </c>
      <c r="EC205" s="645">
        <f t="shared" si="158"/>
        <v>759.66666666666663</v>
      </c>
      <c r="ED205" s="163">
        <f t="shared" si="158"/>
        <v>388.99999999999989</v>
      </c>
      <c r="EE205" s="163">
        <f t="shared" si="158"/>
        <v>0</v>
      </c>
      <c r="EF205" s="163">
        <f t="shared" si="158"/>
        <v>311.33333333333331</v>
      </c>
      <c r="EG205" s="643">
        <f t="shared" si="158"/>
        <v>59.333333333333343</v>
      </c>
      <c r="EH205" s="646">
        <f t="shared" si="119"/>
        <v>791.66666666666663</v>
      </c>
      <c r="EI205" s="645">
        <f t="shared" si="119"/>
        <v>558.66666666666663</v>
      </c>
      <c r="EJ205" s="163">
        <f t="shared" si="119"/>
        <v>345</v>
      </c>
      <c r="EK205" s="163">
        <f t="shared" si="119"/>
        <v>2.666666666666667</v>
      </c>
      <c r="EL205" s="163">
        <f t="shared" si="119"/>
        <v>209.99999999999991</v>
      </c>
      <c r="EM205" s="644">
        <f t="shared" si="119"/>
        <v>1</v>
      </c>
      <c r="EN205" s="645">
        <f t="shared" si="119"/>
        <v>232.99999999999994</v>
      </c>
      <c r="EO205" s="163">
        <f t="shared" si="119"/>
        <v>100.66666666666661</v>
      </c>
      <c r="EP205" s="163">
        <f t="shared" si="119"/>
        <v>0</v>
      </c>
      <c r="EQ205" s="163">
        <f t="shared" si="119"/>
        <v>115.00000000000006</v>
      </c>
      <c r="ER205" s="643">
        <f t="shared" si="119"/>
        <v>17.333333333333336</v>
      </c>
    </row>
    <row r="206" spans="1:148">
      <c r="A206" s="665" t="s">
        <v>246</v>
      </c>
      <c r="B206" s="665">
        <v>44774</v>
      </c>
      <c r="C206" s="664">
        <v>2022</v>
      </c>
      <c r="D206" s="646">
        <f t="shared" ref="D206" si="168">D107/3+D205</f>
        <v>4030772.333333334</v>
      </c>
      <c r="E206" s="646">
        <f t="shared" si="167"/>
        <v>88910</v>
      </c>
      <c r="F206" s="645">
        <f t="shared" si="167"/>
        <v>61361.333333333343</v>
      </c>
      <c r="G206" s="163">
        <f t="shared" si="167"/>
        <v>35322.333333333328</v>
      </c>
      <c r="H206" s="163">
        <f t="shared" si="167"/>
        <v>371.66666666666669</v>
      </c>
      <c r="I206" s="163">
        <f t="shared" si="167"/>
        <v>25588.666666666668</v>
      </c>
      <c r="J206" s="644">
        <f t="shared" si="167"/>
        <v>78.666666666666657</v>
      </c>
      <c r="K206" s="645">
        <f t="shared" si="167"/>
        <v>27548.666666666657</v>
      </c>
      <c r="L206" s="163">
        <f t="shared" si="167"/>
        <v>13632.000000000004</v>
      </c>
      <c r="M206" s="163">
        <f t="shared" si="167"/>
        <v>0</v>
      </c>
      <c r="N206" s="163">
        <f t="shared" si="167"/>
        <v>11590.333333333332</v>
      </c>
      <c r="O206" s="643">
        <f t="shared" si="167"/>
        <v>2326.3333333333326</v>
      </c>
      <c r="P206" s="646">
        <f t="shared" si="167"/>
        <v>141</v>
      </c>
      <c r="Q206" s="645">
        <f t="shared" si="167"/>
        <v>84.333333333333357</v>
      </c>
      <c r="R206" s="163">
        <f t="shared" si="167"/>
        <v>47.666666666666664</v>
      </c>
      <c r="S206" s="163">
        <f t="shared" si="167"/>
        <v>1</v>
      </c>
      <c r="T206" s="163">
        <f t="shared" si="164"/>
        <v>35.666666666666679</v>
      </c>
      <c r="U206" s="644">
        <f t="shared" si="164"/>
        <v>0</v>
      </c>
      <c r="V206" s="645">
        <f t="shared" si="164"/>
        <v>56.666666666666693</v>
      </c>
      <c r="W206" s="163">
        <f t="shared" si="164"/>
        <v>27.000000000000004</v>
      </c>
      <c r="X206" s="163">
        <f t="shared" si="164"/>
        <v>0</v>
      </c>
      <c r="Y206" s="163">
        <f t="shared" si="164"/>
        <v>25.000000000000007</v>
      </c>
      <c r="Z206" s="643">
        <f t="shared" si="164"/>
        <v>4.6666666666666661</v>
      </c>
      <c r="AA206" s="646">
        <f t="shared" si="164"/>
        <v>92.6666666666667</v>
      </c>
      <c r="AB206" s="645">
        <f t="shared" si="164"/>
        <v>52.333333333333329</v>
      </c>
      <c r="AC206" s="163">
        <f t="shared" si="164"/>
        <v>26.666666666666668</v>
      </c>
      <c r="AD206" s="163">
        <f t="shared" si="164"/>
        <v>0.66666666666666663</v>
      </c>
      <c r="AE206" s="163">
        <f t="shared" si="164"/>
        <v>25.000000000000004</v>
      </c>
      <c r="AF206" s="644">
        <f t="shared" si="164"/>
        <v>0</v>
      </c>
      <c r="AG206" s="645">
        <f t="shared" si="164"/>
        <v>40.333333333333343</v>
      </c>
      <c r="AH206" s="163">
        <f t="shared" si="164"/>
        <v>29.666666666666654</v>
      </c>
      <c r="AI206" s="163">
        <f t="shared" si="164"/>
        <v>0</v>
      </c>
      <c r="AJ206" s="163">
        <f t="shared" si="164"/>
        <v>5.6666666666666652</v>
      </c>
      <c r="AK206" s="643">
        <f t="shared" si="161"/>
        <v>4.9999999999999991</v>
      </c>
      <c r="AL206" s="646">
        <f t="shared" si="161"/>
        <v>826.33333333333326</v>
      </c>
      <c r="AM206" s="645">
        <f t="shared" si="161"/>
        <v>588.33333333333326</v>
      </c>
      <c r="AN206" s="163">
        <f t="shared" si="161"/>
        <v>357</v>
      </c>
      <c r="AO206" s="163">
        <f t="shared" si="161"/>
        <v>4.3333333333333339</v>
      </c>
      <c r="AP206" s="163">
        <f t="shared" si="161"/>
        <v>225.99999999999991</v>
      </c>
      <c r="AQ206" s="644">
        <f t="shared" si="161"/>
        <v>1</v>
      </c>
      <c r="AR206" s="645">
        <f t="shared" si="161"/>
        <v>237.99999999999994</v>
      </c>
      <c r="AS206" s="163">
        <f t="shared" si="160"/>
        <v>101.33333333333329</v>
      </c>
      <c r="AT206" s="163">
        <f t="shared" si="160"/>
        <v>0</v>
      </c>
      <c r="AU206" s="163">
        <f t="shared" si="160"/>
        <v>119.00000000000006</v>
      </c>
      <c r="AV206" s="643">
        <f t="shared" si="160"/>
        <v>17.666666666666668</v>
      </c>
      <c r="AW206" s="646">
        <f t="shared" si="160"/>
        <v>462</v>
      </c>
      <c r="AX206" s="645">
        <f t="shared" si="160"/>
        <v>315.99999999999994</v>
      </c>
      <c r="AY206" s="163">
        <f t="shared" si="160"/>
        <v>203.66666666666666</v>
      </c>
      <c r="AZ206" s="163">
        <f t="shared" si="160"/>
        <v>0</v>
      </c>
      <c r="BA206" s="163">
        <f t="shared" si="160"/>
        <v>112.33333333333334</v>
      </c>
      <c r="BB206" s="644">
        <f t="shared" si="160"/>
        <v>0</v>
      </c>
      <c r="BC206" s="645">
        <f t="shared" si="160"/>
        <v>146.00000000000006</v>
      </c>
      <c r="BD206" s="163">
        <f t="shared" si="160"/>
        <v>84.666666666666615</v>
      </c>
      <c r="BE206" s="163">
        <f t="shared" si="160"/>
        <v>0</v>
      </c>
      <c r="BF206" s="163">
        <f t="shared" si="160"/>
        <v>51.33333333333335</v>
      </c>
      <c r="BG206" s="643">
        <f t="shared" si="160"/>
        <v>10.000000000000002</v>
      </c>
      <c r="BH206" s="646">
        <f t="shared" si="160"/>
        <v>659.00000000000011</v>
      </c>
      <c r="BI206" s="645">
        <f t="shared" si="165"/>
        <v>497.66666666666663</v>
      </c>
      <c r="BJ206" s="163">
        <f t="shared" si="165"/>
        <v>292.00000000000006</v>
      </c>
      <c r="BK206" s="163">
        <f t="shared" si="165"/>
        <v>2.666666666666667</v>
      </c>
      <c r="BL206" s="163">
        <f t="shared" si="165"/>
        <v>203</v>
      </c>
      <c r="BM206" s="644">
        <f t="shared" si="165"/>
        <v>0</v>
      </c>
      <c r="BN206" s="645">
        <f t="shared" si="165"/>
        <v>161.33333333333334</v>
      </c>
      <c r="BO206" s="163">
        <f t="shared" si="165"/>
        <v>69.000000000000014</v>
      </c>
      <c r="BP206" s="163">
        <f t="shared" si="165"/>
        <v>0</v>
      </c>
      <c r="BQ206" s="163">
        <f t="shared" si="165"/>
        <v>78.333333333333343</v>
      </c>
      <c r="BR206" s="643">
        <f t="shared" si="165"/>
        <v>14.000000000000004</v>
      </c>
      <c r="BS206" s="646">
        <f t="shared" si="165"/>
        <v>939.00000000000034</v>
      </c>
      <c r="BT206" s="645">
        <f t="shared" si="165"/>
        <v>683.66666666666674</v>
      </c>
      <c r="BU206" s="163">
        <f t="shared" si="165"/>
        <v>372.66666666666663</v>
      </c>
      <c r="BV206" s="163">
        <f t="shared" si="165"/>
        <v>1</v>
      </c>
      <c r="BW206" s="163">
        <f t="shared" si="165"/>
        <v>309.99999999999994</v>
      </c>
      <c r="BX206" s="644">
        <f t="shared" si="162"/>
        <v>0</v>
      </c>
      <c r="BY206" s="645">
        <f t="shared" si="162"/>
        <v>255.33333333333329</v>
      </c>
      <c r="BZ206" s="163">
        <f t="shared" si="162"/>
        <v>117.66666666666659</v>
      </c>
      <c r="CA206" s="163">
        <f t="shared" si="162"/>
        <v>0</v>
      </c>
      <c r="CB206" s="163">
        <f t="shared" si="162"/>
        <v>115.66666666666659</v>
      </c>
      <c r="CC206" s="643">
        <f t="shared" si="162"/>
        <v>22</v>
      </c>
      <c r="CD206" s="646">
        <f t="shared" si="162"/>
        <v>171.33333333333334</v>
      </c>
      <c r="CE206" s="645">
        <f t="shared" si="162"/>
        <v>122.00000000000003</v>
      </c>
      <c r="CF206" s="163">
        <f t="shared" si="162"/>
        <v>67.666666666666657</v>
      </c>
      <c r="CG206" s="163">
        <f t="shared" si="162"/>
        <v>1.3333333333333333</v>
      </c>
      <c r="CH206" s="163">
        <f t="shared" si="162"/>
        <v>53</v>
      </c>
      <c r="CI206" s="644">
        <f t="shared" si="162"/>
        <v>0</v>
      </c>
      <c r="CJ206" s="645">
        <f t="shared" si="162"/>
        <v>49.333333333333321</v>
      </c>
      <c r="CK206" s="163">
        <f t="shared" si="162"/>
        <v>25.999999999999996</v>
      </c>
      <c r="CL206" s="163">
        <f t="shared" si="162"/>
        <v>0</v>
      </c>
      <c r="CM206" s="163">
        <f t="shared" si="162"/>
        <v>19.333333333333332</v>
      </c>
      <c r="CN206" s="643">
        <f t="shared" ref="CN206:DC221" si="169">CN107/3+CN205</f>
        <v>4</v>
      </c>
      <c r="CO206" s="646">
        <f t="shared" si="169"/>
        <v>131.66666666666666</v>
      </c>
      <c r="CP206" s="645">
        <f t="shared" si="169"/>
        <v>85.666666666666671</v>
      </c>
      <c r="CQ206" s="163">
        <f t="shared" si="169"/>
        <v>58.333333333333343</v>
      </c>
      <c r="CR206" s="163">
        <f t="shared" si="169"/>
        <v>1</v>
      </c>
      <c r="CS206" s="163">
        <f t="shared" si="169"/>
        <v>26.333333333333329</v>
      </c>
      <c r="CT206" s="644">
        <f t="shared" si="169"/>
        <v>0</v>
      </c>
      <c r="CU206" s="645">
        <f t="shared" si="169"/>
        <v>46.000000000000007</v>
      </c>
      <c r="CV206" s="163">
        <f t="shared" si="169"/>
        <v>23.999999999999986</v>
      </c>
      <c r="CW206" s="163">
        <f t="shared" si="169"/>
        <v>0</v>
      </c>
      <c r="CX206" s="163">
        <f t="shared" si="169"/>
        <v>21.999999999999989</v>
      </c>
      <c r="CY206" s="643">
        <f t="shared" si="169"/>
        <v>0</v>
      </c>
      <c r="CZ206" s="646">
        <f t="shared" si="169"/>
        <v>39.666666666666671</v>
      </c>
      <c r="DA206" s="645">
        <f t="shared" si="169"/>
        <v>23.333333333333336</v>
      </c>
      <c r="DB206" s="163">
        <f t="shared" si="169"/>
        <v>10</v>
      </c>
      <c r="DC206" s="163">
        <f t="shared" si="159"/>
        <v>0</v>
      </c>
      <c r="DD206" s="163">
        <f t="shared" si="159"/>
        <v>13.333333333333329</v>
      </c>
      <c r="DE206" s="644">
        <f t="shared" si="159"/>
        <v>0</v>
      </c>
      <c r="DF206" s="645">
        <f t="shared" si="159"/>
        <v>16.333333333333343</v>
      </c>
      <c r="DG206" s="163">
        <f t="shared" si="159"/>
        <v>13.000000000000011</v>
      </c>
      <c r="DH206" s="163">
        <f t="shared" si="159"/>
        <v>0</v>
      </c>
      <c r="DI206" s="163">
        <f t="shared" si="159"/>
        <v>3.333333333333333</v>
      </c>
      <c r="DJ206" s="643">
        <f t="shared" si="159"/>
        <v>0</v>
      </c>
      <c r="DK206" s="646">
        <f t="shared" si="159"/>
        <v>0</v>
      </c>
      <c r="DL206" s="645">
        <f t="shared" si="159"/>
        <v>0</v>
      </c>
      <c r="DM206" s="163">
        <f t="shared" si="159"/>
        <v>0</v>
      </c>
      <c r="DN206" s="163">
        <f t="shared" si="159"/>
        <v>0</v>
      </c>
      <c r="DO206" s="163">
        <f t="shared" si="159"/>
        <v>0</v>
      </c>
      <c r="DP206" s="644">
        <f t="shared" si="159"/>
        <v>0</v>
      </c>
      <c r="DQ206" s="645">
        <f t="shared" si="159"/>
        <v>1</v>
      </c>
      <c r="DR206" s="163">
        <f t="shared" si="159"/>
        <v>1</v>
      </c>
      <c r="DS206" s="163">
        <f t="shared" si="159"/>
        <v>0</v>
      </c>
      <c r="DT206" s="163">
        <f t="shared" si="163"/>
        <v>0</v>
      </c>
      <c r="DU206" s="643">
        <f t="shared" si="163"/>
        <v>0</v>
      </c>
      <c r="DW206" s="646">
        <f t="shared" si="121"/>
        <v>2636.3333333333339</v>
      </c>
      <c r="DX206" s="645">
        <f t="shared" si="121"/>
        <v>1865</v>
      </c>
      <c r="DY206" s="163">
        <f t="shared" si="121"/>
        <v>1078.6666666666665</v>
      </c>
      <c r="DZ206" s="163">
        <f t="shared" si="121"/>
        <v>7.666666666666667</v>
      </c>
      <c r="EA206" s="163">
        <f t="shared" si="121"/>
        <v>778.66666666666674</v>
      </c>
      <c r="EB206" s="644">
        <f t="shared" si="158"/>
        <v>0</v>
      </c>
      <c r="EC206" s="645">
        <f t="shared" si="158"/>
        <v>772.33333333333348</v>
      </c>
      <c r="ED206" s="163">
        <f t="shared" si="158"/>
        <v>391.99999999999983</v>
      </c>
      <c r="EE206" s="163">
        <f t="shared" si="158"/>
        <v>0</v>
      </c>
      <c r="EF206" s="163">
        <f t="shared" si="158"/>
        <v>320.66666666666657</v>
      </c>
      <c r="EG206" s="643">
        <f t="shared" si="158"/>
        <v>59.666666666666671</v>
      </c>
      <c r="EH206" s="646">
        <f t="shared" si="119"/>
        <v>826.33333333333326</v>
      </c>
      <c r="EI206" s="645">
        <f t="shared" si="119"/>
        <v>588.33333333333326</v>
      </c>
      <c r="EJ206" s="163">
        <f t="shared" si="119"/>
        <v>357</v>
      </c>
      <c r="EK206" s="163">
        <f t="shared" si="119"/>
        <v>4.3333333333333339</v>
      </c>
      <c r="EL206" s="163">
        <f t="shared" si="119"/>
        <v>225.99999999999991</v>
      </c>
      <c r="EM206" s="644">
        <f t="shared" si="119"/>
        <v>1</v>
      </c>
      <c r="EN206" s="645">
        <f t="shared" si="119"/>
        <v>237.99999999999994</v>
      </c>
      <c r="EO206" s="163">
        <f t="shared" si="119"/>
        <v>101.33333333333329</v>
      </c>
      <c r="EP206" s="163">
        <f t="shared" si="119"/>
        <v>0</v>
      </c>
      <c r="EQ206" s="163">
        <f t="shared" si="119"/>
        <v>119.00000000000006</v>
      </c>
      <c r="ER206" s="643">
        <f t="shared" si="119"/>
        <v>17.666666666666668</v>
      </c>
    </row>
    <row r="207" spans="1:148">
      <c r="A207" s="665" t="s">
        <v>246</v>
      </c>
      <c r="B207" s="665">
        <v>44805</v>
      </c>
      <c r="C207" s="664">
        <v>2022</v>
      </c>
      <c r="D207" s="646">
        <f t="shared" ref="D207" si="170">D108/3+D206</f>
        <v>4082032.0000000005</v>
      </c>
      <c r="E207" s="646">
        <f t="shared" si="167"/>
        <v>92581</v>
      </c>
      <c r="F207" s="645">
        <f t="shared" si="167"/>
        <v>64600.000000000007</v>
      </c>
      <c r="G207" s="163">
        <f t="shared" si="167"/>
        <v>36653.999999999993</v>
      </c>
      <c r="H207" s="163">
        <f t="shared" si="167"/>
        <v>528</v>
      </c>
      <c r="I207" s="163">
        <f t="shared" si="167"/>
        <v>27324</v>
      </c>
      <c r="J207" s="644">
        <f t="shared" si="167"/>
        <v>93.999999999999986</v>
      </c>
      <c r="K207" s="645">
        <f t="shared" si="167"/>
        <v>27980.999999999989</v>
      </c>
      <c r="L207" s="163">
        <f t="shared" si="167"/>
        <v>13699.000000000004</v>
      </c>
      <c r="M207" s="163">
        <f t="shared" si="167"/>
        <v>0</v>
      </c>
      <c r="N207" s="163">
        <f t="shared" si="167"/>
        <v>11923.999999999998</v>
      </c>
      <c r="O207" s="643">
        <f t="shared" si="167"/>
        <v>2357.9999999999991</v>
      </c>
      <c r="P207" s="646">
        <f t="shared" si="167"/>
        <v>146</v>
      </c>
      <c r="Q207" s="645">
        <f t="shared" si="167"/>
        <v>88.000000000000028</v>
      </c>
      <c r="R207" s="163">
        <f t="shared" si="167"/>
        <v>49</v>
      </c>
      <c r="S207" s="163">
        <f t="shared" si="167"/>
        <v>1</v>
      </c>
      <c r="T207" s="163">
        <f t="shared" si="164"/>
        <v>38.000000000000014</v>
      </c>
      <c r="U207" s="644">
        <f t="shared" si="164"/>
        <v>0</v>
      </c>
      <c r="V207" s="645">
        <f t="shared" si="164"/>
        <v>58.000000000000028</v>
      </c>
      <c r="W207" s="163">
        <f t="shared" si="164"/>
        <v>27.000000000000004</v>
      </c>
      <c r="X207" s="163">
        <f t="shared" si="164"/>
        <v>0</v>
      </c>
      <c r="Y207" s="163">
        <f t="shared" si="164"/>
        <v>26.000000000000007</v>
      </c>
      <c r="Z207" s="643">
        <f t="shared" si="164"/>
        <v>4.9999999999999991</v>
      </c>
      <c r="AA207" s="646">
        <f t="shared" si="164"/>
        <v>95.000000000000028</v>
      </c>
      <c r="AB207" s="645">
        <f t="shared" si="164"/>
        <v>53.999999999999993</v>
      </c>
      <c r="AC207" s="163">
        <f t="shared" si="164"/>
        <v>27</v>
      </c>
      <c r="AD207" s="163">
        <f t="shared" si="164"/>
        <v>1</v>
      </c>
      <c r="AE207" s="163">
        <f t="shared" si="164"/>
        <v>26.000000000000004</v>
      </c>
      <c r="AF207" s="644">
        <f t="shared" si="164"/>
        <v>0</v>
      </c>
      <c r="AG207" s="645">
        <f t="shared" si="164"/>
        <v>41.000000000000007</v>
      </c>
      <c r="AH207" s="163">
        <f t="shared" si="164"/>
        <v>29.999999999999986</v>
      </c>
      <c r="AI207" s="163">
        <f t="shared" si="164"/>
        <v>0</v>
      </c>
      <c r="AJ207" s="163">
        <f t="shared" si="164"/>
        <v>5.9999999999999982</v>
      </c>
      <c r="AK207" s="643">
        <f t="shared" si="161"/>
        <v>4.9999999999999991</v>
      </c>
      <c r="AL207" s="646">
        <f t="shared" si="161"/>
        <v>860.99999999999989</v>
      </c>
      <c r="AM207" s="645">
        <f t="shared" si="161"/>
        <v>617.99999999999989</v>
      </c>
      <c r="AN207" s="163">
        <f t="shared" si="161"/>
        <v>369</v>
      </c>
      <c r="AO207" s="163">
        <f t="shared" si="161"/>
        <v>6.0000000000000009</v>
      </c>
      <c r="AP207" s="163">
        <f t="shared" si="161"/>
        <v>241.99999999999991</v>
      </c>
      <c r="AQ207" s="644">
        <f t="shared" si="161"/>
        <v>1</v>
      </c>
      <c r="AR207" s="645">
        <f t="shared" si="161"/>
        <v>242.99999999999994</v>
      </c>
      <c r="AS207" s="163">
        <f t="shared" si="160"/>
        <v>101.99999999999996</v>
      </c>
      <c r="AT207" s="163">
        <f t="shared" si="160"/>
        <v>0</v>
      </c>
      <c r="AU207" s="163">
        <f t="shared" si="160"/>
        <v>123.00000000000006</v>
      </c>
      <c r="AV207" s="643">
        <f t="shared" si="160"/>
        <v>18</v>
      </c>
      <c r="AW207" s="646">
        <f t="shared" si="160"/>
        <v>478</v>
      </c>
      <c r="AX207" s="645">
        <f t="shared" si="160"/>
        <v>329.99999999999994</v>
      </c>
      <c r="AY207" s="163">
        <f t="shared" si="160"/>
        <v>210</v>
      </c>
      <c r="AZ207" s="163">
        <f t="shared" si="160"/>
        <v>0</v>
      </c>
      <c r="BA207" s="163">
        <f t="shared" si="160"/>
        <v>120.00000000000001</v>
      </c>
      <c r="BB207" s="644">
        <f t="shared" si="160"/>
        <v>0</v>
      </c>
      <c r="BC207" s="645">
        <f t="shared" si="160"/>
        <v>148.00000000000006</v>
      </c>
      <c r="BD207" s="163">
        <f t="shared" si="160"/>
        <v>84.999999999999943</v>
      </c>
      <c r="BE207" s="163">
        <f t="shared" si="160"/>
        <v>0</v>
      </c>
      <c r="BF207" s="163">
        <f t="shared" si="160"/>
        <v>53.000000000000014</v>
      </c>
      <c r="BG207" s="643">
        <f t="shared" si="160"/>
        <v>10.000000000000002</v>
      </c>
      <c r="BH207" s="646">
        <f t="shared" si="160"/>
        <v>694.00000000000011</v>
      </c>
      <c r="BI207" s="645">
        <f t="shared" si="165"/>
        <v>530</v>
      </c>
      <c r="BJ207" s="163">
        <f t="shared" si="165"/>
        <v>306.00000000000006</v>
      </c>
      <c r="BK207" s="163">
        <f t="shared" si="165"/>
        <v>3.0000000000000004</v>
      </c>
      <c r="BL207" s="163">
        <f t="shared" si="165"/>
        <v>221</v>
      </c>
      <c r="BM207" s="644">
        <f t="shared" si="165"/>
        <v>0</v>
      </c>
      <c r="BN207" s="645">
        <f t="shared" si="165"/>
        <v>164</v>
      </c>
      <c r="BO207" s="163">
        <f t="shared" si="165"/>
        <v>70.000000000000014</v>
      </c>
      <c r="BP207" s="163">
        <f t="shared" si="165"/>
        <v>0</v>
      </c>
      <c r="BQ207" s="163">
        <f t="shared" si="165"/>
        <v>80.000000000000014</v>
      </c>
      <c r="BR207" s="643">
        <f t="shared" si="165"/>
        <v>14.000000000000004</v>
      </c>
      <c r="BS207" s="646">
        <f t="shared" si="165"/>
        <v>980.00000000000034</v>
      </c>
      <c r="BT207" s="645">
        <f t="shared" si="165"/>
        <v>721.00000000000011</v>
      </c>
      <c r="BU207" s="163">
        <f t="shared" si="165"/>
        <v>387.99999999999994</v>
      </c>
      <c r="BV207" s="163">
        <f t="shared" si="165"/>
        <v>1</v>
      </c>
      <c r="BW207" s="163">
        <f t="shared" si="165"/>
        <v>331.99999999999994</v>
      </c>
      <c r="BX207" s="644">
        <f t="shared" si="162"/>
        <v>0</v>
      </c>
      <c r="BY207" s="645">
        <f t="shared" si="162"/>
        <v>258.99999999999994</v>
      </c>
      <c r="BZ207" s="163">
        <f t="shared" si="162"/>
        <v>118.99999999999991</v>
      </c>
      <c r="CA207" s="163">
        <f t="shared" si="162"/>
        <v>0</v>
      </c>
      <c r="CB207" s="163">
        <f t="shared" si="162"/>
        <v>117.99999999999991</v>
      </c>
      <c r="CC207" s="643">
        <f t="shared" si="162"/>
        <v>22</v>
      </c>
      <c r="CD207" s="646">
        <f t="shared" si="162"/>
        <v>179</v>
      </c>
      <c r="CE207" s="645">
        <f t="shared" si="162"/>
        <v>129.00000000000003</v>
      </c>
      <c r="CF207" s="163">
        <f t="shared" si="162"/>
        <v>69.999999999999986</v>
      </c>
      <c r="CG207" s="163">
        <f t="shared" si="162"/>
        <v>2</v>
      </c>
      <c r="CH207" s="163">
        <f t="shared" si="162"/>
        <v>57</v>
      </c>
      <c r="CI207" s="644">
        <f t="shared" si="162"/>
        <v>0</v>
      </c>
      <c r="CJ207" s="645">
        <f t="shared" si="162"/>
        <v>49.999999999999986</v>
      </c>
      <c r="CK207" s="163">
        <f t="shared" si="162"/>
        <v>25.999999999999996</v>
      </c>
      <c r="CL207" s="163">
        <f t="shared" si="162"/>
        <v>0</v>
      </c>
      <c r="CM207" s="163">
        <f t="shared" si="162"/>
        <v>20</v>
      </c>
      <c r="CN207" s="643">
        <f t="shared" si="169"/>
        <v>4</v>
      </c>
      <c r="CO207" s="646">
        <f t="shared" si="169"/>
        <v>136</v>
      </c>
      <c r="CP207" s="645">
        <f t="shared" si="169"/>
        <v>89</v>
      </c>
      <c r="CQ207" s="163">
        <f t="shared" si="169"/>
        <v>59.000000000000007</v>
      </c>
      <c r="CR207" s="163">
        <f t="shared" si="169"/>
        <v>1</v>
      </c>
      <c r="CS207" s="163">
        <f t="shared" si="169"/>
        <v>28.999999999999996</v>
      </c>
      <c r="CT207" s="644">
        <f t="shared" si="169"/>
        <v>0</v>
      </c>
      <c r="CU207" s="645">
        <f t="shared" si="169"/>
        <v>47.000000000000007</v>
      </c>
      <c r="CV207" s="163">
        <f t="shared" si="169"/>
        <v>23.999999999999986</v>
      </c>
      <c r="CW207" s="163">
        <f t="shared" si="169"/>
        <v>0</v>
      </c>
      <c r="CX207" s="163">
        <f t="shared" si="169"/>
        <v>22.999999999999989</v>
      </c>
      <c r="CY207" s="643">
        <f t="shared" si="169"/>
        <v>0</v>
      </c>
      <c r="CZ207" s="646">
        <f t="shared" si="169"/>
        <v>42.000000000000007</v>
      </c>
      <c r="DA207" s="645">
        <f t="shared" si="169"/>
        <v>25.000000000000004</v>
      </c>
      <c r="DB207" s="163">
        <f t="shared" si="169"/>
        <v>11</v>
      </c>
      <c r="DC207" s="163">
        <f t="shared" si="169"/>
        <v>0</v>
      </c>
      <c r="DD207" s="163">
        <f t="shared" ref="DD207:DS222" si="171">DD108/3+DD206</f>
        <v>13.999999999999995</v>
      </c>
      <c r="DE207" s="644">
        <f t="shared" si="171"/>
        <v>0</v>
      </c>
      <c r="DF207" s="645">
        <f t="shared" si="171"/>
        <v>17.000000000000011</v>
      </c>
      <c r="DG207" s="163">
        <f t="shared" si="171"/>
        <v>13.000000000000011</v>
      </c>
      <c r="DH207" s="163">
        <f t="shared" si="171"/>
        <v>0</v>
      </c>
      <c r="DI207" s="163">
        <f t="shared" si="171"/>
        <v>3.9999999999999996</v>
      </c>
      <c r="DJ207" s="643">
        <f t="shared" si="171"/>
        <v>0</v>
      </c>
      <c r="DK207" s="646">
        <f t="shared" si="171"/>
        <v>0</v>
      </c>
      <c r="DL207" s="645">
        <f t="shared" si="171"/>
        <v>0</v>
      </c>
      <c r="DM207" s="163">
        <f t="shared" si="171"/>
        <v>0</v>
      </c>
      <c r="DN207" s="163">
        <f t="shared" si="171"/>
        <v>0</v>
      </c>
      <c r="DO207" s="163">
        <f t="shared" si="171"/>
        <v>0</v>
      </c>
      <c r="DP207" s="644">
        <f t="shared" si="171"/>
        <v>0</v>
      </c>
      <c r="DQ207" s="645">
        <f t="shared" si="171"/>
        <v>1</v>
      </c>
      <c r="DR207" s="163">
        <f t="shared" si="171"/>
        <v>1</v>
      </c>
      <c r="DS207" s="163">
        <f t="shared" si="171"/>
        <v>0</v>
      </c>
      <c r="DT207" s="163">
        <f t="shared" si="163"/>
        <v>0</v>
      </c>
      <c r="DU207" s="643">
        <f t="shared" si="163"/>
        <v>0</v>
      </c>
      <c r="DW207" s="646">
        <f t="shared" si="121"/>
        <v>2750.0000000000005</v>
      </c>
      <c r="DX207" s="645">
        <f t="shared" si="121"/>
        <v>1966</v>
      </c>
      <c r="DY207" s="163">
        <f t="shared" si="121"/>
        <v>1120</v>
      </c>
      <c r="DZ207" s="163">
        <f t="shared" si="121"/>
        <v>9</v>
      </c>
      <c r="EA207" s="163">
        <f t="shared" si="121"/>
        <v>837</v>
      </c>
      <c r="EB207" s="644">
        <f t="shared" si="158"/>
        <v>0</v>
      </c>
      <c r="EC207" s="645">
        <f t="shared" si="158"/>
        <v>785</v>
      </c>
      <c r="ED207" s="163">
        <f t="shared" si="158"/>
        <v>394.99999999999989</v>
      </c>
      <c r="EE207" s="163">
        <f t="shared" si="158"/>
        <v>0</v>
      </c>
      <c r="EF207" s="163">
        <f t="shared" si="158"/>
        <v>330</v>
      </c>
      <c r="EG207" s="643">
        <f t="shared" si="158"/>
        <v>60</v>
      </c>
      <c r="EH207" s="646">
        <f t="shared" si="119"/>
        <v>860.99999999999989</v>
      </c>
      <c r="EI207" s="645">
        <f t="shared" si="119"/>
        <v>617.99999999999989</v>
      </c>
      <c r="EJ207" s="163">
        <f t="shared" si="119"/>
        <v>369</v>
      </c>
      <c r="EK207" s="163">
        <f t="shared" si="119"/>
        <v>6.0000000000000009</v>
      </c>
      <c r="EL207" s="163">
        <f t="shared" si="119"/>
        <v>241.99999999999991</v>
      </c>
      <c r="EM207" s="644">
        <f t="shared" si="119"/>
        <v>1</v>
      </c>
      <c r="EN207" s="645">
        <f t="shared" si="119"/>
        <v>242.99999999999994</v>
      </c>
      <c r="EO207" s="163">
        <f t="shared" si="119"/>
        <v>101.99999999999996</v>
      </c>
      <c r="EP207" s="163">
        <f t="shared" si="119"/>
        <v>0</v>
      </c>
      <c r="EQ207" s="163">
        <f t="shared" si="119"/>
        <v>123.00000000000006</v>
      </c>
      <c r="ER207" s="643">
        <f t="shared" si="119"/>
        <v>18</v>
      </c>
    </row>
    <row r="208" spans="1:148">
      <c r="A208" s="665" t="s">
        <v>247</v>
      </c>
      <c r="B208" s="665">
        <v>44835</v>
      </c>
      <c r="C208" s="664">
        <v>2022</v>
      </c>
      <c r="D208" s="646">
        <f t="shared" ref="D208" si="172">D109/3+D207</f>
        <v>4127478.0000000005</v>
      </c>
      <c r="E208" s="646">
        <f t="shared" si="167"/>
        <v>96244.666666666672</v>
      </c>
      <c r="F208" s="645">
        <f t="shared" si="167"/>
        <v>67768.666666666672</v>
      </c>
      <c r="G208" s="163">
        <f t="shared" si="167"/>
        <v>37518.666666666657</v>
      </c>
      <c r="H208" s="163">
        <f t="shared" si="167"/>
        <v>642.66666666666663</v>
      </c>
      <c r="I208" s="163">
        <f t="shared" si="167"/>
        <v>29486</v>
      </c>
      <c r="J208" s="644">
        <f t="shared" si="167"/>
        <v>121.33333333333331</v>
      </c>
      <c r="K208" s="645">
        <f t="shared" si="167"/>
        <v>28475.999999999989</v>
      </c>
      <c r="L208" s="163">
        <f t="shared" si="167"/>
        <v>13756.000000000004</v>
      </c>
      <c r="M208" s="163">
        <f t="shared" si="167"/>
        <v>0</v>
      </c>
      <c r="N208" s="163">
        <f t="shared" si="167"/>
        <v>12339.999999999998</v>
      </c>
      <c r="O208" s="643">
        <f t="shared" si="167"/>
        <v>2379.9999999999991</v>
      </c>
      <c r="P208" s="646">
        <f t="shared" si="167"/>
        <v>150</v>
      </c>
      <c r="Q208" s="645">
        <f t="shared" si="167"/>
        <v>91.6666666666667</v>
      </c>
      <c r="R208" s="163">
        <f t="shared" si="167"/>
        <v>50.333333333333336</v>
      </c>
      <c r="S208" s="163">
        <f t="shared" si="167"/>
        <v>1</v>
      </c>
      <c r="T208" s="163">
        <f t="shared" si="164"/>
        <v>40.33333333333335</v>
      </c>
      <c r="U208" s="644">
        <f t="shared" si="164"/>
        <v>0</v>
      </c>
      <c r="V208" s="645">
        <f t="shared" si="164"/>
        <v>58.333333333333364</v>
      </c>
      <c r="W208" s="163">
        <f t="shared" si="164"/>
        <v>27.000000000000004</v>
      </c>
      <c r="X208" s="163">
        <f t="shared" si="164"/>
        <v>0</v>
      </c>
      <c r="Y208" s="163">
        <f t="shared" si="164"/>
        <v>26.333333333333339</v>
      </c>
      <c r="Z208" s="643">
        <f t="shared" si="164"/>
        <v>4.9999999999999991</v>
      </c>
      <c r="AA208" s="646">
        <f t="shared" si="164"/>
        <v>97.000000000000028</v>
      </c>
      <c r="AB208" s="645">
        <f t="shared" si="164"/>
        <v>55.666666666666657</v>
      </c>
      <c r="AC208" s="163">
        <f t="shared" si="164"/>
        <v>28.333333333333332</v>
      </c>
      <c r="AD208" s="163">
        <f t="shared" si="164"/>
        <v>1</v>
      </c>
      <c r="AE208" s="163">
        <f t="shared" si="164"/>
        <v>26.333333333333336</v>
      </c>
      <c r="AF208" s="644">
        <f t="shared" si="164"/>
        <v>0</v>
      </c>
      <c r="AG208" s="645">
        <f t="shared" si="164"/>
        <v>41.333333333333343</v>
      </c>
      <c r="AH208" s="163">
        <f t="shared" si="164"/>
        <v>30.333333333333318</v>
      </c>
      <c r="AI208" s="163">
        <f t="shared" si="164"/>
        <v>0</v>
      </c>
      <c r="AJ208" s="163">
        <f t="shared" si="164"/>
        <v>5.9999999999999982</v>
      </c>
      <c r="AK208" s="643">
        <f t="shared" si="161"/>
        <v>4.9999999999999991</v>
      </c>
      <c r="AL208" s="646">
        <f t="shared" si="161"/>
        <v>896.33333333333326</v>
      </c>
      <c r="AM208" s="645">
        <f t="shared" si="161"/>
        <v>647.66666666666652</v>
      </c>
      <c r="AN208" s="163">
        <f t="shared" si="161"/>
        <v>380.33333333333331</v>
      </c>
      <c r="AO208" s="163">
        <f t="shared" si="161"/>
        <v>7.0000000000000009</v>
      </c>
      <c r="AP208" s="163">
        <f t="shared" si="161"/>
        <v>259.33333333333326</v>
      </c>
      <c r="AQ208" s="644">
        <f t="shared" si="161"/>
        <v>1</v>
      </c>
      <c r="AR208" s="645">
        <f t="shared" si="161"/>
        <v>248.6666666666666</v>
      </c>
      <c r="AS208" s="163">
        <f t="shared" si="160"/>
        <v>102.33333333333329</v>
      </c>
      <c r="AT208" s="163">
        <f t="shared" si="160"/>
        <v>0</v>
      </c>
      <c r="AU208" s="163">
        <f t="shared" si="160"/>
        <v>128.00000000000006</v>
      </c>
      <c r="AV208" s="643">
        <f t="shared" si="160"/>
        <v>18.333333333333332</v>
      </c>
      <c r="AW208" s="646">
        <f t="shared" si="160"/>
        <v>499.66666666666669</v>
      </c>
      <c r="AX208" s="645">
        <f t="shared" si="160"/>
        <v>346.99999999999994</v>
      </c>
      <c r="AY208" s="163">
        <f t="shared" si="160"/>
        <v>217.33333333333334</v>
      </c>
      <c r="AZ208" s="163">
        <f t="shared" si="160"/>
        <v>0</v>
      </c>
      <c r="BA208" s="163">
        <f t="shared" si="160"/>
        <v>129.66666666666669</v>
      </c>
      <c r="BB208" s="644">
        <f t="shared" si="160"/>
        <v>0</v>
      </c>
      <c r="BC208" s="645">
        <f t="shared" si="160"/>
        <v>152.66666666666671</v>
      </c>
      <c r="BD208" s="163">
        <f t="shared" si="160"/>
        <v>85.999999999999943</v>
      </c>
      <c r="BE208" s="163">
        <f t="shared" si="160"/>
        <v>0</v>
      </c>
      <c r="BF208" s="163">
        <f t="shared" si="160"/>
        <v>56.666666666666679</v>
      </c>
      <c r="BG208" s="643">
        <f t="shared" si="160"/>
        <v>10.000000000000002</v>
      </c>
      <c r="BH208" s="646">
        <f t="shared" si="160"/>
        <v>725.33333333333348</v>
      </c>
      <c r="BI208" s="645">
        <f t="shared" si="165"/>
        <v>557.66666666666663</v>
      </c>
      <c r="BJ208" s="163">
        <f t="shared" si="165"/>
        <v>311.66666666666674</v>
      </c>
      <c r="BK208" s="163">
        <f t="shared" si="165"/>
        <v>3.666666666666667</v>
      </c>
      <c r="BL208" s="163">
        <f t="shared" si="165"/>
        <v>242</v>
      </c>
      <c r="BM208" s="644">
        <f t="shared" si="165"/>
        <v>0.33333333333333331</v>
      </c>
      <c r="BN208" s="645">
        <f t="shared" si="165"/>
        <v>167.66666666666666</v>
      </c>
      <c r="BO208" s="163">
        <f t="shared" si="165"/>
        <v>71.000000000000014</v>
      </c>
      <c r="BP208" s="163">
        <f t="shared" si="165"/>
        <v>0</v>
      </c>
      <c r="BQ208" s="163">
        <f t="shared" si="165"/>
        <v>82.666666666666686</v>
      </c>
      <c r="BR208" s="643">
        <f t="shared" si="165"/>
        <v>14.000000000000004</v>
      </c>
      <c r="BS208" s="646">
        <f t="shared" si="165"/>
        <v>1027.0000000000005</v>
      </c>
      <c r="BT208" s="645">
        <f t="shared" si="165"/>
        <v>763.00000000000011</v>
      </c>
      <c r="BU208" s="163">
        <f t="shared" si="165"/>
        <v>397.33333333333326</v>
      </c>
      <c r="BV208" s="163">
        <f t="shared" si="165"/>
        <v>1.3333333333333333</v>
      </c>
      <c r="BW208" s="163">
        <f t="shared" si="165"/>
        <v>363.99999999999994</v>
      </c>
      <c r="BX208" s="644">
        <f t="shared" si="162"/>
        <v>0.33333333333333331</v>
      </c>
      <c r="BY208" s="645">
        <f t="shared" si="162"/>
        <v>263.99999999999994</v>
      </c>
      <c r="BZ208" s="163">
        <f t="shared" si="162"/>
        <v>119.33333333333324</v>
      </c>
      <c r="CA208" s="163">
        <f t="shared" si="162"/>
        <v>0</v>
      </c>
      <c r="CB208" s="163">
        <f t="shared" si="162"/>
        <v>122.33333333333324</v>
      </c>
      <c r="CC208" s="643">
        <f t="shared" si="162"/>
        <v>22.333333333333332</v>
      </c>
      <c r="CD208" s="646">
        <f t="shared" si="162"/>
        <v>189.66666666666666</v>
      </c>
      <c r="CE208" s="645">
        <f t="shared" si="162"/>
        <v>137.00000000000003</v>
      </c>
      <c r="CF208" s="163">
        <f t="shared" si="162"/>
        <v>71.666666666666657</v>
      </c>
      <c r="CG208" s="163">
        <f t="shared" si="162"/>
        <v>2</v>
      </c>
      <c r="CH208" s="163">
        <f t="shared" si="162"/>
        <v>63.333333333333336</v>
      </c>
      <c r="CI208" s="644">
        <f t="shared" si="162"/>
        <v>0</v>
      </c>
      <c r="CJ208" s="645">
        <f t="shared" si="162"/>
        <v>52.66666666666665</v>
      </c>
      <c r="CK208" s="163">
        <f t="shared" si="162"/>
        <v>25.999999999999996</v>
      </c>
      <c r="CL208" s="163">
        <f t="shared" si="162"/>
        <v>0</v>
      </c>
      <c r="CM208" s="163">
        <f t="shared" si="162"/>
        <v>22.666666666666668</v>
      </c>
      <c r="CN208" s="643">
        <f t="shared" si="169"/>
        <v>4</v>
      </c>
      <c r="CO208" s="646">
        <f t="shared" si="169"/>
        <v>142</v>
      </c>
      <c r="CP208" s="645">
        <f t="shared" si="169"/>
        <v>94.666666666666671</v>
      </c>
      <c r="CQ208" s="163">
        <f t="shared" si="169"/>
        <v>61.666666666666671</v>
      </c>
      <c r="CR208" s="163">
        <f t="shared" si="169"/>
        <v>1.3333333333333333</v>
      </c>
      <c r="CS208" s="163">
        <f t="shared" si="169"/>
        <v>31.666666666666664</v>
      </c>
      <c r="CT208" s="644">
        <f t="shared" si="169"/>
        <v>0</v>
      </c>
      <c r="CU208" s="645">
        <f t="shared" si="169"/>
        <v>47.333333333333343</v>
      </c>
      <c r="CV208" s="163">
        <f t="shared" si="169"/>
        <v>23.999999999999986</v>
      </c>
      <c r="CW208" s="163">
        <f t="shared" si="169"/>
        <v>0</v>
      </c>
      <c r="CX208" s="163">
        <f t="shared" si="169"/>
        <v>23.333333333333321</v>
      </c>
      <c r="CY208" s="643">
        <f t="shared" si="169"/>
        <v>0</v>
      </c>
      <c r="CZ208" s="646">
        <f t="shared" si="169"/>
        <v>44.666666666666671</v>
      </c>
      <c r="DA208" s="645">
        <f t="shared" si="169"/>
        <v>27.666666666666671</v>
      </c>
      <c r="DB208" s="163">
        <f t="shared" si="169"/>
        <v>11</v>
      </c>
      <c r="DC208" s="163">
        <f t="shared" si="169"/>
        <v>0.33333333333333331</v>
      </c>
      <c r="DD208" s="163">
        <f t="shared" si="171"/>
        <v>16.333333333333329</v>
      </c>
      <c r="DE208" s="644">
        <f t="shared" si="171"/>
        <v>0</v>
      </c>
      <c r="DF208" s="645">
        <f t="shared" si="171"/>
        <v>17.000000000000011</v>
      </c>
      <c r="DG208" s="163">
        <f t="shared" si="171"/>
        <v>13.000000000000011</v>
      </c>
      <c r="DH208" s="163">
        <f t="shared" si="171"/>
        <v>0</v>
      </c>
      <c r="DI208" s="163">
        <f t="shared" si="171"/>
        <v>3.9999999999999996</v>
      </c>
      <c r="DJ208" s="643">
        <f t="shared" si="171"/>
        <v>0</v>
      </c>
      <c r="DK208" s="646">
        <f t="shared" si="171"/>
        <v>0</v>
      </c>
      <c r="DL208" s="645">
        <f t="shared" si="171"/>
        <v>0</v>
      </c>
      <c r="DM208" s="163">
        <f t="shared" si="171"/>
        <v>0</v>
      </c>
      <c r="DN208" s="163">
        <f t="shared" si="171"/>
        <v>0</v>
      </c>
      <c r="DO208" s="163">
        <f t="shared" si="171"/>
        <v>0</v>
      </c>
      <c r="DP208" s="644">
        <f t="shared" si="171"/>
        <v>0</v>
      </c>
      <c r="DQ208" s="645">
        <f t="shared" si="171"/>
        <v>1</v>
      </c>
      <c r="DR208" s="163">
        <f t="shared" si="171"/>
        <v>1</v>
      </c>
      <c r="DS208" s="163">
        <f t="shared" si="171"/>
        <v>0</v>
      </c>
      <c r="DT208" s="163">
        <f t="shared" si="163"/>
        <v>0</v>
      </c>
      <c r="DU208" s="643">
        <f t="shared" si="163"/>
        <v>0</v>
      </c>
      <c r="DW208" s="646">
        <f t="shared" si="121"/>
        <v>2875.3333333333339</v>
      </c>
      <c r="DX208" s="645">
        <f t="shared" si="121"/>
        <v>2074.3333333333335</v>
      </c>
      <c r="DY208" s="163">
        <f t="shared" si="121"/>
        <v>1149.3333333333335</v>
      </c>
      <c r="DZ208" s="163">
        <f t="shared" si="121"/>
        <v>10.666666666666668</v>
      </c>
      <c r="EA208" s="163">
        <f t="shared" si="121"/>
        <v>913.66666666666663</v>
      </c>
      <c r="EB208" s="644">
        <f t="shared" si="158"/>
        <v>0.66666666666666663</v>
      </c>
      <c r="EC208" s="645">
        <f t="shared" si="158"/>
        <v>802</v>
      </c>
      <c r="ED208" s="163">
        <f t="shared" si="158"/>
        <v>397.66666666666652</v>
      </c>
      <c r="EE208" s="163">
        <f t="shared" si="158"/>
        <v>0</v>
      </c>
      <c r="EF208" s="163">
        <f t="shared" si="158"/>
        <v>343.99999999999994</v>
      </c>
      <c r="EG208" s="643">
        <f t="shared" si="158"/>
        <v>60.333333333333329</v>
      </c>
      <c r="EH208" s="646">
        <f t="shared" si="119"/>
        <v>896.33333333333326</v>
      </c>
      <c r="EI208" s="645">
        <f t="shared" si="119"/>
        <v>647.66666666666652</v>
      </c>
      <c r="EJ208" s="163">
        <f t="shared" si="119"/>
        <v>380.33333333333331</v>
      </c>
      <c r="EK208" s="163">
        <f t="shared" si="119"/>
        <v>7.0000000000000009</v>
      </c>
      <c r="EL208" s="163">
        <f t="shared" si="119"/>
        <v>259.33333333333326</v>
      </c>
      <c r="EM208" s="644">
        <f t="shared" si="119"/>
        <v>1</v>
      </c>
      <c r="EN208" s="645">
        <f t="shared" si="119"/>
        <v>248.6666666666666</v>
      </c>
      <c r="EO208" s="163">
        <f t="shared" si="119"/>
        <v>102.33333333333329</v>
      </c>
      <c r="EP208" s="163">
        <f t="shared" si="119"/>
        <v>0</v>
      </c>
      <c r="EQ208" s="163">
        <f t="shared" si="119"/>
        <v>128.00000000000006</v>
      </c>
      <c r="ER208" s="643">
        <f t="shared" si="119"/>
        <v>18.333333333333332</v>
      </c>
    </row>
    <row r="209" spans="1:148">
      <c r="A209" s="665" t="s">
        <v>247</v>
      </c>
      <c r="B209" s="665">
        <v>44866</v>
      </c>
      <c r="C209" s="664">
        <v>2022</v>
      </c>
      <c r="D209" s="646">
        <f t="shared" ref="D209" si="173">D110/3+D208</f>
        <v>4172924.0000000005</v>
      </c>
      <c r="E209" s="646">
        <f t="shared" si="167"/>
        <v>99908.333333333343</v>
      </c>
      <c r="F209" s="645">
        <f t="shared" si="167"/>
        <v>70937.333333333343</v>
      </c>
      <c r="G209" s="163">
        <f t="shared" si="167"/>
        <v>38383.333333333321</v>
      </c>
      <c r="H209" s="163">
        <f t="shared" si="167"/>
        <v>757.33333333333326</v>
      </c>
      <c r="I209" s="163">
        <f t="shared" si="167"/>
        <v>31648</v>
      </c>
      <c r="J209" s="644">
        <f t="shared" si="167"/>
        <v>148.66666666666666</v>
      </c>
      <c r="K209" s="645">
        <f t="shared" si="167"/>
        <v>28970.999999999989</v>
      </c>
      <c r="L209" s="163">
        <f t="shared" si="167"/>
        <v>13813.000000000004</v>
      </c>
      <c r="M209" s="163">
        <f t="shared" si="167"/>
        <v>0</v>
      </c>
      <c r="N209" s="163">
        <f t="shared" si="167"/>
        <v>12755.999999999998</v>
      </c>
      <c r="O209" s="643">
        <f t="shared" si="167"/>
        <v>2401.9999999999991</v>
      </c>
      <c r="P209" s="646">
        <f t="shared" si="167"/>
        <v>154</v>
      </c>
      <c r="Q209" s="645">
        <f t="shared" si="167"/>
        <v>95.333333333333371</v>
      </c>
      <c r="R209" s="163">
        <f t="shared" si="167"/>
        <v>51.666666666666671</v>
      </c>
      <c r="S209" s="163">
        <f t="shared" si="167"/>
        <v>1</v>
      </c>
      <c r="T209" s="163">
        <f t="shared" si="164"/>
        <v>42.666666666666686</v>
      </c>
      <c r="U209" s="644">
        <f t="shared" si="164"/>
        <v>0</v>
      </c>
      <c r="V209" s="645">
        <f t="shared" si="164"/>
        <v>58.6666666666667</v>
      </c>
      <c r="W209" s="163">
        <f t="shared" si="164"/>
        <v>27.000000000000004</v>
      </c>
      <c r="X209" s="163">
        <f t="shared" si="164"/>
        <v>0</v>
      </c>
      <c r="Y209" s="163">
        <f t="shared" si="164"/>
        <v>26.666666666666671</v>
      </c>
      <c r="Z209" s="643">
        <f t="shared" si="164"/>
        <v>4.9999999999999991</v>
      </c>
      <c r="AA209" s="646">
        <f t="shared" si="164"/>
        <v>99.000000000000028</v>
      </c>
      <c r="AB209" s="645">
        <f t="shared" si="164"/>
        <v>57.333333333333321</v>
      </c>
      <c r="AC209" s="163">
        <f t="shared" si="164"/>
        <v>29.666666666666664</v>
      </c>
      <c r="AD209" s="163">
        <f t="shared" si="164"/>
        <v>1</v>
      </c>
      <c r="AE209" s="163">
        <f t="shared" si="164"/>
        <v>26.666666666666668</v>
      </c>
      <c r="AF209" s="644">
        <f t="shared" si="164"/>
        <v>0</v>
      </c>
      <c r="AG209" s="645">
        <f t="shared" si="164"/>
        <v>41.666666666666679</v>
      </c>
      <c r="AH209" s="163">
        <f t="shared" si="164"/>
        <v>30.66666666666665</v>
      </c>
      <c r="AI209" s="163">
        <f t="shared" si="164"/>
        <v>0</v>
      </c>
      <c r="AJ209" s="163">
        <f t="shared" si="164"/>
        <v>5.9999999999999982</v>
      </c>
      <c r="AK209" s="643">
        <f t="shared" si="161"/>
        <v>4.9999999999999991</v>
      </c>
      <c r="AL209" s="646">
        <f t="shared" si="161"/>
        <v>931.66666666666663</v>
      </c>
      <c r="AM209" s="645">
        <f t="shared" si="161"/>
        <v>677.33333333333314</v>
      </c>
      <c r="AN209" s="163">
        <f t="shared" si="161"/>
        <v>391.66666666666663</v>
      </c>
      <c r="AO209" s="163">
        <f t="shared" si="161"/>
        <v>8</v>
      </c>
      <c r="AP209" s="163">
        <f t="shared" si="161"/>
        <v>276.66666666666657</v>
      </c>
      <c r="AQ209" s="644">
        <f t="shared" si="161"/>
        <v>1</v>
      </c>
      <c r="AR209" s="645">
        <f t="shared" si="161"/>
        <v>254.33333333333326</v>
      </c>
      <c r="AS209" s="163">
        <f t="shared" si="160"/>
        <v>102.66666666666661</v>
      </c>
      <c r="AT209" s="163">
        <f t="shared" si="160"/>
        <v>0</v>
      </c>
      <c r="AU209" s="163">
        <f t="shared" si="160"/>
        <v>133.00000000000006</v>
      </c>
      <c r="AV209" s="643">
        <f t="shared" si="160"/>
        <v>18.666666666666664</v>
      </c>
      <c r="AW209" s="646">
        <f t="shared" si="160"/>
        <v>521.33333333333337</v>
      </c>
      <c r="AX209" s="645">
        <f t="shared" si="160"/>
        <v>363.99999999999994</v>
      </c>
      <c r="AY209" s="163">
        <f t="shared" si="160"/>
        <v>224.66666666666669</v>
      </c>
      <c r="AZ209" s="163">
        <f t="shared" si="160"/>
        <v>0</v>
      </c>
      <c r="BA209" s="163">
        <f t="shared" si="160"/>
        <v>139.33333333333334</v>
      </c>
      <c r="BB209" s="644">
        <f t="shared" si="160"/>
        <v>0</v>
      </c>
      <c r="BC209" s="645">
        <f t="shared" si="160"/>
        <v>157.33333333333337</v>
      </c>
      <c r="BD209" s="163">
        <f t="shared" si="160"/>
        <v>86.999999999999943</v>
      </c>
      <c r="BE209" s="163">
        <f t="shared" si="160"/>
        <v>0</v>
      </c>
      <c r="BF209" s="163">
        <f t="shared" si="160"/>
        <v>60.333333333333343</v>
      </c>
      <c r="BG209" s="643">
        <f t="shared" si="160"/>
        <v>10.000000000000002</v>
      </c>
      <c r="BH209" s="646">
        <f t="shared" si="160"/>
        <v>756.66666666666686</v>
      </c>
      <c r="BI209" s="645">
        <f t="shared" si="165"/>
        <v>585.33333333333326</v>
      </c>
      <c r="BJ209" s="163">
        <f t="shared" si="165"/>
        <v>317.33333333333343</v>
      </c>
      <c r="BK209" s="163">
        <f t="shared" si="165"/>
        <v>4.3333333333333339</v>
      </c>
      <c r="BL209" s="163">
        <f t="shared" si="165"/>
        <v>263</v>
      </c>
      <c r="BM209" s="644">
        <f t="shared" si="165"/>
        <v>0.66666666666666663</v>
      </c>
      <c r="BN209" s="645">
        <f t="shared" si="165"/>
        <v>171.33333333333331</v>
      </c>
      <c r="BO209" s="163">
        <f t="shared" si="165"/>
        <v>72.000000000000014</v>
      </c>
      <c r="BP209" s="163">
        <f t="shared" si="165"/>
        <v>0</v>
      </c>
      <c r="BQ209" s="163">
        <f t="shared" si="165"/>
        <v>85.333333333333357</v>
      </c>
      <c r="BR209" s="643">
        <f t="shared" si="165"/>
        <v>14.000000000000004</v>
      </c>
      <c r="BS209" s="646">
        <f t="shared" si="165"/>
        <v>1074.0000000000005</v>
      </c>
      <c r="BT209" s="645">
        <f t="shared" si="165"/>
        <v>805.00000000000011</v>
      </c>
      <c r="BU209" s="163">
        <f t="shared" si="165"/>
        <v>406.66666666666657</v>
      </c>
      <c r="BV209" s="163">
        <f t="shared" si="165"/>
        <v>1.6666666666666665</v>
      </c>
      <c r="BW209" s="163">
        <f t="shared" si="165"/>
        <v>395.99999999999994</v>
      </c>
      <c r="BX209" s="644">
        <f t="shared" si="162"/>
        <v>0.66666666666666663</v>
      </c>
      <c r="BY209" s="645">
        <f t="shared" si="162"/>
        <v>268.99999999999994</v>
      </c>
      <c r="BZ209" s="163">
        <f t="shared" si="162"/>
        <v>119.66666666666657</v>
      </c>
      <c r="CA209" s="163">
        <f t="shared" si="162"/>
        <v>0</v>
      </c>
      <c r="CB209" s="163">
        <f t="shared" si="162"/>
        <v>126.66666666666657</v>
      </c>
      <c r="CC209" s="643">
        <f t="shared" si="162"/>
        <v>22.666666666666664</v>
      </c>
      <c r="CD209" s="646">
        <f t="shared" si="162"/>
        <v>200.33333333333331</v>
      </c>
      <c r="CE209" s="645">
        <f t="shared" si="162"/>
        <v>145.00000000000003</v>
      </c>
      <c r="CF209" s="163">
        <f t="shared" si="162"/>
        <v>73.333333333333329</v>
      </c>
      <c r="CG209" s="163">
        <f t="shared" si="162"/>
        <v>2</v>
      </c>
      <c r="CH209" s="163">
        <f t="shared" si="162"/>
        <v>69.666666666666671</v>
      </c>
      <c r="CI209" s="644">
        <f t="shared" si="162"/>
        <v>0</v>
      </c>
      <c r="CJ209" s="645">
        <f t="shared" si="162"/>
        <v>55.333333333333314</v>
      </c>
      <c r="CK209" s="163">
        <f t="shared" si="162"/>
        <v>25.999999999999996</v>
      </c>
      <c r="CL209" s="163">
        <f t="shared" si="162"/>
        <v>0</v>
      </c>
      <c r="CM209" s="163">
        <f t="shared" si="162"/>
        <v>25.333333333333336</v>
      </c>
      <c r="CN209" s="643">
        <f t="shared" si="169"/>
        <v>4</v>
      </c>
      <c r="CO209" s="646">
        <f t="shared" si="169"/>
        <v>148</v>
      </c>
      <c r="CP209" s="645">
        <f t="shared" si="169"/>
        <v>100.33333333333334</v>
      </c>
      <c r="CQ209" s="163">
        <f t="shared" si="169"/>
        <v>64.333333333333343</v>
      </c>
      <c r="CR209" s="163">
        <f t="shared" si="169"/>
        <v>1.6666666666666665</v>
      </c>
      <c r="CS209" s="163">
        <f t="shared" si="169"/>
        <v>34.333333333333329</v>
      </c>
      <c r="CT209" s="644">
        <f t="shared" si="169"/>
        <v>0</v>
      </c>
      <c r="CU209" s="645">
        <f t="shared" si="169"/>
        <v>47.666666666666679</v>
      </c>
      <c r="CV209" s="163">
        <f t="shared" si="169"/>
        <v>23.999999999999986</v>
      </c>
      <c r="CW209" s="163">
        <f t="shared" si="169"/>
        <v>0</v>
      </c>
      <c r="CX209" s="163">
        <f t="shared" si="169"/>
        <v>23.666666666666654</v>
      </c>
      <c r="CY209" s="643">
        <f t="shared" si="169"/>
        <v>0</v>
      </c>
      <c r="CZ209" s="646">
        <f t="shared" si="169"/>
        <v>47.333333333333336</v>
      </c>
      <c r="DA209" s="645">
        <f t="shared" si="169"/>
        <v>30.333333333333339</v>
      </c>
      <c r="DB209" s="163">
        <f t="shared" si="169"/>
        <v>11</v>
      </c>
      <c r="DC209" s="163">
        <f t="shared" si="169"/>
        <v>0.66666666666666663</v>
      </c>
      <c r="DD209" s="163">
        <f t="shared" si="171"/>
        <v>18.666666666666661</v>
      </c>
      <c r="DE209" s="644">
        <f t="shared" si="171"/>
        <v>0</v>
      </c>
      <c r="DF209" s="645">
        <f t="shared" si="171"/>
        <v>17.000000000000011</v>
      </c>
      <c r="DG209" s="163">
        <f t="shared" si="171"/>
        <v>13.000000000000011</v>
      </c>
      <c r="DH209" s="163">
        <f t="shared" si="171"/>
        <v>0</v>
      </c>
      <c r="DI209" s="163">
        <f t="shared" si="171"/>
        <v>3.9999999999999996</v>
      </c>
      <c r="DJ209" s="643">
        <f t="shared" si="171"/>
        <v>0</v>
      </c>
      <c r="DK209" s="646">
        <f t="shared" si="171"/>
        <v>0</v>
      </c>
      <c r="DL209" s="645">
        <f t="shared" si="171"/>
        <v>0</v>
      </c>
      <c r="DM209" s="163">
        <f t="shared" si="171"/>
        <v>0</v>
      </c>
      <c r="DN209" s="163">
        <f t="shared" si="171"/>
        <v>0</v>
      </c>
      <c r="DO209" s="163">
        <f t="shared" si="171"/>
        <v>0</v>
      </c>
      <c r="DP209" s="644">
        <f t="shared" si="171"/>
        <v>0</v>
      </c>
      <c r="DQ209" s="645">
        <f t="shared" si="171"/>
        <v>1</v>
      </c>
      <c r="DR209" s="163">
        <f t="shared" si="171"/>
        <v>1</v>
      </c>
      <c r="DS209" s="163">
        <f t="shared" si="171"/>
        <v>0</v>
      </c>
      <c r="DT209" s="163">
        <f t="shared" si="163"/>
        <v>0</v>
      </c>
      <c r="DU209" s="643">
        <f t="shared" si="163"/>
        <v>0</v>
      </c>
      <c r="DW209" s="646">
        <f t="shared" si="121"/>
        <v>3000.6666666666679</v>
      </c>
      <c r="DX209" s="645">
        <f t="shared" si="121"/>
        <v>2182.666666666667</v>
      </c>
      <c r="DY209" s="163">
        <f t="shared" si="121"/>
        <v>1178.6666666666665</v>
      </c>
      <c r="DZ209" s="163">
        <f t="shared" si="121"/>
        <v>12.333333333333332</v>
      </c>
      <c r="EA209" s="163">
        <f t="shared" si="121"/>
        <v>990.33333333333326</v>
      </c>
      <c r="EB209" s="644">
        <f t="shared" si="158"/>
        <v>1.3333333333333333</v>
      </c>
      <c r="EC209" s="645">
        <f t="shared" si="158"/>
        <v>818.99999999999989</v>
      </c>
      <c r="ED209" s="163">
        <f t="shared" si="158"/>
        <v>400.3333333333332</v>
      </c>
      <c r="EE209" s="163">
        <f t="shared" si="158"/>
        <v>0</v>
      </c>
      <c r="EF209" s="163">
        <f t="shared" si="158"/>
        <v>357.99999999999989</v>
      </c>
      <c r="EG209" s="643">
        <f t="shared" si="158"/>
        <v>60.666666666666664</v>
      </c>
      <c r="EH209" s="646">
        <f t="shared" si="119"/>
        <v>931.66666666666663</v>
      </c>
      <c r="EI209" s="645">
        <f t="shared" si="119"/>
        <v>677.33333333333314</v>
      </c>
      <c r="EJ209" s="163">
        <f t="shared" si="119"/>
        <v>391.66666666666663</v>
      </c>
      <c r="EK209" s="163">
        <f t="shared" si="119"/>
        <v>8</v>
      </c>
      <c r="EL209" s="163">
        <f t="shared" si="119"/>
        <v>276.66666666666657</v>
      </c>
      <c r="EM209" s="644">
        <f t="shared" si="119"/>
        <v>1</v>
      </c>
      <c r="EN209" s="645">
        <f t="shared" si="119"/>
        <v>254.33333333333326</v>
      </c>
      <c r="EO209" s="163">
        <f t="shared" si="119"/>
        <v>102.66666666666661</v>
      </c>
      <c r="EP209" s="163">
        <f t="shared" si="119"/>
        <v>0</v>
      </c>
      <c r="EQ209" s="163">
        <f t="shared" si="119"/>
        <v>133.00000000000006</v>
      </c>
      <c r="ER209" s="643">
        <f t="shared" si="119"/>
        <v>18.666666666666664</v>
      </c>
    </row>
    <row r="210" spans="1:148">
      <c r="A210" s="665" t="s">
        <v>247</v>
      </c>
      <c r="B210" s="665">
        <v>44896</v>
      </c>
      <c r="C210" s="664">
        <v>2022</v>
      </c>
      <c r="D210" s="646">
        <f t="shared" ref="D210" si="174">D111/3+D209</f>
        <v>4218370</v>
      </c>
      <c r="E210" s="646">
        <f t="shared" si="167"/>
        <v>103572.00000000001</v>
      </c>
      <c r="F210" s="645">
        <f t="shared" si="167"/>
        <v>74106.000000000015</v>
      </c>
      <c r="G210" s="163">
        <f t="shared" si="167"/>
        <v>39247.999999999985</v>
      </c>
      <c r="H210" s="163">
        <f t="shared" si="167"/>
        <v>871.99999999999989</v>
      </c>
      <c r="I210" s="163">
        <f t="shared" si="167"/>
        <v>33810</v>
      </c>
      <c r="J210" s="644">
        <f t="shared" si="167"/>
        <v>176</v>
      </c>
      <c r="K210" s="645">
        <f t="shared" si="167"/>
        <v>29465.999999999989</v>
      </c>
      <c r="L210" s="163">
        <f t="shared" si="167"/>
        <v>13870.000000000004</v>
      </c>
      <c r="M210" s="163">
        <f t="shared" si="167"/>
        <v>0</v>
      </c>
      <c r="N210" s="163">
        <f t="shared" si="167"/>
        <v>13171.999999999998</v>
      </c>
      <c r="O210" s="643">
        <f t="shared" si="167"/>
        <v>2423.9999999999991</v>
      </c>
      <c r="P210" s="646">
        <f t="shared" si="167"/>
        <v>158</v>
      </c>
      <c r="Q210" s="645">
        <f t="shared" si="167"/>
        <v>99.000000000000043</v>
      </c>
      <c r="R210" s="163">
        <f t="shared" si="167"/>
        <v>53.000000000000007</v>
      </c>
      <c r="S210" s="163">
        <f t="shared" si="167"/>
        <v>1</v>
      </c>
      <c r="T210" s="163">
        <f t="shared" si="164"/>
        <v>45.000000000000021</v>
      </c>
      <c r="U210" s="644">
        <f t="shared" si="164"/>
        <v>0</v>
      </c>
      <c r="V210" s="645">
        <f t="shared" si="164"/>
        <v>59.000000000000036</v>
      </c>
      <c r="W210" s="163">
        <f t="shared" si="164"/>
        <v>27.000000000000004</v>
      </c>
      <c r="X210" s="163">
        <f t="shared" si="164"/>
        <v>0</v>
      </c>
      <c r="Y210" s="163">
        <f t="shared" si="164"/>
        <v>27.000000000000004</v>
      </c>
      <c r="Z210" s="643">
        <f t="shared" si="164"/>
        <v>4.9999999999999991</v>
      </c>
      <c r="AA210" s="646">
        <f t="shared" si="164"/>
        <v>101.00000000000003</v>
      </c>
      <c r="AB210" s="645">
        <f t="shared" si="164"/>
        <v>58.999999999999986</v>
      </c>
      <c r="AC210" s="163">
        <f t="shared" si="164"/>
        <v>30.999999999999996</v>
      </c>
      <c r="AD210" s="163">
        <f t="shared" si="164"/>
        <v>1</v>
      </c>
      <c r="AE210" s="163">
        <f t="shared" si="164"/>
        <v>27</v>
      </c>
      <c r="AF210" s="644">
        <f t="shared" si="164"/>
        <v>0</v>
      </c>
      <c r="AG210" s="645">
        <f t="shared" si="164"/>
        <v>42.000000000000014</v>
      </c>
      <c r="AH210" s="163">
        <f t="shared" si="164"/>
        <v>30.999999999999982</v>
      </c>
      <c r="AI210" s="163">
        <f t="shared" si="164"/>
        <v>0</v>
      </c>
      <c r="AJ210" s="163">
        <f t="shared" si="164"/>
        <v>5.9999999999999982</v>
      </c>
      <c r="AK210" s="643">
        <f t="shared" si="161"/>
        <v>4.9999999999999991</v>
      </c>
      <c r="AL210" s="646">
        <f t="shared" si="161"/>
        <v>967</v>
      </c>
      <c r="AM210" s="645">
        <f t="shared" si="161"/>
        <v>706.99999999999977</v>
      </c>
      <c r="AN210" s="163">
        <f t="shared" si="161"/>
        <v>402.99999999999994</v>
      </c>
      <c r="AO210" s="163">
        <f t="shared" si="161"/>
        <v>9</v>
      </c>
      <c r="AP210" s="163">
        <f t="shared" si="161"/>
        <v>293.99999999999989</v>
      </c>
      <c r="AQ210" s="644">
        <f t="shared" si="161"/>
        <v>1</v>
      </c>
      <c r="AR210" s="645">
        <f t="shared" si="161"/>
        <v>259.99999999999994</v>
      </c>
      <c r="AS210" s="163">
        <f t="shared" si="161"/>
        <v>102.99999999999994</v>
      </c>
      <c r="AT210" s="163">
        <f t="shared" si="161"/>
        <v>0</v>
      </c>
      <c r="AU210" s="163">
        <f t="shared" si="161"/>
        <v>138.00000000000006</v>
      </c>
      <c r="AV210" s="643">
        <f t="shared" si="161"/>
        <v>18.999999999999996</v>
      </c>
      <c r="AW210" s="646">
        <f t="shared" si="161"/>
        <v>543</v>
      </c>
      <c r="AX210" s="645">
        <f t="shared" si="161"/>
        <v>380.99999999999994</v>
      </c>
      <c r="AY210" s="163">
        <f t="shared" si="161"/>
        <v>232.00000000000003</v>
      </c>
      <c r="AZ210" s="163">
        <f t="shared" si="161"/>
        <v>0</v>
      </c>
      <c r="BA210" s="163">
        <f t="shared" ref="BA210:BP225" si="175">BA111/3+BA209</f>
        <v>149</v>
      </c>
      <c r="BB210" s="644">
        <f t="shared" si="175"/>
        <v>0</v>
      </c>
      <c r="BC210" s="645">
        <f t="shared" si="175"/>
        <v>162.00000000000003</v>
      </c>
      <c r="BD210" s="163">
        <f t="shared" si="175"/>
        <v>87.999999999999943</v>
      </c>
      <c r="BE210" s="163">
        <f t="shared" si="175"/>
        <v>0</v>
      </c>
      <c r="BF210" s="163">
        <f t="shared" si="175"/>
        <v>64.000000000000014</v>
      </c>
      <c r="BG210" s="643">
        <f t="shared" si="175"/>
        <v>10.000000000000002</v>
      </c>
      <c r="BH210" s="646">
        <f t="shared" si="175"/>
        <v>788.00000000000023</v>
      </c>
      <c r="BI210" s="645">
        <f t="shared" si="165"/>
        <v>612.99999999999989</v>
      </c>
      <c r="BJ210" s="163">
        <f t="shared" si="165"/>
        <v>323.00000000000011</v>
      </c>
      <c r="BK210" s="163">
        <f t="shared" si="165"/>
        <v>5.0000000000000009</v>
      </c>
      <c r="BL210" s="163">
        <f t="shared" si="165"/>
        <v>284</v>
      </c>
      <c r="BM210" s="644">
        <f t="shared" si="165"/>
        <v>1</v>
      </c>
      <c r="BN210" s="645">
        <f t="shared" si="165"/>
        <v>174.99999999999997</v>
      </c>
      <c r="BO210" s="163">
        <f t="shared" si="165"/>
        <v>73.000000000000014</v>
      </c>
      <c r="BP210" s="163">
        <f t="shared" si="165"/>
        <v>0</v>
      </c>
      <c r="BQ210" s="163">
        <f t="shared" si="165"/>
        <v>88.000000000000028</v>
      </c>
      <c r="BR210" s="643">
        <f t="shared" si="165"/>
        <v>14.000000000000004</v>
      </c>
      <c r="BS210" s="646">
        <f t="shared" si="165"/>
        <v>1121.0000000000005</v>
      </c>
      <c r="BT210" s="645">
        <f t="shared" si="165"/>
        <v>847.00000000000011</v>
      </c>
      <c r="BU210" s="163">
        <f t="shared" si="165"/>
        <v>415.99999999999989</v>
      </c>
      <c r="BV210" s="163">
        <f t="shared" si="165"/>
        <v>1.9999999999999998</v>
      </c>
      <c r="BW210" s="163">
        <f t="shared" si="165"/>
        <v>427.99999999999994</v>
      </c>
      <c r="BX210" s="644">
        <f t="shared" si="162"/>
        <v>1</v>
      </c>
      <c r="BY210" s="645">
        <f t="shared" si="162"/>
        <v>273.99999999999994</v>
      </c>
      <c r="BZ210" s="163">
        <f t="shared" si="162"/>
        <v>119.9999999999999</v>
      </c>
      <c r="CA210" s="163">
        <f t="shared" si="162"/>
        <v>0</v>
      </c>
      <c r="CB210" s="163">
        <f t="shared" si="162"/>
        <v>130.99999999999991</v>
      </c>
      <c r="CC210" s="643">
        <f t="shared" si="162"/>
        <v>22.999999999999996</v>
      </c>
      <c r="CD210" s="646">
        <f t="shared" si="162"/>
        <v>210.99999999999997</v>
      </c>
      <c r="CE210" s="645">
        <f t="shared" si="162"/>
        <v>153.00000000000003</v>
      </c>
      <c r="CF210" s="163">
        <f t="shared" si="162"/>
        <v>75</v>
      </c>
      <c r="CG210" s="163">
        <f t="shared" si="162"/>
        <v>2</v>
      </c>
      <c r="CH210" s="163">
        <f t="shared" si="162"/>
        <v>76</v>
      </c>
      <c r="CI210" s="644">
        <f t="shared" si="162"/>
        <v>0</v>
      </c>
      <c r="CJ210" s="645">
        <f t="shared" si="162"/>
        <v>57.999999999999979</v>
      </c>
      <c r="CK210" s="163">
        <f t="shared" si="162"/>
        <v>25.999999999999996</v>
      </c>
      <c r="CL210" s="163">
        <f t="shared" si="162"/>
        <v>0</v>
      </c>
      <c r="CM210" s="163">
        <f t="shared" si="162"/>
        <v>28.000000000000004</v>
      </c>
      <c r="CN210" s="643">
        <f t="shared" si="169"/>
        <v>4</v>
      </c>
      <c r="CO210" s="646">
        <f t="shared" si="169"/>
        <v>154</v>
      </c>
      <c r="CP210" s="645">
        <f t="shared" si="169"/>
        <v>106.00000000000001</v>
      </c>
      <c r="CQ210" s="163">
        <f t="shared" si="169"/>
        <v>67.000000000000014</v>
      </c>
      <c r="CR210" s="163">
        <f t="shared" si="169"/>
        <v>1.9999999999999998</v>
      </c>
      <c r="CS210" s="163">
        <f t="shared" si="169"/>
        <v>36.999999999999993</v>
      </c>
      <c r="CT210" s="644">
        <f t="shared" si="169"/>
        <v>0</v>
      </c>
      <c r="CU210" s="645">
        <f t="shared" si="169"/>
        <v>48.000000000000014</v>
      </c>
      <c r="CV210" s="163">
        <f t="shared" si="169"/>
        <v>23.999999999999986</v>
      </c>
      <c r="CW210" s="163">
        <f t="shared" si="169"/>
        <v>0</v>
      </c>
      <c r="CX210" s="163">
        <f t="shared" si="169"/>
        <v>23.999999999999986</v>
      </c>
      <c r="CY210" s="643">
        <f t="shared" si="169"/>
        <v>0</v>
      </c>
      <c r="CZ210" s="646">
        <f t="shared" si="169"/>
        <v>50</v>
      </c>
      <c r="DA210" s="645">
        <f t="shared" si="169"/>
        <v>33.000000000000007</v>
      </c>
      <c r="DB210" s="163">
        <f t="shared" si="169"/>
        <v>11</v>
      </c>
      <c r="DC210" s="163">
        <f t="shared" si="169"/>
        <v>1</v>
      </c>
      <c r="DD210" s="163">
        <f t="shared" si="171"/>
        <v>20.999999999999993</v>
      </c>
      <c r="DE210" s="644">
        <f t="shared" si="171"/>
        <v>0</v>
      </c>
      <c r="DF210" s="645">
        <f t="shared" si="171"/>
        <v>17.000000000000011</v>
      </c>
      <c r="DG210" s="163">
        <f t="shared" si="171"/>
        <v>13.000000000000011</v>
      </c>
      <c r="DH210" s="163">
        <f t="shared" si="171"/>
        <v>0</v>
      </c>
      <c r="DI210" s="163">
        <f t="shared" si="171"/>
        <v>3.9999999999999996</v>
      </c>
      <c r="DJ210" s="643">
        <f t="shared" si="171"/>
        <v>0</v>
      </c>
      <c r="DK210" s="646">
        <f t="shared" si="171"/>
        <v>0</v>
      </c>
      <c r="DL210" s="645">
        <f t="shared" si="171"/>
        <v>0</v>
      </c>
      <c r="DM210" s="163">
        <f t="shared" si="171"/>
        <v>0</v>
      </c>
      <c r="DN210" s="163">
        <f t="shared" si="171"/>
        <v>0</v>
      </c>
      <c r="DO210" s="163">
        <f t="shared" si="171"/>
        <v>0</v>
      </c>
      <c r="DP210" s="644">
        <f t="shared" si="171"/>
        <v>0</v>
      </c>
      <c r="DQ210" s="645">
        <f t="shared" si="171"/>
        <v>1</v>
      </c>
      <c r="DR210" s="163">
        <f t="shared" si="171"/>
        <v>1</v>
      </c>
      <c r="DS210" s="163">
        <f t="shared" si="171"/>
        <v>0</v>
      </c>
      <c r="DT210" s="163">
        <f t="shared" si="163"/>
        <v>0</v>
      </c>
      <c r="DU210" s="643">
        <f t="shared" si="163"/>
        <v>0</v>
      </c>
      <c r="DW210" s="646">
        <f t="shared" si="121"/>
        <v>3126.0000000000009</v>
      </c>
      <c r="DX210" s="645">
        <f t="shared" si="121"/>
        <v>2291</v>
      </c>
      <c r="DY210" s="163">
        <f t="shared" si="121"/>
        <v>1208</v>
      </c>
      <c r="DZ210" s="163">
        <f t="shared" si="121"/>
        <v>14</v>
      </c>
      <c r="EA210" s="163">
        <f t="shared" si="121"/>
        <v>1067</v>
      </c>
      <c r="EB210" s="644">
        <f t="shared" si="158"/>
        <v>2</v>
      </c>
      <c r="EC210" s="645">
        <f t="shared" si="158"/>
        <v>836</v>
      </c>
      <c r="ED210" s="163">
        <f t="shared" si="158"/>
        <v>402.99999999999983</v>
      </c>
      <c r="EE210" s="163">
        <f t="shared" si="158"/>
        <v>0</v>
      </c>
      <c r="EF210" s="163">
        <f t="shared" si="158"/>
        <v>372</v>
      </c>
      <c r="EG210" s="643">
        <f t="shared" si="158"/>
        <v>61</v>
      </c>
      <c r="EH210" s="646">
        <f t="shared" si="119"/>
        <v>967</v>
      </c>
      <c r="EI210" s="645">
        <f t="shared" si="119"/>
        <v>706.99999999999977</v>
      </c>
      <c r="EJ210" s="163">
        <f t="shared" si="119"/>
        <v>402.99999999999994</v>
      </c>
      <c r="EK210" s="163">
        <f t="shared" si="119"/>
        <v>9</v>
      </c>
      <c r="EL210" s="163">
        <f t="shared" si="119"/>
        <v>293.99999999999989</v>
      </c>
      <c r="EM210" s="644">
        <f t="shared" si="119"/>
        <v>1</v>
      </c>
      <c r="EN210" s="645">
        <f t="shared" si="119"/>
        <v>259.99999999999994</v>
      </c>
      <c r="EO210" s="163">
        <f t="shared" si="119"/>
        <v>102.99999999999994</v>
      </c>
      <c r="EP210" s="163">
        <f t="shared" si="119"/>
        <v>0</v>
      </c>
      <c r="EQ210" s="163">
        <f t="shared" si="119"/>
        <v>138.00000000000006</v>
      </c>
      <c r="ER210" s="643">
        <f t="shared" si="119"/>
        <v>18.999999999999996</v>
      </c>
    </row>
    <row r="211" spans="1:148">
      <c r="A211" s="665" t="s">
        <v>248</v>
      </c>
      <c r="B211" s="665">
        <v>44927</v>
      </c>
      <c r="C211" s="664">
        <v>2023</v>
      </c>
      <c r="D211" s="646">
        <f t="shared" ref="D211" si="176">D112/3+D210</f>
        <v>4266242.666666667</v>
      </c>
      <c r="E211" s="646">
        <f t="shared" si="167"/>
        <v>106412.00000000001</v>
      </c>
      <c r="F211" s="645">
        <f t="shared" si="167"/>
        <v>76359.333333333343</v>
      </c>
      <c r="G211" s="163">
        <f t="shared" si="167"/>
        <v>40036.333333333321</v>
      </c>
      <c r="H211" s="163">
        <f t="shared" si="167"/>
        <v>989.99999999999989</v>
      </c>
      <c r="I211" s="163">
        <f t="shared" si="167"/>
        <v>35122.666666666664</v>
      </c>
      <c r="J211" s="644">
        <f t="shared" si="167"/>
        <v>210.33333333333334</v>
      </c>
      <c r="K211" s="645">
        <f t="shared" si="167"/>
        <v>30052.666666666657</v>
      </c>
      <c r="L211" s="163">
        <f t="shared" si="167"/>
        <v>13898.333333333338</v>
      </c>
      <c r="M211" s="163">
        <f t="shared" si="167"/>
        <v>0</v>
      </c>
      <c r="N211" s="163">
        <f t="shared" si="167"/>
        <v>13665.333333333332</v>
      </c>
      <c r="O211" s="643">
        <f t="shared" si="167"/>
        <v>2488.9999999999991</v>
      </c>
      <c r="P211" s="646">
        <f t="shared" si="167"/>
        <v>164.33333333333334</v>
      </c>
      <c r="Q211" s="645">
        <f t="shared" si="167"/>
        <v>102.00000000000004</v>
      </c>
      <c r="R211" s="163">
        <f t="shared" si="167"/>
        <v>55.333333333333343</v>
      </c>
      <c r="S211" s="163">
        <f t="shared" si="167"/>
        <v>1</v>
      </c>
      <c r="T211" s="163">
        <f t="shared" si="164"/>
        <v>45.666666666666686</v>
      </c>
      <c r="U211" s="644">
        <f t="shared" si="164"/>
        <v>0</v>
      </c>
      <c r="V211" s="645">
        <f t="shared" si="164"/>
        <v>62.333333333333371</v>
      </c>
      <c r="W211" s="163">
        <f t="shared" si="164"/>
        <v>27.000000000000004</v>
      </c>
      <c r="X211" s="163">
        <f t="shared" si="164"/>
        <v>0</v>
      </c>
      <c r="Y211" s="163">
        <f t="shared" si="164"/>
        <v>29.666666666666671</v>
      </c>
      <c r="Z211" s="643">
        <f t="shared" si="164"/>
        <v>5.6666666666666661</v>
      </c>
      <c r="AA211" s="646">
        <f t="shared" si="164"/>
        <v>105.00000000000003</v>
      </c>
      <c r="AB211" s="645">
        <f t="shared" si="164"/>
        <v>62.66666666666665</v>
      </c>
      <c r="AC211" s="163">
        <f t="shared" si="164"/>
        <v>31.666666666666664</v>
      </c>
      <c r="AD211" s="163">
        <f t="shared" si="164"/>
        <v>1</v>
      </c>
      <c r="AE211" s="163">
        <f t="shared" si="164"/>
        <v>30</v>
      </c>
      <c r="AF211" s="644">
        <f t="shared" si="164"/>
        <v>0</v>
      </c>
      <c r="AG211" s="645">
        <f t="shared" si="164"/>
        <v>42.33333333333335</v>
      </c>
      <c r="AH211" s="163">
        <f t="shared" si="164"/>
        <v>30.999999999999982</v>
      </c>
      <c r="AI211" s="163">
        <f t="shared" si="164"/>
        <v>0</v>
      </c>
      <c r="AJ211" s="163">
        <f t="shared" si="164"/>
        <v>6.3333333333333313</v>
      </c>
      <c r="AK211" s="643">
        <f t="shared" si="161"/>
        <v>4.9999999999999991</v>
      </c>
      <c r="AL211" s="646">
        <f t="shared" si="161"/>
        <v>997</v>
      </c>
      <c r="AM211" s="645">
        <f t="shared" si="161"/>
        <v>731.33333333333314</v>
      </c>
      <c r="AN211" s="163">
        <f t="shared" si="161"/>
        <v>410.33333333333326</v>
      </c>
      <c r="AO211" s="163">
        <f t="shared" si="161"/>
        <v>9.6666666666666661</v>
      </c>
      <c r="AP211" s="163">
        <f t="shared" si="161"/>
        <v>310.3333333333332</v>
      </c>
      <c r="AQ211" s="644">
        <f t="shared" si="161"/>
        <v>1</v>
      </c>
      <c r="AR211" s="645">
        <f t="shared" si="161"/>
        <v>265.66666666666663</v>
      </c>
      <c r="AS211" s="163">
        <f t="shared" si="161"/>
        <v>102.99999999999994</v>
      </c>
      <c r="AT211" s="163">
        <f t="shared" si="161"/>
        <v>0</v>
      </c>
      <c r="AU211" s="163">
        <f t="shared" si="161"/>
        <v>143.66666666666671</v>
      </c>
      <c r="AV211" s="643">
        <f t="shared" si="161"/>
        <v>18.999999999999996</v>
      </c>
      <c r="AW211" s="646">
        <f t="shared" si="161"/>
        <v>560.66666666666663</v>
      </c>
      <c r="AX211" s="645">
        <f t="shared" si="161"/>
        <v>394.99999999999994</v>
      </c>
      <c r="AY211" s="163">
        <f t="shared" si="161"/>
        <v>236.66666666666669</v>
      </c>
      <c r="AZ211" s="163">
        <f t="shared" si="161"/>
        <v>1</v>
      </c>
      <c r="BA211" s="163">
        <f t="shared" si="175"/>
        <v>157.33333333333334</v>
      </c>
      <c r="BB211" s="644">
        <f t="shared" si="175"/>
        <v>0</v>
      </c>
      <c r="BC211" s="645">
        <f t="shared" si="175"/>
        <v>165.66666666666669</v>
      </c>
      <c r="BD211" s="163">
        <f t="shared" si="175"/>
        <v>87.999999999999943</v>
      </c>
      <c r="BE211" s="163">
        <f t="shared" si="175"/>
        <v>0</v>
      </c>
      <c r="BF211" s="163">
        <f t="shared" si="175"/>
        <v>67.666666666666686</v>
      </c>
      <c r="BG211" s="643">
        <f t="shared" si="175"/>
        <v>10.000000000000002</v>
      </c>
      <c r="BH211" s="646">
        <f t="shared" si="175"/>
        <v>810.3333333333336</v>
      </c>
      <c r="BI211" s="645">
        <f t="shared" si="165"/>
        <v>632.66666666666652</v>
      </c>
      <c r="BJ211" s="163">
        <f t="shared" si="165"/>
        <v>329.6666666666668</v>
      </c>
      <c r="BK211" s="163">
        <f t="shared" si="165"/>
        <v>5.6666666666666679</v>
      </c>
      <c r="BL211" s="163">
        <f t="shared" si="165"/>
        <v>296.33333333333331</v>
      </c>
      <c r="BM211" s="644">
        <f t="shared" si="165"/>
        <v>1</v>
      </c>
      <c r="BN211" s="645">
        <f t="shared" si="165"/>
        <v>177.66666666666663</v>
      </c>
      <c r="BO211" s="163">
        <f t="shared" si="165"/>
        <v>73.000000000000014</v>
      </c>
      <c r="BP211" s="163">
        <f t="shared" si="165"/>
        <v>0</v>
      </c>
      <c r="BQ211" s="163">
        <f t="shared" si="165"/>
        <v>90.333333333333357</v>
      </c>
      <c r="BR211" s="643">
        <f t="shared" si="165"/>
        <v>14.333333333333337</v>
      </c>
      <c r="BS211" s="646">
        <f t="shared" si="165"/>
        <v>1161.3333333333337</v>
      </c>
      <c r="BT211" s="645">
        <f t="shared" si="165"/>
        <v>880.66666666666674</v>
      </c>
      <c r="BU211" s="163">
        <f t="shared" si="165"/>
        <v>425.66666666666657</v>
      </c>
      <c r="BV211" s="163">
        <f t="shared" si="165"/>
        <v>2.6666666666666665</v>
      </c>
      <c r="BW211" s="163">
        <f t="shared" si="165"/>
        <v>451.33333333333326</v>
      </c>
      <c r="BX211" s="644">
        <f t="shared" si="162"/>
        <v>1</v>
      </c>
      <c r="BY211" s="645">
        <f t="shared" si="162"/>
        <v>280.66666666666663</v>
      </c>
      <c r="BZ211" s="163">
        <f t="shared" si="162"/>
        <v>119.9999999999999</v>
      </c>
      <c r="CA211" s="163">
        <f t="shared" si="162"/>
        <v>0</v>
      </c>
      <c r="CB211" s="163">
        <f t="shared" si="162"/>
        <v>137.33333333333326</v>
      </c>
      <c r="CC211" s="643">
        <f t="shared" si="162"/>
        <v>23.333333333333329</v>
      </c>
      <c r="CD211" s="646">
        <f t="shared" si="162"/>
        <v>215.33333333333331</v>
      </c>
      <c r="CE211" s="645">
        <f t="shared" si="162"/>
        <v>156.00000000000003</v>
      </c>
      <c r="CF211" s="163">
        <f t="shared" si="162"/>
        <v>76.333333333333329</v>
      </c>
      <c r="CG211" s="163">
        <f t="shared" si="162"/>
        <v>2</v>
      </c>
      <c r="CH211" s="163">
        <f t="shared" si="162"/>
        <v>77.666666666666671</v>
      </c>
      <c r="CI211" s="644">
        <f t="shared" si="162"/>
        <v>0</v>
      </c>
      <c r="CJ211" s="645">
        <f t="shared" si="162"/>
        <v>59.333333333333314</v>
      </c>
      <c r="CK211" s="163">
        <f t="shared" si="162"/>
        <v>25.999999999999996</v>
      </c>
      <c r="CL211" s="163">
        <f t="shared" si="162"/>
        <v>0</v>
      </c>
      <c r="CM211" s="163">
        <f t="shared" si="162"/>
        <v>29.333333333333336</v>
      </c>
      <c r="CN211" s="643">
        <f t="shared" si="169"/>
        <v>4</v>
      </c>
      <c r="CO211" s="646">
        <f t="shared" si="169"/>
        <v>157</v>
      </c>
      <c r="CP211" s="645">
        <f t="shared" si="169"/>
        <v>108.66666666666669</v>
      </c>
      <c r="CQ211" s="163">
        <f t="shared" si="169"/>
        <v>67.666666666666686</v>
      </c>
      <c r="CR211" s="163">
        <f t="shared" si="169"/>
        <v>2.333333333333333</v>
      </c>
      <c r="CS211" s="163">
        <f t="shared" si="169"/>
        <v>38.666666666666657</v>
      </c>
      <c r="CT211" s="644">
        <f t="shared" si="169"/>
        <v>0</v>
      </c>
      <c r="CU211" s="645">
        <f t="shared" si="169"/>
        <v>48.33333333333335</v>
      </c>
      <c r="CV211" s="163">
        <f t="shared" si="169"/>
        <v>23.999999999999986</v>
      </c>
      <c r="CW211" s="163">
        <f t="shared" si="169"/>
        <v>0</v>
      </c>
      <c r="CX211" s="163">
        <f t="shared" si="169"/>
        <v>24.333333333333318</v>
      </c>
      <c r="CY211" s="643">
        <f t="shared" si="169"/>
        <v>0</v>
      </c>
      <c r="CZ211" s="646">
        <f t="shared" si="169"/>
        <v>52</v>
      </c>
      <c r="DA211" s="645">
        <f t="shared" si="169"/>
        <v>34.000000000000007</v>
      </c>
      <c r="DB211" s="163">
        <f t="shared" si="169"/>
        <v>11.666666666666666</v>
      </c>
      <c r="DC211" s="163">
        <f t="shared" si="169"/>
        <v>1</v>
      </c>
      <c r="DD211" s="163">
        <f t="shared" si="171"/>
        <v>21.333333333333325</v>
      </c>
      <c r="DE211" s="644">
        <f t="shared" si="171"/>
        <v>0</v>
      </c>
      <c r="DF211" s="645">
        <f t="shared" si="171"/>
        <v>18.000000000000011</v>
      </c>
      <c r="DG211" s="163">
        <f t="shared" si="171"/>
        <v>13.000000000000011</v>
      </c>
      <c r="DH211" s="163">
        <f t="shared" si="171"/>
        <v>0</v>
      </c>
      <c r="DI211" s="163">
        <f t="shared" si="171"/>
        <v>3.9999999999999996</v>
      </c>
      <c r="DJ211" s="643">
        <f t="shared" si="171"/>
        <v>1</v>
      </c>
      <c r="DK211" s="646">
        <f t="shared" si="171"/>
        <v>0.33333333333333331</v>
      </c>
      <c r="DL211" s="645">
        <f t="shared" si="171"/>
        <v>0.33333333333333331</v>
      </c>
      <c r="DM211" s="163">
        <f t="shared" si="171"/>
        <v>0</v>
      </c>
      <c r="DN211" s="163">
        <f t="shared" si="171"/>
        <v>0.33333333333333331</v>
      </c>
      <c r="DO211" s="163">
        <f t="shared" si="171"/>
        <v>0</v>
      </c>
      <c r="DP211" s="644">
        <f t="shared" si="171"/>
        <v>0</v>
      </c>
      <c r="DQ211" s="645">
        <f t="shared" si="171"/>
        <v>1</v>
      </c>
      <c r="DR211" s="163">
        <f t="shared" si="171"/>
        <v>1</v>
      </c>
      <c r="DS211" s="163">
        <f t="shared" si="171"/>
        <v>0</v>
      </c>
      <c r="DT211" s="163">
        <f t="shared" si="163"/>
        <v>0</v>
      </c>
      <c r="DU211" s="643">
        <f t="shared" si="163"/>
        <v>0</v>
      </c>
      <c r="DW211" s="646">
        <f t="shared" si="121"/>
        <v>3226.3333333333339</v>
      </c>
      <c r="DX211" s="645">
        <f t="shared" si="121"/>
        <v>2372</v>
      </c>
      <c r="DY211" s="163">
        <f t="shared" si="121"/>
        <v>1234.6666666666667</v>
      </c>
      <c r="DZ211" s="163">
        <f t="shared" si="121"/>
        <v>17</v>
      </c>
      <c r="EA211" s="163">
        <f t="shared" si="121"/>
        <v>1118.3333333333333</v>
      </c>
      <c r="EB211" s="644">
        <f t="shared" si="158"/>
        <v>2</v>
      </c>
      <c r="EC211" s="645">
        <f t="shared" si="158"/>
        <v>855.33333333333337</v>
      </c>
      <c r="ED211" s="163">
        <f t="shared" si="158"/>
        <v>402.99999999999983</v>
      </c>
      <c r="EE211" s="163">
        <f t="shared" si="158"/>
        <v>0</v>
      </c>
      <c r="EF211" s="163">
        <f t="shared" si="158"/>
        <v>388.99999999999994</v>
      </c>
      <c r="EG211" s="643">
        <f t="shared" si="158"/>
        <v>63.333333333333329</v>
      </c>
      <c r="EH211" s="646">
        <f t="shared" si="119"/>
        <v>997</v>
      </c>
      <c r="EI211" s="645">
        <f t="shared" si="119"/>
        <v>731.33333333333314</v>
      </c>
      <c r="EJ211" s="163">
        <f t="shared" si="119"/>
        <v>410.33333333333326</v>
      </c>
      <c r="EK211" s="163">
        <f t="shared" si="119"/>
        <v>9.6666666666666661</v>
      </c>
      <c r="EL211" s="163">
        <f t="shared" si="119"/>
        <v>310.3333333333332</v>
      </c>
      <c r="EM211" s="644">
        <f t="shared" si="119"/>
        <v>1</v>
      </c>
      <c r="EN211" s="645">
        <f t="shared" si="119"/>
        <v>265.66666666666663</v>
      </c>
      <c r="EO211" s="163">
        <f t="shared" si="119"/>
        <v>102.99999999999994</v>
      </c>
      <c r="EP211" s="163">
        <f t="shared" si="119"/>
        <v>0</v>
      </c>
      <c r="EQ211" s="163">
        <f t="shared" si="119"/>
        <v>143.66666666666671</v>
      </c>
      <c r="ER211" s="643">
        <f t="shared" si="119"/>
        <v>18.999999999999996</v>
      </c>
    </row>
    <row r="212" spans="1:148">
      <c r="A212" s="665" t="s">
        <v>248</v>
      </c>
      <c r="B212" s="665">
        <v>44958</v>
      </c>
      <c r="C212" s="664">
        <v>2023</v>
      </c>
      <c r="D212" s="646">
        <f t="shared" ref="D212" si="177">D113/3+D211</f>
        <v>4314115.333333334</v>
      </c>
      <c r="E212" s="646">
        <f t="shared" si="167"/>
        <v>109252.00000000001</v>
      </c>
      <c r="F212" s="645">
        <f t="shared" si="167"/>
        <v>78612.666666666672</v>
      </c>
      <c r="G212" s="163">
        <f t="shared" si="167"/>
        <v>40824.666666666657</v>
      </c>
      <c r="H212" s="163">
        <f t="shared" si="167"/>
        <v>1108</v>
      </c>
      <c r="I212" s="163">
        <f t="shared" si="167"/>
        <v>36435.333333333328</v>
      </c>
      <c r="J212" s="644">
        <f t="shared" si="167"/>
        <v>244.66666666666669</v>
      </c>
      <c r="K212" s="645">
        <f t="shared" si="167"/>
        <v>30639.333333333325</v>
      </c>
      <c r="L212" s="163">
        <f t="shared" si="167"/>
        <v>13926.666666666672</v>
      </c>
      <c r="M212" s="163">
        <f t="shared" si="167"/>
        <v>0</v>
      </c>
      <c r="N212" s="163">
        <f t="shared" si="167"/>
        <v>14158.666666666666</v>
      </c>
      <c r="O212" s="643">
        <f t="shared" si="167"/>
        <v>2553.9999999999991</v>
      </c>
      <c r="P212" s="646">
        <f t="shared" si="167"/>
        <v>170.66666666666669</v>
      </c>
      <c r="Q212" s="645">
        <f t="shared" si="167"/>
        <v>105.00000000000004</v>
      </c>
      <c r="R212" s="163">
        <f t="shared" si="167"/>
        <v>57.666666666666679</v>
      </c>
      <c r="S212" s="163">
        <f t="shared" si="167"/>
        <v>1</v>
      </c>
      <c r="T212" s="163">
        <f t="shared" si="164"/>
        <v>46.33333333333335</v>
      </c>
      <c r="U212" s="644">
        <f t="shared" si="164"/>
        <v>0</v>
      </c>
      <c r="V212" s="645">
        <f t="shared" si="164"/>
        <v>65.6666666666667</v>
      </c>
      <c r="W212" s="163">
        <f t="shared" si="164"/>
        <v>27.000000000000004</v>
      </c>
      <c r="X212" s="163">
        <f t="shared" si="164"/>
        <v>0</v>
      </c>
      <c r="Y212" s="163">
        <f t="shared" si="164"/>
        <v>32.333333333333336</v>
      </c>
      <c r="Z212" s="643">
        <f t="shared" si="164"/>
        <v>6.333333333333333</v>
      </c>
      <c r="AA212" s="646">
        <f t="shared" si="164"/>
        <v>109.00000000000003</v>
      </c>
      <c r="AB212" s="645">
        <f t="shared" si="164"/>
        <v>66.333333333333314</v>
      </c>
      <c r="AC212" s="163">
        <f t="shared" si="164"/>
        <v>32.333333333333329</v>
      </c>
      <c r="AD212" s="163">
        <f t="shared" si="164"/>
        <v>1</v>
      </c>
      <c r="AE212" s="163">
        <f t="shared" si="164"/>
        <v>33</v>
      </c>
      <c r="AF212" s="644">
        <f t="shared" si="164"/>
        <v>0</v>
      </c>
      <c r="AG212" s="645">
        <f t="shared" si="164"/>
        <v>42.666666666666686</v>
      </c>
      <c r="AH212" s="163">
        <f t="shared" si="164"/>
        <v>30.999999999999982</v>
      </c>
      <c r="AI212" s="163">
        <f t="shared" si="164"/>
        <v>0</v>
      </c>
      <c r="AJ212" s="163">
        <f t="shared" si="164"/>
        <v>6.6666666666666643</v>
      </c>
      <c r="AK212" s="643">
        <f t="shared" si="161"/>
        <v>4.9999999999999991</v>
      </c>
      <c r="AL212" s="646">
        <f t="shared" si="161"/>
        <v>1027</v>
      </c>
      <c r="AM212" s="645">
        <f t="shared" si="161"/>
        <v>755.66666666666652</v>
      </c>
      <c r="AN212" s="163">
        <f t="shared" si="161"/>
        <v>417.66666666666657</v>
      </c>
      <c r="AO212" s="163">
        <f t="shared" si="161"/>
        <v>10.333333333333332</v>
      </c>
      <c r="AP212" s="163">
        <f t="shared" si="161"/>
        <v>326.66666666666652</v>
      </c>
      <c r="AQ212" s="644">
        <f t="shared" si="161"/>
        <v>1</v>
      </c>
      <c r="AR212" s="645">
        <f t="shared" si="161"/>
        <v>271.33333333333331</v>
      </c>
      <c r="AS212" s="163">
        <f t="shared" si="161"/>
        <v>102.99999999999994</v>
      </c>
      <c r="AT212" s="163">
        <f t="shared" si="161"/>
        <v>0</v>
      </c>
      <c r="AU212" s="163">
        <f t="shared" si="161"/>
        <v>149.33333333333337</v>
      </c>
      <c r="AV212" s="643">
        <f t="shared" si="161"/>
        <v>18.999999999999996</v>
      </c>
      <c r="AW212" s="646">
        <f t="shared" si="161"/>
        <v>578.33333333333326</v>
      </c>
      <c r="AX212" s="645">
        <f t="shared" si="161"/>
        <v>408.99999999999994</v>
      </c>
      <c r="AY212" s="163">
        <f t="shared" si="161"/>
        <v>241.33333333333334</v>
      </c>
      <c r="AZ212" s="163">
        <f t="shared" si="161"/>
        <v>2</v>
      </c>
      <c r="BA212" s="163">
        <f t="shared" si="175"/>
        <v>165.66666666666669</v>
      </c>
      <c r="BB212" s="644">
        <f t="shared" si="175"/>
        <v>0</v>
      </c>
      <c r="BC212" s="645">
        <f t="shared" si="175"/>
        <v>169.33333333333334</v>
      </c>
      <c r="BD212" s="163">
        <f t="shared" si="175"/>
        <v>87.999999999999943</v>
      </c>
      <c r="BE212" s="163">
        <f t="shared" si="175"/>
        <v>0</v>
      </c>
      <c r="BF212" s="163">
        <f t="shared" si="175"/>
        <v>71.333333333333357</v>
      </c>
      <c r="BG212" s="643">
        <f t="shared" si="175"/>
        <v>10.000000000000002</v>
      </c>
      <c r="BH212" s="646">
        <f t="shared" si="175"/>
        <v>832.66666666666697</v>
      </c>
      <c r="BI212" s="645">
        <f t="shared" si="165"/>
        <v>652.33333333333314</v>
      </c>
      <c r="BJ212" s="163">
        <f t="shared" si="165"/>
        <v>336.33333333333348</v>
      </c>
      <c r="BK212" s="163">
        <f t="shared" si="165"/>
        <v>6.3333333333333348</v>
      </c>
      <c r="BL212" s="163">
        <f t="shared" si="165"/>
        <v>308.66666666666663</v>
      </c>
      <c r="BM212" s="644">
        <f t="shared" si="165"/>
        <v>1</v>
      </c>
      <c r="BN212" s="645">
        <f t="shared" si="165"/>
        <v>180.33333333333329</v>
      </c>
      <c r="BO212" s="163">
        <f t="shared" si="165"/>
        <v>73.000000000000014</v>
      </c>
      <c r="BP212" s="163">
        <f t="shared" si="165"/>
        <v>0</v>
      </c>
      <c r="BQ212" s="163">
        <f t="shared" si="165"/>
        <v>92.666666666666686</v>
      </c>
      <c r="BR212" s="643">
        <f t="shared" si="165"/>
        <v>14.666666666666671</v>
      </c>
      <c r="BS212" s="646">
        <f t="shared" si="165"/>
        <v>1201.666666666667</v>
      </c>
      <c r="BT212" s="645">
        <f t="shared" si="165"/>
        <v>914.33333333333337</v>
      </c>
      <c r="BU212" s="163">
        <f t="shared" si="165"/>
        <v>435.33333333333326</v>
      </c>
      <c r="BV212" s="163">
        <f t="shared" si="165"/>
        <v>3.333333333333333</v>
      </c>
      <c r="BW212" s="163">
        <f t="shared" si="165"/>
        <v>474.66666666666657</v>
      </c>
      <c r="BX212" s="644">
        <f t="shared" si="162"/>
        <v>1</v>
      </c>
      <c r="BY212" s="645">
        <f t="shared" si="162"/>
        <v>287.33333333333331</v>
      </c>
      <c r="BZ212" s="163">
        <f t="shared" si="162"/>
        <v>119.9999999999999</v>
      </c>
      <c r="CA212" s="163">
        <f t="shared" si="162"/>
        <v>0</v>
      </c>
      <c r="CB212" s="163">
        <f t="shared" si="162"/>
        <v>143.6666666666666</v>
      </c>
      <c r="CC212" s="643">
        <f t="shared" si="162"/>
        <v>23.666666666666661</v>
      </c>
      <c r="CD212" s="646">
        <f t="shared" si="162"/>
        <v>219.66666666666666</v>
      </c>
      <c r="CE212" s="645">
        <f t="shared" si="162"/>
        <v>159.00000000000003</v>
      </c>
      <c r="CF212" s="163">
        <f t="shared" si="162"/>
        <v>77.666666666666657</v>
      </c>
      <c r="CG212" s="163">
        <f t="shared" si="162"/>
        <v>2</v>
      </c>
      <c r="CH212" s="163">
        <f t="shared" si="162"/>
        <v>79.333333333333343</v>
      </c>
      <c r="CI212" s="644">
        <f t="shared" si="162"/>
        <v>0</v>
      </c>
      <c r="CJ212" s="645">
        <f t="shared" si="162"/>
        <v>60.66666666666665</v>
      </c>
      <c r="CK212" s="163">
        <f t="shared" si="162"/>
        <v>25.999999999999996</v>
      </c>
      <c r="CL212" s="163">
        <f t="shared" si="162"/>
        <v>0</v>
      </c>
      <c r="CM212" s="163">
        <f t="shared" si="162"/>
        <v>30.666666666666668</v>
      </c>
      <c r="CN212" s="643">
        <f t="shared" si="169"/>
        <v>4</v>
      </c>
      <c r="CO212" s="646">
        <f t="shared" si="169"/>
        <v>160</v>
      </c>
      <c r="CP212" s="645">
        <f t="shared" si="169"/>
        <v>111.33333333333336</v>
      </c>
      <c r="CQ212" s="163">
        <f t="shared" si="169"/>
        <v>68.333333333333357</v>
      </c>
      <c r="CR212" s="163">
        <f t="shared" si="169"/>
        <v>2.6666666666666665</v>
      </c>
      <c r="CS212" s="163">
        <f t="shared" si="169"/>
        <v>40.333333333333321</v>
      </c>
      <c r="CT212" s="644">
        <f t="shared" si="169"/>
        <v>0</v>
      </c>
      <c r="CU212" s="645">
        <f t="shared" si="169"/>
        <v>48.666666666666686</v>
      </c>
      <c r="CV212" s="163">
        <f t="shared" si="169"/>
        <v>23.999999999999986</v>
      </c>
      <c r="CW212" s="163">
        <f t="shared" si="169"/>
        <v>0</v>
      </c>
      <c r="CX212" s="163">
        <f t="shared" si="169"/>
        <v>24.66666666666665</v>
      </c>
      <c r="CY212" s="643">
        <f t="shared" si="169"/>
        <v>0</v>
      </c>
      <c r="CZ212" s="646">
        <f t="shared" si="169"/>
        <v>54</v>
      </c>
      <c r="DA212" s="645">
        <f t="shared" si="169"/>
        <v>35.000000000000007</v>
      </c>
      <c r="DB212" s="163">
        <f t="shared" si="169"/>
        <v>12.333333333333332</v>
      </c>
      <c r="DC212" s="163">
        <f t="shared" si="169"/>
        <v>1</v>
      </c>
      <c r="DD212" s="163">
        <f t="shared" si="171"/>
        <v>21.666666666666657</v>
      </c>
      <c r="DE212" s="644">
        <f t="shared" si="171"/>
        <v>0</v>
      </c>
      <c r="DF212" s="645">
        <f t="shared" si="171"/>
        <v>19.000000000000011</v>
      </c>
      <c r="DG212" s="163">
        <f t="shared" si="171"/>
        <v>13.000000000000011</v>
      </c>
      <c r="DH212" s="163">
        <f t="shared" si="171"/>
        <v>0</v>
      </c>
      <c r="DI212" s="163">
        <f t="shared" si="171"/>
        <v>3.9999999999999996</v>
      </c>
      <c r="DJ212" s="643">
        <f t="shared" si="171"/>
        <v>2</v>
      </c>
      <c r="DK212" s="646">
        <f t="shared" si="171"/>
        <v>0.66666666666666663</v>
      </c>
      <c r="DL212" s="645">
        <f t="shared" si="171"/>
        <v>0.66666666666666663</v>
      </c>
      <c r="DM212" s="163">
        <f t="shared" si="171"/>
        <v>0</v>
      </c>
      <c r="DN212" s="163">
        <f t="shared" si="171"/>
        <v>0.66666666666666663</v>
      </c>
      <c r="DO212" s="163">
        <f t="shared" si="171"/>
        <v>0</v>
      </c>
      <c r="DP212" s="644">
        <f t="shared" si="171"/>
        <v>0</v>
      </c>
      <c r="DQ212" s="645">
        <f t="shared" si="171"/>
        <v>1</v>
      </c>
      <c r="DR212" s="163">
        <f t="shared" si="171"/>
        <v>1</v>
      </c>
      <c r="DS212" s="163">
        <f t="shared" si="171"/>
        <v>0</v>
      </c>
      <c r="DT212" s="163">
        <f t="shared" si="163"/>
        <v>0</v>
      </c>
      <c r="DU212" s="643">
        <f t="shared" si="163"/>
        <v>0</v>
      </c>
      <c r="DW212" s="646">
        <f t="shared" si="121"/>
        <v>3326.666666666667</v>
      </c>
      <c r="DX212" s="645">
        <f t="shared" si="121"/>
        <v>2453</v>
      </c>
      <c r="DY212" s="163">
        <f t="shared" si="121"/>
        <v>1261.3333333333333</v>
      </c>
      <c r="DZ212" s="163">
        <f t="shared" si="121"/>
        <v>20.000000000000004</v>
      </c>
      <c r="EA212" s="163">
        <f t="shared" si="121"/>
        <v>1169.6666666666665</v>
      </c>
      <c r="EB212" s="644">
        <f t="shared" si="158"/>
        <v>2</v>
      </c>
      <c r="EC212" s="645">
        <f t="shared" si="158"/>
        <v>874.66666666666652</v>
      </c>
      <c r="ED212" s="163">
        <f t="shared" si="158"/>
        <v>402.99999999999983</v>
      </c>
      <c r="EE212" s="163">
        <f t="shared" si="158"/>
        <v>0</v>
      </c>
      <c r="EF212" s="163">
        <f t="shared" si="158"/>
        <v>405.99999999999994</v>
      </c>
      <c r="EG212" s="643">
        <f t="shared" si="158"/>
        <v>65.666666666666671</v>
      </c>
      <c r="EH212" s="646">
        <f t="shared" si="119"/>
        <v>1027</v>
      </c>
      <c r="EI212" s="645">
        <f t="shared" si="119"/>
        <v>755.66666666666652</v>
      </c>
      <c r="EJ212" s="163">
        <f t="shared" si="119"/>
        <v>417.66666666666657</v>
      </c>
      <c r="EK212" s="163">
        <f t="shared" si="119"/>
        <v>10.333333333333332</v>
      </c>
      <c r="EL212" s="163">
        <f t="shared" si="119"/>
        <v>326.66666666666652</v>
      </c>
      <c r="EM212" s="644">
        <f t="shared" si="119"/>
        <v>1</v>
      </c>
      <c r="EN212" s="645">
        <f t="shared" si="119"/>
        <v>271.33333333333331</v>
      </c>
      <c r="EO212" s="163">
        <f t="shared" si="119"/>
        <v>102.99999999999994</v>
      </c>
      <c r="EP212" s="163">
        <f t="shared" si="119"/>
        <v>0</v>
      </c>
      <c r="EQ212" s="163">
        <f t="shared" si="119"/>
        <v>149.33333333333337</v>
      </c>
      <c r="ER212" s="643">
        <f t="shared" si="119"/>
        <v>18.999999999999996</v>
      </c>
    </row>
    <row r="213" spans="1:148">
      <c r="A213" s="665" t="s">
        <v>248</v>
      </c>
      <c r="B213" s="665">
        <v>44986</v>
      </c>
      <c r="C213" s="664">
        <v>2023</v>
      </c>
      <c r="D213" s="646">
        <f t="shared" ref="D213" si="178">D114/3+D212</f>
        <v>4361988.0000000009</v>
      </c>
      <c r="E213" s="646">
        <f t="shared" si="167"/>
        <v>112092.00000000001</v>
      </c>
      <c r="F213" s="645">
        <f t="shared" si="167"/>
        <v>80866</v>
      </c>
      <c r="G213" s="163">
        <f t="shared" si="167"/>
        <v>41612.999999999993</v>
      </c>
      <c r="H213" s="163">
        <f t="shared" si="167"/>
        <v>1226</v>
      </c>
      <c r="I213" s="163">
        <f t="shared" si="167"/>
        <v>37747.999999999993</v>
      </c>
      <c r="J213" s="644">
        <f t="shared" si="167"/>
        <v>279</v>
      </c>
      <c r="K213" s="645">
        <f t="shared" si="167"/>
        <v>31225.999999999993</v>
      </c>
      <c r="L213" s="163">
        <f t="shared" si="167"/>
        <v>13955.000000000005</v>
      </c>
      <c r="M213" s="163">
        <f t="shared" si="167"/>
        <v>0</v>
      </c>
      <c r="N213" s="163">
        <f t="shared" si="167"/>
        <v>14652</v>
      </c>
      <c r="O213" s="643">
        <f t="shared" si="167"/>
        <v>2618.9999999999991</v>
      </c>
      <c r="P213" s="646">
        <f t="shared" si="167"/>
        <v>177.00000000000003</v>
      </c>
      <c r="Q213" s="645">
        <f t="shared" si="167"/>
        <v>108.00000000000004</v>
      </c>
      <c r="R213" s="163">
        <f t="shared" si="167"/>
        <v>60.000000000000014</v>
      </c>
      <c r="S213" s="163">
        <f t="shared" si="167"/>
        <v>1</v>
      </c>
      <c r="T213" s="163">
        <f t="shared" si="164"/>
        <v>47.000000000000014</v>
      </c>
      <c r="U213" s="644">
        <f t="shared" si="164"/>
        <v>0</v>
      </c>
      <c r="V213" s="645">
        <f t="shared" si="164"/>
        <v>69.000000000000028</v>
      </c>
      <c r="W213" s="163">
        <f t="shared" si="164"/>
        <v>27.000000000000004</v>
      </c>
      <c r="X213" s="163">
        <f t="shared" si="164"/>
        <v>0</v>
      </c>
      <c r="Y213" s="163">
        <f t="shared" si="164"/>
        <v>35</v>
      </c>
      <c r="Z213" s="643">
        <f t="shared" si="164"/>
        <v>7</v>
      </c>
      <c r="AA213" s="646">
        <f t="shared" si="164"/>
        <v>113.00000000000003</v>
      </c>
      <c r="AB213" s="645">
        <f t="shared" si="164"/>
        <v>69.999999999999986</v>
      </c>
      <c r="AC213" s="163">
        <f t="shared" si="164"/>
        <v>32.999999999999993</v>
      </c>
      <c r="AD213" s="163">
        <f t="shared" si="164"/>
        <v>1</v>
      </c>
      <c r="AE213" s="163">
        <f t="shared" si="164"/>
        <v>36</v>
      </c>
      <c r="AF213" s="644">
        <f t="shared" si="164"/>
        <v>0</v>
      </c>
      <c r="AG213" s="645">
        <f t="shared" si="164"/>
        <v>43.000000000000021</v>
      </c>
      <c r="AH213" s="163">
        <f t="shared" si="164"/>
        <v>30.999999999999982</v>
      </c>
      <c r="AI213" s="163">
        <f t="shared" si="164"/>
        <v>0</v>
      </c>
      <c r="AJ213" s="163">
        <f t="shared" si="164"/>
        <v>6.9999999999999973</v>
      </c>
      <c r="AK213" s="643">
        <f t="shared" ref="AK213:AZ228" si="179">AK114/3+AK212</f>
        <v>4.9999999999999991</v>
      </c>
      <c r="AL213" s="646">
        <f t="shared" si="179"/>
        <v>1057</v>
      </c>
      <c r="AM213" s="645">
        <f t="shared" si="179"/>
        <v>779.99999999999989</v>
      </c>
      <c r="AN213" s="163">
        <f t="shared" si="179"/>
        <v>424.99999999999989</v>
      </c>
      <c r="AO213" s="163">
        <f t="shared" si="179"/>
        <v>10.999999999999998</v>
      </c>
      <c r="AP213" s="163">
        <f t="shared" si="179"/>
        <v>342.99999999999983</v>
      </c>
      <c r="AQ213" s="644">
        <f t="shared" si="179"/>
        <v>1</v>
      </c>
      <c r="AR213" s="645">
        <f t="shared" si="179"/>
        <v>277</v>
      </c>
      <c r="AS213" s="163">
        <f t="shared" si="179"/>
        <v>102.99999999999994</v>
      </c>
      <c r="AT213" s="163">
        <f t="shared" si="179"/>
        <v>0</v>
      </c>
      <c r="AU213" s="163">
        <f t="shared" si="179"/>
        <v>155.00000000000003</v>
      </c>
      <c r="AV213" s="643">
        <f t="shared" si="179"/>
        <v>18.999999999999996</v>
      </c>
      <c r="AW213" s="646">
        <f t="shared" si="179"/>
        <v>595.99999999999989</v>
      </c>
      <c r="AX213" s="645">
        <f t="shared" si="179"/>
        <v>422.99999999999994</v>
      </c>
      <c r="AY213" s="163">
        <f t="shared" si="179"/>
        <v>246</v>
      </c>
      <c r="AZ213" s="163">
        <f t="shared" si="179"/>
        <v>3</v>
      </c>
      <c r="BA213" s="163">
        <f t="shared" si="175"/>
        <v>174.00000000000003</v>
      </c>
      <c r="BB213" s="644">
        <f t="shared" si="175"/>
        <v>0</v>
      </c>
      <c r="BC213" s="645">
        <f t="shared" si="175"/>
        <v>173</v>
      </c>
      <c r="BD213" s="163">
        <f t="shared" si="175"/>
        <v>87.999999999999943</v>
      </c>
      <c r="BE213" s="163">
        <f t="shared" si="175"/>
        <v>0</v>
      </c>
      <c r="BF213" s="163">
        <f t="shared" si="175"/>
        <v>75.000000000000028</v>
      </c>
      <c r="BG213" s="643">
        <f t="shared" si="175"/>
        <v>10.000000000000002</v>
      </c>
      <c r="BH213" s="646">
        <f t="shared" si="175"/>
        <v>855.00000000000034</v>
      </c>
      <c r="BI213" s="645">
        <f t="shared" si="165"/>
        <v>671.99999999999977</v>
      </c>
      <c r="BJ213" s="163">
        <f t="shared" si="165"/>
        <v>343.00000000000017</v>
      </c>
      <c r="BK213" s="163">
        <f t="shared" si="165"/>
        <v>7.0000000000000018</v>
      </c>
      <c r="BL213" s="163">
        <f t="shared" si="165"/>
        <v>320.99999999999994</v>
      </c>
      <c r="BM213" s="644">
        <f t="shared" si="165"/>
        <v>1</v>
      </c>
      <c r="BN213" s="645">
        <f t="shared" si="165"/>
        <v>182.99999999999994</v>
      </c>
      <c r="BO213" s="163">
        <f t="shared" si="165"/>
        <v>73.000000000000014</v>
      </c>
      <c r="BP213" s="163">
        <f t="shared" si="165"/>
        <v>0</v>
      </c>
      <c r="BQ213" s="163">
        <f t="shared" si="165"/>
        <v>95.000000000000014</v>
      </c>
      <c r="BR213" s="643">
        <f t="shared" si="165"/>
        <v>15.000000000000005</v>
      </c>
      <c r="BS213" s="646">
        <f t="shared" si="165"/>
        <v>1242.0000000000002</v>
      </c>
      <c r="BT213" s="645">
        <f t="shared" si="165"/>
        <v>948</v>
      </c>
      <c r="BU213" s="163">
        <f t="shared" si="165"/>
        <v>444.99999999999994</v>
      </c>
      <c r="BV213" s="163">
        <f t="shared" si="165"/>
        <v>3.9999999999999996</v>
      </c>
      <c r="BW213" s="163">
        <f t="shared" si="165"/>
        <v>497.99999999999989</v>
      </c>
      <c r="BX213" s="644">
        <f t="shared" si="162"/>
        <v>1</v>
      </c>
      <c r="BY213" s="645">
        <f t="shared" si="162"/>
        <v>294</v>
      </c>
      <c r="BZ213" s="163">
        <f t="shared" si="162"/>
        <v>119.9999999999999</v>
      </c>
      <c r="CA213" s="163">
        <f t="shared" si="162"/>
        <v>0</v>
      </c>
      <c r="CB213" s="163">
        <f t="shared" si="162"/>
        <v>149.99999999999994</v>
      </c>
      <c r="CC213" s="643">
        <f t="shared" si="162"/>
        <v>23.999999999999993</v>
      </c>
      <c r="CD213" s="646">
        <f t="shared" si="162"/>
        <v>224</v>
      </c>
      <c r="CE213" s="645">
        <f t="shared" si="162"/>
        <v>162.00000000000003</v>
      </c>
      <c r="CF213" s="163">
        <f t="shared" si="162"/>
        <v>78.999999999999986</v>
      </c>
      <c r="CG213" s="163">
        <f t="shared" si="162"/>
        <v>2</v>
      </c>
      <c r="CH213" s="163">
        <f t="shared" si="162"/>
        <v>81.000000000000014</v>
      </c>
      <c r="CI213" s="644">
        <f t="shared" si="162"/>
        <v>0</v>
      </c>
      <c r="CJ213" s="645">
        <f t="shared" si="162"/>
        <v>61.999999999999986</v>
      </c>
      <c r="CK213" s="163">
        <f t="shared" si="162"/>
        <v>25.999999999999996</v>
      </c>
      <c r="CL213" s="163">
        <f t="shared" si="162"/>
        <v>0</v>
      </c>
      <c r="CM213" s="163">
        <f t="shared" si="162"/>
        <v>32</v>
      </c>
      <c r="CN213" s="643">
        <f t="shared" si="169"/>
        <v>4</v>
      </c>
      <c r="CO213" s="646">
        <f t="shared" si="169"/>
        <v>163</v>
      </c>
      <c r="CP213" s="645">
        <f t="shared" si="169"/>
        <v>114.00000000000003</v>
      </c>
      <c r="CQ213" s="163">
        <f t="shared" si="169"/>
        <v>69.000000000000028</v>
      </c>
      <c r="CR213" s="163">
        <f t="shared" si="169"/>
        <v>3</v>
      </c>
      <c r="CS213" s="163">
        <f t="shared" si="169"/>
        <v>41.999999999999986</v>
      </c>
      <c r="CT213" s="644">
        <f t="shared" si="169"/>
        <v>0</v>
      </c>
      <c r="CU213" s="645">
        <f t="shared" si="169"/>
        <v>49.000000000000021</v>
      </c>
      <c r="CV213" s="163">
        <f t="shared" si="169"/>
        <v>23.999999999999986</v>
      </c>
      <c r="CW213" s="163">
        <f t="shared" si="169"/>
        <v>0</v>
      </c>
      <c r="CX213" s="163">
        <f t="shared" si="169"/>
        <v>24.999999999999982</v>
      </c>
      <c r="CY213" s="643">
        <f t="shared" si="169"/>
        <v>0</v>
      </c>
      <c r="CZ213" s="646">
        <f t="shared" si="169"/>
        <v>56</v>
      </c>
      <c r="DA213" s="645">
        <f t="shared" si="169"/>
        <v>36.000000000000007</v>
      </c>
      <c r="DB213" s="163">
        <f t="shared" si="169"/>
        <v>12.999999999999998</v>
      </c>
      <c r="DC213" s="163">
        <f t="shared" si="169"/>
        <v>1</v>
      </c>
      <c r="DD213" s="163">
        <f t="shared" si="171"/>
        <v>21.999999999999989</v>
      </c>
      <c r="DE213" s="644">
        <f t="shared" si="171"/>
        <v>0</v>
      </c>
      <c r="DF213" s="645">
        <f t="shared" si="171"/>
        <v>20.000000000000011</v>
      </c>
      <c r="DG213" s="163">
        <f t="shared" si="171"/>
        <v>13.000000000000011</v>
      </c>
      <c r="DH213" s="163">
        <f t="shared" si="171"/>
        <v>0</v>
      </c>
      <c r="DI213" s="163">
        <f t="shared" si="171"/>
        <v>3.9999999999999996</v>
      </c>
      <c r="DJ213" s="643">
        <f t="shared" si="171"/>
        <v>3</v>
      </c>
      <c r="DK213" s="646">
        <f t="shared" si="171"/>
        <v>1</v>
      </c>
      <c r="DL213" s="645">
        <f t="shared" si="171"/>
        <v>1</v>
      </c>
      <c r="DM213" s="163">
        <f t="shared" si="171"/>
        <v>0</v>
      </c>
      <c r="DN213" s="163">
        <f t="shared" si="171"/>
        <v>1</v>
      </c>
      <c r="DO213" s="163">
        <f t="shared" si="171"/>
        <v>0</v>
      </c>
      <c r="DP213" s="644">
        <f t="shared" si="171"/>
        <v>0</v>
      </c>
      <c r="DQ213" s="645">
        <f t="shared" si="171"/>
        <v>1</v>
      </c>
      <c r="DR213" s="163">
        <f t="shared" si="171"/>
        <v>1</v>
      </c>
      <c r="DS213" s="163">
        <f t="shared" si="171"/>
        <v>0</v>
      </c>
      <c r="DT213" s="163">
        <f t="shared" si="163"/>
        <v>0</v>
      </c>
      <c r="DU213" s="643">
        <f t="shared" si="163"/>
        <v>0</v>
      </c>
      <c r="DW213" s="646">
        <f t="shared" si="121"/>
        <v>3427.0000000000009</v>
      </c>
      <c r="DX213" s="645">
        <f t="shared" si="121"/>
        <v>2534</v>
      </c>
      <c r="DY213" s="163">
        <f t="shared" si="121"/>
        <v>1288.0000000000002</v>
      </c>
      <c r="DZ213" s="163">
        <f t="shared" si="121"/>
        <v>23</v>
      </c>
      <c r="EA213" s="163">
        <f t="shared" si="121"/>
        <v>1221</v>
      </c>
      <c r="EB213" s="644">
        <f t="shared" si="158"/>
        <v>2</v>
      </c>
      <c r="EC213" s="645">
        <f t="shared" si="158"/>
        <v>894</v>
      </c>
      <c r="ED213" s="163">
        <f t="shared" si="158"/>
        <v>402.99999999999983</v>
      </c>
      <c r="EE213" s="163">
        <f t="shared" si="158"/>
        <v>0</v>
      </c>
      <c r="EF213" s="163">
        <f t="shared" si="158"/>
        <v>423</v>
      </c>
      <c r="EG213" s="643">
        <f t="shared" si="158"/>
        <v>68</v>
      </c>
      <c r="EH213" s="646">
        <f t="shared" si="119"/>
        <v>1057</v>
      </c>
      <c r="EI213" s="645">
        <f t="shared" si="119"/>
        <v>779.99999999999989</v>
      </c>
      <c r="EJ213" s="163">
        <f t="shared" si="119"/>
        <v>424.99999999999989</v>
      </c>
      <c r="EK213" s="163">
        <f t="shared" si="119"/>
        <v>10.999999999999998</v>
      </c>
      <c r="EL213" s="163">
        <f t="shared" si="119"/>
        <v>342.99999999999983</v>
      </c>
      <c r="EM213" s="644">
        <f t="shared" si="119"/>
        <v>1</v>
      </c>
      <c r="EN213" s="645">
        <f t="shared" si="119"/>
        <v>277</v>
      </c>
      <c r="EO213" s="163">
        <f t="shared" si="119"/>
        <v>102.99999999999994</v>
      </c>
      <c r="EP213" s="163">
        <f t="shared" si="119"/>
        <v>0</v>
      </c>
      <c r="EQ213" s="163">
        <f t="shared" si="119"/>
        <v>155.00000000000003</v>
      </c>
      <c r="ER213" s="643">
        <f t="shared" si="119"/>
        <v>18.999999999999996</v>
      </c>
    </row>
    <row r="214" spans="1:148">
      <c r="A214" s="665" t="s">
        <v>249</v>
      </c>
      <c r="B214" s="665">
        <v>45017</v>
      </c>
      <c r="C214" s="664">
        <v>2023</v>
      </c>
      <c r="D214" s="646">
        <f t="shared" ref="D214" si="180">D115/3+D213</f>
        <v>4423205.333333334</v>
      </c>
      <c r="E214" s="646">
        <f t="shared" si="167"/>
        <v>116357.66666666669</v>
      </c>
      <c r="F214" s="645">
        <f t="shared" si="167"/>
        <v>84028</v>
      </c>
      <c r="G214" s="163">
        <f t="shared" si="167"/>
        <v>42343.666666666657</v>
      </c>
      <c r="H214" s="163">
        <f t="shared" si="167"/>
        <v>1353.3333333333333</v>
      </c>
      <c r="I214" s="163">
        <f t="shared" si="167"/>
        <v>39995.666666666657</v>
      </c>
      <c r="J214" s="644">
        <f t="shared" si="167"/>
        <v>335.33333333333331</v>
      </c>
      <c r="K214" s="645">
        <f t="shared" si="167"/>
        <v>32329.666666666661</v>
      </c>
      <c r="L214" s="163">
        <f t="shared" si="167"/>
        <v>14025.000000000005</v>
      </c>
      <c r="M214" s="163">
        <f t="shared" si="167"/>
        <v>0</v>
      </c>
      <c r="N214" s="163">
        <f t="shared" si="167"/>
        <v>15599.666666666666</v>
      </c>
      <c r="O214" s="643">
        <f t="shared" si="167"/>
        <v>2704.9999999999991</v>
      </c>
      <c r="P214" s="646">
        <f t="shared" si="167"/>
        <v>185.66666666666669</v>
      </c>
      <c r="Q214" s="645">
        <f t="shared" si="167"/>
        <v>112.00000000000004</v>
      </c>
      <c r="R214" s="163">
        <f t="shared" si="167"/>
        <v>60.33333333333335</v>
      </c>
      <c r="S214" s="163">
        <f t="shared" si="167"/>
        <v>1.3333333333333333</v>
      </c>
      <c r="T214" s="163">
        <f t="shared" si="164"/>
        <v>50.33333333333335</v>
      </c>
      <c r="U214" s="644">
        <f t="shared" si="164"/>
        <v>0</v>
      </c>
      <c r="V214" s="645">
        <f t="shared" si="164"/>
        <v>73.6666666666667</v>
      </c>
      <c r="W214" s="163">
        <f t="shared" si="164"/>
        <v>27.333333333333336</v>
      </c>
      <c r="X214" s="163">
        <f t="shared" si="164"/>
        <v>0</v>
      </c>
      <c r="Y214" s="163">
        <f t="shared" si="164"/>
        <v>39.333333333333336</v>
      </c>
      <c r="Z214" s="643">
        <f t="shared" si="164"/>
        <v>7</v>
      </c>
      <c r="AA214" s="646">
        <f t="shared" si="164"/>
        <v>114.6666666666667</v>
      </c>
      <c r="AB214" s="645">
        <f t="shared" si="164"/>
        <v>71.333333333333314</v>
      </c>
      <c r="AC214" s="163">
        <f t="shared" si="164"/>
        <v>33.666666666666657</v>
      </c>
      <c r="AD214" s="163">
        <f t="shared" si="164"/>
        <v>1</v>
      </c>
      <c r="AE214" s="163">
        <f t="shared" si="164"/>
        <v>36.666666666666664</v>
      </c>
      <c r="AF214" s="644">
        <f t="shared" si="164"/>
        <v>0</v>
      </c>
      <c r="AG214" s="645">
        <f t="shared" si="164"/>
        <v>43.333333333333357</v>
      </c>
      <c r="AH214" s="163">
        <f t="shared" si="164"/>
        <v>30.999999999999982</v>
      </c>
      <c r="AI214" s="163">
        <f t="shared" si="164"/>
        <v>0</v>
      </c>
      <c r="AJ214" s="163">
        <f t="shared" si="164"/>
        <v>6.9999999999999973</v>
      </c>
      <c r="AK214" s="643">
        <f t="shared" si="179"/>
        <v>5.3333333333333321</v>
      </c>
      <c r="AL214" s="646">
        <f t="shared" si="179"/>
        <v>1107</v>
      </c>
      <c r="AM214" s="645">
        <f t="shared" si="179"/>
        <v>819.33333333333326</v>
      </c>
      <c r="AN214" s="163">
        <f t="shared" si="179"/>
        <v>431.3333333333332</v>
      </c>
      <c r="AO214" s="163">
        <f t="shared" si="179"/>
        <v>11.999999999999998</v>
      </c>
      <c r="AP214" s="163">
        <f t="shared" si="179"/>
        <v>374.99999999999983</v>
      </c>
      <c r="AQ214" s="644">
        <f t="shared" si="179"/>
        <v>1</v>
      </c>
      <c r="AR214" s="645">
        <f t="shared" si="179"/>
        <v>287.66666666666669</v>
      </c>
      <c r="AS214" s="163">
        <f t="shared" si="179"/>
        <v>103.33333333333327</v>
      </c>
      <c r="AT214" s="163">
        <f t="shared" si="179"/>
        <v>0</v>
      </c>
      <c r="AU214" s="163">
        <f t="shared" si="179"/>
        <v>164.33333333333337</v>
      </c>
      <c r="AV214" s="643">
        <f t="shared" si="179"/>
        <v>19.999999999999996</v>
      </c>
      <c r="AW214" s="646">
        <f t="shared" si="179"/>
        <v>617.66666666666652</v>
      </c>
      <c r="AX214" s="645">
        <f t="shared" si="179"/>
        <v>439.33333333333326</v>
      </c>
      <c r="AY214" s="163">
        <f t="shared" si="179"/>
        <v>250.33333333333334</v>
      </c>
      <c r="AZ214" s="163">
        <f t="shared" si="179"/>
        <v>3.3333333333333335</v>
      </c>
      <c r="BA214" s="163">
        <f t="shared" si="175"/>
        <v>185.66666666666669</v>
      </c>
      <c r="BB214" s="644">
        <f t="shared" si="175"/>
        <v>0</v>
      </c>
      <c r="BC214" s="645">
        <f t="shared" si="175"/>
        <v>178.33333333333334</v>
      </c>
      <c r="BD214" s="163">
        <f t="shared" si="175"/>
        <v>87.999999999999943</v>
      </c>
      <c r="BE214" s="163">
        <f t="shared" si="175"/>
        <v>0</v>
      </c>
      <c r="BF214" s="163">
        <f t="shared" si="175"/>
        <v>79.6666666666667</v>
      </c>
      <c r="BG214" s="643">
        <f t="shared" si="175"/>
        <v>10.666666666666668</v>
      </c>
      <c r="BH214" s="646">
        <f t="shared" si="175"/>
        <v>888.33333333333371</v>
      </c>
      <c r="BI214" s="645">
        <f t="shared" si="165"/>
        <v>694.99999999999977</v>
      </c>
      <c r="BJ214" s="163">
        <f t="shared" si="165"/>
        <v>347.66666666666686</v>
      </c>
      <c r="BK214" s="163">
        <f t="shared" si="165"/>
        <v>8.0000000000000018</v>
      </c>
      <c r="BL214" s="163">
        <f t="shared" si="165"/>
        <v>338.33333333333326</v>
      </c>
      <c r="BM214" s="644">
        <f t="shared" si="165"/>
        <v>1</v>
      </c>
      <c r="BN214" s="645">
        <f t="shared" si="165"/>
        <v>193.33333333333329</v>
      </c>
      <c r="BO214" s="163">
        <f t="shared" si="165"/>
        <v>73.000000000000014</v>
      </c>
      <c r="BP214" s="163">
        <f t="shared" si="165"/>
        <v>0</v>
      </c>
      <c r="BQ214" s="163">
        <f t="shared" si="165"/>
        <v>104.00000000000001</v>
      </c>
      <c r="BR214" s="643">
        <f t="shared" si="165"/>
        <v>16.333333333333339</v>
      </c>
      <c r="BS214" s="646">
        <f t="shared" si="165"/>
        <v>1298.3333333333335</v>
      </c>
      <c r="BT214" s="645">
        <f t="shared" si="165"/>
        <v>992.66666666666663</v>
      </c>
      <c r="BU214" s="163">
        <f t="shared" si="165"/>
        <v>454.99999999999994</v>
      </c>
      <c r="BV214" s="163">
        <f t="shared" si="165"/>
        <v>3.9999999999999996</v>
      </c>
      <c r="BW214" s="163">
        <f t="shared" si="165"/>
        <v>532.66666666666652</v>
      </c>
      <c r="BX214" s="644">
        <f t="shared" si="162"/>
        <v>1</v>
      </c>
      <c r="BY214" s="645">
        <f t="shared" si="162"/>
        <v>305.66666666666669</v>
      </c>
      <c r="BZ214" s="163">
        <f t="shared" si="162"/>
        <v>120.66666666666657</v>
      </c>
      <c r="CA214" s="163">
        <f t="shared" si="162"/>
        <v>0</v>
      </c>
      <c r="CB214" s="163">
        <f t="shared" si="162"/>
        <v>160.33333333333329</v>
      </c>
      <c r="CC214" s="643">
        <f t="shared" si="162"/>
        <v>24.666666666666661</v>
      </c>
      <c r="CD214" s="646">
        <f t="shared" si="162"/>
        <v>232</v>
      </c>
      <c r="CE214" s="645">
        <f t="shared" si="162"/>
        <v>167.66666666666669</v>
      </c>
      <c r="CF214" s="163">
        <f t="shared" si="162"/>
        <v>79.666666666666657</v>
      </c>
      <c r="CG214" s="163">
        <f t="shared" si="162"/>
        <v>3</v>
      </c>
      <c r="CH214" s="163">
        <f t="shared" si="162"/>
        <v>85.000000000000014</v>
      </c>
      <c r="CI214" s="644">
        <f t="shared" si="162"/>
        <v>0</v>
      </c>
      <c r="CJ214" s="645">
        <f t="shared" si="162"/>
        <v>64.333333333333314</v>
      </c>
      <c r="CK214" s="163">
        <f t="shared" si="162"/>
        <v>25.999999999999996</v>
      </c>
      <c r="CL214" s="163">
        <f t="shared" si="162"/>
        <v>0</v>
      </c>
      <c r="CM214" s="163">
        <f t="shared" si="162"/>
        <v>34</v>
      </c>
      <c r="CN214" s="643">
        <f t="shared" si="169"/>
        <v>4.333333333333333</v>
      </c>
      <c r="CO214" s="646">
        <f t="shared" si="169"/>
        <v>166</v>
      </c>
      <c r="CP214" s="645">
        <f t="shared" si="169"/>
        <v>116.6666666666667</v>
      </c>
      <c r="CQ214" s="163">
        <f t="shared" si="169"/>
        <v>69.000000000000028</v>
      </c>
      <c r="CR214" s="163">
        <f t="shared" si="169"/>
        <v>3.6666666666666665</v>
      </c>
      <c r="CS214" s="163">
        <f t="shared" si="169"/>
        <v>43.999999999999986</v>
      </c>
      <c r="CT214" s="644">
        <f t="shared" si="169"/>
        <v>0</v>
      </c>
      <c r="CU214" s="645">
        <f t="shared" si="169"/>
        <v>49.333333333333357</v>
      </c>
      <c r="CV214" s="163">
        <f t="shared" si="169"/>
        <v>23.999999999999986</v>
      </c>
      <c r="CW214" s="163">
        <f t="shared" si="169"/>
        <v>0</v>
      </c>
      <c r="CX214" s="163">
        <f t="shared" si="169"/>
        <v>25.333333333333314</v>
      </c>
      <c r="CY214" s="643">
        <f t="shared" si="169"/>
        <v>0</v>
      </c>
      <c r="CZ214" s="646">
        <f t="shared" si="169"/>
        <v>58</v>
      </c>
      <c r="DA214" s="645">
        <f t="shared" si="169"/>
        <v>37.666666666666671</v>
      </c>
      <c r="DB214" s="163">
        <f t="shared" si="169"/>
        <v>12.999999999999998</v>
      </c>
      <c r="DC214" s="163">
        <f t="shared" si="169"/>
        <v>1</v>
      </c>
      <c r="DD214" s="163">
        <f t="shared" si="171"/>
        <v>23.666666666666657</v>
      </c>
      <c r="DE214" s="644">
        <f t="shared" si="171"/>
        <v>0</v>
      </c>
      <c r="DF214" s="645">
        <f t="shared" si="171"/>
        <v>20.333333333333343</v>
      </c>
      <c r="DG214" s="163">
        <f t="shared" si="171"/>
        <v>13.000000000000011</v>
      </c>
      <c r="DH214" s="163">
        <f t="shared" si="171"/>
        <v>0</v>
      </c>
      <c r="DI214" s="163">
        <f t="shared" si="171"/>
        <v>4.333333333333333</v>
      </c>
      <c r="DJ214" s="643">
        <f t="shared" si="171"/>
        <v>3</v>
      </c>
      <c r="DK214" s="646">
        <f t="shared" si="171"/>
        <v>1</v>
      </c>
      <c r="DL214" s="645">
        <f t="shared" si="171"/>
        <v>1</v>
      </c>
      <c r="DM214" s="163">
        <f t="shared" si="171"/>
        <v>0</v>
      </c>
      <c r="DN214" s="163">
        <f t="shared" si="171"/>
        <v>1</v>
      </c>
      <c r="DO214" s="163">
        <f t="shared" si="171"/>
        <v>0</v>
      </c>
      <c r="DP214" s="644">
        <f t="shared" si="171"/>
        <v>0</v>
      </c>
      <c r="DQ214" s="645">
        <f t="shared" si="171"/>
        <v>1</v>
      </c>
      <c r="DR214" s="163">
        <f t="shared" si="171"/>
        <v>1</v>
      </c>
      <c r="DS214" s="163">
        <f t="shared" si="171"/>
        <v>0</v>
      </c>
      <c r="DT214" s="163">
        <f t="shared" si="163"/>
        <v>0</v>
      </c>
      <c r="DU214" s="643">
        <f t="shared" si="163"/>
        <v>0</v>
      </c>
      <c r="DW214" s="646">
        <f t="shared" si="121"/>
        <v>3561.666666666667</v>
      </c>
      <c r="DX214" s="645">
        <f t="shared" si="121"/>
        <v>2633.3333333333326</v>
      </c>
      <c r="DY214" s="163">
        <f t="shared" si="121"/>
        <v>1308.666666666667</v>
      </c>
      <c r="DZ214" s="163">
        <f t="shared" si="121"/>
        <v>26.333333333333336</v>
      </c>
      <c r="EA214" s="163">
        <f t="shared" si="121"/>
        <v>1296.3333333333333</v>
      </c>
      <c r="EB214" s="644">
        <f t="shared" si="158"/>
        <v>2</v>
      </c>
      <c r="EC214" s="645">
        <f t="shared" si="158"/>
        <v>929.33333333333326</v>
      </c>
      <c r="ED214" s="163">
        <f t="shared" si="158"/>
        <v>403.99999999999983</v>
      </c>
      <c r="EE214" s="163">
        <f t="shared" si="158"/>
        <v>0</v>
      </c>
      <c r="EF214" s="163">
        <f t="shared" si="158"/>
        <v>454</v>
      </c>
      <c r="EG214" s="643">
        <f t="shared" si="158"/>
        <v>71.333333333333329</v>
      </c>
      <c r="EH214" s="646">
        <f t="shared" si="119"/>
        <v>1107</v>
      </c>
      <c r="EI214" s="645">
        <f t="shared" si="119"/>
        <v>819.33333333333326</v>
      </c>
      <c r="EJ214" s="163">
        <f t="shared" si="119"/>
        <v>431.3333333333332</v>
      </c>
      <c r="EK214" s="163">
        <f t="shared" si="119"/>
        <v>11.999999999999998</v>
      </c>
      <c r="EL214" s="163">
        <f t="shared" si="119"/>
        <v>374.99999999999983</v>
      </c>
      <c r="EM214" s="644">
        <f t="shared" si="119"/>
        <v>1</v>
      </c>
      <c r="EN214" s="645">
        <f t="shared" si="119"/>
        <v>287.66666666666669</v>
      </c>
      <c r="EO214" s="163">
        <f t="shared" si="119"/>
        <v>103.33333333333327</v>
      </c>
      <c r="EP214" s="163">
        <f t="shared" si="119"/>
        <v>0</v>
      </c>
      <c r="EQ214" s="163">
        <f t="shared" si="119"/>
        <v>164.33333333333337</v>
      </c>
      <c r="ER214" s="643">
        <f t="shared" si="119"/>
        <v>19.999999999999996</v>
      </c>
    </row>
    <row r="215" spans="1:148">
      <c r="A215" s="665" t="s">
        <v>249</v>
      </c>
      <c r="B215" s="665">
        <v>45047</v>
      </c>
      <c r="C215" s="664">
        <v>2023</v>
      </c>
      <c r="D215" s="646">
        <f t="shared" ref="D215" si="181">D116/3+D214</f>
        <v>4484422.666666667</v>
      </c>
      <c r="E215" s="646">
        <f t="shared" si="167"/>
        <v>120623.33333333336</v>
      </c>
      <c r="F215" s="645">
        <f t="shared" si="167"/>
        <v>87190</v>
      </c>
      <c r="G215" s="163">
        <f t="shared" si="167"/>
        <v>43074.333333333321</v>
      </c>
      <c r="H215" s="163">
        <f t="shared" si="167"/>
        <v>1480.6666666666665</v>
      </c>
      <c r="I215" s="163">
        <f t="shared" si="167"/>
        <v>42243.333333333321</v>
      </c>
      <c r="J215" s="644">
        <f t="shared" si="167"/>
        <v>391.66666666666663</v>
      </c>
      <c r="K215" s="645">
        <f t="shared" si="167"/>
        <v>33433.333333333328</v>
      </c>
      <c r="L215" s="163">
        <f t="shared" si="167"/>
        <v>14095.000000000005</v>
      </c>
      <c r="M215" s="163">
        <f t="shared" si="167"/>
        <v>0</v>
      </c>
      <c r="N215" s="163">
        <f t="shared" si="167"/>
        <v>16547.333333333332</v>
      </c>
      <c r="O215" s="643">
        <f t="shared" si="167"/>
        <v>2790.9999999999991</v>
      </c>
      <c r="P215" s="646">
        <f t="shared" si="167"/>
        <v>194.33333333333334</v>
      </c>
      <c r="Q215" s="645">
        <f t="shared" si="167"/>
        <v>116.00000000000004</v>
      </c>
      <c r="R215" s="163">
        <f t="shared" si="167"/>
        <v>60.666666666666686</v>
      </c>
      <c r="S215" s="163">
        <f t="shared" si="167"/>
        <v>1.6666666666666665</v>
      </c>
      <c r="T215" s="163">
        <f t="shared" si="164"/>
        <v>53.666666666666686</v>
      </c>
      <c r="U215" s="644">
        <f t="shared" si="164"/>
        <v>0</v>
      </c>
      <c r="V215" s="645">
        <f t="shared" si="164"/>
        <v>78.333333333333371</v>
      </c>
      <c r="W215" s="163">
        <f t="shared" si="164"/>
        <v>27.666666666666668</v>
      </c>
      <c r="X215" s="163">
        <f t="shared" si="164"/>
        <v>0</v>
      </c>
      <c r="Y215" s="163">
        <f t="shared" si="164"/>
        <v>43.666666666666671</v>
      </c>
      <c r="Z215" s="643">
        <f t="shared" si="164"/>
        <v>7</v>
      </c>
      <c r="AA215" s="646">
        <f t="shared" si="164"/>
        <v>116.33333333333337</v>
      </c>
      <c r="AB215" s="645">
        <f t="shared" si="164"/>
        <v>72.666666666666643</v>
      </c>
      <c r="AC215" s="163">
        <f t="shared" si="164"/>
        <v>34.333333333333321</v>
      </c>
      <c r="AD215" s="163">
        <f t="shared" si="164"/>
        <v>1</v>
      </c>
      <c r="AE215" s="163">
        <f t="shared" si="164"/>
        <v>37.333333333333329</v>
      </c>
      <c r="AF215" s="644">
        <f t="shared" si="164"/>
        <v>0</v>
      </c>
      <c r="AG215" s="645">
        <f t="shared" si="164"/>
        <v>43.666666666666693</v>
      </c>
      <c r="AH215" s="163">
        <f t="shared" si="164"/>
        <v>30.999999999999982</v>
      </c>
      <c r="AI215" s="163">
        <f t="shared" si="164"/>
        <v>0</v>
      </c>
      <c r="AJ215" s="163">
        <f t="shared" si="164"/>
        <v>6.9999999999999973</v>
      </c>
      <c r="AK215" s="643">
        <f t="shared" si="179"/>
        <v>5.6666666666666652</v>
      </c>
      <c r="AL215" s="646">
        <f t="shared" si="179"/>
        <v>1157</v>
      </c>
      <c r="AM215" s="645">
        <f t="shared" si="179"/>
        <v>858.66666666666663</v>
      </c>
      <c r="AN215" s="163">
        <f t="shared" si="179"/>
        <v>437.66666666666652</v>
      </c>
      <c r="AO215" s="163">
        <f t="shared" si="179"/>
        <v>12.999999999999998</v>
      </c>
      <c r="AP215" s="163">
        <f t="shared" si="179"/>
        <v>406.99999999999983</v>
      </c>
      <c r="AQ215" s="644">
        <f t="shared" si="179"/>
        <v>1</v>
      </c>
      <c r="AR215" s="645">
        <f t="shared" si="179"/>
        <v>298.33333333333337</v>
      </c>
      <c r="AS215" s="163">
        <f t="shared" si="179"/>
        <v>103.6666666666666</v>
      </c>
      <c r="AT215" s="163">
        <f t="shared" si="179"/>
        <v>0</v>
      </c>
      <c r="AU215" s="163">
        <f t="shared" si="179"/>
        <v>173.66666666666671</v>
      </c>
      <c r="AV215" s="643">
        <f t="shared" si="179"/>
        <v>20.999999999999996</v>
      </c>
      <c r="AW215" s="646">
        <f t="shared" si="179"/>
        <v>639.33333333333314</v>
      </c>
      <c r="AX215" s="645">
        <f t="shared" si="179"/>
        <v>455.66666666666657</v>
      </c>
      <c r="AY215" s="163">
        <f t="shared" si="179"/>
        <v>254.66666666666669</v>
      </c>
      <c r="AZ215" s="163">
        <f t="shared" si="179"/>
        <v>3.666666666666667</v>
      </c>
      <c r="BA215" s="163">
        <f t="shared" si="175"/>
        <v>197.33333333333334</v>
      </c>
      <c r="BB215" s="644">
        <f t="shared" si="175"/>
        <v>0</v>
      </c>
      <c r="BC215" s="645">
        <f t="shared" si="175"/>
        <v>183.66666666666669</v>
      </c>
      <c r="BD215" s="163">
        <f t="shared" si="175"/>
        <v>87.999999999999943</v>
      </c>
      <c r="BE215" s="163">
        <f t="shared" si="175"/>
        <v>0</v>
      </c>
      <c r="BF215" s="163">
        <f t="shared" si="175"/>
        <v>84.333333333333371</v>
      </c>
      <c r="BG215" s="643">
        <f t="shared" si="175"/>
        <v>11.333333333333334</v>
      </c>
      <c r="BH215" s="646">
        <f t="shared" si="175"/>
        <v>921.66666666666708</v>
      </c>
      <c r="BI215" s="645">
        <f t="shared" si="165"/>
        <v>717.99999999999977</v>
      </c>
      <c r="BJ215" s="163">
        <f t="shared" si="165"/>
        <v>352.33333333333354</v>
      </c>
      <c r="BK215" s="163">
        <f t="shared" si="165"/>
        <v>9.0000000000000018</v>
      </c>
      <c r="BL215" s="163">
        <f t="shared" si="165"/>
        <v>355.66666666666657</v>
      </c>
      <c r="BM215" s="644">
        <f t="shared" si="165"/>
        <v>1</v>
      </c>
      <c r="BN215" s="645">
        <f t="shared" si="165"/>
        <v>203.66666666666663</v>
      </c>
      <c r="BO215" s="163">
        <f t="shared" si="165"/>
        <v>73.000000000000014</v>
      </c>
      <c r="BP215" s="163">
        <f t="shared" si="165"/>
        <v>0</v>
      </c>
      <c r="BQ215" s="163">
        <f t="shared" si="165"/>
        <v>113.00000000000001</v>
      </c>
      <c r="BR215" s="643">
        <f t="shared" si="165"/>
        <v>17.666666666666671</v>
      </c>
      <c r="BS215" s="646">
        <f t="shared" si="165"/>
        <v>1354.6666666666667</v>
      </c>
      <c r="BT215" s="645">
        <f t="shared" si="165"/>
        <v>1037.3333333333333</v>
      </c>
      <c r="BU215" s="163">
        <f t="shared" si="165"/>
        <v>464.99999999999994</v>
      </c>
      <c r="BV215" s="163">
        <f t="shared" si="165"/>
        <v>3.9999999999999996</v>
      </c>
      <c r="BW215" s="163">
        <f t="shared" si="165"/>
        <v>567.33333333333314</v>
      </c>
      <c r="BX215" s="644">
        <f t="shared" si="162"/>
        <v>1</v>
      </c>
      <c r="BY215" s="645">
        <f t="shared" si="162"/>
        <v>317.33333333333337</v>
      </c>
      <c r="BZ215" s="163">
        <f t="shared" si="162"/>
        <v>121.33333333333324</v>
      </c>
      <c r="CA215" s="163">
        <f t="shared" si="162"/>
        <v>0</v>
      </c>
      <c r="CB215" s="163">
        <f t="shared" si="162"/>
        <v>170.66666666666663</v>
      </c>
      <c r="CC215" s="643">
        <f t="shared" si="162"/>
        <v>25.333333333333329</v>
      </c>
      <c r="CD215" s="646">
        <f t="shared" si="162"/>
        <v>240</v>
      </c>
      <c r="CE215" s="645">
        <f t="shared" si="162"/>
        <v>173.33333333333334</v>
      </c>
      <c r="CF215" s="163">
        <f t="shared" si="162"/>
        <v>80.333333333333329</v>
      </c>
      <c r="CG215" s="163">
        <f t="shared" si="162"/>
        <v>4</v>
      </c>
      <c r="CH215" s="163">
        <f t="shared" si="162"/>
        <v>89.000000000000014</v>
      </c>
      <c r="CI215" s="644">
        <f t="shared" si="162"/>
        <v>0</v>
      </c>
      <c r="CJ215" s="645">
        <f t="shared" si="162"/>
        <v>66.666666666666643</v>
      </c>
      <c r="CK215" s="163">
        <f t="shared" si="162"/>
        <v>25.999999999999996</v>
      </c>
      <c r="CL215" s="163">
        <f t="shared" si="162"/>
        <v>0</v>
      </c>
      <c r="CM215" s="163">
        <f t="shared" si="162"/>
        <v>36</v>
      </c>
      <c r="CN215" s="643">
        <f t="shared" si="169"/>
        <v>4.6666666666666661</v>
      </c>
      <c r="CO215" s="646">
        <f t="shared" si="169"/>
        <v>169</v>
      </c>
      <c r="CP215" s="645">
        <f t="shared" si="169"/>
        <v>119.33333333333337</v>
      </c>
      <c r="CQ215" s="163">
        <f t="shared" si="169"/>
        <v>69.000000000000028</v>
      </c>
      <c r="CR215" s="163">
        <f t="shared" si="169"/>
        <v>4.333333333333333</v>
      </c>
      <c r="CS215" s="163">
        <f t="shared" si="169"/>
        <v>45.999999999999986</v>
      </c>
      <c r="CT215" s="644">
        <f t="shared" si="169"/>
        <v>0</v>
      </c>
      <c r="CU215" s="645">
        <f t="shared" si="169"/>
        <v>49.666666666666693</v>
      </c>
      <c r="CV215" s="163">
        <f t="shared" si="169"/>
        <v>23.999999999999986</v>
      </c>
      <c r="CW215" s="163">
        <f t="shared" si="169"/>
        <v>0</v>
      </c>
      <c r="CX215" s="163">
        <f t="shared" si="169"/>
        <v>25.666666666666647</v>
      </c>
      <c r="CY215" s="643">
        <f t="shared" si="169"/>
        <v>0</v>
      </c>
      <c r="CZ215" s="646">
        <f t="shared" si="169"/>
        <v>60</v>
      </c>
      <c r="DA215" s="645">
        <f t="shared" si="169"/>
        <v>39.333333333333336</v>
      </c>
      <c r="DB215" s="163">
        <f t="shared" si="169"/>
        <v>12.999999999999998</v>
      </c>
      <c r="DC215" s="163">
        <f t="shared" si="169"/>
        <v>1</v>
      </c>
      <c r="DD215" s="163">
        <f t="shared" si="171"/>
        <v>25.333333333333325</v>
      </c>
      <c r="DE215" s="644">
        <f t="shared" si="171"/>
        <v>0</v>
      </c>
      <c r="DF215" s="645">
        <f t="shared" si="171"/>
        <v>20.666666666666675</v>
      </c>
      <c r="DG215" s="163">
        <f t="shared" si="171"/>
        <v>13.000000000000011</v>
      </c>
      <c r="DH215" s="163">
        <f t="shared" si="171"/>
        <v>0</v>
      </c>
      <c r="DI215" s="163">
        <f t="shared" si="171"/>
        <v>4.6666666666666661</v>
      </c>
      <c r="DJ215" s="643">
        <f t="shared" si="171"/>
        <v>3</v>
      </c>
      <c r="DK215" s="646">
        <f t="shared" si="171"/>
        <v>1</v>
      </c>
      <c r="DL215" s="645">
        <f t="shared" si="171"/>
        <v>1</v>
      </c>
      <c r="DM215" s="163">
        <f t="shared" si="171"/>
        <v>0</v>
      </c>
      <c r="DN215" s="163">
        <f t="shared" si="171"/>
        <v>1</v>
      </c>
      <c r="DO215" s="163">
        <f t="shared" si="171"/>
        <v>0</v>
      </c>
      <c r="DP215" s="644">
        <f t="shared" si="171"/>
        <v>0</v>
      </c>
      <c r="DQ215" s="645">
        <f t="shared" si="171"/>
        <v>1</v>
      </c>
      <c r="DR215" s="163">
        <f t="shared" si="171"/>
        <v>1</v>
      </c>
      <c r="DS215" s="163">
        <f t="shared" si="171"/>
        <v>0</v>
      </c>
      <c r="DT215" s="163">
        <f t="shared" si="163"/>
        <v>0</v>
      </c>
      <c r="DU215" s="643">
        <f t="shared" si="163"/>
        <v>0</v>
      </c>
      <c r="DW215" s="646">
        <f t="shared" si="121"/>
        <v>3696.3333333333339</v>
      </c>
      <c r="DX215" s="645">
        <f t="shared" si="121"/>
        <v>2732.6666666666665</v>
      </c>
      <c r="DY215" s="163">
        <f t="shared" si="121"/>
        <v>1329.3333333333335</v>
      </c>
      <c r="DZ215" s="163">
        <f t="shared" si="121"/>
        <v>29.666666666666668</v>
      </c>
      <c r="EA215" s="163">
        <f t="shared" si="121"/>
        <v>1371.6666666666663</v>
      </c>
      <c r="EB215" s="644">
        <f t="shared" si="158"/>
        <v>2</v>
      </c>
      <c r="EC215" s="645">
        <f t="shared" si="158"/>
        <v>964.66666666666674</v>
      </c>
      <c r="ED215" s="163">
        <f t="shared" si="158"/>
        <v>404.99999999999989</v>
      </c>
      <c r="EE215" s="163">
        <f t="shared" si="158"/>
        <v>0</v>
      </c>
      <c r="EF215" s="163">
        <f t="shared" si="158"/>
        <v>485</v>
      </c>
      <c r="EG215" s="643">
        <f t="shared" si="158"/>
        <v>74.666666666666671</v>
      </c>
      <c r="EH215" s="646">
        <f t="shared" si="119"/>
        <v>1157</v>
      </c>
      <c r="EI215" s="645">
        <f t="shared" si="119"/>
        <v>858.66666666666663</v>
      </c>
      <c r="EJ215" s="163">
        <f t="shared" si="119"/>
        <v>437.66666666666652</v>
      </c>
      <c r="EK215" s="163">
        <f t="shared" si="119"/>
        <v>12.999999999999998</v>
      </c>
      <c r="EL215" s="163">
        <f t="shared" si="119"/>
        <v>406.99999999999983</v>
      </c>
      <c r="EM215" s="644">
        <f t="shared" si="119"/>
        <v>1</v>
      </c>
      <c r="EN215" s="645">
        <f t="shared" si="119"/>
        <v>298.33333333333337</v>
      </c>
      <c r="EO215" s="163">
        <f t="shared" si="119"/>
        <v>103.6666666666666</v>
      </c>
      <c r="EP215" s="163">
        <f t="shared" si="119"/>
        <v>0</v>
      </c>
      <c r="EQ215" s="163">
        <f t="shared" si="119"/>
        <v>173.66666666666671</v>
      </c>
      <c r="ER215" s="643">
        <f t="shared" si="119"/>
        <v>20.999999999999996</v>
      </c>
    </row>
    <row r="216" spans="1:148">
      <c r="A216" s="665" t="s">
        <v>249</v>
      </c>
      <c r="B216" s="665">
        <v>45078</v>
      </c>
      <c r="C216" s="664">
        <v>2023</v>
      </c>
      <c r="D216" s="646">
        <f t="shared" ref="D216" si="182">D117/3+D215</f>
        <v>4545640</v>
      </c>
      <c r="E216" s="646">
        <f t="shared" si="167"/>
        <v>124889.00000000003</v>
      </c>
      <c r="F216" s="645">
        <f t="shared" si="167"/>
        <v>90352</v>
      </c>
      <c r="G216" s="163">
        <f t="shared" si="167"/>
        <v>43804.999999999985</v>
      </c>
      <c r="H216" s="163">
        <f t="shared" si="167"/>
        <v>1607.9999999999998</v>
      </c>
      <c r="I216" s="163">
        <f t="shared" si="167"/>
        <v>44490.999999999985</v>
      </c>
      <c r="J216" s="644">
        <f t="shared" si="167"/>
        <v>447.99999999999994</v>
      </c>
      <c r="K216" s="645">
        <f t="shared" si="167"/>
        <v>34536.999999999993</v>
      </c>
      <c r="L216" s="163">
        <f t="shared" si="167"/>
        <v>14165.000000000005</v>
      </c>
      <c r="M216" s="163">
        <f t="shared" si="167"/>
        <v>0</v>
      </c>
      <c r="N216" s="163">
        <f t="shared" si="167"/>
        <v>17495</v>
      </c>
      <c r="O216" s="643">
        <f t="shared" si="167"/>
        <v>2876.9999999999991</v>
      </c>
      <c r="P216" s="646">
        <f t="shared" si="167"/>
        <v>203</v>
      </c>
      <c r="Q216" s="645">
        <f t="shared" si="167"/>
        <v>120.00000000000004</v>
      </c>
      <c r="R216" s="163">
        <f t="shared" si="167"/>
        <v>61.000000000000021</v>
      </c>
      <c r="S216" s="163">
        <f t="shared" si="167"/>
        <v>1.9999999999999998</v>
      </c>
      <c r="T216" s="163">
        <f t="shared" si="164"/>
        <v>57.000000000000021</v>
      </c>
      <c r="U216" s="644">
        <f t="shared" si="164"/>
        <v>0</v>
      </c>
      <c r="V216" s="645">
        <f t="shared" si="164"/>
        <v>83.000000000000043</v>
      </c>
      <c r="W216" s="163">
        <f t="shared" si="164"/>
        <v>28</v>
      </c>
      <c r="X216" s="163">
        <f t="shared" si="164"/>
        <v>0</v>
      </c>
      <c r="Y216" s="163">
        <f t="shared" si="164"/>
        <v>48.000000000000007</v>
      </c>
      <c r="Z216" s="643">
        <f t="shared" si="164"/>
        <v>7</v>
      </c>
      <c r="AA216" s="646">
        <f t="shared" si="164"/>
        <v>118.00000000000004</v>
      </c>
      <c r="AB216" s="645">
        <f t="shared" si="164"/>
        <v>73.999999999999972</v>
      </c>
      <c r="AC216" s="163">
        <f t="shared" si="164"/>
        <v>34.999999999999986</v>
      </c>
      <c r="AD216" s="163">
        <f t="shared" si="164"/>
        <v>1</v>
      </c>
      <c r="AE216" s="163">
        <f t="shared" si="164"/>
        <v>37.999999999999993</v>
      </c>
      <c r="AF216" s="644">
        <f t="shared" si="164"/>
        <v>0</v>
      </c>
      <c r="AG216" s="645">
        <f t="shared" si="164"/>
        <v>44.000000000000028</v>
      </c>
      <c r="AH216" s="163">
        <f t="shared" si="164"/>
        <v>30.999999999999982</v>
      </c>
      <c r="AI216" s="163">
        <f t="shared" si="164"/>
        <v>0</v>
      </c>
      <c r="AJ216" s="163">
        <f t="shared" si="164"/>
        <v>6.9999999999999973</v>
      </c>
      <c r="AK216" s="643">
        <f t="shared" si="179"/>
        <v>5.9999999999999982</v>
      </c>
      <c r="AL216" s="646">
        <f t="shared" si="179"/>
        <v>1207</v>
      </c>
      <c r="AM216" s="645">
        <f t="shared" si="179"/>
        <v>898</v>
      </c>
      <c r="AN216" s="163">
        <f t="shared" si="179"/>
        <v>443.99999999999983</v>
      </c>
      <c r="AO216" s="163">
        <f t="shared" si="179"/>
        <v>13.999999999999998</v>
      </c>
      <c r="AP216" s="163">
        <f t="shared" si="179"/>
        <v>438.99999999999983</v>
      </c>
      <c r="AQ216" s="644">
        <f t="shared" si="179"/>
        <v>1</v>
      </c>
      <c r="AR216" s="645">
        <f t="shared" si="179"/>
        <v>309.00000000000006</v>
      </c>
      <c r="AS216" s="163">
        <f t="shared" si="179"/>
        <v>103.99999999999993</v>
      </c>
      <c r="AT216" s="163">
        <f t="shared" si="179"/>
        <v>0</v>
      </c>
      <c r="AU216" s="163">
        <f t="shared" si="179"/>
        <v>183.00000000000006</v>
      </c>
      <c r="AV216" s="643">
        <f t="shared" si="179"/>
        <v>21.999999999999996</v>
      </c>
      <c r="AW216" s="646">
        <f t="shared" si="179"/>
        <v>660.99999999999977</v>
      </c>
      <c r="AX216" s="645">
        <f t="shared" si="179"/>
        <v>471.99999999999989</v>
      </c>
      <c r="AY216" s="163">
        <f t="shared" si="179"/>
        <v>259</v>
      </c>
      <c r="AZ216" s="163">
        <f t="shared" si="179"/>
        <v>4</v>
      </c>
      <c r="BA216" s="163">
        <f t="shared" si="175"/>
        <v>209</v>
      </c>
      <c r="BB216" s="644">
        <f t="shared" si="175"/>
        <v>0</v>
      </c>
      <c r="BC216" s="645">
        <f t="shared" si="175"/>
        <v>189.00000000000003</v>
      </c>
      <c r="BD216" s="163">
        <f t="shared" si="175"/>
        <v>87.999999999999943</v>
      </c>
      <c r="BE216" s="163">
        <f t="shared" si="175"/>
        <v>0</v>
      </c>
      <c r="BF216" s="163">
        <f t="shared" si="175"/>
        <v>89.000000000000043</v>
      </c>
      <c r="BG216" s="643">
        <f t="shared" si="175"/>
        <v>12</v>
      </c>
      <c r="BH216" s="646">
        <f t="shared" si="175"/>
        <v>955.00000000000045</v>
      </c>
      <c r="BI216" s="645">
        <f t="shared" si="165"/>
        <v>740.99999999999977</v>
      </c>
      <c r="BJ216" s="163">
        <f t="shared" si="165"/>
        <v>357.00000000000023</v>
      </c>
      <c r="BK216" s="163">
        <f t="shared" si="165"/>
        <v>10.000000000000002</v>
      </c>
      <c r="BL216" s="163">
        <f t="shared" si="165"/>
        <v>372.99999999999989</v>
      </c>
      <c r="BM216" s="644">
        <f t="shared" si="165"/>
        <v>1</v>
      </c>
      <c r="BN216" s="645">
        <f t="shared" si="165"/>
        <v>213.99999999999997</v>
      </c>
      <c r="BO216" s="163">
        <f t="shared" si="165"/>
        <v>73.000000000000014</v>
      </c>
      <c r="BP216" s="163">
        <f t="shared" si="165"/>
        <v>0</v>
      </c>
      <c r="BQ216" s="163">
        <f t="shared" si="165"/>
        <v>122.00000000000001</v>
      </c>
      <c r="BR216" s="643">
        <f t="shared" si="165"/>
        <v>19.000000000000004</v>
      </c>
      <c r="BS216" s="646">
        <f t="shared" si="165"/>
        <v>1411</v>
      </c>
      <c r="BT216" s="645">
        <f t="shared" si="165"/>
        <v>1082</v>
      </c>
      <c r="BU216" s="163">
        <f t="shared" si="165"/>
        <v>474.99999999999994</v>
      </c>
      <c r="BV216" s="163">
        <f t="shared" si="165"/>
        <v>3.9999999999999996</v>
      </c>
      <c r="BW216" s="163">
        <f t="shared" si="165"/>
        <v>601.99999999999977</v>
      </c>
      <c r="BX216" s="644">
        <f t="shared" si="162"/>
        <v>1</v>
      </c>
      <c r="BY216" s="645">
        <f t="shared" si="162"/>
        <v>329.00000000000006</v>
      </c>
      <c r="BZ216" s="163">
        <f t="shared" si="162"/>
        <v>121.99999999999991</v>
      </c>
      <c r="CA216" s="163">
        <f t="shared" si="162"/>
        <v>0</v>
      </c>
      <c r="CB216" s="163">
        <f t="shared" si="162"/>
        <v>180.99999999999997</v>
      </c>
      <c r="CC216" s="643">
        <f t="shared" si="162"/>
        <v>25.999999999999996</v>
      </c>
      <c r="CD216" s="646">
        <f t="shared" si="162"/>
        <v>248</v>
      </c>
      <c r="CE216" s="645">
        <f t="shared" si="162"/>
        <v>179</v>
      </c>
      <c r="CF216" s="163">
        <f t="shared" si="162"/>
        <v>81</v>
      </c>
      <c r="CG216" s="163">
        <f t="shared" si="162"/>
        <v>5</v>
      </c>
      <c r="CH216" s="163">
        <f t="shared" si="162"/>
        <v>93.000000000000014</v>
      </c>
      <c r="CI216" s="644">
        <f t="shared" si="162"/>
        <v>0</v>
      </c>
      <c r="CJ216" s="645">
        <f t="shared" si="162"/>
        <v>68.999999999999972</v>
      </c>
      <c r="CK216" s="163">
        <f t="shared" si="162"/>
        <v>25.999999999999996</v>
      </c>
      <c r="CL216" s="163">
        <f t="shared" si="162"/>
        <v>0</v>
      </c>
      <c r="CM216" s="163">
        <f t="shared" si="162"/>
        <v>38</v>
      </c>
      <c r="CN216" s="643">
        <f t="shared" si="169"/>
        <v>4.9999999999999991</v>
      </c>
      <c r="CO216" s="646">
        <f t="shared" si="169"/>
        <v>172</v>
      </c>
      <c r="CP216" s="645">
        <f t="shared" si="169"/>
        <v>122.00000000000004</v>
      </c>
      <c r="CQ216" s="163">
        <f t="shared" si="169"/>
        <v>69.000000000000028</v>
      </c>
      <c r="CR216" s="163">
        <f t="shared" si="169"/>
        <v>5</v>
      </c>
      <c r="CS216" s="163">
        <f t="shared" si="169"/>
        <v>47.999999999999986</v>
      </c>
      <c r="CT216" s="644">
        <f t="shared" si="169"/>
        <v>0</v>
      </c>
      <c r="CU216" s="645">
        <f t="shared" si="169"/>
        <v>50.000000000000028</v>
      </c>
      <c r="CV216" s="163">
        <f t="shared" si="169"/>
        <v>23.999999999999986</v>
      </c>
      <c r="CW216" s="163">
        <f t="shared" si="169"/>
        <v>0</v>
      </c>
      <c r="CX216" s="163">
        <f t="shared" si="169"/>
        <v>25.999999999999979</v>
      </c>
      <c r="CY216" s="643">
        <f t="shared" si="169"/>
        <v>0</v>
      </c>
      <c r="CZ216" s="646">
        <f t="shared" si="169"/>
        <v>62</v>
      </c>
      <c r="DA216" s="645">
        <f t="shared" si="169"/>
        <v>41</v>
      </c>
      <c r="DB216" s="163">
        <f t="shared" si="169"/>
        <v>12.999999999999998</v>
      </c>
      <c r="DC216" s="163">
        <f t="shared" si="169"/>
        <v>1</v>
      </c>
      <c r="DD216" s="163">
        <f t="shared" si="171"/>
        <v>26.999999999999993</v>
      </c>
      <c r="DE216" s="644">
        <f t="shared" si="171"/>
        <v>0</v>
      </c>
      <c r="DF216" s="645">
        <f t="shared" si="171"/>
        <v>21.000000000000007</v>
      </c>
      <c r="DG216" s="163">
        <f t="shared" si="171"/>
        <v>13.000000000000011</v>
      </c>
      <c r="DH216" s="163">
        <f t="shared" si="171"/>
        <v>0</v>
      </c>
      <c r="DI216" s="163">
        <f t="shared" si="171"/>
        <v>4.9999999999999991</v>
      </c>
      <c r="DJ216" s="643">
        <f t="shared" si="171"/>
        <v>3</v>
      </c>
      <c r="DK216" s="646">
        <f t="shared" si="171"/>
        <v>1</v>
      </c>
      <c r="DL216" s="645">
        <f t="shared" si="171"/>
        <v>1</v>
      </c>
      <c r="DM216" s="163">
        <f t="shared" si="171"/>
        <v>0</v>
      </c>
      <c r="DN216" s="163">
        <f t="shared" si="171"/>
        <v>1</v>
      </c>
      <c r="DO216" s="163">
        <f t="shared" si="171"/>
        <v>0</v>
      </c>
      <c r="DP216" s="644">
        <f t="shared" si="171"/>
        <v>0</v>
      </c>
      <c r="DQ216" s="645">
        <f t="shared" si="171"/>
        <v>1</v>
      </c>
      <c r="DR216" s="163">
        <f t="shared" si="171"/>
        <v>1</v>
      </c>
      <c r="DS216" s="163">
        <f t="shared" si="171"/>
        <v>0</v>
      </c>
      <c r="DT216" s="163">
        <f t="shared" si="163"/>
        <v>0</v>
      </c>
      <c r="DU216" s="643">
        <f t="shared" si="163"/>
        <v>0</v>
      </c>
      <c r="DW216" s="646">
        <f t="shared" si="121"/>
        <v>3831</v>
      </c>
      <c r="DX216" s="645">
        <f t="shared" si="121"/>
        <v>2831.9999999999995</v>
      </c>
      <c r="DY216" s="163">
        <f t="shared" si="121"/>
        <v>1350.0000000000002</v>
      </c>
      <c r="DZ216" s="163">
        <f t="shared" si="121"/>
        <v>33</v>
      </c>
      <c r="EA216" s="163">
        <f t="shared" si="121"/>
        <v>1446.9999999999995</v>
      </c>
      <c r="EB216" s="644">
        <f t="shared" si="158"/>
        <v>2</v>
      </c>
      <c r="EC216" s="645">
        <f t="shared" si="158"/>
        <v>1000.0000000000002</v>
      </c>
      <c r="ED216" s="163">
        <f t="shared" si="158"/>
        <v>405.99999999999989</v>
      </c>
      <c r="EE216" s="163">
        <f t="shared" si="158"/>
        <v>0</v>
      </c>
      <c r="EF216" s="163">
        <f t="shared" si="158"/>
        <v>516</v>
      </c>
      <c r="EG216" s="643">
        <f t="shared" si="158"/>
        <v>78</v>
      </c>
      <c r="EH216" s="646">
        <f t="shared" ref="EH216:ER234" si="183">AL216</f>
        <v>1207</v>
      </c>
      <c r="EI216" s="645">
        <f t="shared" si="183"/>
        <v>898</v>
      </c>
      <c r="EJ216" s="163">
        <f t="shared" si="183"/>
        <v>443.99999999999983</v>
      </c>
      <c r="EK216" s="163">
        <f t="shared" si="183"/>
        <v>13.999999999999998</v>
      </c>
      <c r="EL216" s="163">
        <f t="shared" si="183"/>
        <v>438.99999999999983</v>
      </c>
      <c r="EM216" s="644">
        <f t="shared" si="183"/>
        <v>1</v>
      </c>
      <c r="EN216" s="645">
        <f t="shared" si="183"/>
        <v>309.00000000000006</v>
      </c>
      <c r="EO216" s="163">
        <f t="shared" si="183"/>
        <v>103.99999999999993</v>
      </c>
      <c r="EP216" s="163">
        <f t="shared" si="183"/>
        <v>0</v>
      </c>
      <c r="EQ216" s="163">
        <f t="shared" si="183"/>
        <v>183.00000000000006</v>
      </c>
      <c r="ER216" s="643">
        <f t="shared" si="183"/>
        <v>21.999999999999996</v>
      </c>
    </row>
    <row r="217" spans="1:148">
      <c r="A217" s="665" t="s">
        <v>250</v>
      </c>
      <c r="B217" s="665">
        <v>45108</v>
      </c>
      <c r="C217" s="664">
        <v>2023</v>
      </c>
      <c r="D217" s="646">
        <f t="shared" ref="D217" si="184">D118/3+D216</f>
        <v>4605172</v>
      </c>
      <c r="E217" s="646">
        <f t="shared" si="167"/>
        <v>129792.33333333336</v>
      </c>
      <c r="F217" s="645">
        <f t="shared" si="167"/>
        <v>94171.333333333328</v>
      </c>
      <c r="G217" s="163">
        <f t="shared" si="167"/>
        <v>44847.999999999985</v>
      </c>
      <c r="H217" s="163">
        <f t="shared" si="167"/>
        <v>1782.333333333333</v>
      </c>
      <c r="I217" s="163">
        <f t="shared" si="167"/>
        <v>47067.66666666665</v>
      </c>
      <c r="J217" s="644">
        <f t="shared" si="167"/>
        <v>473.33333333333326</v>
      </c>
      <c r="K217" s="645">
        <f t="shared" si="167"/>
        <v>35620.999999999993</v>
      </c>
      <c r="L217" s="163">
        <f t="shared" si="167"/>
        <v>14272.333333333339</v>
      </c>
      <c r="M217" s="163">
        <f t="shared" si="167"/>
        <v>0</v>
      </c>
      <c r="N217" s="163">
        <f t="shared" si="167"/>
        <v>18436.666666666668</v>
      </c>
      <c r="O217" s="643">
        <f t="shared" si="167"/>
        <v>2911.9999999999991</v>
      </c>
      <c r="P217" s="646">
        <f t="shared" si="167"/>
        <v>211.33333333333334</v>
      </c>
      <c r="Q217" s="645">
        <f t="shared" si="167"/>
        <v>126.00000000000004</v>
      </c>
      <c r="R217" s="163">
        <f t="shared" si="167"/>
        <v>63.666666666666686</v>
      </c>
      <c r="S217" s="163">
        <f t="shared" si="167"/>
        <v>1.9999999999999998</v>
      </c>
      <c r="T217" s="163">
        <f t="shared" si="164"/>
        <v>60.333333333333357</v>
      </c>
      <c r="U217" s="644">
        <f t="shared" si="164"/>
        <v>0</v>
      </c>
      <c r="V217" s="645">
        <f t="shared" si="164"/>
        <v>85.333333333333371</v>
      </c>
      <c r="W217" s="163">
        <f t="shared" si="164"/>
        <v>28.333333333333332</v>
      </c>
      <c r="X217" s="163">
        <f t="shared" si="164"/>
        <v>0</v>
      </c>
      <c r="Y217" s="163">
        <f t="shared" si="164"/>
        <v>50.000000000000007</v>
      </c>
      <c r="Z217" s="643">
        <f t="shared" si="164"/>
        <v>7</v>
      </c>
      <c r="AA217" s="646">
        <f t="shared" si="164"/>
        <v>123.00000000000004</v>
      </c>
      <c r="AB217" s="645">
        <f t="shared" si="164"/>
        <v>76.999999999999972</v>
      </c>
      <c r="AC217" s="163">
        <f t="shared" si="164"/>
        <v>35.333333333333321</v>
      </c>
      <c r="AD217" s="163">
        <f t="shared" si="164"/>
        <v>1</v>
      </c>
      <c r="AE217" s="163">
        <f t="shared" si="164"/>
        <v>40.666666666666657</v>
      </c>
      <c r="AF217" s="644">
        <f t="shared" si="164"/>
        <v>0</v>
      </c>
      <c r="AG217" s="645">
        <f t="shared" si="164"/>
        <v>46.000000000000028</v>
      </c>
      <c r="AH217" s="163">
        <f t="shared" si="164"/>
        <v>31.66666666666665</v>
      </c>
      <c r="AI217" s="163">
        <f t="shared" si="164"/>
        <v>0</v>
      </c>
      <c r="AJ217" s="163">
        <f t="shared" si="164"/>
        <v>8.3333333333333304</v>
      </c>
      <c r="AK217" s="643">
        <f t="shared" si="179"/>
        <v>5.9999999999999982</v>
      </c>
      <c r="AL217" s="646">
        <f t="shared" si="179"/>
        <v>1253</v>
      </c>
      <c r="AM217" s="645">
        <f t="shared" si="179"/>
        <v>928.66666666666663</v>
      </c>
      <c r="AN217" s="163">
        <f t="shared" si="179"/>
        <v>454.99999999999983</v>
      </c>
      <c r="AO217" s="163">
        <f t="shared" si="179"/>
        <v>15.333333333333332</v>
      </c>
      <c r="AP217" s="163">
        <f t="shared" si="179"/>
        <v>457.33333333333314</v>
      </c>
      <c r="AQ217" s="644">
        <f t="shared" si="179"/>
        <v>1</v>
      </c>
      <c r="AR217" s="645">
        <f t="shared" si="179"/>
        <v>324.33333333333337</v>
      </c>
      <c r="AS217" s="163">
        <f t="shared" si="179"/>
        <v>104.33333333333326</v>
      </c>
      <c r="AT217" s="163">
        <f t="shared" si="179"/>
        <v>0</v>
      </c>
      <c r="AU217" s="163">
        <f t="shared" si="179"/>
        <v>198.00000000000006</v>
      </c>
      <c r="AV217" s="643">
        <f t="shared" si="179"/>
        <v>21.999999999999996</v>
      </c>
      <c r="AW217" s="646">
        <f t="shared" si="179"/>
        <v>688.33333333333314</v>
      </c>
      <c r="AX217" s="645">
        <f t="shared" si="179"/>
        <v>494.99999999999989</v>
      </c>
      <c r="AY217" s="163">
        <f t="shared" si="179"/>
        <v>264.33333333333331</v>
      </c>
      <c r="AZ217" s="163">
        <f t="shared" si="179"/>
        <v>5.333333333333333</v>
      </c>
      <c r="BA217" s="163">
        <f t="shared" si="175"/>
        <v>225.33333333333334</v>
      </c>
      <c r="BB217" s="644">
        <f t="shared" si="175"/>
        <v>0</v>
      </c>
      <c r="BC217" s="645">
        <f t="shared" si="175"/>
        <v>193.33333333333337</v>
      </c>
      <c r="BD217" s="163">
        <f t="shared" si="175"/>
        <v>88.333333333333272</v>
      </c>
      <c r="BE217" s="163">
        <f t="shared" si="175"/>
        <v>0</v>
      </c>
      <c r="BF217" s="163">
        <f t="shared" si="175"/>
        <v>93.000000000000043</v>
      </c>
      <c r="BG217" s="643">
        <f t="shared" si="175"/>
        <v>12</v>
      </c>
      <c r="BH217" s="646">
        <f t="shared" si="175"/>
        <v>997.00000000000045</v>
      </c>
      <c r="BI217" s="645">
        <f t="shared" si="165"/>
        <v>775.6666666666664</v>
      </c>
      <c r="BJ217" s="163">
        <f t="shared" si="165"/>
        <v>366.33333333333354</v>
      </c>
      <c r="BK217" s="163">
        <f t="shared" si="165"/>
        <v>10.666666666666668</v>
      </c>
      <c r="BL217" s="163">
        <f t="shared" si="165"/>
        <v>397.66666666666657</v>
      </c>
      <c r="BM217" s="644">
        <f t="shared" si="165"/>
        <v>1</v>
      </c>
      <c r="BN217" s="645">
        <f t="shared" si="165"/>
        <v>221.33333333333331</v>
      </c>
      <c r="BO217" s="163">
        <f t="shared" si="165"/>
        <v>73.333333333333343</v>
      </c>
      <c r="BP217" s="163">
        <f t="shared" si="165"/>
        <v>0</v>
      </c>
      <c r="BQ217" s="163">
        <f t="shared" si="165"/>
        <v>128.66666666666669</v>
      </c>
      <c r="BR217" s="643">
        <f t="shared" si="165"/>
        <v>19.333333333333336</v>
      </c>
      <c r="BS217" s="646">
        <f t="shared" si="165"/>
        <v>1468</v>
      </c>
      <c r="BT217" s="645">
        <f t="shared" si="165"/>
        <v>1127</v>
      </c>
      <c r="BU217" s="163">
        <f t="shared" si="165"/>
        <v>489.66666666666663</v>
      </c>
      <c r="BV217" s="163">
        <f t="shared" si="165"/>
        <v>4.6666666666666661</v>
      </c>
      <c r="BW217" s="163">
        <f t="shared" si="165"/>
        <v>631.6666666666664</v>
      </c>
      <c r="BX217" s="644">
        <f t="shared" si="162"/>
        <v>1</v>
      </c>
      <c r="BY217" s="645">
        <f t="shared" si="162"/>
        <v>341.00000000000006</v>
      </c>
      <c r="BZ217" s="163">
        <f t="shared" si="162"/>
        <v>122.99999999999991</v>
      </c>
      <c r="CA217" s="163">
        <f t="shared" si="162"/>
        <v>0</v>
      </c>
      <c r="CB217" s="163">
        <f t="shared" si="162"/>
        <v>191.66666666666663</v>
      </c>
      <c r="CC217" s="643">
        <f t="shared" si="162"/>
        <v>26.333333333333329</v>
      </c>
      <c r="CD217" s="646">
        <f t="shared" si="162"/>
        <v>257.33333333333331</v>
      </c>
      <c r="CE217" s="645">
        <f t="shared" si="162"/>
        <v>186.33333333333334</v>
      </c>
      <c r="CF217" s="163">
        <f t="shared" si="162"/>
        <v>82.333333333333329</v>
      </c>
      <c r="CG217" s="163">
        <f t="shared" si="162"/>
        <v>5.666666666666667</v>
      </c>
      <c r="CH217" s="163">
        <f t="shared" si="162"/>
        <v>98.333333333333343</v>
      </c>
      <c r="CI217" s="644">
        <f t="shared" si="162"/>
        <v>0</v>
      </c>
      <c r="CJ217" s="645">
        <f t="shared" si="162"/>
        <v>70.999999999999972</v>
      </c>
      <c r="CK217" s="163">
        <f t="shared" si="162"/>
        <v>25.999999999999996</v>
      </c>
      <c r="CL217" s="163">
        <f t="shared" si="162"/>
        <v>0</v>
      </c>
      <c r="CM217" s="163">
        <f t="shared" si="162"/>
        <v>40</v>
      </c>
      <c r="CN217" s="643">
        <f t="shared" si="169"/>
        <v>4.9999999999999991</v>
      </c>
      <c r="CO217" s="646">
        <f t="shared" si="169"/>
        <v>181.33333333333334</v>
      </c>
      <c r="CP217" s="645">
        <f t="shared" si="169"/>
        <v>129.33333333333337</v>
      </c>
      <c r="CQ217" s="163">
        <f t="shared" si="169"/>
        <v>71.000000000000028</v>
      </c>
      <c r="CR217" s="163">
        <f t="shared" si="169"/>
        <v>5.333333333333333</v>
      </c>
      <c r="CS217" s="163">
        <f t="shared" si="169"/>
        <v>52.999999999999986</v>
      </c>
      <c r="CT217" s="644">
        <f t="shared" si="169"/>
        <v>0</v>
      </c>
      <c r="CU217" s="645">
        <f t="shared" si="169"/>
        <v>52.000000000000028</v>
      </c>
      <c r="CV217" s="163">
        <f t="shared" si="169"/>
        <v>23.999999999999986</v>
      </c>
      <c r="CW217" s="163">
        <f t="shared" si="169"/>
        <v>0</v>
      </c>
      <c r="CX217" s="163">
        <f t="shared" si="169"/>
        <v>27.999999999999979</v>
      </c>
      <c r="CY217" s="643">
        <f t="shared" si="169"/>
        <v>0</v>
      </c>
      <c r="CZ217" s="646">
        <f t="shared" si="169"/>
        <v>63</v>
      </c>
      <c r="DA217" s="645">
        <f t="shared" si="169"/>
        <v>41.666666666666664</v>
      </c>
      <c r="DB217" s="163">
        <f t="shared" si="169"/>
        <v>12.999999999999998</v>
      </c>
      <c r="DC217" s="163">
        <f t="shared" si="169"/>
        <v>1</v>
      </c>
      <c r="DD217" s="163">
        <f t="shared" si="171"/>
        <v>27.666666666666661</v>
      </c>
      <c r="DE217" s="644">
        <f t="shared" si="171"/>
        <v>0</v>
      </c>
      <c r="DF217" s="645">
        <f t="shared" si="171"/>
        <v>21.333333333333339</v>
      </c>
      <c r="DG217" s="163">
        <f t="shared" si="171"/>
        <v>13.000000000000011</v>
      </c>
      <c r="DH217" s="163">
        <f t="shared" si="171"/>
        <v>0</v>
      </c>
      <c r="DI217" s="163">
        <f t="shared" si="171"/>
        <v>5.3333333333333321</v>
      </c>
      <c r="DJ217" s="643">
        <f t="shared" si="171"/>
        <v>3</v>
      </c>
      <c r="DK217" s="646">
        <f t="shared" si="171"/>
        <v>1</v>
      </c>
      <c r="DL217" s="645">
        <f t="shared" si="171"/>
        <v>1</v>
      </c>
      <c r="DM217" s="163">
        <f t="shared" si="171"/>
        <v>0</v>
      </c>
      <c r="DN217" s="163">
        <f t="shared" si="171"/>
        <v>1</v>
      </c>
      <c r="DO217" s="163">
        <f t="shared" si="171"/>
        <v>0</v>
      </c>
      <c r="DP217" s="644">
        <f t="shared" si="171"/>
        <v>0</v>
      </c>
      <c r="DQ217" s="645">
        <f t="shared" si="171"/>
        <v>1</v>
      </c>
      <c r="DR217" s="163">
        <f t="shared" si="171"/>
        <v>1</v>
      </c>
      <c r="DS217" s="163">
        <f t="shared" si="171"/>
        <v>0</v>
      </c>
      <c r="DT217" s="163">
        <f t="shared" si="163"/>
        <v>0</v>
      </c>
      <c r="DU217" s="643">
        <f t="shared" si="163"/>
        <v>0</v>
      </c>
      <c r="DW217" s="646">
        <f t="shared" si="121"/>
        <v>3990.3333333333339</v>
      </c>
      <c r="DX217" s="645">
        <f t="shared" si="121"/>
        <v>2958.9999999999995</v>
      </c>
      <c r="DY217" s="163">
        <f t="shared" si="121"/>
        <v>1385.6666666666667</v>
      </c>
      <c r="DZ217" s="163">
        <f t="shared" si="121"/>
        <v>36.666666666666664</v>
      </c>
      <c r="EA217" s="163">
        <f t="shared" si="121"/>
        <v>1534.6666666666665</v>
      </c>
      <c r="EB217" s="644">
        <f t="shared" si="158"/>
        <v>2</v>
      </c>
      <c r="EC217" s="645">
        <f t="shared" si="158"/>
        <v>1032.3333333333333</v>
      </c>
      <c r="ED217" s="163">
        <f t="shared" si="158"/>
        <v>408.66666666666652</v>
      </c>
      <c r="EE217" s="163">
        <f t="shared" si="158"/>
        <v>0</v>
      </c>
      <c r="EF217" s="163">
        <f t="shared" si="158"/>
        <v>545</v>
      </c>
      <c r="EG217" s="643">
        <f t="shared" si="158"/>
        <v>78.666666666666657</v>
      </c>
      <c r="EH217" s="646">
        <f t="shared" si="183"/>
        <v>1253</v>
      </c>
      <c r="EI217" s="645">
        <f t="shared" si="183"/>
        <v>928.66666666666663</v>
      </c>
      <c r="EJ217" s="163">
        <f t="shared" si="183"/>
        <v>454.99999999999983</v>
      </c>
      <c r="EK217" s="163">
        <f t="shared" si="183"/>
        <v>15.333333333333332</v>
      </c>
      <c r="EL217" s="163">
        <f t="shared" si="183"/>
        <v>457.33333333333314</v>
      </c>
      <c r="EM217" s="644">
        <f t="shared" si="183"/>
        <v>1</v>
      </c>
      <c r="EN217" s="645">
        <f t="shared" si="183"/>
        <v>324.33333333333337</v>
      </c>
      <c r="EO217" s="163">
        <f t="shared" si="183"/>
        <v>104.33333333333326</v>
      </c>
      <c r="EP217" s="163">
        <f t="shared" si="183"/>
        <v>0</v>
      </c>
      <c r="EQ217" s="163">
        <f t="shared" si="183"/>
        <v>198.00000000000006</v>
      </c>
      <c r="ER217" s="643">
        <f t="shared" si="183"/>
        <v>21.999999999999996</v>
      </c>
    </row>
    <row r="218" spans="1:148">
      <c r="A218" s="665" t="s">
        <v>250</v>
      </c>
      <c r="B218" s="665">
        <v>45139</v>
      </c>
      <c r="C218" s="664">
        <v>2023</v>
      </c>
      <c r="D218" s="646">
        <f t="shared" ref="D218" si="185">D119/3+D217</f>
        <v>4664704</v>
      </c>
      <c r="E218" s="646">
        <f t="shared" si="167"/>
        <v>134695.66666666669</v>
      </c>
      <c r="F218" s="645">
        <f t="shared" si="167"/>
        <v>97990.666666666657</v>
      </c>
      <c r="G218" s="163">
        <f t="shared" si="167"/>
        <v>45890.999999999985</v>
      </c>
      <c r="H218" s="163">
        <f t="shared" si="167"/>
        <v>1956.6666666666663</v>
      </c>
      <c r="I218" s="163">
        <f t="shared" si="167"/>
        <v>49644.333333333314</v>
      </c>
      <c r="J218" s="644">
        <f t="shared" si="167"/>
        <v>498.66666666666657</v>
      </c>
      <c r="K218" s="645">
        <f t="shared" si="167"/>
        <v>36704.999999999993</v>
      </c>
      <c r="L218" s="163">
        <f t="shared" si="167"/>
        <v>14379.666666666673</v>
      </c>
      <c r="M218" s="163">
        <f t="shared" si="167"/>
        <v>0</v>
      </c>
      <c r="N218" s="163">
        <f t="shared" si="167"/>
        <v>19378.333333333336</v>
      </c>
      <c r="O218" s="643">
        <f t="shared" si="167"/>
        <v>2946.9999999999991</v>
      </c>
      <c r="P218" s="646">
        <f t="shared" si="167"/>
        <v>219.66666666666669</v>
      </c>
      <c r="Q218" s="645">
        <f t="shared" si="167"/>
        <v>132.00000000000006</v>
      </c>
      <c r="R218" s="163">
        <f t="shared" si="167"/>
        <v>66.333333333333357</v>
      </c>
      <c r="S218" s="163">
        <f t="shared" si="167"/>
        <v>1.9999999999999998</v>
      </c>
      <c r="T218" s="163">
        <f t="shared" si="164"/>
        <v>63.666666666666693</v>
      </c>
      <c r="U218" s="644">
        <f t="shared" si="164"/>
        <v>0</v>
      </c>
      <c r="V218" s="645">
        <f t="shared" si="164"/>
        <v>87.6666666666667</v>
      </c>
      <c r="W218" s="163">
        <f t="shared" si="164"/>
        <v>28.666666666666664</v>
      </c>
      <c r="X218" s="163">
        <f t="shared" si="164"/>
        <v>0</v>
      </c>
      <c r="Y218" s="163">
        <f t="shared" si="164"/>
        <v>52.000000000000007</v>
      </c>
      <c r="Z218" s="643">
        <f t="shared" si="164"/>
        <v>7</v>
      </c>
      <c r="AA218" s="646">
        <f t="shared" si="164"/>
        <v>128.00000000000006</v>
      </c>
      <c r="AB218" s="645">
        <f t="shared" si="164"/>
        <v>79.999999999999972</v>
      </c>
      <c r="AC218" s="163">
        <f t="shared" si="164"/>
        <v>35.666666666666657</v>
      </c>
      <c r="AD218" s="163">
        <f t="shared" si="164"/>
        <v>1</v>
      </c>
      <c r="AE218" s="163">
        <f t="shared" si="164"/>
        <v>43.333333333333321</v>
      </c>
      <c r="AF218" s="644">
        <f t="shared" si="164"/>
        <v>0</v>
      </c>
      <c r="AG218" s="645">
        <f t="shared" si="164"/>
        <v>48.000000000000028</v>
      </c>
      <c r="AH218" s="163">
        <f t="shared" si="164"/>
        <v>32.333333333333314</v>
      </c>
      <c r="AI218" s="163">
        <f t="shared" si="164"/>
        <v>0</v>
      </c>
      <c r="AJ218" s="163">
        <f t="shared" si="164"/>
        <v>9.6666666666666643</v>
      </c>
      <c r="AK218" s="643">
        <f t="shared" si="179"/>
        <v>5.9999999999999982</v>
      </c>
      <c r="AL218" s="646">
        <f t="shared" si="179"/>
        <v>1299</v>
      </c>
      <c r="AM218" s="645">
        <f t="shared" si="179"/>
        <v>959.33333333333326</v>
      </c>
      <c r="AN218" s="163">
        <f t="shared" si="179"/>
        <v>465.99999999999983</v>
      </c>
      <c r="AO218" s="163">
        <f t="shared" si="179"/>
        <v>16.666666666666664</v>
      </c>
      <c r="AP218" s="163">
        <f t="shared" si="179"/>
        <v>475.66666666666646</v>
      </c>
      <c r="AQ218" s="644">
        <f t="shared" si="179"/>
        <v>1</v>
      </c>
      <c r="AR218" s="645">
        <f t="shared" si="179"/>
        <v>339.66666666666669</v>
      </c>
      <c r="AS218" s="163">
        <f t="shared" si="179"/>
        <v>104.66666666666659</v>
      </c>
      <c r="AT218" s="163">
        <f t="shared" si="179"/>
        <v>0</v>
      </c>
      <c r="AU218" s="163">
        <f t="shared" si="179"/>
        <v>213.00000000000006</v>
      </c>
      <c r="AV218" s="643">
        <f t="shared" si="179"/>
        <v>21.999999999999996</v>
      </c>
      <c r="AW218" s="646">
        <f t="shared" si="179"/>
        <v>715.66666666666652</v>
      </c>
      <c r="AX218" s="645">
        <f t="shared" si="179"/>
        <v>517.99999999999989</v>
      </c>
      <c r="AY218" s="163">
        <f t="shared" si="179"/>
        <v>269.66666666666663</v>
      </c>
      <c r="AZ218" s="163">
        <f t="shared" si="179"/>
        <v>6.6666666666666661</v>
      </c>
      <c r="BA218" s="163">
        <f t="shared" si="175"/>
        <v>241.66666666666669</v>
      </c>
      <c r="BB218" s="644">
        <f t="shared" si="175"/>
        <v>0</v>
      </c>
      <c r="BC218" s="645">
        <f t="shared" si="175"/>
        <v>197.66666666666671</v>
      </c>
      <c r="BD218" s="163">
        <f t="shared" si="175"/>
        <v>88.6666666666666</v>
      </c>
      <c r="BE218" s="163">
        <f t="shared" si="175"/>
        <v>0</v>
      </c>
      <c r="BF218" s="163">
        <f t="shared" si="175"/>
        <v>97.000000000000043</v>
      </c>
      <c r="BG218" s="643">
        <f t="shared" si="175"/>
        <v>12</v>
      </c>
      <c r="BH218" s="646">
        <f t="shared" si="175"/>
        <v>1039.0000000000005</v>
      </c>
      <c r="BI218" s="645">
        <f t="shared" si="165"/>
        <v>810.33333333333303</v>
      </c>
      <c r="BJ218" s="163">
        <f t="shared" si="165"/>
        <v>375.66666666666686</v>
      </c>
      <c r="BK218" s="163">
        <f t="shared" si="165"/>
        <v>11.333333333333334</v>
      </c>
      <c r="BL218" s="163">
        <f t="shared" si="165"/>
        <v>422.33333333333326</v>
      </c>
      <c r="BM218" s="644">
        <f t="shared" si="165"/>
        <v>1</v>
      </c>
      <c r="BN218" s="645">
        <f t="shared" si="165"/>
        <v>228.66666666666666</v>
      </c>
      <c r="BO218" s="163">
        <f t="shared" si="165"/>
        <v>73.666666666666671</v>
      </c>
      <c r="BP218" s="163">
        <f t="shared" si="165"/>
        <v>0</v>
      </c>
      <c r="BQ218" s="163">
        <f t="shared" si="165"/>
        <v>135.33333333333334</v>
      </c>
      <c r="BR218" s="643">
        <f t="shared" si="165"/>
        <v>19.666666666666668</v>
      </c>
      <c r="BS218" s="646">
        <f t="shared" si="165"/>
        <v>1525</v>
      </c>
      <c r="BT218" s="645">
        <f t="shared" si="165"/>
        <v>1172</v>
      </c>
      <c r="BU218" s="163">
        <f t="shared" si="165"/>
        <v>504.33333333333331</v>
      </c>
      <c r="BV218" s="163">
        <f t="shared" si="165"/>
        <v>5.333333333333333</v>
      </c>
      <c r="BW218" s="163">
        <f t="shared" si="165"/>
        <v>661.33333333333303</v>
      </c>
      <c r="BX218" s="644">
        <f t="shared" si="162"/>
        <v>1</v>
      </c>
      <c r="BY218" s="645">
        <f t="shared" si="162"/>
        <v>353.00000000000006</v>
      </c>
      <c r="BZ218" s="163">
        <f t="shared" si="162"/>
        <v>123.99999999999991</v>
      </c>
      <c r="CA218" s="163">
        <f t="shared" si="162"/>
        <v>0</v>
      </c>
      <c r="CB218" s="163">
        <f t="shared" si="162"/>
        <v>202.33333333333329</v>
      </c>
      <c r="CC218" s="643">
        <f t="shared" si="162"/>
        <v>26.666666666666661</v>
      </c>
      <c r="CD218" s="646">
        <f t="shared" si="162"/>
        <v>266.66666666666663</v>
      </c>
      <c r="CE218" s="645">
        <f t="shared" si="162"/>
        <v>193.66666666666669</v>
      </c>
      <c r="CF218" s="163">
        <f t="shared" si="162"/>
        <v>83.666666666666657</v>
      </c>
      <c r="CG218" s="163">
        <f t="shared" si="162"/>
        <v>6.3333333333333339</v>
      </c>
      <c r="CH218" s="163">
        <f t="shared" si="162"/>
        <v>103.66666666666667</v>
      </c>
      <c r="CI218" s="644">
        <f t="shared" si="162"/>
        <v>0</v>
      </c>
      <c r="CJ218" s="645">
        <f t="shared" si="162"/>
        <v>72.999999999999972</v>
      </c>
      <c r="CK218" s="163">
        <f t="shared" si="162"/>
        <v>25.999999999999996</v>
      </c>
      <c r="CL218" s="163">
        <f t="shared" si="162"/>
        <v>0</v>
      </c>
      <c r="CM218" s="163">
        <f t="shared" si="162"/>
        <v>42</v>
      </c>
      <c r="CN218" s="643">
        <f t="shared" si="169"/>
        <v>4.9999999999999991</v>
      </c>
      <c r="CO218" s="646">
        <f t="shared" si="169"/>
        <v>190.66666666666669</v>
      </c>
      <c r="CP218" s="645">
        <f t="shared" si="169"/>
        <v>136.66666666666671</v>
      </c>
      <c r="CQ218" s="163">
        <f t="shared" si="169"/>
        <v>73.000000000000028</v>
      </c>
      <c r="CR218" s="163">
        <f t="shared" si="169"/>
        <v>5.6666666666666661</v>
      </c>
      <c r="CS218" s="163">
        <f t="shared" si="169"/>
        <v>57.999999999999986</v>
      </c>
      <c r="CT218" s="644">
        <f t="shared" si="169"/>
        <v>0</v>
      </c>
      <c r="CU218" s="645">
        <f t="shared" si="169"/>
        <v>54.000000000000028</v>
      </c>
      <c r="CV218" s="163">
        <f t="shared" si="169"/>
        <v>23.999999999999986</v>
      </c>
      <c r="CW218" s="163">
        <f t="shared" si="169"/>
        <v>0</v>
      </c>
      <c r="CX218" s="163">
        <f t="shared" si="169"/>
        <v>29.999999999999979</v>
      </c>
      <c r="CY218" s="643">
        <f t="shared" si="169"/>
        <v>0</v>
      </c>
      <c r="CZ218" s="646">
        <f t="shared" si="169"/>
        <v>64</v>
      </c>
      <c r="DA218" s="645">
        <f t="shared" si="169"/>
        <v>42.333333333333329</v>
      </c>
      <c r="DB218" s="163">
        <f t="shared" si="169"/>
        <v>12.999999999999998</v>
      </c>
      <c r="DC218" s="163">
        <f t="shared" si="169"/>
        <v>1</v>
      </c>
      <c r="DD218" s="163">
        <f t="shared" si="171"/>
        <v>28.333333333333329</v>
      </c>
      <c r="DE218" s="644">
        <f t="shared" si="171"/>
        <v>0</v>
      </c>
      <c r="DF218" s="645">
        <f t="shared" si="171"/>
        <v>21.666666666666671</v>
      </c>
      <c r="DG218" s="163">
        <f t="shared" si="171"/>
        <v>13.000000000000011</v>
      </c>
      <c r="DH218" s="163">
        <f t="shared" si="171"/>
        <v>0</v>
      </c>
      <c r="DI218" s="163">
        <f t="shared" si="171"/>
        <v>5.6666666666666652</v>
      </c>
      <c r="DJ218" s="643">
        <f t="shared" si="171"/>
        <v>3</v>
      </c>
      <c r="DK218" s="646">
        <f t="shared" si="171"/>
        <v>1</v>
      </c>
      <c r="DL218" s="645">
        <f t="shared" si="171"/>
        <v>1</v>
      </c>
      <c r="DM218" s="163">
        <f t="shared" si="171"/>
        <v>0</v>
      </c>
      <c r="DN218" s="163">
        <f t="shared" si="171"/>
        <v>1</v>
      </c>
      <c r="DO218" s="163">
        <f t="shared" si="171"/>
        <v>0</v>
      </c>
      <c r="DP218" s="644">
        <f t="shared" si="171"/>
        <v>0</v>
      </c>
      <c r="DQ218" s="645">
        <f t="shared" si="171"/>
        <v>1</v>
      </c>
      <c r="DR218" s="163">
        <f t="shared" si="171"/>
        <v>1</v>
      </c>
      <c r="DS218" s="163">
        <f t="shared" si="171"/>
        <v>0</v>
      </c>
      <c r="DT218" s="163">
        <f t="shared" si="163"/>
        <v>0</v>
      </c>
      <c r="DU218" s="643">
        <f t="shared" si="163"/>
        <v>0</v>
      </c>
      <c r="DW218" s="646">
        <f t="shared" si="121"/>
        <v>4149.666666666667</v>
      </c>
      <c r="DX218" s="645">
        <f t="shared" si="121"/>
        <v>3085.9999999999995</v>
      </c>
      <c r="DY218" s="163">
        <f t="shared" si="121"/>
        <v>1421.3333333333335</v>
      </c>
      <c r="DZ218" s="163">
        <f t="shared" si="121"/>
        <v>40.333333333333329</v>
      </c>
      <c r="EA218" s="163">
        <f t="shared" si="121"/>
        <v>1622.333333333333</v>
      </c>
      <c r="EB218" s="644">
        <f t="shared" si="158"/>
        <v>2</v>
      </c>
      <c r="EC218" s="645">
        <f t="shared" si="158"/>
        <v>1064.666666666667</v>
      </c>
      <c r="ED218" s="163">
        <f t="shared" si="158"/>
        <v>411.33333333333314</v>
      </c>
      <c r="EE218" s="163">
        <f t="shared" si="158"/>
        <v>0</v>
      </c>
      <c r="EF218" s="163">
        <f t="shared" si="158"/>
        <v>574</v>
      </c>
      <c r="EG218" s="643">
        <f t="shared" si="158"/>
        <v>79.333333333333329</v>
      </c>
      <c r="EH218" s="646">
        <f t="shared" si="183"/>
        <v>1299</v>
      </c>
      <c r="EI218" s="645">
        <f t="shared" si="183"/>
        <v>959.33333333333326</v>
      </c>
      <c r="EJ218" s="163">
        <f t="shared" si="183"/>
        <v>465.99999999999983</v>
      </c>
      <c r="EK218" s="163">
        <f t="shared" si="183"/>
        <v>16.666666666666664</v>
      </c>
      <c r="EL218" s="163">
        <f t="shared" si="183"/>
        <v>475.66666666666646</v>
      </c>
      <c r="EM218" s="644">
        <f t="shared" si="183"/>
        <v>1</v>
      </c>
      <c r="EN218" s="645">
        <f t="shared" si="183"/>
        <v>339.66666666666669</v>
      </c>
      <c r="EO218" s="163">
        <f t="shared" si="183"/>
        <v>104.66666666666659</v>
      </c>
      <c r="EP218" s="163">
        <f t="shared" si="183"/>
        <v>0</v>
      </c>
      <c r="EQ218" s="163">
        <f t="shared" si="183"/>
        <v>213.00000000000006</v>
      </c>
      <c r="ER218" s="643">
        <f t="shared" si="183"/>
        <v>21.999999999999996</v>
      </c>
    </row>
    <row r="219" spans="1:148">
      <c r="A219" s="665" t="s">
        <v>250</v>
      </c>
      <c r="B219" s="665">
        <v>45170</v>
      </c>
      <c r="C219" s="664">
        <v>2023</v>
      </c>
      <c r="D219" s="646">
        <f t="shared" ref="D219" si="186">D120/3+D218</f>
        <v>4724236</v>
      </c>
      <c r="E219" s="646">
        <f t="shared" si="167"/>
        <v>139599.00000000003</v>
      </c>
      <c r="F219" s="645">
        <f t="shared" si="167"/>
        <v>101809.99999999999</v>
      </c>
      <c r="G219" s="163">
        <f t="shared" si="167"/>
        <v>46933.999999999985</v>
      </c>
      <c r="H219" s="163">
        <f t="shared" si="167"/>
        <v>2130.9999999999995</v>
      </c>
      <c r="I219" s="163">
        <f t="shared" si="167"/>
        <v>52220.999999999978</v>
      </c>
      <c r="J219" s="644">
        <f t="shared" si="167"/>
        <v>523.99999999999989</v>
      </c>
      <c r="K219" s="645">
        <f t="shared" si="167"/>
        <v>37788.999999999993</v>
      </c>
      <c r="L219" s="163">
        <f t="shared" si="167"/>
        <v>14487.000000000007</v>
      </c>
      <c r="M219" s="163">
        <f t="shared" si="167"/>
        <v>0</v>
      </c>
      <c r="N219" s="163">
        <f t="shared" si="167"/>
        <v>20320.000000000004</v>
      </c>
      <c r="O219" s="643">
        <f t="shared" si="167"/>
        <v>2981.9999999999991</v>
      </c>
      <c r="P219" s="646">
        <f t="shared" si="167"/>
        <v>228.00000000000003</v>
      </c>
      <c r="Q219" s="645">
        <f t="shared" si="167"/>
        <v>138.00000000000006</v>
      </c>
      <c r="R219" s="163">
        <f t="shared" si="167"/>
        <v>69.000000000000028</v>
      </c>
      <c r="S219" s="163">
        <f t="shared" si="167"/>
        <v>1.9999999999999998</v>
      </c>
      <c r="T219" s="163">
        <f t="shared" si="167"/>
        <v>67.000000000000028</v>
      </c>
      <c r="U219" s="644">
        <f t="shared" ref="U219:AJ234" si="187">U120/3+U218</f>
        <v>0</v>
      </c>
      <c r="V219" s="645">
        <f t="shared" si="187"/>
        <v>90.000000000000028</v>
      </c>
      <c r="W219" s="163">
        <f t="shared" si="187"/>
        <v>28.999999999999996</v>
      </c>
      <c r="X219" s="163">
        <f t="shared" si="187"/>
        <v>0</v>
      </c>
      <c r="Y219" s="163">
        <f t="shared" si="187"/>
        <v>54.000000000000007</v>
      </c>
      <c r="Z219" s="643">
        <f t="shared" si="187"/>
        <v>7</v>
      </c>
      <c r="AA219" s="646">
        <f t="shared" si="187"/>
        <v>133.00000000000006</v>
      </c>
      <c r="AB219" s="645">
        <f t="shared" si="187"/>
        <v>82.999999999999972</v>
      </c>
      <c r="AC219" s="163">
        <f t="shared" si="187"/>
        <v>35.999999999999993</v>
      </c>
      <c r="AD219" s="163">
        <f t="shared" si="187"/>
        <v>1</v>
      </c>
      <c r="AE219" s="163">
        <f t="shared" si="187"/>
        <v>45.999999999999986</v>
      </c>
      <c r="AF219" s="644">
        <f t="shared" si="187"/>
        <v>0</v>
      </c>
      <c r="AG219" s="645">
        <f t="shared" si="187"/>
        <v>50.000000000000028</v>
      </c>
      <c r="AH219" s="163">
        <f t="shared" si="187"/>
        <v>32.999999999999979</v>
      </c>
      <c r="AI219" s="163">
        <f t="shared" si="187"/>
        <v>0</v>
      </c>
      <c r="AJ219" s="163">
        <f t="shared" si="187"/>
        <v>10.999999999999998</v>
      </c>
      <c r="AK219" s="643">
        <f t="shared" si="179"/>
        <v>5.9999999999999982</v>
      </c>
      <c r="AL219" s="646">
        <f t="shared" si="179"/>
        <v>1345</v>
      </c>
      <c r="AM219" s="645">
        <f t="shared" si="179"/>
        <v>989.99999999999989</v>
      </c>
      <c r="AN219" s="163">
        <f t="shared" si="179"/>
        <v>476.99999999999983</v>
      </c>
      <c r="AO219" s="163">
        <f t="shared" si="179"/>
        <v>17.999999999999996</v>
      </c>
      <c r="AP219" s="163">
        <f t="shared" si="179"/>
        <v>493.99999999999977</v>
      </c>
      <c r="AQ219" s="644">
        <f t="shared" si="179"/>
        <v>1</v>
      </c>
      <c r="AR219" s="645">
        <f t="shared" si="179"/>
        <v>355</v>
      </c>
      <c r="AS219" s="163">
        <f t="shared" si="179"/>
        <v>104.99999999999991</v>
      </c>
      <c r="AT219" s="163">
        <f t="shared" si="179"/>
        <v>0</v>
      </c>
      <c r="AU219" s="163">
        <f t="shared" si="179"/>
        <v>228.00000000000006</v>
      </c>
      <c r="AV219" s="643">
        <f t="shared" si="179"/>
        <v>21.999999999999996</v>
      </c>
      <c r="AW219" s="646">
        <f t="shared" si="179"/>
        <v>742.99999999999989</v>
      </c>
      <c r="AX219" s="645">
        <f t="shared" si="179"/>
        <v>540.99999999999989</v>
      </c>
      <c r="AY219" s="163">
        <f t="shared" si="179"/>
        <v>274.99999999999994</v>
      </c>
      <c r="AZ219" s="163">
        <f t="shared" si="179"/>
        <v>7.9999999999999991</v>
      </c>
      <c r="BA219" s="163">
        <f t="shared" si="175"/>
        <v>258</v>
      </c>
      <c r="BB219" s="644">
        <f t="shared" si="175"/>
        <v>0</v>
      </c>
      <c r="BC219" s="645">
        <f t="shared" si="175"/>
        <v>202.00000000000006</v>
      </c>
      <c r="BD219" s="163">
        <f t="shared" si="175"/>
        <v>88.999999999999929</v>
      </c>
      <c r="BE219" s="163">
        <f t="shared" si="175"/>
        <v>0</v>
      </c>
      <c r="BF219" s="163">
        <f t="shared" si="175"/>
        <v>101.00000000000004</v>
      </c>
      <c r="BG219" s="643">
        <f t="shared" si="175"/>
        <v>12</v>
      </c>
      <c r="BH219" s="646">
        <f t="shared" si="175"/>
        <v>1081.0000000000005</v>
      </c>
      <c r="BI219" s="645">
        <f t="shared" si="165"/>
        <v>844.99999999999966</v>
      </c>
      <c r="BJ219" s="163">
        <f t="shared" si="165"/>
        <v>385.00000000000017</v>
      </c>
      <c r="BK219" s="163">
        <f t="shared" si="165"/>
        <v>12</v>
      </c>
      <c r="BL219" s="163">
        <f t="shared" si="165"/>
        <v>446.99999999999994</v>
      </c>
      <c r="BM219" s="644">
        <f t="shared" si="165"/>
        <v>1</v>
      </c>
      <c r="BN219" s="645">
        <f t="shared" si="165"/>
        <v>236</v>
      </c>
      <c r="BO219" s="163">
        <f t="shared" si="165"/>
        <v>74</v>
      </c>
      <c r="BP219" s="163">
        <f t="shared" si="165"/>
        <v>0</v>
      </c>
      <c r="BQ219" s="163">
        <f t="shared" si="165"/>
        <v>142</v>
      </c>
      <c r="BR219" s="643">
        <f t="shared" si="165"/>
        <v>20</v>
      </c>
      <c r="BS219" s="646">
        <f t="shared" si="165"/>
        <v>1582</v>
      </c>
      <c r="BT219" s="645">
        <f t="shared" si="165"/>
        <v>1217</v>
      </c>
      <c r="BU219" s="163">
        <f t="shared" si="165"/>
        <v>519</v>
      </c>
      <c r="BV219" s="163">
        <f t="shared" si="165"/>
        <v>6</v>
      </c>
      <c r="BW219" s="163">
        <f t="shared" si="165"/>
        <v>690.99999999999966</v>
      </c>
      <c r="BX219" s="644">
        <f t="shared" si="165"/>
        <v>1</v>
      </c>
      <c r="BY219" s="645">
        <f t="shared" ref="BY219:CN234" si="188">BY120/3+BY218</f>
        <v>365.00000000000006</v>
      </c>
      <c r="BZ219" s="163">
        <f t="shared" si="188"/>
        <v>124.99999999999991</v>
      </c>
      <c r="CA219" s="163">
        <f t="shared" si="188"/>
        <v>0</v>
      </c>
      <c r="CB219" s="163">
        <f t="shared" si="188"/>
        <v>212.99999999999994</v>
      </c>
      <c r="CC219" s="643">
        <f t="shared" si="188"/>
        <v>26.999999999999993</v>
      </c>
      <c r="CD219" s="646">
        <f t="shared" si="188"/>
        <v>275.99999999999994</v>
      </c>
      <c r="CE219" s="645">
        <f t="shared" si="188"/>
        <v>201.00000000000003</v>
      </c>
      <c r="CF219" s="163">
        <f t="shared" si="188"/>
        <v>84.999999999999986</v>
      </c>
      <c r="CG219" s="163">
        <f t="shared" si="188"/>
        <v>7.0000000000000009</v>
      </c>
      <c r="CH219" s="163">
        <f t="shared" si="188"/>
        <v>109</v>
      </c>
      <c r="CI219" s="644">
        <f t="shared" si="188"/>
        <v>0</v>
      </c>
      <c r="CJ219" s="645">
        <f t="shared" si="188"/>
        <v>74.999999999999972</v>
      </c>
      <c r="CK219" s="163">
        <f t="shared" si="188"/>
        <v>25.999999999999996</v>
      </c>
      <c r="CL219" s="163">
        <f t="shared" si="188"/>
        <v>0</v>
      </c>
      <c r="CM219" s="163">
        <f t="shared" si="188"/>
        <v>44</v>
      </c>
      <c r="CN219" s="643">
        <f t="shared" si="169"/>
        <v>4.9999999999999991</v>
      </c>
      <c r="CO219" s="646">
        <f t="shared" si="169"/>
        <v>200.00000000000003</v>
      </c>
      <c r="CP219" s="645">
        <f t="shared" si="169"/>
        <v>144.00000000000006</v>
      </c>
      <c r="CQ219" s="163">
        <f t="shared" si="169"/>
        <v>75.000000000000028</v>
      </c>
      <c r="CR219" s="163">
        <f t="shared" si="169"/>
        <v>5.9999999999999991</v>
      </c>
      <c r="CS219" s="163">
        <f t="shared" si="169"/>
        <v>62.999999999999986</v>
      </c>
      <c r="CT219" s="644">
        <f t="shared" si="169"/>
        <v>0</v>
      </c>
      <c r="CU219" s="645">
        <f t="shared" si="169"/>
        <v>56.000000000000028</v>
      </c>
      <c r="CV219" s="163">
        <f t="shared" si="169"/>
        <v>23.999999999999986</v>
      </c>
      <c r="CW219" s="163">
        <f t="shared" si="169"/>
        <v>0</v>
      </c>
      <c r="CX219" s="163">
        <f t="shared" si="169"/>
        <v>31.999999999999979</v>
      </c>
      <c r="CY219" s="643">
        <f t="shared" si="169"/>
        <v>0</v>
      </c>
      <c r="CZ219" s="646">
        <f t="shared" si="169"/>
        <v>65</v>
      </c>
      <c r="DA219" s="645">
        <f t="shared" si="169"/>
        <v>42.999999999999993</v>
      </c>
      <c r="DB219" s="163">
        <f t="shared" si="169"/>
        <v>12.999999999999998</v>
      </c>
      <c r="DC219" s="163">
        <f t="shared" si="169"/>
        <v>1</v>
      </c>
      <c r="DD219" s="163">
        <f t="shared" si="171"/>
        <v>28.999999999999996</v>
      </c>
      <c r="DE219" s="644">
        <f t="shared" si="171"/>
        <v>0</v>
      </c>
      <c r="DF219" s="645">
        <f t="shared" si="171"/>
        <v>22.000000000000004</v>
      </c>
      <c r="DG219" s="163">
        <f t="shared" si="171"/>
        <v>13.000000000000011</v>
      </c>
      <c r="DH219" s="163">
        <f t="shared" si="171"/>
        <v>0</v>
      </c>
      <c r="DI219" s="163">
        <f t="shared" si="171"/>
        <v>5.9999999999999982</v>
      </c>
      <c r="DJ219" s="643">
        <f t="shared" si="171"/>
        <v>3</v>
      </c>
      <c r="DK219" s="646">
        <f t="shared" si="171"/>
        <v>1</v>
      </c>
      <c r="DL219" s="645">
        <f t="shared" si="171"/>
        <v>1</v>
      </c>
      <c r="DM219" s="163">
        <f t="shared" si="171"/>
        <v>0</v>
      </c>
      <c r="DN219" s="163">
        <f t="shared" si="171"/>
        <v>1</v>
      </c>
      <c r="DO219" s="163">
        <f t="shared" si="171"/>
        <v>0</v>
      </c>
      <c r="DP219" s="644">
        <f t="shared" si="171"/>
        <v>0</v>
      </c>
      <c r="DQ219" s="645">
        <f t="shared" si="171"/>
        <v>1</v>
      </c>
      <c r="DR219" s="163">
        <f t="shared" si="171"/>
        <v>1</v>
      </c>
      <c r="DS219" s="163">
        <f t="shared" si="171"/>
        <v>0</v>
      </c>
      <c r="DT219" s="163">
        <f t="shared" ref="DT219:DU234" si="189">DT120/3+DT218</f>
        <v>0</v>
      </c>
      <c r="DU219" s="643">
        <f t="shared" si="189"/>
        <v>0</v>
      </c>
      <c r="DW219" s="646">
        <f t="shared" si="121"/>
        <v>4309.0000000000009</v>
      </c>
      <c r="DX219" s="645">
        <f t="shared" si="121"/>
        <v>3212.9999999999995</v>
      </c>
      <c r="DY219" s="163">
        <f t="shared" si="121"/>
        <v>1457.0000000000002</v>
      </c>
      <c r="DZ219" s="163">
        <f t="shared" si="121"/>
        <v>44</v>
      </c>
      <c r="EA219" s="163">
        <f t="shared" si="121"/>
        <v>1709.9999999999995</v>
      </c>
      <c r="EB219" s="644">
        <f t="shared" si="158"/>
        <v>2</v>
      </c>
      <c r="EC219" s="645">
        <f t="shared" si="158"/>
        <v>1097.0000000000002</v>
      </c>
      <c r="ED219" s="163">
        <f t="shared" si="158"/>
        <v>413.99999999999977</v>
      </c>
      <c r="EE219" s="163">
        <f t="shared" si="158"/>
        <v>0</v>
      </c>
      <c r="EF219" s="163">
        <f t="shared" si="158"/>
        <v>603</v>
      </c>
      <c r="EG219" s="643">
        <f t="shared" si="158"/>
        <v>80</v>
      </c>
      <c r="EH219" s="646">
        <f t="shared" si="183"/>
        <v>1345</v>
      </c>
      <c r="EI219" s="645">
        <f t="shared" si="183"/>
        <v>989.99999999999989</v>
      </c>
      <c r="EJ219" s="163">
        <f t="shared" si="183"/>
        <v>476.99999999999983</v>
      </c>
      <c r="EK219" s="163">
        <f t="shared" si="183"/>
        <v>17.999999999999996</v>
      </c>
      <c r="EL219" s="163">
        <f t="shared" si="183"/>
        <v>493.99999999999977</v>
      </c>
      <c r="EM219" s="644">
        <f t="shared" si="183"/>
        <v>1</v>
      </c>
      <c r="EN219" s="645">
        <f t="shared" si="183"/>
        <v>355</v>
      </c>
      <c r="EO219" s="163">
        <f t="shared" si="183"/>
        <v>104.99999999999991</v>
      </c>
      <c r="EP219" s="163">
        <f t="shared" si="183"/>
        <v>0</v>
      </c>
      <c r="EQ219" s="163">
        <f t="shared" si="183"/>
        <v>228.00000000000006</v>
      </c>
      <c r="ER219" s="643">
        <f t="shared" si="183"/>
        <v>21.999999999999996</v>
      </c>
    </row>
    <row r="220" spans="1:148">
      <c r="A220" s="665" t="s">
        <v>251</v>
      </c>
      <c r="B220" s="665">
        <v>45200</v>
      </c>
      <c r="C220" s="664">
        <v>2023</v>
      </c>
      <c r="D220" s="646">
        <f t="shared" ref="D220" si="190">D121/3+D219</f>
        <v>4781281</v>
      </c>
      <c r="E220" s="646">
        <f t="shared" si="167"/>
        <v>144300.66666666669</v>
      </c>
      <c r="F220" s="645">
        <f t="shared" si="167"/>
        <v>105453.66666666666</v>
      </c>
      <c r="G220" s="163">
        <f t="shared" si="167"/>
        <v>47763.333333333321</v>
      </c>
      <c r="H220" s="163">
        <f t="shared" si="167"/>
        <v>2314.333333333333</v>
      </c>
      <c r="I220" s="163">
        <f t="shared" si="167"/>
        <v>54798.999999999978</v>
      </c>
      <c r="J220" s="644">
        <f t="shared" si="167"/>
        <v>576.99999999999989</v>
      </c>
      <c r="K220" s="645">
        <f t="shared" si="167"/>
        <v>38846.999999999993</v>
      </c>
      <c r="L220" s="163">
        <f t="shared" si="167"/>
        <v>14557.000000000007</v>
      </c>
      <c r="M220" s="163">
        <f t="shared" si="167"/>
        <v>0</v>
      </c>
      <c r="N220" s="163">
        <f t="shared" si="167"/>
        <v>21287.333333333336</v>
      </c>
      <c r="O220" s="643">
        <f t="shared" si="167"/>
        <v>3002.6666666666656</v>
      </c>
      <c r="P220" s="646">
        <f t="shared" si="167"/>
        <v>237.00000000000003</v>
      </c>
      <c r="Q220" s="645">
        <f t="shared" si="167"/>
        <v>144.66666666666671</v>
      </c>
      <c r="R220" s="163">
        <f t="shared" si="167"/>
        <v>70.6666666666667</v>
      </c>
      <c r="S220" s="163">
        <f t="shared" si="167"/>
        <v>2.333333333333333</v>
      </c>
      <c r="T220" s="163">
        <f t="shared" si="167"/>
        <v>71.6666666666667</v>
      </c>
      <c r="U220" s="644">
        <f t="shared" si="187"/>
        <v>0</v>
      </c>
      <c r="V220" s="645">
        <f t="shared" si="187"/>
        <v>92.333333333333357</v>
      </c>
      <c r="W220" s="163">
        <f t="shared" si="187"/>
        <v>28.999999999999996</v>
      </c>
      <c r="X220" s="163">
        <f t="shared" si="187"/>
        <v>0</v>
      </c>
      <c r="Y220" s="163">
        <f t="shared" si="187"/>
        <v>56.333333333333343</v>
      </c>
      <c r="Z220" s="643">
        <f t="shared" si="187"/>
        <v>7</v>
      </c>
      <c r="AA220" s="646">
        <f t="shared" si="187"/>
        <v>136.00000000000006</v>
      </c>
      <c r="AB220" s="645">
        <f t="shared" si="187"/>
        <v>85.666666666666643</v>
      </c>
      <c r="AC220" s="163">
        <f t="shared" si="187"/>
        <v>36.999999999999993</v>
      </c>
      <c r="AD220" s="163">
        <f t="shared" si="187"/>
        <v>1.3333333333333333</v>
      </c>
      <c r="AE220" s="163">
        <f t="shared" si="187"/>
        <v>47.333333333333321</v>
      </c>
      <c r="AF220" s="644">
        <f t="shared" si="187"/>
        <v>0</v>
      </c>
      <c r="AG220" s="645">
        <f t="shared" si="187"/>
        <v>50.333333333333364</v>
      </c>
      <c r="AH220" s="163">
        <f t="shared" si="187"/>
        <v>32.999999999999979</v>
      </c>
      <c r="AI220" s="163">
        <f t="shared" si="187"/>
        <v>0</v>
      </c>
      <c r="AJ220" s="163">
        <f t="shared" si="187"/>
        <v>11.333333333333332</v>
      </c>
      <c r="AK220" s="643">
        <f t="shared" si="179"/>
        <v>5.9999999999999982</v>
      </c>
      <c r="AL220" s="646">
        <f t="shared" si="179"/>
        <v>1398.3333333333333</v>
      </c>
      <c r="AM220" s="645">
        <f t="shared" si="179"/>
        <v>1031.6666666666665</v>
      </c>
      <c r="AN220" s="163">
        <f t="shared" si="179"/>
        <v>483.66666666666652</v>
      </c>
      <c r="AO220" s="163">
        <f t="shared" si="179"/>
        <v>20.666666666666664</v>
      </c>
      <c r="AP220" s="163">
        <f t="shared" si="179"/>
        <v>526.33333333333314</v>
      </c>
      <c r="AQ220" s="644">
        <f t="shared" si="179"/>
        <v>1</v>
      </c>
      <c r="AR220" s="645">
        <f t="shared" si="179"/>
        <v>366.66666666666669</v>
      </c>
      <c r="AS220" s="163">
        <f t="shared" si="179"/>
        <v>105.33333333333324</v>
      </c>
      <c r="AT220" s="163">
        <f t="shared" si="179"/>
        <v>0</v>
      </c>
      <c r="AU220" s="163">
        <f t="shared" si="179"/>
        <v>239.3333333333334</v>
      </c>
      <c r="AV220" s="643">
        <f t="shared" si="179"/>
        <v>21.999999999999996</v>
      </c>
      <c r="AW220" s="646">
        <f t="shared" si="179"/>
        <v>767.66666666666652</v>
      </c>
      <c r="AX220" s="645">
        <f t="shared" si="179"/>
        <v>559.33333333333326</v>
      </c>
      <c r="AY220" s="163">
        <f t="shared" si="179"/>
        <v>278.99999999999994</v>
      </c>
      <c r="AZ220" s="163">
        <f t="shared" si="179"/>
        <v>8.6666666666666661</v>
      </c>
      <c r="BA220" s="163">
        <f t="shared" si="175"/>
        <v>271.66666666666669</v>
      </c>
      <c r="BB220" s="644">
        <f t="shared" si="175"/>
        <v>0</v>
      </c>
      <c r="BC220" s="645">
        <f t="shared" si="175"/>
        <v>208.3333333333334</v>
      </c>
      <c r="BD220" s="163">
        <f t="shared" si="175"/>
        <v>89.333333333333258</v>
      </c>
      <c r="BE220" s="163">
        <f t="shared" si="175"/>
        <v>0</v>
      </c>
      <c r="BF220" s="163">
        <f t="shared" si="175"/>
        <v>106.66666666666671</v>
      </c>
      <c r="BG220" s="643">
        <f t="shared" si="175"/>
        <v>12.333333333333334</v>
      </c>
      <c r="BH220" s="646">
        <f t="shared" si="175"/>
        <v>1117.0000000000005</v>
      </c>
      <c r="BI220" s="645">
        <f t="shared" si="175"/>
        <v>874.66666666666629</v>
      </c>
      <c r="BJ220" s="163">
        <f t="shared" si="175"/>
        <v>393.33333333333348</v>
      </c>
      <c r="BK220" s="163">
        <f t="shared" si="175"/>
        <v>12.333333333333334</v>
      </c>
      <c r="BL220" s="163">
        <f t="shared" si="175"/>
        <v>467.99999999999994</v>
      </c>
      <c r="BM220" s="644">
        <f t="shared" si="175"/>
        <v>1</v>
      </c>
      <c r="BN220" s="645">
        <f t="shared" si="175"/>
        <v>242.33333333333334</v>
      </c>
      <c r="BO220" s="163">
        <f t="shared" si="175"/>
        <v>74</v>
      </c>
      <c r="BP220" s="163">
        <f t="shared" si="175"/>
        <v>0</v>
      </c>
      <c r="BQ220" s="163">
        <f t="shared" ref="BQ220:BX234" si="191">BQ121/3+BQ219</f>
        <v>148.33333333333334</v>
      </c>
      <c r="BR220" s="643">
        <f t="shared" si="191"/>
        <v>20</v>
      </c>
      <c r="BS220" s="646">
        <f t="shared" si="191"/>
        <v>1632.3333333333333</v>
      </c>
      <c r="BT220" s="645">
        <f t="shared" si="191"/>
        <v>1255.6666666666667</v>
      </c>
      <c r="BU220" s="163">
        <f t="shared" si="191"/>
        <v>528</v>
      </c>
      <c r="BV220" s="163">
        <f t="shared" si="191"/>
        <v>6.666666666666667</v>
      </c>
      <c r="BW220" s="163">
        <f t="shared" si="191"/>
        <v>719.99999999999966</v>
      </c>
      <c r="BX220" s="644">
        <f t="shared" si="191"/>
        <v>1</v>
      </c>
      <c r="BY220" s="645">
        <f t="shared" si="188"/>
        <v>376.66666666666674</v>
      </c>
      <c r="BZ220" s="163">
        <f t="shared" si="188"/>
        <v>125.99999999999991</v>
      </c>
      <c r="CA220" s="163">
        <f t="shared" si="188"/>
        <v>0</v>
      </c>
      <c r="CB220" s="163">
        <f t="shared" si="188"/>
        <v>223.33333333333329</v>
      </c>
      <c r="CC220" s="643">
        <f t="shared" si="188"/>
        <v>27.333333333333325</v>
      </c>
      <c r="CD220" s="646">
        <f t="shared" si="188"/>
        <v>283.33333333333326</v>
      </c>
      <c r="CE220" s="645">
        <f t="shared" si="188"/>
        <v>207.33333333333337</v>
      </c>
      <c r="CF220" s="163">
        <f t="shared" si="188"/>
        <v>86.666666666666657</v>
      </c>
      <c r="CG220" s="163">
        <f t="shared" si="188"/>
        <v>7.6666666666666679</v>
      </c>
      <c r="CH220" s="163">
        <f t="shared" si="188"/>
        <v>113</v>
      </c>
      <c r="CI220" s="644">
        <f t="shared" si="188"/>
        <v>0</v>
      </c>
      <c r="CJ220" s="645">
        <f t="shared" si="188"/>
        <v>75.999999999999972</v>
      </c>
      <c r="CK220" s="163">
        <f t="shared" si="188"/>
        <v>25.999999999999996</v>
      </c>
      <c r="CL220" s="163">
        <f t="shared" si="188"/>
        <v>0</v>
      </c>
      <c r="CM220" s="163">
        <f t="shared" si="188"/>
        <v>45</v>
      </c>
      <c r="CN220" s="643">
        <f t="shared" si="169"/>
        <v>4.9999999999999991</v>
      </c>
      <c r="CO220" s="646">
        <f t="shared" si="169"/>
        <v>206.33333333333337</v>
      </c>
      <c r="CP220" s="645">
        <f t="shared" si="169"/>
        <v>149.3333333333334</v>
      </c>
      <c r="CQ220" s="163">
        <f t="shared" si="169"/>
        <v>75.6666666666667</v>
      </c>
      <c r="CR220" s="163">
        <f t="shared" si="169"/>
        <v>6.9999999999999991</v>
      </c>
      <c r="CS220" s="163">
        <f t="shared" si="169"/>
        <v>66.333333333333314</v>
      </c>
      <c r="CT220" s="644">
        <f t="shared" si="169"/>
        <v>0.33333333333333331</v>
      </c>
      <c r="CU220" s="645">
        <f t="shared" si="169"/>
        <v>57.000000000000028</v>
      </c>
      <c r="CV220" s="163">
        <f t="shared" si="169"/>
        <v>23.999999999999986</v>
      </c>
      <c r="CW220" s="163">
        <f t="shared" si="169"/>
        <v>0</v>
      </c>
      <c r="CX220" s="163">
        <f t="shared" si="169"/>
        <v>32.999999999999979</v>
      </c>
      <c r="CY220" s="643">
        <f t="shared" si="169"/>
        <v>0</v>
      </c>
      <c r="CZ220" s="646">
        <f t="shared" si="169"/>
        <v>66.333333333333329</v>
      </c>
      <c r="DA220" s="645">
        <f t="shared" si="169"/>
        <v>43.999999999999993</v>
      </c>
      <c r="DB220" s="163">
        <f t="shared" si="169"/>
        <v>13.333333333333332</v>
      </c>
      <c r="DC220" s="163">
        <f t="shared" si="169"/>
        <v>1</v>
      </c>
      <c r="DD220" s="163">
        <f t="shared" si="171"/>
        <v>29.666666666666664</v>
      </c>
      <c r="DE220" s="644">
        <f t="shared" si="171"/>
        <v>0</v>
      </c>
      <c r="DF220" s="645">
        <f t="shared" si="171"/>
        <v>22.333333333333336</v>
      </c>
      <c r="DG220" s="163">
        <f t="shared" si="171"/>
        <v>13.000000000000011</v>
      </c>
      <c r="DH220" s="163">
        <f t="shared" si="171"/>
        <v>0</v>
      </c>
      <c r="DI220" s="163">
        <f t="shared" si="171"/>
        <v>6.3333333333333313</v>
      </c>
      <c r="DJ220" s="643">
        <f t="shared" si="171"/>
        <v>3</v>
      </c>
      <c r="DK220" s="646">
        <f t="shared" si="171"/>
        <v>1</v>
      </c>
      <c r="DL220" s="645">
        <f t="shared" si="171"/>
        <v>1</v>
      </c>
      <c r="DM220" s="163">
        <f t="shared" si="171"/>
        <v>0</v>
      </c>
      <c r="DN220" s="163">
        <f t="shared" si="171"/>
        <v>1</v>
      </c>
      <c r="DO220" s="163">
        <f t="shared" si="171"/>
        <v>0</v>
      </c>
      <c r="DP220" s="644">
        <f t="shared" si="171"/>
        <v>0</v>
      </c>
      <c r="DQ220" s="645">
        <f t="shared" si="171"/>
        <v>1</v>
      </c>
      <c r="DR220" s="163">
        <f t="shared" si="171"/>
        <v>1</v>
      </c>
      <c r="DS220" s="163">
        <f t="shared" si="171"/>
        <v>0</v>
      </c>
      <c r="DT220" s="163">
        <f t="shared" si="189"/>
        <v>0</v>
      </c>
      <c r="DU220" s="643">
        <f t="shared" si="189"/>
        <v>0</v>
      </c>
      <c r="DW220" s="646">
        <f t="shared" si="121"/>
        <v>4446.9999999999991</v>
      </c>
      <c r="DX220" s="645">
        <f t="shared" si="121"/>
        <v>3321.666666666667</v>
      </c>
      <c r="DY220" s="163">
        <f t="shared" si="121"/>
        <v>1483.6666666666667</v>
      </c>
      <c r="DZ220" s="163">
        <f t="shared" si="121"/>
        <v>48</v>
      </c>
      <c r="EA220" s="163">
        <f t="shared" si="121"/>
        <v>1787.6666666666665</v>
      </c>
      <c r="EB220" s="644">
        <f t="shared" si="158"/>
        <v>2.3333333333333335</v>
      </c>
      <c r="EC220" s="645">
        <f t="shared" si="158"/>
        <v>1126.3333333333335</v>
      </c>
      <c r="ED220" s="163">
        <f t="shared" si="158"/>
        <v>415.33333333333314</v>
      </c>
      <c r="EE220" s="163">
        <f t="shared" si="158"/>
        <v>0</v>
      </c>
      <c r="EF220" s="163">
        <f t="shared" si="158"/>
        <v>630.33333333333337</v>
      </c>
      <c r="EG220" s="643">
        <f t="shared" si="158"/>
        <v>80.666666666666657</v>
      </c>
      <c r="EH220" s="646">
        <f t="shared" si="183"/>
        <v>1398.3333333333333</v>
      </c>
      <c r="EI220" s="645">
        <f t="shared" si="183"/>
        <v>1031.6666666666665</v>
      </c>
      <c r="EJ220" s="163">
        <f t="shared" si="183"/>
        <v>483.66666666666652</v>
      </c>
      <c r="EK220" s="163">
        <f t="shared" si="183"/>
        <v>20.666666666666664</v>
      </c>
      <c r="EL220" s="163">
        <f t="shared" si="183"/>
        <v>526.33333333333314</v>
      </c>
      <c r="EM220" s="644">
        <f t="shared" si="183"/>
        <v>1</v>
      </c>
      <c r="EN220" s="645">
        <f t="shared" si="183"/>
        <v>366.66666666666669</v>
      </c>
      <c r="EO220" s="163">
        <f t="shared" si="183"/>
        <v>105.33333333333324</v>
      </c>
      <c r="EP220" s="163">
        <f t="shared" si="183"/>
        <v>0</v>
      </c>
      <c r="EQ220" s="163">
        <f t="shared" si="183"/>
        <v>239.3333333333334</v>
      </c>
      <c r="ER220" s="643">
        <f t="shared" si="183"/>
        <v>21.999999999999996</v>
      </c>
    </row>
    <row r="221" spans="1:148">
      <c r="A221" s="665" t="s">
        <v>251</v>
      </c>
      <c r="B221" s="665">
        <v>45231</v>
      </c>
      <c r="C221" s="664">
        <v>2023</v>
      </c>
      <c r="D221" s="646">
        <f t="shared" ref="D221" si="192">D122/3+D220</f>
        <v>4838326</v>
      </c>
      <c r="E221" s="646">
        <f t="shared" ref="E221:T234" si="193">E122/3+E220</f>
        <v>149002.33333333334</v>
      </c>
      <c r="F221" s="645">
        <f t="shared" si="193"/>
        <v>109097.33333333333</v>
      </c>
      <c r="G221" s="163">
        <f t="shared" si="193"/>
        <v>48592.666666666657</v>
      </c>
      <c r="H221" s="163">
        <f t="shared" si="193"/>
        <v>2497.6666666666665</v>
      </c>
      <c r="I221" s="163">
        <f t="shared" si="193"/>
        <v>57376.999999999978</v>
      </c>
      <c r="J221" s="644">
        <f t="shared" si="193"/>
        <v>629.99999999999989</v>
      </c>
      <c r="K221" s="645">
        <f t="shared" si="193"/>
        <v>39904.999999999993</v>
      </c>
      <c r="L221" s="163">
        <f t="shared" si="193"/>
        <v>14627.000000000007</v>
      </c>
      <c r="M221" s="163">
        <f t="shared" si="193"/>
        <v>0</v>
      </c>
      <c r="N221" s="163">
        <f t="shared" si="193"/>
        <v>22254.666666666668</v>
      </c>
      <c r="O221" s="643">
        <f t="shared" si="193"/>
        <v>3023.3333333333321</v>
      </c>
      <c r="P221" s="646">
        <f t="shared" si="193"/>
        <v>246.00000000000003</v>
      </c>
      <c r="Q221" s="645">
        <f t="shared" si="193"/>
        <v>151.33333333333337</v>
      </c>
      <c r="R221" s="163">
        <f t="shared" si="193"/>
        <v>72.333333333333371</v>
      </c>
      <c r="S221" s="163">
        <f t="shared" si="193"/>
        <v>2.6666666666666665</v>
      </c>
      <c r="T221" s="163">
        <f t="shared" si="193"/>
        <v>76.333333333333371</v>
      </c>
      <c r="U221" s="644">
        <f t="shared" si="187"/>
        <v>0</v>
      </c>
      <c r="V221" s="645">
        <f t="shared" si="187"/>
        <v>94.666666666666686</v>
      </c>
      <c r="W221" s="163">
        <f t="shared" si="187"/>
        <v>28.999999999999996</v>
      </c>
      <c r="X221" s="163">
        <f t="shared" si="187"/>
        <v>0</v>
      </c>
      <c r="Y221" s="163">
        <f t="shared" si="187"/>
        <v>58.666666666666679</v>
      </c>
      <c r="Z221" s="643">
        <f t="shared" si="187"/>
        <v>7</v>
      </c>
      <c r="AA221" s="646">
        <f t="shared" si="187"/>
        <v>139.00000000000006</v>
      </c>
      <c r="AB221" s="645">
        <f t="shared" si="187"/>
        <v>88.333333333333314</v>
      </c>
      <c r="AC221" s="163">
        <f t="shared" si="187"/>
        <v>37.999999999999993</v>
      </c>
      <c r="AD221" s="163">
        <f t="shared" si="187"/>
        <v>1.6666666666666665</v>
      </c>
      <c r="AE221" s="163">
        <f t="shared" si="187"/>
        <v>48.666666666666657</v>
      </c>
      <c r="AF221" s="644">
        <f t="shared" si="187"/>
        <v>0</v>
      </c>
      <c r="AG221" s="645">
        <f t="shared" si="187"/>
        <v>50.6666666666667</v>
      </c>
      <c r="AH221" s="163">
        <f t="shared" si="187"/>
        <v>32.999999999999979</v>
      </c>
      <c r="AI221" s="163">
        <f t="shared" si="187"/>
        <v>0</v>
      </c>
      <c r="AJ221" s="163">
        <f t="shared" si="187"/>
        <v>11.666666666666666</v>
      </c>
      <c r="AK221" s="643">
        <f t="shared" si="179"/>
        <v>5.9999999999999982</v>
      </c>
      <c r="AL221" s="646">
        <f t="shared" si="179"/>
        <v>1451.6666666666665</v>
      </c>
      <c r="AM221" s="645">
        <f t="shared" si="179"/>
        <v>1073.3333333333333</v>
      </c>
      <c r="AN221" s="163">
        <f t="shared" si="179"/>
        <v>490.3333333333332</v>
      </c>
      <c r="AO221" s="163">
        <f t="shared" si="179"/>
        <v>23.333333333333332</v>
      </c>
      <c r="AP221" s="163">
        <f t="shared" si="179"/>
        <v>558.66666666666652</v>
      </c>
      <c r="AQ221" s="644">
        <f t="shared" si="179"/>
        <v>1</v>
      </c>
      <c r="AR221" s="645">
        <f t="shared" si="179"/>
        <v>378.33333333333337</v>
      </c>
      <c r="AS221" s="163">
        <f t="shared" si="179"/>
        <v>105.66666666666657</v>
      </c>
      <c r="AT221" s="163">
        <f t="shared" si="179"/>
        <v>0</v>
      </c>
      <c r="AU221" s="163">
        <f t="shared" si="179"/>
        <v>250.66666666666674</v>
      </c>
      <c r="AV221" s="643">
        <f t="shared" si="179"/>
        <v>21.999999999999996</v>
      </c>
      <c r="AW221" s="646">
        <f t="shared" si="179"/>
        <v>792.33333333333314</v>
      </c>
      <c r="AX221" s="645">
        <f t="shared" si="179"/>
        <v>577.66666666666663</v>
      </c>
      <c r="AY221" s="163">
        <f t="shared" si="179"/>
        <v>282.99999999999994</v>
      </c>
      <c r="AZ221" s="163">
        <f t="shared" si="179"/>
        <v>9.3333333333333321</v>
      </c>
      <c r="BA221" s="163">
        <f t="shared" si="175"/>
        <v>285.33333333333337</v>
      </c>
      <c r="BB221" s="644">
        <f t="shared" si="175"/>
        <v>0</v>
      </c>
      <c r="BC221" s="645">
        <f t="shared" si="175"/>
        <v>214.66666666666674</v>
      </c>
      <c r="BD221" s="163">
        <f t="shared" si="175"/>
        <v>89.666666666666586</v>
      </c>
      <c r="BE221" s="163">
        <f t="shared" si="175"/>
        <v>0</v>
      </c>
      <c r="BF221" s="163">
        <f t="shared" si="175"/>
        <v>112.33333333333339</v>
      </c>
      <c r="BG221" s="643">
        <f t="shared" si="175"/>
        <v>12.666666666666668</v>
      </c>
      <c r="BH221" s="646">
        <f t="shared" si="175"/>
        <v>1153.0000000000005</v>
      </c>
      <c r="BI221" s="645">
        <f t="shared" si="175"/>
        <v>904.33333333333292</v>
      </c>
      <c r="BJ221" s="163">
        <f t="shared" si="175"/>
        <v>401.6666666666668</v>
      </c>
      <c r="BK221" s="163">
        <f t="shared" si="175"/>
        <v>12.666666666666668</v>
      </c>
      <c r="BL221" s="163">
        <f t="shared" si="175"/>
        <v>488.99999999999994</v>
      </c>
      <c r="BM221" s="644">
        <f t="shared" si="175"/>
        <v>1</v>
      </c>
      <c r="BN221" s="645">
        <f t="shared" si="175"/>
        <v>248.66666666666669</v>
      </c>
      <c r="BO221" s="163">
        <f t="shared" si="175"/>
        <v>74</v>
      </c>
      <c r="BP221" s="163">
        <f t="shared" si="175"/>
        <v>0</v>
      </c>
      <c r="BQ221" s="163">
        <f t="shared" si="191"/>
        <v>154.66666666666669</v>
      </c>
      <c r="BR221" s="643">
        <f t="shared" si="191"/>
        <v>20</v>
      </c>
      <c r="BS221" s="646">
        <f t="shared" si="191"/>
        <v>1682.6666666666665</v>
      </c>
      <c r="BT221" s="645">
        <f t="shared" si="191"/>
        <v>1294.3333333333335</v>
      </c>
      <c r="BU221" s="163">
        <f t="shared" si="191"/>
        <v>537</v>
      </c>
      <c r="BV221" s="163">
        <f t="shared" si="191"/>
        <v>7.3333333333333339</v>
      </c>
      <c r="BW221" s="163">
        <f t="shared" si="191"/>
        <v>748.99999999999966</v>
      </c>
      <c r="BX221" s="644">
        <f t="shared" si="191"/>
        <v>1</v>
      </c>
      <c r="BY221" s="645">
        <f t="shared" si="188"/>
        <v>388.33333333333343</v>
      </c>
      <c r="BZ221" s="163">
        <f t="shared" si="188"/>
        <v>126.99999999999991</v>
      </c>
      <c r="CA221" s="163">
        <f t="shared" si="188"/>
        <v>0</v>
      </c>
      <c r="CB221" s="163">
        <f t="shared" si="188"/>
        <v>233.66666666666663</v>
      </c>
      <c r="CC221" s="643">
        <f t="shared" si="188"/>
        <v>27.666666666666657</v>
      </c>
      <c r="CD221" s="646">
        <f t="shared" si="188"/>
        <v>290.66666666666657</v>
      </c>
      <c r="CE221" s="645">
        <f t="shared" si="188"/>
        <v>213.66666666666671</v>
      </c>
      <c r="CF221" s="163">
        <f t="shared" si="188"/>
        <v>88.333333333333329</v>
      </c>
      <c r="CG221" s="163">
        <f t="shared" si="188"/>
        <v>8.3333333333333339</v>
      </c>
      <c r="CH221" s="163">
        <f t="shared" si="188"/>
        <v>117</v>
      </c>
      <c r="CI221" s="644">
        <f t="shared" si="188"/>
        <v>0</v>
      </c>
      <c r="CJ221" s="645">
        <f t="shared" si="188"/>
        <v>76.999999999999972</v>
      </c>
      <c r="CK221" s="163">
        <f t="shared" si="188"/>
        <v>25.999999999999996</v>
      </c>
      <c r="CL221" s="163">
        <f t="shared" si="188"/>
        <v>0</v>
      </c>
      <c r="CM221" s="163">
        <f t="shared" si="188"/>
        <v>46</v>
      </c>
      <c r="CN221" s="643">
        <f t="shared" si="169"/>
        <v>4.9999999999999991</v>
      </c>
      <c r="CO221" s="646">
        <f t="shared" si="169"/>
        <v>212.66666666666671</v>
      </c>
      <c r="CP221" s="645">
        <f t="shared" si="169"/>
        <v>154.66666666666674</v>
      </c>
      <c r="CQ221" s="163">
        <f t="shared" si="169"/>
        <v>76.333333333333371</v>
      </c>
      <c r="CR221" s="163">
        <f t="shared" si="169"/>
        <v>7.9999999999999991</v>
      </c>
      <c r="CS221" s="163">
        <f t="shared" si="169"/>
        <v>69.666666666666643</v>
      </c>
      <c r="CT221" s="644">
        <f t="shared" si="169"/>
        <v>0.66666666666666663</v>
      </c>
      <c r="CU221" s="645">
        <f t="shared" si="169"/>
        <v>58.000000000000028</v>
      </c>
      <c r="CV221" s="163">
        <f t="shared" si="169"/>
        <v>23.999999999999986</v>
      </c>
      <c r="CW221" s="163">
        <f t="shared" si="169"/>
        <v>0</v>
      </c>
      <c r="CX221" s="163">
        <f t="shared" si="169"/>
        <v>33.999999999999979</v>
      </c>
      <c r="CY221" s="643">
        <f t="shared" si="169"/>
        <v>0</v>
      </c>
      <c r="CZ221" s="646">
        <f t="shared" si="169"/>
        <v>67.666666666666657</v>
      </c>
      <c r="DA221" s="645">
        <f t="shared" si="169"/>
        <v>44.999999999999993</v>
      </c>
      <c r="DB221" s="163">
        <f t="shared" si="169"/>
        <v>13.666666666666666</v>
      </c>
      <c r="DC221" s="163">
        <f t="shared" si="169"/>
        <v>1</v>
      </c>
      <c r="DD221" s="163">
        <f t="shared" si="171"/>
        <v>30.333333333333332</v>
      </c>
      <c r="DE221" s="644">
        <f t="shared" si="171"/>
        <v>0</v>
      </c>
      <c r="DF221" s="645">
        <f t="shared" si="171"/>
        <v>22.666666666666668</v>
      </c>
      <c r="DG221" s="163">
        <f t="shared" si="171"/>
        <v>13.000000000000011</v>
      </c>
      <c r="DH221" s="163">
        <f t="shared" si="171"/>
        <v>0</v>
      </c>
      <c r="DI221" s="163">
        <f t="shared" si="171"/>
        <v>6.6666666666666643</v>
      </c>
      <c r="DJ221" s="643">
        <f t="shared" si="171"/>
        <v>3</v>
      </c>
      <c r="DK221" s="646">
        <f t="shared" si="171"/>
        <v>1</v>
      </c>
      <c r="DL221" s="645">
        <f t="shared" si="171"/>
        <v>1</v>
      </c>
      <c r="DM221" s="163">
        <f t="shared" si="171"/>
        <v>0</v>
      </c>
      <c r="DN221" s="163">
        <f t="shared" si="171"/>
        <v>1</v>
      </c>
      <c r="DO221" s="163">
        <f t="shared" si="171"/>
        <v>0</v>
      </c>
      <c r="DP221" s="644">
        <f t="shared" si="171"/>
        <v>0</v>
      </c>
      <c r="DQ221" s="645">
        <f t="shared" si="171"/>
        <v>1</v>
      </c>
      <c r="DR221" s="163">
        <f t="shared" si="171"/>
        <v>1</v>
      </c>
      <c r="DS221" s="163">
        <f t="shared" si="171"/>
        <v>0</v>
      </c>
      <c r="DT221" s="163">
        <f t="shared" si="189"/>
        <v>0</v>
      </c>
      <c r="DU221" s="643">
        <f t="shared" si="189"/>
        <v>0</v>
      </c>
      <c r="DW221" s="646">
        <f t="shared" si="121"/>
        <v>4585.0000000000009</v>
      </c>
      <c r="DX221" s="645">
        <f t="shared" si="121"/>
        <v>3430.333333333333</v>
      </c>
      <c r="DY221" s="163">
        <f t="shared" si="121"/>
        <v>1510.3333333333333</v>
      </c>
      <c r="DZ221" s="163">
        <f t="shared" si="121"/>
        <v>52</v>
      </c>
      <c r="EA221" s="163">
        <f t="shared" si="121"/>
        <v>1865.333333333333</v>
      </c>
      <c r="EB221" s="644">
        <f t="shared" si="158"/>
        <v>2.6666666666666665</v>
      </c>
      <c r="EC221" s="645">
        <f t="shared" si="158"/>
        <v>1155.666666666667</v>
      </c>
      <c r="ED221" s="163">
        <f t="shared" si="158"/>
        <v>416.66666666666652</v>
      </c>
      <c r="EE221" s="163">
        <f t="shared" si="158"/>
        <v>0</v>
      </c>
      <c r="EF221" s="163">
        <f t="shared" si="158"/>
        <v>657.66666666666663</v>
      </c>
      <c r="EG221" s="643">
        <f t="shared" si="158"/>
        <v>81.333333333333314</v>
      </c>
      <c r="EH221" s="646">
        <f t="shared" si="183"/>
        <v>1451.6666666666665</v>
      </c>
      <c r="EI221" s="645">
        <f t="shared" si="183"/>
        <v>1073.3333333333333</v>
      </c>
      <c r="EJ221" s="163">
        <f t="shared" si="183"/>
        <v>490.3333333333332</v>
      </c>
      <c r="EK221" s="163">
        <f t="shared" si="183"/>
        <v>23.333333333333332</v>
      </c>
      <c r="EL221" s="163">
        <f t="shared" si="183"/>
        <v>558.66666666666652</v>
      </c>
      <c r="EM221" s="644">
        <f t="shared" si="183"/>
        <v>1</v>
      </c>
      <c r="EN221" s="645">
        <f t="shared" si="183"/>
        <v>378.33333333333337</v>
      </c>
      <c r="EO221" s="163">
        <f t="shared" si="183"/>
        <v>105.66666666666657</v>
      </c>
      <c r="EP221" s="163">
        <f t="shared" si="183"/>
        <v>0</v>
      </c>
      <c r="EQ221" s="163">
        <f t="shared" si="183"/>
        <v>250.66666666666674</v>
      </c>
      <c r="ER221" s="643">
        <f t="shared" si="183"/>
        <v>21.999999999999996</v>
      </c>
    </row>
    <row r="222" spans="1:148">
      <c r="A222" s="665" t="s">
        <v>251</v>
      </c>
      <c r="B222" s="665">
        <v>45261</v>
      </c>
      <c r="C222" s="664">
        <v>2023</v>
      </c>
      <c r="D222" s="646">
        <f t="shared" ref="D222" si="194">D123/3+D221</f>
        <v>4895371</v>
      </c>
      <c r="E222" s="646">
        <f t="shared" si="193"/>
        <v>153704</v>
      </c>
      <c r="F222" s="645">
        <f t="shared" si="193"/>
        <v>112741</v>
      </c>
      <c r="G222" s="163">
        <f t="shared" si="193"/>
        <v>49421.999999999993</v>
      </c>
      <c r="H222" s="163">
        <f t="shared" si="193"/>
        <v>2681</v>
      </c>
      <c r="I222" s="163">
        <f t="shared" si="193"/>
        <v>59954.999999999978</v>
      </c>
      <c r="J222" s="644">
        <f t="shared" si="193"/>
        <v>682.99999999999989</v>
      </c>
      <c r="K222" s="645">
        <f t="shared" si="193"/>
        <v>40962.999999999993</v>
      </c>
      <c r="L222" s="163">
        <f t="shared" si="193"/>
        <v>14697.000000000007</v>
      </c>
      <c r="M222" s="163">
        <f t="shared" si="193"/>
        <v>0</v>
      </c>
      <c r="N222" s="163">
        <f t="shared" si="193"/>
        <v>23222</v>
      </c>
      <c r="O222" s="643">
        <f t="shared" si="193"/>
        <v>3043.9999999999986</v>
      </c>
      <c r="P222" s="646">
        <f t="shared" si="193"/>
        <v>255.00000000000003</v>
      </c>
      <c r="Q222" s="645">
        <f t="shared" si="193"/>
        <v>158.00000000000003</v>
      </c>
      <c r="R222" s="163">
        <f t="shared" si="193"/>
        <v>74.000000000000043</v>
      </c>
      <c r="S222" s="163">
        <f t="shared" si="193"/>
        <v>3</v>
      </c>
      <c r="T222" s="163">
        <f t="shared" si="193"/>
        <v>81.000000000000043</v>
      </c>
      <c r="U222" s="644">
        <f t="shared" si="187"/>
        <v>0</v>
      </c>
      <c r="V222" s="645">
        <f t="shared" si="187"/>
        <v>97.000000000000014</v>
      </c>
      <c r="W222" s="163">
        <f t="shared" si="187"/>
        <v>28.999999999999996</v>
      </c>
      <c r="X222" s="163">
        <f t="shared" si="187"/>
        <v>0</v>
      </c>
      <c r="Y222" s="163">
        <f t="shared" si="187"/>
        <v>61.000000000000014</v>
      </c>
      <c r="Z222" s="643">
        <f t="shared" si="187"/>
        <v>7</v>
      </c>
      <c r="AA222" s="646">
        <f t="shared" si="187"/>
        <v>142.00000000000006</v>
      </c>
      <c r="AB222" s="645">
        <f t="shared" si="187"/>
        <v>90.999999999999986</v>
      </c>
      <c r="AC222" s="163">
        <f t="shared" si="187"/>
        <v>38.999999999999993</v>
      </c>
      <c r="AD222" s="163">
        <f t="shared" si="187"/>
        <v>1.9999999999999998</v>
      </c>
      <c r="AE222" s="163">
        <f t="shared" si="187"/>
        <v>49.999999999999993</v>
      </c>
      <c r="AF222" s="644">
        <f t="shared" si="187"/>
        <v>0</v>
      </c>
      <c r="AG222" s="645">
        <f t="shared" si="187"/>
        <v>51.000000000000036</v>
      </c>
      <c r="AH222" s="163">
        <f t="shared" si="187"/>
        <v>32.999999999999979</v>
      </c>
      <c r="AI222" s="163">
        <f t="shared" si="187"/>
        <v>0</v>
      </c>
      <c r="AJ222" s="163">
        <f t="shared" si="187"/>
        <v>12</v>
      </c>
      <c r="AK222" s="643">
        <f t="shared" si="179"/>
        <v>5.9999999999999982</v>
      </c>
      <c r="AL222" s="646">
        <f t="shared" si="179"/>
        <v>1504.9999999999998</v>
      </c>
      <c r="AM222" s="645">
        <f t="shared" si="179"/>
        <v>1115</v>
      </c>
      <c r="AN222" s="163">
        <f t="shared" si="179"/>
        <v>496.99999999999989</v>
      </c>
      <c r="AO222" s="163">
        <f t="shared" si="179"/>
        <v>26</v>
      </c>
      <c r="AP222" s="163">
        <f t="shared" si="179"/>
        <v>590.99999999999989</v>
      </c>
      <c r="AQ222" s="644">
        <f t="shared" si="179"/>
        <v>1</v>
      </c>
      <c r="AR222" s="645">
        <f t="shared" si="179"/>
        <v>390.00000000000006</v>
      </c>
      <c r="AS222" s="163">
        <f t="shared" si="179"/>
        <v>105.9999999999999</v>
      </c>
      <c r="AT222" s="163">
        <f t="shared" si="179"/>
        <v>0</v>
      </c>
      <c r="AU222" s="163">
        <f t="shared" si="179"/>
        <v>262.00000000000006</v>
      </c>
      <c r="AV222" s="643">
        <f t="shared" si="179"/>
        <v>21.999999999999996</v>
      </c>
      <c r="AW222" s="646">
        <f t="shared" si="179"/>
        <v>816.99999999999977</v>
      </c>
      <c r="AX222" s="645">
        <f t="shared" si="179"/>
        <v>596</v>
      </c>
      <c r="AY222" s="163">
        <f t="shared" si="179"/>
        <v>286.99999999999994</v>
      </c>
      <c r="AZ222" s="163">
        <f t="shared" si="179"/>
        <v>9.9999999999999982</v>
      </c>
      <c r="BA222" s="163">
        <f t="shared" si="175"/>
        <v>299.00000000000006</v>
      </c>
      <c r="BB222" s="644">
        <f t="shared" si="175"/>
        <v>0</v>
      </c>
      <c r="BC222" s="645">
        <f t="shared" si="175"/>
        <v>221.00000000000009</v>
      </c>
      <c r="BD222" s="163">
        <f t="shared" si="175"/>
        <v>89.999999999999915</v>
      </c>
      <c r="BE222" s="163">
        <f t="shared" si="175"/>
        <v>0</v>
      </c>
      <c r="BF222" s="163">
        <f t="shared" si="175"/>
        <v>118.00000000000006</v>
      </c>
      <c r="BG222" s="643">
        <f t="shared" si="175"/>
        <v>13.000000000000002</v>
      </c>
      <c r="BH222" s="646">
        <f t="shared" si="175"/>
        <v>1189.0000000000005</v>
      </c>
      <c r="BI222" s="645">
        <f t="shared" si="175"/>
        <v>933.99999999999955</v>
      </c>
      <c r="BJ222" s="163">
        <f t="shared" si="175"/>
        <v>410.00000000000011</v>
      </c>
      <c r="BK222" s="163">
        <f t="shared" si="175"/>
        <v>13.000000000000002</v>
      </c>
      <c r="BL222" s="163">
        <f t="shared" si="175"/>
        <v>509.99999999999994</v>
      </c>
      <c r="BM222" s="644">
        <f t="shared" si="175"/>
        <v>1</v>
      </c>
      <c r="BN222" s="645">
        <f t="shared" si="175"/>
        <v>255.00000000000003</v>
      </c>
      <c r="BO222" s="163">
        <f t="shared" si="175"/>
        <v>74</v>
      </c>
      <c r="BP222" s="163">
        <f t="shared" si="175"/>
        <v>0</v>
      </c>
      <c r="BQ222" s="163">
        <f t="shared" si="191"/>
        <v>161.00000000000003</v>
      </c>
      <c r="BR222" s="643">
        <f t="shared" si="191"/>
        <v>20</v>
      </c>
      <c r="BS222" s="646">
        <f t="shared" si="191"/>
        <v>1732.9999999999998</v>
      </c>
      <c r="BT222" s="645">
        <f t="shared" si="191"/>
        <v>1333.0000000000002</v>
      </c>
      <c r="BU222" s="163">
        <f t="shared" si="191"/>
        <v>546</v>
      </c>
      <c r="BV222" s="163">
        <f t="shared" si="191"/>
        <v>8</v>
      </c>
      <c r="BW222" s="163">
        <f t="shared" si="191"/>
        <v>777.99999999999966</v>
      </c>
      <c r="BX222" s="644">
        <f t="shared" si="191"/>
        <v>1</v>
      </c>
      <c r="BY222" s="645">
        <f t="shared" si="188"/>
        <v>400.00000000000011</v>
      </c>
      <c r="BZ222" s="163">
        <f t="shared" si="188"/>
        <v>127.99999999999991</v>
      </c>
      <c r="CA222" s="163">
        <f t="shared" si="188"/>
        <v>0</v>
      </c>
      <c r="CB222" s="163">
        <f t="shared" si="188"/>
        <v>243.99999999999997</v>
      </c>
      <c r="CC222" s="643">
        <f t="shared" si="188"/>
        <v>27.999999999999989</v>
      </c>
      <c r="CD222" s="646">
        <f t="shared" si="188"/>
        <v>297.99999999999989</v>
      </c>
      <c r="CE222" s="645">
        <f t="shared" si="188"/>
        <v>220.00000000000006</v>
      </c>
      <c r="CF222" s="163">
        <f t="shared" si="188"/>
        <v>90</v>
      </c>
      <c r="CG222" s="163">
        <f t="shared" si="188"/>
        <v>9</v>
      </c>
      <c r="CH222" s="163">
        <f t="shared" si="188"/>
        <v>121</v>
      </c>
      <c r="CI222" s="644">
        <f t="shared" si="188"/>
        <v>0</v>
      </c>
      <c r="CJ222" s="645">
        <f t="shared" si="188"/>
        <v>77.999999999999972</v>
      </c>
      <c r="CK222" s="163">
        <f t="shared" si="188"/>
        <v>25.999999999999996</v>
      </c>
      <c r="CL222" s="163">
        <f t="shared" si="188"/>
        <v>0</v>
      </c>
      <c r="CM222" s="163">
        <f t="shared" si="188"/>
        <v>47</v>
      </c>
      <c r="CN222" s="643">
        <f t="shared" si="188"/>
        <v>4.9999999999999991</v>
      </c>
      <c r="CO222" s="646">
        <f t="shared" ref="CO222:DD234" si="195">CO123/3+CO221</f>
        <v>219.00000000000006</v>
      </c>
      <c r="CP222" s="645">
        <f t="shared" si="195"/>
        <v>160.00000000000009</v>
      </c>
      <c r="CQ222" s="163">
        <f t="shared" si="195"/>
        <v>77.000000000000043</v>
      </c>
      <c r="CR222" s="163">
        <f t="shared" si="195"/>
        <v>9</v>
      </c>
      <c r="CS222" s="163">
        <f t="shared" si="195"/>
        <v>72.999999999999972</v>
      </c>
      <c r="CT222" s="644">
        <f t="shared" si="195"/>
        <v>1</v>
      </c>
      <c r="CU222" s="645">
        <f t="shared" si="195"/>
        <v>59.000000000000028</v>
      </c>
      <c r="CV222" s="163">
        <f t="shared" si="195"/>
        <v>23.999999999999986</v>
      </c>
      <c r="CW222" s="163">
        <f t="shared" si="195"/>
        <v>0</v>
      </c>
      <c r="CX222" s="163">
        <f t="shared" si="195"/>
        <v>34.999999999999979</v>
      </c>
      <c r="CY222" s="643">
        <f t="shared" si="195"/>
        <v>0</v>
      </c>
      <c r="CZ222" s="646">
        <f t="shared" si="195"/>
        <v>68.999999999999986</v>
      </c>
      <c r="DA222" s="645">
        <f t="shared" si="195"/>
        <v>45.999999999999993</v>
      </c>
      <c r="DB222" s="163">
        <f t="shared" si="195"/>
        <v>14</v>
      </c>
      <c r="DC222" s="163">
        <f t="shared" si="195"/>
        <v>1</v>
      </c>
      <c r="DD222" s="163">
        <f t="shared" si="171"/>
        <v>31</v>
      </c>
      <c r="DE222" s="644">
        <f t="shared" si="171"/>
        <v>0</v>
      </c>
      <c r="DF222" s="645">
        <f t="shared" si="171"/>
        <v>23</v>
      </c>
      <c r="DG222" s="163">
        <f t="shared" si="171"/>
        <v>13.000000000000011</v>
      </c>
      <c r="DH222" s="163">
        <f t="shared" si="171"/>
        <v>0</v>
      </c>
      <c r="DI222" s="163">
        <f t="shared" si="171"/>
        <v>6.9999999999999973</v>
      </c>
      <c r="DJ222" s="643">
        <f t="shared" si="171"/>
        <v>3</v>
      </c>
      <c r="DK222" s="646">
        <f t="shared" si="171"/>
        <v>1</v>
      </c>
      <c r="DL222" s="645">
        <f t="shared" si="171"/>
        <v>1</v>
      </c>
      <c r="DM222" s="163">
        <f t="shared" si="171"/>
        <v>0</v>
      </c>
      <c r="DN222" s="163">
        <f t="shared" si="171"/>
        <v>1</v>
      </c>
      <c r="DO222" s="163">
        <f t="shared" si="171"/>
        <v>0</v>
      </c>
      <c r="DP222" s="644">
        <f t="shared" si="171"/>
        <v>0</v>
      </c>
      <c r="DQ222" s="645">
        <f t="shared" si="171"/>
        <v>1</v>
      </c>
      <c r="DR222" s="163">
        <f t="shared" si="171"/>
        <v>1</v>
      </c>
      <c r="DS222" s="163">
        <f t="shared" ref="DS222:DS234" si="196">DS123/3+DS221</f>
        <v>0</v>
      </c>
      <c r="DT222" s="163">
        <f t="shared" si="189"/>
        <v>0</v>
      </c>
      <c r="DU222" s="643">
        <f t="shared" si="189"/>
        <v>0</v>
      </c>
      <c r="DW222" s="646">
        <f t="shared" si="121"/>
        <v>4723</v>
      </c>
      <c r="DX222" s="645">
        <f t="shared" si="121"/>
        <v>3539</v>
      </c>
      <c r="DY222" s="163">
        <f t="shared" si="121"/>
        <v>1537</v>
      </c>
      <c r="DZ222" s="163">
        <f t="shared" si="121"/>
        <v>56</v>
      </c>
      <c r="EA222" s="163">
        <f t="shared" si="121"/>
        <v>1942.9999999999995</v>
      </c>
      <c r="EB222" s="644">
        <f t="shared" si="158"/>
        <v>3</v>
      </c>
      <c r="EC222" s="645">
        <f t="shared" si="158"/>
        <v>1185.0000000000002</v>
      </c>
      <c r="ED222" s="163">
        <f t="shared" si="158"/>
        <v>417.99999999999977</v>
      </c>
      <c r="EE222" s="163">
        <f t="shared" si="158"/>
        <v>0</v>
      </c>
      <c r="EF222" s="163">
        <f t="shared" si="158"/>
        <v>685.00000000000011</v>
      </c>
      <c r="EG222" s="643">
        <f t="shared" si="158"/>
        <v>81.999999999999986</v>
      </c>
      <c r="EH222" s="646">
        <f t="shared" si="183"/>
        <v>1504.9999999999998</v>
      </c>
      <c r="EI222" s="645">
        <f t="shared" si="183"/>
        <v>1115</v>
      </c>
      <c r="EJ222" s="163">
        <f t="shared" si="183"/>
        <v>496.99999999999989</v>
      </c>
      <c r="EK222" s="163">
        <f t="shared" si="183"/>
        <v>26</v>
      </c>
      <c r="EL222" s="163">
        <f t="shared" si="183"/>
        <v>590.99999999999989</v>
      </c>
      <c r="EM222" s="644">
        <f t="shared" si="183"/>
        <v>1</v>
      </c>
      <c r="EN222" s="645">
        <f t="shared" si="183"/>
        <v>390.00000000000006</v>
      </c>
      <c r="EO222" s="163">
        <f t="shared" si="183"/>
        <v>105.9999999999999</v>
      </c>
      <c r="EP222" s="163">
        <f t="shared" si="183"/>
        <v>0</v>
      </c>
      <c r="EQ222" s="163">
        <f t="shared" si="183"/>
        <v>262.00000000000006</v>
      </c>
      <c r="ER222" s="643">
        <f t="shared" si="183"/>
        <v>21.999999999999996</v>
      </c>
    </row>
    <row r="223" spans="1:148">
      <c r="A223" s="665" t="s">
        <v>359</v>
      </c>
      <c r="B223" s="665">
        <v>45292</v>
      </c>
      <c r="C223" s="664">
        <v>2024</v>
      </c>
      <c r="D223" s="646">
        <f t="shared" ref="D223" si="197">D124/3+D222</f>
        <v>4949713.333333333</v>
      </c>
      <c r="E223" s="646">
        <f t="shared" si="193"/>
        <v>157379.33333333334</v>
      </c>
      <c r="F223" s="645">
        <f t="shared" si="193"/>
        <v>115455.66666666667</v>
      </c>
      <c r="G223" s="163">
        <f t="shared" si="193"/>
        <v>49953.999999999993</v>
      </c>
      <c r="H223" s="163">
        <f t="shared" si="193"/>
        <v>2837.3333333333335</v>
      </c>
      <c r="I223" s="163">
        <f t="shared" si="193"/>
        <v>61964.999999999978</v>
      </c>
      <c r="J223" s="644">
        <f t="shared" si="193"/>
        <v>699.33333333333326</v>
      </c>
      <c r="K223" s="645">
        <f t="shared" si="193"/>
        <v>41923.666666666657</v>
      </c>
      <c r="L223" s="163">
        <f t="shared" si="193"/>
        <v>14826.333333333341</v>
      </c>
      <c r="M223" s="163">
        <f t="shared" si="193"/>
        <v>0</v>
      </c>
      <c r="N223" s="163">
        <f t="shared" si="193"/>
        <v>24029.666666666668</v>
      </c>
      <c r="O223" s="643">
        <f t="shared" si="193"/>
        <v>3067.6666666666652</v>
      </c>
      <c r="P223" s="646">
        <f t="shared" si="193"/>
        <v>261.66666666666669</v>
      </c>
      <c r="Q223" s="645">
        <f t="shared" si="193"/>
        <v>161.00000000000003</v>
      </c>
      <c r="R223" s="163">
        <f t="shared" si="193"/>
        <v>74.333333333333371</v>
      </c>
      <c r="S223" s="163">
        <f t="shared" si="193"/>
        <v>3.3333333333333335</v>
      </c>
      <c r="T223" s="163">
        <f t="shared" si="193"/>
        <v>83.333333333333371</v>
      </c>
      <c r="U223" s="644">
        <f t="shared" si="187"/>
        <v>0</v>
      </c>
      <c r="V223" s="645">
        <f t="shared" si="187"/>
        <v>100.66666666666669</v>
      </c>
      <c r="W223" s="163">
        <f t="shared" si="187"/>
        <v>29.999999999999996</v>
      </c>
      <c r="X223" s="163">
        <f t="shared" si="187"/>
        <v>0</v>
      </c>
      <c r="Y223" s="163">
        <f t="shared" si="187"/>
        <v>63.666666666666679</v>
      </c>
      <c r="Z223" s="643">
        <f t="shared" si="187"/>
        <v>7</v>
      </c>
      <c r="AA223" s="646">
        <f t="shared" si="187"/>
        <v>146.3333333333334</v>
      </c>
      <c r="AB223" s="645">
        <f t="shared" si="187"/>
        <v>94.999999999999986</v>
      </c>
      <c r="AC223" s="163">
        <f t="shared" si="187"/>
        <v>38.999999999999993</v>
      </c>
      <c r="AD223" s="163">
        <f t="shared" si="187"/>
        <v>2.6666666666666665</v>
      </c>
      <c r="AE223" s="163">
        <f t="shared" si="187"/>
        <v>53.333333333333329</v>
      </c>
      <c r="AF223" s="644">
        <f t="shared" si="187"/>
        <v>0</v>
      </c>
      <c r="AG223" s="645">
        <f t="shared" si="187"/>
        <v>51.333333333333371</v>
      </c>
      <c r="AH223" s="163">
        <f t="shared" si="187"/>
        <v>32.999999999999979</v>
      </c>
      <c r="AI223" s="163">
        <f t="shared" si="187"/>
        <v>0</v>
      </c>
      <c r="AJ223" s="163">
        <f t="shared" si="187"/>
        <v>12.333333333333334</v>
      </c>
      <c r="AK223" s="643">
        <f t="shared" si="179"/>
        <v>5.9999999999999982</v>
      </c>
      <c r="AL223" s="646">
        <f t="shared" si="179"/>
        <v>1558.6666666666665</v>
      </c>
      <c r="AM223" s="645">
        <f t="shared" si="179"/>
        <v>1151.3333333333333</v>
      </c>
      <c r="AN223" s="163">
        <f t="shared" si="179"/>
        <v>503.3333333333332</v>
      </c>
      <c r="AO223" s="163">
        <f t="shared" si="179"/>
        <v>28.333333333333332</v>
      </c>
      <c r="AP223" s="163">
        <f t="shared" si="179"/>
        <v>618.66666666666652</v>
      </c>
      <c r="AQ223" s="644">
        <f t="shared" si="179"/>
        <v>1</v>
      </c>
      <c r="AR223" s="645">
        <f t="shared" si="179"/>
        <v>407.33333333333337</v>
      </c>
      <c r="AS223" s="163">
        <f t="shared" si="179"/>
        <v>107.9999999999999</v>
      </c>
      <c r="AT223" s="163">
        <f t="shared" si="179"/>
        <v>0</v>
      </c>
      <c r="AU223" s="163">
        <f t="shared" si="179"/>
        <v>277.00000000000006</v>
      </c>
      <c r="AV223" s="643">
        <f t="shared" si="179"/>
        <v>22.333333333333329</v>
      </c>
      <c r="AW223" s="646">
        <f t="shared" si="179"/>
        <v>838.33333333333314</v>
      </c>
      <c r="AX223" s="645">
        <f t="shared" si="179"/>
        <v>612</v>
      </c>
      <c r="AY223" s="163">
        <f t="shared" si="179"/>
        <v>289.66666666666663</v>
      </c>
      <c r="AZ223" s="163">
        <f t="shared" si="179"/>
        <v>11.333333333333332</v>
      </c>
      <c r="BA223" s="163">
        <f t="shared" si="175"/>
        <v>311.00000000000006</v>
      </c>
      <c r="BB223" s="644">
        <f t="shared" si="175"/>
        <v>0</v>
      </c>
      <c r="BC223" s="645">
        <f t="shared" si="175"/>
        <v>226.33333333333343</v>
      </c>
      <c r="BD223" s="163">
        <f t="shared" si="175"/>
        <v>90.999999999999915</v>
      </c>
      <c r="BE223" s="163">
        <f t="shared" si="175"/>
        <v>0</v>
      </c>
      <c r="BF223" s="163">
        <f t="shared" si="175"/>
        <v>122.33333333333339</v>
      </c>
      <c r="BG223" s="643">
        <f t="shared" si="175"/>
        <v>13.000000000000002</v>
      </c>
      <c r="BH223" s="646">
        <f t="shared" si="175"/>
        <v>1216.6666666666672</v>
      </c>
      <c r="BI223" s="645">
        <f t="shared" si="175"/>
        <v>956.66666666666617</v>
      </c>
      <c r="BJ223" s="163">
        <f t="shared" si="175"/>
        <v>414.00000000000011</v>
      </c>
      <c r="BK223" s="163">
        <f t="shared" si="175"/>
        <v>14.000000000000002</v>
      </c>
      <c r="BL223" s="163">
        <f t="shared" si="175"/>
        <v>527.66666666666663</v>
      </c>
      <c r="BM223" s="644">
        <f t="shared" si="175"/>
        <v>1</v>
      </c>
      <c r="BN223" s="645">
        <f t="shared" si="175"/>
        <v>260</v>
      </c>
      <c r="BO223" s="163">
        <f t="shared" si="175"/>
        <v>74.666666666666671</v>
      </c>
      <c r="BP223" s="163">
        <f t="shared" si="175"/>
        <v>0</v>
      </c>
      <c r="BQ223" s="163">
        <f t="shared" si="191"/>
        <v>165.00000000000003</v>
      </c>
      <c r="BR223" s="643">
        <f t="shared" si="191"/>
        <v>20.333333333333332</v>
      </c>
      <c r="BS223" s="646">
        <f t="shared" si="191"/>
        <v>1790.9999999999998</v>
      </c>
      <c r="BT223" s="645">
        <f t="shared" si="191"/>
        <v>1380.3333333333335</v>
      </c>
      <c r="BU223" s="163">
        <f t="shared" si="191"/>
        <v>555</v>
      </c>
      <c r="BV223" s="163">
        <f t="shared" si="191"/>
        <v>8</v>
      </c>
      <c r="BW223" s="163">
        <f t="shared" si="191"/>
        <v>816.33333333333303</v>
      </c>
      <c r="BX223" s="644">
        <f t="shared" si="191"/>
        <v>1</v>
      </c>
      <c r="BY223" s="645">
        <f t="shared" si="188"/>
        <v>410.6666666666668</v>
      </c>
      <c r="BZ223" s="163">
        <f t="shared" si="188"/>
        <v>129.66666666666657</v>
      </c>
      <c r="CA223" s="163">
        <f t="shared" si="188"/>
        <v>0</v>
      </c>
      <c r="CB223" s="163">
        <f t="shared" si="188"/>
        <v>252.99999999999997</v>
      </c>
      <c r="CC223" s="643">
        <f t="shared" si="188"/>
        <v>27.999999999999989</v>
      </c>
      <c r="CD223" s="646">
        <f t="shared" si="188"/>
        <v>303.99999999999989</v>
      </c>
      <c r="CE223" s="645">
        <f t="shared" si="188"/>
        <v>225.3333333333334</v>
      </c>
      <c r="CF223" s="163">
        <f t="shared" si="188"/>
        <v>90.666666666666671</v>
      </c>
      <c r="CG223" s="163">
        <f t="shared" si="188"/>
        <v>9.3333333333333339</v>
      </c>
      <c r="CH223" s="163">
        <f t="shared" si="188"/>
        <v>125.33333333333333</v>
      </c>
      <c r="CI223" s="644">
        <f t="shared" si="188"/>
        <v>0</v>
      </c>
      <c r="CJ223" s="645">
        <f t="shared" si="188"/>
        <v>78.666666666666643</v>
      </c>
      <c r="CK223" s="163">
        <f t="shared" si="188"/>
        <v>25.999999999999996</v>
      </c>
      <c r="CL223" s="163">
        <f t="shared" si="188"/>
        <v>0</v>
      </c>
      <c r="CM223" s="163">
        <f t="shared" si="188"/>
        <v>47.666666666666664</v>
      </c>
      <c r="CN223" s="643">
        <f t="shared" si="188"/>
        <v>4.9999999999999991</v>
      </c>
      <c r="CO223" s="646">
        <f t="shared" si="195"/>
        <v>224.66666666666671</v>
      </c>
      <c r="CP223" s="645">
        <f t="shared" si="195"/>
        <v>164.33333333333343</v>
      </c>
      <c r="CQ223" s="163">
        <f t="shared" si="195"/>
        <v>77.666666666666714</v>
      </c>
      <c r="CR223" s="163">
        <f t="shared" si="195"/>
        <v>9.6666666666666661</v>
      </c>
      <c r="CS223" s="163">
        <f t="shared" si="195"/>
        <v>75.999999999999972</v>
      </c>
      <c r="CT223" s="644">
        <f t="shared" si="195"/>
        <v>1</v>
      </c>
      <c r="CU223" s="645">
        <f t="shared" si="195"/>
        <v>60.333333333333364</v>
      </c>
      <c r="CV223" s="163">
        <f t="shared" si="195"/>
        <v>24.333333333333318</v>
      </c>
      <c r="CW223" s="163">
        <f t="shared" si="195"/>
        <v>0</v>
      </c>
      <c r="CX223" s="163">
        <f t="shared" si="195"/>
        <v>35.999999999999979</v>
      </c>
      <c r="CY223" s="643">
        <f t="shared" si="195"/>
        <v>0</v>
      </c>
      <c r="CZ223" s="646">
        <f t="shared" si="195"/>
        <v>70.333333333333314</v>
      </c>
      <c r="DA223" s="645">
        <f t="shared" si="195"/>
        <v>46.999999999999993</v>
      </c>
      <c r="DB223" s="163">
        <f t="shared" si="195"/>
        <v>14.333333333333334</v>
      </c>
      <c r="DC223" s="163">
        <f t="shared" si="195"/>
        <v>1</v>
      </c>
      <c r="DD223" s="163">
        <f t="shared" si="195"/>
        <v>31.666666666666668</v>
      </c>
      <c r="DE223" s="644">
        <f t="shared" ref="DE223:DR234" si="198">DE124/3+DE222</f>
        <v>0</v>
      </c>
      <c r="DF223" s="645">
        <f t="shared" si="198"/>
        <v>23.333333333333332</v>
      </c>
      <c r="DG223" s="163">
        <f t="shared" si="198"/>
        <v>13.000000000000011</v>
      </c>
      <c r="DH223" s="163">
        <f t="shared" si="198"/>
        <v>0</v>
      </c>
      <c r="DI223" s="163">
        <f t="shared" si="198"/>
        <v>7.3333333333333304</v>
      </c>
      <c r="DJ223" s="643">
        <f t="shared" si="198"/>
        <v>3</v>
      </c>
      <c r="DK223" s="646">
        <f t="shared" si="198"/>
        <v>1</v>
      </c>
      <c r="DL223" s="645">
        <f t="shared" si="198"/>
        <v>1</v>
      </c>
      <c r="DM223" s="163">
        <f t="shared" si="198"/>
        <v>0</v>
      </c>
      <c r="DN223" s="163">
        <f t="shared" si="198"/>
        <v>1</v>
      </c>
      <c r="DO223" s="163">
        <f t="shared" si="198"/>
        <v>0</v>
      </c>
      <c r="DP223" s="644">
        <f t="shared" si="198"/>
        <v>0</v>
      </c>
      <c r="DQ223" s="645">
        <f t="shared" si="198"/>
        <v>1</v>
      </c>
      <c r="DR223" s="163">
        <f t="shared" si="198"/>
        <v>1</v>
      </c>
      <c r="DS223" s="163">
        <f t="shared" si="196"/>
        <v>0</v>
      </c>
      <c r="DT223" s="163">
        <f t="shared" si="189"/>
        <v>0</v>
      </c>
      <c r="DU223" s="643">
        <f t="shared" si="189"/>
        <v>0</v>
      </c>
      <c r="DW223" s="646">
        <f t="shared" si="121"/>
        <v>4854</v>
      </c>
      <c r="DX223" s="645">
        <f t="shared" si="121"/>
        <v>3642.6666666666665</v>
      </c>
      <c r="DY223" s="163">
        <f t="shared" si="121"/>
        <v>1554.6666666666667</v>
      </c>
      <c r="DZ223" s="163">
        <f t="shared" si="121"/>
        <v>60.333333333333336</v>
      </c>
      <c r="EA223" s="163">
        <f t="shared" si="121"/>
        <v>2024.6666666666665</v>
      </c>
      <c r="EB223" s="644">
        <f t="shared" si="158"/>
        <v>3</v>
      </c>
      <c r="EC223" s="645">
        <f t="shared" si="158"/>
        <v>1212.3333333333335</v>
      </c>
      <c r="ED223" s="163">
        <f t="shared" si="158"/>
        <v>422.66666666666646</v>
      </c>
      <c r="EE223" s="163">
        <f t="shared" si="158"/>
        <v>0</v>
      </c>
      <c r="EF223" s="163">
        <f t="shared" si="158"/>
        <v>707.33333333333337</v>
      </c>
      <c r="EG223" s="643">
        <f t="shared" si="158"/>
        <v>82.333333333333314</v>
      </c>
      <c r="EH223" s="646">
        <f t="shared" si="183"/>
        <v>1558.6666666666665</v>
      </c>
      <c r="EI223" s="645">
        <f t="shared" si="183"/>
        <v>1151.3333333333333</v>
      </c>
      <c r="EJ223" s="163">
        <f t="shared" si="183"/>
        <v>503.3333333333332</v>
      </c>
      <c r="EK223" s="163">
        <f t="shared" si="183"/>
        <v>28.333333333333332</v>
      </c>
      <c r="EL223" s="163">
        <f t="shared" si="183"/>
        <v>618.66666666666652</v>
      </c>
      <c r="EM223" s="644">
        <f t="shared" si="183"/>
        <v>1</v>
      </c>
      <c r="EN223" s="645">
        <f t="shared" si="183"/>
        <v>407.33333333333337</v>
      </c>
      <c r="EO223" s="163">
        <f t="shared" si="183"/>
        <v>107.9999999999999</v>
      </c>
      <c r="EP223" s="163">
        <f t="shared" si="183"/>
        <v>0</v>
      </c>
      <c r="EQ223" s="163">
        <f t="shared" si="183"/>
        <v>277.00000000000006</v>
      </c>
      <c r="ER223" s="643">
        <f t="shared" si="183"/>
        <v>22.333333333333329</v>
      </c>
    </row>
    <row r="224" spans="1:148">
      <c r="A224" s="665" t="s">
        <v>359</v>
      </c>
      <c r="B224" s="665">
        <v>45323</v>
      </c>
      <c r="C224" s="664">
        <v>2024</v>
      </c>
      <c r="D224" s="646">
        <f t="shared" ref="D224" si="199">D125/3+D223</f>
        <v>5004055.666666666</v>
      </c>
      <c r="E224" s="646">
        <f t="shared" si="193"/>
        <v>161054.66666666669</v>
      </c>
      <c r="F224" s="645">
        <f t="shared" si="193"/>
        <v>118170.33333333334</v>
      </c>
      <c r="G224" s="163">
        <f t="shared" si="193"/>
        <v>50485.999999999993</v>
      </c>
      <c r="H224" s="163">
        <f t="shared" si="193"/>
        <v>2993.666666666667</v>
      </c>
      <c r="I224" s="163">
        <f t="shared" si="193"/>
        <v>63974.999999999978</v>
      </c>
      <c r="J224" s="644">
        <f t="shared" si="193"/>
        <v>715.66666666666663</v>
      </c>
      <c r="K224" s="645">
        <f t="shared" si="193"/>
        <v>42884.333333333321</v>
      </c>
      <c r="L224" s="163">
        <f t="shared" si="193"/>
        <v>14955.666666666675</v>
      </c>
      <c r="M224" s="163">
        <f t="shared" si="193"/>
        <v>0</v>
      </c>
      <c r="N224" s="163">
        <f t="shared" si="193"/>
        <v>24837.333333333336</v>
      </c>
      <c r="O224" s="643">
        <f t="shared" si="193"/>
        <v>3091.3333333333317</v>
      </c>
      <c r="P224" s="646">
        <f t="shared" si="193"/>
        <v>268.33333333333337</v>
      </c>
      <c r="Q224" s="645">
        <f t="shared" si="193"/>
        <v>164.00000000000003</v>
      </c>
      <c r="R224" s="163">
        <f t="shared" si="193"/>
        <v>74.6666666666667</v>
      </c>
      <c r="S224" s="163">
        <f t="shared" si="193"/>
        <v>3.666666666666667</v>
      </c>
      <c r="T224" s="163">
        <f t="shared" si="193"/>
        <v>85.6666666666667</v>
      </c>
      <c r="U224" s="644">
        <f t="shared" si="187"/>
        <v>0</v>
      </c>
      <c r="V224" s="645">
        <f t="shared" si="187"/>
        <v>104.33333333333336</v>
      </c>
      <c r="W224" s="163">
        <f t="shared" si="187"/>
        <v>30.999999999999996</v>
      </c>
      <c r="X224" s="163">
        <f t="shared" si="187"/>
        <v>0</v>
      </c>
      <c r="Y224" s="163">
        <f t="shared" si="187"/>
        <v>66.333333333333343</v>
      </c>
      <c r="Z224" s="643">
        <f t="shared" si="187"/>
        <v>7</v>
      </c>
      <c r="AA224" s="646">
        <f t="shared" si="187"/>
        <v>150.66666666666674</v>
      </c>
      <c r="AB224" s="645">
        <f t="shared" si="187"/>
        <v>98.999999999999986</v>
      </c>
      <c r="AC224" s="163">
        <f t="shared" si="187"/>
        <v>38.999999999999993</v>
      </c>
      <c r="AD224" s="163">
        <f t="shared" si="187"/>
        <v>3.333333333333333</v>
      </c>
      <c r="AE224" s="163">
        <f t="shared" si="187"/>
        <v>56.666666666666664</v>
      </c>
      <c r="AF224" s="644">
        <f t="shared" si="187"/>
        <v>0</v>
      </c>
      <c r="AG224" s="645">
        <f t="shared" si="187"/>
        <v>51.666666666666707</v>
      </c>
      <c r="AH224" s="163">
        <f t="shared" si="187"/>
        <v>32.999999999999979</v>
      </c>
      <c r="AI224" s="163">
        <f t="shared" si="187"/>
        <v>0</v>
      </c>
      <c r="AJ224" s="163">
        <f t="shared" si="187"/>
        <v>12.666666666666668</v>
      </c>
      <c r="AK224" s="643">
        <f t="shared" si="179"/>
        <v>5.9999999999999982</v>
      </c>
      <c r="AL224" s="646">
        <f t="shared" si="179"/>
        <v>1612.3333333333333</v>
      </c>
      <c r="AM224" s="645">
        <f t="shared" si="179"/>
        <v>1187.6666666666665</v>
      </c>
      <c r="AN224" s="163">
        <f t="shared" si="179"/>
        <v>509.66666666666652</v>
      </c>
      <c r="AO224" s="163">
        <f t="shared" si="179"/>
        <v>30.666666666666664</v>
      </c>
      <c r="AP224" s="163">
        <f t="shared" si="179"/>
        <v>646.33333333333314</v>
      </c>
      <c r="AQ224" s="644">
        <f t="shared" si="179"/>
        <v>1</v>
      </c>
      <c r="AR224" s="645">
        <f t="shared" si="179"/>
        <v>424.66666666666669</v>
      </c>
      <c r="AS224" s="163">
        <f t="shared" si="179"/>
        <v>109.9999999999999</v>
      </c>
      <c r="AT224" s="163">
        <f t="shared" si="179"/>
        <v>0</v>
      </c>
      <c r="AU224" s="163">
        <f t="shared" si="179"/>
        <v>292.00000000000006</v>
      </c>
      <c r="AV224" s="643">
        <f t="shared" si="179"/>
        <v>22.666666666666661</v>
      </c>
      <c r="AW224" s="646">
        <f t="shared" si="179"/>
        <v>859.66666666666652</v>
      </c>
      <c r="AX224" s="645">
        <f t="shared" si="179"/>
        <v>628</v>
      </c>
      <c r="AY224" s="163">
        <f t="shared" si="179"/>
        <v>292.33333333333331</v>
      </c>
      <c r="AZ224" s="163">
        <f t="shared" si="179"/>
        <v>12.666666666666666</v>
      </c>
      <c r="BA224" s="163">
        <f t="shared" si="175"/>
        <v>323.00000000000006</v>
      </c>
      <c r="BB224" s="644">
        <f t="shared" si="175"/>
        <v>0</v>
      </c>
      <c r="BC224" s="645">
        <f t="shared" si="175"/>
        <v>231.66666666666677</v>
      </c>
      <c r="BD224" s="163">
        <f t="shared" si="175"/>
        <v>91.999999999999915</v>
      </c>
      <c r="BE224" s="163">
        <f t="shared" si="175"/>
        <v>0</v>
      </c>
      <c r="BF224" s="163">
        <f t="shared" si="175"/>
        <v>126.66666666666671</v>
      </c>
      <c r="BG224" s="643">
        <f t="shared" si="175"/>
        <v>13.000000000000002</v>
      </c>
      <c r="BH224" s="646">
        <f t="shared" si="175"/>
        <v>1244.3333333333339</v>
      </c>
      <c r="BI224" s="645">
        <f t="shared" si="175"/>
        <v>979.3333333333328</v>
      </c>
      <c r="BJ224" s="163">
        <f t="shared" si="175"/>
        <v>418.00000000000011</v>
      </c>
      <c r="BK224" s="163">
        <f t="shared" si="175"/>
        <v>15.000000000000002</v>
      </c>
      <c r="BL224" s="163">
        <f t="shared" si="175"/>
        <v>545.33333333333326</v>
      </c>
      <c r="BM224" s="644">
        <f t="shared" si="175"/>
        <v>1</v>
      </c>
      <c r="BN224" s="645">
        <f t="shared" si="175"/>
        <v>265</v>
      </c>
      <c r="BO224" s="163">
        <f t="shared" si="175"/>
        <v>75.333333333333343</v>
      </c>
      <c r="BP224" s="163">
        <f t="shared" si="175"/>
        <v>0</v>
      </c>
      <c r="BQ224" s="163">
        <f t="shared" si="191"/>
        <v>169.00000000000003</v>
      </c>
      <c r="BR224" s="643">
        <f t="shared" si="191"/>
        <v>20.666666666666664</v>
      </c>
      <c r="BS224" s="646">
        <f t="shared" si="191"/>
        <v>1848.9999999999998</v>
      </c>
      <c r="BT224" s="645">
        <f t="shared" si="191"/>
        <v>1427.6666666666667</v>
      </c>
      <c r="BU224" s="163">
        <f t="shared" si="191"/>
        <v>564</v>
      </c>
      <c r="BV224" s="163">
        <f t="shared" si="191"/>
        <v>8</v>
      </c>
      <c r="BW224" s="163">
        <f t="shared" si="191"/>
        <v>854.6666666666664</v>
      </c>
      <c r="BX224" s="644">
        <f t="shared" si="191"/>
        <v>1</v>
      </c>
      <c r="BY224" s="645">
        <f t="shared" si="188"/>
        <v>421.33333333333348</v>
      </c>
      <c r="BZ224" s="163">
        <f t="shared" si="188"/>
        <v>131.33333333333323</v>
      </c>
      <c r="CA224" s="163">
        <f t="shared" si="188"/>
        <v>0</v>
      </c>
      <c r="CB224" s="163">
        <f t="shared" si="188"/>
        <v>262</v>
      </c>
      <c r="CC224" s="643">
        <f t="shared" si="188"/>
        <v>27.999999999999989</v>
      </c>
      <c r="CD224" s="646">
        <f t="shared" si="188"/>
        <v>309.99999999999989</v>
      </c>
      <c r="CE224" s="645">
        <f t="shared" si="188"/>
        <v>230.66666666666674</v>
      </c>
      <c r="CF224" s="163">
        <f t="shared" si="188"/>
        <v>91.333333333333343</v>
      </c>
      <c r="CG224" s="163">
        <f t="shared" si="188"/>
        <v>9.6666666666666679</v>
      </c>
      <c r="CH224" s="163">
        <f t="shared" si="188"/>
        <v>129.66666666666666</v>
      </c>
      <c r="CI224" s="644">
        <f t="shared" si="188"/>
        <v>0</v>
      </c>
      <c r="CJ224" s="645">
        <f t="shared" si="188"/>
        <v>79.333333333333314</v>
      </c>
      <c r="CK224" s="163">
        <f t="shared" si="188"/>
        <v>25.999999999999996</v>
      </c>
      <c r="CL224" s="163">
        <f t="shared" si="188"/>
        <v>0</v>
      </c>
      <c r="CM224" s="163">
        <f t="shared" si="188"/>
        <v>48.333333333333329</v>
      </c>
      <c r="CN224" s="643">
        <f t="shared" si="188"/>
        <v>4.9999999999999991</v>
      </c>
      <c r="CO224" s="646">
        <f t="shared" si="195"/>
        <v>230.33333333333337</v>
      </c>
      <c r="CP224" s="645">
        <f t="shared" si="195"/>
        <v>168.66666666666677</v>
      </c>
      <c r="CQ224" s="163">
        <f t="shared" si="195"/>
        <v>78.333333333333385</v>
      </c>
      <c r="CR224" s="163">
        <f t="shared" si="195"/>
        <v>10.333333333333332</v>
      </c>
      <c r="CS224" s="163">
        <f t="shared" si="195"/>
        <v>78.999999999999972</v>
      </c>
      <c r="CT224" s="644">
        <f t="shared" si="195"/>
        <v>1</v>
      </c>
      <c r="CU224" s="645">
        <f t="shared" si="195"/>
        <v>61.6666666666667</v>
      </c>
      <c r="CV224" s="163">
        <f t="shared" si="195"/>
        <v>24.66666666666665</v>
      </c>
      <c r="CW224" s="163">
        <f t="shared" si="195"/>
        <v>0</v>
      </c>
      <c r="CX224" s="163">
        <f t="shared" si="195"/>
        <v>36.999999999999979</v>
      </c>
      <c r="CY224" s="643">
        <f t="shared" si="195"/>
        <v>0</v>
      </c>
      <c r="CZ224" s="646">
        <f t="shared" si="195"/>
        <v>71.666666666666643</v>
      </c>
      <c r="DA224" s="645">
        <f t="shared" si="195"/>
        <v>47.999999999999993</v>
      </c>
      <c r="DB224" s="163">
        <f t="shared" si="195"/>
        <v>14.666666666666668</v>
      </c>
      <c r="DC224" s="163">
        <f t="shared" si="195"/>
        <v>1</v>
      </c>
      <c r="DD224" s="163">
        <f t="shared" si="195"/>
        <v>32.333333333333336</v>
      </c>
      <c r="DE224" s="644">
        <f t="shared" si="198"/>
        <v>0</v>
      </c>
      <c r="DF224" s="645">
        <f t="shared" si="198"/>
        <v>23.666666666666664</v>
      </c>
      <c r="DG224" s="163">
        <f t="shared" si="198"/>
        <v>13.000000000000011</v>
      </c>
      <c r="DH224" s="163">
        <f t="shared" si="198"/>
        <v>0</v>
      </c>
      <c r="DI224" s="163">
        <f t="shared" si="198"/>
        <v>7.6666666666666634</v>
      </c>
      <c r="DJ224" s="643">
        <f t="shared" si="198"/>
        <v>3</v>
      </c>
      <c r="DK224" s="646">
        <f t="shared" si="198"/>
        <v>1</v>
      </c>
      <c r="DL224" s="645">
        <f t="shared" si="198"/>
        <v>1</v>
      </c>
      <c r="DM224" s="163">
        <f t="shared" si="198"/>
        <v>0</v>
      </c>
      <c r="DN224" s="163">
        <f t="shared" si="198"/>
        <v>1</v>
      </c>
      <c r="DO224" s="163">
        <f t="shared" si="198"/>
        <v>0</v>
      </c>
      <c r="DP224" s="644">
        <f t="shared" si="198"/>
        <v>0</v>
      </c>
      <c r="DQ224" s="645">
        <f t="shared" si="198"/>
        <v>1</v>
      </c>
      <c r="DR224" s="163">
        <f t="shared" si="198"/>
        <v>1</v>
      </c>
      <c r="DS224" s="163">
        <f t="shared" si="196"/>
        <v>0</v>
      </c>
      <c r="DT224" s="163">
        <f t="shared" si="189"/>
        <v>0</v>
      </c>
      <c r="DU224" s="643">
        <f t="shared" si="189"/>
        <v>0</v>
      </c>
      <c r="DW224" s="646">
        <f t="shared" ref="DW224:ED234" si="200">P224+AA224+AW224+BH224+BS224+CD224+CO224+CZ224+DK224</f>
        <v>4985</v>
      </c>
      <c r="DX224" s="645">
        <f t="shared" si="200"/>
        <v>3746.333333333333</v>
      </c>
      <c r="DY224" s="163">
        <f t="shared" si="200"/>
        <v>1572.3333333333335</v>
      </c>
      <c r="DZ224" s="163">
        <f t="shared" si="200"/>
        <v>64.666666666666657</v>
      </c>
      <c r="EA224" s="163">
        <f t="shared" si="200"/>
        <v>2106.333333333333</v>
      </c>
      <c r="EB224" s="644">
        <f t="shared" si="158"/>
        <v>3</v>
      </c>
      <c r="EC224" s="645">
        <f t="shared" si="158"/>
        <v>1239.6666666666672</v>
      </c>
      <c r="ED224" s="163">
        <f t="shared" si="158"/>
        <v>427.33333333333309</v>
      </c>
      <c r="EE224" s="163">
        <f t="shared" si="158"/>
        <v>0</v>
      </c>
      <c r="EF224" s="163">
        <f t="shared" si="158"/>
        <v>729.66666666666674</v>
      </c>
      <c r="EG224" s="643">
        <f t="shared" si="158"/>
        <v>82.666666666666657</v>
      </c>
      <c r="EH224" s="646">
        <f t="shared" si="183"/>
        <v>1612.3333333333333</v>
      </c>
      <c r="EI224" s="645">
        <f t="shared" si="183"/>
        <v>1187.6666666666665</v>
      </c>
      <c r="EJ224" s="163">
        <f t="shared" si="183"/>
        <v>509.66666666666652</v>
      </c>
      <c r="EK224" s="163">
        <f t="shared" si="183"/>
        <v>30.666666666666664</v>
      </c>
      <c r="EL224" s="163">
        <f t="shared" si="183"/>
        <v>646.33333333333314</v>
      </c>
      <c r="EM224" s="644">
        <f t="shared" si="183"/>
        <v>1</v>
      </c>
      <c r="EN224" s="645">
        <f t="shared" si="183"/>
        <v>424.66666666666669</v>
      </c>
      <c r="EO224" s="163">
        <f t="shared" si="183"/>
        <v>109.9999999999999</v>
      </c>
      <c r="EP224" s="163">
        <f t="shared" si="183"/>
        <v>0</v>
      </c>
      <c r="EQ224" s="163">
        <f t="shared" si="183"/>
        <v>292.00000000000006</v>
      </c>
      <c r="ER224" s="643">
        <f t="shared" si="183"/>
        <v>22.666666666666661</v>
      </c>
    </row>
    <row r="225" spans="1:148">
      <c r="A225" s="665" t="s">
        <v>359</v>
      </c>
      <c r="B225" s="665">
        <v>45352</v>
      </c>
      <c r="C225" s="664">
        <v>2024</v>
      </c>
      <c r="D225" s="646">
        <f t="shared" ref="D225" si="201">D126/3+D224</f>
        <v>5058397.9999999991</v>
      </c>
      <c r="E225" s="646">
        <f t="shared" si="193"/>
        <v>164730.00000000003</v>
      </c>
      <c r="F225" s="645">
        <f t="shared" si="193"/>
        <v>120885.00000000001</v>
      </c>
      <c r="G225" s="163">
        <f t="shared" si="193"/>
        <v>51017.999999999993</v>
      </c>
      <c r="H225" s="163">
        <f t="shared" si="193"/>
        <v>3150.0000000000005</v>
      </c>
      <c r="I225" s="163">
        <f t="shared" si="193"/>
        <v>65984.999999999971</v>
      </c>
      <c r="J225" s="644">
        <f t="shared" si="193"/>
        <v>732</v>
      </c>
      <c r="K225" s="645">
        <f t="shared" si="193"/>
        <v>43844.999999999985</v>
      </c>
      <c r="L225" s="163">
        <f t="shared" si="193"/>
        <v>15085.000000000009</v>
      </c>
      <c r="M225" s="163">
        <f t="shared" si="193"/>
        <v>0</v>
      </c>
      <c r="N225" s="163">
        <f t="shared" si="193"/>
        <v>25645.000000000004</v>
      </c>
      <c r="O225" s="643">
        <f t="shared" si="193"/>
        <v>3114.9999999999982</v>
      </c>
      <c r="P225" s="646">
        <f t="shared" si="193"/>
        <v>275.00000000000006</v>
      </c>
      <c r="Q225" s="645">
        <f t="shared" si="193"/>
        <v>167.00000000000003</v>
      </c>
      <c r="R225" s="163">
        <f t="shared" si="193"/>
        <v>75.000000000000028</v>
      </c>
      <c r="S225" s="163">
        <f t="shared" si="193"/>
        <v>4</v>
      </c>
      <c r="T225" s="163">
        <f t="shared" si="193"/>
        <v>88.000000000000028</v>
      </c>
      <c r="U225" s="644">
        <f t="shared" si="187"/>
        <v>0</v>
      </c>
      <c r="V225" s="645">
        <f t="shared" si="187"/>
        <v>108.00000000000003</v>
      </c>
      <c r="W225" s="163">
        <f t="shared" si="187"/>
        <v>31.999999999999996</v>
      </c>
      <c r="X225" s="163">
        <f t="shared" si="187"/>
        <v>0</v>
      </c>
      <c r="Y225" s="163">
        <f t="shared" si="187"/>
        <v>69.000000000000014</v>
      </c>
      <c r="Z225" s="643">
        <f t="shared" si="187"/>
        <v>7</v>
      </c>
      <c r="AA225" s="646">
        <f t="shared" si="187"/>
        <v>155.00000000000009</v>
      </c>
      <c r="AB225" s="645">
        <f t="shared" si="187"/>
        <v>102.99999999999999</v>
      </c>
      <c r="AC225" s="163">
        <f t="shared" si="187"/>
        <v>38.999999999999993</v>
      </c>
      <c r="AD225" s="163">
        <f t="shared" si="187"/>
        <v>3.9999999999999996</v>
      </c>
      <c r="AE225" s="163">
        <f t="shared" si="187"/>
        <v>60</v>
      </c>
      <c r="AF225" s="644">
        <f t="shared" si="187"/>
        <v>0</v>
      </c>
      <c r="AG225" s="645">
        <f t="shared" si="187"/>
        <v>52.000000000000043</v>
      </c>
      <c r="AH225" s="163">
        <f t="shared" si="187"/>
        <v>32.999999999999979</v>
      </c>
      <c r="AI225" s="163">
        <f t="shared" si="187"/>
        <v>0</v>
      </c>
      <c r="AJ225" s="163">
        <f t="shared" si="187"/>
        <v>13.000000000000002</v>
      </c>
      <c r="AK225" s="643">
        <f t="shared" si="179"/>
        <v>5.9999999999999982</v>
      </c>
      <c r="AL225" s="646">
        <f t="shared" si="179"/>
        <v>1666</v>
      </c>
      <c r="AM225" s="645">
        <f t="shared" si="179"/>
        <v>1223.9999999999998</v>
      </c>
      <c r="AN225" s="163">
        <f t="shared" si="179"/>
        <v>515.99999999999989</v>
      </c>
      <c r="AO225" s="163">
        <f t="shared" si="179"/>
        <v>33</v>
      </c>
      <c r="AP225" s="163">
        <f t="shared" si="179"/>
        <v>673.99999999999977</v>
      </c>
      <c r="AQ225" s="644">
        <f t="shared" si="179"/>
        <v>1</v>
      </c>
      <c r="AR225" s="645">
        <f t="shared" si="179"/>
        <v>442</v>
      </c>
      <c r="AS225" s="163">
        <f t="shared" si="179"/>
        <v>111.9999999999999</v>
      </c>
      <c r="AT225" s="163">
        <f t="shared" si="179"/>
        <v>0</v>
      </c>
      <c r="AU225" s="163">
        <f t="shared" si="179"/>
        <v>307.00000000000006</v>
      </c>
      <c r="AV225" s="643">
        <f t="shared" si="179"/>
        <v>22.999999999999993</v>
      </c>
      <c r="AW225" s="646">
        <f t="shared" si="179"/>
        <v>880.99999999999989</v>
      </c>
      <c r="AX225" s="645">
        <f t="shared" si="179"/>
        <v>644</v>
      </c>
      <c r="AY225" s="163">
        <f t="shared" si="179"/>
        <v>295</v>
      </c>
      <c r="AZ225" s="163">
        <f t="shared" si="179"/>
        <v>14</v>
      </c>
      <c r="BA225" s="163">
        <f t="shared" si="175"/>
        <v>335.00000000000006</v>
      </c>
      <c r="BB225" s="644">
        <f t="shared" si="175"/>
        <v>0</v>
      </c>
      <c r="BC225" s="645">
        <f t="shared" si="175"/>
        <v>237.00000000000011</v>
      </c>
      <c r="BD225" s="163">
        <f t="shared" si="175"/>
        <v>92.999999999999915</v>
      </c>
      <c r="BE225" s="163">
        <f t="shared" si="175"/>
        <v>0</v>
      </c>
      <c r="BF225" s="163">
        <f t="shared" si="175"/>
        <v>131.00000000000006</v>
      </c>
      <c r="BG225" s="643">
        <f t="shared" si="175"/>
        <v>13.000000000000002</v>
      </c>
      <c r="BH225" s="646">
        <f t="shared" si="175"/>
        <v>1272.0000000000007</v>
      </c>
      <c r="BI225" s="645">
        <f t="shared" si="175"/>
        <v>1001.9999999999994</v>
      </c>
      <c r="BJ225" s="163">
        <f t="shared" si="175"/>
        <v>422.00000000000011</v>
      </c>
      <c r="BK225" s="163">
        <f t="shared" si="175"/>
        <v>16</v>
      </c>
      <c r="BL225" s="163">
        <f t="shared" si="175"/>
        <v>562.99999999999989</v>
      </c>
      <c r="BM225" s="644">
        <f t="shared" si="175"/>
        <v>1</v>
      </c>
      <c r="BN225" s="645">
        <f t="shared" si="175"/>
        <v>270</v>
      </c>
      <c r="BO225" s="163">
        <f t="shared" si="175"/>
        <v>76.000000000000014</v>
      </c>
      <c r="BP225" s="163">
        <f t="shared" si="175"/>
        <v>0</v>
      </c>
      <c r="BQ225" s="163">
        <f t="shared" si="191"/>
        <v>173.00000000000003</v>
      </c>
      <c r="BR225" s="643">
        <f t="shared" si="191"/>
        <v>20.999999999999996</v>
      </c>
      <c r="BS225" s="646">
        <f t="shared" si="191"/>
        <v>1906.9999999999998</v>
      </c>
      <c r="BT225" s="645">
        <f t="shared" si="191"/>
        <v>1475</v>
      </c>
      <c r="BU225" s="163">
        <f t="shared" si="191"/>
        <v>573</v>
      </c>
      <c r="BV225" s="163">
        <f t="shared" si="191"/>
        <v>8</v>
      </c>
      <c r="BW225" s="163">
        <f t="shared" si="191"/>
        <v>892.99999999999977</v>
      </c>
      <c r="BX225" s="644">
        <f t="shared" si="191"/>
        <v>1</v>
      </c>
      <c r="BY225" s="645">
        <f t="shared" si="188"/>
        <v>432.00000000000017</v>
      </c>
      <c r="BZ225" s="163">
        <f t="shared" si="188"/>
        <v>132.99999999999989</v>
      </c>
      <c r="CA225" s="163">
        <f t="shared" si="188"/>
        <v>0</v>
      </c>
      <c r="CB225" s="163">
        <f t="shared" si="188"/>
        <v>271</v>
      </c>
      <c r="CC225" s="643">
        <f t="shared" si="188"/>
        <v>27.999999999999989</v>
      </c>
      <c r="CD225" s="646">
        <f t="shared" si="188"/>
        <v>315.99999999999989</v>
      </c>
      <c r="CE225" s="645">
        <f t="shared" si="188"/>
        <v>236.00000000000009</v>
      </c>
      <c r="CF225" s="163">
        <f t="shared" si="188"/>
        <v>92.000000000000014</v>
      </c>
      <c r="CG225" s="163">
        <f t="shared" si="188"/>
        <v>10.000000000000002</v>
      </c>
      <c r="CH225" s="163">
        <f t="shared" si="188"/>
        <v>134</v>
      </c>
      <c r="CI225" s="644">
        <f t="shared" si="188"/>
        <v>0</v>
      </c>
      <c r="CJ225" s="645">
        <f t="shared" si="188"/>
        <v>79.999999999999986</v>
      </c>
      <c r="CK225" s="163">
        <f t="shared" si="188"/>
        <v>25.999999999999996</v>
      </c>
      <c r="CL225" s="163">
        <f t="shared" si="188"/>
        <v>0</v>
      </c>
      <c r="CM225" s="163">
        <f t="shared" si="188"/>
        <v>48.999999999999993</v>
      </c>
      <c r="CN225" s="643">
        <f t="shared" si="188"/>
        <v>4.9999999999999991</v>
      </c>
      <c r="CO225" s="646">
        <f t="shared" si="195"/>
        <v>236.00000000000003</v>
      </c>
      <c r="CP225" s="645">
        <f t="shared" si="195"/>
        <v>173.00000000000011</v>
      </c>
      <c r="CQ225" s="163">
        <f t="shared" si="195"/>
        <v>79.000000000000057</v>
      </c>
      <c r="CR225" s="163">
        <f t="shared" si="195"/>
        <v>10.999999999999998</v>
      </c>
      <c r="CS225" s="163">
        <f t="shared" si="195"/>
        <v>81.999999999999972</v>
      </c>
      <c r="CT225" s="644">
        <f t="shared" si="195"/>
        <v>1</v>
      </c>
      <c r="CU225" s="645">
        <f t="shared" si="195"/>
        <v>63.000000000000036</v>
      </c>
      <c r="CV225" s="163">
        <f t="shared" si="195"/>
        <v>24.999999999999982</v>
      </c>
      <c r="CW225" s="163">
        <f t="shared" si="195"/>
        <v>0</v>
      </c>
      <c r="CX225" s="163">
        <f t="shared" si="195"/>
        <v>37.999999999999979</v>
      </c>
      <c r="CY225" s="643">
        <f t="shared" si="195"/>
        <v>0</v>
      </c>
      <c r="CZ225" s="646">
        <f t="shared" si="195"/>
        <v>72.999999999999972</v>
      </c>
      <c r="DA225" s="645">
        <f t="shared" si="195"/>
        <v>48.999999999999993</v>
      </c>
      <c r="DB225" s="163">
        <f t="shared" si="195"/>
        <v>15.000000000000002</v>
      </c>
      <c r="DC225" s="163">
        <f t="shared" si="195"/>
        <v>1</v>
      </c>
      <c r="DD225" s="163">
        <f t="shared" si="195"/>
        <v>33</v>
      </c>
      <c r="DE225" s="644">
        <f t="shared" si="198"/>
        <v>0</v>
      </c>
      <c r="DF225" s="645">
        <f t="shared" si="198"/>
        <v>23.999999999999996</v>
      </c>
      <c r="DG225" s="163">
        <f t="shared" si="198"/>
        <v>13.000000000000011</v>
      </c>
      <c r="DH225" s="163">
        <f t="shared" si="198"/>
        <v>0</v>
      </c>
      <c r="DI225" s="163">
        <f t="shared" si="198"/>
        <v>7.9999999999999964</v>
      </c>
      <c r="DJ225" s="643">
        <f t="shared" si="198"/>
        <v>3</v>
      </c>
      <c r="DK225" s="646">
        <f t="shared" si="198"/>
        <v>1</v>
      </c>
      <c r="DL225" s="645">
        <f t="shared" si="198"/>
        <v>1</v>
      </c>
      <c r="DM225" s="163">
        <f t="shared" si="198"/>
        <v>0</v>
      </c>
      <c r="DN225" s="163">
        <f t="shared" si="198"/>
        <v>1</v>
      </c>
      <c r="DO225" s="163">
        <f t="shared" si="198"/>
        <v>0</v>
      </c>
      <c r="DP225" s="644">
        <f t="shared" si="198"/>
        <v>0</v>
      </c>
      <c r="DQ225" s="645">
        <f t="shared" si="198"/>
        <v>1</v>
      </c>
      <c r="DR225" s="163">
        <f t="shared" si="198"/>
        <v>1</v>
      </c>
      <c r="DS225" s="163">
        <f t="shared" si="196"/>
        <v>0</v>
      </c>
      <c r="DT225" s="163">
        <f t="shared" si="189"/>
        <v>0</v>
      </c>
      <c r="DU225" s="643">
        <f t="shared" si="189"/>
        <v>0</v>
      </c>
      <c r="DW225" s="646">
        <f t="shared" si="200"/>
        <v>5116.0000000000009</v>
      </c>
      <c r="DX225" s="645">
        <f t="shared" si="200"/>
        <v>3849.9999999999995</v>
      </c>
      <c r="DY225" s="163">
        <f t="shared" si="200"/>
        <v>1590</v>
      </c>
      <c r="DZ225" s="163">
        <f t="shared" si="200"/>
        <v>69</v>
      </c>
      <c r="EA225" s="163">
        <f t="shared" si="200"/>
        <v>2188</v>
      </c>
      <c r="EB225" s="644">
        <f t="shared" si="158"/>
        <v>3</v>
      </c>
      <c r="EC225" s="645">
        <f t="shared" si="158"/>
        <v>1267.0000000000005</v>
      </c>
      <c r="ED225" s="163">
        <f t="shared" si="158"/>
        <v>431.99999999999977</v>
      </c>
      <c r="EE225" s="163">
        <f t="shared" si="158"/>
        <v>0</v>
      </c>
      <c r="EF225" s="163">
        <f t="shared" si="158"/>
        <v>752.00000000000011</v>
      </c>
      <c r="EG225" s="643">
        <f t="shared" si="158"/>
        <v>82.999999999999986</v>
      </c>
      <c r="EH225" s="646">
        <f t="shared" si="183"/>
        <v>1666</v>
      </c>
      <c r="EI225" s="645">
        <f t="shared" si="183"/>
        <v>1223.9999999999998</v>
      </c>
      <c r="EJ225" s="163">
        <f t="shared" si="183"/>
        <v>515.99999999999989</v>
      </c>
      <c r="EK225" s="163">
        <f t="shared" si="183"/>
        <v>33</v>
      </c>
      <c r="EL225" s="163">
        <f t="shared" si="183"/>
        <v>673.99999999999977</v>
      </c>
      <c r="EM225" s="644">
        <f t="shared" si="183"/>
        <v>1</v>
      </c>
      <c r="EN225" s="645">
        <f t="shared" si="183"/>
        <v>442</v>
      </c>
      <c r="EO225" s="163">
        <f t="shared" si="183"/>
        <v>111.9999999999999</v>
      </c>
      <c r="EP225" s="163">
        <f t="shared" si="183"/>
        <v>0</v>
      </c>
      <c r="EQ225" s="163">
        <f t="shared" si="183"/>
        <v>307.00000000000006</v>
      </c>
      <c r="ER225" s="643">
        <f t="shared" si="183"/>
        <v>22.999999999999993</v>
      </c>
    </row>
    <row r="226" spans="1:148">
      <c r="A226" s="665" t="s">
        <v>360</v>
      </c>
      <c r="B226" s="665">
        <v>45383</v>
      </c>
      <c r="C226" s="664">
        <v>2024</v>
      </c>
      <c r="D226" s="646">
        <f t="shared" ref="D226" si="202">D127/3+D225</f>
        <v>5121907.9999999991</v>
      </c>
      <c r="E226" s="646">
        <f t="shared" si="193"/>
        <v>169520.00000000003</v>
      </c>
      <c r="F226" s="645">
        <f t="shared" si="193"/>
        <v>124372.33333333334</v>
      </c>
      <c r="G226" s="163">
        <f t="shared" si="193"/>
        <v>51842.666666666657</v>
      </c>
      <c r="H226" s="163">
        <f t="shared" si="193"/>
        <v>3393.3333333333339</v>
      </c>
      <c r="I226" s="163">
        <f t="shared" si="193"/>
        <v>68387.999999999971</v>
      </c>
      <c r="J226" s="644">
        <f t="shared" si="193"/>
        <v>748.33333333333337</v>
      </c>
      <c r="K226" s="645">
        <f t="shared" si="193"/>
        <v>45147.66666666665</v>
      </c>
      <c r="L226" s="163">
        <f t="shared" si="193"/>
        <v>15150.333333333343</v>
      </c>
      <c r="M226" s="163">
        <f t="shared" si="193"/>
        <v>0</v>
      </c>
      <c r="N226" s="163">
        <f t="shared" si="193"/>
        <v>26837.666666666672</v>
      </c>
      <c r="O226" s="643">
        <f t="shared" si="193"/>
        <v>3159.6666666666647</v>
      </c>
      <c r="P226" s="646">
        <f t="shared" si="193"/>
        <v>285.66666666666674</v>
      </c>
      <c r="Q226" s="645">
        <f t="shared" si="193"/>
        <v>174.00000000000003</v>
      </c>
      <c r="R226" s="163">
        <f t="shared" si="193"/>
        <v>77.6666666666667</v>
      </c>
      <c r="S226" s="163">
        <f t="shared" si="193"/>
        <v>4</v>
      </c>
      <c r="T226" s="163">
        <f t="shared" si="193"/>
        <v>92.333333333333357</v>
      </c>
      <c r="U226" s="644">
        <f t="shared" si="187"/>
        <v>0</v>
      </c>
      <c r="V226" s="645">
        <f t="shared" si="187"/>
        <v>111.6666666666667</v>
      </c>
      <c r="W226" s="163">
        <f t="shared" si="187"/>
        <v>31.999999999999996</v>
      </c>
      <c r="X226" s="163">
        <f t="shared" si="187"/>
        <v>0</v>
      </c>
      <c r="Y226" s="163">
        <f t="shared" si="187"/>
        <v>72.666666666666686</v>
      </c>
      <c r="Z226" s="643">
        <f t="shared" si="187"/>
        <v>7</v>
      </c>
      <c r="AA226" s="646">
        <f t="shared" si="187"/>
        <v>158.33333333333343</v>
      </c>
      <c r="AB226" s="645">
        <f t="shared" si="187"/>
        <v>105.99999999999999</v>
      </c>
      <c r="AC226" s="163">
        <f t="shared" si="187"/>
        <v>39.333333333333329</v>
      </c>
      <c r="AD226" s="163">
        <f t="shared" si="187"/>
        <v>4.333333333333333</v>
      </c>
      <c r="AE226" s="163">
        <f t="shared" si="187"/>
        <v>62.333333333333336</v>
      </c>
      <c r="AF226" s="644">
        <f t="shared" si="187"/>
        <v>0</v>
      </c>
      <c r="AG226" s="645">
        <f t="shared" si="187"/>
        <v>52.333333333333378</v>
      </c>
      <c r="AH226" s="163">
        <f t="shared" si="187"/>
        <v>32.999999999999979</v>
      </c>
      <c r="AI226" s="163">
        <f t="shared" si="187"/>
        <v>0</v>
      </c>
      <c r="AJ226" s="163">
        <f t="shared" si="187"/>
        <v>13.333333333333336</v>
      </c>
      <c r="AK226" s="643">
        <f t="shared" si="179"/>
        <v>5.9999999999999982</v>
      </c>
      <c r="AL226" s="646">
        <f t="shared" si="179"/>
        <v>1723.6666666666667</v>
      </c>
      <c r="AM226" s="645">
        <f t="shared" si="179"/>
        <v>1264.9999999999998</v>
      </c>
      <c r="AN226" s="163">
        <f t="shared" si="179"/>
        <v>523.99999999999989</v>
      </c>
      <c r="AO226" s="163">
        <f t="shared" si="179"/>
        <v>35.666666666666664</v>
      </c>
      <c r="AP226" s="163">
        <f t="shared" si="179"/>
        <v>704.33333333333314</v>
      </c>
      <c r="AQ226" s="644">
        <f t="shared" si="179"/>
        <v>1</v>
      </c>
      <c r="AR226" s="645">
        <f t="shared" si="179"/>
        <v>458.66666666666669</v>
      </c>
      <c r="AS226" s="163">
        <f t="shared" si="179"/>
        <v>112.66666666666657</v>
      </c>
      <c r="AT226" s="163">
        <f t="shared" si="179"/>
        <v>0</v>
      </c>
      <c r="AU226" s="163">
        <f t="shared" si="179"/>
        <v>322.66666666666674</v>
      </c>
      <c r="AV226" s="643">
        <f t="shared" si="179"/>
        <v>23.333333333333325</v>
      </c>
      <c r="AW226" s="646">
        <f t="shared" si="179"/>
        <v>913.66666666666652</v>
      </c>
      <c r="AX226" s="645">
        <f t="shared" si="179"/>
        <v>670.33333333333337</v>
      </c>
      <c r="AY226" s="163">
        <f t="shared" si="179"/>
        <v>300.66666666666669</v>
      </c>
      <c r="AZ226" s="163">
        <f t="shared" si="179"/>
        <v>15.333333333333334</v>
      </c>
      <c r="BA226" s="163">
        <f t="shared" ref="BA226:BP234" si="203">BA127/3+BA225</f>
        <v>354.33333333333337</v>
      </c>
      <c r="BB226" s="644">
        <f t="shared" si="203"/>
        <v>0</v>
      </c>
      <c r="BC226" s="645">
        <f t="shared" si="203"/>
        <v>243.33333333333346</v>
      </c>
      <c r="BD226" s="163">
        <f t="shared" si="203"/>
        <v>92.999999999999915</v>
      </c>
      <c r="BE226" s="163">
        <f t="shared" si="203"/>
        <v>0</v>
      </c>
      <c r="BF226" s="163">
        <f t="shared" si="203"/>
        <v>136.66666666666671</v>
      </c>
      <c r="BG226" s="643">
        <f t="shared" si="203"/>
        <v>13.666666666666668</v>
      </c>
      <c r="BH226" s="646">
        <f t="shared" si="203"/>
        <v>1310.3333333333339</v>
      </c>
      <c r="BI226" s="645">
        <f t="shared" si="203"/>
        <v>1033.6666666666661</v>
      </c>
      <c r="BJ226" s="163">
        <f t="shared" si="203"/>
        <v>428.00000000000011</v>
      </c>
      <c r="BK226" s="163">
        <f t="shared" si="203"/>
        <v>17.666666666666668</v>
      </c>
      <c r="BL226" s="163">
        <f t="shared" si="203"/>
        <v>586.99999999999989</v>
      </c>
      <c r="BM226" s="644">
        <f t="shared" si="203"/>
        <v>1</v>
      </c>
      <c r="BN226" s="645">
        <f t="shared" si="203"/>
        <v>276.66666666666669</v>
      </c>
      <c r="BO226" s="163">
        <f t="shared" si="203"/>
        <v>76.000000000000014</v>
      </c>
      <c r="BP226" s="163">
        <f t="shared" si="203"/>
        <v>0</v>
      </c>
      <c r="BQ226" s="163">
        <f t="shared" si="191"/>
        <v>179.33333333333337</v>
      </c>
      <c r="BR226" s="643">
        <f t="shared" si="191"/>
        <v>21.333333333333329</v>
      </c>
      <c r="BS226" s="646">
        <f t="shared" si="191"/>
        <v>1971.6666666666665</v>
      </c>
      <c r="BT226" s="645">
        <f t="shared" si="191"/>
        <v>1523.6666666666667</v>
      </c>
      <c r="BU226" s="163">
        <f t="shared" si="191"/>
        <v>584.66666666666663</v>
      </c>
      <c r="BV226" s="163">
        <f t="shared" si="191"/>
        <v>8.6666666666666661</v>
      </c>
      <c r="BW226" s="163">
        <f t="shared" si="191"/>
        <v>929.33333333333314</v>
      </c>
      <c r="BX226" s="644">
        <f t="shared" si="191"/>
        <v>1</v>
      </c>
      <c r="BY226" s="645">
        <f t="shared" si="188"/>
        <v>448.00000000000017</v>
      </c>
      <c r="BZ226" s="163">
        <f t="shared" si="188"/>
        <v>132.99999999999989</v>
      </c>
      <c r="CA226" s="163">
        <f t="shared" si="188"/>
        <v>0</v>
      </c>
      <c r="CB226" s="163">
        <f t="shared" si="188"/>
        <v>286.66666666666669</v>
      </c>
      <c r="CC226" s="643">
        <f t="shared" si="188"/>
        <v>28.333333333333321</v>
      </c>
      <c r="CD226" s="646">
        <f t="shared" si="188"/>
        <v>323.99999999999989</v>
      </c>
      <c r="CE226" s="645">
        <f t="shared" si="188"/>
        <v>242.33333333333343</v>
      </c>
      <c r="CF226" s="163">
        <f t="shared" si="188"/>
        <v>93.000000000000014</v>
      </c>
      <c r="CG226" s="163">
        <f t="shared" si="188"/>
        <v>10.333333333333336</v>
      </c>
      <c r="CH226" s="163">
        <f t="shared" si="188"/>
        <v>139</v>
      </c>
      <c r="CI226" s="644">
        <f t="shared" si="188"/>
        <v>0</v>
      </c>
      <c r="CJ226" s="645">
        <f t="shared" si="188"/>
        <v>81.666666666666657</v>
      </c>
      <c r="CK226" s="163">
        <f t="shared" si="188"/>
        <v>25.999999999999996</v>
      </c>
      <c r="CL226" s="163">
        <f t="shared" si="188"/>
        <v>0</v>
      </c>
      <c r="CM226" s="163">
        <f t="shared" si="188"/>
        <v>50.666666666666657</v>
      </c>
      <c r="CN226" s="643">
        <f t="shared" si="188"/>
        <v>4.9999999999999991</v>
      </c>
      <c r="CO226" s="646">
        <f t="shared" si="195"/>
        <v>242.33333333333337</v>
      </c>
      <c r="CP226" s="645">
        <f t="shared" si="195"/>
        <v>177.66666666666677</v>
      </c>
      <c r="CQ226" s="163">
        <f t="shared" si="195"/>
        <v>80.333333333333385</v>
      </c>
      <c r="CR226" s="163">
        <f t="shared" si="195"/>
        <v>11.333333333333332</v>
      </c>
      <c r="CS226" s="163">
        <f t="shared" si="195"/>
        <v>84.999999999999972</v>
      </c>
      <c r="CT226" s="644">
        <f t="shared" si="195"/>
        <v>1</v>
      </c>
      <c r="CU226" s="645">
        <f t="shared" si="195"/>
        <v>64.6666666666667</v>
      </c>
      <c r="CV226" s="163">
        <f t="shared" si="195"/>
        <v>24.999999999999982</v>
      </c>
      <c r="CW226" s="163">
        <f t="shared" si="195"/>
        <v>0</v>
      </c>
      <c r="CX226" s="163">
        <f t="shared" si="195"/>
        <v>39.666666666666643</v>
      </c>
      <c r="CY226" s="643">
        <f t="shared" si="195"/>
        <v>0</v>
      </c>
      <c r="CZ226" s="646">
        <f t="shared" si="195"/>
        <v>74.3333333333333</v>
      </c>
      <c r="DA226" s="645">
        <f t="shared" si="195"/>
        <v>49.666666666666657</v>
      </c>
      <c r="DB226" s="163">
        <f t="shared" si="195"/>
        <v>15.000000000000002</v>
      </c>
      <c r="DC226" s="163">
        <f t="shared" si="195"/>
        <v>1</v>
      </c>
      <c r="DD226" s="163">
        <f t="shared" si="195"/>
        <v>33.666666666666664</v>
      </c>
      <c r="DE226" s="644">
        <f t="shared" si="198"/>
        <v>0</v>
      </c>
      <c r="DF226" s="645">
        <f t="shared" si="198"/>
        <v>24.666666666666664</v>
      </c>
      <c r="DG226" s="163">
        <f t="shared" si="198"/>
        <v>13.000000000000011</v>
      </c>
      <c r="DH226" s="163">
        <f t="shared" si="198"/>
        <v>0</v>
      </c>
      <c r="DI226" s="163">
        <f t="shared" si="198"/>
        <v>8.6666666666666625</v>
      </c>
      <c r="DJ226" s="643">
        <f t="shared" si="198"/>
        <v>3</v>
      </c>
      <c r="DK226" s="646">
        <f t="shared" si="198"/>
        <v>1</v>
      </c>
      <c r="DL226" s="645">
        <f t="shared" si="198"/>
        <v>1</v>
      </c>
      <c r="DM226" s="163">
        <f t="shared" si="198"/>
        <v>0</v>
      </c>
      <c r="DN226" s="163">
        <f t="shared" si="198"/>
        <v>1</v>
      </c>
      <c r="DO226" s="163">
        <f t="shared" si="198"/>
        <v>0</v>
      </c>
      <c r="DP226" s="644">
        <f t="shared" si="198"/>
        <v>0</v>
      </c>
      <c r="DQ226" s="645">
        <f t="shared" si="198"/>
        <v>1</v>
      </c>
      <c r="DR226" s="163">
        <f t="shared" si="198"/>
        <v>1</v>
      </c>
      <c r="DS226" s="163">
        <f t="shared" si="196"/>
        <v>0</v>
      </c>
      <c r="DT226" s="163">
        <f t="shared" si="189"/>
        <v>0</v>
      </c>
      <c r="DU226" s="643">
        <f t="shared" si="189"/>
        <v>0</v>
      </c>
      <c r="DW226" s="646">
        <f t="shared" si="200"/>
        <v>5281.3333333333339</v>
      </c>
      <c r="DX226" s="645">
        <f t="shared" si="200"/>
        <v>3978.333333333333</v>
      </c>
      <c r="DY226" s="163">
        <f t="shared" si="200"/>
        <v>1618.666666666667</v>
      </c>
      <c r="DZ226" s="163">
        <f t="shared" si="200"/>
        <v>73.666666666666657</v>
      </c>
      <c r="EA226" s="163">
        <f t="shared" si="200"/>
        <v>2282.9999999999995</v>
      </c>
      <c r="EB226" s="644">
        <f t="shared" si="158"/>
        <v>3</v>
      </c>
      <c r="EC226" s="645">
        <f t="shared" si="158"/>
        <v>1304.0000000000007</v>
      </c>
      <c r="ED226" s="163">
        <f t="shared" si="158"/>
        <v>431.99999999999977</v>
      </c>
      <c r="EE226" s="163">
        <f t="shared" si="158"/>
        <v>0</v>
      </c>
      <c r="EF226" s="163">
        <f t="shared" si="158"/>
        <v>787.66666666666663</v>
      </c>
      <c r="EG226" s="643">
        <f t="shared" si="158"/>
        <v>84.333333333333314</v>
      </c>
      <c r="EH226" s="646">
        <f t="shared" si="183"/>
        <v>1723.6666666666667</v>
      </c>
      <c r="EI226" s="645">
        <f t="shared" si="183"/>
        <v>1264.9999999999998</v>
      </c>
      <c r="EJ226" s="163">
        <f t="shared" si="183"/>
        <v>523.99999999999989</v>
      </c>
      <c r="EK226" s="163">
        <f t="shared" si="183"/>
        <v>35.666666666666664</v>
      </c>
      <c r="EL226" s="163">
        <f t="shared" si="183"/>
        <v>704.33333333333314</v>
      </c>
      <c r="EM226" s="644">
        <f t="shared" si="183"/>
        <v>1</v>
      </c>
      <c r="EN226" s="645">
        <f t="shared" si="183"/>
        <v>458.66666666666669</v>
      </c>
      <c r="EO226" s="163">
        <f t="shared" si="183"/>
        <v>112.66666666666657</v>
      </c>
      <c r="EP226" s="163">
        <f t="shared" si="183"/>
        <v>0</v>
      </c>
      <c r="EQ226" s="163">
        <f t="shared" si="183"/>
        <v>322.66666666666674</v>
      </c>
      <c r="ER226" s="643">
        <f t="shared" si="183"/>
        <v>23.333333333333325</v>
      </c>
    </row>
    <row r="227" spans="1:148">
      <c r="A227" s="665" t="s">
        <v>360</v>
      </c>
      <c r="B227" s="665">
        <v>45413</v>
      </c>
      <c r="C227" s="664">
        <v>2024</v>
      </c>
      <c r="D227" s="646">
        <f t="shared" ref="D227" si="204">D128/3+D226</f>
        <v>5185417.9999999991</v>
      </c>
      <c r="E227" s="646">
        <f t="shared" si="193"/>
        <v>174310.00000000003</v>
      </c>
      <c r="F227" s="645">
        <f t="shared" si="193"/>
        <v>127859.66666666667</v>
      </c>
      <c r="G227" s="163">
        <f t="shared" si="193"/>
        <v>52667.333333333321</v>
      </c>
      <c r="H227" s="163">
        <f t="shared" si="193"/>
        <v>3636.6666666666674</v>
      </c>
      <c r="I227" s="163">
        <f t="shared" si="193"/>
        <v>70790.999999999971</v>
      </c>
      <c r="J227" s="644">
        <f t="shared" si="193"/>
        <v>764.66666666666674</v>
      </c>
      <c r="K227" s="645">
        <f t="shared" si="193"/>
        <v>46450.333333333314</v>
      </c>
      <c r="L227" s="163">
        <f t="shared" si="193"/>
        <v>15215.666666666677</v>
      </c>
      <c r="M227" s="163">
        <f t="shared" si="193"/>
        <v>0</v>
      </c>
      <c r="N227" s="163">
        <f t="shared" si="193"/>
        <v>28030.333333333339</v>
      </c>
      <c r="O227" s="643">
        <f t="shared" si="193"/>
        <v>3204.3333333333312</v>
      </c>
      <c r="P227" s="646">
        <f t="shared" si="193"/>
        <v>296.33333333333343</v>
      </c>
      <c r="Q227" s="645">
        <f t="shared" si="193"/>
        <v>181.00000000000003</v>
      </c>
      <c r="R227" s="163">
        <f t="shared" si="193"/>
        <v>80.333333333333371</v>
      </c>
      <c r="S227" s="163">
        <f t="shared" si="193"/>
        <v>4</v>
      </c>
      <c r="T227" s="163">
        <f t="shared" si="193"/>
        <v>96.666666666666686</v>
      </c>
      <c r="U227" s="644">
        <f t="shared" si="187"/>
        <v>0</v>
      </c>
      <c r="V227" s="645">
        <f t="shared" si="187"/>
        <v>115.33333333333337</v>
      </c>
      <c r="W227" s="163">
        <f t="shared" si="187"/>
        <v>31.999999999999996</v>
      </c>
      <c r="X227" s="163">
        <f t="shared" si="187"/>
        <v>0</v>
      </c>
      <c r="Y227" s="163">
        <f t="shared" si="187"/>
        <v>76.333333333333357</v>
      </c>
      <c r="Z227" s="643">
        <f t="shared" si="187"/>
        <v>7</v>
      </c>
      <c r="AA227" s="646">
        <f t="shared" si="187"/>
        <v>161.66666666666677</v>
      </c>
      <c r="AB227" s="645">
        <f t="shared" si="187"/>
        <v>108.99999999999999</v>
      </c>
      <c r="AC227" s="163">
        <f t="shared" si="187"/>
        <v>39.666666666666664</v>
      </c>
      <c r="AD227" s="163">
        <f t="shared" si="187"/>
        <v>4.6666666666666661</v>
      </c>
      <c r="AE227" s="163">
        <f t="shared" si="187"/>
        <v>64.666666666666671</v>
      </c>
      <c r="AF227" s="644">
        <f t="shared" si="187"/>
        <v>0</v>
      </c>
      <c r="AG227" s="645">
        <f t="shared" si="187"/>
        <v>52.666666666666714</v>
      </c>
      <c r="AH227" s="163">
        <f t="shared" si="187"/>
        <v>32.999999999999979</v>
      </c>
      <c r="AI227" s="163">
        <f t="shared" si="187"/>
        <v>0</v>
      </c>
      <c r="AJ227" s="163">
        <f t="shared" si="187"/>
        <v>13.66666666666667</v>
      </c>
      <c r="AK227" s="643">
        <f t="shared" si="179"/>
        <v>5.9999999999999982</v>
      </c>
      <c r="AL227" s="646">
        <f t="shared" si="179"/>
        <v>1781.3333333333335</v>
      </c>
      <c r="AM227" s="645">
        <f t="shared" si="179"/>
        <v>1305.9999999999998</v>
      </c>
      <c r="AN227" s="163">
        <f t="shared" si="179"/>
        <v>531.99999999999989</v>
      </c>
      <c r="AO227" s="163">
        <f t="shared" si="179"/>
        <v>38.333333333333329</v>
      </c>
      <c r="AP227" s="163">
        <f t="shared" si="179"/>
        <v>734.66666666666652</v>
      </c>
      <c r="AQ227" s="644">
        <f t="shared" si="179"/>
        <v>1</v>
      </c>
      <c r="AR227" s="645">
        <f t="shared" si="179"/>
        <v>475.33333333333337</v>
      </c>
      <c r="AS227" s="163">
        <f t="shared" si="179"/>
        <v>113.33333333333324</v>
      </c>
      <c r="AT227" s="163">
        <f t="shared" si="179"/>
        <v>0</v>
      </c>
      <c r="AU227" s="163">
        <f t="shared" si="179"/>
        <v>338.33333333333343</v>
      </c>
      <c r="AV227" s="643">
        <f t="shared" si="179"/>
        <v>23.666666666666657</v>
      </c>
      <c r="AW227" s="646">
        <f t="shared" si="179"/>
        <v>946.33333333333314</v>
      </c>
      <c r="AX227" s="645">
        <f t="shared" si="179"/>
        <v>696.66666666666674</v>
      </c>
      <c r="AY227" s="163">
        <f t="shared" si="179"/>
        <v>306.33333333333337</v>
      </c>
      <c r="AZ227" s="163">
        <f t="shared" si="179"/>
        <v>16.666666666666668</v>
      </c>
      <c r="BA227" s="163">
        <f t="shared" si="203"/>
        <v>373.66666666666669</v>
      </c>
      <c r="BB227" s="644">
        <f t="shared" si="203"/>
        <v>0</v>
      </c>
      <c r="BC227" s="645">
        <f t="shared" si="203"/>
        <v>249.6666666666668</v>
      </c>
      <c r="BD227" s="163">
        <f t="shared" si="203"/>
        <v>92.999999999999915</v>
      </c>
      <c r="BE227" s="163">
        <f t="shared" si="203"/>
        <v>0</v>
      </c>
      <c r="BF227" s="163">
        <f t="shared" si="203"/>
        <v>142.33333333333337</v>
      </c>
      <c r="BG227" s="643">
        <f t="shared" si="203"/>
        <v>14.333333333333334</v>
      </c>
      <c r="BH227" s="646">
        <f t="shared" si="203"/>
        <v>1348.6666666666672</v>
      </c>
      <c r="BI227" s="645">
        <f t="shared" si="203"/>
        <v>1065.3333333333328</v>
      </c>
      <c r="BJ227" s="163">
        <f t="shared" si="203"/>
        <v>434.00000000000011</v>
      </c>
      <c r="BK227" s="163">
        <f t="shared" si="203"/>
        <v>19.333333333333336</v>
      </c>
      <c r="BL227" s="163">
        <f t="shared" si="203"/>
        <v>610.99999999999989</v>
      </c>
      <c r="BM227" s="644">
        <f t="shared" si="203"/>
        <v>1</v>
      </c>
      <c r="BN227" s="645">
        <f t="shared" si="203"/>
        <v>283.33333333333337</v>
      </c>
      <c r="BO227" s="163">
        <f t="shared" si="203"/>
        <v>76.000000000000014</v>
      </c>
      <c r="BP227" s="163">
        <f t="shared" si="203"/>
        <v>0</v>
      </c>
      <c r="BQ227" s="163">
        <f t="shared" si="191"/>
        <v>185.66666666666671</v>
      </c>
      <c r="BR227" s="643">
        <f t="shared" si="191"/>
        <v>21.666666666666661</v>
      </c>
      <c r="BS227" s="646">
        <f t="shared" si="191"/>
        <v>2036.3333333333333</v>
      </c>
      <c r="BT227" s="645">
        <f t="shared" si="191"/>
        <v>1572.3333333333335</v>
      </c>
      <c r="BU227" s="163">
        <f t="shared" si="191"/>
        <v>596.33333333333326</v>
      </c>
      <c r="BV227" s="163">
        <f t="shared" si="191"/>
        <v>9.3333333333333321</v>
      </c>
      <c r="BW227" s="163">
        <f t="shared" si="191"/>
        <v>965.66666666666652</v>
      </c>
      <c r="BX227" s="644">
        <f t="shared" si="191"/>
        <v>1</v>
      </c>
      <c r="BY227" s="645">
        <f t="shared" si="188"/>
        <v>464.00000000000017</v>
      </c>
      <c r="BZ227" s="163">
        <f t="shared" si="188"/>
        <v>132.99999999999989</v>
      </c>
      <c r="CA227" s="163">
        <f t="shared" si="188"/>
        <v>0</v>
      </c>
      <c r="CB227" s="163">
        <f t="shared" si="188"/>
        <v>302.33333333333337</v>
      </c>
      <c r="CC227" s="643">
        <f t="shared" si="188"/>
        <v>28.666666666666654</v>
      </c>
      <c r="CD227" s="646">
        <f t="shared" si="188"/>
        <v>331.99999999999989</v>
      </c>
      <c r="CE227" s="645">
        <f t="shared" si="188"/>
        <v>248.66666666666677</v>
      </c>
      <c r="CF227" s="163">
        <f t="shared" si="188"/>
        <v>94.000000000000014</v>
      </c>
      <c r="CG227" s="163">
        <f t="shared" si="188"/>
        <v>10.66666666666667</v>
      </c>
      <c r="CH227" s="163">
        <f t="shared" si="188"/>
        <v>144</v>
      </c>
      <c r="CI227" s="644">
        <f t="shared" si="188"/>
        <v>0</v>
      </c>
      <c r="CJ227" s="645">
        <f t="shared" si="188"/>
        <v>83.333333333333329</v>
      </c>
      <c r="CK227" s="163">
        <f t="shared" si="188"/>
        <v>25.999999999999996</v>
      </c>
      <c r="CL227" s="163">
        <f t="shared" si="188"/>
        <v>0</v>
      </c>
      <c r="CM227" s="163">
        <f t="shared" si="188"/>
        <v>52.333333333333321</v>
      </c>
      <c r="CN227" s="643">
        <f t="shared" si="188"/>
        <v>4.9999999999999991</v>
      </c>
      <c r="CO227" s="646">
        <f t="shared" si="195"/>
        <v>248.66666666666671</v>
      </c>
      <c r="CP227" s="645">
        <f t="shared" si="195"/>
        <v>182.33333333333343</v>
      </c>
      <c r="CQ227" s="163">
        <f t="shared" si="195"/>
        <v>81.666666666666714</v>
      </c>
      <c r="CR227" s="163">
        <f t="shared" si="195"/>
        <v>11.666666666666666</v>
      </c>
      <c r="CS227" s="163">
        <f t="shared" si="195"/>
        <v>87.999999999999972</v>
      </c>
      <c r="CT227" s="644">
        <f t="shared" si="195"/>
        <v>1</v>
      </c>
      <c r="CU227" s="645">
        <f t="shared" si="195"/>
        <v>66.333333333333371</v>
      </c>
      <c r="CV227" s="163">
        <f t="shared" si="195"/>
        <v>24.999999999999982</v>
      </c>
      <c r="CW227" s="163">
        <f t="shared" si="195"/>
        <v>0</v>
      </c>
      <c r="CX227" s="163">
        <f t="shared" si="195"/>
        <v>41.333333333333307</v>
      </c>
      <c r="CY227" s="643">
        <f t="shared" si="195"/>
        <v>0</v>
      </c>
      <c r="CZ227" s="646">
        <f t="shared" si="195"/>
        <v>75.666666666666629</v>
      </c>
      <c r="DA227" s="645">
        <f t="shared" si="195"/>
        <v>50.333333333333321</v>
      </c>
      <c r="DB227" s="163">
        <f t="shared" si="195"/>
        <v>15.000000000000002</v>
      </c>
      <c r="DC227" s="163">
        <f t="shared" si="195"/>
        <v>1</v>
      </c>
      <c r="DD227" s="163">
        <f t="shared" si="195"/>
        <v>34.333333333333329</v>
      </c>
      <c r="DE227" s="644">
        <f t="shared" si="198"/>
        <v>0</v>
      </c>
      <c r="DF227" s="645">
        <f t="shared" si="198"/>
        <v>25.333333333333332</v>
      </c>
      <c r="DG227" s="163">
        <f t="shared" si="198"/>
        <v>13.000000000000011</v>
      </c>
      <c r="DH227" s="163">
        <f t="shared" si="198"/>
        <v>0</v>
      </c>
      <c r="DI227" s="163">
        <f t="shared" si="198"/>
        <v>9.3333333333333286</v>
      </c>
      <c r="DJ227" s="643">
        <f t="shared" si="198"/>
        <v>3</v>
      </c>
      <c r="DK227" s="646">
        <f t="shared" si="198"/>
        <v>1</v>
      </c>
      <c r="DL227" s="645">
        <f t="shared" si="198"/>
        <v>1</v>
      </c>
      <c r="DM227" s="163">
        <f t="shared" si="198"/>
        <v>0</v>
      </c>
      <c r="DN227" s="163">
        <f t="shared" si="198"/>
        <v>1</v>
      </c>
      <c r="DO227" s="163">
        <f t="shared" si="198"/>
        <v>0</v>
      </c>
      <c r="DP227" s="644">
        <f t="shared" si="198"/>
        <v>0</v>
      </c>
      <c r="DQ227" s="645">
        <f t="shared" si="198"/>
        <v>1</v>
      </c>
      <c r="DR227" s="163">
        <f t="shared" si="198"/>
        <v>1</v>
      </c>
      <c r="DS227" s="163">
        <f t="shared" si="196"/>
        <v>0</v>
      </c>
      <c r="DT227" s="163">
        <f t="shared" si="189"/>
        <v>0</v>
      </c>
      <c r="DU227" s="643">
        <f t="shared" si="189"/>
        <v>0</v>
      </c>
      <c r="DW227" s="646">
        <f t="shared" si="200"/>
        <v>5446.6666666666679</v>
      </c>
      <c r="DX227" s="645">
        <f t="shared" si="200"/>
        <v>4106.666666666667</v>
      </c>
      <c r="DY227" s="163">
        <f t="shared" si="200"/>
        <v>1647.3333333333335</v>
      </c>
      <c r="DZ227" s="163">
        <f t="shared" si="200"/>
        <v>78.333333333333343</v>
      </c>
      <c r="EA227" s="163">
        <f t="shared" si="200"/>
        <v>2378</v>
      </c>
      <c r="EB227" s="644">
        <f t="shared" si="158"/>
        <v>3</v>
      </c>
      <c r="EC227" s="645">
        <f t="shared" si="158"/>
        <v>1341.0000000000002</v>
      </c>
      <c r="ED227" s="163">
        <f t="shared" si="158"/>
        <v>431.99999999999977</v>
      </c>
      <c r="EE227" s="163">
        <f t="shared" si="158"/>
        <v>0</v>
      </c>
      <c r="EF227" s="163">
        <f t="shared" si="158"/>
        <v>823.33333333333348</v>
      </c>
      <c r="EG227" s="643">
        <f t="shared" si="158"/>
        <v>85.666666666666643</v>
      </c>
      <c r="EH227" s="646">
        <f t="shared" si="183"/>
        <v>1781.3333333333335</v>
      </c>
      <c r="EI227" s="645">
        <f t="shared" si="183"/>
        <v>1305.9999999999998</v>
      </c>
      <c r="EJ227" s="163">
        <f t="shared" si="183"/>
        <v>531.99999999999989</v>
      </c>
      <c r="EK227" s="163">
        <f t="shared" si="183"/>
        <v>38.333333333333329</v>
      </c>
      <c r="EL227" s="163">
        <f t="shared" si="183"/>
        <v>734.66666666666652</v>
      </c>
      <c r="EM227" s="644">
        <f t="shared" si="183"/>
        <v>1</v>
      </c>
      <c r="EN227" s="645">
        <f t="shared" si="183"/>
        <v>475.33333333333337</v>
      </c>
      <c r="EO227" s="163">
        <f t="shared" si="183"/>
        <v>113.33333333333324</v>
      </c>
      <c r="EP227" s="163">
        <f t="shared" si="183"/>
        <v>0</v>
      </c>
      <c r="EQ227" s="163">
        <f t="shared" si="183"/>
        <v>338.33333333333343</v>
      </c>
      <c r="ER227" s="643">
        <f t="shared" si="183"/>
        <v>23.666666666666657</v>
      </c>
    </row>
    <row r="228" spans="1:148">
      <c r="A228" s="665" t="s">
        <v>360</v>
      </c>
      <c r="B228" s="665">
        <v>45444</v>
      </c>
      <c r="C228" s="664">
        <v>2024</v>
      </c>
      <c r="D228" s="646">
        <f t="shared" ref="D228" si="205">D129/3+D227</f>
        <v>5248927.9999999991</v>
      </c>
      <c r="E228" s="646">
        <f t="shared" si="193"/>
        <v>179100.00000000003</v>
      </c>
      <c r="F228" s="645">
        <f t="shared" si="193"/>
        <v>131347</v>
      </c>
      <c r="G228" s="163">
        <f t="shared" si="193"/>
        <v>53491.999999999985</v>
      </c>
      <c r="H228" s="163">
        <f t="shared" si="193"/>
        <v>3880.0000000000009</v>
      </c>
      <c r="I228" s="163">
        <f t="shared" si="193"/>
        <v>73193.999999999971</v>
      </c>
      <c r="J228" s="644">
        <f t="shared" si="193"/>
        <v>781.00000000000011</v>
      </c>
      <c r="K228" s="645">
        <f t="shared" si="193"/>
        <v>47752.999999999978</v>
      </c>
      <c r="L228" s="163">
        <f t="shared" si="193"/>
        <v>15281.000000000011</v>
      </c>
      <c r="M228" s="163">
        <f t="shared" si="193"/>
        <v>0</v>
      </c>
      <c r="N228" s="163">
        <f t="shared" si="193"/>
        <v>29223.000000000007</v>
      </c>
      <c r="O228" s="643">
        <f t="shared" si="193"/>
        <v>3248.9999999999977</v>
      </c>
      <c r="P228" s="646">
        <f t="shared" si="193"/>
        <v>307.00000000000011</v>
      </c>
      <c r="Q228" s="645">
        <f t="shared" si="193"/>
        <v>188.00000000000003</v>
      </c>
      <c r="R228" s="163">
        <f t="shared" si="193"/>
        <v>83.000000000000043</v>
      </c>
      <c r="S228" s="163">
        <f t="shared" si="193"/>
        <v>4</v>
      </c>
      <c r="T228" s="163">
        <f t="shared" si="193"/>
        <v>101.00000000000001</v>
      </c>
      <c r="U228" s="644">
        <f t="shared" si="187"/>
        <v>0</v>
      </c>
      <c r="V228" s="645">
        <f t="shared" si="187"/>
        <v>119.00000000000004</v>
      </c>
      <c r="W228" s="163">
        <f t="shared" si="187"/>
        <v>31.999999999999996</v>
      </c>
      <c r="X228" s="163">
        <f t="shared" si="187"/>
        <v>0</v>
      </c>
      <c r="Y228" s="163">
        <f t="shared" si="187"/>
        <v>80.000000000000028</v>
      </c>
      <c r="Z228" s="643">
        <f t="shared" si="187"/>
        <v>7</v>
      </c>
      <c r="AA228" s="646">
        <f t="shared" si="187"/>
        <v>165.00000000000011</v>
      </c>
      <c r="AB228" s="645">
        <f t="shared" si="187"/>
        <v>111.99999999999999</v>
      </c>
      <c r="AC228" s="163">
        <f t="shared" si="187"/>
        <v>40</v>
      </c>
      <c r="AD228" s="163">
        <f t="shared" si="187"/>
        <v>4.9999999999999991</v>
      </c>
      <c r="AE228" s="163">
        <f t="shared" si="187"/>
        <v>67</v>
      </c>
      <c r="AF228" s="644">
        <f t="shared" si="187"/>
        <v>0</v>
      </c>
      <c r="AG228" s="645">
        <f t="shared" si="187"/>
        <v>53.00000000000005</v>
      </c>
      <c r="AH228" s="163">
        <f t="shared" si="187"/>
        <v>32.999999999999979</v>
      </c>
      <c r="AI228" s="163">
        <f t="shared" si="187"/>
        <v>0</v>
      </c>
      <c r="AJ228" s="163">
        <f t="shared" si="187"/>
        <v>14.000000000000004</v>
      </c>
      <c r="AK228" s="643">
        <f t="shared" si="179"/>
        <v>5.9999999999999982</v>
      </c>
      <c r="AL228" s="646">
        <f t="shared" si="179"/>
        <v>1839.0000000000002</v>
      </c>
      <c r="AM228" s="645">
        <f t="shared" si="179"/>
        <v>1346.9999999999998</v>
      </c>
      <c r="AN228" s="163">
        <f t="shared" si="179"/>
        <v>539.99999999999989</v>
      </c>
      <c r="AO228" s="163">
        <f t="shared" si="179"/>
        <v>40.999999999999993</v>
      </c>
      <c r="AP228" s="163">
        <f t="shared" si="179"/>
        <v>764.99999999999989</v>
      </c>
      <c r="AQ228" s="644">
        <f t="shared" si="179"/>
        <v>1</v>
      </c>
      <c r="AR228" s="645">
        <f t="shared" si="179"/>
        <v>492.00000000000006</v>
      </c>
      <c r="AS228" s="163">
        <f t="shared" si="179"/>
        <v>113.99999999999991</v>
      </c>
      <c r="AT228" s="163">
        <f t="shared" si="179"/>
        <v>0</v>
      </c>
      <c r="AU228" s="163">
        <f t="shared" si="179"/>
        <v>354.00000000000011</v>
      </c>
      <c r="AV228" s="643">
        <f t="shared" si="179"/>
        <v>23.999999999999989</v>
      </c>
      <c r="AW228" s="646">
        <f t="shared" si="179"/>
        <v>978.99999999999977</v>
      </c>
      <c r="AX228" s="645">
        <f t="shared" si="179"/>
        <v>723.00000000000011</v>
      </c>
      <c r="AY228" s="163">
        <f t="shared" si="179"/>
        <v>312.00000000000006</v>
      </c>
      <c r="AZ228" s="163">
        <f t="shared" ref="AZ228:AZ234" si="206">AZ129/3+AZ227</f>
        <v>18</v>
      </c>
      <c r="BA228" s="163">
        <f t="shared" si="203"/>
        <v>393</v>
      </c>
      <c r="BB228" s="644">
        <f t="shared" si="203"/>
        <v>0</v>
      </c>
      <c r="BC228" s="645">
        <f t="shared" si="203"/>
        <v>256.00000000000011</v>
      </c>
      <c r="BD228" s="163">
        <f t="shared" si="203"/>
        <v>92.999999999999915</v>
      </c>
      <c r="BE228" s="163">
        <f t="shared" si="203"/>
        <v>0</v>
      </c>
      <c r="BF228" s="163">
        <f t="shared" si="203"/>
        <v>148.00000000000003</v>
      </c>
      <c r="BG228" s="643">
        <f t="shared" si="203"/>
        <v>15</v>
      </c>
      <c r="BH228" s="646">
        <f t="shared" si="203"/>
        <v>1387.0000000000005</v>
      </c>
      <c r="BI228" s="645">
        <f t="shared" si="203"/>
        <v>1096.9999999999995</v>
      </c>
      <c r="BJ228" s="163">
        <f t="shared" si="203"/>
        <v>440.00000000000011</v>
      </c>
      <c r="BK228" s="163">
        <f t="shared" si="203"/>
        <v>21.000000000000004</v>
      </c>
      <c r="BL228" s="163">
        <f t="shared" si="203"/>
        <v>634.99999999999989</v>
      </c>
      <c r="BM228" s="644">
        <f t="shared" si="203"/>
        <v>1</v>
      </c>
      <c r="BN228" s="645">
        <f t="shared" si="203"/>
        <v>290.00000000000006</v>
      </c>
      <c r="BO228" s="163">
        <f t="shared" si="203"/>
        <v>76.000000000000014</v>
      </c>
      <c r="BP228" s="163">
        <f t="shared" si="203"/>
        <v>0</v>
      </c>
      <c r="BQ228" s="163">
        <f t="shared" si="191"/>
        <v>192.00000000000006</v>
      </c>
      <c r="BR228" s="643">
        <f t="shared" si="191"/>
        <v>21.999999999999993</v>
      </c>
      <c r="BS228" s="646">
        <f t="shared" si="191"/>
        <v>2101</v>
      </c>
      <c r="BT228" s="645">
        <f t="shared" si="191"/>
        <v>1621.0000000000002</v>
      </c>
      <c r="BU228" s="163">
        <f t="shared" si="191"/>
        <v>607.99999999999989</v>
      </c>
      <c r="BV228" s="163">
        <f t="shared" si="191"/>
        <v>9.9999999999999982</v>
      </c>
      <c r="BW228" s="163">
        <f t="shared" si="191"/>
        <v>1001.9999999999999</v>
      </c>
      <c r="BX228" s="644">
        <f t="shared" si="191"/>
        <v>1</v>
      </c>
      <c r="BY228" s="645">
        <f t="shared" si="188"/>
        <v>480.00000000000017</v>
      </c>
      <c r="BZ228" s="163">
        <f t="shared" si="188"/>
        <v>132.99999999999989</v>
      </c>
      <c r="CA228" s="163">
        <f t="shared" si="188"/>
        <v>0</v>
      </c>
      <c r="CB228" s="163">
        <f t="shared" si="188"/>
        <v>318.00000000000006</v>
      </c>
      <c r="CC228" s="643">
        <f t="shared" si="188"/>
        <v>28.999999999999986</v>
      </c>
      <c r="CD228" s="646">
        <f t="shared" si="188"/>
        <v>339.99999999999989</v>
      </c>
      <c r="CE228" s="645">
        <f t="shared" si="188"/>
        <v>255.00000000000011</v>
      </c>
      <c r="CF228" s="163">
        <f t="shared" si="188"/>
        <v>95.000000000000014</v>
      </c>
      <c r="CG228" s="163">
        <f t="shared" si="188"/>
        <v>11.000000000000004</v>
      </c>
      <c r="CH228" s="163">
        <f t="shared" si="188"/>
        <v>149</v>
      </c>
      <c r="CI228" s="644">
        <f t="shared" si="188"/>
        <v>0</v>
      </c>
      <c r="CJ228" s="645">
        <f t="shared" si="188"/>
        <v>85</v>
      </c>
      <c r="CK228" s="163">
        <f t="shared" si="188"/>
        <v>25.999999999999996</v>
      </c>
      <c r="CL228" s="163">
        <f t="shared" si="188"/>
        <v>0</v>
      </c>
      <c r="CM228" s="163">
        <f t="shared" si="188"/>
        <v>53.999999999999986</v>
      </c>
      <c r="CN228" s="643">
        <f t="shared" si="188"/>
        <v>4.9999999999999991</v>
      </c>
      <c r="CO228" s="646">
        <f t="shared" si="195"/>
        <v>255.00000000000006</v>
      </c>
      <c r="CP228" s="645">
        <f t="shared" si="195"/>
        <v>187.00000000000009</v>
      </c>
      <c r="CQ228" s="163">
        <f t="shared" si="195"/>
        <v>83.000000000000043</v>
      </c>
      <c r="CR228" s="163">
        <f t="shared" si="195"/>
        <v>12</v>
      </c>
      <c r="CS228" s="163">
        <f t="shared" si="195"/>
        <v>90.999999999999972</v>
      </c>
      <c r="CT228" s="644">
        <f t="shared" si="195"/>
        <v>1</v>
      </c>
      <c r="CU228" s="645">
        <f t="shared" si="195"/>
        <v>68.000000000000043</v>
      </c>
      <c r="CV228" s="163">
        <f t="shared" si="195"/>
        <v>24.999999999999982</v>
      </c>
      <c r="CW228" s="163">
        <f t="shared" si="195"/>
        <v>0</v>
      </c>
      <c r="CX228" s="163">
        <f t="shared" si="195"/>
        <v>42.999999999999972</v>
      </c>
      <c r="CY228" s="643">
        <f t="shared" si="195"/>
        <v>0</v>
      </c>
      <c r="CZ228" s="646">
        <f t="shared" si="195"/>
        <v>76.999999999999957</v>
      </c>
      <c r="DA228" s="645">
        <f t="shared" si="195"/>
        <v>50.999999999999986</v>
      </c>
      <c r="DB228" s="163">
        <f t="shared" si="195"/>
        <v>15.000000000000002</v>
      </c>
      <c r="DC228" s="163">
        <f t="shared" si="195"/>
        <v>1</v>
      </c>
      <c r="DD228" s="163">
        <f t="shared" si="195"/>
        <v>34.999999999999993</v>
      </c>
      <c r="DE228" s="644">
        <f t="shared" si="198"/>
        <v>0</v>
      </c>
      <c r="DF228" s="645">
        <f t="shared" si="198"/>
        <v>26</v>
      </c>
      <c r="DG228" s="163">
        <f t="shared" si="198"/>
        <v>13.000000000000011</v>
      </c>
      <c r="DH228" s="163">
        <f t="shared" si="198"/>
        <v>0</v>
      </c>
      <c r="DI228" s="163">
        <f t="shared" si="198"/>
        <v>9.9999999999999947</v>
      </c>
      <c r="DJ228" s="643">
        <f t="shared" si="198"/>
        <v>3</v>
      </c>
      <c r="DK228" s="646">
        <f t="shared" si="198"/>
        <v>1</v>
      </c>
      <c r="DL228" s="645">
        <f t="shared" si="198"/>
        <v>1</v>
      </c>
      <c r="DM228" s="163">
        <f t="shared" si="198"/>
        <v>0</v>
      </c>
      <c r="DN228" s="163">
        <f t="shared" si="198"/>
        <v>1</v>
      </c>
      <c r="DO228" s="163">
        <f t="shared" si="198"/>
        <v>0</v>
      </c>
      <c r="DP228" s="644">
        <f t="shared" si="198"/>
        <v>0</v>
      </c>
      <c r="DQ228" s="645">
        <f t="shared" si="198"/>
        <v>1</v>
      </c>
      <c r="DR228" s="163">
        <f t="shared" si="198"/>
        <v>1</v>
      </c>
      <c r="DS228" s="163">
        <f t="shared" si="196"/>
        <v>0</v>
      </c>
      <c r="DT228" s="163">
        <f t="shared" si="189"/>
        <v>0</v>
      </c>
      <c r="DU228" s="643">
        <f t="shared" si="189"/>
        <v>0</v>
      </c>
      <c r="DW228" s="646">
        <f t="shared" si="200"/>
        <v>5612</v>
      </c>
      <c r="DX228" s="645">
        <f t="shared" si="200"/>
        <v>4235</v>
      </c>
      <c r="DY228" s="163">
        <f t="shared" si="200"/>
        <v>1676</v>
      </c>
      <c r="DZ228" s="163">
        <f t="shared" si="200"/>
        <v>83</v>
      </c>
      <c r="EA228" s="163">
        <f t="shared" si="200"/>
        <v>2473</v>
      </c>
      <c r="EB228" s="644">
        <f t="shared" si="158"/>
        <v>3</v>
      </c>
      <c r="EC228" s="645">
        <f t="shared" si="158"/>
        <v>1378.0000000000005</v>
      </c>
      <c r="ED228" s="163">
        <f t="shared" si="158"/>
        <v>431.99999999999977</v>
      </c>
      <c r="EE228" s="163">
        <f t="shared" si="158"/>
        <v>0</v>
      </c>
      <c r="EF228" s="163">
        <f t="shared" si="158"/>
        <v>859.00000000000023</v>
      </c>
      <c r="EG228" s="643">
        <f t="shared" si="158"/>
        <v>86.999999999999972</v>
      </c>
      <c r="EH228" s="646">
        <f t="shared" si="183"/>
        <v>1839.0000000000002</v>
      </c>
      <c r="EI228" s="645">
        <f t="shared" si="183"/>
        <v>1346.9999999999998</v>
      </c>
      <c r="EJ228" s="163">
        <f t="shared" si="183"/>
        <v>539.99999999999989</v>
      </c>
      <c r="EK228" s="163">
        <f t="shared" si="183"/>
        <v>40.999999999999993</v>
      </c>
      <c r="EL228" s="163">
        <f t="shared" si="183"/>
        <v>764.99999999999989</v>
      </c>
      <c r="EM228" s="644">
        <f t="shared" si="183"/>
        <v>1</v>
      </c>
      <c r="EN228" s="645">
        <f t="shared" si="183"/>
        <v>492.00000000000006</v>
      </c>
      <c r="EO228" s="163">
        <f t="shared" si="183"/>
        <v>113.99999999999991</v>
      </c>
      <c r="EP228" s="163">
        <f t="shared" si="183"/>
        <v>0</v>
      </c>
      <c r="EQ228" s="163">
        <f t="shared" si="183"/>
        <v>354.00000000000011</v>
      </c>
      <c r="ER228" s="643">
        <f t="shared" si="183"/>
        <v>23.999999999999989</v>
      </c>
    </row>
    <row r="229" spans="1:148">
      <c r="A229" s="665" t="s">
        <v>687</v>
      </c>
      <c r="B229" s="665">
        <v>45474</v>
      </c>
      <c r="C229" s="664">
        <v>2024</v>
      </c>
      <c r="D229" s="646">
        <f t="shared" ref="D229" si="207">D130/3+D228</f>
        <v>5309714.9999999991</v>
      </c>
      <c r="E229" s="646">
        <f t="shared" si="193"/>
        <v>184415.33333333337</v>
      </c>
      <c r="F229" s="645">
        <f t="shared" si="193"/>
        <v>135270.66666666666</v>
      </c>
      <c r="G229" s="163">
        <f t="shared" si="193"/>
        <v>54339.333333333321</v>
      </c>
      <c r="H229" s="163">
        <f t="shared" si="193"/>
        <v>4202.3333333333339</v>
      </c>
      <c r="I229" s="163">
        <f t="shared" si="193"/>
        <v>75924.666666666642</v>
      </c>
      <c r="J229" s="644">
        <f t="shared" si="193"/>
        <v>804.33333333333348</v>
      </c>
      <c r="K229" s="645">
        <f t="shared" si="193"/>
        <v>49144.666666666642</v>
      </c>
      <c r="L229" s="163">
        <f t="shared" si="193"/>
        <v>15426.000000000011</v>
      </c>
      <c r="M229" s="163">
        <f t="shared" si="193"/>
        <v>0</v>
      </c>
      <c r="N229" s="163">
        <f t="shared" si="193"/>
        <v>30438.000000000007</v>
      </c>
      <c r="O229" s="643">
        <f t="shared" si="193"/>
        <v>3280.6666666666642</v>
      </c>
      <c r="P229" s="646">
        <f t="shared" si="193"/>
        <v>317.33333333333343</v>
      </c>
      <c r="Q229" s="645">
        <f t="shared" si="193"/>
        <v>194.66666666666669</v>
      </c>
      <c r="R229" s="163">
        <f t="shared" si="193"/>
        <v>84.333333333333371</v>
      </c>
      <c r="S229" s="163">
        <f t="shared" si="193"/>
        <v>5</v>
      </c>
      <c r="T229" s="163">
        <f t="shared" si="193"/>
        <v>105.33333333333334</v>
      </c>
      <c r="U229" s="644">
        <f t="shared" si="187"/>
        <v>0</v>
      </c>
      <c r="V229" s="645">
        <f t="shared" si="187"/>
        <v>122.66666666666671</v>
      </c>
      <c r="W229" s="163">
        <f t="shared" si="187"/>
        <v>32.666666666666664</v>
      </c>
      <c r="X229" s="163">
        <f t="shared" si="187"/>
        <v>0</v>
      </c>
      <c r="Y229" s="163">
        <f t="shared" si="187"/>
        <v>83.000000000000028</v>
      </c>
      <c r="Z229" s="643">
        <f t="shared" si="187"/>
        <v>7</v>
      </c>
      <c r="AA229" s="646">
        <f t="shared" si="187"/>
        <v>169.33333333333346</v>
      </c>
      <c r="AB229" s="645">
        <f t="shared" si="187"/>
        <v>115.66666666666666</v>
      </c>
      <c r="AC229" s="163">
        <f t="shared" si="187"/>
        <v>41.666666666666664</v>
      </c>
      <c r="AD229" s="163">
        <f t="shared" si="187"/>
        <v>4.9999999999999991</v>
      </c>
      <c r="AE229" s="163">
        <f t="shared" si="187"/>
        <v>69</v>
      </c>
      <c r="AF229" s="644">
        <f t="shared" si="187"/>
        <v>0</v>
      </c>
      <c r="AG229" s="645">
        <f t="shared" si="187"/>
        <v>53.666666666666714</v>
      </c>
      <c r="AH229" s="163">
        <f t="shared" si="187"/>
        <v>32.999999999999979</v>
      </c>
      <c r="AI229" s="163">
        <f t="shared" si="187"/>
        <v>0</v>
      </c>
      <c r="AJ229" s="163">
        <f t="shared" si="187"/>
        <v>14.66666666666667</v>
      </c>
      <c r="AK229" s="643">
        <f t="shared" ref="AK229:AY234" si="208">AK130/3+AK228</f>
        <v>5.9999999999999982</v>
      </c>
      <c r="AL229" s="646">
        <f t="shared" si="208"/>
        <v>1909.3333333333335</v>
      </c>
      <c r="AM229" s="645">
        <f t="shared" si="208"/>
        <v>1400.333333333333</v>
      </c>
      <c r="AN229" s="163">
        <f t="shared" si="208"/>
        <v>549.99999999999989</v>
      </c>
      <c r="AO229" s="163">
        <f t="shared" si="208"/>
        <v>48.333333333333329</v>
      </c>
      <c r="AP229" s="163">
        <f t="shared" si="208"/>
        <v>800.66666666666652</v>
      </c>
      <c r="AQ229" s="644">
        <f t="shared" si="208"/>
        <v>1.3333333333333333</v>
      </c>
      <c r="AR229" s="645">
        <f t="shared" si="208"/>
        <v>509.00000000000006</v>
      </c>
      <c r="AS229" s="163">
        <f t="shared" si="208"/>
        <v>114.99999999999991</v>
      </c>
      <c r="AT229" s="163">
        <f t="shared" si="208"/>
        <v>0</v>
      </c>
      <c r="AU229" s="163">
        <f t="shared" si="208"/>
        <v>370.00000000000011</v>
      </c>
      <c r="AV229" s="643">
        <f t="shared" si="208"/>
        <v>23.999999999999989</v>
      </c>
      <c r="AW229" s="646">
        <f t="shared" si="208"/>
        <v>1014.3333333333331</v>
      </c>
      <c r="AX229" s="645">
        <f t="shared" si="208"/>
        <v>751.00000000000011</v>
      </c>
      <c r="AY229" s="163">
        <f t="shared" si="208"/>
        <v>317.00000000000006</v>
      </c>
      <c r="AZ229" s="163">
        <f t="shared" si="206"/>
        <v>18.666666666666668</v>
      </c>
      <c r="BA229" s="163">
        <f t="shared" si="203"/>
        <v>415.33333333333331</v>
      </c>
      <c r="BB229" s="644">
        <f t="shared" si="203"/>
        <v>0</v>
      </c>
      <c r="BC229" s="645">
        <f t="shared" si="203"/>
        <v>263.33333333333343</v>
      </c>
      <c r="BD229" s="163">
        <f t="shared" si="203"/>
        <v>94.333333333333243</v>
      </c>
      <c r="BE229" s="163">
        <f t="shared" si="203"/>
        <v>0</v>
      </c>
      <c r="BF229" s="163">
        <f t="shared" si="203"/>
        <v>154.00000000000003</v>
      </c>
      <c r="BG229" s="643">
        <f t="shared" si="203"/>
        <v>15</v>
      </c>
      <c r="BH229" s="646">
        <f t="shared" si="203"/>
        <v>1422.3333333333337</v>
      </c>
      <c r="BI229" s="645">
        <f t="shared" si="203"/>
        <v>1122.6666666666663</v>
      </c>
      <c r="BJ229" s="163">
        <f t="shared" si="203"/>
        <v>444.6666666666668</v>
      </c>
      <c r="BK229" s="163">
        <f t="shared" si="203"/>
        <v>22.000000000000004</v>
      </c>
      <c r="BL229" s="163">
        <f t="shared" si="203"/>
        <v>654.33333333333326</v>
      </c>
      <c r="BM229" s="644">
        <f t="shared" si="203"/>
        <v>1.6666666666666665</v>
      </c>
      <c r="BN229" s="645">
        <f t="shared" si="203"/>
        <v>299.66666666666674</v>
      </c>
      <c r="BO229" s="163">
        <f t="shared" si="203"/>
        <v>77.333333333333343</v>
      </c>
      <c r="BP229" s="163">
        <f t="shared" si="203"/>
        <v>0</v>
      </c>
      <c r="BQ229" s="163">
        <f t="shared" si="191"/>
        <v>200.3333333333334</v>
      </c>
      <c r="BR229" s="643">
        <f t="shared" si="191"/>
        <v>21.999999999999993</v>
      </c>
      <c r="BS229" s="646">
        <f t="shared" si="191"/>
        <v>2163.6666666666665</v>
      </c>
      <c r="BT229" s="645">
        <f t="shared" si="191"/>
        <v>1670.666666666667</v>
      </c>
      <c r="BU229" s="163">
        <f t="shared" si="191"/>
        <v>618.33333333333326</v>
      </c>
      <c r="BV229" s="163">
        <f t="shared" si="191"/>
        <v>11.333333333333332</v>
      </c>
      <c r="BW229" s="163">
        <f t="shared" si="191"/>
        <v>1039.6666666666665</v>
      </c>
      <c r="BX229" s="644">
        <f t="shared" si="191"/>
        <v>1.3333333333333333</v>
      </c>
      <c r="BY229" s="645">
        <f t="shared" si="188"/>
        <v>493.00000000000017</v>
      </c>
      <c r="BZ229" s="163">
        <f t="shared" si="188"/>
        <v>133.66666666666654</v>
      </c>
      <c r="CA229" s="163">
        <f t="shared" si="188"/>
        <v>0</v>
      </c>
      <c r="CB229" s="163">
        <f t="shared" si="188"/>
        <v>330.00000000000006</v>
      </c>
      <c r="CC229" s="643">
        <f t="shared" si="188"/>
        <v>29.333333333333318</v>
      </c>
      <c r="CD229" s="646">
        <f t="shared" si="188"/>
        <v>346.3333333333332</v>
      </c>
      <c r="CE229" s="645">
        <f t="shared" si="188"/>
        <v>259.00000000000011</v>
      </c>
      <c r="CF229" s="163">
        <f t="shared" si="188"/>
        <v>95.000000000000014</v>
      </c>
      <c r="CG229" s="163">
        <f t="shared" si="188"/>
        <v>11.333333333333337</v>
      </c>
      <c r="CH229" s="163">
        <f t="shared" si="188"/>
        <v>152.66666666666666</v>
      </c>
      <c r="CI229" s="644">
        <f t="shared" si="188"/>
        <v>0</v>
      </c>
      <c r="CJ229" s="645">
        <f t="shared" si="188"/>
        <v>87.333333333333329</v>
      </c>
      <c r="CK229" s="163">
        <f t="shared" si="188"/>
        <v>25.999999999999996</v>
      </c>
      <c r="CL229" s="163">
        <f t="shared" si="188"/>
        <v>0</v>
      </c>
      <c r="CM229" s="163">
        <f t="shared" si="188"/>
        <v>56.333333333333321</v>
      </c>
      <c r="CN229" s="643">
        <f t="shared" si="188"/>
        <v>4.9999999999999991</v>
      </c>
      <c r="CO229" s="646">
        <f t="shared" si="195"/>
        <v>261.66666666666674</v>
      </c>
      <c r="CP229" s="645">
        <f t="shared" si="195"/>
        <v>191.00000000000009</v>
      </c>
      <c r="CQ229" s="163">
        <f t="shared" si="195"/>
        <v>83.333333333333371</v>
      </c>
      <c r="CR229" s="163">
        <f t="shared" si="195"/>
        <v>12.666666666666666</v>
      </c>
      <c r="CS229" s="163">
        <f t="shared" si="195"/>
        <v>93.999999999999972</v>
      </c>
      <c r="CT229" s="644">
        <f t="shared" si="195"/>
        <v>1</v>
      </c>
      <c r="CU229" s="645">
        <f t="shared" si="195"/>
        <v>70.666666666666714</v>
      </c>
      <c r="CV229" s="163">
        <f t="shared" si="195"/>
        <v>24.999999999999982</v>
      </c>
      <c r="CW229" s="163">
        <f t="shared" si="195"/>
        <v>0</v>
      </c>
      <c r="CX229" s="163">
        <f t="shared" si="195"/>
        <v>45.666666666666636</v>
      </c>
      <c r="CY229" s="643">
        <f t="shared" si="195"/>
        <v>0</v>
      </c>
      <c r="CZ229" s="646">
        <f t="shared" si="195"/>
        <v>78.999999999999957</v>
      </c>
      <c r="DA229" s="645">
        <f t="shared" si="195"/>
        <v>52.66666666666665</v>
      </c>
      <c r="DB229" s="163">
        <f t="shared" si="195"/>
        <v>15.333333333333336</v>
      </c>
      <c r="DC229" s="163">
        <f t="shared" si="195"/>
        <v>1.6666666666666665</v>
      </c>
      <c r="DD229" s="163">
        <f t="shared" si="195"/>
        <v>35.666666666666657</v>
      </c>
      <c r="DE229" s="644">
        <f t="shared" si="198"/>
        <v>0</v>
      </c>
      <c r="DF229" s="645">
        <f t="shared" si="198"/>
        <v>26.333333333333332</v>
      </c>
      <c r="DG229" s="163">
        <f t="shared" si="198"/>
        <v>13.000000000000011</v>
      </c>
      <c r="DH229" s="163">
        <f t="shared" si="198"/>
        <v>0</v>
      </c>
      <c r="DI229" s="163">
        <f t="shared" si="198"/>
        <v>10.333333333333329</v>
      </c>
      <c r="DJ229" s="643">
        <f t="shared" si="198"/>
        <v>3</v>
      </c>
      <c r="DK229" s="646">
        <f t="shared" si="198"/>
        <v>1.3333333333333333</v>
      </c>
      <c r="DL229" s="645">
        <f t="shared" si="198"/>
        <v>1.3333333333333333</v>
      </c>
      <c r="DM229" s="163">
        <f t="shared" si="198"/>
        <v>0</v>
      </c>
      <c r="DN229" s="163">
        <f t="shared" si="198"/>
        <v>1.3333333333333333</v>
      </c>
      <c r="DO229" s="163">
        <f t="shared" si="198"/>
        <v>0</v>
      </c>
      <c r="DP229" s="644">
        <f t="shared" si="198"/>
        <v>0</v>
      </c>
      <c r="DQ229" s="645">
        <f t="shared" si="198"/>
        <v>1</v>
      </c>
      <c r="DR229" s="163">
        <f t="shared" si="198"/>
        <v>1</v>
      </c>
      <c r="DS229" s="163">
        <f t="shared" si="196"/>
        <v>0</v>
      </c>
      <c r="DT229" s="163">
        <f t="shared" si="189"/>
        <v>0</v>
      </c>
      <c r="DU229" s="643">
        <f t="shared" si="189"/>
        <v>0</v>
      </c>
      <c r="DW229" s="646">
        <f t="shared" si="200"/>
        <v>5775.333333333333</v>
      </c>
      <c r="DX229" s="645">
        <f t="shared" si="200"/>
        <v>4358.666666666667</v>
      </c>
      <c r="DY229" s="163">
        <f t="shared" si="200"/>
        <v>1699.6666666666667</v>
      </c>
      <c r="DZ229" s="163">
        <f t="shared" si="200"/>
        <v>89.000000000000014</v>
      </c>
      <c r="EA229" s="163">
        <f t="shared" si="200"/>
        <v>2565.9999999999995</v>
      </c>
      <c r="EB229" s="644">
        <f t="shared" si="158"/>
        <v>4</v>
      </c>
      <c r="EC229" s="645">
        <f t="shared" si="158"/>
        <v>1417.666666666667</v>
      </c>
      <c r="ED229" s="163">
        <f t="shared" si="158"/>
        <v>435.99999999999977</v>
      </c>
      <c r="EE229" s="163">
        <f t="shared" si="158"/>
        <v>0</v>
      </c>
      <c r="EF229" s="163">
        <f t="shared" si="158"/>
        <v>894.3333333333336</v>
      </c>
      <c r="EG229" s="643">
        <f t="shared" si="158"/>
        <v>87.333333333333314</v>
      </c>
      <c r="EH229" s="646">
        <f t="shared" si="183"/>
        <v>1909.3333333333335</v>
      </c>
      <c r="EI229" s="645">
        <f t="shared" si="183"/>
        <v>1400.333333333333</v>
      </c>
      <c r="EJ229" s="163">
        <f t="shared" si="183"/>
        <v>549.99999999999989</v>
      </c>
      <c r="EK229" s="163">
        <f t="shared" si="183"/>
        <v>48.333333333333329</v>
      </c>
      <c r="EL229" s="163">
        <f t="shared" si="183"/>
        <v>800.66666666666652</v>
      </c>
      <c r="EM229" s="644">
        <f t="shared" si="183"/>
        <v>1.3333333333333333</v>
      </c>
      <c r="EN229" s="645">
        <f t="shared" si="183"/>
        <v>509.00000000000006</v>
      </c>
      <c r="EO229" s="163">
        <f t="shared" si="183"/>
        <v>114.99999999999991</v>
      </c>
      <c r="EP229" s="163">
        <f t="shared" si="183"/>
        <v>0</v>
      </c>
      <c r="EQ229" s="163">
        <f t="shared" si="183"/>
        <v>370.00000000000011</v>
      </c>
      <c r="ER229" s="643">
        <f t="shared" si="183"/>
        <v>23.999999999999989</v>
      </c>
    </row>
    <row r="230" spans="1:148">
      <c r="A230" s="665" t="s">
        <v>687</v>
      </c>
      <c r="B230" s="665">
        <v>45505</v>
      </c>
      <c r="C230" s="664">
        <v>2024</v>
      </c>
      <c r="D230" s="646">
        <f t="shared" ref="D230" si="209">D131/3+D229</f>
        <v>5370501.9999999991</v>
      </c>
      <c r="E230" s="646">
        <f t="shared" si="193"/>
        <v>189730.66666666672</v>
      </c>
      <c r="F230" s="645">
        <f t="shared" si="193"/>
        <v>139194.33333333331</v>
      </c>
      <c r="G230" s="163">
        <f t="shared" si="193"/>
        <v>55186.666666666657</v>
      </c>
      <c r="H230" s="163">
        <f t="shared" si="193"/>
        <v>4524.666666666667</v>
      </c>
      <c r="I230" s="163">
        <f t="shared" si="193"/>
        <v>78655.333333333314</v>
      </c>
      <c r="J230" s="644">
        <f t="shared" si="193"/>
        <v>827.66666666666686</v>
      </c>
      <c r="K230" s="645">
        <f t="shared" si="193"/>
        <v>50536.333333333307</v>
      </c>
      <c r="L230" s="163">
        <f t="shared" si="193"/>
        <v>15571.000000000011</v>
      </c>
      <c r="M230" s="163">
        <f t="shared" si="193"/>
        <v>0</v>
      </c>
      <c r="N230" s="163">
        <f t="shared" si="193"/>
        <v>31653.000000000007</v>
      </c>
      <c r="O230" s="643">
        <f t="shared" si="193"/>
        <v>3312.3333333333308</v>
      </c>
      <c r="P230" s="646">
        <f t="shared" si="193"/>
        <v>327.66666666666674</v>
      </c>
      <c r="Q230" s="645">
        <f t="shared" si="193"/>
        <v>201.33333333333334</v>
      </c>
      <c r="R230" s="163">
        <f t="shared" si="193"/>
        <v>85.6666666666667</v>
      </c>
      <c r="S230" s="163">
        <f t="shared" si="193"/>
        <v>6</v>
      </c>
      <c r="T230" s="163">
        <f t="shared" si="193"/>
        <v>109.66666666666667</v>
      </c>
      <c r="U230" s="644">
        <f t="shared" si="187"/>
        <v>0</v>
      </c>
      <c r="V230" s="645">
        <f t="shared" si="187"/>
        <v>126.33333333333339</v>
      </c>
      <c r="W230" s="163">
        <f t="shared" si="187"/>
        <v>33.333333333333329</v>
      </c>
      <c r="X230" s="163">
        <f t="shared" si="187"/>
        <v>0</v>
      </c>
      <c r="Y230" s="163">
        <f t="shared" si="187"/>
        <v>86.000000000000028</v>
      </c>
      <c r="Z230" s="643">
        <f t="shared" si="187"/>
        <v>7</v>
      </c>
      <c r="AA230" s="646">
        <f t="shared" si="187"/>
        <v>173.6666666666668</v>
      </c>
      <c r="AB230" s="645">
        <f t="shared" si="187"/>
        <v>119.33333333333333</v>
      </c>
      <c r="AC230" s="163">
        <f t="shared" si="187"/>
        <v>43.333333333333329</v>
      </c>
      <c r="AD230" s="163">
        <f t="shared" si="187"/>
        <v>4.9999999999999991</v>
      </c>
      <c r="AE230" s="163">
        <f t="shared" si="187"/>
        <v>71</v>
      </c>
      <c r="AF230" s="644">
        <f t="shared" si="187"/>
        <v>0</v>
      </c>
      <c r="AG230" s="645">
        <f t="shared" si="187"/>
        <v>54.333333333333378</v>
      </c>
      <c r="AH230" s="163">
        <f t="shared" si="187"/>
        <v>32.999999999999979</v>
      </c>
      <c r="AI230" s="163">
        <f t="shared" si="187"/>
        <v>0</v>
      </c>
      <c r="AJ230" s="163">
        <f t="shared" si="187"/>
        <v>15.333333333333336</v>
      </c>
      <c r="AK230" s="643">
        <f t="shared" si="208"/>
        <v>5.9999999999999982</v>
      </c>
      <c r="AL230" s="646">
        <f t="shared" si="208"/>
        <v>1979.6666666666667</v>
      </c>
      <c r="AM230" s="645">
        <f t="shared" si="208"/>
        <v>1453.6666666666663</v>
      </c>
      <c r="AN230" s="163">
        <f t="shared" si="208"/>
        <v>559.99999999999989</v>
      </c>
      <c r="AO230" s="163">
        <f t="shared" si="208"/>
        <v>55.666666666666664</v>
      </c>
      <c r="AP230" s="163">
        <f t="shared" si="208"/>
        <v>836.33333333333314</v>
      </c>
      <c r="AQ230" s="644">
        <f t="shared" si="208"/>
        <v>1.6666666666666665</v>
      </c>
      <c r="AR230" s="645">
        <f t="shared" si="208"/>
        <v>526</v>
      </c>
      <c r="AS230" s="163">
        <f t="shared" si="208"/>
        <v>115.99999999999991</v>
      </c>
      <c r="AT230" s="163">
        <f t="shared" si="208"/>
        <v>0</v>
      </c>
      <c r="AU230" s="163">
        <f t="shared" si="208"/>
        <v>386.00000000000011</v>
      </c>
      <c r="AV230" s="643">
        <f t="shared" si="208"/>
        <v>23.999999999999989</v>
      </c>
      <c r="AW230" s="646">
        <f t="shared" si="208"/>
        <v>1049.6666666666665</v>
      </c>
      <c r="AX230" s="645">
        <f t="shared" si="208"/>
        <v>779.00000000000011</v>
      </c>
      <c r="AY230" s="163">
        <f t="shared" si="208"/>
        <v>322.00000000000006</v>
      </c>
      <c r="AZ230" s="163">
        <f t="shared" si="206"/>
        <v>19.333333333333336</v>
      </c>
      <c r="BA230" s="163">
        <f t="shared" si="203"/>
        <v>437.66666666666663</v>
      </c>
      <c r="BB230" s="644">
        <f t="shared" si="203"/>
        <v>0</v>
      </c>
      <c r="BC230" s="645">
        <f t="shared" si="203"/>
        <v>270.66666666666674</v>
      </c>
      <c r="BD230" s="163">
        <f t="shared" si="203"/>
        <v>95.666666666666572</v>
      </c>
      <c r="BE230" s="163">
        <f t="shared" si="203"/>
        <v>0</v>
      </c>
      <c r="BF230" s="163">
        <f t="shared" si="203"/>
        <v>160.00000000000003</v>
      </c>
      <c r="BG230" s="643">
        <f t="shared" si="203"/>
        <v>15</v>
      </c>
      <c r="BH230" s="646">
        <f t="shared" si="203"/>
        <v>1457.666666666667</v>
      </c>
      <c r="BI230" s="645">
        <f t="shared" si="203"/>
        <v>1148.333333333333</v>
      </c>
      <c r="BJ230" s="163">
        <f t="shared" si="203"/>
        <v>449.33333333333348</v>
      </c>
      <c r="BK230" s="163">
        <f t="shared" si="203"/>
        <v>23.000000000000004</v>
      </c>
      <c r="BL230" s="163">
        <f t="shared" si="203"/>
        <v>673.66666666666663</v>
      </c>
      <c r="BM230" s="644">
        <f t="shared" si="203"/>
        <v>2.333333333333333</v>
      </c>
      <c r="BN230" s="645">
        <f t="shared" si="203"/>
        <v>309.33333333333343</v>
      </c>
      <c r="BO230" s="163">
        <f t="shared" si="203"/>
        <v>78.666666666666671</v>
      </c>
      <c r="BP230" s="163">
        <f t="shared" si="203"/>
        <v>0</v>
      </c>
      <c r="BQ230" s="163">
        <f t="shared" si="191"/>
        <v>208.66666666666674</v>
      </c>
      <c r="BR230" s="643">
        <f t="shared" si="191"/>
        <v>21.999999999999993</v>
      </c>
      <c r="BS230" s="646">
        <f t="shared" si="191"/>
        <v>2226.333333333333</v>
      </c>
      <c r="BT230" s="645">
        <f t="shared" si="191"/>
        <v>1720.3333333333337</v>
      </c>
      <c r="BU230" s="163">
        <f t="shared" si="191"/>
        <v>628.66666666666663</v>
      </c>
      <c r="BV230" s="163">
        <f t="shared" si="191"/>
        <v>12.666666666666666</v>
      </c>
      <c r="BW230" s="163">
        <f t="shared" si="191"/>
        <v>1077.3333333333333</v>
      </c>
      <c r="BX230" s="644">
        <f t="shared" si="191"/>
        <v>1.6666666666666665</v>
      </c>
      <c r="BY230" s="645">
        <f t="shared" si="188"/>
        <v>506.00000000000017</v>
      </c>
      <c r="BZ230" s="163">
        <f t="shared" si="188"/>
        <v>134.3333333333332</v>
      </c>
      <c r="CA230" s="163">
        <f t="shared" si="188"/>
        <v>0</v>
      </c>
      <c r="CB230" s="163">
        <f t="shared" si="188"/>
        <v>342.00000000000006</v>
      </c>
      <c r="CC230" s="643">
        <f t="shared" si="188"/>
        <v>29.66666666666665</v>
      </c>
      <c r="CD230" s="646">
        <f t="shared" si="188"/>
        <v>352.66666666666652</v>
      </c>
      <c r="CE230" s="645">
        <f t="shared" si="188"/>
        <v>263.00000000000011</v>
      </c>
      <c r="CF230" s="163">
        <f t="shared" si="188"/>
        <v>95.000000000000014</v>
      </c>
      <c r="CG230" s="163">
        <f t="shared" si="188"/>
        <v>11.666666666666671</v>
      </c>
      <c r="CH230" s="163">
        <f t="shared" si="188"/>
        <v>156.33333333333331</v>
      </c>
      <c r="CI230" s="644">
        <f t="shared" si="188"/>
        <v>0</v>
      </c>
      <c r="CJ230" s="645">
        <f t="shared" si="188"/>
        <v>89.666666666666657</v>
      </c>
      <c r="CK230" s="163">
        <f t="shared" si="188"/>
        <v>25.999999999999996</v>
      </c>
      <c r="CL230" s="163">
        <f t="shared" si="188"/>
        <v>0</v>
      </c>
      <c r="CM230" s="163">
        <f t="shared" si="188"/>
        <v>58.666666666666657</v>
      </c>
      <c r="CN230" s="643">
        <f t="shared" si="188"/>
        <v>4.9999999999999991</v>
      </c>
      <c r="CO230" s="646">
        <f t="shared" si="195"/>
        <v>268.33333333333343</v>
      </c>
      <c r="CP230" s="645">
        <f t="shared" si="195"/>
        <v>195.00000000000009</v>
      </c>
      <c r="CQ230" s="163">
        <f t="shared" si="195"/>
        <v>83.6666666666667</v>
      </c>
      <c r="CR230" s="163">
        <f t="shared" si="195"/>
        <v>13.333333333333332</v>
      </c>
      <c r="CS230" s="163">
        <f t="shared" si="195"/>
        <v>96.999999999999972</v>
      </c>
      <c r="CT230" s="644">
        <f t="shared" si="195"/>
        <v>1</v>
      </c>
      <c r="CU230" s="645">
        <f t="shared" si="195"/>
        <v>73.333333333333385</v>
      </c>
      <c r="CV230" s="163">
        <f t="shared" si="195"/>
        <v>24.999999999999982</v>
      </c>
      <c r="CW230" s="163">
        <f t="shared" si="195"/>
        <v>0</v>
      </c>
      <c r="CX230" s="163">
        <f t="shared" si="195"/>
        <v>48.3333333333333</v>
      </c>
      <c r="CY230" s="643">
        <f t="shared" si="195"/>
        <v>0</v>
      </c>
      <c r="CZ230" s="646">
        <f t="shared" si="195"/>
        <v>80.999999999999957</v>
      </c>
      <c r="DA230" s="645">
        <f t="shared" si="195"/>
        <v>54.333333333333314</v>
      </c>
      <c r="DB230" s="163">
        <f t="shared" si="195"/>
        <v>15.66666666666667</v>
      </c>
      <c r="DC230" s="163">
        <f t="shared" si="195"/>
        <v>2.333333333333333</v>
      </c>
      <c r="DD230" s="163">
        <f t="shared" si="195"/>
        <v>36.333333333333321</v>
      </c>
      <c r="DE230" s="644">
        <f t="shared" si="198"/>
        <v>0</v>
      </c>
      <c r="DF230" s="645">
        <f t="shared" si="198"/>
        <v>26.666666666666664</v>
      </c>
      <c r="DG230" s="163">
        <f t="shared" si="198"/>
        <v>13.000000000000011</v>
      </c>
      <c r="DH230" s="163">
        <f t="shared" si="198"/>
        <v>0</v>
      </c>
      <c r="DI230" s="163">
        <f t="shared" si="198"/>
        <v>10.666666666666663</v>
      </c>
      <c r="DJ230" s="643">
        <f t="shared" si="198"/>
        <v>3</v>
      </c>
      <c r="DK230" s="646">
        <f t="shared" si="198"/>
        <v>1.6666666666666665</v>
      </c>
      <c r="DL230" s="645">
        <f t="shared" si="198"/>
        <v>1.6666666666666665</v>
      </c>
      <c r="DM230" s="163">
        <f t="shared" si="198"/>
        <v>0</v>
      </c>
      <c r="DN230" s="163">
        <f t="shared" si="198"/>
        <v>1.6666666666666665</v>
      </c>
      <c r="DO230" s="163">
        <f t="shared" si="198"/>
        <v>0</v>
      </c>
      <c r="DP230" s="644">
        <f t="shared" si="198"/>
        <v>0</v>
      </c>
      <c r="DQ230" s="645">
        <f t="shared" si="198"/>
        <v>1</v>
      </c>
      <c r="DR230" s="163">
        <f t="shared" si="198"/>
        <v>1</v>
      </c>
      <c r="DS230" s="163">
        <f t="shared" si="196"/>
        <v>0</v>
      </c>
      <c r="DT230" s="163">
        <f t="shared" si="189"/>
        <v>0</v>
      </c>
      <c r="DU230" s="643">
        <f t="shared" si="189"/>
        <v>0</v>
      </c>
      <c r="DW230" s="646">
        <f t="shared" si="200"/>
        <v>5938.6666666666661</v>
      </c>
      <c r="DX230" s="645">
        <f t="shared" si="200"/>
        <v>4482.3333333333339</v>
      </c>
      <c r="DY230" s="163">
        <f t="shared" si="200"/>
        <v>1723.3333333333337</v>
      </c>
      <c r="DZ230" s="163">
        <f t="shared" si="200"/>
        <v>95.000000000000014</v>
      </c>
      <c r="EA230" s="163">
        <f t="shared" si="200"/>
        <v>2659</v>
      </c>
      <c r="EB230" s="644">
        <f t="shared" si="158"/>
        <v>5</v>
      </c>
      <c r="EC230" s="645">
        <f t="shared" si="158"/>
        <v>1457.3333333333342</v>
      </c>
      <c r="ED230" s="163">
        <f t="shared" si="158"/>
        <v>439.99999999999977</v>
      </c>
      <c r="EE230" s="163">
        <f t="shared" si="158"/>
        <v>0</v>
      </c>
      <c r="EF230" s="163">
        <f t="shared" si="158"/>
        <v>929.66666666666674</v>
      </c>
      <c r="EG230" s="643">
        <f t="shared" si="158"/>
        <v>87.666666666666643</v>
      </c>
      <c r="EH230" s="646">
        <f t="shared" si="183"/>
        <v>1979.6666666666667</v>
      </c>
      <c r="EI230" s="645">
        <f t="shared" si="183"/>
        <v>1453.6666666666663</v>
      </c>
      <c r="EJ230" s="163">
        <f t="shared" si="183"/>
        <v>559.99999999999989</v>
      </c>
      <c r="EK230" s="163">
        <f t="shared" si="183"/>
        <v>55.666666666666664</v>
      </c>
      <c r="EL230" s="163">
        <f t="shared" si="183"/>
        <v>836.33333333333314</v>
      </c>
      <c r="EM230" s="644">
        <f t="shared" si="183"/>
        <v>1.6666666666666665</v>
      </c>
      <c r="EN230" s="645">
        <f t="shared" si="183"/>
        <v>526</v>
      </c>
      <c r="EO230" s="163">
        <f t="shared" si="183"/>
        <v>115.99999999999991</v>
      </c>
      <c r="EP230" s="163">
        <f t="shared" si="183"/>
        <v>0</v>
      </c>
      <c r="EQ230" s="163">
        <f t="shared" si="183"/>
        <v>386.00000000000011</v>
      </c>
      <c r="ER230" s="643">
        <f t="shared" si="183"/>
        <v>23.999999999999989</v>
      </c>
    </row>
    <row r="231" spans="1:148">
      <c r="A231" s="665" t="s">
        <v>687</v>
      </c>
      <c r="B231" s="665">
        <v>45536</v>
      </c>
      <c r="C231" s="664">
        <v>2024</v>
      </c>
      <c r="D231" s="646">
        <f t="shared" ref="D231" si="210">D132/3+D230</f>
        <v>5431288.9999999991</v>
      </c>
      <c r="E231" s="646">
        <f t="shared" si="193"/>
        <v>195046.00000000006</v>
      </c>
      <c r="F231" s="645">
        <f t="shared" si="193"/>
        <v>143117.99999999997</v>
      </c>
      <c r="G231" s="163">
        <f t="shared" si="193"/>
        <v>56033.999999999993</v>
      </c>
      <c r="H231" s="163">
        <f t="shared" si="193"/>
        <v>4847</v>
      </c>
      <c r="I231" s="163">
        <f t="shared" si="193"/>
        <v>81385.999999999985</v>
      </c>
      <c r="J231" s="644">
        <f t="shared" si="193"/>
        <v>851.00000000000023</v>
      </c>
      <c r="K231" s="645">
        <f t="shared" si="193"/>
        <v>51927.999999999971</v>
      </c>
      <c r="L231" s="163">
        <f t="shared" si="193"/>
        <v>15716.000000000011</v>
      </c>
      <c r="M231" s="163">
        <f t="shared" si="193"/>
        <v>0</v>
      </c>
      <c r="N231" s="163">
        <f t="shared" si="193"/>
        <v>32868.000000000007</v>
      </c>
      <c r="O231" s="643">
        <f t="shared" si="193"/>
        <v>3343.9999999999973</v>
      </c>
      <c r="P231" s="646">
        <f t="shared" si="193"/>
        <v>338.00000000000006</v>
      </c>
      <c r="Q231" s="645">
        <f t="shared" si="193"/>
        <v>208</v>
      </c>
      <c r="R231" s="163">
        <f t="shared" si="193"/>
        <v>87.000000000000028</v>
      </c>
      <c r="S231" s="163">
        <f t="shared" si="193"/>
        <v>7</v>
      </c>
      <c r="T231" s="163">
        <f t="shared" si="193"/>
        <v>114</v>
      </c>
      <c r="U231" s="644">
        <f t="shared" si="187"/>
        <v>0</v>
      </c>
      <c r="V231" s="645">
        <f t="shared" si="187"/>
        <v>130.00000000000006</v>
      </c>
      <c r="W231" s="163">
        <f t="shared" si="187"/>
        <v>33.999999999999993</v>
      </c>
      <c r="X231" s="163">
        <f t="shared" si="187"/>
        <v>0</v>
      </c>
      <c r="Y231" s="163">
        <f t="shared" si="187"/>
        <v>89.000000000000028</v>
      </c>
      <c r="Z231" s="643">
        <f t="shared" si="187"/>
        <v>7</v>
      </c>
      <c r="AA231" s="646">
        <f t="shared" si="187"/>
        <v>178.00000000000014</v>
      </c>
      <c r="AB231" s="645">
        <f t="shared" si="187"/>
        <v>123</v>
      </c>
      <c r="AC231" s="163">
        <f t="shared" si="187"/>
        <v>44.999999999999993</v>
      </c>
      <c r="AD231" s="163">
        <f t="shared" si="187"/>
        <v>4.9999999999999991</v>
      </c>
      <c r="AE231" s="163">
        <f t="shared" si="187"/>
        <v>73</v>
      </c>
      <c r="AF231" s="644">
        <f t="shared" si="187"/>
        <v>0</v>
      </c>
      <c r="AG231" s="645">
        <f t="shared" si="187"/>
        <v>55.000000000000043</v>
      </c>
      <c r="AH231" s="163">
        <f t="shared" si="187"/>
        <v>32.999999999999979</v>
      </c>
      <c r="AI231" s="163">
        <f t="shared" si="187"/>
        <v>0</v>
      </c>
      <c r="AJ231" s="163">
        <f t="shared" si="187"/>
        <v>16.000000000000004</v>
      </c>
      <c r="AK231" s="643">
        <f t="shared" si="208"/>
        <v>5.9999999999999982</v>
      </c>
      <c r="AL231" s="646">
        <f t="shared" si="208"/>
        <v>2050</v>
      </c>
      <c r="AM231" s="645">
        <f t="shared" si="208"/>
        <v>1506.9999999999995</v>
      </c>
      <c r="AN231" s="163">
        <f t="shared" si="208"/>
        <v>569.99999999999989</v>
      </c>
      <c r="AO231" s="163">
        <f t="shared" si="208"/>
        <v>63</v>
      </c>
      <c r="AP231" s="163">
        <f t="shared" si="208"/>
        <v>871.99999999999977</v>
      </c>
      <c r="AQ231" s="644">
        <f t="shared" si="208"/>
        <v>1.9999999999999998</v>
      </c>
      <c r="AR231" s="645">
        <f t="shared" si="208"/>
        <v>543</v>
      </c>
      <c r="AS231" s="163">
        <f t="shared" si="208"/>
        <v>116.99999999999991</v>
      </c>
      <c r="AT231" s="163">
        <f t="shared" si="208"/>
        <v>0</v>
      </c>
      <c r="AU231" s="163">
        <f t="shared" si="208"/>
        <v>402.00000000000011</v>
      </c>
      <c r="AV231" s="643">
        <f t="shared" si="208"/>
        <v>23.999999999999989</v>
      </c>
      <c r="AW231" s="646">
        <f t="shared" si="208"/>
        <v>1084.9999999999998</v>
      </c>
      <c r="AX231" s="645">
        <f t="shared" si="208"/>
        <v>807.00000000000011</v>
      </c>
      <c r="AY231" s="163">
        <f t="shared" si="208"/>
        <v>327.00000000000006</v>
      </c>
      <c r="AZ231" s="163">
        <f t="shared" si="206"/>
        <v>20.000000000000004</v>
      </c>
      <c r="BA231" s="163">
        <f t="shared" si="203"/>
        <v>459.99999999999994</v>
      </c>
      <c r="BB231" s="644">
        <f t="shared" si="203"/>
        <v>0</v>
      </c>
      <c r="BC231" s="645">
        <f t="shared" si="203"/>
        <v>278.00000000000006</v>
      </c>
      <c r="BD231" s="163">
        <f t="shared" si="203"/>
        <v>96.999999999999901</v>
      </c>
      <c r="BE231" s="163">
        <f t="shared" si="203"/>
        <v>0</v>
      </c>
      <c r="BF231" s="163">
        <f t="shared" si="203"/>
        <v>166.00000000000003</v>
      </c>
      <c r="BG231" s="643">
        <f t="shared" si="203"/>
        <v>15</v>
      </c>
      <c r="BH231" s="646">
        <f t="shared" si="203"/>
        <v>1493.0000000000002</v>
      </c>
      <c r="BI231" s="645">
        <f t="shared" si="203"/>
        <v>1173.9999999999998</v>
      </c>
      <c r="BJ231" s="163">
        <f t="shared" si="203"/>
        <v>454.00000000000017</v>
      </c>
      <c r="BK231" s="163">
        <f t="shared" si="203"/>
        <v>24.000000000000004</v>
      </c>
      <c r="BL231" s="163">
        <f t="shared" si="203"/>
        <v>693</v>
      </c>
      <c r="BM231" s="644">
        <f t="shared" si="203"/>
        <v>2.9999999999999996</v>
      </c>
      <c r="BN231" s="645">
        <f t="shared" si="203"/>
        <v>319.00000000000011</v>
      </c>
      <c r="BO231" s="163">
        <f t="shared" si="203"/>
        <v>80</v>
      </c>
      <c r="BP231" s="163">
        <f t="shared" si="203"/>
        <v>0</v>
      </c>
      <c r="BQ231" s="163">
        <f t="shared" si="191"/>
        <v>217.00000000000009</v>
      </c>
      <c r="BR231" s="643">
        <f t="shared" si="191"/>
        <v>21.999999999999993</v>
      </c>
      <c r="BS231" s="646">
        <f t="shared" si="191"/>
        <v>2288.9999999999995</v>
      </c>
      <c r="BT231" s="645">
        <f t="shared" si="191"/>
        <v>1770.0000000000005</v>
      </c>
      <c r="BU231" s="163">
        <f t="shared" si="191"/>
        <v>639</v>
      </c>
      <c r="BV231" s="163">
        <f t="shared" si="191"/>
        <v>14</v>
      </c>
      <c r="BW231" s="163">
        <f t="shared" si="191"/>
        <v>1115</v>
      </c>
      <c r="BX231" s="644">
        <f t="shared" si="191"/>
        <v>1.9999999999999998</v>
      </c>
      <c r="BY231" s="645">
        <f t="shared" si="188"/>
        <v>519.00000000000023</v>
      </c>
      <c r="BZ231" s="163">
        <f t="shared" si="188"/>
        <v>134.99999999999986</v>
      </c>
      <c r="CA231" s="163">
        <f t="shared" si="188"/>
        <v>0</v>
      </c>
      <c r="CB231" s="163">
        <f t="shared" si="188"/>
        <v>354.00000000000006</v>
      </c>
      <c r="CC231" s="643">
        <f t="shared" si="188"/>
        <v>29.999999999999982</v>
      </c>
      <c r="CD231" s="646">
        <f t="shared" si="188"/>
        <v>358.99999999999983</v>
      </c>
      <c r="CE231" s="645">
        <f t="shared" si="188"/>
        <v>267.00000000000011</v>
      </c>
      <c r="CF231" s="163">
        <f t="shared" si="188"/>
        <v>95.000000000000014</v>
      </c>
      <c r="CG231" s="163">
        <f t="shared" si="188"/>
        <v>12.000000000000005</v>
      </c>
      <c r="CH231" s="163">
        <f t="shared" si="188"/>
        <v>159.99999999999997</v>
      </c>
      <c r="CI231" s="644">
        <f t="shared" si="188"/>
        <v>0</v>
      </c>
      <c r="CJ231" s="645">
        <f t="shared" si="188"/>
        <v>91.999999999999986</v>
      </c>
      <c r="CK231" s="163">
        <f t="shared" si="188"/>
        <v>25.999999999999996</v>
      </c>
      <c r="CL231" s="163">
        <f t="shared" si="188"/>
        <v>0</v>
      </c>
      <c r="CM231" s="163">
        <f t="shared" si="188"/>
        <v>60.999999999999993</v>
      </c>
      <c r="CN231" s="643">
        <f t="shared" si="188"/>
        <v>4.9999999999999991</v>
      </c>
      <c r="CO231" s="646">
        <f t="shared" si="195"/>
        <v>275.00000000000011</v>
      </c>
      <c r="CP231" s="645">
        <f t="shared" si="195"/>
        <v>199.00000000000009</v>
      </c>
      <c r="CQ231" s="163">
        <f t="shared" si="195"/>
        <v>84.000000000000028</v>
      </c>
      <c r="CR231" s="163">
        <f t="shared" si="195"/>
        <v>13.999999999999998</v>
      </c>
      <c r="CS231" s="163">
        <f t="shared" si="195"/>
        <v>99.999999999999972</v>
      </c>
      <c r="CT231" s="644">
        <f t="shared" si="195"/>
        <v>1</v>
      </c>
      <c r="CU231" s="645">
        <f t="shared" si="195"/>
        <v>76.000000000000057</v>
      </c>
      <c r="CV231" s="163">
        <f t="shared" si="195"/>
        <v>24.999999999999982</v>
      </c>
      <c r="CW231" s="163">
        <f t="shared" si="195"/>
        <v>0</v>
      </c>
      <c r="CX231" s="163">
        <f t="shared" si="195"/>
        <v>50.999999999999964</v>
      </c>
      <c r="CY231" s="643">
        <f t="shared" si="195"/>
        <v>0</v>
      </c>
      <c r="CZ231" s="646">
        <f t="shared" si="195"/>
        <v>82.999999999999957</v>
      </c>
      <c r="DA231" s="645">
        <f t="shared" si="195"/>
        <v>55.999999999999979</v>
      </c>
      <c r="DB231" s="163">
        <f t="shared" si="195"/>
        <v>16.000000000000004</v>
      </c>
      <c r="DC231" s="163">
        <f t="shared" si="195"/>
        <v>2.9999999999999996</v>
      </c>
      <c r="DD231" s="163">
        <f t="shared" si="195"/>
        <v>36.999999999999986</v>
      </c>
      <c r="DE231" s="644">
        <f t="shared" si="198"/>
        <v>0</v>
      </c>
      <c r="DF231" s="645">
        <f t="shared" si="198"/>
        <v>26.999999999999996</v>
      </c>
      <c r="DG231" s="163">
        <f t="shared" si="198"/>
        <v>13.000000000000011</v>
      </c>
      <c r="DH231" s="163">
        <f t="shared" si="198"/>
        <v>0</v>
      </c>
      <c r="DI231" s="163">
        <f t="shared" si="198"/>
        <v>10.999999999999996</v>
      </c>
      <c r="DJ231" s="643">
        <f t="shared" si="198"/>
        <v>3</v>
      </c>
      <c r="DK231" s="646">
        <f t="shared" si="198"/>
        <v>1.9999999999999998</v>
      </c>
      <c r="DL231" s="645">
        <f t="shared" si="198"/>
        <v>1.9999999999999998</v>
      </c>
      <c r="DM231" s="163">
        <f t="shared" si="198"/>
        <v>0</v>
      </c>
      <c r="DN231" s="163">
        <f t="shared" si="198"/>
        <v>1.9999999999999998</v>
      </c>
      <c r="DO231" s="163">
        <f t="shared" si="198"/>
        <v>0</v>
      </c>
      <c r="DP231" s="644">
        <f t="shared" si="198"/>
        <v>0</v>
      </c>
      <c r="DQ231" s="645">
        <f t="shared" si="198"/>
        <v>1</v>
      </c>
      <c r="DR231" s="163">
        <f t="shared" si="198"/>
        <v>1</v>
      </c>
      <c r="DS231" s="163">
        <f t="shared" si="196"/>
        <v>0</v>
      </c>
      <c r="DT231" s="163">
        <f t="shared" si="189"/>
        <v>0</v>
      </c>
      <c r="DU231" s="643">
        <f t="shared" si="189"/>
        <v>0</v>
      </c>
      <c r="DW231" s="646">
        <f t="shared" si="200"/>
        <v>6102</v>
      </c>
      <c r="DX231" s="645">
        <f t="shared" si="200"/>
        <v>4606.0000000000009</v>
      </c>
      <c r="DY231" s="163">
        <f t="shared" si="200"/>
        <v>1747.0000000000002</v>
      </c>
      <c r="DZ231" s="163">
        <f t="shared" si="200"/>
        <v>101</v>
      </c>
      <c r="EA231" s="163">
        <f t="shared" si="200"/>
        <v>2752</v>
      </c>
      <c r="EB231" s="644">
        <f t="shared" si="158"/>
        <v>5.9999999999999991</v>
      </c>
      <c r="EC231" s="645">
        <f t="shared" si="158"/>
        <v>1497.0000000000005</v>
      </c>
      <c r="ED231" s="163">
        <f t="shared" si="158"/>
        <v>443.99999999999977</v>
      </c>
      <c r="EE231" s="163">
        <f t="shared" si="158"/>
        <v>0</v>
      </c>
      <c r="EF231" s="163">
        <f t="shared" si="158"/>
        <v>965.00000000000023</v>
      </c>
      <c r="EG231" s="643">
        <f t="shared" si="158"/>
        <v>87.999999999999972</v>
      </c>
      <c r="EH231" s="646">
        <f t="shared" si="183"/>
        <v>2050</v>
      </c>
      <c r="EI231" s="645">
        <f t="shared" si="183"/>
        <v>1506.9999999999995</v>
      </c>
      <c r="EJ231" s="163">
        <f t="shared" si="183"/>
        <v>569.99999999999989</v>
      </c>
      <c r="EK231" s="163">
        <f t="shared" si="183"/>
        <v>63</v>
      </c>
      <c r="EL231" s="163">
        <f t="shared" si="183"/>
        <v>871.99999999999977</v>
      </c>
      <c r="EM231" s="644">
        <f t="shared" si="183"/>
        <v>1.9999999999999998</v>
      </c>
      <c r="EN231" s="645">
        <f t="shared" si="183"/>
        <v>543</v>
      </c>
      <c r="EO231" s="163">
        <f t="shared" si="183"/>
        <v>116.99999999999991</v>
      </c>
      <c r="EP231" s="163">
        <f t="shared" si="183"/>
        <v>0</v>
      </c>
      <c r="EQ231" s="163">
        <f t="shared" si="183"/>
        <v>402.00000000000011</v>
      </c>
      <c r="ER231" s="643">
        <f t="shared" si="183"/>
        <v>23.999999999999989</v>
      </c>
    </row>
    <row r="232" spans="1:148">
      <c r="A232" s="665" t="s">
        <v>688</v>
      </c>
      <c r="B232" s="665">
        <v>45566</v>
      </c>
      <c r="C232" s="664">
        <v>2024</v>
      </c>
      <c r="D232" s="646">
        <f t="shared" ref="D232" si="211">D133/3+D231</f>
        <v>5485737.3333333321</v>
      </c>
      <c r="E232" s="646">
        <f t="shared" si="193"/>
        <v>200129.66666666672</v>
      </c>
      <c r="F232" s="645">
        <f t="shared" si="193"/>
        <v>146878.66666666663</v>
      </c>
      <c r="G232" s="163">
        <f t="shared" si="193"/>
        <v>56639.333333333328</v>
      </c>
      <c r="H232" s="163">
        <f t="shared" si="193"/>
        <v>5485</v>
      </c>
      <c r="I232" s="163">
        <f t="shared" si="193"/>
        <v>83866.666666666657</v>
      </c>
      <c r="J232" s="644">
        <f t="shared" si="193"/>
        <v>887.66666666666686</v>
      </c>
      <c r="K232" s="645">
        <f t="shared" si="193"/>
        <v>53250.999999999971</v>
      </c>
      <c r="L232" s="163">
        <f t="shared" si="193"/>
        <v>15829.666666666677</v>
      </c>
      <c r="M232" s="163">
        <f t="shared" si="193"/>
        <v>0</v>
      </c>
      <c r="N232" s="163">
        <f t="shared" si="193"/>
        <v>34059.333333333343</v>
      </c>
      <c r="O232" s="643">
        <f t="shared" si="193"/>
        <v>3361.9999999999973</v>
      </c>
      <c r="P232" s="646">
        <f t="shared" si="193"/>
        <v>347.00000000000006</v>
      </c>
      <c r="Q232" s="645">
        <f t="shared" si="193"/>
        <v>213</v>
      </c>
      <c r="R232" s="163">
        <f t="shared" si="193"/>
        <v>88.000000000000028</v>
      </c>
      <c r="S232" s="163">
        <f t="shared" si="193"/>
        <v>7.333333333333333</v>
      </c>
      <c r="T232" s="163">
        <f t="shared" si="193"/>
        <v>117.33333333333333</v>
      </c>
      <c r="U232" s="644">
        <f t="shared" si="187"/>
        <v>0.33333333333333331</v>
      </c>
      <c r="V232" s="645">
        <f t="shared" si="187"/>
        <v>134.00000000000006</v>
      </c>
      <c r="W232" s="163">
        <f t="shared" si="187"/>
        <v>33.999999999999993</v>
      </c>
      <c r="X232" s="163">
        <f t="shared" si="187"/>
        <v>0</v>
      </c>
      <c r="Y232" s="163">
        <f t="shared" si="187"/>
        <v>93.000000000000028</v>
      </c>
      <c r="Z232" s="643">
        <f t="shared" si="187"/>
        <v>7</v>
      </c>
      <c r="AA232" s="646">
        <f t="shared" si="187"/>
        <v>186.00000000000014</v>
      </c>
      <c r="AB232" s="645">
        <f t="shared" si="187"/>
        <v>129</v>
      </c>
      <c r="AC232" s="163">
        <f t="shared" si="187"/>
        <v>45.999999999999993</v>
      </c>
      <c r="AD232" s="163">
        <f t="shared" si="187"/>
        <v>6.3333333333333321</v>
      </c>
      <c r="AE232" s="163">
        <f t="shared" si="187"/>
        <v>76.333333333333329</v>
      </c>
      <c r="AF232" s="644">
        <f t="shared" si="187"/>
        <v>0.33333333333333331</v>
      </c>
      <c r="AG232" s="645">
        <f t="shared" si="187"/>
        <v>57.000000000000043</v>
      </c>
      <c r="AH232" s="163">
        <f t="shared" si="187"/>
        <v>32.999999999999979</v>
      </c>
      <c r="AI232" s="163">
        <f t="shared" si="187"/>
        <v>0</v>
      </c>
      <c r="AJ232" s="163">
        <f t="shared" si="187"/>
        <v>18.000000000000004</v>
      </c>
      <c r="AK232" s="643">
        <f t="shared" si="208"/>
        <v>5.9999999999999982</v>
      </c>
      <c r="AL232" s="646">
        <f t="shared" si="208"/>
        <v>2117.3333333333335</v>
      </c>
      <c r="AM232" s="645">
        <f t="shared" si="208"/>
        <v>1555.9999999999995</v>
      </c>
      <c r="AN232" s="163">
        <f t="shared" si="208"/>
        <v>579.33333333333326</v>
      </c>
      <c r="AO232" s="163">
        <f t="shared" si="208"/>
        <v>73.666666666666671</v>
      </c>
      <c r="AP232" s="163">
        <f t="shared" si="208"/>
        <v>900.6666666666664</v>
      </c>
      <c r="AQ232" s="644">
        <f t="shared" si="208"/>
        <v>2.333333333333333</v>
      </c>
      <c r="AR232" s="645">
        <f t="shared" si="208"/>
        <v>561.33333333333337</v>
      </c>
      <c r="AS232" s="163">
        <f t="shared" si="208"/>
        <v>117.99999999999991</v>
      </c>
      <c r="AT232" s="163">
        <f t="shared" si="208"/>
        <v>0</v>
      </c>
      <c r="AU232" s="163">
        <f t="shared" si="208"/>
        <v>419.33333333333343</v>
      </c>
      <c r="AV232" s="643">
        <f t="shared" si="208"/>
        <v>23.999999999999989</v>
      </c>
      <c r="AW232" s="646">
        <f t="shared" si="208"/>
        <v>1124.6666666666665</v>
      </c>
      <c r="AX232" s="645">
        <f t="shared" si="208"/>
        <v>840.00000000000011</v>
      </c>
      <c r="AY232" s="163">
        <f t="shared" si="208"/>
        <v>331.66666666666674</v>
      </c>
      <c r="AZ232" s="163">
        <f t="shared" si="206"/>
        <v>24.333333333333336</v>
      </c>
      <c r="BA232" s="163">
        <f t="shared" si="203"/>
        <v>483.66666666666663</v>
      </c>
      <c r="BB232" s="644">
        <f t="shared" si="203"/>
        <v>0.33333333333333331</v>
      </c>
      <c r="BC232" s="645">
        <f t="shared" si="203"/>
        <v>284.66666666666674</v>
      </c>
      <c r="BD232" s="163">
        <f t="shared" si="203"/>
        <v>96.999999999999901</v>
      </c>
      <c r="BE232" s="163">
        <f t="shared" si="203"/>
        <v>0</v>
      </c>
      <c r="BF232" s="163">
        <f t="shared" si="203"/>
        <v>172.66666666666669</v>
      </c>
      <c r="BG232" s="643">
        <f t="shared" si="203"/>
        <v>15</v>
      </c>
      <c r="BH232" s="646">
        <f t="shared" si="203"/>
        <v>1536.0000000000002</v>
      </c>
      <c r="BI232" s="645">
        <f t="shared" si="203"/>
        <v>1207.333333333333</v>
      </c>
      <c r="BJ232" s="163">
        <f t="shared" si="203"/>
        <v>459.00000000000017</v>
      </c>
      <c r="BK232" s="163">
        <f t="shared" si="203"/>
        <v>29.333333333333336</v>
      </c>
      <c r="BL232" s="163">
        <f t="shared" si="203"/>
        <v>716</v>
      </c>
      <c r="BM232" s="644">
        <f t="shared" si="203"/>
        <v>2.9999999999999996</v>
      </c>
      <c r="BN232" s="645">
        <f t="shared" si="203"/>
        <v>328.6666666666668</v>
      </c>
      <c r="BO232" s="163">
        <f t="shared" si="203"/>
        <v>81.333333333333329</v>
      </c>
      <c r="BP232" s="163">
        <f t="shared" si="203"/>
        <v>0</v>
      </c>
      <c r="BQ232" s="163">
        <f t="shared" si="191"/>
        <v>225.33333333333343</v>
      </c>
      <c r="BR232" s="643">
        <f t="shared" si="191"/>
        <v>21.999999999999993</v>
      </c>
      <c r="BS232" s="646">
        <f t="shared" si="191"/>
        <v>2346.9999999999995</v>
      </c>
      <c r="BT232" s="645">
        <f t="shared" si="191"/>
        <v>1815.0000000000005</v>
      </c>
      <c r="BU232" s="163">
        <f t="shared" si="191"/>
        <v>645</v>
      </c>
      <c r="BV232" s="163">
        <f t="shared" si="191"/>
        <v>16.333333333333332</v>
      </c>
      <c r="BW232" s="163">
        <f t="shared" si="191"/>
        <v>1151.6666666666667</v>
      </c>
      <c r="BX232" s="644">
        <f t="shared" si="191"/>
        <v>1.9999999999999998</v>
      </c>
      <c r="BY232" s="645">
        <f t="shared" si="188"/>
        <v>532.00000000000023</v>
      </c>
      <c r="BZ232" s="163">
        <f t="shared" si="188"/>
        <v>135.66666666666652</v>
      </c>
      <c r="CA232" s="163">
        <f t="shared" si="188"/>
        <v>0</v>
      </c>
      <c r="CB232" s="163">
        <f t="shared" si="188"/>
        <v>366.00000000000006</v>
      </c>
      <c r="CC232" s="643">
        <f t="shared" si="188"/>
        <v>30.333333333333314</v>
      </c>
      <c r="CD232" s="646">
        <f t="shared" si="188"/>
        <v>366.99999999999983</v>
      </c>
      <c r="CE232" s="645">
        <f t="shared" si="188"/>
        <v>273.6666666666668</v>
      </c>
      <c r="CF232" s="163">
        <f t="shared" si="188"/>
        <v>95.666666666666686</v>
      </c>
      <c r="CG232" s="163">
        <f t="shared" si="188"/>
        <v>13.666666666666671</v>
      </c>
      <c r="CH232" s="163">
        <f t="shared" si="188"/>
        <v>164.33333333333331</v>
      </c>
      <c r="CI232" s="644">
        <f t="shared" si="188"/>
        <v>0</v>
      </c>
      <c r="CJ232" s="645">
        <f t="shared" si="188"/>
        <v>93.333333333333314</v>
      </c>
      <c r="CK232" s="163">
        <f t="shared" si="188"/>
        <v>25.999999999999996</v>
      </c>
      <c r="CL232" s="163">
        <f t="shared" si="188"/>
        <v>0</v>
      </c>
      <c r="CM232" s="163">
        <f t="shared" si="188"/>
        <v>62.333333333333329</v>
      </c>
      <c r="CN232" s="643">
        <f t="shared" si="188"/>
        <v>4.9999999999999991</v>
      </c>
      <c r="CO232" s="646">
        <f t="shared" si="195"/>
        <v>283.6666666666668</v>
      </c>
      <c r="CP232" s="645">
        <f t="shared" si="195"/>
        <v>204.33333333333343</v>
      </c>
      <c r="CQ232" s="163">
        <f t="shared" si="195"/>
        <v>85.333333333333357</v>
      </c>
      <c r="CR232" s="163">
        <f t="shared" si="195"/>
        <v>13.999999999999998</v>
      </c>
      <c r="CS232" s="163">
        <f t="shared" si="195"/>
        <v>103.99999999999997</v>
      </c>
      <c r="CT232" s="644">
        <f t="shared" si="195"/>
        <v>1</v>
      </c>
      <c r="CU232" s="645">
        <f t="shared" si="195"/>
        <v>79.333333333333385</v>
      </c>
      <c r="CV232" s="163">
        <f t="shared" si="195"/>
        <v>24.999999999999982</v>
      </c>
      <c r="CW232" s="163">
        <f t="shared" si="195"/>
        <v>0</v>
      </c>
      <c r="CX232" s="163">
        <f t="shared" si="195"/>
        <v>54.3333333333333</v>
      </c>
      <c r="CY232" s="643">
        <f t="shared" si="195"/>
        <v>0</v>
      </c>
      <c r="CZ232" s="646">
        <f t="shared" si="195"/>
        <v>84.999999999999957</v>
      </c>
      <c r="DA232" s="645">
        <f t="shared" si="195"/>
        <v>57.333333333333314</v>
      </c>
      <c r="DB232" s="163">
        <f t="shared" si="195"/>
        <v>16.000000000000004</v>
      </c>
      <c r="DC232" s="163">
        <f t="shared" si="195"/>
        <v>3.333333333333333</v>
      </c>
      <c r="DD232" s="163">
        <f t="shared" si="195"/>
        <v>37.999999999999986</v>
      </c>
      <c r="DE232" s="644">
        <f t="shared" si="198"/>
        <v>0</v>
      </c>
      <c r="DF232" s="645">
        <f t="shared" si="198"/>
        <v>27.666666666666664</v>
      </c>
      <c r="DG232" s="163">
        <f t="shared" si="198"/>
        <v>13.000000000000011</v>
      </c>
      <c r="DH232" s="163">
        <f t="shared" si="198"/>
        <v>0</v>
      </c>
      <c r="DI232" s="163">
        <f t="shared" si="198"/>
        <v>11.666666666666663</v>
      </c>
      <c r="DJ232" s="643">
        <f t="shared" si="198"/>
        <v>3</v>
      </c>
      <c r="DK232" s="646">
        <f t="shared" si="198"/>
        <v>1.9999999999999998</v>
      </c>
      <c r="DL232" s="645">
        <f t="shared" si="198"/>
        <v>1.9999999999999998</v>
      </c>
      <c r="DM232" s="163">
        <f t="shared" si="198"/>
        <v>0</v>
      </c>
      <c r="DN232" s="163">
        <f t="shared" si="198"/>
        <v>1.9999999999999998</v>
      </c>
      <c r="DO232" s="163">
        <f t="shared" si="198"/>
        <v>0</v>
      </c>
      <c r="DP232" s="644">
        <f t="shared" si="198"/>
        <v>0</v>
      </c>
      <c r="DQ232" s="645">
        <f t="shared" si="198"/>
        <v>1</v>
      </c>
      <c r="DR232" s="163">
        <f t="shared" si="198"/>
        <v>1</v>
      </c>
      <c r="DS232" s="163">
        <f t="shared" si="196"/>
        <v>0</v>
      </c>
      <c r="DT232" s="163">
        <f t="shared" si="189"/>
        <v>0</v>
      </c>
      <c r="DU232" s="643">
        <f t="shared" si="189"/>
        <v>0</v>
      </c>
      <c r="DW232" s="646">
        <f t="shared" si="200"/>
        <v>6278.333333333333</v>
      </c>
      <c r="DX232" s="645">
        <f t="shared" si="200"/>
        <v>4741.666666666667</v>
      </c>
      <c r="DY232" s="163">
        <f t="shared" si="200"/>
        <v>1766.666666666667</v>
      </c>
      <c r="DZ232" s="163">
        <f t="shared" si="200"/>
        <v>116.66666666666667</v>
      </c>
      <c r="EA232" s="163">
        <f t="shared" si="200"/>
        <v>2851.3333333333335</v>
      </c>
      <c r="EB232" s="644">
        <f t="shared" si="158"/>
        <v>6.9999999999999991</v>
      </c>
      <c r="EC232" s="645">
        <f t="shared" si="158"/>
        <v>1537.6666666666674</v>
      </c>
      <c r="ED232" s="163">
        <f t="shared" si="158"/>
        <v>445.99999999999972</v>
      </c>
      <c r="EE232" s="163">
        <f t="shared" ref="EE232:EG234" si="212">X232+AI232+BE232+BP232+CA232+CL232+CW232+DH232+DS232</f>
        <v>0</v>
      </c>
      <c r="EF232" s="163">
        <f t="shared" si="212"/>
        <v>1003.3333333333335</v>
      </c>
      <c r="EG232" s="643">
        <f t="shared" si="212"/>
        <v>88.333333333333314</v>
      </c>
      <c r="EH232" s="646">
        <f t="shared" si="183"/>
        <v>2117.3333333333335</v>
      </c>
      <c r="EI232" s="645">
        <f t="shared" si="183"/>
        <v>1555.9999999999995</v>
      </c>
      <c r="EJ232" s="163">
        <f t="shared" si="183"/>
        <v>579.33333333333326</v>
      </c>
      <c r="EK232" s="163">
        <f t="shared" si="183"/>
        <v>73.666666666666671</v>
      </c>
      <c r="EL232" s="163">
        <f t="shared" si="183"/>
        <v>900.6666666666664</v>
      </c>
      <c r="EM232" s="644">
        <f t="shared" si="183"/>
        <v>2.333333333333333</v>
      </c>
      <c r="EN232" s="645">
        <f t="shared" si="183"/>
        <v>561.33333333333337</v>
      </c>
      <c r="EO232" s="163">
        <f t="shared" si="183"/>
        <v>117.99999999999991</v>
      </c>
      <c r="EP232" s="163">
        <f t="shared" si="183"/>
        <v>0</v>
      </c>
      <c r="EQ232" s="163">
        <f t="shared" si="183"/>
        <v>419.33333333333343</v>
      </c>
      <c r="ER232" s="643">
        <f t="shared" si="183"/>
        <v>23.999999999999989</v>
      </c>
    </row>
    <row r="233" spans="1:148">
      <c r="A233" s="665" t="s">
        <v>688</v>
      </c>
      <c r="B233" s="665">
        <v>45597</v>
      </c>
      <c r="C233" s="664">
        <v>2024</v>
      </c>
      <c r="D233" s="646">
        <f t="shared" ref="D233" si="213">D134/3+D232</f>
        <v>5540185.6666666651</v>
      </c>
      <c r="E233" s="646">
        <f t="shared" si="193"/>
        <v>205213.33333333337</v>
      </c>
      <c r="F233" s="645">
        <f t="shared" si="193"/>
        <v>150639.33333333328</v>
      </c>
      <c r="G233" s="163">
        <f t="shared" si="193"/>
        <v>57244.666666666664</v>
      </c>
      <c r="H233" s="163">
        <f t="shared" si="193"/>
        <v>6123</v>
      </c>
      <c r="I233" s="163">
        <f t="shared" si="193"/>
        <v>86347.333333333328</v>
      </c>
      <c r="J233" s="644">
        <f t="shared" si="193"/>
        <v>924.33333333333348</v>
      </c>
      <c r="K233" s="645">
        <f t="shared" si="193"/>
        <v>54573.999999999971</v>
      </c>
      <c r="L233" s="163">
        <f t="shared" si="193"/>
        <v>15943.333333333343</v>
      </c>
      <c r="M233" s="163">
        <f t="shared" si="193"/>
        <v>0</v>
      </c>
      <c r="N233" s="163">
        <f t="shared" si="193"/>
        <v>35250.666666666679</v>
      </c>
      <c r="O233" s="643">
        <f t="shared" si="193"/>
        <v>3379.9999999999973</v>
      </c>
      <c r="P233" s="646">
        <f t="shared" si="193"/>
        <v>356.00000000000006</v>
      </c>
      <c r="Q233" s="645">
        <f t="shared" si="193"/>
        <v>218</v>
      </c>
      <c r="R233" s="163">
        <f t="shared" si="193"/>
        <v>89.000000000000028</v>
      </c>
      <c r="S233" s="163">
        <f t="shared" si="193"/>
        <v>7.6666666666666661</v>
      </c>
      <c r="T233" s="163">
        <f t="shared" si="193"/>
        <v>120.66666666666666</v>
      </c>
      <c r="U233" s="644">
        <f t="shared" si="187"/>
        <v>0.66666666666666663</v>
      </c>
      <c r="V233" s="645">
        <f t="shared" si="187"/>
        <v>138.00000000000006</v>
      </c>
      <c r="W233" s="163">
        <f t="shared" si="187"/>
        <v>33.999999999999993</v>
      </c>
      <c r="X233" s="163">
        <f t="shared" si="187"/>
        <v>0</v>
      </c>
      <c r="Y233" s="163">
        <f t="shared" si="187"/>
        <v>97.000000000000028</v>
      </c>
      <c r="Z233" s="643">
        <f t="shared" si="187"/>
        <v>7</v>
      </c>
      <c r="AA233" s="646">
        <f t="shared" si="187"/>
        <v>194.00000000000014</v>
      </c>
      <c r="AB233" s="645">
        <f t="shared" si="187"/>
        <v>135</v>
      </c>
      <c r="AC233" s="163">
        <f t="shared" si="187"/>
        <v>46.999999999999993</v>
      </c>
      <c r="AD233" s="163">
        <f t="shared" si="187"/>
        <v>7.6666666666666652</v>
      </c>
      <c r="AE233" s="163">
        <f t="shared" si="187"/>
        <v>79.666666666666657</v>
      </c>
      <c r="AF233" s="644">
        <f t="shared" si="187"/>
        <v>0.66666666666666663</v>
      </c>
      <c r="AG233" s="645">
        <f t="shared" si="187"/>
        <v>59.000000000000043</v>
      </c>
      <c r="AH233" s="163">
        <f t="shared" si="187"/>
        <v>32.999999999999979</v>
      </c>
      <c r="AI233" s="163">
        <f t="shared" si="187"/>
        <v>0</v>
      </c>
      <c r="AJ233" s="163">
        <f t="shared" si="187"/>
        <v>20.000000000000004</v>
      </c>
      <c r="AK233" s="643">
        <f t="shared" si="208"/>
        <v>5.9999999999999982</v>
      </c>
      <c r="AL233" s="646">
        <f t="shared" si="208"/>
        <v>2184.666666666667</v>
      </c>
      <c r="AM233" s="645">
        <f t="shared" si="208"/>
        <v>1604.9999999999995</v>
      </c>
      <c r="AN233" s="163">
        <f t="shared" si="208"/>
        <v>588.66666666666663</v>
      </c>
      <c r="AO233" s="163">
        <f t="shared" si="208"/>
        <v>84.333333333333343</v>
      </c>
      <c r="AP233" s="163">
        <f t="shared" si="208"/>
        <v>929.33333333333303</v>
      </c>
      <c r="AQ233" s="644">
        <f t="shared" si="208"/>
        <v>2.6666666666666665</v>
      </c>
      <c r="AR233" s="645">
        <f t="shared" si="208"/>
        <v>579.66666666666674</v>
      </c>
      <c r="AS233" s="163">
        <f t="shared" si="208"/>
        <v>118.99999999999991</v>
      </c>
      <c r="AT233" s="163">
        <f t="shared" si="208"/>
        <v>0</v>
      </c>
      <c r="AU233" s="163">
        <f t="shared" si="208"/>
        <v>436.66666666666674</v>
      </c>
      <c r="AV233" s="643">
        <f t="shared" si="208"/>
        <v>23.999999999999989</v>
      </c>
      <c r="AW233" s="646">
        <f t="shared" si="208"/>
        <v>1164.3333333333333</v>
      </c>
      <c r="AX233" s="645">
        <f t="shared" si="208"/>
        <v>873.00000000000011</v>
      </c>
      <c r="AY233" s="163">
        <f t="shared" si="208"/>
        <v>336.33333333333343</v>
      </c>
      <c r="AZ233" s="163">
        <f t="shared" si="206"/>
        <v>28.666666666666668</v>
      </c>
      <c r="BA233" s="163">
        <f t="shared" si="203"/>
        <v>507.33333333333331</v>
      </c>
      <c r="BB233" s="644">
        <f t="shared" si="203"/>
        <v>0.66666666666666663</v>
      </c>
      <c r="BC233" s="645">
        <f t="shared" si="203"/>
        <v>291.33333333333343</v>
      </c>
      <c r="BD233" s="163">
        <f t="shared" si="203"/>
        <v>96.999999999999901</v>
      </c>
      <c r="BE233" s="163">
        <f t="shared" si="203"/>
        <v>0</v>
      </c>
      <c r="BF233" s="163">
        <f t="shared" si="203"/>
        <v>179.33333333333334</v>
      </c>
      <c r="BG233" s="643">
        <f t="shared" si="203"/>
        <v>15</v>
      </c>
      <c r="BH233" s="646">
        <f t="shared" si="203"/>
        <v>1579.0000000000002</v>
      </c>
      <c r="BI233" s="645">
        <f t="shared" si="203"/>
        <v>1240.6666666666663</v>
      </c>
      <c r="BJ233" s="163">
        <f t="shared" si="203"/>
        <v>464.00000000000017</v>
      </c>
      <c r="BK233" s="163">
        <f t="shared" si="203"/>
        <v>34.666666666666671</v>
      </c>
      <c r="BL233" s="163">
        <f t="shared" si="203"/>
        <v>739</v>
      </c>
      <c r="BM233" s="644">
        <f t="shared" si="203"/>
        <v>2.9999999999999996</v>
      </c>
      <c r="BN233" s="645">
        <f t="shared" si="203"/>
        <v>338.33333333333348</v>
      </c>
      <c r="BO233" s="163">
        <f t="shared" si="203"/>
        <v>82.666666666666657</v>
      </c>
      <c r="BP233" s="163">
        <f t="shared" si="203"/>
        <v>0</v>
      </c>
      <c r="BQ233" s="163">
        <f t="shared" si="191"/>
        <v>233.66666666666677</v>
      </c>
      <c r="BR233" s="643">
        <f t="shared" si="191"/>
        <v>21.999999999999993</v>
      </c>
      <c r="BS233" s="646">
        <f t="shared" si="191"/>
        <v>2404.9999999999995</v>
      </c>
      <c r="BT233" s="645">
        <f t="shared" si="191"/>
        <v>1860.0000000000005</v>
      </c>
      <c r="BU233" s="163">
        <f t="shared" si="191"/>
        <v>651</v>
      </c>
      <c r="BV233" s="163">
        <f t="shared" si="191"/>
        <v>18.666666666666664</v>
      </c>
      <c r="BW233" s="163">
        <f t="shared" si="191"/>
        <v>1188.3333333333335</v>
      </c>
      <c r="BX233" s="644">
        <f t="shared" si="191"/>
        <v>1.9999999999999998</v>
      </c>
      <c r="BY233" s="645">
        <f t="shared" si="188"/>
        <v>545.00000000000023</v>
      </c>
      <c r="BZ233" s="163">
        <f t="shared" si="188"/>
        <v>136.33333333333317</v>
      </c>
      <c r="CA233" s="163">
        <f t="shared" si="188"/>
        <v>0</v>
      </c>
      <c r="CB233" s="163">
        <f t="shared" si="188"/>
        <v>378.00000000000006</v>
      </c>
      <c r="CC233" s="643">
        <f t="shared" si="188"/>
        <v>30.666666666666647</v>
      </c>
      <c r="CD233" s="646">
        <f t="shared" si="188"/>
        <v>374.99999999999983</v>
      </c>
      <c r="CE233" s="645">
        <f t="shared" si="188"/>
        <v>280.33333333333348</v>
      </c>
      <c r="CF233" s="163">
        <f t="shared" si="188"/>
        <v>96.333333333333357</v>
      </c>
      <c r="CG233" s="163">
        <f t="shared" si="188"/>
        <v>15.333333333333337</v>
      </c>
      <c r="CH233" s="163">
        <f t="shared" si="188"/>
        <v>168.66666666666666</v>
      </c>
      <c r="CI233" s="644">
        <f t="shared" si="188"/>
        <v>0</v>
      </c>
      <c r="CJ233" s="645">
        <f t="shared" si="188"/>
        <v>94.666666666666643</v>
      </c>
      <c r="CK233" s="163">
        <f t="shared" si="188"/>
        <v>25.999999999999996</v>
      </c>
      <c r="CL233" s="163">
        <f t="shared" si="188"/>
        <v>0</v>
      </c>
      <c r="CM233" s="163">
        <f t="shared" si="188"/>
        <v>63.666666666666664</v>
      </c>
      <c r="CN233" s="643">
        <f t="shared" si="188"/>
        <v>4.9999999999999991</v>
      </c>
      <c r="CO233" s="646">
        <f t="shared" si="195"/>
        <v>292.33333333333348</v>
      </c>
      <c r="CP233" s="645">
        <f t="shared" si="195"/>
        <v>209.66666666666677</v>
      </c>
      <c r="CQ233" s="163">
        <f t="shared" si="195"/>
        <v>86.666666666666686</v>
      </c>
      <c r="CR233" s="163">
        <f t="shared" si="195"/>
        <v>13.999999999999998</v>
      </c>
      <c r="CS233" s="163">
        <f t="shared" si="195"/>
        <v>107.99999999999997</v>
      </c>
      <c r="CT233" s="644">
        <f t="shared" si="195"/>
        <v>1</v>
      </c>
      <c r="CU233" s="645">
        <f t="shared" si="195"/>
        <v>82.666666666666714</v>
      </c>
      <c r="CV233" s="163">
        <f t="shared" si="195"/>
        <v>24.999999999999982</v>
      </c>
      <c r="CW233" s="163">
        <f t="shared" si="195"/>
        <v>0</v>
      </c>
      <c r="CX233" s="163">
        <f t="shared" si="195"/>
        <v>57.666666666666636</v>
      </c>
      <c r="CY233" s="643">
        <f t="shared" si="195"/>
        <v>0</v>
      </c>
      <c r="CZ233" s="646">
        <f t="shared" si="195"/>
        <v>86.999999999999957</v>
      </c>
      <c r="DA233" s="645">
        <f t="shared" si="195"/>
        <v>58.66666666666665</v>
      </c>
      <c r="DB233" s="163">
        <f t="shared" si="195"/>
        <v>16.000000000000004</v>
      </c>
      <c r="DC233" s="163">
        <f t="shared" si="195"/>
        <v>3.6666666666666665</v>
      </c>
      <c r="DD233" s="163">
        <f t="shared" si="195"/>
        <v>38.999999999999986</v>
      </c>
      <c r="DE233" s="644">
        <f t="shared" si="198"/>
        <v>0</v>
      </c>
      <c r="DF233" s="645">
        <f t="shared" si="198"/>
        <v>28.333333333333332</v>
      </c>
      <c r="DG233" s="163">
        <f t="shared" si="198"/>
        <v>13.000000000000011</v>
      </c>
      <c r="DH233" s="163">
        <f t="shared" si="198"/>
        <v>0</v>
      </c>
      <c r="DI233" s="163">
        <f t="shared" si="198"/>
        <v>12.333333333333329</v>
      </c>
      <c r="DJ233" s="643">
        <f t="shared" si="198"/>
        <v>3</v>
      </c>
      <c r="DK233" s="646">
        <f t="shared" si="198"/>
        <v>1.9999999999999998</v>
      </c>
      <c r="DL233" s="645">
        <f t="shared" si="198"/>
        <v>1.9999999999999998</v>
      </c>
      <c r="DM233" s="163">
        <f t="shared" si="198"/>
        <v>0</v>
      </c>
      <c r="DN233" s="163">
        <f t="shared" si="198"/>
        <v>1.9999999999999998</v>
      </c>
      <c r="DO233" s="163">
        <f t="shared" si="198"/>
        <v>0</v>
      </c>
      <c r="DP233" s="644">
        <f t="shared" si="198"/>
        <v>0</v>
      </c>
      <c r="DQ233" s="645">
        <f t="shared" si="198"/>
        <v>1</v>
      </c>
      <c r="DR233" s="163">
        <f t="shared" si="198"/>
        <v>1</v>
      </c>
      <c r="DS233" s="163">
        <f t="shared" si="196"/>
        <v>0</v>
      </c>
      <c r="DT233" s="163">
        <f t="shared" si="189"/>
        <v>0</v>
      </c>
      <c r="DU233" s="643">
        <f t="shared" si="189"/>
        <v>0</v>
      </c>
      <c r="DW233" s="646">
        <f t="shared" si="200"/>
        <v>6454.6666666666679</v>
      </c>
      <c r="DX233" s="645">
        <f t="shared" si="200"/>
        <v>4877.3333333333339</v>
      </c>
      <c r="DY233" s="163">
        <f t="shared" si="200"/>
        <v>1786.3333333333337</v>
      </c>
      <c r="DZ233" s="163">
        <f t="shared" si="200"/>
        <v>132.33333333333334</v>
      </c>
      <c r="EA233" s="163">
        <f t="shared" si="200"/>
        <v>2950.6666666666665</v>
      </c>
      <c r="EB233" s="644">
        <f t="shared" si="200"/>
        <v>8</v>
      </c>
      <c r="EC233" s="645">
        <f t="shared" si="200"/>
        <v>1578.3333333333339</v>
      </c>
      <c r="ED233" s="163">
        <f t="shared" si="200"/>
        <v>447.99999999999972</v>
      </c>
      <c r="EE233" s="163">
        <f t="shared" si="212"/>
        <v>0</v>
      </c>
      <c r="EF233" s="163">
        <f t="shared" si="212"/>
        <v>1041.6666666666667</v>
      </c>
      <c r="EG233" s="643">
        <f t="shared" si="212"/>
        <v>88.666666666666643</v>
      </c>
      <c r="EH233" s="646">
        <f t="shared" si="183"/>
        <v>2184.666666666667</v>
      </c>
      <c r="EI233" s="645">
        <f t="shared" si="183"/>
        <v>1604.9999999999995</v>
      </c>
      <c r="EJ233" s="163">
        <f t="shared" si="183"/>
        <v>588.66666666666663</v>
      </c>
      <c r="EK233" s="163">
        <f t="shared" si="183"/>
        <v>84.333333333333343</v>
      </c>
      <c r="EL233" s="163">
        <f t="shared" si="183"/>
        <v>929.33333333333303</v>
      </c>
      <c r="EM233" s="644">
        <f t="shared" si="183"/>
        <v>2.6666666666666665</v>
      </c>
      <c r="EN233" s="645">
        <f t="shared" si="183"/>
        <v>579.66666666666674</v>
      </c>
      <c r="EO233" s="163">
        <f t="shared" si="183"/>
        <v>118.99999999999991</v>
      </c>
      <c r="EP233" s="163">
        <f t="shared" si="183"/>
        <v>0</v>
      </c>
      <c r="EQ233" s="163">
        <f t="shared" si="183"/>
        <v>436.66666666666674</v>
      </c>
      <c r="ER233" s="643">
        <f t="shared" si="183"/>
        <v>23.999999999999989</v>
      </c>
    </row>
    <row r="234" spans="1:148" ht="15" thickBot="1">
      <c r="A234" s="665" t="s">
        <v>688</v>
      </c>
      <c r="B234" s="665">
        <v>45627</v>
      </c>
      <c r="C234" s="664">
        <v>2024</v>
      </c>
      <c r="D234" s="642">
        <f t="shared" ref="D234" si="214">D135/3+D233</f>
        <v>5594633.9999999981</v>
      </c>
      <c r="E234" s="642">
        <f t="shared" si="193"/>
        <v>210297.00000000003</v>
      </c>
      <c r="F234" s="641">
        <f t="shared" si="193"/>
        <v>154399.99999999994</v>
      </c>
      <c r="G234" s="640">
        <f t="shared" si="193"/>
        <v>57850</v>
      </c>
      <c r="H234" s="640">
        <f t="shared" si="193"/>
        <v>6761</v>
      </c>
      <c r="I234" s="640">
        <f t="shared" si="193"/>
        <v>88828</v>
      </c>
      <c r="J234" s="652">
        <f t="shared" si="193"/>
        <v>961.00000000000011</v>
      </c>
      <c r="K234" s="641">
        <f t="shared" si="193"/>
        <v>55896.999999999971</v>
      </c>
      <c r="L234" s="640">
        <f t="shared" si="193"/>
        <v>16057.000000000009</v>
      </c>
      <c r="M234" s="640">
        <f t="shared" si="193"/>
        <v>0</v>
      </c>
      <c r="N234" s="640">
        <f t="shared" si="193"/>
        <v>36442.000000000015</v>
      </c>
      <c r="O234" s="639">
        <f t="shared" si="193"/>
        <v>3397.9999999999973</v>
      </c>
      <c r="P234" s="642">
        <f t="shared" si="193"/>
        <v>365.00000000000006</v>
      </c>
      <c r="Q234" s="641">
        <f t="shared" si="193"/>
        <v>223</v>
      </c>
      <c r="R234" s="640">
        <f t="shared" si="193"/>
        <v>90.000000000000028</v>
      </c>
      <c r="S234" s="640">
        <f t="shared" si="193"/>
        <v>7.9999999999999991</v>
      </c>
      <c r="T234" s="640">
        <f t="shared" si="193"/>
        <v>123.99999999999999</v>
      </c>
      <c r="U234" s="652">
        <f t="shared" si="187"/>
        <v>1</v>
      </c>
      <c r="V234" s="641">
        <f t="shared" si="187"/>
        <v>142.00000000000006</v>
      </c>
      <c r="W234" s="640">
        <f t="shared" si="187"/>
        <v>33.999999999999993</v>
      </c>
      <c r="X234" s="640">
        <f t="shared" si="187"/>
        <v>0</v>
      </c>
      <c r="Y234" s="640">
        <f t="shared" si="187"/>
        <v>101.00000000000003</v>
      </c>
      <c r="Z234" s="639">
        <f t="shared" si="187"/>
        <v>7</v>
      </c>
      <c r="AA234" s="642">
        <f t="shared" si="187"/>
        <v>202.00000000000014</v>
      </c>
      <c r="AB234" s="641">
        <f t="shared" si="187"/>
        <v>141</v>
      </c>
      <c r="AC234" s="640">
        <f t="shared" si="187"/>
        <v>47.999999999999993</v>
      </c>
      <c r="AD234" s="640">
        <f t="shared" si="187"/>
        <v>8.9999999999999982</v>
      </c>
      <c r="AE234" s="640">
        <f t="shared" si="187"/>
        <v>82.999999999999986</v>
      </c>
      <c r="AF234" s="652">
        <f t="shared" si="187"/>
        <v>1</v>
      </c>
      <c r="AG234" s="641">
        <f t="shared" si="187"/>
        <v>61.000000000000043</v>
      </c>
      <c r="AH234" s="640">
        <f t="shared" si="187"/>
        <v>32.999999999999979</v>
      </c>
      <c r="AI234" s="640">
        <f t="shared" si="187"/>
        <v>0</v>
      </c>
      <c r="AJ234" s="640">
        <f t="shared" ref="AJ234" si="215">AJ135/3+AJ233</f>
        <v>22.000000000000004</v>
      </c>
      <c r="AK234" s="639">
        <f t="shared" si="208"/>
        <v>5.9999999999999982</v>
      </c>
      <c r="AL234" s="642">
        <f t="shared" si="208"/>
        <v>2252.0000000000005</v>
      </c>
      <c r="AM234" s="641">
        <f t="shared" si="208"/>
        <v>1653.9999999999995</v>
      </c>
      <c r="AN234" s="640">
        <f t="shared" si="208"/>
        <v>598</v>
      </c>
      <c r="AO234" s="640">
        <f t="shared" si="208"/>
        <v>95.000000000000014</v>
      </c>
      <c r="AP234" s="640">
        <f t="shared" si="208"/>
        <v>957.99999999999966</v>
      </c>
      <c r="AQ234" s="652">
        <f t="shared" si="208"/>
        <v>3</v>
      </c>
      <c r="AR234" s="641">
        <f t="shared" si="208"/>
        <v>598.00000000000011</v>
      </c>
      <c r="AS234" s="640">
        <f t="shared" si="208"/>
        <v>119.99999999999991</v>
      </c>
      <c r="AT234" s="640">
        <f t="shared" si="208"/>
        <v>0</v>
      </c>
      <c r="AU234" s="640">
        <f t="shared" si="208"/>
        <v>454.00000000000006</v>
      </c>
      <c r="AV234" s="639">
        <f t="shared" si="208"/>
        <v>23.999999999999989</v>
      </c>
      <c r="AW234" s="642">
        <f t="shared" si="208"/>
        <v>1204</v>
      </c>
      <c r="AX234" s="641">
        <f t="shared" si="208"/>
        <v>906.00000000000011</v>
      </c>
      <c r="AY234" s="640">
        <f t="shared" si="208"/>
        <v>341.00000000000011</v>
      </c>
      <c r="AZ234" s="640">
        <f t="shared" si="206"/>
        <v>33</v>
      </c>
      <c r="BA234" s="640">
        <f t="shared" si="203"/>
        <v>531</v>
      </c>
      <c r="BB234" s="652">
        <f t="shared" si="203"/>
        <v>1</v>
      </c>
      <c r="BC234" s="641">
        <f t="shared" si="203"/>
        <v>298.00000000000011</v>
      </c>
      <c r="BD234" s="640">
        <f t="shared" si="203"/>
        <v>96.999999999999901</v>
      </c>
      <c r="BE234" s="640">
        <f t="shared" si="203"/>
        <v>0</v>
      </c>
      <c r="BF234" s="640">
        <f t="shared" si="203"/>
        <v>186</v>
      </c>
      <c r="BG234" s="639">
        <f t="shared" si="203"/>
        <v>15</v>
      </c>
      <c r="BH234" s="642">
        <f t="shared" si="203"/>
        <v>1622.0000000000002</v>
      </c>
      <c r="BI234" s="641">
        <f t="shared" si="203"/>
        <v>1273.9999999999995</v>
      </c>
      <c r="BJ234" s="640">
        <f t="shared" si="203"/>
        <v>469.00000000000017</v>
      </c>
      <c r="BK234" s="640">
        <f t="shared" si="203"/>
        <v>40.000000000000007</v>
      </c>
      <c r="BL234" s="640">
        <f t="shared" si="203"/>
        <v>762</v>
      </c>
      <c r="BM234" s="652">
        <f t="shared" si="203"/>
        <v>2.9999999999999996</v>
      </c>
      <c r="BN234" s="641">
        <f t="shared" si="203"/>
        <v>348.00000000000017</v>
      </c>
      <c r="BO234" s="640">
        <f t="shared" si="203"/>
        <v>83.999999999999986</v>
      </c>
      <c r="BP234" s="640">
        <f t="shared" si="203"/>
        <v>0</v>
      </c>
      <c r="BQ234" s="640">
        <f t="shared" si="191"/>
        <v>242.00000000000011</v>
      </c>
      <c r="BR234" s="639">
        <f t="shared" si="191"/>
        <v>21.999999999999993</v>
      </c>
      <c r="BS234" s="642">
        <f t="shared" si="191"/>
        <v>2462.9999999999995</v>
      </c>
      <c r="BT234" s="641">
        <f t="shared" si="191"/>
        <v>1905.0000000000005</v>
      </c>
      <c r="BU234" s="640">
        <f t="shared" si="191"/>
        <v>657</v>
      </c>
      <c r="BV234" s="640">
        <f t="shared" si="191"/>
        <v>20.999999999999996</v>
      </c>
      <c r="BW234" s="640">
        <f t="shared" si="191"/>
        <v>1225.0000000000002</v>
      </c>
      <c r="BX234" s="652">
        <f t="shared" si="191"/>
        <v>1.9999999999999998</v>
      </c>
      <c r="BY234" s="641">
        <f t="shared" si="188"/>
        <v>558.00000000000023</v>
      </c>
      <c r="BZ234" s="640">
        <f t="shared" si="188"/>
        <v>136.99999999999983</v>
      </c>
      <c r="CA234" s="640">
        <f t="shared" si="188"/>
        <v>0</v>
      </c>
      <c r="CB234" s="640">
        <f t="shared" si="188"/>
        <v>390.00000000000006</v>
      </c>
      <c r="CC234" s="639">
        <f t="shared" si="188"/>
        <v>30.999999999999979</v>
      </c>
      <c r="CD234" s="642">
        <f t="shared" si="188"/>
        <v>382.99999999999983</v>
      </c>
      <c r="CE234" s="641">
        <f t="shared" si="188"/>
        <v>287.00000000000017</v>
      </c>
      <c r="CF234" s="640">
        <f t="shared" si="188"/>
        <v>97.000000000000028</v>
      </c>
      <c r="CG234" s="640">
        <f t="shared" si="188"/>
        <v>17.000000000000004</v>
      </c>
      <c r="CH234" s="640">
        <f t="shared" si="188"/>
        <v>173</v>
      </c>
      <c r="CI234" s="652">
        <f t="shared" si="188"/>
        <v>0</v>
      </c>
      <c r="CJ234" s="641">
        <f t="shared" si="188"/>
        <v>95.999999999999972</v>
      </c>
      <c r="CK234" s="640">
        <f t="shared" si="188"/>
        <v>25.999999999999996</v>
      </c>
      <c r="CL234" s="640">
        <f t="shared" si="188"/>
        <v>0</v>
      </c>
      <c r="CM234" s="640">
        <f t="shared" si="188"/>
        <v>65</v>
      </c>
      <c r="CN234" s="639">
        <f t="shared" si="188"/>
        <v>4.9999999999999991</v>
      </c>
      <c r="CO234" s="642">
        <f t="shared" si="195"/>
        <v>301.00000000000017</v>
      </c>
      <c r="CP234" s="641">
        <f t="shared" si="195"/>
        <v>215.00000000000011</v>
      </c>
      <c r="CQ234" s="640">
        <f t="shared" si="195"/>
        <v>88.000000000000014</v>
      </c>
      <c r="CR234" s="640">
        <f t="shared" si="195"/>
        <v>13.999999999999998</v>
      </c>
      <c r="CS234" s="640">
        <f t="shared" si="195"/>
        <v>111.99999999999997</v>
      </c>
      <c r="CT234" s="652">
        <f t="shared" si="195"/>
        <v>1</v>
      </c>
      <c r="CU234" s="641">
        <f t="shared" si="195"/>
        <v>86.000000000000043</v>
      </c>
      <c r="CV234" s="640">
        <f t="shared" si="195"/>
        <v>24.999999999999982</v>
      </c>
      <c r="CW234" s="640">
        <f t="shared" si="195"/>
        <v>0</v>
      </c>
      <c r="CX234" s="640">
        <f t="shared" si="195"/>
        <v>60.999999999999972</v>
      </c>
      <c r="CY234" s="639">
        <f t="shared" si="195"/>
        <v>0</v>
      </c>
      <c r="CZ234" s="642">
        <f t="shared" si="195"/>
        <v>88.999999999999957</v>
      </c>
      <c r="DA234" s="641">
        <f t="shared" si="195"/>
        <v>59.999999999999986</v>
      </c>
      <c r="DB234" s="640">
        <f t="shared" si="195"/>
        <v>16.000000000000004</v>
      </c>
      <c r="DC234" s="640">
        <f t="shared" si="195"/>
        <v>4</v>
      </c>
      <c r="DD234" s="640">
        <f t="shared" si="195"/>
        <v>39.999999999999986</v>
      </c>
      <c r="DE234" s="652">
        <f t="shared" si="198"/>
        <v>0</v>
      </c>
      <c r="DF234" s="641">
        <f t="shared" si="198"/>
        <v>29</v>
      </c>
      <c r="DG234" s="640">
        <f t="shared" si="198"/>
        <v>13.000000000000011</v>
      </c>
      <c r="DH234" s="640">
        <f t="shared" si="198"/>
        <v>0</v>
      </c>
      <c r="DI234" s="640">
        <f t="shared" si="198"/>
        <v>12.999999999999995</v>
      </c>
      <c r="DJ234" s="639">
        <f t="shared" si="198"/>
        <v>3</v>
      </c>
      <c r="DK234" s="642">
        <f t="shared" si="198"/>
        <v>1.9999999999999998</v>
      </c>
      <c r="DL234" s="641">
        <f t="shared" si="198"/>
        <v>1.9999999999999998</v>
      </c>
      <c r="DM234" s="640">
        <f t="shared" si="198"/>
        <v>0</v>
      </c>
      <c r="DN234" s="640">
        <f t="shared" si="198"/>
        <v>1.9999999999999998</v>
      </c>
      <c r="DO234" s="640">
        <f t="shared" si="198"/>
        <v>0</v>
      </c>
      <c r="DP234" s="652">
        <f t="shared" si="198"/>
        <v>0</v>
      </c>
      <c r="DQ234" s="641">
        <f t="shared" si="198"/>
        <v>1</v>
      </c>
      <c r="DR234" s="640">
        <f t="shared" si="198"/>
        <v>1</v>
      </c>
      <c r="DS234" s="640">
        <f t="shared" si="196"/>
        <v>0</v>
      </c>
      <c r="DT234" s="640">
        <f t="shared" si="189"/>
        <v>0</v>
      </c>
      <c r="DU234" s="639">
        <f t="shared" si="189"/>
        <v>0</v>
      </c>
      <c r="DW234" s="642">
        <f t="shared" si="200"/>
        <v>6631</v>
      </c>
      <c r="DX234" s="641">
        <f t="shared" si="200"/>
        <v>5013</v>
      </c>
      <c r="DY234" s="640">
        <f t="shared" si="200"/>
        <v>1806.0000000000002</v>
      </c>
      <c r="DZ234" s="640">
        <f t="shared" si="200"/>
        <v>148</v>
      </c>
      <c r="EA234" s="640">
        <f t="shared" si="200"/>
        <v>3050</v>
      </c>
      <c r="EB234" s="652">
        <f t="shared" si="200"/>
        <v>9</v>
      </c>
      <c r="EC234" s="641">
        <f t="shared" si="200"/>
        <v>1619.0000000000007</v>
      </c>
      <c r="ED234" s="640">
        <f t="shared" si="200"/>
        <v>449.99999999999972</v>
      </c>
      <c r="EE234" s="640">
        <f t="shared" si="212"/>
        <v>0</v>
      </c>
      <c r="EF234" s="640">
        <f t="shared" si="212"/>
        <v>1080.0000000000002</v>
      </c>
      <c r="EG234" s="639">
        <f t="shared" si="212"/>
        <v>88.999999999999972</v>
      </c>
      <c r="EH234" s="642">
        <f t="shared" si="183"/>
        <v>2252.0000000000005</v>
      </c>
      <c r="EI234" s="641">
        <f t="shared" si="183"/>
        <v>1653.9999999999995</v>
      </c>
      <c r="EJ234" s="640">
        <f t="shared" si="183"/>
        <v>598</v>
      </c>
      <c r="EK234" s="640">
        <f t="shared" si="183"/>
        <v>95.000000000000014</v>
      </c>
      <c r="EL234" s="640">
        <f t="shared" si="183"/>
        <v>957.99999999999966</v>
      </c>
      <c r="EM234" s="652">
        <f t="shared" si="183"/>
        <v>3</v>
      </c>
      <c r="EN234" s="641">
        <f t="shared" si="183"/>
        <v>598.00000000000011</v>
      </c>
      <c r="EO234" s="640">
        <f t="shared" si="183"/>
        <v>119.99999999999991</v>
      </c>
      <c r="EP234" s="640">
        <f t="shared" si="183"/>
        <v>0</v>
      </c>
      <c r="EQ234" s="640">
        <f t="shared" si="183"/>
        <v>454.00000000000006</v>
      </c>
      <c r="ER234" s="639">
        <f t="shared" si="183"/>
        <v>23.999999999999989</v>
      </c>
    </row>
    <row r="236" spans="1:148">
      <c r="DW236" s="451"/>
    </row>
  </sheetData>
  <mergeCells count="55">
    <mergeCell ref="A38:DU38"/>
    <mergeCell ref="A137:DU137"/>
    <mergeCell ref="D3:D4"/>
    <mergeCell ref="D2:O2"/>
    <mergeCell ref="DW3:DW4"/>
    <mergeCell ref="CZ3:CZ4"/>
    <mergeCell ref="DA3:DE3"/>
    <mergeCell ref="DF3:DJ3"/>
    <mergeCell ref="DK3:DK4"/>
    <mergeCell ref="DL3:DP3"/>
    <mergeCell ref="DQ3:DU3"/>
    <mergeCell ref="CD3:CD4"/>
    <mergeCell ref="CE3:CI3"/>
    <mergeCell ref="CJ3:CN3"/>
    <mergeCell ref="CO3:CO4"/>
    <mergeCell ref="CP3:CT3"/>
    <mergeCell ref="DX3:EB3"/>
    <mergeCell ref="EC3:EG3"/>
    <mergeCell ref="EH3:EH4"/>
    <mergeCell ref="EI3:EM3"/>
    <mergeCell ref="EN3:ER3"/>
    <mergeCell ref="CU3:CY3"/>
    <mergeCell ref="BH3:BH4"/>
    <mergeCell ref="BI3:BM3"/>
    <mergeCell ref="BN3:BR3"/>
    <mergeCell ref="BS3:BS4"/>
    <mergeCell ref="BT3:BX3"/>
    <mergeCell ref="BY3:CC3"/>
    <mergeCell ref="AL3:AL4"/>
    <mergeCell ref="AM3:AQ3"/>
    <mergeCell ref="AR3:AV3"/>
    <mergeCell ref="AW3:AW4"/>
    <mergeCell ref="AX3:BB3"/>
    <mergeCell ref="BC3:BG3"/>
    <mergeCell ref="EH2:ER2"/>
    <mergeCell ref="E3:E4"/>
    <mergeCell ref="F3:J3"/>
    <mergeCell ref="K3:O3"/>
    <mergeCell ref="P3:P4"/>
    <mergeCell ref="Q3:U3"/>
    <mergeCell ref="V3:Z3"/>
    <mergeCell ref="AA3:AA4"/>
    <mergeCell ref="AB3:AF3"/>
    <mergeCell ref="AG3:AK3"/>
    <mergeCell ref="BS2:CC2"/>
    <mergeCell ref="CD2:CN2"/>
    <mergeCell ref="CO2:CY2"/>
    <mergeCell ref="CZ2:DJ2"/>
    <mergeCell ref="DK2:DU2"/>
    <mergeCell ref="DW2:EG2"/>
    <mergeCell ref="P2:Z2"/>
    <mergeCell ref="AA2:AK2"/>
    <mergeCell ref="AL2:AV2"/>
    <mergeCell ref="AW2:BG2"/>
    <mergeCell ref="BH2:B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B5A39-E428-45CC-9CCD-C6D2F104E95F}">
  <sheetPr codeName="Sheet21">
    <tabColor theme="3" tint="0.499984740745262"/>
  </sheetPr>
  <dimension ref="B1:AF200"/>
  <sheetViews>
    <sheetView zoomScaleNormal="100" workbookViewId="0"/>
  </sheetViews>
  <sheetFormatPr defaultColWidth="8.5703125" defaultRowHeight="15"/>
  <cols>
    <col min="1" max="1" width="2.5703125" style="248" customWidth="1"/>
    <col min="2" max="2" width="34.42578125" style="248" customWidth="1"/>
    <col min="3" max="3" width="12.42578125" style="248" customWidth="1"/>
    <col min="4" max="4" width="15.5703125" style="248" customWidth="1"/>
    <col min="5" max="5" width="30.5703125" style="248" customWidth="1"/>
    <col min="6" max="7" width="17" style="248" bestFit="1" customWidth="1"/>
    <col min="8" max="8" width="17.140625" style="248" bestFit="1" customWidth="1"/>
    <col min="9" max="9" width="16.42578125" style="248" customWidth="1"/>
    <col min="10" max="10" width="13.5703125" style="248" customWidth="1"/>
    <col min="11" max="11" width="12.5703125" style="248" bestFit="1" customWidth="1"/>
    <col min="12" max="12" width="14.5703125" style="248" bestFit="1" customWidth="1"/>
    <col min="13" max="13" width="13.140625" style="248" bestFit="1" customWidth="1"/>
    <col min="14" max="14" width="14" style="248" customWidth="1"/>
    <col min="15" max="15" width="13.5703125" style="248" bestFit="1" customWidth="1"/>
    <col min="16" max="17" width="11.42578125" style="248" bestFit="1" customWidth="1"/>
    <col min="18" max="18" width="11.5703125" style="248" bestFit="1" customWidth="1"/>
    <col min="19" max="19" width="13.140625" style="248" bestFit="1" customWidth="1"/>
    <col min="20" max="20" width="12.5703125" style="248" bestFit="1" customWidth="1"/>
    <col min="21" max="21" width="11.5703125" style="248" bestFit="1" customWidth="1"/>
    <col min="22" max="23" width="12" style="248" bestFit="1" customWidth="1"/>
    <col min="24" max="24" width="13" style="248" customWidth="1"/>
    <col min="25" max="25" width="8.5703125" style="248"/>
    <col min="26" max="26" width="11.85546875" style="248" customWidth="1"/>
    <col min="27" max="27" width="11.42578125" style="248" bestFit="1" customWidth="1"/>
    <col min="28" max="28" width="8.5703125" style="248"/>
    <col min="29" max="29" width="10.85546875" style="248" customWidth="1"/>
    <col min="30" max="30" width="11.42578125" style="248" bestFit="1" customWidth="1"/>
    <col min="31" max="31" width="8.5703125" style="248"/>
    <col min="32" max="32" width="10.42578125" style="248" bestFit="1" customWidth="1"/>
    <col min="33" max="16384" width="8.5703125" style="248"/>
  </cols>
  <sheetData>
    <row r="1" spans="2:24">
      <c r="C1" s="248" t="s">
        <v>252</v>
      </c>
      <c r="D1" s="248" t="s">
        <v>253</v>
      </c>
    </row>
    <row r="2" spans="2:24">
      <c r="C2" s="248" t="s">
        <v>254</v>
      </c>
      <c r="D2" s="248" t="s">
        <v>255</v>
      </c>
      <c r="O2" s="214">
        <f>O55-N55</f>
        <v>99852.5819744037</v>
      </c>
      <c r="P2" s="214">
        <f t="shared" ref="P2:W2" si="0">P55-O55</f>
        <v>85111.821473857155</v>
      </c>
      <c r="Q2" s="214">
        <f>Q55-P55</f>
        <v>53061.489520499134</v>
      </c>
      <c r="R2" s="214">
        <f>R55-Q55</f>
        <v>153721.89956041705</v>
      </c>
      <c r="S2" s="214">
        <f t="shared" si="0"/>
        <v>171113.90140612377</v>
      </c>
      <c r="T2" s="214">
        <f t="shared" si="0"/>
        <v>174258.89456583431</v>
      </c>
      <c r="U2" s="214">
        <f t="shared" si="0"/>
        <v>194102.78185185906</v>
      </c>
      <c r="V2" s="214">
        <f t="shared" si="0"/>
        <v>244438.43134743511</v>
      </c>
      <c r="W2" s="214">
        <f t="shared" si="0"/>
        <v>402299.22659510304</v>
      </c>
    </row>
    <row r="3" spans="2:24">
      <c r="B3" s="248" t="s">
        <v>256</v>
      </c>
      <c r="C3" s="310">
        <f>46*365</f>
        <v>16790</v>
      </c>
      <c r="D3" s="248">
        <v>20</v>
      </c>
      <c r="E3" s="309">
        <f>C3*D3/100</f>
        <v>3358</v>
      </c>
      <c r="F3" s="37" t="s">
        <v>363</v>
      </c>
      <c r="O3" s="214">
        <f>O23-N23</f>
        <v>16937.644193223627</v>
      </c>
      <c r="P3" s="214">
        <f t="shared" ref="P3:W3" si="1">P23-O23</f>
        <v>20034.895118190965</v>
      </c>
      <c r="Q3" s="214">
        <f t="shared" si="1"/>
        <v>23249.261022479695</v>
      </c>
      <c r="R3" s="214">
        <f t="shared" si="1"/>
        <v>26584.187604892679</v>
      </c>
      <c r="S3" s="214">
        <f t="shared" si="1"/>
        <v>30043.211546193255</v>
      </c>
      <c r="T3" s="214">
        <f t="shared" si="1"/>
        <v>33629.962770103797</v>
      </c>
      <c r="U3" s="214">
        <f t="shared" si="1"/>
        <v>28522.650473716465</v>
      </c>
      <c r="V3" s="214">
        <f t="shared" si="1"/>
        <v>47149.705681326392</v>
      </c>
      <c r="W3" s="214">
        <f t="shared" si="1"/>
        <v>41802.767094920739</v>
      </c>
    </row>
    <row r="4" spans="2:24">
      <c r="B4" s="248" t="s">
        <v>257</v>
      </c>
      <c r="C4" s="310">
        <f>C3</f>
        <v>16790</v>
      </c>
      <c r="D4" s="248">
        <v>20</v>
      </c>
      <c r="E4" s="309">
        <f>C4*D4/100</f>
        <v>3358</v>
      </c>
      <c r="O4" s="214">
        <f>O5-N5</f>
        <v>116790.22616762732</v>
      </c>
      <c r="P4" s="214">
        <f t="shared" ref="P4:W4" si="2">P5-O5</f>
        <v>105146.71659204806</v>
      </c>
      <c r="Q4" s="214">
        <f t="shared" si="2"/>
        <v>76310.750542978873</v>
      </c>
      <c r="R4" s="214">
        <f t="shared" si="2"/>
        <v>180306.0871653097</v>
      </c>
      <c r="S4" s="214">
        <f t="shared" si="2"/>
        <v>201157.11295231711</v>
      </c>
      <c r="T4" s="214">
        <f t="shared" si="2"/>
        <v>207888.85733593814</v>
      </c>
      <c r="U4" s="214">
        <f t="shared" si="2"/>
        <v>222625.4323255755</v>
      </c>
      <c r="V4" s="214">
        <f t="shared" si="2"/>
        <v>291588.13702876144</v>
      </c>
      <c r="W4" s="214">
        <f t="shared" si="2"/>
        <v>444101.9936900239</v>
      </c>
      <c r="X4" s="308"/>
    </row>
    <row r="5" spans="2:24">
      <c r="B5" s="248" t="s">
        <v>258</v>
      </c>
      <c r="C5" s="310">
        <v>20000</v>
      </c>
      <c r="D5" s="248">
        <v>25</v>
      </c>
      <c r="E5" s="309">
        <f>C5*D5/100</f>
        <v>5000</v>
      </c>
      <c r="F5" s="310"/>
      <c r="G5" s="310"/>
      <c r="H5" s="310"/>
      <c r="I5" s="310"/>
      <c r="L5" s="214"/>
      <c r="M5" s="214"/>
      <c r="N5" s="214">
        <f>N23+N55</f>
        <v>365155.46783588344</v>
      </c>
      <c r="O5" s="214">
        <f t="shared" ref="O5:W5" si="3">O23+O55</f>
        <v>481945.69400351075</v>
      </c>
      <c r="P5" s="214">
        <f t="shared" si="3"/>
        <v>587092.41059555882</v>
      </c>
      <c r="Q5" s="214">
        <f t="shared" si="3"/>
        <v>663403.16113853769</v>
      </c>
      <c r="R5" s="214">
        <f t="shared" si="3"/>
        <v>843709.24830384739</v>
      </c>
      <c r="S5" s="214">
        <f t="shared" si="3"/>
        <v>1044866.3612561645</v>
      </c>
      <c r="T5" s="214">
        <f t="shared" si="3"/>
        <v>1252755.2185921026</v>
      </c>
      <c r="U5" s="214">
        <f t="shared" si="3"/>
        <v>1475380.6509176781</v>
      </c>
      <c r="V5" s="214">
        <f t="shared" si="3"/>
        <v>1766968.7879464396</v>
      </c>
      <c r="W5" s="214">
        <f t="shared" si="3"/>
        <v>2211070.7816364635</v>
      </c>
    </row>
    <row r="6" spans="2:24">
      <c r="B6" s="248" t="s">
        <v>259</v>
      </c>
      <c r="C6" s="310">
        <v>20000</v>
      </c>
      <c r="D6" s="248">
        <v>30</v>
      </c>
      <c r="E6" s="309">
        <f>C6*D6/100</f>
        <v>6000</v>
      </c>
    </row>
    <row r="7" spans="2:24">
      <c r="C7" s="310"/>
      <c r="E7" s="309"/>
    </row>
    <row r="8" spans="2:24">
      <c r="C8" s="310"/>
      <c r="E8" s="309"/>
    </row>
    <row r="9" spans="2:24">
      <c r="B9" s="848" t="s">
        <v>220</v>
      </c>
      <c r="C9" s="284"/>
      <c r="D9" s="305"/>
      <c r="E9" s="249"/>
      <c r="F9" s="307">
        <v>2017</v>
      </c>
      <c r="G9" s="307">
        <v>2018</v>
      </c>
      <c r="H9" s="307">
        <v>2019</v>
      </c>
      <c r="I9" s="307">
        <v>2020</v>
      </c>
      <c r="J9" s="307">
        <v>2021</v>
      </c>
      <c r="K9" s="307">
        <v>2022</v>
      </c>
      <c r="L9" s="307">
        <v>2023</v>
      </c>
      <c r="M9" s="307">
        <v>2024</v>
      </c>
      <c r="N9" s="307">
        <v>2025</v>
      </c>
      <c r="O9" s="307">
        <v>2026</v>
      </c>
      <c r="P9" s="307">
        <v>2027</v>
      </c>
      <c r="Q9" s="307">
        <v>2028</v>
      </c>
      <c r="R9" s="307">
        <v>2029</v>
      </c>
      <c r="S9" s="307">
        <v>2030</v>
      </c>
      <c r="T9" s="307">
        <v>2031</v>
      </c>
      <c r="U9" s="307">
        <v>2032</v>
      </c>
      <c r="V9" s="307">
        <v>2033</v>
      </c>
      <c r="W9" s="307">
        <v>2034</v>
      </c>
      <c r="X9" s="307">
        <v>2035</v>
      </c>
    </row>
    <row r="10" spans="2:24">
      <c r="B10" s="849"/>
      <c r="C10" s="288"/>
      <c r="X10" s="287"/>
    </row>
    <row r="11" spans="2:24">
      <c r="B11" s="849"/>
      <c r="C11" s="851" t="s">
        <v>260</v>
      </c>
      <c r="D11" s="247" t="s">
        <v>376</v>
      </c>
      <c r="E11" s="248" t="s">
        <v>261</v>
      </c>
      <c r="F11" s="301">
        <f>SUMIFS('EV Data'!$DX$40:$DX$135,'EV Data'!$C$40:$C$135,'EV Forecast VRZ'!F$9)/3</f>
        <v>98</v>
      </c>
      <c r="G11" s="301">
        <f>SUMIFS('EV Data'!$DX$40:$DX$135,'EV Data'!$C$40:$C$135,'EV Forecast VRZ'!G$9)/3</f>
        <v>265</v>
      </c>
      <c r="H11" s="301">
        <f>SUMIFS('EV Data'!$DX$40:$DX$135,'EV Data'!$C$40:$C$135,'EV Forecast VRZ'!H$9)/3</f>
        <v>186</v>
      </c>
      <c r="I11" s="301">
        <f>SUMIFS('EV Data'!$DX$40:$DX$135,'EV Data'!$C$40:$C$135,'EV Forecast VRZ'!I$9)/3</f>
        <v>233</v>
      </c>
      <c r="J11" s="301">
        <f>SUMIFS('EV Data'!$DX$40:$DX$135,'EV Data'!$C$40:$C$135,'EV Forecast VRZ'!J$9)/3</f>
        <v>443</v>
      </c>
      <c r="K11" s="301">
        <f>SUMIFS('EV Data'!$DX$40:$DX$135,'EV Data'!$C$40:$C$135,'EV Forecast VRZ'!K$9)/3</f>
        <v>1066</v>
      </c>
      <c r="L11" s="301">
        <f>SUMIFS('EV Data'!$DX$40:$DX$135,'EV Data'!$C$40:$C$135,'EV Forecast VRZ'!L$9)/3</f>
        <v>1248</v>
      </c>
      <c r="M11" s="301">
        <f>SUMIFS('EV Data'!$DX$40:$DX$135,'EV Data'!$C$40:$C$135,'EV Forecast VRZ'!M$9)/3</f>
        <v>1474</v>
      </c>
      <c r="N11" s="246">
        <f t="shared" ref="N11:X11" si="4">N14+N19+N24</f>
        <v>1717.550983106493</v>
      </c>
      <c r="O11" s="246">
        <f t="shared" si="4"/>
        <v>2056.1561431437303</v>
      </c>
      <c r="P11" s="246">
        <f t="shared" si="4"/>
        <v>2407.618489189214</v>
      </c>
      <c r="Q11" s="246">
        <f t="shared" si="4"/>
        <v>2772.3168666192601</v>
      </c>
      <c r="R11" s="246">
        <f t="shared" si="4"/>
        <v>3150.640131750833</v>
      </c>
      <c r="S11" s="246">
        <f t="shared" si="4"/>
        <v>3542.9874007410203</v>
      </c>
      <c r="T11" s="246">
        <f t="shared" si="4"/>
        <v>3949.7683044381138</v>
      </c>
      <c r="U11" s="246">
        <f t="shared" si="4"/>
        <v>4633.0782211059086</v>
      </c>
      <c r="V11" s="246">
        <f t="shared" si="4"/>
        <v>6985.8762046936035</v>
      </c>
      <c r="W11" s="246">
        <f t="shared" si="4"/>
        <v>9011.7803040547478</v>
      </c>
      <c r="X11" s="245">
        <f t="shared" si="4"/>
        <v>12826.068711817456</v>
      </c>
    </row>
    <row r="12" spans="2:24">
      <c r="B12" s="849"/>
      <c r="C12" s="851"/>
      <c r="D12" s="247" t="s">
        <v>376</v>
      </c>
      <c r="E12" s="248" t="s">
        <v>218</v>
      </c>
      <c r="F12" s="301">
        <f>F11</f>
        <v>98</v>
      </c>
      <c r="G12" s="301">
        <f t="shared" ref="G12:S12" si="5">F12+G11</f>
        <v>363</v>
      </c>
      <c r="H12" s="301">
        <f t="shared" si="5"/>
        <v>549</v>
      </c>
      <c r="I12" s="301">
        <f t="shared" si="5"/>
        <v>782</v>
      </c>
      <c r="J12" s="301">
        <f t="shared" si="5"/>
        <v>1225</v>
      </c>
      <c r="K12" s="301">
        <f t="shared" si="5"/>
        <v>2291</v>
      </c>
      <c r="L12" s="301">
        <f t="shared" si="5"/>
        <v>3539</v>
      </c>
      <c r="M12" s="301">
        <f t="shared" si="5"/>
        <v>5013</v>
      </c>
      <c r="N12" s="246">
        <f t="shared" si="5"/>
        <v>6730.5509831064928</v>
      </c>
      <c r="O12" s="246">
        <f t="shared" si="5"/>
        <v>8786.7071262502232</v>
      </c>
      <c r="P12" s="246">
        <f t="shared" si="5"/>
        <v>11194.325615439437</v>
      </c>
      <c r="Q12" s="246">
        <f t="shared" si="5"/>
        <v>13966.642482058696</v>
      </c>
      <c r="R12" s="246">
        <f t="shared" si="5"/>
        <v>17117.28261380953</v>
      </c>
      <c r="S12" s="246">
        <f t="shared" si="5"/>
        <v>20660.270014550551</v>
      </c>
      <c r="T12" s="246">
        <f>S12+T11-F11</f>
        <v>24512.038318988663</v>
      </c>
      <c r="U12" s="246">
        <f>T12+U11-G11</f>
        <v>28880.116540094572</v>
      </c>
      <c r="V12" s="246">
        <f>U12+V11-H11</f>
        <v>35679.992744788178</v>
      </c>
      <c r="W12" s="246">
        <f>V12+W11-I11</f>
        <v>44458.773048842922</v>
      </c>
      <c r="X12" s="245">
        <f>W12+X11-J11</f>
        <v>56841.841760660376</v>
      </c>
    </row>
    <row r="13" spans="2:24">
      <c r="B13" s="849"/>
      <c r="C13" s="288"/>
      <c r="D13" s="247"/>
      <c r="G13" s="244"/>
      <c r="X13" s="287"/>
    </row>
    <row r="14" spans="2:24">
      <c r="B14" s="849"/>
      <c r="C14" s="852" t="s">
        <v>262</v>
      </c>
      <c r="D14" s="306" t="s">
        <v>376</v>
      </c>
      <c r="E14" s="305" t="s">
        <v>261</v>
      </c>
      <c r="F14" s="304">
        <f>SUMIFS('EV Data'!$DY$40:$DY$135,'EV Data'!$C$40:$C$135,'EV Forecast VRZ'!F$9)/3+SUMIFS('EV Data'!$EA$40:$EA$135,'EV Data'!$C$40:$C$135,'EV Forecast VRZ'!F$9)/3</f>
        <v>98</v>
      </c>
      <c r="G14" s="304">
        <f>SUMIFS('EV Data'!$DY$40:$DY$135,'EV Data'!$C$40:$C$135,'EV Forecast VRZ'!G$9)/3+SUMIFS('EV Data'!$EA$40:$EA$135,'EV Data'!$C$40:$C$135,'EV Forecast VRZ'!G$9)/3</f>
        <v>265</v>
      </c>
      <c r="H14" s="304">
        <f>SUMIFS('EV Data'!$DY$40:$DY$135,'EV Data'!$C$40:$C$135,'EV Forecast VRZ'!H$9)/3+SUMIFS('EV Data'!$EA$40:$EA$135,'EV Data'!$C$40:$C$135,'EV Forecast VRZ'!H$9)/3</f>
        <v>186</v>
      </c>
      <c r="I14" s="304">
        <f>SUMIFS('EV Data'!$DY$40:$DY$135,'EV Data'!$C$40:$C$135,'EV Forecast VRZ'!I$9)/3+SUMIFS('EV Data'!$EA$40:$EA$135,'EV Data'!$C$40:$C$135,'EV Forecast VRZ'!I$9)/3</f>
        <v>233</v>
      </c>
      <c r="J14" s="304">
        <f>SUMIFS('EV Data'!$DY$40:$DY$135,'EV Data'!$C$40:$C$135,'EV Forecast VRZ'!J$9)/3+SUMIFS('EV Data'!$EA$40:$EA$135,'EV Data'!$C$40:$C$135,'EV Forecast VRZ'!J$9)/3</f>
        <v>443</v>
      </c>
      <c r="K14" s="304">
        <f>SUMIFS('EV Data'!$DY$40:$DY$135,'EV Data'!$C$40:$C$135,'EV Forecast VRZ'!K$9)/3+SUMIFS('EV Data'!$EA$40:$EA$135,'EV Data'!$C$40:$C$135,'EV Forecast VRZ'!K$9)/3</f>
        <v>1050</v>
      </c>
      <c r="L14" s="304">
        <f>SUMIFS('EV Data'!$DY$40:$DY$135,'EV Data'!$C$40:$C$135,'EV Forecast VRZ'!L$9)/3+SUMIFS('EV Data'!$EA$40:$EA$135,'EV Data'!$C$40:$C$135,'EV Forecast VRZ'!L$9)/3</f>
        <v>1205</v>
      </c>
      <c r="M14" s="304">
        <f>SUMIFS('EV Data'!$DY$40:$DY$135,'EV Data'!$C$40:$C$135,'EV Forecast VRZ'!M$9)/3+SUMIFS('EV Data'!$EA$40:$EA$135,'EV Data'!$C$40:$C$135,'EV Forecast VRZ'!M$9)/3</f>
        <v>1376</v>
      </c>
      <c r="N14" s="303">
        <f>N35*N$75*N37*N30</f>
        <v>1663.759739470403</v>
      </c>
      <c r="O14" s="303">
        <f t="shared" ref="O14:X14" si="6">O35*O$75*O37*O30</f>
        <v>1991.7602695204378</v>
      </c>
      <c r="P14" s="303">
        <f t="shared" si="6"/>
        <v>2332.2153168766854</v>
      </c>
      <c r="Q14" s="303">
        <f t="shared" si="6"/>
        <v>2685.4918620193753</v>
      </c>
      <c r="R14" s="303">
        <f t="shared" si="6"/>
        <v>3051.9665828410225</v>
      </c>
      <c r="S14" s="303">
        <f t="shared" si="6"/>
        <v>3432.0260957507271</v>
      </c>
      <c r="T14" s="303">
        <f t="shared" si="6"/>
        <v>3826.0672025436825</v>
      </c>
      <c r="U14" s="303">
        <f t="shared" si="6"/>
        <v>4487.9768285837408</v>
      </c>
      <c r="V14" s="303">
        <f t="shared" si="6"/>
        <v>6767.0885397949614</v>
      </c>
      <c r="W14" s="303">
        <f t="shared" si="6"/>
        <v>8729.5442163354983</v>
      </c>
      <c r="X14" s="303">
        <f t="shared" si="6"/>
        <v>12424.374559063548</v>
      </c>
    </row>
    <row r="15" spans="2:24">
      <c r="B15" s="849"/>
      <c r="C15" s="853"/>
      <c r="D15" s="247" t="s">
        <v>376</v>
      </c>
      <c r="E15" s="248" t="s">
        <v>218</v>
      </c>
      <c r="F15" s="301">
        <f>F14</f>
        <v>98</v>
      </c>
      <c r="G15" s="301">
        <f t="shared" ref="G15:O15" si="7">F15+G14</f>
        <v>363</v>
      </c>
      <c r="H15" s="301">
        <f t="shared" si="7"/>
        <v>549</v>
      </c>
      <c r="I15" s="301">
        <f t="shared" si="7"/>
        <v>782</v>
      </c>
      <c r="J15" s="301">
        <f t="shared" si="7"/>
        <v>1225</v>
      </c>
      <c r="K15" s="301">
        <f t="shared" si="7"/>
        <v>2275</v>
      </c>
      <c r="L15" s="301">
        <f t="shared" si="7"/>
        <v>3480</v>
      </c>
      <c r="M15" s="300">
        <f t="shared" si="7"/>
        <v>4856</v>
      </c>
      <c r="N15" s="300">
        <f t="shared" si="7"/>
        <v>6519.7597394704026</v>
      </c>
      <c r="O15" s="300">
        <f t="shared" si="7"/>
        <v>8511.5200089908394</v>
      </c>
      <c r="P15" s="300">
        <f>O15+P14-F14</f>
        <v>10745.735325867525</v>
      </c>
      <c r="Q15" s="300">
        <f t="shared" ref="Q15:X15" si="8">P15+Q14-G14</f>
        <v>13166.2271878869</v>
      </c>
      <c r="R15" s="300">
        <f t="shared" si="8"/>
        <v>16032.193770727921</v>
      </c>
      <c r="S15" s="300">
        <f t="shared" si="8"/>
        <v>19231.219866478648</v>
      </c>
      <c r="T15" s="300">
        <f t="shared" si="8"/>
        <v>22614.287069022332</v>
      </c>
      <c r="U15" s="300">
        <f t="shared" si="8"/>
        <v>26052.263897606073</v>
      </c>
      <c r="V15" s="300">
        <f t="shared" si="8"/>
        <v>31614.352437401038</v>
      </c>
      <c r="W15" s="300">
        <f t="shared" si="8"/>
        <v>38967.896653736534</v>
      </c>
      <c r="X15" s="299">
        <f t="shared" si="8"/>
        <v>49728.51147332968</v>
      </c>
    </row>
    <row r="16" spans="2:24">
      <c r="B16" s="849"/>
      <c r="C16" s="853"/>
      <c r="D16" s="247" t="s">
        <v>376</v>
      </c>
      <c r="E16" s="248" t="s">
        <v>263</v>
      </c>
      <c r="F16" s="301">
        <f>E3</f>
        <v>3358</v>
      </c>
      <c r="G16" s="301">
        <f t="shared" ref="G16:X16" si="9">F16</f>
        <v>3358</v>
      </c>
      <c r="H16" s="301">
        <f t="shared" si="9"/>
        <v>3358</v>
      </c>
      <c r="I16" s="301">
        <f t="shared" si="9"/>
        <v>3358</v>
      </c>
      <c r="J16" s="301">
        <f t="shared" si="9"/>
        <v>3358</v>
      </c>
      <c r="K16" s="301">
        <f t="shared" si="9"/>
        <v>3358</v>
      </c>
      <c r="L16" s="301">
        <f t="shared" si="9"/>
        <v>3358</v>
      </c>
      <c r="M16" s="301">
        <f t="shared" si="9"/>
        <v>3358</v>
      </c>
      <c r="N16" s="301">
        <f t="shared" si="9"/>
        <v>3358</v>
      </c>
      <c r="O16" s="301">
        <f t="shared" si="9"/>
        <v>3358</v>
      </c>
      <c r="P16" s="301">
        <f t="shared" si="9"/>
        <v>3358</v>
      </c>
      <c r="Q16" s="301">
        <f t="shared" si="9"/>
        <v>3358</v>
      </c>
      <c r="R16" s="301">
        <f t="shared" si="9"/>
        <v>3358</v>
      </c>
      <c r="S16" s="301">
        <f t="shared" si="9"/>
        <v>3358</v>
      </c>
      <c r="T16" s="301">
        <f t="shared" si="9"/>
        <v>3358</v>
      </c>
      <c r="U16" s="301">
        <f t="shared" si="9"/>
        <v>3358</v>
      </c>
      <c r="V16" s="301">
        <f t="shared" si="9"/>
        <v>3358</v>
      </c>
      <c r="W16" s="301">
        <f t="shared" si="9"/>
        <v>3358</v>
      </c>
      <c r="X16" s="299">
        <f t="shared" si="9"/>
        <v>3358</v>
      </c>
    </row>
    <row r="17" spans="2:24">
      <c r="B17" s="849"/>
      <c r="C17" s="853"/>
      <c r="D17" s="247" t="s">
        <v>376</v>
      </c>
      <c r="E17" s="248" t="s">
        <v>264</v>
      </c>
      <c r="F17" s="301">
        <f t="shared" ref="F17:X17" si="10">F14*F16</f>
        <v>329084</v>
      </c>
      <c r="G17" s="301">
        <f t="shared" si="10"/>
        <v>889870</v>
      </c>
      <c r="H17" s="301">
        <f t="shared" si="10"/>
        <v>624588</v>
      </c>
      <c r="I17" s="301">
        <f t="shared" si="10"/>
        <v>782414</v>
      </c>
      <c r="J17" s="301">
        <f t="shared" si="10"/>
        <v>1487594</v>
      </c>
      <c r="K17" s="301">
        <f t="shared" si="10"/>
        <v>3525900</v>
      </c>
      <c r="L17" s="301">
        <f t="shared" si="10"/>
        <v>4046390</v>
      </c>
      <c r="M17" s="301">
        <f t="shared" si="10"/>
        <v>4620608</v>
      </c>
      <c r="N17" s="301">
        <f t="shared" si="10"/>
        <v>5586905.2051416133</v>
      </c>
      <c r="O17" s="301">
        <f t="shared" si="10"/>
        <v>6688330.9850496296</v>
      </c>
      <c r="P17" s="301">
        <f t="shared" si="10"/>
        <v>7831579.0340719093</v>
      </c>
      <c r="Q17" s="301">
        <f t="shared" si="10"/>
        <v>9017881.6726610623</v>
      </c>
      <c r="R17" s="301">
        <f t="shared" si="10"/>
        <v>10248503.785180153</v>
      </c>
      <c r="S17" s="301">
        <f t="shared" si="10"/>
        <v>11524743.629530942</v>
      </c>
      <c r="T17" s="301">
        <f t="shared" si="10"/>
        <v>12847933.666141685</v>
      </c>
      <c r="U17" s="301">
        <f t="shared" si="10"/>
        <v>15070626.190384202</v>
      </c>
      <c r="V17" s="301">
        <f t="shared" si="10"/>
        <v>22723883.316631481</v>
      </c>
      <c r="W17" s="301">
        <f t="shared" si="10"/>
        <v>29313809.478454605</v>
      </c>
      <c r="X17" s="299">
        <f t="shared" si="10"/>
        <v>41721049.769335397</v>
      </c>
    </row>
    <row r="18" spans="2:24">
      <c r="B18" s="849"/>
      <c r="C18" s="854"/>
      <c r="D18" s="298" t="s">
        <v>376</v>
      </c>
      <c r="E18" s="297" t="s">
        <v>265</v>
      </c>
      <c r="F18" s="296">
        <f t="shared" ref="F18:X18" si="11">F15*F16-F14*F16/2</f>
        <v>164542</v>
      </c>
      <c r="G18" s="296">
        <f>G15*G16-G14*G16/2</f>
        <v>774019</v>
      </c>
      <c r="H18" s="296">
        <f t="shared" si="11"/>
        <v>1531248</v>
      </c>
      <c r="I18" s="296">
        <f t="shared" si="11"/>
        <v>2234749</v>
      </c>
      <c r="J18" s="296">
        <f t="shared" si="11"/>
        <v>3369753</v>
      </c>
      <c r="K18" s="296">
        <f t="shared" si="11"/>
        <v>5876500</v>
      </c>
      <c r="L18" s="296">
        <f t="shared" si="11"/>
        <v>9662645</v>
      </c>
      <c r="M18" s="296">
        <f t="shared" si="11"/>
        <v>13996144</v>
      </c>
      <c r="N18" s="296">
        <f t="shared" si="11"/>
        <v>19099900.602570806</v>
      </c>
      <c r="O18" s="296">
        <f t="shared" si="11"/>
        <v>25237518.697666425</v>
      </c>
      <c r="P18" s="296">
        <f t="shared" si="11"/>
        <v>32168389.707227193</v>
      </c>
      <c r="Q18" s="296">
        <f t="shared" si="11"/>
        <v>39703250.06059368</v>
      </c>
      <c r="R18" s="296">
        <f t="shared" si="11"/>
        <v>48711854.789514281</v>
      </c>
      <c r="S18" s="296">
        <f t="shared" si="11"/>
        <v>58816064.496869832</v>
      </c>
      <c r="T18" s="296">
        <f t="shared" si="11"/>
        <v>69514809.144706145</v>
      </c>
      <c r="U18" s="296">
        <f t="shared" si="11"/>
        <v>79948189.072969094</v>
      </c>
      <c r="V18" s="296">
        <f t="shared" si="11"/>
        <v>94799053.826476932</v>
      </c>
      <c r="W18" s="296">
        <f t="shared" si="11"/>
        <v>116197292.22401997</v>
      </c>
      <c r="X18" s="407">
        <f t="shared" si="11"/>
        <v>146127816.64277336</v>
      </c>
    </row>
    <row r="19" spans="2:24">
      <c r="B19" s="849"/>
      <c r="C19" s="853" t="s">
        <v>266</v>
      </c>
      <c r="D19" s="306" t="s">
        <v>376</v>
      </c>
      <c r="E19" s="248" t="s">
        <v>261</v>
      </c>
      <c r="F19" s="242">
        <f>SUMIFS('EV Data'!$EB$40:$EB$135,'EV Data'!$C$40:$C$135,'EV Forecast VRZ'!F$9)/3</f>
        <v>0</v>
      </c>
      <c r="G19" s="242">
        <f>SUMIFS('EV Data'!$EB$40:$EB$135,'EV Data'!$C$40:$C$135,'EV Forecast VRZ'!G$9)/3</f>
        <v>0</v>
      </c>
      <c r="H19" s="242">
        <f>SUMIFS('EV Data'!$EB$40:$EB$135,'EV Data'!$C$40:$C$135,'EV Forecast VRZ'!H$9)/3</f>
        <v>0</v>
      </c>
      <c r="I19" s="242">
        <f>SUMIFS('EV Data'!$EB$40:$EB$135,'EV Data'!$C$40:$C$135,'EV Forecast VRZ'!I$9)/3</f>
        <v>0</v>
      </c>
      <c r="J19" s="242">
        <f>SUMIFS('EV Data'!$EB$40:$EB$135,'EV Data'!$C$40:$C$135,'EV Forecast VRZ'!J$9)/3</f>
        <v>0</v>
      </c>
      <c r="K19" s="242">
        <f>SUMIFS('EV Data'!$EB$40:$EB$135,'EV Data'!$C$40:$C$135,'EV Forecast VRZ'!K$9)/3</f>
        <v>2</v>
      </c>
      <c r="L19" s="242">
        <f>SUMIFS('EV Data'!$EB$40:$EB$135,'EV Data'!$C$40:$C$135,'EV Forecast VRZ'!L$9)/3</f>
        <v>1</v>
      </c>
      <c r="M19" s="242">
        <f>SUMIFS('EV Data'!$EB$40:$EB$135,'EV Data'!$C$40:$C$135,'EV Forecast VRZ'!M$9)/3</f>
        <v>6</v>
      </c>
      <c r="N19" s="303">
        <f t="shared" ref="N19:X19" si="12">N35*N$75*N38*N30</f>
        <v>3.0835744759542063</v>
      </c>
      <c r="O19" s="303">
        <f t="shared" si="12"/>
        <v>3.691483201335243</v>
      </c>
      <c r="P19" s="303">
        <f t="shared" si="12"/>
        <v>4.3224748459411391</v>
      </c>
      <c r="Q19" s="303">
        <f t="shared" si="12"/>
        <v>4.977229563050737</v>
      </c>
      <c r="R19" s="303">
        <f t="shared" si="12"/>
        <v>5.6564454789063427</v>
      </c>
      <c r="S19" s="303">
        <f t="shared" si="12"/>
        <v>6.3608391395709525</v>
      </c>
      <c r="T19" s="303">
        <f t="shared" si="12"/>
        <v>7.0911459684705811</v>
      </c>
      <c r="U19" s="303">
        <f t="shared" si="12"/>
        <v>8.3179142210159949</v>
      </c>
      <c r="V19" s="303">
        <f t="shared" si="12"/>
        <v>12.54196805151455</v>
      </c>
      <c r="W19" s="303">
        <f t="shared" si="12"/>
        <v>16.179138786453766</v>
      </c>
      <c r="X19" s="302">
        <f t="shared" si="12"/>
        <v>23.027053342580718</v>
      </c>
    </row>
    <row r="20" spans="2:24">
      <c r="B20" s="849"/>
      <c r="C20" s="853"/>
      <c r="D20" s="247" t="s">
        <v>376</v>
      </c>
      <c r="E20" s="248" t="s">
        <v>218</v>
      </c>
      <c r="F20" s="242">
        <f>F19</f>
        <v>0</v>
      </c>
      <c r="G20" s="242">
        <f t="shared" ref="G20:M20" si="13">F20+G19</f>
        <v>0</v>
      </c>
      <c r="H20" s="242">
        <f t="shared" si="13"/>
        <v>0</v>
      </c>
      <c r="I20" s="242">
        <f t="shared" si="13"/>
        <v>0</v>
      </c>
      <c r="J20" s="242">
        <f t="shared" si="13"/>
        <v>0</v>
      </c>
      <c r="K20" s="242">
        <f t="shared" si="13"/>
        <v>2</v>
      </c>
      <c r="L20" s="242">
        <f t="shared" si="13"/>
        <v>3</v>
      </c>
      <c r="M20" s="242">
        <f t="shared" si="13"/>
        <v>9</v>
      </c>
      <c r="N20" s="300">
        <f t="shared" ref="N20" si="14">M20+N19</f>
        <v>12.083574475954206</v>
      </c>
      <c r="O20" s="300">
        <f t="shared" ref="O20" si="15">N20+O19</f>
        <v>15.77505767728945</v>
      </c>
      <c r="P20" s="300">
        <f>O20+P19-F19</f>
        <v>20.097532523230591</v>
      </c>
      <c r="Q20" s="300">
        <f t="shared" ref="Q20" si="16">P20+Q19-G19</f>
        <v>25.074762086281329</v>
      </c>
      <c r="R20" s="300">
        <f t="shared" ref="R20" si="17">Q20+R19-H19</f>
        <v>30.73120756518767</v>
      </c>
      <c r="S20" s="300">
        <f t="shared" ref="S20" si="18">R20+S19-I19</f>
        <v>37.092046704758623</v>
      </c>
      <c r="T20" s="300">
        <f t="shared" ref="T20" si="19">S20+T19-J19</f>
        <v>44.1831926732292</v>
      </c>
      <c r="U20" s="300">
        <f t="shared" ref="U20" si="20">T20+U19-K19</f>
        <v>50.501106894245197</v>
      </c>
      <c r="V20" s="300">
        <f t="shared" ref="V20" si="21">U20+V19-L19</f>
        <v>62.043074945759749</v>
      </c>
      <c r="W20" s="300">
        <f t="shared" ref="W20" si="22">V20+W19-M19</f>
        <v>72.222213732213518</v>
      </c>
      <c r="X20" s="299">
        <f t="shared" ref="X20" si="23">W20+X19-N19</f>
        <v>92.165692598840025</v>
      </c>
    </row>
    <row r="21" spans="2:24">
      <c r="B21" s="849"/>
      <c r="C21" s="853"/>
      <c r="D21" s="247" t="s">
        <v>376</v>
      </c>
      <c r="E21" s="248" t="s">
        <v>263</v>
      </c>
      <c r="F21" s="301">
        <f>E5</f>
        <v>5000</v>
      </c>
      <c r="G21" s="301">
        <f t="shared" ref="G21:X21" si="24">F21</f>
        <v>5000</v>
      </c>
      <c r="H21" s="301">
        <f t="shared" si="24"/>
        <v>5000</v>
      </c>
      <c r="I21" s="301">
        <f t="shared" si="24"/>
        <v>5000</v>
      </c>
      <c r="J21" s="301">
        <f t="shared" si="24"/>
        <v>5000</v>
      </c>
      <c r="K21" s="301">
        <f t="shared" si="24"/>
        <v>5000</v>
      </c>
      <c r="L21" s="301">
        <f t="shared" si="24"/>
        <v>5000</v>
      </c>
      <c r="M21" s="301">
        <f t="shared" si="24"/>
        <v>5000</v>
      </c>
      <c r="N21" s="301">
        <f t="shared" si="24"/>
        <v>5000</v>
      </c>
      <c r="O21" s="301">
        <f t="shared" si="24"/>
        <v>5000</v>
      </c>
      <c r="P21" s="301">
        <f t="shared" si="24"/>
        <v>5000</v>
      </c>
      <c r="Q21" s="301">
        <f t="shared" si="24"/>
        <v>5000</v>
      </c>
      <c r="R21" s="301">
        <f t="shared" si="24"/>
        <v>5000</v>
      </c>
      <c r="S21" s="301">
        <f t="shared" si="24"/>
        <v>5000</v>
      </c>
      <c r="T21" s="301">
        <f t="shared" si="24"/>
        <v>5000</v>
      </c>
      <c r="U21" s="301">
        <f t="shared" si="24"/>
        <v>5000</v>
      </c>
      <c r="V21" s="301">
        <f t="shared" si="24"/>
        <v>5000</v>
      </c>
      <c r="W21" s="301">
        <f t="shared" si="24"/>
        <v>5000</v>
      </c>
      <c r="X21" s="299">
        <f t="shared" si="24"/>
        <v>5000</v>
      </c>
    </row>
    <row r="22" spans="2:24">
      <c r="B22" s="849"/>
      <c r="C22" s="853"/>
      <c r="D22" s="247" t="s">
        <v>376</v>
      </c>
      <c r="E22" s="248" t="s">
        <v>264</v>
      </c>
      <c r="F22" s="301">
        <f t="shared" ref="F22:X22" si="25">F19*F21</f>
        <v>0</v>
      </c>
      <c r="G22" s="301">
        <f t="shared" si="25"/>
        <v>0</v>
      </c>
      <c r="H22" s="301">
        <f t="shared" si="25"/>
        <v>0</v>
      </c>
      <c r="I22" s="301">
        <f t="shared" si="25"/>
        <v>0</v>
      </c>
      <c r="J22" s="301">
        <f t="shared" si="25"/>
        <v>0</v>
      </c>
      <c r="K22" s="301">
        <f t="shared" si="25"/>
        <v>10000</v>
      </c>
      <c r="L22" s="301">
        <f t="shared" si="25"/>
        <v>5000</v>
      </c>
      <c r="M22" s="301">
        <f t="shared" si="25"/>
        <v>30000</v>
      </c>
      <c r="N22" s="301">
        <f t="shared" si="25"/>
        <v>15417.872379771032</v>
      </c>
      <c r="O22" s="301">
        <f t="shared" si="25"/>
        <v>18457.416006676216</v>
      </c>
      <c r="P22" s="301">
        <f t="shared" si="25"/>
        <v>21612.374229705696</v>
      </c>
      <c r="Q22" s="301">
        <f t="shared" si="25"/>
        <v>24886.147815253684</v>
      </c>
      <c r="R22" s="301">
        <f t="shared" si="25"/>
        <v>28282.227394531714</v>
      </c>
      <c r="S22" s="301">
        <f t="shared" si="25"/>
        <v>31804.195697854764</v>
      </c>
      <c r="T22" s="301">
        <f t="shared" si="25"/>
        <v>35455.729842352906</v>
      </c>
      <c r="U22" s="301">
        <f t="shared" si="25"/>
        <v>41589.571105079973</v>
      </c>
      <c r="V22" s="301">
        <f t="shared" si="25"/>
        <v>62709.840257572752</v>
      </c>
      <c r="W22" s="301">
        <f t="shared" si="25"/>
        <v>80895.693932268827</v>
      </c>
      <c r="X22" s="299">
        <f t="shared" si="25"/>
        <v>115135.26671290358</v>
      </c>
    </row>
    <row r="23" spans="2:24">
      <c r="B23" s="849"/>
      <c r="C23" s="853"/>
      <c r="D23" s="298" t="s">
        <v>376</v>
      </c>
      <c r="E23" s="248" t="s">
        <v>265</v>
      </c>
      <c r="F23" s="296">
        <f t="shared" ref="F23:N23" si="26">F20*F21-F19*F21/2</f>
        <v>0</v>
      </c>
      <c r="G23" s="296">
        <f t="shared" si="26"/>
        <v>0</v>
      </c>
      <c r="H23" s="296">
        <f t="shared" si="26"/>
        <v>0</v>
      </c>
      <c r="I23" s="296">
        <f t="shared" si="26"/>
        <v>0</v>
      </c>
      <c r="J23" s="296">
        <f t="shared" si="26"/>
        <v>0</v>
      </c>
      <c r="K23" s="296">
        <f t="shared" si="26"/>
        <v>5000</v>
      </c>
      <c r="L23" s="296">
        <f t="shared" si="26"/>
        <v>12500</v>
      </c>
      <c r="M23" s="296">
        <f t="shared" si="26"/>
        <v>30000</v>
      </c>
      <c r="N23" s="296">
        <f t="shared" si="26"/>
        <v>52708.93618988552</v>
      </c>
      <c r="O23" s="296">
        <f t="shared" ref="O23:X23" si="27">O20*O21-O19*O21/2</f>
        <v>69646.580383109147</v>
      </c>
      <c r="P23" s="296">
        <f t="shared" si="27"/>
        <v>89681.475501300112</v>
      </c>
      <c r="Q23" s="296">
        <f t="shared" si="27"/>
        <v>112930.73652377981</v>
      </c>
      <c r="R23" s="296">
        <f t="shared" si="27"/>
        <v>139514.92412867249</v>
      </c>
      <c r="S23" s="296">
        <f t="shared" si="27"/>
        <v>169558.13567486574</v>
      </c>
      <c r="T23" s="296">
        <f t="shared" si="27"/>
        <v>203188.09844496954</v>
      </c>
      <c r="U23" s="296">
        <f t="shared" si="27"/>
        <v>231710.748918686</v>
      </c>
      <c r="V23" s="296">
        <f t="shared" si="27"/>
        <v>278860.4546000124</v>
      </c>
      <c r="W23" s="296">
        <f t="shared" si="27"/>
        <v>320663.22169493313</v>
      </c>
      <c r="X23" s="407">
        <f t="shared" si="27"/>
        <v>403260.82963774831</v>
      </c>
    </row>
    <row r="24" spans="2:24">
      <c r="B24" s="849"/>
      <c r="C24" s="852" t="s">
        <v>267</v>
      </c>
      <c r="D24" s="306" t="s">
        <v>376</v>
      </c>
      <c r="E24" s="305" t="s">
        <v>261</v>
      </c>
      <c r="F24" s="650">
        <f>SUMIFS('EV Data'!$DZ$40:$DZ$135,'EV Data'!$C$40:$C$135,'EV Forecast VRZ'!F$9)/3</f>
        <v>0</v>
      </c>
      <c r="G24" s="650">
        <f>SUMIFS('EV Data'!$DZ$40:$DZ$135,'EV Data'!$C$40:$C$135,'EV Forecast VRZ'!G$9)/3</f>
        <v>0</v>
      </c>
      <c r="H24" s="650">
        <f>SUMIFS('EV Data'!$DZ$40:$DZ$135,'EV Data'!$C$40:$C$135,'EV Forecast VRZ'!H$9)/3</f>
        <v>0</v>
      </c>
      <c r="I24" s="650">
        <f>SUMIFS('EV Data'!$DZ$40:$DZ$135,'EV Data'!$C$40:$C$135,'EV Forecast VRZ'!I$9)/3</f>
        <v>0</v>
      </c>
      <c r="J24" s="650">
        <f>SUMIFS('EV Data'!$DZ$40:$DZ$135,'EV Data'!$C$40:$C$135,'EV Forecast VRZ'!J$9)/3</f>
        <v>0</v>
      </c>
      <c r="K24" s="650">
        <f>SUMIFS('EV Data'!$DZ$40:$DZ$135,'EV Data'!$C$40:$C$135,'EV Forecast VRZ'!K$9)/3</f>
        <v>14</v>
      </c>
      <c r="L24" s="650">
        <f>SUMIFS('EV Data'!$DZ$40:$DZ$135,'EV Data'!$C$40:$C$135,'EV Forecast VRZ'!L$9)/3</f>
        <v>42</v>
      </c>
      <c r="M24" s="650">
        <f>SUMIFS('EV Data'!$DZ$40:$DZ$135,'EV Data'!$C$40:$C$135,'EV Forecast VRZ'!M$9)/3</f>
        <v>92</v>
      </c>
      <c r="N24" s="303">
        <f t="shared" ref="N24:X24" si="28">N35*N$75*N39*N30</f>
        <v>50.707669160135843</v>
      </c>
      <c r="O24" s="303">
        <f t="shared" si="28"/>
        <v>60.704390421957328</v>
      </c>
      <c r="P24" s="303">
        <f t="shared" si="28"/>
        <v>71.080697466587608</v>
      </c>
      <c r="Q24" s="303">
        <f t="shared" si="28"/>
        <v>81.847775036834335</v>
      </c>
      <c r="R24" s="303">
        <f t="shared" si="28"/>
        <v>93.017103430904299</v>
      </c>
      <c r="S24" s="303">
        <f t="shared" si="28"/>
        <v>104.60046585072234</v>
      </c>
      <c r="T24" s="303">
        <f t="shared" si="28"/>
        <v>116.60995592596068</v>
      </c>
      <c r="U24" s="303">
        <f t="shared" si="28"/>
        <v>136.78347830115189</v>
      </c>
      <c r="V24" s="303">
        <f t="shared" si="28"/>
        <v>206.24569684712816</v>
      </c>
      <c r="W24" s="303">
        <f t="shared" si="28"/>
        <v>266.05694893279531</v>
      </c>
      <c r="X24" s="302">
        <f t="shared" si="28"/>
        <v>378.66709941132729</v>
      </c>
    </row>
    <row r="25" spans="2:24">
      <c r="B25" s="849"/>
      <c r="C25" s="853"/>
      <c r="D25" s="247" t="s">
        <v>376</v>
      </c>
      <c r="E25" s="248" t="s">
        <v>218</v>
      </c>
      <c r="F25" s="242">
        <f>F24</f>
        <v>0</v>
      </c>
      <c r="G25" s="242">
        <f t="shared" ref="G25:O25" si="29">F25+G24</f>
        <v>0</v>
      </c>
      <c r="H25" s="242">
        <f t="shared" si="29"/>
        <v>0</v>
      </c>
      <c r="I25" s="242">
        <f t="shared" si="29"/>
        <v>0</v>
      </c>
      <c r="J25" s="242">
        <f t="shared" si="29"/>
        <v>0</v>
      </c>
      <c r="K25" s="242">
        <f t="shared" si="29"/>
        <v>14</v>
      </c>
      <c r="L25" s="242">
        <f t="shared" si="29"/>
        <v>56</v>
      </c>
      <c r="M25" s="242">
        <f t="shared" si="29"/>
        <v>148</v>
      </c>
      <c r="N25" s="242">
        <f t="shared" si="29"/>
        <v>198.70766916013585</v>
      </c>
      <c r="O25" s="242">
        <f t="shared" si="29"/>
        <v>259.41205958209321</v>
      </c>
      <c r="P25" s="300">
        <f>O25+P24-F24</f>
        <v>330.4927570486808</v>
      </c>
      <c r="Q25" s="300">
        <f t="shared" ref="Q25" si="30">P25+Q24-G24</f>
        <v>412.34053208551512</v>
      </c>
      <c r="R25" s="300">
        <f t="shared" ref="R25" si="31">Q25+R24-H24</f>
        <v>505.35763551641941</v>
      </c>
      <c r="S25" s="300">
        <f t="shared" ref="S25" si="32">R25+S24-I24</f>
        <v>609.95810136714181</v>
      </c>
      <c r="T25" s="300">
        <f t="shared" ref="T25" si="33">S25+T24-J24</f>
        <v>726.56805729310247</v>
      </c>
      <c r="U25" s="300">
        <f t="shared" ref="U25" si="34">T25+U24-K24</f>
        <v>849.3515355942543</v>
      </c>
      <c r="V25" s="300">
        <f t="shared" ref="V25" si="35">U25+V24-L24</f>
        <v>1013.5972324413824</v>
      </c>
      <c r="W25" s="300">
        <f t="shared" ref="W25" si="36">V25+W24-M24</f>
        <v>1187.6541813741778</v>
      </c>
      <c r="X25" s="299">
        <f t="shared" ref="X25" si="37">W25+X24-N24</f>
        <v>1515.6136116253695</v>
      </c>
    </row>
    <row r="26" spans="2:24">
      <c r="B26" s="849"/>
      <c r="C26" s="853"/>
      <c r="D26" s="247" t="s">
        <v>376</v>
      </c>
      <c r="E26" s="248" t="s">
        <v>263</v>
      </c>
      <c r="F26" s="301"/>
      <c r="G26" s="301"/>
      <c r="H26" s="301"/>
      <c r="I26" s="301"/>
      <c r="J26" s="301"/>
      <c r="K26" s="301">
        <f>E6</f>
        <v>6000</v>
      </c>
      <c r="L26" s="301">
        <f t="shared" ref="L26:X26" si="38">K26</f>
        <v>6000</v>
      </c>
      <c r="M26" s="301">
        <f t="shared" si="38"/>
        <v>6000</v>
      </c>
      <c r="N26" s="301">
        <f t="shared" si="38"/>
        <v>6000</v>
      </c>
      <c r="O26" s="301">
        <f t="shared" si="38"/>
        <v>6000</v>
      </c>
      <c r="P26" s="301">
        <f t="shared" si="38"/>
        <v>6000</v>
      </c>
      <c r="Q26" s="301">
        <f t="shared" si="38"/>
        <v>6000</v>
      </c>
      <c r="R26" s="301">
        <f t="shared" si="38"/>
        <v>6000</v>
      </c>
      <c r="S26" s="301">
        <f t="shared" si="38"/>
        <v>6000</v>
      </c>
      <c r="T26" s="301">
        <f t="shared" si="38"/>
        <v>6000</v>
      </c>
      <c r="U26" s="301">
        <f t="shared" si="38"/>
        <v>6000</v>
      </c>
      <c r="V26" s="301">
        <f t="shared" si="38"/>
        <v>6000</v>
      </c>
      <c r="W26" s="301">
        <f t="shared" si="38"/>
        <v>6000</v>
      </c>
      <c r="X26" s="299">
        <f t="shared" si="38"/>
        <v>6000</v>
      </c>
    </row>
    <row r="27" spans="2:24">
      <c r="B27" s="849"/>
      <c r="C27" s="853"/>
      <c r="D27" s="247" t="s">
        <v>376</v>
      </c>
      <c r="E27" s="248" t="s">
        <v>264</v>
      </c>
      <c r="F27" s="301">
        <f t="shared" ref="F27:X27" si="39">F24*F26</f>
        <v>0</v>
      </c>
      <c r="G27" s="301">
        <f t="shared" si="39"/>
        <v>0</v>
      </c>
      <c r="H27" s="301">
        <f t="shared" si="39"/>
        <v>0</v>
      </c>
      <c r="I27" s="301">
        <f t="shared" si="39"/>
        <v>0</v>
      </c>
      <c r="J27" s="301">
        <f t="shared" si="39"/>
        <v>0</v>
      </c>
      <c r="K27" s="301">
        <f t="shared" si="39"/>
        <v>84000</v>
      </c>
      <c r="L27" s="301">
        <f t="shared" si="39"/>
        <v>252000</v>
      </c>
      <c r="M27" s="301">
        <f t="shared" si="39"/>
        <v>552000</v>
      </c>
      <c r="N27" s="301">
        <f t="shared" si="39"/>
        <v>304246.01496081508</v>
      </c>
      <c r="O27" s="301">
        <f t="shared" si="39"/>
        <v>364226.34253174398</v>
      </c>
      <c r="P27" s="301">
        <f t="shared" si="39"/>
        <v>426484.18479952565</v>
      </c>
      <c r="Q27" s="301">
        <f t="shared" si="39"/>
        <v>491086.65022100601</v>
      </c>
      <c r="R27" s="301">
        <f t="shared" si="39"/>
        <v>558102.62058542576</v>
      </c>
      <c r="S27" s="301">
        <f t="shared" si="39"/>
        <v>627602.79510433401</v>
      </c>
      <c r="T27" s="301">
        <f t="shared" si="39"/>
        <v>699659.73555576405</v>
      </c>
      <c r="U27" s="301">
        <f t="shared" si="39"/>
        <v>820700.86980691133</v>
      </c>
      <c r="V27" s="301">
        <f t="shared" si="39"/>
        <v>1237474.1810827691</v>
      </c>
      <c r="W27" s="301">
        <f t="shared" si="39"/>
        <v>1596341.6935967719</v>
      </c>
      <c r="X27" s="299">
        <f t="shared" si="39"/>
        <v>2272002.5964679639</v>
      </c>
    </row>
    <row r="28" spans="2:24">
      <c r="B28" s="849"/>
      <c r="C28" s="854"/>
      <c r="D28" s="298" t="s">
        <v>376</v>
      </c>
      <c r="E28" s="297" t="s">
        <v>265</v>
      </c>
      <c r="F28" s="296">
        <f t="shared" ref="F28:X28" si="40">F25*F26-F24*F26/2</f>
        <v>0</v>
      </c>
      <c r="G28" s="296">
        <f t="shared" si="40"/>
        <v>0</v>
      </c>
      <c r="H28" s="296">
        <f t="shared" si="40"/>
        <v>0</v>
      </c>
      <c r="I28" s="296">
        <f t="shared" si="40"/>
        <v>0</v>
      </c>
      <c r="J28" s="296">
        <f t="shared" si="40"/>
        <v>0</v>
      </c>
      <c r="K28" s="296">
        <f t="shared" si="40"/>
        <v>42000</v>
      </c>
      <c r="L28" s="296">
        <f t="shared" si="40"/>
        <v>210000</v>
      </c>
      <c r="M28" s="296">
        <f t="shared" si="40"/>
        <v>612000</v>
      </c>
      <c r="N28" s="296">
        <f t="shared" si="40"/>
        <v>1040123.0074804076</v>
      </c>
      <c r="O28" s="296">
        <f t="shared" si="40"/>
        <v>1374359.1862266872</v>
      </c>
      <c r="P28" s="296">
        <f t="shared" si="40"/>
        <v>1769714.4498923221</v>
      </c>
      <c r="Q28" s="296">
        <f t="shared" si="40"/>
        <v>2228499.8674025876</v>
      </c>
      <c r="R28" s="296">
        <f t="shared" si="40"/>
        <v>2753094.5028058034</v>
      </c>
      <c r="S28" s="296">
        <f t="shared" si="40"/>
        <v>3345947.2106506838</v>
      </c>
      <c r="T28" s="296">
        <f t="shared" si="40"/>
        <v>4009578.4759807326</v>
      </c>
      <c r="U28" s="296">
        <f t="shared" si="40"/>
        <v>4685758.7786620697</v>
      </c>
      <c r="V28" s="296">
        <f t="shared" si="40"/>
        <v>5462846.3041069098</v>
      </c>
      <c r="W28" s="296">
        <f t="shared" si="40"/>
        <v>6327754.2414466813</v>
      </c>
      <c r="X28" s="407">
        <f t="shared" si="40"/>
        <v>7957680.3715182338</v>
      </c>
    </row>
    <row r="29" spans="2:24">
      <c r="B29" s="849"/>
      <c r="C29" s="288"/>
      <c r="X29" s="287"/>
    </row>
    <row r="30" spans="2:24">
      <c r="B30" s="849"/>
      <c r="C30" s="288"/>
      <c r="E30" s="248" t="s">
        <v>377</v>
      </c>
      <c r="F30" s="408">
        <f t="shared" ref="F30:M30" si="41">F32/F33</f>
        <v>2.75049115913556E-2</v>
      </c>
      <c r="G30" s="408">
        <f t="shared" si="41"/>
        <v>3.2254138266796496E-2</v>
      </c>
      <c r="H30" s="408">
        <f t="shared" si="41"/>
        <v>2.8345016763181956E-2</v>
      </c>
      <c r="I30" s="408">
        <f t="shared" si="41"/>
        <v>2.8550422742310993E-2</v>
      </c>
      <c r="J30" s="408">
        <f t="shared" si="41"/>
        <v>2.9890020916267458E-2</v>
      </c>
      <c r="K30" s="408">
        <f t="shared" si="41"/>
        <v>3.2516853247109782E-2</v>
      </c>
      <c r="L30" s="408">
        <f t="shared" si="41"/>
        <v>3.2302316552348907E-2</v>
      </c>
      <c r="M30" s="408">
        <f t="shared" si="41"/>
        <v>3.5382510381910273E-2</v>
      </c>
      <c r="N30" s="227">
        <f>AVERAGE(K30:M30)</f>
        <v>3.3400560060456323E-2</v>
      </c>
      <c r="O30" s="227">
        <f>N30</f>
        <v>3.3400560060456323E-2</v>
      </c>
      <c r="P30" s="227">
        <f t="shared" ref="P30:X30" si="42">O30</f>
        <v>3.3400560060456323E-2</v>
      </c>
      <c r="Q30" s="227">
        <f t="shared" si="42"/>
        <v>3.3400560060456323E-2</v>
      </c>
      <c r="R30" s="227">
        <f t="shared" si="42"/>
        <v>3.3400560060456323E-2</v>
      </c>
      <c r="S30" s="227">
        <f t="shared" si="42"/>
        <v>3.3400560060456323E-2</v>
      </c>
      <c r="T30" s="227">
        <f t="shared" si="42"/>
        <v>3.3400560060456323E-2</v>
      </c>
      <c r="U30" s="227">
        <f t="shared" si="42"/>
        <v>3.3400560060456323E-2</v>
      </c>
      <c r="V30" s="227">
        <f t="shared" si="42"/>
        <v>3.3400560060456323E-2</v>
      </c>
      <c r="W30" s="227">
        <f t="shared" si="42"/>
        <v>3.3400560060456323E-2</v>
      </c>
      <c r="X30" s="227">
        <f t="shared" si="42"/>
        <v>3.3400560060456323E-2</v>
      </c>
    </row>
    <row r="31" spans="2:24">
      <c r="B31" s="849"/>
      <c r="C31" s="288"/>
      <c r="X31" s="287"/>
    </row>
    <row r="32" spans="2:24">
      <c r="B32" s="849"/>
      <c r="C32" s="288"/>
      <c r="D32" s="247" t="s">
        <v>376</v>
      </c>
      <c r="E32" s="248" t="s">
        <v>268</v>
      </c>
      <c r="F32" s="214">
        <f t="shared" ref="F32:M32" si="43">F11</f>
        <v>98</v>
      </c>
      <c r="G32" s="214">
        <f t="shared" si="43"/>
        <v>265</v>
      </c>
      <c r="H32" s="214">
        <f t="shared" si="43"/>
        <v>186</v>
      </c>
      <c r="I32" s="214">
        <f t="shared" si="43"/>
        <v>233</v>
      </c>
      <c r="J32" s="214">
        <f t="shared" si="43"/>
        <v>443</v>
      </c>
      <c r="K32" s="214">
        <f t="shared" si="43"/>
        <v>1066</v>
      </c>
      <c r="L32" s="214">
        <f t="shared" si="43"/>
        <v>1248</v>
      </c>
      <c r="M32" s="214">
        <f t="shared" si="43"/>
        <v>1474</v>
      </c>
      <c r="X32" s="287"/>
    </row>
    <row r="33" spans="2:24">
      <c r="B33" s="849"/>
      <c r="C33" s="288"/>
      <c r="D33" s="241" t="s">
        <v>73</v>
      </c>
      <c r="E33" s="248" t="s">
        <v>268</v>
      </c>
      <c r="F33" s="301">
        <f>SUMIFS('EV Data'!$F$40:$F$135,'EV Data'!$C$40:$C$135,'EV Forecast VRZ'!F$9)/3</f>
        <v>3563</v>
      </c>
      <c r="G33" s="301">
        <f>SUMIFS('EV Data'!$F$40:$F$135,'EV Data'!$C$40:$C$135,'EV Forecast VRZ'!G$9)/3</f>
        <v>8216</v>
      </c>
      <c r="H33" s="301">
        <f>SUMIFS('EV Data'!$F$40:$F$135,'EV Data'!$C$40:$C$135,'EV Forecast VRZ'!H$9)/3</f>
        <v>6562</v>
      </c>
      <c r="I33" s="301">
        <f>SUMIFS('EV Data'!$F$40:$F$135,'EV Data'!$C$40:$C$135,'EV Forecast VRZ'!I$9)/3</f>
        <v>8161</v>
      </c>
      <c r="J33" s="301">
        <f>SUMIFS('EV Data'!$F$40:$F$135,'EV Data'!$C$40:$C$135,'EV Forecast VRZ'!J$9)/3</f>
        <v>14821</v>
      </c>
      <c r="K33" s="301">
        <f>SUMIFS('EV Data'!$F$40:$F$135,'EV Data'!$C$40:$C$135,'EV Forecast VRZ'!K$9)/3</f>
        <v>32783</v>
      </c>
      <c r="L33" s="301">
        <f>SUMIFS('EV Data'!$F$40:$F$135,'EV Data'!$C$40:$C$135,'EV Forecast VRZ'!L$9)/3</f>
        <v>38635</v>
      </c>
      <c r="M33" s="301">
        <f>SUMIFS('EV Data'!$F$40:$F$135,'EV Data'!$C$40:$C$135,'EV Forecast VRZ'!M$9)/3</f>
        <v>41659</v>
      </c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86"/>
    </row>
    <row r="34" spans="2:24">
      <c r="B34" s="849"/>
      <c r="C34" s="288"/>
      <c r="D34" s="24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299"/>
    </row>
    <row r="35" spans="2:24">
      <c r="B35" s="849"/>
      <c r="C35" s="284"/>
      <c r="D35" s="239" t="s">
        <v>270</v>
      </c>
      <c r="E35" s="305"/>
      <c r="F35" s="400">
        <f t="shared" ref="F35:M35" si="44">F33/F75</f>
        <v>4.4459972922216888E-3</v>
      </c>
      <c r="G35" s="400">
        <f t="shared" si="44"/>
        <v>1.0288351847608171E-2</v>
      </c>
      <c r="H35" s="400">
        <f t="shared" si="44"/>
        <v>8.2429108705428366E-3</v>
      </c>
      <c r="I35" s="400">
        <f t="shared" si="44"/>
        <v>1.3589051497193439E-2</v>
      </c>
      <c r="J35" s="400">
        <f t="shared" si="44"/>
        <v>2.3627859224446331E-2</v>
      </c>
      <c r="K35" s="400">
        <f t="shared" si="44"/>
        <v>5.5143911091524125E-2</v>
      </c>
      <c r="L35" s="400">
        <f t="shared" si="44"/>
        <v>5.7067862529006606E-2</v>
      </c>
      <c r="M35" s="400">
        <f t="shared" si="44"/>
        <v>5.9575581719610506E-2</v>
      </c>
      <c r="N35" s="410">
        <f t="shared" ref="N35:X35" si="45">N74*($M$35/($M$35+$M$67))</f>
        <v>7.2096663589256385E-2</v>
      </c>
      <c r="O35" s="410">
        <f t="shared" si="45"/>
        <v>8.4617745458902272E-2</v>
      </c>
      <c r="P35" s="410">
        <f t="shared" si="45"/>
        <v>9.7138827328548144E-2</v>
      </c>
      <c r="Q35" s="410">
        <f t="shared" si="45"/>
        <v>0.10965990919819403</v>
      </c>
      <c r="R35" s="410">
        <f t="shared" si="45"/>
        <v>0.1221809910678399</v>
      </c>
      <c r="S35" s="410">
        <f t="shared" si="45"/>
        <v>0.13470207293748579</v>
      </c>
      <c r="T35" s="410">
        <f t="shared" si="45"/>
        <v>0.14722315480713163</v>
      </c>
      <c r="U35" s="410">
        <f t="shared" si="45"/>
        <v>0.1693066280282014</v>
      </c>
      <c r="V35" s="410">
        <f t="shared" si="45"/>
        <v>0.25027936317212379</v>
      </c>
      <c r="W35" s="410">
        <f t="shared" si="45"/>
        <v>0.31652978283533301</v>
      </c>
      <c r="X35" s="409">
        <f t="shared" si="45"/>
        <v>0.44166946442139493</v>
      </c>
    </row>
    <row r="36" spans="2:24">
      <c r="B36" s="849"/>
      <c r="C36" s="288"/>
      <c r="F36" s="399"/>
      <c r="G36" s="399"/>
      <c r="H36" s="399"/>
      <c r="I36" s="399"/>
      <c r="J36" s="399"/>
      <c r="K36" s="399"/>
      <c r="L36" s="399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5"/>
    </row>
    <row r="37" spans="2:24">
      <c r="B37" s="849"/>
      <c r="C37" s="288"/>
      <c r="D37" s="241" t="s">
        <v>73</v>
      </c>
      <c r="E37" s="248" t="s">
        <v>271</v>
      </c>
      <c r="F37" s="399">
        <f t="shared" ref="F37:M37" si="46">F15/F$12</f>
        <v>1</v>
      </c>
      <c r="G37" s="399">
        <f t="shared" si="46"/>
        <v>1</v>
      </c>
      <c r="H37" s="399">
        <f t="shared" si="46"/>
        <v>1</v>
      </c>
      <c r="I37" s="399">
        <f t="shared" si="46"/>
        <v>1</v>
      </c>
      <c r="J37" s="399">
        <f t="shared" si="46"/>
        <v>1</v>
      </c>
      <c r="K37" s="399">
        <f t="shared" si="46"/>
        <v>0.99301615015277167</v>
      </c>
      <c r="L37" s="399">
        <f t="shared" si="46"/>
        <v>0.98332862390505793</v>
      </c>
      <c r="M37" s="399">
        <f t="shared" si="46"/>
        <v>0.9686814282864552</v>
      </c>
      <c r="N37" s="236">
        <f t="shared" ref="N37:X37" si="47">M37</f>
        <v>0.9686814282864552</v>
      </c>
      <c r="O37" s="236">
        <f t="shared" si="47"/>
        <v>0.9686814282864552</v>
      </c>
      <c r="P37" s="236">
        <f t="shared" si="47"/>
        <v>0.9686814282864552</v>
      </c>
      <c r="Q37" s="236">
        <f t="shared" si="47"/>
        <v>0.9686814282864552</v>
      </c>
      <c r="R37" s="236">
        <f t="shared" si="47"/>
        <v>0.9686814282864552</v>
      </c>
      <c r="S37" s="236">
        <f t="shared" si="47"/>
        <v>0.9686814282864552</v>
      </c>
      <c r="T37" s="236">
        <f t="shared" si="47"/>
        <v>0.9686814282864552</v>
      </c>
      <c r="U37" s="236">
        <f t="shared" si="47"/>
        <v>0.9686814282864552</v>
      </c>
      <c r="V37" s="236">
        <f t="shared" si="47"/>
        <v>0.9686814282864552</v>
      </c>
      <c r="W37" s="236">
        <f t="shared" si="47"/>
        <v>0.9686814282864552</v>
      </c>
      <c r="X37" s="235">
        <f t="shared" si="47"/>
        <v>0.9686814282864552</v>
      </c>
    </row>
    <row r="38" spans="2:24">
      <c r="B38" s="849"/>
      <c r="C38" s="288"/>
      <c r="D38" s="241" t="s">
        <v>73</v>
      </c>
      <c r="E38" s="248" t="s">
        <v>272</v>
      </c>
      <c r="F38" s="399">
        <f t="shared" ref="F38:M38" si="48">F20/F$12</f>
        <v>0</v>
      </c>
      <c r="G38" s="399">
        <f t="shared" si="48"/>
        <v>0</v>
      </c>
      <c r="H38" s="399">
        <f t="shared" si="48"/>
        <v>0</v>
      </c>
      <c r="I38" s="399">
        <f t="shared" si="48"/>
        <v>0</v>
      </c>
      <c r="J38" s="399">
        <f t="shared" si="48"/>
        <v>0</v>
      </c>
      <c r="K38" s="399">
        <f t="shared" si="48"/>
        <v>8.7298123090353555E-4</v>
      </c>
      <c r="L38" s="399">
        <f t="shared" si="48"/>
        <v>8.4769708957332577E-4</v>
      </c>
      <c r="M38" s="399">
        <f t="shared" si="48"/>
        <v>1.7953321364452424E-3</v>
      </c>
      <c r="N38" s="236">
        <f t="shared" ref="N38:X38" si="49">M38</f>
        <v>1.7953321364452424E-3</v>
      </c>
      <c r="O38" s="236">
        <f t="shared" si="49"/>
        <v>1.7953321364452424E-3</v>
      </c>
      <c r="P38" s="236">
        <f t="shared" si="49"/>
        <v>1.7953321364452424E-3</v>
      </c>
      <c r="Q38" s="236">
        <f t="shared" si="49"/>
        <v>1.7953321364452424E-3</v>
      </c>
      <c r="R38" s="236">
        <f t="shared" si="49"/>
        <v>1.7953321364452424E-3</v>
      </c>
      <c r="S38" s="236">
        <f t="shared" si="49"/>
        <v>1.7953321364452424E-3</v>
      </c>
      <c r="T38" s="236">
        <f t="shared" si="49"/>
        <v>1.7953321364452424E-3</v>
      </c>
      <c r="U38" s="236">
        <f t="shared" si="49"/>
        <v>1.7953321364452424E-3</v>
      </c>
      <c r="V38" s="236">
        <f t="shared" si="49"/>
        <v>1.7953321364452424E-3</v>
      </c>
      <c r="W38" s="236">
        <f t="shared" si="49"/>
        <v>1.7953321364452424E-3</v>
      </c>
      <c r="X38" s="235">
        <f t="shared" si="49"/>
        <v>1.7953321364452424E-3</v>
      </c>
    </row>
    <row r="39" spans="2:24">
      <c r="B39" s="849"/>
      <c r="C39" s="288"/>
      <c r="D39" s="241" t="s">
        <v>73</v>
      </c>
      <c r="E39" s="248" t="s">
        <v>273</v>
      </c>
      <c r="F39" s="399">
        <f t="shared" ref="F39:M39" si="50">F25/F$12</f>
        <v>0</v>
      </c>
      <c r="G39" s="399">
        <f t="shared" si="50"/>
        <v>0</v>
      </c>
      <c r="H39" s="399">
        <f t="shared" si="50"/>
        <v>0</v>
      </c>
      <c r="I39" s="399">
        <f t="shared" si="50"/>
        <v>0</v>
      </c>
      <c r="J39" s="399">
        <f t="shared" si="50"/>
        <v>0</v>
      </c>
      <c r="K39" s="399">
        <f t="shared" si="50"/>
        <v>6.1108686163247493E-3</v>
      </c>
      <c r="L39" s="399">
        <f t="shared" si="50"/>
        <v>1.5823679005368747E-2</v>
      </c>
      <c r="M39" s="399">
        <f t="shared" si="50"/>
        <v>2.9523239577099541E-2</v>
      </c>
      <c r="N39" s="236">
        <f t="shared" ref="N39:X39" si="51">M39</f>
        <v>2.9523239577099541E-2</v>
      </c>
      <c r="O39" s="236">
        <f t="shared" si="51"/>
        <v>2.9523239577099541E-2</v>
      </c>
      <c r="P39" s="236">
        <f t="shared" si="51"/>
        <v>2.9523239577099541E-2</v>
      </c>
      <c r="Q39" s="236">
        <f t="shared" si="51"/>
        <v>2.9523239577099541E-2</v>
      </c>
      <c r="R39" s="236">
        <f t="shared" si="51"/>
        <v>2.9523239577099541E-2</v>
      </c>
      <c r="S39" s="236">
        <f t="shared" si="51"/>
        <v>2.9523239577099541E-2</v>
      </c>
      <c r="T39" s="236">
        <f t="shared" si="51"/>
        <v>2.9523239577099541E-2</v>
      </c>
      <c r="U39" s="236">
        <f t="shared" si="51"/>
        <v>2.9523239577099541E-2</v>
      </c>
      <c r="V39" s="236">
        <f t="shared" si="51"/>
        <v>2.9523239577099541E-2</v>
      </c>
      <c r="W39" s="236">
        <f t="shared" si="51"/>
        <v>2.9523239577099541E-2</v>
      </c>
      <c r="X39" s="235">
        <f t="shared" si="51"/>
        <v>2.9523239577099541E-2</v>
      </c>
    </row>
    <row r="40" spans="2:24">
      <c r="B40" s="850"/>
      <c r="C40" s="288"/>
      <c r="D40" s="241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  <c r="X40" s="407"/>
    </row>
    <row r="41" spans="2:24">
      <c r="B41" s="848" t="s">
        <v>221</v>
      </c>
      <c r="C41" s="284"/>
      <c r="D41" s="305"/>
      <c r="E41" s="249"/>
      <c r="F41" s="307">
        <v>2017</v>
      </c>
      <c r="G41" s="307">
        <v>2018</v>
      </c>
      <c r="H41" s="307">
        <v>2019</v>
      </c>
      <c r="I41" s="307">
        <v>2020</v>
      </c>
      <c r="J41" s="307">
        <v>2021</v>
      </c>
      <c r="K41" s="307">
        <v>2022</v>
      </c>
      <c r="L41" s="307">
        <v>2023</v>
      </c>
      <c r="M41" s="307">
        <v>2024</v>
      </c>
      <c r="N41" s="307">
        <v>2025</v>
      </c>
      <c r="O41" s="307">
        <v>2026</v>
      </c>
      <c r="P41" s="307">
        <v>2027</v>
      </c>
      <c r="Q41" s="307">
        <v>2028</v>
      </c>
      <c r="R41" s="307">
        <v>2029</v>
      </c>
      <c r="S41" s="307">
        <v>2030</v>
      </c>
      <c r="T41" s="307">
        <v>2031</v>
      </c>
      <c r="U41" s="307">
        <v>2032</v>
      </c>
      <c r="V41" s="307">
        <v>2033</v>
      </c>
      <c r="W41" s="307">
        <v>2034</v>
      </c>
      <c r="X41" s="307">
        <v>2035</v>
      </c>
    </row>
    <row r="42" spans="2:24">
      <c r="B42" s="849"/>
      <c r="C42" s="288"/>
      <c r="X42" s="287"/>
    </row>
    <row r="43" spans="2:24">
      <c r="B43" s="849"/>
      <c r="C43" s="851" t="s">
        <v>260</v>
      </c>
      <c r="D43" s="247" t="s">
        <v>376</v>
      </c>
      <c r="E43" s="248" t="s">
        <v>261</v>
      </c>
      <c r="F43" s="301">
        <f>SUMIFS('EV Data'!$EC$40:$EC$135,'EV Data'!$C$40:$C$135,'EV Forecast VRZ'!F$9)/3</f>
        <v>125</v>
      </c>
      <c r="G43" s="301">
        <f>SUMIFS('EV Data'!$EC$40:$EC$135,'EV Data'!$C$40:$C$135,'EV Forecast VRZ'!G$9)/3</f>
        <v>281</v>
      </c>
      <c r="H43" s="301">
        <f>SUMIFS('EV Data'!$EC$40:$EC$135,'EV Data'!$C$40:$C$135,'EV Forecast VRZ'!H$9)/3</f>
        <v>71</v>
      </c>
      <c r="I43" s="301">
        <f>SUMIFS('EV Data'!$EC$40:$EC$135,'EV Data'!$C$40:$C$135,'EV Forecast VRZ'!I$9)/3</f>
        <v>52</v>
      </c>
      <c r="J43" s="301">
        <f>SUMIFS('EV Data'!$EC$40:$EC$135,'EV Data'!$C$40:$C$135,'EV Forecast VRZ'!J$9)/3</f>
        <v>129</v>
      </c>
      <c r="K43" s="301">
        <f>SUMIFS('EV Data'!$EC$40:$EC$135,'EV Data'!$C$40:$C$135,'EV Forecast VRZ'!K$9)/3</f>
        <v>178</v>
      </c>
      <c r="L43" s="301">
        <f>SUMIFS('EV Data'!$EC$40:$EC$135,'EV Data'!$C$40:$C$135,'EV Forecast VRZ'!L$9)/3</f>
        <v>349</v>
      </c>
      <c r="M43" s="301">
        <f>SUMIFS('EV Data'!$EC$40:$EC$135,'EV Data'!$C$40:$C$135,'EV Forecast VRZ'!M$9)/3</f>
        <v>434</v>
      </c>
      <c r="N43" s="246">
        <f>N46+N51+N56</f>
        <v>551.14557853835709</v>
      </c>
      <c r="O43" s="246">
        <f t="shared" ref="O43:X43" si="52">O46+O51+O56</f>
        <v>659.80071521864329</v>
      </c>
      <c r="P43" s="246">
        <f t="shared" si="52"/>
        <v>772.58159913472582</v>
      </c>
      <c r="Q43" s="246">
        <f t="shared" si="52"/>
        <v>889.60979812136418</v>
      </c>
      <c r="R43" s="246">
        <f t="shared" si="52"/>
        <v>1011.0100924278141</v>
      </c>
      <c r="S43" s="246">
        <f t="shared" si="52"/>
        <v>1136.9105545872733</v>
      </c>
      <c r="T43" s="246">
        <f t="shared" si="52"/>
        <v>1267.4426311961397</v>
      </c>
      <c r="U43" s="246">
        <f t="shared" si="52"/>
        <v>1486.710206393072</v>
      </c>
      <c r="V43" s="246">
        <f t="shared" si="52"/>
        <v>2241.7004329439887</v>
      </c>
      <c r="W43" s="246">
        <f t="shared" si="52"/>
        <v>2891.7935584977449</v>
      </c>
      <c r="X43" s="245">
        <f t="shared" si="52"/>
        <v>4115.7619948851625</v>
      </c>
    </row>
    <row r="44" spans="2:24">
      <c r="B44" s="849"/>
      <c r="C44" s="851"/>
      <c r="D44" s="247" t="s">
        <v>376</v>
      </c>
      <c r="E44" s="248" t="s">
        <v>218</v>
      </c>
      <c r="F44" s="301">
        <f>F43</f>
        <v>125</v>
      </c>
      <c r="G44" s="301">
        <f t="shared" ref="G44:S44" si="53">F44+G43</f>
        <v>406</v>
      </c>
      <c r="H44" s="301">
        <f t="shared" si="53"/>
        <v>477</v>
      </c>
      <c r="I44" s="301">
        <f t="shared" si="53"/>
        <v>529</v>
      </c>
      <c r="J44" s="301">
        <f t="shared" si="53"/>
        <v>658</v>
      </c>
      <c r="K44" s="301">
        <f t="shared" si="53"/>
        <v>836</v>
      </c>
      <c r="L44" s="301">
        <f t="shared" si="53"/>
        <v>1185</v>
      </c>
      <c r="M44" s="301">
        <f t="shared" si="53"/>
        <v>1619</v>
      </c>
      <c r="N44" s="246">
        <f t="shared" si="53"/>
        <v>2170.1455785383569</v>
      </c>
      <c r="O44" s="246">
        <f t="shared" si="53"/>
        <v>2829.9462937570001</v>
      </c>
      <c r="P44" s="246">
        <f t="shared" si="53"/>
        <v>3602.527892891726</v>
      </c>
      <c r="Q44" s="246">
        <f t="shared" si="53"/>
        <v>4492.1376910130903</v>
      </c>
      <c r="R44" s="246">
        <f t="shared" si="53"/>
        <v>5503.1477834409043</v>
      </c>
      <c r="S44" s="246">
        <f t="shared" si="53"/>
        <v>6640.0583380281778</v>
      </c>
      <c r="T44" s="246">
        <f>S44+T43-F43</f>
        <v>7782.5009692243175</v>
      </c>
      <c r="U44" s="246">
        <f>T44+U43-G43</f>
        <v>8988.211175617389</v>
      </c>
      <c r="V44" s="246">
        <f>U44+V43-H43</f>
        <v>11158.911608561379</v>
      </c>
      <c r="W44" s="246">
        <f>V44+W43-I43</f>
        <v>13998.705167059125</v>
      </c>
      <c r="X44" s="245">
        <f>W44+X43-J43</f>
        <v>17985.467161944289</v>
      </c>
    </row>
    <row r="45" spans="2:24">
      <c r="B45" s="849"/>
      <c r="C45" s="288"/>
      <c r="D45" s="247"/>
      <c r="G45" s="244"/>
      <c r="X45" s="287"/>
    </row>
    <row r="46" spans="2:24">
      <c r="B46" s="849"/>
      <c r="C46" s="852" t="s">
        <v>262</v>
      </c>
      <c r="D46" s="306" t="s">
        <v>376</v>
      </c>
      <c r="E46" s="305" t="s">
        <v>261</v>
      </c>
      <c r="F46" s="304">
        <f>SUMIFS('EV Data'!$ED$40:$ED$135,'EV Data'!$C$40:$C$135,'EV Forecast VRZ'!F$9)/3+SUMIFS('EV Data'!$EF$40:$EF$135,'EV Data'!$C$40:$C$135,'EV Forecast VRZ'!F$9)/3</f>
        <v>114</v>
      </c>
      <c r="G46" s="304">
        <f>SUMIFS('EV Data'!$ED$40:$ED$135,'EV Data'!$C$40:$C$135,'EV Forecast VRZ'!G$9)/3+SUMIFS('EV Data'!$EF$40:$EF$135,'EV Data'!$C$40:$C$135,'EV Forecast VRZ'!G$9)/3</f>
        <v>253</v>
      </c>
      <c r="H46" s="304">
        <f>SUMIFS('EV Data'!$ED$40:$ED$135,'EV Data'!$C$40:$C$135,'EV Forecast VRZ'!H$9)/3+SUMIFS('EV Data'!$EF$40:$EF$135,'EV Data'!$C$40:$C$135,'EV Forecast VRZ'!H$9)/3</f>
        <v>70</v>
      </c>
      <c r="I46" s="304">
        <f>SUMIFS('EV Data'!$ED$40:$ED$135,'EV Data'!$C$40:$C$135,'EV Forecast VRZ'!I$9)/3+SUMIFS('EV Data'!$EF$40:$EF$135,'EV Data'!$C$40:$C$135,'EV Forecast VRZ'!I$9)/3</f>
        <v>50</v>
      </c>
      <c r="J46" s="304">
        <f>SUMIFS('EV Data'!$ED$40:$ED$135,'EV Data'!$C$40:$C$135,'EV Forecast VRZ'!J$9)/3+SUMIFS('EV Data'!$EF$40:$EF$135,'EV Data'!$C$40:$C$135,'EV Forecast VRZ'!J$9)/3</f>
        <v>121</v>
      </c>
      <c r="K46" s="304">
        <f>SUMIFS('EV Data'!$ED$40:$ED$135,'EV Data'!$C$40:$C$135,'EV Forecast VRZ'!K$9)/3+SUMIFS('EV Data'!$EF$40:$EF$135,'EV Data'!$C$40:$C$135,'EV Forecast VRZ'!K$9)/3</f>
        <v>167</v>
      </c>
      <c r="L46" s="304">
        <f>SUMIFS('EV Data'!$ED$40:$ED$135,'EV Data'!$C$40:$C$135,'EV Forecast VRZ'!L$9)/3+SUMIFS('EV Data'!$EF$40:$EF$135,'EV Data'!$C$40:$C$135,'EV Forecast VRZ'!L$9)/3</f>
        <v>328</v>
      </c>
      <c r="M46" s="304">
        <f>SUMIFS('EV Data'!$ED$40:$ED$135,'EV Data'!$C$40:$C$135,'EV Forecast VRZ'!M$9)/3+SUMIFS('EV Data'!$EF$40:$EF$135,'EV Data'!$C$40:$C$135,'EV Forecast VRZ'!M$9)/3</f>
        <v>427</v>
      </c>
      <c r="N46" s="303">
        <f t="shared" ref="N46:X46" si="54">N67*N$75*N69*N62</f>
        <v>520.84789077435846</v>
      </c>
      <c r="O46" s="303">
        <f t="shared" si="54"/>
        <v>623.53001499970617</v>
      </c>
      <c r="P46" s="303">
        <f t="shared" si="54"/>
        <v>730.11108503775824</v>
      </c>
      <c r="Q46" s="303">
        <f t="shared" si="54"/>
        <v>840.70598587133247</v>
      </c>
      <c r="R46" s="303">
        <f t="shared" si="54"/>
        <v>955.4326383042345</v>
      </c>
      <c r="S46" s="303">
        <f t="shared" si="54"/>
        <v>1074.4120744401039</v>
      </c>
      <c r="T46" s="303">
        <f t="shared" si="54"/>
        <v>1197.7685149660863</v>
      </c>
      <c r="U46" s="303">
        <f t="shared" si="54"/>
        <v>1404.9824680552194</v>
      </c>
      <c r="V46" s="303">
        <f t="shared" si="54"/>
        <v>2118.469217050218</v>
      </c>
      <c r="W46" s="303">
        <f t="shared" si="54"/>
        <v>2732.8252899947806</v>
      </c>
      <c r="X46" s="303">
        <f t="shared" si="54"/>
        <v>3889.5094825041992</v>
      </c>
    </row>
    <row r="47" spans="2:24">
      <c r="B47" s="849"/>
      <c r="C47" s="853"/>
      <c r="D47" s="247" t="s">
        <v>376</v>
      </c>
      <c r="E47" s="248" t="s">
        <v>218</v>
      </c>
      <c r="F47" s="301">
        <f>F46</f>
        <v>114</v>
      </c>
      <c r="G47" s="301">
        <f t="shared" ref="G47:O47" si="55">F47+G46</f>
        <v>367</v>
      </c>
      <c r="H47" s="301">
        <f t="shared" si="55"/>
        <v>437</v>
      </c>
      <c r="I47" s="301">
        <f t="shared" si="55"/>
        <v>487</v>
      </c>
      <c r="J47" s="301">
        <f t="shared" si="55"/>
        <v>608</v>
      </c>
      <c r="K47" s="301">
        <f t="shared" si="55"/>
        <v>775</v>
      </c>
      <c r="L47" s="301">
        <f t="shared" si="55"/>
        <v>1103</v>
      </c>
      <c r="M47" s="300">
        <f t="shared" si="55"/>
        <v>1530</v>
      </c>
      <c r="N47" s="300">
        <f t="shared" si="55"/>
        <v>2050.8478907743583</v>
      </c>
      <c r="O47" s="300">
        <f t="shared" si="55"/>
        <v>2674.3779057740644</v>
      </c>
      <c r="P47" s="300">
        <f>O47+P46-F46</f>
        <v>3290.4889908118225</v>
      </c>
      <c r="Q47" s="300">
        <f t="shared" ref="Q47" si="56">P47+Q46-G46</f>
        <v>3878.1949766831549</v>
      </c>
      <c r="R47" s="300">
        <f t="shared" ref="R47" si="57">Q47+R46-H46</f>
        <v>4763.6276149873893</v>
      </c>
      <c r="S47" s="300">
        <f t="shared" ref="S47" si="58">R47+S46-I46</f>
        <v>5788.0396894274927</v>
      </c>
      <c r="T47" s="300">
        <f t="shared" ref="T47" si="59">S47+T46-J46</f>
        <v>6864.8082043935792</v>
      </c>
      <c r="U47" s="300">
        <f t="shared" ref="U47" si="60">T47+U46-K46</f>
        <v>8102.7906724487984</v>
      </c>
      <c r="V47" s="300">
        <f t="shared" ref="V47" si="61">U47+V46-L46</f>
        <v>9893.2598894990169</v>
      </c>
      <c r="W47" s="300">
        <f t="shared" ref="W47" si="62">V47+W46-M46</f>
        <v>12199.085179493797</v>
      </c>
      <c r="X47" s="299">
        <f t="shared" ref="X47" si="63">W47+X46-N46</f>
        <v>15567.746771223638</v>
      </c>
    </row>
    <row r="48" spans="2:24">
      <c r="B48" s="849"/>
      <c r="C48" s="853"/>
      <c r="D48" s="247" t="s">
        <v>376</v>
      </c>
      <c r="E48" s="248" t="s">
        <v>263</v>
      </c>
      <c r="F48" s="301">
        <f>E3*0.6</f>
        <v>2014.8</v>
      </c>
      <c r="G48" s="301">
        <f t="shared" ref="G48:X48" si="64">F48</f>
        <v>2014.8</v>
      </c>
      <c r="H48" s="301">
        <f t="shared" si="64"/>
        <v>2014.8</v>
      </c>
      <c r="I48" s="301">
        <f t="shared" si="64"/>
        <v>2014.8</v>
      </c>
      <c r="J48" s="301">
        <f t="shared" si="64"/>
        <v>2014.8</v>
      </c>
      <c r="K48" s="301">
        <f t="shared" si="64"/>
        <v>2014.8</v>
      </c>
      <c r="L48" s="301">
        <f t="shared" si="64"/>
        <v>2014.8</v>
      </c>
      <c r="M48" s="301">
        <f t="shared" si="64"/>
        <v>2014.8</v>
      </c>
      <c r="N48" s="301">
        <f t="shared" si="64"/>
        <v>2014.8</v>
      </c>
      <c r="O48" s="301">
        <f t="shared" si="64"/>
        <v>2014.8</v>
      </c>
      <c r="P48" s="301">
        <f t="shared" si="64"/>
        <v>2014.8</v>
      </c>
      <c r="Q48" s="301">
        <f t="shared" si="64"/>
        <v>2014.8</v>
      </c>
      <c r="R48" s="301">
        <f t="shared" si="64"/>
        <v>2014.8</v>
      </c>
      <c r="S48" s="301">
        <f t="shared" si="64"/>
        <v>2014.8</v>
      </c>
      <c r="T48" s="301">
        <f t="shared" si="64"/>
        <v>2014.8</v>
      </c>
      <c r="U48" s="301">
        <f t="shared" si="64"/>
        <v>2014.8</v>
      </c>
      <c r="V48" s="301">
        <f t="shared" si="64"/>
        <v>2014.8</v>
      </c>
      <c r="W48" s="301">
        <f t="shared" si="64"/>
        <v>2014.8</v>
      </c>
      <c r="X48" s="299">
        <f t="shared" si="64"/>
        <v>2014.8</v>
      </c>
    </row>
    <row r="49" spans="2:24">
      <c r="B49" s="849"/>
      <c r="C49" s="853"/>
      <c r="D49" s="247" t="s">
        <v>376</v>
      </c>
      <c r="E49" s="248" t="s">
        <v>264</v>
      </c>
      <c r="F49" s="301">
        <f t="shared" ref="F49:X49" si="65">F46*F48</f>
        <v>229687.19999999998</v>
      </c>
      <c r="G49" s="301">
        <f t="shared" si="65"/>
        <v>509744.39999999997</v>
      </c>
      <c r="H49" s="301">
        <f t="shared" si="65"/>
        <v>141036</v>
      </c>
      <c r="I49" s="301">
        <f t="shared" si="65"/>
        <v>100740</v>
      </c>
      <c r="J49" s="301">
        <f t="shared" si="65"/>
        <v>243790.8</v>
      </c>
      <c r="K49" s="301">
        <f t="shared" si="65"/>
        <v>336471.6</v>
      </c>
      <c r="L49" s="301">
        <f t="shared" si="65"/>
        <v>660854.4</v>
      </c>
      <c r="M49" s="301">
        <f t="shared" si="65"/>
        <v>860319.6</v>
      </c>
      <c r="N49" s="301">
        <f t="shared" si="65"/>
        <v>1049404.3303321775</v>
      </c>
      <c r="O49" s="301">
        <f t="shared" si="65"/>
        <v>1256288.2742214079</v>
      </c>
      <c r="P49" s="301">
        <f t="shared" si="65"/>
        <v>1471027.8141340753</v>
      </c>
      <c r="Q49" s="301">
        <f t="shared" si="65"/>
        <v>1693854.4203335606</v>
      </c>
      <c r="R49" s="301">
        <f t="shared" si="65"/>
        <v>1925005.6796553717</v>
      </c>
      <c r="S49" s="301">
        <f t="shared" si="65"/>
        <v>2164725.4475819212</v>
      </c>
      <c r="T49" s="301">
        <f t="shared" si="65"/>
        <v>2413264.0039536706</v>
      </c>
      <c r="U49" s="301">
        <f t="shared" si="65"/>
        <v>2830758.6766376561</v>
      </c>
      <c r="V49" s="301">
        <f t="shared" si="65"/>
        <v>4268291.7785127796</v>
      </c>
      <c r="W49" s="301">
        <f t="shared" si="65"/>
        <v>5506096.3942814842</v>
      </c>
      <c r="X49" s="299">
        <f t="shared" si="65"/>
        <v>7836583.7053494602</v>
      </c>
    </row>
    <row r="50" spans="2:24">
      <c r="B50" s="849"/>
      <c r="C50" s="854"/>
      <c r="D50" s="298" t="s">
        <v>376</v>
      </c>
      <c r="E50" s="297" t="s">
        <v>265</v>
      </c>
      <c r="F50" s="296">
        <f t="shared" ref="F50:X50" si="66">F47*F48-F46*F48/2</f>
        <v>114843.59999999999</v>
      </c>
      <c r="G50" s="296">
        <f t="shared" si="66"/>
        <v>484559.4</v>
      </c>
      <c r="H50" s="296">
        <f t="shared" si="66"/>
        <v>809949.6</v>
      </c>
      <c r="I50" s="296">
        <f t="shared" si="66"/>
        <v>930837.6</v>
      </c>
      <c r="J50" s="296">
        <f t="shared" si="66"/>
        <v>1103103</v>
      </c>
      <c r="K50" s="296">
        <f t="shared" si="66"/>
        <v>1393234.2</v>
      </c>
      <c r="L50" s="296">
        <f t="shared" si="66"/>
        <v>1891897.2</v>
      </c>
      <c r="M50" s="296">
        <f t="shared" si="66"/>
        <v>2652484.2000000002</v>
      </c>
      <c r="N50" s="296">
        <f t="shared" si="66"/>
        <v>3607346.1651660884</v>
      </c>
      <c r="O50" s="296">
        <f t="shared" si="66"/>
        <v>4760192.4674428813</v>
      </c>
      <c r="P50" s="296">
        <f t="shared" si="66"/>
        <v>5894163.3116206229</v>
      </c>
      <c r="Q50" s="296">
        <f t="shared" si="66"/>
        <v>6966860.02885444</v>
      </c>
      <c r="R50" s="296">
        <f t="shared" si="66"/>
        <v>8635254.0788489059</v>
      </c>
      <c r="S50" s="296">
        <f t="shared" si="66"/>
        <v>10579379.642467551</v>
      </c>
      <c r="T50" s="296">
        <f t="shared" si="66"/>
        <v>12624583.568235349</v>
      </c>
      <c r="U50" s="296">
        <f t="shared" si="66"/>
        <v>14910123.308531011</v>
      </c>
      <c r="V50" s="296">
        <f t="shared" si="66"/>
        <v>17798794.13610623</v>
      </c>
      <c r="W50" s="296">
        <f t="shared" si="66"/>
        <v>21825668.622503359</v>
      </c>
      <c r="X50" s="407">
        <f t="shared" si="66"/>
        <v>27447604.341986652</v>
      </c>
    </row>
    <row r="51" spans="2:24">
      <c r="B51" s="849"/>
      <c r="C51" s="853" t="s">
        <v>266</v>
      </c>
      <c r="D51" s="306" t="s">
        <v>376</v>
      </c>
      <c r="E51" s="248" t="s">
        <v>261</v>
      </c>
      <c r="F51" s="214">
        <f>SUMIFS('EV Data'!$EG$40:$EG$135,'EV Data'!$C$40:$C$135,'EV Forecast VRZ'!F$9)/3</f>
        <v>11</v>
      </c>
      <c r="G51" s="214">
        <f>SUMIFS('EV Data'!$EG$40:$EG$135,'EV Data'!$C$40:$C$135,'EV Forecast VRZ'!G$9)/3</f>
        <v>28</v>
      </c>
      <c r="H51" s="214">
        <f>SUMIFS('EV Data'!$EG$40:$EG$135,'EV Data'!$C$40:$C$135,'EV Forecast VRZ'!H$9)/3</f>
        <v>1</v>
      </c>
      <c r="I51" s="214">
        <f>SUMIFS('EV Data'!$EG$40:$EG$135,'EV Data'!$C$40:$C$135,'EV Forecast VRZ'!I$9)/3</f>
        <v>2</v>
      </c>
      <c r="J51" s="214">
        <f>SUMIFS('EV Data'!$EG$40:$EG$135,'EV Data'!$C$40:$C$135,'EV Forecast VRZ'!J$9)/3</f>
        <v>8</v>
      </c>
      <c r="K51" s="214">
        <f>SUMIFS('EV Data'!$EG$40:$EG$135,'EV Data'!$C$40:$C$135,'EV Forecast VRZ'!K$9)/3</f>
        <v>11</v>
      </c>
      <c r="L51" s="214">
        <f>SUMIFS('EV Data'!$EG$40:$EG$135,'EV Data'!$C$40:$C$135,'EV Forecast VRZ'!L$9)/3</f>
        <v>21</v>
      </c>
      <c r="M51" s="214">
        <f>SUMIFS('EV Data'!$EG$40:$EG$135,'EV Data'!$C$40:$C$135,'EV Forecast VRZ'!M$9)/3</f>
        <v>7</v>
      </c>
      <c r="N51" s="303">
        <f t="shared" ref="N51:X51" si="67">N67*N$75*N70*N62</f>
        <v>30.297687763998631</v>
      </c>
      <c r="O51" s="303">
        <f t="shared" si="67"/>
        <v>36.270700218937158</v>
      </c>
      <c r="P51" s="303">
        <f t="shared" si="67"/>
        <v>42.470514096967634</v>
      </c>
      <c r="Q51" s="303">
        <f>Q67*Q$75*Q70*Q62</f>
        <v>48.903812250031756</v>
      </c>
      <c r="R51" s="303">
        <f t="shared" si="67"/>
        <v>55.577454123579656</v>
      </c>
      <c r="S51" s="303">
        <f t="shared" si="67"/>
        <v>62.49848014716946</v>
      </c>
      <c r="T51" s="303">
        <f t="shared" si="67"/>
        <v>69.6741162300534</v>
      </c>
      <c r="U51" s="303">
        <f t="shared" si="67"/>
        <v>81.727738337852642</v>
      </c>
      <c r="V51" s="303">
        <f t="shared" si="67"/>
        <v>123.23121589377085</v>
      </c>
      <c r="W51" s="303">
        <f t="shared" si="67"/>
        <v>158.96826850296435</v>
      </c>
      <c r="X51" s="302">
        <f t="shared" si="67"/>
        <v>226.25251238096322</v>
      </c>
    </row>
    <row r="52" spans="2:24">
      <c r="B52" s="849"/>
      <c r="C52" s="853"/>
      <c r="D52" s="247" t="s">
        <v>376</v>
      </c>
      <c r="E52" s="248" t="s">
        <v>218</v>
      </c>
      <c r="F52" s="242">
        <f>F51</f>
        <v>11</v>
      </c>
      <c r="G52" s="242">
        <f t="shared" ref="G52:O52" si="68">F52+G51</f>
        <v>39</v>
      </c>
      <c r="H52" s="242">
        <f t="shared" si="68"/>
        <v>40</v>
      </c>
      <c r="I52" s="242">
        <f t="shared" si="68"/>
        <v>42</v>
      </c>
      <c r="J52" s="242">
        <f t="shared" si="68"/>
        <v>50</v>
      </c>
      <c r="K52" s="242">
        <f t="shared" si="68"/>
        <v>61</v>
      </c>
      <c r="L52" s="242">
        <f t="shared" si="68"/>
        <v>82</v>
      </c>
      <c r="M52" s="242">
        <f t="shared" si="68"/>
        <v>89</v>
      </c>
      <c r="N52" s="242">
        <f>M52+N51</f>
        <v>119.29768776399862</v>
      </c>
      <c r="O52" s="242">
        <f t="shared" si="68"/>
        <v>155.56838798293577</v>
      </c>
      <c r="P52" s="300">
        <f>O52+P51-F51</f>
        <v>187.03890207990341</v>
      </c>
      <c r="Q52" s="300">
        <f>P52+Q51-G51</f>
        <v>207.94271432993517</v>
      </c>
      <c r="R52" s="300">
        <f>Q52+R51-H51</f>
        <v>262.52016845351483</v>
      </c>
      <c r="S52" s="300">
        <f t="shared" ref="S52" si="69">R52+S51-I51</f>
        <v>323.01864860068429</v>
      </c>
      <c r="T52" s="300">
        <f t="shared" ref="T52" si="70">S52+T51-J51</f>
        <v>384.6927648307377</v>
      </c>
      <c r="U52" s="300">
        <f t="shared" ref="U52" si="71">T52+U51-K51</f>
        <v>455.42050316859036</v>
      </c>
      <c r="V52" s="300">
        <f t="shared" ref="V52" si="72">U52+V51-L51</f>
        <v>557.65171906236117</v>
      </c>
      <c r="W52" s="300">
        <f t="shared" ref="W52" si="73">V52+W51-M51</f>
        <v>709.61998756532557</v>
      </c>
      <c r="X52" s="299">
        <f t="shared" ref="X52" si="74">W52+X51-N51</f>
        <v>905.5748121822902</v>
      </c>
    </row>
    <row r="53" spans="2:24">
      <c r="B53" s="849"/>
      <c r="C53" s="853"/>
      <c r="D53" s="247" t="s">
        <v>376</v>
      </c>
      <c r="E53" s="248" t="s">
        <v>263</v>
      </c>
      <c r="F53" s="301">
        <f>E5*0.6</f>
        <v>3000</v>
      </c>
      <c r="G53" s="301">
        <f t="shared" ref="G53:X53" si="75">F53</f>
        <v>3000</v>
      </c>
      <c r="H53" s="301">
        <f t="shared" si="75"/>
        <v>3000</v>
      </c>
      <c r="I53" s="301">
        <f t="shared" si="75"/>
        <v>3000</v>
      </c>
      <c r="J53" s="301">
        <f t="shared" si="75"/>
        <v>3000</v>
      </c>
      <c r="K53" s="301">
        <f t="shared" si="75"/>
        <v>3000</v>
      </c>
      <c r="L53" s="301">
        <f t="shared" si="75"/>
        <v>3000</v>
      </c>
      <c r="M53" s="301">
        <f t="shared" si="75"/>
        <v>3000</v>
      </c>
      <c r="N53" s="301">
        <f t="shared" si="75"/>
        <v>3000</v>
      </c>
      <c r="O53" s="301">
        <f t="shared" si="75"/>
        <v>3000</v>
      </c>
      <c r="P53" s="301">
        <f t="shared" si="75"/>
        <v>3000</v>
      </c>
      <c r="Q53" s="301">
        <f t="shared" si="75"/>
        <v>3000</v>
      </c>
      <c r="R53" s="301">
        <f t="shared" ref="R53" si="76">Q53</f>
        <v>3000</v>
      </c>
      <c r="S53" s="301">
        <f t="shared" ref="S53" si="77">R53</f>
        <v>3000</v>
      </c>
      <c r="T53" s="301">
        <f t="shared" si="75"/>
        <v>3000</v>
      </c>
      <c r="U53" s="301">
        <f t="shared" si="75"/>
        <v>3000</v>
      </c>
      <c r="V53" s="301">
        <f t="shared" si="75"/>
        <v>3000</v>
      </c>
      <c r="W53" s="301">
        <f t="shared" si="75"/>
        <v>3000</v>
      </c>
      <c r="X53" s="299">
        <f t="shared" si="75"/>
        <v>3000</v>
      </c>
    </row>
    <row r="54" spans="2:24">
      <c r="B54" s="849"/>
      <c r="C54" s="853"/>
      <c r="D54" s="247" t="s">
        <v>376</v>
      </c>
      <c r="E54" s="248" t="s">
        <v>264</v>
      </c>
      <c r="F54" s="301">
        <f t="shared" ref="F54:X54" si="78">F51*F53</f>
        <v>33000</v>
      </c>
      <c r="G54" s="301">
        <f t="shared" si="78"/>
        <v>84000</v>
      </c>
      <c r="H54" s="301">
        <f t="shared" si="78"/>
        <v>3000</v>
      </c>
      <c r="I54" s="301">
        <f t="shared" si="78"/>
        <v>6000</v>
      </c>
      <c r="J54" s="301">
        <f t="shared" si="78"/>
        <v>24000</v>
      </c>
      <c r="K54" s="301">
        <f t="shared" si="78"/>
        <v>33000</v>
      </c>
      <c r="L54" s="301">
        <f t="shared" si="78"/>
        <v>63000</v>
      </c>
      <c r="M54" s="301">
        <f t="shared" si="78"/>
        <v>21000</v>
      </c>
      <c r="N54" s="301">
        <f t="shared" si="78"/>
        <v>90893.063291995888</v>
      </c>
      <c r="O54" s="301">
        <f t="shared" si="78"/>
        <v>108812.10065681147</v>
      </c>
      <c r="P54" s="301">
        <f>P51*P53</f>
        <v>127411.5422909029</v>
      </c>
      <c r="Q54" s="301">
        <f>Q51*Q53</f>
        <v>146711.43675009528</v>
      </c>
      <c r="R54" s="301">
        <f t="shared" ref="R54:S54" si="79">R51*R53</f>
        <v>166732.36237073896</v>
      </c>
      <c r="S54" s="301">
        <f t="shared" si="79"/>
        <v>187495.44044150837</v>
      </c>
      <c r="T54" s="301">
        <f t="shared" si="78"/>
        <v>209022.3486901602</v>
      </c>
      <c r="U54" s="301">
        <f t="shared" si="78"/>
        <v>245183.21501355793</v>
      </c>
      <c r="V54" s="301">
        <f t="shared" si="78"/>
        <v>369693.64768131258</v>
      </c>
      <c r="W54" s="301">
        <f t="shared" si="78"/>
        <v>476904.80550889304</v>
      </c>
      <c r="X54" s="299">
        <f t="shared" si="78"/>
        <v>678757.53714288969</v>
      </c>
    </row>
    <row r="55" spans="2:24">
      <c r="B55" s="849"/>
      <c r="C55" s="853"/>
      <c r="D55" s="298" t="s">
        <v>376</v>
      </c>
      <c r="E55" s="248" t="s">
        <v>265</v>
      </c>
      <c r="F55" s="296">
        <f t="shared" ref="F55:X55" si="80">F52*F53-F51*F53/2</f>
        <v>16500</v>
      </c>
      <c r="G55" s="296">
        <f t="shared" si="80"/>
        <v>75000</v>
      </c>
      <c r="H55" s="296">
        <f t="shared" si="80"/>
        <v>118500</v>
      </c>
      <c r="I55" s="296">
        <f t="shared" si="80"/>
        <v>123000</v>
      </c>
      <c r="J55" s="296">
        <f t="shared" si="80"/>
        <v>138000</v>
      </c>
      <c r="K55" s="296">
        <f t="shared" si="80"/>
        <v>166500</v>
      </c>
      <c r="L55" s="296">
        <f t="shared" si="80"/>
        <v>214500</v>
      </c>
      <c r="M55" s="296">
        <f t="shared" si="80"/>
        <v>256500</v>
      </c>
      <c r="N55" s="296">
        <f t="shared" si="80"/>
        <v>312446.53164599789</v>
      </c>
      <c r="O55" s="296">
        <f>O52*O53-O51*O53/2</f>
        <v>412299.11362040159</v>
      </c>
      <c r="P55" s="296">
        <f>P52*P53-P51*P53/2</f>
        <v>497410.93509425875</v>
      </c>
      <c r="Q55" s="296">
        <f>Q52*Q53-Q51*Q53/2</f>
        <v>550472.42461475788</v>
      </c>
      <c r="R55" s="296">
        <f t="shared" ref="R55:S55" si="81">R52*R53-R51*R53/2</f>
        <v>704194.32417517493</v>
      </c>
      <c r="S55" s="296">
        <f t="shared" si="81"/>
        <v>875308.2255812987</v>
      </c>
      <c r="T55" s="296">
        <f t="shared" si="80"/>
        <v>1049567.120147133</v>
      </c>
      <c r="U55" s="296">
        <f t="shared" si="80"/>
        <v>1243669.9019989921</v>
      </c>
      <c r="V55" s="296">
        <f t="shared" si="80"/>
        <v>1488108.3333464272</v>
      </c>
      <c r="W55" s="296">
        <f t="shared" si="80"/>
        <v>1890407.5599415302</v>
      </c>
      <c r="X55" s="407">
        <f t="shared" si="80"/>
        <v>2377345.6679754257</v>
      </c>
    </row>
    <row r="56" spans="2:24">
      <c r="B56" s="849"/>
      <c r="C56" s="852" t="s">
        <v>267</v>
      </c>
      <c r="D56" s="306" t="s">
        <v>376</v>
      </c>
      <c r="E56" s="305" t="s">
        <v>261</v>
      </c>
      <c r="F56" s="295">
        <f>SUMIFS('EV Data'!$EE$40:$EE$135,'EV Data'!$C$40:$C$135,'EV Forecast VRZ'!F$9)/3</f>
        <v>0</v>
      </c>
      <c r="G56" s="295">
        <f>SUMIFS('EV Data'!$EE$40:$EE$135,'EV Data'!$C$40:$C$135,'EV Forecast VRZ'!G$9)/3</f>
        <v>0</v>
      </c>
      <c r="H56" s="295">
        <f>SUMIFS('EV Data'!$EE$40:$EE$135,'EV Data'!$C$40:$C$135,'EV Forecast VRZ'!H$9)/3</f>
        <v>0</v>
      </c>
      <c r="I56" s="295">
        <f>SUMIFS('EV Data'!$EE$40:$EE$135,'EV Data'!$C$40:$C$135,'EV Forecast VRZ'!I$9)/3</f>
        <v>0</v>
      </c>
      <c r="J56" s="295">
        <f>SUMIFS('EV Data'!$EE$40:$EE$135,'EV Data'!$C$40:$C$135,'EV Forecast VRZ'!J$9)/3</f>
        <v>0</v>
      </c>
      <c r="K56" s="295">
        <f>SUMIFS('EV Data'!$EE$40:$EE$135,'EV Data'!$C$40:$C$135,'EV Forecast VRZ'!K$9)/3</f>
        <v>0</v>
      </c>
      <c r="L56" s="295">
        <f>SUMIFS('EV Data'!$EE$40:$EE$135,'EV Data'!$C$40:$C$135,'EV Forecast VRZ'!L$9)/3</f>
        <v>0</v>
      </c>
      <c r="M56" s="295">
        <f>SUMIFS('EV Data'!$EE$40:$EE$135,'EV Data'!$C$40:$C$135,'EV Forecast VRZ'!M$9)/3</f>
        <v>0</v>
      </c>
      <c r="N56" s="303">
        <f t="shared" ref="N56:X56" si="82">N67*N$75*N71*N62</f>
        <v>0</v>
      </c>
      <c r="O56" s="303">
        <f t="shared" si="82"/>
        <v>0</v>
      </c>
      <c r="P56" s="303">
        <f t="shared" si="82"/>
        <v>0</v>
      </c>
      <c r="Q56" s="303">
        <f t="shared" si="82"/>
        <v>0</v>
      </c>
      <c r="R56" s="303">
        <f t="shared" si="82"/>
        <v>0</v>
      </c>
      <c r="S56" s="303">
        <f t="shared" si="82"/>
        <v>0</v>
      </c>
      <c r="T56" s="303">
        <f t="shared" si="82"/>
        <v>0</v>
      </c>
      <c r="U56" s="303">
        <f t="shared" si="82"/>
        <v>0</v>
      </c>
      <c r="V56" s="303">
        <f t="shared" si="82"/>
        <v>0</v>
      </c>
      <c r="W56" s="303">
        <f t="shared" si="82"/>
        <v>0</v>
      </c>
      <c r="X56" s="302">
        <f t="shared" si="82"/>
        <v>0</v>
      </c>
    </row>
    <row r="57" spans="2:24">
      <c r="B57" s="849"/>
      <c r="C57" s="853"/>
      <c r="D57" s="247" t="s">
        <v>376</v>
      </c>
      <c r="E57" s="248" t="s">
        <v>218</v>
      </c>
      <c r="F57" s="242">
        <f t="shared" ref="F57:M57" si="83">F56</f>
        <v>0</v>
      </c>
      <c r="G57" s="242">
        <f t="shared" si="83"/>
        <v>0</v>
      </c>
      <c r="H57" s="242">
        <f t="shared" si="83"/>
        <v>0</v>
      </c>
      <c r="I57" s="242">
        <f t="shared" si="83"/>
        <v>0</v>
      </c>
      <c r="J57" s="242">
        <f t="shared" si="83"/>
        <v>0</v>
      </c>
      <c r="K57" s="242">
        <f t="shared" si="83"/>
        <v>0</v>
      </c>
      <c r="L57" s="242">
        <f t="shared" si="83"/>
        <v>0</v>
      </c>
      <c r="M57" s="242">
        <f t="shared" si="83"/>
        <v>0</v>
      </c>
      <c r="N57" s="242">
        <f t="shared" ref="N57:O57" si="84">M57+N56</f>
        <v>0</v>
      </c>
      <c r="O57" s="242">
        <f t="shared" si="84"/>
        <v>0</v>
      </c>
      <c r="P57" s="300">
        <f>O57+P56-F56</f>
        <v>0</v>
      </c>
      <c r="Q57" s="300">
        <f t="shared" ref="Q57" si="85">P57+Q56-G56</f>
        <v>0</v>
      </c>
      <c r="R57" s="300">
        <f t="shared" ref="R57" si="86">Q57+R56-H56</f>
        <v>0</v>
      </c>
      <c r="S57" s="300">
        <f t="shared" ref="S57" si="87">R57+S56-I56</f>
        <v>0</v>
      </c>
      <c r="T57" s="300">
        <f t="shared" ref="T57" si="88">S57+T56-J56</f>
        <v>0</v>
      </c>
      <c r="U57" s="300">
        <f t="shared" ref="U57" si="89">T57+U56-K56</f>
        <v>0</v>
      </c>
      <c r="V57" s="300">
        <f t="shared" ref="V57" si="90">U57+V56-L56</f>
        <v>0</v>
      </c>
      <c r="W57" s="300">
        <f t="shared" ref="W57" si="91">V57+W56-M56</f>
        <v>0</v>
      </c>
      <c r="X57" s="299">
        <f t="shared" ref="X57" si="92">W57+X56-N56</f>
        <v>0</v>
      </c>
    </row>
    <row r="58" spans="2:24">
      <c r="B58" s="849"/>
      <c r="C58" s="853"/>
      <c r="D58" s="247" t="s">
        <v>376</v>
      </c>
      <c r="E58" s="248" t="s">
        <v>263</v>
      </c>
      <c r="F58" s="301"/>
      <c r="G58" s="301"/>
      <c r="H58" s="301"/>
      <c r="I58" s="301"/>
      <c r="J58" s="301"/>
      <c r="K58" s="301">
        <f>E6*0.6</f>
        <v>3600</v>
      </c>
      <c r="L58" s="301">
        <f t="shared" ref="L58:X58" si="93">K58</f>
        <v>3600</v>
      </c>
      <c r="M58" s="301">
        <f t="shared" si="93"/>
        <v>3600</v>
      </c>
      <c r="N58" s="301">
        <f t="shared" si="93"/>
        <v>3600</v>
      </c>
      <c r="O58" s="301">
        <f t="shared" si="93"/>
        <v>3600</v>
      </c>
      <c r="P58" s="301">
        <f t="shared" si="93"/>
        <v>3600</v>
      </c>
      <c r="Q58" s="301">
        <f t="shared" si="93"/>
        <v>3600</v>
      </c>
      <c r="R58" s="301">
        <f t="shared" si="93"/>
        <v>3600</v>
      </c>
      <c r="S58" s="301">
        <f t="shared" si="93"/>
        <v>3600</v>
      </c>
      <c r="T58" s="301">
        <f t="shared" si="93"/>
        <v>3600</v>
      </c>
      <c r="U58" s="301">
        <f t="shared" si="93"/>
        <v>3600</v>
      </c>
      <c r="V58" s="301">
        <f t="shared" si="93"/>
        <v>3600</v>
      </c>
      <c r="W58" s="301">
        <f t="shared" si="93"/>
        <v>3600</v>
      </c>
      <c r="X58" s="299">
        <f t="shared" si="93"/>
        <v>3600</v>
      </c>
    </row>
    <row r="59" spans="2:24">
      <c r="B59" s="849"/>
      <c r="C59" s="853"/>
      <c r="D59" s="247" t="s">
        <v>376</v>
      </c>
      <c r="E59" s="248" t="s">
        <v>264</v>
      </c>
      <c r="F59" s="301">
        <f t="shared" ref="F59:X59" si="94">F56*F58</f>
        <v>0</v>
      </c>
      <c r="G59" s="301">
        <f t="shared" si="94"/>
        <v>0</v>
      </c>
      <c r="H59" s="301">
        <f t="shared" si="94"/>
        <v>0</v>
      </c>
      <c r="I59" s="301">
        <f t="shared" si="94"/>
        <v>0</v>
      </c>
      <c r="J59" s="301">
        <f t="shared" si="94"/>
        <v>0</v>
      </c>
      <c r="K59" s="301">
        <f t="shared" si="94"/>
        <v>0</v>
      </c>
      <c r="L59" s="301">
        <f t="shared" si="94"/>
        <v>0</v>
      </c>
      <c r="M59" s="301">
        <f t="shared" si="94"/>
        <v>0</v>
      </c>
      <c r="N59" s="301">
        <f t="shared" si="94"/>
        <v>0</v>
      </c>
      <c r="O59" s="301">
        <f t="shared" si="94"/>
        <v>0</v>
      </c>
      <c r="P59" s="301">
        <f t="shared" si="94"/>
        <v>0</v>
      </c>
      <c r="Q59" s="301">
        <f t="shared" si="94"/>
        <v>0</v>
      </c>
      <c r="R59" s="301">
        <f t="shared" si="94"/>
        <v>0</v>
      </c>
      <c r="S59" s="301">
        <f t="shared" si="94"/>
        <v>0</v>
      </c>
      <c r="T59" s="301">
        <f t="shared" si="94"/>
        <v>0</v>
      </c>
      <c r="U59" s="301">
        <f t="shared" si="94"/>
        <v>0</v>
      </c>
      <c r="V59" s="301">
        <f t="shared" si="94"/>
        <v>0</v>
      </c>
      <c r="W59" s="301">
        <f t="shared" si="94"/>
        <v>0</v>
      </c>
      <c r="X59" s="299">
        <f t="shared" si="94"/>
        <v>0</v>
      </c>
    </row>
    <row r="60" spans="2:24">
      <c r="B60" s="849"/>
      <c r="C60" s="854"/>
      <c r="D60" s="298" t="s">
        <v>376</v>
      </c>
      <c r="E60" s="297" t="s">
        <v>265</v>
      </c>
      <c r="F60" s="296">
        <f t="shared" ref="F60:X60" si="95">F57*F58-F56*F58/2</f>
        <v>0</v>
      </c>
      <c r="G60" s="296">
        <f t="shared" si="95"/>
        <v>0</v>
      </c>
      <c r="H60" s="296">
        <f t="shared" si="95"/>
        <v>0</v>
      </c>
      <c r="I60" s="296">
        <f t="shared" si="95"/>
        <v>0</v>
      </c>
      <c r="J60" s="296">
        <f t="shared" si="95"/>
        <v>0</v>
      </c>
      <c r="K60" s="296">
        <f t="shared" si="95"/>
        <v>0</v>
      </c>
      <c r="L60" s="296">
        <f t="shared" si="95"/>
        <v>0</v>
      </c>
      <c r="M60" s="296">
        <f t="shared" si="95"/>
        <v>0</v>
      </c>
      <c r="N60" s="296">
        <f t="shared" si="95"/>
        <v>0</v>
      </c>
      <c r="O60" s="296">
        <f t="shared" si="95"/>
        <v>0</v>
      </c>
      <c r="P60" s="296">
        <f t="shared" si="95"/>
        <v>0</v>
      </c>
      <c r="Q60" s="296">
        <f t="shared" si="95"/>
        <v>0</v>
      </c>
      <c r="R60" s="296">
        <f t="shared" si="95"/>
        <v>0</v>
      </c>
      <c r="S60" s="296">
        <f t="shared" si="95"/>
        <v>0</v>
      </c>
      <c r="T60" s="296">
        <f t="shared" si="95"/>
        <v>0</v>
      </c>
      <c r="U60" s="296">
        <f t="shared" si="95"/>
        <v>0</v>
      </c>
      <c r="V60" s="296">
        <f t="shared" si="95"/>
        <v>0</v>
      </c>
      <c r="W60" s="296">
        <f t="shared" si="95"/>
        <v>0</v>
      </c>
      <c r="X60" s="407">
        <f t="shared" si="95"/>
        <v>0</v>
      </c>
    </row>
    <row r="61" spans="2:24">
      <c r="B61" s="849"/>
      <c r="C61" s="288"/>
      <c r="X61" s="287"/>
    </row>
    <row r="62" spans="2:24">
      <c r="B62" s="849"/>
      <c r="C62" s="288"/>
      <c r="E62" s="248" t="s">
        <v>377</v>
      </c>
      <c r="F62" s="408">
        <f t="shared" ref="F62:J62" si="96">F64/F65</f>
        <v>2.7085590465872156E-2</v>
      </c>
      <c r="G62" s="408">
        <f t="shared" si="96"/>
        <v>3.2888576779026214E-2</v>
      </c>
      <c r="H62" s="408">
        <f t="shared" si="96"/>
        <v>2.3029516704508597E-2</v>
      </c>
      <c r="I62" s="408">
        <f t="shared" si="96"/>
        <v>2.2071307300509338E-2</v>
      </c>
      <c r="J62" s="408">
        <f t="shared" si="96"/>
        <v>2.5856885147324114E-2</v>
      </c>
      <c r="K62" s="408">
        <f>K64/K65</f>
        <v>3.0277258037081135E-2</v>
      </c>
      <c r="L62" s="408">
        <f>L64/L65</f>
        <v>3.0355744976950511E-2</v>
      </c>
      <c r="M62" s="408">
        <f>M64/M65</f>
        <v>2.9061202624882817E-2</v>
      </c>
      <c r="N62" s="227">
        <f>AVERAGE(K62:M62)</f>
        <v>2.9898068546304821E-2</v>
      </c>
      <c r="O62" s="227">
        <f t="shared" ref="O62:X62" si="97">N62</f>
        <v>2.9898068546304821E-2</v>
      </c>
      <c r="P62" s="227">
        <f t="shared" si="97"/>
        <v>2.9898068546304821E-2</v>
      </c>
      <c r="Q62" s="227">
        <f t="shared" si="97"/>
        <v>2.9898068546304821E-2</v>
      </c>
      <c r="R62" s="227">
        <f t="shared" si="97"/>
        <v>2.9898068546304821E-2</v>
      </c>
      <c r="S62" s="227">
        <f t="shared" si="97"/>
        <v>2.9898068546304821E-2</v>
      </c>
      <c r="T62" s="227">
        <f t="shared" si="97"/>
        <v>2.9898068546304821E-2</v>
      </c>
      <c r="U62" s="227">
        <f t="shared" si="97"/>
        <v>2.9898068546304821E-2</v>
      </c>
      <c r="V62" s="227">
        <f t="shared" si="97"/>
        <v>2.9898068546304821E-2</v>
      </c>
      <c r="W62" s="227">
        <f t="shared" si="97"/>
        <v>2.9898068546304821E-2</v>
      </c>
      <c r="X62" s="226">
        <f t="shared" si="97"/>
        <v>2.9898068546304821E-2</v>
      </c>
    </row>
    <row r="63" spans="2:24">
      <c r="B63" s="849"/>
      <c r="C63" s="288"/>
      <c r="X63" s="287"/>
    </row>
    <row r="64" spans="2:24">
      <c r="B64" s="849"/>
      <c r="C64" s="288"/>
      <c r="D64" s="247" t="s">
        <v>376</v>
      </c>
      <c r="E64" s="248" t="s">
        <v>268</v>
      </c>
      <c r="F64" s="214">
        <f t="shared" ref="F64:L64" si="98">F43</f>
        <v>125</v>
      </c>
      <c r="G64" s="214">
        <f t="shared" si="98"/>
        <v>281</v>
      </c>
      <c r="H64" s="214">
        <f t="shared" si="98"/>
        <v>71</v>
      </c>
      <c r="I64" s="214">
        <f t="shared" si="98"/>
        <v>52</v>
      </c>
      <c r="J64" s="214">
        <f t="shared" si="98"/>
        <v>129</v>
      </c>
      <c r="K64" s="214">
        <f t="shared" si="98"/>
        <v>178</v>
      </c>
      <c r="L64" s="214">
        <f t="shared" si="98"/>
        <v>349</v>
      </c>
      <c r="M64" s="214">
        <f>M43</f>
        <v>434</v>
      </c>
      <c r="X64" s="287"/>
    </row>
    <row r="65" spans="2:29">
      <c r="B65" s="849"/>
      <c r="C65" s="288"/>
      <c r="D65" s="241" t="s">
        <v>73</v>
      </c>
      <c r="E65" s="248" t="s">
        <v>268</v>
      </c>
      <c r="F65" s="301">
        <f>SUMIFS('EV Data'!$K$40:$K$135,'EV Data'!$C$40:$C$135,'EV Forecast VRZ'!F$9)/3</f>
        <v>4615</v>
      </c>
      <c r="G65" s="301">
        <f>SUMIFS('EV Data'!$K$40:$K$135,'EV Data'!$C$40:$C$135,'EV Forecast VRZ'!G$9)/3</f>
        <v>8544</v>
      </c>
      <c r="H65" s="301">
        <f>SUMIFS('EV Data'!$K$40:$K$135,'EV Data'!$C$40:$C$135,'EV Forecast VRZ'!H$9)/3</f>
        <v>3083</v>
      </c>
      <c r="I65" s="301">
        <f>SUMIFS('EV Data'!$K$40:$K$135,'EV Data'!$C$40:$C$135,'EV Forecast VRZ'!I$9)/3</f>
        <v>2356</v>
      </c>
      <c r="J65" s="301">
        <f>SUMIFS('EV Data'!$K$40:$K$135,'EV Data'!$C$40:$C$135,'EV Forecast VRZ'!J$9)/3</f>
        <v>4989</v>
      </c>
      <c r="K65" s="301">
        <f>SUMIFS('EV Data'!$K$40:$K$135,'EV Data'!$C$40:$C$135,'EV Forecast VRZ'!K$9)/3</f>
        <v>5879</v>
      </c>
      <c r="L65" s="301">
        <f>SUMIFS('EV Data'!$K$40:$K$135,'EV Data'!$C$40:$C$135,'EV Forecast VRZ'!L$9)/3</f>
        <v>11497</v>
      </c>
      <c r="M65" s="301">
        <f>SUMIFS('EV Data'!$K$40:$K$135,'EV Data'!$C$40:$C$135,'EV Forecast VRZ'!M$9)/3</f>
        <v>14934</v>
      </c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86"/>
    </row>
    <row r="66" spans="2:29">
      <c r="B66" s="849"/>
      <c r="C66" s="284"/>
      <c r="D66" s="239"/>
      <c r="E66" s="305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225"/>
    </row>
    <row r="67" spans="2:29">
      <c r="B67" s="849"/>
      <c r="C67" s="288"/>
      <c r="D67" s="241" t="s">
        <v>270</v>
      </c>
      <c r="F67" s="399">
        <f t="shared" ref="F67:M67" si="99">F65/F75</f>
        <v>5.7587082524847297E-3</v>
      </c>
      <c r="G67" s="399">
        <f t="shared" si="99"/>
        <v>1.0699084491962538E-2</v>
      </c>
      <c r="H67" s="399">
        <f t="shared" si="99"/>
        <v>3.872736088674728E-3</v>
      </c>
      <c r="I67" s="399">
        <f t="shared" si="99"/>
        <v>3.9230247919847744E-3</v>
      </c>
      <c r="J67" s="399">
        <f t="shared" si="99"/>
        <v>7.9535382005777432E-3</v>
      </c>
      <c r="K67" s="399">
        <f t="shared" si="99"/>
        <v>9.8889989722438561E-3</v>
      </c>
      <c r="L67" s="399">
        <f t="shared" si="99"/>
        <v>1.6982249656942901E-2</v>
      </c>
      <c r="M67" s="399">
        <f t="shared" si="99"/>
        <v>2.1356771343543132E-2</v>
      </c>
      <c r="N67" s="234">
        <f t="shared" ref="N67:X67" si="100">N74*($M$67/($M$35+$M$67))</f>
        <v>2.5845353322018171E-2</v>
      </c>
      <c r="O67" s="234">
        <f t="shared" si="100"/>
        <v>3.0333935300493206E-2</v>
      </c>
      <c r="P67" s="234">
        <f t="shared" ref="P67:V67" si="101">P74*($M$67/($M$35+$M$67))</f>
        <v>3.4822517278968242E-2</v>
      </c>
      <c r="Q67" s="406">
        <f t="shared" si="101"/>
        <v>3.9311099257443284E-2</v>
      </c>
      <c r="R67" s="406">
        <f t="shared" si="101"/>
        <v>4.379968123591832E-2</v>
      </c>
      <c r="S67" s="406">
        <f t="shared" si="101"/>
        <v>4.8288263214393355E-2</v>
      </c>
      <c r="T67" s="406">
        <f t="shared" si="101"/>
        <v>5.2776845192868384E-2</v>
      </c>
      <c r="U67" s="406">
        <f t="shared" si="101"/>
        <v>6.0693371971798644E-2</v>
      </c>
      <c r="V67" s="406">
        <f t="shared" si="101"/>
        <v>8.972063682787626E-2</v>
      </c>
      <c r="W67" s="406">
        <f t="shared" si="100"/>
        <v>0.11347021716466701</v>
      </c>
      <c r="X67" s="405">
        <f t="shared" si="100"/>
        <v>0.15833053557860513</v>
      </c>
    </row>
    <row r="68" spans="2:29">
      <c r="B68" s="849"/>
      <c r="C68" s="288"/>
      <c r="F68" s="399"/>
      <c r="G68" s="399"/>
      <c r="H68" s="399"/>
      <c r="I68" s="399"/>
      <c r="J68" s="399"/>
      <c r="K68" s="399"/>
      <c r="L68" s="399"/>
      <c r="M68" s="236"/>
      <c r="N68" s="236"/>
      <c r="O68" s="236"/>
      <c r="X68" s="287"/>
    </row>
    <row r="69" spans="2:29">
      <c r="B69" s="849"/>
      <c r="C69" s="288"/>
      <c r="D69" s="241" t="s">
        <v>376</v>
      </c>
      <c r="E69" s="248" t="s">
        <v>271</v>
      </c>
      <c r="F69" s="399">
        <f t="shared" ref="F69:M69" si="102">F47/F$44</f>
        <v>0.91200000000000003</v>
      </c>
      <c r="G69" s="399">
        <f t="shared" si="102"/>
        <v>0.90394088669950734</v>
      </c>
      <c r="H69" s="399">
        <f t="shared" si="102"/>
        <v>0.9161425576519916</v>
      </c>
      <c r="I69" s="399">
        <f t="shared" si="102"/>
        <v>0.92060491493383745</v>
      </c>
      <c r="J69" s="399">
        <f t="shared" si="102"/>
        <v>0.92401215805471126</v>
      </c>
      <c r="K69" s="399">
        <f t="shared" si="102"/>
        <v>0.92703349282296654</v>
      </c>
      <c r="L69" s="399">
        <f t="shared" si="102"/>
        <v>0.93080168776371308</v>
      </c>
      <c r="M69" s="399">
        <f t="shared" si="102"/>
        <v>0.9450277949351451</v>
      </c>
      <c r="N69" s="236">
        <f t="shared" ref="N69:X69" si="103">M69</f>
        <v>0.9450277949351451</v>
      </c>
      <c r="O69" s="236">
        <f t="shared" si="103"/>
        <v>0.9450277949351451</v>
      </c>
      <c r="P69" s="236">
        <f t="shared" si="103"/>
        <v>0.9450277949351451</v>
      </c>
      <c r="Q69" s="236">
        <f t="shared" si="103"/>
        <v>0.9450277949351451</v>
      </c>
      <c r="R69" s="236">
        <f t="shared" si="103"/>
        <v>0.9450277949351451</v>
      </c>
      <c r="S69" s="236">
        <f t="shared" si="103"/>
        <v>0.9450277949351451</v>
      </c>
      <c r="T69" s="236">
        <f t="shared" si="103"/>
        <v>0.9450277949351451</v>
      </c>
      <c r="U69" s="236">
        <f t="shared" si="103"/>
        <v>0.9450277949351451</v>
      </c>
      <c r="V69" s="236">
        <f t="shared" si="103"/>
        <v>0.9450277949351451</v>
      </c>
      <c r="W69" s="236">
        <f t="shared" si="103"/>
        <v>0.9450277949351451</v>
      </c>
      <c r="X69" s="235">
        <f t="shared" si="103"/>
        <v>0.9450277949351451</v>
      </c>
    </row>
    <row r="70" spans="2:29">
      <c r="B70" s="849"/>
      <c r="C70" s="288"/>
      <c r="D70" s="241" t="s">
        <v>376</v>
      </c>
      <c r="E70" s="248" t="s">
        <v>272</v>
      </c>
      <c r="F70" s="399">
        <f t="shared" ref="F70:M70" si="104">F52/F$44</f>
        <v>8.7999999999999995E-2</v>
      </c>
      <c r="G70" s="399">
        <f t="shared" si="104"/>
        <v>9.6059113300492605E-2</v>
      </c>
      <c r="H70" s="399">
        <f t="shared" si="104"/>
        <v>8.385744234800839E-2</v>
      </c>
      <c r="I70" s="399">
        <f t="shared" si="104"/>
        <v>7.9395085066162566E-2</v>
      </c>
      <c r="J70" s="399">
        <f t="shared" si="104"/>
        <v>7.598784194528875E-2</v>
      </c>
      <c r="K70" s="399">
        <f t="shared" si="104"/>
        <v>7.2966507177033499E-2</v>
      </c>
      <c r="L70" s="399">
        <f t="shared" si="104"/>
        <v>6.9198312236286919E-2</v>
      </c>
      <c r="M70" s="399">
        <f t="shared" si="104"/>
        <v>5.4972205064854847E-2</v>
      </c>
      <c r="N70" s="236">
        <f t="shared" ref="N70:X70" si="105">M70</f>
        <v>5.4972205064854847E-2</v>
      </c>
      <c r="O70" s="236">
        <f t="shared" si="105"/>
        <v>5.4972205064854847E-2</v>
      </c>
      <c r="P70" s="236">
        <f t="shared" si="105"/>
        <v>5.4972205064854847E-2</v>
      </c>
      <c r="Q70" s="236">
        <f t="shared" si="105"/>
        <v>5.4972205064854847E-2</v>
      </c>
      <c r="R70" s="236">
        <f t="shared" si="105"/>
        <v>5.4972205064854847E-2</v>
      </c>
      <c r="S70" s="236">
        <f t="shared" si="105"/>
        <v>5.4972205064854847E-2</v>
      </c>
      <c r="T70" s="236">
        <f t="shared" si="105"/>
        <v>5.4972205064854847E-2</v>
      </c>
      <c r="U70" s="236">
        <f t="shared" si="105"/>
        <v>5.4972205064854847E-2</v>
      </c>
      <c r="V70" s="236">
        <f t="shared" si="105"/>
        <v>5.4972205064854847E-2</v>
      </c>
      <c r="W70" s="236">
        <f t="shared" si="105"/>
        <v>5.4972205064854847E-2</v>
      </c>
      <c r="X70" s="235">
        <f t="shared" si="105"/>
        <v>5.4972205064854847E-2</v>
      </c>
    </row>
    <row r="71" spans="2:29">
      <c r="B71" s="849"/>
      <c r="C71" s="288"/>
      <c r="D71" s="241" t="s">
        <v>376</v>
      </c>
      <c r="E71" s="248" t="s">
        <v>273</v>
      </c>
      <c r="F71" s="399">
        <f t="shared" ref="F71:M71" si="106">F57/F$44</f>
        <v>0</v>
      </c>
      <c r="G71" s="399">
        <f t="shared" si="106"/>
        <v>0</v>
      </c>
      <c r="H71" s="399">
        <f t="shared" si="106"/>
        <v>0</v>
      </c>
      <c r="I71" s="399">
        <f t="shared" si="106"/>
        <v>0</v>
      </c>
      <c r="J71" s="399">
        <f t="shared" si="106"/>
        <v>0</v>
      </c>
      <c r="K71" s="399">
        <f t="shared" si="106"/>
        <v>0</v>
      </c>
      <c r="L71" s="399">
        <f t="shared" si="106"/>
        <v>0</v>
      </c>
      <c r="M71" s="399">
        <f t="shared" si="106"/>
        <v>0</v>
      </c>
      <c r="N71" s="236">
        <f t="shared" ref="N71:X71" si="107">M71</f>
        <v>0</v>
      </c>
      <c r="O71" s="236">
        <f t="shared" si="107"/>
        <v>0</v>
      </c>
      <c r="P71" s="236">
        <f t="shared" si="107"/>
        <v>0</v>
      </c>
      <c r="Q71" s="236">
        <f t="shared" si="107"/>
        <v>0</v>
      </c>
      <c r="R71" s="236">
        <f t="shared" si="107"/>
        <v>0</v>
      </c>
      <c r="S71" s="236">
        <f t="shared" si="107"/>
        <v>0</v>
      </c>
      <c r="T71" s="236">
        <f t="shared" si="107"/>
        <v>0</v>
      </c>
      <c r="U71" s="236">
        <f t="shared" si="107"/>
        <v>0</v>
      </c>
      <c r="V71" s="236">
        <f t="shared" si="107"/>
        <v>0</v>
      </c>
      <c r="W71" s="236">
        <f t="shared" si="107"/>
        <v>0</v>
      </c>
      <c r="X71" s="235">
        <f t="shared" si="107"/>
        <v>0</v>
      </c>
    </row>
    <row r="72" spans="2:29">
      <c r="B72" s="850"/>
      <c r="C72" s="398"/>
      <c r="D72" s="240"/>
      <c r="E72" s="297"/>
      <c r="F72" s="397"/>
      <c r="G72" s="397"/>
      <c r="H72" s="397"/>
      <c r="I72" s="397"/>
      <c r="J72" s="397"/>
      <c r="K72" s="397"/>
      <c r="L72" s="397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404"/>
    </row>
    <row r="73" spans="2:29">
      <c r="B73" s="284"/>
      <c r="C73" s="284"/>
      <c r="D73" s="50"/>
      <c r="E73" s="305" t="s">
        <v>506</v>
      </c>
      <c r="F73" s="400"/>
      <c r="G73" s="400"/>
      <c r="H73" s="400"/>
      <c r="I73" s="400"/>
      <c r="J73" s="400"/>
      <c r="K73" s="400"/>
      <c r="L73" s="400"/>
      <c r="M73" s="230"/>
      <c r="N73" s="230"/>
      <c r="O73" s="230">
        <v>0.2</v>
      </c>
      <c r="P73" s="230">
        <v>0.23</v>
      </c>
      <c r="Q73" s="230">
        <v>0.34</v>
      </c>
      <c r="R73" s="230">
        <v>0.43</v>
      </c>
      <c r="S73" s="230">
        <v>0.6</v>
      </c>
      <c r="T73" s="230">
        <v>0.67999999999999994</v>
      </c>
      <c r="U73" s="230">
        <v>0.7599999999999999</v>
      </c>
      <c r="V73" s="230">
        <v>0.83999999999999986</v>
      </c>
      <c r="W73" s="230">
        <v>0.91999999999999982</v>
      </c>
      <c r="X73" s="229">
        <v>1</v>
      </c>
    </row>
    <row r="74" spans="2:29">
      <c r="B74" s="288"/>
      <c r="C74" s="288"/>
      <c r="D74" s="49"/>
      <c r="E74" s="248" t="s">
        <v>507</v>
      </c>
      <c r="F74" s="399">
        <f t="shared" ref="F74:M74" si="108">(F65+F33)/F75</f>
        <v>1.0204705544706419E-2</v>
      </c>
      <c r="G74" s="399">
        <f t="shared" si="108"/>
        <v>2.098743633957071E-2</v>
      </c>
      <c r="H74" s="399">
        <f t="shared" si="108"/>
        <v>1.2115646959217564E-2</v>
      </c>
      <c r="I74" s="399">
        <f t="shared" si="108"/>
        <v>1.7512076289178214E-2</v>
      </c>
      <c r="J74" s="399">
        <f t="shared" si="108"/>
        <v>3.1581397425024076E-2</v>
      </c>
      <c r="K74" s="399">
        <f t="shared" si="108"/>
        <v>6.5032910063767976E-2</v>
      </c>
      <c r="L74" s="399">
        <f t="shared" si="108"/>
        <v>7.4050112185949507E-2</v>
      </c>
      <c r="M74" s="399">
        <f t="shared" si="108"/>
        <v>8.0932353063153634E-2</v>
      </c>
      <c r="N74" s="236">
        <f>($T$74-$M$74)/7+M74</f>
        <v>9.7942016911274549E-2</v>
      </c>
      <c r="O74" s="236">
        <f t="shared" ref="O74:S74" si="109">($T$74-$M$74)/7+N74</f>
        <v>0.11495168075939546</v>
      </c>
      <c r="P74" s="236">
        <f t="shared" si="109"/>
        <v>0.13196134460751638</v>
      </c>
      <c r="Q74" s="236">
        <f t="shared" si="109"/>
        <v>0.14897100845563729</v>
      </c>
      <c r="R74" s="236">
        <f t="shared" si="109"/>
        <v>0.16598067230375821</v>
      </c>
      <c r="S74" s="236">
        <f t="shared" si="109"/>
        <v>0.18299033615187912</v>
      </c>
      <c r="T74" s="236">
        <f>O73</f>
        <v>0.2</v>
      </c>
      <c r="U74" s="236">
        <f t="shared" ref="U74:X74" si="110">P73</f>
        <v>0.23</v>
      </c>
      <c r="V74" s="236">
        <f t="shared" si="110"/>
        <v>0.34</v>
      </c>
      <c r="W74" s="236">
        <f t="shared" si="110"/>
        <v>0.43</v>
      </c>
      <c r="X74" s="236">
        <f t="shared" si="110"/>
        <v>0.6</v>
      </c>
    </row>
    <row r="75" spans="2:29">
      <c r="B75" s="288"/>
      <c r="C75" s="288"/>
      <c r="D75" s="49" t="s">
        <v>73</v>
      </c>
      <c r="E75" s="248" t="s">
        <v>269</v>
      </c>
      <c r="F75" s="301">
        <f>SUMIFS('EV Data'!$D$5:$D$36,'EV Data'!$C$5:$C$36,'EV Forecast VRZ'!F$9)</f>
        <v>801395</v>
      </c>
      <c r="G75" s="301">
        <f>SUMIFS('EV Data'!$D$5:$D$36,'EV Data'!$C$5:$C$36,'EV Forecast VRZ'!G$9)</f>
        <v>798573</v>
      </c>
      <c r="H75" s="301">
        <f>SUMIFS('EV Data'!$D$5:$D$36,'EV Data'!$C$5:$C$36,'EV Forecast VRZ'!H$9)</f>
        <v>796078</v>
      </c>
      <c r="I75" s="301">
        <f>SUMIFS('EV Data'!$D$5:$D$36,'EV Data'!$C$5:$C$36,'EV Forecast VRZ'!I$9)</f>
        <v>600557</v>
      </c>
      <c r="J75" s="301">
        <f>SUMIFS('EV Data'!$D$5:$D$36,'EV Data'!$C$5:$C$36,'EV Forecast VRZ'!J$9)</f>
        <v>627268</v>
      </c>
      <c r="K75" s="301">
        <f>SUMIFS('EV Data'!$D$5:$D$36,'EV Data'!$C$5:$C$36,'EV Forecast VRZ'!K$9)</f>
        <v>594499</v>
      </c>
      <c r="L75" s="301">
        <f>SUMIFS('EV Data'!$D$5:$D$36,'EV Data'!$C$5:$C$36,'EV Forecast VRZ'!L$9)</f>
        <v>677001</v>
      </c>
      <c r="M75" s="301">
        <f>SUMIFS('EV Data'!$D$5:$D$36,'EV Data'!$C$5:$C$36,'EV Forecast VRZ'!M$9)</f>
        <v>699263</v>
      </c>
      <c r="N75" s="214">
        <f>M75*1.02</f>
        <v>713248.26</v>
      </c>
      <c r="O75" s="214">
        <f t="shared" ref="O75:X75" si="111">N75*1.02</f>
        <v>727513.22519999999</v>
      </c>
      <c r="P75" s="214">
        <f t="shared" si="111"/>
        <v>742063.48970399995</v>
      </c>
      <c r="Q75" s="214">
        <f t="shared" si="111"/>
        <v>756904.75949808001</v>
      </c>
      <c r="R75" s="214">
        <f t="shared" si="111"/>
        <v>772042.85468804161</v>
      </c>
      <c r="S75" s="214">
        <f t="shared" si="111"/>
        <v>787483.71178180247</v>
      </c>
      <c r="T75" s="214">
        <f t="shared" si="111"/>
        <v>803233.38601743849</v>
      </c>
      <c r="U75" s="214">
        <f t="shared" si="111"/>
        <v>819298.0537377873</v>
      </c>
      <c r="V75" s="214">
        <f t="shared" si="111"/>
        <v>835684.01481254306</v>
      </c>
      <c r="W75" s="214">
        <f t="shared" si="111"/>
        <v>852397.69510879391</v>
      </c>
      <c r="X75" s="286">
        <f t="shared" si="111"/>
        <v>869445.64901096979</v>
      </c>
    </row>
    <row r="76" spans="2:29">
      <c r="B76" s="398"/>
      <c r="C76" s="398"/>
      <c r="D76" s="398"/>
      <c r="E76" s="297"/>
      <c r="F76" s="297"/>
      <c r="G76" s="297"/>
      <c r="H76" s="297"/>
      <c r="I76" s="297"/>
      <c r="J76" s="297"/>
      <c r="K76" s="297"/>
      <c r="L76" s="297"/>
      <c r="M76" s="297"/>
      <c r="N76" s="632"/>
      <c r="O76" s="297"/>
      <c r="P76" s="297"/>
      <c r="Q76" s="297"/>
      <c r="R76" s="297"/>
      <c r="S76" s="297"/>
      <c r="T76" s="297"/>
      <c r="U76" s="297"/>
      <c r="V76" s="297"/>
      <c r="W76" s="297"/>
      <c r="X76" s="396"/>
    </row>
    <row r="77" spans="2:29">
      <c r="K77" s="279"/>
      <c r="L77" s="279"/>
      <c r="M77" s="279"/>
      <c r="N77" s="279"/>
      <c r="O77" s="279"/>
      <c r="P77" s="279"/>
      <c r="Q77" s="279"/>
      <c r="R77" s="279"/>
      <c r="S77" s="279"/>
      <c r="T77" s="279"/>
    </row>
    <row r="79" spans="2:29">
      <c r="B79" s="857" t="str">
        <f>B9</f>
        <v>Battery electric</v>
      </c>
      <c r="C79" s="248" t="s">
        <v>274</v>
      </c>
      <c r="F79" s="248">
        <f t="shared" ref="F79:T79" si="112">F9</f>
        <v>2017</v>
      </c>
      <c r="G79" s="248">
        <f t="shared" si="112"/>
        <v>2018</v>
      </c>
      <c r="H79" s="248">
        <f t="shared" si="112"/>
        <v>2019</v>
      </c>
      <c r="I79" s="248">
        <f t="shared" si="112"/>
        <v>2020</v>
      </c>
      <c r="J79" s="248">
        <f t="shared" si="112"/>
        <v>2021</v>
      </c>
      <c r="K79" s="248">
        <f t="shared" si="112"/>
        <v>2022</v>
      </c>
      <c r="L79" s="248">
        <f t="shared" si="112"/>
        <v>2023</v>
      </c>
      <c r="M79" s="248">
        <f t="shared" si="112"/>
        <v>2024</v>
      </c>
      <c r="N79" s="248">
        <f t="shared" si="112"/>
        <v>2025</v>
      </c>
      <c r="O79" s="248">
        <f t="shared" si="112"/>
        <v>2026</v>
      </c>
      <c r="P79" s="248">
        <f t="shared" si="112"/>
        <v>2027</v>
      </c>
      <c r="Q79" s="248">
        <f t="shared" si="112"/>
        <v>2028</v>
      </c>
      <c r="R79" s="248">
        <f t="shared" si="112"/>
        <v>2029</v>
      </c>
      <c r="S79" s="248">
        <f t="shared" si="112"/>
        <v>2030</v>
      </c>
      <c r="T79" s="248">
        <f t="shared" si="112"/>
        <v>2031</v>
      </c>
      <c r="X79" s="403" t="s">
        <v>275</v>
      </c>
      <c r="Y79" s="292" t="s">
        <v>258</v>
      </c>
      <c r="Z79" s="292" t="s">
        <v>276</v>
      </c>
      <c r="AB79" s="248" t="s">
        <v>671</v>
      </c>
    </row>
    <row r="80" spans="2:29" ht="14.85" customHeight="1">
      <c r="B80" s="857"/>
      <c r="C80" s="856" t="s">
        <v>277</v>
      </c>
      <c r="D80" s="248" t="s">
        <v>63</v>
      </c>
      <c r="F80" s="214">
        <f>F$18*$X80+F$23*$Y80+F$28*$Z80</f>
        <v>137983.51672447595</v>
      </c>
      <c r="G80" s="214">
        <f>(G$18-F$18)*$X80+(G$23-F$23)*$Y80+(G$28-F$28)*$Z80</f>
        <v>511102.20990800782</v>
      </c>
      <c r="H80" s="214">
        <f t="shared" ref="H80:T80" si="113">(H$18-G$18)*$X80+(H$23-G$23)*$Y80+(H$28-G$28)*$Z80</f>
        <v>635005.7759463127</v>
      </c>
      <c r="I80" s="214">
        <f t="shared" si="113"/>
        <v>589949.93375056551</v>
      </c>
      <c r="J80" s="214">
        <f t="shared" si="113"/>
        <v>951804.66638516053</v>
      </c>
      <c r="K80" s="214">
        <f t="shared" si="113"/>
        <v>2130204.7870456944</v>
      </c>
      <c r="L80" s="214">
        <f>(L$18-K$18)*$X80+(L$23-K$23)*$Y80+(L$28-K$28)*$Z80</f>
        <v>3279285.5303121703</v>
      </c>
      <c r="M80" s="214">
        <f>(M$18-L$18)*$X80+(M$23-L$23)*$Y80+(M$28-L$28)*$Z80</f>
        <v>3883220.2592821596</v>
      </c>
      <c r="N80" s="214">
        <f t="shared" si="113"/>
        <v>4547955.508707257</v>
      </c>
      <c r="O80" s="214">
        <f t="shared" si="113"/>
        <v>5355665.9228797993</v>
      </c>
      <c r="P80" s="214">
        <f t="shared" si="113"/>
        <v>6059046.4919794891</v>
      </c>
      <c r="Q80" s="214">
        <f t="shared" si="113"/>
        <v>6605155.3793428149</v>
      </c>
      <c r="R80" s="214">
        <f t="shared" si="113"/>
        <v>7882119.0046668341</v>
      </c>
      <c r="S80" s="214">
        <f t="shared" si="113"/>
        <v>8843507.331772374</v>
      </c>
      <c r="T80" s="214">
        <f t="shared" si="113"/>
        <v>9386276.5037828684</v>
      </c>
      <c r="V80" s="214"/>
      <c r="W80" s="292" t="str">
        <f t="shared" ref="W80:W85" si="114">D80</f>
        <v>Residential</v>
      </c>
      <c r="X80" s="402">
        <f>0.85-X81</f>
        <v>0.83859146433418785</v>
      </c>
      <c r="Y80" s="402">
        <f>0.65-Y81</f>
        <v>0.64127582566732022</v>
      </c>
      <c r="Z80" s="402">
        <f>0.6-Z81</f>
        <v>0.59194691600060323</v>
      </c>
      <c r="AB80" s="276">
        <f>'Customer Count'!C14</f>
        <v>117456.375</v>
      </c>
      <c r="AC80" s="568">
        <f>AB80/$AB$86</f>
        <v>0.90637262278193831</v>
      </c>
    </row>
    <row r="81" spans="2:29" ht="14.85" customHeight="1">
      <c r="B81" s="857"/>
      <c r="C81" s="856"/>
      <c r="D81" s="248" t="s">
        <v>211</v>
      </c>
      <c r="F81" s="214">
        <f t="shared" ref="F81:F85" si="115">F$18*$X81+F$23*$Y81+F$28*$Z81</f>
        <v>1877.1832755240528</v>
      </c>
      <c r="G81" s="214">
        <f t="shared" ref="G81:T81" si="116">(G$18-F$18)*$X81+(G$23-F$23)*$Y81+(G$28-F$28)*$Z81</f>
        <v>6953.2400919921547</v>
      </c>
      <c r="H81" s="214">
        <f t="shared" si="116"/>
        <v>8638.8740536872228</v>
      </c>
      <c r="I81" s="214">
        <f t="shared" si="116"/>
        <v>8025.91624943447</v>
      </c>
      <c r="J81" s="214">
        <f t="shared" si="116"/>
        <v>12948.733614839384</v>
      </c>
      <c r="K81" s="214">
        <f t="shared" si="116"/>
        <v>28980.162954305521</v>
      </c>
      <c r="L81" s="214">
        <f t="shared" si="116"/>
        <v>44612.719687829871</v>
      </c>
      <c r="M81" s="214">
        <f t="shared" si="116"/>
        <v>52828.890717840412</v>
      </c>
      <c r="N81" s="214">
        <f t="shared" si="116"/>
        <v>61872.216489597333</v>
      </c>
      <c r="O81" s="214">
        <f t="shared" si="116"/>
        <v>72860.6339248398</v>
      </c>
      <c r="P81" s="214">
        <f t="shared" si="116"/>
        <v>82429.706173368118</v>
      </c>
      <c r="Q81" s="214">
        <f t="shared" si="116"/>
        <v>89859.19118946961</v>
      </c>
      <c r="R81" s="214">
        <f t="shared" si="116"/>
        <v>107231.5181007869</v>
      </c>
      <c r="S81" s="214">
        <f t="shared" si="116"/>
        <v>120310.63169179775</v>
      </c>
      <c r="T81" s="214">
        <f t="shared" si="116"/>
        <v>127694.68187659353</v>
      </c>
      <c r="V81" s="214"/>
      <c r="W81" s="292" t="str">
        <f t="shared" si="114"/>
        <v>Residential Seasonal</v>
      </c>
      <c r="X81" s="402">
        <f>0.85*'EV Data'!$CZ$234/'EV Data'!$DW$234</f>
        <v>1.1408535665812089E-2</v>
      </c>
      <c r="Y81" s="402">
        <f>0.65*'EV Data'!$CZ$234/'EV Data'!$DW$234</f>
        <v>8.7241743326798328E-3</v>
      </c>
      <c r="Z81" s="402">
        <f>0.6*'EV Data'!$CZ$234/'EV Data'!$DW$234</f>
        <v>8.0530839993967675E-3</v>
      </c>
      <c r="AB81" s="276">
        <f>'Customer Count'!G14</f>
        <v>1561.8333333333339</v>
      </c>
      <c r="AC81" s="568">
        <f t="shared" ref="AC81:AC85" si="117">AB81/$AB$86</f>
        <v>1.2052159575685792E-2</v>
      </c>
    </row>
    <row r="82" spans="2:29">
      <c r="B82" s="857"/>
      <c r="C82" s="856"/>
      <c r="D82" s="248" t="s">
        <v>278</v>
      </c>
      <c r="F82" s="214">
        <f t="shared" si="115"/>
        <v>16454.2</v>
      </c>
      <c r="G82" s="214">
        <f t="shared" ref="G82:T82" si="118">(G$18-F$18)*$X82+(G$23-F$23)*$Y82+(G$28-F$28)*$Z82</f>
        <v>60947.700000000004</v>
      </c>
      <c r="H82" s="214">
        <f t="shared" si="118"/>
        <v>75722.900000000009</v>
      </c>
      <c r="I82" s="214">
        <f t="shared" si="118"/>
        <v>70350.100000000006</v>
      </c>
      <c r="J82" s="214">
        <f t="shared" si="118"/>
        <v>113500.40000000001</v>
      </c>
      <c r="K82" s="214">
        <f t="shared" si="118"/>
        <v>260074.7</v>
      </c>
      <c r="L82" s="214">
        <f t="shared" si="118"/>
        <v>413714.5</v>
      </c>
      <c r="M82" s="214">
        <f t="shared" si="118"/>
        <v>517249.9</v>
      </c>
      <c r="N82" s="214">
        <f t="shared" si="118"/>
        <v>600542.04899113916</v>
      </c>
      <c r="O82" s="214">
        <f t="shared" si="118"/>
        <v>683996.57409746258</v>
      </c>
      <c r="P82" s="214">
        <f t="shared" si="118"/>
        <v>776165.13271284197</v>
      </c>
      <c r="Q82" s="214">
        <f t="shared" si="118"/>
        <v>849892.97104319767</v>
      </c>
      <c r="R82" s="214">
        <f t="shared" si="118"/>
        <v>1011096.237493682</v>
      </c>
      <c r="S82" s="214">
        <f t="shared" si="118"/>
        <v>1135000.1546137698</v>
      </c>
      <c r="T82" s="214">
        <f t="shared" si="118"/>
        <v>1209326.7104036619</v>
      </c>
      <c r="V82" s="214"/>
      <c r="W82" s="292" t="str">
        <f t="shared" si="114"/>
        <v>GS&lt;50</v>
      </c>
      <c r="X82" s="402">
        <v>0.1</v>
      </c>
      <c r="Y82" s="402">
        <v>0.2</v>
      </c>
      <c r="Z82" s="402">
        <v>0.2</v>
      </c>
      <c r="AB82" s="276">
        <f>'Customer Count'!K14</f>
        <v>9501.875</v>
      </c>
      <c r="AC82" s="568">
        <f t="shared" si="117"/>
        <v>7.3322877239282505E-2</v>
      </c>
    </row>
    <row r="83" spans="2:29">
      <c r="B83" s="857"/>
      <c r="C83" s="856"/>
      <c r="D83" s="248" t="s">
        <v>365</v>
      </c>
      <c r="F83" s="214">
        <f t="shared" si="115"/>
        <v>7404.3899999999994</v>
      </c>
      <c r="G83" s="214">
        <f t="shared" ref="G83:T83" si="119">(G$18-F$18)*$X83+(G$23-F$23)*$Y83+(G$28-F$28)*$Z83</f>
        <v>27426.465</v>
      </c>
      <c r="H83" s="214">
        <f t="shared" si="119"/>
        <v>34075.305</v>
      </c>
      <c r="I83" s="214">
        <f t="shared" si="119"/>
        <v>31657.544999999998</v>
      </c>
      <c r="J83" s="214">
        <f t="shared" si="119"/>
        <v>51075.18</v>
      </c>
      <c r="K83" s="214">
        <f t="shared" si="119"/>
        <v>119603.61499999999</v>
      </c>
      <c r="L83" s="214">
        <f t="shared" si="119"/>
        <v>196326.52499999999</v>
      </c>
      <c r="M83" s="214">
        <f t="shared" si="119"/>
        <v>257057.45499999999</v>
      </c>
      <c r="N83" s="214">
        <f t="shared" si="119"/>
        <v>296158.39185673592</v>
      </c>
      <c r="O83" s="214">
        <f t="shared" si="119"/>
        <v>328022.00551056722</v>
      </c>
      <c r="P83" s="214">
        <f t="shared" si="119"/>
        <v>373195.97449189884</v>
      </c>
      <c r="Q83" s="214">
        <f t="shared" si="119"/>
        <v>410211.45463027968</v>
      </c>
      <c r="R83" s="214">
        <f t="shared" si="119"/>
        <v>486734.82687239873</v>
      </c>
      <c r="S83" s="214">
        <f t="shared" si="119"/>
        <v>546621.66416235117</v>
      </c>
      <c r="T83" s="214">
        <f t="shared" si="119"/>
        <v>584351.19522915175</v>
      </c>
      <c r="V83" s="214"/>
      <c r="W83" s="292" t="str">
        <f t="shared" si="114"/>
        <v>GS 50 - 2,999</v>
      </c>
      <c r="X83" s="402">
        <v>4.4999999999999998E-2</v>
      </c>
      <c r="Y83" s="402">
        <v>0.1</v>
      </c>
      <c r="Z83" s="402">
        <v>0.15</v>
      </c>
      <c r="AB83" s="276">
        <f>'Customer Count'!O14</f>
        <v>1059.4166666666663</v>
      </c>
      <c r="AC83" s="568">
        <f t="shared" si="117"/>
        <v>8.175173657330774E-3</v>
      </c>
    </row>
    <row r="84" spans="2:29">
      <c r="B84" s="857"/>
      <c r="C84" s="856"/>
      <c r="D84" s="248" t="s">
        <v>366</v>
      </c>
      <c r="F84" s="214">
        <f t="shared" si="115"/>
        <v>822.71</v>
      </c>
      <c r="G84" s="214">
        <f t="shared" ref="G84:T84" si="120">(G$18-F$18)*$X84+(G$23-F$23)*$Y84+(G$28-F$28)*$Z84</f>
        <v>3047.3850000000002</v>
      </c>
      <c r="H84" s="214">
        <f t="shared" si="120"/>
        <v>3786.145</v>
      </c>
      <c r="I84" s="214">
        <f t="shared" si="120"/>
        <v>3517.5050000000001</v>
      </c>
      <c r="J84" s="214">
        <f t="shared" si="120"/>
        <v>5675.02</v>
      </c>
      <c r="K84" s="214">
        <f t="shared" si="120"/>
        <v>13833.735000000001</v>
      </c>
      <c r="L84" s="214">
        <f t="shared" si="120"/>
        <v>23505.725000000002</v>
      </c>
      <c r="M84" s="214">
        <f t="shared" si="120"/>
        <v>32592.494999999999</v>
      </c>
      <c r="N84" s="214">
        <f t="shared" si="120"/>
        <v>37357.305009358497</v>
      </c>
      <c r="O84" s="214">
        <f t="shared" si="120"/>
        <v>39890.877153796268</v>
      </c>
      <c r="P84" s="214">
        <f t="shared" si="120"/>
        <v>45539.981395354254</v>
      </c>
      <c r="Q84" s="214">
        <f t="shared" si="120"/>
        <v>50306.400255713052</v>
      </c>
      <c r="R84" s="214">
        <f t="shared" si="120"/>
        <v>59487.098909928041</v>
      </c>
      <c r="S84" s="214">
        <f t="shared" si="120"/>
        <v>66844.526810209427</v>
      </c>
      <c r="T84" s="214">
        <f t="shared" si="120"/>
        <v>71766.003010937973</v>
      </c>
      <c r="V84" s="214"/>
      <c r="W84" s="292" t="str">
        <f t="shared" si="114"/>
        <v>GS 3,000 - 4,999</v>
      </c>
      <c r="X84" s="402">
        <v>5.0000000000000001E-3</v>
      </c>
      <c r="Y84" s="402">
        <v>0.05</v>
      </c>
      <c r="Z84" s="402">
        <v>2.5000000000000001E-2</v>
      </c>
      <c r="AB84" s="276">
        <f>'Customer Count'!U14</f>
        <v>5</v>
      </c>
      <c r="AC84" s="568">
        <f t="shared" si="117"/>
        <v>3.8583372881290535E-5</v>
      </c>
    </row>
    <row r="85" spans="2:29">
      <c r="B85" s="857"/>
      <c r="C85" s="856"/>
      <c r="D85" s="248" t="s">
        <v>206</v>
      </c>
      <c r="F85" s="214">
        <f t="shared" si="115"/>
        <v>0</v>
      </c>
      <c r="G85" s="214">
        <f t="shared" ref="G85:T85" si="121">(G$18-F$18)*$X85+(G$23-F$23)*$Y85+(G$28-F$28)*$Z85</f>
        <v>0</v>
      </c>
      <c r="H85" s="214">
        <f t="shared" si="121"/>
        <v>0</v>
      </c>
      <c r="I85" s="214">
        <f t="shared" si="121"/>
        <v>0</v>
      </c>
      <c r="J85" s="214">
        <f t="shared" si="121"/>
        <v>0</v>
      </c>
      <c r="K85" s="214">
        <f t="shared" si="121"/>
        <v>1050</v>
      </c>
      <c r="L85" s="214">
        <f t="shared" si="121"/>
        <v>4200</v>
      </c>
      <c r="M85" s="214">
        <f t="shared" si="121"/>
        <v>10050</v>
      </c>
      <c r="N85" s="214">
        <f t="shared" si="121"/>
        <v>10703.07518701019</v>
      </c>
      <c r="O85" s="214">
        <f t="shared" si="121"/>
        <v>8355.9044686569887</v>
      </c>
      <c r="P85" s="214">
        <f t="shared" si="121"/>
        <v>9883.881591640873</v>
      </c>
      <c r="Q85" s="214">
        <f t="shared" si="121"/>
        <v>11469.635437756639</v>
      </c>
      <c r="R85" s="214">
        <f t="shared" si="121"/>
        <v>13114.865885080399</v>
      </c>
      <c r="S85" s="214">
        <f t="shared" si="121"/>
        <v>14821.317696122011</v>
      </c>
      <c r="T85" s="214">
        <f t="shared" si="121"/>
        <v>16590.781633251219</v>
      </c>
      <c r="V85" s="214"/>
      <c r="W85" s="292" t="str">
        <f t="shared" si="114"/>
        <v>Large Use</v>
      </c>
      <c r="X85" s="402">
        <v>0</v>
      </c>
      <c r="Y85" s="402">
        <v>0</v>
      </c>
      <c r="Z85" s="402">
        <v>2.5000000000000001E-2</v>
      </c>
      <c r="AB85" s="276">
        <f>'Customer Count'!AA14</f>
        <v>5</v>
      </c>
      <c r="AC85" s="568">
        <f t="shared" si="117"/>
        <v>3.8583372881290535E-5</v>
      </c>
    </row>
    <row r="86" spans="2:29">
      <c r="B86" s="857"/>
      <c r="X86" s="236">
        <f>SUM(X80:X85)</f>
        <v>1</v>
      </c>
      <c r="Y86" s="236">
        <f t="shared" ref="Y86:Z86" si="122">SUM(Y80:Y85)</f>
        <v>1</v>
      </c>
      <c r="Z86" s="236">
        <f t="shared" si="122"/>
        <v>1</v>
      </c>
      <c r="AB86" s="276">
        <f>SUM(AB80:AB85)</f>
        <v>129589.5</v>
      </c>
    </row>
    <row r="87" spans="2:29">
      <c r="B87" s="857"/>
      <c r="C87" s="248" t="s">
        <v>279</v>
      </c>
    </row>
    <row r="88" spans="2:29">
      <c r="B88" s="857"/>
      <c r="D88" s="248" t="s">
        <v>280</v>
      </c>
      <c r="F88" s="401">
        <v>0.1</v>
      </c>
      <c r="G88" s="401">
        <f t="shared" ref="G88:T88" si="123">F88</f>
        <v>0.1</v>
      </c>
      <c r="H88" s="401">
        <f t="shared" si="123"/>
        <v>0.1</v>
      </c>
      <c r="I88" s="401">
        <f t="shared" si="123"/>
        <v>0.1</v>
      </c>
      <c r="J88" s="401">
        <f t="shared" si="123"/>
        <v>0.1</v>
      </c>
      <c r="K88" s="401">
        <f t="shared" si="123"/>
        <v>0.1</v>
      </c>
      <c r="L88" s="401">
        <f t="shared" si="123"/>
        <v>0.1</v>
      </c>
      <c r="M88" s="401">
        <f t="shared" si="123"/>
        <v>0.1</v>
      </c>
      <c r="N88" s="401">
        <f t="shared" si="123"/>
        <v>0.1</v>
      </c>
      <c r="O88" s="401">
        <f t="shared" si="123"/>
        <v>0.1</v>
      </c>
      <c r="P88" s="401">
        <f t="shared" si="123"/>
        <v>0.1</v>
      </c>
      <c r="Q88" s="401">
        <f t="shared" si="123"/>
        <v>0.1</v>
      </c>
      <c r="R88" s="401">
        <f t="shared" si="123"/>
        <v>0.1</v>
      </c>
      <c r="S88" s="401">
        <f t="shared" si="123"/>
        <v>0.1</v>
      </c>
      <c r="T88" s="401">
        <f t="shared" si="123"/>
        <v>0.1</v>
      </c>
    </row>
    <row r="89" spans="2:29">
      <c r="B89" s="857"/>
      <c r="D89" s="248" t="str">
        <f>D83</f>
        <v>GS 50 - 2,999</v>
      </c>
      <c r="F89" s="289">
        <f t="shared" ref="F89:T89" si="124">((F83/$F$88)/8760)*12</f>
        <v>101.42999999999998</v>
      </c>
      <c r="G89" s="289">
        <f t="shared" si="124"/>
        <v>375.70499999999993</v>
      </c>
      <c r="H89" s="289">
        <f t="shared" si="124"/>
        <v>466.78499999999997</v>
      </c>
      <c r="I89" s="289">
        <f t="shared" si="124"/>
        <v>433.66499999999996</v>
      </c>
      <c r="J89" s="289">
        <f t="shared" si="124"/>
        <v>699.66</v>
      </c>
      <c r="K89" s="289">
        <f t="shared" si="124"/>
        <v>1638.4056849315068</v>
      </c>
      <c r="L89" s="289">
        <f t="shared" si="124"/>
        <v>2689.4044520547941</v>
      </c>
      <c r="M89" s="289">
        <f t="shared" si="124"/>
        <v>3521.3349999999996</v>
      </c>
      <c r="N89" s="289">
        <f t="shared" si="124"/>
        <v>4056.964272010081</v>
      </c>
      <c r="O89" s="289">
        <f t="shared" si="124"/>
        <v>4493.4521302817429</v>
      </c>
      <c r="P89" s="289">
        <f t="shared" si="124"/>
        <v>5112.2736231766958</v>
      </c>
      <c r="Q89" s="289">
        <f t="shared" si="124"/>
        <v>5619.3349949353378</v>
      </c>
      <c r="R89" s="289">
        <f t="shared" si="124"/>
        <v>6667.6003681150505</v>
      </c>
      <c r="S89" s="289">
        <f t="shared" si="124"/>
        <v>7487.9680022239882</v>
      </c>
      <c r="T89" s="289">
        <f t="shared" si="124"/>
        <v>8004.810893550024</v>
      </c>
    </row>
    <row r="90" spans="2:29">
      <c r="B90" s="857"/>
      <c r="D90" s="248" t="str">
        <f>D84</f>
        <v>GS 3,000 - 4,999</v>
      </c>
      <c r="F90" s="289">
        <f t="shared" ref="F90:T90" si="125">((F84/$F$88)/8760)*12</f>
        <v>11.27</v>
      </c>
      <c r="G90" s="289">
        <f t="shared" si="125"/>
        <v>41.745000000000005</v>
      </c>
      <c r="H90" s="289">
        <f t="shared" si="125"/>
        <v>51.864999999999995</v>
      </c>
      <c r="I90" s="289">
        <f t="shared" si="125"/>
        <v>48.184999999999988</v>
      </c>
      <c r="J90" s="289">
        <f t="shared" si="125"/>
        <v>77.740000000000009</v>
      </c>
      <c r="K90" s="289">
        <f t="shared" si="125"/>
        <v>189.50321917808219</v>
      </c>
      <c r="L90" s="289">
        <f t="shared" si="125"/>
        <v>321.99623287671233</v>
      </c>
      <c r="M90" s="289">
        <f t="shared" si="125"/>
        <v>446.47253424657526</v>
      </c>
      <c r="N90" s="289">
        <f t="shared" si="125"/>
        <v>511.74390423778755</v>
      </c>
      <c r="O90" s="289">
        <f t="shared" si="125"/>
        <v>546.45037196981184</v>
      </c>
      <c r="P90" s="289">
        <f t="shared" si="125"/>
        <v>623.83536158019524</v>
      </c>
      <c r="Q90" s="289">
        <f t="shared" si="125"/>
        <v>689.12877062620612</v>
      </c>
      <c r="R90" s="289">
        <f t="shared" si="125"/>
        <v>814.89176588942507</v>
      </c>
      <c r="S90" s="289">
        <f t="shared" si="125"/>
        <v>915.67844945492345</v>
      </c>
      <c r="T90" s="289">
        <f t="shared" si="125"/>
        <v>983.09593165668434</v>
      </c>
    </row>
    <row r="91" spans="2:29">
      <c r="B91" s="857"/>
      <c r="D91" s="248" t="str">
        <f>D85</f>
        <v>Large Use</v>
      </c>
      <c r="F91" s="289">
        <f t="shared" ref="F91:T91" si="126">((F85/$F$88)/8760)*12</f>
        <v>0</v>
      </c>
      <c r="G91" s="289">
        <f t="shared" si="126"/>
        <v>0</v>
      </c>
      <c r="H91" s="289">
        <f t="shared" si="126"/>
        <v>0</v>
      </c>
      <c r="I91" s="289">
        <f t="shared" si="126"/>
        <v>0</v>
      </c>
      <c r="J91" s="289">
        <f t="shared" si="126"/>
        <v>0</v>
      </c>
      <c r="K91" s="289">
        <f t="shared" si="126"/>
        <v>14.383561643835616</v>
      </c>
      <c r="L91" s="289">
        <f t="shared" si="126"/>
        <v>57.534246575342465</v>
      </c>
      <c r="M91" s="289">
        <f t="shared" si="126"/>
        <v>137.67123287671234</v>
      </c>
      <c r="N91" s="289">
        <f t="shared" si="126"/>
        <v>146.6174683152081</v>
      </c>
      <c r="O91" s="289">
        <f t="shared" si="126"/>
        <v>114.46444477612312</v>
      </c>
      <c r="P91" s="289">
        <f t="shared" si="126"/>
        <v>135.3956382416558</v>
      </c>
      <c r="Q91" s="289">
        <f t="shared" si="126"/>
        <v>157.11829366789914</v>
      </c>
      <c r="R91" s="289">
        <f t="shared" si="126"/>
        <v>179.65569705589587</v>
      </c>
      <c r="S91" s="289">
        <f t="shared" si="126"/>
        <v>203.03174926194535</v>
      </c>
      <c r="T91" s="289">
        <f t="shared" si="126"/>
        <v>227.27098127741397</v>
      </c>
    </row>
    <row r="92" spans="2:29"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</row>
    <row r="93" spans="2:29">
      <c r="B93" s="857" t="str">
        <f>B41</f>
        <v>Plug-in hybrid electric</v>
      </c>
      <c r="C93" s="248" t="s">
        <v>274</v>
      </c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X93" s="403" t="s">
        <v>275</v>
      </c>
      <c r="Y93" s="292" t="s">
        <v>258</v>
      </c>
      <c r="Z93" s="292" t="s">
        <v>276</v>
      </c>
    </row>
    <row r="94" spans="2:29">
      <c r="B94" s="857"/>
      <c r="C94" s="856" t="s">
        <v>277</v>
      </c>
      <c r="D94" s="248" t="s">
        <v>63</v>
      </c>
      <c r="F94" s="214">
        <f>F$50*$X94+F$55*$Y94+F$60*$Z94</f>
        <v>106887.91381692051</v>
      </c>
      <c r="G94" s="214">
        <f t="shared" ref="G94:T94" si="127">(G$50-F$50)*$X94+(G$55-F$55)*$Y94+(G$60-F$60)*$Z94</f>
        <v>347555.14991102403</v>
      </c>
      <c r="H94" s="214">
        <f t="shared" si="127"/>
        <v>300764.94271452265</v>
      </c>
      <c r="I94" s="214">
        <f t="shared" si="127"/>
        <v>104261.38615593425</v>
      </c>
      <c r="J94" s="214">
        <f t="shared" si="127"/>
        <v>154079.43142512441</v>
      </c>
      <c r="K94" s="214">
        <f t="shared" si="127"/>
        <v>261577.90888855373</v>
      </c>
      <c r="L94" s="214">
        <f t="shared" si="127"/>
        <v>448955.77501131047</v>
      </c>
      <c r="M94" s="214">
        <f t="shared" si="127"/>
        <v>664755.35076157458</v>
      </c>
      <c r="N94" s="214">
        <f t="shared" si="127"/>
        <v>836616.2518801603</v>
      </c>
      <c r="O94" s="214">
        <f t="shared" si="127"/>
        <v>1030800.115729199</v>
      </c>
      <c r="P94" s="214">
        <f t="shared" si="127"/>
        <v>1005518.4243209847</v>
      </c>
      <c r="Q94" s="214">
        <f t="shared" si="127"/>
        <v>933581.36139497883</v>
      </c>
      <c r="R94" s="214">
        <f t="shared" si="127"/>
        <v>1497679.1475350608</v>
      </c>
      <c r="S94" s="214">
        <f t="shared" si="127"/>
        <v>1740058.3116518564</v>
      </c>
      <c r="T94" s="214">
        <f t="shared" si="127"/>
        <v>1826838.5714642273</v>
      </c>
      <c r="W94" s="292" t="str">
        <f t="shared" ref="W94:W99" si="128">D94</f>
        <v>Residential</v>
      </c>
      <c r="X94" s="402">
        <f t="shared" ref="X94:Z99" si="129">X80</f>
        <v>0.83859146433418785</v>
      </c>
      <c r="Y94" s="402">
        <f t="shared" si="129"/>
        <v>0.64127582566732022</v>
      </c>
      <c r="Z94" s="402">
        <f t="shared" si="129"/>
        <v>0.59194691600060323</v>
      </c>
    </row>
    <row r="95" spans="2:29">
      <c r="B95" s="857"/>
      <c r="C95" s="856"/>
      <c r="D95" s="248" t="s">
        <v>211</v>
      </c>
      <c r="F95" s="214">
        <f t="shared" ref="F95:F99" si="130">F$50*$X95+F$55*$Y95+F$60*$Z95</f>
        <v>1454.1461830794742</v>
      </c>
      <c r="G95" s="214">
        <f t="shared" ref="G95:T95" si="131">(G$50-F$50)*$X95+(G$55-F$55)*$Y95+(G$60-F$60)*$Z95</f>
        <v>4728.2800889760201</v>
      </c>
      <c r="H95" s="214">
        <f t="shared" si="131"/>
        <v>4091.7272854773009</v>
      </c>
      <c r="I95" s="214">
        <f t="shared" si="131"/>
        <v>1418.4138440657509</v>
      </c>
      <c r="J95" s="214">
        <f t="shared" si="131"/>
        <v>2096.1585748755838</v>
      </c>
      <c r="K95" s="214">
        <f t="shared" si="131"/>
        <v>3558.6111114462351</v>
      </c>
      <c r="L95" s="214">
        <f t="shared" si="131"/>
        <v>6107.7749886894853</v>
      </c>
      <c r="M95" s="214">
        <f t="shared" si="131"/>
        <v>9043.5992384255733</v>
      </c>
      <c r="N95" s="214">
        <f t="shared" si="131"/>
        <v>11381.664080913213</v>
      </c>
      <c r="O95" s="214">
        <f t="shared" si="131"/>
        <v>14023.419489437278</v>
      </c>
      <c r="P95" s="214">
        <f t="shared" si="131"/>
        <v>13679.477188102661</v>
      </c>
      <c r="Q95" s="214">
        <f t="shared" si="131"/>
        <v>12700.816442090045</v>
      </c>
      <c r="R95" s="214">
        <f t="shared" si="131"/>
        <v>20375.029674506317</v>
      </c>
      <c r="S95" s="214">
        <f t="shared" si="131"/>
        <v>23672.453337972351</v>
      </c>
      <c r="T95" s="214">
        <f t="shared" si="131"/>
        <v>24853.046906193234</v>
      </c>
      <c r="W95" s="292" t="str">
        <f t="shared" si="128"/>
        <v>Residential Seasonal</v>
      </c>
      <c r="X95" s="402">
        <f t="shared" si="129"/>
        <v>1.1408535665812089E-2</v>
      </c>
      <c r="Y95" s="402">
        <f t="shared" si="129"/>
        <v>8.7241743326798328E-3</v>
      </c>
      <c r="Z95" s="402">
        <f t="shared" si="129"/>
        <v>8.0530839993967675E-3</v>
      </c>
    </row>
    <row r="96" spans="2:29">
      <c r="B96" s="857"/>
      <c r="C96" s="856"/>
      <c r="D96" s="248" t="s">
        <v>278</v>
      </c>
      <c r="F96" s="214">
        <f t="shared" si="130"/>
        <v>14784.36</v>
      </c>
      <c r="G96" s="214">
        <f t="shared" ref="G96:T96" si="132">(G$50-F$50)*$X96+(G$55-F$55)*$Y96+(G$60-F$60)*$Z96</f>
        <v>48671.580000000009</v>
      </c>
      <c r="H96" s="214">
        <f t="shared" si="132"/>
        <v>41239.019999999997</v>
      </c>
      <c r="I96" s="214">
        <f t="shared" si="132"/>
        <v>12988.800000000001</v>
      </c>
      <c r="J96" s="214">
        <f t="shared" si="132"/>
        <v>20226.540000000005</v>
      </c>
      <c r="K96" s="214">
        <f t="shared" si="132"/>
        <v>34713.119999999995</v>
      </c>
      <c r="L96" s="214">
        <f t="shared" si="132"/>
        <v>59466.3</v>
      </c>
      <c r="M96" s="214">
        <f t="shared" si="132"/>
        <v>84458.700000000026</v>
      </c>
      <c r="N96" s="214">
        <f t="shared" si="132"/>
        <v>106675.5028458084</v>
      </c>
      <c r="O96" s="214">
        <f t="shared" si="132"/>
        <v>135255.14662256005</v>
      </c>
      <c r="P96" s="214">
        <f t="shared" si="132"/>
        <v>130419.44871254559</v>
      </c>
      <c r="Q96" s="214">
        <f t="shared" si="132"/>
        <v>117881.96962748155</v>
      </c>
      <c r="R96" s="214">
        <f t="shared" si="132"/>
        <v>197583.78491153001</v>
      </c>
      <c r="S96" s="214">
        <f t="shared" si="132"/>
        <v>228635.33664308928</v>
      </c>
      <c r="T96" s="214">
        <f t="shared" si="132"/>
        <v>239372.17148994669</v>
      </c>
      <c r="W96" s="292" t="str">
        <f t="shared" si="128"/>
        <v>GS&lt;50</v>
      </c>
      <c r="X96" s="402">
        <f t="shared" si="129"/>
        <v>0.1</v>
      </c>
      <c r="Y96" s="402">
        <f t="shared" si="129"/>
        <v>0.2</v>
      </c>
      <c r="Z96" s="402">
        <f t="shared" si="129"/>
        <v>0.2</v>
      </c>
    </row>
    <row r="97" spans="2:26">
      <c r="B97" s="857"/>
      <c r="C97" s="856"/>
      <c r="D97" s="248" t="s">
        <v>365</v>
      </c>
      <c r="F97" s="214">
        <f t="shared" si="130"/>
        <v>6817.9619999999995</v>
      </c>
      <c r="G97" s="214">
        <f t="shared" ref="G97:T97" si="133">(G$50-F$50)*$X97+(G$55-F$55)*$Y97+(G$60-F$60)*$Z97</f>
        <v>22487.211000000003</v>
      </c>
      <c r="H97" s="214">
        <f t="shared" si="133"/>
        <v>18992.558999999997</v>
      </c>
      <c r="I97" s="214">
        <f t="shared" si="133"/>
        <v>5889.96</v>
      </c>
      <c r="J97" s="214">
        <f t="shared" si="133"/>
        <v>9251.9430000000011</v>
      </c>
      <c r="K97" s="214">
        <f t="shared" si="133"/>
        <v>15905.903999999997</v>
      </c>
      <c r="L97" s="214">
        <f t="shared" si="133"/>
        <v>27239.834999999999</v>
      </c>
      <c r="M97" s="214">
        <f t="shared" si="133"/>
        <v>38426.415000000008</v>
      </c>
      <c r="N97" s="214">
        <f t="shared" si="133"/>
        <v>48563.441597073754</v>
      </c>
      <c r="O97" s="214">
        <f t="shared" si="133"/>
        <v>61863.34179989605</v>
      </c>
      <c r="P97" s="214">
        <f t="shared" si="133"/>
        <v>59539.870135384088</v>
      </c>
      <c r="Q97" s="214">
        <f t="shared" si="133"/>
        <v>53577.501227571687</v>
      </c>
      <c r="R97" s="214">
        <f t="shared" si="133"/>
        <v>90449.922205792667</v>
      </c>
      <c r="S97" s="214">
        <f t="shared" si="133"/>
        <v>104597.0405034514</v>
      </c>
      <c r="T97" s="214">
        <f t="shared" si="133"/>
        <v>109460.06611613435</v>
      </c>
      <c r="W97" s="292" t="str">
        <f t="shared" si="128"/>
        <v>GS 50 - 2,999</v>
      </c>
      <c r="X97" s="402">
        <f t="shared" si="129"/>
        <v>4.4999999999999998E-2</v>
      </c>
      <c r="Y97" s="402">
        <f t="shared" si="129"/>
        <v>0.1</v>
      </c>
      <c r="Z97" s="402">
        <f t="shared" si="129"/>
        <v>0.15</v>
      </c>
    </row>
    <row r="98" spans="2:26">
      <c r="B98" s="857"/>
      <c r="C98" s="856"/>
      <c r="D98" s="248" t="s">
        <v>366</v>
      </c>
      <c r="F98" s="214">
        <f t="shared" si="130"/>
        <v>1399.2179999999998</v>
      </c>
      <c r="G98" s="214">
        <f t="shared" ref="G98:T98" si="134">(G$50-F$50)*$X98+(G$55-F$55)*$Y98+(G$60-F$60)*$Z98</f>
        <v>4773.5789999999997</v>
      </c>
      <c r="H98" s="214">
        <f t="shared" si="134"/>
        <v>3801.951</v>
      </c>
      <c r="I98" s="214">
        <f t="shared" si="134"/>
        <v>829.44</v>
      </c>
      <c r="J98" s="214">
        <f t="shared" si="134"/>
        <v>1611.3270000000002</v>
      </c>
      <c r="K98" s="214">
        <f t="shared" si="134"/>
        <v>2875.6559999999999</v>
      </c>
      <c r="L98" s="214">
        <f t="shared" si="134"/>
        <v>4893.3150000000005</v>
      </c>
      <c r="M98" s="214">
        <f t="shared" si="134"/>
        <v>5902.9350000000013</v>
      </c>
      <c r="N98" s="214">
        <f t="shared" si="134"/>
        <v>7571.6364081303354</v>
      </c>
      <c r="O98" s="214">
        <f t="shared" si="134"/>
        <v>10756.860610104151</v>
      </c>
      <c r="P98" s="214">
        <f t="shared" si="134"/>
        <v>9925.4452945815647</v>
      </c>
      <c r="Q98" s="214">
        <f t="shared" si="134"/>
        <v>8016.5580621940426</v>
      </c>
      <c r="R98" s="214">
        <f t="shared" si="134"/>
        <v>16028.065227993182</v>
      </c>
      <c r="S98" s="214">
        <f t="shared" si="134"/>
        <v>18276.322888399416</v>
      </c>
      <c r="T98" s="214">
        <f t="shared" si="134"/>
        <v>18938.964357130706</v>
      </c>
      <c r="W98" s="292" t="str">
        <f t="shared" si="128"/>
        <v>GS 3,000 - 4,999</v>
      </c>
      <c r="X98" s="402">
        <f t="shared" si="129"/>
        <v>5.0000000000000001E-3</v>
      </c>
      <c r="Y98" s="402">
        <f t="shared" si="129"/>
        <v>0.05</v>
      </c>
      <c r="Z98" s="402">
        <f t="shared" si="129"/>
        <v>2.5000000000000001E-2</v>
      </c>
    </row>
    <row r="99" spans="2:26">
      <c r="B99" s="857"/>
      <c r="C99" s="856"/>
      <c r="D99" s="248" t="s">
        <v>206</v>
      </c>
      <c r="F99" s="214">
        <f t="shared" si="130"/>
        <v>0</v>
      </c>
      <c r="G99" s="214">
        <f t="shared" ref="G99:T99" si="135">(G$50-F$50)*$X99+(G$55-F$55)*$Y99+(G$60-F$60)*$Z99</f>
        <v>0</v>
      </c>
      <c r="H99" s="214">
        <f t="shared" si="135"/>
        <v>0</v>
      </c>
      <c r="I99" s="214">
        <f t="shared" si="135"/>
        <v>0</v>
      </c>
      <c r="J99" s="214">
        <f t="shared" si="135"/>
        <v>0</v>
      </c>
      <c r="K99" s="214">
        <f t="shared" si="135"/>
        <v>0</v>
      </c>
      <c r="L99" s="214">
        <f t="shared" si="135"/>
        <v>0</v>
      </c>
      <c r="M99" s="214">
        <f t="shared" si="135"/>
        <v>0</v>
      </c>
      <c r="N99" s="214">
        <f t="shared" si="135"/>
        <v>0</v>
      </c>
      <c r="O99" s="214">
        <f t="shared" si="135"/>
        <v>0</v>
      </c>
      <c r="P99" s="214">
        <f t="shared" si="135"/>
        <v>0</v>
      </c>
      <c r="Q99" s="214">
        <f t="shared" si="135"/>
        <v>0</v>
      </c>
      <c r="R99" s="214">
        <f t="shared" si="135"/>
        <v>0</v>
      </c>
      <c r="S99" s="214">
        <f t="shared" si="135"/>
        <v>0</v>
      </c>
      <c r="T99" s="214">
        <f t="shared" si="135"/>
        <v>0</v>
      </c>
      <c r="W99" s="292" t="str">
        <f t="shared" si="128"/>
        <v>Large Use</v>
      </c>
      <c r="X99" s="402">
        <f t="shared" si="129"/>
        <v>0</v>
      </c>
      <c r="Y99" s="402">
        <f t="shared" si="129"/>
        <v>0</v>
      </c>
      <c r="Z99" s="402">
        <f t="shared" si="129"/>
        <v>2.5000000000000001E-2</v>
      </c>
    </row>
    <row r="100" spans="2:26">
      <c r="B100" s="857"/>
      <c r="F100" s="291">
        <f t="shared" ref="F100:T100" si="136">SUM(F94:F99)</f>
        <v>131343.59999999998</v>
      </c>
      <c r="G100" s="291">
        <f t="shared" si="136"/>
        <v>428215.8000000001</v>
      </c>
      <c r="H100" s="291">
        <f t="shared" si="136"/>
        <v>368890.19999999995</v>
      </c>
      <c r="I100" s="291">
        <f t="shared" si="136"/>
        <v>125388.00000000001</v>
      </c>
      <c r="J100" s="291">
        <f t="shared" si="136"/>
        <v>187265.4</v>
      </c>
      <c r="K100" s="291">
        <f t="shared" si="136"/>
        <v>318631.19999999995</v>
      </c>
      <c r="L100" s="291">
        <f t="shared" si="136"/>
        <v>546662.99999999988</v>
      </c>
      <c r="M100" s="291">
        <f t="shared" si="136"/>
        <v>802587.00000000035</v>
      </c>
      <c r="N100" s="291">
        <f t="shared" si="136"/>
        <v>1010808.496812086</v>
      </c>
      <c r="O100" s="291">
        <f t="shared" si="136"/>
        <v>1252698.8842511964</v>
      </c>
      <c r="P100" s="291">
        <f t="shared" si="136"/>
        <v>1219082.6656515987</v>
      </c>
      <c r="Q100" s="291">
        <f t="shared" si="136"/>
        <v>1125758.2067543163</v>
      </c>
      <c r="R100" s="291">
        <f t="shared" si="136"/>
        <v>1822115.9495548829</v>
      </c>
      <c r="S100" s="291">
        <f t="shared" si="136"/>
        <v>2115239.4650247688</v>
      </c>
      <c r="T100" s="291">
        <f t="shared" si="136"/>
        <v>2219462.8203336322</v>
      </c>
      <c r="W100" s="292"/>
      <c r="X100" s="402">
        <f>SUM(X94:X99)</f>
        <v>1</v>
      </c>
      <c r="Y100" s="402">
        <f>SUM(Y94:Y99)</f>
        <v>1</v>
      </c>
      <c r="Z100" s="402">
        <f>SUM(Z94:Z99)</f>
        <v>1</v>
      </c>
    </row>
    <row r="101" spans="2:26">
      <c r="B101" s="857"/>
      <c r="C101" s="248" t="s">
        <v>279</v>
      </c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</row>
    <row r="102" spans="2:26">
      <c r="B102" s="857"/>
      <c r="D102" s="248" t="s">
        <v>280</v>
      </c>
      <c r="F102" s="401">
        <v>0.1</v>
      </c>
      <c r="G102" s="401">
        <f t="shared" ref="G102:T102" si="137">F102</f>
        <v>0.1</v>
      </c>
      <c r="H102" s="401">
        <f t="shared" si="137"/>
        <v>0.1</v>
      </c>
      <c r="I102" s="401">
        <f t="shared" si="137"/>
        <v>0.1</v>
      </c>
      <c r="J102" s="401">
        <f t="shared" si="137"/>
        <v>0.1</v>
      </c>
      <c r="K102" s="401">
        <f t="shared" si="137"/>
        <v>0.1</v>
      </c>
      <c r="L102" s="401">
        <f t="shared" si="137"/>
        <v>0.1</v>
      </c>
      <c r="M102" s="401">
        <f t="shared" si="137"/>
        <v>0.1</v>
      </c>
      <c r="N102" s="401">
        <f t="shared" si="137"/>
        <v>0.1</v>
      </c>
      <c r="O102" s="401">
        <f t="shared" si="137"/>
        <v>0.1</v>
      </c>
      <c r="P102" s="401">
        <f t="shared" si="137"/>
        <v>0.1</v>
      </c>
      <c r="Q102" s="401">
        <f t="shared" si="137"/>
        <v>0.1</v>
      </c>
      <c r="R102" s="401">
        <f t="shared" si="137"/>
        <v>0.1</v>
      </c>
      <c r="S102" s="401">
        <f t="shared" si="137"/>
        <v>0.1</v>
      </c>
      <c r="T102" s="401">
        <f t="shared" si="137"/>
        <v>0.1</v>
      </c>
    </row>
    <row r="103" spans="2:26">
      <c r="B103" s="857"/>
      <c r="D103" s="248" t="str">
        <f>D97</f>
        <v>GS 50 - 2,999</v>
      </c>
      <c r="F103" s="289">
        <f t="shared" ref="F103:S103" si="138">((F97/F$102)/8760)*12</f>
        <v>93.396739726027391</v>
      </c>
      <c r="G103" s="289">
        <f t="shared" si="138"/>
        <v>308.04398630136984</v>
      </c>
      <c r="H103" s="289">
        <f t="shared" si="138"/>
        <v>260.17204109589034</v>
      </c>
      <c r="I103" s="289">
        <f t="shared" si="138"/>
        <v>80.684383561643827</v>
      </c>
      <c r="J103" s="289">
        <f t="shared" si="138"/>
        <v>126.73894520547947</v>
      </c>
      <c r="K103" s="289">
        <f t="shared" si="138"/>
        <v>217.88909589041089</v>
      </c>
      <c r="L103" s="289">
        <f t="shared" si="138"/>
        <v>373.14842465753424</v>
      </c>
      <c r="M103" s="289">
        <f t="shared" si="138"/>
        <v>526.38924657534267</v>
      </c>
      <c r="N103" s="289">
        <f t="shared" si="138"/>
        <v>665.25262461744865</v>
      </c>
      <c r="O103" s="289">
        <f t="shared" si="138"/>
        <v>847.44303835474034</v>
      </c>
      <c r="P103" s="289">
        <f t="shared" si="138"/>
        <v>815.61465938882316</v>
      </c>
      <c r="Q103" s="289">
        <f t="shared" si="138"/>
        <v>733.93837298043411</v>
      </c>
      <c r="R103" s="289">
        <f t="shared" si="138"/>
        <v>1239.0400302163378</v>
      </c>
      <c r="S103" s="289">
        <f t="shared" si="138"/>
        <v>1432.8361712801561</v>
      </c>
      <c r="T103" s="289">
        <f>((T97/T$102)/8760)*12</f>
        <v>1499.4529604949907</v>
      </c>
    </row>
    <row r="104" spans="2:26">
      <c r="B104" s="857"/>
      <c r="D104" s="248" t="str">
        <f>D98</f>
        <v>GS 3,000 - 4,999</v>
      </c>
      <c r="F104" s="289">
        <f t="shared" ref="F104:T104" si="139">((F98/F$102)/8760)*12</f>
        <v>19.167369863013697</v>
      </c>
      <c r="G104" s="289">
        <f t="shared" si="139"/>
        <v>65.391493150684923</v>
      </c>
      <c r="H104" s="289">
        <f t="shared" si="139"/>
        <v>52.081520547945196</v>
      </c>
      <c r="I104" s="289">
        <f t="shared" si="139"/>
        <v>11.362191780821917</v>
      </c>
      <c r="J104" s="289">
        <f t="shared" si="139"/>
        <v>22.072972602739728</v>
      </c>
      <c r="K104" s="289">
        <f t="shared" si="139"/>
        <v>39.392547945205479</v>
      </c>
      <c r="L104" s="289">
        <f t="shared" si="139"/>
        <v>67.031712328767128</v>
      </c>
      <c r="M104" s="289">
        <f t="shared" si="139"/>
        <v>80.862123287671253</v>
      </c>
      <c r="N104" s="289">
        <f t="shared" si="139"/>
        <v>103.72104668671692</v>
      </c>
      <c r="O104" s="289">
        <f t="shared" si="139"/>
        <v>147.3542549329336</v>
      </c>
      <c r="P104" s="289">
        <f t="shared" si="139"/>
        <v>135.9650040353639</v>
      </c>
      <c r="Q104" s="289">
        <f t="shared" si="139"/>
        <v>109.81586386567182</v>
      </c>
      <c r="R104" s="289">
        <f t="shared" si="139"/>
        <v>219.56253736976961</v>
      </c>
      <c r="S104" s="289">
        <f t="shared" si="139"/>
        <v>250.36058751232076</v>
      </c>
      <c r="T104" s="289">
        <f t="shared" si="139"/>
        <v>259.43786790590008</v>
      </c>
    </row>
    <row r="105" spans="2:26">
      <c r="B105" s="857"/>
      <c r="D105" s="248" t="str">
        <f>D99</f>
        <v>Large Use</v>
      </c>
      <c r="F105" s="289">
        <f t="shared" ref="F105:T105" si="140">((F99/F$102)/8760)*12</f>
        <v>0</v>
      </c>
      <c r="G105" s="289">
        <f t="shared" si="140"/>
        <v>0</v>
      </c>
      <c r="H105" s="289">
        <f t="shared" si="140"/>
        <v>0</v>
      </c>
      <c r="I105" s="289">
        <f t="shared" si="140"/>
        <v>0</v>
      </c>
      <c r="J105" s="289">
        <f t="shared" si="140"/>
        <v>0</v>
      </c>
      <c r="K105" s="289">
        <f t="shared" si="140"/>
        <v>0</v>
      </c>
      <c r="L105" s="289">
        <f t="shared" si="140"/>
        <v>0</v>
      </c>
      <c r="M105" s="289">
        <f t="shared" si="140"/>
        <v>0</v>
      </c>
      <c r="N105" s="289">
        <f t="shared" si="140"/>
        <v>0</v>
      </c>
      <c r="O105" s="289">
        <f t="shared" si="140"/>
        <v>0</v>
      </c>
      <c r="P105" s="289">
        <f t="shared" si="140"/>
        <v>0</v>
      </c>
      <c r="Q105" s="289">
        <f t="shared" si="140"/>
        <v>0</v>
      </c>
      <c r="R105" s="289">
        <f t="shared" si="140"/>
        <v>0</v>
      </c>
      <c r="S105" s="289">
        <f t="shared" si="140"/>
        <v>0</v>
      </c>
      <c r="T105" s="289">
        <f t="shared" si="140"/>
        <v>0</v>
      </c>
    </row>
    <row r="108" spans="2:26">
      <c r="B108" s="858" t="s">
        <v>65</v>
      </c>
      <c r="C108" s="248" t="s">
        <v>274</v>
      </c>
      <c r="F108" s="512">
        <f t="shared" ref="F108:T108" si="141">F79</f>
        <v>2017</v>
      </c>
      <c r="G108" s="512">
        <f t="shared" si="141"/>
        <v>2018</v>
      </c>
      <c r="H108" s="512">
        <f t="shared" si="141"/>
        <v>2019</v>
      </c>
      <c r="I108" s="512">
        <f t="shared" si="141"/>
        <v>2020</v>
      </c>
      <c r="J108" s="512">
        <f t="shared" si="141"/>
        <v>2021</v>
      </c>
      <c r="K108" s="512">
        <f t="shared" si="141"/>
        <v>2022</v>
      </c>
      <c r="L108" s="512">
        <f t="shared" si="141"/>
        <v>2023</v>
      </c>
      <c r="M108" s="512">
        <f t="shared" si="141"/>
        <v>2024</v>
      </c>
      <c r="N108" s="512">
        <f t="shared" si="141"/>
        <v>2025</v>
      </c>
      <c r="O108" s="512">
        <f t="shared" si="141"/>
        <v>2026</v>
      </c>
      <c r="P108" s="512">
        <f t="shared" si="141"/>
        <v>2027</v>
      </c>
      <c r="Q108" s="512">
        <f t="shared" si="141"/>
        <v>2028</v>
      </c>
      <c r="R108" s="512">
        <f t="shared" si="141"/>
        <v>2029</v>
      </c>
      <c r="S108" s="512">
        <f t="shared" si="141"/>
        <v>2030</v>
      </c>
      <c r="T108" s="512">
        <f t="shared" si="141"/>
        <v>2031</v>
      </c>
    </row>
    <row r="109" spans="2:26">
      <c r="B109" s="858"/>
      <c r="C109" s="856" t="s">
        <v>277</v>
      </c>
      <c r="D109" s="248" t="s">
        <v>63</v>
      </c>
      <c r="F109" s="214">
        <f>F80+F94</f>
        <v>244871.43054139646</v>
      </c>
      <c r="G109" s="214">
        <f>G80+G94</f>
        <v>858657.35981903179</v>
      </c>
      <c r="H109" s="214">
        <f t="shared" ref="H109:T109" si="142">H80+H94</f>
        <v>935770.71866083541</v>
      </c>
      <c r="I109" s="214">
        <f t="shared" si="142"/>
        <v>694211.3199064997</v>
      </c>
      <c r="J109" s="214">
        <f t="shared" si="142"/>
        <v>1105884.0978102849</v>
      </c>
      <c r="K109" s="214">
        <f t="shared" si="142"/>
        <v>2391782.6959342482</v>
      </c>
      <c r="L109" s="214">
        <f t="shared" si="142"/>
        <v>3728241.3053234806</v>
      </c>
      <c r="M109" s="214">
        <f t="shared" si="142"/>
        <v>4547975.6100437343</v>
      </c>
      <c r="N109" s="214">
        <f t="shared" si="142"/>
        <v>5384571.7605874175</v>
      </c>
      <c r="O109" s="214">
        <f t="shared" si="142"/>
        <v>6386466.0386089981</v>
      </c>
      <c r="P109" s="214">
        <f t="shared" si="142"/>
        <v>7064564.9163004737</v>
      </c>
      <c r="Q109" s="214">
        <f t="shared" si="142"/>
        <v>7538736.740737794</v>
      </c>
      <c r="R109" s="214">
        <f t="shared" si="142"/>
        <v>9379798.1522018947</v>
      </c>
      <c r="S109" s="214">
        <f t="shared" si="142"/>
        <v>10583565.64342423</v>
      </c>
      <c r="T109" s="214">
        <f t="shared" si="142"/>
        <v>11213115.075247096</v>
      </c>
    </row>
    <row r="110" spans="2:26">
      <c r="B110" s="858"/>
      <c r="C110" s="856"/>
      <c r="D110" s="248" t="s">
        <v>211</v>
      </c>
      <c r="F110" s="214">
        <f t="shared" ref="F110:T114" si="143">F81+F95</f>
        <v>3331.3294586035272</v>
      </c>
      <c r="G110" s="214">
        <f t="shared" si="143"/>
        <v>11681.520180968175</v>
      </c>
      <c r="H110" s="214">
        <f t="shared" si="143"/>
        <v>12730.601339164525</v>
      </c>
      <c r="I110" s="214">
        <f t="shared" si="143"/>
        <v>9444.3300935002208</v>
      </c>
      <c r="J110" s="214">
        <f t="shared" si="143"/>
        <v>15044.892189714968</v>
      </c>
      <c r="K110" s="214">
        <f t="shared" si="143"/>
        <v>32538.774065751757</v>
      </c>
      <c r="L110" s="214">
        <f t="shared" si="143"/>
        <v>50720.49467651936</v>
      </c>
      <c r="M110" s="214">
        <f t="shared" si="143"/>
        <v>61872.489956265985</v>
      </c>
      <c r="N110" s="214">
        <f t="shared" si="143"/>
        <v>73253.880570510548</v>
      </c>
      <c r="O110" s="214">
        <f t="shared" si="143"/>
        <v>86884.053414277078</v>
      </c>
      <c r="P110" s="214">
        <f t="shared" si="143"/>
        <v>96109.183361470787</v>
      </c>
      <c r="Q110" s="214">
        <f t="shared" si="143"/>
        <v>102560.00763155965</v>
      </c>
      <c r="R110" s="214">
        <f t="shared" si="143"/>
        <v>127606.54777529321</v>
      </c>
      <c r="S110" s="214">
        <f t="shared" si="143"/>
        <v>143983.0850297701</v>
      </c>
      <c r="T110" s="214">
        <f t="shared" si="143"/>
        <v>152547.72878278675</v>
      </c>
    </row>
    <row r="111" spans="2:26">
      <c r="B111" s="858"/>
      <c r="C111" s="856"/>
      <c r="D111" s="248" t="s">
        <v>278</v>
      </c>
      <c r="F111" s="214">
        <f t="shared" si="143"/>
        <v>31238.560000000001</v>
      </c>
      <c r="G111" s="214">
        <f t="shared" si="143"/>
        <v>109619.28000000001</v>
      </c>
      <c r="H111" s="214">
        <f t="shared" si="143"/>
        <v>116961.92000000001</v>
      </c>
      <c r="I111" s="214">
        <f t="shared" si="143"/>
        <v>83338.900000000009</v>
      </c>
      <c r="J111" s="214">
        <f t="shared" si="143"/>
        <v>133726.94</v>
      </c>
      <c r="K111" s="214">
        <f t="shared" si="143"/>
        <v>294787.82</v>
      </c>
      <c r="L111" s="214">
        <f t="shared" si="143"/>
        <v>473180.8</v>
      </c>
      <c r="M111" s="214">
        <f t="shared" si="143"/>
        <v>601708.60000000009</v>
      </c>
      <c r="N111" s="214">
        <f t="shared" si="143"/>
        <v>707217.55183694756</v>
      </c>
      <c r="O111" s="214">
        <f t="shared" si="143"/>
        <v>819251.72072002268</v>
      </c>
      <c r="P111" s="214">
        <f t="shared" si="143"/>
        <v>906584.58142538753</v>
      </c>
      <c r="Q111" s="214">
        <f t="shared" si="143"/>
        <v>967774.94067067921</v>
      </c>
      <c r="R111" s="214">
        <f t="shared" si="143"/>
        <v>1208680.022405212</v>
      </c>
      <c r="S111" s="214">
        <f t="shared" si="143"/>
        <v>1363635.4912568592</v>
      </c>
      <c r="T111" s="214">
        <f t="shared" si="143"/>
        <v>1448698.8818936087</v>
      </c>
    </row>
    <row r="112" spans="2:26">
      <c r="B112" s="858"/>
      <c r="C112" s="856"/>
      <c r="D112" s="248" t="s">
        <v>365</v>
      </c>
      <c r="F112" s="214">
        <f t="shared" si="143"/>
        <v>14222.351999999999</v>
      </c>
      <c r="G112" s="214">
        <f t="shared" si="143"/>
        <v>49913.676000000007</v>
      </c>
      <c r="H112" s="214">
        <f t="shared" si="143"/>
        <v>53067.864000000001</v>
      </c>
      <c r="I112" s="214">
        <f t="shared" si="143"/>
        <v>37547.504999999997</v>
      </c>
      <c r="J112" s="214">
        <f t="shared" si="143"/>
        <v>60327.123</v>
      </c>
      <c r="K112" s="214">
        <f t="shared" si="143"/>
        <v>135509.519</v>
      </c>
      <c r="L112" s="214">
        <f t="shared" si="143"/>
        <v>223566.36</v>
      </c>
      <c r="M112" s="214">
        <f t="shared" si="143"/>
        <v>295483.87</v>
      </c>
      <c r="N112" s="214">
        <f t="shared" si="143"/>
        <v>344721.83345380967</v>
      </c>
      <c r="O112" s="214">
        <f t="shared" si="143"/>
        <v>389885.34731046326</v>
      </c>
      <c r="P112" s="214">
        <f t="shared" si="143"/>
        <v>432735.84462728293</v>
      </c>
      <c r="Q112" s="214">
        <f t="shared" si="143"/>
        <v>463788.95585785137</v>
      </c>
      <c r="R112" s="214">
        <f t="shared" si="143"/>
        <v>577184.74907819135</v>
      </c>
      <c r="S112" s="214">
        <f t="shared" si="143"/>
        <v>651218.70466580254</v>
      </c>
      <c r="T112" s="214">
        <f t="shared" si="143"/>
        <v>693811.26134528616</v>
      </c>
    </row>
    <row r="113" spans="2:28">
      <c r="B113" s="858"/>
      <c r="C113" s="856"/>
      <c r="D113" s="248" t="s">
        <v>366</v>
      </c>
      <c r="F113" s="214">
        <f t="shared" si="143"/>
        <v>2221.9279999999999</v>
      </c>
      <c r="G113" s="214">
        <f t="shared" si="143"/>
        <v>7820.9639999999999</v>
      </c>
      <c r="H113" s="214">
        <f t="shared" si="143"/>
        <v>7588.0959999999995</v>
      </c>
      <c r="I113" s="214">
        <f t="shared" si="143"/>
        <v>4346.9449999999997</v>
      </c>
      <c r="J113" s="214">
        <f t="shared" si="143"/>
        <v>7286.3470000000007</v>
      </c>
      <c r="K113" s="214">
        <f t="shared" si="143"/>
        <v>16709.391</v>
      </c>
      <c r="L113" s="214">
        <f t="shared" si="143"/>
        <v>28399.040000000001</v>
      </c>
      <c r="M113" s="214">
        <f t="shared" si="143"/>
        <v>38495.43</v>
      </c>
      <c r="N113" s="214">
        <f t="shared" si="143"/>
        <v>44928.94141748883</v>
      </c>
      <c r="O113" s="214">
        <f t="shared" si="143"/>
        <v>50647.737763900419</v>
      </c>
      <c r="P113" s="214">
        <f t="shared" si="143"/>
        <v>55465.426689935819</v>
      </c>
      <c r="Q113" s="214">
        <f t="shared" si="143"/>
        <v>58322.958317907091</v>
      </c>
      <c r="R113" s="214">
        <f t="shared" si="143"/>
        <v>75515.164137921223</v>
      </c>
      <c r="S113" s="214">
        <f t="shared" si="143"/>
        <v>85120.849698608843</v>
      </c>
      <c r="T113" s="214">
        <f t="shared" si="143"/>
        <v>90704.967368068683</v>
      </c>
    </row>
    <row r="114" spans="2:28">
      <c r="B114" s="858"/>
      <c r="C114" s="856"/>
      <c r="D114" s="248" t="s">
        <v>206</v>
      </c>
      <c r="F114" s="214">
        <f t="shared" si="143"/>
        <v>0</v>
      </c>
      <c r="G114" s="214">
        <f t="shared" si="143"/>
        <v>0</v>
      </c>
      <c r="H114" s="214">
        <f t="shared" si="143"/>
        <v>0</v>
      </c>
      <c r="I114" s="214">
        <f t="shared" si="143"/>
        <v>0</v>
      </c>
      <c r="J114" s="214">
        <f t="shared" si="143"/>
        <v>0</v>
      </c>
      <c r="K114" s="214">
        <f t="shared" si="143"/>
        <v>1050</v>
      </c>
      <c r="L114" s="214">
        <f t="shared" si="143"/>
        <v>4200</v>
      </c>
      <c r="M114" s="214">
        <f t="shared" si="143"/>
        <v>10050</v>
      </c>
      <c r="N114" s="214">
        <f t="shared" si="143"/>
        <v>10703.07518701019</v>
      </c>
      <c r="O114" s="214">
        <f t="shared" si="143"/>
        <v>8355.9044686569887</v>
      </c>
      <c r="P114" s="214">
        <f t="shared" si="143"/>
        <v>9883.881591640873</v>
      </c>
      <c r="Q114" s="214">
        <f t="shared" si="143"/>
        <v>11469.635437756639</v>
      </c>
      <c r="R114" s="214">
        <f t="shared" si="143"/>
        <v>13114.865885080399</v>
      </c>
      <c r="S114" s="214">
        <f t="shared" si="143"/>
        <v>14821.317696122011</v>
      </c>
      <c r="T114" s="214">
        <f t="shared" si="143"/>
        <v>16590.781633251219</v>
      </c>
      <c r="V114" s="214"/>
    </row>
    <row r="115" spans="2:28">
      <c r="B115" s="858"/>
      <c r="V115" s="214"/>
    </row>
    <row r="116" spans="2:28">
      <c r="B116" s="858"/>
      <c r="C116" s="248" t="s">
        <v>218</v>
      </c>
      <c r="F116" s="512">
        <f t="shared" ref="F116:S116" si="144">F108</f>
        <v>2017</v>
      </c>
      <c r="G116" s="512">
        <f t="shared" si="144"/>
        <v>2018</v>
      </c>
      <c r="H116" s="512">
        <f t="shared" si="144"/>
        <v>2019</v>
      </c>
      <c r="I116" s="512">
        <f t="shared" si="144"/>
        <v>2020</v>
      </c>
      <c r="J116" s="512">
        <f t="shared" si="144"/>
        <v>2021</v>
      </c>
      <c r="K116" s="512">
        <f t="shared" si="144"/>
        <v>2022</v>
      </c>
      <c r="L116" s="512">
        <f t="shared" si="144"/>
        <v>2023</v>
      </c>
      <c r="M116" s="512">
        <f t="shared" si="144"/>
        <v>2024</v>
      </c>
      <c r="N116" s="512">
        <f t="shared" si="144"/>
        <v>2025</v>
      </c>
      <c r="O116" s="512">
        <f t="shared" si="144"/>
        <v>2026</v>
      </c>
      <c r="P116" s="512">
        <f t="shared" si="144"/>
        <v>2027</v>
      </c>
      <c r="Q116" s="512">
        <f t="shared" si="144"/>
        <v>2028</v>
      </c>
      <c r="R116" s="512">
        <f t="shared" si="144"/>
        <v>2029</v>
      </c>
      <c r="S116" s="512">
        <f t="shared" si="144"/>
        <v>2030</v>
      </c>
      <c r="T116" s="512">
        <f>T108</f>
        <v>2031</v>
      </c>
      <c r="V116" s="512"/>
      <c r="W116" s="512"/>
      <c r="X116" s="512"/>
      <c r="Y116" s="512"/>
      <c r="Z116" s="512"/>
      <c r="AA116" s="512"/>
      <c r="AB116" s="512"/>
    </row>
    <row r="117" spans="2:28">
      <c r="B117" s="858"/>
      <c r="C117" s="856" t="s">
        <v>615</v>
      </c>
      <c r="D117" s="248" t="s">
        <v>63</v>
      </c>
      <c r="F117" s="214">
        <f>SUM($F109:F109)</f>
        <v>244871.43054139646</v>
      </c>
      <c r="G117" s="214">
        <f>SUM($F109:G109)</f>
        <v>1103528.7903604282</v>
      </c>
      <c r="H117" s="214">
        <f>SUM($F109:H109)</f>
        <v>2039299.5090212636</v>
      </c>
      <c r="I117" s="214">
        <f>SUM($F109:I109)</f>
        <v>2733510.8289277633</v>
      </c>
      <c r="J117" s="214">
        <f>SUM($F109:J109)</f>
        <v>3839394.926738048</v>
      </c>
      <c r="K117" s="214">
        <f>SUM($F109:K109)</f>
        <v>6231177.6226722961</v>
      </c>
      <c r="L117" s="214">
        <f>SUM($F109:L109)</f>
        <v>9959418.9279957768</v>
      </c>
      <c r="M117" s="214">
        <f>SUM($F109:M109)</f>
        <v>14507394.538039511</v>
      </c>
      <c r="N117" s="214">
        <f>SUM($F109:N109)</f>
        <v>19891966.29862693</v>
      </c>
      <c r="O117" s="214">
        <f>SUM($F109:O109)</f>
        <v>26278432.337235928</v>
      </c>
      <c r="P117" s="214">
        <f>SUM($F109:P109)</f>
        <v>33342997.253536403</v>
      </c>
      <c r="Q117" s="214">
        <f>SUM($F109:Q109)</f>
        <v>40881733.994274199</v>
      </c>
      <c r="R117" s="214">
        <f>SUM($F109:R109)</f>
        <v>50261532.14647609</v>
      </c>
      <c r="S117" s="214">
        <f>SUM($F109:S109)</f>
        <v>60845097.789900318</v>
      </c>
      <c r="T117" s="214">
        <f>SUM($F109:T109)</f>
        <v>72058212.865147412</v>
      </c>
      <c r="U117" s="214"/>
      <c r="V117" s="214"/>
      <c r="W117" s="214"/>
      <c r="X117" s="214"/>
      <c r="Y117" s="214"/>
      <c r="Z117" s="214"/>
      <c r="AA117" s="214"/>
      <c r="AB117" s="214"/>
    </row>
    <row r="118" spans="2:28">
      <c r="B118" s="858"/>
      <c r="C118" s="856"/>
      <c r="D118" s="248" t="s">
        <v>211</v>
      </c>
      <c r="F118" s="214">
        <f>SUM($F110:F110)</f>
        <v>3331.3294586035272</v>
      </c>
      <c r="G118" s="214">
        <f>SUM($F110:G110)</f>
        <v>15012.849639571701</v>
      </c>
      <c r="H118" s="214">
        <f>SUM($F110:H110)</f>
        <v>27743.450978736226</v>
      </c>
      <c r="I118" s="214">
        <f>SUM($F110:I110)</f>
        <v>37187.781072236445</v>
      </c>
      <c r="J118" s="214">
        <f>SUM($F110:J110)</f>
        <v>52232.673261951415</v>
      </c>
      <c r="K118" s="214">
        <f>SUM($F110:K110)</f>
        <v>84771.447327703179</v>
      </c>
      <c r="L118" s="214">
        <f>SUM($F110:L110)</f>
        <v>135491.94200422254</v>
      </c>
      <c r="M118" s="214">
        <f>SUM($F110:M110)</f>
        <v>197364.43196048852</v>
      </c>
      <c r="N118" s="214">
        <f>SUM($F110:N110)</f>
        <v>270618.31253099907</v>
      </c>
      <c r="O118" s="214">
        <f>SUM($F110:O110)</f>
        <v>357502.36594527616</v>
      </c>
      <c r="P118" s="214">
        <f>SUM($F110:P110)</f>
        <v>453611.54930674692</v>
      </c>
      <c r="Q118" s="214">
        <f>SUM($F110:Q110)</f>
        <v>556171.55693830654</v>
      </c>
      <c r="R118" s="214">
        <f>SUM($F110:R110)</f>
        <v>683778.10471359978</v>
      </c>
      <c r="S118" s="214">
        <f>SUM($F110:S110)</f>
        <v>827761.18974336982</v>
      </c>
      <c r="T118" s="214">
        <f>SUM($F110:T110)</f>
        <v>980308.91852615657</v>
      </c>
      <c r="V118" s="214"/>
      <c r="W118" s="214"/>
      <c r="X118" s="214"/>
      <c r="Y118" s="214"/>
      <c r="Z118" s="214"/>
      <c r="AA118" s="214"/>
      <c r="AB118" s="214"/>
    </row>
    <row r="119" spans="2:28">
      <c r="B119" s="858"/>
      <c r="C119" s="856"/>
      <c r="D119" s="248" t="s">
        <v>278</v>
      </c>
      <c r="F119" s="214">
        <f>SUM($F111:F111)</f>
        <v>31238.560000000001</v>
      </c>
      <c r="G119" s="214">
        <f>SUM($F111:G111)</f>
        <v>140857.84000000003</v>
      </c>
      <c r="H119" s="214">
        <f>SUM($F111:H111)</f>
        <v>257819.76000000004</v>
      </c>
      <c r="I119" s="214">
        <f>SUM($F111:I111)</f>
        <v>341158.66000000003</v>
      </c>
      <c r="J119" s="214">
        <f>SUM($F111:J111)</f>
        <v>474885.60000000003</v>
      </c>
      <c r="K119" s="214">
        <f>SUM($F111:K111)</f>
        <v>769673.42</v>
      </c>
      <c r="L119" s="214">
        <f>SUM($F111:L111)</f>
        <v>1242854.22</v>
      </c>
      <c r="M119" s="214">
        <f>SUM($F111:M111)</f>
        <v>1844562.82</v>
      </c>
      <c r="N119" s="214">
        <f>SUM($F111:N111)</f>
        <v>2551780.3718369477</v>
      </c>
      <c r="O119" s="214">
        <f>SUM($F111:O111)</f>
        <v>3371032.0925569702</v>
      </c>
      <c r="P119" s="214">
        <f>SUM($F111:P111)</f>
        <v>4277616.6739823576</v>
      </c>
      <c r="Q119" s="214">
        <f>SUM($F111:Q111)</f>
        <v>5245391.6146530369</v>
      </c>
      <c r="R119" s="214">
        <f>SUM($F111:R111)</f>
        <v>6454071.6370582487</v>
      </c>
      <c r="S119" s="214">
        <f>SUM($F111:S111)</f>
        <v>7817707.1283151079</v>
      </c>
      <c r="T119" s="214">
        <f>SUM($F111:T111)</f>
        <v>9266406.0102087166</v>
      </c>
      <c r="V119" s="214"/>
      <c r="W119" s="214"/>
      <c r="X119" s="214"/>
      <c r="Y119" s="214"/>
      <c r="Z119" s="214"/>
      <c r="AA119" s="214"/>
      <c r="AB119" s="214"/>
    </row>
    <row r="120" spans="2:28">
      <c r="B120" s="858"/>
      <c r="C120" s="856"/>
      <c r="D120" s="248" t="s">
        <v>365</v>
      </c>
      <c r="F120" s="214">
        <f>SUM($F112:F112)</f>
        <v>14222.351999999999</v>
      </c>
      <c r="G120" s="214">
        <f>SUM($F112:G112)</f>
        <v>64136.028000000006</v>
      </c>
      <c r="H120" s="214">
        <f>SUM($F112:H112)</f>
        <v>117203.89200000001</v>
      </c>
      <c r="I120" s="214">
        <f>SUM($F112:I112)</f>
        <v>154751.397</v>
      </c>
      <c r="J120" s="214">
        <f>SUM($F112:J112)</f>
        <v>215078.52</v>
      </c>
      <c r="K120" s="214">
        <f>SUM($F112:K112)</f>
        <v>350588.03899999999</v>
      </c>
      <c r="L120" s="214">
        <f>SUM($F112:L112)</f>
        <v>574154.39899999998</v>
      </c>
      <c r="M120" s="214">
        <f>SUM($F112:M112)</f>
        <v>869638.26899999997</v>
      </c>
      <c r="N120" s="214">
        <f>SUM($F112:N112)</f>
        <v>1214360.1024538097</v>
      </c>
      <c r="O120" s="214">
        <f>SUM($F112:O112)</f>
        <v>1604245.4497642729</v>
      </c>
      <c r="P120" s="214">
        <f>SUM($F112:P112)</f>
        <v>2036981.2943915557</v>
      </c>
      <c r="Q120" s="214">
        <f>SUM($F112:Q112)</f>
        <v>2500770.2502494073</v>
      </c>
      <c r="R120" s="214">
        <f>SUM($F112:R112)</f>
        <v>3077954.9993275986</v>
      </c>
      <c r="S120" s="214">
        <f>SUM($F112:S112)</f>
        <v>3729173.703993401</v>
      </c>
      <c r="T120" s="214">
        <f>SUM($F112:T112)</f>
        <v>4422984.9653386874</v>
      </c>
      <c r="V120" s="214"/>
      <c r="W120" s="214"/>
      <c r="X120" s="214"/>
      <c r="Y120" s="214"/>
      <c r="Z120" s="214"/>
      <c r="AA120" s="214"/>
      <c r="AB120" s="214"/>
    </row>
    <row r="121" spans="2:28">
      <c r="B121" s="858"/>
      <c r="C121" s="856"/>
      <c r="D121" s="248" t="s">
        <v>366</v>
      </c>
      <c r="F121" s="214">
        <f>SUM($F113:F113)</f>
        <v>2221.9279999999999</v>
      </c>
      <c r="G121" s="214">
        <f>SUM($F113:G113)</f>
        <v>10042.892</v>
      </c>
      <c r="H121" s="214">
        <f>SUM($F113:H113)</f>
        <v>17630.987999999998</v>
      </c>
      <c r="I121" s="214">
        <f>SUM($F113:I113)</f>
        <v>21977.932999999997</v>
      </c>
      <c r="J121" s="214">
        <f>SUM($F113:J113)</f>
        <v>29264.28</v>
      </c>
      <c r="K121" s="214">
        <f>SUM($F113:K113)</f>
        <v>45973.671000000002</v>
      </c>
      <c r="L121" s="214">
        <f>SUM($F113:L113)</f>
        <v>74372.71100000001</v>
      </c>
      <c r="M121" s="214">
        <f>SUM($F113:M113)</f>
        <v>112868.141</v>
      </c>
      <c r="N121" s="214">
        <f>SUM($F113:N113)</f>
        <v>157797.08241748883</v>
      </c>
      <c r="O121" s="214">
        <f>SUM($F113:O113)</f>
        <v>208444.82018138925</v>
      </c>
      <c r="P121" s="214">
        <f>SUM($F113:P113)</f>
        <v>263910.24687132507</v>
      </c>
      <c r="Q121" s="214">
        <f>SUM($F113:Q113)</f>
        <v>322233.20518923213</v>
      </c>
      <c r="R121" s="214">
        <f>SUM($F113:R113)</f>
        <v>397748.36932715337</v>
      </c>
      <c r="S121" s="214">
        <f>SUM($F113:S113)</f>
        <v>482869.21902576223</v>
      </c>
      <c r="T121" s="214">
        <f>SUM($F113:T113)</f>
        <v>573574.18639383093</v>
      </c>
      <c r="V121" s="214"/>
      <c r="W121" s="214"/>
      <c r="X121" s="214"/>
      <c r="Y121" s="214"/>
      <c r="Z121" s="214"/>
      <c r="AA121" s="214"/>
      <c r="AB121" s="214"/>
    </row>
    <row r="122" spans="2:28">
      <c r="B122" s="858"/>
      <c r="C122" s="856"/>
      <c r="D122" s="248" t="s">
        <v>206</v>
      </c>
      <c r="F122" s="214">
        <f>SUM($F114:F114)</f>
        <v>0</v>
      </c>
      <c r="G122" s="214">
        <f>SUM($F114:G114)</f>
        <v>0</v>
      </c>
      <c r="H122" s="214">
        <f>SUM($F114:H114)</f>
        <v>0</v>
      </c>
      <c r="I122" s="214">
        <f>SUM($F114:I114)</f>
        <v>0</v>
      </c>
      <c r="J122" s="214">
        <f>SUM($F114:J114)</f>
        <v>0</v>
      </c>
      <c r="K122" s="214">
        <f>SUM($F114:K114)</f>
        <v>1050</v>
      </c>
      <c r="L122" s="214">
        <f>SUM($F114:L114)</f>
        <v>5250</v>
      </c>
      <c r="M122" s="214">
        <f>SUM($F114:M114)</f>
        <v>15300</v>
      </c>
      <c r="N122" s="214">
        <f>SUM($F114:N114)</f>
        <v>26003.075187010189</v>
      </c>
      <c r="O122" s="214">
        <f>SUM($F114:O114)</f>
        <v>34358.979655667179</v>
      </c>
      <c r="P122" s="214">
        <f>SUM($F114:P114)</f>
        <v>44242.86124730805</v>
      </c>
      <c r="Q122" s="214">
        <f>SUM($F114:Q114)</f>
        <v>55712.496685064689</v>
      </c>
      <c r="R122" s="214">
        <f>SUM($F114:R114)</f>
        <v>68827.36257014508</v>
      </c>
      <c r="S122" s="214">
        <f>SUM($F114:S114)</f>
        <v>83648.680266267096</v>
      </c>
      <c r="T122" s="214">
        <f>SUM($F114:T114)</f>
        <v>100239.46189951831</v>
      </c>
      <c r="V122" s="214"/>
      <c r="W122" s="214"/>
      <c r="X122" s="214"/>
      <c r="Y122" s="214"/>
      <c r="Z122" s="214"/>
      <c r="AA122" s="214"/>
      <c r="AB122" s="214"/>
    </row>
    <row r="123" spans="2:28">
      <c r="B123" s="858"/>
      <c r="C123" s="452"/>
    </row>
    <row r="124" spans="2:28">
      <c r="B124" s="858"/>
      <c r="C124" s="248" t="s">
        <v>218</v>
      </c>
      <c r="F124" s="512">
        <f>F108</f>
        <v>2017</v>
      </c>
      <c r="G124" s="512">
        <f t="shared" ref="G124:T124" si="145">G108</f>
        <v>2018</v>
      </c>
      <c r="H124" s="512">
        <f t="shared" si="145"/>
        <v>2019</v>
      </c>
      <c r="I124" s="512">
        <f t="shared" si="145"/>
        <v>2020</v>
      </c>
      <c r="J124" s="512">
        <f t="shared" si="145"/>
        <v>2021</v>
      </c>
      <c r="K124" s="512">
        <f t="shared" si="145"/>
        <v>2022</v>
      </c>
      <c r="L124" s="512">
        <f t="shared" si="145"/>
        <v>2023</v>
      </c>
      <c r="M124" s="512">
        <f t="shared" si="145"/>
        <v>2024</v>
      </c>
      <c r="N124" s="512">
        <f t="shared" si="145"/>
        <v>2025</v>
      </c>
      <c r="O124" s="512">
        <f t="shared" si="145"/>
        <v>2026</v>
      </c>
      <c r="P124" s="512">
        <f t="shared" si="145"/>
        <v>2027</v>
      </c>
      <c r="Q124" s="512">
        <f t="shared" si="145"/>
        <v>2028</v>
      </c>
      <c r="R124" s="512">
        <f t="shared" si="145"/>
        <v>2029</v>
      </c>
      <c r="S124" s="512">
        <f t="shared" si="145"/>
        <v>2030</v>
      </c>
      <c r="T124" s="512">
        <f t="shared" si="145"/>
        <v>2031</v>
      </c>
      <c r="V124" s="214"/>
    </row>
    <row r="125" spans="2:28">
      <c r="B125" s="858"/>
      <c r="C125" s="856" t="s">
        <v>614</v>
      </c>
      <c r="D125" s="248" t="s">
        <v>63</v>
      </c>
      <c r="F125" s="214">
        <f t="shared" ref="F125:T125" si="146">(F$15*F$16)*$X80+(F$20*F$21)*$Y80+(F$25*F$26)*$Z80+(F$47*F$48)*$X94+(F$52*F$53)*$Y94+(F$57*F$58)*$Z94</f>
        <v>489742.86108279292</v>
      </c>
      <c r="G125" s="214">
        <f t="shared" si="146"/>
        <v>1717314.7196380636</v>
      </c>
      <c r="H125" s="214">
        <f t="shared" si="146"/>
        <v>2361284.2984044636</v>
      </c>
      <c r="I125" s="214">
        <f t="shared" si="146"/>
        <v>3105737.359451063</v>
      </c>
      <c r="J125" s="214">
        <f t="shared" si="146"/>
        <v>4573052.494025033</v>
      </c>
      <c r="K125" s="214">
        <f t="shared" si="146"/>
        <v>7889302.7513195593</v>
      </c>
      <c r="L125" s="214">
        <f t="shared" si="146"/>
        <v>12029535.104671996</v>
      </c>
      <c r="M125" s="214">
        <f t="shared" si="146"/>
        <v>16985253.971407026</v>
      </c>
      <c r="N125" s="214">
        <f t="shared" si="146"/>
        <v>22798678.625846829</v>
      </c>
      <c r="O125" s="214">
        <f t="shared" si="146"/>
        <v>29758186.048625018</v>
      </c>
      <c r="P125" s="214">
        <f t="shared" si="146"/>
        <v>37417551.319530569</v>
      </c>
      <c r="Q125" s="214">
        <f t="shared" si="146"/>
        <v>45573488.527573086</v>
      </c>
      <c r="R125" s="214">
        <f t="shared" si="146"/>
        <v>55593545.344145492</v>
      </c>
      <c r="S125" s="214">
        <f t="shared" si="146"/>
        <v>66841103.296701729</v>
      </c>
      <c r="T125" s="214">
        <f t="shared" si="146"/>
        <v>78742637.568167061</v>
      </c>
      <c r="U125" s="214"/>
    </row>
    <row r="126" spans="2:28">
      <c r="B126" s="858"/>
      <c r="C126" s="856"/>
      <c r="D126" s="248" t="s">
        <v>211</v>
      </c>
      <c r="F126" s="214">
        <f t="shared" ref="F126:T126" si="147">(F$15*F$16)*$X81+(F$20*F$21)*$Y81+(F$25*F$26)*$Z81+(F$47*F$48)*$X95+(F$52*F$53)*$Y95+(F$57*F$58)*$Z95</f>
        <v>6662.6589172070535</v>
      </c>
      <c r="G126" s="214">
        <f t="shared" si="147"/>
        <v>23363.040361936346</v>
      </c>
      <c r="H126" s="214">
        <f t="shared" si="147"/>
        <v>32123.861595536102</v>
      </c>
      <c r="I126" s="214">
        <f t="shared" si="147"/>
        <v>42251.700548936788</v>
      </c>
      <c r="J126" s="214">
        <f t="shared" si="147"/>
        <v>62213.645974966035</v>
      </c>
      <c r="K126" s="214">
        <f t="shared" si="147"/>
        <v>107329.2486804403</v>
      </c>
      <c r="L126" s="214">
        <f t="shared" si="147"/>
        <v>163654.63532800475</v>
      </c>
      <c r="M126" s="214">
        <f t="shared" si="147"/>
        <v>231074.22859297227</v>
      </c>
      <c r="N126" s="214">
        <f t="shared" si="147"/>
        <v>310162.39646902587</v>
      </c>
      <c r="O126" s="214">
        <f t="shared" si="147"/>
        <v>404842.3354215264</v>
      </c>
      <c r="P126" s="214">
        <f t="shared" si="147"/>
        <v>509043.42210917443</v>
      </c>
      <c r="Q126" s="214">
        <f t="shared" si="147"/>
        <v>620000.07321216806</v>
      </c>
      <c r="R126" s="214">
        <f t="shared" si="147"/>
        <v>756316.95744863129</v>
      </c>
      <c r="S126" s="214">
        <f t="shared" si="147"/>
        <v>909333.26099150896</v>
      </c>
      <c r="T126" s="214">
        <f t="shared" si="147"/>
        <v>1071246.5214868335</v>
      </c>
    </row>
    <row r="127" spans="2:28">
      <c r="B127" s="858"/>
      <c r="C127" s="856"/>
      <c r="D127" s="248" t="s">
        <v>278</v>
      </c>
      <c r="F127" s="214">
        <f t="shared" ref="F127:T127" si="148">(F$15*F$16)*$X82+(F$20*F$21)*$Y82+(F$25*F$26)*$Z82+(F$47*F$48)*$X96+(F$52*F$53)*$Y96+(F$57*F$58)*$Z96</f>
        <v>62477.120000000003</v>
      </c>
      <c r="G127" s="214">
        <f t="shared" si="148"/>
        <v>219238.56</v>
      </c>
      <c r="H127" s="214">
        <f t="shared" si="148"/>
        <v>296400.96000000002</v>
      </c>
      <c r="I127" s="214">
        <f t="shared" si="148"/>
        <v>385916.36000000004</v>
      </c>
      <c r="J127" s="214">
        <f t="shared" si="148"/>
        <v>563854.84</v>
      </c>
      <c r="K127" s="214">
        <f t="shared" si="148"/>
        <v>975492</v>
      </c>
      <c r="L127" s="214">
        <f t="shared" si="148"/>
        <v>1510216.44</v>
      </c>
      <c r="M127" s="214">
        <f t="shared" si="148"/>
        <v>2178909.2000000002</v>
      </c>
      <c r="N127" s="214">
        <f t="shared" si="148"/>
        <v>2924651.5436738953</v>
      </c>
      <c r="O127" s="214">
        <f t="shared" si="148"/>
        <v>3817412.6414400456</v>
      </c>
      <c r="P127" s="214">
        <f t="shared" si="148"/>
        <v>4800297.8265246712</v>
      </c>
      <c r="Q127" s="214">
        <f t="shared" si="148"/>
        <v>5847246.842781404</v>
      </c>
      <c r="R127" s="214">
        <f t="shared" si="148"/>
        <v>7138058.8313350948</v>
      </c>
      <c r="S127" s="214">
        <f t="shared" si="148"/>
        <v>8586870.8252951205</v>
      </c>
      <c r="T127" s="214">
        <f t="shared" si="148"/>
        <v>10123879.675122313</v>
      </c>
    </row>
    <row r="128" spans="2:28">
      <c r="B128" s="858"/>
      <c r="C128" s="856"/>
      <c r="D128" s="248" t="s">
        <v>365</v>
      </c>
      <c r="F128" s="214">
        <f t="shared" ref="F128:T128" si="149">(F$15*F$16)*$X83+(F$20*F$21)*$Y83+(F$25*F$26)*$Z83+(F$47*F$48)*$X97+(F$52*F$53)*$Y97+(F$57*F$58)*$Z97</f>
        <v>28444.703999999998</v>
      </c>
      <c r="G128" s="214">
        <f t="shared" si="149"/>
        <v>99827.351999999999</v>
      </c>
      <c r="H128" s="214">
        <f t="shared" si="149"/>
        <v>134580.432</v>
      </c>
      <c r="I128" s="214">
        <f t="shared" si="149"/>
        <v>174922.36199999999</v>
      </c>
      <c r="J128" s="214">
        <f t="shared" si="149"/>
        <v>255234.67799999999</v>
      </c>
      <c r="K128" s="214">
        <f t="shared" si="149"/>
        <v>445941.4</v>
      </c>
      <c r="L128" s="214">
        <f t="shared" si="149"/>
        <v>702367.39799999993</v>
      </c>
      <c r="M128" s="214">
        <f>(M$15*M$16)*$X83+(M$20*M$21)*$Y83+(M$25*M$26)*$Z83+(M$47*M$48)*$X97+(M$52*M$53)*$Y97+(M$57*M$58)*$Z97</f>
        <v>1036909.1399999999</v>
      </c>
      <c r="N128" s="214">
        <f t="shared" si="149"/>
        <v>1391811.0649076195</v>
      </c>
      <c r="O128" s="214">
        <f t="shared" si="149"/>
        <v>1816679.8346209265</v>
      </c>
      <c r="P128" s="214">
        <f t="shared" si="149"/>
        <v>2285727.4581621857</v>
      </c>
      <c r="Q128" s="214">
        <f t="shared" si="149"/>
        <v>2787195.6903366293</v>
      </c>
      <c r="R128" s="214">
        <f t="shared" si="149"/>
        <v>3403467.3883185685</v>
      </c>
      <c r="S128" s="214">
        <f t="shared" si="149"/>
        <v>4095221.9496682337</v>
      </c>
      <c r="T128" s="214">
        <f t="shared" si="149"/>
        <v>4831060.2970091412</v>
      </c>
    </row>
    <row r="129" spans="2:20">
      <c r="B129" s="858"/>
      <c r="C129" s="856"/>
      <c r="D129" s="248" t="s">
        <v>366</v>
      </c>
      <c r="F129" s="214">
        <f t="shared" ref="F129:T129" si="150">(F$15*F$16)*$X84+(F$20*F$21)*$Y84+(F$25*F$26)*$Z84+(F$47*F$48)*$X98+(F$52*F$53)*$Y98+(F$57*F$58)*$Z98</f>
        <v>4443.8559999999998</v>
      </c>
      <c r="G129" s="214">
        <f t="shared" si="150"/>
        <v>15641.928</v>
      </c>
      <c r="H129" s="214">
        <f t="shared" si="150"/>
        <v>19620.048000000003</v>
      </c>
      <c r="I129" s="214">
        <f t="shared" si="150"/>
        <v>24335.817999999999</v>
      </c>
      <c r="J129" s="214">
        <f t="shared" si="150"/>
        <v>34192.741999999998</v>
      </c>
      <c r="K129" s="214">
        <f t="shared" si="150"/>
        <v>57754.6</v>
      </c>
      <c r="L129" s="214">
        <f t="shared" si="150"/>
        <v>90990.822000000015</v>
      </c>
      <c r="M129" s="214">
        <f t="shared" si="150"/>
        <v>134745.46000000002</v>
      </c>
      <c r="N129" s="214">
        <f t="shared" si="150"/>
        <v>180848.70483497766</v>
      </c>
      <c r="O129" s="214">
        <f t="shared" si="150"/>
        <v>236040.93552780084</v>
      </c>
      <c r="P129" s="214">
        <f t="shared" si="150"/>
        <v>296223.4142148493</v>
      </c>
      <c r="Q129" s="214">
        <f t="shared" si="150"/>
        <v>359441.06816361501</v>
      </c>
      <c r="R129" s="214">
        <f t="shared" si="150"/>
        <v>440033.79049069184</v>
      </c>
      <c r="S129" s="214">
        <f t="shared" si="150"/>
        <v>530420.41756083269</v>
      </c>
      <c r="T129" s="214">
        <f t="shared" si="150"/>
        <v>626584.87922682916</v>
      </c>
    </row>
    <row r="130" spans="2:20">
      <c r="B130" s="858"/>
      <c r="C130" s="856"/>
      <c r="D130" s="248" t="s">
        <v>206</v>
      </c>
      <c r="F130" s="214">
        <f t="shared" ref="F130:T130" si="151">(F$15*F$16)*$X85+(F$20*F$21)*$Y85+(F$25*F$26)*$Z85+(F$47*F$48)*$X99+(F$52*F$53)*$Y99+(F$57*F$58)*$Z99</f>
        <v>0</v>
      </c>
      <c r="G130" s="214">
        <f t="shared" si="151"/>
        <v>0</v>
      </c>
      <c r="H130" s="214">
        <f t="shared" si="151"/>
        <v>0</v>
      </c>
      <c r="I130" s="214">
        <f t="shared" si="151"/>
        <v>0</v>
      </c>
      <c r="J130" s="214">
        <f t="shared" si="151"/>
        <v>0</v>
      </c>
      <c r="K130" s="214">
        <f t="shared" si="151"/>
        <v>2100</v>
      </c>
      <c r="L130" s="214">
        <f t="shared" si="151"/>
        <v>8400</v>
      </c>
      <c r="M130" s="214">
        <f t="shared" si="151"/>
        <v>22200</v>
      </c>
      <c r="N130" s="214">
        <f t="shared" si="151"/>
        <v>29806.150374020381</v>
      </c>
      <c r="O130" s="214">
        <f t="shared" si="151"/>
        <v>38911.808937313981</v>
      </c>
      <c r="P130" s="214">
        <f t="shared" si="151"/>
        <v>49573.913557302119</v>
      </c>
      <c r="Q130" s="214">
        <f t="shared" si="151"/>
        <v>61851.079812827265</v>
      </c>
      <c r="R130" s="214">
        <f t="shared" si="151"/>
        <v>75803.645327462917</v>
      </c>
      <c r="S130" s="214">
        <f t="shared" si="151"/>
        <v>91493.715205071276</v>
      </c>
      <c r="T130" s="214">
        <f t="shared" si="151"/>
        <v>108985.20859396538</v>
      </c>
    </row>
    <row r="131" spans="2:20">
      <c r="B131" s="858"/>
      <c r="C131" s="452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</row>
    <row r="132" spans="2:20">
      <c r="B132" s="858"/>
      <c r="C132" s="248" t="s">
        <v>279</v>
      </c>
      <c r="F132" s="512">
        <f>F124</f>
        <v>2017</v>
      </c>
      <c r="G132" s="512">
        <f t="shared" ref="G132:T132" si="152">G124</f>
        <v>2018</v>
      </c>
      <c r="H132" s="512">
        <f t="shared" si="152"/>
        <v>2019</v>
      </c>
      <c r="I132" s="512">
        <f t="shared" si="152"/>
        <v>2020</v>
      </c>
      <c r="J132" s="512">
        <f t="shared" si="152"/>
        <v>2021</v>
      </c>
      <c r="K132" s="512">
        <f t="shared" si="152"/>
        <v>2022</v>
      </c>
      <c r="L132" s="512">
        <f t="shared" si="152"/>
        <v>2023</v>
      </c>
      <c r="M132" s="512">
        <f t="shared" si="152"/>
        <v>2024</v>
      </c>
      <c r="N132" s="512">
        <f t="shared" si="152"/>
        <v>2025</v>
      </c>
      <c r="O132" s="512">
        <f t="shared" si="152"/>
        <v>2026</v>
      </c>
      <c r="P132" s="512">
        <f t="shared" si="152"/>
        <v>2027</v>
      </c>
      <c r="Q132" s="512">
        <f t="shared" si="152"/>
        <v>2028</v>
      </c>
      <c r="R132" s="512">
        <f t="shared" si="152"/>
        <v>2029</v>
      </c>
      <c r="S132" s="512">
        <f t="shared" si="152"/>
        <v>2030</v>
      </c>
      <c r="T132" s="512">
        <f t="shared" si="152"/>
        <v>2031</v>
      </c>
    </row>
    <row r="133" spans="2:20">
      <c r="B133" s="858"/>
      <c r="D133" s="248" t="str">
        <f>D128</f>
        <v>GS 50 - 2,999</v>
      </c>
      <c r="F133" s="214">
        <f>F89+F103</f>
        <v>194.82673972602737</v>
      </c>
      <c r="G133" s="214">
        <f t="shared" ref="G133:T133" si="153">G89+G103</f>
        <v>683.74898630136977</v>
      </c>
      <c r="H133" s="214">
        <f t="shared" si="153"/>
        <v>726.9570410958903</v>
      </c>
      <c r="I133" s="214">
        <f t="shared" si="153"/>
        <v>514.34938356164378</v>
      </c>
      <c r="J133" s="214">
        <f t="shared" si="153"/>
        <v>826.39894520547944</v>
      </c>
      <c r="K133" s="214">
        <f t="shared" si="153"/>
        <v>1856.2947808219178</v>
      </c>
      <c r="L133" s="214">
        <f t="shared" si="153"/>
        <v>3062.5528767123283</v>
      </c>
      <c r="M133" s="214">
        <f t="shared" si="153"/>
        <v>4047.7242465753425</v>
      </c>
      <c r="N133" s="214">
        <f t="shared" si="153"/>
        <v>4722.2168966275294</v>
      </c>
      <c r="O133" s="214">
        <f t="shared" si="153"/>
        <v>5340.8951686364835</v>
      </c>
      <c r="P133" s="214">
        <f t="shared" si="153"/>
        <v>5927.8882825655191</v>
      </c>
      <c r="Q133" s="214">
        <f t="shared" si="153"/>
        <v>6353.2733679157718</v>
      </c>
      <c r="R133" s="214">
        <f t="shared" si="153"/>
        <v>7906.6403983313885</v>
      </c>
      <c r="S133" s="214">
        <f t="shared" si="153"/>
        <v>8920.8041735041443</v>
      </c>
      <c r="T133" s="214">
        <f t="shared" si="153"/>
        <v>9504.2638540450153</v>
      </c>
    </row>
    <row r="134" spans="2:20">
      <c r="B134" s="858"/>
      <c r="D134" s="248" t="str">
        <f>D129</f>
        <v>GS 3,000 - 4,999</v>
      </c>
      <c r="F134" s="214">
        <f>F90+F104</f>
        <v>30.437369863013696</v>
      </c>
      <c r="G134" s="214">
        <f t="shared" ref="G134:T134" si="154">G90+G104</f>
        <v>107.13649315068493</v>
      </c>
      <c r="H134" s="214">
        <f t="shared" si="154"/>
        <v>103.9465205479452</v>
      </c>
      <c r="I134" s="214">
        <f t="shared" si="154"/>
        <v>59.547191780821905</v>
      </c>
      <c r="J134" s="214">
        <f t="shared" si="154"/>
        <v>99.812972602739734</v>
      </c>
      <c r="K134" s="214">
        <f t="shared" si="154"/>
        <v>228.89576712328767</v>
      </c>
      <c r="L134" s="214">
        <f t="shared" si="154"/>
        <v>389.02794520547945</v>
      </c>
      <c r="M134" s="214">
        <f t="shared" si="154"/>
        <v>527.3346575342465</v>
      </c>
      <c r="N134" s="214">
        <f t="shared" si="154"/>
        <v>615.46495092450448</v>
      </c>
      <c r="O134" s="214">
        <f t="shared" si="154"/>
        <v>693.80462690274544</v>
      </c>
      <c r="P134" s="214">
        <f t="shared" si="154"/>
        <v>759.80036561555914</v>
      </c>
      <c r="Q134" s="214">
        <f t="shared" si="154"/>
        <v>798.94463449187788</v>
      </c>
      <c r="R134" s="214">
        <f t="shared" si="154"/>
        <v>1034.4543032591946</v>
      </c>
      <c r="S134" s="214">
        <f t="shared" si="154"/>
        <v>1166.0390369672441</v>
      </c>
      <c r="T134" s="214">
        <f t="shared" si="154"/>
        <v>1242.5337995625844</v>
      </c>
    </row>
    <row r="135" spans="2:20">
      <c r="B135" s="858"/>
      <c r="D135" s="248" t="str">
        <f>D130</f>
        <v>Large Use</v>
      </c>
      <c r="F135" s="214">
        <f>F91+F105</f>
        <v>0</v>
      </c>
      <c r="G135" s="214">
        <f t="shared" ref="G135:T135" si="155">G91+G105</f>
        <v>0</v>
      </c>
      <c r="H135" s="214">
        <f t="shared" si="155"/>
        <v>0</v>
      </c>
      <c r="I135" s="214">
        <f t="shared" si="155"/>
        <v>0</v>
      </c>
      <c r="J135" s="214">
        <f t="shared" si="155"/>
        <v>0</v>
      </c>
      <c r="K135" s="214">
        <f t="shared" si="155"/>
        <v>14.383561643835616</v>
      </c>
      <c r="L135" s="214">
        <f t="shared" si="155"/>
        <v>57.534246575342465</v>
      </c>
      <c r="M135" s="214">
        <f t="shared" si="155"/>
        <v>137.67123287671234</v>
      </c>
      <c r="N135" s="214">
        <f t="shared" si="155"/>
        <v>146.6174683152081</v>
      </c>
      <c r="O135" s="214">
        <f t="shared" si="155"/>
        <v>114.46444477612312</v>
      </c>
      <c r="P135" s="214">
        <f t="shared" si="155"/>
        <v>135.3956382416558</v>
      </c>
      <c r="Q135" s="214">
        <f t="shared" si="155"/>
        <v>157.11829366789914</v>
      </c>
      <c r="R135" s="214">
        <f t="shared" si="155"/>
        <v>179.65569705589587</v>
      </c>
      <c r="S135" s="214">
        <f t="shared" si="155"/>
        <v>203.03174926194535</v>
      </c>
      <c r="T135" s="214">
        <f t="shared" si="155"/>
        <v>227.27098127741397</v>
      </c>
    </row>
    <row r="136" spans="2:20">
      <c r="B136" s="858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</row>
    <row r="137" spans="2:20">
      <c r="B137" s="858"/>
      <c r="C137" s="248" t="s">
        <v>613</v>
      </c>
      <c r="F137" s="512">
        <f>F132</f>
        <v>2017</v>
      </c>
      <c r="G137" s="512">
        <f t="shared" ref="G137:T137" si="156">G132</f>
        <v>2018</v>
      </c>
      <c r="H137" s="512">
        <f t="shared" si="156"/>
        <v>2019</v>
      </c>
      <c r="I137" s="512">
        <f t="shared" si="156"/>
        <v>2020</v>
      </c>
      <c r="J137" s="512">
        <f t="shared" si="156"/>
        <v>2021</v>
      </c>
      <c r="K137" s="512">
        <f t="shared" si="156"/>
        <v>2022</v>
      </c>
      <c r="L137" s="512">
        <f t="shared" si="156"/>
        <v>2023</v>
      </c>
      <c r="M137" s="512">
        <f t="shared" si="156"/>
        <v>2024</v>
      </c>
      <c r="N137" s="512">
        <f t="shared" si="156"/>
        <v>2025</v>
      </c>
      <c r="O137" s="512">
        <f t="shared" si="156"/>
        <v>2026</v>
      </c>
      <c r="P137" s="512">
        <f t="shared" si="156"/>
        <v>2027</v>
      </c>
      <c r="Q137" s="512">
        <f t="shared" si="156"/>
        <v>2028</v>
      </c>
      <c r="R137" s="512">
        <f t="shared" si="156"/>
        <v>2029</v>
      </c>
      <c r="S137" s="512">
        <f t="shared" si="156"/>
        <v>2030</v>
      </c>
      <c r="T137" s="512">
        <f t="shared" si="156"/>
        <v>2031</v>
      </c>
    </row>
    <row r="138" spans="2:20">
      <c r="B138" s="858"/>
      <c r="D138" s="248" t="str">
        <f>D133</f>
        <v>GS 50 - 2,999</v>
      </c>
      <c r="F138" s="214">
        <f>SUM($F133:F133)</f>
        <v>194.82673972602737</v>
      </c>
      <c r="G138" s="214">
        <f>SUM($F133:G133)</f>
        <v>878.5757260273972</v>
      </c>
      <c r="H138" s="214">
        <f>SUM($F133:H133)</f>
        <v>1605.5327671232876</v>
      </c>
      <c r="I138" s="214">
        <f>SUM($F133:I133)</f>
        <v>2119.8821506849313</v>
      </c>
      <c r="J138" s="214">
        <f>SUM($F133:J133)</f>
        <v>2946.2810958904106</v>
      </c>
      <c r="K138" s="214">
        <f>SUM($F133:K133)</f>
        <v>4802.575876712328</v>
      </c>
      <c r="L138" s="214">
        <f>SUM($F133:L133)</f>
        <v>7865.1287534246567</v>
      </c>
      <c r="M138" s="214">
        <f>SUM($F133:M133)</f>
        <v>11912.852999999999</v>
      </c>
      <c r="N138" s="214">
        <f>SUM($F133:N133)</f>
        <v>16635.06989662753</v>
      </c>
      <c r="O138" s="214">
        <f>SUM($F133:O133)</f>
        <v>21975.965065264012</v>
      </c>
      <c r="P138" s="214">
        <f>SUM($F133:P133)</f>
        <v>27903.853347829532</v>
      </c>
      <c r="Q138" s="214">
        <f>SUM($F133:Q133)</f>
        <v>34257.126715745304</v>
      </c>
      <c r="R138" s="214">
        <f>SUM($F133:R133)</f>
        <v>42163.767114076691</v>
      </c>
      <c r="S138" s="214">
        <f>SUM($F133:S133)</f>
        <v>51084.571287580839</v>
      </c>
      <c r="T138" s="214">
        <f>SUM($F133:T133)</f>
        <v>60588.835141625852</v>
      </c>
    </row>
    <row r="139" spans="2:20">
      <c r="B139" s="858"/>
      <c r="D139" s="248" t="str">
        <f>D134</f>
        <v>GS 3,000 - 4,999</v>
      </c>
      <c r="F139" s="214">
        <f>SUM($F134:F134)</f>
        <v>30.437369863013696</v>
      </c>
      <c r="G139" s="214">
        <f>SUM($F134:G134)</f>
        <v>137.57386301369863</v>
      </c>
      <c r="H139" s="214">
        <f>SUM($F134:H134)</f>
        <v>241.52038356164383</v>
      </c>
      <c r="I139" s="214">
        <f>SUM($F134:I134)</f>
        <v>301.06757534246572</v>
      </c>
      <c r="J139" s="214">
        <f>SUM($F134:J134)</f>
        <v>400.88054794520542</v>
      </c>
      <c r="K139" s="214">
        <f>SUM($F134:K134)</f>
        <v>629.77631506849309</v>
      </c>
      <c r="L139" s="214">
        <f>SUM($F134:L134)</f>
        <v>1018.8042602739725</v>
      </c>
      <c r="M139" s="214">
        <f>SUM($F134:M134)</f>
        <v>1546.138917808219</v>
      </c>
      <c r="N139" s="214">
        <f>SUM($F134:N134)</f>
        <v>2161.6038687327236</v>
      </c>
      <c r="O139" s="214">
        <f>SUM($F134:O134)</f>
        <v>2855.4084956354691</v>
      </c>
      <c r="P139" s="214">
        <f>SUM($F134:P134)</f>
        <v>3615.2088612510283</v>
      </c>
      <c r="Q139" s="214">
        <f>SUM($F134:Q134)</f>
        <v>4414.1534957429067</v>
      </c>
      <c r="R139" s="214">
        <f>SUM($F134:R134)</f>
        <v>5448.6077990021013</v>
      </c>
      <c r="S139" s="214">
        <f>SUM($F134:S134)</f>
        <v>6614.6468359693454</v>
      </c>
      <c r="T139" s="214">
        <f>SUM($F134:T134)</f>
        <v>7857.1806355319295</v>
      </c>
    </row>
    <row r="140" spans="2:20">
      <c r="B140" s="858"/>
      <c r="D140" s="248" t="str">
        <f>D135</f>
        <v>Large Use</v>
      </c>
      <c r="F140" s="214">
        <f>SUM($F135:F135)</f>
        <v>0</v>
      </c>
      <c r="G140" s="214">
        <f>SUM($F135:G135)</f>
        <v>0</v>
      </c>
      <c r="H140" s="214">
        <f>SUM($F135:H135)</f>
        <v>0</v>
      </c>
      <c r="I140" s="214">
        <f>SUM($F135:I135)</f>
        <v>0</v>
      </c>
      <c r="J140" s="214">
        <f>SUM($F135:J135)</f>
        <v>0</v>
      </c>
      <c r="K140" s="214">
        <f>SUM($F135:K135)</f>
        <v>14.383561643835616</v>
      </c>
      <c r="L140" s="214">
        <f>SUM($F135:L135)</f>
        <v>71.917808219178085</v>
      </c>
      <c r="M140" s="214">
        <f>SUM($F135:M135)</f>
        <v>209.58904109589042</v>
      </c>
      <c r="N140" s="214">
        <f>SUM($F135:N135)</f>
        <v>356.20650941109852</v>
      </c>
      <c r="O140" s="214">
        <f>SUM($F135:O135)</f>
        <v>470.67095418722164</v>
      </c>
      <c r="P140" s="214">
        <f>SUM($F135:P135)</f>
        <v>606.06659242887747</v>
      </c>
      <c r="Q140" s="214">
        <f>SUM($F135:Q135)</f>
        <v>763.18488609677661</v>
      </c>
      <c r="R140" s="214">
        <f>SUM($F135:R135)</f>
        <v>942.84058315267248</v>
      </c>
      <c r="S140" s="214">
        <f>SUM($F135:S135)</f>
        <v>1145.8723324146179</v>
      </c>
      <c r="T140" s="214">
        <f>SUM($F135:T135)</f>
        <v>1373.1433136920318</v>
      </c>
    </row>
    <row r="141" spans="2:20">
      <c r="T141" s="244"/>
    </row>
    <row r="142" spans="2:20">
      <c r="F142" s="308">
        <f t="shared" ref="F142:R144" si="157">G142</f>
        <v>0.57288897982030706</v>
      </c>
      <c r="G142" s="308">
        <f t="shared" si="157"/>
        <v>0.57288897982030706</v>
      </c>
      <c r="H142" s="308">
        <f t="shared" si="157"/>
        <v>0.57288897982030706</v>
      </c>
      <c r="I142" s="308">
        <f t="shared" si="157"/>
        <v>0.57288897982030706</v>
      </c>
      <c r="J142" s="308">
        <f t="shared" si="157"/>
        <v>0.57288897982030706</v>
      </c>
      <c r="K142" s="308">
        <f t="shared" si="157"/>
        <v>0.57288897982030706</v>
      </c>
      <c r="L142" s="308">
        <f t="shared" si="157"/>
        <v>0.57288897982030706</v>
      </c>
      <c r="M142" s="308">
        <f t="shared" si="157"/>
        <v>0.57288897982030706</v>
      </c>
      <c r="N142" s="308">
        <f t="shared" si="157"/>
        <v>0.57288897982030706</v>
      </c>
      <c r="O142" s="308">
        <f t="shared" si="157"/>
        <v>0.57288897982030706</v>
      </c>
      <c r="P142" s="308">
        <f t="shared" si="157"/>
        <v>0.57288897982030706</v>
      </c>
      <c r="Q142" s="308">
        <f t="shared" si="157"/>
        <v>0.57288897982030706</v>
      </c>
      <c r="R142" s="308">
        <f t="shared" si="157"/>
        <v>0.57288897982030706</v>
      </c>
      <c r="S142" s="308">
        <f>T142</f>
        <v>0.57288897982030706</v>
      </c>
      <c r="T142" s="680">
        <f>12/(8760*'kW Forecast'!E27)</f>
        <v>0.57288897982030706</v>
      </c>
    </row>
    <row r="143" spans="2:20">
      <c r="F143" s="308">
        <f t="shared" si="157"/>
        <v>0.63473825590163735</v>
      </c>
      <c r="G143" s="308">
        <f t="shared" si="157"/>
        <v>0.63473825590163735</v>
      </c>
      <c r="H143" s="308">
        <f t="shared" si="157"/>
        <v>0.63473825590163735</v>
      </c>
      <c r="I143" s="308">
        <f t="shared" si="157"/>
        <v>0.63473825590163735</v>
      </c>
      <c r="J143" s="308">
        <f t="shared" si="157"/>
        <v>0.63473825590163735</v>
      </c>
      <c r="K143" s="308">
        <f t="shared" si="157"/>
        <v>0.63473825590163735</v>
      </c>
      <c r="L143" s="308">
        <f t="shared" si="157"/>
        <v>0.63473825590163735</v>
      </c>
      <c r="M143" s="308">
        <f t="shared" si="157"/>
        <v>0.63473825590163735</v>
      </c>
      <c r="N143" s="308">
        <f t="shared" si="157"/>
        <v>0.63473825590163735</v>
      </c>
      <c r="O143" s="308">
        <f t="shared" si="157"/>
        <v>0.63473825590163735</v>
      </c>
      <c r="P143" s="308">
        <f t="shared" si="157"/>
        <v>0.63473825590163735</v>
      </c>
      <c r="Q143" s="308">
        <f t="shared" si="157"/>
        <v>0.63473825590163735</v>
      </c>
      <c r="R143" s="308">
        <f t="shared" si="157"/>
        <v>0.63473825590163735</v>
      </c>
      <c r="S143" s="308">
        <f t="shared" ref="S143:S144" si="158">T143</f>
        <v>0.63473825590163735</v>
      </c>
      <c r="T143" s="680">
        <f>12/(8760*'kW Forecast'!L27)</f>
        <v>0.63473825590163735</v>
      </c>
    </row>
    <row r="144" spans="2:20">
      <c r="F144" s="308">
        <f t="shared" si="157"/>
        <v>0.8094148997481645</v>
      </c>
      <c r="G144" s="308">
        <f t="shared" si="157"/>
        <v>0.8094148997481645</v>
      </c>
      <c r="H144" s="308">
        <f t="shared" si="157"/>
        <v>0.8094148997481645</v>
      </c>
      <c r="I144" s="308">
        <f t="shared" si="157"/>
        <v>0.8094148997481645</v>
      </c>
      <c r="J144" s="308">
        <f t="shared" si="157"/>
        <v>0.8094148997481645</v>
      </c>
      <c r="K144" s="308">
        <f t="shared" si="157"/>
        <v>0.8094148997481645</v>
      </c>
      <c r="L144" s="308">
        <f t="shared" si="157"/>
        <v>0.8094148997481645</v>
      </c>
      <c r="M144" s="308">
        <f t="shared" si="157"/>
        <v>0.8094148997481645</v>
      </c>
      <c r="N144" s="308">
        <f t="shared" si="157"/>
        <v>0.8094148997481645</v>
      </c>
      <c r="O144" s="308">
        <f t="shared" si="157"/>
        <v>0.8094148997481645</v>
      </c>
      <c r="P144" s="308">
        <f t="shared" si="157"/>
        <v>0.8094148997481645</v>
      </c>
      <c r="Q144" s="308">
        <f t="shared" si="157"/>
        <v>0.8094148997481645</v>
      </c>
      <c r="R144" s="308">
        <f t="shared" si="157"/>
        <v>0.8094148997481645</v>
      </c>
      <c r="S144" s="308">
        <f t="shared" si="158"/>
        <v>0.8094148997481645</v>
      </c>
      <c r="T144" s="680">
        <f>12/(8760*'kW Forecast'!T27)</f>
        <v>0.8094148997481645</v>
      </c>
    </row>
    <row r="145" spans="5:25">
      <c r="T145" s="244"/>
    </row>
    <row r="146" spans="5:25">
      <c r="F146" s="279">
        <f t="shared" ref="F146:S148" si="159">F128/F142/8760*12</f>
        <v>68.015530613675594</v>
      </c>
      <c r="G146" s="279">
        <f t="shared" si="159"/>
        <v>238.70209076663866</v>
      </c>
      <c r="H146" s="279">
        <f t="shared" si="159"/>
        <v>321.80188947291163</v>
      </c>
      <c r="I146" s="279">
        <f t="shared" si="159"/>
        <v>418.26546226768426</v>
      </c>
      <c r="J146" s="279">
        <f t="shared" si="159"/>
        <v>610.30419072670384</v>
      </c>
      <c r="K146" s="279">
        <f t="shared" si="159"/>
        <v>1066.3124124478622</v>
      </c>
      <c r="L146" s="279">
        <f t="shared" si="159"/>
        <v>1679.4652270143738</v>
      </c>
      <c r="M146" s="279">
        <f t="shared" si="159"/>
        <v>2479.4044387057088</v>
      </c>
      <c r="N146" s="279">
        <f t="shared" si="159"/>
        <v>3328.0278850388677</v>
      </c>
      <c r="O146" s="279">
        <f t="shared" si="159"/>
        <v>4343.9524948794251</v>
      </c>
      <c r="P146" s="279">
        <f t="shared" si="159"/>
        <v>5465.5153347754676</v>
      </c>
      <c r="Q146" s="279">
        <f t="shared" si="159"/>
        <v>6664.6006863842103</v>
      </c>
      <c r="R146" s="279">
        <f t="shared" si="159"/>
        <v>8138.1982509935124</v>
      </c>
      <c r="S146" s="279">
        <f t="shared" si="159"/>
        <v>9792.2866023656316</v>
      </c>
      <c r="T146" s="279">
        <f>T128/T142/8760*12</f>
        <v>11551.785862413544</v>
      </c>
    </row>
    <row r="147" spans="5:25">
      <c r="F147" s="279">
        <f t="shared" si="159"/>
        <v>9.5905263563412646</v>
      </c>
      <c r="G147" s="279">
        <f t="shared" si="159"/>
        <v>33.757692136737198</v>
      </c>
      <c r="H147" s="279">
        <f t="shared" si="159"/>
        <v>42.343088402657685</v>
      </c>
      <c r="I147" s="279">
        <f t="shared" si="159"/>
        <v>52.520447091922911</v>
      </c>
      <c r="J147" s="279">
        <f t="shared" si="159"/>
        <v>73.793208723814843</v>
      </c>
      <c r="K147" s="279">
        <f t="shared" si="159"/>
        <v>124.64333081448797</v>
      </c>
      <c r="L147" s="279">
        <f t="shared" si="159"/>
        <v>196.37222191181638</v>
      </c>
      <c r="M147" s="279">
        <f t="shared" si="159"/>
        <v>290.80147635911874</v>
      </c>
      <c r="N147" s="279">
        <f t="shared" si="159"/>
        <v>390.29938644052265</v>
      </c>
      <c r="O147" s="279">
        <f t="shared" si="159"/>
        <v>509.41272925018797</v>
      </c>
      <c r="P147" s="279">
        <f t="shared" si="159"/>
        <v>639.29579657687111</v>
      </c>
      <c r="Q147" s="279">
        <f t="shared" si="159"/>
        <v>775.72924005066932</v>
      </c>
      <c r="R147" s="279">
        <f t="shared" si="159"/>
        <v>949.66075979548623</v>
      </c>
      <c r="S147" s="279">
        <f t="shared" si="159"/>
        <v>1144.7290359000617</v>
      </c>
      <c r="T147" s="279">
        <f t="shared" ref="T147:T148" si="160">T129/T143/8760*12</f>
        <v>1352.2667698300334</v>
      </c>
    </row>
    <row r="148" spans="5:25">
      <c r="F148" s="279">
        <f t="shared" si="159"/>
        <v>0</v>
      </c>
      <c r="G148" s="279">
        <f t="shared" si="159"/>
        <v>0</v>
      </c>
      <c r="H148" s="279">
        <f t="shared" si="159"/>
        <v>0</v>
      </c>
      <c r="I148" s="279">
        <f t="shared" si="159"/>
        <v>0</v>
      </c>
      <c r="J148" s="279">
        <f t="shared" si="159"/>
        <v>0</v>
      </c>
      <c r="K148" s="279">
        <f t="shared" si="159"/>
        <v>3.5540639660354199</v>
      </c>
      <c r="L148" s="279">
        <f t="shared" si="159"/>
        <v>14.216255864141679</v>
      </c>
      <c r="M148" s="279">
        <f t="shared" si="159"/>
        <v>37.57153335523158</v>
      </c>
      <c r="N148" s="279">
        <f t="shared" si="159"/>
        <v>50.444269052637608</v>
      </c>
      <c r="O148" s="279">
        <f t="shared" si="159"/>
        <v>65.854789522553631</v>
      </c>
      <c r="P148" s="279">
        <f t="shared" si="159"/>
        <v>83.899457061601055</v>
      </c>
      <c r="Q148" s="279">
        <f t="shared" si="159"/>
        <v>104.67747334435722</v>
      </c>
      <c r="R148" s="279">
        <f t="shared" si="159"/>
        <v>128.29095445355483</v>
      </c>
      <c r="S148" s="279">
        <f t="shared" si="159"/>
        <v>154.84500777573848</v>
      </c>
      <c r="T148" s="279">
        <f t="shared" si="160"/>
        <v>184.44781080698385</v>
      </c>
    </row>
    <row r="149" spans="5:25">
      <c r="T149" s="244"/>
    </row>
    <row r="150" spans="5:25">
      <c r="M150" s="214">
        <f>M138-M146</f>
        <v>9433.4485612942899</v>
      </c>
      <c r="N150" s="214">
        <f>N138-N146-$M$150</f>
        <v>3873.5934502943728</v>
      </c>
      <c r="O150" s="214">
        <f t="shared" ref="O150:T150" si="161">O138-O146-$M$150</f>
        <v>8198.564009090298</v>
      </c>
      <c r="P150" s="214">
        <f t="shared" si="161"/>
        <v>13004.889451759775</v>
      </c>
      <c r="Q150" s="214">
        <f t="shared" si="161"/>
        <v>18159.077468066804</v>
      </c>
      <c r="R150" s="214">
        <f t="shared" si="161"/>
        <v>24592.120301788891</v>
      </c>
      <c r="S150" s="214">
        <f t="shared" si="161"/>
        <v>31858.836123920919</v>
      </c>
      <c r="T150" s="214">
        <f t="shared" si="161"/>
        <v>39603.600717918023</v>
      </c>
    </row>
    <row r="151" spans="5:25">
      <c r="M151" s="214">
        <f t="shared" ref="M151" si="162">M139-M147</f>
        <v>1255.3374414491004</v>
      </c>
      <c r="N151" s="214">
        <f>N139-N147-$M$151</f>
        <v>515.96704084310068</v>
      </c>
      <c r="O151" s="214">
        <f t="shared" ref="O151:T151" si="163">O139-O147-$M$151</f>
        <v>1090.6583249361806</v>
      </c>
      <c r="P151" s="214">
        <f t="shared" si="163"/>
        <v>1720.5756232250569</v>
      </c>
      <c r="Q151" s="214">
        <f t="shared" si="163"/>
        <v>2383.0868142431368</v>
      </c>
      <c r="R151" s="214">
        <f t="shared" si="163"/>
        <v>3243.6095977575146</v>
      </c>
      <c r="S151" s="214">
        <f t="shared" si="163"/>
        <v>4214.5803586201837</v>
      </c>
      <c r="T151" s="214">
        <f t="shared" si="163"/>
        <v>5249.5764242527948</v>
      </c>
    </row>
    <row r="152" spans="5:25">
      <c r="M152" s="214">
        <f t="shared" ref="M152" si="164">M140-M148</f>
        <v>172.01750774065886</v>
      </c>
      <c r="N152" s="214">
        <f>N140-N148-$M$152</f>
        <v>133.74473261780207</v>
      </c>
      <c r="O152" s="214">
        <f t="shared" ref="O152:T152" si="165">O140-O148-$M$152</f>
        <v>232.79865692400915</v>
      </c>
      <c r="P152" s="214">
        <f t="shared" si="165"/>
        <v>350.14962762661753</v>
      </c>
      <c r="Q152" s="214">
        <f t="shared" si="165"/>
        <v>486.48990501176058</v>
      </c>
      <c r="R152" s="214">
        <f t="shared" si="165"/>
        <v>642.53212095845879</v>
      </c>
      <c r="S152" s="214">
        <f t="shared" si="165"/>
        <v>819.00981689822049</v>
      </c>
      <c r="T152" s="214">
        <f t="shared" si="165"/>
        <v>1016.6779951443891</v>
      </c>
    </row>
    <row r="153" spans="5:25">
      <c r="T153" s="244"/>
    </row>
    <row r="154" spans="5:25">
      <c r="M154" s="681">
        <f>M138</f>
        <v>11912.852999999999</v>
      </c>
      <c r="N154" s="681">
        <f t="shared" ref="N154:T154" si="166">N138</f>
        <v>16635.06989662753</v>
      </c>
      <c r="O154" s="681">
        <f t="shared" si="166"/>
        <v>21975.965065264012</v>
      </c>
      <c r="P154" s="681">
        <f t="shared" si="166"/>
        <v>27903.853347829532</v>
      </c>
      <c r="Q154" s="681">
        <f t="shared" si="166"/>
        <v>34257.126715745304</v>
      </c>
      <c r="R154" s="681">
        <f t="shared" si="166"/>
        <v>42163.767114076691</v>
      </c>
      <c r="S154" s="681">
        <f t="shared" si="166"/>
        <v>51084.571287580839</v>
      </c>
      <c r="T154" s="681">
        <f t="shared" si="166"/>
        <v>60588.835141625852</v>
      </c>
    </row>
    <row r="155" spans="5:25">
      <c r="M155" s="681">
        <v>11916</v>
      </c>
      <c r="N155" s="681">
        <f>N154*0.9</f>
        <v>14971.562906964778</v>
      </c>
      <c r="O155" s="681">
        <f t="shared" ref="O155:T155" si="167">O154*0.9</f>
        <v>19778.368558737613</v>
      </c>
      <c r="P155" s="681">
        <f t="shared" si="167"/>
        <v>25113.468013046579</v>
      </c>
      <c r="Q155" s="681">
        <f t="shared" si="167"/>
        <v>30831.414044170775</v>
      </c>
      <c r="R155" s="681">
        <f t="shared" si="167"/>
        <v>37947.390402669022</v>
      </c>
      <c r="S155" s="681">
        <f t="shared" si="167"/>
        <v>45976.114158822755</v>
      </c>
      <c r="T155" s="681">
        <f t="shared" si="167"/>
        <v>54529.95162746327</v>
      </c>
    </row>
    <row r="156" spans="5:25">
      <c r="M156" s="244"/>
      <c r="N156" s="244"/>
      <c r="T156" s="244"/>
    </row>
    <row r="157" spans="5:25">
      <c r="T157" s="244"/>
    </row>
    <row r="159" spans="5:25">
      <c r="F159" s="248">
        <v>2023</v>
      </c>
      <c r="G159" s="248">
        <v>2024</v>
      </c>
      <c r="H159" s="248">
        <v>2025</v>
      </c>
      <c r="I159" s="248">
        <v>2026</v>
      </c>
      <c r="J159" s="248">
        <v>2027</v>
      </c>
      <c r="K159" s="248">
        <v>2028</v>
      </c>
      <c r="L159" s="248">
        <v>2029</v>
      </c>
      <c r="M159" s="248">
        <v>2030</v>
      </c>
      <c r="N159" s="248">
        <v>2031</v>
      </c>
    </row>
    <row r="160" spans="5:25">
      <c r="E160" s="248" t="s">
        <v>283</v>
      </c>
      <c r="F160" s="214">
        <f t="shared" ref="F160:N161" si="168">L14+L46</f>
        <v>1533</v>
      </c>
      <c r="G160" s="214">
        <f t="shared" si="168"/>
        <v>1803</v>
      </c>
      <c r="H160" s="214">
        <f t="shared" si="168"/>
        <v>2184.6076302447614</v>
      </c>
      <c r="I160" s="214">
        <f t="shared" si="168"/>
        <v>2615.2902845201438</v>
      </c>
      <c r="J160" s="214">
        <f t="shared" si="168"/>
        <v>3062.3264019144435</v>
      </c>
      <c r="K160" s="214">
        <f t="shared" si="168"/>
        <v>3526.1978478907076</v>
      </c>
      <c r="L160" s="214">
        <f t="shared" si="168"/>
        <v>4007.3992211452569</v>
      </c>
      <c r="M160" s="214">
        <f t="shared" si="168"/>
        <v>4506.4381701908314</v>
      </c>
      <c r="N160" s="214">
        <f t="shared" si="168"/>
        <v>5023.835717509769</v>
      </c>
      <c r="O160" s="248" t="s">
        <v>181</v>
      </c>
      <c r="Q160" s="214"/>
      <c r="R160" s="214"/>
      <c r="S160" s="214"/>
      <c r="T160" s="214"/>
      <c r="U160" s="214"/>
      <c r="V160" s="214"/>
      <c r="W160" s="214"/>
      <c r="X160" s="214"/>
      <c r="Y160" s="214"/>
    </row>
    <row r="161" spans="5:32">
      <c r="E161" s="248" t="s">
        <v>287</v>
      </c>
      <c r="F161" s="214">
        <f t="shared" si="168"/>
        <v>4583</v>
      </c>
      <c r="G161" s="214">
        <f t="shared" si="168"/>
        <v>6386</v>
      </c>
      <c r="H161" s="214">
        <f t="shared" si="168"/>
        <v>8570.6076302447618</v>
      </c>
      <c r="I161" s="214">
        <f t="shared" si="168"/>
        <v>11185.897914764904</v>
      </c>
      <c r="J161" s="214">
        <f t="shared" si="168"/>
        <v>14036.224316679347</v>
      </c>
      <c r="K161" s="214">
        <f t="shared" si="168"/>
        <v>17044.422164570053</v>
      </c>
      <c r="L161" s="214">
        <f t="shared" si="168"/>
        <v>20795.82138571531</v>
      </c>
      <c r="M161" s="214">
        <f t="shared" si="168"/>
        <v>25019.259555906141</v>
      </c>
      <c r="N161" s="214">
        <f t="shared" si="168"/>
        <v>29479.095273415911</v>
      </c>
      <c r="O161" s="248" t="s">
        <v>182</v>
      </c>
      <c r="Q161" s="214"/>
      <c r="R161" s="214"/>
      <c r="S161" s="214"/>
      <c r="T161" s="214"/>
      <c r="U161" s="214"/>
      <c r="V161" s="214"/>
      <c r="W161" s="214"/>
      <c r="X161" s="214"/>
      <c r="Y161" s="214"/>
    </row>
    <row r="162" spans="5:32">
      <c r="E162" s="248" t="s">
        <v>288</v>
      </c>
      <c r="F162" s="214">
        <f t="shared" ref="F162:N162" si="169">L18+L50</f>
        <v>11554542.199999999</v>
      </c>
      <c r="G162" s="214">
        <f t="shared" si="169"/>
        <v>16648628.199999999</v>
      </c>
      <c r="H162" s="214">
        <f t="shared" si="169"/>
        <v>22707246.767736893</v>
      </c>
      <c r="I162" s="214">
        <f t="shared" si="169"/>
        <v>29997711.165109307</v>
      </c>
      <c r="J162" s="214">
        <f t="shared" si="169"/>
        <v>38062553.018847816</v>
      </c>
      <c r="K162" s="214">
        <f t="shared" si="169"/>
        <v>46670110.089448117</v>
      </c>
      <c r="L162" s="214">
        <f t="shared" si="169"/>
        <v>57347108.868363187</v>
      </c>
      <c r="M162" s="214">
        <f t="shared" si="169"/>
        <v>69395444.139337391</v>
      </c>
      <c r="N162" s="214">
        <f t="shared" si="169"/>
        <v>82139392.712941498</v>
      </c>
      <c r="O162" s="244" t="s">
        <v>289</v>
      </c>
      <c r="Q162" s="279"/>
      <c r="R162" s="279"/>
      <c r="S162" s="279"/>
      <c r="T162" s="279"/>
      <c r="U162" s="279"/>
      <c r="V162" s="279"/>
      <c r="W162" s="279"/>
      <c r="X162" s="279"/>
      <c r="Y162" s="279"/>
    </row>
    <row r="163" spans="5:32">
      <c r="E163" s="248" t="s">
        <v>290</v>
      </c>
      <c r="G163" s="214">
        <f>G162-F162</f>
        <v>5094086</v>
      </c>
      <c r="H163" s="214">
        <f t="shared" ref="H163:N163" si="170">H162-G162</f>
        <v>6058618.5677368939</v>
      </c>
      <c r="I163" s="214">
        <f t="shared" si="170"/>
        <v>7290464.3973724134</v>
      </c>
      <c r="J163" s="214">
        <f t="shared" si="170"/>
        <v>8064841.8537385091</v>
      </c>
      <c r="K163" s="214">
        <f t="shared" si="170"/>
        <v>8607557.070600301</v>
      </c>
      <c r="L163" s="214">
        <f t="shared" si="170"/>
        <v>10676998.77891507</v>
      </c>
      <c r="M163" s="214">
        <f t="shared" si="170"/>
        <v>12048335.270974204</v>
      </c>
      <c r="N163" s="214">
        <f t="shared" si="170"/>
        <v>12743948.573604107</v>
      </c>
      <c r="O163" s="248" t="s">
        <v>291</v>
      </c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5:32">
      <c r="E164" s="248" t="s">
        <v>266</v>
      </c>
      <c r="F164" s="214">
        <f>L19+L51</f>
        <v>22</v>
      </c>
      <c r="G164" s="214">
        <f t="shared" ref="G164:N164" si="171">M19+M51</f>
        <v>13</v>
      </c>
      <c r="H164" s="214">
        <f t="shared" si="171"/>
        <v>33.381262239952839</v>
      </c>
      <c r="I164" s="214">
        <f t="shared" si="171"/>
        <v>39.962183420272403</v>
      </c>
      <c r="J164" s="214">
        <f t="shared" si="171"/>
        <v>46.792988942908771</v>
      </c>
      <c r="K164" s="214">
        <f t="shared" si="171"/>
        <v>53.88104181308249</v>
      </c>
      <c r="L164" s="214">
        <f t="shared" si="171"/>
        <v>61.233899602485998</v>
      </c>
      <c r="M164" s="214">
        <f t="shared" si="171"/>
        <v>68.859319286740416</v>
      </c>
      <c r="N164" s="214">
        <f t="shared" si="171"/>
        <v>76.765262198523985</v>
      </c>
      <c r="O164" s="248" t="s">
        <v>185</v>
      </c>
      <c r="Q164" s="214"/>
      <c r="R164" s="214"/>
      <c r="S164" s="214"/>
      <c r="T164" s="214"/>
      <c r="U164" s="214"/>
      <c r="V164" s="214"/>
      <c r="W164" s="214"/>
      <c r="X164" s="214"/>
      <c r="Y164" s="214"/>
    </row>
    <row r="165" spans="5:32">
      <c r="E165" s="248" t="s">
        <v>287</v>
      </c>
      <c r="F165" s="242">
        <f>L20+L52</f>
        <v>85</v>
      </c>
      <c r="G165" s="242">
        <f t="shared" ref="G165:N165" si="172">M20+M52</f>
        <v>98</v>
      </c>
      <c r="H165" s="242">
        <f t="shared" si="172"/>
        <v>131.38126223995283</v>
      </c>
      <c r="I165" s="242">
        <f t="shared" si="172"/>
        <v>171.34344566022523</v>
      </c>
      <c r="J165" s="242">
        <f t="shared" si="172"/>
        <v>207.13643460313401</v>
      </c>
      <c r="K165" s="242">
        <f t="shared" si="172"/>
        <v>233.01747641621651</v>
      </c>
      <c r="L165" s="242">
        <f t="shared" si="172"/>
        <v>293.2513760187025</v>
      </c>
      <c r="M165" s="242">
        <f t="shared" si="172"/>
        <v>360.1106953054429</v>
      </c>
      <c r="N165" s="242">
        <f t="shared" si="172"/>
        <v>428.8759575039669</v>
      </c>
      <c r="O165" s="248" t="s">
        <v>282</v>
      </c>
      <c r="Q165" s="214"/>
      <c r="R165" s="214"/>
      <c r="S165" s="214"/>
      <c r="T165" s="214"/>
      <c r="U165" s="214"/>
      <c r="V165" s="214"/>
      <c r="W165" s="214"/>
      <c r="X165" s="214"/>
      <c r="Y165" s="214"/>
    </row>
    <row r="166" spans="5:32">
      <c r="E166" s="248" t="s">
        <v>288</v>
      </c>
      <c r="F166" s="214">
        <f t="shared" ref="F166:N166" si="173">L23+L55</f>
        <v>227000</v>
      </c>
      <c r="G166" s="214">
        <f t="shared" si="173"/>
        <v>286500</v>
      </c>
      <c r="H166" s="214">
        <f t="shared" si="173"/>
        <v>365155.46783588344</v>
      </c>
      <c r="I166" s="214">
        <f t="shared" si="173"/>
        <v>481945.69400351075</v>
      </c>
      <c r="J166" s="214">
        <f t="shared" si="173"/>
        <v>587092.41059555882</v>
      </c>
      <c r="K166" s="214">
        <f t="shared" si="173"/>
        <v>663403.16113853769</v>
      </c>
      <c r="L166" s="214">
        <f t="shared" si="173"/>
        <v>843709.24830384739</v>
      </c>
      <c r="M166" s="214">
        <f t="shared" si="173"/>
        <v>1044866.3612561645</v>
      </c>
      <c r="N166" s="214">
        <f t="shared" si="173"/>
        <v>1252755.2185921026</v>
      </c>
      <c r="O166" s="244" t="s">
        <v>292</v>
      </c>
      <c r="Q166" s="279"/>
      <c r="R166" s="279"/>
      <c r="S166" s="279"/>
      <c r="T166" s="279"/>
      <c r="U166" s="279"/>
      <c r="V166" s="279"/>
      <c r="W166" s="279"/>
      <c r="X166" s="279"/>
      <c r="Y166" s="279"/>
    </row>
    <row r="167" spans="5:32">
      <c r="E167" s="248" t="s">
        <v>290</v>
      </c>
      <c r="F167" s="214"/>
      <c r="G167" s="214">
        <f t="shared" ref="G167:N167" si="174">G166-F166</f>
        <v>59500</v>
      </c>
      <c r="H167" s="214">
        <f t="shared" si="174"/>
        <v>78655.467835883435</v>
      </c>
      <c r="I167" s="214">
        <f t="shared" si="174"/>
        <v>116790.22616762732</v>
      </c>
      <c r="J167" s="214">
        <f t="shared" si="174"/>
        <v>105146.71659204806</v>
      </c>
      <c r="K167" s="214">
        <f t="shared" si="174"/>
        <v>76310.750542978873</v>
      </c>
      <c r="L167" s="214">
        <f t="shared" si="174"/>
        <v>180306.0871653097</v>
      </c>
      <c r="M167" s="214">
        <f t="shared" si="174"/>
        <v>201157.11295231711</v>
      </c>
      <c r="N167" s="214">
        <f t="shared" si="174"/>
        <v>207888.85733593814</v>
      </c>
      <c r="O167" s="248" t="s">
        <v>293</v>
      </c>
      <c r="Q167" s="279"/>
      <c r="R167" s="279"/>
      <c r="S167" s="279"/>
      <c r="T167" s="279"/>
      <c r="U167" s="279"/>
      <c r="V167" s="279"/>
      <c r="W167" s="279"/>
      <c r="X167" s="279"/>
      <c r="Y167" s="279"/>
    </row>
    <row r="168" spans="5:32">
      <c r="E168" s="248" t="s">
        <v>286</v>
      </c>
      <c r="F168" s="214">
        <f>L24+L56</f>
        <v>42</v>
      </c>
      <c r="G168" s="214">
        <f t="shared" ref="G168:N168" si="175">M24+M56</f>
        <v>92</v>
      </c>
      <c r="H168" s="214">
        <f t="shared" si="175"/>
        <v>50.707669160135843</v>
      </c>
      <c r="I168" s="214">
        <f t="shared" si="175"/>
        <v>60.704390421957328</v>
      </c>
      <c r="J168" s="214">
        <f t="shared" si="175"/>
        <v>71.080697466587608</v>
      </c>
      <c r="K168" s="214">
        <f t="shared" si="175"/>
        <v>81.847775036834335</v>
      </c>
      <c r="L168" s="214">
        <f t="shared" si="175"/>
        <v>93.017103430904299</v>
      </c>
      <c r="M168" s="214">
        <f t="shared" si="175"/>
        <v>104.60046585072234</v>
      </c>
      <c r="N168" s="214">
        <f t="shared" si="175"/>
        <v>116.60995592596068</v>
      </c>
      <c r="O168" s="248" t="s">
        <v>294</v>
      </c>
      <c r="Q168" s="214"/>
      <c r="R168" s="214"/>
      <c r="S168" s="214"/>
      <c r="T168" s="214"/>
      <c r="U168" s="214"/>
      <c r="V168" s="214"/>
      <c r="W168" s="214"/>
      <c r="X168" s="214"/>
      <c r="Y168" s="214"/>
    </row>
    <row r="169" spans="5:32">
      <c r="E169" s="248" t="s">
        <v>287</v>
      </c>
      <c r="F169" s="214">
        <f>L25+L57</f>
        <v>56</v>
      </c>
      <c r="G169" s="214">
        <f t="shared" ref="G169:N169" si="176">M25+M57</f>
        <v>148</v>
      </c>
      <c r="H169" s="214">
        <f t="shared" si="176"/>
        <v>198.70766916013585</v>
      </c>
      <c r="I169" s="214">
        <f t="shared" si="176"/>
        <v>259.41205958209321</v>
      </c>
      <c r="J169" s="214">
        <f t="shared" si="176"/>
        <v>330.4927570486808</v>
      </c>
      <c r="K169" s="214">
        <f t="shared" si="176"/>
        <v>412.34053208551512</v>
      </c>
      <c r="L169" s="214">
        <f t="shared" si="176"/>
        <v>505.35763551641941</v>
      </c>
      <c r="M169" s="214">
        <f t="shared" si="176"/>
        <v>609.95810136714181</v>
      </c>
      <c r="N169" s="214">
        <f t="shared" si="176"/>
        <v>726.56805729310247</v>
      </c>
      <c r="O169" s="248" t="s">
        <v>190</v>
      </c>
      <c r="Q169" s="214"/>
      <c r="R169" s="214"/>
      <c r="S169" s="214"/>
      <c r="T169" s="214"/>
      <c r="U169" s="214"/>
      <c r="V169" s="214"/>
      <c r="W169" s="214"/>
      <c r="X169" s="214"/>
      <c r="Y169" s="214"/>
    </row>
    <row r="170" spans="5:32">
      <c r="E170" s="248" t="s">
        <v>288</v>
      </c>
      <c r="F170" s="214">
        <f t="shared" ref="F170:N170" si="177">L28+L60</f>
        <v>210000</v>
      </c>
      <c r="G170" s="214">
        <f t="shared" si="177"/>
        <v>612000</v>
      </c>
      <c r="H170" s="214">
        <f t="shared" si="177"/>
        <v>1040123.0074804076</v>
      </c>
      <c r="I170" s="214">
        <f t="shared" si="177"/>
        <v>1374359.1862266872</v>
      </c>
      <c r="J170" s="214">
        <f t="shared" si="177"/>
        <v>1769714.4498923221</v>
      </c>
      <c r="K170" s="214">
        <f t="shared" si="177"/>
        <v>2228499.8674025876</v>
      </c>
      <c r="L170" s="214">
        <f t="shared" si="177"/>
        <v>2753094.5028058034</v>
      </c>
      <c r="M170" s="214">
        <f t="shared" si="177"/>
        <v>3345947.2106506838</v>
      </c>
      <c r="N170" s="214">
        <f t="shared" si="177"/>
        <v>4009578.4759807326</v>
      </c>
      <c r="O170" s="248" t="s">
        <v>295</v>
      </c>
      <c r="Q170" s="279"/>
      <c r="R170" s="279"/>
      <c r="S170" s="279"/>
      <c r="T170" s="279"/>
      <c r="U170" s="279"/>
      <c r="V170" s="279"/>
      <c r="W170" s="279"/>
      <c r="X170" s="279"/>
      <c r="Y170" s="279"/>
    </row>
    <row r="171" spans="5:32">
      <c r="E171" s="248" t="s">
        <v>290</v>
      </c>
      <c r="G171" s="214">
        <f t="shared" ref="G171:N171" si="178">G170-F170</f>
        <v>402000</v>
      </c>
      <c r="H171" s="214">
        <f t="shared" si="178"/>
        <v>428123.0074804076</v>
      </c>
      <c r="I171" s="214">
        <f t="shared" si="178"/>
        <v>334236.17874627956</v>
      </c>
      <c r="J171" s="214">
        <f t="shared" si="178"/>
        <v>395355.26366563491</v>
      </c>
      <c r="K171" s="214">
        <f t="shared" si="178"/>
        <v>458785.41751026548</v>
      </c>
      <c r="L171" s="214">
        <f t="shared" si="178"/>
        <v>524594.63540321589</v>
      </c>
      <c r="M171" s="214">
        <f t="shared" si="178"/>
        <v>592852.70784488041</v>
      </c>
      <c r="N171" s="214">
        <f t="shared" si="178"/>
        <v>663631.26533004874</v>
      </c>
      <c r="O171" s="248" t="s">
        <v>296</v>
      </c>
      <c r="Q171" s="279"/>
      <c r="R171" s="279"/>
      <c r="S171" s="279"/>
      <c r="T171" s="279"/>
      <c r="U171" s="279"/>
      <c r="V171" s="279"/>
      <c r="W171" s="279"/>
      <c r="X171" s="279"/>
      <c r="Y171" s="279"/>
    </row>
    <row r="172" spans="5:32">
      <c r="L172" s="310"/>
    </row>
    <row r="173" spans="5:32">
      <c r="I173" s="855">
        <v>2024</v>
      </c>
      <c r="J173" s="855"/>
      <c r="K173" s="855"/>
      <c r="L173" s="855">
        <v>2025</v>
      </c>
      <c r="M173" s="855"/>
      <c r="N173" s="855"/>
      <c r="O173" s="855">
        <v>2026</v>
      </c>
      <c r="P173" s="855"/>
      <c r="Q173" s="855"/>
      <c r="R173" s="855">
        <v>2027</v>
      </c>
      <c r="S173" s="855"/>
      <c r="T173" s="855"/>
      <c r="U173" s="855">
        <v>2028</v>
      </c>
      <c r="V173" s="855"/>
      <c r="W173" s="855"/>
      <c r="X173" s="855">
        <v>2029</v>
      </c>
      <c r="Y173" s="855"/>
      <c r="Z173" s="855"/>
      <c r="AA173" s="855">
        <v>2030</v>
      </c>
      <c r="AB173" s="855"/>
      <c r="AC173" s="855"/>
      <c r="AD173" s="855">
        <v>2031</v>
      </c>
      <c r="AE173" s="855"/>
      <c r="AF173" s="855"/>
    </row>
    <row r="174" spans="5:32">
      <c r="F174" s="292" t="str">
        <f t="shared" ref="F174:H180" si="179">X79</f>
        <v>Passenger/SUV</v>
      </c>
      <c r="G174" s="292" t="str">
        <f t="shared" si="179"/>
        <v>Van</v>
      </c>
      <c r="H174" s="292" t="str">
        <f t="shared" si="179"/>
        <v>Pick-up Truck</v>
      </c>
      <c r="I174" s="248" t="str">
        <f t="shared" ref="I174:AF174" si="180">F174</f>
        <v>Passenger/SUV</v>
      </c>
      <c r="J174" s="248" t="str">
        <f t="shared" si="180"/>
        <v>Van</v>
      </c>
      <c r="K174" s="248" t="str">
        <f t="shared" si="180"/>
        <v>Pick-up Truck</v>
      </c>
      <c r="L174" s="248" t="str">
        <f t="shared" si="180"/>
        <v>Passenger/SUV</v>
      </c>
      <c r="M174" s="248" t="str">
        <f t="shared" si="180"/>
        <v>Van</v>
      </c>
      <c r="N174" s="248" t="str">
        <f t="shared" si="180"/>
        <v>Pick-up Truck</v>
      </c>
      <c r="O174" s="248" t="str">
        <f t="shared" si="180"/>
        <v>Passenger/SUV</v>
      </c>
      <c r="P174" s="248" t="str">
        <f t="shared" si="180"/>
        <v>Van</v>
      </c>
      <c r="Q174" s="248" t="str">
        <f t="shared" si="180"/>
        <v>Pick-up Truck</v>
      </c>
      <c r="R174" s="248" t="str">
        <f t="shared" si="180"/>
        <v>Passenger/SUV</v>
      </c>
      <c r="S174" s="248" t="str">
        <f t="shared" si="180"/>
        <v>Van</v>
      </c>
      <c r="T174" s="248" t="str">
        <f t="shared" si="180"/>
        <v>Pick-up Truck</v>
      </c>
      <c r="U174" s="248" t="str">
        <f t="shared" si="180"/>
        <v>Passenger/SUV</v>
      </c>
      <c r="V174" s="248" t="str">
        <f t="shared" si="180"/>
        <v>Van</v>
      </c>
      <c r="W174" s="248" t="str">
        <f t="shared" si="180"/>
        <v>Pick-up Truck</v>
      </c>
      <c r="X174" s="248" t="str">
        <f t="shared" si="180"/>
        <v>Passenger/SUV</v>
      </c>
      <c r="Y174" s="248" t="str">
        <f t="shared" si="180"/>
        <v>Van</v>
      </c>
      <c r="Z174" s="248" t="str">
        <f t="shared" si="180"/>
        <v>Pick-up Truck</v>
      </c>
      <c r="AA174" s="248" t="str">
        <f t="shared" si="180"/>
        <v>Passenger/SUV</v>
      </c>
      <c r="AB174" s="248" t="str">
        <f t="shared" si="180"/>
        <v>Van</v>
      </c>
      <c r="AC174" s="248" t="str">
        <f t="shared" si="180"/>
        <v>Pick-up Truck</v>
      </c>
      <c r="AD174" s="248" t="str">
        <f t="shared" si="180"/>
        <v>Passenger/SUV</v>
      </c>
      <c r="AE174" s="248" t="str">
        <f t="shared" si="180"/>
        <v>Van</v>
      </c>
      <c r="AF174" s="248" t="str">
        <f t="shared" si="180"/>
        <v>Pick-up Truck</v>
      </c>
    </row>
    <row r="175" spans="5:32">
      <c r="E175" s="248" t="str">
        <f t="shared" ref="E175:E180" si="181">W80</f>
        <v>Residential</v>
      </c>
      <c r="F175" s="395">
        <f t="shared" si="179"/>
        <v>0.83859146433418785</v>
      </c>
      <c r="G175" s="395">
        <f t="shared" si="179"/>
        <v>0.64127582566732022</v>
      </c>
      <c r="H175" s="395">
        <f t="shared" si="179"/>
        <v>0.59194691600060323</v>
      </c>
      <c r="I175" s="279">
        <f t="shared" ref="I175:K180" si="182">F175*I$181</f>
        <v>4271857.0381842861</v>
      </c>
      <c r="J175" s="279">
        <f t="shared" si="182"/>
        <v>38155.911627205554</v>
      </c>
      <c r="K175" s="279">
        <f t="shared" si="182"/>
        <v>237962.66023224249</v>
      </c>
      <c r="L175" s="279">
        <f t="shared" ref="L175:L180" si="183">$F175*L$181</f>
        <v>5080705.8165607816</v>
      </c>
      <c r="M175" s="279">
        <f t="shared" ref="M175:M180" si="184">$G175*M$181</f>
        <v>50439.850079705502</v>
      </c>
      <c r="N175" s="279">
        <f t="shared" ref="N175:N180" si="185">$H175*N$181</f>
        <v>253426.09394693046</v>
      </c>
      <c r="O175" s="279">
        <f t="shared" ref="O175:O180" si="186">$F175*O$181</f>
        <v>6113721.2146687945</v>
      </c>
      <c r="P175" s="279">
        <f t="shared" ref="P175:P180" si="187">$G175*P$181</f>
        <v>74894.748715518275</v>
      </c>
      <c r="Q175" s="279">
        <f t="shared" ref="Q175:Q180" si="188">$H175*Q$181</f>
        <v>197850.07522468656</v>
      </c>
      <c r="R175" s="279">
        <f t="shared" ref="R175:R180" si="189">$F175*R$181</f>
        <v>6763107.5397502221</v>
      </c>
      <c r="S175" s="279">
        <f t="shared" ref="S175:S180" si="190">$G175*S$181</f>
        <v>67428.047498773332</v>
      </c>
      <c r="T175" s="279">
        <f t="shared" ref="T175:T180" si="191">$H175*T$181</f>
        <v>234029.32905147792</v>
      </c>
      <c r="U175" s="279">
        <f t="shared" ref="U175:U180" si="192">$F175*U$181</f>
        <v>7218223.8881747993</v>
      </c>
      <c r="V175" s="279">
        <f t="shared" ref="V175:V180" si="193">$G175*V$181</f>
        <v>48936.239561741684</v>
      </c>
      <c r="W175" s="279">
        <f t="shared" ref="W175:W180" si="194">$H175*W$181</f>
        <v>271576.61300125078</v>
      </c>
      <c r="X175" s="279">
        <f t="shared" ref="X175:X180" si="195">$F175*X$181</f>
        <v>8953640.0407047234</v>
      </c>
      <c r="Y175" s="279">
        <f t="shared" ref="Y175:Y180" si="196">$G175*Y$181</f>
        <v>115625.93491977779</v>
      </c>
      <c r="Z175" s="279">
        <f t="shared" ref="Z175:Z180" si="197">$H175*Z$181</f>
        <v>310532.17657739454</v>
      </c>
      <c r="AA175" s="279">
        <f t="shared" ref="AA175:AA180" si="198">$F175*AA$181</f>
        <v>10103631.117675502</v>
      </c>
      <c r="AB175" s="279">
        <f t="shared" ref="AB175:AB180" si="199">$G175*AB$181</f>
        <v>128997.19369735155</v>
      </c>
      <c r="AC175" s="279">
        <f t="shared" ref="AC175:AC180" si="200">$H175*AC$181</f>
        <v>350937.33205138356</v>
      </c>
      <c r="AD175" s="279">
        <f t="shared" ref="AD175:AD180" si="201">$F175*AD$181</f>
        <v>10686966.495738253</v>
      </c>
      <c r="AE175" s="279">
        <f t="shared" ref="AE175:AE180" si="202">$G175*AE$181</f>
        <v>133314.09863513947</v>
      </c>
      <c r="AF175" s="279">
        <f t="shared" ref="AF175:AF180" si="203">$H175*AF$181</f>
        <v>392834.48087370041</v>
      </c>
    </row>
    <row r="176" spans="5:32">
      <c r="E176" s="248" t="str">
        <f t="shared" si="181"/>
        <v>Residential Seasonal</v>
      </c>
      <c r="F176" s="395">
        <f t="shared" si="179"/>
        <v>1.1408535665812089E-2</v>
      </c>
      <c r="G176" s="395">
        <f t="shared" si="179"/>
        <v>8.7241743326798328E-3</v>
      </c>
      <c r="H176" s="395">
        <f t="shared" si="179"/>
        <v>8.0530839993967675E-3</v>
      </c>
      <c r="I176" s="279">
        <f t="shared" si="182"/>
        <v>58116.061815714042</v>
      </c>
      <c r="J176" s="279">
        <f t="shared" si="182"/>
        <v>519.08837279445004</v>
      </c>
      <c r="K176" s="279">
        <f t="shared" si="182"/>
        <v>3237.3397677575003</v>
      </c>
      <c r="L176" s="279">
        <f t="shared" si="183"/>
        <v>69119.966015577709</v>
      </c>
      <c r="M176" s="279">
        <f t="shared" si="184"/>
        <v>686.20401361873837</v>
      </c>
      <c r="N176" s="279">
        <f t="shared" si="185"/>
        <v>3447.710541314093</v>
      </c>
      <c r="O176" s="279">
        <f t="shared" si="186"/>
        <v>83173.523097756421</v>
      </c>
      <c r="P176" s="279">
        <f t="shared" si="187"/>
        <v>1018.8982934394868</v>
      </c>
      <c r="Q176" s="279">
        <f t="shared" si="188"/>
        <v>2691.6320230811821</v>
      </c>
      <c r="R176" s="279">
        <f t="shared" si="189"/>
        <v>92008.03592750986</v>
      </c>
      <c r="S176" s="279">
        <f t="shared" si="190"/>
        <v>917.31828605790645</v>
      </c>
      <c r="T176" s="279">
        <f t="shared" si="191"/>
        <v>3183.8291479030145</v>
      </c>
      <c r="U176" s="279">
        <f t="shared" si="192"/>
        <v>98199.62183545655</v>
      </c>
      <c r="V176" s="279">
        <f t="shared" si="193"/>
        <v>665.74829119458991</v>
      </c>
      <c r="W176" s="279">
        <f t="shared" si="194"/>
        <v>3694.6375049084845</v>
      </c>
      <c r="X176" s="279">
        <f t="shared" si="195"/>
        <v>121808.9213730847</v>
      </c>
      <c r="Y176" s="279">
        <f t="shared" si="196"/>
        <v>1573.0217376735275</v>
      </c>
      <c r="Z176" s="279">
        <f t="shared" si="197"/>
        <v>4224.6046645350189</v>
      </c>
      <c r="AA176" s="279">
        <f t="shared" si="198"/>
        <v>137453.86265257097</v>
      </c>
      <c r="AB176" s="279">
        <f t="shared" si="199"/>
        <v>1754.9297216545829</v>
      </c>
      <c r="AC176" s="279">
        <f t="shared" si="200"/>
        <v>4774.2926555446529</v>
      </c>
      <c r="AD176" s="279">
        <f t="shared" si="201"/>
        <v>145389.79182523754</v>
      </c>
      <c r="AE176" s="279">
        <f t="shared" si="202"/>
        <v>1813.658633220331</v>
      </c>
      <c r="AF176" s="279">
        <f t="shared" si="203"/>
        <v>5344.2783243288459</v>
      </c>
    </row>
    <row r="177" spans="5:32">
      <c r="E177" s="248" t="str">
        <f t="shared" si="181"/>
        <v>GS&lt;50</v>
      </c>
      <c r="F177" s="395">
        <f t="shared" si="179"/>
        <v>0.1</v>
      </c>
      <c r="G177" s="395">
        <f t="shared" si="179"/>
        <v>0.2</v>
      </c>
      <c r="H177" s="395">
        <f t="shared" si="179"/>
        <v>0.2</v>
      </c>
      <c r="I177" s="279">
        <f t="shared" si="182"/>
        <v>509408.60000000003</v>
      </c>
      <c r="J177" s="279">
        <f t="shared" si="182"/>
        <v>11900</v>
      </c>
      <c r="K177" s="279">
        <f t="shared" si="182"/>
        <v>80400</v>
      </c>
      <c r="L177" s="279">
        <f t="shared" si="183"/>
        <v>605861.85677368939</v>
      </c>
      <c r="M177" s="279">
        <f t="shared" si="184"/>
        <v>15731.093567176687</v>
      </c>
      <c r="N177" s="279">
        <f t="shared" si="185"/>
        <v>85624.601496081523</v>
      </c>
      <c r="O177" s="279">
        <f t="shared" si="186"/>
        <v>729046.43973724137</v>
      </c>
      <c r="P177" s="279">
        <f t="shared" si="187"/>
        <v>23358.045233525467</v>
      </c>
      <c r="Q177" s="279">
        <f t="shared" si="188"/>
        <v>66847.235749255909</v>
      </c>
      <c r="R177" s="279">
        <f t="shared" si="189"/>
        <v>806484.18537385098</v>
      </c>
      <c r="S177" s="279">
        <f t="shared" si="190"/>
        <v>21029.343318409614</v>
      </c>
      <c r="T177" s="279">
        <f t="shared" si="191"/>
        <v>79071.052733126984</v>
      </c>
      <c r="U177" s="279">
        <f t="shared" si="192"/>
        <v>860755.7070600302</v>
      </c>
      <c r="V177" s="279">
        <f t="shared" si="193"/>
        <v>15262.150108595775</v>
      </c>
      <c r="W177" s="279">
        <f t="shared" si="194"/>
        <v>91757.083502053109</v>
      </c>
      <c r="X177" s="279">
        <f t="shared" si="195"/>
        <v>1067699.877891507</v>
      </c>
      <c r="Y177" s="279">
        <f t="shared" si="196"/>
        <v>36061.217433061938</v>
      </c>
      <c r="Z177" s="279">
        <f t="shared" si="197"/>
        <v>104918.92708064319</v>
      </c>
      <c r="AA177" s="279">
        <f t="shared" si="198"/>
        <v>1204833.5270974205</v>
      </c>
      <c r="AB177" s="279">
        <f t="shared" si="199"/>
        <v>40231.422590463422</v>
      </c>
      <c r="AC177" s="279">
        <f t="shared" si="200"/>
        <v>118570.54156897608</v>
      </c>
      <c r="AD177" s="279">
        <f t="shared" si="201"/>
        <v>1274394.8573604107</v>
      </c>
      <c r="AE177" s="279">
        <f t="shared" si="202"/>
        <v>41577.771467187631</v>
      </c>
      <c r="AF177" s="279">
        <f t="shared" si="203"/>
        <v>132726.25306600975</v>
      </c>
    </row>
    <row r="178" spans="5:32">
      <c r="E178" s="248" t="str">
        <f t="shared" si="181"/>
        <v>GS 50 - 2,999</v>
      </c>
      <c r="F178" s="395">
        <f t="shared" si="179"/>
        <v>4.4999999999999998E-2</v>
      </c>
      <c r="G178" s="395">
        <f t="shared" si="179"/>
        <v>0.1</v>
      </c>
      <c r="H178" s="395">
        <f t="shared" si="179"/>
        <v>0.15</v>
      </c>
      <c r="I178" s="279">
        <f t="shared" si="182"/>
        <v>229233.87</v>
      </c>
      <c r="J178" s="279">
        <f t="shared" si="182"/>
        <v>5950</v>
      </c>
      <c r="K178" s="279">
        <f t="shared" si="182"/>
        <v>60300</v>
      </c>
      <c r="L178" s="279">
        <f t="shared" si="183"/>
        <v>272637.83554816019</v>
      </c>
      <c r="M178" s="279">
        <f t="shared" si="184"/>
        <v>7865.5467835883437</v>
      </c>
      <c r="N178" s="279">
        <f t="shared" si="185"/>
        <v>64218.451122061138</v>
      </c>
      <c r="O178" s="279">
        <f t="shared" si="186"/>
        <v>328070.89788175857</v>
      </c>
      <c r="P178" s="279">
        <f t="shared" si="187"/>
        <v>11679.022616762733</v>
      </c>
      <c r="Q178" s="279">
        <f t="shared" si="188"/>
        <v>50135.426811941936</v>
      </c>
      <c r="R178" s="279">
        <f t="shared" si="189"/>
        <v>362917.8834182329</v>
      </c>
      <c r="S178" s="279">
        <f t="shared" si="190"/>
        <v>10514.671659204807</v>
      </c>
      <c r="T178" s="279">
        <f t="shared" si="191"/>
        <v>59303.289549845234</v>
      </c>
      <c r="U178" s="279">
        <f t="shared" si="192"/>
        <v>387340.06817701354</v>
      </c>
      <c r="V178" s="279">
        <f t="shared" si="193"/>
        <v>7631.0750542978876</v>
      </c>
      <c r="W178" s="279">
        <f t="shared" si="194"/>
        <v>68817.812626539817</v>
      </c>
      <c r="X178" s="279">
        <f t="shared" si="195"/>
        <v>480464.9450511781</v>
      </c>
      <c r="Y178" s="279">
        <f t="shared" si="196"/>
        <v>18030.608716530969</v>
      </c>
      <c r="Z178" s="279">
        <f t="shared" si="197"/>
        <v>78689.195310482377</v>
      </c>
      <c r="AA178" s="279">
        <f t="shared" si="198"/>
        <v>542175.08719383914</v>
      </c>
      <c r="AB178" s="279">
        <f t="shared" si="199"/>
        <v>20115.711295231711</v>
      </c>
      <c r="AC178" s="279">
        <f t="shared" si="200"/>
        <v>88927.906176732053</v>
      </c>
      <c r="AD178" s="279">
        <f t="shared" si="201"/>
        <v>573477.68581218482</v>
      </c>
      <c r="AE178" s="279">
        <f t="shared" si="202"/>
        <v>20788.885733593816</v>
      </c>
      <c r="AF178" s="279">
        <f t="shared" si="203"/>
        <v>99544.689799507309</v>
      </c>
    </row>
    <row r="179" spans="5:32">
      <c r="E179" s="248" t="str">
        <f t="shared" si="181"/>
        <v>GS 3,000 - 4,999</v>
      </c>
      <c r="F179" s="395">
        <f t="shared" si="179"/>
        <v>5.0000000000000001E-3</v>
      </c>
      <c r="G179" s="395">
        <f t="shared" si="179"/>
        <v>0.05</v>
      </c>
      <c r="H179" s="395">
        <f t="shared" si="179"/>
        <v>2.5000000000000001E-2</v>
      </c>
      <c r="I179" s="279">
        <f t="shared" si="182"/>
        <v>25470.43</v>
      </c>
      <c r="J179" s="279">
        <f t="shared" si="182"/>
        <v>2975</v>
      </c>
      <c r="K179" s="279">
        <f t="shared" si="182"/>
        <v>10050</v>
      </c>
      <c r="L179" s="279">
        <f t="shared" si="183"/>
        <v>30293.092838684472</v>
      </c>
      <c r="M179" s="279">
        <f t="shared" si="184"/>
        <v>3932.7733917941719</v>
      </c>
      <c r="N179" s="279">
        <f t="shared" si="185"/>
        <v>10703.07518701019</v>
      </c>
      <c r="O179" s="279">
        <f t="shared" si="186"/>
        <v>36452.321986862065</v>
      </c>
      <c r="P179" s="279">
        <f t="shared" si="187"/>
        <v>5839.5113083813667</v>
      </c>
      <c r="Q179" s="279">
        <f t="shared" si="188"/>
        <v>8355.9044686569887</v>
      </c>
      <c r="R179" s="279">
        <f t="shared" si="189"/>
        <v>40324.209268692546</v>
      </c>
      <c r="S179" s="279">
        <f t="shared" si="190"/>
        <v>5257.3358296024035</v>
      </c>
      <c r="T179" s="279">
        <f t="shared" si="191"/>
        <v>9883.881591640873</v>
      </c>
      <c r="U179" s="279">
        <f t="shared" si="192"/>
        <v>43037.785353001505</v>
      </c>
      <c r="V179" s="279">
        <f t="shared" si="193"/>
        <v>3815.5375271489438</v>
      </c>
      <c r="W179" s="279">
        <f t="shared" si="194"/>
        <v>11469.635437756639</v>
      </c>
      <c r="X179" s="279">
        <f t="shared" si="195"/>
        <v>53384.993894575353</v>
      </c>
      <c r="Y179" s="279">
        <f t="shared" si="196"/>
        <v>9015.3043582654846</v>
      </c>
      <c r="Z179" s="279">
        <f t="shared" si="197"/>
        <v>13114.865885080399</v>
      </c>
      <c r="AA179" s="279">
        <f t="shared" si="198"/>
        <v>60241.676354871022</v>
      </c>
      <c r="AB179" s="279">
        <f t="shared" si="199"/>
        <v>10057.855647615856</v>
      </c>
      <c r="AC179" s="279">
        <f t="shared" si="200"/>
        <v>14821.317696122011</v>
      </c>
      <c r="AD179" s="279">
        <f t="shared" si="201"/>
        <v>63719.742868020534</v>
      </c>
      <c r="AE179" s="279">
        <f t="shared" si="202"/>
        <v>10394.442866796908</v>
      </c>
      <c r="AF179" s="279">
        <f t="shared" si="203"/>
        <v>16590.781633251219</v>
      </c>
    </row>
    <row r="180" spans="5:32">
      <c r="E180" s="248" t="str">
        <f t="shared" si="181"/>
        <v>Large Use</v>
      </c>
      <c r="F180" s="395">
        <f t="shared" si="179"/>
        <v>0</v>
      </c>
      <c r="G180" s="395">
        <f t="shared" si="179"/>
        <v>0</v>
      </c>
      <c r="H180" s="395">
        <f t="shared" si="179"/>
        <v>2.5000000000000001E-2</v>
      </c>
      <c r="I180" s="279">
        <f t="shared" si="182"/>
        <v>0</v>
      </c>
      <c r="J180" s="279">
        <f t="shared" si="182"/>
        <v>0</v>
      </c>
      <c r="K180" s="279">
        <f t="shared" si="182"/>
        <v>10050</v>
      </c>
      <c r="L180" s="279">
        <f t="shared" si="183"/>
        <v>0</v>
      </c>
      <c r="M180" s="279">
        <f t="shared" si="184"/>
        <v>0</v>
      </c>
      <c r="N180" s="279">
        <f t="shared" si="185"/>
        <v>10703.07518701019</v>
      </c>
      <c r="O180" s="279">
        <f t="shared" si="186"/>
        <v>0</v>
      </c>
      <c r="P180" s="279">
        <f t="shared" si="187"/>
        <v>0</v>
      </c>
      <c r="Q180" s="279">
        <f t="shared" si="188"/>
        <v>8355.9044686569887</v>
      </c>
      <c r="R180" s="279">
        <f t="shared" si="189"/>
        <v>0</v>
      </c>
      <c r="S180" s="279">
        <f t="shared" si="190"/>
        <v>0</v>
      </c>
      <c r="T180" s="279">
        <f t="shared" si="191"/>
        <v>9883.881591640873</v>
      </c>
      <c r="U180" s="279">
        <f t="shared" si="192"/>
        <v>0</v>
      </c>
      <c r="V180" s="279">
        <f t="shared" si="193"/>
        <v>0</v>
      </c>
      <c r="W180" s="279">
        <f t="shared" si="194"/>
        <v>11469.635437756639</v>
      </c>
      <c r="X180" s="279">
        <f t="shared" si="195"/>
        <v>0</v>
      </c>
      <c r="Y180" s="279">
        <f t="shared" si="196"/>
        <v>0</v>
      </c>
      <c r="Z180" s="279">
        <f t="shared" si="197"/>
        <v>13114.865885080399</v>
      </c>
      <c r="AA180" s="279">
        <f t="shared" si="198"/>
        <v>0</v>
      </c>
      <c r="AB180" s="279">
        <f t="shared" si="199"/>
        <v>0</v>
      </c>
      <c r="AC180" s="279">
        <f t="shared" si="200"/>
        <v>14821.317696122011</v>
      </c>
      <c r="AD180" s="279">
        <f t="shared" si="201"/>
        <v>0</v>
      </c>
      <c r="AE180" s="279">
        <f t="shared" si="202"/>
        <v>0</v>
      </c>
      <c r="AF180" s="279">
        <f t="shared" si="203"/>
        <v>16590.781633251219</v>
      </c>
    </row>
    <row r="181" spans="5:32">
      <c r="I181" s="291">
        <f>G163</f>
        <v>5094086</v>
      </c>
      <c r="J181" s="291">
        <f>G167</f>
        <v>59500</v>
      </c>
      <c r="K181" s="291">
        <f>G171</f>
        <v>402000</v>
      </c>
      <c r="L181" s="291">
        <f>H163</f>
        <v>6058618.5677368939</v>
      </c>
      <c r="M181" s="291">
        <f>H167</f>
        <v>78655.467835883435</v>
      </c>
      <c r="N181" s="291">
        <f>H171</f>
        <v>428123.0074804076</v>
      </c>
      <c r="O181" s="291">
        <f>I163</f>
        <v>7290464.3973724134</v>
      </c>
      <c r="P181" s="291">
        <f>I167</f>
        <v>116790.22616762732</v>
      </c>
      <c r="Q181" s="291">
        <f>I171</f>
        <v>334236.17874627956</v>
      </c>
      <c r="R181" s="291">
        <f>J163</f>
        <v>8064841.8537385091</v>
      </c>
      <c r="S181" s="291">
        <f>J167</f>
        <v>105146.71659204806</v>
      </c>
      <c r="T181" s="291">
        <f>J171</f>
        <v>395355.26366563491</v>
      </c>
      <c r="U181" s="291">
        <f>K163</f>
        <v>8607557.070600301</v>
      </c>
      <c r="V181" s="291">
        <f>K167</f>
        <v>76310.750542978873</v>
      </c>
      <c r="W181" s="291">
        <f>K171</f>
        <v>458785.41751026548</v>
      </c>
      <c r="X181" s="291">
        <f>L163</f>
        <v>10676998.77891507</v>
      </c>
      <c r="Y181" s="291">
        <f>L167</f>
        <v>180306.0871653097</v>
      </c>
      <c r="Z181" s="291">
        <f>L171</f>
        <v>524594.63540321589</v>
      </c>
      <c r="AA181" s="291">
        <f>M163</f>
        <v>12048335.270974204</v>
      </c>
      <c r="AB181" s="291">
        <f>M167</f>
        <v>201157.11295231711</v>
      </c>
      <c r="AC181" s="291">
        <f>M171</f>
        <v>592852.70784488041</v>
      </c>
      <c r="AD181" s="291">
        <f>N163</f>
        <v>12743948.573604107</v>
      </c>
      <c r="AE181" s="291">
        <f>N167</f>
        <v>207888.85733593814</v>
      </c>
      <c r="AF181" s="291">
        <f>N171</f>
        <v>663631.26533004874</v>
      </c>
    </row>
    <row r="184" spans="5:32">
      <c r="F184" s="248" t="s">
        <v>297</v>
      </c>
      <c r="G184" s="248" t="s">
        <v>298</v>
      </c>
      <c r="H184" s="248" t="s">
        <v>299</v>
      </c>
      <c r="I184" s="248" t="s">
        <v>345</v>
      </c>
      <c r="J184" s="248" t="s">
        <v>367</v>
      </c>
      <c r="K184" s="248" t="s">
        <v>368</v>
      </c>
      <c r="L184" s="248" t="s">
        <v>369</v>
      </c>
      <c r="M184" s="248" t="s">
        <v>370</v>
      </c>
    </row>
    <row r="185" spans="5:32">
      <c r="E185" s="248" t="str">
        <f t="shared" ref="E185:E190" si="204">E175</f>
        <v>Residential</v>
      </c>
      <c r="F185" s="279">
        <f t="shared" ref="F185:F190" si="205">SUM(I175:K175)</f>
        <v>4547975.6100437343</v>
      </c>
      <c r="G185" s="279">
        <f t="shared" ref="G185:G190" si="206">SUM(L175:N175)</f>
        <v>5384571.7605874175</v>
      </c>
      <c r="H185" s="279">
        <f t="shared" ref="H185:H190" si="207">SUM(O175:Q175)</f>
        <v>6386466.038608999</v>
      </c>
      <c r="I185" s="279">
        <f t="shared" ref="I185:I190" si="208">SUM(R175:T175)</f>
        <v>7064564.9163004737</v>
      </c>
      <c r="J185" s="279">
        <f t="shared" ref="J185:J190" si="209">SUM(U175:W175)</f>
        <v>7538736.7407377912</v>
      </c>
      <c r="K185" s="279">
        <f t="shared" ref="K185:K190" si="210">SUM(X175:Z175)</f>
        <v>9379798.1522018965</v>
      </c>
      <c r="L185" s="279">
        <f t="shared" ref="L185:L190" si="211">SUM(AA175:AC175)</f>
        <v>10583565.643424237</v>
      </c>
      <c r="M185" s="279">
        <f t="shared" ref="M185:M190" si="212">SUM(AD175:AF175)</f>
        <v>11213115.075247092</v>
      </c>
      <c r="N185" s="279"/>
      <c r="O185" s="279"/>
    </row>
    <row r="186" spans="5:32">
      <c r="E186" s="248" t="str">
        <f t="shared" si="204"/>
        <v>Residential Seasonal</v>
      </c>
      <c r="F186" s="279">
        <f>SUM(I176:K176)</f>
        <v>61872.489956265992</v>
      </c>
      <c r="G186" s="279">
        <f t="shared" si="206"/>
        <v>73253.880570510548</v>
      </c>
      <c r="H186" s="279">
        <f t="shared" si="207"/>
        <v>86884.053414277092</v>
      </c>
      <c r="I186" s="279">
        <f t="shared" si="208"/>
        <v>96109.183361470787</v>
      </c>
      <c r="J186" s="279">
        <f t="shared" si="209"/>
        <v>102560.00763155962</v>
      </c>
      <c r="K186" s="279">
        <f t="shared" si="210"/>
        <v>127606.54777529323</v>
      </c>
      <c r="L186" s="279">
        <f t="shared" si="211"/>
        <v>143983.08502977021</v>
      </c>
      <c r="M186" s="279">
        <f t="shared" si="212"/>
        <v>152547.72878278673</v>
      </c>
      <c r="N186" s="279"/>
      <c r="O186" s="279"/>
    </row>
    <row r="187" spans="5:32">
      <c r="E187" s="248" t="str">
        <f t="shared" si="204"/>
        <v>GS&lt;50</v>
      </c>
      <c r="F187" s="279">
        <f t="shared" si="205"/>
        <v>601708.60000000009</v>
      </c>
      <c r="G187" s="279">
        <f t="shared" si="206"/>
        <v>707217.55183694768</v>
      </c>
      <c r="H187" s="279">
        <f t="shared" si="207"/>
        <v>819251.72072002268</v>
      </c>
      <c r="I187" s="279">
        <f t="shared" si="208"/>
        <v>906584.58142538765</v>
      </c>
      <c r="J187" s="279">
        <f t="shared" si="209"/>
        <v>967774.94067067909</v>
      </c>
      <c r="K187" s="279">
        <f t="shared" si="210"/>
        <v>1208680.022405212</v>
      </c>
      <c r="L187" s="279">
        <f t="shared" si="211"/>
        <v>1363635.4912568601</v>
      </c>
      <c r="M187" s="279">
        <f t="shared" si="212"/>
        <v>1448698.8818936083</v>
      </c>
      <c r="N187" s="279"/>
      <c r="O187" s="279"/>
    </row>
    <row r="188" spans="5:32">
      <c r="E188" s="248" t="str">
        <f t="shared" si="204"/>
        <v>GS 50 - 2,999</v>
      </c>
      <c r="F188" s="279">
        <f t="shared" si="205"/>
        <v>295483.87</v>
      </c>
      <c r="G188" s="279">
        <f t="shared" si="206"/>
        <v>344721.83345380967</v>
      </c>
      <c r="H188" s="279">
        <f t="shared" si="207"/>
        <v>389885.34731046326</v>
      </c>
      <c r="I188" s="279">
        <f t="shared" si="208"/>
        <v>432735.84462728293</v>
      </c>
      <c r="J188" s="279">
        <f t="shared" si="209"/>
        <v>463788.95585785119</v>
      </c>
      <c r="K188" s="279">
        <f t="shared" si="210"/>
        <v>577184.74907819147</v>
      </c>
      <c r="L188" s="279">
        <f t="shared" si="211"/>
        <v>651218.70466580288</v>
      </c>
      <c r="M188" s="279">
        <f t="shared" si="212"/>
        <v>693811.26134528592</v>
      </c>
      <c r="N188" s="279"/>
      <c r="O188" s="279"/>
    </row>
    <row r="189" spans="5:32">
      <c r="E189" s="248" t="str">
        <f t="shared" si="204"/>
        <v>GS 3,000 - 4,999</v>
      </c>
      <c r="F189" s="279">
        <f t="shared" si="205"/>
        <v>38495.43</v>
      </c>
      <c r="G189" s="279">
        <f t="shared" si="206"/>
        <v>44928.94141748883</v>
      </c>
      <c r="H189" s="279">
        <f t="shared" si="207"/>
        <v>50647.737763900419</v>
      </c>
      <c r="I189" s="279">
        <f t="shared" si="208"/>
        <v>55465.426689935819</v>
      </c>
      <c r="J189" s="279">
        <f t="shared" si="209"/>
        <v>58322.958317907091</v>
      </c>
      <c r="K189" s="279">
        <f t="shared" si="210"/>
        <v>75515.164137921238</v>
      </c>
      <c r="L189" s="279">
        <f t="shared" si="211"/>
        <v>85120.849698608887</v>
      </c>
      <c r="M189" s="279">
        <f t="shared" si="212"/>
        <v>90704.967368068654</v>
      </c>
      <c r="N189" s="279"/>
      <c r="O189" s="279"/>
    </row>
    <row r="190" spans="5:32">
      <c r="E190" s="248" t="str">
        <f t="shared" si="204"/>
        <v>Large Use</v>
      </c>
      <c r="F190" s="279">
        <f t="shared" si="205"/>
        <v>10050</v>
      </c>
      <c r="G190" s="279">
        <f t="shared" si="206"/>
        <v>10703.07518701019</v>
      </c>
      <c r="H190" s="279">
        <f t="shared" si="207"/>
        <v>8355.9044686569887</v>
      </c>
      <c r="I190" s="279">
        <f t="shared" si="208"/>
        <v>9883.881591640873</v>
      </c>
      <c r="J190" s="279">
        <f t="shared" si="209"/>
        <v>11469.635437756639</v>
      </c>
      <c r="K190" s="279">
        <f t="shared" si="210"/>
        <v>13114.865885080399</v>
      </c>
      <c r="L190" s="279">
        <f t="shared" si="211"/>
        <v>14821.317696122011</v>
      </c>
      <c r="M190" s="279">
        <f t="shared" si="212"/>
        <v>16590.781633251219</v>
      </c>
      <c r="N190" s="279"/>
      <c r="O190" s="279"/>
    </row>
    <row r="191" spans="5:32">
      <c r="E191" s="248" t="s">
        <v>65</v>
      </c>
      <c r="F191" s="277">
        <f t="shared" ref="F191:M191" si="213">SUM(F185:F190)</f>
        <v>5555586.0000000009</v>
      </c>
      <c r="G191" s="277">
        <f t="shared" si="213"/>
        <v>6565397.0430531846</v>
      </c>
      <c r="H191" s="277">
        <f t="shared" si="213"/>
        <v>7741490.8022863194</v>
      </c>
      <c r="I191" s="277">
        <f t="shared" si="213"/>
        <v>8565343.8339961916</v>
      </c>
      <c r="J191" s="277">
        <f t="shared" si="213"/>
        <v>9142653.2386535443</v>
      </c>
      <c r="K191" s="277">
        <f t="shared" si="213"/>
        <v>11381899.501483595</v>
      </c>
      <c r="L191" s="277">
        <f t="shared" si="213"/>
        <v>12842345.091771401</v>
      </c>
      <c r="M191" s="277">
        <f t="shared" si="213"/>
        <v>13615468.696270091</v>
      </c>
      <c r="N191" s="277"/>
      <c r="O191" s="277"/>
    </row>
    <row r="193" spans="5:13">
      <c r="F193" s="248" t="s">
        <v>300</v>
      </c>
      <c r="G193" s="248" t="s">
        <v>301</v>
      </c>
      <c r="H193" s="248" t="s">
        <v>302</v>
      </c>
      <c r="I193" s="248" t="s">
        <v>371</v>
      </c>
      <c r="J193" s="248" t="s">
        <v>372</v>
      </c>
      <c r="K193" s="248" t="s">
        <v>373</v>
      </c>
      <c r="L193" s="248" t="s">
        <v>374</v>
      </c>
      <c r="M193" s="248" t="s">
        <v>375</v>
      </c>
    </row>
    <row r="194" spans="5:13">
      <c r="E194" s="248" t="str">
        <f t="shared" ref="E194:F200" si="214">E185</f>
        <v>Residential</v>
      </c>
      <c r="F194" s="279">
        <f>F185</f>
        <v>4547975.6100437343</v>
      </c>
      <c r="G194" s="279">
        <f>SUM($F185:F185)+G185</f>
        <v>9932547.3706311509</v>
      </c>
      <c r="H194" s="279">
        <f t="shared" ref="H194" si="215">H185</f>
        <v>6386466.038608999</v>
      </c>
      <c r="I194" s="279">
        <f>SUM($F185:H185)+I185</f>
        <v>23383578.325540625</v>
      </c>
      <c r="J194" s="279">
        <f t="shared" ref="J194" si="216">J185</f>
        <v>7538736.7407377912</v>
      </c>
      <c r="K194" s="279">
        <f>SUM($F185:J185)+K185</f>
        <v>40302113.218480311</v>
      </c>
      <c r="L194" s="279">
        <f t="shared" ref="L194" si="217">L185</f>
        <v>10583565.643424237</v>
      </c>
      <c r="M194" s="279">
        <f>SUM($F185:L185)+M185</f>
        <v>62098793.937151641</v>
      </c>
    </row>
    <row r="195" spans="5:13">
      <c r="E195" s="248" t="str">
        <f t="shared" si="214"/>
        <v>Residential Seasonal</v>
      </c>
      <c r="F195" s="279">
        <f t="shared" si="214"/>
        <v>61872.489956265992</v>
      </c>
      <c r="G195" s="279">
        <f>SUM($F186:F186)+G186</f>
        <v>135126.37052677653</v>
      </c>
      <c r="H195" s="279">
        <f t="shared" ref="H195" si="218">H186</f>
        <v>86884.053414277092</v>
      </c>
      <c r="I195" s="279">
        <f>SUM($F186:H186)+I186</f>
        <v>318119.60730252438</v>
      </c>
      <c r="J195" s="279">
        <f t="shared" ref="J195" si="219">J186</f>
        <v>102560.00763155962</v>
      </c>
      <c r="K195" s="279">
        <f>SUM($F186:J186)+K186</f>
        <v>548286.16270937724</v>
      </c>
      <c r="L195" s="279">
        <f t="shared" ref="L195" si="220">L186</f>
        <v>143983.08502977021</v>
      </c>
      <c r="M195" s="279">
        <f>SUM($F186:L186)+M186</f>
        <v>844816.97652193415</v>
      </c>
    </row>
    <row r="196" spans="5:13">
      <c r="E196" s="248" t="str">
        <f t="shared" si="214"/>
        <v>GS&lt;50</v>
      </c>
      <c r="F196" s="279">
        <f t="shared" si="214"/>
        <v>601708.60000000009</v>
      </c>
      <c r="G196" s="279">
        <f>SUM($F187:F187)+G187</f>
        <v>1308926.1518369478</v>
      </c>
      <c r="H196" s="279">
        <f t="shared" ref="H196" si="221">H187</f>
        <v>819251.72072002268</v>
      </c>
      <c r="I196" s="279">
        <f>SUM($F187:H187)+I187</f>
        <v>3034762.4539823579</v>
      </c>
      <c r="J196" s="279">
        <f t="shared" ref="J196" si="222">J187</f>
        <v>967774.94067067909</v>
      </c>
      <c r="K196" s="279">
        <f>SUM($F187:J187)+K187</f>
        <v>5211217.417058249</v>
      </c>
      <c r="L196" s="279">
        <f t="shared" ref="L196" si="223">L187</f>
        <v>1363635.4912568601</v>
      </c>
      <c r="M196" s="279">
        <f>SUM($F187:L187)+M187</f>
        <v>8023551.7902087178</v>
      </c>
    </row>
    <row r="197" spans="5:13">
      <c r="E197" s="248" t="str">
        <f t="shared" si="214"/>
        <v>GS 50 - 2,999</v>
      </c>
      <c r="F197" s="279">
        <f t="shared" si="214"/>
        <v>295483.87</v>
      </c>
      <c r="G197" s="279">
        <f>SUM($F188:F188)+G188</f>
        <v>640205.70345380972</v>
      </c>
      <c r="H197" s="279">
        <f t="shared" ref="H197" si="224">H188</f>
        <v>389885.34731046326</v>
      </c>
      <c r="I197" s="279">
        <f>SUM($F188:H188)+I188</f>
        <v>1462826.895391556</v>
      </c>
      <c r="J197" s="279">
        <f t="shared" ref="J197" si="225">J188</f>
        <v>463788.95585785119</v>
      </c>
      <c r="K197" s="279">
        <f>SUM($F188:J188)+K188</f>
        <v>2503800.6003275984</v>
      </c>
      <c r="L197" s="279">
        <f t="shared" ref="L197" si="226">L188</f>
        <v>651218.70466580288</v>
      </c>
      <c r="M197" s="279">
        <f>SUM($F188:L188)+M188</f>
        <v>3848830.5663386872</v>
      </c>
    </row>
    <row r="198" spans="5:13">
      <c r="E198" s="248" t="str">
        <f t="shared" si="214"/>
        <v>GS 3,000 - 4,999</v>
      </c>
      <c r="F198" s="279">
        <f t="shared" si="214"/>
        <v>38495.43</v>
      </c>
      <c r="G198" s="279">
        <f>SUM($F189:F189)+G189</f>
        <v>83424.37141748883</v>
      </c>
      <c r="H198" s="279">
        <f t="shared" ref="H198" si="227">H189</f>
        <v>50647.737763900419</v>
      </c>
      <c r="I198" s="279">
        <f>SUM($F189:H189)+I189</f>
        <v>189537.53587132506</v>
      </c>
      <c r="J198" s="279">
        <f t="shared" ref="J198" si="228">J189</f>
        <v>58322.958317907091</v>
      </c>
      <c r="K198" s="279">
        <f>SUM($F189:J189)+K189</f>
        <v>323375.65832715342</v>
      </c>
      <c r="L198" s="279">
        <f t="shared" ref="L198" si="229">L189</f>
        <v>85120.849698608887</v>
      </c>
      <c r="M198" s="279">
        <f>SUM($F189:L189)+M189</f>
        <v>499201.47539383091</v>
      </c>
    </row>
    <row r="199" spans="5:13">
      <c r="E199" s="248" t="str">
        <f t="shared" si="214"/>
        <v>Large Use</v>
      </c>
      <c r="F199" s="279">
        <f t="shared" si="214"/>
        <v>10050</v>
      </c>
      <c r="G199" s="279">
        <f>SUM($F190:F190)+G190</f>
        <v>20753.075187010189</v>
      </c>
      <c r="H199" s="279">
        <f t="shared" ref="H199" si="230">H190</f>
        <v>8355.9044686569887</v>
      </c>
      <c r="I199" s="279">
        <f>SUM($F190:H190)+I190</f>
        <v>38992.86124730805</v>
      </c>
      <c r="J199" s="279">
        <f t="shared" ref="J199" si="231">J190</f>
        <v>11469.635437756639</v>
      </c>
      <c r="K199" s="279">
        <f>SUM($F190:J190)+K190</f>
        <v>63577.362570145087</v>
      </c>
      <c r="L199" s="279">
        <f t="shared" ref="L199" si="232">L190</f>
        <v>14821.317696122011</v>
      </c>
      <c r="M199" s="279">
        <f>SUM($F190:L190)+M190</f>
        <v>94989.461899518312</v>
      </c>
    </row>
    <row r="200" spans="5:13">
      <c r="E200" s="248" t="str">
        <f t="shared" si="214"/>
        <v>Total</v>
      </c>
      <c r="F200" s="277">
        <f t="shared" ref="F200:M200" si="233">SUM(F194:F199)</f>
        <v>5555586.0000000009</v>
      </c>
      <c r="G200" s="277">
        <f t="shared" si="233"/>
        <v>12120983.043053184</v>
      </c>
      <c r="H200" s="277">
        <f t="shared" si="233"/>
        <v>7741490.8022863194</v>
      </c>
      <c r="I200" s="277">
        <f t="shared" si="233"/>
        <v>28427817.679335698</v>
      </c>
      <c r="J200" s="277">
        <f t="shared" si="233"/>
        <v>9142653.2386535443</v>
      </c>
      <c r="K200" s="277">
        <f t="shared" si="233"/>
        <v>48952370.419472836</v>
      </c>
      <c r="L200" s="277">
        <f t="shared" si="233"/>
        <v>12842345.091771401</v>
      </c>
      <c r="M200" s="277">
        <f t="shared" si="233"/>
        <v>75410184.207514331</v>
      </c>
    </row>
  </sheetData>
  <mergeCells count="26">
    <mergeCell ref="B79:B91"/>
    <mergeCell ref="B93:B105"/>
    <mergeCell ref="B108:B140"/>
    <mergeCell ref="X173:Z173"/>
    <mergeCell ref="AA173:AC173"/>
    <mergeCell ref="AD173:AF173"/>
    <mergeCell ref="C80:C85"/>
    <mergeCell ref="C94:C99"/>
    <mergeCell ref="I173:K173"/>
    <mergeCell ref="L173:N173"/>
    <mergeCell ref="O173:Q173"/>
    <mergeCell ref="R173:T173"/>
    <mergeCell ref="U173:W173"/>
    <mergeCell ref="C117:C122"/>
    <mergeCell ref="C125:C130"/>
    <mergeCell ref="C109:C114"/>
    <mergeCell ref="B41:B72"/>
    <mergeCell ref="C43:C44"/>
    <mergeCell ref="C46:C50"/>
    <mergeCell ref="C51:C55"/>
    <mergeCell ref="C56:C60"/>
    <mergeCell ref="B9:B40"/>
    <mergeCell ref="C11:C12"/>
    <mergeCell ref="C14:C18"/>
    <mergeCell ref="C19:C23"/>
    <mergeCell ref="C24:C28"/>
  </mergeCells>
  <hyperlinks>
    <hyperlink ref="F3" r:id="rId1" display="https://council.cleanairpartnership.org/wp-content/uploads/2021/11/2-21-050-EV-Charging-Performance-Requirements-in-GTHA.pdf" xr:uid="{098DF240-8CC6-49E6-A3EB-5C353A837005}"/>
  </hyperlinks>
  <pageMargins left="0.7" right="0.7" top="0.75" bottom="0.75" header="0.3" footer="0.3"/>
  <ignoredErrors>
    <ignoredError sqref="G194:L199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25B9C-D500-42E8-9E39-4274F30C7A45}">
  <sheetPr codeName="Sheet22">
    <tabColor theme="3" tint="0.499984740745262"/>
  </sheetPr>
  <dimension ref="B1:AF194"/>
  <sheetViews>
    <sheetView zoomScaleNormal="100" workbookViewId="0"/>
  </sheetViews>
  <sheetFormatPr defaultColWidth="8.5703125" defaultRowHeight="15"/>
  <cols>
    <col min="1" max="1" width="2.5703125" style="248" customWidth="1"/>
    <col min="2" max="2" width="34.42578125" style="248" customWidth="1"/>
    <col min="3" max="3" width="12.42578125" style="248" customWidth="1"/>
    <col min="4" max="4" width="15.5703125" style="248" customWidth="1"/>
    <col min="5" max="5" width="30.5703125" style="248" customWidth="1"/>
    <col min="6" max="7" width="17" style="248" bestFit="1" customWidth="1"/>
    <col min="8" max="8" width="17.140625" style="248" bestFit="1" customWidth="1"/>
    <col min="9" max="9" width="16.42578125" style="248" customWidth="1"/>
    <col min="10" max="10" width="13.5703125" style="248" customWidth="1"/>
    <col min="11" max="11" width="12.5703125" style="248" bestFit="1" customWidth="1"/>
    <col min="12" max="12" width="14.5703125" style="248" bestFit="1" customWidth="1"/>
    <col min="13" max="13" width="12" style="248" bestFit="1" customWidth="1"/>
    <col min="14" max="14" width="14" style="248" customWidth="1"/>
    <col min="15" max="15" width="13.5703125" style="248" bestFit="1" customWidth="1"/>
    <col min="16" max="17" width="11.42578125" style="248" bestFit="1" customWidth="1"/>
    <col min="18" max="21" width="11.5703125" style="248" bestFit="1" customWidth="1"/>
    <col min="22" max="23" width="12" style="248" bestFit="1" customWidth="1"/>
    <col min="24" max="24" width="13" style="248" customWidth="1"/>
    <col min="25" max="25" width="8.5703125" style="248"/>
    <col min="26" max="26" width="11.85546875" style="248" customWidth="1"/>
    <col min="27" max="27" width="11.42578125" style="248" bestFit="1" customWidth="1"/>
    <col min="28" max="28" width="8.5703125" style="248"/>
    <col min="29" max="29" width="10.85546875" style="248" customWidth="1"/>
    <col min="30" max="30" width="11.42578125" style="248" bestFit="1" customWidth="1"/>
    <col min="31" max="31" width="8.5703125" style="248"/>
    <col min="32" max="32" width="10.42578125" style="248" bestFit="1" customWidth="1"/>
    <col min="33" max="16384" width="8.5703125" style="248"/>
  </cols>
  <sheetData>
    <row r="1" spans="2:24">
      <c r="C1" s="248" t="s">
        <v>252</v>
      </c>
      <c r="D1" s="248" t="s">
        <v>253</v>
      </c>
    </row>
    <row r="2" spans="2:24">
      <c r="C2" s="248" t="s">
        <v>254</v>
      </c>
      <c r="D2" s="248" t="s">
        <v>255</v>
      </c>
    </row>
    <row r="3" spans="2:24">
      <c r="B3" s="248" t="s">
        <v>256</v>
      </c>
      <c r="C3" s="310">
        <f>46*365</f>
        <v>16790</v>
      </c>
      <c r="D3" s="248">
        <v>20</v>
      </c>
      <c r="E3" s="309">
        <f>C3*D3/100</f>
        <v>3358</v>
      </c>
      <c r="F3" s="37" t="s">
        <v>363</v>
      </c>
      <c r="Q3" s="308"/>
      <c r="R3" s="308"/>
      <c r="S3" s="308"/>
    </row>
    <row r="4" spans="2:24">
      <c r="B4" s="248" t="s">
        <v>257</v>
      </c>
      <c r="C4" s="310">
        <f>C3</f>
        <v>16790</v>
      </c>
      <c r="D4" s="248">
        <v>20</v>
      </c>
      <c r="E4" s="309">
        <f t="shared" ref="E4:E6" si="0">C4*D4/100</f>
        <v>3358</v>
      </c>
      <c r="O4" s="214"/>
      <c r="P4" s="308"/>
      <c r="Q4" s="308"/>
      <c r="R4" s="308"/>
      <c r="S4" s="308"/>
      <c r="T4" s="227"/>
      <c r="U4" s="227"/>
      <c r="V4" s="227"/>
      <c r="W4" s="227"/>
      <c r="X4" s="308"/>
    </row>
    <row r="5" spans="2:24">
      <c r="B5" s="248" t="s">
        <v>258</v>
      </c>
      <c r="C5" s="310">
        <v>20000</v>
      </c>
      <c r="D5" s="248">
        <v>25</v>
      </c>
      <c r="E5" s="309">
        <f t="shared" si="0"/>
        <v>5000</v>
      </c>
      <c r="F5" s="310"/>
      <c r="G5" s="310"/>
      <c r="H5" s="310"/>
      <c r="I5" s="310"/>
      <c r="L5" s="214"/>
      <c r="M5" s="214"/>
      <c r="N5" s="214"/>
      <c r="O5" s="214"/>
    </row>
    <row r="6" spans="2:24">
      <c r="B6" s="248" t="s">
        <v>259</v>
      </c>
      <c r="C6" s="310">
        <v>20000</v>
      </c>
      <c r="D6" s="248">
        <v>30</v>
      </c>
      <c r="E6" s="309">
        <f t="shared" si="0"/>
        <v>6000</v>
      </c>
    </row>
    <row r="7" spans="2:24">
      <c r="C7" s="310"/>
      <c r="E7" s="309"/>
    </row>
    <row r="8" spans="2:24">
      <c r="C8" s="310"/>
      <c r="E8" s="309"/>
    </row>
    <row r="9" spans="2:24">
      <c r="B9" s="848" t="s">
        <v>220</v>
      </c>
      <c r="C9" s="284"/>
      <c r="D9" s="305"/>
      <c r="E9" s="249"/>
      <c r="F9" s="307">
        <v>2017</v>
      </c>
      <c r="G9" s="307">
        <v>2018</v>
      </c>
      <c r="H9" s="307">
        <v>2019</v>
      </c>
      <c r="I9" s="307">
        <v>2020</v>
      </c>
      <c r="J9" s="307">
        <v>2021</v>
      </c>
      <c r="K9" s="307">
        <v>2022</v>
      </c>
      <c r="L9" s="307">
        <v>2023</v>
      </c>
      <c r="M9" s="307">
        <v>2024</v>
      </c>
      <c r="N9" s="307">
        <v>2025</v>
      </c>
      <c r="O9" s="307">
        <v>2026</v>
      </c>
      <c r="P9" s="307">
        <v>2027</v>
      </c>
      <c r="Q9" s="307">
        <v>2028</v>
      </c>
      <c r="R9" s="307">
        <v>2029</v>
      </c>
      <c r="S9" s="307">
        <v>2030</v>
      </c>
      <c r="T9" s="307">
        <v>2031</v>
      </c>
      <c r="U9" s="307">
        <v>2032</v>
      </c>
      <c r="V9" s="307">
        <v>2033</v>
      </c>
      <c r="W9" s="307">
        <v>2034</v>
      </c>
      <c r="X9" s="307">
        <v>2035</v>
      </c>
    </row>
    <row r="10" spans="2:24">
      <c r="B10" s="849"/>
      <c r="C10" s="288"/>
      <c r="X10" s="287"/>
    </row>
    <row r="11" spans="2:24">
      <c r="B11" s="849"/>
      <c r="C11" s="851" t="s">
        <v>260</v>
      </c>
      <c r="D11" s="247" t="s">
        <v>352</v>
      </c>
      <c r="E11" s="248" t="s">
        <v>261</v>
      </c>
      <c r="F11" s="301">
        <f>SUMIFS('EV Data'!$EI$40:$EI$135,'EV Data'!$C$40:$C$135,'EV Forecast WRZ'!F$9)/3</f>
        <v>30</v>
      </c>
      <c r="G11" s="301">
        <f>SUMIFS('EV Data'!$EI$40:$EI$135,'EV Data'!$C$40:$C$135,'EV Forecast WRZ'!G$9)/3</f>
        <v>74</v>
      </c>
      <c r="H11" s="301">
        <f>SUMIFS('EV Data'!$EI$40:$EI$135,'EV Data'!$C$40:$C$135,'EV Forecast WRZ'!H$9)/3</f>
        <v>70</v>
      </c>
      <c r="I11" s="301">
        <f>SUMIFS('EV Data'!$EI$40:$EI$135,'EV Data'!$C$40:$C$135,'EV Forecast WRZ'!I$9)/3</f>
        <v>80</v>
      </c>
      <c r="J11" s="301">
        <f>SUMIFS('EV Data'!$EI$40:$EI$135,'EV Data'!$C$40:$C$135,'EV Forecast WRZ'!J$9)/3</f>
        <v>155</v>
      </c>
      <c r="K11" s="301">
        <f>SUMIFS('EV Data'!$EI$40:$EI$135,'EV Data'!$C$40:$C$135,'EV Forecast WRZ'!K$9)/3</f>
        <v>298</v>
      </c>
      <c r="L11" s="301">
        <f>SUMIFS('EV Data'!$EI$40:$EI$135,'EV Data'!$C$40:$C$135,'EV Forecast WRZ'!L$9)/3</f>
        <v>408</v>
      </c>
      <c r="M11" s="301">
        <f>SUMIFS('EV Data'!$EI$40:$EI$135,'EV Data'!$C$40:$C$135,'EV Forecast WRZ'!M$9)/3</f>
        <v>539</v>
      </c>
      <c r="N11" s="246">
        <f>N14+N19+N24</f>
        <v>532.74209121531703</v>
      </c>
      <c r="O11" s="246">
        <f t="shared" ref="O11:X11" si="1">O14+O19+O24</f>
        <v>668.72854849047962</v>
      </c>
      <c r="P11" s="246">
        <f t="shared" si="1"/>
        <v>783.0354824768765</v>
      </c>
      <c r="Q11" s="246">
        <f t="shared" si="1"/>
        <v>901.64720240333349</v>
      </c>
      <c r="R11" s="246">
        <f t="shared" si="1"/>
        <v>1024.6901769338579</v>
      </c>
      <c r="S11" s="246">
        <f t="shared" si="1"/>
        <v>1152.294211564642</v>
      </c>
      <c r="T11" s="246">
        <f t="shared" si="1"/>
        <v>1284.592531509883</v>
      </c>
      <c r="U11" s="246">
        <f t="shared" si="1"/>
        <v>1506.8270394610934</v>
      </c>
      <c r="V11" s="246">
        <f t="shared" si="1"/>
        <v>2272.0331186309004</v>
      </c>
      <c r="W11" s="246">
        <f t="shared" si="1"/>
        <v>2930.9227230338611</v>
      </c>
      <c r="X11" s="245">
        <f t="shared" si="1"/>
        <v>4171.4528058063333</v>
      </c>
    </row>
    <row r="12" spans="2:24">
      <c r="B12" s="849"/>
      <c r="C12" s="851"/>
      <c r="D12" s="247" t="s">
        <v>352</v>
      </c>
      <c r="E12" s="248" t="s">
        <v>218</v>
      </c>
      <c r="F12" s="301">
        <f>F11</f>
        <v>30</v>
      </c>
      <c r="G12" s="301">
        <f>F12+G11</f>
        <v>104</v>
      </c>
      <c r="H12" s="301">
        <f t="shared" ref="H12:S12" si="2">G12+H11</f>
        <v>174</v>
      </c>
      <c r="I12" s="301">
        <f t="shared" si="2"/>
        <v>254</v>
      </c>
      <c r="J12" s="301">
        <f t="shared" si="2"/>
        <v>409</v>
      </c>
      <c r="K12" s="301">
        <f t="shared" si="2"/>
        <v>707</v>
      </c>
      <c r="L12" s="301">
        <f t="shared" si="2"/>
        <v>1115</v>
      </c>
      <c r="M12" s="301">
        <f t="shared" si="2"/>
        <v>1654</v>
      </c>
      <c r="N12" s="246">
        <f>M12+N11</f>
        <v>2186.742091215317</v>
      </c>
      <c r="O12" s="246">
        <f t="shared" si="2"/>
        <v>2855.4706397057967</v>
      </c>
      <c r="P12" s="246">
        <f t="shared" si="2"/>
        <v>3638.5061221826732</v>
      </c>
      <c r="Q12" s="246">
        <f t="shared" si="2"/>
        <v>4540.1533245860064</v>
      </c>
      <c r="R12" s="246">
        <f t="shared" si="2"/>
        <v>5564.8435015198647</v>
      </c>
      <c r="S12" s="246">
        <f t="shared" si="2"/>
        <v>6717.1377130845067</v>
      </c>
      <c r="T12" s="246">
        <f>S12+T11-F11</f>
        <v>7971.7302445943897</v>
      </c>
      <c r="U12" s="246">
        <f t="shared" ref="U12:X12" si="3">T12+U11-G11</f>
        <v>9404.5572840554833</v>
      </c>
      <c r="V12" s="246">
        <f t="shared" si="3"/>
        <v>11606.590402686383</v>
      </c>
      <c r="W12" s="246">
        <f t="shared" si="3"/>
        <v>14457.513125720245</v>
      </c>
      <c r="X12" s="245">
        <f t="shared" si="3"/>
        <v>18473.965931526578</v>
      </c>
    </row>
    <row r="13" spans="2:24">
      <c r="B13" s="849"/>
      <c r="C13" s="288"/>
      <c r="D13" s="247"/>
      <c r="G13" s="244"/>
      <c r="X13" s="287"/>
    </row>
    <row r="14" spans="2:24">
      <c r="B14" s="849"/>
      <c r="C14" s="852" t="s">
        <v>262</v>
      </c>
      <c r="D14" s="306" t="s">
        <v>352</v>
      </c>
      <c r="E14" s="305" t="s">
        <v>261</v>
      </c>
      <c r="F14" s="304">
        <f>SUMIFS('EV Data'!$EJ$40:$EJ$135,'EV Data'!$C$40:$C$135,'EV Forecast WRZ'!F$9)/3+SUMIFS('EV Data'!$EL$40:$EL$135,'EV Data'!$C$40:$C$135,'EV Forecast WRZ'!F$9)/3</f>
        <v>30</v>
      </c>
      <c r="G14" s="304">
        <f>SUMIFS('EV Data'!$EJ$40:$EJ$135,'EV Data'!$C$40:$C$135,'EV Forecast WRZ'!G$9)/3+SUMIFS('EV Data'!$EL$40:$EL$135,'EV Data'!$C$40:$C$135,'EV Forecast WRZ'!G$9)/3</f>
        <v>74</v>
      </c>
      <c r="H14" s="304">
        <f>SUMIFS('EV Data'!$EJ$40:$EJ$135,'EV Data'!$C$40:$C$135,'EV Forecast WRZ'!H$9)/3+SUMIFS('EV Data'!$EL$40:$EL$135,'EV Data'!$C$40:$C$135,'EV Forecast WRZ'!H$9)/3</f>
        <v>70</v>
      </c>
      <c r="I14" s="304">
        <f>SUMIFS('EV Data'!$EJ$40:$EJ$135,'EV Data'!$C$40:$C$135,'EV Forecast WRZ'!I$9)/3+SUMIFS('EV Data'!$EL$40:$EL$135,'EV Data'!$C$40:$C$135,'EV Forecast WRZ'!I$9)/3</f>
        <v>80</v>
      </c>
      <c r="J14" s="304">
        <f>SUMIFS('EV Data'!$EJ$40:$EJ$135,'EV Data'!$C$40:$C$135,'EV Forecast WRZ'!J$9)/3+SUMIFS('EV Data'!$EL$40:$EL$135,'EV Data'!$C$40:$C$135,'EV Forecast WRZ'!J$9)/3</f>
        <v>155</v>
      </c>
      <c r="K14" s="304">
        <f>SUMIFS('EV Data'!$EJ$40:$EJ$135,'EV Data'!$C$40:$C$135,'EV Forecast WRZ'!K$9)/3+SUMIFS('EV Data'!$EL$40:$EL$135,'EV Data'!$C$40:$C$135,'EV Forecast WRZ'!K$9)/3</f>
        <v>288</v>
      </c>
      <c r="L14" s="304">
        <f>SUMIFS('EV Data'!$EJ$40:$EJ$135,'EV Data'!$C$40:$C$135,'EV Forecast WRZ'!L$9)/3+SUMIFS('EV Data'!$EL$40:$EL$135,'EV Data'!$C$40:$C$135,'EV Forecast WRZ'!L$9)/3</f>
        <v>391</v>
      </c>
      <c r="M14" s="304">
        <f>SUMIFS('EV Data'!$EJ$40:$EJ$135,'EV Data'!$C$40:$C$135,'EV Forecast WRZ'!M$9)/3+SUMIFS('EV Data'!$EL$40:$EL$135,'EV Data'!$C$40:$C$135,'EV Forecast WRZ'!M$9)/3</f>
        <v>468</v>
      </c>
      <c r="N14" s="303">
        <f>N35*N$75*N37*N30</f>
        <v>501.17696126422805</v>
      </c>
      <c r="O14" s="303">
        <f t="shared" ref="O14:X14" si="4">O35*O$75*O37*O30</f>
        <v>629.10617983747659</v>
      </c>
      <c r="P14" s="303">
        <f t="shared" si="4"/>
        <v>736.64039343048364</v>
      </c>
      <c r="Q14" s="303">
        <f t="shared" si="4"/>
        <v>848.22433309527617</v>
      </c>
      <c r="R14" s="303">
        <f t="shared" si="4"/>
        <v>963.97697418928828</v>
      </c>
      <c r="S14" s="303">
        <f t="shared" si="4"/>
        <v>1084.0204311938228</v>
      </c>
      <c r="T14" s="303">
        <f t="shared" si="4"/>
        <v>1208.4800356888622</v>
      </c>
      <c r="U14" s="303">
        <f t="shared" si="4"/>
        <v>1417.5470818630358</v>
      </c>
      <c r="V14" s="303">
        <f t="shared" si="4"/>
        <v>2137.4144695221771</v>
      </c>
      <c r="W14" s="303">
        <f t="shared" si="4"/>
        <v>2757.2646656836082</v>
      </c>
      <c r="X14" s="303">
        <f t="shared" si="4"/>
        <v>3924.2929660427176</v>
      </c>
    </row>
    <row r="15" spans="2:24">
      <c r="B15" s="849"/>
      <c r="C15" s="853"/>
      <c r="D15" s="247" t="s">
        <v>352</v>
      </c>
      <c r="E15" s="248" t="s">
        <v>218</v>
      </c>
      <c r="F15" s="301">
        <f>F14</f>
        <v>30</v>
      </c>
      <c r="G15" s="301">
        <f>F15+G14</f>
        <v>104</v>
      </c>
      <c r="H15" s="301">
        <f t="shared" ref="H15:K15" si="5">G15+H14</f>
        <v>174</v>
      </c>
      <c r="I15" s="301">
        <f t="shared" si="5"/>
        <v>254</v>
      </c>
      <c r="J15" s="301">
        <f t="shared" si="5"/>
        <v>409</v>
      </c>
      <c r="K15" s="301">
        <f t="shared" si="5"/>
        <v>697</v>
      </c>
      <c r="L15" s="301">
        <f>K15+L14</f>
        <v>1088</v>
      </c>
      <c r="M15" s="300">
        <f>L15+M14</f>
        <v>1556</v>
      </c>
      <c r="N15" s="300">
        <f>M15+N14</f>
        <v>2057.1769612642279</v>
      </c>
      <c r="O15" s="300">
        <f t="shared" ref="O15" si="6">N15+O14</f>
        <v>2686.2831411017046</v>
      </c>
      <c r="P15" s="300">
        <f>O15+P14-F14</f>
        <v>3392.9235345321881</v>
      </c>
      <c r="Q15" s="300">
        <f t="shared" ref="Q15:X15" si="7">P15+Q14-G14</f>
        <v>4167.1478676274646</v>
      </c>
      <c r="R15" s="300">
        <f t="shared" si="7"/>
        <v>5061.1248418167525</v>
      </c>
      <c r="S15" s="300">
        <f t="shared" si="7"/>
        <v>6065.1452730105757</v>
      </c>
      <c r="T15" s="300">
        <f t="shared" si="7"/>
        <v>7118.6253086994384</v>
      </c>
      <c r="U15" s="300">
        <f t="shared" si="7"/>
        <v>8248.1723905624749</v>
      </c>
      <c r="V15" s="300">
        <f t="shared" si="7"/>
        <v>9994.5868600846516</v>
      </c>
      <c r="W15" s="300">
        <f t="shared" si="7"/>
        <v>12283.851525768259</v>
      </c>
      <c r="X15" s="299">
        <f t="shared" si="7"/>
        <v>15706.96753054675</v>
      </c>
    </row>
    <row r="16" spans="2:24">
      <c r="B16" s="849"/>
      <c r="C16" s="853"/>
      <c r="D16" s="247" t="s">
        <v>352</v>
      </c>
      <c r="E16" s="248" t="s">
        <v>263</v>
      </c>
      <c r="F16" s="301">
        <f>E3</f>
        <v>3358</v>
      </c>
      <c r="G16" s="301">
        <f>F16</f>
        <v>3358</v>
      </c>
      <c r="H16" s="301">
        <f t="shared" ref="H16:X16" si="8">G16</f>
        <v>3358</v>
      </c>
      <c r="I16" s="301">
        <f t="shared" si="8"/>
        <v>3358</v>
      </c>
      <c r="J16" s="301">
        <f t="shared" si="8"/>
        <v>3358</v>
      </c>
      <c r="K16" s="301">
        <f t="shared" si="8"/>
        <v>3358</v>
      </c>
      <c r="L16" s="301">
        <f t="shared" si="8"/>
        <v>3358</v>
      </c>
      <c r="M16" s="301">
        <f t="shared" si="8"/>
        <v>3358</v>
      </c>
      <c r="N16" s="301">
        <f t="shared" si="8"/>
        <v>3358</v>
      </c>
      <c r="O16" s="301">
        <f t="shared" si="8"/>
        <v>3358</v>
      </c>
      <c r="P16" s="301">
        <f t="shared" si="8"/>
        <v>3358</v>
      </c>
      <c r="Q16" s="301">
        <f t="shared" si="8"/>
        <v>3358</v>
      </c>
      <c r="R16" s="301">
        <f t="shared" si="8"/>
        <v>3358</v>
      </c>
      <c r="S16" s="301">
        <f t="shared" si="8"/>
        <v>3358</v>
      </c>
      <c r="T16" s="301">
        <f t="shared" si="8"/>
        <v>3358</v>
      </c>
      <c r="U16" s="301">
        <f t="shared" si="8"/>
        <v>3358</v>
      </c>
      <c r="V16" s="301">
        <f t="shared" si="8"/>
        <v>3358</v>
      </c>
      <c r="W16" s="301">
        <f t="shared" si="8"/>
        <v>3358</v>
      </c>
      <c r="X16" s="299">
        <f t="shared" si="8"/>
        <v>3358</v>
      </c>
    </row>
    <row r="17" spans="2:24">
      <c r="B17" s="849"/>
      <c r="C17" s="853"/>
      <c r="D17" s="247" t="s">
        <v>352</v>
      </c>
      <c r="E17" s="248" t="s">
        <v>264</v>
      </c>
      <c r="F17" s="301">
        <f t="shared" ref="F17" si="9">F14*F16</f>
        <v>100740</v>
      </c>
      <c r="G17" s="301">
        <f t="shared" ref="G17:X17" si="10">G14*G16</f>
        <v>248492</v>
      </c>
      <c r="H17" s="301">
        <f t="shared" si="10"/>
        <v>235060</v>
      </c>
      <c r="I17" s="301">
        <f t="shared" si="10"/>
        <v>268640</v>
      </c>
      <c r="J17" s="301">
        <f t="shared" si="10"/>
        <v>520490</v>
      </c>
      <c r="K17" s="301">
        <f t="shared" si="10"/>
        <v>967104</v>
      </c>
      <c r="L17" s="301">
        <f t="shared" si="10"/>
        <v>1312978</v>
      </c>
      <c r="M17" s="301">
        <f t="shared" si="10"/>
        <v>1571544</v>
      </c>
      <c r="N17" s="301">
        <f t="shared" si="10"/>
        <v>1682952.2359252777</v>
      </c>
      <c r="O17" s="301">
        <f t="shared" si="10"/>
        <v>2112538.5518942466</v>
      </c>
      <c r="P17" s="301">
        <f t="shared" si="10"/>
        <v>2473638.4411395639</v>
      </c>
      <c r="Q17" s="301">
        <f t="shared" si="10"/>
        <v>2848337.3105339375</v>
      </c>
      <c r="R17" s="301">
        <f t="shared" si="10"/>
        <v>3237034.67932763</v>
      </c>
      <c r="S17" s="301">
        <f t="shared" si="10"/>
        <v>3640140.6079488569</v>
      </c>
      <c r="T17" s="301">
        <f>T14*T16</f>
        <v>4058075.9598431992</v>
      </c>
      <c r="U17" s="301">
        <f t="shared" si="10"/>
        <v>4760123.1008960744</v>
      </c>
      <c r="V17" s="301">
        <f t="shared" si="10"/>
        <v>7177437.7886554711</v>
      </c>
      <c r="W17" s="301">
        <f t="shared" si="10"/>
        <v>9258894.7473655567</v>
      </c>
      <c r="X17" s="299">
        <f t="shared" si="10"/>
        <v>13177775.779971445</v>
      </c>
    </row>
    <row r="18" spans="2:24">
      <c r="B18" s="849"/>
      <c r="C18" s="859"/>
      <c r="D18" s="298" t="s">
        <v>352</v>
      </c>
      <c r="E18" s="297" t="s">
        <v>265</v>
      </c>
      <c r="F18" s="296">
        <f t="shared" ref="F18" si="11">F15*F16-F14*F16/2</f>
        <v>50370</v>
      </c>
      <c r="G18" s="296">
        <f>G15*G16-G14*G16/2</f>
        <v>224986</v>
      </c>
      <c r="H18" s="296">
        <f>H15*H16-H14*H16/2</f>
        <v>466762</v>
      </c>
      <c r="I18" s="296">
        <f>I15*I16-I14*I16/2</f>
        <v>718612</v>
      </c>
      <c r="J18" s="296">
        <f>J15*J16-J14*J16/2</f>
        <v>1113177</v>
      </c>
      <c r="K18" s="296">
        <f t="shared" ref="K18:X18" si="12">K15*K16-K14*K16/2</f>
        <v>1856974</v>
      </c>
      <c r="L18" s="296">
        <f t="shared" si="12"/>
        <v>2997015</v>
      </c>
      <c r="M18" s="296">
        <f t="shared" ref="M18:R18" si="13">M15*M16-M14*M16/2</f>
        <v>4439276</v>
      </c>
      <c r="N18" s="296">
        <f t="shared" si="13"/>
        <v>6066524.1179626388</v>
      </c>
      <c r="O18" s="296">
        <f t="shared" si="13"/>
        <v>7964269.5118723996</v>
      </c>
      <c r="P18" s="296">
        <f t="shared" si="13"/>
        <v>10156618.008389305</v>
      </c>
      <c r="Q18" s="296">
        <f t="shared" si="13"/>
        <v>12569113.884226058</v>
      </c>
      <c r="R18" s="296">
        <f t="shared" si="13"/>
        <v>15376739.879156839</v>
      </c>
      <c r="S18" s="296">
        <f>S15*S16-S14*S16/2</f>
        <v>18546687.522795085</v>
      </c>
      <c r="T18" s="296">
        <f t="shared" si="12"/>
        <v>21875305.806691118</v>
      </c>
      <c r="U18" s="296">
        <f t="shared" si="12"/>
        <v>25317301.337060753</v>
      </c>
      <c r="V18" s="296">
        <f t="shared" si="12"/>
        <v>29973103.781836525</v>
      </c>
      <c r="W18" s="296">
        <f t="shared" si="12"/>
        <v>36619726.049847037</v>
      </c>
      <c r="X18" s="243">
        <f t="shared" si="12"/>
        <v>46155109.077590264</v>
      </c>
    </row>
    <row r="19" spans="2:24">
      <c r="B19" s="849"/>
      <c r="C19" s="853" t="s">
        <v>266</v>
      </c>
      <c r="D19" s="306" t="s">
        <v>352</v>
      </c>
      <c r="E19" s="248" t="s">
        <v>261</v>
      </c>
      <c r="F19" s="242">
        <f>SUMIFS('EV Data'!$EM$40:$EM$135,'EV Data'!$C$40:$C$135,'EV Forecast WRZ'!F$9)/3</f>
        <v>0</v>
      </c>
      <c r="G19" s="242">
        <f>SUMIFS('EV Data'!$EM$40:$EM$135,'EV Data'!$C$40:$C$135,'EV Forecast WRZ'!G$9)/3</f>
        <v>0</v>
      </c>
      <c r="H19" s="242">
        <f>SUMIFS('EV Data'!$EM$40:$EM$135,'EV Data'!$C$40:$C$135,'EV Forecast WRZ'!H$9)/3</f>
        <v>0</v>
      </c>
      <c r="I19" s="242">
        <f>SUMIFS('EV Data'!$EM$40:$EM$135,'EV Data'!$C$40:$C$135,'EV Forecast WRZ'!I$9)/3</f>
        <v>0</v>
      </c>
      <c r="J19" s="242">
        <f>SUMIFS('EV Data'!$EM$40:$EM$135,'EV Data'!$C$40:$C$135,'EV Forecast WRZ'!J$9)/3</f>
        <v>0</v>
      </c>
      <c r="K19" s="242">
        <f>SUMIFS('EV Data'!$EM$40:$EM$135,'EV Data'!$C$40:$C$135,'EV Forecast WRZ'!K$9)/3</f>
        <v>1</v>
      </c>
      <c r="L19" s="242">
        <f>SUMIFS('EV Data'!$EM$40:$EM$135,'EV Data'!$C$40:$C$135,'EV Forecast WRZ'!L$9)/3</f>
        <v>0</v>
      </c>
      <c r="M19" s="242">
        <f>SUMIFS('EV Data'!$EM$40:$EM$135,'EV Data'!$C$40:$C$135,'EV Forecast WRZ'!M$9)/3</f>
        <v>2</v>
      </c>
      <c r="N19" s="303">
        <f t="shared" ref="N19:X19" si="14">N35*N$75*N38*N30</f>
        <v>0.96627948829864019</v>
      </c>
      <c r="O19" s="303">
        <f t="shared" si="14"/>
        <v>1.2129296526429496</v>
      </c>
      <c r="P19" s="303">
        <f t="shared" si="14"/>
        <v>1.4202578279508042</v>
      </c>
      <c r="Q19" s="303">
        <f t="shared" si="14"/>
        <v>1.6353939584099155</v>
      </c>
      <c r="R19" s="303">
        <f t="shared" si="14"/>
        <v>1.8585674309562115</v>
      </c>
      <c r="S19" s="303">
        <f t="shared" si="14"/>
        <v>2.0900136848209949</v>
      </c>
      <c r="T19" s="303">
        <f t="shared" si="14"/>
        <v>2.3299743618679867</v>
      </c>
      <c r="U19" s="303">
        <f t="shared" si="14"/>
        <v>2.733059926471149</v>
      </c>
      <c r="V19" s="303">
        <f t="shared" si="14"/>
        <v>4.1209790543486706</v>
      </c>
      <c r="W19" s="303">
        <f t="shared" si="14"/>
        <v>5.316062980109785</v>
      </c>
      <c r="X19" s="302">
        <f t="shared" si="14"/>
        <v>7.566117543784161</v>
      </c>
    </row>
    <row r="20" spans="2:24">
      <c r="B20" s="849"/>
      <c r="C20" s="853"/>
      <c r="D20" s="247" t="s">
        <v>352</v>
      </c>
      <c r="E20" s="248" t="s">
        <v>218</v>
      </c>
      <c r="F20" s="242">
        <f>F19</f>
        <v>0</v>
      </c>
      <c r="G20" s="242">
        <f>F20+G19</f>
        <v>0</v>
      </c>
      <c r="H20" s="242">
        <f t="shared" ref="H20:K20" si="15">G20+H19</f>
        <v>0</v>
      </c>
      <c r="I20" s="242">
        <f t="shared" si="15"/>
        <v>0</v>
      </c>
      <c r="J20" s="242">
        <f t="shared" si="15"/>
        <v>0</v>
      </c>
      <c r="K20" s="242">
        <f t="shared" si="15"/>
        <v>1</v>
      </c>
      <c r="L20" s="242">
        <f>K20+L19</f>
        <v>1</v>
      </c>
      <c r="M20" s="242">
        <f>L20+M19</f>
        <v>3</v>
      </c>
      <c r="N20" s="242">
        <f t="shared" ref="N20:O20" si="16">M20+N19</f>
        <v>3.9662794882986403</v>
      </c>
      <c r="O20" s="242">
        <f t="shared" si="16"/>
        <v>5.1792091409415901</v>
      </c>
      <c r="P20" s="300">
        <f>O20+P19-F19</f>
        <v>6.5994669688923944</v>
      </c>
      <c r="Q20" s="300">
        <f t="shared" ref="Q20:X20" si="17">P20+Q19-G19</f>
        <v>8.2348609273023108</v>
      </c>
      <c r="R20" s="300">
        <f t="shared" si="17"/>
        <v>10.093428358258523</v>
      </c>
      <c r="S20" s="300">
        <f t="shared" si="17"/>
        <v>12.183442043079518</v>
      </c>
      <c r="T20" s="300">
        <f t="shared" si="17"/>
        <v>14.513416404947504</v>
      </c>
      <c r="U20" s="300">
        <f t="shared" si="17"/>
        <v>16.246476331418652</v>
      </c>
      <c r="V20" s="300">
        <f t="shared" si="17"/>
        <v>20.367455385767322</v>
      </c>
      <c r="W20" s="300">
        <f t="shared" si="17"/>
        <v>23.683518365877106</v>
      </c>
      <c r="X20" s="299">
        <f t="shared" si="17"/>
        <v>30.283356421362626</v>
      </c>
    </row>
    <row r="21" spans="2:24">
      <c r="B21" s="849"/>
      <c r="C21" s="853"/>
      <c r="D21" s="247" t="s">
        <v>352</v>
      </c>
      <c r="E21" s="248" t="s">
        <v>263</v>
      </c>
      <c r="F21" s="301">
        <f>E5</f>
        <v>5000</v>
      </c>
      <c r="G21" s="301">
        <f t="shared" ref="G21:X21" si="18">F21</f>
        <v>5000</v>
      </c>
      <c r="H21" s="301">
        <f t="shared" si="18"/>
        <v>5000</v>
      </c>
      <c r="I21" s="301">
        <f t="shared" si="18"/>
        <v>5000</v>
      </c>
      <c r="J21" s="301">
        <f t="shared" si="18"/>
        <v>5000</v>
      </c>
      <c r="K21" s="301">
        <f t="shared" si="18"/>
        <v>5000</v>
      </c>
      <c r="L21" s="301">
        <f t="shared" si="18"/>
        <v>5000</v>
      </c>
      <c r="M21" s="301">
        <f t="shared" si="18"/>
        <v>5000</v>
      </c>
      <c r="N21" s="301">
        <f t="shared" si="18"/>
        <v>5000</v>
      </c>
      <c r="O21" s="301">
        <f t="shared" si="18"/>
        <v>5000</v>
      </c>
      <c r="P21" s="301">
        <f t="shared" si="18"/>
        <v>5000</v>
      </c>
      <c r="Q21" s="301">
        <f t="shared" si="18"/>
        <v>5000</v>
      </c>
      <c r="R21" s="301">
        <f t="shared" si="18"/>
        <v>5000</v>
      </c>
      <c r="S21" s="301">
        <f t="shared" si="18"/>
        <v>5000</v>
      </c>
      <c r="T21" s="301">
        <f t="shared" si="18"/>
        <v>5000</v>
      </c>
      <c r="U21" s="301">
        <f t="shared" si="18"/>
        <v>5000</v>
      </c>
      <c r="V21" s="301">
        <f t="shared" si="18"/>
        <v>5000</v>
      </c>
      <c r="W21" s="301">
        <f t="shared" si="18"/>
        <v>5000</v>
      </c>
      <c r="X21" s="299">
        <f t="shared" si="18"/>
        <v>5000</v>
      </c>
    </row>
    <row r="22" spans="2:24">
      <c r="B22" s="849"/>
      <c r="C22" s="853"/>
      <c r="D22" s="247" t="s">
        <v>352</v>
      </c>
      <c r="E22" s="248" t="s">
        <v>264</v>
      </c>
      <c r="F22" s="301">
        <f t="shared" ref="F22" si="19">F19*F21</f>
        <v>0</v>
      </c>
      <c r="G22" s="301">
        <f t="shared" ref="G22:X22" si="20">G19*G21</f>
        <v>0</v>
      </c>
      <c r="H22" s="301">
        <f t="shared" si="20"/>
        <v>0</v>
      </c>
      <c r="I22" s="301">
        <f t="shared" si="20"/>
        <v>0</v>
      </c>
      <c r="J22" s="301">
        <f t="shared" si="20"/>
        <v>0</v>
      </c>
      <c r="K22" s="301">
        <f t="shared" si="20"/>
        <v>5000</v>
      </c>
      <c r="L22" s="301">
        <f t="shared" si="20"/>
        <v>0</v>
      </c>
      <c r="M22" s="301">
        <f t="shared" si="20"/>
        <v>10000</v>
      </c>
      <c r="N22" s="301">
        <f>N19*N21</f>
        <v>4831.3974414932009</v>
      </c>
      <c r="O22" s="301">
        <f t="shared" si="20"/>
        <v>6064.6482632147481</v>
      </c>
      <c r="P22" s="301">
        <f t="shared" si="20"/>
        <v>7101.2891397540216</v>
      </c>
      <c r="Q22" s="301">
        <f t="shared" si="20"/>
        <v>8176.9697920495773</v>
      </c>
      <c r="R22" s="301">
        <f t="shared" si="20"/>
        <v>9292.8371547810566</v>
      </c>
      <c r="S22" s="301">
        <f t="shared" si="20"/>
        <v>10450.068424104975</v>
      </c>
      <c r="T22" s="301">
        <f t="shared" si="20"/>
        <v>11649.871809339933</v>
      </c>
      <c r="U22" s="301">
        <f t="shared" si="20"/>
        <v>13665.299632355745</v>
      </c>
      <c r="V22" s="301">
        <f t="shared" si="20"/>
        <v>20604.895271743353</v>
      </c>
      <c r="W22" s="301">
        <f t="shared" si="20"/>
        <v>26580.314900548925</v>
      </c>
      <c r="X22" s="299">
        <f t="shared" si="20"/>
        <v>37830.587718920804</v>
      </c>
    </row>
    <row r="23" spans="2:24">
      <c r="B23" s="849"/>
      <c r="C23" s="853"/>
      <c r="D23" s="298" t="s">
        <v>352</v>
      </c>
      <c r="E23" s="248" t="s">
        <v>265</v>
      </c>
      <c r="F23" s="296">
        <f t="shared" ref="F23" si="21">F20*F21-F19*F21/2</f>
        <v>0</v>
      </c>
      <c r="G23" s="296">
        <f>G20*G21-G19*G21/2</f>
        <v>0</v>
      </c>
      <c r="H23" s="296">
        <f>H20*H21-H19*H21/2</f>
        <v>0</v>
      </c>
      <c r="I23" s="296">
        <f>I20*I21-I19*I21/2</f>
        <v>0</v>
      </c>
      <c r="J23" s="296">
        <f>J20*J21-J19*J21/2</f>
        <v>0</v>
      </c>
      <c r="K23" s="296">
        <f t="shared" ref="K23:X23" si="22">K20*K21-K19*K21/2</f>
        <v>2500</v>
      </c>
      <c r="L23" s="296">
        <f t="shared" si="22"/>
        <v>5000</v>
      </c>
      <c r="M23" s="296">
        <f t="shared" si="22"/>
        <v>10000</v>
      </c>
      <c r="N23" s="296">
        <f t="shared" si="22"/>
        <v>17415.698720746601</v>
      </c>
      <c r="O23" s="296">
        <f t="shared" si="22"/>
        <v>22863.721573100578</v>
      </c>
      <c r="P23" s="296">
        <f t="shared" si="22"/>
        <v>29446.690274584958</v>
      </c>
      <c r="Q23" s="296">
        <f t="shared" si="22"/>
        <v>37085.819740486761</v>
      </c>
      <c r="R23" s="296">
        <f t="shared" si="22"/>
        <v>45820.723213902085</v>
      </c>
      <c r="S23" s="296">
        <f t="shared" si="22"/>
        <v>55692.176003345106</v>
      </c>
      <c r="T23" s="296">
        <f t="shared" si="22"/>
        <v>66742.146120067555</v>
      </c>
      <c r="U23" s="296">
        <f t="shared" si="22"/>
        <v>74399.731840915381</v>
      </c>
      <c r="V23" s="296">
        <f t="shared" si="22"/>
        <v>91534.829292964932</v>
      </c>
      <c r="W23" s="296">
        <f t="shared" si="22"/>
        <v>105127.43437911107</v>
      </c>
      <c r="X23" s="243">
        <f t="shared" si="22"/>
        <v>132501.48824735274</v>
      </c>
    </row>
    <row r="24" spans="2:24">
      <c r="B24" s="849"/>
      <c r="C24" s="852" t="s">
        <v>267</v>
      </c>
      <c r="D24" s="306" t="s">
        <v>352</v>
      </c>
      <c r="E24" s="305" t="s">
        <v>261</v>
      </c>
      <c r="F24" s="650">
        <f>SUMIFS('EV Data'!$EK$40:$EK$135,'EV Data'!$C$40:$C$135,'EV Forecast WRZ'!F$9)/3</f>
        <v>0</v>
      </c>
      <c r="G24" s="650">
        <f>SUMIFS('EV Data'!$EK$40:$EK$135,'EV Data'!$C$40:$C$135,'EV Forecast WRZ'!G$9)/3</f>
        <v>0</v>
      </c>
      <c r="H24" s="650">
        <f>SUMIFS('EV Data'!$EK$40:$EK$135,'EV Data'!$C$40:$C$135,'EV Forecast WRZ'!H$9)/3</f>
        <v>0</v>
      </c>
      <c r="I24" s="650">
        <f>SUMIFS('EV Data'!$EK$40:$EK$135,'EV Data'!$C$40:$C$135,'EV Forecast WRZ'!I$9)/3</f>
        <v>0</v>
      </c>
      <c r="J24" s="650">
        <f>SUMIFS('EV Data'!$EK$40:$EK$135,'EV Data'!$C$40:$C$135,'EV Forecast WRZ'!J$9)/3</f>
        <v>0</v>
      </c>
      <c r="K24" s="650">
        <f>SUMIFS('EV Data'!$EK$40:$EK$135,'EV Data'!$C$40:$C$135,'EV Forecast WRZ'!K$9)/3</f>
        <v>9</v>
      </c>
      <c r="L24" s="650">
        <f>SUMIFS('EV Data'!$EK$40:$EK$135,'EV Data'!$C$40:$C$135,'EV Forecast WRZ'!L$9)/3</f>
        <v>17</v>
      </c>
      <c r="M24" s="650">
        <f>SUMIFS('EV Data'!$EK$40:$EK$135,'EV Data'!$C$40:$C$135,'EV Forecast WRZ'!M$9)/3</f>
        <v>69</v>
      </c>
      <c r="N24" s="303">
        <f>N35*N$75*N39*N30</f>
        <v>30.598850462790274</v>
      </c>
      <c r="O24" s="303">
        <f>O35*O$75*O39*O30</f>
        <v>38.409439000360074</v>
      </c>
      <c r="P24" s="303">
        <f t="shared" ref="P24:X24" si="23">P35*P$75*P39*P30</f>
        <v>44.974831218442127</v>
      </c>
      <c r="Q24" s="303">
        <f t="shared" si="23"/>
        <v>51.78747534964733</v>
      </c>
      <c r="R24" s="303">
        <f t="shared" si="23"/>
        <v>58.854635313613365</v>
      </c>
      <c r="S24" s="303">
        <f t="shared" si="23"/>
        <v>66.183766685998179</v>
      </c>
      <c r="T24" s="303">
        <f t="shared" si="23"/>
        <v>73.782521459152903</v>
      </c>
      <c r="U24" s="303">
        <f t="shared" si="23"/>
        <v>86.546897671586379</v>
      </c>
      <c r="V24" s="303">
        <f t="shared" si="23"/>
        <v>130.49767005437459</v>
      </c>
      <c r="W24" s="303">
        <f t="shared" si="23"/>
        <v>168.3419943701432</v>
      </c>
      <c r="X24" s="302">
        <f t="shared" si="23"/>
        <v>239.59372221983176</v>
      </c>
    </row>
    <row r="25" spans="2:24">
      <c r="B25" s="849"/>
      <c r="C25" s="853"/>
      <c r="D25" s="247" t="s">
        <v>352</v>
      </c>
      <c r="E25" s="248" t="s">
        <v>218</v>
      </c>
      <c r="F25" s="242">
        <f>F24</f>
        <v>0</v>
      </c>
      <c r="G25" s="242">
        <f>F25+G24</f>
        <v>0</v>
      </c>
      <c r="H25" s="242">
        <f t="shared" ref="H25:K25" si="24">G25+H24</f>
        <v>0</v>
      </c>
      <c r="I25" s="242">
        <f t="shared" si="24"/>
        <v>0</v>
      </c>
      <c r="J25" s="242">
        <f t="shared" si="24"/>
        <v>0</v>
      </c>
      <c r="K25" s="242">
        <f t="shared" si="24"/>
        <v>9</v>
      </c>
      <c r="L25" s="242">
        <f>K25+L24</f>
        <v>26</v>
      </c>
      <c r="M25" s="242">
        <f t="shared" ref="M25:O25" si="25">L25+M24</f>
        <v>95</v>
      </c>
      <c r="N25" s="242">
        <f t="shared" si="25"/>
        <v>125.59885046279027</v>
      </c>
      <c r="O25" s="242">
        <f t="shared" si="25"/>
        <v>164.00828946315033</v>
      </c>
      <c r="P25" s="300">
        <f>O25+P24-F24</f>
        <v>208.98312068159245</v>
      </c>
      <c r="Q25" s="300">
        <f t="shared" ref="Q25:X25" si="26">P25+Q24-G24</f>
        <v>260.77059603123979</v>
      </c>
      <c r="R25" s="300">
        <f t="shared" si="26"/>
        <v>319.62523134485315</v>
      </c>
      <c r="S25" s="300">
        <f t="shared" si="26"/>
        <v>385.80899803085134</v>
      </c>
      <c r="T25" s="300">
        <f t="shared" si="26"/>
        <v>459.59151949000426</v>
      </c>
      <c r="U25" s="300">
        <f t="shared" si="26"/>
        <v>537.13841716159061</v>
      </c>
      <c r="V25" s="300">
        <f t="shared" si="26"/>
        <v>650.63608721596518</v>
      </c>
      <c r="W25" s="300">
        <f t="shared" si="26"/>
        <v>749.97808158610837</v>
      </c>
      <c r="X25" s="299">
        <f t="shared" si="26"/>
        <v>958.97295334314981</v>
      </c>
    </row>
    <row r="26" spans="2:24">
      <c r="B26" s="849"/>
      <c r="C26" s="853"/>
      <c r="D26" s="247" t="s">
        <v>352</v>
      </c>
      <c r="E26" s="248" t="s">
        <v>263</v>
      </c>
      <c r="F26" s="301"/>
      <c r="G26" s="301"/>
      <c r="H26" s="301"/>
      <c r="I26" s="301"/>
      <c r="J26" s="301"/>
      <c r="K26" s="301">
        <f>E6</f>
        <v>6000</v>
      </c>
      <c r="L26" s="301">
        <f t="shared" ref="L26:X26" si="27">K26</f>
        <v>6000</v>
      </c>
      <c r="M26" s="301">
        <f t="shared" si="27"/>
        <v>6000</v>
      </c>
      <c r="N26" s="301">
        <f t="shared" si="27"/>
        <v>6000</v>
      </c>
      <c r="O26" s="301">
        <f t="shared" si="27"/>
        <v>6000</v>
      </c>
      <c r="P26" s="301">
        <f t="shared" si="27"/>
        <v>6000</v>
      </c>
      <c r="Q26" s="301">
        <f t="shared" si="27"/>
        <v>6000</v>
      </c>
      <c r="R26" s="301">
        <f t="shared" si="27"/>
        <v>6000</v>
      </c>
      <c r="S26" s="301">
        <f t="shared" si="27"/>
        <v>6000</v>
      </c>
      <c r="T26" s="301">
        <f t="shared" si="27"/>
        <v>6000</v>
      </c>
      <c r="U26" s="301">
        <f t="shared" si="27"/>
        <v>6000</v>
      </c>
      <c r="V26" s="301">
        <f t="shared" si="27"/>
        <v>6000</v>
      </c>
      <c r="W26" s="301">
        <f t="shared" si="27"/>
        <v>6000</v>
      </c>
      <c r="X26" s="299">
        <f t="shared" si="27"/>
        <v>6000</v>
      </c>
    </row>
    <row r="27" spans="2:24">
      <c r="B27" s="849"/>
      <c r="C27" s="853"/>
      <c r="D27" s="247" t="s">
        <v>352</v>
      </c>
      <c r="E27" s="248" t="s">
        <v>264</v>
      </c>
      <c r="F27" s="301">
        <f>F24*F26</f>
        <v>0</v>
      </c>
      <c r="G27" s="301">
        <f t="shared" ref="G27:X27" si="28">G24*G26</f>
        <v>0</v>
      </c>
      <c r="H27" s="301">
        <f t="shared" si="28"/>
        <v>0</v>
      </c>
      <c r="I27" s="301">
        <f t="shared" si="28"/>
        <v>0</v>
      </c>
      <c r="J27" s="301">
        <f t="shared" si="28"/>
        <v>0</v>
      </c>
      <c r="K27" s="301">
        <f t="shared" si="28"/>
        <v>54000</v>
      </c>
      <c r="L27" s="301">
        <f t="shared" si="28"/>
        <v>102000</v>
      </c>
      <c r="M27" s="301">
        <f t="shared" si="28"/>
        <v>414000</v>
      </c>
      <c r="N27" s="301">
        <f t="shared" si="28"/>
        <v>183593.10277674164</v>
      </c>
      <c r="O27" s="301">
        <f t="shared" si="28"/>
        <v>230456.63400216046</v>
      </c>
      <c r="P27" s="301">
        <f t="shared" si="28"/>
        <v>269848.98731065274</v>
      </c>
      <c r="Q27" s="301">
        <f t="shared" si="28"/>
        <v>310724.852097884</v>
      </c>
      <c r="R27" s="301">
        <f t="shared" si="28"/>
        <v>353127.81188168022</v>
      </c>
      <c r="S27" s="301">
        <f t="shared" si="28"/>
        <v>397102.6001159891</v>
      </c>
      <c r="T27" s="301">
        <f t="shared" si="28"/>
        <v>442695.12875491742</v>
      </c>
      <c r="U27" s="301">
        <f t="shared" si="28"/>
        <v>519281.38602951827</v>
      </c>
      <c r="V27" s="301">
        <f t="shared" si="28"/>
        <v>782986.02032624756</v>
      </c>
      <c r="W27" s="301">
        <f t="shared" si="28"/>
        <v>1010051.9662208592</v>
      </c>
      <c r="X27" s="299">
        <f t="shared" si="28"/>
        <v>1437562.3333189907</v>
      </c>
    </row>
    <row r="28" spans="2:24">
      <c r="B28" s="849"/>
      <c r="C28" s="859"/>
      <c r="D28" s="298" t="s">
        <v>352</v>
      </c>
      <c r="E28" s="297" t="s">
        <v>265</v>
      </c>
      <c r="F28" s="296">
        <f>F25*F26-F24*F26/2</f>
        <v>0</v>
      </c>
      <c r="G28" s="296">
        <f>G25*G26-G24*G26/2</f>
        <v>0</v>
      </c>
      <c r="H28" s="296">
        <f>H25*H26-H24*H26/2</f>
        <v>0</v>
      </c>
      <c r="I28" s="296">
        <f>I25*I26-I24*I26/2</f>
        <v>0</v>
      </c>
      <c r="J28" s="296">
        <f>J25*J26-J24*J26/2</f>
        <v>0</v>
      </c>
      <c r="K28" s="296">
        <f t="shared" ref="K28:X28" si="29">K25*K26-K24*K26/2</f>
        <v>27000</v>
      </c>
      <c r="L28" s="296">
        <f t="shared" si="29"/>
        <v>105000</v>
      </c>
      <c r="M28" s="296">
        <f t="shared" si="29"/>
        <v>363000</v>
      </c>
      <c r="N28" s="296">
        <f t="shared" si="29"/>
        <v>661796.5513883708</v>
      </c>
      <c r="O28" s="296">
        <f t="shared" si="29"/>
        <v>868821.41977782175</v>
      </c>
      <c r="P28" s="296">
        <f t="shared" si="29"/>
        <v>1118974.2304342284</v>
      </c>
      <c r="Q28" s="296">
        <f t="shared" si="29"/>
        <v>1409261.1501384969</v>
      </c>
      <c r="R28" s="296">
        <f t="shared" si="29"/>
        <v>1741187.4821282788</v>
      </c>
      <c r="S28" s="296">
        <f t="shared" si="29"/>
        <v>2116302.6881271135</v>
      </c>
      <c r="T28" s="296">
        <f t="shared" si="29"/>
        <v>2536201.5525625669</v>
      </c>
      <c r="U28" s="296">
        <f t="shared" si="29"/>
        <v>2963189.8099547843</v>
      </c>
      <c r="V28" s="296">
        <f t="shared" si="29"/>
        <v>3512323.5131326672</v>
      </c>
      <c r="W28" s="296">
        <f t="shared" si="29"/>
        <v>3994842.5064062206</v>
      </c>
      <c r="X28" s="243">
        <f t="shared" si="29"/>
        <v>5035056.5533994026</v>
      </c>
    </row>
    <row r="29" spans="2:24">
      <c r="B29" s="849"/>
      <c r="C29" s="288"/>
      <c r="X29" s="287"/>
    </row>
    <row r="30" spans="2:24">
      <c r="B30" s="849"/>
      <c r="C30" s="288"/>
      <c r="E30" s="248" t="s">
        <v>364</v>
      </c>
      <c r="F30" s="228">
        <f>F32/F33</f>
        <v>8.4198708953129378E-3</v>
      </c>
      <c r="G30" s="228">
        <f t="shared" ref="G30:M30" si="30">G32/G33</f>
        <v>9.0068159688412846E-3</v>
      </c>
      <c r="H30" s="228">
        <f t="shared" si="30"/>
        <v>1.0667479427003962E-2</v>
      </c>
      <c r="I30" s="228">
        <f t="shared" si="30"/>
        <v>9.8027202548707261E-3</v>
      </c>
      <c r="J30" s="228">
        <f t="shared" si="30"/>
        <v>1.0458133729168073E-2</v>
      </c>
      <c r="K30" s="228">
        <f t="shared" si="30"/>
        <v>9.090077174145136E-3</v>
      </c>
      <c r="L30" s="228">
        <f t="shared" si="30"/>
        <v>1.0560372719037142E-2</v>
      </c>
      <c r="M30" s="228">
        <f t="shared" si="30"/>
        <v>1.2938380662041817E-2</v>
      </c>
      <c r="N30" s="227">
        <f>AVERAGE(K30:M30)</f>
        <v>1.0862943518408032E-2</v>
      </c>
      <c r="O30" s="227">
        <f>N30</f>
        <v>1.0862943518408032E-2</v>
      </c>
      <c r="P30" s="227">
        <f t="shared" ref="P30:X30" si="31">O30</f>
        <v>1.0862943518408032E-2</v>
      </c>
      <c r="Q30" s="227">
        <f t="shared" si="31"/>
        <v>1.0862943518408032E-2</v>
      </c>
      <c r="R30" s="227">
        <f t="shared" si="31"/>
        <v>1.0862943518408032E-2</v>
      </c>
      <c r="S30" s="227">
        <f t="shared" si="31"/>
        <v>1.0862943518408032E-2</v>
      </c>
      <c r="T30" s="227">
        <f t="shared" si="31"/>
        <v>1.0862943518408032E-2</v>
      </c>
      <c r="U30" s="227">
        <f t="shared" si="31"/>
        <v>1.0862943518408032E-2</v>
      </c>
      <c r="V30" s="227">
        <f t="shared" si="31"/>
        <v>1.0862943518408032E-2</v>
      </c>
      <c r="W30" s="227">
        <f t="shared" si="31"/>
        <v>1.0862943518408032E-2</v>
      </c>
      <c r="X30" s="227">
        <f t="shared" si="31"/>
        <v>1.0862943518408032E-2</v>
      </c>
    </row>
    <row r="31" spans="2:24">
      <c r="B31" s="849"/>
      <c r="C31" s="288"/>
      <c r="X31" s="287"/>
    </row>
    <row r="32" spans="2:24">
      <c r="B32" s="849"/>
      <c r="C32" s="288"/>
      <c r="D32" s="247" t="s">
        <v>352</v>
      </c>
      <c r="E32" s="248" t="s">
        <v>268</v>
      </c>
      <c r="F32" s="214">
        <f>F11</f>
        <v>30</v>
      </c>
      <c r="G32" s="214">
        <f t="shared" ref="G32:L32" si="32">G11</f>
        <v>74</v>
      </c>
      <c r="H32" s="214">
        <f t="shared" si="32"/>
        <v>70</v>
      </c>
      <c r="I32" s="214">
        <f t="shared" si="32"/>
        <v>80</v>
      </c>
      <c r="J32" s="214">
        <f t="shared" si="32"/>
        <v>155</v>
      </c>
      <c r="K32" s="214">
        <f t="shared" si="32"/>
        <v>298</v>
      </c>
      <c r="L32" s="214">
        <f t="shared" si="32"/>
        <v>408</v>
      </c>
      <c r="M32" s="214">
        <f t="shared" ref="M32" si="33">M11</f>
        <v>539</v>
      </c>
      <c r="X32" s="287"/>
    </row>
    <row r="33" spans="2:24">
      <c r="B33" s="849"/>
      <c r="C33" s="288"/>
      <c r="D33" s="241" t="s">
        <v>73</v>
      </c>
      <c r="E33" s="248" t="s">
        <v>268</v>
      </c>
      <c r="F33" s="301">
        <f>SUMIFS('EV Data'!$F$40:$F$135,'EV Data'!$C$40:$C$135,'EV Forecast WRZ'!F$9)/3</f>
        <v>3563</v>
      </c>
      <c r="G33" s="301">
        <f>SUMIFS('EV Data'!$F$40:$F$135,'EV Data'!$C$40:$C$135,'EV Forecast WRZ'!G$9)/3</f>
        <v>8216</v>
      </c>
      <c r="H33" s="301">
        <f>SUMIFS('EV Data'!$F$40:$F$135,'EV Data'!$C$40:$C$135,'EV Forecast WRZ'!H$9)/3</f>
        <v>6562</v>
      </c>
      <c r="I33" s="301">
        <f>SUMIFS('EV Data'!$F$40:$F$135,'EV Data'!$C$40:$C$135,'EV Forecast WRZ'!I$9)/3</f>
        <v>8161</v>
      </c>
      <c r="J33" s="301">
        <f>SUMIFS('EV Data'!$F$40:$F$135,'EV Data'!$C$40:$C$135,'EV Forecast WRZ'!J$9)/3</f>
        <v>14821</v>
      </c>
      <c r="K33" s="301">
        <f>SUMIFS('EV Data'!$F$40:$F$135,'EV Data'!$C$40:$C$135,'EV Forecast WRZ'!K$9)/3</f>
        <v>32783</v>
      </c>
      <c r="L33" s="301">
        <f>SUMIFS('EV Data'!$F$40:$F$135,'EV Data'!$C$40:$C$135,'EV Forecast WRZ'!L$9)/3</f>
        <v>38635</v>
      </c>
      <c r="M33" s="301">
        <f>SUMIFS('EV Data'!$F$40:$F$135,'EV Data'!$C$40:$C$135,'EV Forecast WRZ'!M$9)/3</f>
        <v>41659</v>
      </c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86"/>
    </row>
    <row r="34" spans="2:24">
      <c r="B34" s="849"/>
      <c r="C34" s="285"/>
      <c r="D34" s="240"/>
      <c r="E34" s="297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  <c r="V34" s="296"/>
      <c r="W34" s="296"/>
      <c r="X34" s="243"/>
    </row>
    <row r="35" spans="2:24">
      <c r="B35" s="849"/>
      <c r="C35" s="284"/>
      <c r="D35" s="239" t="s">
        <v>270</v>
      </c>
      <c r="E35" s="305"/>
      <c r="F35" s="283">
        <f t="shared" ref="F35:M35" si="34">F33/F75</f>
        <v>4.4459972922216888E-3</v>
      </c>
      <c r="G35" s="283">
        <f t="shared" si="34"/>
        <v>1.0288351847608171E-2</v>
      </c>
      <c r="H35" s="283">
        <f t="shared" si="34"/>
        <v>8.2429108705428366E-3</v>
      </c>
      <c r="I35" s="283">
        <f t="shared" si="34"/>
        <v>1.3589051497193439E-2</v>
      </c>
      <c r="J35" s="283">
        <f t="shared" si="34"/>
        <v>2.3627859224446331E-2</v>
      </c>
      <c r="K35" s="283">
        <f t="shared" si="34"/>
        <v>5.5143911091524125E-2</v>
      </c>
      <c r="L35" s="283">
        <f t="shared" si="34"/>
        <v>5.7067862529006606E-2</v>
      </c>
      <c r="M35" s="283">
        <f t="shared" si="34"/>
        <v>5.9575581719610506E-2</v>
      </c>
      <c r="N35" s="238">
        <f>($O$35-$L$35)/3+M35</f>
        <v>6.8758876029575727E-2</v>
      </c>
      <c r="O35" s="238">
        <f t="shared" ref="O35:X35" si="35">O74*($M$35/($M$35+$M$67))</f>
        <v>8.4617745458902272E-2</v>
      </c>
      <c r="P35" s="238">
        <f t="shared" si="35"/>
        <v>9.7138827328548144E-2</v>
      </c>
      <c r="Q35" s="238">
        <f t="shared" si="35"/>
        <v>0.10965990919819403</v>
      </c>
      <c r="R35" s="238">
        <f t="shared" si="35"/>
        <v>0.1221809910678399</v>
      </c>
      <c r="S35" s="238">
        <f t="shared" si="35"/>
        <v>0.13470207293748579</v>
      </c>
      <c r="T35" s="238">
        <f t="shared" si="35"/>
        <v>0.14722315480713163</v>
      </c>
      <c r="U35" s="238">
        <f t="shared" si="35"/>
        <v>0.1693066280282014</v>
      </c>
      <c r="V35" s="238">
        <f t="shared" si="35"/>
        <v>0.25027936317212379</v>
      </c>
      <c r="W35" s="238">
        <f t="shared" si="35"/>
        <v>0.31652978283533301</v>
      </c>
      <c r="X35" s="237">
        <f t="shared" si="35"/>
        <v>0.44166946442139493</v>
      </c>
    </row>
    <row r="36" spans="2:24">
      <c r="B36" s="849"/>
      <c r="C36" s="288"/>
      <c r="F36" s="282"/>
      <c r="G36" s="282"/>
      <c r="H36" s="282"/>
      <c r="I36" s="282"/>
      <c r="J36" s="282"/>
      <c r="K36" s="282"/>
      <c r="L36" s="282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5"/>
    </row>
    <row r="37" spans="2:24">
      <c r="B37" s="849"/>
      <c r="C37" s="288"/>
      <c r="D37" s="241" t="s">
        <v>73</v>
      </c>
      <c r="E37" s="248" t="s">
        <v>271</v>
      </c>
      <c r="F37" s="282">
        <f>F15/F$12</f>
        <v>1</v>
      </c>
      <c r="G37" s="282">
        <f t="shared" ref="G37:M37" si="36">G15/G$12</f>
        <v>1</v>
      </c>
      <c r="H37" s="282">
        <f t="shared" si="36"/>
        <v>1</v>
      </c>
      <c r="I37" s="282">
        <f t="shared" si="36"/>
        <v>1</v>
      </c>
      <c r="J37" s="282">
        <f t="shared" si="36"/>
        <v>1</v>
      </c>
      <c r="K37" s="282">
        <f t="shared" si="36"/>
        <v>0.98585572842998581</v>
      </c>
      <c r="L37" s="282">
        <f t="shared" si="36"/>
        <v>0.97578475336322867</v>
      </c>
      <c r="M37" s="282">
        <f t="shared" si="36"/>
        <v>0.94074969770253924</v>
      </c>
      <c r="N37" s="236">
        <f t="shared" ref="N37:X39" si="37">M37</f>
        <v>0.94074969770253924</v>
      </c>
      <c r="O37" s="236">
        <f t="shared" si="37"/>
        <v>0.94074969770253924</v>
      </c>
      <c r="P37" s="236">
        <f t="shared" si="37"/>
        <v>0.94074969770253924</v>
      </c>
      <c r="Q37" s="236">
        <f t="shared" si="37"/>
        <v>0.94074969770253924</v>
      </c>
      <c r="R37" s="236">
        <f t="shared" si="37"/>
        <v>0.94074969770253924</v>
      </c>
      <c r="S37" s="236">
        <f t="shared" si="37"/>
        <v>0.94074969770253924</v>
      </c>
      <c r="T37" s="236">
        <f t="shared" si="37"/>
        <v>0.94074969770253924</v>
      </c>
      <c r="U37" s="236">
        <f t="shared" si="37"/>
        <v>0.94074969770253924</v>
      </c>
      <c r="V37" s="236">
        <f t="shared" si="37"/>
        <v>0.94074969770253924</v>
      </c>
      <c r="W37" s="236">
        <f t="shared" si="37"/>
        <v>0.94074969770253924</v>
      </c>
      <c r="X37" s="235">
        <f t="shared" si="37"/>
        <v>0.94074969770253924</v>
      </c>
    </row>
    <row r="38" spans="2:24">
      <c r="B38" s="849"/>
      <c r="C38" s="288"/>
      <c r="D38" s="241" t="s">
        <v>73</v>
      </c>
      <c r="E38" s="248" t="s">
        <v>272</v>
      </c>
      <c r="F38" s="282">
        <f>F20/F$12</f>
        <v>0</v>
      </c>
      <c r="G38" s="282">
        <f t="shared" ref="G38:M38" si="38">G20/G$12</f>
        <v>0</v>
      </c>
      <c r="H38" s="282">
        <f t="shared" si="38"/>
        <v>0</v>
      </c>
      <c r="I38" s="282">
        <f t="shared" si="38"/>
        <v>0</v>
      </c>
      <c r="J38" s="282">
        <f t="shared" si="38"/>
        <v>0</v>
      </c>
      <c r="K38" s="282">
        <f t="shared" si="38"/>
        <v>1.4144271570014145E-3</v>
      </c>
      <c r="L38" s="282">
        <f t="shared" si="38"/>
        <v>8.9686098654708521E-4</v>
      </c>
      <c r="M38" s="282">
        <f t="shared" si="38"/>
        <v>1.8137847642079807E-3</v>
      </c>
      <c r="N38" s="236">
        <f t="shared" si="37"/>
        <v>1.8137847642079807E-3</v>
      </c>
      <c r="O38" s="236">
        <f t="shared" si="37"/>
        <v>1.8137847642079807E-3</v>
      </c>
      <c r="P38" s="236">
        <f t="shared" si="37"/>
        <v>1.8137847642079807E-3</v>
      </c>
      <c r="Q38" s="236">
        <f t="shared" si="37"/>
        <v>1.8137847642079807E-3</v>
      </c>
      <c r="R38" s="236">
        <f t="shared" si="37"/>
        <v>1.8137847642079807E-3</v>
      </c>
      <c r="S38" s="236">
        <f t="shared" si="37"/>
        <v>1.8137847642079807E-3</v>
      </c>
      <c r="T38" s="236">
        <f t="shared" si="37"/>
        <v>1.8137847642079807E-3</v>
      </c>
      <c r="U38" s="236">
        <f t="shared" si="37"/>
        <v>1.8137847642079807E-3</v>
      </c>
      <c r="V38" s="236">
        <f t="shared" si="37"/>
        <v>1.8137847642079807E-3</v>
      </c>
      <c r="W38" s="236">
        <f t="shared" si="37"/>
        <v>1.8137847642079807E-3</v>
      </c>
      <c r="X38" s="235">
        <f t="shared" si="37"/>
        <v>1.8137847642079807E-3</v>
      </c>
    </row>
    <row r="39" spans="2:24">
      <c r="B39" s="849"/>
      <c r="C39" s="288"/>
      <c r="D39" s="241" t="s">
        <v>73</v>
      </c>
      <c r="E39" s="248" t="s">
        <v>273</v>
      </c>
      <c r="F39" s="282">
        <f>F25/F$12</f>
        <v>0</v>
      </c>
      <c r="G39" s="282">
        <f t="shared" ref="G39:M39" si="39">G25/G$12</f>
        <v>0</v>
      </c>
      <c r="H39" s="282">
        <f t="shared" si="39"/>
        <v>0</v>
      </c>
      <c r="I39" s="282">
        <f t="shared" si="39"/>
        <v>0</v>
      </c>
      <c r="J39" s="282">
        <f t="shared" si="39"/>
        <v>0</v>
      </c>
      <c r="K39" s="282">
        <f t="shared" si="39"/>
        <v>1.272984441301273E-2</v>
      </c>
      <c r="L39" s="282">
        <f t="shared" si="39"/>
        <v>2.3318385650224215E-2</v>
      </c>
      <c r="M39" s="282">
        <f t="shared" si="39"/>
        <v>5.7436517533252719E-2</v>
      </c>
      <c r="N39" s="236">
        <f>M39</f>
        <v>5.7436517533252719E-2</v>
      </c>
      <c r="O39" s="236">
        <f t="shared" si="37"/>
        <v>5.7436517533252719E-2</v>
      </c>
      <c r="P39" s="236">
        <f t="shared" si="37"/>
        <v>5.7436517533252719E-2</v>
      </c>
      <c r="Q39" s="236">
        <f t="shared" si="37"/>
        <v>5.7436517533252719E-2</v>
      </c>
      <c r="R39" s="236">
        <f t="shared" si="37"/>
        <v>5.7436517533252719E-2</v>
      </c>
      <c r="S39" s="236">
        <f t="shared" si="37"/>
        <v>5.7436517533252719E-2</v>
      </c>
      <c r="T39" s="236">
        <f t="shared" si="37"/>
        <v>5.7436517533252719E-2</v>
      </c>
      <c r="U39" s="236">
        <f t="shared" si="37"/>
        <v>5.7436517533252719E-2</v>
      </c>
      <c r="V39" s="236">
        <f t="shared" si="37"/>
        <v>5.7436517533252719E-2</v>
      </c>
      <c r="W39" s="236">
        <f t="shared" si="37"/>
        <v>5.7436517533252719E-2</v>
      </c>
      <c r="X39" s="235">
        <f t="shared" si="37"/>
        <v>5.7436517533252719E-2</v>
      </c>
    </row>
    <row r="40" spans="2:24">
      <c r="B40" s="860"/>
      <c r="C40" s="288"/>
      <c r="D40" s="241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  <c r="X40" s="243"/>
    </row>
    <row r="41" spans="2:24">
      <c r="B41" s="848" t="s">
        <v>221</v>
      </c>
      <c r="C41" s="284"/>
      <c r="D41" s="305"/>
      <c r="E41" s="249"/>
      <c r="F41" s="307">
        <v>2017</v>
      </c>
      <c r="G41" s="307">
        <v>2018</v>
      </c>
      <c r="H41" s="307">
        <v>2019</v>
      </c>
      <c r="I41" s="307">
        <v>2020</v>
      </c>
      <c r="J41" s="307">
        <v>2021</v>
      </c>
      <c r="K41" s="307">
        <v>2022</v>
      </c>
      <c r="L41" s="307">
        <v>2023</v>
      </c>
      <c r="M41" s="307">
        <v>2024</v>
      </c>
      <c r="N41" s="307">
        <v>2025</v>
      </c>
      <c r="O41" s="307">
        <v>2026</v>
      </c>
      <c r="P41" s="307">
        <v>2027</v>
      </c>
      <c r="Q41" s="307">
        <v>2028</v>
      </c>
      <c r="R41" s="307">
        <v>2029</v>
      </c>
      <c r="S41" s="307">
        <v>2030</v>
      </c>
      <c r="T41" s="307">
        <v>2031</v>
      </c>
      <c r="U41" s="307">
        <v>2032</v>
      </c>
      <c r="V41" s="307">
        <v>2033</v>
      </c>
      <c r="W41" s="307">
        <v>2034</v>
      </c>
      <c r="X41" s="307">
        <v>2035</v>
      </c>
    </row>
    <row r="42" spans="2:24">
      <c r="B42" s="849"/>
      <c r="C42" s="288"/>
      <c r="X42" s="287"/>
    </row>
    <row r="43" spans="2:24">
      <c r="B43" s="849"/>
      <c r="C43" s="851" t="s">
        <v>260</v>
      </c>
      <c r="D43" s="247" t="s">
        <v>352</v>
      </c>
      <c r="E43" s="248" t="s">
        <v>261</v>
      </c>
      <c r="F43" s="301">
        <f>SUMIFS('EV Data'!$EN$40:$EN$135,'EV Data'!$C$40:$C$135,'EV Forecast WRZ'!F$9)/3</f>
        <v>41</v>
      </c>
      <c r="G43" s="301">
        <f>SUMIFS('EV Data'!$EN$40:$EN$135,'EV Data'!$C$40:$C$135,'EV Forecast WRZ'!G$9)/3</f>
        <v>66</v>
      </c>
      <c r="H43" s="301">
        <f>SUMIFS('EV Data'!$EN$40:$EN$135,'EV Data'!$C$40:$C$135,'EV Forecast WRZ'!H$9)/3</f>
        <v>20</v>
      </c>
      <c r="I43" s="301">
        <f>SUMIFS('EV Data'!$EN$40:$EN$135,'EV Data'!$C$40:$C$135,'EV Forecast WRZ'!I$9)/3</f>
        <v>17</v>
      </c>
      <c r="J43" s="301">
        <f>SUMIFS('EV Data'!$EN$40:$EN$135,'EV Data'!$C$40:$C$135,'EV Forecast WRZ'!J$9)/3</f>
        <v>43</v>
      </c>
      <c r="K43" s="301">
        <f>SUMIFS('EV Data'!$EN$40:$EN$135,'EV Data'!$C$40:$C$135,'EV Forecast WRZ'!K$9)/3</f>
        <v>73</v>
      </c>
      <c r="L43" s="301">
        <f>SUMIFS('EV Data'!$EN$40:$EN$135,'EV Data'!$C$40:$C$135,'EV Forecast WRZ'!L$9)/3</f>
        <v>130</v>
      </c>
      <c r="M43" s="301">
        <f>SUMIFS('EV Data'!$EN$40:$EN$135,'EV Data'!$C$40:$C$135,'EV Forecast WRZ'!M$9)/3</f>
        <v>208</v>
      </c>
      <c r="N43" s="246">
        <f>N46+N51+N56</f>
        <v>273.38912211295303</v>
      </c>
      <c r="O43" s="246">
        <f t="shared" ref="O43:X43" si="40">O46+O51+O56</f>
        <v>276.97475823539639</v>
      </c>
      <c r="P43" s="246">
        <f t="shared" si="40"/>
        <v>324.31853543315202</v>
      </c>
      <c r="Q43" s="246">
        <f t="shared" si="40"/>
        <v>373.44527381552376</v>
      </c>
      <c r="R43" s="246">
        <f t="shared" si="40"/>
        <v>424.40735431901703</v>
      </c>
      <c r="S43" s="246">
        <f t="shared" si="40"/>
        <v>477.25853993312381</v>
      </c>
      <c r="T43" s="246">
        <f>T46+T51+T56</f>
        <v>532.05401003006716</v>
      </c>
      <c r="U43" s="246">
        <f t="shared" si="40"/>
        <v>624.0993537652688</v>
      </c>
      <c r="V43" s="246">
        <f t="shared" si="40"/>
        <v>941.03328645997931</v>
      </c>
      <c r="W43" s="246">
        <f t="shared" si="40"/>
        <v>1213.9329395333732</v>
      </c>
      <c r="X43" s="245">
        <f t="shared" si="40"/>
        <v>1727.7371139405218</v>
      </c>
    </row>
    <row r="44" spans="2:24">
      <c r="B44" s="849"/>
      <c r="C44" s="851"/>
      <c r="D44" s="247" t="s">
        <v>352</v>
      </c>
      <c r="E44" s="248" t="s">
        <v>218</v>
      </c>
      <c r="F44" s="301">
        <f>F43</f>
        <v>41</v>
      </c>
      <c r="G44" s="301">
        <f>F44+G43</f>
        <v>107</v>
      </c>
      <c r="H44" s="301">
        <f t="shared" ref="H44" si="41">G44+H43</f>
        <v>127</v>
      </c>
      <c r="I44" s="301">
        <f t="shared" ref="I44" si="42">H44+I43</f>
        <v>144</v>
      </c>
      <c r="J44" s="301">
        <f t="shared" ref="J44" si="43">I44+J43</f>
        <v>187</v>
      </c>
      <c r="K44" s="301">
        <f t="shared" ref="K44" si="44">J44+K43</f>
        <v>260</v>
      </c>
      <c r="L44" s="301">
        <f t="shared" ref="L44" si="45">K44+L43</f>
        <v>390</v>
      </c>
      <c r="M44" s="301">
        <f t="shared" ref="M44" si="46">L44+M43</f>
        <v>598</v>
      </c>
      <c r="N44" s="246">
        <f t="shared" ref="N44" si="47">M44+N43</f>
        <v>871.38912211295303</v>
      </c>
      <c r="O44" s="246">
        <f t="shared" ref="O44" si="48">N44+O43</f>
        <v>1148.3638803483495</v>
      </c>
      <c r="P44" s="246">
        <f t="shared" ref="P44" si="49">O44+P43</f>
        <v>1472.6824157815015</v>
      </c>
      <c r="Q44" s="246">
        <f t="shared" ref="Q44" si="50">P44+Q43</f>
        <v>1846.1276895970252</v>
      </c>
      <c r="R44" s="246">
        <f t="shared" ref="R44" si="51">Q44+R43</f>
        <v>2270.535043916042</v>
      </c>
      <c r="S44" s="246">
        <f t="shared" ref="S44" si="52">R44+S43</f>
        <v>2747.7935838491658</v>
      </c>
      <c r="T44" s="246">
        <f>S44+T43-F43</f>
        <v>3238.847593879233</v>
      </c>
      <c r="U44" s="246">
        <f t="shared" ref="U44:V44" si="53">T44+U43-G43</f>
        <v>3796.946947644502</v>
      </c>
      <c r="V44" s="246">
        <f t="shared" si="53"/>
        <v>4717.9802341044815</v>
      </c>
      <c r="W44" s="246">
        <f>V44+W43-I43</f>
        <v>5914.9131736378549</v>
      </c>
      <c r="X44" s="245">
        <f>W44+X43-J43</f>
        <v>7599.6502875783772</v>
      </c>
    </row>
    <row r="45" spans="2:24">
      <c r="B45" s="849"/>
      <c r="C45" s="288"/>
      <c r="D45" s="247"/>
      <c r="G45" s="244"/>
      <c r="X45" s="287"/>
    </row>
    <row r="46" spans="2:24">
      <c r="B46" s="849"/>
      <c r="C46" s="852" t="s">
        <v>262</v>
      </c>
      <c r="D46" s="306" t="s">
        <v>352</v>
      </c>
      <c r="E46" s="305" t="s">
        <v>261</v>
      </c>
      <c r="F46" s="304">
        <f>SUMIFS('EV Data'!$EO$40:$EO$135,'EV Data'!$C$40:$C$135,'EV Forecast WRZ'!F$9)/3+SUMIFS('EV Data'!$EQ$40:$EQ$135,'EV Data'!$C$40:$C$135,'EV Forecast WRZ'!F$9)/3</f>
        <v>32</v>
      </c>
      <c r="G46" s="304">
        <f>SUMIFS('EV Data'!$EO$40:$EO$135,'EV Data'!$C$40:$C$135,'EV Forecast WRZ'!G$9)/3+SUMIFS('EV Data'!$EQ$40:$EQ$135,'EV Data'!$C$40:$C$135,'EV Forecast WRZ'!G$9)/3</f>
        <v>63</v>
      </c>
      <c r="H46" s="304">
        <f>SUMIFS('EV Data'!$EO$40:$EO$135,'EV Data'!$C$40:$C$135,'EV Forecast WRZ'!H$9)/3+SUMIFS('EV Data'!$EQ$40:$EQ$135,'EV Data'!$C$40:$C$135,'EV Forecast WRZ'!H$9)/3</f>
        <v>20</v>
      </c>
      <c r="I46" s="304">
        <f>SUMIFS('EV Data'!$EO$40:$EO$135,'EV Data'!$C$40:$C$135,'EV Forecast WRZ'!I$9)/3+SUMIFS('EV Data'!$EQ$40:$EQ$135,'EV Data'!$C$40:$C$135,'EV Forecast WRZ'!I$9)/3</f>
        <v>14</v>
      </c>
      <c r="J46" s="304">
        <f>SUMIFS('EV Data'!$EO$40:$EO$135,'EV Data'!$C$40:$C$135,'EV Forecast WRZ'!J$9)/3+SUMIFS('EV Data'!$EQ$40:$EQ$135,'EV Data'!$C$40:$C$135,'EV Forecast WRZ'!J$9)/3</f>
        <v>43</v>
      </c>
      <c r="K46" s="304">
        <f>SUMIFS('EV Data'!$EO$40:$EO$135,'EV Data'!$C$40:$C$135,'EV Forecast WRZ'!K$9)/3+SUMIFS('EV Data'!$EQ$40:$EQ$135,'EV Data'!$C$40:$C$135,'EV Forecast WRZ'!K$9)/3</f>
        <v>69</v>
      </c>
      <c r="L46" s="304">
        <f>SUMIFS('EV Data'!$EO$40:$EO$135,'EV Data'!$C$40:$C$135,'EV Forecast WRZ'!L$9)/3+SUMIFS('EV Data'!$EQ$40:$EQ$135,'EV Data'!$C$40:$C$135,'EV Forecast WRZ'!L$9)/3</f>
        <v>127</v>
      </c>
      <c r="M46" s="304">
        <f>SUMIFS('EV Data'!$EO$40:$EO$135,'EV Data'!$C$40:$C$135,'EV Forecast WRZ'!M$9)/3+SUMIFS('EV Data'!$EQ$40:$EQ$135,'EV Data'!$C$40:$C$135,'EV Forecast WRZ'!M$9)/3</f>
        <v>206</v>
      </c>
      <c r="N46" s="303">
        <f t="shared" ref="N46:X46" si="54">N67*N$75*N69*N62</f>
        <v>262.41698343283451</v>
      </c>
      <c r="O46" s="303">
        <f t="shared" si="54"/>
        <v>265.85871442661795</v>
      </c>
      <c r="P46" s="303">
        <f t="shared" si="54"/>
        <v>311.30240692078473</v>
      </c>
      <c r="Q46" s="303">
        <f t="shared" si="54"/>
        <v>358.45750362894756</v>
      </c>
      <c r="R46" s="303">
        <f t="shared" si="54"/>
        <v>407.37428324266853</v>
      </c>
      <c r="S46" s="303">
        <f t="shared" si="54"/>
        <v>458.10435103948674</v>
      </c>
      <c r="T46" s="303">
        <f t="shared" si="54"/>
        <v>510.7006718348805</v>
      </c>
      <c r="U46" s="303">
        <f t="shared" si="54"/>
        <v>599.0518880623149</v>
      </c>
      <c r="V46" s="303">
        <f t="shared" si="54"/>
        <v>903.26606426091655</v>
      </c>
      <c r="W46" s="303">
        <f t="shared" si="54"/>
        <v>1165.2132228965822</v>
      </c>
      <c r="X46" s="303">
        <f t="shared" si="54"/>
        <v>1658.3964939830428</v>
      </c>
    </row>
    <row r="47" spans="2:24">
      <c r="B47" s="849"/>
      <c r="C47" s="853"/>
      <c r="D47" s="247" t="s">
        <v>352</v>
      </c>
      <c r="E47" s="248" t="s">
        <v>218</v>
      </c>
      <c r="F47" s="301">
        <f>F46</f>
        <v>32</v>
      </c>
      <c r="G47" s="301">
        <f>F47+G46</f>
        <v>95</v>
      </c>
      <c r="H47" s="301">
        <f t="shared" ref="H47" si="55">G47+H46</f>
        <v>115</v>
      </c>
      <c r="I47" s="301">
        <f t="shared" ref="I47" si="56">H47+I46</f>
        <v>129</v>
      </c>
      <c r="J47" s="301">
        <f t="shared" ref="J47" si="57">I47+J46</f>
        <v>172</v>
      </c>
      <c r="K47" s="301">
        <f t="shared" ref="K47" si="58">J47+K46</f>
        <v>241</v>
      </c>
      <c r="L47" s="301">
        <f>K47+L46</f>
        <v>368</v>
      </c>
      <c r="M47" s="300">
        <f>L47+M46</f>
        <v>574</v>
      </c>
      <c r="N47" s="300">
        <f>M47+N46</f>
        <v>836.41698343283451</v>
      </c>
      <c r="O47" s="300">
        <f t="shared" ref="O47" si="59">N47+O46</f>
        <v>1102.2756978594525</v>
      </c>
      <c r="P47" s="300">
        <f>O47+P46-F46</f>
        <v>1381.5781047802373</v>
      </c>
      <c r="Q47" s="300">
        <f t="shared" ref="Q47:X47" si="60">P47+Q46-G46</f>
        <v>1677.0356084091848</v>
      </c>
      <c r="R47" s="300">
        <f t="shared" si="60"/>
        <v>2064.4098916518533</v>
      </c>
      <c r="S47" s="300">
        <f t="shared" si="60"/>
        <v>2508.5142426913399</v>
      </c>
      <c r="T47" s="300">
        <f t="shared" si="60"/>
        <v>2976.2149145262201</v>
      </c>
      <c r="U47" s="300">
        <f t="shared" si="60"/>
        <v>3506.266802588535</v>
      </c>
      <c r="V47" s="300">
        <f t="shared" si="60"/>
        <v>4282.5328668494512</v>
      </c>
      <c r="W47" s="300">
        <f t="shared" si="60"/>
        <v>5241.7460897460332</v>
      </c>
      <c r="X47" s="299">
        <f t="shared" si="60"/>
        <v>6637.7256002962422</v>
      </c>
    </row>
    <row r="48" spans="2:24">
      <c r="B48" s="849"/>
      <c r="C48" s="853"/>
      <c r="D48" s="247" t="s">
        <v>352</v>
      </c>
      <c r="E48" s="248" t="s">
        <v>263</v>
      </c>
      <c r="F48" s="301">
        <f>E3*0.6</f>
        <v>2014.8</v>
      </c>
      <c r="G48" s="301">
        <f>F48</f>
        <v>2014.8</v>
      </c>
      <c r="H48" s="301">
        <f t="shared" ref="H48" si="61">G48</f>
        <v>2014.8</v>
      </c>
      <c r="I48" s="301">
        <f t="shared" ref="I48" si="62">H48</f>
        <v>2014.8</v>
      </c>
      <c r="J48" s="301">
        <f t="shared" ref="J48" si="63">I48</f>
        <v>2014.8</v>
      </c>
      <c r="K48" s="301">
        <f t="shared" ref="K48" si="64">J48</f>
        <v>2014.8</v>
      </c>
      <c r="L48" s="301">
        <f t="shared" ref="L48" si="65">K48</f>
        <v>2014.8</v>
      </c>
      <c r="M48" s="301">
        <f t="shared" ref="M48" si="66">L48</f>
        <v>2014.8</v>
      </c>
      <c r="N48" s="301">
        <f t="shared" ref="N48" si="67">M48</f>
        <v>2014.8</v>
      </c>
      <c r="O48" s="301">
        <f t="shared" ref="O48" si="68">N48</f>
        <v>2014.8</v>
      </c>
      <c r="P48" s="301">
        <f t="shared" ref="P48" si="69">O48</f>
        <v>2014.8</v>
      </c>
      <c r="Q48" s="301">
        <f t="shared" ref="Q48" si="70">P48</f>
        <v>2014.8</v>
      </c>
      <c r="R48" s="301">
        <f t="shared" ref="R48" si="71">Q48</f>
        <v>2014.8</v>
      </c>
      <c r="S48" s="301">
        <f t="shared" ref="S48" si="72">R48</f>
        <v>2014.8</v>
      </c>
      <c r="T48" s="301">
        <f t="shared" ref="T48" si="73">S48</f>
        <v>2014.8</v>
      </c>
      <c r="U48" s="301">
        <f t="shared" ref="U48" si="74">T48</f>
        <v>2014.8</v>
      </c>
      <c r="V48" s="301">
        <f t="shared" ref="V48" si="75">U48</f>
        <v>2014.8</v>
      </c>
      <c r="W48" s="301">
        <f t="shared" ref="W48" si="76">V48</f>
        <v>2014.8</v>
      </c>
      <c r="X48" s="299">
        <f t="shared" ref="X48" si="77">W48</f>
        <v>2014.8</v>
      </c>
    </row>
    <row r="49" spans="2:24">
      <c r="B49" s="849"/>
      <c r="C49" s="853"/>
      <c r="D49" s="247" t="s">
        <v>352</v>
      </c>
      <c r="E49" s="248" t="s">
        <v>264</v>
      </c>
      <c r="F49" s="301">
        <f t="shared" ref="F49" si="78">F46*F48</f>
        <v>64473.599999999999</v>
      </c>
      <c r="G49" s="301">
        <f t="shared" ref="G49:X49" si="79">G46*G48</f>
        <v>126932.4</v>
      </c>
      <c r="H49" s="301">
        <f t="shared" si="79"/>
        <v>40296</v>
      </c>
      <c r="I49" s="301">
        <f t="shared" si="79"/>
        <v>28207.200000000001</v>
      </c>
      <c r="J49" s="301">
        <f t="shared" si="79"/>
        <v>86636.4</v>
      </c>
      <c r="K49" s="301">
        <f t="shared" si="79"/>
        <v>139021.19999999998</v>
      </c>
      <c r="L49" s="301">
        <f t="shared" si="79"/>
        <v>255879.6</v>
      </c>
      <c r="M49" s="301">
        <f t="shared" si="79"/>
        <v>415048.8</v>
      </c>
      <c r="N49" s="301">
        <f t="shared" si="79"/>
        <v>528717.73822047492</v>
      </c>
      <c r="O49" s="301">
        <f t="shared" si="79"/>
        <v>535652.13782674982</v>
      </c>
      <c r="P49" s="301">
        <f t="shared" si="79"/>
        <v>627212.08946399705</v>
      </c>
      <c r="Q49" s="301">
        <f t="shared" si="79"/>
        <v>722220.17831160349</v>
      </c>
      <c r="R49" s="301">
        <f t="shared" si="79"/>
        <v>820777.70587732852</v>
      </c>
      <c r="S49" s="301">
        <f t="shared" si="79"/>
        <v>922988.64647435793</v>
      </c>
      <c r="T49" s="301">
        <f t="shared" si="79"/>
        <v>1028959.7136129172</v>
      </c>
      <c r="U49" s="301">
        <f t="shared" si="79"/>
        <v>1206969.744067952</v>
      </c>
      <c r="V49" s="301">
        <f t="shared" si="79"/>
        <v>1819900.4662728945</v>
      </c>
      <c r="W49" s="301">
        <f t="shared" si="79"/>
        <v>2347671.6014920338</v>
      </c>
      <c r="X49" s="299">
        <f t="shared" si="79"/>
        <v>3341337.2560770344</v>
      </c>
    </row>
    <row r="50" spans="2:24">
      <c r="B50" s="849"/>
      <c r="C50" s="859"/>
      <c r="D50" s="298" t="s">
        <v>352</v>
      </c>
      <c r="E50" s="297" t="s">
        <v>265</v>
      </c>
      <c r="F50" s="296">
        <f t="shared" ref="F50" si="80">F47*F48-F46*F48/2</f>
        <v>32236.799999999999</v>
      </c>
      <c r="G50" s="296">
        <f>G47*G48-G46*G48/2</f>
        <v>127939.8</v>
      </c>
      <c r="H50" s="296">
        <f>H47*H48-H46*H48/2</f>
        <v>211554</v>
      </c>
      <c r="I50" s="296">
        <f>I47*I48-I46*I48/2</f>
        <v>245805.59999999998</v>
      </c>
      <c r="J50" s="296">
        <f>J47*J48-J46*J48/2</f>
        <v>303227.39999999997</v>
      </c>
      <c r="K50" s="296">
        <f t="shared" ref="K50:X50" si="81">K47*K48-K46*K48/2</f>
        <v>416056.2</v>
      </c>
      <c r="L50" s="296">
        <f t="shared" si="81"/>
        <v>613506.6</v>
      </c>
      <c r="M50" s="296">
        <f>M47*M48-M46*M48/2</f>
        <v>948970.79999999993</v>
      </c>
      <c r="N50" s="296">
        <f t="shared" si="81"/>
        <v>1420854.0691102375</v>
      </c>
      <c r="O50" s="296">
        <f t="shared" si="81"/>
        <v>1953039.0071338499</v>
      </c>
      <c r="P50" s="296">
        <f t="shared" si="81"/>
        <v>2469997.5207792236</v>
      </c>
      <c r="Q50" s="296">
        <f t="shared" si="81"/>
        <v>3017781.2546670237</v>
      </c>
      <c r="R50" s="296">
        <f t="shared" si="81"/>
        <v>3748984.1967614898</v>
      </c>
      <c r="S50" s="296">
        <f t="shared" si="81"/>
        <v>4592660.1729373327</v>
      </c>
      <c r="T50" s="296">
        <f t="shared" si="81"/>
        <v>5481997.9529809691</v>
      </c>
      <c r="U50" s="296">
        <f t="shared" si="81"/>
        <v>6460941.4818214038</v>
      </c>
      <c r="V50" s="296">
        <f t="shared" si="81"/>
        <v>7718496.9869918264</v>
      </c>
      <c r="W50" s="296">
        <f t="shared" si="81"/>
        <v>9387234.2208742909</v>
      </c>
      <c r="X50" s="243">
        <f t="shared" si="81"/>
        <v>11703020.91143835</v>
      </c>
    </row>
    <row r="51" spans="2:24">
      <c r="B51" s="849"/>
      <c r="C51" s="853" t="s">
        <v>266</v>
      </c>
      <c r="D51" s="306" t="s">
        <v>352</v>
      </c>
      <c r="E51" s="248" t="s">
        <v>261</v>
      </c>
      <c r="F51" s="214">
        <f>SUMIFS('EV Data'!$ER$40:$ER$135,'EV Data'!$C$40:$C$135,'EV Forecast WRZ'!F$9)/3</f>
        <v>9</v>
      </c>
      <c r="G51" s="214">
        <f>SUMIFS('EV Data'!$ER$40:$ER$135,'EV Data'!$C$40:$C$135,'EV Forecast WRZ'!G$9)/3</f>
        <v>3</v>
      </c>
      <c r="H51" s="214">
        <f>SUMIFS('EV Data'!$ER$40:$ER$135,'EV Data'!$C$40:$C$135,'EV Forecast WRZ'!H$9)/3</f>
        <v>0</v>
      </c>
      <c r="I51" s="214">
        <f>SUMIFS('EV Data'!$ER$40:$ER$135,'EV Data'!$C$40:$C$135,'EV Forecast WRZ'!I$9)/3</f>
        <v>3</v>
      </c>
      <c r="J51" s="214">
        <f>SUMIFS('EV Data'!$ER$40:$ER$135,'EV Data'!$C$40:$C$135,'EV Forecast WRZ'!J$9)/3</f>
        <v>0</v>
      </c>
      <c r="K51" s="214">
        <f>SUMIFS('EV Data'!$ER$40:$ER$135,'EV Data'!$C$40:$C$135,'EV Forecast WRZ'!K$9)/3</f>
        <v>4</v>
      </c>
      <c r="L51" s="214">
        <f>SUMIFS('EV Data'!$ER$40:$ER$135,'EV Data'!$C$40:$C$135,'EV Forecast WRZ'!L$9)/3</f>
        <v>3</v>
      </c>
      <c r="M51" s="214">
        <f>SUMIFS('EV Data'!$ER$40:$ER$135,'EV Data'!$C$40:$C$135,'EV Forecast WRZ'!M$9)/3</f>
        <v>2</v>
      </c>
      <c r="N51" s="303">
        <f>N67*N$75*N70*N62</f>
        <v>10.972138680118514</v>
      </c>
      <c r="O51" s="303">
        <f>O67*O$75*O70*O62</f>
        <v>11.116043808778452</v>
      </c>
      <c r="P51" s="303">
        <f t="shared" ref="P51:X51" si="82">P67*P$75*P70*P62</f>
        <v>13.016128512367306</v>
      </c>
      <c r="Q51" s="303">
        <f t="shared" si="82"/>
        <v>14.987770186576205</v>
      </c>
      <c r="R51" s="303">
        <f t="shared" si="82"/>
        <v>17.033071076348509</v>
      </c>
      <c r="S51" s="303">
        <f>S67*S$75*S70*S62</f>
        <v>19.154188893637077</v>
      </c>
      <c r="T51" s="303">
        <f t="shared" si="82"/>
        <v>21.353338195186645</v>
      </c>
      <c r="U51" s="303">
        <f t="shared" si="82"/>
        <v>25.047465702953932</v>
      </c>
      <c r="V51" s="303">
        <f t="shared" si="82"/>
        <v>37.767222199062715</v>
      </c>
      <c r="W51" s="303">
        <f t="shared" si="82"/>
        <v>48.719716636790892</v>
      </c>
      <c r="X51" s="302">
        <f t="shared" si="82"/>
        <v>69.340619957479134</v>
      </c>
    </row>
    <row r="52" spans="2:24">
      <c r="B52" s="849"/>
      <c r="C52" s="853"/>
      <c r="D52" s="247" t="s">
        <v>352</v>
      </c>
      <c r="E52" s="248" t="s">
        <v>218</v>
      </c>
      <c r="F52" s="242">
        <f>F51</f>
        <v>9</v>
      </c>
      <c r="G52" s="242">
        <f>F52+G51</f>
        <v>12</v>
      </c>
      <c r="H52" s="242">
        <f t="shared" ref="H52" si="83">G52+H51</f>
        <v>12</v>
      </c>
      <c r="I52" s="242">
        <f t="shared" ref="I52" si="84">H52+I51</f>
        <v>15</v>
      </c>
      <c r="J52" s="242">
        <f t="shared" ref="J52" si="85">I52+J51</f>
        <v>15</v>
      </c>
      <c r="K52" s="242">
        <f t="shared" ref="K52" si="86">J52+K51</f>
        <v>19</v>
      </c>
      <c r="L52" s="242">
        <f>K52+L51</f>
        <v>22</v>
      </c>
      <c r="M52" s="242">
        <f>L52+M51</f>
        <v>24</v>
      </c>
      <c r="N52" s="242">
        <f>M52+N51</f>
        <v>34.972138680118512</v>
      </c>
      <c r="O52" s="242">
        <f>N52+O51</f>
        <v>46.088182488896962</v>
      </c>
      <c r="P52" s="300">
        <f>O52+P51-F51</f>
        <v>50.104311001264264</v>
      </c>
      <c r="Q52" s="300">
        <f>P52+Q51-G51</f>
        <v>62.092081187840463</v>
      </c>
      <c r="R52" s="300">
        <f>Q52+R51-H51</f>
        <v>79.125152264188969</v>
      </c>
      <c r="S52" s="300">
        <f t="shared" ref="S52:X52" si="87">R52+S51-I51</f>
        <v>95.279341157826053</v>
      </c>
      <c r="T52" s="300">
        <f t="shared" si="87"/>
        <v>116.63267935301269</v>
      </c>
      <c r="U52" s="300">
        <f t="shared" si="87"/>
        <v>137.68014505596662</v>
      </c>
      <c r="V52" s="300">
        <f t="shared" si="87"/>
        <v>172.44736725502935</v>
      </c>
      <c r="W52" s="300">
        <f t="shared" si="87"/>
        <v>219.16708389182025</v>
      </c>
      <c r="X52" s="299">
        <f t="shared" si="87"/>
        <v>277.53556516918087</v>
      </c>
    </row>
    <row r="53" spans="2:24">
      <c r="B53" s="849"/>
      <c r="C53" s="853"/>
      <c r="D53" s="247" t="s">
        <v>352</v>
      </c>
      <c r="E53" s="248" t="s">
        <v>263</v>
      </c>
      <c r="F53" s="301">
        <f>E5*0.6</f>
        <v>3000</v>
      </c>
      <c r="G53" s="301">
        <f t="shared" ref="G53" si="88">F53</f>
        <v>3000</v>
      </c>
      <c r="H53" s="301">
        <f t="shared" ref="H53" si="89">G53</f>
        <v>3000</v>
      </c>
      <c r="I53" s="301">
        <f t="shared" ref="I53" si="90">H53</f>
        <v>3000</v>
      </c>
      <c r="J53" s="301">
        <f t="shared" ref="J53" si="91">I53</f>
        <v>3000</v>
      </c>
      <c r="K53" s="301">
        <f>J53</f>
        <v>3000</v>
      </c>
      <c r="L53" s="301">
        <f t="shared" ref="L53" si="92">K53</f>
        <v>3000</v>
      </c>
      <c r="M53" s="301">
        <f t="shared" ref="M53" si="93">L53</f>
        <v>3000</v>
      </c>
      <c r="N53" s="301">
        <f t="shared" ref="N53" si="94">M53</f>
        <v>3000</v>
      </c>
      <c r="O53" s="301">
        <f t="shared" ref="O53" si="95">N53</f>
        <v>3000</v>
      </c>
      <c r="P53" s="301">
        <f t="shared" ref="P53" si="96">O53</f>
        <v>3000</v>
      </c>
      <c r="Q53" s="301">
        <f t="shared" ref="Q53" si="97">P53</f>
        <v>3000</v>
      </c>
      <c r="R53" s="301">
        <f t="shared" ref="R53" si="98">Q53</f>
        <v>3000</v>
      </c>
      <c r="S53" s="301">
        <f t="shared" ref="S53" si="99">R53</f>
        <v>3000</v>
      </c>
      <c r="T53" s="301">
        <f t="shared" ref="T53" si="100">S53</f>
        <v>3000</v>
      </c>
      <c r="U53" s="301">
        <f t="shared" ref="U53" si="101">T53</f>
        <v>3000</v>
      </c>
      <c r="V53" s="301">
        <f t="shared" ref="V53" si="102">U53</f>
        <v>3000</v>
      </c>
      <c r="W53" s="301">
        <f t="shared" ref="W53" si="103">V53</f>
        <v>3000</v>
      </c>
      <c r="X53" s="299">
        <f t="shared" ref="X53" si="104">W53</f>
        <v>3000</v>
      </c>
    </row>
    <row r="54" spans="2:24">
      <c r="B54" s="849"/>
      <c r="C54" s="853"/>
      <c r="D54" s="247" t="s">
        <v>352</v>
      </c>
      <c r="E54" s="248" t="s">
        <v>264</v>
      </c>
      <c r="F54" s="301">
        <f t="shared" ref="F54" si="105">F51*F53</f>
        <v>27000</v>
      </c>
      <c r="G54" s="301">
        <f t="shared" ref="G54:X54" si="106">G51*G53</f>
        <v>9000</v>
      </c>
      <c r="H54" s="301">
        <f t="shared" si="106"/>
        <v>0</v>
      </c>
      <c r="I54" s="301">
        <f t="shared" si="106"/>
        <v>9000</v>
      </c>
      <c r="J54" s="301">
        <f t="shared" si="106"/>
        <v>0</v>
      </c>
      <c r="K54" s="301">
        <f t="shared" si="106"/>
        <v>12000</v>
      </c>
      <c r="L54" s="301">
        <f t="shared" si="106"/>
        <v>9000</v>
      </c>
      <c r="M54" s="301">
        <f t="shared" si="106"/>
        <v>6000</v>
      </c>
      <c r="N54" s="301">
        <f t="shared" si="106"/>
        <v>32916.416040355543</v>
      </c>
      <c r="O54" s="301">
        <f t="shared" si="106"/>
        <v>33348.131426335356</v>
      </c>
      <c r="P54" s="301">
        <f t="shared" si="106"/>
        <v>39048.385537101916</v>
      </c>
      <c r="Q54" s="301">
        <f t="shared" si="106"/>
        <v>44963.310559728612</v>
      </c>
      <c r="R54" s="301">
        <f t="shared" si="106"/>
        <v>51099.213229045527</v>
      </c>
      <c r="S54" s="301">
        <f t="shared" si="106"/>
        <v>57462.56668091123</v>
      </c>
      <c r="T54" s="301">
        <f t="shared" si="106"/>
        <v>64060.014585559933</v>
      </c>
      <c r="U54" s="301">
        <f t="shared" si="106"/>
        <v>75142.397108861798</v>
      </c>
      <c r="V54" s="301">
        <f t="shared" si="106"/>
        <v>113301.66659718814</v>
      </c>
      <c r="W54" s="301">
        <f t="shared" si="106"/>
        <v>146159.14991037268</v>
      </c>
      <c r="X54" s="299">
        <f t="shared" si="106"/>
        <v>208021.8598724374</v>
      </c>
    </row>
    <row r="55" spans="2:24">
      <c r="B55" s="849"/>
      <c r="C55" s="853"/>
      <c r="D55" s="298" t="s">
        <v>352</v>
      </c>
      <c r="E55" s="248" t="s">
        <v>265</v>
      </c>
      <c r="F55" s="296">
        <f t="shared" ref="F55" si="107">F52*F53-F51*F53/2</f>
        <v>13500</v>
      </c>
      <c r="G55" s="296">
        <f>G52*G53-G51*G53/2</f>
        <v>31500</v>
      </c>
      <c r="H55" s="296">
        <f>H52*H53-H51*H53/2</f>
        <v>36000</v>
      </c>
      <c r="I55" s="296">
        <f>I52*I53-I51*I53/2</f>
        <v>40500</v>
      </c>
      <c r="J55" s="296">
        <f>J52*J53-J51*J53/2</f>
        <v>45000</v>
      </c>
      <c r="K55" s="296">
        <f t="shared" ref="K55:X55" si="108">K52*K53-K51*K53/2</f>
        <v>51000</v>
      </c>
      <c r="L55" s="296">
        <f t="shared" si="108"/>
        <v>61500</v>
      </c>
      <c r="M55" s="296">
        <f t="shared" si="108"/>
        <v>69000</v>
      </c>
      <c r="N55" s="296">
        <f>N52*N53-N51*N53/2</f>
        <v>88458.208020177757</v>
      </c>
      <c r="O55" s="296">
        <f>O52*O53-O51*O53/2</f>
        <v>121590.4817535232</v>
      </c>
      <c r="P55" s="296">
        <f>P52*P53-P51*P53/2</f>
        <v>130788.74023524184</v>
      </c>
      <c r="Q55" s="296">
        <f t="shared" si="108"/>
        <v>163794.5882836571</v>
      </c>
      <c r="R55" s="296">
        <f t="shared" si="108"/>
        <v>211825.85017804414</v>
      </c>
      <c r="S55" s="296">
        <f t="shared" si="108"/>
        <v>257106.74013302254</v>
      </c>
      <c r="T55" s="296">
        <f t="shared" si="108"/>
        <v>317868.03076625807</v>
      </c>
      <c r="U55" s="296">
        <f t="shared" si="108"/>
        <v>375469.23661346897</v>
      </c>
      <c r="V55" s="296">
        <f t="shared" si="108"/>
        <v>460691.26846649399</v>
      </c>
      <c r="W55" s="296">
        <f t="shared" si="108"/>
        <v>584421.67672027438</v>
      </c>
      <c r="X55" s="243">
        <f t="shared" si="108"/>
        <v>728595.76557132392</v>
      </c>
    </row>
    <row r="56" spans="2:24">
      <c r="B56" s="849"/>
      <c r="C56" s="852" t="s">
        <v>267</v>
      </c>
      <c r="D56" s="306" t="s">
        <v>352</v>
      </c>
      <c r="E56" s="305" t="s">
        <v>261</v>
      </c>
      <c r="F56" s="295">
        <f>SUMIFS('EV Data'!$EP$40:$EP$135,'EV Data'!$C$40:$C$135,'EV Forecast WRZ'!F$9)/3</f>
        <v>0</v>
      </c>
      <c r="G56" s="295">
        <f>SUMIFS('EV Data'!$EP$40:$EP$135,'EV Data'!$C$40:$C$135,'EV Forecast WRZ'!G$9)/3</f>
        <v>0</v>
      </c>
      <c r="H56" s="295">
        <f>SUMIFS('EV Data'!$EP$40:$EP$135,'EV Data'!$C$40:$C$135,'EV Forecast WRZ'!H$9)/3</f>
        <v>0</v>
      </c>
      <c r="I56" s="295">
        <f>SUMIFS('EV Data'!$EP$40:$EP$135,'EV Data'!$C$40:$C$135,'EV Forecast WRZ'!I$9)/3</f>
        <v>0</v>
      </c>
      <c r="J56" s="295">
        <f>SUMIFS('EV Data'!$EP$40:$EP$135,'EV Data'!$C$40:$C$135,'EV Forecast WRZ'!J$9)/3</f>
        <v>0</v>
      </c>
      <c r="K56" s="295">
        <f>SUMIFS('EV Data'!$EP$40:$EP$135,'EV Data'!$C$40:$C$135,'EV Forecast WRZ'!K$9)/3</f>
        <v>0</v>
      </c>
      <c r="L56" s="295">
        <f>SUMIFS('EV Data'!$EP$40:$EP$135,'EV Data'!$C$40:$C$135,'EV Forecast WRZ'!L$9)/3</f>
        <v>0</v>
      </c>
      <c r="M56" s="295">
        <f>SUMIFS('EV Data'!$EP$40:$EP$135,'EV Data'!$C$40:$C$135,'EV Forecast WRZ'!M$9)/3</f>
        <v>0</v>
      </c>
      <c r="N56" s="303">
        <f t="shared" ref="N56:X56" si="109">N67*N$75*N71*N62</f>
        <v>0</v>
      </c>
      <c r="O56" s="303">
        <f t="shared" si="109"/>
        <v>0</v>
      </c>
      <c r="P56" s="303">
        <f t="shared" si="109"/>
        <v>0</v>
      </c>
      <c r="Q56" s="303">
        <f t="shared" si="109"/>
        <v>0</v>
      </c>
      <c r="R56" s="303">
        <f t="shared" si="109"/>
        <v>0</v>
      </c>
      <c r="S56" s="303">
        <f t="shared" si="109"/>
        <v>0</v>
      </c>
      <c r="T56" s="303">
        <f t="shared" si="109"/>
        <v>0</v>
      </c>
      <c r="U56" s="303">
        <f t="shared" si="109"/>
        <v>0</v>
      </c>
      <c r="V56" s="303">
        <f t="shared" si="109"/>
        <v>0</v>
      </c>
      <c r="W56" s="303">
        <f t="shared" si="109"/>
        <v>0</v>
      </c>
      <c r="X56" s="302">
        <f t="shared" si="109"/>
        <v>0</v>
      </c>
    </row>
    <row r="57" spans="2:24">
      <c r="B57" s="849"/>
      <c r="C57" s="853"/>
      <c r="D57" s="247" t="s">
        <v>352</v>
      </c>
      <c r="E57" s="248" t="s">
        <v>218</v>
      </c>
      <c r="F57" s="242">
        <f t="shared" ref="F57" si="110">F56</f>
        <v>0</v>
      </c>
      <c r="G57" s="242">
        <f t="shared" ref="G57:L57" si="111">G56</f>
        <v>0</v>
      </c>
      <c r="H57" s="242">
        <f t="shared" si="111"/>
        <v>0</v>
      </c>
      <c r="I57" s="242">
        <f t="shared" si="111"/>
        <v>0</v>
      </c>
      <c r="J57" s="242">
        <f t="shared" si="111"/>
        <v>0</v>
      </c>
      <c r="K57" s="242">
        <f t="shared" si="111"/>
        <v>0</v>
      </c>
      <c r="L57" s="242">
        <f t="shared" si="111"/>
        <v>0</v>
      </c>
      <c r="M57" s="242">
        <f>M56</f>
        <v>0</v>
      </c>
      <c r="N57" s="242">
        <f t="shared" ref="N57" si="112">M57+N56</f>
        <v>0</v>
      </c>
      <c r="O57" s="242">
        <f t="shared" ref="O57" si="113">N57+O56</f>
        <v>0</v>
      </c>
      <c r="P57" s="300">
        <f>O57+P56-F56</f>
        <v>0</v>
      </c>
      <c r="Q57" s="300">
        <f t="shared" ref="Q57:X57" si="114">P57+Q56-G56</f>
        <v>0</v>
      </c>
      <c r="R57" s="300">
        <f t="shared" si="114"/>
        <v>0</v>
      </c>
      <c r="S57" s="300">
        <f t="shared" si="114"/>
        <v>0</v>
      </c>
      <c r="T57" s="300">
        <f t="shared" si="114"/>
        <v>0</v>
      </c>
      <c r="U57" s="300">
        <f t="shared" si="114"/>
        <v>0</v>
      </c>
      <c r="V57" s="300">
        <f t="shared" si="114"/>
        <v>0</v>
      </c>
      <c r="W57" s="300">
        <f t="shared" si="114"/>
        <v>0</v>
      </c>
      <c r="X57" s="299">
        <f t="shared" si="114"/>
        <v>0</v>
      </c>
    </row>
    <row r="58" spans="2:24">
      <c r="B58" s="849"/>
      <c r="C58" s="853"/>
      <c r="D58" s="247" t="s">
        <v>352</v>
      </c>
      <c r="E58" s="248" t="s">
        <v>263</v>
      </c>
      <c r="F58" s="301"/>
      <c r="G58" s="301"/>
      <c r="H58" s="301"/>
      <c r="I58" s="301"/>
      <c r="J58" s="301"/>
      <c r="K58" s="301">
        <f>E6*0.6</f>
        <v>3600</v>
      </c>
      <c r="L58" s="301">
        <f t="shared" ref="L58" si="115">K58</f>
        <v>3600</v>
      </c>
      <c r="M58" s="301">
        <f t="shared" ref="M58" si="116">L58</f>
        <v>3600</v>
      </c>
      <c r="N58" s="301">
        <f t="shared" ref="N58" si="117">M58</f>
        <v>3600</v>
      </c>
      <c r="O58" s="301">
        <f t="shared" ref="O58" si="118">N58</f>
        <v>3600</v>
      </c>
      <c r="P58" s="301">
        <f t="shared" ref="P58" si="119">O58</f>
        <v>3600</v>
      </c>
      <c r="Q58" s="301">
        <f t="shared" ref="Q58" si="120">P58</f>
        <v>3600</v>
      </c>
      <c r="R58" s="301">
        <f t="shared" ref="R58" si="121">Q58</f>
        <v>3600</v>
      </c>
      <c r="S58" s="301">
        <f t="shared" ref="S58" si="122">R58</f>
        <v>3600</v>
      </c>
      <c r="T58" s="301">
        <f t="shared" ref="T58" si="123">S58</f>
        <v>3600</v>
      </c>
      <c r="U58" s="301">
        <f t="shared" ref="U58" si="124">T58</f>
        <v>3600</v>
      </c>
      <c r="V58" s="301">
        <f t="shared" ref="V58" si="125">U58</f>
        <v>3600</v>
      </c>
      <c r="W58" s="301">
        <f t="shared" ref="W58" si="126">V58</f>
        <v>3600</v>
      </c>
      <c r="X58" s="299">
        <f t="shared" ref="X58" si="127">W58</f>
        <v>3600</v>
      </c>
    </row>
    <row r="59" spans="2:24">
      <c r="B59" s="849"/>
      <c r="C59" s="853"/>
      <c r="D59" s="247" t="s">
        <v>352</v>
      </c>
      <c r="E59" s="248" t="s">
        <v>264</v>
      </c>
      <c r="F59" s="301">
        <f>F56*F58</f>
        <v>0</v>
      </c>
      <c r="G59" s="301">
        <f t="shared" ref="G59:X59" si="128">G56*G58</f>
        <v>0</v>
      </c>
      <c r="H59" s="301">
        <f t="shared" si="128"/>
        <v>0</v>
      </c>
      <c r="I59" s="301">
        <f t="shared" si="128"/>
        <v>0</v>
      </c>
      <c r="J59" s="301">
        <f t="shared" si="128"/>
        <v>0</v>
      </c>
      <c r="K59" s="301">
        <f t="shared" si="128"/>
        <v>0</v>
      </c>
      <c r="L59" s="301">
        <f t="shared" si="128"/>
        <v>0</v>
      </c>
      <c r="M59" s="301">
        <f t="shared" si="128"/>
        <v>0</v>
      </c>
      <c r="N59" s="301">
        <f t="shared" si="128"/>
        <v>0</v>
      </c>
      <c r="O59" s="301">
        <f t="shared" si="128"/>
        <v>0</v>
      </c>
      <c r="P59" s="301">
        <f t="shared" si="128"/>
        <v>0</v>
      </c>
      <c r="Q59" s="301">
        <f t="shared" si="128"/>
        <v>0</v>
      </c>
      <c r="R59" s="301">
        <f t="shared" si="128"/>
        <v>0</v>
      </c>
      <c r="S59" s="301">
        <f t="shared" si="128"/>
        <v>0</v>
      </c>
      <c r="T59" s="301">
        <f t="shared" si="128"/>
        <v>0</v>
      </c>
      <c r="U59" s="301">
        <f t="shared" si="128"/>
        <v>0</v>
      </c>
      <c r="V59" s="301">
        <f t="shared" si="128"/>
        <v>0</v>
      </c>
      <c r="W59" s="301">
        <f t="shared" si="128"/>
        <v>0</v>
      </c>
      <c r="X59" s="299">
        <f t="shared" si="128"/>
        <v>0</v>
      </c>
    </row>
    <row r="60" spans="2:24">
      <c r="B60" s="849"/>
      <c r="C60" s="859"/>
      <c r="D60" s="298" t="s">
        <v>352</v>
      </c>
      <c r="E60" s="297" t="s">
        <v>265</v>
      </c>
      <c r="F60" s="296">
        <f>F57*F58-F56*F58/2</f>
        <v>0</v>
      </c>
      <c r="G60" s="296">
        <f>G57*G58-G56*G58/2</f>
        <v>0</v>
      </c>
      <c r="H60" s="296">
        <f>H57*H58-H56*H58/2</f>
        <v>0</v>
      </c>
      <c r="I60" s="296">
        <f>I57*I58-I56*I58/2</f>
        <v>0</v>
      </c>
      <c r="J60" s="296">
        <f>J57*J58-J56*J58/2</f>
        <v>0</v>
      </c>
      <c r="K60" s="296">
        <f t="shared" ref="K60:X60" si="129">K57*K58-K56*K58/2</f>
        <v>0</v>
      </c>
      <c r="L60" s="296">
        <f t="shared" si="129"/>
        <v>0</v>
      </c>
      <c r="M60" s="296">
        <f t="shared" si="129"/>
        <v>0</v>
      </c>
      <c r="N60" s="296">
        <f t="shared" si="129"/>
        <v>0</v>
      </c>
      <c r="O60" s="296">
        <f t="shared" si="129"/>
        <v>0</v>
      </c>
      <c r="P60" s="296">
        <f t="shared" si="129"/>
        <v>0</v>
      </c>
      <c r="Q60" s="296">
        <f t="shared" si="129"/>
        <v>0</v>
      </c>
      <c r="R60" s="296">
        <f t="shared" si="129"/>
        <v>0</v>
      </c>
      <c r="S60" s="296">
        <f t="shared" si="129"/>
        <v>0</v>
      </c>
      <c r="T60" s="296">
        <f t="shared" si="129"/>
        <v>0</v>
      </c>
      <c r="U60" s="296">
        <f t="shared" si="129"/>
        <v>0</v>
      </c>
      <c r="V60" s="296">
        <f t="shared" si="129"/>
        <v>0</v>
      </c>
      <c r="W60" s="296">
        <f t="shared" si="129"/>
        <v>0</v>
      </c>
      <c r="X60" s="243">
        <f t="shared" si="129"/>
        <v>0</v>
      </c>
    </row>
    <row r="61" spans="2:24">
      <c r="B61" s="849"/>
      <c r="C61" s="288"/>
      <c r="X61" s="287"/>
    </row>
    <row r="62" spans="2:24">
      <c r="B62" s="849"/>
      <c r="C62" s="288"/>
      <c r="E62" s="248" t="s">
        <v>364</v>
      </c>
      <c r="F62" s="228">
        <f>F64/F65</f>
        <v>8.8840736728060671E-3</v>
      </c>
      <c r="G62" s="228">
        <f t="shared" ref="G62:M62" si="130">G64/G65</f>
        <v>7.7247191011235953E-3</v>
      </c>
      <c r="H62" s="228">
        <f t="shared" si="130"/>
        <v>6.4871878040869283E-3</v>
      </c>
      <c r="I62" s="228">
        <f t="shared" si="130"/>
        <v>7.2156196943972831E-3</v>
      </c>
      <c r="J62" s="228">
        <f t="shared" si="130"/>
        <v>8.6189617157747048E-3</v>
      </c>
      <c r="K62" s="228">
        <f t="shared" si="130"/>
        <v>1.2417077734308555E-2</v>
      </c>
      <c r="L62" s="228">
        <f t="shared" si="130"/>
        <v>1.1307297555884143E-2</v>
      </c>
      <c r="M62" s="228">
        <f t="shared" si="130"/>
        <v>1.3927949645105129E-2</v>
      </c>
      <c r="N62" s="227">
        <f>AVERAGE(K62:M62)</f>
        <v>1.2550774978432608E-2</v>
      </c>
      <c r="O62" s="227">
        <f>N62</f>
        <v>1.2550774978432608E-2</v>
      </c>
      <c r="P62" s="227">
        <f t="shared" ref="P62:X62" si="131">O62</f>
        <v>1.2550774978432608E-2</v>
      </c>
      <c r="Q62" s="227">
        <f t="shared" si="131"/>
        <v>1.2550774978432608E-2</v>
      </c>
      <c r="R62" s="227">
        <f t="shared" si="131"/>
        <v>1.2550774978432608E-2</v>
      </c>
      <c r="S62" s="227">
        <f t="shared" si="131"/>
        <v>1.2550774978432608E-2</v>
      </c>
      <c r="T62" s="227">
        <f t="shared" si="131"/>
        <v>1.2550774978432608E-2</v>
      </c>
      <c r="U62" s="227">
        <f t="shared" si="131"/>
        <v>1.2550774978432608E-2</v>
      </c>
      <c r="V62" s="227">
        <f t="shared" si="131"/>
        <v>1.2550774978432608E-2</v>
      </c>
      <c r="W62" s="227">
        <f t="shared" si="131"/>
        <v>1.2550774978432608E-2</v>
      </c>
      <c r="X62" s="227">
        <f t="shared" si="131"/>
        <v>1.2550774978432608E-2</v>
      </c>
    </row>
    <row r="63" spans="2:24">
      <c r="B63" s="849"/>
      <c r="C63" s="288"/>
      <c r="X63" s="287"/>
    </row>
    <row r="64" spans="2:24">
      <c r="B64" s="849"/>
      <c r="C64" s="288"/>
      <c r="D64" s="247" t="s">
        <v>352</v>
      </c>
      <c r="E64" s="248" t="s">
        <v>268</v>
      </c>
      <c r="F64" s="214">
        <f>F43</f>
        <v>41</v>
      </c>
      <c r="G64" s="214">
        <f t="shared" ref="G64:M64" si="132">G43</f>
        <v>66</v>
      </c>
      <c r="H64" s="214">
        <f t="shared" si="132"/>
        <v>20</v>
      </c>
      <c r="I64" s="214">
        <f t="shared" si="132"/>
        <v>17</v>
      </c>
      <c r="J64" s="214">
        <f t="shared" si="132"/>
        <v>43</v>
      </c>
      <c r="K64" s="214">
        <f t="shared" si="132"/>
        <v>73</v>
      </c>
      <c r="L64" s="214">
        <f t="shared" si="132"/>
        <v>130</v>
      </c>
      <c r="M64" s="214">
        <f t="shared" si="132"/>
        <v>208</v>
      </c>
      <c r="X64" s="287"/>
    </row>
    <row r="65" spans="2:29">
      <c r="B65" s="849"/>
      <c r="C65" s="288"/>
      <c r="D65" s="241" t="s">
        <v>73</v>
      </c>
      <c r="E65" s="248" t="s">
        <v>268</v>
      </c>
      <c r="F65" s="301">
        <f>SUMIFS('EV Data'!$K$40:$K$135,'EV Data'!$C$40:$C$135,'EV Forecast WRZ'!F$9)/3</f>
        <v>4615</v>
      </c>
      <c r="G65" s="301">
        <f>SUMIFS('EV Data'!$K$40:$K$135,'EV Data'!$C$40:$C$135,'EV Forecast WRZ'!G$9)/3</f>
        <v>8544</v>
      </c>
      <c r="H65" s="301">
        <f>SUMIFS('EV Data'!$K$40:$K$135,'EV Data'!$C$40:$C$135,'EV Forecast WRZ'!H$9)/3</f>
        <v>3083</v>
      </c>
      <c r="I65" s="301">
        <f>SUMIFS('EV Data'!$K$40:$K$135,'EV Data'!$C$40:$C$135,'EV Forecast WRZ'!I$9)/3</f>
        <v>2356</v>
      </c>
      <c r="J65" s="301">
        <f>SUMIFS('EV Data'!$K$40:$K$135,'EV Data'!$C$40:$C$135,'EV Forecast WRZ'!J$9)/3</f>
        <v>4989</v>
      </c>
      <c r="K65" s="301">
        <f>SUMIFS('EV Data'!$K$40:$K$135,'EV Data'!$C$40:$C$135,'EV Forecast WRZ'!K$9)/3</f>
        <v>5879</v>
      </c>
      <c r="L65" s="301">
        <f>SUMIFS('EV Data'!$K$40:$K$135,'EV Data'!$C$40:$C$135,'EV Forecast WRZ'!L$9)/3</f>
        <v>11497</v>
      </c>
      <c r="M65" s="301">
        <f>SUMIFS('EV Data'!$K$40:$K$135,'EV Data'!$C$40:$C$135,'EV Forecast WRZ'!M$9)/3</f>
        <v>14934</v>
      </c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86"/>
    </row>
    <row r="66" spans="2:29">
      <c r="B66" s="849"/>
      <c r="C66" s="284"/>
      <c r="D66" s="239"/>
      <c r="E66" s="305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225"/>
    </row>
    <row r="67" spans="2:29">
      <c r="B67" s="849"/>
      <c r="C67" s="288"/>
      <c r="D67" s="241" t="s">
        <v>270</v>
      </c>
      <c r="F67" s="282">
        <f t="shared" ref="F67:M67" si="133">F65/F75</f>
        <v>5.7587082524847297E-3</v>
      </c>
      <c r="G67" s="282">
        <f t="shared" si="133"/>
        <v>1.0699084491962538E-2</v>
      </c>
      <c r="H67" s="282">
        <f t="shared" si="133"/>
        <v>3.872736088674728E-3</v>
      </c>
      <c r="I67" s="282">
        <f t="shared" si="133"/>
        <v>3.9230247919847744E-3</v>
      </c>
      <c r="J67" s="282">
        <f t="shared" si="133"/>
        <v>7.9535382005777432E-3</v>
      </c>
      <c r="K67" s="282">
        <f t="shared" si="133"/>
        <v>9.8889989722438561E-3</v>
      </c>
      <c r="L67" s="282">
        <f t="shared" si="133"/>
        <v>1.6982249656942901E-2</v>
      </c>
      <c r="M67" s="282">
        <f t="shared" si="133"/>
        <v>2.1356771343543132E-2</v>
      </c>
      <c r="N67" s="234">
        <f>($O$35-$L$35)/3+M67</f>
        <v>3.0540065653508353E-2</v>
      </c>
      <c r="O67" s="234">
        <f>O74*($M$67/($M$35+$M$67))</f>
        <v>3.0333935300493206E-2</v>
      </c>
      <c r="P67" s="234">
        <f>P74*($M$67/($M$35+$M$67))</f>
        <v>3.4822517278968242E-2</v>
      </c>
      <c r="Q67" s="234">
        <f t="shared" ref="Q67:X67" si="134">Q74*($M$67/($M$35+$M$67))</f>
        <v>3.9311099257443284E-2</v>
      </c>
      <c r="R67" s="234">
        <f t="shared" si="134"/>
        <v>4.379968123591832E-2</v>
      </c>
      <c r="S67" s="234">
        <f t="shared" si="134"/>
        <v>4.8288263214393355E-2</v>
      </c>
      <c r="T67" s="234">
        <f t="shared" si="134"/>
        <v>5.2776845192868384E-2</v>
      </c>
      <c r="U67" s="234">
        <f t="shared" si="134"/>
        <v>6.0693371971798644E-2</v>
      </c>
      <c r="V67" s="234">
        <f t="shared" si="134"/>
        <v>8.972063682787626E-2</v>
      </c>
      <c r="W67" s="234">
        <f t="shared" si="134"/>
        <v>0.11347021716466701</v>
      </c>
      <c r="X67" s="233">
        <f t="shared" si="134"/>
        <v>0.15833053557860513</v>
      </c>
    </row>
    <row r="68" spans="2:29">
      <c r="B68" s="849"/>
      <c r="C68" s="288"/>
      <c r="F68" s="282"/>
      <c r="G68" s="282"/>
      <c r="H68" s="282"/>
      <c r="I68" s="282"/>
      <c r="J68" s="282"/>
      <c r="K68" s="282"/>
      <c r="L68" s="282"/>
      <c r="M68" s="236"/>
      <c r="N68" s="236"/>
      <c r="O68" s="236"/>
      <c r="X68" s="287"/>
    </row>
    <row r="69" spans="2:29">
      <c r="B69" s="849"/>
      <c r="C69" s="288"/>
      <c r="D69" s="241" t="s">
        <v>73</v>
      </c>
      <c r="E69" s="248" t="s">
        <v>271</v>
      </c>
      <c r="F69" s="282">
        <f>F47/F44</f>
        <v>0.78048780487804881</v>
      </c>
      <c r="G69" s="282">
        <f t="shared" ref="G69:M69" si="135">G47/G44</f>
        <v>0.88785046728971961</v>
      </c>
      <c r="H69" s="282">
        <f t="shared" si="135"/>
        <v>0.90551181102362199</v>
      </c>
      <c r="I69" s="282">
        <f t="shared" si="135"/>
        <v>0.89583333333333337</v>
      </c>
      <c r="J69" s="282">
        <f t="shared" si="135"/>
        <v>0.9197860962566845</v>
      </c>
      <c r="K69" s="282">
        <f t="shared" si="135"/>
        <v>0.92692307692307696</v>
      </c>
      <c r="L69" s="282">
        <f t="shared" si="135"/>
        <v>0.94358974358974357</v>
      </c>
      <c r="M69" s="282">
        <f t="shared" si="135"/>
        <v>0.95986622073578598</v>
      </c>
      <c r="N69" s="236">
        <f t="shared" ref="N69:N71" si="136">M69</f>
        <v>0.95986622073578598</v>
      </c>
      <c r="O69" s="236">
        <f t="shared" ref="O69:O71" si="137">N69</f>
        <v>0.95986622073578598</v>
      </c>
      <c r="P69" s="236">
        <f t="shared" ref="P69:P71" si="138">O69</f>
        <v>0.95986622073578598</v>
      </c>
      <c r="Q69" s="236">
        <f t="shared" ref="Q69:Q71" si="139">P69</f>
        <v>0.95986622073578598</v>
      </c>
      <c r="R69" s="236">
        <f t="shared" ref="R69:R71" si="140">Q69</f>
        <v>0.95986622073578598</v>
      </c>
      <c r="S69" s="236">
        <f t="shared" ref="S69:S71" si="141">R69</f>
        <v>0.95986622073578598</v>
      </c>
      <c r="T69" s="236">
        <f t="shared" ref="T69:T71" si="142">S69</f>
        <v>0.95986622073578598</v>
      </c>
      <c r="U69" s="236">
        <f t="shared" ref="U69:U71" si="143">T69</f>
        <v>0.95986622073578598</v>
      </c>
      <c r="V69" s="236">
        <f t="shared" ref="V69:V71" si="144">U69</f>
        <v>0.95986622073578598</v>
      </c>
      <c r="W69" s="236">
        <f t="shared" ref="W69:W71" si="145">V69</f>
        <v>0.95986622073578598</v>
      </c>
      <c r="X69" s="235">
        <f t="shared" ref="X69:X71" si="146">W69</f>
        <v>0.95986622073578598</v>
      </c>
    </row>
    <row r="70" spans="2:29">
      <c r="B70" s="849"/>
      <c r="C70" s="288"/>
      <c r="D70" s="241" t="s">
        <v>73</v>
      </c>
      <c r="E70" s="248" t="s">
        <v>272</v>
      </c>
      <c r="F70" s="282">
        <f>F52/F44</f>
        <v>0.21951219512195122</v>
      </c>
      <c r="G70" s="282">
        <f t="shared" ref="G70:M70" si="147">G52/G44</f>
        <v>0.11214953271028037</v>
      </c>
      <c r="H70" s="282">
        <f t="shared" si="147"/>
        <v>9.4488188976377951E-2</v>
      </c>
      <c r="I70" s="282">
        <f t="shared" si="147"/>
        <v>0.10416666666666667</v>
      </c>
      <c r="J70" s="282">
        <f t="shared" si="147"/>
        <v>8.0213903743315509E-2</v>
      </c>
      <c r="K70" s="282">
        <f t="shared" si="147"/>
        <v>7.3076923076923081E-2</v>
      </c>
      <c r="L70" s="282">
        <f t="shared" si="147"/>
        <v>5.6410256410256411E-2</v>
      </c>
      <c r="M70" s="282">
        <f t="shared" si="147"/>
        <v>4.0133779264214048E-2</v>
      </c>
      <c r="N70" s="236">
        <f t="shared" si="136"/>
        <v>4.0133779264214048E-2</v>
      </c>
      <c r="O70" s="236">
        <f t="shared" si="137"/>
        <v>4.0133779264214048E-2</v>
      </c>
      <c r="P70" s="236">
        <f t="shared" si="138"/>
        <v>4.0133779264214048E-2</v>
      </c>
      <c r="Q70" s="236">
        <f t="shared" si="139"/>
        <v>4.0133779264214048E-2</v>
      </c>
      <c r="R70" s="236">
        <f t="shared" si="140"/>
        <v>4.0133779264214048E-2</v>
      </c>
      <c r="S70" s="236">
        <f t="shared" si="141"/>
        <v>4.0133779264214048E-2</v>
      </c>
      <c r="T70" s="236">
        <f t="shared" si="142"/>
        <v>4.0133779264214048E-2</v>
      </c>
      <c r="U70" s="236">
        <f t="shared" si="143"/>
        <v>4.0133779264214048E-2</v>
      </c>
      <c r="V70" s="236">
        <f t="shared" si="144"/>
        <v>4.0133779264214048E-2</v>
      </c>
      <c r="W70" s="236">
        <f t="shared" si="145"/>
        <v>4.0133779264214048E-2</v>
      </c>
      <c r="X70" s="235">
        <f t="shared" si="146"/>
        <v>4.0133779264214048E-2</v>
      </c>
    </row>
    <row r="71" spans="2:29">
      <c r="B71" s="849"/>
      <c r="C71" s="288"/>
      <c r="D71" s="241" t="s">
        <v>73</v>
      </c>
      <c r="E71" s="248" t="s">
        <v>273</v>
      </c>
      <c r="F71" s="282">
        <f>F57/F44</f>
        <v>0</v>
      </c>
      <c r="G71" s="282">
        <f t="shared" ref="G71:M71" si="148">G57/G44</f>
        <v>0</v>
      </c>
      <c r="H71" s="282">
        <f t="shared" si="148"/>
        <v>0</v>
      </c>
      <c r="I71" s="282">
        <f t="shared" si="148"/>
        <v>0</v>
      </c>
      <c r="J71" s="282">
        <f t="shared" si="148"/>
        <v>0</v>
      </c>
      <c r="K71" s="282">
        <f t="shared" si="148"/>
        <v>0</v>
      </c>
      <c r="L71" s="282">
        <f t="shared" si="148"/>
        <v>0</v>
      </c>
      <c r="M71" s="282">
        <f t="shared" si="148"/>
        <v>0</v>
      </c>
      <c r="N71" s="236">
        <f t="shared" si="136"/>
        <v>0</v>
      </c>
      <c r="O71" s="236">
        <f t="shared" si="137"/>
        <v>0</v>
      </c>
      <c r="P71" s="236">
        <f t="shared" si="138"/>
        <v>0</v>
      </c>
      <c r="Q71" s="236">
        <f t="shared" si="139"/>
        <v>0</v>
      </c>
      <c r="R71" s="236">
        <f t="shared" si="140"/>
        <v>0</v>
      </c>
      <c r="S71" s="236">
        <f t="shared" si="141"/>
        <v>0</v>
      </c>
      <c r="T71" s="236">
        <f t="shared" si="142"/>
        <v>0</v>
      </c>
      <c r="U71" s="236">
        <f t="shared" si="143"/>
        <v>0</v>
      </c>
      <c r="V71" s="236">
        <f t="shared" si="144"/>
        <v>0</v>
      </c>
      <c r="W71" s="236">
        <f t="shared" si="145"/>
        <v>0</v>
      </c>
      <c r="X71" s="235">
        <f t="shared" si="146"/>
        <v>0</v>
      </c>
    </row>
    <row r="72" spans="2:29">
      <c r="B72" s="860"/>
      <c r="C72" s="285"/>
      <c r="D72" s="240"/>
      <c r="E72" s="297"/>
      <c r="F72" s="281"/>
      <c r="G72" s="281"/>
      <c r="H72" s="281"/>
      <c r="I72" s="281"/>
      <c r="J72" s="281"/>
      <c r="K72" s="281"/>
      <c r="L72" s="281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1"/>
    </row>
    <row r="73" spans="2:29">
      <c r="B73" s="284"/>
      <c r="C73" s="284"/>
      <c r="D73" s="50"/>
      <c r="E73" s="305" t="s">
        <v>506</v>
      </c>
      <c r="F73" s="400"/>
      <c r="G73" s="400"/>
      <c r="H73" s="400"/>
      <c r="I73" s="400"/>
      <c r="J73" s="400"/>
      <c r="K73" s="400"/>
      <c r="L73" s="400"/>
      <c r="M73" s="230"/>
      <c r="N73" s="230"/>
      <c r="O73" s="230">
        <v>0.2</v>
      </c>
      <c r="P73" s="230">
        <v>0.23</v>
      </c>
      <c r="Q73" s="230">
        <v>0.34</v>
      </c>
      <c r="R73" s="230">
        <v>0.43</v>
      </c>
      <c r="S73" s="230">
        <v>0.6</v>
      </c>
      <c r="T73" s="230">
        <v>0.67999999999999994</v>
      </c>
      <c r="U73" s="230">
        <v>0.7599999999999999</v>
      </c>
      <c r="V73" s="230">
        <v>0.83999999999999986</v>
      </c>
      <c r="W73" s="230">
        <v>0.91999999999999982</v>
      </c>
      <c r="X73" s="229">
        <v>1</v>
      </c>
    </row>
    <row r="74" spans="2:29">
      <c r="B74" s="288"/>
      <c r="C74" s="288"/>
      <c r="D74" s="49"/>
      <c r="E74" s="248" t="s">
        <v>507</v>
      </c>
      <c r="F74" s="399">
        <f t="shared" ref="F74:M74" si="149">(F65+F33)/F75</f>
        <v>1.0204705544706419E-2</v>
      </c>
      <c r="G74" s="399">
        <f t="shared" si="149"/>
        <v>2.098743633957071E-2</v>
      </c>
      <c r="H74" s="399">
        <f t="shared" si="149"/>
        <v>1.2115646959217564E-2</v>
      </c>
      <c r="I74" s="399">
        <f t="shared" si="149"/>
        <v>1.7512076289178214E-2</v>
      </c>
      <c r="J74" s="399">
        <f t="shared" si="149"/>
        <v>3.1581397425024076E-2</v>
      </c>
      <c r="K74" s="399">
        <f t="shared" si="149"/>
        <v>6.5032910063767976E-2</v>
      </c>
      <c r="L74" s="399">
        <f t="shared" si="149"/>
        <v>7.4050112185949507E-2</v>
      </c>
      <c r="M74" s="399">
        <f t="shared" si="149"/>
        <v>8.0932353063153634E-2</v>
      </c>
      <c r="N74" s="236">
        <f>($T$74-$M$74)/7+M74</f>
        <v>9.7942016911274549E-2</v>
      </c>
      <c r="O74" s="236">
        <f t="shared" ref="O74:S74" si="150">($T$74-$M$74)/7+N74</f>
        <v>0.11495168075939546</v>
      </c>
      <c r="P74" s="236">
        <f t="shared" si="150"/>
        <v>0.13196134460751638</v>
      </c>
      <c r="Q74" s="236">
        <f t="shared" si="150"/>
        <v>0.14897100845563729</v>
      </c>
      <c r="R74" s="236">
        <f t="shared" si="150"/>
        <v>0.16598067230375821</v>
      </c>
      <c r="S74" s="236">
        <f t="shared" si="150"/>
        <v>0.18299033615187912</v>
      </c>
      <c r="T74" s="236">
        <f>O73</f>
        <v>0.2</v>
      </c>
      <c r="U74" s="236">
        <f t="shared" ref="U74:X74" si="151">P73</f>
        <v>0.23</v>
      </c>
      <c r="V74" s="236">
        <f t="shared" si="151"/>
        <v>0.34</v>
      </c>
      <c r="W74" s="236">
        <f t="shared" si="151"/>
        <v>0.43</v>
      </c>
      <c r="X74" s="236">
        <f t="shared" si="151"/>
        <v>0.6</v>
      </c>
    </row>
    <row r="75" spans="2:29">
      <c r="B75" s="288"/>
      <c r="C75" s="288"/>
      <c r="D75" s="241" t="s">
        <v>73</v>
      </c>
      <c r="E75" s="248" t="s">
        <v>269</v>
      </c>
      <c r="F75" s="301">
        <f>SUMIFS('EV Data'!$D$5:$D$36,'EV Data'!$C$5:$C$36,'EV Forecast VRZ'!F$9)</f>
        <v>801395</v>
      </c>
      <c r="G75" s="301">
        <f>SUMIFS('EV Data'!$D$5:$D$36,'EV Data'!$C$5:$C$36,'EV Forecast VRZ'!G$9)</f>
        <v>798573</v>
      </c>
      <c r="H75" s="301">
        <f>SUMIFS('EV Data'!$D$5:$D$36,'EV Data'!$C$5:$C$36,'EV Forecast VRZ'!H$9)</f>
        <v>796078</v>
      </c>
      <c r="I75" s="301">
        <f>SUMIFS('EV Data'!$D$5:$D$36,'EV Data'!$C$5:$C$36,'EV Forecast VRZ'!I$9)</f>
        <v>600557</v>
      </c>
      <c r="J75" s="301">
        <f>SUMIFS('EV Data'!$D$5:$D$36,'EV Data'!$C$5:$C$36,'EV Forecast VRZ'!J$9)</f>
        <v>627268</v>
      </c>
      <c r="K75" s="301">
        <f>SUMIFS('EV Data'!$D$5:$D$36,'EV Data'!$C$5:$C$36,'EV Forecast VRZ'!K$9)</f>
        <v>594499</v>
      </c>
      <c r="L75" s="301">
        <f>SUMIFS('EV Data'!$D$5:$D$36,'EV Data'!$C$5:$C$36,'EV Forecast VRZ'!L$9)</f>
        <v>677001</v>
      </c>
      <c r="M75" s="301">
        <f>SUMIFS('EV Data'!$D$5:$D$36,'EV Data'!$C$5:$C$36,'EV Forecast VRZ'!M$9)</f>
        <v>699263</v>
      </c>
      <c r="N75" s="214">
        <f>M75*1.02</f>
        <v>713248.26</v>
      </c>
      <c r="O75" s="214">
        <f t="shared" ref="O75:X75" si="152">N75*1.02</f>
        <v>727513.22519999999</v>
      </c>
      <c r="P75" s="214">
        <f t="shared" si="152"/>
        <v>742063.48970399995</v>
      </c>
      <c r="Q75" s="214">
        <f t="shared" si="152"/>
        <v>756904.75949808001</v>
      </c>
      <c r="R75" s="214">
        <f t="shared" si="152"/>
        <v>772042.85468804161</v>
      </c>
      <c r="S75" s="214">
        <f t="shared" si="152"/>
        <v>787483.71178180247</v>
      </c>
      <c r="T75" s="214">
        <f t="shared" si="152"/>
        <v>803233.38601743849</v>
      </c>
      <c r="U75" s="214">
        <f>T75*1.02</f>
        <v>819298.0537377873</v>
      </c>
      <c r="V75" s="214">
        <f t="shared" si="152"/>
        <v>835684.01481254306</v>
      </c>
      <c r="W75" s="214">
        <f t="shared" si="152"/>
        <v>852397.69510879391</v>
      </c>
      <c r="X75" s="286">
        <f t="shared" si="152"/>
        <v>869445.64901096979</v>
      </c>
    </row>
    <row r="76" spans="2:29">
      <c r="B76" s="285"/>
      <c r="C76" s="285"/>
      <c r="D76" s="297"/>
      <c r="E76" s="297"/>
      <c r="F76" s="297"/>
      <c r="G76" s="297"/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80"/>
    </row>
    <row r="77" spans="2:29">
      <c r="F77" s="214">
        <f>F17+F22+F27+F49+F54+F59</f>
        <v>192213.6</v>
      </c>
      <c r="G77" s="214">
        <f t="shared" ref="G77:X77" si="153">G17+G22+G27+G49+G54+G59</f>
        <v>384424.4</v>
      </c>
      <c r="H77" s="214">
        <f t="shared" si="153"/>
        <v>275356</v>
      </c>
      <c r="I77" s="214">
        <f t="shared" si="153"/>
        <v>305847.2</v>
      </c>
      <c r="J77" s="214">
        <f t="shared" si="153"/>
        <v>607126.4</v>
      </c>
      <c r="K77" s="214">
        <f t="shared" si="153"/>
        <v>1177125.2</v>
      </c>
      <c r="L77" s="214">
        <f t="shared" si="153"/>
        <v>1679857.6</v>
      </c>
      <c r="M77" s="214">
        <f t="shared" si="153"/>
        <v>2416592.7999999998</v>
      </c>
      <c r="N77" s="214">
        <f t="shared" si="153"/>
        <v>2433010.8904043427</v>
      </c>
      <c r="O77" s="214">
        <f t="shared" si="153"/>
        <v>2918060.1034127064</v>
      </c>
      <c r="P77" s="214">
        <f t="shared" si="153"/>
        <v>3416849.1925910697</v>
      </c>
      <c r="Q77" s="214">
        <f t="shared" si="153"/>
        <v>3934422.621295203</v>
      </c>
      <c r="R77" s="214">
        <f t="shared" si="153"/>
        <v>4471332.2474704646</v>
      </c>
      <c r="S77" s="214">
        <f t="shared" si="153"/>
        <v>5028144.4896442201</v>
      </c>
      <c r="T77" s="214">
        <f t="shared" si="153"/>
        <v>5605440.6886059335</v>
      </c>
      <c r="U77" s="214">
        <f t="shared" si="153"/>
        <v>6575181.9277347624</v>
      </c>
      <c r="V77" s="214">
        <f t="shared" si="153"/>
        <v>9914230.8371235449</v>
      </c>
      <c r="W77" s="214">
        <f t="shared" si="153"/>
        <v>12789357.779889371</v>
      </c>
      <c r="X77" s="214">
        <f t="shared" si="153"/>
        <v>18202527.81695883</v>
      </c>
    </row>
    <row r="78" spans="2:29">
      <c r="F78" s="214">
        <f>F18+F23+F28+F50+F55+F60</f>
        <v>96106.8</v>
      </c>
      <c r="G78" s="214">
        <f t="shared" ref="G78:X78" si="154">G18+G23+G28+G50+G55+G60</f>
        <v>384425.8</v>
      </c>
      <c r="H78" s="214">
        <f t="shared" si="154"/>
        <v>714316</v>
      </c>
      <c r="I78" s="214">
        <f t="shared" si="154"/>
        <v>1004917.6</v>
      </c>
      <c r="J78" s="214">
        <f t="shared" si="154"/>
        <v>1461404.4</v>
      </c>
      <c r="K78" s="214">
        <f t="shared" si="154"/>
        <v>2353530.2000000002</v>
      </c>
      <c r="L78" s="214">
        <f t="shared" si="154"/>
        <v>3782021.6</v>
      </c>
      <c r="M78" s="214">
        <f t="shared" si="154"/>
        <v>5830246.7999999998</v>
      </c>
      <c r="N78" s="214">
        <f t="shared" si="154"/>
        <v>8255048.645202172</v>
      </c>
      <c r="O78" s="214">
        <f t="shared" si="154"/>
        <v>10930584.142110692</v>
      </c>
      <c r="P78" s="214">
        <f t="shared" si="154"/>
        <v>13905825.190112583</v>
      </c>
      <c r="Q78" s="214">
        <f t="shared" si="154"/>
        <v>17197036.697055724</v>
      </c>
      <c r="R78" s="214">
        <f t="shared" si="154"/>
        <v>21124558.131438553</v>
      </c>
      <c r="S78" s="214">
        <f t="shared" si="154"/>
        <v>25568449.299995895</v>
      </c>
      <c r="T78" s="214">
        <f t="shared" si="154"/>
        <v>30278115.489120983</v>
      </c>
      <c r="U78" s="214">
        <f t="shared" si="154"/>
        <v>35191301.597291328</v>
      </c>
      <c r="V78" s="214">
        <f t="shared" si="154"/>
        <v>41756150.379720472</v>
      </c>
      <c r="W78" s="214">
        <f t="shared" si="154"/>
        <v>50691351.888226926</v>
      </c>
      <c r="X78" s="214">
        <f t="shared" si="154"/>
        <v>63754283.796246693</v>
      </c>
    </row>
    <row r="79" spans="2:29">
      <c r="B79" s="857" t="str">
        <f>B9</f>
        <v>Battery electric</v>
      </c>
      <c r="C79" s="248" t="s">
        <v>274</v>
      </c>
      <c r="F79" s="248">
        <f t="shared" ref="F79:T79" si="155">F9</f>
        <v>2017</v>
      </c>
      <c r="G79" s="248">
        <f t="shared" si="155"/>
        <v>2018</v>
      </c>
      <c r="H79" s="248">
        <f t="shared" si="155"/>
        <v>2019</v>
      </c>
      <c r="I79" s="248">
        <f t="shared" si="155"/>
        <v>2020</v>
      </c>
      <c r="J79" s="248">
        <f t="shared" si="155"/>
        <v>2021</v>
      </c>
      <c r="K79" s="248">
        <f t="shared" si="155"/>
        <v>2022</v>
      </c>
      <c r="L79" s="248">
        <f t="shared" si="155"/>
        <v>2023</v>
      </c>
      <c r="M79" s="248">
        <f t="shared" si="155"/>
        <v>2024</v>
      </c>
      <c r="N79" s="248">
        <f t="shared" si="155"/>
        <v>2025</v>
      </c>
      <c r="O79" s="248">
        <f t="shared" si="155"/>
        <v>2026</v>
      </c>
      <c r="P79" s="248">
        <f t="shared" si="155"/>
        <v>2027</v>
      </c>
      <c r="Q79" s="248">
        <f t="shared" si="155"/>
        <v>2028</v>
      </c>
      <c r="R79" s="248">
        <f t="shared" si="155"/>
        <v>2029</v>
      </c>
      <c r="S79" s="248">
        <f t="shared" si="155"/>
        <v>2030</v>
      </c>
      <c r="T79" s="248">
        <f t="shared" si="155"/>
        <v>2031</v>
      </c>
      <c r="X79" s="293" t="s">
        <v>275</v>
      </c>
      <c r="Y79" s="292" t="s">
        <v>258</v>
      </c>
      <c r="Z79" s="292" t="s">
        <v>276</v>
      </c>
      <c r="AB79" s="248" t="s">
        <v>671</v>
      </c>
    </row>
    <row r="80" spans="2:29" ht="14.85" customHeight="1">
      <c r="B80" s="857"/>
      <c r="C80" s="856" t="s">
        <v>277</v>
      </c>
      <c r="D80" s="248" t="s">
        <v>63</v>
      </c>
      <c r="F80" s="214">
        <f>F$18*$X80+F$23*$Y80+F$28*$Z80</f>
        <v>42814.5</v>
      </c>
      <c r="G80" s="214">
        <f>(G$18-F$18)*$X80+(G$23-F$23)*$Y80+(G$28-F$28)*$Z80</f>
        <v>148423.6</v>
      </c>
      <c r="H80" s="214">
        <f t="shared" ref="H80:S80" si="156">(H$18-G$18)*$X80+(H$23-G$23)*$Y80+(H$28-G$28)*$Z80</f>
        <v>205509.6</v>
      </c>
      <c r="I80" s="214">
        <f t="shared" si="156"/>
        <v>214072.5</v>
      </c>
      <c r="J80" s="214">
        <f t="shared" si="156"/>
        <v>335380.25</v>
      </c>
      <c r="K80" s="214">
        <f t="shared" si="156"/>
        <v>650052.44999999995</v>
      </c>
      <c r="L80" s="214">
        <f t="shared" si="156"/>
        <v>1017459.85</v>
      </c>
      <c r="M80" s="214">
        <f t="shared" si="156"/>
        <v>1383971.8499999999</v>
      </c>
      <c r="N80" s="214">
        <f t="shared" si="156"/>
        <v>1567259.0352697507</v>
      </c>
      <c r="O80" s="214">
        <f t="shared" si="156"/>
        <v>1740839.7207109975</v>
      </c>
      <c r="P80" s="214">
        <f t="shared" si="156"/>
        <v>2017866.8380891788</v>
      </c>
      <c r="Q80" s="214">
        <f t="shared" si="156"/>
        <v>2229759.0804366367</v>
      </c>
      <c r="R80" s="214">
        <f t="shared" si="156"/>
        <v>2591315.5821427535</v>
      </c>
      <c r="S80" s="214">
        <f t="shared" si="156"/>
        <v>2925941.0650049471</v>
      </c>
      <c r="T80" s="214">
        <f>(T$18-S$18)*$X80+(T$23-S$23)*$Y80+(T$28-S$28)*$Z80</f>
        <v>3088447.3405487696</v>
      </c>
      <c r="V80" s="214"/>
      <c r="W80" s="292" t="str">
        <f>D80</f>
        <v>Residential</v>
      </c>
      <c r="X80" s="294">
        <v>0.85</v>
      </c>
      <c r="Y80" s="294">
        <v>0.65</v>
      </c>
      <c r="Z80" s="294">
        <v>0.6</v>
      </c>
      <c r="AB80" s="276">
        <f>'Customer Count'!AT14</f>
        <v>45520.625</v>
      </c>
      <c r="AC80" s="568">
        <f>AB80/$AB$85</f>
        <v>0.94095592947061624</v>
      </c>
    </row>
    <row r="81" spans="2:29">
      <c r="B81" s="857"/>
      <c r="C81" s="856"/>
      <c r="D81" s="248" t="s">
        <v>278</v>
      </c>
      <c r="F81" s="214">
        <f>F$18*$X81+F$23*$Y81+F$28*$Z81</f>
        <v>5037</v>
      </c>
      <c r="G81" s="214">
        <f t="shared" ref="G81:T83" si="157">(G$18-F$18)*$X81+(G$23-F$23)*$Y81+(G$28-F$28)*$Z81</f>
        <v>17461.600000000002</v>
      </c>
      <c r="H81" s="214">
        <f t="shared" si="157"/>
        <v>24177.600000000002</v>
      </c>
      <c r="I81" s="214">
        <f t="shared" si="157"/>
        <v>25185</v>
      </c>
      <c r="J81" s="214">
        <f t="shared" si="157"/>
        <v>39456.5</v>
      </c>
      <c r="K81" s="214">
        <f t="shared" si="157"/>
        <v>81629.7</v>
      </c>
      <c r="L81" s="214">
        <f t="shared" si="157"/>
        <v>134004.1</v>
      </c>
      <c r="M81" s="214">
        <f t="shared" si="157"/>
        <v>209726.1</v>
      </c>
      <c r="N81" s="214">
        <f t="shared" si="157"/>
        <v>238907.08938750593</v>
      </c>
      <c r="O81" s="214">
        <f t="shared" si="157"/>
        <v>242620.36105880962</v>
      </c>
      <c r="P81" s="214">
        <f t="shared" si="157"/>
        <v>283089.64605608908</v>
      </c>
      <c r="Q81" s="214">
        <f t="shared" si="157"/>
        <v>315349.14340292272</v>
      </c>
      <c r="R81" s="214">
        <f t="shared" si="157"/>
        <v>365491.16318520671</v>
      </c>
      <c r="S81" s="214">
        <f t="shared" si="157"/>
        <v>412747.85642142192</v>
      </c>
      <c r="T81" s="214">
        <f t="shared" si="157"/>
        <v>440046.53852181113</v>
      </c>
      <c r="V81" s="214"/>
      <c r="W81" s="292" t="str">
        <f t="shared" ref="W81:W83" si="158">D81</f>
        <v>GS&lt;50</v>
      </c>
      <c r="X81" s="294">
        <v>0.1</v>
      </c>
      <c r="Y81" s="294">
        <v>0.2</v>
      </c>
      <c r="Z81" s="294">
        <v>0.25</v>
      </c>
      <c r="AB81" s="276">
        <f>'Customer Count'!AX14</f>
        <v>2464.75</v>
      </c>
      <c r="AC81" s="568">
        <f t="shared" ref="AC81:AC83" si="159">AB81/$AB$85</f>
        <v>5.0948797982512353E-2</v>
      </c>
    </row>
    <row r="82" spans="2:29">
      <c r="B82" s="857"/>
      <c r="C82" s="856"/>
      <c r="D82" s="248" t="s">
        <v>365</v>
      </c>
      <c r="F82" s="214">
        <f>F$18*$X82+F$23*$Y82+F$28*$Z82</f>
        <v>2266.65</v>
      </c>
      <c r="G82" s="214">
        <f t="shared" si="157"/>
        <v>7857.7199999999993</v>
      </c>
      <c r="H82" s="214">
        <f t="shared" si="157"/>
        <v>10879.92</v>
      </c>
      <c r="I82" s="214">
        <f t="shared" si="157"/>
        <v>11333.25</v>
      </c>
      <c r="J82" s="214">
        <f t="shared" si="157"/>
        <v>17755.424999999999</v>
      </c>
      <c r="K82" s="214">
        <f t="shared" si="157"/>
        <v>36420.864999999998</v>
      </c>
      <c r="L82" s="214">
        <f t="shared" si="157"/>
        <v>59351.845000000001</v>
      </c>
      <c r="M82" s="214">
        <f t="shared" si="157"/>
        <v>91201.744999999995</v>
      </c>
      <c r="N82" s="214">
        <f t="shared" si="157"/>
        <v>103847.39031923049</v>
      </c>
      <c r="O82" s="214">
        <f t="shared" si="157"/>
        <v>106645.83185011974</v>
      </c>
      <c r="P82" s="214">
        <f t="shared" si="157"/>
        <v>124329.26027904985</v>
      </c>
      <c r="Q82" s="214">
        <f t="shared" si="157"/>
        <v>138354.91932967087</v>
      </c>
      <c r="R82" s="214">
        <f t="shared" si="157"/>
        <v>160409.2933182049</v>
      </c>
      <c r="S82" s="214">
        <f t="shared" si="157"/>
        <v>181146.30984254886</v>
      </c>
      <c r="T82" s="214">
        <f t="shared" si="157"/>
        <v>192882.70623053904</v>
      </c>
      <c r="V82" s="214"/>
      <c r="W82" s="292" t="str">
        <f t="shared" si="158"/>
        <v>GS 50 - 2,999</v>
      </c>
      <c r="X82" s="294">
        <v>4.4999999999999998E-2</v>
      </c>
      <c r="Y82" s="294">
        <v>0.1</v>
      </c>
      <c r="Z82" s="294">
        <v>0.1</v>
      </c>
      <c r="AB82" s="276">
        <f>'Customer Count'!BB14</f>
        <v>388.625</v>
      </c>
      <c r="AC82" s="568">
        <f t="shared" si="159"/>
        <v>8.033259606837961E-3</v>
      </c>
    </row>
    <row r="83" spans="2:29">
      <c r="B83" s="857"/>
      <c r="C83" s="856"/>
      <c r="D83" s="248" t="s">
        <v>366</v>
      </c>
      <c r="F83" s="214">
        <f>F$18*$X83+F$23*$Y83+F$28*$Z83</f>
        <v>251.85</v>
      </c>
      <c r="G83" s="214">
        <f t="shared" si="157"/>
        <v>873.08</v>
      </c>
      <c r="H83" s="214">
        <f t="shared" si="157"/>
        <v>1208.8800000000001</v>
      </c>
      <c r="I83" s="214">
        <f t="shared" si="157"/>
        <v>1259.25</v>
      </c>
      <c r="J83" s="214">
        <f t="shared" si="157"/>
        <v>1972.825</v>
      </c>
      <c r="K83" s="214">
        <f t="shared" si="157"/>
        <v>5193.9850000000006</v>
      </c>
      <c r="L83" s="214">
        <f t="shared" si="157"/>
        <v>9725.2049999999999</v>
      </c>
      <c r="M83" s="214">
        <f t="shared" si="157"/>
        <v>20361.305</v>
      </c>
      <c r="N83" s="214">
        <f t="shared" si="157"/>
        <v>23446.853095269063</v>
      </c>
      <c r="O83" s="214">
        <f t="shared" si="157"/>
        <v>20112.371531639052</v>
      </c>
      <c r="P83" s="214">
        <f t="shared" si="157"/>
        <v>23798.53145047908</v>
      </c>
      <c r="Q83" s="214">
        <f t="shared" si="157"/>
        <v>26958.781837692273</v>
      </c>
      <c r="R83" s="214">
        <f t="shared" si="157"/>
        <v>31071.191747813773</v>
      </c>
      <c r="S83" s="214">
        <f t="shared" si="157"/>
        <v>35099.071157605118</v>
      </c>
      <c r="T83" s="214">
        <f t="shared" si="157"/>
        <v>38190.533147088958</v>
      </c>
      <c r="V83" s="214"/>
      <c r="W83" s="292" t="str">
        <f t="shared" si="158"/>
        <v>GS 3,000 - 4,999</v>
      </c>
      <c r="X83" s="294">
        <v>5.0000000000000001E-3</v>
      </c>
      <c r="Y83" s="294">
        <v>0.05</v>
      </c>
      <c r="Z83" s="294">
        <v>0.05</v>
      </c>
      <c r="AB83" s="276">
        <f>'Customer Count'!BH14</f>
        <v>3</v>
      </c>
      <c r="AC83" s="568">
        <f t="shared" si="159"/>
        <v>6.2012940033486993E-5</v>
      </c>
    </row>
    <row r="84" spans="2:29">
      <c r="B84" s="857"/>
      <c r="C84" s="856"/>
      <c r="D84" s="248" t="s">
        <v>206</v>
      </c>
      <c r="F84" s="214">
        <f>F$18*$X84+F$23*$Y84+F$28*$Z84</f>
        <v>0</v>
      </c>
      <c r="G84" s="214"/>
      <c r="H84" s="214">
        <f t="shared" ref="H84:T84" si="160">(H$18-G$18+H$50-G$50)*$X84+(H$23-G$23+H$55-G$55)*$Y84+(H$28-G$28+H$60-G$60)*$Z84</f>
        <v>0</v>
      </c>
      <c r="I84" s="214">
        <f t="shared" si="160"/>
        <v>0</v>
      </c>
      <c r="J84" s="214">
        <f t="shared" si="160"/>
        <v>0</v>
      </c>
      <c r="K84" s="214">
        <f t="shared" si="160"/>
        <v>0</v>
      </c>
      <c r="L84" s="214">
        <f t="shared" si="160"/>
        <v>0</v>
      </c>
      <c r="M84" s="214">
        <f t="shared" si="160"/>
        <v>0</v>
      </c>
      <c r="N84" s="214">
        <f t="shared" si="160"/>
        <v>0</v>
      </c>
      <c r="O84" s="214">
        <f t="shared" si="160"/>
        <v>0</v>
      </c>
      <c r="P84" s="214">
        <f t="shared" si="160"/>
        <v>0</v>
      </c>
      <c r="Q84" s="214">
        <f t="shared" si="160"/>
        <v>0</v>
      </c>
      <c r="R84" s="214">
        <f t="shared" si="160"/>
        <v>0</v>
      </c>
      <c r="S84" s="214">
        <f t="shared" si="160"/>
        <v>0</v>
      </c>
      <c r="T84" s="214">
        <f t="shared" si="160"/>
        <v>0</v>
      </c>
      <c r="V84" s="214"/>
      <c r="W84" s="292"/>
      <c r="X84" s="294"/>
      <c r="Y84" s="294"/>
      <c r="Z84" s="294"/>
    </row>
    <row r="85" spans="2:29">
      <c r="B85" s="857"/>
      <c r="F85" s="291">
        <f t="shared" ref="F85:S85" si="161">SUM(F80:F84)</f>
        <v>50370</v>
      </c>
      <c r="G85" s="291">
        <f t="shared" si="161"/>
        <v>174616</v>
      </c>
      <c r="H85" s="291">
        <f t="shared" si="161"/>
        <v>241776.00000000003</v>
      </c>
      <c r="I85" s="291">
        <f t="shared" si="161"/>
        <v>251850</v>
      </c>
      <c r="J85" s="291">
        <f t="shared" si="161"/>
        <v>394565</v>
      </c>
      <c r="K85" s="291">
        <f t="shared" si="161"/>
        <v>773296.99999999988</v>
      </c>
      <c r="L85" s="291">
        <f t="shared" si="161"/>
        <v>1220541</v>
      </c>
      <c r="M85" s="291">
        <f t="shared" si="161"/>
        <v>1705260.9999999998</v>
      </c>
      <c r="N85" s="291">
        <f t="shared" si="161"/>
        <v>1933460.3680717563</v>
      </c>
      <c r="O85" s="291">
        <f t="shared" si="161"/>
        <v>2110218.2851515659</v>
      </c>
      <c r="P85" s="291">
        <f t="shared" si="161"/>
        <v>2449084.2758747968</v>
      </c>
      <c r="Q85" s="291">
        <f t="shared" si="161"/>
        <v>2710421.9250069228</v>
      </c>
      <c r="R85" s="291">
        <f t="shared" si="161"/>
        <v>3148287.2303939792</v>
      </c>
      <c r="S85" s="291">
        <f t="shared" si="161"/>
        <v>3554934.3024265226</v>
      </c>
      <c r="T85" s="291">
        <f>SUM(T80:T84)</f>
        <v>3759567.118448209</v>
      </c>
      <c r="W85" s="292"/>
      <c r="X85" s="294">
        <f>SUM(X80:X84)</f>
        <v>1</v>
      </c>
      <c r="Y85" s="294">
        <f t="shared" ref="Y85:Z85" si="162">SUM(Y80:Y84)</f>
        <v>1</v>
      </c>
      <c r="Z85" s="294">
        <f t="shared" si="162"/>
        <v>1</v>
      </c>
      <c r="AB85" s="276">
        <f>SUM(AB80:AB83)</f>
        <v>48377</v>
      </c>
    </row>
    <row r="86" spans="2:29">
      <c r="B86" s="857"/>
    </row>
    <row r="87" spans="2:29">
      <c r="B87" s="857"/>
      <c r="C87" s="248" t="s">
        <v>279</v>
      </c>
    </row>
    <row r="88" spans="2:29">
      <c r="B88" s="857"/>
      <c r="D88" s="248" t="s">
        <v>280</v>
      </c>
      <c r="F88" s="290">
        <v>0.1</v>
      </c>
      <c r="G88" s="290">
        <f>F88</f>
        <v>0.1</v>
      </c>
      <c r="H88" s="290">
        <f t="shared" ref="H88:O88" si="163">G88</f>
        <v>0.1</v>
      </c>
      <c r="I88" s="290">
        <f t="shared" si="163"/>
        <v>0.1</v>
      </c>
      <c r="J88" s="290">
        <f t="shared" si="163"/>
        <v>0.1</v>
      </c>
      <c r="K88" s="290">
        <f t="shared" si="163"/>
        <v>0.1</v>
      </c>
      <c r="L88" s="290">
        <f t="shared" si="163"/>
        <v>0.1</v>
      </c>
      <c r="M88" s="290">
        <f t="shared" si="163"/>
        <v>0.1</v>
      </c>
      <c r="N88" s="290">
        <f t="shared" si="163"/>
        <v>0.1</v>
      </c>
      <c r="O88" s="290">
        <f t="shared" si="163"/>
        <v>0.1</v>
      </c>
      <c r="P88" s="290">
        <f t="shared" ref="P88" si="164">O88</f>
        <v>0.1</v>
      </c>
      <c r="Q88" s="290">
        <f t="shared" ref="Q88" si="165">P88</f>
        <v>0.1</v>
      </c>
      <c r="R88" s="290">
        <f t="shared" ref="R88" si="166">Q88</f>
        <v>0.1</v>
      </c>
      <c r="S88" s="290">
        <f t="shared" ref="S88" si="167">R88</f>
        <v>0.1</v>
      </c>
      <c r="T88" s="290">
        <f t="shared" ref="T88" si="168">S88</f>
        <v>0.1</v>
      </c>
    </row>
    <row r="89" spans="2:29">
      <c r="B89" s="857"/>
      <c r="D89" s="248" t="str">
        <f>D82</f>
        <v>GS 50 - 2,999</v>
      </c>
      <c r="F89" s="289">
        <f>((F82/$F$88)/8760)*12</f>
        <v>31.049999999999997</v>
      </c>
      <c r="G89" s="289">
        <f t="shared" ref="G89:T89" si="169">((G82/$F$88)/8760)*12</f>
        <v>107.63999999999999</v>
      </c>
      <c r="H89" s="289">
        <f t="shared" si="169"/>
        <v>149.04</v>
      </c>
      <c r="I89" s="289">
        <f t="shared" si="169"/>
        <v>155.25</v>
      </c>
      <c r="J89" s="289">
        <f t="shared" si="169"/>
        <v>243.22499999999997</v>
      </c>
      <c r="K89" s="289">
        <f t="shared" si="169"/>
        <v>498.91595890410952</v>
      </c>
      <c r="L89" s="289">
        <f t="shared" si="169"/>
        <v>813.0389726027397</v>
      </c>
      <c r="M89" s="289">
        <f t="shared" si="169"/>
        <v>1249.3389726027397</v>
      </c>
      <c r="N89" s="289">
        <f t="shared" si="169"/>
        <v>1422.5669906743901</v>
      </c>
      <c r="O89" s="289">
        <f t="shared" si="169"/>
        <v>1460.9018061660236</v>
      </c>
      <c r="P89" s="289">
        <f t="shared" si="169"/>
        <v>1703.1405517678061</v>
      </c>
      <c r="Q89" s="289">
        <f t="shared" si="169"/>
        <v>1895.2728675297378</v>
      </c>
      <c r="R89" s="289">
        <f t="shared" si="169"/>
        <v>2197.3875797014366</v>
      </c>
      <c r="S89" s="289">
        <f t="shared" si="169"/>
        <v>2481.4562992129977</v>
      </c>
      <c r="T89" s="289">
        <f t="shared" si="169"/>
        <v>2642.2288524731375</v>
      </c>
    </row>
    <row r="90" spans="2:29">
      <c r="B90" s="857"/>
      <c r="D90" s="248" t="str">
        <f t="shared" ref="D90:D91" si="170">D83</f>
        <v>GS 3,000 - 4,999</v>
      </c>
      <c r="F90" s="289">
        <f>((F83/$F$88)/8760)*12</f>
        <v>3.4499999999999997</v>
      </c>
      <c r="G90" s="289">
        <f t="shared" ref="G90:T90" si="171">((G83/$F$88)/8760)*12</f>
        <v>11.959999999999999</v>
      </c>
      <c r="H90" s="289">
        <f t="shared" si="171"/>
        <v>16.560000000000002</v>
      </c>
      <c r="I90" s="289">
        <f t="shared" si="171"/>
        <v>17.25</v>
      </c>
      <c r="J90" s="289">
        <f t="shared" si="171"/>
        <v>27.024999999999999</v>
      </c>
      <c r="K90" s="289">
        <f t="shared" si="171"/>
        <v>71.150479452054796</v>
      </c>
      <c r="L90" s="289">
        <f t="shared" si="171"/>
        <v>133.22198630136984</v>
      </c>
      <c r="M90" s="289">
        <f t="shared" si="171"/>
        <v>278.92198630136988</v>
      </c>
      <c r="N90" s="289">
        <f t="shared" si="171"/>
        <v>321.18976842834331</v>
      </c>
      <c r="O90" s="289">
        <f t="shared" si="171"/>
        <v>275.51193878957605</v>
      </c>
      <c r="P90" s="289">
        <f t="shared" si="171"/>
        <v>326.007280143549</v>
      </c>
      <c r="Q90" s="289">
        <f t="shared" si="171"/>
        <v>369.29838133825024</v>
      </c>
      <c r="R90" s="289">
        <f t="shared" si="171"/>
        <v>425.63276366868183</v>
      </c>
      <c r="S90" s="289">
        <f t="shared" si="171"/>
        <v>480.8091939397961</v>
      </c>
      <c r="T90" s="289">
        <f t="shared" si="171"/>
        <v>523.15798831628706</v>
      </c>
    </row>
    <row r="91" spans="2:29">
      <c r="B91" s="857"/>
      <c r="D91" s="248" t="str">
        <f t="shared" si="170"/>
        <v>Large Use</v>
      </c>
      <c r="F91" s="289">
        <f>((F84/$F$88)/8760)*12</f>
        <v>0</v>
      </c>
      <c r="G91" s="289">
        <f t="shared" ref="G91:T91" si="172">((G84/$F$88)/8760)*12</f>
        <v>0</v>
      </c>
      <c r="H91" s="289">
        <f t="shared" si="172"/>
        <v>0</v>
      </c>
      <c r="I91" s="289">
        <f t="shared" si="172"/>
        <v>0</v>
      </c>
      <c r="J91" s="289">
        <f t="shared" si="172"/>
        <v>0</v>
      </c>
      <c r="K91" s="289">
        <f t="shared" si="172"/>
        <v>0</v>
      </c>
      <c r="L91" s="289">
        <f t="shared" si="172"/>
        <v>0</v>
      </c>
      <c r="M91" s="289">
        <f t="shared" si="172"/>
        <v>0</v>
      </c>
      <c r="N91" s="289">
        <f t="shared" si="172"/>
        <v>0</v>
      </c>
      <c r="O91" s="289">
        <f t="shared" si="172"/>
        <v>0</v>
      </c>
      <c r="P91" s="289">
        <f t="shared" si="172"/>
        <v>0</v>
      </c>
      <c r="Q91" s="289">
        <f t="shared" si="172"/>
        <v>0</v>
      </c>
      <c r="R91" s="289">
        <f t="shared" si="172"/>
        <v>0</v>
      </c>
      <c r="S91" s="289">
        <f t="shared" si="172"/>
        <v>0</v>
      </c>
      <c r="T91" s="289">
        <f t="shared" si="172"/>
        <v>0</v>
      </c>
    </row>
    <row r="92" spans="2:29"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</row>
    <row r="93" spans="2:29">
      <c r="B93" s="857" t="str">
        <f>B41</f>
        <v>Plug-in hybrid electric</v>
      </c>
      <c r="C93" s="248" t="s">
        <v>274</v>
      </c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X93" s="293" t="s">
        <v>275</v>
      </c>
      <c r="Y93" s="292" t="s">
        <v>258</v>
      </c>
      <c r="Z93" s="292" t="s">
        <v>276</v>
      </c>
    </row>
    <row r="94" spans="2:29">
      <c r="B94" s="857"/>
      <c r="C94" s="856" t="s">
        <v>277</v>
      </c>
      <c r="D94" s="248" t="s">
        <v>63</v>
      </c>
      <c r="F94" s="214">
        <f>F$50*$X94+F$55*$Y94+F$60*$Z94</f>
        <v>36176.28</v>
      </c>
      <c r="G94" s="214">
        <f>(G$50-F$50)*$X94+(G$55-F$55)*$Y94+(G$60-F$60)*$Z94</f>
        <v>93047.55</v>
      </c>
      <c r="H94" s="214">
        <f t="shared" ref="H94:T94" si="173">(H$50-G$50)*$X94+(H$55-G$55)*$Y94+(H$60-G$60)*$Z94</f>
        <v>73997.069999999992</v>
      </c>
      <c r="I94" s="214">
        <f t="shared" si="173"/>
        <v>32038.859999999979</v>
      </c>
      <c r="J94" s="214">
        <f t="shared" si="173"/>
        <v>51733.529999999992</v>
      </c>
      <c r="K94" s="214">
        <f t="shared" si="173"/>
        <v>99804.48000000004</v>
      </c>
      <c r="L94" s="214">
        <f t="shared" si="173"/>
        <v>174657.83999999997</v>
      </c>
      <c r="M94" s="214">
        <f t="shared" si="173"/>
        <v>290019.56999999995</v>
      </c>
      <c r="N94" s="214">
        <f t="shared" si="173"/>
        <v>413748.61395681748</v>
      </c>
      <c r="O94" s="214">
        <f t="shared" si="173"/>
        <v>473893.17524674506</v>
      </c>
      <c r="P94" s="214">
        <f t="shared" si="173"/>
        <v>445393.6046116848</v>
      </c>
      <c r="Q94" s="214">
        <f t="shared" si="173"/>
        <v>487069.9750360999</v>
      </c>
      <c r="R94" s="214">
        <f t="shared" si="173"/>
        <v>652742.82101164781</v>
      </c>
      <c r="S94" s="214">
        <f t="shared" si="173"/>
        <v>746557.15822020231</v>
      </c>
      <c r="T94" s="214">
        <f t="shared" si="173"/>
        <v>795431.95194869407</v>
      </c>
      <c r="W94" s="292" t="str">
        <f>D94</f>
        <v>Residential</v>
      </c>
      <c r="X94" s="294">
        <f>X80</f>
        <v>0.85</v>
      </c>
      <c r="Y94" s="294">
        <f t="shared" ref="Y94:Z94" si="174">Y80</f>
        <v>0.65</v>
      </c>
      <c r="Z94" s="294">
        <f t="shared" si="174"/>
        <v>0.6</v>
      </c>
    </row>
    <row r="95" spans="2:29">
      <c r="B95" s="857"/>
      <c r="C95" s="856"/>
      <c r="D95" s="248" t="s">
        <v>278</v>
      </c>
      <c r="F95" s="214">
        <f t="shared" ref="F95:F97" si="175">F$50*$X95+F$55*$Y95+F$60*$Z95</f>
        <v>5923.68</v>
      </c>
      <c r="G95" s="214">
        <f t="shared" ref="G95:T98" si="176">(G$50-F$50)*$X95+(G$55-F$55)*$Y95+(G$60-F$60)*$Z95</f>
        <v>13170.300000000001</v>
      </c>
      <c r="H95" s="214">
        <f t="shared" si="176"/>
        <v>9261.42</v>
      </c>
      <c r="I95" s="214">
        <f t="shared" si="176"/>
        <v>4325.159999999998</v>
      </c>
      <c r="J95" s="214">
        <f t="shared" si="176"/>
        <v>6642.1799999999994</v>
      </c>
      <c r="K95" s="214">
        <f t="shared" si="176"/>
        <v>12482.880000000005</v>
      </c>
      <c r="L95" s="214">
        <f t="shared" si="176"/>
        <v>21845.039999999997</v>
      </c>
      <c r="M95" s="214">
        <f t="shared" si="176"/>
        <v>35046.42</v>
      </c>
      <c r="N95" s="214">
        <f t="shared" si="176"/>
        <v>51079.968515059314</v>
      </c>
      <c r="O95" s="214">
        <f t="shared" si="176"/>
        <v>59844.948549030334</v>
      </c>
      <c r="P95" s="214">
        <f t="shared" si="176"/>
        <v>53535.503060881107</v>
      </c>
      <c r="Q95" s="214">
        <f t="shared" si="176"/>
        <v>61379.542998463054</v>
      </c>
      <c r="R95" s="214">
        <f t="shared" si="176"/>
        <v>82726.546588324039</v>
      </c>
      <c r="S95" s="214">
        <f t="shared" si="176"/>
        <v>93423.775608579963</v>
      </c>
      <c r="T95" s="214">
        <f t="shared" si="176"/>
        <v>101086.03613101075</v>
      </c>
      <c r="W95" s="292" t="str">
        <f t="shared" ref="W95:W97" si="177">D95</f>
        <v>GS&lt;50</v>
      </c>
      <c r="X95" s="294">
        <f t="shared" ref="X95:Z97" si="178">X81</f>
        <v>0.1</v>
      </c>
      <c r="Y95" s="294">
        <f t="shared" si="178"/>
        <v>0.2</v>
      </c>
      <c r="Z95" s="294">
        <f t="shared" si="178"/>
        <v>0.25</v>
      </c>
    </row>
    <row r="96" spans="2:29">
      <c r="B96" s="857"/>
      <c r="C96" s="856"/>
      <c r="D96" s="248" t="s">
        <v>365</v>
      </c>
      <c r="F96" s="214">
        <f t="shared" si="175"/>
        <v>2800.6559999999999</v>
      </c>
      <c r="G96" s="214">
        <f t="shared" si="176"/>
        <v>6106.6350000000002</v>
      </c>
      <c r="H96" s="214">
        <f t="shared" si="176"/>
        <v>4212.6389999999992</v>
      </c>
      <c r="I96" s="214">
        <f t="shared" si="176"/>
        <v>1991.321999999999</v>
      </c>
      <c r="J96" s="214">
        <f t="shared" si="176"/>
        <v>3033.9809999999993</v>
      </c>
      <c r="K96" s="214">
        <f t="shared" si="176"/>
        <v>5677.2960000000021</v>
      </c>
      <c r="L96" s="214">
        <f t="shared" si="176"/>
        <v>9935.2679999999982</v>
      </c>
      <c r="M96" s="214">
        <f t="shared" si="176"/>
        <v>15845.888999999997</v>
      </c>
      <c r="N96" s="214">
        <f t="shared" si="176"/>
        <v>23180.567911978469</v>
      </c>
      <c r="O96" s="214">
        <f t="shared" si="176"/>
        <v>27261.5495843971</v>
      </c>
      <c r="P96" s="214">
        <f t="shared" si="176"/>
        <v>24182.958962213685</v>
      </c>
      <c r="Q96" s="214">
        <f t="shared" si="176"/>
        <v>27950.852829792526</v>
      </c>
      <c r="R96" s="214">
        <f t="shared" si="176"/>
        <v>37707.258583689683</v>
      </c>
      <c r="S96" s="214">
        <f t="shared" si="176"/>
        <v>42493.507923410769</v>
      </c>
      <c r="T96" s="214">
        <f t="shared" si="176"/>
        <v>46096.329165287192</v>
      </c>
      <c r="W96" s="292" t="str">
        <f t="shared" si="177"/>
        <v>GS 50 - 2,999</v>
      </c>
      <c r="X96" s="294">
        <f t="shared" si="178"/>
        <v>4.4999999999999998E-2</v>
      </c>
      <c r="Y96" s="294">
        <f t="shared" si="178"/>
        <v>0.1</v>
      </c>
      <c r="Z96" s="294">
        <f t="shared" si="178"/>
        <v>0.1</v>
      </c>
    </row>
    <row r="97" spans="2:26">
      <c r="B97" s="857"/>
      <c r="C97" s="856"/>
      <c r="D97" s="248" t="s">
        <v>366</v>
      </c>
      <c r="F97" s="214">
        <f t="shared" si="175"/>
        <v>836.18399999999997</v>
      </c>
      <c r="G97" s="214">
        <f t="shared" si="176"/>
        <v>1378.5149999999999</v>
      </c>
      <c r="H97" s="214">
        <f t="shared" si="176"/>
        <v>643.07099999999991</v>
      </c>
      <c r="I97" s="214">
        <f t="shared" si="176"/>
        <v>396.25799999999992</v>
      </c>
      <c r="J97" s="214">
        <f t="shared" si="176"/>
        <v>512.10899999999992</v>
      </c>
      <c r="K97" s="214">
        <f t="shared" si="176"/>
        <v>864.14400000000023</v>
      </c>
      <c r="L97" s="214">
        <f t="shared" si="176"/>
        <v>1512.252</v>
      </c>
      <c r="M97" s="214">
        <f t="shared" si="176"/>
        <v>2052.3209999999999</v>
      </c>
      <c r="N97" s="214">
        <f t="shared" si="176"/>
        <v>3332.3267465600757</v>
      </c>
      <c r="O97" s="214">
        <f t="shared" si="176"/>
        <v>4317.5383767853345</v>
      </c>
      <c r="P97" s="214">
        <f t="shared" si="176"/>
        <v>3044.7054923128007</v>
      </c>
      <c r="Q97" s="214">
        <f t="shared" si="176"/>
        <v>4389.2110718597633</v>
      </c>
      <c r="R97" s="214">
        <f t="shared" si="176"/>
        <v>6057.5778051916841</v>
      </c>
      <c r="S97" s="214">
        <f t="shared" si="176"/>
        <v>6482.4243786281349</v>
      </c>
      <c r="T97" s="214">
        <f t="shared" si="176"/>
        <v>7484.753431879959</v>
      </c>
      <c r="W97" s="292" t="str">
        <f t="shared" si="177"/>
        <v>GS 3,000 - 4,999</v>
      </c>
      <c r="X97" s="294">
        <f t="shared" si="178"/>
        <v>5.0000000000000001E-3</v>
      </c>
      <c r="Y97" s="294">
        <f t="shared" si="178"/>
        <v>0.05</v>
      </c>
      <c r="Z97" s="294">
        <f t="shared" si="178"/>
        <v>0.05</v>
      </c>
    </row>
    <row r="98" spans="2:26">
      <c r="B98" s="857"/>
      <c r="C98" s="856"/>
      <c r="D98" s="248" t="s">
        <v>206</v>
      </c>
      <c r="F98" s="214">
        <f>F$50*$X98+F$55*$Y98+F$60*$Z98</f>
        <v>0</v>
      </c>
      <c r="G98" s="214">
        <f t="shared" si="176"/>
        <v>0</v>
      </c>
      <c r="H98" s="214">
        <f t="shared" si="176"/>
        <v>0</v>
      </c>
      <c r="I98" s="214">
        <f t="shared" si="176"/>
        <v>0</v>
      </c>
      <c r="J98" s="214">
        <f t="shared" si="176"/>
        <v>0</v>
      </c>
      <c r="K98" s="214">
        <f t="shared" si="176"/>
        <v>0</v>
      </c>
      <c r="L98" s="214">
        <f t="shared" si="176"/>
        <v>0</v>
      </c>
      <c r="M98" s="214">
        <f t="shared" si="176"/>
        <v>0</v>
      </c>
      <c r="N98" s="214">
        <f t="shared" si="176"/>
        <v>0</v>
      </c>
      <c r="O98" s="214">
        <f t="shared" si="176"/>
        <v>0</v>
      </c>
      <c r="P98" s="214">
        <f t="shared" si="176"/>
        <v>0</v>
      </c>
      <c r="Q98" s="214">
        <f t="shared" si="176"/>
        <v>0</v>
      </c>
      <c r="R98" s="214">
        <f t="shared" si="176"/>
        <v>0</v>
      </c>
      <c r="S98" s="214">
        <f t="shared" si="176"/>
        <v>0</v>
      </c>
      <c r="T98" s="214">
        <f>(T$50-S$50)*$X98+(T$55-S$55)*$Y98+(T$60-S$60)*$Z98</f>
        <v>0</v>
      </c>
      <c r="W98" s="292"/>
      <c r="X98" s="294"/>
      <c r="Y98" s="294"/>
      <c r="Z98" s="294"/>
    </row>
    <row r="99" spans="2:26">
      <c r="B99" s="857"/>
      <c r="F99" s="291">
        <f t="shared" ref="F99" si="179">SUM(F94:F98)</f>
        <v>45736.800000000003</v>
      </c>
      <c r="G99" s="291">
        <f t="shared" ref="G99" si="180">SUM(G94:G98)</f>
        <v>113703</v>
      </c>
      <c r="H99" s="291">
        <f t="shared" ref="H99" si="181">SUM(H94:H98)</f>
        <v>88114.199999999983</v>
      </c>
      <c r="I99" s="291">
        <f t="shared" ref="I99" si="182">SUM(I94:I98)</f>
        <v>38751.599999999977</v>
      </c>
      <c r="J99" s="291">
        <f t="shared" ref="J99" si="183">SUM(J94:J98)</f>
        <v>61921.799999999988</v>
      </c>
      <c r="K99" s="291">
        <f t="shared" ref="K99" si="184">SUM(K94:K98)</f>
        <v>118828.80000000005</v>
      </c>
      <c r="L99" s="291">
        <f t="shared" ref="L99" si="185">SUM(L94:L98)</f>
        <v>207950.4</v>
      </c>
      <c r="M99" s="291">
        <f t="shared" ref="M99" si="186">SUM(M94:M98)</f>
        <v>342964.19999999995</v>
      </c>
      <c r="N99" s="291">
        <f t="shared" ref="N99" si="187">SUM(N94:N98)</f>
        <v>491341.47713041533</v>
      </c>
      <c r="O99" s="291">
        <f t="shared" ref="O99" si="188">SUM(O94:O98)</f>
        <v>565317.21175695781</v>
      </c>
      <c r="P99" s="291">
        <f t="shared" ref="P99" si="189">SUM(P94:P98)</f>
        <v>526156.77212709235</v>
      </c>
      <c r="Q99" s="291">
        <f t="shared" ref="Q99" si="190">SUM(Q94:Q98)</f>
        <v>580789.58193621528</v>
      </c>
      <c r="R99" s="291">
        <f t="shared" ref="R99" si="191">SUM(R94:R98)</f>
        <v>779234.20398885314</v>
      </c>
      <c r="S99" s="291">
        <f t="shared" ref="S99" si="192">SUM(S94:S98)</f>
        <v>888956.86613082117</v>
      </c>
      <c r="T99" s="291">
        <f>SUM(T94:T98)</f>
        <v>950099.07067687192</v>
      </c>
      <c r="W99" s="292"/>
      <c r="X99" s="294">
        <f>SUM(X94:X98)</f>
        <v>1</v>
      </c>
      <c r="Y99" s="294">
        <f t="shared" ref="Y99" si="193">SUM(Y94:Y98)</f>
        <v>1</v>
      </c>
      <c r="Z99" s="294">
        <f t="shared" ref="Z99" si="194">SUM(Z94:Z98)</f>
        <v>1</v>
      </c>
    </row>
    <row r="100" spans="2:26">
      <c r="B100" s="857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</row>
    <row r="101" spans="2:26">
      <c r="B101" s="857"/>
      <c r="C101" s="248" t="s">
        <v>279</v>
      </c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</row>
    <row r="102" spans="2:26">
      <c r="B102" s="857"/>
      <c r="D102" s="248" t="s">
        <v>280</v>
      </c>
      <c r="F102" s="290">
        <v>0.1</v>
      </c>
      <c r="G102" s="290">
        <f>F102</f>
        <v>0.1</v>
      </c>
      <c r="H102" s="290">
        <f t="shared" ref="H102" si="195">G102</f>
        <v>0.1</v>
      </c>
      <c r="I102" s="290">
        <f t="shared" ref="I102" si="196">H102</f>
        <v>0.1</v>
      </c>
      <c r="J102" s="290">
        <f t="shared" ref="J102" si="197">I102</f>
        <v>0.1</v>
      </c>
      <c r="K102" s="290">
        <f t="shared" ref="K102" si="198">J102</f>
        <v>0.1</v>
      </c>
      <c r="L102" s="290">
        <f t="shared" ref="L102" si="199">K102</f>
        <v>0.1</v>
      </c>
      <c r="M102" s="290">
        <f t="shared" ref="M102" si="200">L102</f>
        <v>0.1</v>
      </c>
      <c r="N102" s="290">
        <f t="shared" ref="N102" si="201">M102</f>
        <v>0.1</v>
      </c>
      <c r="O102" s="290">
        <f t="shared" ref="O102" si="202">N102</f>
        <v>0.1</v>
      </c>
      <c r="P102" s="290">
        <f t="shared" ref="P102" si="203">O102</f>
        <v>0.1</v>
      </c>
      <c r="Q102" s="290">
        <f t="shared" ref="Q102" si="204">P102</f>
        <v>0.1</v>
      </c>
      <c r="R102" s="290">
        <f t="shared" ref="R102" si="205">Q102</f>
        <v>0.1</v>
      </c>
      <c r="S102" s="290">
        <f t="shared" ref="S102" si="206">R102</f>
        <v>0.1</v>
      </c>
      <c r="T102" s="290">
        <f t="shared" ref="T102" si="207">S102</f>
        <v>0.1</v>
      </c>
    </row>
    <row r="103" spans="2:26">
      <c r="B103" s="857"/>
      <c r="D103" s="248" t="str">
        <f>D96</f>
        <v>GS 50 - 2,999</v>
      </c>
      <c r="F103" s="289">
        <f>((F96/F$102)/8760)*12</f>
        <v>38.365150684931507</v>
      </c>
      <c r="G103" s="289">
        <f t="shared" ref="G103:T103" si="208">((G96/G$102)/8760)*12</f>
        <v>83.652534246575343</v>
      </c>
      <c r="H103" s="289">
        <f t="shared" si="208"/>
        <v>57.707383561643823</v>
      </c>
      <c r="I103" s="289">
        <f t="shared" si="208"/>
        <v>27.278383561643821</v>
      </c>
      <c r="J103" s="289">
        <f t="shared" si="208"/>
        <v>41.561383561643822</v>
      </c>
      <c r="K103" s="289">
        <f t="shared" si="208"/>
        <v>77.77117808219181</v>
      </c>
      <c r="L103" s="289">
        <f t="shared" si="208"/>
        <v>136.09956164383559</v>
      </c>
      <c r="M103" s="289">
        <f t="shared" si="208"/>
        <v>217.06697260273967</v>
      </c>
      <c r="N103" s="289">
        <f t="shared" si="208"/>
        <v>317.54202619148589</v>
      </c>
      <c r="O103" s="289">
        <f t="shared" si="208"/>
        <v>373.44588471776842</v>
      </c>
      <c r="P103" s="289">
        <f t="shared" si="208"/>
        <v>331.27341044128337</v>
      </c>
      <c r="Q103" s="289">
        <f t="shared" si="208"/>
        <v>382.8883949286647</v>
      </c>
      <c r="R103" s="289">
        <f t="shared" si="208"/>
        <v>516.53778881766675</v>
      </c>
      <c r="S103" s="289">
        <f t="shared" si="208"/>
        <v>582.102848265901</v>
      </c>
      <c r="T103" s="289">
        <f t="shared" si="208"/>
        <v>631.45656390804368</v>
      </c>
    </row>
    <row r="104" spans="2:26">
      <c r="B104" s="857"/>
      <c r="D104" s="248" t="str">
        <f t="shared" ref="D104:D105" si="209">D97</f>
        <v>GS 3,000 - 4,999</v>
      </c>
      <c r="F104" s="289">
        <f>((F97/F$102)/8760)*12</f>
        <v>11.454575342465752</v>
      </c>
      <c r="G104" s="289">
        <f t="shared" ref="G104:T104" si="210">((G97/G$102)/8760)*12</f>
        <v>18.883767123287669</v>
      </c>
      <c r="H104" s="289">
        <f t="shared" si="210"/>
        <v>8.8091917808219158</v>
      </c>
      <c r="I104" s="289">
        <f t="shared" si="210"/>
        <v>5.4281917808219164</v>
      </c>
      <c r="J104" s="289">
        <f t="shared" si="210"/>
        <v>7.0151917808219171</v>
      </c>
      <c r="K104" s="289">
        <f t="shared" si="210"/>
        <v>11.837589041095894</v>
      </c>
      <c r="L104" s="289">
        <f t="shared" si="210"/>
        <v>20.715780821917807</v>
      </c>
      <c r="M104" s="289">
        <f t="shared" si="210"/>
        <v>28.113986301369863</v>
      </c>
      <c r="N104" s="289">
        <f t="shared" si="210"/>
        <v>45.648311596713356</v>
      </c>
      <c r="O104" s="289">
        <f t="shared" si="210"/>
        <v>59.144361325826509</v>
      </c>
      <c r="P104" s="289">
        <f t="shared" si="210"/>
        <v>41.708294415243842</v>
      </c>
      <c r="Q104" s="289">
        <f t="shared" si="210"/>
        <v>60.126179066572092</v>
      </c>
      <c r="R104" s="289">
        <f t="shared" si="210"/>
        <v>82.980517879338137</v>
      </c>
      <c r="S104" s="289">
        <f t="shared" si="210"/>
        <v>88.800333953810053</v>
      </c>
      <c r="T104" s="289">
        <f t="shared" si="210"/>
        <v>102.53086892986245</v>
      </c>
    </row>
    <row r="105" spans="2:26">
      <c r="B105" s="857"/>
      <c r="D105" s="248" t="str">
        <f t="shared" si="209"/>
        <v>Large Use</v>
      </c>
      <c r="F105" s="289">
        <f>((F98/F$102)/8760)*12</f>
        <v>0</v>
      </c>
      <c r="G105" s="289">
        <f t="shared" ref="G105:T105" si="211">((G98/G$102)/8760)*12</f>
        <v>0</v>
      </c>
      <c r="H105" s="289">
        <f t="shared" si="211"/>
        <v>0</v>
      </c>
      <c r="I105" s="289">
        <f t="shared" si="211"/>
        <v>0</v>
      </c>
      <c r="J105" s="289">
        <f t="shared" si="211"/>
        <v>0</v>
      </c>
      <c r="K105" s="289">
        <f t="shared" si="211"/>
        <v>0</v>
      </c>
      <c r="L105" s="289">
        <f t="shared" si="211"/>
        <v>0</v>
      </c>
      <c r="M105" s="289">
        <f t="shared" si="211"/>
        <v>0</v>
      </c>
      <c r="N105" s="289">
        <f t="shared" si="211"/>
        <v>0</v>
      </c>
      <c r="O105" s="289">
        <f t="shared" si="211"/>
        <v>0</v>
      </c>
      <c r="P105" s="289">
        <f t="shared" si="211"/>
        <v>0</v>
      </c>
      <c r="Q105" s="289">
        <f t="shared" si="211"/>
        <v>0</v>
      </c>
      <c r="R105" s="289">
        <f t="shared" si="211"/>
        <v>0</v>
      </c>
      <c r="S105" s="289">
        <f t="shared" si="211"/>
        <v>0</v>
      </c>
      <c r="T105" s="289">
        <f t="shared" si="211"/>
        <v>0</v>
      </c>
    </row>
    <row r="108" spans="2:26">
      <c r="B108" s="858" t="s">
        <v>65</v>
      </c>
      <c r="C108" s="248" t="s">
        <v>274</v>
      </c>
      <c r="F108" s="512">
        <f t="shared" ref="F108:T108" si="212">F79</f>
        <v>2017</v>
      </c>
      <c r="G108" s="512">
        <f t="shared" si="212"/>
        <v>2018</v>
      </c>
      <c r="H108" s="512">
        <f t="shared" si="212"/>
        <v>2019</v>
      </c>
      <c r="I108" s="512">
        <f t="shared" si="212"/>
        <v>2020</v>
      </c>
      <c r="J108" s="512">
        <f t="shared" si="212"/>
        <v>2021</v>
      </c>
      <c r="K108" s="512">
        <f t="shared" si="212"/>
        <v>2022</v>
      </c>
      <c r="L108" s="512">
        <f t="shared" si="212"/>
        <v>2023</v>
      </c>
      <c r="M108" s="512">
        <f t="shared" si="212"/>
        <v>2024</v>
      </c>
      <c r="N108" s="512">
        <f t="shared" si="212"/>
        <v>2025</v>
      </c>
      <c r="O108" s="512">
        <f t="shared" si="212"/>
        <v>2026</v>
      </c>
      <c r="P108" s="512">
        <f t="shared" si="212"/>
        <v>2027</v>
      </c>
      <c r="Q108" s="512">
        <f t="shared" si="212"/>
        <v>2028</v>
      </c>
      <c r="R108" s="512">
        <f t="shared" si="212"/>
        <v>2029</v>
      </c>
      <c r="S108" s="512">
        <f t="shared" si="212"/>
        <v>2030</v>
      </c>
      <c r="T108" s="512">
        <f t="shared" si="212"/>
        <v>2031</v>
      </c>
    </row>
    <row r="109" spans="2:26">
      <c r="B109" s="858"/>
      <c r="C109" s="856" t="s">
        <v>277</v>
      </c>
      <c r="D109" s="248" t="s">
        <v>63</v>
      </c>
      <c r="F109" s="214">
        <f>F80+F94</f>
        <v>78990.78</v>
      </c>
      <c r="G109" s="214">
        <f>G80+G94</f>
        <v>241471.15000000002</v>
      </c>
      <c r="H109" s="214">
        <f t="shared" ref="H109:S109" si="213">H80+H94</f>
        <v>279506.67</v>
      </c>
      <c r="I109" s="214">
        <f t="shared" si="213"/>
        <v>246111.35999999999</v>
      </c>
      <c r="J109" s="214">
        <f t="shared" si="213"/>
        <v>387113.77999999997</v>
      </c>
      <c r="K109" s="214">
        <f t="shared" si="213"/>
        <v>749856.92999999993</v>
      </c>
      <c r="L109" s="214">
        <f t="shared" si="213"/>
        <v>1192117.69</v>
      </c>
      <c r="M109" s="214">
        <f t="shared" si="213"/>
        <v>1673991.42</v>
      </c>
      <c r="N109" s="214">
        <f>N80+N94</f>
        <v>1981007.6492265682</v>
      </c>
      <c r="O109" s="214">
        <f t="shared" si="213"/>
        <v>2214732.8959577424</v>
      </c>
      <c r="P109" s="214">
        <f t="shared" si="213"/>
        <v>2463260.4427008638</v>
      </c>
      <c r="Q109" s="214">
        <f t="shared" si="213"/>
        <v>2716829.0554727367</v>
      </c>
      <c r="R109" s="214">
        <f t="shared" si="213"/>
        <v>3244058.4031544011</v>
      </c>
      <c r="S109" s="214">
        <f t="shared" si="213"/>
        <v>3672498.2232251493</v>
      </c>
      <c r="T109" s="214">
        <f>T80+T94</f>
        <v>3883879.2924974635</v>
      </c>
    </row>
    <row r="110" spans="2:26">
      <c r="B110" s="858"/>
      <c r="C110" s="856"/>
      <c r="D110" s="248" t="s">
        <v>278</v>
      </c>
      <c r="F110" s="214">
        <f t="shared" ref="F110:T112" si="214">F81+F95</f>
        <v>10960.68</v>
      </c>
      <c r="G110" s="214">
        <f t="shared" si="214"/>
        <v>30631.9</v>
      </c>
      <c r="H110" s="214">
        <f t="shared" si="214"/>
        <v>33439.020000000004</v>
      </c>
      <c r="I110" s="214">
        <f t="shared" si="214"/>
        <v>29510.159999999996</v>
      </c>
      <c r="J110" s="214">
        <f t="shared" si="214"/>
        <v>46098.68</v>
      </c>
      <c r="K110" s="214">
        <f t="shared" si="214"/>
        <v>94112.58</v>
      </c>
      <c r="L110" s="214">
        <f t="shared" si="214"/>
        <v>155849.14000000001</v>
      </c>
      <c r="M110" s="214">
        <f t="shared" si="214"/>
        <v>244772.52000000002</v>
      </c>
      <c r="N110" s="214">
        <f t="shared" si="214"/>
        <v>289987.05790256523</v>
      </c>
      <c r="O110" s="214">
        <f t="shared" si="214"/>
        <v>302465.30960783997</v>
      </c>
      <c r="P110" s="214">
        <f t="shared" si="214"/>
        <v>336625.14911697019</v>
      </c>
      <c r="Q110" s="214">
        <f t="shared" si="214"/>
        <v>376728.68640138576</v>
      </c>
      <c r="R110" s="214">
        <f t="shared" si="214"/>
        <v>448217.70977353072</v>
      </c>
      <c r="S110" s="214">
        <f t="shared" si="214"/>
        <v>506171.6320300019</v>
      </c>
      <c r="T110" s="214">
        <f t="shared" si="214"/>
        <v>541132.57465282187</v>
      </c>
    </row>
    <row r="111" spans="2:26">
      <c r="B111" s="858"/>
      <c r="C111" s="856"/>
      <c r="D111" s="248" t="s">
        <v>365</v>
      </c>
      <c r="F111" s="214">
        <f t="shared" si="214"/>
        <v>5067.3060000000005</v>
      </c>
      <c r="G111" s="214">
        <f t="shared" si="214"/>
        <v>13964.355</v>
      </c>
      <c r="H111" s="214">
        <f t="shared" si="214"/>
        <v>15092.558999999999</v>
      </c>
      <c r="I111" s="214">
        <f t="shared" si="214"/>
        <v>13324.571999999998</v>
      </c>
      <c r="J111" s="214">
        <f t="shared" si="214"/>
        <v>20789.405999999999</v>
      </c>
      <c r="K111" s="214">
        <f t="shared" si="214"/>
        <v>42098.161</v>
      </c>
      <c r="L111" s="214">
        <f t="shared" si="214"/>
        <v>69287.112999999998</v>
      </c>
      <c r="M111" s="214">
        <f t="shared" si="214"/>
        <v>107047.63399999999</v>
      </c>
      <c r="N111" s="214">
        <f t="shared" si="214"/>
        <v>127027.95823120896</v>
      </c>
      <c r="O111" s="214">
        <f t="shared" si="214"/>
        <v>133907.38143451684</v>
      </c>
      <c r="P111" s="214">
        <f t="shared" si="214"/>
        <v>148512.21924126352</v>
      </c>
      <c r="Q111" s="214">
        <f t="shared" si="214"/>
        <v>166305.77215946341</v>
      </c>
      <c r="R111" s="214">
        <f t="shared" si="214"/>
        <v>198116.55190189459</v>
      </c>
      <c r="S111" s="214">
        <f t="shared" si="214"/>
        <v>223639.81776595963</v>
      </c>
      <c r="T111" s="214">
        <f t="shared" si="214"/>
        <v>238979.03539582624</v>
      </c>
    </row>
    <row r="112" spans="2:26">
      <c r="B112" s="858"/>
      <c r="C112" s="856"/>
      <c r="D112" s="248" t="s">
        <v>366</v>
      </c>
      <c r="F112" s="214">
        <f t="shared" si="214"/>
        <v>1088.0339999999999</v>
      </c>
      <c r="G112" s="214">
        <f t="shared" si="214"/>
        <v>2251.5949999999998</v>
      </c>
      <c r="H112" s="214">
        <f t="shared" si="214"/>
        <v>1851.951</v>
      </c>
      <c r="I112" s="214">
        <f t="shared" si="214"/>
        <v>1655.5079999999998</v>
      </c>
      <c r="J112" s="214">
        <f t="shared" si="214"/>
        <v>2484.9340000000002</v>
      </c>
      <c r="K112" s="214">
        <f t="shared" si="214"/>
        <v>6058.1290000000008</v>
      </c>
      <c r="L112" s="214">
        <f t="shared" si="214"/>
        <v>11237.457</v>
      </c>
      <c r="M112" s="214">
        <f t="shared" si="214"/>
        <v>22413.626</v>
      </c>
      <c r="N112" s="214">
        <f t="shared" si="214"/>
        <v>26779.17984182914</v>
      </c>
      <c r="O112" s="214">
        <f t="shared" si="214"/>
        <v>24429.909908424386</v>
      </c>
      <c r="P112" s="214">
        <f t="shared" si="214"/>
        <v>26843.236942791882</v>
      </c>
      <c r="Q112" s="214">
        <f t="shared" si="214"/>
        <v>31347.992909552035</v>
      </c>
      <c r="R112" s="214">
        <f t="shared" si="214"/>
        <v>37128.769553005455</v>
      </c>
      <c r="S112" s="214">
        <f t="shared" si="214"/>
        <v>41581.495536233255</v>
      </c>
      <c r="T112" s="214">
        <f t="shared" si="214"/>
        <v>45675.286578968917</v>
      </c>
    </row>
    <row r="113" spans="2:28">
      <c r="B113" s="858"/>
      <c r="C113" s="856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</row>
    <row r="114" spans="2:28">
      <c r="B114" s="858"/>
      <c r="C114" s="856"/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</row>
    <row r="115" spans="2:28">
      <c r="B115" s="858"/>
    </row>
    <row r="116" spans="2:28">
      <c r="B116" s="858"/>
      <c r="C116" s="248" t="s">
        <v>218</v>
      </c>
      <c r="F116" s="512">
        <f t="shared" ref="F116:S116" si="215">F108</f>
        <v>2017</v>
      </c>
      <c r="G116" s="512">
        <f t="shared" si="215"/>
        <v>2018</v>
      </c>
      <c r="H116" s="512">
        <f t="shared" si="215"/>
        <v>2019</v>
      </c>
      <c r="I116" s="512">
        <f t="shared" si="215"/>
        <v>2020</v>
      </c>
      <c r="J116" s="512">
        <f t="shared" si="215"/>
        <v>2021</v>
      </c>
      <c r="K116" s="512">
        <f t="shared" si="215"/>
        <v>2022</v>
      </c>
      <c r="L116" s="512">
        <f t="shared" si="215"/>
        <v>2023</v>
      </c>
      <c r="M116" s="512">
        <f t="shared" si="215"/>
        <v>2024</v>
      </c>
      <c r="N116" s="512">
        <f t="shared" si="215"/>
        <v>2025</v>
      </c>
      <c r="O116" s="512">
        <f t="shared" si="215"/>
        <v>2026</v>
      </c>
      <c r="P116" s="512">
        <f t="shared" si="215"/>
        <v>2027</v>
      </c>
      <c r="Q116" s="512">
        <f t="shared" si="215"/>
        <v>2028</v>
      </c>
      <c r="R116" s="512">
        <f t="shared" si="215"/>
        <v>2029</v>
      </c>
      <c r="S116" s="512">
        <f t="shared" si="215"/>
        <v>2030</v>
      </c>
      <c r="T116" s="512">
        <f>T108</f>
        <v>2031</v>
      </c>
      <c r="V116" s="512"/>
      <c r="W116" s="512"/>
      <c r="X116" s="512"/>
      <c r="Y116" s="512"/>
      <c r="Z116" s="512"/>
      <c r="AA116" s="512"/>
      <c r="AB116" s="512"/>
    </row>
    <row r="117" spans="2:28">
      <c r="B117" s="858"/>
      <c r="C117" s="856" t="s">
        <v>615</v>
      </c>
      <c r="D117" s="248" t="s">
        <v>63</v>
      </c>
      <c r="F117" s="214">
        <f>SUM($F109:F109)</f>
        <v>78990.78</v>
      </c>
      <c r="G117" s="214">
        <f>SUM($F109:G109)</f>
        <v>320461.93000000005</v>
      </c>
      <c r="H117" s="214">
        <f>SUM($F109:H109)</f>
        <v>599968.60000000009</v>
      </c>
      <c r="I117" s="214">
        <f>SUM($F109:I109)</f>
        <v>846079.96000000008</v>
      </c>
      <c r="J117" s="214">
        <f>SUM($F109:J109)</f>
        <v>1233193.74</v>
      </c>
      <c r="K117" s="214">
        <f>SUM($F109:K109)</f>
        <v>1983050.67</v>
      </c>
      <c r="L117" s="214">
        <f>SUM($F109:L109)</f>
        <v>3175168.36</v>
      </c>
      <c r="M117" s="214">
        <f>SUM($F109:M109)</f>
        <v>4849159.7799999993</v>
      </c>
      <c r="N117" s="214">
        <f>SUM($F109:N109)</f>
        <v>6830167.429226568</v>
      </c>
      <c r="O117" s="214">
        <f>SUM($F109:O109)</f>
        <v>9044900.3251843099</v>
      </c>
      <c r="P117" s="214">
        <f>SUM($F109:P109)</f>
        <v>11508160.767885175</v>
      </c>
      <c r="Q117" s="214">
        <f>SUM($F109:Q109)</f>
        <v>14224989.823357912</v>
      </c>
      <c r="R117" s="214">
        <f>SUM($F109:R109)</f>
        <v>17469048.226512313</v>
      </c>
      <c r="S117" s="214">
        <f>SUM($F109:S109)</f>
        <v>21141546.449737463</v>
      </c>
      <c r="T117" s="214">
        <f>SUM($F109:T109)</f>
        <v>25025425.742234927</v>
      </c>
      <c r="U117" s="214"/>
      <c r="V117" s="214"/>
      <c r="W117" s="214"/>
      <c r="X117" s="214"/>
      <c r="Y117" s="214"/>
      <c r="Z117" s="214"/>
      <c r="AA117" s="214"/>
      <c r="AB117" s="214"/>
    </row>
    <row r="118" spans="2:28">
      <c r="B118" s="858"/>
      <c r="C118" s="856"/>
      <c r="D118" s="248" t="s">
        <v>278</v>
      </c>
      <c r="F118" s="214">
        <f>SUM($F110:F110)</f>
        <v>10960.68</v>
      </c>
      <c r="G118" s="214">
        <f>SUM($F110:G110)</f>
        <v>41592.58</v>
      </c>
      <c r="H118" s="214">
        <f>SUM($F110:H110)</f>
        <v>75031.600000000006</v>
      </c>
      <c r="I118" s="214">
        <f>SUM($F110:I110)</f>
        <v>104541.76000000001</v>
      </c>
      <c r="J118" s="214">
        <f>SUM($F110:J110)</f>
        <v>150640.44</v>
      </c>
      <c r="K118" s="214">
        <f>SUM($F110:K110)</f>
        <v>244753.02000000002</v>
      </c>
      <c r="L118" s="214">
        <f>SUM($F110:L110)</f>
        <v>400602.16000000003</v>
      </c>
      <c r="M118" s="214">
        <f>SUM($F110:M110)</f>
        <v>645374.68000000005</v>
      </c>
      <c r="N118" s="214">
        <f>SUM($F110:N110)</f>
        <v>935361.73790256528</v>
      </c>
      <c r="O118" s="214">
        <f>SUM($F110:O110)</f>
        <v>1237827.0475104053</v>
      </c>
      <c r="P118" s="214">
        <f>SUM($F110:P110)</f>
        <v>1574452.1966273754</v>
      </c>
      <c r="Q118" s="214">
        <f>SUM($F110:Q110)</f>
        <v>1951180.8830287613</v>
      </c>
      <c r="R118" s="214">
        <f>SUM($F110:R110)</f>
        <v>2399398.5928022917</v>
      </c>
      <c r="S118" s="214">
        <f>SUM($F110:S110)</f>
        <v>2905570.2248322936</v>
      </c>
      <c r="T118" s="214">
        <f>SUM($F110:T110)</f>
        <v>3446702.7994851153</v>
      </c>
      <c r="V118" s="214"/>
      <c r="W118" s="214"/>
      <c r="X118" s="214"/>
      <c r="Y118" s="214"/>
      <c r="Z118" s="214"/>
      <c r="AA118" s="214"/>
      <c r="AB118" s="214"/>
    </row>
    <row r="119" spans="2:28">
      <c r="B119" s="858"/>
      <c r="C119" s="856"/>
      <c r="D119" s="248" t="s">
        <v>365</v>
      </c>
      <c r="F119" s="214">
        <f>SUM($F111:F111)</f>
        <v>5067.3060000000005</v>
      </c>
      <c r="G119" s="214">
        <f>SUM($F111:G111)</f>
        <v>19031.661</v>
      </c>
      <c r="H119" s="214">
        <f>SUM($F111:H111)</f>
        <v>34124.22</v>
      </c>
      <c r="I119" s="214">
        <f>SUM($F111:I111)</f>
        <v>47448.792000000001</v>
      </c>
      <c r="J119" s="214">
        <f>SUM($F111:J111)</f>
        <v>68238.198000000004</v>
      </c>
      <c r="K119" s="214">
        <f>SUM($F111:K111)</f>
        <v>110336.359</v>
      </c>
      <c r="L119" s="214">
        <f>SUM($F111:L111)</f>
        <v>179623.47200000001</v>
      </c>
      <c r="M119" s="214">
        <f>SUM($F111:M111)</f>
        <v>286671.10600000003</v>
      </c>
      <c r="N119" s="214">
        <f>SUM($F111:N111)</f>
        <v>413699.06423120899</v>
      </c>
      <c r="O119" s="214">
        <f>SUM($F111:O111)</f>
        <v>547606.44566572586</v>
      </c>
      <c r="P119" s="214">
        <f>SUM($F111:P111)</f>
        <v>696118.66490698932</v>
      </c>
      <c r="Q119" s="214">
        <f>SUM($F111:Q111)</f>
        <v>862424.43706645269</v>
      </c>
      <c r="R119" s="214">
        <f>SUM($F111:R111)</f>
        <v>1060540.9889683472</v>
      </c>
      <c r="S119" s="214">
        <f>SUM($F111:S111)</f>
        <v>1284180.8067343067</v>
      </c>
      <c r="T119" s="214">
        <f>SUM($F111:T111)</f>
        <v>1523159.842130133</v>
      </c>
      <c r="V119" s="214"/>
      <c r="W119" s="214"/>
      <c r="X119" s="214"/>
      <c r="Y119" s="214"/>
      <c r="Z119" s="214"/>
      <c r="AA119" s="214"/>
      <c r="AB119" s="214"/>
    </row>
    <row r="120" spans="2:28">
      <c r="B120" s="858"/>
      <c r="C120" s="856"/>
      <c r="D120" s="248" t="s">
        <v>366</v>
      </c>
      <c r="F120" s="214">
        <f>SUM($F112:F112)</f>
        <v>1088.0339999999999</v>
      </c>
      <c r="G120" s="214">
        <f>SUM($F112:G112)</f>
        <v>3339.6289999999999</v>
      </c>
      <c r="H120" s="214">
        <f>SUM($F112:H112)</f>
        <v>5191.58</v>
      </c>
      <c r="I120" s="214">
        <f>SUM($F112:I112)</f>
        <v>6847.0879999999997</v>
      </c>
      <c r="J120" s="214">
        <f>SUM($F112:J112)</f>
        <v>9332.0220000000008</v>
      </c>
      <c r="K120" s="214">
        <f>SUM($F112:K112)</f>
        <v>15390.151000000002</v>
      </c>
      <c r="L120" s="214">
        <f>SUM($F112:L112)</f>
        <v>26627.608</v>
      </c>
      <c r="M120" s="214">
        <f>SUM($F112:M112)</f>
        <v>49041.233999999997</v>
      </c>
      <c r="N120" s="214">
        <f>SUM($F112:N112)</f>
        <v>75820.41384182914</v>
      </c>
      <c r="O120" s="214">
        <f>SUM($F112:O112)</f>
        <v>100250.32375025353</v>
      </c>
      <c r="P120" s="214">
        <f>SUM($F112:P112)</f>
        <v>127093.56069304541</v>
      </c>
      <c r="Q120" s="214">
        <f>SUM($F112:Q112)</f>
        <v>158441.55360259744</v>
      </c>
      <c r="R120" s="214">
        <f>SUM($F112:R112)</f>
        <v>195570.32315560291</v>
      </c>
      <c r="S120" s="214">
        <f>SUM($F112:S112)</f>
        <v>237151.81869183615</v>
      </c>
      <c r="T120" s="214">
        <f>SUM($F112:T112)</f>
        <v>282827.10527080507</v>
      </c>
      <c r="V120" s="214"/>
      <c r="W120" s="214"/>
      <c r="X120" s="214"/>
      <c r="Y120" s="214"/>
      <c r="Z120" s="214"/>
      <c r="AA120" s="214"/>
      <c r="AB120" s="214"/>
    </row>
    <row r="121" spans="2:28">
      <c r="B121" s="858"/>
      <c r="C121" s="856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V121" s="214"/>
      <c r="W121" s="214"/>
      <c r="X121" s="214"/>
      <c r="Y121" s="214"/>
      <c r="Z121" s="214"/>
      <c r="AA121" s="214"/>
      <c r="AB121" s="214"/>
    </row>
    <row r="122" spans="2:28">
      <c r="B122" s="858"/>
      <c r="C122" s="856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V122" s="214"/>
      <c r="W122" s="214"/>
      <c r="X122" s="214"/>
      <c r="Y122" s="214"/>
      <c r="Z122" s="214"/>
      <c r="AA122" s="214"/>
      <c r="AB122" s="214"/>
    </row>
    <row r="123" spans="2:28">
      <c r="B123" s="858"/>
      <c r="C123" s="452"/>
    </row>
    <row r="124" spans="2:28">
      <c r="B124" s="858"/>
      <c r="C124" s="248" t="s">
        <v>218</v>
      </c>
      <c r="F124" s="512">
        <f>F108</f>
        <v>2017</v>
      </c>
      <c r="G124" s="512">
        <f t="shared" ref="G124:T124" si="216">G108</f>
        <v>2018</v>
      </c>
      <c r="H124" s="512">
        <f t="shared" si="216"/>
        <v>2019</v>
      </c>
      <c r="I124" s="512">
        <f t="shared" si="216"/>
        <v>2020</v>
      </c>
      <c r="J124" s="512">
        <f t="shared" si="216"/>
        <v>2021</v>
      </c>
      <c r="K124" s="512">
        <f t="shared" si="216"/>
        <v>2022</v>
      </c>
      <c r="L124" s="512">
        <f t="shared" si="216"/>
        <v>2023</v>
      </c>
      <c r="M124" s="512">
        <f t="shared" si="216"/>
        <v>2024</v>
      </c>
      <c r="N124" s="512">
        <f t="shared" si="216"/>
        <v>2025</v>
      </c>
      <c r="O124" s="512">
        <f t="shared" si="216"/>
        <v>2026</v>
      </c>
      <c r="P124" s="512">
        <f t="shared" si="216"/>
        <v>2027</v>
      </c>
      <c r="Q124" s="512">
        <f t="shared" si="216"/>
        <v>2028</v>
      </c>
      <c r="R124" s="512">
        <f t="shared" si="216"/>
        <v>2029</v>
      </c>
      <c r="S124" s="512">
        <f t="shared" si="216"/>
        <v>2030</v>
      </c>
      <c r="T124" s="512">
        <f t="shared" si="216"/>
        <v>2031</v>
      </c>
    </row>
    <row r="125" spans="2:28">
      <c r="B125" s="858"/>
      <c r="C125" s="856" t="s">
        <v>614</v>
      </c>
      <c r="D125" s="248" t="s">
        <v>63</v>
      </c>
      <c r="F125" s="214">
        <f t="shared" ref="F125:T125" si="217">(F$15*F$16)*$X80+(F$20*F$21)*$Y80+(F$25*F$26)*$Z80+(F$47*F$48)*$X94+(F$52*F$53)*$Y94+(F$57*F$58)*$Z94</f>
        <v>157981.56</v>
      </c>
      <c r="G125" s="214">
        <f t="shared" si="217"/>
        <v>482942.30000000005</v>
      </c>
      <c r="H125" s="214">
        <f t="shared" si="217"/>
        <v>716994.9</v>
      </c>
      <c r="I125" s="214">
        <f t="shared" si="217"/>
        <v>975165.0199999999</v>
      </c>
      <c r="J125" s="214">
        <f t="shared" si="217"/>
        <v>1491222.46</v>
      </c>
      <c r="K125" s="214">
        <f t="shared" si="217"/>
        <v>2474878.88</v>
      </c>
      <c r="L125" s="214">
        <f t="shared" si="217"/>
        <v>3875457.84</v>
      </c>
      <c r="M125" s="214">
        <f t="shared" si="217"/>
        <v>5822861.7199999997</v>
      </c>
      <c r="N125" s="214">
        <f t="shared" si="217"/>
        <v>7837473.1384531362</v>
      </c>
      <c r="O125" s="214">
        <f t="shared" si="217"/>
        <v>10252327.511915484</v>
      </c>
      <c r="P125" s="214">
        <f t="shared" si="217"/>
        <v>12921975.58385486</v>
      </c>
      <c r="Q125" s="214">
        <f t="shared" si="217"/>
        <v>15852964.802860957</v>
      </c>
      <c r="R125" s="214">
        <f t="shared" si="217"/>
        <v>19319184.250163667</v>
      </c>
      <c r="S125" s="214">
        <f t="shared" si="217"/>
        <v>23222078.769311253</v>
      </c>
      <c r="T125" s="214">
        <f t="shared" si="217"/>
        <v>27344830.155158591</v>
      </c>
      <c r="U125" s="214"/>
    </row>
    <row r="126" spans="2:28">
      <c r="B126" s="858"/>
      <c r="C126" s="856"/>
      <c r="D126" s="248" t="s">
        <v>278</v>
      </c>
      <c r="F126" s="214">
        <f t="shared" ref="F126:T126" si="218">(F$15*F$16)*$X81+(F$20*F$21)*$Y81+(F$25*F$26)*$Z81+(F$47*F$48)*$X95+(F$52*F$53)*$Y95+(F$57*F$58)*$Z95</f>
        <v>21921.360000000001</v>
      </c>
      <c r="G126" s="214">
        <f t="shared" si="218"/>
        <v>61263.8</v>
      </c>
      <c r="H126" s="214">
        <f t="shared" si="218"/>
        <v>88799.400000000009</v>
      </c>
      <c r="I126" s="214">
        <f t="shared" si="218"/>
        <v>120284.12000000001</v>
      </c>
      <c r="J126" s="214">
        <f t="shared" si="218"/>
        <v>180996.76</v>
      </c>
      <c r="K126" s="214">
        <f t="shared" si="218"/>
        <v>308509.28000000003</v>
      </c>
      <c r="L126" s="214">
        <f t="shared" si="218"/>
        <v>492695.04000000004</v>
      </c>
      <c r="M126" s="214">
        <f t="shared" si="218"/>
        <v>798054.32000000007</v>
      </c>
      <c r="N126" s="214">
        <f t="shared" si="218"/>
        <v>1072669.1558051305</v>
      </c>
      <c r="O126" s="214">
        <f t="shared" si="218"/>
        <v>1402984.9392156804</v>
      </c>
      <c r="P126" s="214">
        <f t="shared" si="218"/>
        <v>1767840.8140390706</v>
      </c>
      <c r="Q126" s="214">
        <f t="shared" si="218"/>
        <v>2173863.3920184514</v>
      </c>
      <c r="R126" s="214">
        <f t="shared" si="218"/>
        <v>2652469.3935861327</v>
      </c>
      <c r="S126" s="214">
        <f t="shared" si="218"/>
        <v>3190155.7760784547</v>
      </c>
      <c r="T126" s="214">
        <f t="shared" si="218"/>
        <v>3763962.4628917761</v>
      </c>
    </row>
    <row r="127" spans="2:28">
      <c r="B127" s="858"/>
      <c r="C127" s="856"/>
      <c r="D127" s="248" t="s">
        <v>365</v>
      </c>
      <c r="F127" s="214">
        <f t="shared" ref="F127:T127" si="219">(F$15*F$16)*$X82+(F$20*F$21)*$Y82+(F$25*F$26)*$Z82+(F$47*F$48)*$X96+(F$52*F$53)*$Y96+(F$57*F$58)*$Z96</f>
        <v>10134.612000000001</v>
      </c>
      <c r="G127" s="214">
        <f t="shared" si="219"/>
        <v>27928.71</v>
      </c>
      <c r="H127" s="214">
        <f t="shared" si="219"/>
        <v>40319.729999999996</v>
      </c>
      <c r="I127" s="214">
        <f t="shared" si="219"/>
        <v>54577.853999999992</v>
      </c>
      <c r="J127" s="214">
        <f t="shared" si="219"/>
        <v>81898.542000000001</v>
      </c>
      <c r="K127" s="214">
        <f t="shared" si="219"/>
        <v>138774.17600000001</v>
      </c>
      <c r="L127" s="214">
        <f t="shared" si="219"/>
        <v>220472.76799999998</v>
      </c>
      <c r="M127" s="214">
        <f t="shared" si="219"/>
        <v>352869.44400000002</v>
      </c>
      <c r="N127" s="214">
        <f t="shared" si="219"/>
        <v>474528.68446241791</v>
      </c>
      <c r="O127" s="214">
        <f t="shared" si="219"/>
        <v>620684.20686903375</v>
      </c>
      <c r="P127" s="214">
        <f t="shared" si="219"/>
        <v>781687.73494494485</v>
      </c>
      <c r="Q127" s="214">
        <f t="shared" si="219"/>
        <v>960955.23718796053</v>
      </c>
      <c r="R127" s="214">
        <f t="shared" si="219"/>
        <v>1172517.7607487342</v>
      </c>
      <c r="S127" s="214">
        <f t="shared" si="219"/>
        <v>1410101.9767198795</v>
      </c>
      <c r="T127" s="214">
        <f t="shared" si="219"/>
        <v>1663538.3955403867</v>
      </c>
    </row>
    <row r="128" spans="2:28">
      <c r="B128" s="858"/>
      <c r="C128" s="856"/>
      <c r="D128" s="248" t="s">
        <v>366</v>
      </c>
      <c r="F128" s="214">
        <f t="shared" ref="F128:T128" si="220">(F$15*F$16)*$X83+(F$20*F$21)*$Y83+(F$25*F$26)*$Z83+(F$47*F$48)*$X97+(F$52*F$53)*$Y97+(F$57*F$58)*$Z97</f>
        <v>2176.0680000000002</v>
      </c>
      <c r="G128" s="214">
        <f t="shared" si="220"/>
        <v>4503.1900000000005</v>
      </c>
      <c r="H128" s="214">
        <f t="shared" si="220"/>
        <v>5879.97</v>
      </c>
      <c r="I128" s="214">
        <f t="shared" si="220"/>
        <v>7814.2060000000001</v>
      </c>
      <c r="J128" s="214">
        <f t="shared" si="220"/>
        <v>10849.838</v>
      </c>
      <c r="K128" s="214">
        <f t="shared" si="220"/>
        <v>19930.464</v>
      </c>
      <c r="L128" s="214">
        <f t="shared" si="220"/>
        <v>33324.752</v>
      </c>
      <c r="M128" s="214">
        <f t="shared" si="220"/>
        <v>64757.716000000008</v>
      </c>
      <c r="N128" s="214">
        <f t="shared" si="220"/>
        <v>86883.111683658266</v>
      </c>
      <c r="O128" s="214">
        <f t="shared" si="220"/>
        <v>113617.53581684879</v>
      </c>
      <c r="P128" s="214">
        <f t="shared" si="220"/>
        <v>142745.65356924204</v>
      </c>
      <c r="Q128" s="214">
        <f t="shared" si="220"/>
        <v>176464.57563595285</v>
      </c>
      <c r="R128" s="214">
        <f t="shared" si="220"/>
        <v>216052.85067525296</v>
      </c>
      <c r="S128" s="214">
        <f t="shared" si="220"/>
        <v>260185.02270841933</v>
      </c>
      <c r="T128" s="214">
        <f t="shared" si="220"/>
        <v>308504.81983319076</v>
      </c>
    </row>
    <row r="129" spans="2:20">
      <c r="B129" s="858"/>
      <c r="C129" s="856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</row>
    <row r="130" spans="2:20">
      <c r="B130" s="858"/>
      <c r="C130" s="856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</row>
    <row r="131" spans="2:20">
      <c r="B131" s="858"/>
      <c r="C131" s="452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</row>
    <row r="132" spans="2:20">
      <c r="B132" s="858"/>
      <c r="C132" s="248" t="s">
        <v>279</v>
      </c>
      <c r="F132" s="512">
        <f>F124</f>
        <v>2017</v>
      </c>
      <c r="G132" s="512">
        <f t="shared" ref="G132:T132" si="221">G124</f>
        <v>2018</v>
      </c>
      <c r="H132" s="512">
        <f t="shared" si="221"/>
        <v>2019</v>
      </c>
      <c r="I132" s="512">
        <f t="shared" si="221"/>
        <v>2020</v>
      </c>
      <c r="J132" s="512">
        <f t="shared" si="221"/>
        <v>2021</v>
      </c>
      <c r="K132" s="512">
        <f t="shared" si="221"/>
        <v>2022</v>
      </c>
      <c r="L132" s="512">
        <f t="shared" si="221"/>
        <v>2023</v>
      </c>
      <c r="M132" s="512">
        <f t="shared" si="221"/>
        <v>2024</v>
      </c>
      <c r="N132" s="512">
        <f t="shared" si="221"/>
        <v>2025</v>
      </c>
      <c r="O132" s="512">
        <f t="shared" si="221"/>
        <v>2026</v>
      </c>
      <c r="P132" s="512">
        <f t="shared" si="221"/>
        <v>2027</v>
      </c>
      <c r="Q132" s="512">
        <f t="shared" si="221"/>
        <v>2028</v>
      </c>
      <c r="R132" s="512">
        <f t="shared" si="221"/>
        <v>2029</v>
      </c>
      <c r="S132" s="512">
        <f t="shared" si="221"/>
        <v>2030</v>
      </c>
      <c r="T132" s="512">
        <f t="shared" si="221"/>
        <v>2031</v>
      </c>
    </row>
    <row r="133" spans="2:20">
      <c r="B133" s="858"/>
      <c r="D133" s="248" t="str">
        <f>D127</f>
        <v>GS 50 - 2,999</v>
      </c>
      <c r="F133" s="214">
        <f>F89+F103</f>
        <v>69.415150684931504</v>
      </c>
      <c r="G133" s="214">
        <f t="shared" ref="G133:T135" si="222">G89+G103</f>
        <v>191.29253424657531</v>
      </c>
      <c r="H133" s="214">
        <f t="shared" si="222"/>
        <v>206.7473835616438</v>
      </c>
      <c r="I133" s="214">
        <f t="shared" si="222"/>
        <v>182.52838356164381</v>
      </c>
      <c r="J133" s="214">
        <f t="shared" si="222"/>
        <v>284.78638356164379</v>
      </c>
      <c r="K133" s="214">
        <f t="shared" si="222"/>
        <v>576.68713698630131</v>
      </c>
      <c r="L133" s="214">
        <f t="shared" si="222"/>
        <v>949.13853424657532</v>
      </c>
      <c r="M133" s="214">
        <f t="shared" si="222"/>
        <v>1466.4059452054794</v>
      </c>
      <c r="N133" s="214">
        <f t="shared" si="222"/>
        <v>1740.1090168658761</v>
      </c>
      <c r="O133" s="214">
        <f t="shared" si="222"/>
        <v>1834.347690883792</v>
      </c>
      <c r="P133" s="214">
        <f t="shared" si="222"/>
        <v>2034.4139622090895</v>
      </c>
      <c r="Q133" s="214">
        <f t="shared" si="222"/>
        <v>2278.1612624584027</v>
      </c>
      <c r="R133" s="214">
        <f t="shared" si="222"/>
        <v>2713.9253685191034</v>
      </c>
      <c r="S133" s="214">
        <f t="shared" si="222"/>
        <v>3063.5591474788989</v>
      </c>
      <c r="T133" s="214">
        <f t="shared" si="222"/>
        <v>3273.6854163811813</v>
      </c>
    </row>
    <row r="134" spans="2:20">
      <c r="B134" s="858"/>
      <c r="D134" s="248" t="str">
        <f>D128</f>
        <v>GS 3,000 - 4,999</v>
      </c>
      <c r="F134" s="214">
        <f>F90+F104</f>
        <v>14.904575342465751</v>
      </c>
      <c r="G134" s="214">
        <f t="shared" si="222"/>
        <v>30.84376712328767</v>
      </c>
      <c r="H134" s="214">
        <f t="shared" si="222"/>
        <v>25.369191780821918</v>
      </c>
      <c r="I134" s="214">
        <f t="shared" si="222"/>
        <v>22.678191780821916</v>
      </c>
      <c r="J134" s="214">
        <f t="shared" si="222"/>
        <v>34.040191780821914</v>
      </c>
      <c r="K134" s="214">
        <f t="shared" si="222"/>
        <v>82.988068493150692</v>
      </c>
      <c r="L134" s="214">
        <f t="shared" si="222"/>
        <v>153.93776712328764</v>
      </c>
      <c r="M134" s="214">
        <f t="shared" si="222"/>
        <v>307.03597260273978</v>
      </c>
      <c r="N134" s="214">
        <f t="shared" si="222"/>
        <v>366.83808002505668</v>
      </c>
      <c r="O134" s="214">
        <f t="shared" si="222"/>
        <v>334.65630011540259</v>
      </c>
      <c r="P134" s="214">
        <f t="shared" si="222"/>
        <v>367.71557455879281</v>
      </c>
      <c r="Q134" s="214">
        <f t="shared" si="222"/>
        <v>429.42456040482233</v>
      </c>
      <c r="R134" s="214">
        <f t="shared" si="222"/>
        <v>508.61328154801998</v>
      </c>
      <c r="S134" s="214">
        <f t="shared" si="222"/>
        <v>569.60952789360613</v>
      </c>
      <c r="T134" s="214">
        <f t="shared" si="222"/>
        <v>625.6888572461495</v>
      </c>
    </row>
    <row r="135" spans="2:20">
      <c r="B135" s="858"/>
      <c r="F135" s="214">
        <f>F91+F105</f>
        <v>0</v>
      </c>
      <c r="G135" s="214">
        <f t="shared" si="222"/>
        <v>0</v>
      </c>
      <c r="H135" s="214">
        <f t="shared" si="222"/>
        <v>0</v>
      </c>
      <c r="I135" s="214">
        <f t="shared" si="222"/>
        <v>0</v>
      </c>
      <c r="J135" s="214">
        <f t="shared" si="222"/>
        <v>0</v>
      </c>
      <c r="K135" s="214">
        <f t="shared" si="222"/>
        <v>0</v>
      </c>
      <c r="L135" s="214">
        <f t="shared" si="222"/>
        <v>0</v>
      </c>
      <c r="M135" s="214">
        <f t="shared" si="222"/>
        <v>0</v>
      </c>
      <c r="N135" s="214">
        <f t="shared" si="222"/>
        <v>0</v>
      </c>
      <c r="O135" s="214">
        <f t="shared" si="222"/>
        <v>0</v>
      </c>
      <c r="P135" s="214">
        <f t="shared" si="222"/>
        <v>0</v>
      </c>
      <c r="Q135" s="214">
        <f t="shared" si="222"/>
        <v>0</v>
      </c>
      <c r="R135" s="214">
        <f t="shared" si="222"/>
        <v>0</v>
      </c>
      <c r="S135" s="214">
        <f t="shared" si="222"/>
        <v>0</v>
      </c>
      <c r="T135" s="214">
        <f t="shared" si="222"/>
        <v>0</v>
      </c>
    </row>
    <row r="136" spans="2:20">
      <c r="B136" s="858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</row>
    <row r="137" spans="2:20">
      <c r="B137" s="858"/>
      <c r="C137" s="248" t="s">
        <v>613</v>
      </c>
      <c r="F137" s="512">
        <f>F132</f>
        <v>2017</v>
      </c>
      <c r="G137" s="512">
        <f t="shared" ref="G137:T137" si="223">G132</f>
        <v>2018</v>
      </c>
      <c r="H137" s="512">
        <f t="shared" si="223"/>
        <v>2019</v>
      </c>
      <c r="I137" s="512">
        <f t="shared" si="223"/>
        <v>2020</v>
      </c>
      <c r="J137" s="512">
        <f t="shared" si="223"/>
        <v>2021</v>
      </c>
      <c r="K137" s="512">
        <f t="shared" si="223"/>
        <v>2022</v>
      </c>
      <c r="L137" s="512">
        <f t="shared" si="223"/>
        <v>2023</v>
      </c>
      <c r="M137" s="512">
        <f t="shared" si="223"/>
        <v>2024</v>
      </c>
      <c r="N137" s="512">
        <f t="shared" si="223"/>
        <v>2025</v>
      </c>
      <c r="O137" s="512">
        <f t="shared" si="223"/>
        <v>2026</v>
      </c>
      <c r="P137" s="512">
        <f t="shared" si="223"/>
        <v>2027</v>
      </c>
      <c r="Q137" s="512">
        <f t="shared" si="223"/>
        <v>2028</v>
      </c>
      <c r="R137" s="512">
        <f t="shared" si="223"/>
        <v>2029</v>
      </c>
      <c r="S137" s="512">
        <f t="shared" si="223"/>
        <v>2030</v>
      </c>
      <c r="T137" s="512">
        <f t="shared" si="223"/>
        <v>2031</v>
      </c>
    </row>
    <row r="138" spans="2:20">
      <c r="B138" s="858"/>
      <c r="D138" s="248" t="str">
        <f>D133</f>
        <v>GS 50 - 2,999</v>
      </c>
      <c r="F138" s="214">
        <f>SUM($F133:F133)</f>
        <v>69.415150684931504</v>
      </c>
      <c r="G138" s="214">
        <f>SUM($F133:G133)</f>
        <v>260.70768493150683</v>
      </c>
      <c r="H138" s="214">
        <f>SUM($F133:H133)</f>
        <v>467.45506849315063</v>
      </c>
      <c r="I138" s="214">
        <f>SUM($F133:I133)</f>
        <v>649.9834520547945</v>
      </c>
      <c r="J138" s="214">
        <f>SUM($F133:J133)</f>
        <v>934.76983561643829</v>
      </c>
      <c r="K138" s="214">
        <f>SUM($F133:K133)</f>
        <v>1511.4569726027396</v>
      </c>
      <c r="L138" s="214">
        <f>SUM($F133:L133)</f>
        <v>2460.5955068493149</v>
      </c>
      <c r="M138" s="214">
        <f>SUM($F133:M133)</f>
        <v>3927.0014520547943</v>
      </c>
      <c r="N138" s="214">
        <f>SUM($F133:N133)</f>
        <v>5667.1104689206704</v>
      </c>
      <c r="O138" s="214">
        <f>SUM($F133:O133)</f>
        <v>7501.4581598044624</v>
      </c>
      <c r="P138" s="214">
        <f>SUM($F133:P133)</f>
        <v>9535.8721220135521</v>
      </c>
      <c r="Q138" s="214">
        <f>SUM($F133:Q133)</f>
        <v>11814.033384471955</v>
      </c>
      <c r="R138" s="214">
        <f>SUM($F133:R133)</f>
        <v>14527.958752991059</v>
      </c>
      <c r="S138" s="214">
        <f>SUM($F133:S133)</f>
        <v>17591.517900469957</v>
      </c>
      <c r="T138" s="214">
        <f>SUM($F133:T133)</f>
        <v>20865.203316851137</v>
      </c>
    </row>
    <row r="139" spans="2:20">
      <c r="B139" s="858"/>
      <c r="D139" s="248" t="str">
        <f>D134</f>
        <v>GS 3,000 - 4,999</v>
      </c>
      <c r="F139" s="214">
        <f>SUM($F134:F134)</f>
        <v>14.904575342465751</v>
      </c>
      <c r="G139" s="214">
        <f>SUM($F134:G134)</f>
        <v>45.748342465753424</v>
      </c>
      <c r="H139" s="214">
        <f>SUM($F134:H134)</f>
        <v>71.117534246575346</v>
      </c>
      <c r="I139" s="214">
        <f>SUM($F134:I134)</f>
        <v>93.795726027397265</v>
      </c>
      <c r="J139" s="214">
        <f>SUM($F134:J134)</f>
        <v>127.83591780821918</v>
      </c>
      <c r="K139" s="214">
        <f>SUM($F134:K134)</f>
        <v>210.82398630136987</v>
      </c>
      <c r="L139" s="214">
        <f>SUM($F134:L134)</f>
        <v>364.76175342465751</v>
      </c>
      <c r="M139" s="214">
        <f>SUM($F134:M134)</f>
        <v>671.79772602739729</v>
      </c>
      <c r="N139" s="214">
        <f>SUM($F134:N134)</f>
        <v>1038.635806052454</v>
      </c>
      <c r="O139" s="214">
        <f>SUM($F134:O134)</f>
        <v>1373.2921061678567</v>
      </c>
      <c r="P139" s="214">
        <f>SUM($F134:P134)</f>
        <v>1741.0076807266496</v>
      </c>
      <c r="Q139" s="214">
        <f>SUM($F134:Q134)</f>
        <v>2170.432241131472</v>
      </c>
      <c r="R139" s="214">
        <f>SUM($F134:R134)</f>
        <v>2679.045522679492</v>
      </c>
      <c r="S139" s="214">
        <f>SUM($F134:S134)</f>
        <v>3248.6550505730984</v>
      </c>
      <c r="T139" s="214">
        <f>SUM($F134:T134)</f>
        <v>3874.3439078192478</v>
      </c>
    </row>
    <row r="140" spans="2:20">
      <c r="B140" s="858"/>
      <c r="F140" s="214">
        <f>SUM($F135:F135)</f>
        <v>0</v>
      </c>
      <c r="G140" s="214">
        <f>SUM($F135:G135)</f>
        <v>0</v>
      </c>
      <c r="H140" s="214">
        <f>SUM($F135:H135)</f>
        <v>0</v>
      </c>
      <c r="I140" s="214">
        <f>SUM($F135:I135)</f>
        <v>0</v>
      </c>
      <c r="J140" s="214">
        <f>SUM($F135:J135)</f>
        <v>0</v>
      </c>
      <c r="K140" s="214">
        <f>SUM($F135:K135)</f>
        <v>0</v>
      </c>
      <c r="L140" s="214">
        <f>SUM($F135:L135)</f>
        <v>0</v>
      </c>
      <c r="M140" s="214">
        <f>SUM($F135:M135)</f>
        <v>0</v>
      </c>
      <c r="N140" s="214">
        <f>SUM($F135:N135)</f>
        <v>0</v>
      </c>
      <c r="O140" s="214">
        <f>SUM($F135:O135)</f>
        <v>0</v>
      </c>
      <c r="P140" s="214">
        <f>SUM($F135:P135)</f>
        <v>0</v>
      </c>
      <c r="Q140" s="214">
        <f>SUM($F135:Q135)</f>
        <v>0</v>
      </c>
      <c r="R140" s="214">
        <f>SUM($F135:R135)</f>
        <v>0</v>
      </c>
      <c r="S140" s="214">
        <f>SUM($F135:S135)</f>
        <v>0</v>
      </c>
      <c r="T140" s="214">
        <f>SUM($F135:T135)</f>
        <v>0</v>
      </c>
    </row>
    <row r="141" spans="2:20">
      <c r="B141" s="677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</row>
    <row r="142" spans="2:20">
      <c r="B142" s="677"/>
      <c r="F142" s="308">
        <f t="shared" ref="F142:S143" si="224">G142</f>
        <v>0.57752777867658123</v>
      </c>
      <c r="G142" s="308">
        <f t="shared" si="224"/>
        <v>0.57752777867658123</v>
      </c>
      <c r="H142" s="308">
        <f t="shared" si="224"/>
        <v>0.57752777867658123</v>
      </c>
      <c r="I142" s="308">
        <f t="shared" si="224"/>
        <v>0.57752777867658123</v>
      </c>
      <c r="J142" s="308">
        <f t="shared" si="224"/>
        <v>0.57752777867658123</v>
      </c>
      <c r="K142" s="308">
        <f t="shared" si="224"/>
        <v>0.57752777867658123</v>
      </c>
      <c r="L142" s="308">
        <f t="shared" si="224"/>
        <v>0.57752777867658123</v>
      </c>
      <c r="M142" s="308">
        <f t="shared" si="224"/>
        <v>0.57752777867658123</v>
      </c>
      <c r="N142" s="308">
        <f t="shared" si="224"/>
        <v>0.57752777867658123</v>
      </c>
      <c r="O142" s="308">
        <f t="shared" si="224"/>
        <v>0.57752777867658123</v>
      </c>
      <c r="P142" s="308">
        <f t="shared" si="224"/>
        <v>0.57752777867658123</v>
      </c>
      <c r="Q142" s="308">
        <f t="shared" si="224"/>
        <v>0.57752777867658123</v>
      </c>
      <c r="R142" s="308">
        <f t="shared" si="224"/>
        <v>0.57752777867658123</v>
      </c>
      <c r="S142" s="308">
        <f>T142</f>
        <v>0.57752777867658123</v>
      </c>
      <c r="T142" s="680">
        <f>12/(8760*'kW Forecast'!AR27)</f>
        <v>0.57752777867658123</v>
      </c>
    </row>
    <row r="143" spans="2:20">
      <c r="B143" s="677"/>
      <c r="F143" s="308">
        <f t="shared" si="224"/>
        <v>0.75224968082601218</v>
      </c>
      <c r="G143" s="308">
        <f t="shared" si="224"/>
        <v>0.75224968082601218</v>
      </c>
      <c r="H143" s="308">
        <f t="shared" si="224"/>
        <v>0.75224968082601218</v>
      </c>
      <c r="I143" s="308">
        <f t="shared" si="224"/>
        <v>0.75224968082601218</v>
      </c>
      <c r="J143" s="308">
        <f t="shared" si="224"/>
        <v>0.75224968082601218</v>
      </c>
      <c r="K143" s="308">
        <f t="shared" si="224"/>
        <v>0.75224968082601218</v>
      </c>
      <c r="L143" s="308">
        <f t="shared" si="224"/>
        <v>0.75224968082601218</v>
      </c>
      <c r="M143" s="308">
        <f t="shared" si="224"/>
        <v>0.75224968082601218</v>
      </c>
      <c r="N143" s="308">
        <f t="shared" si="224"/>
        <v>0.75224968082601218</v>
      </c>
      <c r="O143" s="308">
        <f t="shared" si="224"/>
        <v>0.75224968082601218</v>
      </c>
      <c r="P143" s="308">
        <f t="shared" si="224"/>
        <v>0.75224968082601218</v>
      </c>
      <c r="Q143" s="308">
        <f t="shared" si="224"/>
        <v>0.75224968082601218</v>
      </c>
      <c r="R143" s="308">
        <f t="shared" si="224"/>
        <v>0.75224968082601218</v>
      </c>
      <c r="S143" s="308">
        <f t="shared" si="224"/>
        <v>0.75224968082601218</v>
      </c>
      <c r="T143" s="680">
        <f>12/(8760*'kW Forecast'!AZ27)</f>
        <v>0.75224968082601218</v>
      </c>
    </row>
    <row r="144" spans="2:20">
      <c r="B144" s="677"/>
      <c r="F144" s="308"/>
      <c r="G144" s="308"/>
      <c r="H144" s="308"/>
      <c r="I144" s="308"/>
      <c r="J144" s="308"/>
      <c r="K144" s="308"/>
      <c r="L144" s="308"/>
      <c r="M144" s="308"/>
      <c r="N144" s="308"/>
      <c r="O144" s="308"/>
      <c r="P144" s="308"/>
      <c r="Q144" s="308"/>
      <c r="R144" s="308"/>
      <c r="S144" s="308"/>
      <c r="T144" s="680"/>
    </row>
    <row r="145" spans="2:25">
      <c r="B145" s="677"/>
      <c r="T145" s="244"/>
    </row>
    <row r="146" spans="2:25">
      <c r="B146" s="677"/>
      <c r="F146" s="279">
        <f t="shared" ref="F146:T147" si="225">F128/F142/8760*12</f>
        <v>5.161509417475969</v>
      </c>
      <c r="G146" s="279">
        <f t="shared" si="225"/>
        <v>10.681310323796687</v>
      </c>
      <c r="H146" s="279">
        <f t="shared" si="225"/>
        <v>13.946954106891958</v>
      </c>
      <c r="I146" s="279">
        <f t="shared" si="225"/>
        <v>18.534851787305001</v>
      </c>
      <c r="J146" s="279">
        <f t="shared" si="225"/>
        <v>25.735198079788233</v>
      </c>
      <c r="K146" s="279">
        <f t="shared" si="225"/>
        <v>47.273926012728353</v>
      </c>
      <c r="L146" s="279">
        <f t="shared" si="225"/>
        <v>79.044414642856339</v>
      </c>
      <c r="M146" s="279">
        <f t="shared" si="225"/>
        <v>153.60161584483308</v>
      </c>
      <c r="N146" s="279">
        <f t="shared" si="225"/>
        <v>206.08179485880885</v>
      </c>
      <c r="O146" s="279">
        <f t="shared" si="225"/>
        <v>269.49432697373345</v>
      </c>
      <c r="P146" s="279">
        <f t="shared" si="225"/>
        <v>338.58456408595907</v>
      </c>
      <c r="Q146" s="279">
        <f t="shared" si="225"/>
        <v>418.56392768786219</v>
      </c>
      <c r="R146" s="279">
        <f t="shared" si="225"/>
        <v>512.46506241204202</v>
      </c>
      <c r="S146" s="279">
        <f t="shared" si="225"/>
        <v>617.14406213211396</v>
      </c>
      <c r="T146" s="279">
        <f>T128/T142/8760*12</f>
        <v>731.7558701776511</v>
      </c>
    </row>
    <row r="147" spans="2:25">
      <c r="B147" s="677"/>
      <c r="F147" s="279">
        <f t="shared" si="225"/>
        <v>0</v>
      </c>
      <c r="G147" s="279">
        <f t="shared" si="225"/>
        <v>0</v>
      </c>
      <c r="H147" s="279">
        <f t="shared" si="225"/>
        <v>0</v>
      </c>
      <c r="I147" s="279">
        <f t="shared" si="225"/>
        <v>0</v>
      </c>
      <c r="J147" s="279">
        <f t="shared" si="225"/>
        <v>0</v>
      </c>
      <c r="K147" s="279">
        <f t="shared" si="225"/>
        <v>0</v>
      </c>
      <c r="L147" s="279">
        <f t="shared" si="225"/>
        <v>0</v>
      </c>
      <c r="M147" s="279">
        <f t="shared" si="225"/>
        <v>0</v>
      </c>
      <c r="N147" s="279">
        <f t="shared" si="225"/>
        <v>0</v>
      </c>
      <c r="O147" s="279">
        <f t="shared" si="225"/>
        <v>0</v>
      </c>
      <c r="P147" s="279">
        <f t="shared" si="225"/>
        <v>0</v>
      </c>
      <c r="Q147" s="279">
        <f t="shared" si="225"/>
        <v>0</v>
      </c>
      <c r="R147" s="279">
        <f t="shared" si="225"/>
        <v>0</v>
      </c>
      <c r="S147" s="279">
        <f t="shared" si="225"/>
        <v>0</v>
      </c>
      <c r="T147" s="279">
        <f t="shared" si="225"/>
        <v>0</v>
      </c>
    </row>
    <row r="148" spans="2:25">
      <c r="B148" s="677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</row>
    <row r="149" spans="2:25">
      <c r="B149" s="677"/>
      <c r="T149" s="244"/>
    </row>
    <row r="150" spans="2:25">
      <c r="B150" s="677"/>
      <c r="M150" s="214">
        <f>M138-M146</f>
        <v>3773.399836209961</v>
      </c>
      <c r="N150" s="214">
        <f>N138-N146-$M150</f>
        <v>1687.6288378519002</v>
      </c>
      <c r="O150" s="214">
        <f t="shared" ref="O150:S150" si="226">O138-O146</f>
        <v>7231.9638328307292</v>
      </c>
      <c r="P150" s="214">
        <f t="shared" si="226"/>
        <v>9197.2875579275933</v>
      </c>
      <c r="Q150" s="214">
        <f t="shared" si="226"/>
        <v>11395.469456784092</v>
      </c>
      <c r="R150" s="214">
        <f t="shared" si="226"/>
        <v>14015.493690579016</v>
      </c>
      <c r="S150" s="214">
        <f t="shared" si="226"/>
        <v>16974.373838337844</v>
      </c>
      <c r="T150" s="214">
        <f>T138-T146</f>
        <v>20133.447446673486</v>
      </c>
    </row>
    <row r="151" spans="2:25">
      <c r="B151" s="677"/>
      <c r="M151" s="214">
        <f t="shared" ref="M151" si="227">M139-M147</f>
        <v>671.79772602739729</v>
      </c>
      <c r="N151" s="214">
        <f>N139-N147-$M151</f>
        <v>366.83808002505668</v>
      </c>
      <c r="O151" s="214">
        <f t="shared" ref="O151:T151" si="228">O139-O147-$M151</f>
        <v>701.49438014045938</v>
      </c>
      <c r="P151" s="214">
        <f t="shared" si="228"/>
        <v>1069.2099546992522</v>
      </c>
      <c r="Q151" s="214">
        <f t="shared" si="228"/>
        <v>1498.6345151040746</v>
      </c>
      <c r="R151" s="214">
        <f t="shared" si="228"/>
        <v>2007.2477966520946</v>
      </c>
      <c r="S151" s="214">
        <f t="shared" si="228"/>
        <v>2576.857324545701</v>
      </c>
      <c r="T151" s="214">
        <f t="shared" si="228"/>
        <v>3202.5461817918504</v>
      </c>
    </row>
    <row r="152" spans="2:25">
      <c r="B152" s="677"/>
      <c r="N152" s="214"/>
      <c r="O152" s="214"/>
      <c r="P152" s="214"/>
      <c r="Q152" s="214"/>
      <c r="R152" s="214"/>
      <c r="S152" s="214"/>
      <c r="T152" s="214"/>
    </row>
    <row r="153" spans="2:25">
      <c r="B153" s="677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</row>
    <row r="154" spans="2:25">
      <c r="B154" s="677"/>
      <c r="F154" s="214"/>
      <c r="G154" s="214"/>
      <c r="H154" s="214"/>
      <c r="I154" s="214"/>
      <c r="J154" s="214"/>
      <c r="K154" s="214"/>
      <c r="L154" s="214"/>
      <c r="M154" s="681"/>
      <c r="N154" s="681"/>
      <c r="O154" s="681"/>
      <c r="P154" s="681"/>
      <c r="Q154" s="681"/>
      <c r="R154" s="681"/>
      <c r="S154" s="681"/>
      <c r="T154" s="681"/>
    </row>
    <row r="156" spans="2:25">
      <c r="F156" s="248">
        <v>2023</v>
      </c>
      <c r="G156" s="248">
        <v>2024</v>
      </c>
      <c r="H156" s="248">
        <v>2025</v>
      </c>
      <c r="I156" s="248">
        <v>2026</v>
      </c>
      <c r="J156" s="248">
        <v>2027</v>
      </c>
      <c r="K156" s="248">
        <v>2028</v>
      </c>
      <c r="L156" s="248">
        <v>2029</v>
      </c>
      <c r="M156" s="248">
        <v>2030</v>
      </c>
      <c r="N156" s="248">
        <v>2031</v>
      </c>
    </row>
    <row r="157" spans="2:25">
      <c r="E157" s="248" t="s">
        <v>283</v>
      </c>
      <c r="F157" s="214">
        <f t="shared" ref="F157:N158" si="229">L14+L46</f>
        <v>518</v>
      </c>
      <c r="G157" s="214">
        <f t="shared" si="229"/>
        <v>674</v>
      </c>
      <c r="H157" s="214">
        <f t="shared" si="229"/>
        <v>763.59394469706262</v>
      </c>
      <c r="I157" s="214">
        <f t="shared" si="229"/>
        <v>894.96489426409448</v>
      </c>
      <c r="J157" s="214">
        <f t="shared" si="229"/>
        <v>1047.9428003512685</v>
      </c>
      <c r="K157" s="214">
        <f t="shared" si="229"/>
        <v>1206.6818367242238</v>
      </c>
      <c r="L157" s="214">
        <f t="shared" si="229"/>
        <v>1371.3512574319568</v>
      </c>
      <c r="M157" s="214">
        <f t="shared" si="229"/>
        <v>1542.1247822333096</v>
      </c>
      <c r="N157" s="214">
        <f t="shared" si="229"/>
        <v>1719.1807075237427</v>
      </c>
      <c r="O157" s="248" t="s">
        <v>181</v>
      </c>
      <c r="Q157" s="214"/>
      <c r="R157" s="214"/>
      <c r="S157" s="214"/>
      <c r="T157" s="214"/>
      <c r="U157" s="214"/>
      <c r="V157" s="214"/>
      <c r="W157" s="214"/>
      <c r="X157" s="214"/>
      <c r="Y157" s="214"/>
    </row>
    <row r="158" spans="2:25">
      <c r="E158" s="248" t="s">
        <v>287</v>
      </c>
      <c r="F158" s="214">
        <f t="shared" si="229"/>
        <v>1456</v>
      </c>
      <c r="G158" s="214">
        <f t="shared" si="229"/>
        <v>2130</v>
      </c>
      <c r="H158" s="214">
        <f t="shared" si="229"/>
        <v>2893.5939446970624</v>
      </c>
      <c r="I158" s="214">
        <f t="shared" si="229"/>
        <v>3788.5588389611571</v>
      </c>
      <c r="J158" s="214">
        <f t="shared" si="229"/>
        <v>4774.5016393124251</v>
      </c>
      <c r="K158" s="214">
        <f t="shared" si="229"/>
        <v>5844.1834760366492</v>
      </c>
      <c r="L158" s="214">
        <f t="shared" si="229"/>
        <v>7125.5347334686057</v>
      </c>
      <c r="M158" s="214">
        <f t="shared" si="229"/>
        <v>8573.6595157019146</v>
      </c>
      <c r="N158" s="214">
        <f t="shared" si="229"/>
        <v>10094.840223225659</v>
      </c>
      <c r="O158" s="248" t="s">
        <v>182</v>
      </c>
      <c r="Q158" s="214"/>
      <c r="R158" s="214"/>
      <c r="S158" s="214"/>
      <c r="T158" s="214"/>
      <c r="U158" s="214"/>
      <c r="V158" s="214"/>
      <c r="W158" s="214"/>
      <c r="X158" s="214"/>
      <c r="Y158" s="214"/>
    </row>
    <row r="159" spans="2:25">
      <c r="E159" s="248" t="s">
        <v>288</v>
      </c>
      <c r="F159" s="214">
        <f t="shared" ref="F159:N159" si="230">L18+L50</f>
        <v>3610521.6000000001</v>
      </c>
      <c r="G159" s="214">
        <f t="shared" si="230"/>
        <v>5388246.7999999998</v>
      </c>
      <c r="H159" s="214">
        <f t="shared" si="230"/>
        <v>7487378.1870728768</v>
      </c>
      <c r="I159" s="214">
        <f t="shared" si="230"/>
        <v>9917308.5190062486</v>
      </c>
      <c r="J159" s="214">
        <f t="shared" si="230"/>
        <v>12626615.529168529</v>
      </c>
      <c r="K159" s="214">
        <f t="shared" si="230"/>
        <v>15586895.138893081</v>
      </c>
      <c r="L159" s="214">
        <f t="shared" si="230"/>
        <v>19125724.075918328</v>
      </c>
      <c r="M159" s="214">
        <f t="shared" si="230"/>
        <v>23139347.695732418</v>
      </c>
      <c r="N159" s="214">
        <f t="shared" si="230"/>
        <v>27357303.759672087</v>
      </c>
      <c r="O159" s="244" t="s">
        <v>289</v>
      </c>
      <c r="Q159" s="279"/>
      <c r="R159" s="279"/>
      <c r="S159" s="279"/>
      <c r="T159" s="279"/>
      <c r="U159" s="279"/>
      <c r="V159" s="279"/>
      <c r="W159" s="279"/>
      <c r="X159" s="279"/>
      <c r="Y159" s="279"/>
    </row>
    <row r="160" spans="2:25">
      <c r="E160" s="248" t="s">
        <v>290</v>
      </c>
      <c r="G160" s="214">
        <f>G159-F159</f>
        <v>1777725.1999999997</v>
      </c>
      <c r="H160" s="214">
        <f>H159-G159</f>
        <v>2099131.387072877</v>
      </c>
      <c r="I160" s="214">
        <f>I159-H159</f>
        <v>2429930.3319333717</v>
      </c>
      <c r="J160" s="214">
        <f t="shared" ref="J160:M160" si="231">J159-I159</f>
        <v>2709307.0101622809</v>
      </c>
      <c r="K160" s="214">
        <f t="shared" si="231"/>
        <v>2960279.6097245514</v>
      </c>
      <c r="L160" s="214">
        <f t="shared" si="231"/>
        <v>3538828.9370252471</v>
      </c>
      <c r="M160" s="214">
        <f t="shared" si="231"/>
        <v>4013623.6198140904</v>
      </c>
      <c r="N160" s="214">
        <f>N159-M159</f>
        <v>4217956.0639396682</v>
      </c>
      <c r="O160" s="248" t="s">
        <v>291</v>
      </c>
      <c r="Q160" s="279"/>
      <c r="R160" s="279"/>
      <c r="S160" s="279"/>
      <c r="T160" s="279"/>
      <c r="U160" s="279"/>
      <c r="V160" s="279"/>
      <c r="W160" s="279"/>
      <c r="X160" s="279"/>
      <c r="Y160" s="279"/>
    </row>
    <row r="161" spans="5:32">
      <c r="E161" s="248" t="s">
        <v>266</v>
      </c>
      <c r="F161" s="214">
        <f>L19+L51</f>
        <v>3</v>
      </c>
      <c r="G161" s="214">
        <f t="shared" ref="G161:N161" si="232">M19+M51</f>
        <v>4</v>
      </c>
      <c r="H161" s="214">
        <f t="shared" si="232"/>
        <v>11.938418168417154</v>
      </c>
      <c r="I161" s="214">
        <f t="shared" si="232"/>
        <v>12.328973461421402</v>
      </c>
      <c r="J161" s="214">
        <f t="shared" si="232"/>
        <v>14.43638634031811</v>
      </c>
      <c r="K161" s="214">
        <f t="shared" si="232"/>
        <v>16.62316414498612</v>
      </c>
      <c r="L161" s="214">
        <f t="shared" si="232"/>
        <v>18.891638507304719</v>
      </c>
      <c r="M161" s="214">
        <f t="shared" si="232"/>
        <v>21.244202578458072</v>
      </c>
      <c r="N161" s="214">
        <f t="shared" si="232"/>
        <v>23.683312557054631</v>
      </c>
      <c r="O161" s="248" t="s">
        <v>185</v>
      </c>
      <c r="Q161" s="214"/>
      <c r="R161" s="214"/>
      <c r="S161" s="214"/>
      <c r="T161" s="214"/>
      <c r="U161" s="214"/>
      <c r="V161" s="214"/>
      <c r="W161" s="214"/>
      <c r="X161" s="214"/>
      <c r="Y161" s="214"/>
    </row>
    <row r="162" spans="5:32">
      <c r="E162" s="248" t="s">
        <v>287</v>
      </c>
      <c r="F162" s="214">
        <f>L20+L52</f>
        <v>23</v>
      </c>
      <c r="G162" s="214">
        <f t="shared" ref="G162:N162" si="233">M20+M52</f>
        <v>27</v>
      </c>
      <c r="H162" s="214">
        <f t="shared" si="233"/>
        <v>38.938418168417151</v>
      </c>
      <c r="I162" s="214">
        <f t="shared" si="233"/>
        <v>51.267391629838549</v>
      </c>
      <c r="J162" s="214">
        <f t="shared" si="233"/>
        <v>56.703777970156658</v>
      </c>
      <c r="K162" s="214">
        <f t="shared" si="233"/>
        <v>70.326942115142771</v>
      </c>
      <c r="L162" s="214">
        <f t="shared" si="233"/>
        <v>89.21858062244749</v>
      </c>
      <c r="M162" s="214">
        <f t="shared" si="233"/>
        <v>107.46278320090558</v>
      </c>
      <c r="N162" s="242">
        <f t="shared" si="233"/>
        <v>131.14609575796018</v>
      </c>
      <c r="O162" s="248" t="s">
        <v>282</v>
      </c>
      <c r="Q162" s="214"/>
      <c r="R162" s="214"/>
      <c r="S162" s="214"/>
      <c r="T162" s="214"/>
      <c r="U162" s="214"/>
      <c r="V162" s="214"/>
      <c r="W162" s="214"/>
      <c r="X162" s="214"/>
      <c r="Y162" s="214"/>
    </row>
    <row r="163" spans="5:32">
      <c r="E163" s="248" t="s">
        <v>288</v>
      </c>
      <c r="F163" s="214">
        <f t="shared" ref="F163:N163" si="234">L23+L55</f>
        <v>66500</v>
      </c>
      <c r="G163" s="214">
        <f t="shared" si="234"/>
        <v>79000</v>
      </c>
      <c r="H163" s="214">
        <f t="shared" si="234"/>
        <v>105873.90674092436</v>
      </c>
      <c r="I163" s="214">
        <f t="shared" si="234"/>
        <v>144454.20332662377</v>
      </c>
      <c r="J163" s="214">
        <f t="shared" si="234"/>
        <v>160235.43050982681</v>
      </c>
      <c r="K163" s="214">
        <f t="shared" si="234"/>
        <v>200880.40802414386</v>
      </c>
      <c r="L163" s="214">
        <f t="shared" si="234"/>
        <v>257646.57339194624</v>
      </c>
      <c r="M163" s="214">
        <f t="shared" si="234"/>
        <v>312798.91613636765</v>
      </c>
      <c r="N163" s="214">
        <f t="shared" si="234"/>
        <v>384610.17688632564</v>
      </c>
      <c r="O163" s="244" t="s">
        <v>292</v>
      </c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5:32">
      <c r="E164" s="248" t="s">
        <v>290</v>
      </c>
      <c r="F164" s="214"/>
      <c r="G164" s="214">
        <f>G163-F163</f>
        <v>12500</v>
      </c>
      <c r="H164" s="214">
        <f t="shared" ref="H164:N164" si="235">H163-G163</f>
        <v>26873.906740924358</v>
      </c>
      <c r="I164" s="214">
        <f t="shared" si="235"/>
        <v>38580.296585699412</v>
      </c>
      <c r="J164" s="214">
        <f t="shared" si="235"/>
        <v>15781.227183203038</v>
      </c>
      <c r="K164" s="214">
        <f t="shared" si="235"/>
        <v>40644.977514317055</v>
      </c>
      <c r="L164" s="214">
        <f t="shared" si="235"/>
        <v>56766.165367802372</v>
      </c>
      <c r="M164" s="214">
        <f t="shared" si="235"/>
        <v>55152.342744421418</v>
      </c>
      <c r="N164" s="214">
        <f t="shared" si="235"/>
        <v>71811.26074995799</v>
      </c>
      <c r="O164" s="248" t="s">
        <v>293</v>
      </c>
      <c r="Q164" s="279"/>
      <c r="R164" s="279"/>
      <c r="S164" s="279"/>
      <c r="T164" s="279"/>
      <c r="U164" s="279"/>
      <c r="V164" s="279"/>
      <c r="W164" s="279"/>
      <c r="X164" s="279"/>
      <c r="Y164" s="279"/>
    </row>
    <row r="165" spans="5:32">
      <c r="E165" s="248" t="s">
        <v>286</v>
      </c>
      <c r="F165" s="214">
        <f>L24+L56</f>
        <v>17</v>
      </c>
      <c r="G165" s="214">
        <f t="shared" ref="G165:N165" si="236">M24+M56</f>
        <v>69</v>
      </c>
      <c r="H165" s="214">
        <f t="shared" si="236"/>
        <v>30.598850462790274</v>
      </c>
      <c r="I165" s="214">
        <f t="shared" si="236"/>
        <v>38.409439000360074</v>
      </c>
      <c r="J165" s="214">
        <f t="shared" si="236"/>
        <v>44.974831218442127</v>
      </c>
      <c r="K165" s="214">
        <f t="shared" si="236"/>
        <v>51.78747534964733</v>
      </c>
      <c r="L165" s="214">
        <f t="shared" si="236"/>
        <v>58.854635313613365</v>
      </c>
      <c r="M165" s="214">
        <f t="shared" si="236"/>
        <v>66.183766685998179</v>
      </c>
      <c r="N165" s="214">
        <f t="shared" si="236"/>
        <v>73.782521459152903</v>
      </c>
      <c r="O165" s="248" t="s">
        <v>294</v>
      </c>
      <c r="Q165" s="214"/>
      <c r="R165" s="214"/>
      <c r="S165" s="214"/>
      <c r="T165" s="214"/>
      <c r="U165" s="214"/>
      <c r="V165" s="214"/>
      <c r="W165" s="214"/>
      <c r="X165" s="214"/>
      <c r="Y165" s="214"/>
    </row>
    <row r="166" spans="5:32">
      <c r="E166" s="248" t="s">
        <v>287</v>
      </c>
      <c r="F166" s="214">
        <f>L25+L57</f>
        <v>26</v>
      </c>
      <c r="G166" s="214">
        <f t="shared" ref="G166:N166" si="237">M25+M57</f>
        <v>95</v>
      </c>
      <c r="H166" s="214">
        <f t="shared" si="237"/>
        <v>125.59885046279027</v>
      </c>
      <c r="I166" s="214">
        <f t="shared" si="237"/>
        <v>164.00828946315033</v>
      </c>
      <c r="J166" s="214">
        <f t="shared" si="237"/>
        <v>208.98312068159245</v>
      </c>
      <c r="K166" s="214">
        <f t="shared" si="237"/>
        <v>260.77059603123979</v>
      </c>
      <c r="L166" s="214">
        <f t="shared" si="237"/>
        <v>319.62523134485315</v>
      </c>
      <c r="M166" s="214">
        <f t="shared" si="237"/>
        <v>385.80899803085134</v>
      </c>
      <c r="N166" s="214">
        <f t="shared" si="237"/>
        <v>459.59151949000426</v>
      </c>
      <c r="O166" s="248" t="s">
        <v>190</v>
      </c>
      <c r="Q166" s="214"/>
      <c r="R166" s="214"/>
      <c r="S166" s="214"/>
      <c r="T166" s="214"/>
      <c r="U166" s="214"/>
      <c r="V166" s="214"/>
      <c r="W166" s="214"/>
      <c r="X166" s="214"/>
      <c r="Y166" s="214"/>
    </row>
    <row r="167" spans="5:32">
      <c r="E167" s="248" t="s">
        <v>288</v>
      </c>
      <c r="F167" s="214">
        <f t="shared" ref="F167:N167" si="238">L28+L60</f>
        <v>105000</v>
      </c>
      <c r="G167" s="214">
        <f t="shared" si="238"/>
        <v>363000</v>
      </c>
      <c r="H167" s="214">
        <f t="shared" si="238"/>
        <v>661796.5513883708</v>
      </c>
      <c r="I167" s="214">
        <f t="shared" si="238"/>
        <v>868821.41977782175</v>
      </c>
      <c r="J167" s="214">
        <f t="shared" si="238"/>
        <v>1118974.2304342284</v>
      </c>
      <c r="K167" s="214">
        <f t="shared" si="238"/>
        <v>1409261.1501384969</v>
      </c>
      <c r="L167" s="214">
        <f t="shared" si="238"/>
        <v>1741187.4821282788</v>
      </c>
      <c r="M167" s="214">
        <f t="shared" si="238"/>
        <v>2116302.6881271135</v>
      </c>
      <c r="N167" s="214">
        <f t="shared" si="238"/>
        <v>2536201.5525625669</v>
      </c>
      <c r="O167" s="248" t="s">
        <v>295</v>
      </c>
      <c r="Q167" s="279"/>
      <c r="R167" s="279"/>
      <c r="S167" s="279"/>
      <c r="T167" s="279"/>
      <c r="U167" s="279"/>
      <c r="V167" s="279"/>
      <c r="W167" s="279"/>
      <c r="X167" s="279"/>
      <c r="Y167" s="279"/>
    </row>
    <row r="168" spans="5:32">
      <c r="E168" s="248" t="s">
        <v>290</v>
      </c>
      <c r="G168" s="214">
        <f>G167-F167</f>
        <v>258000</v>
      </c>
      <c r="H168" s="214">
        <f t="shared" ref="H168:I168" si="239">H167-G167</f>
        <v>298796.5513883708</v>
      </c>
      <c r="I168" s="214">
        <f t="shared" si="239"/>
        <v>207024.86838945094</v>
      </c>
      <c r="J168" s="214">
        <f t="shared" ref="J168" si="240">J167-I167</f>
        <v>250152.81065640668</v>
      </c>
      <c r="K168" s="214">
        <f t="shared" ref="K168:N168" si="241">K167-J167</f>
        <v>290286.91970426845</v>
      </c>
      <c r="L168" s="214">
        <f t="shared" ref="L168" si="242">L167-K167</f>
        <v>331926.33198978193</v>
      </c>
      <c r="M168" s="214">
        <f t="shared" si="241"/>
        <v>375115.20599883469</v>
      </c>
      <c r="N168" s="214">
        <f t="shared" si="241"/>
        <v>419898.86443545343</v>
      </c>
      <c r="O168" s="248" t="s">
        <v>296</v>
      </c>
      <c r="Q168" s="279"/>
      <c r="R168" s="279"/>
      <c r="S168" s="279"/>
      <c r="T168" s="279"/>
      <c r="U168" s="279"/>
      <c r="V168" s="279"/>
      <c r="W168" s="279"/>
      <c r="X168" s="279"/>
      <c r="Y168" s="279"/>
    </row>
    <row r="169" spans="5:32">
      <c r="L169" s="310"/>
    </row>
    <row r="170" spans="5:32">
      <c r="I170" s="855">
        <v>2024</v>
      </c>
      <c r="J170" s="855"/>
      <c r="K170" s="855"/>
      <c r="L170" s="855">
        <v>2025</v>
      </c>
      <c r="M170" s="855"/>
      <c r="N170" s="855"/>
      <c r="O170" s="855">
        <v>2026</v>
      </c>
      <c r="P170" s="855"/>
      <c r="Q170" s="855"/>
      <c r="R170" s="855">
        <v>2027</v>
      </c>
      <c r="S170" s="855"/>
      <c r="T170" s="855"/>
      <c r="U170" s="855">
        <v>2028</v>
      </c>
      <c r="V170" s="855"/>
      <c r="W170" s="855"/>
      <c r="X170" s="855">
        <v>2029</v>
      </c>
      <c r="Y170" s="855"/>
      <c r="Z170" s="855"/>
      <c r="AA170" s="855">
        <v>2030</v>
      </c>
      <c r="AB170" s="855"/>
      <c r="AC170" s="855"/>
      <c r="AD170" s="855">
        <v>2031</v>
      </c>
      <c r="AE170" s="855"/>
      <c r="AF170" s="855"/>
    </row>
    <row r="171" spans="5:32">
      <c r="F171" s="292" t="str">
        <f t="shared" ref="F171:H175" si="243">X79</f>
        <v>Passenger/SUV</v>
      </c>
      <c r="G171" s="292" t="str">
        <f t="shared" si="243"/>
        <v>Van</v>
      </c>
      <c r="H171" s="292" t="str">
        <f t="shared" si="243"/>
        <v>Pick-up Truck</v>
      </c>
      <c r="I171" s="248" t="str">
        <f>F171</f>
        <v>Passenger/SUV</v>
      </c>
      <c r="J171" s="248" t="str">
        <f t="shared" ref="J171:Q171" si="244">G171</f>
        <v>Van</v>
      </c>
      <c r="K171" s="248" t="str">
        <f t="shared" si="244"/>
        <v>Pick-up Truck</v>
      </c>
      <c r="L171" s="248" t="str">
        <f t="shared" si="244"/>
        <v>Passenger/SUV</v>
      </c>
      <c r="M171" s="248" t="str">
        <f t="shared" si="244"/>
        <v>Van</v>
      </c>
      <c r="N171" s="248" t="str">
        <f t="shared" si="244"/>
        <v>Pick-up Truck</v>
      </c>
      <c r="O171" s="248" t="str">
        <f t="shared" si="244"/>
        <v>Passenger/SUV</v>
      </c>
      <c r="P171" s="248" t="str">
        <f t="shared" si="244"/>
        <v>Van</v>
      </c>
      <c r="Q171" s="248" t="str">
        <f t="shared" si="244"/>
        <v>Pick-up Truck</v>
      </c>
      <c r="R171" s="248" t="str">
        <f t="shared" ref="R171" si="245">O171</f>
        <v>Passenger/SUV</v>
      </c>
      <c r="S171" s="248" t="str">
        <f t="shared" ref="S171" si="246">P171</f>
        <v>Van</v>
      </c>
      <c r="T171" s="248" t="str">
        <f t="shared" ref="T171" si="247">Q171</f>
        <v>Pick-up Truck</v>
      </c>
      <c r="U171" s="248" t="str">
        <f t="shared" ref="U171" si="248">R171</f>
        <v>Passenger/SUV</v>
      </c>
      <c r="V171" s="248" t="str">
        <f t="shared" ref="V171" si="249">S171</f>
        <v>Van</v>
      </c>
      <c r="W171" s="248" t="str">
        <f t="shared" ref="W171" si="250">T171</f>
        <v>Pick-up Truck</v>
      </c>
      <c r="X171" s="248" t="str">
        <f t="shared" ref="X171" si="251">U171</f>
        <v>Passenger/SUV</v>
      </c>
      <c r="Y171" s="248" t="str">
        <f t="shared" ref="Y171" si="252">V171</f>
        <v>Van</v>
      </c>
      <c r="Z171" s="248" t="str">
        <f t="shared" ref="Z171" si="253">W171</f>
        <v>Pick-up Truck</v>
      </c>
      <c r="AA171" s="248" t="str">
        <f t="shared" ref="AA171" si="254">X171</f>
        <v>Passenger/SUV</v>
      </c>
      <c r="AB171" s="248" t="str">
        <f t="shared" ref="AB171" si="255">Y171</f>
        <v>Van</v>
      </c>
      <c r="AC171" s="248" t="str">
        <f t="shared" ref="AC171" si="256">Z171</f>
        <v>Pick-up Truck</v>
      </c>
      <c r="AD171" s="248" t="str">
        <f t="shared" ref="AD171" si="257">AA171</f>
        <v>Passenger/SUV</v>
      </c>
      <c r="AE171" s="248" t="str">
        <f t="shared" ref="AE171" si="258">AB171</f>
        <v>Van</v>
      </c>
      <c r="AF171" s="248" t="str">
        <f t="shared" ref="AF171" si="259">AC171</f>
        <v>Pick-up Truck</v>
      </c>
    </row>
    <row r="172" spans="5:32">
      <c r="E172" s="248" t="str">
        <f>W80</f>
        <v>Residential</v>
      </c>
      <c r="F172" s="278">
        <f t="shared" si="243"/>
        <v>0.85</v>
      </c>
      <c r="G172" s="278">
        <f t="shared" si="243"/>
        <v>0.65</v>
      </c>
      <c r="H172" s="278">
        <f t="shared" si="243"/>
        <v>0.6</v>
      </c>
      <c r="I172" s="279">
        <f t="shared" ref="I172:K175" si="260">F172*I$177</f>
        <v>1511066.4199999997</v>
      </c>
      <c r="J172" s="279">
        <f t="shared" si="260"/>
        <v>8125</v>
      </c>
      <c r="K172" s="279">
        <f t="shared" si="260"/>
        <v>154800</v>
      </c>
      <c r="L172" s="279">
        <f>$F172*L$177</f>
        <v>1784261.6790119454</v>
      </c>
      <c r="M172" s="279">
        <f>$G172*M$177</f>
        <v>17468.039381600833</v>
      </c>
      <c r="N172" s="279">
        <f>$H172*N$177</f>
        <v>179277.93083302249</v>
      </c>
      <c r="O172" s="279">
        <f>$F172*O$177</f>
        <v>2065440.7821433658</v>
      </c>
      <c r="P172" s="279">
        <f>$G172*P$177</f>
        <v>25077.19278070462</v>
      </c>
      <c r="Q172" s="279">
        <f>$H172*Q$177</f>
        <v>124214.92103367056</v>
      </c>
      <c r="R172" s="279">
        <f>$F172*R$177</f>
        <v>2302910.9586379388</v>
      </c>
      <c r="S172" s="279">
        <f>$G172*S$177</f>
        <v>10257.797669081976</v>
      </c>
      <c r="T172" s="279">
        <f>$H172*T$177</f>
        <v>150091.68639384399</v>
      </c>
      <c r="U172" s="279">
        <f>$F172*U$177</f>
        <v>2516237.6682658684</v>
      </c>
      <c r="V172" s="279">
        <f>$G172*V$177</f>
        <v>26419.235384306088</v>
      </c>
      <c r="W172" s="279">
        <f>$H172*W$177</f>
        <v>174172.15182256108</v>
      </c>
      <c r="X172" s="279">
        <f>$F172*X$177</f>
        <v>3008004.5964714601</v>
      </c>
      <c r="Y172" s="279">
        <f>$G172*Y$177</f>
        <v>36898.00748907154</v>
      </c>
      <c r="Z172" s="279">
        <f>$H172*Z$177</f>
        <v>199155.79919386914</v>
      </c>
      <c r="AA172" s="279">
        <f>$F172*AA$177</f>
        <v>3411580.076841977</v>
      </c>
      <c r="AB172" s="279">
        <f>$G172*AB$177</f>
        <v>35849.022783873923</v>
      </c>
      <c r="AC172" s="279">
        <f>$H172*AC$177</f>
        <v>225069.1235993008</v>
      </c>
      <c r="AD172" s="279">
        <f>$F172*AD$177</f>
        <v>3585262.654348718</v>
      </c>
      <c r="AE172" s="279">
        <f>$G172*AE$177</f>
        <v>46677.319487472698</v>
      </c>
      <c r="AF172" s="279">
        <f>$H172*AF$177</f>
        <v>251939.31866127206</v>
      </c>
    </row>
    <row r="173" spans="5:32">
      <c r="E173" s="248" t="str">
        <f>W81</f>
        <v>GS&lt;50</v>
      </c>
      <c r="F173" s="278">
        <f t="shared" si="243"/>
        <v>0.1</v>
      </c>
      <c r="G173" s="278">
        <f t="shared" si="243"/>
        <v>0.2</v>
      </c>
      <c r="H173" s="278">
        <f t="shared" si="243"/>
        <v>0.25</v>
      </c>
      <c r="I173" s="279">
        <f t="shared" si="260"/>
        <v>177772.52</v>
      </c>
      <c r="J173" s="279">
        <f t="shared" si="260"/>
        <v>2500</v>
      </c>
      <c r="K173" s="279">
        <f t="shared" si="260"/>
        <v>64500</v>
      </c>
      <c r="L173" s="279">
        <f>$F173*L$177</f>
        <v>209913.13870728773</v>
      </c>
      <c r="M173" s="279">
        <f>$G173*M$177</f>
        <v>5374.7813481848716</v>
      </c>
      <c r="N173" s="279">
        <f>$H173*N$177</f>
        <v>74699.137847092701</v>
      </c>
      <c r="O173" s="279">
        <f>$F173*O$177</f>
        <v>242993.03319333718</v>
      </c>
      <c r="P173" s="279">
        <f>$G173*P$177</f>
        <v>7716.0593171398832</v>
      </c>
      <c r="Q173" s="279">
        <f>$H173*Q$177</f>
        <v>51756.217097362736</v>
      </c>
      <c r="R173" s="279">
        <f>$F173*R$177</f>
        <v>270930.70101622812</v>
      </c>
      <c r="S173" s="279">
        <f>$G173*S$177</f>
        <v>3156.2454366406077</v>
      </c>
      <c r="T173" s="279">
        <f>$H173*T$177</f>
        <v>62538.202664101671</v>
      </c>
      <c r="U173" s="279">
        <f>$F173*U$177</f>
        <v>296027.96097245516</v>
      </c>
      <c r="V173" s="279">
        <f>$G173*V$177</f>
        <v>8128.9955028634113</v>
      </c>
      <c r="W173" s="279">
        <f>$H173*W$177</f>
        <v>72571.729926067113</v>
      </c>
      <c r="X173" s="279">
        <f>$F173*X$177</f>
        <v>353882.89370252471</v>
      </c>
      <c r="Y173" s="279">
        <f>$G173*Y$177</f>
        <v>11353.233073560476</v>
      </c>
      <c r="Z173" s="279">
        <f>$H173*Z$177</f>
        <v>82981.582997445483</v>
      </c>
      <c r="AA173" s="279">
        <f>$F173*AA$177</f>
        <v>401362.36198140908</v>
      </c>
      <c r="AB173" s="279">
        <f>$G173*AB$177</f>
        <v>11030.468548884284</v>
      </c>
      <c r="AC173" s="279">
        <f>$H173*AC$177</f>
        <v>93778.801499708672</v>
      </c>
      <c r="AD173" s="279">
        <f>$F173*AD$177</f>
        <v>421795.60639396682</v>
      </c>
      <c r="AE173" s="279">
        <f>$G173*AE$177</f>
        <v>14362.252149991598</v>
      </c>
      <c r="AF173" s="279">
        <f>$H173*AF$177</f>
        <v>104974.71610886336</v>
      </c>
    </row>
    <row r="174" spans="5:32">
      <c r="E174" s="248" t="str">
        <f>W82</f>
        <v>GS 50 - 2,999</v>
      </c>
      <c r="F174" s="278">
        <f t="shared" si="243"/>
        <v>4.4999999999999998E-2</v>
      </c>
      <c r="G174" s="278">
        <f t="shared" si="243"/>
        <v>0.1</v>
      </c>
      <c r="H174" s="278">
        <f t="shared" si="243"/>
        <v>0.1</v>
      </c>
      <c r="I174" s="279">
        <f t="shared" si="260"/>
        <v>79997.633999999991</v>
      </c>
      <c r="J174" s="279">
        <f t="shared" si="260"/>
        <v>1250</v>
      </c>
      <c r="K174" s="279">
        <f t="shared" si="260"/>
        <v>25800</v>
      </c>
      <c r="L174" s="279">
        <f>$F174*L$177</f>
        <v>94460.912418279462</v>
      </c>
      <c r="M174" s="279">
        <f>$G174*M$177</f>
        <v>2687.3906740924358</v>
      </c>
      <c r="N174" s="279">
        <f>$H174*N$177</f>
        <v>29879.655138837083</v>
      </c>
      <c r="O174" s="279">
        <f>$F174*O$177</f>
        <v>109346.86493700172</v>
      </c>
      <c r="P174" s="279">
        <f>$G174*P$177</f>
        <v>3858.0296585699416</v>
      </c>
      <c r="Q174" s="279">
        <f>$H174*Q$177</f>
        <v>20702.486838945097</v>
      </c>
      <c r="R174" s="279">
        <f>$F174*R$177</f>
        <v>121918.81545730264</v>
      </c>
      <c r="S174" s="279">
        <f>$G174*S$177</f>
        <v>1578.1227183203039</v>
      </c>
      <c r="T174" s="279">
        <f>$H174*T$177</f>
        <v>25015.281065640669</v>
      </c>
      <c r="U174" s="279">
        <f>$F174*U$177</f>
        <v>133212.58243760481</v>
      </c>
      <c r="V174" s="279">
        <f>$G174*V$177</f>
        <v>4064.4977514317056</v>
      </c>
      <c r="W174" s="279">
        <f>$H174*W$177</f>
        <v>29028.691970426848</v>
      </c>
      <c r="X174" s="279">
        <f>$F174*X$177</f>
        <v>159247.30216613613</v>
      </c>
      <c r="Y174" s="279">
        <f>$G174*Y$177</f>
        <v>5676.6165367802378</v>
      </c>
      <c r="Z174" s="279">
        <f>$H174*Z$177</f>
        <v>33192.633198978197</v>
      </c>
      <c r="AA174" s="279">
        <f>$F174*AA$177</f>
        <v>180613.06289163406</v>
      </c>
      <c r="AB174" s="279">
        <f>$G174*AB$177</f>
        <v>5515.2342744421421</v>
      </c>
      <c r="AC174" s="279">
        <f>$H174*AC$177</f>
        <v>37511.520599883472</v>
      </c>
      <c r="AD174" s="279">
        <f>$F174*AD$177</f>
        <v>189808.02287728505</v>
      </c>
      <c r="AE174" s="279">
        <f>$G174*AE$177</f>
        <v>7181.1260749957992</v>
      </c>
      <c r="AF174" s="279">
        <f>$H174*AF$177</f>
        <v>41989.886443545343</v>
      </c>
    </row>
    <row r="175" spans="5:32">
      <c r="E175" s="248" t="str">
        <f>W83</f>
        <v>GS 3,000 - 4,999</v>
      </c>
      <c r="F175" s="278">
        <f t="shared" si="243"/>
        <v>5.0000000000000001E-3</v>
      </c>
      <c r="G175" s="278">
        <f t="shared" si="243"/>
        <v>0.05</v>
      </c>
      <c r="H175" s="278">
        <f t="shared" si="243"/>
        <v>0.05</v>
      </c>
      <c r="I175" s="279">
        <f t="shared" si="260"/>
        <v>8888.6259999999984</v>
      </c>
      <c r="J175" s="279">
        <f t="shared" si="260"/>
        <v>625</v>
      </c>
      <c r="K175" s="279">
        <f t="shared" si="260"/>
        <v>12900</v>
      </c>
      <c r="L175" s="279">
        <f>$F175*L$177</f>
        <v>10495.656935364384</v>
      </c>
      <c r="M175" s="279">
        <f>$G175*M$177</f>
        <v>1343.6953370462179</v>
      </c>
      <c r="N175" s="279">
        <f>$H175*N$177</f>
        <v>14939.827569418541</v>
      </c>
      <c r="O175" s="279">
        <f>$F175*O$177</f>
        <v>12149.651659666859</v>
      </c>
      <c r="P175" s="279">
        <f>$G175*P$177</f>
        <v>1929.0148292849708</v>
      </c>
      <c r="Q175" s="279">
        <f>$H175*Q$177</f>
        <v>10351.243419472548</v>
      </c>
      <c r="R175" s="279">
        <f>$F175*R$177</f>
        <v>13546.535050811404</v>
      </c>
      <c r="S175" s="279">
        <f>$G175*S$177</f>
        <v>789.06135916015194</v>
      </c>
      <c r="T175" s="279">
        <f>$H175*T$177</f>
        <v>12507.640532820335</v>
      </c>
      <c r="U175" s="279">
        <f>$F175*U$177</f>
        <v>14801.398048622757</v>
      </c>
      <c r="V175" s="279">
        <f>$G175*V$177</f>
        <v>2032.2488757158528</v>
      </c>
      <c r="W175" s="279">
        <f>$H175*W$177</f>
        <v>14514.345985213424</v>
      </c>
      <c r="X175" s="279">
        <f>$F175*X$177</f>
        <v>17694.144685126237</v>
      </c>
      <c r="Y175" s="279">
        <f>$G175*Y$177</f>
        <v>2838.3082683901189</v>
      </c>
      <c r="Z175" s="279">
        <f>$H175*Z$177</f>
        <v>16596.316599489099</v>
      </c>
      <c r="AA175" s="279">
        <f>$F175*AA$177</f>
        <v>20068.118099070452</v>
      </c>
      <c r="AB175" s="279">
        <f>$G175*AB$177</f>
        <v>2757.6171372210711</v>
      </c>
      <c r="AC175" s="279">
        <f>$H175*AC$177</f>
        <v>18755.760299941736</v>
      </c>
      <c r="AD175" s="279">
        <f>$F175*AD$177</f>
        <v>21089.78031969834</v>
      </c>
      <c r="AE175" s="279">
        <f>$G175*AE$177</f>
        <v>3590.5630374978996</v>
      </c>
      <c r="AF175" s="279">
        <f>$H175*AF$177</f>
        <v>20994.943221772672</v>
      </c>
    </row>
    <row r="176" spans="5:32">
      <c r="F176" s="278"/>
      <c r="G176" s="278"/>
      <c r="H176" s="278"/>
      <c r="I176" s="279"/>
      <c r="J176" s="279"/>
      <c r="K176" s="279"/>
      <c r="L176" s="279"/>
      <c r="M176" s="279"/>
      <c r="N176" s="279"/>
      <c r="O176" s="279"/>
      <c r="P176" s="279"/>
      <c r="Q176" s="279"/>
      <c r="R176" s="279"/>
      <c r="S176" s="279"/>
      <c r="T176" s="279"/>
      <c r="U176" s="279"/>
      <c r="V176" s="279"/>
      <c r="W176" s="279"/>
      <c r="X176" s="279"/>
      <c r="Y176" s="279"/>
      <c r="Z176" s="279"/>
      <c r="AA176" s="279"/>
      <c r="AB176" s="279"/>
      <c r="AC176" s="279"/>
      <c r="AD176" s="279"/>
      <c r="AE176" s="279"/>
      <c r="AF176" s="279"/>
    </row>
    <row r="177" spans="5:32">
      <c r="I177" s="291">
        <f>G160</f>
        <v>1777725.1999999997</v>
      </c>
      <c r="J177" s="291">
        <f>G164</f>
        <v>12500</v>
      </c>
      <c r="K177" s="291">
        <f>G168</f>
        <v>258000</v>
      </c>
      <c r="L177" s="291">
        <f>H160</f>
        <v>2099131.387072877</v>
      </c>
      <c r="M177" s="291">
        <f>H164</f>
        <v>26873.906740924358</v>
      </c>
      <c r="N177" s="291">
        <f>H168</f>
        <v>298796.5513883708</v>
      </c>
      <c r="O177" s="291">
        <f>I160</f>
        <v>2429930.3319333717</v>
      </c>
      <c r="P177" s="291">
        <f>I164</f>
        <v>38580.296585699412</v>
      </c>
      <c r="Q177" s="291">
        <f>I168</f>
        <v>207024.86838945094</v>
      </c>
      <c r="R177" s="291">
        <f>J160</f>
        <v>2709307.0101622809</v>
      </c>
      <c r="S177" s="291">
        <f>J164</f>
        <v>15781.227183203038</v>
      </c>
      <c r="T177" s="291">
        <f>J168</f>
        <v>250152.81065640668</v>
      </c>
      <c r="U177" s="291">
        <f>K160</f>
        <v>2960279.6097245514</v>
      </c>
      <c r="V177" s="291">
        <f>K164</f>
        <v>40644.977514317055</v>
      </c>
      <c r="W177" s="291">
        <f>K168</f>
        <v>290286.91970426845</v>
      </c>
      <c r="X177" s="291">
        <f>L160</f>
        <v>3538828.9370252471</v>
      </c>
      <c r="Y177" s="291">
        <f>L164</f>
        <v>56766.165367802372</v>
      </c>
      <c r="Z177" s="291">
        <f>L168</f>
        <v>331926.33198978193</v>
      </c>
      <c r="AA177" s="291">
        <f>M160</f>
        <v>4013623.6198140904</v>
      </c>
      <c r="AB177" s="291">
        <f>M164</f>
        <v>55152.342744421418</v>
      </c>
      <c r="AC177" s="291">
        <f>M168</f>
        <v>375115.20599883469</v>
      </c>
      <c r="AD177" s="291">
        <f>N160</f>
        <v>4217956.0639396682</v>
      </c>
      <c r="AE177" s="291">
        <f>N164</f>
        <v>71811.26074995799</v>
      </c>
      <c r="AF177" s="291">
        <f>N168</f>
        <v>419898.86443545343</v>
      </c>
    </row>
    <row r="180" spans="5:32">
      <c r="F180" s="248" t="s">
        <v>297</v>
      </c>
      <c r="G180" s="248" t="s">
        <v>298</v>
      </c>
      <c r="H180" s="248" t="s">
        <v>299</v>
      </c>
      <c r="I180" s="248" t="s">
        <v>345</v>
      </c>
      <c r="J180" s="248" t="s">
        <v>367</v>
      </c>
      <c r="K180" s="248" t="s">
        <v>368</v>
      </c>
      <c r="L180" s="248" t="s">
        <v>369</v>
      </c>
      <c r="M180" s="248" t="s">
        <v>370</v>
      </c>
    </row>
    <row r="181" spans="5:32">
      <c r="E181" s="248" t="str">
        <f>E172</f>
        <v>Residential</v>
      </c>
      <c r="F181" s="279">
        <f>SUM(I172:K172)</f>
        <v>1673991.4199999997</v>
      </c>
      <c r="G181" s="279">
        <f>SUM(L172:N172)</f>
        <v>1981007.6492265689</v>
      </c>
      <c r="H181" s="279">
        <f>SUM(O172:Q172)</f>
        <v>2214732.895957741</v>
      </c>
      <c r="I181" s="279">
        <f>SUM(R172:T172)</f>
        <v>2463260.4427008647</v>
      </c>
      <c r="J181" s="279">
        <f>SUM(U172:W172)</f>
        <v>2716829.0554727353</v>
      </c>
      <c r="K181" s="279">
        <f>SUM(X172:Z172)</f>
        <v>3244058.4031544011</v>
      </c>
      <c r="L181" s="279">
        <f>SUM(AA172:AC172)</f>
        <v>3672498.2232251517</v>
      </c>
      <c r="M181" s="279">
        <f>SUM(AD172:AF172)</f>
        <v>3883879.2924974626</v>
      </c>
      <c r="N181" s="279"/>
      <c r="O181" s="279"/>
    </row>
    <row r="182" spans="5:32">
      <c r="E182" s="248" t="str">
        <f>E173</f>
        <v>GS&lt;50</v>
      </c>
      <c r="F182" s="279">
        <f>SUM(I173:K173)</f>
        <v>244772.52</v>
      </c>
      <c r="G182" s="279">
        <f>SUM(L173:N173)</f>
        <v>289987.05790256528</v>
      </c>
      <c r="H182" s="279">
        <f t="shared" ref="H182:H184" si="261">SUM(O173:Q173)</f>
        <v>302465.30960783979</v>
      </c>
      <c r="I182" s="279">
        <f t="shared" ref="I182:I184" si="262">SUM(R173:T173)</f>
        <v>336625.14911697042</v>
      </c>
      <c r="J182" s="279">
        <f t="shared" ref="J182:J184" si="263">SUM(U173:W173)</f>
        <v>376728.6864013857</v>
      </c>
      <c r="K182" s="279">
        <f t="shared" ref="K182:K184" si="264">SUM(X173:Z173)</f>
        <v>448217.70977353066</v>
      </c>
      <c r="L182" s="279">
        <f t="shared" ref="L182:L184" si="265">SUM(AA173:AC173)</f>
        <v>506171.63203000202</v>
      </c>
      <c r="M182" s="279">
        <f t="shared" ref="M182:M184" si="266">SUM(AD173:AF173)</f>
        <v>541132.57465282176</v>
      </c>
      <c r="N182" s="279"/>
      <c r="O182" s="279"/>
    </row>
    <row r="183" spans="5:32">
      <c r="E183" s="248" t="str">
        <f>E174</f>
        <v>GS 50 - 2,999</v>
      </c>
      <c r="F183" s="279">
        <f t="shared" ref="F183" si="267">SUM(I174:K174)</f>
        <v>107047.63399999999</v>
      </c>
      <c r="G183" s="279">
        <f>SUM(L174:N174)</f>
        <v>127027.95823120899</v>
      </c>
      <c r="H183" s="279">
        <f t="shared" si="261"/>
        <v>133907.38143451675</v>
      </c>
      <c r="I183" s="279">
        <f t="shared" si="262"/>
        <v>148512.21924126361</v>
      </c>
      <c r="J183" s="279">
        <f t="shared" si="263"/>
        <v>166305.77215946338</v>
      </c>
      <c r="K183" s="279">
        <f t="shared" si="264"/>
        <v>198116.55190189456</v>
      </c>
      <c r="L183" s="279">
        <f t="shared" si="265"/>
        <v>223639.81776595965</v>
      </c>
      <c r="M183" s="279">
        <f t="shared" si="266"/>
        <v>238979.03539582618</v>
      </c>
      <c r="N183" s="279"/>
      <c r="O183" s="279"/>
    </row>
    <row r="184" spans="5:32">
      <c r="E184" s="248" t="str">
        <f t="shared" ref="E184" si="268">E175</f>
        <v>GS 3,000 - 4,999</v>
      </c>
      <c r="F184" s="279">
        <f t="shared" ref="F184" si="269">SUM(I175:K175)</f>
        <v>22413.625999999997</v>
      </c>
      <c r="G184" s="279">
        <f t="shared" ref="G184" si="270">SUM(L175:N175)</f>
        <v>26779.179841829144</v>
      </c>
      <c r="H184" s="279">
        <f t="shared" si="261"/>
        <v>24429.909908424379</v>
      </c>
      <c r="I184" s="279">
        <f t="shared" si="262"/>
        <v>26843.236942791889</v>
      </c>
      <c r="J184" s="279">
        <f t="shared" si="263"/>
        <v>31347.992909552035</v>
      </c>
      <c r="K184" s="279">
        <f t="shared" si="264"/>
        <v>37128.769553005455</v>
      </c>
      <c r="L184" s="279">
        <f t="shared" si="265"/>
        <v>41581.495536233255</v>
      </c>
      <c r="M184" s="279">
        <f t="shared" si="266"/>
        <v>45675.286578968909</v>
      </c>
      <c r="N184" s="279"/>
      <c r="O184" s="279"/>
    </row>
    <row r="185" spans="5:32"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</row>
    <row r="186" spans="5:32">
      <c r="E186" s="248" t="s">
        <v>65</v>
      </c>
      <c r="F186" s="277">
        <f>SUM(F181:F185)</f>
        <v>2048225.1999999997</v>
      </c>
      <c r="G186" s="277">
        <f t="shared" ref="G186:M186" si="271">SUM(G181:G185)</f>
        <v>2424801.8452021722</v>
      </c>
      <c r="H186" s="277">
        <f t="shared" si="271"/>
        <v>2675535.4969085217</v>
      </c>
      <c r="I186" s="277">
        <f t="shared" si="271"/>
        <v>2975241.048001891</v>
      </c>
      <c r="J186" s="277">
        <f t="shared" si="271"/>
        <v>3291211.5069431365</v>
      </c>
      <c r="K186" s="277">
        <f t="shared" si="271"/>
        <v>3927521.4343828317</v>
      </c>
      <c r="L186" s="277">
        <f t="shared" si="271"/>
        <v>4443891.1685573468</v>
      </c>
      <c r="M186" s="277">
        <f t="shared" si="271"/>
        <v>4709666.1891250797</v>
      </c>
      <c r="N186" s="277"/>
      <c r="O186" s="277"/>
    </row>
    <row r="188" spans="5:32">
      <c r="F188" s="248" t="s">
        <v>300</v>
      </c>
      <c r="G188" s="248" t="s">
        <v>301</v>
      </c>
      <c r="H188" s="248" t="s">
        <v>302</v>
      </c>
      <c r="I188" s="248" t="s">
        <v>371</v>
      </c>
      <c r="J188" s="248" t="s">
        <v>372</v>
      </c>
      <c r="K188" s="248" t="s">
        <v>373</v>
      </c>
      <c r="L188" s="248" t="s">
        <v>374</v>
      </c>
      <c r="M188" s="248" t="s">
        <v>375</v>
      </c>
    </row>
    <row r="189" spans="5:32">
      <c r="E189" s="248" t="str">
        <f>E181</f>
        <v>Residential</v>
      </c>
      <c r="F189" s="279">
        <f>SUM(F181:$F181)</f>
        <v>1673991.4199999997</v>
      </c>
      <c r="G189" s="279">
        <f>SUM($F181:G181)</f>
        <v>3654999.0692265686</v>
      </c>
      <c r="H189" s="279">
        <f>SUM($F181:H181)</f>
        <v>5869731.9651843095</v>
      </c>
      <c r="I189" s="279">
        <f>SUM($F181:I181)</f>
        <v>8332992.4078851743</v>
      </c>
      <c r="J189" s="279">
        <f>SUM($F181:J181)</f>
        <v>11049821.463357911</v>
      </c>
      <c r="K189" s="279">
        <f>SUM($F181:K181)</f>
        <v>14293879.866512312</v>
      </c>
      <c r="L189" s="279">
        <f>SUM($F181:L181)</f>
        <v>17966378.089737464</v>
      </c>
      <c r="M189" s="279">
        <f>SUM($F181:M181)</f>
        <v>21850257.382234927</v>
      </c>
    </row>
    <row r="190" spans="5:32">
      <c r="E190" s="248" t="str">
        <f>E182</f>
        <v>GS&lt;50</v>
      </c>
      <c r="F190" s="279">
        <f>SUM(F182:$F182)</f>
        <v>244772.52</v>
      </c>
      <c r="G190" s="279">
        <f>SUM($F182:G182)</f>
        <v>534759.57790256524</v>
      </c>
      <c r="H190" s="279">
        <f>SUM($F182:H182)</f>
        <v>837224.88751040504</v>
      </c>
      <c r="I190" s="279">
        <f>SUM($F182:I182)</f>
        <v>1173850.0366273755</v>
      </c>
      <c r="J190" s="279">
        <f>SUM($F182:J182)</f>
        <v>1550578.7230287613</v>
      </c>
      <c r="K190" s="279">
        <f>SUM($F182:K182)</f>
        <v>1998796.4328022921</v>
      </c>
      <c r="L190" s="279">
        <f>SUM($F182:L182)</f>
        <v>2504968.0648322939</v>
      </c>
      <c r="M190" s="279">
        <f>SUM($F182:M182)</f>
        <v>3046100.6394851157</v>
      </c>
    </row>
    <row r="191" spans="5:32">
      <c r="E191" s="248" t="str">
        <f>E183</f>
        <v>GS 50 - 2,999</v>
      </c>
      <c r="F191" s="279">
        <f>SUM(F183:$F183)</f>
        <v>107047.63399999999</v>
      </c>
      <c r="G191" s="279">
        <f>SUM($F183:G183)</f>
        <v>234075.59223120898</v>
      </c>
      <c r="H191" s="279">
        <f>SUM($F183:H183)</f>
        <v>367982.97366572573</v>
      </c>
      <c r="I191" s="279">
        <f>SUM($F183:I183)</f>
        <v>516495.19290698937</v>
      </c>
      <c r="J191" s="279">
        <f>SUM($F183:J183)</f>
        <v>682800.96506645274</v>
      </c>
      <c r="K191" s="279">
        <f>SUM($F183:K183)</f>
        <v>880917.51696834737</v>
      </c>
      <c r="L191" s="279">
        <f>SUM($F183:L183)</f>
        <v>1104557.3347343071</v>
      </c>
      <c r="M191" s="279">
        <f>SUM($F183:M183)</f>
        <v>1343536.3701301333</v>
      </c>
    </row>
    <row r="192" spans="5:32">
      <c r="E192" s="248" t="str">
        <f>E184</f>
        <v>GS 3,000 - 4,999</v>
      </c>
      <c r="F192" s="279">
        <f>SUM(F184:$F184)</f>
        <v>22413.625999999997</v>
      </c>
      <c r="G192" s="279">
        <f>SUM($F184:G184)</f>
        <v>49192.80584182914</v>
      </c>
      <c r="H192" s="279">
        <f>SUM($F184:H184)</f>
        <v>73622.715750253526</v>
      </c>
      <c r="I192" s="279">
        <f>SUM($F184:I184)</f>
        <v>100465.95269304542</v>
      </c>
      <c r="J192" s="279">
        <f>SUM($F184:J184)</f>
        <v>131813.94560259744</v>
      </c>
      <c r="K192" s="279">
        <f>SUM($F184:K184)</f>
        <v>168942.7151556029</v>
      </c>
      <c r="L192" s="279">
        <f>SUM($F184:L184)</f>
        <v>210524.21069183614</v>
      </c>
      <c r="M192" s="279">
        <f>SUM($F184:M184)</f>
        <v>256199.49727080506</v>
      </c>
    </row>
    <row r="193" spans="5:13">
      <c r="F193" s="279"/>
      <c r="G193" s="279"/>
      <c r="H193" s="279"/>
      <c r="I193" s="279"/>
      <c r="J193" s="279"/>
      <c r="K193" s="279"/>
      <c r="L193" s="279"/>
      <c r="M193" s="279"/>
    </row>
    <row r="194" spans="5:13">
      <c r="E194" s="248" t="str">
        <f t="shared" ref="E194" si="272">E186</f>
        <v>Total</v>
      </c>
      <c r="F194" s="277">
        <f>SUM(F189:F193)</f>
        <v>2048225.1999999997</v>
      </c>
      <c r="G194" s="277">
        <f t="shared" ref="G194" si="273">SUM(G189:G193)</f>
        <v>4473027.0452021714</v>
      </c>
      <c r="H194" s="277">
        <f t="shared" ref="H194" si="274">SUM(H189:H193)</f>
        <v>7148562.5421106936</v>
      </c>
      <c r="I194" s="277">
        <f t="shared" ref="I194" si="275">SUM(I189:I193)</f>
        <v>10123803.590112584</v>
      </c>
      <c r="J194" s="277">
        <f t="shared" ref="J194" si="276">SUM(J189:J193)</f>
        <v>13415015.097055722</v>
      </c>
      <c r="K194" s="277">
        <f t="shared" ref="K194" si="277">SUM(K189:K193)</f>
        <v>17342536.531438552</v>
      </c>
      <c r="L194" s="277">
        <f t="shared" ref="L194" si="278">SUM(L189:L193)</f>
        <v>21786427.699995898</v>
      </c>
      <c r="M194" s="277">
        <f t="shared" ref="M194" si="279">SUM(M189:M193)</f>
        <v>26496093.889120981</v>
      </c>
    </row>
  </sheetData>
  <mergeCells count="26">
    <mergeCell ref="B93:B105"/>
    <mergeCell ref="B108:B140"/>
    <mergeCell ref="C109:C114"/>
    <mergeCell ref="C117:C122"/>
    <mergeCell ref="C125:C130"/>
    <mergeCell ref="X170:Z170"/>
    <mergeCell ref="AA170:AC170"/>
    <mergeCell ref="AD170:AF170"/>
    <mergeCell ref="C94:C98"/>
    <mergeCell ref="B9:B40"/>
    <mergeCell ref="B41:B72"/>
    <mergeCell ref="C80:C84"/>
    <mergeCell ref="R170:T170"/>
    <mergeCell ref="U170:W170"/>
    <mergeCell ref="I170:K170"/>
    <mergeCell ref="L170:N170"/>
    <mergeCell ref="O170:Q170"/>
    <mergeCell ref="C43:C44"/>
    <mergeCell ref="C46:C50"/>
    <mergeCell ref="C51:C55"/>
    <mergeCell ref="B79:B91"/>
    <mergeCell ref="C56:C60"/>
    <mergeCell ref="C11:C12"/>
    <mergeCell ref="C14:C18"/>
    <mergeCell ref="C19:C23"/>
    <mergeCell ref="C24:C28"/>
  </mergeCells>
  <phoneticPr fontId="191" type="noConversion"/>
  <hyperlinks>
    <hyperlink ref="F3" r:id="rId1" display="https://council.cleanairpartnership.org/wp-content/uploads/2021/11/2-21-050-EV-Charging-Performance-Requirements-in-GTHA.pdf" xr:uid="{D86E6268-425F-4494-8D92-6786A96A78E7}"/>
  </hyperlinks>
  <pageMargins left="0.7" right="0.7" top="0.75" bottom="0.75" header="0.3" footer="0.3"/>
  <ignoredErrors>
    <ignoredError sqref="N1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3EDAC-3ADF-435A-BCF6-6D491331482D}">
  <sheetPr codeName="Sheet1"/>
  <dimension ref="A1:GD145"/>
  <sheetViews>
    <sheetView workbookViewId="0">
      <pane xSplit="1" ySplit="1" topLeftCell="B2" activePane="bottomRight" state="frozen"/>
      <selection activeCell="G6" sqref="G6"/>
      <selection pane="topRight" activeCell="G6" sqref="G6"/>
      <selection pane="bottomLeft" activeCell="G6" sqref="G6"/>
      <selection pane="bottomRight"/>
    </sheetView>
  </sheetViews>
  <sheetFormatPr defaultColWidth="14.42578125" defaultRowHeight="15"/>
  <cols>
    <col min="1" max="1" width="9.42578125" customWidth="1"/>
    <col min="2" max="2" width="8.5703125" bestFit="1" customWidth="1"/>
    <col min="3" max="3" width="6.140625" bestFit="1" customWidth="1"/>
    <col min="4" max="9" width="13.5703125" style="770" customWidth="1"/>
    <col min="10" max="15" width="12.5703125" style="770" customWidth="1"/>
    <col min="16" max="16" width="13.5703125" style="770" bestFit="1" customWidth="1"/>
    <col min="17" max="21" width="13.5703125" style="770" customWidth="1"/>
    <col min="22" max="22" width="14.140625" style="770" bestFit="1" customWidth="1"/>
    <col min="23" max="27" width="13.42578125" style="770" customWidth="1"/>
    <col min="28" max="28" width="13.42578125" style="770" bestFit="1" customWidth="1"/>
    <col min="29" max="32" width="13.42578125" style="770" customWidth="1"/>
    <col min="33" max="33" width="13.42578125" style="770" bestFit="1" customWidth="1"/>
    <col min="34" max="37" width="13.42578125" style="770" customWidth="1"/>
    <col min="38" max="38" width="13.42578125" style="770" bestFit="1" customWidth="1"/>
    <col min="39" max="39" width="13.85546875" style="770" bestFit="1" customWidth="1"/>
    <col min="40" max="40" width="11.5703125" style="770" bestFit="1" customWidth="1"/>
    <col min="41" max="41" width="10.5703125" bestFit="1" customWidth="1"/>
    <col min="42" max="42" width="11.5703125" bestFit="1" customWidth="1"/>
    <col min="43" max="44" width="13.42578125" bestFit="1" customWidth="1"/>
    <col min="45" max="45" width="13.85546875" bestFit="1" customWidth="1"/>
    <col min="46" max="46" width="13.85546875" style="777" customWidth="1"/>
    <col min="47" max="47" width="13.42578125" style="777" bestFit="1" customWidth="1"/>
    <col min="48" max="48" width="14.140625" style="777" bestFit="1" customWidth="1"/>
    <col min="49" max="50" width="13.85546875" style="777" bestFit="1" customWidth="1"/>
    <col min="51" max="52" width="13.5703125" style="777" bestFit="1" customWidth="1"/>
    <col min="53" max="53" width="13.85546875" style="777" bestFit="1" customWidth="1"/>
    <col min="54" max="54" width="13.42578125" style="777" bestFit="1" customWidth="1"/>
    <col min="55" max="55" width="14" style="780" bestFit="1" customWidth="1"/>
    <col min="56" max="60" width="14" style="780" customWidth="1"/>
    <col min="61" max="66" width="17.5703125" style="780" customWidth="1"/>
    <col min="67" max="67" width="13.42578125" style="780" bestFit="1" customWidth="1"/>
    <col min="68" max="72" width="13.42578125" style="780" customWidth="1"/>
    <col min="73" max="73" width="12.42578125" style="780" bestFit="1" customWidth="1"/>
    <col min="74" max="77" width="12.42578125" style="780" customWidth="1"/>
    <col min="78" max="79" width="13.5703125" style="780" bestFit="1" customWidth="1"/>
    <col min="80" max="80" width="12.140625" bestFit="1" customWidth="1"/>
    <col min="81" max="81" width="10.42578125" bestFit="1" customWidth="1"/>
    <col min="82" max="82" width="12.42578125" bestFit="1" customWidth="1"/>
    <col min="83" max="84" width="13.5703125" bestFit="1" customWidth="1"/>
    <col min="85" max="85" width="13.85546875" style="786" customWidth="1"/>
    <col min="86" max="86" width="14" style="786" bestFit="1" customWidth="1"/>
    <col min="87" max="88" width="13.85546875" style="786" bestFit="1" customWidth="1"/>
    <col min="89" max="89" width="14.140625" style="786" bestFit="1" customWidth="1"/>
    <col min="90" max="90" width="13.5703125" style="786" bestFit="1" customWidth="1"/>
    <col min="91" max="91" width="13.85546875" style="786" bestFit="1" customWidth="1"/>
    <col min="92" max="105" width="11.42578125" customWidth="1"/>
    <col min="106" max="120" width="11.42578125" style="369" customWidth="1"/>
    <col min="121" max="121" width="11.42578125" customWidth="1"/>
    <col min="122" max="122" width="9.5703125" bestFit="1" customWidth="1"/>
    <col min="123" max="123" width="3.5703125" bestFit="1" customWidth="1"/>
    <col min="124" max="124" width="3.85546875" bestFit="1" customWidth="1"/>
    <col min="125" max="125" width="4.42578125" bestFit="1" customWidth="1"/>
    <col min="126" max="126" width="3.5703125" bestFit="1" customWidth="1"/>
    <col min="127" max="127" width="4.42578125" bestFit="1" customWidth="1"/>
    <col min="128" max="128" width="3.5703125" bestFit="1" customWidth="1"/>
    <col min="129" max="129" width="3.42578125" bestFit="1" customWidth="1"/>
    <col min="130" max="130" width="4.140625" bestFit="1" customWidth="1"/>
    <col min="131" max="131" width="4.42578125" bestFit="1" customWidth="1"/>
    <col min="132" max="132" width="3.5703125" bestFit="1" customWidth="1"/>
    <col min="133" max="133" width="4.42578125" bestFit="1" customWidth="1"/>
    <col min="134" max="134" width="4.140625" bestFit="1" customWidth="1"/>
    <col min="135" max="135" width="6.42578125" bestFit="1" customWidth="1"/>
    <col min="136" max="136" width="4.140625" bestFit="1" customWidth="1"/>
    <col min="137" max="137" width="8.42578125" bestFit="1" customWidth="1"/>
    <col min="138" max="138" width="5.5703125" bestFit="1" customWidth="1"/>
    <col min="139" max="139" width="6.42578125" bestFit="1" customWidth="1"/>
    <col min="140" max="140" width="9.5703125" bestFit="1" customWidth="1"/>
    <col min="141" max="141" width="11" bestFit="1" customWidth="1"/>
    <col min="142" max="142" width="10.42578125" bestFit="1" customWidth="1"/>
    <col min="143" max="154" width="11" bestFit="1" customWidth="1"/>
    <col min="155" max="156" width="10" bestFit="1" customWidth="1"/>
    <col min="157" max="168" width="13.42578125" bestFit="1" customWidth="1"/>
    <col min="169" max="170" width="12.140625" bestFit="1" customWidth="1"/>
    <col min="171" max="171" width="14" style="766" bestFit="1" customWidth="1"/>
    <col min="172" max="172" width="13.5703125" style="766" bestFit="1" customWidth="1"/>
    <col min="173" max="173" width="14" style="766" bestFit="1" customWidth="1"/>
    <col min="174" max="174" width="13.5703125" style="766" bestFit="1" customWidth="1"/>
    <col min="175" max="175" width="14.140625" style="766" bestFit="1" customWidth="1"/>
    <col min="176" max="176" width="13.85546875" style="766" bestFit="1" customWidth="1"/>
    <col min="177" max="177" width="14" style="766" bestFit="1" customWidth="1"/>
    <col min="178" max="178" width="13.42578125" style="766" bestFit="1" customWidth="1"/>
    <col min="179" max="179" width="12.5703125" style="766" bestFit="1" customWidth="1"/>
    <col min="180" max="181" width="13.5703125" style="766" bestFit="1" customWidth="1"/>
    <col min="182" max="182" width="14.42578125" style="766"/>
    <col min="183" max="183" width="13.5703125" style="766" bestFit="1" customWidth="1"/>
    <col min="184" max="185" width="13.85546875" style="766" bestFit="1" customWidth="1"/>
    <col min="186" max="186" width="13.42578125" style="766" bestFit="1" customWidth="1"/>
  </cols>
  <sheetData>
    <row r="1" spans="1:186" s="1" customFormat="1" ht="45">
      <c r="A1" s="4" t="s">
        <v>36</v>
      </c>
      <c r="B1" s="1" t="s">
        <v>35</v>
      </c>
      <c r="C1" s="4" t="s">
        <v>37</v>
      </c>
      <c r="D1" s="768" t="s">
        <v>23</v>
      </c>
      <c r="E1" s="768" t="str">
        <f>D1&amp;" CDM"</f>
        <v>VRZ_ResidentialkWh CDM</v>
      </c>
      <c r="F1" s="769" t="str">
        <f>D1&amp;"_No_CDM"</f>
        <v>VRZ_ResidentialkWh_No_CDM</v>
      </c>
      <c r="G1" s="768" t="s">
        <v>611</v>
      </c>
      <c r="H1" s="768" t="s">
        <v>612</v>
      </c>
      <c r="I1" s="768" t="str">
        <f>D1&amp;"_No_CDM_AL"</f>
        <v>VRZ_ResidentialkWh_No_CDM_AL</v>
      </c>
      <c r="J1" s="768" t="s">
        <v>24</v>
      </c>
      <c r="K1" s="768" t="str">
        <f>J1&amp;" CDM"</f>
        <v>VRZ_SeasonalReskWh CDM</v>
      </c>
      <c r="L1" s="768" t="str">
        <f>J1&amp;"_No_CDM"</f>
        <v>VRZ_SeasonalReskWh_No_CDM</v>
      </c>
      <c r="M1" s="768" t="s">
        <v>616</v>
      </c>
      <c r="N1" s="768" t="s">
        <v>617</v>
      </c>
      <c r="O1" s="768" t="str">
        <f>J1&amp;"_No_CDM_AL"</f>
        <v>VRZ_SeasonalReskWh_No_CDM_AL</v>
      </c>
      <c r="P1" s="768" t="s">
        <v>0</v>
      </c>
      <c r="Q1" s="768" t="str">
        <f>P1&amp;" CDM"</f>
        <v>VRZ_GSlt50kWh CDM</v>
      </c>
      <c r="R1" s="768" t="str">
        <f>P1&amp;"_No_CDM"</f>
        <v>VRZ_GSlt50kWh_No_CDM</v>
      </c>
      <c r="S1" s="768" t="s">
        <v>618</v>
      </c>
      <c r="T1" s="768" t="s">
        <v>619</v>
      </c>
      <c r="U1" s="768" t="str">
        <f>P1&amp;"_No_CDM_AL"</f>
        <v>VRZ_GSlt50kWh_No_CDM_AL</v>
      </c>
      <c r="V1" s="768" t="s">
        <v>401</v>
      </c>
      <c r="W1" s="768" t="str">
        <f>V1&amp;" CDM"</f>
        <v>VRZ_GS50to2999kWh CDM</v>
      </c>
      <c r="X1" s="768" t="str">
        <f>V1&amp;"_No_CDM"</f>
        <v>VRZ_GS50to2999kWh_No_CDM</v>
      </c>
      <c r="Y1" s="768" t="s">
        <v>620</v>
      </c>
      <c r="Z1" s="768" t="s">
        <v>621</v>
      </c>
      <c r="AA1" s="768" t="str">
        <f>V1&amp;"_No_CDM_AL"</f>
        <v>VRZ_GS50to2999kWh_No_CDM_AL</v>
      </c>
      <c r="AB1" s="768" t="s">
        <v>402</v>
      </c>
      <c r="AC1" s="768" t="str">
        <f>AB1&amp;" CDM"</f>
        <v>VRZ_GS3000to4999kWh CDM</v>
      </c>
      <c r="AD1" s="768" t="str">
        <f>AB1&amp;"_No_CDM"</f>
        <v>VRZ_GS3000to4999kWh_No_CDM</v>
      </c>
      <c r="AE1" s="768" t="s">
        <v>622</v>
      </c>
      <c r="AF1" s="768" t="str">
        <f>AB1&amp;"_No_CDM_AL"</f>
        <v>VRZ_GS3000to4999kWh_No_CDM_AL</v>
      </c>
      <c r="AG1" s="768" t="s">
        <v>1</v>
      </c>
      <c r="AH1" s="768" t="str">
        <f>AG1&amp;" CDM"</f>
        <v>VRZ_LargeUsekWh CDM</v>
      </c>
      <c r="AI1" s="768" t="str">
        <f>AG1&amp;"_No_CDM"</f>
        <v>VRZ_LargeUsekWh_No_CDM</v>
      </c>
      <c r="AJ1" s="768" t="s">
        <v>623</v>
      </c>
      <c r="AK1" s="768" t="str">
        <f>AG1&amp;"_No_CDM_AL"</f>
        <v>VRZ_LargeUsekWh_No_CDM_AL</v>
      </c>
      <c r="AL1" s="768" t="s">
        <v>2</v>
      </c>
      <c r="AM1" s="768" t="s">
        <v>3</v>
      </c>
      <c r="AN1" s="768" t="s">
        <v>4</v>
      </c>
      <c r="AO1" s="4" t="s">
        <v>403</v>
      </c>
      <c r="AP1" s="4" t="s">
        <v>404</v>
      </c>
      <c r="AQ1" s="4" t="s">
        <v>5</v>
      </c>
      <c r="AR1" s="4" t="s">
        <v>6</v>
      </c>
      <c r="AS1" s="4" t="s">
        <v>7</v>
      </c>
      <c r="AT1" s="775" t="s">
        <v>16</v>
      </c>
      <c r="AU1" s="775" t="s">
        <v>17</v>
      </c>
      <c r="AV1" s="775" t="s">
        <v>18</v>
      </c>
      <c r="AW1" s="775" t="s">
        <v>19</v>
      </c>
      <c r="AX1" s="775" t="s">
        <v>20</v>
      </c>
      <c r="AY1" s="775" t="s">
        <v>21</v>
      </c>
      <c r="AZ1" s="775" t="s">
        <v>8</v>
      </c>
      <c r="BA1" s="775" t="s">
        <v>9</v>
      </c>
      <c r="BB1" s="775" t="s">
        <v>22</v>
      </c>
      <c r="BC1" s="778" t="s">
        <v>25</v>
      </c>
      <c r="BD1" s="778" t="str">
        <f>BC1&amp;" CDM"</f>
        <v>WRZ_ResidentialkWh CDM</v>
      </c>
      <c r="BE1" s="778" t="str">
        <f>BC1&amp;"_No_CDM"</f>
        <v>WRZ_ResidentialkWh_No_CDM</v>
      </c>
      <c r="BF1" s="778" t="s">
        <v>624</v>
      </c>
      <c r="BG1" s="778" t="s">
        <v>625</v>
      </c>
      <c r="BH1" s="778" t="str">
        <f>BC1&amp;"_No_CDM_AL"</f>
        <v>WRZ_ResidentialkWh_No_CDM_AL</v>
      </c>
      <c r="BI1" s="778" t="s">
        <v>26</v>
      </c>
      <c r="BJ1" s="778" t="str">
        <f>BI1&amp;" CDM"</f>
        <v>WRZ_GSlt50kWh CDM</v>
      </c>
      <c r="BK1" s="778" t="str">
        <f>BI1&amp;"_No_CDM"</f>
        <v>WRZ_GSlt50kWh_No_CDM</v>
      </c>
      <c r="BL1" s="778" t="s">
        <v>626</v>
      </c>
      <c r="BM1" s="778" t="s">
        <v>627</v>
      </c>
      <c r="BN1" s="778" t="str">
        <f>BI1&amp;"_No_CDM_AL"</f>
        <v>WRZ_GSlt50kWh_No_CDM_AL</v>
      </c>
      <c r="BO1" s="778" t="s">
        <v>405</v>
      </c>
      <c r="BP1" s="778" t="str">
        <f>BO1&amp;" CDM"</f>
        <v>WRZ_GS50to2999kWh CDM</v>
      </c>
      <c r="BQ1" s="778" t="str">
        <f>BO1&amp;"_No_CDM"</f>
        <v>WRZ_GS50to2999kWh_No_CDM</v>
      </c>
      <c r="BR1" s="778" t="s">
        <v>628</v>
      </c>
      <c r="BS1" s="778" t="s">
        <v>629</v>
      </c>
      <c r="BT1" s="778" t="str">
        <f>BO1&amp;"_No_CDM_AL"</f>
        <v>WRZ_GS50to2999kWh_No_CDM_AL</v>
      </c>
      <c r="BU1" s="778" t="s">
        <v>406</v>
      </c>
      <c r="BV1" s="778" t="str">
        <f>BU1&amp;" CDM"</f>
        <v>WRZ_GS3000to4999kWh CDM</v>
      </c>
      <c r="BW1" s="778" t="str">
        <f>BU1&amp;"_No_CDM"</f>
        <v>WRZ_GS3000to4999kWh_No_CDM</v>
      </c>
      <c r="BX1" s="778" t="s">
        <v>628</v>
      </c>
      <c r="BY1" s="778" t="str">
        <f>BU1&amp;"_No_CDM_AL"</f>
        <v>WRZ_GS3000to4999kWh_No_CDM_AL</v>
      </c>
      <c r="BZ1" s="778" t="s">
        <v>10</v>
      </c>
      <c r="CA1" s="778" t="s">
        <v>11</v>
      </c>
      <c r="CB1" s="4" t="s">
        <v>27</v>
      </c>
      <c r="CC1" s="4" t="s">
        <v>28</v>
      </c>
      <c r="CD1" s="4" t="s">
        <v>29</v>
      </c>
      <c r="CE1" s="4" t="s">
        <v>12</v>
      </c>
      <c r="CF1" s="4" t="s">
        <v>13</v>
      </c>
      <c r="CG1" s="784" t="s">
        <v>30</v>
      </c>
      <c r="CH1" s="784" t="s">
        <v>31</v>
      </c>
      <c r="CI1" s="784" t="s">
        <v>32</v>
      </c>
      <c r="CJ1" s="784" t="s">
        <v>33</v>
      </c>
      <c r="CK1" s="784" t="s">
        <v>14</v>
      </c>
      <c r="CL1" s="784" t="s">
        <v>15</v>
      </c>
      <c r="CM1" s="784" t="s">
        <v>34</v>
      </c>
      <c r="CN1" s="45" t="str">
        <f>Weather!C1</f>
        <v>HDD20</v>
      </c>
      <c r="CO1" s="45" t="str">
        <f>Weather!D1</f>
        <v>CDD20</v>
      </c>
      <c r="CP1" s="45" t="str">
        <f>Weather!E1</f>
        <v>HDD18</v>
      </c>
      <c r="CQ1" s="45" t="str">
        <f>Weather!F1</f>
        <v>CDD18</v>
      </c>
      <c r="CR1" s="45" t="str">
        <f>Weather!G1</f>
        <v>HDD16</v>
      </c>
      <c r="CS1" s="45" t="str">
        <f>Weather!H1</f>
        <v>CDD16</v>
      </c>
      <c r="CT1" s="45" t="str">
        <f>Weather!I1</f>
        <v>HDD14</v>
      </c>
      <c r="CU1" s="45" t="str">
        <f>Weather!J1</f>
        <v>CDD14</v>
      </c>
      <c r="CV1" s="45" t="str">
        <f>Weather!K1</f>
        <v>HDD12</v>
      </c>
      <c r="CW1" s="45" t="str">
        <f>Weather!L1</f>
        <v>CDD12</v>
      </c>
      <c r="CX1" s="45" t="str">
        <f>Weather!M1</f>
        <v>HDD10</v>
      </c>
      <c r="CY1" s="45" t="str">
        <f>Weather!N1</f>
        <v>CDD10</v>
      </c>
      <c r="CZ1" s="45" t="str">
        <f>Weather!O1</f>
        <v>HDD8</v>
      </c>
      <c r="DA1" s="45" t="str">
        <f>Weather!P1</f>
        <v>CDD8</v>
      </c>
      <c r="DB1" s="367" t="s">
        <v>120</v>
      </c>
      <c r="DC1" s="367" t="s">
        <v>121</v>
      </c>
      <c r="DD1" s="367" t="s">
        <v>122</v>
      </c>
      <c r="DE1" s="367" t="s">
        <v>123</v>
      </c>
      <c r="DF1" s="367" t="s">
        <v>124</v>
      </c>
      <c r="DG1" s="367" t="s">
        <v>125</v>
      </c>
      <c r="DH1" s="367" t="s">
        <v>126</v>
      </c>
      <c r="DI1" s="367" t="s">
        <v>88</v>
      </c>
      <c r="DJ1" s="367" t="s">
        <v>127</v>
      </c>
      <c r="DK1" s="367" t="s">
        <v>128</v>
      </c>
      <c r="DL1" s="367" t="s">
        <v>129</v>
      </c>
      <c r="DM1" s="367" t="s">
        <v>130</v>
      </c>
      <c r="DN1" s="367" t="s">
        <v>131</v>
      </c>
      <c r="DO1" s="367" t="s">
        <v>132</v>
      </c>
      <c r="DP1" s="367" t="s">
        <v>133</v>
      </c>
      <c r="DQ1" s="4" t="s">
        <v>38</v>
      </c>
      <c r="DR1" s="4" t="s">
        <v>103</v>
      </c>
      <c r="DS1" s="4" t="s">
        <v>104</v>
      </c>
      <c r="DT1" s="4" t="s">
        <v>105</v>
      </c>
      <c r="DU1" s="1" t="s">
        <v>106</v>
      </c>
      <c r="DV1" s="1" t="s">
        <v>107</v>
      </c>
      <c r="DW1" s="1" t="s">
        <v>108</v>
      </c>
      <c r="DX1" s="1" t="s">
        <v>109</v>
      </c>
      <c r="DY1" s="1" t="s">
        <v>110</v>
      </c>
      <c r="DZ1" s="1" t="s">
        <v>111</v>
      </c>
      <c r="EA1" s="1" t="s">
        <v>112</v>
      </c>
      <c r="EB1" s="1" t="s">
        <v>113</v>
      </c>
      <c r="EC1" s="1" t="s">
        <v>114</v>
      </c>
      <c r="ED1" s="1" t="s">
        <v>115</v>
      </c>
      <c r="EE1" s="1" t="s">
        <v>116</v>
      </c>
      <c r="EF1" s="1" t="s">
        <v>117</v>
      </c>
      <c r="EG1" s="1" t="s">
        <v>118</v>
      </c>
      <c r="EH1" s="1" t="s">
        <v>119</v>
      </c>
      <c r="EI1" s="1" t="s">
        <v>212</v>
      </c>
      <c r="EJ1" s="1" t="s">
        <v>213</v>
      </c>
      <c r="EK1" s="1" t="s">
        <v>214</v>
      </c>
      <c r="EL1" s="1" t="s">
        <v>215</v>
      </c>
      <c r="EM1" s="312" t="str">
        <f t="shared" ref="EM1:EZ1" si="0">"Cov"&amp;CN1</f>
        <v>CovHDD20</v>
      </c>
      <c r="EN1" s="312" t="str">
        <f t="shared" si="0"/>
        <v>CovCDD20</v>
      </c>
      <c r="EO1" s="312" t="str">
        <f t="shared" si="0"/>
        <v>CovHDD18</v>
      </c>
      <c r="EP1" s="312" t="str">
        <f t="shared" si="0"/>
        <v>CovCDD18</v>
      </c>
      <c r="EQ1" s="312" t="str">
        <f t="shared" si="0"/>
        <v>CovHDD16</v>
      </c>
      <c r="ER1" s="312" t="str">
        <f t="shared" si="0"/>
        <v>CovCDD16</v>
      </c>
      <c r="ES1" s="312" t="str">
        <f t="shared" si="0"/>
        <v>CovHDD14</v>
      </c>
      <c r="ET1" s="312" t="str">
        <f t="shared" si="0"/>
        <v>CovCDD14</v>
      </c>
      <c r="EU1" s="312" t="str">
        <f t="shared" si="0"/>
        <v>CovHDD12</v>
      </c>
      <c r="EV1" s="312" t="str">
        <f t="shared" si="0"/>
        <v>CovCDD12</v>
      </c>
      <c r="EW1" s="312" t="str">
        <f t="shared" si="0"/>
        <v>CovHDD10</v>
      </c>
      <c r="EX1" s="312" t="str">
        <f t="shared" si="0"/>
        <v>CovCDD10</v>
      </c>
      <c r="EY1" s="312" t="str">
        <f t="shared" si="0"/>
        <v>CovHDD8</v>
      </c>
      <c r="EZ1" s="312" t="str">
        <f t="shared" si="0"/>
        <v>CovCDD8</v>
      </c>
      <c r="FA1" s="312" t="str">
        <f t="shared" ref="FA1:FN1" si="1">"CWFH"&amp;CN1</f>
        <v>CWFHHDD20</v>
      </c>
      <c r="FB1" s="312" t="str">
        <f t="shared" si="1"/>
        <v>CWFHCDD20</v>
      </c>
      <c r="FC1" s="312" t="str">
        <f t="shared" si="1"/>
        <v>CWFHHDD18</v>
      </c>
      <c r="FD1" s="312" t="str">
        <f t="shared" si="1"/>
        <v>CWFHCDD18</v>
      </c>
      <c r="FE1" s="312" t="str">
        <f t="shared" si="1"/>
        <v>CWFHHDD16</v>
      </c>
      <c r="FF1" s="312" t="str">
        <f t="shared" si="1"/>
        <v>CWFHCDD16</v>
      </c>
      <c r="FG1" s="312" t="str">
        <f t="shared" si="1"/>
        <v>CWFHHDD14</v>
      </c>
      <c r="FH1" s="312" t="str">
        <f t="shared" si="1"/>
        <v>CWFHCDD14</v>
      </c>
      <c r="FI1" s="312" t="str">
        <f t="shared" si="1"/>
        <v>CWFHHDD12</v>
      </c>
      <c r="FJ1" s="312" t="str">
        <f t="shared" si="1"/>
        <v>CWFHCDD12</v>
      </c>
      <c r="FK1" s="312" t="str">
        <f t="shared" si="1"/>
        <v>CWFHHDD10</v>
      </c>
      <c r="FL1" s="312" t="str">
        <f t="shared" si="1"/>
        <v>CWFHCDD10</v>
      </c>
      <c r="FM1" s="312" t="str">
        <f t="shared" si="1"/>
        <v>CWFHHDD8</v>
      </c>
      <c r="FN1" s="312" t="str">
        <f t="shared" si="1"/>
        <v>CWFHCDD8</v>
      </c>
      <c r="FO1" s="764" t="str">
        <f>"Avg"&amp;D1</f>
        <v>AvgVRZ_ResidentialkWh</v>
      </c>
      <c r="FP1" s="764" t="str">
        <f>"Avg"&amp;J1</f>
        <v>AvgVRZ_SeasonalReskWh</v>
      </c>
      <c r="FQ1" s="764" t="str">
        <f>"Avg"&amp;P1</f>
        <v>AvgVRZ_GSlt50kWh</v>
      </c>
      <c r="FR1" s="764" t="str">
        <f>"Avg"&amp;V1</f>
        <v>AvgVRZ_GS50to2999kWh</v>
      </c>
      <c r="FS1" s="764" t="str">
        <f>"Avg"&amp;AB1</f>
        <v>AvgVRZ_GS3000to4999kWh</v>
      </c>
      <c r="FT1" s="764" t="str">
        <f>"Avg"&amp;AG1</f>
        <v>AvgVRZ_LargeUsekWh</v>
      </c>
      <c r="FU1" s="764" t="str">
        <f>"Avg"&amp;AL1</f>
        <v>AvgVRZ_StreetLgtkWh</v>
      </c>
      <c r="FV1" s="764" t="str">
        <f>"Avg"&amp;AM1</f>
        <v>AvgVRZ_SentinelLgtkWh</v>
      </c>
      <c r="FW1" s="764" t="str">
        <f>"Avg"&amp;AN1</f>
        <v>AvgVRZ_USLkWh</v>
      </c>
      <c r="FX1" s="764" t="str">
        <f>"Avg"&amp;BC1</f>
        <v>AvgWRZ_ResidentialkWh</v>
      </c>
      <c r="FY1" s="764" t="str">
        <f>"Avg"&amp;BI1</f>
        <v>AvgWRZ_GSlt50kWh</v>
      </c>
      <c r="FZ1" s="764" t="str">
        <f>"Avg"&amp;BO1</f>
        <v>AvgWRZ_GS50to2999kWh</v>
      </c>
      <c r="GA1" s="764" t="str">
        <f>"Avg"&amp;BU1</f>
        <v>AvgWRZ_GS3000to4999kWh</v>
      </c>
      <c r="GB1" s="764" t="str">
        <f>"Avg"&amp;BZ1</f>
        <v>AvgWRZ_StreetLgtkWh</v>
      </c>
      <c r="GC1" s="764" t="str">
        <f>"Avg"&amp;CA1</f>
        <v>AvgWRZ_SentinelLgtkWh</v>
      </c>
      <c r="GD1" s="764" t="str">
        <f>"Avg"&amp;CB1</f>
        <v>AvgWRZ_USLkWh</v>
      </c>
    </row>
    <row r="2" spans="1:186">
      <c r="A2" s="4">
        <v>42005</v>
      </c>
      <c r="B2" s="6">
        <v>2015</v>
      </c>
      <c r="C2" s="5">
        <v>1</v>
      </c>
      <c r="D2" s="7">
        <v>88622567.624820799</v>
      </c>
      <c r="E2" s="7">
        <f>IFERROR(VLOOKUP($B2-1,CDM!$V$4:$AJ$17,2,FALSE)/12,0)+IFERROR(VLOOKUP($B2,CDM!$V$41:$AJ$54,2,FALSE)/24,0)+IFERROR(VLOOKUP($B2,CDM!$V$41:$AJ$54,2,FALSE)/2*$C2/78,0)</f>
        <v>463142.54843427858</v>
      </c>
      <c r="F2" s="7">
        <f t="shared" ref="F2:F54" si="2">D2+E2</f>
        <v>89085710.173255071</v>
      </c>
      <c r="G2" s="7"/>
      <c r="H2" s="7"/>
      <c r="I2" s="7">
        <f t="shared" ref="I2:I54" si="3">F2-G2-H2</f>
        <v>89085710.173255071</v>
      </c>
      <c r="J2" s="7">
        <v>1112222.0868800001</v>
      </c>
      <c r="K2" s="7">
        <f>IFERROR(VLOOKUP($B2-1,CDM!$V$4:$AJ$17,3,FALSE)/12,0)+IFERROR(VLOOKUP($B2,CDM!$V$41:$AJ$54,3,FALSE)/24,0)+IFERROR(VLOOKUP($B2,CDM!$V$41:$AJ$54,3,FALSE)/2*$C2/78,0)</f>
        <v>5304.7437785593302</v>
      </c>
      <c r="L2" s="7">
        <f t="shared" ref="L2:L54" si="4">J2+K2</f>
        <v>1117526.8306585595</v>
      </c>
      <c r="M2" s="7"/>
      <c r="N2" s="7"/>
      <c r="O2" s="7">
        <f t="shared" ref="O2:O54" si="5">L2-M2-N2</f>
        <v>1117526.8306585595</v>
      </c>
      <c r="P2" s="7">
        <v>26752413.727710001</v>
      </c>
      <c r="Q2" s="7">
        <f>IFERROR(VLOOKUP($B2-1,CDM!$V$4:$AJ$17,4,FALSE)/12,0)+IFERROR(VLOOKUP($B2,CDM!$V$41:$AJ$54,4,FALSE)/24,0)+IFERROR(VLOOKUP($B2,CDM!$V$41:$AJ$54,4,FALSE)/2*$C2/78,0)</f>
        <v>229545.78935072583</v>
      </c>
      <c r="R2" s="7">
        <f t="shared" ref="R2:R54" si="6">P2+Q2</f>
        <v>26981959.517060727</v>
      </c>
      <c r="S2" s="7"/>
      <c r="T2" s="7"/>
      <c r="U2" s="7">
        <f t="shared" ref="U2:U54" si="7">R2-S2-T2</f>
        <v>26981959.517060727</v>
      </c>
      <c r="V2" s="7">
        <v>70572459.926605761</v>
      </c>
      <c r="W2" s="7">
        <f>IFERROR(VLOOKUP($B2-1,CDM!$V$4:$AJ$17,5,FALSE)/12,0)+IFERROR(VLOOKUP($B2,CDM!$V$41:$AJ$54,5,FALSE)/24,0)+IFERROR(VLOOKUP($B2,CDM!$V$41:$AJ$54,5,FALSE)/2*$C2/78,0)</f>
        <v>870160.11286252853</v>
      </c>
      <c r="X2" s="7">
        <f t="shared" ref="X2:X54" si="8">V2+W2</f>
        <v>71442620.039468288</v>
      </c>
      <c r="Y2" s="7"/>
      <c r="Z2" s="7"/>
      <c r="AA2" s="7">
        <f t="shared" ref="AA2:AA54" si="9">X2-Y2-Z2</f>
        <v>71442620.039468288</v>
      </c>
      <c r="AB2" s="7">
        <v>7330350.7043237519</v>
      </c>
      <c r="AC2" s="7">
        <f>IFERROR(VLOOKUP($B2-1,CDM!$V$4:$AJ$17,6,FALSE)/12,0)+IFERROR(VLOOKUP($B2,CDM!$V$41:$AJ$54,6,FALSE)/24,0)+IFERROR(VLOOKUP($B2,CDM!$V$41:$AJ$54,6,FALSE)/2*$C2/78,0)</f>
        <v>7223.1070017241564</v>
      </c>
      <c r="AD2" s="7">
        <f t="shared" ref="AD2:AD54" si="10">AB2+AC2</f>
        <v>7337573.8113254756</v>
      </c>
      <c r="AE2" s="7"/>
      <c r="AF2" s="7">
        <f t="shared" ref="AF2:AF54" si="11">AD2-AE2</f>
        <v>7337573.8113254756</v>
      </c>
      <c r="AG2" s="7">
        <v>15789250.495352384</v>
      </c>
      <c r="AH2" s="7">
        <f>IFERROR(VLOOKUP($B2-1,CDM!$V$4:$AJ$17,7,FALSE)/12,0)+IFERROR(VLOOKUP($B2,CDM!$V$41:$AJ$54,7,FALSE)/24,0)+IFERROR(VLOOKUP($B2,CDM!$V$41:$AJ$54,7,FALSE)/2*$C2/78,0)</f>
        <v>242330.96976578224</v>
      </c>
      <c r="AI2" s="7">
        <f t="shared" ref="AI2:AI54" si="12">AG2+AH2</f>
        <v>16031581.465118166</v>
      </c>
      <c r="AJ2" s="7"/>
      <c r="AK2" s="7">
        <f t="shared" ref="AK2:AK54" si="13">AI2-AJ2</f>
        <v>16031581.465118166</v>
      </c>
      <c r="AL2" s="7">
        <v>2027669.1697244521</v>
      </c>
      <c r="AM2" s="7">
        <v>9878.8225423728854</v>
      </c>
      <c r="AN2" s="7">
        <v>425651.48499999999</v>
      </c>
      <c r="AO2" s="5">
        <v>160550.38372378994</v>
      </c>
      <c r="AP2" s="5">
        <v>17163.122884591536</v>
      </c>
      <c r="AQ2" s="5">
        <v>29486.033105061222</v>
      </c>
      <c r="AR2" s="5">
        <v>4824.57</v>
      </c>
      <c r="AS2" s="763">
        <f>1014/12</f>
        <v>84.5</v>
      </c>
      <c r="AT2" s="776">
        <v>107518.91666666667</v>
      </c>
      <c r="AU2" s="776">
        <v>1595.0232784208758</v>
      </c>
      <c r="AV2" s="776">
        <v>8876.9166666666661</v>
      </c>
      <c r="AW2" s="776">
        <v>1045.5</v>
      </c>
      <c r="AX2" s="776">
        <v>5</v>
      </c>
      <c r="AY2" s="776">
        <v>2.0833333333333335</v>
      </c>
      <c r="AZ2" s="776">
        <v>29751.25</v>
      </c>
      <c r="BA2" s="776">
        <v>446.33333333333331</v>
      </c>
      <c r="BB2" s="776">
        <v>900</v>
      </c>
      <c r="BC2" s="779">
        <v>31332022.23248991</v>
      </c>
      <c r="BD2" s="779">
        <f>IFERROR(VLOOKUP($B2-1,CDM!$V$4:$AJ$17,11,FALSE)/12,0)+IFERROR(VLOOKUP($B2,CDM!$V$41:$AJ$54,11,FALSE)/24,0)+IFERROR(VLOOKUP($B2,CDM!$V$41:$AJ$54,11,FALSE)/2*$C2/78,0)</f>
        <v>184869.46107349003</v>
      </c>
      <c r="BE2" s="779">
        <f t="shared" ref="BE2:BE21" si="14">BC2+BD2</f>
        <v>31516891.693563402</v>
      </c>
      <c r="BF2" s="779"/>
      <c r="BG2" s="779"/>
      <c r="BH2" s="779">
        <f t="shared" ref="BH2:BH54" si="15">BE2-BF2-BG2</f>
        <v>31516891.693563402</v>
      </c>
      <c r="BI2" s="779">
        <v>7689660.1805600002</v>
      </c>
      <c r="BJ2" s="779">
        <f>IFERROR(VLOOKUP($B2-1,CDM!$V$4:$AJ$17,12,FALSE)/12,0)+IFERROR(VLOOKUP($B2,CDM!$V$41:$AJ$54,12,FALSE)/24,0)+IFERROR(VLOOKUP($B2,CDM!$V$41:$AJ$54,12,FALSE)/2*$C2/78,0)</f>
        <v>66732.906638333341</v>
      </c>
      <c r="BK2" s="779">
        <f t="shared" ref="BK2:BK54" si="16">BI2+BJ2</f>
        <v>7756393.0871983338</v>
      </c>
      <c r="BL2" s="779"/>
      <c r="BM2" s="779"/>
      <c r="BN2" s="779">
        <f t="shared" ref="BN2:BN54" si="17">BK2-BL2-BM2</f>
        <v>7756393.0871983338</v>
      </c>
      <c r="BO2" s="779">
        <f t="shared" ref="BO2:BO4" si="18">BO14/BO15*BO3</f>
        <v>30763090.182499632</v>
      </c>
      <c r="BP2" s="779">
        <f>IFERROR(VLOOKUP($B2-1,CDM!$V$4:$AJ$17,13,FALSE)/12,0)+IFERROR(VLOOKUP($B2,CDM!$V$41:$AJ$54,13,FALSE)/24,0)+IFERROR(VLOOKUP($B2,CDM!$V$41:$AJ$54,13,FALSE)/2*$C2/78,0)</f>
        <v>197445.62885863616</v>
      </c>
      <c r="BQ2" s="779">
        <f t="shared" ref="BQ2:BQ54" si="19">BO2+BP2</f>
        <v>30960535.811358269</v>
      </c>
      <c r="BR2" s="779"/>
      <c r="BS2" s="779"/>
      <c r="BT2" s="779">
        <f t="shared" ref="BT2:BT54" si="20">BQ2-BR2-BS2</f>
        <v>30960535.811358269</v>
      </c>
      <c r="BU2" s="779">
        <v>4917109.58</v>
      </c>
      <c r="BV2" s="779">
        <f>IFERROR(VLOOKUP($B2-1,CDM!$V$4:$AJ$17,14,FALSE)/12,0)+IFERROR(VLOOKUP($B2,CDM!$V$41:$AJ$54,14,FALSE)/24,0)+IFERROR(VLOOKUP($B2,CDM!$V$41:$AJ$54,14,FALSE)/2*$C2/78,0)</f>
        <v>44390.151968614606</v>
      </c>
      <c r="BW2" s="779">
        <f t="shared" ref="BW2:BW54" si="21">BU2+BV2</f>
        <v>4961499.7319686143</v>
      </c>
      <c r="BX2" s="779"/>
      <c r="BY2" s="779">
        <f t="shared" ref="BY2:BY21" si="22">BW2-BX2</f>
        <v>4961499.7319686143</v>
      </c>
      <c r="BZ2" s="779">
        <v>1018727.92</v>
      </c>
      <c r="CA2" s="779">
        <v>2728.6004406512848</v>
      </c>
      <c r="CB2" s="5">
        <v>54335.72</v>
      </c>
      <c r="CC2" s="5">
        <v>47577.82</v>
      </c>
      <c r="CD2" s="5">
        <v>7196.93</v>
      </c>
      <c r="CE2" s="5">
        <v>2060.65</v>
      </c>
      <c r="CF2" s="763">
        <f>95/12</f>
        <v>7.916666666666667</v>
      </c>
      <c r="CG2" s="785">
        <v>38987</v>
      </c>
      <c r="CH2" s="785">
        <v>2157.9166666666665</v>
      </c>
      <c r="CI2" s="785">
        <v>366.91666666666669</v>
      </c>
      <c r="CJ2" s="785">
        <v>2</v>
      </c>
      <c r="CK2" s="785">
        <v>11821.083333333334</v>
      </c>
      <c r="CL2" s="785">
        <v>41.75</v>
      </c>
      <c r="CM2" s="785">
        <v>380.58333333333331</v>
      </c>
      <c r="CN2" s="46">
        <f>Weather!C14</f>
        <v>859.89184782608675</v>
      </c>
      <c r="CO2" s="46">
        <f>Weather!D14</f>
        <v>0</v>
      </c>
      <c r="CP2" s="46">
        <f>Weather!E14</f>
        <v>797.89184782608675</v>
      </c>
      <c r="CQ2" s="46">
        <f>Weather!F14</f>
        <v>0</v>
      </c>
      <c r="CR2" s="46">
        <f>Weather!G14</f>
        <v>735.89184782608675</v>
      </c>
      <c r="CS2" s="46">
        <f>Weather!H14</f>
        <v>0</v>
      </c>
      <c r="CT2" s="46">
        <f>Weather!I14</f>
        <v>673.89184782608697</v>
      </c>
      <c r="CU2" s="46">
        <f>Weather!J14</f>
        <v>0</v>
      </c>
      <c r="CV2" s="46">
        <f>Weather!K14</f>
        <v>611.89184782608697</v>
      </c>
      <c r="CW2" s="46">
        <f>Weather!L14</f>
        <v>0</v>
      </c>
      <c r="CX2" s="46">
        <f>Weather!M14</f>
        <v>549.89184782608709</v>
      </c>
      <c r="CY2" s="46">
        <f>Weather!N14</f>
        <v>0</v>
      </c>
      <c r="CZ2" s="46">
        <f>Weather!O14</f>
        <v>487.89184782608703</v>
      </c>
      <c r="DA2" s="46">
        <f>Weather!P14</f>
        <v>0</v>
      </c>
      <c r="DB2" s="368">
        <f>'Economic Data'!D16</f>
        <v>6833</v>
      </c>
      <c r="DC2" s="368">
        <f>'Economic Data'!E16</f>
        <v>6793.4</v>
      </c>
      <c r="DD2" s="368">
        <f>'Economic Data'!F16</f>
        <v>201</v>
      </c>
      <c r="DE2" s="368">
        <f>'Economic Data'!G16</f>
        <v>201.1</v>
      </c>
      <c r="DF2" s="368">
        <f>'Economic Data'!H16</f>
        <v>39.4</v>
      </c>
      <c r="DG2" s="368">
        <f>'Economic Data'!I16</f>
        <v>39.4</v>
      </c>
      <c r="DH2" s="368">
        <f>'Economic Data'!J16</f>
        <v>727609.6</v>
      </c>
      <c r="DI2" s="368">
        <f>'Economic Data'!K16</f>
        <v>557474</v>
      </c>
      <c r="DJ2" s="368">
        <f>'Economic Data'!L16</f>
        <v>90490.8</v>
      </c>
      <c r="DK2" s="368">
        <f>'Economic Data'!M16</f>
        <v>29069.3</v>
      </c>
      <c r="DL2" s="368">
        <f>'Economic Data'!N16</f>
        <v>718587</v>
      </c>
      <c r="DM2" s="368">
        <f>'Economic Data'!O16</f>
        <v>88879</v>
      </c>
      <c r="DN2" s="368">
        <f>'Economic Data'!P16</f>
        <v>19856</v>
      </c>
      <c r="DO2" s="368">
        <f>'Economic Data'!Q16</f>
        <v>551679</v>
      </c>
      <c r="DP2" s="368">
        <f>'Economic Data'!R16</f>
        <v>28860</v>
      </c>
      <c r="DQ2">
        <v>31</v>
      </c>
      <c r="DR2">
        <v>21</v>
      </c>
      <c r="DS2">
        <v>1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1</v>
      </c>
      <c r="EI2">
        <v>0</v>
      </c>
      <c r="EJ2">
        <v>0</v>
      </c>
      <c r="EK2">
        <v>0</v>
      </c>
      <c r="EL2">
        <v>0</v>
      </c>
      <c r="EM2" s="47">
        <f t="shared" ref="EM2:EM21" si="23">$EJ2*CN2</f>
        <v>0</v>
      </c>
      <c r="EN2" s="47">
        <f t="shared" ref="EN2:EN21" si="24">$EJ2*CO2</f>
        <v>0</v>
      </c>
      <c r="EO2" s="47">
        <f t="shared" ref="EO2:EO21" si="25">$EJ2*CP2</f>
        <v>0</v>
      </c>
      <c r="EP2" s="47">
        <f t="shared" ref="EP2:EP21" si="26">$EJ2*CQ2</f>
        <v>0</v>
      </c>
      <c r="EQ2" s="47">
        <f t="shared" ref="EQ2:EQ21" si="27">$EJ2*CR2</f>
        <v>0</v>
      </c>
      <c r="ER2" s="47">
        <f t="shared" ref="ER2:ER21" si="28">$EJ2*CS2</f>
        <v>0</v>
      </c>
      <c r="ES2" s="47">
        <f t="shared" ref="ES2:ES21" si="29">$EJ2*CT2</f>
        <v>0</v>
      </c>
      <c r="ET2" s="47">
        <f t="shared" ref="ET2:ET21" si="30">$EJ2*CU2</f>
        <v>0</v>
      </c>
      <c r="EU2" s="47">
        <f t="shared" ref="EU2:EU21" si="31">$EJ2*CV2</f>
        <v>0</v>
      </c>
      <c r="EV2" s="47">
        <f t="shared" ref="EV2:EV21" si="32">$EJ2*CW2</f>
        <v>0</v>
      </c>
      <c r="EW2" s="47">
        <f t="shared" ref="EW2:EW21" si="33">$EJ2*CX2</f>
        <v>0</v>
      </c>
      <c r="EX2" s="47">
        <f t="shared" ref="EX2:EX21" si="34">$EJ2*CY2</f>
        <v>0</v>
      </c>
      <c r="EY2" s="47">
        <f t="shared" ref="EY2:EY21" si="35">$EJ2*CZ2</f>
        <v>0</v>
      </c>
      <c r="EZ2" s="47">
        <f t="shared" ref="EZ2:EZ21" si="36">$EJ2*DA2</f>
        <v>0</v>
      </c>
      <c r="FA2" s="47">
        <f t="shared" ref="FA2:FA21" si="37">$EK2*CN2</f>
        <v>0</v>
      </c>
      <c r="FB2" s="47">
        <f t="shared" ref="FB2:FB21" si="38">$EK2*CO2</f>
        <v>0</v>
      </c>
      <c r="FC2" s="47">
        <f t="shared" ref="FC2:FC21" si="39">$EK2*CP2</f>
        <v>0</v>
      </c>
      <c r="FD2" s="47">
        <f t="shared" ref="FD2:FD21" si="40">$EK2*CQ2</f>
        <v>0</v>
      </c>
      <c r="FE2" s="47">
        <f t="shared" ref="FE2:FE21" si="41">$EK2*CR2</f>
        <v>0</v>
      </c>
      <c r="FF2" s="47">
        <f t="shared" ref="FF2:FF21" si="42">$EK2*CS2</f>
        <v>0</v>
      </c>
      <c r="FG2" s="47">
        <f t="shared" ref="FG2:FG21" si="43">$EK2*CT2</f>
        <v>0</v>
      </c>
      <c r="FH2" s="47">
        <f t="shared" ref="FH2:FH21" si="44">$EK2*CU2</f>
        <v>0</v>
      </c>
      <c r="FI2" s="47">
        <f t="shared" ref="FI2:FI21" si="45">$EK2*CV2</f>
        <v>0</v>
      </c>
      <c r="FJ2" s="47">
        <f t="shared" ref="FJ2:FJ21" si="46">$EK2*CW2</f>
        <v>0</v>
      </c>
      <c r="FK2" s="47">
        <f t="shared" ref="FK2:FK21" si="47">$EK2*CX2</f>
        <v>0</v>
      </c>
      <c r="FL2" s="47">
        <f t="shared" ref="FL2:FL21" si="48">$EK2*CY2</f>
        <v>0</v>
      </c>
      <c r="FM2" s="47">
        <f t="shared" ref="FM2:FM21" si="49">$EK2*CZ2</f>
        <v>0</v>
      </c>
      <c r="FN2" s="47">
        <f t="shared" ref="FN2:FN21" si="50">$EK2*DA2</f>
        <v>0</v>
      </c>
      <c r="FO2" s="765">
        <f t="shared" ref="FO2:FO21" si="51">I2/AT2</f>
        <v>828.55848008068415</v>
      </c>
      <c r="FP2" s="765">
        <f t="shared" ref="FP2:FP21" si="52">L2/AU2</f>
        <v>700.63355549578364</v>
      </c>
      <c r="FQ2" s="765">
        <f t="shared" ref="FQ2:FQ21" si="53">R2/AV2</f>
        <v>3039.564358915246</v>
      </c>
      <c r="FR2" s="765">
        <f t="shared" ref="FR2:FR21" si="54">X2/AW2</f>
        <v>68333.448148702329</v>
      </c>
      <c r="FS2" s="765">
        <f t="shared" ref="FS2:FS21" si="55">AD2/AX2</f>
        <v>1467514.762265095</v>
      </c>
      <c r="FT2" s="765">
        <f t="shared" ref="FT2:FT21" si="56">AI2/AY2</f>
        <v>7695159.1032567192</v>
      </c>
      <c r="FU2" s="765">
        <f t="shared" ref="FU2:FU21" si="57">AL2/AZ2</f>
        <v>68.154083264550295</v>
      </c>
      <c r="FV2" s="765">
        <f t="shared" ref="FV2:FV21" si="58">AM2/BA2</f>
        <v>22.133284262224539</v>
      </c>
      <c r="FW2" s="765">
        <f t="shared" ref="FW2:FW21" si="59">AN2/BB2</f>
        <v>472.94609444444444</v>
      </c>
      <c r="FX2" s="765">
        <f t="shared" ref="FX2:FX21" si="60">BE2/CG2</f>
        <v>808.39489300442199</v>
      </c>
      <c r="FY2" s="765">
        <f t="shared" ref="FY2:FY21" si="61">BK2/CH2</f>
        <v>3594.3895364502805</v>
      </c>
      <c r="FZ2" s="765">
        <f t="shared" ref="FZ2:FZ21" si="62">BQ2/CI2</f>
        <v>84380.292922166525</v>
      </c>
      <c r="GA2" s="765">
        <f t="shared" ref="GA2:GA21" si="63">BZ2/CJ2</f>
        <v>509363.96</v>
      </c>
      <c r="GB2" s="765">
        <f t="shared" ref="GB2:GB21" si="64">BZ2/CK2</f>
        <v>86.178896745222161</v>
      </c>
      <c r="GC2" s="765">
        <f t="shared" ref="GC2:GC21" si="65">CA2/CL2</f>
        <v>65.355699177276279</v>
      </c>
      <c r="GD2" s="765">
        <f t="shared" ref="GD2:GD21" si="66">CB2/CM2</f>
        <v>142.76957302386688</v>
      </c>
    </row>
    <row r="3" spans="1:186">
      <c r="A3" s="4">
        <v>42036</v>
      </c>
      <c r="B3" s="6">
        <v>2015</v>
      </c>
      <c r="C3" s="5">
        <v>2</v>
      </c>
      <c r="D3" s="7">
        <v>83265450.286840394</v>
      </c>
      <c r="E3" s="7">
        <f>IFERROR(VLOOKUP($B3-1,CDM!$V$4:$AJ$17,2,FALSE)/12,0)+IFERROR(VLOOKUP($B3,CDM!$V$41:$AJ$54,2,FALSE)/24,0)+IFERROR(VLOOKUP($B3,CDM!$V$41:$AJ$54,2,FALSE)/2*$C3/78,0)</f>
        <v>495706.8226000971</v>
      </c>
      <c r="F3" s="7">
        <f t="shared" si="2"/>
        <v>83761157.109440491</v>
      </c>
      <c r="G3" s="7"/>
      <c r="H3" s="7"/>
      <c r="I3" s="7">
        <f t="shared" si="3"/>
        <v>83761157.109440491</v>
      </c>
      <c r="J3" s="7">
        <v>1179669.817</v>
      </c>
      <c r="K3" s="7">
        <f>IFERROR(VLOOKUP($B3-1,CDM!$V$4:$AJ$17,3,FALSE)/12,0)+IFERROR(VLOOKUP($B3,CDM!$V$41:$AJ$54,3,FALSE)/24,0)+IFERROR(VLOOKUP($B3,CDM!$V$41:$AJ$54,3,FALSE)/2*$C3/78,0)</f>
        <v>5677.7285785273234</v>
      </c>
      <c r="L3" s="7">
        <f t="shared" si="4"/>
        <v>1185347.5455785273</v>
      </c>
      <c r="M3" s="7"/>
      <c r="N3" s="7"/>
      <c r="O3" s="7">
        <f t="shared" si="5"/>
        <v>1185347.5455785273</v>
      </c>
      <c r="P3" s="7">
        <v>25183858.93677</v>
      </c>
      <c r="Q3" s="7">
        <f>IFERROR(VLOOKUP($B3-1,CDM!$V$4:$AJ$17,4,FALSE)/12,0)+IFERROR(VLOOKUP($B3,CDM!$V$41:$AJ$54,4,FALSE)/24,0)+IFERROR(VLOOKUP($B3,CDM!$V$41:$AJ$54,4,FALSE)/2*$C3/78,0)</f>
        <v>246335.37379839862</v>
      </c>
      <c r="R3" s="7">
        <f t="shared" si="6"/>
        <v>25430194.3105684</v>
      </c>
      <c r="S3" s="7"/>
      <c r="T3" s="7"/>
      <c r="U3" s="7">
        <f t="shared" si="7"/>
        <v>25430194.3105684</v>
      </c>
      <c r="V3" s="7">
        <v>75702323.799999997</v>
      </c>
      <c r="W3" s="7">
        <f>IFERROR(VLOOKUP($B3-1,CDM!$V$4:$AJ$17,5,FALSE)/12,0)+IFERROR(VLOOKUP($B3,CDM!$V$41:$AJ$54,5,FALSE)/24,0)+IFERROR(VLOOKUP($B3,CDM!$V$41:$AJ$54,5,FALSE)/2*$C3/78,0)</f>
        <v>930661.23041626485</v>
      </c>
      <c r="X3" s="7">
        <f t="shared" si="8"/>
        <v>76632985.030416265</v>
      </c>
      <c r="Y3" s="7"/>
      <c r="Z3" s="7"/>
      <c r="AA3" s="7">
        <f t="shared" si="9"/>
        <v>76632985.030416265</v>
      </c>
      <c r="AB3" s="7">
        <v>6900555.5899999999</v>
      </c>
      <c r="AC3" s="7">
        <f>IFERROR(VLOOKUP($B3-1,CDM!$V$4:$AJ$17,6,FALSE)/12,0)+IFERROR(VLOOKUP($B3,CDM!$V$41:$AJ$54,6,FALSE)/24,0)+IFERROR(VLOOKUP($B3,CDM!$V$41:$AJ$54,6,FALSE)/2*$C3/78,0)</f>
        <v>8139.6952855841118</v>
      </c>
      <c r="AD3" s="7">
        <f t="shared" si="10"/>
        <v>6908695.2852855837</v>
      </c>
      <c r="AE3" s="7"/>
      <c r="AF3" s="7">
        <f t="shared" si="11"/>
        <v>6908695.2852855837</v>
      </c>
      <c r="AG3" s="7">
        <v>14863490.869999999</v>
      </c>
      <c r="AH3" s="7">
        <f>IFERROR(VLOOKUP($B3-1,CDM!$V$4:$AJ$17,7,FALSE)/12,0)+IFERROR(VLOOKUP($B3,CDM!$V$41:$AJ$54,7,FALSE)/24,0)+IFERROR(VLOOKUP($B3,CDM!$V$41:$AJ$54,7,FALSE)/2*$C3/78,0)</f>
        <v>264045.62266267679</v>
      </c>
      <c r="AI3" s="7">
        <f t="shared" si="12"/>
        <v>15127536.492662676</v>
      </c>
      <c r="AJ3" s="7"/>
      <c r="AK3" s="7">
        <f t="shared" si="13"/>
        <v>15127536.492662676</v>
      </c>
      <c r="AL3" s="7">
        <v>1908782.32</v>
      </c>
      <c r="AM3" s="7">
        <v>8922.807457627121</v>
      </c>
      <c r="AN3" s="7">
        <v>425651.48499999999</v>
      </c>
      <c r="AO3" s="5">
        <v>151136.95000000001</v>
      </c>
      <c r="AP3" s="5">
        <v>16156.81</v>
      </c>
      <c r="AQ3" s="5">
        <v>27757.200000000001</v>
      </c>
      <c r="AR3" s="5">
        <v>4817.55</v>
      </c>
      <c r="AS3" s="763">
        <f t="shared" ref="AS3:AS25" si="67">1014/12</f>
        <v>84.5</v>
      </c>
      <c r="AT3" s="776">
        <v>107463.83333333334</v>
      </c>
      <c r="AU3" s="776">
        <v>1594.4757076553417</v>
      </c>
      <c r="AV3" s="776">
        <v>8879.8333333333321</v>
      </c>
      <c r="AW3" s="776">
        <v>1047</v>
      </c>
      <c r="AX3" s="776">
        <v>5</v>
      </c>
      <c r="AY3" s="776">
        <v>2.166666666666667</v>
      </c>
      <c r="AZ3" s="776">
        <v>29767.5</v>
      </c>
      <c r="BA3" s="776">
        <v>445.66666666666663</v>
      </c>
      <c r="BB3" s="776">
        <v>895</v>
      </c>
      <c r="BC3" s="779">
        <v>28343639.346179899</v>
      </c>
      <c r="BD3" s="779">
        <f>IFERROR(VLOOKUP($B3-1,CDM!$V$4:$AJ$17,11,FALSE)/12,0)+IFERROR(VLOOKUP($B3,CDM!$V$41:$AJ$54,11,FALSE)/24,0)+IFERROR(VLOOKUP($B3,CDM!$V$41:$AJ$54,11,FALSE)/2*$C3/78,0)</f>
        <v>198465.19875540823</v>
      </c>
      <c r="BE3" s="779">
        <f t="shared" si="14"/>
        <v>28542104.544935308</v>
      </c>
      <c r="BF3" s="779"/>
      <c r="BG3" s="779"/>
      <c r="BH3" s="779">
        <f t="shared" si="15"/>
        <v>28542104.544935308</v>
      </c>
      <c r="BI3" s="779">
        <v>7350543.5590599999</v>
      </c>
      <c r="BJ3" s="779">
        <f>IFERROR(VLOOKUP($B3-1,CDM!$V$4:$AJ$17,12,FALSE)/12,0)+IFERROR(VLOOKUP($B3,CDM!$V$41:$AJ$54,12,FALSE)/24,0)+IFERROR(VLOOKUP($B3,CDM!$V$41:$AJ$54,12,FALSE)/2*$C3/78,0)</f>
        <v>71299.806882333331</v>
      </c>
      <c r="BK3" s="779">
        <f t="shared" si="16"/>
        <v>7421843.3659423329</v>
      </c>
      <c r="BL3" s="779"/>
      <c r="BM3" s="779"/>
      <c r="BN3" s="779">
        <f t="shared" si="17"/>
        <v>7421843.3659423329</v>
      </c>
      <c r="BO3" s="779">
        <f t="shared" si="18"/>
        <v>30137881.684263874</v>
      </c>
      <c r="BP3" s="779">
        <f>IFERROR(VLOOKUP($B3-1,CDM!$V$4:$AJ$17,13,FALSE)/12,0)+IFERROR(VLOOKUP($B3,CDM!$V$41:$AJ$54,13,FALSE)/24,0)+IFERROR(VLOOKUP($B3,CDM!$V$41:$AJ$54,13,FALSE)/2*$C3/78,0)</f>
        <v>212778.52273618855</v>
      </c>
      <c r="BQ3" s="779">
        <f t="shared" si="19"/>
        <v>30350660.207000062</v>
      </c>
      <c r="BR3" s="779"/>
      <c r="BS3" s="779"/>
      <c r="BT3" s="779">
        <f t="shared" si="20"/>
        <v>30350660.207000062</v>
      </c>
      <c r="BU3" s="779">
        <v>4508332.08</v>
      </c>
      <c r="BV3" s="779">
        <f>IFERROR(VLOOKUP($B3-1,CDM!$V$4:$AJ$17,14,FALSE)/12,0)+IFERROR(VLOOKUP($B3,CDM!$V$41:$AJ$54,14,FALSE)/24,0)+IFERROR(VLOOKUP($B3,CDM!$V$41:$AJ$54,14,FALSE)/2*$C3/78,0)</f>
        <v>47837.326227562095</v>
      </c>
      <c r="BW3" s="779">
        <f t="shared" si="21"/>
        <v>4556169.4062275626</v>
      </c>
      <c r="BX3" s="779"/>
      <c r="BY3" s="779">
        <f t="shared" si="22"/>
        <v>4556169.4062275626</v>
      </c>
      <c r="BZ3" s="779">
        <v>839466.11</v>
      </c>
      <c r="CA3" s="779">
        <v>2728.6004406512848</v>
      </c>
      <c r="CB3" s="5">
        <v>54335.72</v>
      </c>
      <c r="CC3" s="5">
        <v>72418.850000000006</v>
      </c>
      <c r="CD3" s="5">
        <v>7229.95</v>
      </c>
      <c r="CE3" s="5">
        <v>2060.7800000000002</v>
      </c>
      <c r="CF3" s="763">
        <f t="shared" ref="CF3:CF13" si="68">95/12</f>
        <v>7.916666666666667</v>
      </c>
      <c r="CG3" s="785">
        <v>39011</v>
      </c>
      <c r="CH3" s="785">
        <v>2159.833333333333</v>
      </c>
      <c r="CI3" s="785">
        <v>366.83333333333337</v>
      </c>
      <c r="CJ3" s="785">
        <v>2</v>
      </c>
      <c r="CK3" s="785">
        <v>11822.166666666668</v>
      </c>
      <c r="CL3" s="785">
        <v>41.5</v>
      </c>
      <c r="CM3" s="785">
        <v>380.16666666666663</v>
      </c>
      <c r="CN3" s="46">
        <f>Weather!C15</f>
        <v>921.85434782608706</v>
      </c>
      <c r="CO3" s="46">
        <f>Weather!D15</f>
        <v>0</v>
      </c>
      <c r="CP3" s="46">
        <f>Weather!E15</f>
        <v>865.85434782608706</v>
      </c>
      <c r="CQ3" s="46">
        <f>Weather!F15</f>
        <v>0</v>
      </c>
      <c r="CR3" s="46">
        <f>Weather!G15</f>
        <v>809.85434782608706</v>
      </c>
      <c r="CS3" s="46">
        <f>Weather!H15</f>
        <v>0</v>
      </c>
      <c r="CT3" s="46">
        <f>Weather!I15</f>
        <v>753.85434782608695</v>
      </c>
      <c r="CU3" s="46">
        <f>Weather!J15</f>
        <v>0</v>
      </c>
      <c r="CV3" s="46">
        <f>Weather!K15</f>
        <v>697.85434782608695</v>
      </c>
      <c r="CW3" s="46">
        <f>Weather!L15</f>
        <v>0</v>
      </c>
      <c r="CX3" s="46">
        <f>Weather!M15</f>
        <v>641.85434782608695</v>
      </c>
      <c r="CY3" s="46">
        <f>Weather!N15</f>
        <v>0</v>
      </c>
      <c r="CZ3" s="46">
        <f>Weather!O15</f>
        <v>585.85434782608695</v>
      </c>
      <c r="DA3" s="46">
        <f>Weather!P15</f>
        <v>0</v>
      </c>
      <c r="DB3" s="368">
        <f>'Economic Data'!D17</f>
        <v>6837.7</v>
      </c>
      <c r="DC3" s="368">
        <f>'Economic Data'!E17</f>
        <v>6762.6</v>
      </c>
      <c r="DD3" s="368">
        <f>'Economic Data'!F17</f>
        <v>199.5</v>
      </c>
      <c r="DE3" s="368">
        <f>'Economic Data'!G17</f>
        <v>198.2</v>
      </c>
      <c r="DF3" s="368">
        <f>'Economic Data'!H17</f>
        <v>40.200000000000003</v>
      </c>
      <c r="DG3" s="368">
        <f>'Economic Data'!I17</f>
        <v>40.200000000000003</v>
      </c>
      <c r="DH3" s="368">
        <f>'Economic Data'!J17</f>
        <v>727609.6</v>
      </c>
      <c r="DI3" s="368">
        <f>'Economic Data'!K17</f>
        <v>557474</v>
      </c>
      <c r="DJ3" s="368">
        <f>'Economic Data'!L17</f>
        <v>90490.8</v>
      </c>
      <c r="DK3" s="368">
        <f>'Economic Data'!M17</f>
        <v>29069.3</v>
      </c>
      <c r="DL3" s="368">
        <f>'Economic Data'!N17</f>
        <v>718587</v>
      </c>
      <c r="DM3" s="368">
        <f>'Economic Data'!O17</f>
        <v>88879</v>
      </c>
      <c r="DN3" s="368">
        <f>'Economic Data'!P17</f>
        <v>19856</v>
      </c>
      <c r="DO3" s="368">
        <f>'Economic Data'!Q17</f>
        <v>551679</v>
      </c>
      <c r="DP3" s="368">
        <f>'Economic Data'!R17</f>
        <v>28860</v>
      </c>
      <c r="DQ3">
        <v>28</v>
      </c>
      <c r="DR3">
        <v>19</v>
      </c>
      <c r="DS3">
        <v>0</v>
      </c>
      <c r="DT3">
        <v>1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f>EH2+1</f>
        <v>2</v>
      </c>
      <c r="EI3">
        <v>0</v>
      </c>
      <c r="EJ3">
        <v>0</v>
      </c>
      <c r="EK3">
        <v>0</v>
      </c>
      <c r="EL3">
        <v>0</v>
      </c>
      <c r="EM3" s="47">
        <f t="shared" si="23"/>
        <v>0</v>
      </c>
      <c r="EN3" s="47">
        <f t="shared" si="24"/>
        <v>0</v>
      </c>
      <c r="EO3" s="47">
        <f t="shared" si="25"/>
        <v>0</v>
      </c>
      <c r="EP3" s="47">
        <f t="shared" si="26"/>
        <v>0</v>
      </c>
      <c r="EQ3" s="47">
        <f t="shared" si="27"/>
        <v>0</v>
      </c>
      <c r="ER3" s="47">
        <f t="shared" si="28"/>
        <v>0</v>
      </c>
      <c r="ES3" s="47">
        <f t="shared" si="29"/>
        <v>0</v>
      </c>
      <c r="ET3" s="47">
        <f t="shared" si="30"/>
        <v>0</v>
      </c>
      <c r="EU3" s="47">
        <f t="shared" si="31"/>
        <v>0</v>
      </c>
      <c r="EV3" s="47">
        <f t="shared" si="32"/>
        <v>0</v>
      </c>
      <c r="EW3" s="47">
        <f t="shared" si="33"/>
        <v>0</v>
      </c>
      <c r="EX3" s="47">
        <f t="shared" si="34"/>
        <v>0</v>
      </c>
      <c r="EY3" s="47">
        <f t="shared" si="35"/>
        <v>0</v>
      </c>
      <c r="EZ3" s="47">
        <f t="shared" si="36"/>
        <v>0</v>
      </c>
      <c r="FA3" s="47">
        <f t="shared" si="37"/>
        <v>0</v>
      </c>
      <c r="FB3" s="47">
        <f t="shared" si="38"/>
        <v>0</v>
      </c>
      <c r="FC3" s="47">
        <f t="shared" si="39"/>
        <v>0</v>
      </c>
      <c r="FD3" s="47">
        <f t="shared" si="40"/>
        <v>0</v>
      </c>
      <c r="FE3" s="47">
        <f t="shared" si="41"/>
        <v>0</v>
      </c>
      <c r="FF3" s="47">
        <f t="shared" si="42"/>
        <v>0</v>
      </c>
      <c r="FG3" s="47">
        <f t="shared" si="43"/>
        <v>0</v>
      </c>
      <c r="FH3" s="47">
        <f t="shared" si="44"/>
        <v>0</v>
      </c>
      <c r="FI3" s="47">
        <f t="shared" si="45"/>
        <v>0</v>
      </c>
      <c r="FJ3" s="47">
        <f t="shared" si="46"/>
        <v>0</v>
      </c>
      <c r="FK3" s="47">
        <f t="shared" si="47"/>
        <v>0</v>
      </c>
      <c r="FL3" s="47">
        <f t="shared" si="48"/>
        <v>0</v>
      </c>
      <c r="FM3" s="47">
        <f t="shared" si="49"/>
        <v>0</v>
      </c>
      <c r="FN3" s="47">
        <f t="shared" si="50"/>
        <v>0</v>
      </c>
      <c r="FO3" s="765">
        <f t="shared" si="51"/>
        <v>779.43578328932824</v>
      </c>
      <c r="FP3" s="765">
        <f t="shared" si="52"/>
        <v>743.40897129224209</v>
      </c>
      <c r="FQ3" s="765">
        <f t="shared" si="53"/>
        <v>2863.8143708292278</v>
      </c>
      <c r="FR3" s="765">
        <f t="shared" si="54"/>
        <v>73192.91788960484</v>
      </c>
      <c r="FS3" s="765">
        <f t="shared" si="55"/>
        <v>1381739.0570571166</v>
      </c>
      <c r="FT3" s="765">
        <f t="shared" si="56"/>
        <v>6981939.9196904646</v>
      </c>
      <c r="FU3" s="765">
        <f t="shared" si="57"/>
        <v>64.123030822205422</v>
      </c>
      <c r="FV3" s="765">
        <f t="shared" si="58"/>
        <v>20.021258319282996</v>
      </c>
      <c r="FW3" s="765">
        <f t="shared" si="59"/>
        <v>475.58825139664805</v>
      </c>
      <c r="FX3" s="765">
        <f t="shared" si="60"/>
        <v>731.64247378778566</v>
      </c>
      <c r="FY3" s="765">
        <f t="shared" si="61"/>
        <v>3436.3037422373641</v>
      </c>
      <c r="FZ3" s="765">
        <f t="shared" si="62"/>
        <v>82736.9201462973</v>
      </c>
      <c r="GA3" s="765">
        <f t="shared" si="63"/>
        <v>419733.05499999999</v>
      </c>
      <c r="GB3" s="765">
        <f t="shared" si="64"/>
        <v>71.007805393822338</v>
      </c>
      <c r="GC3" s="765">
        <f t="shared" si="65"/>
        <v>65.749408208464686</v>
      </c>
      <c r="GD3" s="765">
        <f t="shared" si="66"/>
        <v>142.92604997807982</v>
      </c>
    </row>
    <row r="4" spans="1:186">
      <c r="A4" s="4">
        <v>42064</v>
      </c>
      <c r="B4" s="6">
        <v>2015</v>
      </c>
      <c r="C4" s="5">
        <v>3</v>
      </c>
      <c r="D4" s="7">
        <v>76468818.650069907</v>
      </c>
      <c r="E4" s="7">
        <f>IFERROR(VLOOKUP($B4-1,CDM!$V$4:$AJ$17,2,FALSE)/12,0)+IFERROR(VLOOKUP($B4,CDM!$V$41:$AJ$54,2,FALSE)/24,0)+IFERROR(VLOOKUP($B4,CDM!$V$41:$AJ$54,2,FALSE)/2*$C4/78,0)</f>
        <v>528271.09676591563</v>
      </c>
      <c r="F4" s="7">
        <f t="shared" si="2"/>
        <v>76997089.746835828</v>
      </c>
      <c r="G4" s="7"/>
      <c r="H4" s="7"/>
      <c r="I4" s="7">
        <f t="shared" si="3"/>
        <v>76997089.746835828</v>
      </c>
      <c r="J4" s="7">
        <v>948193.77749999904</v>
      </c>
      <c r="K4" s="7">
        <f>IFERROR(VLOOKUP($B4-1,CDM!$V$4:$AJ$17,3,FALSE)/12,0)+IFERROR(VLOOKUP($B4,CDM!$V$41:$AJ$54,3,FALSE)/24,0)+IFERROR(VLOOKUP($B4,CDM!$V$41:$AJ$54,3,FALSE)/2*$C4/78,0)</f>
        <v>6050.7133784953166</v>
      </c>
      <c r="L4" s="7">
        <f t="shared" si="4"/>
        <v>954244.49087849434</v>
      </c>
      <c r="M4" s="7"/>
      <c r="N4" s="7"/>
      <c r="O4" s="7">
        <f t="shared" si="5"/>
        <v>954244.49087849434</v>
      </c>
      <c r="P4" s="7">
        <v>24614376.237229999</v>
      </c>
      <c r="Q4" s="7">
        <f>IFERROR(VLOOKUP($B4-1,CDM!$V$4:$AJ$17,4,FALSE)/12,0)+IFERROR(VLOOKUP($B4,CDM!$V$41:$AJ$54,4,FALSE)/24,0)+IFERROR(VLOOKUP($B4,CDM!$V$41:$AJ$54,4,FALSE)/2*$C4/78,0)</f>
        <v>263124.95824607142</v>
      </c>
      <c r="R4" s="7">
        <f t="shared" si="6"/>
        <v>24877501.19547607</v>
      </c>
      <c r="S4" s="7"/>
      <c r="T4" s="7"/>
      <c r="U4" s="7">
        <f t="shared" si="7"/>
        <v>24877501.19547607</v>
      </c>
      <c r="V4" s="7">
        <v>84970011.320000008</v>
      </c>
      <c r="W4" s="7">
        <f>IFERROR(VLOOKUP($B4-1,CDM!$V$4:$AJ$17,5,FALSE)/12,0)+IFERROR(VLOOKUP($B4,CDM!$V$41:$AJ$54,5,FALSE)/24,0)+IFERROR(VLOOKUP($B4,CDM!$V$41:$AJ$54,5,FALSE)/2*$C4/78,0)</f>
        <v>991162.34797000117</v>
      </c>
      <c r="X4" s="7">
        <f t="shared" si="8"/>
        <v>85961173.667970002</v>
      </c>
      <c r="Y4" s="7"/>
      <c r="Z4" s="7"/>
      <c r="AA4" s="7">
        <f t="shared" si="9"/>
        <v>85961173.667970002</v>
      </c>
      <c r="AB4" s="7">
        <v>7374204.4000000004</v>
      </c>
      <c r="AC4" s="7">
        <f>IFERROR(VLOOKUP($B4-1,CDM!$V$4:$AJ$17,6,FALSE)/12,0)+IFERROR(VLOOKUP($B4,CDM!$V$41:$AJ$54,6,FALSE)/24,0)+IFERROR(VLOOKUP($B4,CDM!$V$41:$AJ$54,6,FALSE)/2*$C4/78,0)</f>
        <v>9056.2835694440655</v>
      </c>
      <c r="AD4" s="7">
        <f t="shared" si="10"/>
        <v>7383260.6835694443</v>
      </c>
      <c r="AE4" s="7"/>
      <c r="AF4" s="7">
        <f t="shared" si="11"/>
        <v>7383260.6835694443</v>
      </c>
      <c r="AG4" s="7">
        <v>19187596.68</v>
      </c>
      <c r="AH4" s="7">
        <f>IFERROR(VLOOKUP($B4-1,CDM!$V$4:$AJ$17,7,FALSE)/12,0)+IFERROR(VLOOKUP($B4,CDM!$V$41:$AJ$54,7,FALSE)/24,0)+IFERROR(VLOOKUP($B4,CDM!$V$41:$AJ$54,7,FALSE)/2*$C4/78,0)</f>
        <v>285760.27555957134</v>
      </c>
      <c r="AI4" s="7">
        <f t="shared" si="12"/>
        <v>19473356.95555957</v>
      </c>
      <c r="AJ4" s="7"/>
      <c r="AK4" s="7">
        <f t="shared" si="13"/>
        <v>19473356.95555957</v>
      </c>
      <c r="AL4" s="7">
        <v>1894284.08</v>
      </c>
      <c r="AM4" s="7">
        <v>9502.3283606557379</v>
      </c>
      <c r="AN4" s="7">
        <v>432555.42</v>
      </c>
      <c r="AO4" s="5">
        <v>210405.62</v>
      </c>
      <c r="AP4" s="5">
        <v>15822.93</v>
      </c>
      <c r="AQ4" s="5">
        <v>29438.6</v>
      </c>
      <c r="AR4" s="5">
        <v>4824.57</v>
      </c>
      <c r="AS4" s="763">
        <f t="shared" si="67"/>
        <v>84.5</v>
      </c>
      <c r="AT4" s="776">
        <v>107408.75000000001</v>
      </c>
      <c r="AU4" s="776">
        <v>1593.9281368898075</v>
      </c>
      <c r="AV4" s="776">
        <v>8882.7499999999982</v>
      </c>
      <c r="AW4" s="776">
        <v>1048.5</v>
      </c>
      <c r="AX4" s="776">
        <v>5</v>
      </c>
      <c r="AY4" s="776">
        <v>2.2500000000000004</v>
      </c>
      <c r="AZ4" s="776">
        <v>29783.75</v>
      </c>
      <c r="BA4" s="776">
        <v>444.99999999999994</v>
      </c>
      <c r="BB4" s="776">
        <v>890</v>
      </c>
      <c r="BC4" s="779">
        <v>26975318.684610099</v>
      </c>
      <c r="BD4" s="779">
        <f>IFERROR(VLOOKUP($B4-1,CDM!$V$4:$AJ$17,11,FALSE)/12,0)+IFERROR(VLOOKUP($B4,CDM!$V$41:$AJ$54,11,FALSE)/24,0)+IFERROR(VLOOKUP($B4,CDM!$V$41:$AJ$54,11,FALSE)/2*$C4/78,0)</f>
        <v>212060.93643732643</v>
      </c>
      <c r="BE4" s="779">
        <f t="shared" si="14"/>
        <v>27187379.621047426</v>
      </c>
      <c r="BF4" s="779"/>
      <c r="BG4" s="779"/>
      <c r="BH4" s="779">
        <f t="shared" si="15"/>
        <v>27187379.621047426</v>
      </c>
      <c r="BI4" s="779">
        <v>7116764.8280999996</v>
      </c>
      <c r="BJ4" s="779">
        <f>IFERROR(VLOOKUP($B4-1,CDM!$V$4:$AJ$17,12,FALSE)/12,0)+IFERROR(VLOOKUP($B4,CDM!$V$41:$AJ$54,12,FALSE)/24,0)+IFERROR(VLOOKUP($B4,CDM!$V$41:$AJ$54,12,FALSE)/2*$C4/78,0)</f>
        <v>75866.707126333335</v>
      </c>
      <c r="BK4" s="779">
        <f t="shared" si="16"/>
        <v>7192631.535226333</v>
      </c>
      <c r="BL4" s="779"/>
      <c r="BM4" s="779"/>
      <c r="BN4" s="779">
        <f t="shared" si="17"/>
        <v>7192631.535226333</v>
      </c>
      <c r="BO4" s="779">
        <f t="shared" si="18"/>
        <v>29235061.463367853</v>
      </c>
      <c r="BP4" s="779">
        <f>IFERROR(VLOOKUP($B4-1,CDM!$V$4:$AJ$17,13,FALSE)/12,0)+IFERROR(VLOOKUP($B4,CDM!$V$41:$AJ$54,13,FALSE)/24,0)+IFERROR(VLOOKUP($B4,CDM!$V$41:$AJ$54,13,FALSE)/2*$C4/78,0)</f>
        <v>228111.41661374093</v>
      </c>
      <c r="BQ4" s="779">
        <f t="shared" si="19"/>
        <v>29463172.879981596</v>
      </c>
      <c r="BR4" s="779"/>
      <c r="BS4" s="779"/>
      <c r="BT4" s="779">
        <f t="shared" si="20"/>
        <v>29463172.879981596</v>
      </c>
      <c r="BU4" s="779">
        <v>5001950.6500000004</v>
      </c>
      <c r="BV4" s="779">
        <f>IFERROR(VLOOKUP($B4-1,CDM!$V$4:$AJ$17,14,FALSE)/12,0)+IFERROR(VLOOKUP($B4,CDM!$V$41:$AJ$54,14,FALSE)/24,0)+IFERROR(VLOOKUP($B4,CDM!$V$41:$AJ$54,14,FALSE)/2*$C4/78,0)</f>
        <v>51284.500486509591</v>
      </c>
      <c r="BW4" s="779">
        <f t="shared" si="21"/>
        <v>5053235.1504865102</v>
      </c>
      <c r="BX4" s="779"/>
      <c r="BY4" s="779">
        <f t="shared" si="22"/>
        <v>5053235.1504865102</v>
      </c>
      <c r="BZ4" s="779">
        <v>795933.85</v>
      </c>
      <c r="CA4" s="779">
        <v>2728.6004406512848</v>
      </c>
      <c r="CB4" s="5">
        <v>54335.72</v>
      </c>
      <c r="CC4" s="5">
        <v>78313.97</v>
      </c>
      <c r="CD4" s="5">
        <v>7848.96</v>
      </c>
      <c r="CE4" s="5">
        <v>2060.9899999999998</v>
      </c>
      <c r="CF4" s="763">
        <f t="shared" si="68"/>
        <v>7.916666666666667</v>
      </c>
      <c r="CG4" s="785">
        <v>39035</v>
      </c>
      <c r="CH4" s="785">
        <v>2161.7499999999995</v>
      </c>
      <c r="CI4" s="785">
        <v>366.75000000000006</v>
      </c>
      <c r="CJ4" s="785">
        <v>2</v>
      </c>
      <c r="CK4" s="785">
        <v>11823.250000000002</v>
      </c>
      <c r="CL4" s="785">
        <v>41.25</v>
      </c>
      <c r="CM4" s="785">
        <v>379.74999999999994</v>
      </c>
      <c r="CN4" s="46">
        <f>Weather!C16</f>
        <v>699.80000000000007</v>
      </c>
      <c r="CO4" s="46">
        <f>Weather!D16</f>
        <v>0</v>
      </c>
      <c r="CP4" s="46">
        <f>Weather!E16</f>
        <v>637.79999999999995</v>
      </c>
      <c r="CQ4" s="46">
        <f>Weather!F16</f>
        <v>0</v>
      </c>
      <c r="CR4" s="46">
        <f>Weather!G16</f>
        <v>575.79999999999995</v>
      </c>
      <c r="CS4" s="46">
        <f>Weather!H16</f>
        <v>0</v>
      </c>
      <c r="CT4" s="46">
        <f>Weather!I16</f>
        <v>513.79999999999995</v>
      </c>
      <c r="CU4" s="46">
        <f>Weather!J16</f>
        <v>0</v>
      </c>
      <c r="CV4" s="46">
        <f>Weather!K16</f>
        <v>451.8</v>
      </c>
      <c r="CW4" s="46">
        <f>Weather!L16</f>
        <v>0</v>
      </c>
      <c r="CX4" s="46">
        <f>Weather!M16</f>
        <v>389.8</v>
      </c>
      <c r="CY4" s="46">
        <f>Weather!N16</f>
        <v>0</v>
      </c>
      <c r="CZ4" s="46">
        <f>Weather!O16</f>
        <v>327.79999999999995</v>
      </c>
      <c r="DA4" s="46">
        <f>Weather!P16</f>
        <v>0</v>
      </c>
      <c r="DB4" s="368">
        <f>'Economic Data'!D18</f>
        <v>6840.5</v>
      </c>
      <c r="DC4" s="368">
        <f>'Economic Data'!E18</f>
        <v>6737.8</v>
      </c>
      <c r="DD4" s="368">
        <f>'Economic Data'!F18</f>
        <v>197.7</v>
      </c>
      <c r="DE4" s="368">
        <f>'Economic Data'!G18</f>
        <v>195.4</v>
      </c>
      <c r="DF4" s="368">
        <f>'Economic Data'!H18</f>
        <v>42.3</v>
      </c>
      <c r="DG4" s="368">
        <f>'Economic Data'!I18</f>
        <v>42.3</v>
      </c>
      <c r="DH4" s="368">
        <f>'Economic Data'!J18</f>
        <v>727609.6</v>
      </c>
      <c r="DI4" s="368">
        <f>'Economic Data'!K18</f>
        <v>557474</v>
      </c>
      <c r="DJ4" s="368">
        <f>'Economic Data'!L18</f>
        <v>90490.8</v>
      </c>
      <c r="DK4" s="368">
        <f>'Economic Data'!M18</f>
        <v>29069.3</v>
      </c>
      <c r="DL4" s="368">
        <f>'Economic Data'!N18</f>
        <v>718587</v>
      </c>
      <c r="DM4" s="368">
        <f>'Economic Data'!O18</f>
        <v>88879</v>
      </c>
      <c r="DN4" s="368">
        <f>'Economic Data'!P18</f>
        <v>19856</v>
      </c>
      <c r="DO4" s="368">
        <f>'Economic Data'!Q18</f>
        <v>551679</v>
      </c>
      <c r="DP4" s="368">
        <f>'Economic Data'!R18</f>
        <v>28860</v>
      </c>
      <c r="DQ4">
        <v>31</v>
      </c>
      <c r="DR4">
        <v>22</v>
      </c>
      <c r="DS4">
        <v>0</v>
      </c>
      <c r="DT4">
        <v>0</v>
      </c>
      <c r="DU4">
        <v>1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1</v>
      </c>
      <c r="EF4">
        <v>0</v>
      </c>
      <c r="EG4">
        <v>1</v>
      </c>
      <c r="EH4">
        <f t="shared" ref="EH4:EH67" si="69">EH3+1</f>
        <v>3</v>
      </c>
      <c r="EI4">
        <v>0</v>
      </c>
      <c r="EJ4">
        <v>0</v>
      </c>
      <c r="EK4">
        <v>0</v>
      </c>
      <c r="EL4">
        <v>0</v>
      </c>
      <c r="EM4" s="47">
        <f t="shared" si="23"/>
        <v>0</v>
      </c>
      <c r="EN4" s="47">
        <f t="shared" si="24"/>
        <v>0</v>
      </c>
      <c r="EO4" s="47">
        <f t="shared" si="25"/>
        <v>0</v>
      </c>
      <c r="EP4" s="47">
        <f t="shared" si="26"/>
        <v>0</v>
      </c>
      <c r="EQ4" s="47">
        <f t="shared" si="27"/>
        <v>0</v>
      </c>
      <c r="ER4" s="47">
        <f t="shared" si="28"/>
        <v>0</v>
      </c>
      <c r="ES4" s="47">
        <f t="shared" si="29"/>
        <v>0</v>
      </c>
      <c r="ET4" s="47">
        <f t="shared" si="30"/>
        <v>0</v>
      </c>
      <c r="EU4" s="47">
        <f t="shared" si="31"/>
        <v>0</v>
      </c>
      <c r="EV4" s="47">
        <f t="shared" si="32"/>
        <v>0</v>
      </c>
      <c r="EW4" s="47">
        <f t="shared" si="33"/>
        <v>0</v>
      </c>
      <c r="EX4" s="47">
        <f t="shared" si="34"/>
        <v>0</v>
      </c>
      <c r="EY4" s="47">
        <f t="shared" si="35"/>
        <v>0</v>
      </c>
      <c r="EZ4" s="47">
        <f t="shared" si="36"/>
        <v>0</v>
      </c>
      <c r="FA4" s="47">
        <f t="shared" si="37"/>
        <v>0</v>
      </c>
      <c r="FB4" s="47">
        <f t="shared" si="38"/>
        <v>0</v>
      </c>
      <c r="FC4" s="47">
        <f t="shared" si="39"/>
        <v>0</v>
      </c>
      <c r="FD4" s="47">
        <f t="shared" si="40"/>
        <v>0</v>
      </c>
      <c r="FE4" s="47">
        <f t="shared" si="41"/>
        <v>0</v>
      </c>
      <c r="FF4" s="47">
        <f t="shared" si="42"/>
        <v>0</v>
      </c>
      <c r="FG4" s="47">
        <f t="shared" si="43"/>
        <v>0</v>
      </c>
      <c r="FH4" s="47">
        <f t="shared" si="44"/>
        <v>0</v>
      </c>
      <c r="FI4" s="47">
        <f t="shared" si="45"/>
        <v>0</v>
      </c>
      <c r="FJ4" s="47">
        <f t="shared" si="46"/>
        <v>0</v>
      </c>
      <c r="FK4" s="47">
        <f t="shared" si="47"/>
        <v>0</v>
      </c>
      <c r="FL4" s="47">
        <f t="shared" si="48"/>
        <v>0</v>
      </c>
      <c r="FM4" s="47">
        <f t="shared" si="49"/>
        <v>0</v>
      </c>
      <c r="FN4" s="47">
        <f t="shared" si="50"/>
        <v>0</v>
      </c>
      <c r="FO4" s="765">
        <f t="shared" si="51"/>
        <v>716.86049550744997</v>
      </c>
      <c r="FP4" s="765">
        <f t="shared" si="52"/>
        <v>598.67472616456098</v>
      </c>
      <c r="FQ4" s="765">
        <f t="shared" si="53"/>
        <v>2800.6530855282513</v>
      </c>
      <c r="FR4" s="765">
        <f t="shared" si="54"/>
        <v>81984.905739599431</v>
      </c>
      <c r="FS4" s="765">
        <f t="shared" si="55"/>
        <v>1476652.136713889</v>
      </c>
      <c r="FT4" s="765">
        <f t="shared" si="56"/>
        <v>8654825.3135820292</v>
      </c>
      <c r="FU4" s="765">
        <f t="shared" si="57"/>
        <v>63.601261761866795</v>
      </c>
      <c r="FV4" s="765">
        <f t="shared" si="58"/>
        <v>21.353546877878067</v>
      </c>
      <c r="FW4" s="765">
        <f t="shared" si="59"/>
        <v>486.01732584269661</v>
      </c>
      <c r="FX4" s="765">
        <f t="shared" si="60"/>
        <v>696.48724531951905</v>
      </c>
      <c r="FY4" s="765">
        <f t="shared" si="61"/>
        <v>3327.2263375627776</v>
      </c>
      <c r="FZ4" s="765">
        <f t="shared" si="62"/>
        <v>80335.849706834604</v>
      </c>
      <c r="GA4" s="765">
        <f t="shared" si="63"/>
        <v>397966.92499999999</v>
      </c>
      <c r="GB4" s="765">
        <f t="shared" si="64"/>
        <v>67.319379189309188</v>
      </c>
      <c r="GC4" s="765">
        <f t="shared" si="65"/>
        <v>66.147889470334178</v>
      </c>
      <c r="GD4" s="765">
        <f t="shared" si="66"/>
        <v>143.08287030941412</v>
      </c>
    </row>
    <row r="5" spans="1:186">
      <c r="A5" s="4">
        <v>42095</v>
      </c>
      <c r="B5" s="6">
        <v>2015</v>
      </c>
      <c r="C5" s="5">
        <v>4</v>
      </c>
      <c r="D5" s="7">
        <v>62068290.857111</v>
      </c>
      <c r="E5" s="7">
        <f>IFERROR(VLOOKUP($B5-1,CDM!$V$4:$AJ$17,2,FALSE)/12,0)+IFERROR(VLOOKUP($B5,CDM!$V$41:$AJ$54,2,FALSE)/24,0)+IFERROR(VLOOKUP($B5,CDM!$V$41:$AJ$54,2,FALSE)/2*$C5/78,0)</f>
        <v>560835.3709317341</v>
      </c>
      <c r="F5" s="7">
        <f t="shared" si="2"/>
        <v>62629126.228042737</v>
      </c>
      <c r="G5" s="7"/>
      <c r="H5" s="7"/>
      <c r="I5" s="7">
        <f t="shared" si="3"/>
        <v>62629126.228042737</v>
      </c>
      <c r="J5" s="7">
        <v>654930.37795000104</v>
      </c>
      <c r="K5" s="7">
        <f>IFERROR(VLOOKUP($B5-1,CDM!$V$4:$AJ$17,3,FALSE)/12,0)+IFERROR(VLOOKUP($B5,CDM!$V$41:$AJ$54,3,FALSE)/24,0)+IFERROR(VLOOKUP($B5,CDM!$V$41:$AJ$54,3,FALSE)/2*$C5/78,0)</f>
        <v>6423.6981784633099</v>
      </c>
      <c r="L5" s="7">
        <f t="shared" si="4"/>
        <v>661354.07612846431</v>
      </c>
      <c r="M5" s="7"/>
      <c r="N5" s="7"/>
      <c r="O5" s="7">
        <f t="shared" si="5"/>
        <v>661354.07612846431</v>
      </c>
      <c r="P5" s="7">
        <v>20949826.519850001</v>
      </c>
      <c r="Q5" s="7">
        <f>IFERROR(VLOOKUP($B5-1,CDM!$V$4:$AJ$17,4,FALSE)/12,0)+IFERROR(VLOOKUP($B5,CDM!$V$41:$AJ$54,4,FALSE)/24,0)+IFERROR(VLOOKUP($B5,CDM!$V$41:$AJ$54,4,FALSE)/2*$C5/78,0)</f>
        <v>279914.54269374418</v>
      </c>
      <c r="R5" s="7">
        <f t="shared" si="6"/>
        <v>21229741.062543746</v>
      </c>
      <c r="S5" s="7"/>
      <c r="T5" s="7"/>
      <c r="U5" s="7">
        <f t="shared" si="7"/>
        <v>21229741.062543746</v>
      </c>
      <c r="V5" s="7">
        <v>77600036.510000005</v>
      </c>
      <c r="W5" s="7">
        <f>IFERROR(VLOOKUP($B5-1,CDM!$V$4:$AJ$17,5,FALSE)/12,0)+IFERROR(VLOOKUP($B5,CDM!$V$41:$AJ$54,5,FALSE)/24,0)+IFERROR(VLOOKUP($B5,CDM!$V$41:$AJ$54,5,FALSE)/2*$C5/78,0)</f>
        <v>1051663.4655237375</v>
      </c>
      <c r="X5" s="7">
        <f t="shared" si="8"/>
        <v>78651699.97552374</v>
      </c>
      <c r="Y5" s="7"/>
      <c r="Z5" s="7"/>
      <c r="AA5" s="7">
        <f t="shared" si="9"/>
        <v>78651699.97552374</v>
      </c>
      <c r="AB5" s="7">
        <v>7194396.54</v>
      </c>
      <c r="AC5" s="7">
        <f>IFERROR(VLOOKUP($B5-1,CDM!$V$4:$AJ$17,6,FALSE)/12,0)+IFERROR(VLOOKUP($B5,CDM!$V$41:$AJ$54,6,FALSE)/24,0)+IFERROR(VLOOKUP($B5,CDM!$V$41:$AJ$54,6,FALSE)/2*$C5/78,0)</f>
        <v>9972.8718533040228</v>
      </c>
      <c r="AD5" s="7">
        <f t="shared" si="10"/>
        <v>7204369.4118533041</v>
      </c>
      <c r="AE5" s="7"/>
      <c r="AF5" s="7">
        <f t="shared" si="11"/>
        <v>7204369.4118533041</v>
      </c>
      <c r="AG5" s="7">
        <v>17533197.91</v>
      </c>
      <c r="AH5" s="7">
        <f>IFERROR(VLOOKUP($B5-1,CDM!$V$4:$AJ$17,7,FALSE)/12,0)+IFERROR(VLOOKUP($B5,CDM!$V$41:$AJ$54,7,FALSE)/24,0)+IFERROR(VLOOKUP($B5,CDM!$V$41:$AJ$54,7,FALSE)/2*$C5/78,0)</f>
        <v>307474.92845646595</v>
      </c>
      <c r="AI5" s="7">
        <f t="shared" si="12"/>
        <v>17840672.838456467</v>
      </c>
      <c r="AJ5" s="7"/>
      <c r="AK5" s="7">
        <f t="shared" si="13"/>
        <v>17840672.838456467</v>
      </c>
      <c r="AL5" s="7">
        <v>1588829.51</v>
      </c>
      <c r="AM5" s="7">
        <v>9195.8016393442631</v>
      </c>
      <c r="AN5" s="7">
        <v>423257.91</v>
      </c>
      <c r="AO5" s="5">
        <v>189336.22</v>
      </c>
      <c r="AP5" s="5">
        <v>16140</v>
      </c>
      <c r="AQ5" s="5">
        <v>30302.6</v>
      </c>
      <c r="AR5" s="5">
        <v>4812.0600000000004</v>
      </c>
      <c r="AS5" s="763">
        <f t="shared" si="67"/>
        <v>84.5</v>
      </c>
      <c r="AT5" s="776">
        <v>107353.66666666669</v>
      </c>
      <c r="AU5" s="776">
        <v>1593.3805661242734</v>
      </c>
      <c r="AV5" s="776">
        <v>8885.6666666666642</v>
      </c>
      <c r="AW5" s="776">
        <v>1050</v>
      </c>
      <c r="AX5" s="776">
        <v>5</v>
      </c>
      <c r="AY5" s="776">
        <v>2.3333333333333339</v>
      </c>
      <c r="AZ5" s="776">
        <v>29800</v>
      </c>
      <c r="BA5" s="776">
        <v>444.33333333333326</v>
      </c>
      <c r="BB5" s="776">
        <v>885</v>
      </c>
      <c r="BC5" s="779">
        <v>23025718.862509999</v>
      </c>
      <c r="BD5" s="779">
        <f>IFERROR(VLOOKUP($B5-1,CDM!$V$4:$AJ$17,11,FALSE)/12,0)+IFERROR(VLOOKUP($B5,CDM!$V$41:$AJ$54,11,FALSE)/24,0)+IFERROR(VLOOKUP($B5,CDM!$V$41:$AJ$54,11,FALSE)/2*$C5/78,0)</f>
        <v>225656.67411924465</v>
      </c>
      <c r="BE5" s="779">
        <f t="shared" si="14"/>
        <v>23251375.536629245</v>
      </c>
      <c r="BF5" s="779"/>
      <c r="BG5" s="779"/>
      <c r="BH5" s="779">
        <f t="shared" si="15"/>
        <v>23251375.536629245</v>
      </c>
      <c r="BI5" s="779">
        <v>6040445.2580000097</v>
      </c>
      <c r="BJ5" s="779">
        <f>IFERROR(VLOOKUP($B5-1,CDM!$V$4:$AJ$17,12,FALSE)/12,0)+IFERROR(VLOOKUP($B5,CDM!$V$41:$AJ$54,12,FALSE)/24,0)+IFERROR(VLOOKUP($B5,CDM!$V$41:$AJ$54,12,FALSE)/2*$C5/78,0)</f>
        <v>80433.607370333339</v>
      </c>
      <c r="BK5" s="779">
        <f t="shared" si="16"/>
        <v>6120878.8653703434</v>
      </c>
      <c r="BL5" s="779"/>
      <c r="BM5" s="779"/>
      <c r="BN5" s="779">
        <f t="shared" si="17"/>
        <v>6120878.8653703434</v>
      </c>
      <c r="BO5" s="779">
        <f>BO17/BO18*BO6</f>
        <v>27991938.171590615</v>
      </c>
      <c r="BP5" s="779">
        <f>IFERROR(VLOOKUP($B5-1,CDM!$V$4:$AJ$17,13,FALSE)/12,0)+IFERROR(VLOOKUP($B5,CDM!$V$41:$AJ$54,13,FALSE)/24,0)+IFERROR(VLOOKUP($B5,CDM!$V$41:$AJ$54,13,FALSE)/2*$C5/78,0)</f>
        <v>243444.31049129332</v>
      </c>
      <c r="BQ5" s="779">
        <f t="shared" si="19"/>
        <v>28235382.482081909</v>
      </c>
      <c r="BR5" s="779"/>
      <c r="BS5" s="779"/>
      <c r="BT5" s="779">
        <f t="shared" si="20"/>
        <v>28235382.482081909</v>
      </c>
      <c r="BU5" s="779">
        <v>4877256.38</v>
      </c>
      <c r="BV5" s="779">
        <f>IFERROR(VLOOKUP($B5-1,CDM!$V$4:$AJ$17,14,FALSE)/12,0)+IFERROR(VLOOKUP($B5,CDM!$V$41:$AJ$54,14,FALSE)/24,0)+IFERROR(VLOOKUP($B5,CDM!$V$41:$AJ$54,14,FALSE)/2*$C5/78,0)</f>
        <v>54731.674745457087</v>
      </c>
      <c r="BW5" s="779">
        <f t="shared" si="21"/>
        <v>4931988.0547454571</v>
      </c>
      <c r="BX5" s="779"/>
      <c r="BY5" s="779">
        <f t="shared" si="22"/>
        <v>4931988.0547454571</v>
      </c>
      <c r="BZ5" s="779">
        <v>721780.75</v>
      </c>
      <c r="CA5" s="779">
        <v>2728.6004406512848</v>
      </c>
      <c r="CB5" s="5">
        <v>54335.72</v>
      </c>
      <c r="CC5" s="5">
        <v>79505.66</v>
      </c>
      <c r="CD5" s="5">
        <v>8202.24</v>
      </c>
      <c r="CE5" s="5">
        <v>2060.9899999999998</v>
      </c>
      <c r="CF5" s="763">
        <f t="shared" si="68"/>
        <v>7.916666666666667</v>
      </c>
      <c r="CG5" s="785">
        <v>39059</v>
      </c>
      <c r="CH5" s="785">
        <v>2163.6666666666661</v>
      </c>
      <c r="CI5" s="785">
        <v>366.66666666666674</v>
      </c>
      <c r="CJ5" s="785">
        <v>2</v>
      </c>
      <c r="CK5" s="785">
        <v>11824.333333333336</v>
      </c>
      <c r="CL5" s="785">
        <v>41</v>
      </c>
      <c r="CM5" s="785">
        <v>379.33333333333326</v>
      </c>
      <c r="CN5" s="46">
        <f>Weather!C17</f>
        <v>406.75037878787873</v>
      </c>
      <c r="CO5" s="46">
        <f>Weather!D17</f>
        <v>0</v>
      </c>
      <c r="CP5" s="46">
        <f>Weather!E17</f>
        <v>346.75037878787867</v>
      </c>
      <c r="CQ5" s="46">
        <f>Weather!F17</f>
        <v>0</v>
      </c>
      <c r="CR5" s="46">
        <f>Weather!G17</f>
        <v>286.75037878787873</v>
      </c>
      <c r="CS5" s="46">
        <f>Weather!H17</f>
        <v>0</v>
      </c>
      <c r="CT5" s="46">
        <f>Weather!I17</f>
        <v>226.75037878787884</v>
      </c>
      <c r="CU5" s="46">
        <f>Weather!J17</f>
        <v>0</v>
      </c>
      <c r="CV5" s="46">
        <f>Weather!K17</f>
        <v>168.28371212121215</v>
      </c>
      <c r="CW5" s="46">
        <f>Weather!L17</f>
        <v>1.5333333333333332</v>
      </c>
      <c r="CX5" s="46">
        <f>Weather!M17</f>
        <v>116.58371212121212</v>
      </c>
      <c r="CY5" s="46">
        <f>Weather!N17</f>
        <v>9.8333333333333321</v>
      </c>
      <c r="CZ5" s="46">
        <f>Weather!O17</f>
        <v>72.862878787878799</v>
      </c>
      <c r="DA5" s="46">
        <f>Weather!P17</f>
        <v>26.112499999999997</v>
      </c>
      <c r="DB5" s="368">
        <f>'Economic Data'!D19</f>
        <v>6846.6</v>
      </c>
      <c r="DC5" s="368">
        <f>'Economic Data'!E19</f>
        <v>6760.9</v>
      </c>
      <c r="DD5" s="368">
        <f>'Economic Data'!F19</f>
        <v>194.9</v>
      </c>
      <c r="DE5" s="368">
        <f>'Economic Data'!G19</f>
        <v>192.5</v>
      </c>
      <c r="DF5" s="368">
        <f>'Economic Data'!H19</f>
        <v>44.3</v>
      </c>
      <c r="DG5" s="368">
        <f>'Economic Data'!I19</f>
        <v>44.3</v>
      </c>
      <c r="DH5" s="368">
        <f>'Economic Data'!J19</f>
        <v>727609.6</v>
      </c>
      <c r="DI5" s="368">
        <f>'Economic Data'!K19</f>
        <v>557474</v>
      </c>
      <c r="DJ5" s="368">
        <f>'Economic Data'!L19</f>
        <v>90490.8</v>
      </c>
      <c r="DK5" s="368">
        <f>'Economic Data'!M19</f>
        <v>29069.3</v>
      </c>
      <c r="DL5" s="368">
        <f>'Economic Data'!N19</f>
        <v>723726</v>
      </c>
      <c r="DM5" s="368">
        <f>'Economic Data'!O19</f>
        <v>89003</v>
      </c>
      <c r="DN5" s="368">
        <f>'Economic Data'!P19</f>
        <v>19757</v>
      </c>
      <c r="DO5" s="368">
        <f>'Economic Data'!Q19</f>
        <v>555651</v>
      </c>
      <c r="DP5" s="368">
        <f>'Economic Data'!R19</f>
        <v>28915</v>
      </c>
      <c r="DQ5">
        <v>30</v>
      </c>
      <c r="DR5">
        <v>20</v>
      </c>
      <c r="DS5">
        <v>0</v>
      </c>
      <c r="DT5">
        <v>0</v>
      </c>
      <c r="DU5">
        <v>0</v>
      </c>
      <c r="DV5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1</v>
      </c>
      <c r="EF5">
        <v>0</v>
      </c>
      <c r="EG5">
        <v>1</v>
      </c>
      <c r="EH5">
        <f t="shared" si="69"/>
        <v>4</v>
      </c>
      <c r="EI5">
        <v>0</v>
      </c>
      <c r="EJ5">
        <v>0</v>
      </c>
      <c r="EK5">
        <v>0</v>
      </c>
      <c r="EL5">
        <v>0</v>
      </c>
      <c r="EM5" s="47">
        <f t="shared" si="23"/>
        <v>0</v>
      </c>
      <c r="EN5" s="47">
        <f t="shared" si="24"/>
        <v>0</v>
      </c>
      <c r="EO5" s="47">
        <f t="shared" si="25"/>
        <v>0</v>
      </c>
      <c r="EP5" s="47">
        <f t="shared" si="26"/>
        <v>0</v>
      </c>
      <c r="EQ5" s="47">
        <f t="shared" si="27"/>
        <v>0</v>
      </c>
      <c r="ER5" s="47">
        <f t="shared" si="28"/>
        <v>0</v>
      </c>
      <c r="ES5" s="47">
        <f t="shared" si="29"/>
        <v>0</v>
      </c>
      <c r="ET5" s="47">
        <f t="shared" si="30"/>
        <v>0</v>
      </c>
      <c r="EU5" s="47">
        <f t="shared" si="31"/>
        <v>0</v>
      </c>
      <c r="EV5" s="47">
        <f t="shared" si="32"/>
        <v>0</v>
      </c>
      <c r="EW5" s="47">
        <f t="shared" si="33"/>
        <v>0</v>
      </c>
      <c r="EX5" s="47">
        <f t="shared" si="34"/>
        <v>0</v>
      </c>
      <c r="EY5" s="47">
        <f t="shared" si="35"/>
        <v>0</v>
      </c>
      <c r="EZ5" s="47">
        <f t="shared" si="36"/>
        <v>0</v>
      </c>
      <c r="FA5" s="47">
        <f t="shared" si="37"/>
        <v>0</v>
      </c>
      <c r="FB5" s="47">
        <f t="shared" si="38"/>
        <v>0</v>
      </c>
      <c r="FC5" s="47">
        <f t="shared" si="39"/>
        <v>0</v>
      </c>
      <c r="FD5" s="47">
        <f t="shared" si="40"/>
        <v>0</v>
      </c>
      <c r="FE5" s="47">
        <f t="shared" si="41"/>
        <v>0</v>
      </c>
      <c r="FF5" s="47">
        <f t="shared" si="42"/>
        <v>0</v>
      </c>
      <c r="FG5" s="47">
        <f t="shared" si="43"/>
        <v>0</v>
      </c>
      <c r="FH5" s="47">
        <f t="shared" si="44"/>
        <v>0</v>
      </c>
      <c r="FI5" s="47">
        <f t="shared" si="45"/>
        <v>0</v>
      </c>
      <c r="FJ5" s="47">
        <f t="shared" si="46"/>
        <v>0</v>
      </c>
      <c r="FK5" s="47">
        <f t="shared" si="47"/>
        <v>0</v>
      </c>
      <c r="FL5" s="47">
        <f t="shared" si="48"/>
        <v>0</v>
      </c>
      <c r="FM5" s="47">
        <f t="shared" si="49"/>
        <v>0</v>
      </c>
      <c r="FN5" s="47">
        <f t="shared" si="50"/>
        <v>0</v>
      </c>
      <c r="FO5" s="765">
        <f t="shared" si="51"/>
        <v>583.39065793165946</v>
      </c>
      <c r="FP5" s="765">
        <f t="shared" si="52"/>
        <v>415.06347585067948</v>
      </c>
      <c r="FQ5" s="765">
        <f t="shared" si="53"/>
        <v>2389.2119588712631</v>
      </c>
      <c r="FR5" s="765">
        <f t="shared" si="54"/>
        <v>74906.380929070234</v>
      </c>
      <c r="FS5" s="765">
        <f t="shared" si="55"/>
        <v>1440873.8823706608</v>
      </c>
      <c r="FT5" s="765">
        <f t="shared" si="56"/>
        <v>7646002.6450527692</v>
      </c>
      <c r="FU5" s="765">
        <f t="shared" si="57"/>
        <v>53.316426510067117</v>
      </c>
      <c r="FV5" s="765">
        <f t="shared" si="58"/>
        <v>20.695727620429704</v>
      </c>
      <c r="FW5" s="765">
        <f t="shared" si="59"/>
        <v>478.25752542372879</v>
      </c>
      <c r="FX5" s="765">
        <f t="shared" si="60"/>
        <v>595.28855159193131</v>
      </c>
      <c r="FY5" s="765">
        <f t="shared" si="61"/>
        <v>2828.9380058713659</v>
      </c>
      <c r="FZ5" s="765">
        <f t="shared" si="62"/>
        <v>77005.588587496095</v>
      </c>
      <c r="GA5" s="765">
        <f t="shared" si="63"/>
        <v>360890.375</v>
      </c>
      <c r="GB5" s="765">
        <f t="shared" si="64"/>
        <v>61.041982634679883</v>
      </c>
      <c r="GC5" s="765">
        <f t="shared" si="65"/>
        <v>66.551230259787431</v>
      </c>
      <c r="GD5" s="765">
        <f t="shared" si="66"/>
        <v>143.24003514938491</v>
      </c>
    </row>
    <row r="6" spans="1:186">
      <c r="A6" s="4">
        <v>42125</v>
      </c>
      <c r="B6" s="6">
        <v>2015</v>
      </c>
      <c r="C6" s="5">
        <v>5</v>
      </c>
      <c r="D6" s="7">
        <v>59619576.282069899</v>
      </c>
      <c r="E6" s="7">
        <f>IFERROR(VLOOKUP($B6-1,CDM!$V$4:$AJ$17,2,FALSE)/12,0)+IFERROR(VLOOKUP($B6,CDM!$V$41:$AJ$54,2,FALSE)/24,0)+IFERROR(VLOOKUP($B6,CDM!$V$41:$AJ$54,2,FALSE)/2*$C6/78,0)</f>
        <v>593399.64509755257</v>
      </c>
      <c r="F6" s="7">
        <f t="shared" si="2"/>
        <v>60212975.927167453</v>
      </c>
      <c r="G6" s="7"/>
      <c r="H6" s="7"/>
      <c r="I6" s="7">
        <f t="shared" si="3"/>
        <v>60212975.927167453</v>
      </c>
      <c r="J6" s="7">
        <v>628970.83730999904</v>
      </c>
      <c r="K6" s="7">
        <f>IFERROR(VLOOKUP($B6-1,CDM!$V$4:$AJ$17,3,FALSE)/12,0)+IFERROR(VLOOKUP($B6,CDM!$V$41:$AJ$54,3,FALSE)/24,0)+IFERROR(VLOOKUP($B6,CDM!$V$41:$AJ$54,3,FALSE)/2*$C6/78,0)</f>
        <v>6796.6829784313022</v>
      </c>
      <c r="L6" s="7">
        <f t="shared" si="4"/>
        <v>635767.52028843039</v>
      </c>
      <c r="M6" s="7"/>
      <c r="N6" s="7"/>
      <c r="O6" s="7">
        <f t="shared" si="5"/>
        <v>635767.52028843039</v>
      </c>
      <c r="P6" s="7">
        <v>20278670.319710098</v>
      </c>
      <c r="Q6" s="7">
        <f>IFERROR(VLOOKUP($B6-1,CDM!$V$4:$AJ$17,4,FALSE)/12,0)+IFERROR(VLOOKUP($B6,CDM!$V$41:$AJ$54,4,FALSE)/24,0)+IFERROR(VLOOKUP($B6,CDM!$V$41:$AJ$54,4,FALSE)/2*$C6/78,0)</f>
        <v>296704.12714141695</v>
      </c>
      <c r="R6" s="7">
        <f t="shared" si="6"/>
        <v>20575374.446851514</v>
      </c>
      <c r="S6" s="7"/>
      <c r="T6" s="7"/>
      <c r="U6" s="7">
        <f t="shared" si="7"/>
        <v>20575374.446851514</v>
      </c>
      <c r="V6" s="7">
        <v>79612968.689999998</v>
      </c>
      <c r="W6" s="7">
        <f>IFERROR(VLOOKUP($B6-1,CDM!$V$4:$AJ$17,5,FALSE)/12,0)+IFERROR(VLOOKUP($B6,CDM!$V$41:$AJ$54,5,FALSE)/24,0)+IFERROR(VLOOKUP($B6,CDM!$V$41:$AJ$54,5,FALSE)/2*$C6/78,0)</f>
        <v>1112164.5830774736</v>
      </c>
      <c r="X6" s="7">
        <f t="shared" si="8"/>
        <v>80725133.273077473</v>
      </c>
      <c r="Y6" s="7"/>
      <c r="Z6" s="7"/>
      <c r="AA6" s="7">
        <f t="shared" si="9"/>
        <v>80725133.273077473</v>
      </c>
      <c r="AB6" s="7">
        <v>7334994.5800000001</v>
      </c>
      <c r="AC6" s="7">
        <f>IFERROR(VLOOKUP($B6-1,CDM!$V$4:$AJ$17,6,FALSE)/12,0)+IFERROR(VLOOKUP($B6,CDM!$V$41:$AJ$54,6,FALSE)/24,0)+IFERROR(VLOOKUP($B6,CDM!$V$41:$AJ$54,6,FALSE)/2*$C6/78,0)</f>
        <v>10889.460137163976</v>
      </c>
      <c r="AD6" s="7">
        <f t="shared" si="10"/>
        <v>7345884.0401371643</v>
      </c>
      <c r="AE6" s="7"/>
      <c r="AF6" s="7">
        <f t="shared" si="11"/>
        <v>7345884.0401371643</v>
      </c>
      <c r="AG6" s="7">
        <v>19684631.280000001</v>
      </c>
      <c r="AH6" s="7">
        <f>IFERROR(VLOOKUP($B6-1,CDM!$V$4:$AJ$17,7,FALSE)/12,0)+IFERROR(VLOOKUP($B6,CDM!$V$41:$AJ$54,7,FALSE)/24,0)+IFERROR(VLOOKUP($B6,CDM!$V$41:$AJ$54,7,FALSE)/2*$C6/78,0)</f>
        <v>329189.5813533605</v>
      </c>
      <c r="AI6" s="7">
        <f t="shared" si="12"/>
        <v>20013820.86135336</v>
      </c>
      <c r="AJ6" s="7"/>
      <c r="AK6" s="7">
        <f t="shared" si="13"/>
        <v>20013820.86135336</v>
      </c>
      <c r="AL6" s="7">
        <v>1446727.35</v>
      </c>
      <c r="AM6" s="7">
        <v>9843.2267213114774</v>
      </c>
      <c r="AN6" s="7">
        <v>425591.21</v>
      </c>
      <c r="AO6" s="5">
        <v>197201.25</v>
      </c>
      <c r="AP6" s="5">
        <v>16297.06</v>
      </c>
      <c r="AQ6" s="5">
        <v>31301.8</v>
      </c>
      <c r="AR6" s="5">
        <v>4813.33</v>
      </c>
      <c r="AS6" s="763">
        <f t="shared" si="67"/>
        <v>84.5</v>
      </c>
      <c r="AT6" s="776">
        <v>107298.58333333336</v>
      </c>
      <c r="AU6" s="776">
        <v>1592.8329953587393</v>
      </c>
      <c r="AV6" s="776">
        <v>8888.5833333333303</v>
      </c>
      <c r="AW6" s="776">
        <v>1051.5</v>
      </c>
      <c r="AX6" s="776">
        <v>5</v>
      </c>
      <c r="AY6" s="776">
        <v>2.4166666666666674</v>
      </c>
      <c r="AZ6" s="776">
        <v>29816.25</v>
      </c>
      <c r="BA6" s="776">
        <v>443.66666666666657</v>
      </c>
      <c r="BB6" s="776">
        <v>880</v>
      </c>
      <c r="BC6" s="779">
        <v>24546372.808270201</v>
      </c>
      <c r="BD6" s="779">
        <f>IFERROR(VLOOKUP($B6-1,CDM!$V$4:$AJ$17,11,FALSE)/12,0)+IFERROR(VLOOKUP($B6,CDM!$V$41:$AJ$54,11,FALSE)/24,0)+IFERROR(VLOOKUP($B6,CDM!$V$41:$AJ$54,11,FALSE)/2*$C6/78,0)</f>
        <v>239252.41180116287</v>
      </c>
      <c r="BE6" s="779">
        <f t="shared" si="14"/>
        <v>24785625.220071364</v>
      </c>
      <c r="BF6" s="779"/>
      <c r="BG6" s="779"/>
      <c r="BH6" s="779">
        <f t="shared" si="15"/>
        <v>24785625.220071364</v>
      </c>
      <c r="BI6" s="779">
        <v>6027861.7735900097</v>
      </c>
      <c r="BJ6" s="779">
        <f>IFERROR(VLOOKUP($B6-1,CDM!$V$4:$AJ$17,12,FALSE)/12,0)+IFERROR(VLOOKUP($B6,CDM!$V$41:$AJ$54,12,FALSE)/24,0)+IFERROR(VLOOKUP($B6,CDM!$V$41:$AJ$54,12,FALSE)/2*$C6/78,0)</f>
        <v>85000.507614333343</v>
      </c>
      <c r="BK6" s="779">
        <f t="shared" si="16"/>
        <v>6112862.2812043428</v>
      </c>
      <c r="BL6" s="779"/>
      <c r="BM6" s="779"/>
      <c r="BN6" s="779">
        <f t="shared" si="17"/>
        <v>6112862.2812043428</v>
      </c>
      <c r="BO6" s="779">
        <f>BO18/BO19*BO7</f>
        <v>27735210.381596781</v>
      </c>
      <c r="BP6" s="779">
        <f>IFERROR(VLOOKUP($B6-1,CDM!$V$4:$AJ$17,13,FALSE)/12,0)+IFERROR(VLOOKUP($B6,CDM!$V$41:$AJ$54,13,FALSE)/24,0)+IFERROR(VLOOKUP($B6,CDM!$V$41:$AJ$54,13,FALSE)/2*$C6/78,0)</f>
        <v>258777.20436884568</v>
      </c>
      <c r="BQ6" s="779">
        <f t="shared" si="19"/>
        <v>27993987.585965626</v>
      </c>
      <c r="BR6" s="779"/>
      <c r="BS6" s="779"/>
      <c r="BT6" s="779">
        <f t="shared" si="20"/>
        <v>27993987.585965626</v>
      </c>
      <c r="BU6" s="779">
        <v>5118116.3099999996</v>
      </c>
      <c r="BV6" s="779">
        <f>IFERROR(VLOOKUP($B6-1,CDM!$V$4:$AJ$17,14,FALSE)/12,0)+IFERROR(VLOOKUP($B6,CDM!$V$41:$AJ$54,14,FALSE)/24,0)+IFERROR(VLOOKUP($B6,CDM!$V$41:$AJ$54,14,FALSE)/2*$C6/78,0)</f>
        <v>58178.849004404576</v>
      </c>
      <c r="BW6" s="779">
        <f t="shared" si="21"/>
        <v>5176295.1590044042</v>
      </c>
      <c r="BX6" s="779"/>
      <c r="BY6" s="779">
        <f t="shared" si="22"/>
        <v>5176295.1590044042</v>
      </c>
      <c r="BZ6" s="779">
        <v>662350.55000000005</v>
      </c>
      <c r="CA6" s="779">
        <v>2728.6004406512848</v>
      </c>
      <c r="CB6" s="5">
        <v>54654.66</v>
      </c>
      <c r="CC6" s="5">
        <v>51337.25</v>
      </c>
      <c r="CD6" s="5">
        <v>7263.44</v>
      </c>
      <c r="CE6" s="5">
        <v>2060.9899999999998</v>
      </c>
      <c r="CF6" s="763">
        <f t="shared" si="68"/>
        <v>7.916666666666667</v>
      </c>
      <c r="CG6" s="785">
        <v>39083</v>
      </c>
      <c r="CH6" s="785">
        <v>2165.5833333333326</v>
      </c>
      <c r="CI6" s="785">
        <v>366.58333333333343</v>
      </c>
      <c r="CJ6" s="785">
        <v>2</v>
      </c>
      <c r="CK6" s="785">
        <v>11825.41666666667</v>
      </c>
      <c r="CL6" s="785">
        <v>40.75</v>
      </c>
      <c r="CM6" s="785">
        <v>378.91666666666657</v>
      </c>
      <c r="CN6" s="46">
        <f>Weather!C18</f>
        <v>159.09689440993785</v>
      </c>
      <c r="CO6" s="46">
        <f>Weather!D18</f>
        <v>0.39999999999999503</v>
      </c>
      <c r="CP6" s="46">
        <f>Weather!E18</f>
        <v>108.22189440993786</v>
      </c>
      <c r="CQ6" s="46">
        <f>Weather!F18</f>
        <v>11.524999999999999</v>
      </c>
      <c r="CR6" s="46">
        <f>Weather!G18</f>
        <v>67.211775362318832</v>
      </c>
      <c r="CS6" s="46">
        <f>Weather!H18</f>
        <v>32.514880952380949</v>
      </c>
      <c r="CT6" s="46">
        <f>Weather!I18</f>
        <v>35.578442028985506</v>
      </c>
      <c r="CU6" s="46">
        <f>Weather!J18</f>
        <v>62.881547619047637</v>
      </c>
      <c r="CV6" s="46">
        <f>Weather!K18</f>
        <v>16.190942028985511</v>
      </c>
      <c r="CW6" s="46">
        <f>Weather!L18</f>
        <v>105.49404761904762</v>
      </c>
      <c r="CX6" s="46">
        <f>Weather!M18</f>
        <v>4.3916666666666675</v>
      </c>
      <c r="CY6" s="46">
        <f>Weather!N18</f>
        <v>155.69477225672881</v>
      </c>
      <c r="CZ6" s="46">
        <f>Weather!O18</f>
        <v>0</v>
      </c>
      <c r="DA6" s="46">
        <f>Weather!P18</f>
        <v>213.30310559006219</v>
      </c>
      <c r="DB6" s="368">
        <f>'Economic Data'!D20</f>
        <v>6853.6</v>
      </c>
      <c r="DC6" s="368">
        <f>'Economic Data'!E20</f>
        <v>6823.2</v>
      </c>
      <c r="DD6" s="368">
        <f>'Economic Data'!F20</f>
        <v>192.7</v>
      </c>
      <c r="DE6" s="368">
        <f>'Economic Data'!G20</f>
        <v>191.9</v>
      </c>
      <c r="DF6" s="368">
        <f>'Economic Data'!H20</f>
        <v>37.9</v>
      </c>
      <c r="DG6" s="368">
        <f>'Economic Data'!I20</f>
        <v>37.9</v>
      </c>
      <c r="DH6" s="368">
        <f>'Economic Data'!J20</f>
        <v>727609.6</v>
      </c>
      <c r="DI6" s="368">
        <f>'Economic Data'!K20</f>
        <v>557474</v>
      </c>
      <c r="DJ6" s="368">
        <f>'Economic Data'!L20</f>
        <v>90490.8</v>
      </c>
      <c r="DK6" s="368">
        <f>'Economic Data'!M20</f>
        <v>29069.3</v>
      </c>
      <c r="DL6" s="368">
        <f>'Economic Data'!N20</f>
        <v>723726</v>
      </c>
      <c r="DM6" s="368">
        <f>'Economic Data'!O20</f>
        <v>89003</v>
      </c>
      <c r="DN6" s="368">
        <f>'Economic Data'!P20</f>
        <v>19757</v>
      </c>
      <c r="DO6" s="368">
        <f>'Economic Data'!Q20</f>
        <v>555651</v>
      </c>
      <c r="DP6" s="368">
        <f>'Economic Data'!R20</f>
        <v>28915</v>
      </c>
      <c r="DQ6">
        <v>31</v>
      </c>
      <c r="DR6">
        <v>20</v>
      </c>
      <c r="DS6">
        <v>0</v>
      </c>
      <c r="DT6">
        <v>0</v>
      </c>
      <c r="DU6">
        <v>0</v>
      </c>
      <c r="DV6">
        <v>0</v>
      </c>
      <c r="DW6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1</v>
      </c>
      <c r="EF6">
        <v>0</v>
      </c>
      <c r="EG6">
        <v>1</v>
      </c>
      <c r="EH6">
        <f t="shared" si="69"/>
        <v>5</v>
      </c>
      <c r="EI6">
        <v>0</v>
      </c>
      <c r="EJ6">
        <v>0</v>
      </c>
      <c r="EK6">
        <v>0</v>
      </c>
      <c r="EL6">
        <v>0</v>
      </c>
      <c r="EM6" s="47">
        <f t="shared" si="23"/>
        <v>0</v>
      </c>
      <c r="EN6" s="47">
        <f t="shared" si="24"/>
        <v>0</v>
      </c>
      <c r="EO6" s="47">
        <f t="shared" si="25"/>
        <v>0</v>
      </c>
      <c r="EP6" s="47">
        <f t="shared" si="26"/>
        <v>0</v>
      </c>
      <c r="EQ6" s="47">
        <f t="shared" si="27"/>
        <v>0</v>
      </c>
      <c r="ER6" s="47">
        <f t="shared" si="28"/>
        <v>0</v>
      </c>
      <c r="ES6" s="47">
        <f t="shared" si="29"/>
        <v>0</v>
      </c>
      <c r="ET6" s="47">
        <f t="shared" si="30"/>
        <v>0</v>
      </c>
      <c r="EU6" s="47">
        <f t="shared" si="31"/>
        <v>0</v>
      </c>
      <c r="EV6" s="47">
        <f t="shared" si="32"/>
        <v>0</v>
      </c>
      <c r="EW6" s="47">
        <f t="shared" si="33"/>
        <v>0</v>
      </c>
      <c r="EX6" s="47">
        <f t="shared" si="34"/>
        <v>0</v>
      </c>
      <c r="EY6" s="47">
        <f t="shared" si="35"/>
        <v>0</v>
      </c>
      <c r="EZ6" s="47">
        <f t="shared" si="36"/>
        <v>0</v>
      </c>
      <c r="FA6" s="47">
        <f t="shared" si="37"/>
        <v>0</v>
      </c>
      <c r="FB6" s="47">
        <f t="shared" si="38"/>
        <v>0</v>
      </c>
      <c r="FC6" s="47">
        <f t="shared" si="39"/>
        <v>0</v>
      </c>
      <c r="FD6" s="47">
        <f t="shared" si="40"/>
        <v>0</v>
      </c>
      <c r="FE6" s="47">
        <f t="shared" si="41"/>
        <v>0</v>
      </c>
      <c r="FF6" s="47">
        <f t="shared" si="42"/>
        <v>0</v>
      </c>
      <c r="FG6" s="47">
        <f t="shared" si="43"/>
        <v>0</v>
      </c>
      <c r="FH6" s="47">
        <f t="shared" si="44"/>
        <v>0</v>
      </c>
      <c r="FI6" s="47">
        <f t="shared" si="45"/>
        <v>0</v>
      </c>
      <c r="FJ6" s="47">
        <f t="shared" si="46"/>
        <v>0</v>
      </c>
      <c r="FK6" s="47">
        <f t="shared" si="47"/>
        <v>0</v>
      </c>
      <c r="FL6" s="47">
        <f t="shared" si="48"/>
        <v>0</v>
      </c>
      <c r="FM6" s="47">
        <f t="shared" si="49"/>
        <v>0</v>
      </c>
      <c r="FN6" s="47">
        <f t="shared" si="50"/>
        <v>0</v>
      </c>
      <c r="FO6" s="765">
        <f t="shared" si="51"/>
        <v>561.17214278691881</v>
      </c>
      <c r="FP6" s="765">
        <f t="shared" si="52"/>
        <v>399.14261077021592</v>
      </c>
      <c r="FQ6" s="765">
        <f t="shared" si="53"/>
        <v>2314.8091968369372</v>
      </c>
      <c r="FR6" s="765">
        <f t="shared" si="54"/>
        <v>76771.405870734641</v>
      </c>
      <c r="FS6" s="765">
        <f t="shared" si="55"/>
        <v>1469176.8080274328</v>
      </c>
      <c r="FT6" s="765">
        <f t="shared" si="56"/>
        <v>8281581.0460772496</v>
      </c>
      <c r="FU6" s="765">
        <f t="shared" si="57"/>
        <v>48.521438812727965</v>
      </c>
      <c r="FV6" s="765">
        <f t="shared" si="58"/>
        <v>22.186085773053673</v>
      </c>
      <c r="FW6" s="765">
        <f t="shared" si="59"/>
        <v>483.626375</v>
      </c>
      <c r="FX6" s="765">
        <f t="shared" si="60"/>
        <v>634.1791883957568</v>
      </c>
      <c r="FY6" s="765">
        <f t="shared" si="61"/>
        <v>2822.7324190730806</v>
      </c>
      <c r="FZ6" s="765">
        <f t="shared" si="62"/>
        <v>76364.594460465436</v>
      </c>
      <c r="GA6" s="765">
        <f t="shared" si="63"/>
        <v>331175.27500000002</v>
      </c>
      <c r="GB6" s="765">
        <f t="shared" si="64"/>
        <v>56.010757901412909</v>
      </c>
      <c r="GC6" s="765">
        <f t="shared" si="65"/>
        <v>66.959520015982449</v>
      </c>
      <c r="GD6" s="765">
        <f t="shared" si="66"/>
        <v>144.23926105124264</v>
      </c>
    </row>
    <row r="7" spans="1:186">
      <c r="A7" s="4">
        <v>42156</v>
      </c>
      <c r="B7" s="6">
        <v>2015</v>
      </c>
      <c r="C7" s="5">
        <v>6</v>
      </c>
      <c r="D7" s="7">
        <v>62711905.860890299</v>
      </c>
      <c r="E7" s="7">
        <f>IFERROR(VLOOKUP($B7-1,CDM!$V$4:$AJ$17,2,FALSE)/12,0)+IFERROR(VLOOKUP($B7,CDM!$V$41:$AJ$54,2,FALSE)/24,0)+IFERROR(VLOOKUP($B7,CDM!$V$41:$AJ$54,2,FALSE)/2*$C7/78,0)</f>
        <v>625963.91926337115</v>
      </c>
      <c r="F7" s="7">
        <f t="shared" si="2"/>
        <v>63337869.780153669</v>
      </c>
      <c r="G7" s="7"/>
      <c r="H7" s="7"/>
      <c r="I7" s="7">
        <f t="shared" si="3"/>
        <v>63337869.780153669</v>
      </c>
      <c r="J7" s="7">
        <v>620701.61555999995</v>
      </c>
      <c r="K7" s="7">
        <f>IFERROR(VLOOKUP($B7-1,CDM!$V$4:$AJ$17,3,FALSE)/12,0)+IFERROR(VLOOKUP($B7,CDM!$V$41:$AJ$54,3,FALSE)/24,0)+IFERROR(VLOOKUP($B7,CDM!$V$41:$AJ$54,3,FALSE)/2*$C7/78,0)</f>
        <v>7169.6677783992955</v>
      </c>
      <c r="L7" s="7">
        <f t="shared" si="4"/>
        <v>627871.28333839925</v>
      </c>
      <c r="M7" s="7"/>
      <c r="N7" s="7"/>
      <c r="O7" s="7">
        <f t="shared" si="5"/>
        <v>627871.28333839925</v>
      </c>
      <c r="P7" s="7">
        <v>20438552.235879999</v>
      </c>
      <c r="Q7" s="7">
        <f>IFERROR(VLOOKUP($B7-1,CDM!$V$4:$AJ$17,4,FALSE)/12,0)+IFERROR(VLOOKUP($B7,CDM!$V$41:$AJ$54,4,FALSE)/24,0)+IFERROR(VLOOKUP($B7,CDM!$V$41:$AJ$54,4,FALSE)/2*$C7/78,0)</f>
        <v>313493.71158908971</v>
      </c>
      <c r="R7" s="7">
        <f t="shared" si="6"/>
        <v>20752045.947469089</v>
      </c>
      <c r="S7" s="7"/>
      <c r="T7" s="7"/>
      <c r="U7" s="7">
        <f t="shared" si="7"/>
        <v>20752045.947469089</v>
      </c>
      <c r="V7" s="7">
        <v>80778945.75</v>
      </c>
      <c r="W7" s="7">
        <f>IFERROR(VLOOKUP($B7-1,CDM!$V$4:$AJ$17,5,FALSE)/12,0)+IFERROR(VLOOKUP($B7,CDM!$V$41:$AJ$54,5,FALSE)/24,0)+IFERROR(VLOOKUP($B7,CDM!$V$41:$AJ$54,5,FALSE)/2*$C7/78,0)</f>
        <v>1172665.7006312101</v>
      </c>
      <c r="X7" s="7">
        <f t="shared" si="8"/>
        <v>81951611.450631216</v>
      </c>
      <c r="Y7" s="7"/>
      <c r="Z7" s="7"/>
      <c r="AA7" s="7">
        <f t="shared" si="9"/>
        <v>81951611.450631216</v>
      </c>
      <c r="AB7" s="7">
        <v>7522097.5800000001</v>
      </c>
      <c r="AC7" s="7">
        <f>IFERROR(VLOOKUP($B7-1,CDM!$V$4:$AJ$17,6,FALSE)/12,0)+IFERROR(VLOOKUP($B7,CDM!$V$41:$AJ$54,6,FALSE)/24,0)+IFERROR(VLOOKUP($B7,CDM!$V$41:$AJ$54,6,FALSE)/2*$C7/78,0)</f>
        <v>11806.048421023932</v>
      </c>
      <c r="AD7" s="7">
        <f t="shared" si="10"/>
        <v>7533903.6284210244</v>
      </c>
      <c r="AE7" s="7"/>
      <c r="AF7" s="7">
        <f t="shared" si="11"/>
        <v>7533903.6284210244</v>
      </c>
      <c r="AG7" s="7">
        <v>15955353.99</v>
      </c>
      <c r="AH7" s="7">
        <f>IFERROR(VLOOKUP($B7-1,CDM!$V$4:$AJ$17,7,FALSE)/12,0)+IFERROR(VLOOKUP($B7,CDM!$V$41:$AJ$54,7,FALSE)/24,0)+IFERROR(VLOOKUP($B7,CDM!$V$41:$AJ$54,7,FALSE)/2*$C7/78,0)</f>
        <v>350904.23425025505</v>
      </c>
      <c r="AI7" s="7">
        <f t="shared" si="12"/>
        <v>16306258.224250255</v>
      </c>
      <c r="AJ7" s="7"/>
      <c r="AK7" s="7">
        <f t="shared" si="13"/>
        <v>16306258.224250255</v>
      </c>
      <c r="AL7" s="7">
        <v>1312119.3500000001</v>
      </c>
      <c r="AM7" s="7">
        <v>9525.7032786885266</v>
      </c>
      <c r="AN7" s="7">
        <v>424653.07</v>
      </c>
      <c r="AO7" s="5">
        <v>200412.49</v>
      </c>
      <c r="AP7" s="5">
        <v>17215.34</v>
      </c>
      <c r="AQ7" s="5">
        <v>30738.400000000001</v>
      </c>
      <c r="AR7" s="5">
        <v>4814.63</v>
      </c>
      <c r="AS7" s="763">
        <f t="shared" si="67"/>
        <v>84.5</v>
      </c>
      <c r="AT7" s="776">
        <v>107243.50000000003</v>
      </c>
      <c r="AU7" s="776">
        <v>1592.2854245932051</v>
      </c>
      <c r="AV7" s="776">
        <v>8891.4999999999964</v>
      </c>
      <c r="AW7" s="776">
        <v>1053</v>
      </c>
      <c r="AX7" s="776">
        <v>5</v>
      </c>
      <c r="AY7" s="776">
        <v>2.5000000000000009</v>
      </c>
      <c r="AZ7" s="776">
        <v>29832.5</v>
      </c>
      <c r="BA7" s="776">
        <v>442.99999999999989</v>
      </c>
      <c r="BB7" s="776">
        <v>875</v>
      </c>
      <c r="BC7" s="779">
        <v>26686471.277589802</v>
      </c>
      <c r="BD7" s="779">
        <f>IFERROR(VLOOKUP($B7-1,CDM!$V$4:$AJ$17,11,FALSE)/12,0)+IFERROR(VLOOKUP($B7,CDM!$V$41:$AJ$54,11,FALSE)/24,0)+IFERROR(VLOOKUP($B7,CDM!$V$41:$AJ$54,11,FALSE)/2*$C7/78,0)</f>
        <v>252848.14948308107</v>
      </c>
      <c r="BE7" s="779">
        <f t="shared" si="14"/>
        <v>26939319.427072883</v>
      </c>
      <c r="BF7" s="779"/>
      <c r="BG7" s="779"/>
      <c r="BH7" s="779">
        <f t="shared" si="15"/>
        <v>26939319.427072883</v>
      </c>
      <c r="BI7" s="779">
        <v>6197601.5977799902</v>
      </c>
      <c r="BJ7" s="779">
        <f>IFERROR(VLOOKUP($B7-1,CDM!$V$4:$AJ$17,12,FALSE)/12,0)+IFERROR(VLOOKUP($B7,CDM!$V$41:$AJ$54,12,FALSE)/24,0)+IFERROR(VLOOKUP($B7,CDM!$V$41:$AJ$54,12,FALSE)/2*$C7/78,0)</f>
        <v>89567.407858333347</v>
      </c>
      <c r="BK7" s="779">
        <f t="shared" si="16"/>
        <v>6287169.0056383237</v>
      </c>
      <c r="BL7" s="779"/>
      <c r="BM7" s="779"/>
      <c r="BN7" s="779">
        <f t="shared" si="17"/>
        <v>6287169.0056383237</v>
      </c>
      <c r="BO7" s="779">
        <v>28744327.190000001</v>
      </c>
      <c r="BP7" s="779">
        <f>IFERROR(VLOOKUP($B7-1,CDM!$V$4:$AJ$17,13,FALSE)/12,0)+IFERROR(VLOOKUP($B7,CDM!$V$41:$AJ$54,13,FALSE)/24,0)+IFERROR(VLOOKUP($B7,CDM!$V$41:$AJ$54,13,FALSE)/2*$C7/78,0)</f>
        <v>274110.09824639809</v>
      </c>
      <c r="BQ7" s="779">
        <f t="shared" si="19"/>
        <v>29018437.288246401</v>
      </c>
      <c r="BR7" s="779"/>
      <c r="BS7" s="779"/>
      <c r="BT7" s="779">
        <f t="shared" si="20"/>
        <v>29018437.288246401</v>
      </c>
      <c r="BU7" s="779">
        <v>4972549.58</v>
      </c>
      <c r="BV7" s="779">
        <f>IFERROR(VLOOKUP($B7-1,CDM!$V$4:$AJ$17,14,FALSE)/12,0)+IFERROR(VLOOKUP($B7,CDM!$V$41:$AJ$54,14,FALSE)/24,0)+IFERROR(VLOOKUP($B7,CDM!$V$41:$AJ$54,14,FALSE)/2*$C7/78,0)</f>
        <v>61626.023263352065</v>
      </c>
      <c r="BW7" s="779">
        <f t="shared" si="21"/>
        <v>5034175.6032633521</v>
      </c>
      <c r="BX7" s="779"/>
      <c r="BY7" s="779">
        <f t="shared" si="22"/>
        <v>5034175.6032633521</v>
      </c>
      <c r="BZ7" s="779">
        <v>592575.57999999996</v>
      </c>
      <c r="CA7" s="779">
        <v>2728.6004406512848</v>
      </c>
      <c r="CB7" s="5">
        <v>54083.77</v>
      </c>
      <c r="CC7" s="5">
        <v>70650.67</v>
      </c>
      <c r="CD7" s="5">
        <v>7263.44</v>
      </c>
      <c r="CE7" s="5">
        <v>2061.25</v>
      </c>
      <c r="CF7" s="763">
        <f t="shared" si="68"/>
        <v>7.916666666666667</v>
      </c>
      <c r="CG7" s="785">
        <v>39107</v>
      </c>
      <c r="CH7" s="785">
        <v>2167.4999999999991</v>
      </c>
      <c r="CI7" s="785">
        <v>366.50000000000011</v>
      </c>
      <c r="CJ7" s="785">
        <v>2</v>
      </c>
      <c r="CK7" s="785">
        <v>11826.500000000004</v>
      </c>
      <c r="CL7" s="785">
        <v>40.5</v>
      </c>
      <c r="CM7" s="785">
        <v>378.49999999999989</v>
      </c>
      <c r="CN7" s="46">
        <f>Weather!C19</f>
        <v>93.137500000000045</v>
      </c>
      <c r="CO7" s="46">
        <f>Weather!D19</f>
        <v>2.7499999999999964</v>
      </c>
      <c r="CP7" s="46">
        <f>Weather!E19</f>
        <v>44.925000000000004</v>
      </c>
      <c r="CQ7" s="46">
        <f>Weather!F19</f>
        <v>14.537499999999991</v>
      </c>
      <c r="CR7" s="46">
        <f>Weather!G19</f>
        <v>17.725000000000009</v>
      </c>
      <c r="CS7" s="46">
        <f>Weather!H19</f>
        <v>47.337499999999999</v>
      </c>
      <c r="CT7" s="46">
        <f>Weather!I19</f>
        <v>5.9875000000000078</v>
      </c>
      <c r="CU7" s="46">
        <f>Weather!J19</f>
        <v>95.599999999999966</v>
      </c>
      <c r="CV7" s="46">
        <f>Weather!K19</f>
        <v>0.6458333333333357</v>
      </c>
      <c r="CW7" s="46">
        <f>Weather!L19</f>
        <v>150.2583333333333</v>
      </c>
      <c r="CX7" s="46">
        <f>Weather!M19</f>
        <v>0</v>
      </c>
      <c r="CY7" s="46">
        <f>Weather!N19</f>
        <v>209.61250000000001</v>
      </c>
      <c r="CZ7" s="46">
        <f>Weather!O19</f>
        <v>0</v>
      </c>
      <c r="DA7" s="46">
        <f>Weather!P19</f>
        <v>269.61250000000001</v>
      </c>
      <c r="DB7" s="368">
        <f>'Economic Data'!D21</f>
        <v>6861.1</v>
      </c>
      <c r="DC7" s="368">
        <f>'Economic Data'!E21</f>
        <v>6905.4</v>
      </c>
      <c r="DD7" s="368">
        <f>'Economic Data'!F21</f>
        <v>190.5</v>
      </c>
      <c r="DE7" s="368">
        <f>'Economic Data'!G21</f>
        <v>191.1</v>
      </c>
      <c r="DF7" s="368">
        <f>'Economic Data'!H21</f>
        <v>32.9</v>
      </c>
      <c r="DG7" s="368">
        <f>'Economic Data'!I21</f>
        <v>32.9</v>
      </c>
      <c r="DH7" s="368">
        <f>'Economic Data'!J21</f>
        <v>727609.6</v>
      </c>
      <c r="DI7" s="368">
        <f>'Economic Data'!K21</f>
        <v>557474</v>
      </c>
      <c r="DJ7" s="368">
        <f>'Economic Data'!L21</f>
        <v>90490.8</v>
      </c>
      <c r="DK7" s="368">
        <f>'Economic Data'!M21</f>
        <v>29069.3</v>
      </c>
      <c r="DL7" s="368">
        <f>'Economic Data'!N21</f>
        <v>723726</v>
      </c>
      <c r="DM7" s="368">
        <f>'Economic Data'!O21</f>
        <v>89003</v>
      </c>
      <c r="DN7" s="368">
        <f>'Economic Data'!P21</f>
        <v>19757</v>
      </c>
      <c r="DO7" s="368">
        <f>'Economic Data'!Q21</f>
        <v>555651</v>
      </c>
      <c r="DP7" s="368">
        <f>'Economic Data'!R21</f>
        <v>28915</v>
      </c>
      <c r="DQ7">
        <v>30</v>
      </c>
      <c r="DR7">
        <v>22</v>
      </c>
      <c r="DS7">
        <v>0</v>
      </c>
      <c r="DT7">
        <v>0</v>
      </c>
      <c r="DU7">
        <v>0</v>
      </c>
      <c r="DV7">
        <v>0</v>
      </c>
      <c r="DW7">
        <v>0</v>
      </c>
      <c r="DX7">
        <v>1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f t="shared" si="69"/>
        <v>6</v>
      </c>
      <c r="EI7">
        <v>0</v>
      </c>
      <c r="EJ7">
        <v>0</v>
      </c>
      <c r="EK7">
        <v>0</v>
      </c>
      <c r="EL7">
        <v>0</v>
      </c>
      <c r="EM7" s="47">
        <f t="shared" si="23"/>
        <v>0</v>
      </c>
      <c r="EN7" s="47">
        <f t="shared" si="24"/>
        <v>0</v>
      </c>
      <c r="EO7" s="47">
        <f t="shared" si="25"/>
        <v>0</v>
      </c>
      <c r="EP7" s="47">
        <f t="shared" si="26"/>
        <v>0</v>
      </c>
      <c r="EQ7" s="47">
        <f t="shared" si="27"/>
        <v>0</v>
      </c>
      <c r="ER7" s="47">
        <f t="shared" si="28"/>
        <v>0</v>
      </c>
      <c r="ES7" s="47">
        <f t="shared" si="29"/>
        <v>0</v>
      </c>
      <c r="ET7" s="47">
        <f t="shared" si="30"/>
        <v>0</v>
      </c>
      <c r="EU7" s="47">
        <f t="shared" si="31"/>
        <v>0</v>
      </c>
      <c r="EV7" s="47">
        <f t="shared" si="32"/>
        <v>0</v>
      </c>
      <c r="EW7" s="47">
        <f t="shared" si="33"/>
        <v>0</v>
      </c>
      <c r="EX7" s="47">
        <f t="shared" si="34"/>
        <v>0</v>
      </c>
      <c r="EY7" s="47">
        <f t="shared" si="35"/>
        <v>0</v>
      </c>
      <c r="EZ7" s="47">
        <f t="shared" si="36"/>
        <v>0</v>
      </c>
      <c r="FA7" s="47">
        <f t="shared" si="37"/>
        <v>0</v>
      </c>
      <c r="FB7" s="47">
        <f t="shared" si="38"/>
        <v>0</v>
      </c>
      <c r="FC7" s="47">
        <f t="shared" si="39"/>
        <v>0</v>
      </c>
      <c r="FD7" s="47">
        <f t="shared" si="40"/>
        <v>0</v>
      </c>
      <c r="FE7" s="47">
        <f t="shared" si="41"/>
        <v>0</v>
      </c>
      <c r="FF7" s="47">
        <f t="shared" si="42"/>
        <v>0</v>
      </c>
      <c r="FG7" s="47">
        <f t="shared" si="43"/>
        <v>0</v>
      </c>
      <c r="FH7" s="47">
        <f t="shared" si="44"/>
        <v>0</v>
      </c>
      <c r="FI7" s="47">
        <f t="shared" si="45"/>
        <v>0</v>
      </c>
      <c r="FJ7" s="47">
        <f t="shared" si="46"/>
        <v>0</v>
      </c>
      <c r="FK7" s="47">
        <f t="shared" si="47"/>
        <v>0</v>
      </c>
      <c r="FL7" s="47">
        <f t="shared" si="48"/>
        <v>0</v>
      </c>
      <c r="FM7" s="47">
        <f t="shared" si="49"/>
        <v>0</v>
      </c>
      <c r="FN7" s="47">
        <f t="shared" si="50"/>
        <v>0</v>
      </c>
      <c r="FO7" s="765">
        <f t="shared" si="51"/>
        <v>590.59868225257151</v>
      </c>
      <c r="FP7" s="765">
        <f t="shared" si="52"/>
        <v>394.32081311603224</v>
      </c>
      <c r="FQ7" s="765">
        <f t="shared" si="53"/>
        <v>2333.919580213586</v>
      </c>
      <c r="FR7" s="765">
        <f t="shared" si="54"/>
        <v>77826.791501074273</v>
      </c>
      <c r="FS7" s="765">
        <f t="shared" si="55"/>
        <v>1506780.7256842048</v>
      </c>
      <c r="FT7" s="765">
        <f t="shared" si="56"/>
        <v>6522503.2897001002</v>
      </c>
      <c r="FU7" s="765">
        <f t="shared" si="57"/>
        <v>43.98288276208833</v>
      </c>
      <c r="FV7" s="765">
        <f t="shared" si="58"/>
        <v>21.502716204714513</v>
      </c>
      <c r="FW7" s="765">
        <f t="shared" si="59"/>
        <v>485.31779428571429</v>
      </c>
      <c r="FX7" s="765">
        <f t="shared" si="60"/>
        <v>688.86182594095385</v>
      </c>
      <c r="FY7" s="765">
        <f t="shared" si="61"/>
        <v>2900.6546738815809</v>
      </c>
      <c r="FZ7" s="765">
        <f t="shared" si="62"/>
        <v>79177.182232595878</v>
      </c>
      <c r="GA7" s="765">
        <f t="shared" si="63"/>
        <v>296287.78999999998</v>
      </c>
      <c r="GB7" s="765">
        <f t="shared" si="64"/>
        <v>50.105743880268868</v>
      </c>
      <c r="GC7" s="765">
        <f t="shared" si="65"/>
        <v>67.372850386451475</v>
      </c>
      <c r="GD7" s="765">
        <f t="shared" si="66"/>
        <v>142.88974900924705</v>
      </c>
    </row>
    <row r="8" spans="1:186">
      <c r="A8" s="4">
        <v>42186</v>
      </c>
      <c r="B8" s="6">
        <v>2015</v>
      </c>
      <c r="C8" s="5">
        <v>7</v>
      </c>
      <c r="D8" s="7">
        <v>85181893.357939899</v>
      </c>
      <c r="E8" s="7">
        <f>IFERROR(VLOOKUP($B8-1,CDM!$V$4:$AJ$17,2,FALSE)/12,0)+IFERROR(VLOOKUP($B8,CDM!$V$41:$AJ$54,2,FALSE)/24,0)+IFERROR(VLOOKUP($B8,CDM!$V$41:$AJ$54,2,FALSE)/2*$C8/78,0)</f>
        <v>658528.19342918962</v>
      </c>
      <c r="F8" s="7">
        <f t="shared" si="2"/>
        <v>85840421.551369086</v>
      </c>
      <c r="G8" s="7"/>
      <c r="H8" s="7"/>
      <c r="I8" s="7">
        <f t="shared" si="3"/>
        <v>85840421.551369086</v>
      </c>
      <c r="J8" s="7">
        <v>901678.326330001</v>
      </c>
      <c r="K8" s="7">
        <f>IFERROR(VLOOKUP($B8-1,CDM!$V$4:$AJ$17,3,FALSE)/12,0)+IFERROR(VLOOKUP($B8,CDM!$V$41:$AJ$54,3,FALSE)/24,0)+IFERROR(VLOOKUP($B8,CDM!$V$41:$AJ$54,3,FALSE)/2*$C8/78,0)</f>
        <v>7542.6525783672887</v>
      </c>
      <c r="L8" s="7">
        <f t="shared" si="4"/>
        <v>909220.97890836827</v>
      </c>
      <c r="M8" s="7"/>
      <c r="N8" s="7"/>
      <c r="O8" s="7">
        <f t="shared" si="5"/>
        <v>909220.97890836827</v>
      </c>
      <c r="P8" s="7">
        <v>23191812.9555999</v>
      </c>
      <c r="Q8" s="7">
        <f>IFERROR(VLOOKUP($B8-1,CDM!$V$4:$AJ$17,4,FALSE)/12,0)+IFERROR(VLOOKUP($B8,CDM!$V$41:$AJ$54,4,FALSE)/24,0)+IFERROR(VLOOKUP($B8,CDM!$V$41:$AJ$54,4,FALSE)/2*$C8/78,0)</f>
        <v>330283.29603676253</v>
      </c>
      <c r="R8" s="7">
        <f t="shared" si="6"/>
        <v>23522096.251636662</v>
      </c>
      <c r="S8" s="7"/>
      <c r="T8" s="7"/>
      <c r="U8" s="7">
        <f t="shared" si="7"/>
        <v>23522096.251636662</v>
      </c>
      <c r="V8" s="7">
        <v>83557035.420000002</v>
      </c>
      <c r="W8" s="7">
        <f>IFERROR(VLOOKUP($B8-1,CDM!$V$4:$AJ$17,5,FALSE)/12,0)+IFERROR(VLOOKUP($B8,CDM!$V$41:$AJ$54,5,FALSE)/24,0)+IFERROR(VLOOKUP($B8,CDM!$V$41:$AJ$54,5,FALSE)/2*$C8/78,0)</f>
        <v>1233166.8181849462</v>
      </c>
      <c r="X8" s="7">
        <f t="shared" si="8"/>
        <v>84790202.238184944</v>
      </c>
      <c r="Y8" s="7"/>
      <c r="Z8" s="7"/>
      <c r="AA8" s="7">
        <f t="shared" si="9"/>
        <v>84790202.238184944</v>
      </c>
      <c r="AB8" s="7">
        <v>6679211.8499999996</v>
      </c>
      <c r="AC8" s="7">
        <f>IFERROR(VLOOKUP($B8-1,CDM!$V$4:$AJ$17,6,FALSE)/12,0)+IFERROR(VLOOKUP($B8,CDM!$V$41:$AJ$54,6,FALSE)/24,0)+IFERROR(VLOOKUP($B8,CDM!$V$41:$AJ$54,6,FALSE)/2*$C8/78,0)</f>
        <v>12722.636704883887</v>
      </c>
      <c r="AD8" s="7">
        <f t="shared" si="10"/>
        <v>6691934.4867048832</v>
      </c>
      <c r="AE8" s="7"/>
      <c r="AF8" s="7">
        <f t="shared" si="11"/>
        <v>6691934.4867048832</v>
      </c>
      <c r="AG8" s="7">
        <v>16465696.24</v>
      </c>
      <c r="AH8" s="7">
        <f>IFERROR(VLOOKUP($B8-1,CDM!$V$4:$AJ$17,7,FALSE)/12,0)+IFERROR(VLOOKUP($B8,CDM!$V$41:$AJ$54,7,FALSE)/24,0)+IFERROR(VLOOKUP($B8,CDM!$V$41:$AJ$54,7,FALSE)/2*$C8/78,0)</f>
        <v>372618.88714714959</v>
      </c>
      <c r="AI8" s="7">
        <f t="shared" si="12"/>
        <v>16838315.127147149</v>
      </c>
      <c r="AJ8" s="7"/>
      <c r="AK8" s="7">
        <f t="shared" si="13"/>
        <v>16838315.127147149</v>
      </c>
      <c r="AL8" s="7">
        <v>1407856.79</v>
      </c>
      <c r="AM8" s="7">
        <v>10552.725000000002</v>
      </c>
      <c r="AN8" s="7">
        <v>423675.61</v>
      </c>
      <c r="AO8" s="5">
        <v>202776.97</v>
      </c>
      <c r="AP8" s="5">
        <v>16712.95</v>
      </c>
      <c r="AQ8" s="5">
        <v>26563</v>
      </c>
      <c r="AR8" s="5">
        <v>4814.13</v>
      </c>
      <c r="AS8" s="763">
        <f t="shared" si="67"/>
        <v>84.5</v>
      </c>
      <c r="AT8" s="776">
        <v>107188.4166666667</v>
      </c>
      <c r="AU8" s="776">
        <v>1591.737853827671</v>
      </c>
      <c r="AV8" s="776">
        <v>8894.4166666666624</v>
      </c>
      <c r="AW8" s="776">
        <v>1054.5</v>
      </c>
      <c r="AX8" s="776">
        <v>5</v>
      </c>
      <c r="AY8" s="776">
        <v>2.5833333333333344</v>
      </c>
      <c r="AZ8" s="776">
        <v>29848.75</v>
      </c>
      <c r="BA8" s="776">
        <v>442.3333333333332</v>
      </c>
      <c r="BB8" s="776">
        <v>870</v>
      </c>
      <c r="BC8" s="779">
        <v>36810468.262800299</v>
      </c>
      <c r="BD8" s="779">
        <f>IFERROR(VLOOKUP($B8-1,CDM!$V$4:$AJ$17,11,FALSE)/12,0)+IFERROR(VLOOKUP($B8,CDM!$V$41:$AJ$54,11,FALSE)/24,0)+IFERROR(VLOOKUP($B8,CDM!$V$41:$AJ$54,11,FALSE)/2*$C8/78,0)</f>
        <v>266443.88716499927</v>
      </c>
      <c r="BE8" s="779">
        <f t="shared" si="14"/>
        <v>37076912.149965301</v>
      </c>
      <c r="BF8" s="779"/>
      <c r="BG8" s="779"/>
      <c r="BH8" s="779">
        <f t="shared" si="15"/>
        <v>37076912.149965301</v>
      </c>
      <c r="BI8" s="779">
        <v>7093319.1781999897</v>
      </c>
      <c r="BJ8" s="779">
        <f>IFERROR(VLOOKUP($B8-1,CDM!$V$4:$AJ$17,12,FALSE)/12,0)+IFERROR(VLOOKUP($B8,CDM!$V$41:$AJ$54,12,FALSE)/24,0)+IFERROR(VLOOKUP($B8,CDM!$V$41:$AJ$54,12,FALSE)/2*$C8/78,0)</f>
        <v>94134.308102333336</v>
      </c>
      <c r="BK8" s="779">
        <f t="shared" si="16"/>
        <v>7187453.4863023227</v>
      </c>
      <c r="BL8" s="779"/>
      <c r="BM8" s="779"/>
      <c r="BN8" s="779">
        <f t="shared" si="17"/>
        <v>7187453.4863023227</v>
      </c>
      <c r="BO8" s="779">
        <v>30536784.32</v>
      </c>
      <c r="BP8" s="779">
        <f>IFERROR(VLOOKUP($B8-1,CDM!$V$4:$AJ$17,13,FALSE)/12,0)+IFERROR(VLOOKUP($B8,CDM!$V$41:$AJ$54,13,FALSE)/24,0)+IFERROR(VLOOKUP($B8,CDM!$V$41:$AJ$54,13,FALSE)/2*$C8/78,0)</f>
        <v>289442.99212395045</v>
      </c>
      <c r="BQ8" s="779">
        <f t="shared" si="19"/>
        <v>30826227.312123951</v>
      </c>
      <c r="BR8" s="779"/>
      <c r="BS8" s="779"/>
      <c r="BT8" s="779">
        <f t="shared" si="20"/>
        <v>30826227.312123951</v>
      </c>
      <c r="BU8" s="779">
        <v>5203855.54</v>
      </c>
      <c r="BV8" s="779">
        <f>IFERROR(VLOOKUP($B8-1,CDM!$V$4:$AJ$17,14,FALSE)/12,0)+IFERROR(VLOOKUP($B8,CDM!$V$41:$AJ$54,14,FALSE)/24,0)+IFERROR(VLOOKUP($B8,CDM!$V$41:$AJ$54,14,FALSE)/2*$C8/78,0)</f>
        <v>65073.197522299568</v>
      </c>
      <c r="BW8" s="779">
        <f t="shared" si="21"/>
        <v>5268928.7375222994</v>
      </c>
      <c r="BX8" s="779"/>
      <c r="BY8" s="779">
        <f t="shared" si="22"/>
        <v>5268928.7375222994</v>
      </c>
      <c r="BZ8" s="779">
        <v>628918.1</v>
      </c>
      <c r="CA8" s="779">
        <v>2728.6004406512848</v>
      </c>
      <c r="CB8" s="5">
        <v>54083.77</v>
      </c>
      <c r="CC8" s="5">
        <v>71585.61</v>
      </c>
      <c r="CD8" s="5">
        <v>7572.79</v>
      </c>
      <c r="CE8" s="5">
        <v>2060.9299999999998</v>
      </c>
      <c r="CF8" s="763">
        <f t="shared" si="68"/>
        <v>7.916666666666667</v>
      </c>
      <c r="CG8" s="785">
        <v>39131</v>
      </c>
      <c r="CH8" s="785">
        <v>2169.4166666666656</v>
      </c>
      <c r="CI8" s="785">
        <v>366.4166666666668</v>
      </c>
      <c r="CJ8" s="785">
        <v>2</v>
      </c>
      <c r="CK8" s="785">
        <v>11827.583333333338</v>
      </c>
      <c r="CL8" s="785">
        <v>40.25</v>
      </c>
      <c r="CM8" s="785">
        <v>378.0833333333332</v>
      </c>
      <c r="CN8" s="46">
        <f>Weather!C20</f>
        <v>25.987500000000004</v>
      </c>
      <c r="CO8" s="46">
        <f>Weather!D20</f>
        <v>45.524999999999991</v>
      </c>
      <c r="CP8" s="46">
        <f>Weather!E20</f>
        <v>6.0874999999999986</v>
      </c>
      <c r="CQ8" s="46">
        <f>Weather!F20</f>
        <v>87.624999999999986</v>
      </c>
      <c r="CR8" s="46">
        <f>Weather!G20</f>
        <v>0</v>
      </c>
      <c r="CS8" s="46">
        <f>Weather!H20</f>
        <v>143.53749999999999</v>
      </c>
      <c r="CT8" s="46">
        <f>Weather!I20</f>
        <v>0</v>
      </c>
      <c r="CU8" s="46">
        <f>Weather!J20</f>
        <v>205.53749999999997</v>
      </c>
      <c r="CV8" s="46">
        <f>Weather!K20</f>
        <v>0</v>
      </c>
      <c r="CW8" s="46">
        <f>Weather!L20</f>
        <v>267.53749999999997</v>
      </c>
      <c r="CX8" s="46">
        <f>Weather!M20</f>
        <v>0</v>
      </c>
      <c r="CY8" s="46">
        <f>Weather!N20</f>
        <v>329.53750000000002</v>
      </c>
      <c r="CZ8" s="46">
        <f>Weather!O20</f>
        <v>0</v>
      </c>
      <c r="DA8" s="46">
        <f>Weather!P20</f>
        <v>391.53750000000014</v>
      </c>
      <c r="DB8" s="368">
        <f>'Economic Data'!D22</f>
        <v>6872.7</v>
      </c>
      <c r="DC8" s="368">
        <f>'Economic Data'!E22</f>
        <v>6963</v>
      </c>
      <c r="DD8" s="368">
        <f>'Economic Data'!F22</f>
        <v>185.8</v>
      </c>
      <c r="DE8" s="368">
        <f>'Economic Data'!G22</f>
        <v>187.8</v>
      </c>
      <c r="DF8" s="368">
        <f>'Economic Data'!H22</f>
        <v>28.8</v>
      </c>
      <c r="DG8" s="368">
        <f>'Economic Data'!I22</f>
        <v>28.8</v>
      </c>
      <c r="DH8" s="368">
        <f>'Economic Data'!J22</f>
        <v>727609.6</v>
      </c>
      <c r="DI8" s="368">
        <f>'Economic Data'!K22</f>
        <v>557474</v>
      </c>
      <c r="DJ8" s="368">
        <f>'Economic Data'!L22</f>
        <v>90490.8</v>
      </c>
      <c r="DK8" s="368">
        <f>'Economic Data'!M22</f>
        <v>29069.3</v>
      </c>
      <c r="DL8" s="368">
        <f>'Economic Data'!N22</f>
        <v>730341</v>
      </c>
      <c r="DM8" s="368">
        <f>'Economic Data'!O22</f>
        <v>91774</v>
      </c>
      <c r="DN8" s="368">
        <f>'Economic Data'!P22</f>
        <v>20733</v>
      </c>
      <c r="DO8" s="368">
        <f>'Economic Data'!Q22</f>
        <v>558510</v>
      </c>
      <c r="DP8" s="368">
        <f>'Economic Data'!R22</f>
        <v>29147</v>
      </c>
      <c r="DQ8">
        <v>31</v>
      </c>
      <c r="DR8">
        <v>22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1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f t="shared" si="69"/>
        <v>7</v>
      </c>
      <c r="EI8">
        <v>0</v>
      </c>
      <c r="EJ8">
        <v>0</v>
      </c>
      <c r="EK8">
        <v>0</v>
      </c>
      <c r="EL8">
        <v>0</v>
      </c>
      <c r="EM8" s="47">
        <f t="shared" si="23"/>
        <v>0</v>
      </c>
      <c r="EN8" s="47">
        <f t="shared" si="24"/>
        <v>0</v>
      </c>
      <c r="EO8" s="47">
        <f t="shared" si="25"/>
        <v>0</v>
      </c>
      <c r="EP8" s="47">
        <f t="shared" si="26"/>
        <v>0</v>
      </c>
      <c r="EQ8" s="47">
        <f t="shared" si="27"/>
        <v>0</v>
      </c>
      <c r="ER8" s="47">
        <f t="shared" si="28"/>
        <v>0</v>
      </c>
      <c r="ES8" s="47">
        <f t="shared" si="29"/>
        <v>0</v>
      </c>
      <c r="ET8" s="47">
        <f t="shared" si="30"/>
        <v>0</v>
      </c>
      <c r="EU8" s="47">
        <f t="shared" si="31"/>
        <v>0</v>
      </c>
      <c r="EV8" s="47">
        <f t="shared" si="32"/>
        <v>0</v>
      </c>
      <c r="EW8" s="47">
        <f t="shared" si="33"/>
        <v>0</v>
      </c>
      <c r="EX8" s="47">
        <f t="shared" si="34"/>
        <v>0</v>
      </c>
      <c r="EY8" s="47">
        <f t="shared" si="35"/>
        <v>0</v>
      </c>
      <c r="EZ8" s="47">
        <f t="shared" si="36"/>
        <v>0</v>
      </c>
      <c r="FA8" s="47">
        <f t="shared" si="37"/>
        <v>0</v>
      </c>
      <c r="FB8" s="47">
        <f t="shared" si="38"/>
        <v>0</v>
      </c>
      <c r="FC8" s="47">
        <f t="shared" si="39"/>
        <v>0</v>
      </c>
      <c r="FD8" s="47">
        <f t="shared" si="40"/>
        <v>0</v>
      </c>
      <c r="FE8" s="47">
        <f t="shared" si="41"/>
        <v>0</v>
      </c>
      <c r="FF8" s="47">
        <f t="shared" si="42"/>
        <v>0</v>
      </c>
      <c r="FG8" s="47">
        <f t="shared" si="43"/>
        <v>0</v>
      </c>
      <c r="FH8" s="47">
        <f t="shared" si="44"/>
        <v>0</v>
      </c>
      <c r="FI8" s="47">
        <f t="shared" si="45"/>
        <v>0</v>
      </c>
      <c r="FJ8" s="47">
        <f t="shared" si="46"/>
        <v>0</v>
      </c>
      <c r="FK8" s="47">
        <f t="shared" si="47"/>
        <v>0</v>
      </c>
      <c r="FL8" s="47">
        <f t="shared" si="48"/>
        <v>0</v>
      </c>
      <c r="FM8" s="47">
        <f t="shared" si="49"/>
        <v>0</v>
      </c>
      <c r="FN8" s="47">
        <f t="shared" si="50"/>
        <v>0</v>
      </c>
      <c r="FO8" s="765">
        <f t="shared" si="51"/>
        <v>800.83673423700839</v>
      </c>
      <c r="FP8" s="765">
        <f t="shared" si="52"/>
        <v>571.21276391206868</v>
      </c>
      <c r="FQ8" s="765">
        <f t="shared" si="53"/>
        <v>2644.591223142234</v>
      </c>
      <c r="FR8" s="765">
        <f t="shared" si="54"/>
        <v>80407.967983105686</v>
      </c>
      <c r="FS8" s="765">
        <f t="shared" si="55"/>
        <v>1338386.8973409766</v>
      </c>
      <c r="FT8" s="765">
        <f t="shared" si="56"/>
        <v>6518057.4685730878</v>
      </c>
      <c r="FU8" s="765">
        <f t="shared" si="57"/>
        <v>47.166356715105323</v>
      </c>
      <c r="FV8" s="765">
        <f t="shared" si="58"/>
        <v>23.856951770911845</v>
      </c>
      <c r="FW8" s="765">
        <f t="shared" si="59"/>
        <v>486.98345977011491</v>
      </c>
      <c r="FX8" s="765">
        <f t="shared" si="60"/>
        <v>947.50740205886132</v>
      </c>
      <c r="FY8" s="765">
        <f t="shared" si="61"/>
        <v>3313.0811598981259</v>
      </c>
      <c r="FZ8" s="765">
        <f t="shared" si="62"/>
        <v>84128.889639637768</v>
      </c>
      <c r="GA8" s="765">
        <f t="shared" si="63"/>
        <v>314459.05</v>
      </c>
      <c r="GB8" s="765">
        <f t="shared" si="64"/>
        <v>53.173846446512719</v>
      </c>
      <c r="GC8" s="765">
        <f t="shared" si="65"/>
        <v>67.7913152956841</v>
      </c>
      <c r="GD8" s="765">
        <f t="shared" si="66"/>
        <v>143.04722063037252</v>
      </c>
    </row>
    <row r="9" spans="1:186">
      <c r="A9" s="4">
        <v>42217</v>
      </c>
      <c r="B9" s="6">
        <v>2015</v>
      </c>
      <c r="C9" s="5">
        <v>8</v>
      </c>
      <c r="D9" s="7">
        <v>78690913.346860304</v>
      </c>
      <c r="E9" s="7">
        <f>IFERROR(VLOOKUP($B9-1,CDM!$V$4:$AJ$17,2,FALSE)/12,0)+IFERROR(VLOOKUP($B9,CDM!$V$41:$AJ$54,2,FALSE)/24,0)+IFERROR(VLOOKUP($B9,CDM!$V$41:$AJ$54,2,FALSE)/2*$C9/78,0)</f>
        <v>691092.46759500809</v>
      </c>
      <c r="F9" s="7">
        <f t="shared" si="2"/>
        <v>79382005.814455315</v>
      </c>
      <c r="G9" s="7"/>
      <c r="H9" s="7"/>
      <c r="I9" s="7">
        <f t="shared" si="3"/>
        <v>79382005.814455315</v>
      </c>
      <c r="J9" s="7">
        <v>930278.94397000095</v>
      </c>
      <c r="K9" s="7">
        <f>IFERROR(VLOOKUP($B9-1,CDM!$V$4:$AJ$17,3,FALSE)/12,0)+IFERROR(VLOOKUP($B9,CDM!$V$41:$AJ$54,3,FALSE)/24,0)+IFERROR(VLOOKUP($B9,CDM!$V$41:$AJ$54,3,FALSE)/2*$C9/78,0)</f>
        <v>7915.6373783352819</v>
      </c>
      <c r="L9" s="7">
        <f t="shared" si="4"/>
        <v>938194.58134833619</v>
      </c>
      <c r="M9" s="7"/>
      <c r="N9" s="7"/>
      <c r="O9" s="7">
        <f t="shared" si="5"/>
        <v>938194.58134833619</v>
      </c>
      <c r="P9" s="7">
        <v>22412824.970479898</v>
      </c>
      <c r="Q9" s="7">
        <f>IFERROR(VLOOKUP($B9-1,CDM!$V$4:$AJ$17,4,FALSE)/12,0)+IFERROR(VLOOKUP($B9,CDM!$V$41:$AJ$54,4,FALSE)/24,0)+IFERROR(VLOOKUP($B9,CDM!$V$41:$AJ$54,4,FALSE)/2*$C9/78,0)</f>
        <v>347072.8804844353</v>
      </c>
      <c r="R9" s="7">
        <f t="shared" si="6"/>
        <v>22759897.850964334</v>
      </c>
      <c r="S9" s="7"/>
      <c r="T9" s="7"/>
      <c r="U9" s="7">
        <f t="shared" si="7"/>
        <v>22759897.850964334</v>
      </c>
      <c r="V9" s="7">
        <v>83053422.700000003</v>
      </c>
      <c r="W9" s="7">
        <f>IFERROR(VLOOKUP($B9-1,CDM!$V$4:$AJ$17,5,FALSE)/12,0)+IFERROR(VLOOKUP($B9,CDM!$V$41:$AJ$54,5,FALSE)/24,0)+IFERROR(VLOOKUP($B9,CDM!$V$41:$AJ$54,5,FALSE)/2*$C9/78,0)</f>
        <v>1293667.9357386827</v>
      </c>
      <c r="X9" s="7">
        <f t="shared" si="8"/>
        <v>84347090.635738686</v>
      </c>
      <c r="Y9" s="7"/>
      <c r="Z9" s="7"/>
      <c r="AA9" s="7">
        <f t="shared" si="9"/>
        <v>84347090.635738686</v>
      </c>
      <c r="AB9" s="7">
        <v>6824342.2999999998</v>
      </c>
      <c r="AC9" s="7">
        <f>IFERROR(VLOOKUP($B9-1,CDM!$V$4:$AJ$17,6,FALSE)/12,0)+IFERROR(VLOOKUP($B9,CDM!$V$41:$AJ$54,6,FALSE)/24,0)+IFERROR(VLOOKUP($B9,CDM!$V$41:$AJ$54,6,FALSE)/2*$C9/78,0)</f>
        <v>13639.224988743843</v>
      </c>
      <c r="AD9" s="7">
        <f t="shared" si="10"/>
        <v>6837981.5249887435</v>
      </c>
      <c r="AE9" s="7"/>
      <c r="AF9" s="7">
        <f t="shared" si="11"/>
        <v>6837981.5249887435</v>
      </c>
      <c r="AG9" s="7">
        <v>16025808.970000001</v>
      </c>
      <c r="AH9" s="7">
        <f>IFERROR(VLOOKUP($B9-1,CDM!$V$4:$AJ$17,7,FALSE)/12,0)+IFERROR(VLOOKUP($B9,CDM!$V$41:$AJ$54,7,FALSE)/24,0)+IFERROR(VLOOKUP($B9,CDM!$V$41:$AJ$54,7,FALSE)/2*$C9/78,0)</f>
        <v>394333.54004404414</v>
      </c>
      <c r="AI9" s="7">
        <f t="shared" si="12"/>
        <v>16420142.510044046</v>
      </c>
      <c r="AJ9" s="7"/>
      <c r="AK9" s="7">
        <f t="shared" si="13"/>
        <v>16420142.510044046</v>
      </c>
      <c r="AL9" s="7">
        <v>1577824.28</v>
      </c>
      <c r="AM9" s="7">
        <v>10552.725000000002</v>
      </c>
      <c r="AN9" s="7">
        <v>423675.61</v>
      </c>
      <c r="AO9" s="5">
        <v>199957.35</v>
      </c>
      <c r="AP9" s="5">
        <v>16653.88</v>
      </c>
      <c r="AQ9" s="5">
        <v>25461</v>
      </c>
      <c r="AR9" s="5">
        <v>4815.66</v>
      </c>
      <c r="AS9" s="763">
        <f t="shared" si="67"/>
        <v>84.5</v>
      </c>
      <c r="AT9" s="776">
        <v>107133.33333333337</v>
      </c>
      <c r="AU9" s="776">
        <v>1591.1902830621368</v>
      </c>
      <c r="AV9" s="776">
        <v>8897.3333333333285</v>
      </c>
      <c r="AW9" s="776">
        <v>1056</v>
      </c>
      <c r="AX9" s="776">
        <v>5</v>
      </c>
      <c r="AY9" s="776">
        <v>2.6666666666666679</v>
      </c>
      <c r="AZ9" s="776">
        <v>29865</v>
      </c>
      <c r="BA9" s="776">
        <v>441.66666666666652</v>
      </c>
      <c r="BB9" s="776">
        <v>865</v>
      </c>
      <c r="BC9" s="779">
        <v>33558080.931189999</v>
      </c>
      <c r="BD9" s="779">
        <f>IFERROR(VLOOKUP($B9-1,CDM!$V$4:$AJ$17,11,FALSE)/12,0)+IFERROR(VLOOKUP($B9,CDM!$V$41:$AJ$54,11,FALSE)/24,0)+IFERROR(VLOOKUP($B9,CDM!$V$41:$AJ$54,11,FALSE)/2*$C9/78,0)</f>
        <v>280039.62484691746</v>
      </c>
      <c r="BE9" s="779">
        <f t="shared" si="14"/>
        <v>33838120.556036919</v>
      </c>
      <c r="BF9" s="779"/>
      <c r="BG9" s="779"/>
      <c r="BH9" s="779">
        <f t="shared" si="15"/>
        <v>33838120.556036919</v>
      </c>
      <c r="BI9" s="779">
        <v>6843663.1881900001</v>
      </c>
      <c r="BJ9" s="779">
        <f>IFERROR(VLOOKUP($B9-1,CDM!$V$4:$AJ$17,12,FALSE)/12,0)+IFERROR(VLOOKUP($B9,CDM!$V$41:$AJ$54,12,FALSE)/24,0)+IFERROR(VLOOKUP($B9,CDM!$V$41:$AJ$54,12,FALSE)/2*$C9/78,0)</f>
        <v>98701.20834633334</v>
      </c>
      <c r="BK9" s="779">
        <f t="shared" si="16"/>
        <v>6942364.3965363335</v>
      </c>
      <c r="BL9" s="779"/>
      <c r="BM9" s="779"/>
      <c r="BN9" s="779">
        <f t="shared" si="17"/>
        <v>6942364.3965363335</v>
      </c>
      <c r="BO9" s="779">
        <v>30564228.59</v>
      </c>
      <c r="BP9" s="779">
        <f>IFERROR(VLOOKUP($B9-1,CDM!$V$4:$AJ$17,13,FALSE)/12,0)+IFERROR(VLOOKUP($B9,CDM!$V$41:$AJ$54,13,FALSE)/24,0)+IFERROR(VLOOKUP($B9,CDM!$V$41:$AJ$54,13,FALSE)/2*$C9/78,0)</f>
        <v>304775.88600150286</v>
      </c>
      <c r="BQ9" s="779">
        <f t="shared" si="19"/>
        <v>30869004.476001501</v>
      </c>
      <c r="BR9" s="779"/>
      <c r="BS9" s="779"/>
      <c r="BT9" s="779">
        <f t="shared" si="20"/>
        <v>30869004.476001501</v>
      </c>
      <c r="BU9" s="779">
        <v>5266854.43</v>
      </c>
      <c r="BV9" s="779">
        <f>IFERROR(VLOOKUP($B9-1,CDM!$V$4:$AJ$17,14,FALSE)/12,0)+IFERROR(VLOOKUP($B9,CDM!$V$41:$AJ$54,14,FALSE)/24,0)+IFERROR(VLOOKUP($B9,CDM!$V$41:$AJ$54,14,FALSE)/2*$C9/78,0)</f>
        <v>68520.371781247057</v>
      </c>
      <c r="BW9" s="779">
        <f t="shared" si="21"/>
        <v>5335374.8017812464</v>
      </c>
      <c r="BX9" s="779"/>
      <c r="BY9" s="779">
        <f t="shared" si="22"/>
        <v>5335374.8017812464</v>
      </c>
      <c r="BZ9" s="779">
        <v>712402.8</v>
      </c>
      <c r="CA9" s="779">
        <v>2728.6004406512848</v>
      </c>
      <c r="CB9" s="5">
        <v>54083.77</v>
      </c>
      <c r="CC9" s="5">
        <v>72256.77</v>
      </c>
      <c r="CD9" s="5">
        <v>7481.55</v>
      </c>
      <c r="CE9" s="5">
        <v>2060.9299999999998</v>
      </c>
      <c r="CF9" s="763">
        <f t="shared" si="68"/>
        <v>7.916666666666667</v>
      </c>
      <c r="CG9" s="785">
        <v>39155</v>
      </c>
      <c r="CH9" s="785">
        <v>2171.3333333333321</v>
      </c>
      <c r="CI9" s="785">
        <v>366.33333333333348</v>
      </c>
      <c r="CJ9" s="785">
        <v>2</v>
      </c>
      <c r="CK9" s="785">
        <v>11828.666666666672</v>
      </c>
      <c r="CL9" s="785">
        <v>40</v>
      </c>
      <c r="CM9" s="785">
        <v>377.66666666666652</v>
      </c>
      <c r="CN9" s="46">
        <f>Weather!C21</f>
        <v>40.1875</v>
      </c>
      <c r="CO9" s="46">
        <f>Weather!D21</f>
        <v>22.12916666666667</v>
      </c>
      <c r="CP9" s="46">
        <f>Weather!E21</f>
        <v>9.4166666666666572</v>
      </c>
      <c r="CQ9" s="46">
        <f>Weather!F21</f>
        <v>53.358333333333334</v>
      </c>
      <c r="CR9" s="46">
        <f>Weather!G21</f>
        <v>0.49166666666666714</v>
      </c>
      <c r="CS9" s="46">
        <f>Weather!H21</f>
        <v>106.43333333333335</v>
      </c>
      <c r="CT9" s="46">
        <f>Weather!I21</f>
        <v>0</v>
      </c>
      <c r="CU9" s="46">
        <f>Weather!J21</f>
        <v>167.94166666666666</v>
      </c>
      <c r="CV9" s="46">
        <f>Weather!K21</f>
        <v>0</v>
      </c>
      <c r="CW9" s="46">
        <f>Weather!L21</f>
        <v>229.94166666666666</v>
      </c>
      <c r="CX9" s="46">
        <f>Weather!M21</f>
        <v>0</v>
      </c>
      <c r="CY9" s="46">
        <f>Weather!N21</f>
        <v>291.94166666666666</v>
      </c>
      <c r="CZ9" s="46">
        <f>Weather!O21</f>
        <v>0</v>
      </c>
      <c r="DA9" s="46">
        <f>Weather!P21</f>
        <v>353.94166666666678</v>
      </c>
      <c r="DB9" s="368">
        <f>'Economic Data'!D23</f>
        <v>6878.1</v>
      </c>
      <c r="DC9" s="368">
        <f>'Economic Data'!E23</f>
        <v>6977.5</v>
      </c>
      <c r="DD9" s="368">
        <f>'Economic Data'!F23</f>
        <v>183.2</v>
      </c>
      <c r="DE9" s="368">
        <f>'Economic Data'!G23</f>
        <v>185.2</v>
      </c>
      <c r="DF9" s="368">
        <f>'Economic Data'!H23</f>
        <v>29</v>
      </c>
      <c r="DG9" s="368">
        <f>'Economic Data'!I23</f>
        <v>29</v>
      </c>
      <c r="DH9" s="368">
        <f>'Economic Data'!J23</f>
        <v>727609.6</v>
      </c>
      <c r="DI9" s="368">
        <f>'Economic Data'!K23</f>
        <v>557474</v>
      </c>
      <c r="DJ9" s="368">
        <f>'Economic Data'!L23</f>
        <v>90490.8</v>
      </c>
      <c r="DK9" s="368">
        <f>'Economic Data'!M23</f>
        <v>29069.3</v>
      </c>
      <c r="DL9" s="368">
        <f>'Economic Data'!N23</f>
        <v>730341</v>
      </c>
      <c r="DM9" s="368">
        <f>'Economic Data'!O23</f>
        <v>91774</v>
      </c>
      <c r="DN9" s="368">
        <f>'Economic Data'!P23</f>
        <v>20733</v>
      </c>
      <c r="DO9" s="368">
        <f>'Economic Data'!Q23</f>
        <v>558510</v>
      </c>
      <c r="DP9" s="368">
        <f>'Economic Data'!R23</f>
        <v>29147</v>
      </c>
      <c r="DQ9">
        <v>31</v>
      </c>
      <c r="DR9">
        <v>20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1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f t="shared" si="69"/>
        <v>8</v>
      </c>
      <c r="EI9">
        <v>0</v>
      </c>
      <c r="EJ9">
        <v>0</v>
      </c>
      <c r="EK9">
        <v>0</v>
      </c>
      <c r="EL9">
        <v>0</v>
      </c>
      <c r="EM9" s="47">
        <f t="shared" si="23"/>
        <v>0</v>
      </c>
      <c r="EN9" s="47">
        <f t="shared" si="24"/>
        <v>0</v>
      </c>
      <c r="EO9" s="47">
        <f t="shared" si="25"/>
        <v>0</v>
      </c>
      <c r="EP9" s="47">
        <f t="shared" si="26"/>
        <v>0</v>
      </c>
      <c r="EQ9" s="47">
        <f t="shared" si="27"/>
        <v>0</v>
      </c>
      <c r="ER9" s="47">
        <f t="shared" si="28"/>
        <v>0</v>
      </c>
      <c r="ES9" s="47">
        <f t="shared" si="29"/>
        <v>0</v>
      </c>
      <c r="ET9" s="47">
        <f t="shared" si="30"/>
        <v>0</v>
      </c>
      <c r="EU9" s="47">
        <f t="shared" si="31"/>
        <v>0</v>
      </c>
      <c r="EV9" s="47">
        <f t="shared" si="32"/>
        <v>0</v>
      </c>
      <c r="EW9" s="47">
        <f t="shared" si="33"/>
        <v>0</v>
      </c>
      <c r="EX9" s="47">
        <f t="shared" si="34"/>
        <v>0</v>
      </c>
      <c r="EY9" s="47">
        <f t="shared" si="35"/>
        <v>0</v>
      </c>
      <c r="EZ9" s="47">
        <f t="shared" si="36"/>
        <v>0</v>
      </c>
      <c r="FA9" s="47">
        <f t="shared" si="37"/>
        <v>0</v>
      </c>
      <c r="FB9" s="47">
        <f t="shared" si="38"/>
        <v>0</v>
      </c>
      <c r="FC9" s="47">
        <f t="shared" si="39"/>
        <v>0</v>
      </c>
      <c r="FD9" s="47">
        <f t="shared" si="40"/>
        <v>0</v>
      </c>
      <c r="FE9" s="47">
        <f t="shared" si="41"/>
        <v>0</v>
      </c>
      <c r="FF9" s="47">
        <f t="shared" si="42"/>
        <v>0</v>
      </c>
      <c r="FG9" s="47">
        <f t="shared" si="43"/>
        <v>0</v>
      </c>
      <c r="FH9" s="47">
        <f t="shared" si="44"/>
        <v>0</v>
      </c>
      <c r="FI9" s="47">
        <f t="shared" si="45"/>
        <v>0</v>
      </c>
      <c r="FJ9" s="47">
        <f t="shared" si="46"/>
        <v>0</v>
      </c>
      <c r="FK9" s="47">
        <f t="shared" si="47"/>
        <v>0</v>
      </c>
      <c r="FL9" s="47">
        <f t="shared" si="48"/>
        <v>0</v>
      </c>
      <c r="FM9" s="47">
        <f t="shared" si="49"/>
        <v>0</v>
      </c>
      <c r="FN9" s="47">
        <f t="shared" si="50"/>
        <v>0</v>
      </c>
      <c r="FO9" s="765">
        <f t="shared" si="51"/>
        <v>740.96458445353414</v>
      </c>
      <c r="FP9" s="765">
        <f t="shared" si="52"/>
        <v>589.61809365932334</v>
      </c>
      <c r="FQ9" s="765">
        <f t="shared" si="53"/>
        <v>2558.0583527983304</v>
      </c>
      <c r="FR9" s="765">
        <f t="shared" si="54"/>
        <v>79874.138859601022</v>
      </c>
      <c r="FS9" s="765">
        <f t="shared" si="55"/>
        <v>1367596.3049977487</v>
      </c>
      <c r="FT9" s="765">
        <f t="shared" si="56"/>
        <v>6157553.4412665144</v>
      </c>
      <c r="FU9" s="765">
        <f t="shared" si="57"/>
        <v>52.831886154361293</v>
      </c>
      <c r="FV9" s="765">
        <f t="shared" si="58"/>
        <v>23.892962264150956</v>
      </c>
      <c r="FW9" s="765">
        <f t="shared" si="59"/>
        <v>489.79839306358377</v>
      </c>
      <c r="FX9" s="765">
        <f t="shared" si="60"/>
        <v>864.20943828468705</v>
      </c>
      <c r="FY9" s="765">
        <f t="shared" si="61"/>
        <v>3197.2817300597194</v>
      </c>
      <c r="FZ9" s="765">
        <f t="shared" si="62"/>
        <v>84264.798387629184</v>
      </c>
      <c r="GA9" s="765">
        <f t="shared" si="63"/>
        <v>356201.4</v>
      </c>
      <c r="GB9" s="765">
        <f t="shared" si="64"/>
        <v>60.226804937158292</v>
      </c>
      <c r="GC9" s="765">
        <f t="shared" si="65"/>
        <v>68.215011016282119</v>
      </c>
      <c r="GD9" s="765">
        <f t="shared" si="66"/>
        <v>143.20503971756403</v>
      </c>
    </row>
    <row r="10" spans="1:186">
      <c r="A10" s="4">
        <v>42248</v>
      </c>
      <c r="B10" s="6">
        <v>2015</v>
      </c>
      <c r="C10" s="5">
        <v>9</v>
      </c>
      <c r="D10" s="7">
        <v>73014212.072839707</v>
      </c>
      <c r="E10" s="7">
        <f>IFERROR(VLOOKUP($B10-1,CDM!$V$4:$AJ$17,2,FALSE)/12,0)+IFERROR(VLOOKUP($B10,CDM!$V$41:$AJ$54,2,FALSE)/24,0)+IFERROR(VLOOKUP($B10,CDM!$V$41:$AJ$54,2,FALSE)/2*$C10/78,0)</f>
        <v>723656.74176082667</v>
      </c>
      <c r="F10" s="7">
        <f t="shared" si="2"/>
        <v>73737868.814600527</v>
      </c>
      <c r="G10" s="7"/>
      <c r="H10" s="7"/>
      <c r="I10" s="7">
        <f t="shared" si="3"/>
        <v>73737868.814600527</v>
      </c>
      <c r="J10" s="7">
        <v>638759.91505999898</v>
      </c>
      <c r="K10" s="7">
        <f>IFERROR(VLOOKUP($B10-1,CDM!$V$4:$AJ$17,3,FALSE)/12,0)+IFERROR(VLOOKUP($B10,CDM!$V$41:$AJ$54,3,FALSE)/24,0)+IFERROR(VLOOKUP($B10,CDM!$V$41:$AJ$54,3,FALSE)/2*$C10/78,0)</f>
        <v>8288.6221783032743</v>
      </c>
      <c r="L10" s="7">
        <f t="shared" si="4"/>
        <v>647048.53723830229</v>
      </c>
      <c r="M10" s="7"/>
      <c r="N10" s="7"/>
      <c r="O10" s="7">
        <f t="shared" si="5"/>
        <v>647048.53723830229</v>
      </c>
      <c r="P10" s="7">
        <v>21439743.880240001</v>
      </c>
      <c r="Q10" s="7">
        <f>IFERROR(VLOOKUP($B10-1,CDM!$V$4:$AJ$17,4,FALSE)/12,0)+IFERROR(VLOOKUP($B10,CDM!$V$41:$AJ$54,4,FALSE)/24,0)+IFERROR(VLOOKUP($B10,CDM!$V$41:$AJ$54,4,FALSE)/2*$C10/78,0)</f>
        <v>363862.46493210807</v>
      </c>
      <c r="R10" s="7">
        <f t="shared" si="6"/>
        <v>21803606.345172107</v>
      </c>
      <c r="S10" s="7"/>
      <c r="T10" s="7"/>
      <c r="U10" s="7">
        <f t="shared" si="7"/>
        <v>21803606.345172107</v>
      </c>
      <c r="V10" s="7">
        <v>82439342.739999995</v>
      </c>
      <c r="W10" s="7">
        <f>IFERROR(VLOOKUP($B10-1,CDM!$V$4:$AJ$17,5,FALSE)/12,0)+IFERROR(VLOOKUP($B10,CDM!$V$41:$AJ$54,5,FALSE)/24,0)+IFERROR(VLOOKUP($B10,CDM!$V$41:$AJ$54,5,FALSE)/2*$C10/78,0)</f>
        <v>1354169.0532924188</v>
      </c>
      <c r="X10" s="7">
        <f t="shared" si="8"/>
        <v>83793511.793292418</v>
      </c>
      <c r="Y10" s="7"/>
      <c r="Z10" s="7"/>
      <c r="AA10" s="7">
        <f t="shared" si="9"/>
        <v>83793511.793292418</v>
      </c>
      <c r="AB10" s="7">
        <v>6277736.2800000003</v>
      </c>
      <c r="AC10" s="7">
        <f>IFERROR(VLOOKUP($B10-1,CDM!$V$4:$AJ$17,6,FALSE)/12,0)+IFERROR(VLOOKUP($B10,CDM!$V$41:$AJ$54,6,FALSE)/24,0)+IFERROR(VLOOKUP($B10,CDM!$V$41:$AJ$54,6,FALSE)/2*$C10/78,0)</f>
        <v>14555.813272603797</v>
      </c>
      <c r="AD10" s="7">
        <f t="shared" si="10"/>
        <v>6292292.093272604</v>
      </c>
      <c r="AE10" s="7"/>
      <c r="AF10" s="7">
        <f t="shared" si="11"/>
        <v>6292292.093272604</v>
      </c>
      <c r="AG10" s="7">
        <v>17151862.620000001</v>
      </c>
      <c r="AH10" s="7">
        <f>IFERROR(VLOOKUP($B10-1,CDM!$V$4:$AJ$17,7,FALSE)/12,0)+IFERROR(VLOOKUP($B10,CDM!$V$41:$AJ$54,7,FALSE)/24,0)+IFERROR(VLOOKUP($B10,CDM!$V$41:$AJ$54,7,FALSE)/2*$C10/78,0)</f>
        <v>416048.19294093869</v>
      </c>
      <c r="AI10" s="7">
        <f t="shared" si="12"/>
        <v>17567910.81294094</v>
      </c>
      <c r="AJ10" s="7"/>
      <c r="AK10" s="7">
        <f t="shared" si="13"/>
        <v>17567910.81294094</v>
      </c>
      <c r="AL10" s="7">
        <v>1741557.73</v>
      </c>
      <c r="AM10" s="7">
        <v>9482.9311475409831</v>
      </c>
      <c r="AN10" s="7">
        <v>420017.91999999998</v>
      </c>
      <c r="AO10" s="5">
        <v>207214.04</v>
      </c>
      <c r="AP10" s="5">
        <v>16278.48</v>
      </c>
      <c r="AQ10" s="5">
        <v>32579</v>
      </c>
      <c r="AR10" s="5">
        <v>4815.9399999999996</v>
      </c>
      <c r="AS10" s="763">
        <f t="shared" si="67"/>
        <v>84.5</v>
      </c>
      <c r="AT10" s="776">
        <v>107078.25000000004</v>
      </c>
      <c r="AU10" s="776">
        <v>1590.6427122966027</v>
      </c>
      <c r="AV10" s="776">
        <v>8900.2499999999945</v>
      </c>
      <c r="AW10" s="776">
        <v>1057.5</v>
      </c>
      <c r="AX10" s="776">
        <v>5</v>
      </c>
      <c r="AY10" s="776">
        <v>2.7500000000000013</v>
      </c>
      <c r="AZ10" s="776">
        <v>29881.25</v>
      </c>
      <c r="BA10" s="776">
        <v>440.99999999999983</v>
      </c>
      <c r="BB10" s="776">
        <v>860</v>
      </c>
      <c r="BC10" s="779">
        <v>31217104.874619901</v>
      </c>
      <c r="BD10" s="779">
        <f>IFERROR(VLOOKUP($B10-1,CDM!$V$4:$AJ$17,11,FALSE)/12,0)+IFERROR(VLOOKUP($B10,CDM!$V$41:$AJ$54,11,FALSE)/24,0)+IFERROR(VLOOKUP($B10,CDM!$V$41:$AJ$54,11,FALSE)/2*$C10/78,0)</f>
        <v>293635.36252883571</v>
      </c>
      <c r="BE10" s="779">
        <f t="shared" si="14"/>
        <v>31510740.237148736</v>
      </c>
      <c r="BF10" s="779"/>
      <c r="BG10" s="779"/>
      <c r="BH10" s="779">
        <f t="shared" si="15"/>
        <v>31510740.237148736</v>
      </c>
      <c r="BI10" s="779">
        <v>6613341.1861100104</v>
      </c>
      <c r="BJ10" s="779">
        <f>IFERROR(VLOOKUP($B10-1,CDM!$V$4:$AJ$17,12,FALSE)/12,0)+IFERROR(VLOOKUP($B10,CDM!$V$41:$AJ$54,12,FALSE)/24,0)+IFERROR(VLOOKUP($B10,CDM!$V$41:$AJ$54,12,FALSE)/2*$C10/78,0)</f>
        <v>103268.10859033334</v>
      </c>
      <c r="BK10" s="779">
        <f t="shared" si="16"/>
        <v>6716609.2947003441</v>
      </c>
      <c r="BL10" s="779"/>
      <c r="BM10" s="779"/>
      <c r="BN10" s="779">
        <f t="shared" si="17"/>
        <v>6716609.2947003441</v>
      </c>
      <c r="BO10" s="779">
        <v>30000518.25</v>
      </c>
      <c r="BP10" s="779">
        <f>IFERROR(VLOOKUP($B10-1,CDM!$V$4:$AJ$17,13,FALSE)/12,0)+IFERROR(VLOOKUP($B10,CDM!$V$41:$AJ$54,13,FALSE)/24,0)+IFERROR(VLOOKUP($B10,CDM!$V$41:$AJ$54,13,FALSE)/2*$C10/78,0)</f>
        <v>320108.77987905522</v>
      </c>
      <c r="BQ10" s="779">
        <f t="shared" si="19"/>
        <v>30320627.029879056</v>
      </c>
      <c r="BR10" s="779"/>
      <c r="BS10" s="779"/>
      <c r="BT10" s="779">
        <f t="shared" si="20"/>
        <v>30320627.029879056</v>
      </c>
      <c r="BU10" s="779">
        <v>5118950.88</v>
      </c>
      <c r="BV10" s="779">
        <f>IFERROR(VLOOKUP($B10-1,CDM!$V$4:$AJ$17,14,FALSE)/12,0)+IFERROR(VLOOKUP($B10,CDM!$V$41:$AJ$54,14,FALSE)/24,0)+IFERROR(VLOOKUP($B10,CDM!$V$41:$AJ$54,14,FALSE)/2*$C10/78,0)</f>
        <v>71967.546040194546</v>
      </c>
      <c r="BW10" s="779">
        <f t="shared" si="21"/>
        <v>5190918.426040194</v>
      </c>
      <c r="BX10" s="779"/>
      <c r="BY10" s="779">
        <f t="shared" si="22"/>
        <v>5190918.426040194</v>
      </c>
      <c r="BZ10" s="779">
        <v>745951.13</v>
      </c>
      <c r="CA10" s="779">
        <v>2728.6004406512848</v>
      </c>
      <c r="CB10" s="5">
        <v>49783</v>
      </c>
      <c r="CC10" s="5">
        <v>74470.720000000001</v>
      </c>
      <c r="CD10" s="5">
        <v>7755.27</v>
      </c>
      <c r="CE10" s="5">
        <v>1995.95</v>
      </c>
      <c r="CF10" s="763">
        <f t="shared" si="68"/>
        <v>7.916666666666667</v>
      </c>
      <c r="CG10" s="785">
        <v>39179</v>
      </c>
      <c r="CH10" s="785">
        <v>2173.2499999999986</v>
      </c>
      <c r="CI10" s="785">
        <v>366.25000000000017</v>
      </c>
      <c r="CJ10" s="785">
        <v>2</v>
      </c>
      <c r="CK10" s="785">
        <v>11829.750000000005</v>
      </c>
      <c r="CL10" s="785">
        <v>39.75</v>
      </c>
      <c r="CM10" s="785">
        <v>377.24999999999983</v>
      </c>
      <c r="CN10" s="46">
        <f>Weather!C22</f>
        <v>78.99404761904762</v>
      </c>
      <c r="CO10" s="46">
        <f>Weather!D22</f>
        <v>27.916666666666675</v>
      </c>
      <c r="CP10" s="46">
        <f>Weather!E22</f>
        <v>42.631547619047623</v>
      </c>
      <c r="CQ10" s="46">
        <f>Weather!F22</f>
        <v>51.55416666666666</v>
      </c>
      <c r="CR10" s="46">
        <f>Weather!G22</f>
        <v>18.695833333333333</v>
      </c>
      <c r="CS10" s="46">
        <f>Weather!H22</f>
        <v>87.618452380952391</v>
      </c>
      <c r="CT10" s="46">
        <f>Weather!I22</f>
        <v>6.0041666666666682</v>
      </c>
      <c r="CU10" s="46">
        <f>Weather!J22</f>
        <v>134.9267857142857</v>
      </c>
      <c r="CV10" s="46">
        <f>Weather!K22</f>
        <v>3.7500000000001421E-2</v>
      </c>
      <c r="CW10" s="46">
        <f>Weather!L22</f>
        <v>188.96011904761906</v>
      </c>
      <c r="CX10" s="46">
        <f>Weather!M22</f>
        <v>0</v>
      </c>
      <c r="CY10" s="46">
        <f>Weather!N22</f>
        <v>248.92261904761907</v>
      </c>
      <c r="CZ10" s="46">
        <f>Weather!O22</f>
        <v>0</v>
      </c>
      <c r="DA10" s="46">
        <f>Weather!P22</f>
        <v>308.92261904761898</v>
      </c>
      <c r="DB10" s="368">
        <f>'Economic Data'!D24</f>
        <v>6871</v>
      </c>
      <c r="DC10" s="368">
        <f>'Economic Data'!E24</f>
        <v>6930.7</v>
      </c>
      <c r="DD10" s="368">
        <f>'Economic Data'!F24</f>
        <v>181.9</v>
      </c>
      <c r="DE10" s="368">
        <f>'Economic Data'!G24</f>
        <v>182.5</v>
      </c>
      <c r="DF10" s="368">
        <f>'Economic Data'!H24</f>
        <v>26.5</v>
      </c>
      <c r="DG10" s="368">
        <f>'Economic Data'!I24</f>
        <v>26.5</v>
      </c>
      <c r="DH10" s="368">
        <f>'Economic Data'!J24</f>
        <v>727609.6</v>
      </c>
      <c r="DI10" s="368">
        <f>'Economic Data'!K24</f>
        <v>557474</v>
      </c>
      <c r="DJ10" s="368">
        <f>'Economic Data'!L24</f>
        <v>90490.8</v>
      </c>
      <c r="DK10" s="368">
        <f>'Economic Data'!M24</f>
        <v>29069.3</v>
      </c>
      <c r="DL10" s="368">
        <f>'Economic Data'!N24</f>
        <v>730341</v>
      </c>
      <c r="DM10" s="368">
        <f>'Economic Data'!O24</f>
        <v>91774</v>
      </c>
      <c r="DN10" s="368">
        <f>'Economic Data'!P24</f>
        <v>20733</v>
      </c>
      <c r="DO10" s="368">
        <f>'Economic Data'!Q24</f>
        <v>558510</v>
      </c>
      <c r="DP10" s="368">
        <f>'Economic Data'!R24</f>
        <v>29147</v>
      </c>
      <c r="DQ10">
        <v>30</v>
      </c>
      <c r="DR10">
        <v>21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1</v>
      </c>
      <c r="EB10">
        <v>0</v>
      </c>
      <c r="EC10">
        <v>0</v>
      </c>
      <c r="ED10">
        <v>0</v>
      </c>
      <c r="EE10">
        <v>0</v>
      </c>
      <c r="EF10">
        <v>1</v>
      </c>
      <c r="EG10">
        <v>1</v>
      </c>
      <c r="EH10">
        <f t="shared" si="69"/>
        <v>9</v>
      </c>
      <c r="EI10">
        <v>0</v>
      </c>
      <c r="EJ10">
        <v>0</v>
      </c>
      <c r="EK10">
        <v>0</v>
      </c>
      <c r="EL10">
        <v>0</v>
      </c>
      <c r="EM10" s="47">
        <f t="shared" si="23"/>
        <v>0</v>
      </c>
      <c r="EN10" s="47">
        <f t="shared" si="24"/>
        <v>0</v>
      </c>
      <c r="EO10" s="47">
        <f t="shared" si="25"/>
        <v>0</v>
      </c>
      <c r="EP10" s="47">
        <f t="shared" si="26"/>
        <v>0</v>
      </c>
      <c r="EQ10" s="47">
        <f t="shared" si="27"/>
        <v>0</v>
      </c>
      <c r="ER10" s="47">
        <f t="shared" si="28"/>
        <v>0</v>
      </c>
      <c r="ES10" s="47">
        <f t="shared" si="29"/>
        <v>0</v>
      </c>
      <c r="ET10" s="47">
        <f t="shared" si="30"/>
        <v>0</v>
      </c>
      <c r="EU10" s="47">
        <f t="shared" si="31"/>
        <v>0</v>
      </c>
      <c r="EV10" s="47">
        <f t="shared" si="32"/>
        <v>0</v>
      </c>
      <c r="EW10" s="47">
        <f t="shared" si="33"/>
        <v>0</v>
      </c>
      <c r="EX10" s="47">
        <f t="shared" si="34"/>
        <v>0</v>
      </c>
      <c r="EY10" s="47">
        <f t="shared" si="35"/>
        <v>0</v>
      </c>
      <c r="EZ10" s="47">
        <f t="shared" si="36"/>
        <v>0</v>
      </c>
      <c r="FA10" s="47">
        <f t="shared" si="37"/>
        <v>0</v>
      </c>
      <c r="FB10" s="47">
        <f t="shared" si="38"/>
        <v>0</v>
      </c>
      <c r="FC10" s="47">
        <f t="shared" si="39"/>
        <v>0</v>
      </c>
      <c r="FD10" s="47">
        <f t="shared" si="40"/>
        <v>0</v>
      </c>
      <c r="FE10" s="47">
        <f t="shared" si="41"/>
        <v>0</v>
      </c>
      <c r="FF10" s="47">
        <f t="shared" si="42"/>
        <v>0</v>
      </c>
      <c r="FG10" s="47">
        <f t="shared" si="43"/>
        <v>0</v>
      </c>
      <c r="FH10" s="47">
        <f t="shared" si="44"/>
        <v>0</v>
      </c>
      <c r="FI10" s="47">
        <f t="shared" si="45"/>
        <v>0</v>
      </c>
      <c r="FJ10" s="47">
        <f t="shared" si="46"/>
        <v>0</v>
      </c>
      <c r="FK10" s="47">
        <f t="shared" si="47"/>
        <v>0</v>
      </c>
      <c r="FL10" s="47">
        <f t="shared" si="48"/>
        <v>0</v>
      </c>
      <c r="FM10" s="47">
        <f t="shared" si="49"/>
        <v>0</v>
      </c>
      <c r="FN10" s="47">
        <f t="shared" si="50"/>
        <v>0</v>
      </c>
      <c r="FO10" s="765">
        <f t="shared" si="51"/>
        <v>688.63535605597303</v>
      </c>
      <c r="FP10" s="765">
        <f t="shared" si="52"/>
        <v>406.78433455623752</v>
      </c>
      <c r="FQ10" s="765">
        <f t="shared" si="53"/>
        <v>2449.7745956767644</v>
      </c>
      <c r="FR10" s="765">
        <f t="shared" si="54"/>
        <v>79237.363397912457</v>
      </c>
      <c r="FS10" s="765">
        <f t="shared" si="55"/>
        <v>1258458.4186545208</v>
      </c>
      <c r="FT10" s="765">
        <f t="shared" si="56"/>
        <v>6388331.2047057934</v>
      </c>
      <c r="FU10" s="765">
        <f t="shared" si="57"/>
        <v>58.282626396151429</v>
      </c>
      <c r="FV10" s="765">
        <f t="shared" si="58"/>
        <v>21.503245232519244</v>
      </c>
      <c r="FW10" s="765">
        <f t="shared" si="59"/>
        <v>488.39293023255811</v>
      </c>
      <c r="FX10" s="765">
        <f t="shared" si="60"/>
        <v>804.27627650396221</v>
      </c>
      <c r="FY10" s="765">
        <f t="shared" si="61"/>
        <v>3090.5829033476812</v>
      </c>
      <c r="FZ10" s="765">
        <f t="shared" si="62"/>
        <v>82786.694962127076</v>
      </c>
      <c r="GA10" s="765">
        <f t="shared" si="63"/>
        <v>372975.565</v>
      </c>
      <c r="GB10" s="765">
        <f t="shared" si="64"/>
        <v>63.057218453475322</v>
      </c>
      <c r="GC10" s="765">
        <f t="shared" si="65"/>
        <v>68.644036242799615</v>
      </c>
      <c r="GD10" s="765">
        <f t="shared" si="66"/>
        <v>131.96288933068263</v>
      </c>
    </row>
    <row r="11" spans="1:186">
      <c r="A11" s="4">
        <v>42278</v>
      </c>
      <c r="B11" s="6">
        <v>2015</v>
      </c>
      <c r="C11" s="5">
        <v>10</v>
      </c>
      <c r="D11" s="7">
        <v>61945597.962299503</v>
      </c>
      <c r="E11" s="7">
        <f>IFERROR(VLOOKUP($B11-1,CDM!$V$4:$AJ$17,2,FALSE)/12,0)+IFERROR(VLOOKUP($B11,CDM!$V$41:$AJ$54,2,FALSE)/24,0)+IFERROR(VLOOKUP($B11,CDM!$V$41:$AJ$54,2,FALSE)/2*$C11/78,0)</f>
        <v>756221.01592664514</v>
      </c>
      <c r="F11" s="7">
        <f t="shared" si="2"/>
        <v>62701818.978226148</v>
      </c>
      <c r="G11" s="7"/>
      <c r="H11" s="7"/>
      <c r="I11" s="7">
        <f t="shared" si="3"/>
        <v>62701818.978226148</v>
      </c>
      <c r="J11" s="7">
        <v>737422.35897000099</v>
      </c>
      <c r="K11" s="7">
        <f>IFERROR(VLOOKUP($B11-1,CDM!$V$4:$AJ$17,3,FALSE)/12,0)+IFERROR(VLOOKUP($B11,CDM!$V$41:$AJ$54,3,FALSE)/24,0)+IFERROR(VLOOKUP($B11,CDM!$V$41:$AJ$54,3,FALSE)/2*$C11/78,0)</f>
        <v>8661.6069782712675</v>
      </c>
      <c r="L11" s="7">
        <f t="shared" si="4"/>
        <v>746083.96594827226</v>
      </c>
      <c r="M11" s="7"/>
      <c r="N11" s="7"/>
      <c r="O11" s="7">
        <f t="shared" si="5"/>
        <v>746083.96594827226</v>
      </c>
      <c r="P11" s="7">
        <v>20120866.142470002</v>
      </c>
      <c r="Q11" s="7">
        <f>IFERROR(VLOOKUP($B11-1,CDM!$V$4:$AJ$17,4,FALSE)/12,0)+IFERROR(VLOOKUP($B11,CDM!$V$41:$AJ$54,4,FALSE)/24,0)+IFERROR(VLOOKUP($B11,CDM!$V$41:$AJ$54,4,FALSE)/2*$C11/78,0)</f>
        <v>380652.04937978089</v>
      </c>
      <c r="R11" s="7">
        <f t="shared" si="6"/>
        <v>20501518.191849783</v>
      </c>
      <c r="S11" s="7"/>
      <c r="T11" s="7"/>
      <c r="U11" s="7">
        <f t="shared" si="7"/>
        <v>20501518.191849783</v>
      </c>
      <c r="V11" s="7">
        <v>77995673.730000004</v>
      </c>
      <c r="W11" s="7">
        <f>IFERROR(VLOOKUP($B11-1,CDM!$V$4:$AJ$17,5,FALSE)/12,0)+IFERROR(VLOOKUP($B11,CDM!$V$41:$AJ$54,5,FALSE)/24,0)+IFERROR(VLOOKUP($B11,CDM!$V$41:$AJ$54,5,FALSE)/2*$C11/78,0)</f>
        <v>1414670.1708461551</v>
      </c>
      <c r="X11" s="7">
        <f t="shared" si="8"/>
        <v>79410343.900846153</v>
      </c>
      <c r="Y11" s="7"/>
      <c r="Z11" s="7"/>
      <c r="AA11" s="7">
        <f t="shared" si="9"/>
        <v>79410343.900846153</v>
      </c>
      <c r="AB11" s="7">
        <v>6550175.5499999998</v>
      </c>
      <c r="AC11" s="7">
        <f>IFERROR(VLOOKUP($B11-1,CDM!$V$4:$AJ$17,6,FALSE)/12,0)+IFERROR(VLOOKUP($B11,CDM!$V$41:$AJ$54,6,FALSE)/24,0)+IFERROR(VLOOKUP($B11,CDM!$V$41:$AJ$54,6,FALSE)/2*$C11/78,0)</f>
        <v>15472.401556463754</v>
      </c>
      <c r="AD11" s="7">
        <f t="shared" si="10"/>
        <v>6565647.9515564637</v>
      </c>
      <c r="AE11" s="7"/>
      <c r="AF11" s="7">
        <f t="shared" si="11"/>
        <v>6565647.9515564637</v>
      </c>
      <c r="AG11" s="7">
        <v>21423639.010000002</v>
      </c>
      <c r="AH11" s="7">
        <f>IFERROR(VLOOKUP($B11-1,CDM!$V$4:$AJ$17,7,FALSE)/12,0)+IFERROR(VLOOKUP($B11,CDM!$V$41:$AJ$54,7,FALSE)/24,0)+IFERROR(VLOOKUP($B11,CDM!$V$41:$AJ$54,7,FALSE)/2*$C11/78,0)</f>
        <v>437762.84583783324</v>
      </c>
      <c r="AI11" s="7">
        <f t="shared" si="12"/>
        <v>21861401.855837833</v>
      </c>
      <c r="AJ11" s="7"/>
      <c r="AK11" s="7">
        <f t="shared" si="13"/>
        <v>21861401.855837833</v>
      </c>
      <c r="AL11" s="7">
        <v>2034262.85</v>
      </c>
      <c r="AM11" s="7">
        <v>9799.028852459016</v>
      </c>
      <c r="AN11" s="7">
        <v>420017.91999999998</v>
      </c>
      <c r="AO11" s="5">
        <v>188326.18</v>
      </c>
      <c r="AP11" s="5">
        <v>15078.88</v>
      </c>
      <c r="AQ11" s="5">
        <v>33716</v>
      </c>
      <c r="AR11" s="5">
        <v>4815.76</v>
      </c>
      <c r="AS11" s="763">
        <f t="shared" si="67"/>
        <v>84.5</v>
      </c>
      <c r="AT11" s="776">
        <v>107023.16666666672</v>
      </c>
      <c r="AU11" s="776">
        <v>1590.0951415310685</v>
      </c>
      <c r="AV11" s="776">
        <v>8903.1666666666606</v>
      </c>
      <c r="AW11" s="776">
        <v>1059</v>
      </c>
      <c r="AX11" s="776">
        <v>5</v>
      </c>
      <c r="AY11" s="776">
        <v>2.8333333333333348</v>
      </c>
      <c r="AZ11" s="776">
        <v>29897.5</v>
      </c>
      <c r="BA11" s="776">
        <v>440.33333333333314</v>
      </c>
      <c r="BB11" s="776">
        <v>855</v>
      </c>
      <c r="BC11" s="779">
        <v>24041873.3514001</v>
      </c>
      <c r="BD11" s="779">
        <f>IFERROR(VLOOKUP($B11-1,CDM!$V$4:$AJ$17,11,FALSE)/12,0)+IFERROR(VLOOKUP($B11,CDM!$V$41:$AJ$54,11,FALSE)/24,0)+IFERROR(VLOOKUP($B11,CDM!$V$41:$AJ$54,11,FALSE)/2*$C11/78,0)</f>
        <v>307231.10021075391</v>
      </c>
      <c r="BE11" s="779">
        <f t="shared" si="14"/>
        <v>24349104.451610852</v>
      </c>
      <c r="BF11" s="779"/>
      <c r="BG11" s="779"/>
      <c r="BH11" s="779">
        <f t="shared" si="15"/>
        <v>24349104.451610852</v>
      </c>
      <c r="BI11" s="779">
        <v>5987105.1237599999</v>
      </c>
      <c r="BJ11" s="779">
        <f>IFERROR(VLOOKUP($B11-1,CDM!$V$4:$AJ$17,12,FALSE)/12,0)+IFERROR(VLOOKUP($B11,CDM!$V$41:$AJ$54,12,FALSE)/24,0)+IFERROR(VLOOKUP($B11,CDM!$V$41:$AJ$54,12,FALSE)/2*$C11/78,0)</f>
        <v>107835.00883433333</v>
      </c>
      <c r="BK11" s="779">
        <f t="shared" si="16"/>
        <v>6094940.132594333</v>
      </c>
      <c r="BL11" s="779"/>
      <c r="BM11" s="779"/>
      <c r="BN11" s="779">
        <f t="shared" si="17"/>
        <v>6094940.132594333</v>
      </c>
      <c r="BO11" s="779">
        <v>29128975.390000001</v>
      </c>
      <c r="BP11" s="779">
        <f>IFERROR(VLOOKUP($B11-1,CDM!$V$4:$AJ$17,13,FALSE)/12,0)+IFERROR(VLOOKUP($B11,CDM!$V$41:$AJ$54,13,FALSE)/24,0)+IFERROR(VLOOKUP($B11,CDM!$V$41:$AJ$54,13,FALSE)/2*$C11/78,0)</f>
        <v>335441.67375660758</v>
      </c>
      <c r="BQ11" s="779">
        <f t="shared" si="19"/>
        <v>29464417.063756607</v>
      </c>
      <c r="BR11" s="779"/>
      <c r="BS11" s="779"/>
      <c r="BT11" s="779">
        <f t="shared" si="20"/>
        <v>29464417.063756607</v>
      </c>
      <c r="BU11" s="779">
        <v>5125667.26</v>
      </c>
      <c r="BV11" s="779">
        <f>IFERROR(VLOOKUP($B11-1,CDM!$V$4:$AJ$17,14,FALSE)/12,0)+IFERROR(VLOOKUP($B11,CDM!$V$41:$AJ$54,14,FALSE)/24,0)+IFERROR(VLOOKUP($B11,CDM!$V$41:$AJ$54,14,FALSE)/2*$C11/78,0)</f>
        <v>75414.720299142034</v>
      </c>
      <c r="BW11" s="779">
        <f t="shared" si="21"/>
        <v>5201081.9802991422</v>
      </c>
      <c r="BX11" s="779"/>
      <c r="BY11" s="779">
        <f t="shared" si="22"/>
        <v>5201081.9802991422</v>
      </c>
      <c r="BZ11" s="779">
        <v>830744.9</v>
      </c>
      <c r="CA11" s="779">
        <v>2728.6004406512848</v>
      </c>
      <c r="CB11" s="5">
        <v>49557.19</v>
      </c>
      <c r="CC11" s="5">
        <v>68820.570000000007</v>
      </c>
      <c r="CD11" s="5">
        <v>7643.89</v>
      </c>
      <c r="CE11" s="5">
        <v>1910.63</v>
      </c>
      <c r="CF11" s="763">
        <f t="shared" si="68"/>
        <v>7.916666666666667</v>
      </c>
      <c r="CG11" s="785">
        <v>39203</v>
      </c>
      <c r="CH11" s="785">
        <v>2175.1666666666652</v>
      </c>
      <c r="CI11" s="785">
        <v>366.16666666666686</v>
      </c>
      <c r="CJ11" s="785">
        <v>2</v>
      </c>
      <c r="CK11" s="785">
        <v>11830.833333333339</v>
      </c>
      <c r="CL11" s="785">
        <v>39.5</v>
      </c>
      <c r="CM11" s="785">
        <v>376.83333333333314</v>
      </c>
      <c r="CN11" s="46">
        <f>Weather!C23</f>
        <v>338.98750000000007</v>
      </c>
      <c r="CO11" s="46">
        <f>Weather!D23</f>
        <v>0</v>
      </c>
      <c r="CP11" s="46">
        <f>Weather!E23</f>
        <v>276.98750000000001</v>
      </c>
      <c r="CQ11" s="46">
        <f>Weather!F23</f>
        <v>0</v>
      </c>
      <c r="CR11" s="46">
        <f>Weather!G23</f>
        <v>215.98749999999998</v>
      </c>
      <c r="CS11" s="46">
        <f>Weather!H23</f>
        <v>1</v>
      </c>
      <c r="CT11" s="46">
        <f>Weather!I23</f>
        <v>157.34583333333333</v>
      </c>
      <c r="CU11" s="46">
        <f>Weather!J23</f>
        <v>4.3583333333333325</v>
      </c>
      <c r="CV11" s="46">
        <f>Weather!K23</f>
        <v>104.88333333333331</v>
      </c>
      <c r="CW11" s="46">
        <f>Weather!L23</f>
        <v>13.895833333333337</v>
      </c>
      <c r="CX11" s="46">
        <f>Weather!M23</f>
        <v>61.262500000000003</v>
      </c>
      <c r="CY11" s="46">
        <f>Weather!N23</f>
        <v>32.275000000000006</v>
      </c>
      <c r="CZ11" s="46">
        <f>Weather!O23</f>
        <v>33.92916666666666</v>
      </c>
      <c r="DA11" s="46">
        <f>Weather!P23</f>
        <v>66.941666666666677</v>
      </c>
      <c r="DB11" s="368">
        <f>'Economic Data'!D25</f>
        <v>6867.3</v>
      </c>
      <c r="DC11" s="368">
        <f>'Economic Data'!E25</f>
        <v>6908.6</v>
      </c>
      <c r="DD11" s="368">
        <f>'Economic Data'!F25</f>
        <v>187.1</v>
      </c>
      <c r="DE11" s="368">
        <f>'Economic Data'!G25</f>
        <v>187</v>
      </c>
      <c r="DF11" s="368">
        <f>'Economic Data'!H25</f>
        <v>25.6</v>
      </c>
      <c r="DG11" s="368">
        <f>'Economic Data'!I25</f>
        <v>25.6</v>
      </c>
      <c r="DH11" s="368">
        <f>'Economic Data'!J25</f>
        <v>727609.6</v>
      </c>
      <c r="DI11" s="368">
        <f>'Economic Data'!K25</f>
        <v>557474</v>
      </c>
      <c r="DJ11" s="368">
        <f>'Economic Data'!L25</f>
        <v>90490.8</v>
      </c>
      <c r="DK11" s="368">
        <f>'Economic Data'!M25</f>
        <v>29069.3</v>
      </c>
      <c r="DL11" s="368">
        <f>'Economic Data'!N25</f>
        <v>737784</v>
      </c>
      <c r="DM11" s="368">
        <f>'Economic Data'!O25</f>
        <v>92307</v>
      </c>
      <c r="DN11" s="368">
        <f>'Economic Data'!P25</f>
        <v>20650</v>
      </c>
      <c r="DO11" s="368">
        <f>'Economic Data'!Q25</f>
        <v>564056</v>
      </c>
      <c r="DP11" s="368">
        <f>'Economic Data'!R25</f>
        <v>29355</v>
      </c>
      <c r="DQ11">
        <v>31</v>
      </c>
      <c r="DR11">
        <v>21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1</v>
      </c>
      <c r="EC11">
        <v>0</v>
      </c>
      <c r="ED11">
        <v>0</v>
      </c>
      <c r="EE11">
        <v>0</v>
      </c>
      <c r="EF11">
        <v>1</v>
      </c>
      <c r="EG11">
        <v>1</v>
      </c>
      <c r="EH11">
        <f t="shared" si="69"/>
        <v>10</v>
      </c>
      <c r="EI11">
        <v>0</v>
      </c>
      <c r="EJ11">
        <v>0</v>
      </c>
      <c r="EK11">
        <v>0</v>
      </c>
      <c r="EL11">
        <v>0</v>
      </c>
      <c r="EM11" s="47">
        <f t="shared" si="23"/>
        <v>0</v>
      </c>
      <c r="EN11" s="47">
        <f t="shared" si="24"/>
        <v>0</v>
      </c>
      <c r="EO11" s="47">
        <f t="shared" si="25"/>
        <v>0</v>
      </c>
      <c r="EP11" s="47">
        <f t="shared" si="26"/>
        <v>0</v>
      </c>
      <c r="EQ11" s="47">
        <f t="shared" si="27"/>
        <v>0</v>
      </c>
      <c r="ER11" s="47">
        <f t="shared" si="28"/>
        <v>0</v>
      </c>
      <c r="ES11" s="47">
        <f t="shared" si="29"/>
        <v>0</v>
      </c>
      <c r="ET11" s="47">
        <f t="shared" si="30"/>
        <v>0</v>
      </c>
      <c r="EU11" s="47">
        <f t="shared" si="31"/>
        <v>0</v>
      </c>
      <c r="EV11" s="47">
        <f t="shared" si="32"/>
        <v>0</v>
      </c>
      <c r="EW11" s="47">
        <f t="shared" si="33"/>
        <v>0</v>
      </c>
      <c r="EX11" s="47">
        <f t="shared" si="34"/>
        <v>0</v>
      </c>
      <c r="EY11" s="47">
        <f t="shared" si="35"/>
        <v>0</v>
      </c>
      <c r="EZ11" s="47">
        <f t="shared" si="36"/>
        <v>0</v>
      </c>
      <c r="FA11" s="47">
        <f t="shared" si="37"/>
        <v>0</v>
      </c>
      <c r="FB11" s="47">
        <f t="shared" si="38"/>
        <v>0</v>
      </c>
      <c r="FC11" s="47">
        <f t="shared" si="39"/>
        <v>0</v>
      </c>
      <c r="FD11" s="47">
        <f t="shared" si="40"/>
        <v>0</v>
      </c>
      <c r="FE11" s="47">
        <f t="shared" si="41"/>
        <v>0</v>
      </c>
      <c r="FF11" s="47">
        <f t="shared" si="42"/>
        <v>0</v>
      </c>
      <c r="FG11" s="47">
        <f t="shared" si="43"/>
        <v>0</v>
      </c>
      <c r="FH11" s="47">
        <f t="shared" si="44"/>
        <v>0</v>
      </c>
      <c r="FI11" s="47">
        <f t="shared" si="45"/>
        <v>0</v>
      </c>
      <c r="FJ11" s="47">
        <f t="shared" si="46"/>
        <v>0</v>
      </c>
      <c r="FK11" s="47">
        <f t="shared" si="47"/>
        <v>0</v>
      </c>
      <c r="FL11" s="47">
        <f t="shared" si="48"/>
        <v>0</v>
      </c>
      <c r="FM11" s="47">
        <f t="shared" si="49"/>
        <v>0</v>
      </c>
      <c r="FN11" s="47">
        <f t="shared" si="50"/>
        <v>0</v>
      </c>
      <c r="FO11" s="765">
        <f t="shared" si="51"/>
        <v>585.87146064848378</v>
      </c>
      <c r="FP11" s="765">
        <f t="shared" si="52"/>
        <v>469.2071225561283</v>
      </c>
      <c r="FQ11" s="765">
        <f t="shared" si="53"/>
        <v>2302.722049291428</v>
      </c>
      <c r="FR11" s="765">
        <f t="shared" si="54"/>
        <v>74986.160435171056</v>
      </c>
      <c r="FS11" s="765">
        <f t="shared" si="55"/>
        <v>1313129.5903112928</v>
      </c>
      <c r="FT11" s="765">
        <f t="shared" si="56"/>
        <v>7715788.890295702</v>
      </c>
      <c r="FU11" s="765">
        <f t="shared" si="57"/>
        <v>68.041235889288401</v>
      </c>
      <c r="FV11" s="765">
        <f t="shared" si="58"/>
        <v>22.253661284918291</v>
      </c>
      <c r="FW11" s="765">
        <f t="shared" si="59"/>
        <v>491.24902923976606</v>
      </c>
      <c r="FX11" s="765">
        <f t="shared" si="60"/>
        <v>621.10309036581009</v>
      </c>
      <c r="FY11" s="765">
        <f t="shared" si="61"/>
        <v>2802.0566083492472</v>
      </c>
      <c r="FZ11" s="765">
        <f t="shared" si="62"/>
        <v>80467.229122685283</v>
      </c>
      <c r="GA11" s="765">
        <f t="shared" si="63"/>
        <v>415372.45</v>
      </c>
      <c r="GB11" s="765">
        <f t="shared" si="64"/>
        <v>70.21862928787769</v>
      </c>
      <c r="GC11" s="765">
        <f t="shared" si="65"/>
        <v>69.078492168386958</v>
      </c>
      <c r="GD11" s="765">
        <f t="shared" si="66"/>
        <v>131.50957098628933</v>
      </c>
    </row>
    <row r="12" spans="1:186">
      <c r="A12" s="4">
        <v>42309</v>
      </c>
      <c r="B12" s="6">
        <v>2015</v>
      </c>
      <c r="C12" s="5">
        <v>11</v>
      </c>
      <c r="D12" s="7">
        <v>64329731.947440699</v>
      </c>
      <c r="E12" s="7">
        <f>IFERROR(VLOOKUP($B12-1,CDM!$V$4:$AJ$17,2,FALSE)/12,0)+IFERROR(VLOOKUP($B12,CDM!$V$41:$AJ$54,2,FALSE)/24,0)+IFERROR(VLOOKUP($B12,CDM!$V$41:$AJ$54,2,FALSE)/2*$C12/78,0)</f>
        <v>788785.29009246361</v>
      </c>
      <c r="F12" s="7">
        <f t="shared" si="2"/>
        <v>65118517.23753316</v>
      </c>
      <c r="G12" s="7"/>
      <c r="H12" s="7"/>
      <c r="I12" s="7">
        <f t="shared" si="3"/>
        <v>65118517.23753316</v>
      </c>
      <c r="J12" s="7">
        <v>512170.78074999998</v>
      </c>
      <c r="K12" s="7">
        <f>IFERROR(VLOOKUP($B12-1,CDM!$V$4:$AJ$17,3,FALSE)/12,0)+IFERROR(VLOOKUP($B12,CDM!$V$41:$AJ$54,3,FALSE)/24,0)+IFERROR(VLOOKUP($B12,CDM!$V$41:$AJ$54,3,FALSE)/2*$C12/78,0)</f>
        <v>9034.5917782392607</v>
      </c>
      <c r="L12" s="7">
        <f t="shared" si="4"/>
        <v>521205.37252823921</v>
      </c>
      <c r="M12" s="7"/>
      <c r="N12" s="7"/>
      <c r="O12" s="7">
        <f t="shared" si="5"/>
        <v>521205.37252823921</v>
      </c>
      <c r="P12" s="7">
        <v>20784084.706459999</v>
      </c>
      <c r="Q12" s="7">
        <f>IFERROR(VLOOKUP($B12-1,CDM!$V$4:$AJ$17,4,FALSE)/12,0)+IFERROR(VLOOKUP($B12,CDM!$V$41:$AJ$54,4,FALSE)/24,0)+IFERROR(VLOOKUP($B12,CDM!$V$41:$AJ$54,4,FALSE)/2*$C12/78,0)</f>
        <v>397441.6338274536</v>
      </c>
      <c r="R12" s="7">
        <f t="shared" si="6"/>
        <v>21181526.340287454</v>
      </c>
      <c r="S12" s="7"/>
      <c r="T12" s="7"/>
      <c r="U12" s="7">
        <f t="shared" si="7"/>
        <v>21181526.340287454</v>
      </c>
      <c r="V12" s="7">
        <v>77576977.430000007</v>
      </c>
      <c r="W12" s="7">
        <f>IFERROR(VLOOKUP($B12-1,CDM!$V$4:$AJ$17,5,FALSE)/12,0)+IFERROR(VLOOKUP($B12,CDM!$V$41:$AJ$54,5,FALSE)/24,0)+IFERROR(VLOOKUP($B12,CDM!$V$41:$AJ$54,5,FALSE)/2*$C12/78,0)</f>
        <v>1475171.2883998915</v>
      </c>
      <c r="X12" s="7">
        <f t="shared" si="8"/>
        <v>79052148.718399897</v>
      </c>
      <c r="Y12" s="7"/>
      <c r="Z12" s="7"/>
      <c r="AA12" s="7">
        <f t="shared" si="9"/>
        <v>79052148.718399897</v>
      </c>
      <c r="AB12" s="7">
        <v>6878262.1399999997</v>
      </c>
      <c r="AC12" s="7">
        <f>IFERROR(VLOOKUP($B12-1,CDM!$V$4:$AJ$17,6,FALSE)/12,0)+IFERROR(VLOOKUP($B12,CDM!$V$41:$AJ$54,6,FALSE)/24,0)+IFERROR(VLOOKUP($B12,CDM!$V$41:$AJ$54,6,FALSE)/2*$C12/78,0)</f>
        <v>16388.989840323709</v>
      </c>
      <c r="AD12" s="7">
        <f t="shared" si="10"/>
        <v>6894651.1298403237</v>
      </c>
      <c r="AE12" s="7"/>
      <c r="AF12" s="7">
        <f t="shared" si="11"/>
        <v>6894651.1298403237</v>
      </c>
      <c r="AG12" s="7">
        <v>19236085.850000001</v>
      </c>
      <c r="AH12" s="7">
        <f>IFERROR(VLOOKUP($B12-1,CDM!$V$4:$AJ$17,7,FALSE)/12,0)+IFERROR(VLOOKUP($B12,CDM!$V$41:$AJ$54,7,FALSE)/24,0)+IFERROR(VLOOKUP($B12,CDM!$V$41:$AJ$54,7,FALSE)/2*$C12/78,0)</f>
        <v>459477.49873472785</v>
      </c>
      <c r="AI12" s="7">
        <f t="shared" si="12"/>
        <v>19695563.348734729</v>
      </c>
      <c r="AJ12" s="7"/>
      <c r="AK12" s="7">
        <f t="shared" si="13"/>
        <v>19695563.348734729</v>
      </c>
      <c r="AL12" s="7">
        <v>2171827.88</v>
      </c>
      <c r="AM12" s="7">
        <v>9245.4491803278706</v>
      </c>
      <c r="AN12" s="7">
        <v>419935.64</v>
      </c>
      <c r="AO12" s="5">
        <v>186357.94</v>
      </c>
      <c r="AP12" s="5">
        <v>15706.4</v>
      </c>
      <c r="AQ12" s="5">
        <v>33506</v>
      </c>
      <c r="AR12" s="5">
        <v>4818.58</v>
      </c>
      <c r="AS12" s="763">
        <f t="shared" si="67"/>
        <v>84.5</v>
      </c>
      <c r="AT12" s="776">
        <v>106968.08333333339</v>
      </c>
      <c r="AU12" s="776">
        <v>1589.5475707655344</v>
      </c>
      <c r="AV12" s="776">
        <v>8906.0833333333267</v>
      </c>
      <c r="AW12" s="776">
        <v>1060.5</v>
      </c>
      <c r="AX12" s="776">
        <v>5</v>
      </c>
      <c r="AY12" s="776">
        <v>2.9166666666666683</v>
      </c>
      <c r="AZ12" s="776">
        <v>29913.75</v>
      </c>
      <c r="BA12" s="776">
        <v>439.66666666666646</v>
      </c>
      <c r="BB12" s="776">
        <v>850</v>
      </c>
      <c r="BC12" s="779">
        <v>24187975.689040199</v>
      </c>
      <c r="BD12" s="779">
        <f>IFERROR(VLOOKUP($B12-1,CDM!$V$4:$AJ$17,11,FALSE)/12,0)+IFERROR(VLOOKUP($B12,CDM!$V$41:$AJ$54,11,FALSE)/24,0)+IFERROR(VLOOKUP($B12,CDM!$V$41:$AJ$54,11,FALSE)/2*$C12/78,0)</f>
        <v>320826.83789267216</v>
      </c>
      <c r="BE12" s="779">
        <f t="shared" si="14"/>
        <v>24508802.526932873</v>
      </c>
      <c r="BF12" s="779"/>
      <c r="BG12" s="779"/>
      <c r="BH12" s="779">
        <f t="shared" si="15"/>
        <v>24508802.526932873</v>
      </c>
      <c r="BI12" s="779">
        <v>6177044.8955400204</v>
      </c>
      <c r="BJ12" s="779">
        <f>IFERROR(VLOOKUP($B12-1,CDM!$V$4:$AJ$17,12,FALSE)/12,0)+IFERROR(VLOOKUP($B12,CDM!$V$41:$AJ$54,12,FALSE)/24,0)+IFERROR(VLOOKUP($B12,CDM!$V$41:$AJ$54,12,FALSE)/2*$C12/78,0)</f>
        <v>112401.90907833335</v>
      </c>
      <c r="BK12" s="779">
        <f t="shared" si="16"/>
        <v>6289446.804618354</v>
      </c>
      <c r="BL12" s="779"/>
      <c r="BM12" s="779"/>
      <c r="BN12" s="779">
        <f t="shared" si="17"/>
        <v>6289446.804618354</v>
      </c>
      <c r="BO12" s="779">
        <v>28976857.489999998</v>
      </c>
      <c r="BP12" s="779">
        <f>IFERROR(VLOOKUP($B12-1,CDM!$V$4:$AJ$17,13,FALSE)/12,0)+IFERROR(VLOOKUP($B12,CDM!$V$41:$AJ$54,13,FALSE)/24,0)+IFERROR(VLOOKUP($B12,CDM!$V$41:$AJ$54,13,FALSE)/2*$C12/78,0)</f>
        <v>350774.56763415999</v>
      </c>
      <c r="BQ12" s="779">
        <f t="shared" si="19"/>
        <v>29327632.05763416</v>
      </c>
      <c r="BR12" s="779"/>
      <c r="BS12" s="779"/>
      <c r="BT12" s="779">
        <f t="shared" si="20"/>
        <v>29327632.05763416</v>
      </c>
      <c r="BU12" s="779">
        <v>4967240.05</v>
      </c>
      <c r="BV12" s="779">
        <f>IFERROR(VLOOKUP($B12-1,CDM!$V$4:$AJ$17,14,FALSE)/12,0)+IFERROR(VLOOKUP($B12,CDM!$V$41:$AJ$54,14,FALSE)/24,0)+IFERROR(VLOOKUP($B12,CDM!$V$41:$AJ$54,14,FALSE)/2*$C12/78,0)</f>
        <v>78861.894558089538</v>
      </c>
      <c r="BW12" s="779">
        <f t="shared" si="21"/>
        <v>5046101.9445580896</v>
      </c>
      <c r="BX12" s="779"/>
      <c r="BY12" s="779">
        <f t="shared" si="22"/>
        <v>5046101.9445580896</v>
      </c>
      <c r="BZ12" s="779">
        <v>835574.01</v>
      </c>
      <c r="CA12" s="779">
        <v>2728.6004406512848</v>
      </c>
      <c r="CB12" s="5">
        <v>49557.17</v>
      </c>
      <c r="CC12" s="5">
        <v>68344.97</v>
      </c>
      <c r="CD12" s="5">
        <v>7238.25</v>
      </c>
      <c r="CE12" s="5">
        <v>1816.54</v>
      </c>
      <c r="CF12" s="763">
        <f t="shared" si="68"/>
        <v>7.916666666666667</v>
      </c>
      <c r="CG12" s="785">
        <v>39227</v>
      </c>
      <c r="CH12" s="785">
        <v>2177.0833333333317</v>
      </c>
      <c r="CI12" s="785">
        <v>366.08333333333354</v>
      </c>
      <c r="CJ12" s="785">
        <v>2</v>
      </c>
      <c r="CK12" s="785">
        <v>11831.916666666673</v>
      </c>
      <c r="CL12" s="785">
        <v>39.25</v>
      </c>
      <c r="CM12" s="785">
        <v>376.41666666666646</v>
      </c>
      <c r="CN12" s="46">
        <f>Weather!C24</f>
        <v>431.77083333333331</v>
      </c>
      <c r="CO12" s="46">
        <f>Weather!D24</f>
        <v>0</v>
      </c>
      <c r="CP12" s="46">
        <f>Weather!E24</f>
        <v>371.77083333333326</v>
      </c>
      <c r="CQ12" s="46">
        <f>Weather!F24</f>
        <v>0</v>
      </c>
      <c r="CR12" s="46">
        <f>Weather!G24</f>
        <v>311.77083333333331</v>
      </c>
      <c r="CS12" s="46">
        <f>Weather!H24</f>
        <v>0</v>
      </c>
      <c r="CT12" s="46">
        <f>Weather!I24</f>
        <v>252.04166666666663</v>
      </c>
      <c r="CU12" s="46">
        <f>Weather!J24</f>
        <v>0.27083333333333393</v>
      </c>
      <c r="CV12" s="46">
        <f>Weather!K24</f>
        <v>195.30833333333331</v>
      </c>
      <c r="CW12" s="46">
        <f>Weather!L24</f>
        <v>3.5374999999999979</v>
      </c>
      <c r="CX12" s="46">
        <f>Weather!M24</f>
        <v>143.67916666666665</v>
      </c>
      <c r="CY12" s="46">
        <f>Weather!N24</f>
        <v>11.908333333333333</v>
      </c>
      <c r="CZ12" s="46">
        <f>Weather!O24</f>
        <v>99.970833333333317</v>
      </c>
      <c r="DA12" s="46">
        <f>Weather!P24</f>
        <v>28.199999999999996</v>
      </c>
      <c r="DB12" s="368">
        <f>'Economic Data'!D26</f>
        <v>6858.8</v>
      </c>
      <c r="DC12" s="368">
        <f>'Economic Data'!E26</f>
        <v>6872.9</v>
      </c>
      <c r="DD12" s="368">
        <f>'Economic Data'!F26</f>
        <v>192</v>
      </c>
      <c r="DE12" s="368">
        <f>'Economic Data'!G26</f>
        <v>191.5</v>
      </c>
      <c r="DF12" s="368">
        <f>'Economic Data'!H26</f>
        <v>25.7</v>
      </c>
      <c r="DG12" s="368">
        <f>'Economic Data'!I26</f>
        <v>25.7</v>
      </c>
      <c r="DH12" s="368">
        <f>'Economic Data'!J26</f>
        <v>727609.6</v>
      </c>
      <c r="DI12" s="368">
        <f>'Economic Data'!K26</f>
        <v>557474</v>
      </c>
      <c r="DJ12" s="368">
        <f>'Economic Data'!L26</f>
        <v>90490.8</v>
      </c>
      <c r="DK12" s="368">
        <f>'Economic Data'!M26</f>
        <v>29069.3</v>
      </c>
      <c r="DL12" s="368">
        <f>'Economic Data'!N26</f>
        <v>737784</v>
      </c>
      <c r="DM12" s="368">
        <f>'Economic Data'!O26</f>
        <v>92307</v>
      </c>
      <c r="DN12" s="368">
        <f>'Economic Data'!P26</f>
        <v>20650</v>
      </c>
      <c r="DO12" s="368">
        <f>'Economic Data'!Q26</f>
        <v>564056</v>
      </c>
      <c r="DP12" s="368">
        <f>'Economic Data'!R26</f>
        <v>29355</v>
      </c>
      <c r="DQ12">
        <v>30</v>
      </c>
      <c r="DR12">
        <v>21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</v>
      </c>
      <c r="ED12">
        <v>0</v>
      </c>
      <c r="EE12">
        <v>0</v>
      </c>
      <c r="EF12">
        <v>1</v>
      </c>
      <c r="EG12">
        <v>1</v>
      </c>
      <c r="EH12">
        <f t="shared" si="69"/>
        <v>11</v>
      </c>
      <c r="EI12">
        <v>0</v>
      </c>
      <c r="EJ12">
        <v>0</v>
      </c>
      <c r="EK12">
        <v>0</v>
      </c>
      <c r="EL12">
        <v>0</v>
      </c>
      <c r="EM12" s="47">
        <f t="shared" si="23"/>
        <v>0</v>
      </c>
      <c r="EN12" s="47">
        <f t="shared" si="24"/>
        <v>0</v>
      </c>
      <c r="EO12" s="47">
        <f t="shared" si="25"/>
        <v>0</v>
      </c>
      <c r="EP12" s="47">
        <f t="shared" si="26"/>
        <v>0</v>
      </c>
      <c r="EQ12" s="47">
        <f t="shared" si="27"/>
        <v>0</v>
      </c>
      <c r="ER12" s="47">
        <f t="shared" si="28"/>
        <v>0</v>
      </c>
      <c r="ES12" s="47">
        <f t="shared" si="29"/>
        <v>0</v>
      </c>
      <c r="ET12" s="47">
        <f t="shared" si="30"/>
        <v>0</v>
      </c>
      <c r="EU12" s="47">
        <f t="shared" si="31"/>
        <v>0</v>
      </c>
      <c r="EV12" s="47">
        <f t="shared" si="32"/>
        <v>0</v>
      </c>
      <c r="EW12" s="47">
        <f t="shared" si="33"/>
        <v>0</v>
      </c>
      <c r="EX12" s="47">
        <f t="shared" si="34"/>
        <v>0</v>
      </c>
      <c r="EY12" s="47">
        <f t="shared" si="35"/>
        <v>0</v>
      </c>
      <c r="EZ12" s="47">
        <f t="shared" si="36"/>
        <v>0</v>
      </c>
      <c r="FA12" s="47">
        <f t="shared" si="37"/>
        <v>0</v>
      </c>
      <c r="FB12" s="47">
        <f t="shared" si="38"/>
        <v>0</v>
      </c>
      <c r="FC12" s="47">
        <f t="shared" si="39"/>
        <v>0</v>
      </c>
      <c r="FD12" s="47">
        <f t="shared" si="40"/>
        <v>0</v>
      </c>
      <c r="FE12" s="47">
        <f t="shared" si="41"/>
        <v>0</v>
      </c>
      <c r="FF12" s="47">
        <f t="shared" si="42"/>
        <v>0</v>
      </c>
      <c r="FG12" s="47">
        <f t="shared" si="43"/>
        <v>0</v>
      </c>
      <c r="FH12" s="47">
        <f t="shared" si="44"/>
        <v>0</v>
      </c>
      <c r="FI12" s="47">
        <f t="shared" si="45"/>
        <v>0</v>
      </c>
      <c r="FJ12" s="47">
        <f t="shared" si="46"/>
        <v>0</v>
      </c>
      <c r="FK12" s="47">
        <f t="shared" si="47"/>
        <v>0</v>
      </c>
      <c r="FL12" s="47">
        <f t="shared" si="48"/>
        <v>0</v>
      </c>
      <c r="FM12" s="47">
        <f t="shared" si="49"/>
        <v>0</v>
      </c>
      <c r="FN12" s="47">
        <f t="shared" si="50"/>
        <v>0</v>
      </c>
      <c r="FO12" s="765">
        <f t="shared" si="51"/>
        <v>608.76585994918855</v>
      </c>
      <c r="FP12" s="765">
        <f t="shared" si="52"/>
        <v>327.89542264357902</v>
      </c>
      <c r="FQ12" s="765">
        <f t="shared" si="53"/>
        <v>2378.3211483110763</v>
      </c>
      <c r="FR12" s="765">
        <f t="shared" si="54"/>
        <v>74542.33731107958</v>
      </c>
      <c r="FS12" s="765">
        <f t="shared" si="55"/>
        <v>1378930.2259680647</v>
      </c>
      <c r="FT12" s="765">
        <f t="shared" si="56"/>
        <v>6752764.576709046</v>
      </c>
      <c r="FU12" s="765">
        <f t="shared" si="57"/>
        <v>72.602996280974466</v>
      </c>
      <c r="FV12" s="765">
        <f t="shared" si="58"/>
        <v>21.028315042443992</v>
      </c>
      <c r="FW12" s="765">
        <f t="shared" si="59"/>
        <v>494.04192941176473</v>
      </c>
      <c r="FX12" s="765">
        <f t="shared" si="60"/>
        <v>624.79421130682624</v>
      </c>
      <c r="FY12" s="765">
        <f t="shared" si="61"/>
        <v>2888.9325035567581</v>
      </c>
      <c r="FZ12" s="765">
        <f t="shared" si="62"/>
        <v>80111.90181916907</v>
      </c>
      <c r="GA12" s="765">
        <f t="shared" si="63"/>
        <v>417787.005</v>
      </c>
      <c r="GB12" s="765">
        <f t="shared" si="64"/>
        <v>70.620342717085805</v>
      </c>
      <c r="GC12" s="765">
        <f t="shared" si="65"/>
        <v>69.51848256436395</v>
      </c>
      <c r="GD12" s="765">
        <f t="shared" si="66"/>
        <v>131.65508966127967</v>
      </c>
    </row>
    <row r="13" spans="1:186">
      <c r="A13" s="4">
        <v>42339</v>
      </c>
      <c r="B13" s="6">
        <v>2015</v>
      </c>
      <c r="C13" s="5">
        <v>12</v>
      </c>
      <c r="D13" s="7">
        <v>74468220.542759702</v>
      </c>
      <c r="E13" s="7">
        <f>IFERROR(VLOOKUP($B13-1,CDM!$V$4:$AJ$17,2,FALSE)/12,0)+IFERROR(VLOOKUP($B13,CDM!$V$41:$AJ$54,2,FALSE)/24,0)+IFERROR(VLOOKUP($B13,CDM!$V$41:$AJ$54,2,FALSE)/2*$C13/78,0)</f>
        <v>821349.56425828207</v>
      </c>
      <c r="F13" s="7">
        <f t="shared" si="2"/>
        <v>75289570.107017979</v>
      </c>
      <c r="G13" s="7"/>
      <c r="H13" s="7"/>
      <c r="I13" s="7">
        <f t="shared" si="3"/>
        <v>75289570.107017979</v>
      </c>
      <c r="J13" s="7">
        <v>648188.90104000096</v>
      </c>
      <c r="K13" s="7">
        <f>IFERROR(VLOOKUP($B13-1,CDM!$V$4:$AJ$17,3,FALSE)/12,0)+IFERROR(VLOOKUP($B13,CDM!$V$41:$AJ$54,3,FALSE)/24,0)+IFERROR(VLOOKUP($B13,CDM!$V$41:$AJ$54,3,FALSE)/2*$C13/78,0)</f>
        <v>9407.576578207254</v>
      </c>
      <c r="L13" s="7">
        <f t="shared" si="4"/>
        <v>657596.47761820816</v>
      </c>
      <c r="M13" s="7"/>
      <c r="N13" s="7"/>
      <c r="O13" s="7">
        <f t="shared" si="5"/>
        <v>657596.47761820816</v>
      </c>
      <c r="P13" s="7">
        <v>22242311.923219901</v>
      </c>
      <c r="Q13" s="7">
        <f>IFERROR(VLOOKUP($B13-1,CDM!$V$4:$AJ$17,4,FALSE)/12,0)+IFERROR(VLOOKUP($B13,CDM!$V$41:$AJ$54,4,FALSE)/24,0)+IFERROR(VLOOKUP($B13,CDM!$V$41:$AJ$54,4,FALSE)/2*$C13/78,0)</f>
        <v>414231.21827512642</v>
      </c>
      <c r="R13" s="7">
        <f t="shared" si="6"/>
        <v>22656543.141495027</v>
      </c>
      <c r="S13" s="7"/>
      <c r="T13" s="7"/>
      <c r="U13" s="7">
        <f t="shared" si="7"/>
        <v>22656543.141495027</v>
      </c>
      <c r="V13" s="7">
        <v>76667512.670000002</v>
      </c>
      <c r="W13" s="7">
        <f>IFERROR(VLOOKUP($B13-1,CDM!$V$4:$AJ$17,5,FALSE)/12,0)+IFERROR(VLOOKUP($B13,CDM!$V$41:$AJ$54,5,FALSE)/24,0)+IFERROR(VLOOKUP($B13,CDM!$V$41:$AJ$54,5,FALSE)/2*$C13/78,0)</f>
        <v>1535672.4059536278</v>
      </c>
      <c r="X13" s="7">
        <f t="shared" si="8"/>
        <v>78203185.075953633</v>
      </c>
      <c r="Y13" s="7"/>
      <c r="Z13" s="7"/>
      <c r="AA13" s="7">
        <f t="shared" si="9"/>
        <v>78203185.075953633</v>
      </c>
      <c r="AB13" s="7">
        <v>6196372.3499999996</v>
      </c>
      <c r="AC13" s="7">
        <f>IFERROR(VLOOKUP($B13-1,CDM!$V$4:$AJ$17,6,FALSE)/12,0)+IFERROR(VLOOKUP($B13,CDM!$V$41:$AJ$54,6,FALSE)/24,0)+IFERROR(VLOOKUP($B13,CDM!$V$41:$AJ$54,6,FALSE)/2*$C13/78,0)</f>
        <v>17305.578124183663</v>
      </c>
      <c r="AD13" s="7">
        <f t="shared" si="10"/>
        <v>6213677.9281241829</v>
      </c>
      <c r="AE13" s="7"/>
      <c r="AF13" s="7">
        <f t="shared" si="11"/>
        <v>6213677.9281241829</v>
      </c>
      <c r="AG13" s="7">
        <v>17144215.57</v>
      </c>
      <c r="AH13" s="7">
        <f>IFERROR(VLOOKUP($B13-1,CDM!$V$4:$AJ$17,7,FALSE)/12,0)+IFERROR(VLOOKUP($B13,CDM!$V$41:$AJ$54,7,FALSE)/24,0)+IFERROR(VLOOKUP($B13,CDM!$V$41:$AJ$54,7,FALSE)/2*$C13/78,0)</f>
        <v>481192.15163162234</v>
      </c>
      <c r="AI13" s="7">
        <f t="shared" si="12"/>
        <v>17625407.721631624</v>
      </c>
      <c r="AJ13" s="7"/>
      <c r="AK13" s="7">
        <f t="shared" si="13"/>
        <v>17625407.721631624</v>
      </c>
      <c r="AL13" s="7">
        <v>2354348.9</v>
      </c>
      <c r="AM13" s="7">
        <v>9553.6308196721347</v>
      </c>
      <c r="AN13" s="7">
        <v>419066.68</v>
      </c>
      <c r="AO13" s="5">
        <v>184531.75</v>
      </c>
      <c r="AP13" s="5">
        <v>15441.65</v>
      </c>
      <c r="AQ13" s="5">
        <v>30405</v>
      </c>
      <c r="AR13" s="5">
        <v>4830.3599999999997</v>
      </c>
      <c r="AS13" s="763">
        <f t="shared" si="67"/>
        <v>84.5</v>
      </c>
      <c r="AT13" s="776">
        <v>106913</v>
      </c>
      <c r="AU13" s="776">
        <v>1589</v>
      </c>
      <c r="AV13" s="776">
        <v>8909</v>
      </c>
      <c r="AW13" s="776">
        <v>1062</v>
      </c>
      <c r="AX13" s="776">
        <v>5</v>
      </c>
      <c r="AY13" s="776">
        <v>3</v>
      </c>
      <c r="AZ13" s="776">
        <v>29930</v>
      </c>
      <c r="BA13" s="776">
        <v>439</v>
      </c>
      <c r="BB13" s="776">
        <v>845</v>
      </c>
      <c r="BC13" s="779">
        <v>27978852.707929902</v>
      </c>
      <c r="BD13" s="779">
        <f>IFERROR(VLOOKUP($B13-1,CDM!$V$4:$AJ$17,11,FALSE)/12,0)+IFERROR(VLOOKUP($B13,CDM!$V$41:$AJ$54,11,FALSE)/24,0)+IFERROR(VLOOKUP($B13,CDM!$V$41:$AJ$54,11,FALSE)/2*$C13/78,0)</f>
        <v>334422.57557459036</v>
      </c>
      <c r="BE13" s="779">
        <f t="shared" si="14"/>
        <v>28313275.283504494</v>
      </c>
      <c r="BF13" s="779"/>
      <c r="BG13" s="779"/>
      <c r="BH13" s="779">
        <f t="shared" si="15"/>
        <v>28313275.283504494</v>
      </c>
      <c r="BI13" s="779">
        <v>6576696.9807900097</v>
      </c>
      <c r="BJ13" s="779">
        <f>IFERROR(VLOOKUP($B13-1,CDM!$V$4:$AJ$17,12,FALSE)/12,0)+IFERROR(VLOOKUP($B13,CDM!$V$41:$AJ$54,12,FALSE)/24,0)+IFERROR(VLOOKUP($B13,CDM!$V$41:$AJ$54,12,FALSE)/2*$C13/78,0)</f>
        <v>116968.80932233334</v>
      </c>
      <c r="BK13" s="779">
        <f t="shared" si="16"/>
        <v>6693665.7901123427</v>
      </c>
      <c r="BL13" s="779"/>
      <c r="BM13" s="779"/>
      <c r="BN13" s="779">
        <f t="shared" si="17"/>
        <v>6693665.7901123427</v>
      </c>
      <c r="BO13" s="779">
        <v>29084557.949999999</v>
      </c>
      <c r="BP13" s="779">
        <f>IFERROR(VLOOKUP($B13-1,CDM!$V$4:$AJ$17,13,FALSE)/12,0)+IFERROR(VLOOKUP($B13,CDM!$V$41:$AJ$54,13,FALSE)/24,0)+IFERROR(VLOOKUP($B13,CDM!$V$41:$AJ$54,13,FALSE)/2*$C13/78,0)</f>
        <v>366107.4615117124</v>
      </c>
      <c r="BQ13" s="779">
        <f t="shared" si="19"/>
        <v>29450665.411511712</v>
      </c>
      <c r="BR13" s="779"/>
      <c r="BS13" s="779"/>
      <c r="BT13" s="779">
        <f t="shared" si="20"/>
        <v>29450665.411511712</v>
      </c>
      <c r="BU13" s="779">
        <v>4712804.3</v>
      </c>
      <c r="BV13" s="779">
        <f>IFERROR(VLOOKUP($B13-1,CDM!$V$4:$AJ$17,14,FALSE)/12,0)+IFERROR(VLOOKUP($B13,CDM!$V$41:$AJ$54,14,FALSE)/24,0)+IFERROR(VLOOKUP($B13,CDM!$V$41:$AJ$54,14,FALSE)/2*$C13/78,0)</f>
        <v>82309.068817037027</v>
      </c>
      <c r="BW13" s="779">
        <f t="shared" si="21"/>
        <v>4795113.368817037</v>
      </c>
      <c r="BX13" s="779"/>
      <c r="BY13" s="779">
        <f t="shared" si="22"/>
        <v>4795113.368817037</v>
      </c>
      <c r="BZ13" s="779">
        <v>889532.9</v>
      </c>
      <c r="CA13" s="779">
        <v>2728.6004406512848</v>
      </c>
      <c r="CB13" s="5">
        <v>49735.95</v>
      </c>
      <c r="CC13" s="5">
        <v>68705.45</v>
      </c>
      <c r="CD13" s="5">
        <v>7314.96</v>
      </c>
      <c r="CE13" s="5">
        <v>1780.39</v>
      </c>
      <c r="CF13" s="763">
        <f t="shared" si="68"/>
        <v>7.916666666666667</v>
      </c>
      <c r="CG13" s="785">
        <v>39251</v>
      </c>
      <c r="CH13" s="785">
        <v>2179</v>
      </c>
      <c r="CI13" s="785">
        <v>366</v>
      </c>
      <c r="CJ13" s="785">
        <v>2</v>
      </c>
      <c r="CK13" s="785">
        <v>11833</v>
      </c>
      <c r="CL13" s="785">
        <v>39</v>
      </c>
      <c r="CM13" s="785">
        <v>376</v>
      </c>
      <c r="CN13" s="46">
        <f>Weather!C25</f>
        <v>499.62590579710155</v>
      </c>
      <c r="CO13" s="46">
        <f>Weather!D25</f>
        <v>0</v>
      </c>
      <c r="CP13" s="46">
        <f>Weather!E25</f>
        <v>437.62590579710155</v>
      </c>
      <c r="CQ13" s="46">
        <f>Weather!F25</f>
        <v>0</v>
      </c>
      <c r="CR13" s="46">
        <f>Weather!G25</f>
        <v>375.6259057971015</v>
      </c>
      <c r="CS13" s="46">
        <f>Weather!H25</f>
        <v>0</v>
      </c>
      <c r="CT13" s="46">
        <f>Weather!I25</f>
        <v>313.62590579710144</v>
      </c>
      <c r="CU13" s="46">
        <f>Weather!J25</f>
        <v>0</v>
      </c>
      <c r="CV13" s="46">
        <f>Weather!K25</f>
        <v>251.62590579710138</v>
      </c>
      <c r="CW13" s="46">
        <f>Weather!L25</f>
        <v>0</v>
      </c>
      <c r="CX13" s="46">
        <f>Weather!M25</f>
        <v>190.49257246376811</v>
      </c>
      <c r="CY13" s="46">
        <f>Weather!N25</f>
        <v>0.86666666666666714</v>
      </c>
      <c r="CZ13" s="46">
        <f>Weather!O25</f>
        <v>134.45072463768119</v>
      </c>
      <c r="DA13" s="46">
        <f>Weather!P25</f>
        <v>6.8248188405797094</v>
      </c>
      <c r="DB13" s="368">
        <f>'Economic Data'!D27</f>
        <v>6868.5</v>
      </c>
      <c r="DC13" s="368">
        <f>'Economic Data'!E27</f>
        <v>6877</v>
      </c>
      <c r="DD13" s="368">
        <f>'Economic Data'!F27</f>
        <v>198.5</v>
      </c>
      <c r="DE13" s="368">
        <f>'Economic Data'!G27</f>
        <v>198.9</v>
      </c>
      <c r="DF13" s="368">
        <f>'Economic Data'!H27</f>
        <v>28.1</v>
      </c>
      <c r="DG13" s="368">
        <f>'Economic Data'!I27</f>
        <v>28.1</v>
      </c>
      <c r="DH13" s="368">
        <f>'Economic Data'!J27</f>
        <v>727609.6</v>
      </c>
      <c r="DI13" s="368">
        <f>'Economic Data'!K27</f>
        <v>557474</v>
      </c>
      <c r="DJ13" s="368">
        <f>'Economic Data'!L27</f>
        <v>90490.8</v>
      </c>
      <c r="DK13" s="368">
        <f>'Economic Data'!M27</f>
        <v>29069.3</v>
      </c>
      <c r="DL13" s="368">
        <f>'Economic Data'!N27</f>
        <v>737784</v>
      </c>
      <c r="DM13" s="368">
        <f>'Economic Data'!O27</f>
        <v>92307</v>
      </c>
      <c r="DN13" s="368">
        <f>'Economic Data'!P27</f>
        <v>20650</v>
      </c>
      <c r="DO13" s="368">
        <f>'Economic Data'!Q27</f>
        <v>564056</v>
      </c>
      <c r="DP13" s="368">
        <f>'Economic Data'!R27</f>
        <v>29355</v>
      </c>
      <c r="DQ13">
        <v>31</v>
      </c>
      <c r="DR13">
        <v>21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</v>
      </c>
      <c r="EE13">
        <v>0</v>
      </c>
      <c r="EF13">
        <v>0</v>
      </c>
      <c r="EG13">
        <v>0</v>
      </c>
      <c r="EH13">
        <f t="shared" si="69"/>
        <v>12</v>
      </c>
      <c r="EI13">
        <v>0</v>
      </c>
      <c r="EJ13">
        <v>0</v>
      </c>
      <c r="EK13">
        <v>0</v>
      </c>
      <c r="EL13">
        <v>0</v>
      </c>
      <c r="EM13" s="47">
        <f t="shared" si="23"/>
        <v>0</v>
      </c>
      <c r="EN13" s="47">
        <f t="shared" si="24"/>
        <v>0</v>
      </c>
      <c r="EO13" s="47">
        <f t="shared" si="25"/>
        <v>0</v>
      </c>
      <c r="EP13" s="47">
        <f t="shared" si="26"/>
        <v>0</v>
      </c>
      <c r="EQ13" s="47">
        <f t="shared" si="27"/>
        <v>0</v>
      </c>
      <c r="ER13" s="47">
        <f t="shared" si="28"/>
        <v>0</v>
      </c>
      <c r="ES13" s="47">
        <f t="shared" si="29"/>
        <v>0</v>
      </c>
      <c r="ET13" s="47">
        <f t="shared" si="30"/>
        <v>0</v>
      </c>
      <c r="EU13" s="47">
        <f t="shared" si="31"/>
        <v>0</v>
      </c>
      <c r="EV13" s="47">
        <f t="shared" si="32"/>
        <v>0</v>
      </c>
      <c r="EW13" s="47">
        <f t="shared" si="33"/>
        <v>0</v>
      </c>
      <c r="EX13" s="47">
        <f t="shared" si="34"/>
        <v>0</v>
      </c>
      <c r="EY13" s="47">
        <f t="shared" si="35"/>
        <v>0</v>
      </c>
      <c r="EZ13" s="47">
        <f t="shared" si="36"/>
        <v>0</v>
      </c>
      <c r="FA13" s="47">
        <f t="shared" si="37"/>
        <v>0</v>
      </c>
      <c r="FB13" s="47">
        <f t="shared" si="38"/>
        <v>0</v>
      </c>
      <c r="FC13" s="47">
        <f t="shared" si="39"/>
        <v>0</v>
      </c>
      <c r="FD13" s="47">
        <f t="shared" si="40"/>
        <v>0</v>
      </c>
      <c r="FE13" s="47">
        <f t="shared" si="41"/>
        <v>0</v>
      </c>
      <c r="FF13" s="47">
        <f t="shared" si="42"/>
        <v>0</v>
      </c>
      <c r="FG13" s="47">
        <f t="shared" si="43"/>
        <v>0</v>
      </c>
      <c r="FH13" s="47">
        <f t="shared" si="44"/>
        <v>0</v>
      </c>
      <c r="FI13" s="47">
        <f t="shared" si="45"/>
        <v>0</v>
      </c>
      <c r="FJ13" s="47">
        <f t="shared" si="46"/>
        <v>0</v>
      </c>
      <c r="FK13" s="47">
        <f t="shared" si="47"/>
        <v>0</v>
      </c>
      <c r="FL13" s="47">
        <f t="shared" si="48"/>
        <v>0</v>
      </c>
      <c r="FM13" s="47">
        <f t="shared" si="49"/>
        <v>0</v>
      </c>
      <c r="FN13" s="47">
        <f t="shared" si="50"/>
        <v>0</v>
      </c>
      <c r="FO13" s="765">
        <f t="shared" si="51"/>
        <v>704.21342687061428</v>
      </c>
      <c r="FP13" s="765">
        <f t="shared" si="52"/>
        <v>413.8429689227238</v>
      </c>
      <c r="FQ13" s="765">
        <f t="shared" si="53"/>
        <v>2543.1073230996776</v>
      </c>
      <c r="FR13" s="765">
        <f t="shared" si="54"/>
        <v>73637.650730653142</v>
      </c>
      <c r="FS13" s="765">
        <f t="shared" si="55"/>
        <v>1242735.5856248366</v>
      </c>
      <c r="FT13" s="765">
        <f t="shared" si="56"/>
        <v>5875135.907210541</v>
      </c>
      <c r="FU13" s="765">
        <f t="shared" si="57"/>
        <v>78.661840962245236</v>
      </c>
      <c r="FV13" s="765">
        <f t="shared" si="58"/>
        <v>21.762256992419442</v>
      </c>
      <c r="FW13" s="765">
        <f t="shared" si="59"/>
        <v>495.93689940828403</v>
      </c>
      <c r="FX13" s="765">
        <f t="shared" si="60"/>
        <v>721.33895400128642</v>
      </c>
      <c r="FY13" s="765">
        <f t="shared" si="61"/>
        <v>3071.8980220800104</v>
      </c>
      <c r="FZ13" s="765">
        <f t="shared" si="62"/>
        <v>80466.298938556589</v>
      </c>
      <c r="GA13" s="765">
        <f t="shared" si="63"/>
        <v>444766.45</v>
      </c>
      <c r="GB13" s="765">
        <f t="shared" si="64"/>
        <v>75.173911941181444</v>
      </c>
      <c r="GC13" s="765">
        <f t="shared" si="65"/>
        <v>69.964113862853452</v>
      </c>
      <c r="GD13" s="765">
        <f t="shared" si="66"/>
        <v>132.27646276595743</v>
      </c>
    </row>
    <row r="14" spans="1:186">
      <c r="A14" s="4">
        <v>42370</v>
      </c>
      <c r="B14" s="6">
        <v>2016</v>
      </c>
      <c r="C14" s="5">
        <v>1</v>
      </c>
      <c r="D14" s="7">
        <v>88417142.515439898</v>
      </c>
      <c r="E14" s="7">
        <f>IFERROR(VLOOKUP($B14-1,CDM!$V$4:$AJ$17,2,FALSE)/12,0)+IFERROR(VLOOKUP($B14,CDM!$V$41:$AJ$54,2,FALSE)/24,0)+IFERROR(VLOOKUP($B14,CDM!$V$41:$AJ$54,2,FALSE)/2*$C14/78,0)</f>
        <v>1025010.2383999364</v>
      </c>
      <c r="F14" s="7">
        <f t="shared" si="2"/>
        <v>89442152.753839836</v>
      </c>
      <c r="G14" s="7"/>
      <c r="H14" s="7"/>
      <c r="I14" s="7">
        <f t="shared" si="3"/>
        <v>89442152.753839836</v>
      </c>
      <c r="J14" s="7">
        <v>969345.17712000001</v>
      </c>
      <c r="K14" s="7">
        <f>IFERROR(VLOOKUP($B14-1,CDM!$V$4:$AJ$17,3,FALSE)/12,0)+IFERROR(VLOOKUP($B14,CDM!$V$41:$AJ$54,3,FALSE)/24,0)+IFERROR(VLOOKUP($B14,CDM!$V$41:$AJ$54,3,FALSE)/2*$C14/78,0)</f>
        <v>11740.265936467431</v>
      </c>
      <c r="L14" s="7">
        <f t="shared" si="4"/>
        <v>981085.44305646745</v>
      </c>
      <c r="M14" s="7"/>
      <c r="N14" s="7"/>
      <c r="O14" s="7">
        <f t="shared" si="5"/>
        <v>981085.44305646745</v>
      </c>
      <c r="P14" s="7">
        <v>26369518.37201</v>
      </c>
      <c r="Q14" s="7">
        <f>IFERROR(VLOOKUP($B14-1,CDM!$V$4:$AJ$17,4,FALSE)/12,0)+IFERROR(VLOOKUP($B14,CDM!$V$41:$AJ$54,4,FALSE)/24,0)+IFERROR(VLOOKUP($B14,CDM!$V$41:$AJ$54,4,FALSE)/2*$C14/78,0)</f>
        <v>437433.77473371039</v>
      </c>
      <c r="R14" s="7">
        <f t="shared" si="6"/>
        <v>26806952.146743711</v>
      </c>
      <c r="S14" s="7"/>
      <c r="T14" s="7"/>
      <c r="U14" s="7">
        <f t="shared" si="7"/>
        <v>26806952.146743711</v>
      </c>
      <c r="V14" s="7">
        <v>83851606.870000005</v>
      </c>
      <c r="W14" s="7">
        <f>IFERROR(VLOOKUP($B14-1,CDM!$V$4:$AJ$17,5,FALSE)/12,0)+IFERROR(VLOOKUP($B14,CDM!$V$41:$AJ$54,5,FALSE)/24,0)+IFERROR(VLOOKUP($B14,CDM!$V$41:$AJ$54,5,FALSE)/2*$C14/78,0)</f>
        <v>1573667.4370354868</v>
      </c>
      <c r="X14" s="7">
        <f t="shared" si="8"/>
        <v>85425274.307035491</v>
      </c>
      <c r="Y14" s="7"/>
      <c r="Z14" s="7"/>
      <c r="AA14" s="7">
        <f t="shared" si="9"/>
        <v>85425274.307035491</v>
      </c>
      <c r="AB14" s="7">
        <v>7052968.7699999996</v>
      </c>
      <c r="AC14" s="7">
        <f>IFERROR(VLOOKUP($B14-1,CDM!$V$4:$AJ$17,6,FALSE)/12,0)+IFERROR(VLOOKUP($B14,CDM!$V$41:$AJ$54,6,FALSE)/24,0)+IFERROR(VLOOKUP($B14,CDM!$V$41:$AJ$54,6,FALSE)/2*$C14/78,0)</f>
        <v>29157.494087681102</v>
      </c>
      <c r="AD14" s="7">
        <f t="shared" si="10"/>
        <v>7082126.2640876807</v>
      </c>
      <c r="AE14" s="7"/>
      <c r="AF14" s="7">
        <f t="shared" si="11"/>
        <v>7082126.2640876807</v>
      </c>
      <c r="AG14" s="7">
        <v>17490710.600000001</v>
      </c>
      <c r="AH14" s="7">
        <f>IFERROR(VLOOKUP($B14-1,CDM!$V$4:$AJ$17,7,FALSE)/12,0)+IFERROR(VLOOKUP($B14,CDM!$V$41:$AJ$54,7,FALSE)/24,0)+IFERROR(VLOOKUP($B14,CDM!$V$41:$AJ$54,7,FALSE)/2*$C14/78,0)</f>
        <v>495784.56211607228</v>
      </c>
      <c r="AI14" s="7">
        <f t="shared" si="12"/>
        <v>17986495.162116073</v>
      </c>
      <c r="AJ14" s="7"/>
      <c r="AK14" s="7">
        <f t="shared" si="13"/>
        <v>17986495.162116073</v>
      </c>
      <c r="AL14" s="7">
        <v>2293436.12</v>
      </c>
      <c r="AM14" s="7">
        <v>10181.283500000001</v>
      </c>
      <c r="AN14" s="7">
        <v>416794.71</v>
      </c>
      <c r="AO14" s="5">
        <v>189499.47</v>
      </c>
      <c r="AP14" s="5">
        <v>16493.79</v>
      </c>
      <c r="AQ14" s="5">
        <v>28865</v>
      </c>
      <c r="AR14" s="5">
        <v>4812.34</v>
      </c>
      <c r="AS14" s="767">
        <f>1014/12</f>
        <v>84.5</v>
      </c>
      <c r="AT14" s="776">
        <v>106995.25</v>
      </c>
      <c r="AU14" s="776">
        <v>1588.5</v>
      </c>
      <c r="AV14" s="776">
        <v>8915.8333333333339</v>
      </c>
      <c r="AW14" s="776">
        <v>1061.0833333333333</v>
      </c>
      <c r="AX14" s="776">
        <v>5</v>
      </c>
      <c r="AY14" s="776">
        <v>3</v>
      </c>
      <c r="AZ14" s="776">
        <v>29945.5</v>
      </c>
      <c r="BA14" s="776">
        <v>439</v>
      </c>
      <c r="BB14" s="776">
        <v>843.83333333333337</v>
      </c>
      <c r="BC14" s="779">
        <v>30812903.189879999</v>
      </c>
      <c r="BD14" s="779">
        <f>IFERROR(VLOOKUP($B14-1,CDM!$V$4:$AJ$17,11,FALSE)/12,0)+IFERROR(VLOOKUP($B14,CDM!$V$41:$AJ$54,11,FALSE)/24,0)+IFERROR(VLOOKUP($B14,CDM!$V$41:$AJ$54,11,FALSE)/2*$C14/78,0)</f>
        <v>486162.3848033672</v>
      </c>
      <c r="BE14" s="779">
        <f t="shared" si="14"/>
        <v>31299065.574683364</v>
      </c>
      <c r="BF14" s="779"/>
      <c r="BG14" s="779"/>
      <c r="BH14" s="779">
        <f t="shared" si="15"/>
        <v>31299065.574683364</v>
      </c>
      <c r="BI14" s="779">
        <v>7916961.4077700097</v>
      </c>
      <c r="BJ14" s="779">
        <f>IFERROR(VLOOKUP($B14-1,CDM!$V$4:$AJ$17,12,FALSE)/12,0)+IFERROR(VLOOKUP($B14,CDM!$V$41:$AJ$54,12,FALSE)/24,0)+IFERROR(VLOOKUP($B14,CDM!$V$41:$AJ$54,12,FALSE)/2*$C14/78,0)</f>
        <v>105476.43860960972</v>
      </c>
      <c r="BK14" s="779">
        <f t="shared" si="16"/>
        <v>8022437.8463796191</v>
      </c>
      <c r="BL14" s="779"/>
      <c r="BM14" s="779"/>
      <c r="BN14" s="779">
        <f t="shared" si="17"/>
        <v>8022437.8463796191</v>
      </c>
      <c r="BO14" s="779">
        <v>31727418.850000001</v>
      </c>
      <c r="BP14" s="779">
        <f>IFERROR(VLOOKUP($B14-1,CDM!$V$4:$AJ$17,13,FALSE)/12,0)+IFERROR(VLOOKUP($B14,CDM!$V$41:$AJ$54,13,FALSE)/24,0)+IFERROR(VLOOKUP($B14,CDM!$V$41:$AJ$54,13,FALSE)/2*$C14/78,0)</f>
        <v>364194.7593114911</v>
      </c>
      <c r="BQ14" s="779">
        <f t="shared" si="19"/>
        <v>32091613.609311491</v>
      </c>
      <c r="BR14" s="779"/>
      <c r="BS14" s="779"/>
      <c r="BT14" s="779">
        <f t="shared" si="20"/>
        <v>32091613.609311491</v>
      </c>
      <c r="BU14" s="779">
        <v>5247023.22</v>
      </c>
      <c r="BV14" s="779">
        <f>IFERROR(VLOOKUP($B14-1,CDM!$V$4:$AJ$17,14,FALSE)/12,0)+IFERROR(VLOOKUP($B14,CDM!$V$41:$AJ$54,14,FALSE)/24,0)+IFERROR(VLOOKUP($B14,CDM!$V$41:$AJ$54,14,FALSE)/2*$C14/78,0)</f>
        <v>81879.050984637623</v>
      </c>
      <c r="BW14" s="779">
        <f t="shared" si="21"/>
        <v>5328902.2709846376</v>
      </c>
      <c r="BX14" s="779"/>
      <c r="BY14" s="779">
        <f t="shared" si="22"/>
        <v>5328902.2709846376</v>
      </c>
      <c r="BZ14" s="779">
        <v>832877.31</v>
      </c>
      <c r="CA14" s="779">
        <v>2642.4341109465072</v>
      </c>
      <c r="CB14" s="5">
        <v>49735.88</v>
      </c>
      <c r="CC14" s="5">
        <v>69577.539999999994</v>
      </c>
      <c r="CD14" s="5">
        <v>8272.2800000000007</v>
      </c>
      <c r="CE14" s="5">
        <v>1694.47</v>
      </c>
      <c r="CF14" s="763">
        <f>92/12</f>
        <v>7.666666666666667</v>
      </c>
      <c r="CG14" s="785">
        <v>39279.083333333336</v>
      </c>
      <c r="CH14" s="785">
        <v>2182.4166666666665</v>
      </c>
      <c r="CI14" s="785">
        <v>366.16666666666669</v>
      </c>
      <c r="CJ14" s="785">
        <v>2</v>
      </c>
      <c r="CK14" s="785">
        <v>11836.75</v>
      </c>
      <c r="CL14" s="785">
        <v>39</v>
      </c>
      <c r="CM14" s="785">
        <v>375.41666666666669</v>
      </c>
      <c r="CN14" s="46">
        <f>Weather!C26</f>
        <v>737.87916666666683</v>
      </c>
      <c r="CO14" s="46">
        <f>Weather!D26</f>
        <v>0</v>
      </c>
      <c r="CP14" s="46">
        <f>Weather!E26</f>
        <v>675.87916666666683</v>
      </c>
      <c r="CQ14" s="46">
        <f>Weather!F26</f>
        <v>0</v>
      </c>
      <c r="CR14" s="46">
        <f>Weather!G26</f>
        <v>613.87916666666683</v>
      </c>
      <c r="CS14" s="46">
        <f>Weather!H26</f>
        <v>0</v>
      </c>
      <c r="CT14" s="46">
        <f>Weather!I26</f>
        <v>551.87916666666672</v>
      </c>
      <c r="CU14" s="46">
        <f>Weather!J26</f>
        <v>0</v>
      </c>
      <c r="CV14" s="46">
        <f>Weather!K26</f>
        <v>489.87916666666672</v>
      </c>
      <c r="CW14" s="46">
        <f>Weather!L26</f>
        <v>0</v>
      </c>
      <c r="CX14" s="46">
        <f>Weather!M26</f>
        <v>427.87916666666672</v>
      </c>
      <c r="CY14" s="46">
        <f>Weather!N26</f>
        <v>0</v>
      </c>
      <c r="CZ14" s="46">
        <f>Weather!O26</f>
        <v>365.87916666666672</v>
      </c>
      <c r="DA14" s="46">
        <f>Weather!P26</f>
        <v>0</v>
      </c>
      <c r="DB14" s="368">
        <f>'Economic Data'!D28</f>
        <v>6882.9</v>
      </c>
      <c r="DC14" s="368">
        <f>'Economic Data'!E28</f>
        <v>6848.3</v>
      </c>
      <c r="DD14" s="368">
        <f>'Economic Data'!F28</f>
        <v>203.1</v>
      </c>
      <c r="DE14" s="368">
        <f>'Economic Data'!G28</f>
        <v>203.1</v>
      </c>
      <c r="DF14" s="368">
        <f>'Economic Data'!H28</f>
        <v>30.6</v>
      </c>
      <c r="DG14" s="368">
        <f>'Economic Data'!I28</f>
        <v>30.6</v>
      </c>
      <c r="DH14" s="368">
        <f>'Economic Data'!J28</f>
        <v>743976.2</v>
      </c>
      <c r="DI14" s="368">
        <f>'Economic Data'!K28</f>
        <v>571846.40000000002</v>
      </c>
      <c r="DJ14" s="368">
        <f>'Economic Data'!L28</f>
        <v>91511.8</v>
      </c>
      <c r="DK14" s="368">
        <f>'Economic Data'!M28</f>
        <v>29814.5</v>
      </c>
      <c r="DL14" s="368">
        <f>'Economic Data'!N28</f>
        <v>743287</v>
      </c>
      <c r="DM14" s="368">
        <f>'Economic Data'!O28</f>
        <v>92688</v>
      </c>
      <c r="DN14" s="368">
        <f>'Economic Data'!P28</f>
        <v>21180</v>
      </c>
      <c r="DO14" s="368">
        <f>'Economic Data'!Q28</f>
        <v>568664</v>
      </c>
      <c r="DP14" s="368">
        <f>'Economic Data'!R28</f>
        <v>29546</v>
      </c>
      <c r="DQ14">
        <v>31</v>
      </c>
      <c r="DR14">
        <v>20</v>
      </c>
      <c r="DS14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f t="shared" si="69"/>
        <v>13</v>
      </c>
      <c r="EI14">
        <v>0</v>
      </c>
      <c r="EJ14">
        <v>0</v>
      </c>
      <c r="EK14">
        <v>0</v>
      </c>
      <c r="EL14">
        <v>0</v>
      </c>
      <c r="EM14" s="47">
        <f t="shared" si="23"/>
        <v>0</v>
      </c>
      <c r="EN14" s="47">
        <f t="shared" si="24"/>
        <v>0</v>
      </c>
      <c r="EO14" s="47">
        <f t="shared" si="25"/>
        <v>0</v>
      </c>
      <c r="EP14" s="47">
        <f t="shared" si="26"/>
        <v>0</v>
      </c>
      <c r="EQ14" s="47">
        <f t="shared" si="27"/>
        <v>0</v>
      </c>
      <c r="ER14" s="47">
        <f t="shared" si="28"/>
        <v>0</v>
      </c>
      <c r="ES14" s="47">
        <f t="shared" si="29"/>
        <v>0</v>
      </c>
      <c r="ET14" s="47">
        <f t="shared" si="30"/>
        <v>0</v>
      </c>
      <c r="EU14" s="47">
        <f t="shared" si="31"/>
        <v>0</v>
      </c>
      <c r="EV14" s="47">
        <f t="shared" si="32"/>
        <v>0</v>
      </c>
      <c r="EW14" s="47">
        <f t="shared" si="33"/>
        <v>0</v>
      </c>
      <c r="EX14" s="47">
        <f t="shared" si="34"/>
        <v>0</v>
      </c>
      <c r="EY14" s="47">
        <f t="shared" si="35"/>
        <v>0</v>
      </c>
      <c r="EZ14" s="47">
        <f t="shared" si="36"/>
        <v>0</v>
      </c>
      <c r="FA14" s="47">
        <f t="shared" si="37"/>
        <v>0</v>
      </c>
      <c r="FB14" s="47">
        <f t="shared" si="38"/>
        <v>0</v>
      </c>
      <c r="FC14" s="47">
        <f t="shared" si="39"/>
        <v>0</v>
      </c>
      <c r="FD14" s="47">
        <f t="shared" si="40"/>
        <v>0</v>
      </c>
      <c r="FE14" s="47">
        <f t="shared" si="41"/>
        <v>0</v>
      </c>
      <c r="FF14" s="47">
        <f t="shared" si="42"/>
        <v>0</v>
      </c>
      <c r="FG14" s="47">
        <f t="shared" si="43"/>
        <v>0</v>
      </c>
      <c r="FH14" s="47">
        <f t="shared" si="44"/>
        <v>0</v>
      </c>
      <c r="FI14" s="47">
        <f t="shared" si="45"/>
        <v>0</v>
      </c>
      <c r="FJ14" s="47">
        <f t="shared" si="46"/>
        <v>0</v>
      </c>
      <c r="FK14" s="47">
        <f t="shared" si="47"/>
        <v>0</v>
      </c>
      <c r="FL14" s="47">
        <f t="shared" si="48"/>
        <v>0</v>
      </c>
      <c r="FM14" s="47">
        <f t="shared" si="49"/>
        <v>0</v>
      </c>
      <c r="FN14" s="47">
        <f t="shared" si="50"/>
        <v>0</v>
      </c>
      <c r="FO14" s="765">
        <f t="shared" si="51"/>
        <v>835.94507937352205</v>
      </c>
      <c r="FP14" s="765">
        <f t="shared" si="52"/>
        <v>617.61752789201603</v>
      </c>
      <c r="FQ14" s="765">
        <f t="shared" si="53"/>
        <v>3006.6681536678616</v>
      </c>
      <c r="FR14" s="765">
        <f t="shared" si="54"/>
        <v>80507.601640181107</v>
      </c>
      <c r="FS14" s="765">
        <f t="shared" si="55"/>
        <v>1416425.2528175362</v>
      </c>
      <c r="FT14" s="765">
        <f t="shared" si="56"/>
        <v>5995498.3873720244</v>
      </c>
      <c r="FU14" s="765">
        <f t="shared" si="57"/>
        <v>76.587003723430897</v>
      </c>
      <c r="FV14" s="765">
        <f t="shared" si="58"/>
        <v>23.191989749430526</v>
      </c>
      <c r="FW14" s="765">
        <f t="shared" si="59"/>
        <v>493.93013233260911</v>
      </c>
      <c r="FX14" s="765">
        <f t="shared" si="60"/>
        <v>796.83798394862481</v>
      </c>
      <c r="FY14" s="765">
        <f t="shared" si="61"/>
        <v>3675.9423481826507</v>
      </c>
      <c r="FZ14" s="765">
        <f t="shared" si="62"/>
        <v>87642.09451791941</v>
      </c>
      <c r="GA14" s="765">
        <f t="shared" si="63"/>
        <v>416438.65500000003</v>
      </c>
      <c r="GB14" s="765">
        <f t="shared" si="64"/>
        <v>70.363681753859808</v>
      </c>
      <c r="GC14" s="765">
        <f t="shared" si="65"/>
        <v>67.754720793500184</v>
      </c>
      <c r="GD14" s="765">
        <f t="shared" si="66"/>
        <v>132.4818113207547</v>
      </c>
    </row>
    <row r="15" spans="1:186">
      <c r="A15" s="4">
        <v>42401</v>
      </c>
      <c r="B15" s="6">
        <v>2016</v>
      </c>
      <c r="C15" s="5">
        <v>2</v>
      </c>
      <c r="D15" s="7">
        <v>79983170.206210807</v>
      </c>
      <c r="E15" s="7">
        <f>IFERROR(VLOOKUP($B15-1,CDM!$V$4:$AJ$17,2,FALSE)/12,0)+IFERROR(VLOOKUP($B15,CDM!$V$41:$AJ$54,2,FALSE)/24,0)+IFERROR(VLOOKUP($B15,CDM!$V$41:$AJ$54,2,FALSE)/2*$C15/78,0)</f>
        <v>1076045.4626737572</v>
      </c>
      <c r="F15" s="7">
        <f t="shared" si="2"/>
        <v>81059215.66888456</v>
      </c>
      <c r="G15" s="7"/>
      <c r="H15" s="7"/>
      <c r="I15" s="7">
        <f t="shared" si="3"/>
        <v>81059215.66888456</v>
      </c>
      <c r="J15" s="7">
        <v>927535.13323000004</v>
      </c>
      <c r="K15" s="7">
        <f>IFERROR(VLOOKUP($B15-1,CDM!$V$4:$AJ$17,3,FALSE)/12,0)+IFERROR(VLOOKUP($B15,CDM!$V$41:$AJ$54,3,FALSE)/24,0)+IFERROR(VLOOKUP($B15,CDM!$V$41:$AJ$54,3,FALSE)/2*$C15/78,0)</f>
        <v>12324.813370878648</v>
      </c>
      <c r="L15" s="7">
        <f t="shared" si="4"/>
        <v>939859.94660087873</v>
      </c>
      <c r="M15" s="7"/>
      <c r="N15" s="7"/>
      <c r="O15" s="7">
        <f t="shared" si="5"/>
        <v>939859.94660087873</v>
      </c>
      <c r="P15" s="7">
        <v>24521462.855070002</v>
      </c>
      <c r="Q15" s="7">
        <f>IFERROR(VLOOKUP($B15-1,CDM!$V$4:$AJ$17,4,FALSE)/12,0)+IFERROR(VLOOKUP($B15,CDM!$V$41:$AJ$54,4,FALSE)/24,0)+IFERROR(VLOOKUP($B15,CDM!$V$41:$AJ$54,4,FALSE)/2*$C15/78,0)</f>
        <v>452839.81085648166</v>
      </c>
      <c r="R15" s="7">
        <f t="shared" si="6"/>
        <v>24974302.665926483</v>
      </c>
      <c r="S15" s="7"/>
      <c r="T15" s="7"/>
      <c r="U15" s="7">
        <f t="shared" si="7"/>
        <v>24974302.665926483</v>
      </c>
      <c r="V15" s="7">
        <v>79564826.769999996</v>
      </c>
      <c r="W15" s="7">
        <f>IFERROR(VLOOKUP($B15-1,CDM!$V$4:$AJ$17,5,FALSE)/12,0)+IFERROR(VLOOKUP($B15,CDM!$V$41:$AJ$54,5,FALSE)/24,0)+IFERROR(VLOOKUP($B15,CDM!$V$41:$AJ$54,5,FALSE)/2*$C15/78,0)</f>
        <v>1623100.927385808</v>
      </c>
      <c r="X15" s="7">
        <f t="shared" si="8"/>
        <v>81187927.697385803</v>
      </c>
      <c r="Y15" s="7"/>
      <c r="Z15" s="7"/>
      <c r="AA15" s="7">
        <f t="shared" si="9"/>
        <v>81187927.697385803</v>
      </c>
      <c r="AB15" s="7">
        <v>6409471.79</v>
      </c>
      <c r="AC15" s="7">
        <f>IFERROR(VLOOKUP($B15-1,CDM!$V$4:$AJ$17,6,FALSE)/12,0)+IFERROR(VLOOKUP($B15,CDM!$V$41:$AJ$54,6,FALSE)/24,0)+IFERROR(VLOOKUP($B15,CDM!$V$41:$AJ$54,6,FALSE)/2*$C15/78,0)</f>
        <v>31409.91429097806</v>
      </c>
      <c r="AD15" s="7">
        <f t="shared" si="10"/>
        <v>6440881.7042909777</v>
      </c>
      <c r="AE15" s="7"/>
      <c r="AF15" s="7">
        <f t="shared" si="11"/>
        <v>6440881.7042909777</v>
      </c>
      <c r="AG15" s="7">
        <v>18519183.879999999</v>
      </c>
      <c r="AH15" s="7">
        <f>IFERROR(VLOOKUP($B15-1,CDM!$V$4:$AJ$17,7,FALSE)/12,0)+IFERROR(VLOOKUP($B15,CDM!$V$41:$AJ$54,7,FALSE)/24,0)+IFERROR(VLOOKUP($B15,CDM!$V$41:$AJ$54,7,FALSE)/2*$C15/78,0)</f>
        <v>513654.29563838831</v>
      </c>
      <c r="AI15" s="7">
        <f t="shared" si="12"/>
        <v>19032838.175638389</v>
      </c>
      <c r="AJ15" s="7"/>
      <c r="AK15" s="7">
        <f t="shared" si="13"/>
        <v>19032838.175638389</v>
      </c>
      <c r="AL15" s="7">
        <v>1976033.39</v>
      </c>
      <c r="AM15" s="7">
        <v>9524.4264999999996</v>
      </c>
      <c r="AN15" s="7">
        <v>416314.63</v>
      </c>
      <c r="AO15" s="5">
        <v>191034.62</v>
      </c>
      <c r="AP15" s="5">
        <v>16479.18</v>
      </c>
      <c r="AQ15" s="5">
        <v>30920</v>
      </c>
      <c r="AR15" s="5">
        <v>4815.3</v>
      </c>
      <c r="AS15" s="763">
        <f t="shared" si="67"/>
        <v>84.5</v>
      </c>
      <c r="AT15" s="776">
        <v>107077.5</v>
      </c>
      <c r="AU15" s="776">
        <v>1588</v>
      </c>
      <c r="AV15" s="776">
        <v>8922.6666666666679</v>
      </c>
      <c r="AW15" s="776">
        <v>1060.1666666666665</v>
      </c>
      <c r="AX15" s="776">
        <v>5</v>
      </c>
      <c r="AY15" s="776">
        <v>3</v>
      </c>
      <c r="AZ15" s="776">
        <v>29961</v>
      </c>
      <c r="BA15" s="776">
        <v>439</v>
      </c>
      <c r="BB15" s="776">
        <v>842.66666666666674</v>
      </c>
      <c r="BC15" s="779">
        <v>27591290.8776301</v>
      </c>
      <c r="BD15" s="779">
        <f>IFERROR(VLOOKUP($B15-1,CDM!$V$4:$AJ$17,11,FALSE)/12,0)+IFERROR(VLOOKUP($B15,CDM!$V$41:$AJ$54,11,FALSE)/24,0)+IFERROR(VLOOKUP($B15,CDM!$V$41:$AJ$54,11,FALSE)/2*$C15/78,0)</f>
        <v>516364.56700061075</v>
      </c>
      <c r="BE15" s="779">
        <f t="shared" si="14"/>
        <v>28107655.444630712</v>
      </c>
      <c r="BF15" s="779"/>
      <c r="BG15" s="779"/>
      <c r="BH15" s="779">
        <f t="shared" si="15"/>
        <v>28107655.444630712</v>
      </c>
      <c r="BI15" s="779">
        <v>7414281.0703600002</v>
      </c>
      <c r="BJ15" s="779">
        <f>IFERROR(VLOOKUP($B15-1,CDM!$V$4:$AJ$17,12,FALSE)/12,0)+IFERROR(VLOOKUP($B15,CDM!$V$41:$AJ$54,12,FALSE)/24,0)+IFERROR(VLOOKUP($B15,CDM!$V$41:$AJ$54,12,FALSE)/2*$C15/78,0)</f>
        <v>107293.18269351324</v>
      </c>
      <c r="BK15" s="779">
        <f t="shared" si="16"/>
        <v>7521574.2530535134</v>
      </c>
      <c r="BL15" s="779"/>
      <c r="BM15" s="779"/>
      <c r="BN15" s="779">
        <f t="shared" si="17"/>
        <v>7521574.2530535134</v>
      </c>
      <c r="BO15" s="779">
        <v>31082611.98</v>
      </c>
      <c r="BP15" s="779">
        <f>IFERROR(VLOOKUP($B15-1,CDM!$V$4:$AJ$17,13,FALSE)/12,0)+IFERROR(VLOOKUP($B15,CDM!$V$41:$AJ$54,13,FALSE)/24,0)+IFERROR(VLOOKUP($B15,CDM!$V$41:$AJ$54,13,FALSE)/2*$C15/78,0)</f>
        <v>375183.85452833335</v>
      </c>
      <c r="BQ15" s="779">
        <f t="shared" si="19"/>
        <v>31457795.834528334</v>
      </c>
      <c r="BR15" s="779"/>
      <c r="BS15" s="779"/>
      <c r="BT15" s="779">
        <f t="shared" si="20"/>
        <v>31457795.834528334</v>
      </c>
      <c r="BU15" s="779">
        <v>4900187.4800000004</v>
      </c>
      <c r="BV15" s="779">
        <f>IFERROR(VLOOKUP($B15-1,CDM!$V$4:$AJ$17,14,FALSE)/12,0)+IFERROR(VLOOKUP($B15,CDM!$V$41:$AJ$54,14,FALSE)/24,0)+IFERROR(VLOOKUP($B15,CDM!$V$41:$AJ$54,14,FALSE)/2*$C15/78,0)</f>
        <v>84349.643063545853</v>
      </c>
      <c r="BW15" s="779">
        <f t="shared" si="21"/>
        <v>4984537.1230635466</v>
      </c>
      <c r="BX15" s="779"/>
      <c r="BY15" s="779">
        <f t="shared" si="22"/>
        <v>4984537.1230635466</v>
      </c>
      <c r="BZ15" s="779">
        <v>693765.38</v>
      </c>
      <c r="CA15" s="779">
        <v>2642.4341109465072</v>
      </c>
      <c r="CB15" s="5">
        <v>49735.95</v>
      </c>
      <c r="CC15" s="5">
        <v>71207.7</v>
      </c>
      <c r="CD15" s="5">
        <v>8485.17</v>
      </c>
      <c r="CE15" s="5">
        <v>1644.34</v>
      </c>
      <c r="CF15" s="763">
        <f t="shared" ref="CF15:CF25" si="70">92/12</f>
        <v>7.666666666666667</v>
      </c>
      <c r="CG15" s="785">
        <v>39307.166666666672</v>
      </c>
      <c r="CH15" s="785">
        <v>2185.833333333333</v>
      </c>
      <c r="CI15" s="785">
        <v>366.33333333333337</v>
      </c>
      <c r="CJ15" s="785">
        <v>2</v>
      </c>
      <c r="CK15" s="785">
        <v>11840.5</v>
      </c>
      <c r="CL15" s="785">
        <v>39</v>
      </c>
      <c r="CM15" s="785">
        <v>374.83333333333337</v>
      </c>
      <c r="CN15" s="46">
        <f>Weather!C27</f>
        <v>661.70833333333326</v>
      </c>
      <c r="CO15" s="46">
        <f>Weather!D27</f>
        <v>0</v>
      </c>
      <c r="CP15" s="46">
        <f>Weather!E27</f>
        <v>603.70833333333337</v>
      </c>
      <c r="CQ15" s="46">
        <f>Weather!F27</f>
        <v>0</v>
      </c>
      <c r="CR15" s="46">
        <f>Weather!G27</f>
        <v>545.70833333333337</v>
      </c>
      <c r="CS15" s="46">
        <f>Weather!H27</f>
        <v>0</v>
      </c>
      <c r="CT15" s="46">
        <f>Weather!I27</f>
        <v>487.70833333333337</v>
      </c>
      <c r="CU15" s="46">
        <f>Weather!J27</f>
        <v>0</v>
      </c>
      <c r="CV15" s="46">
        <f>Weather!K27</f>
        <v>429.70833333333337</v>
      </c>
      <c r="CW15" s="46">
        <f>Weather!L27</f>
        <v>0</v>
      </c>
      <c r="CX15" s="46">
        <f>Weather!M27</f>
        <v>371.70833333333337</v>
      </c>
      <c r="CY15" s="46">
        <f>Weather!N27</f>
        <v>0</v>
      </c>
      <c r="CZ15" s="46">
        <f>Weather!O27</f>
        <v>313.70833333333326</v>
      </c>
      <c r="DA15" s="46">
        <f>Weather!P27</f>
        <v>0</v>
      </c>
      <c r="DB15" s="368">
        <f>'Economic Data'!D29</f>
        <v>6899.5</v>
      </c>
      <c r="DC15" s="368">
        <f>'Economic Data'!E29</f>
        <v>6829.1</v>
      </c>
      <c r="DD15" s="368">
        <f>'Economic Data'!F29</f>
        <v>204.7</v>
      </c>
      <c r="DE15" s="368">
        <f>'Economic Data'!G29</f>
        <v>203.6</v>
      </c>
      <c r="DF15" s="368">
        <f>'Economic Data'!H29</f>
        <v>33.4</v>
      </c>
      <c r="DG15" s="368">
        <f>'Economic Data'!I29</f>
        <v>33.4</v>
      </c>
      <c r="DH15" s="368">
        <f>'Economic Data'!J29</f>
        <v>743976.2</v>
      </c>
      <c r="DI15" s="368">
        <f>'Economic Data'!K29</f>
        <v>571846.40000000002</v>
      </c>
      <c r="DJ15" s="368">
        <f>'Economic Data'!L29</f>
        <v>91511.8</v>
      </c>
      <c r="DK15" s="368">
        <f>'Economic Data'!M29</f>
        <v>29814.5</v>
      </c>
      <c r="DL15" s="368">
        <f>'Economic Data'!N29</f>
        <v>743287</v>
      </c>
      <c r="DM15" s="368">
        <f>'Economic Data'!O29</f>
        <v>92688</v>
      </c>
      <c r="DN15" s="368">
        <f>'Economic Data'!P29</f>
        <v>21180</v>
      </c>
      <c r="DO15" s="368">
        <f>'Economic Data'!Q29</f>
        <v>568664</v>
      </c>
      <c r="DP15" s="368">
        <f>'Economic Data'!R29</f>
        <v>29546</v>
      </c>
      <c r="DQ15">
        <v>29</v>
      </c>
      <c r="DR15">
        <v>20</v>
      </c>
      <c r="DS15">
        <v>0</v>
      </c>
      <c r="DT15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f t="shared" si="69"/>
        <v>14</v>
      </c>
      <c r="EI15">
        <v>0</v>
      </c>
      <c r="EJ15">
        <v>0</v>
      </c>
      <c r="EK15">
        <v>0</v>
      </c>
      <c r="EL15">
        <v>0</v>
      </c>
      <c r="EM15" s="47">
        <f t="shared" si="23"/>
        <v>0</v>
      </c>
      <c r="EN15" s="47">
        <f t="shared" si="24"/>
        <v>0</v>
      </c>
      <c r="EO15" s="47">
        <f t="shared" si="25"/>
        <v>0</v>
      </c>
      <c r="EP15" s="47">
        <f t="shared" si="26"/>
        <v>0</v>
      </c>
      <c r="EQ15" s="47">
        <f t="shared" si="27"/>
        <v>0</v>
      </c>
      <c r="ER15" s="47">
        <f t="shared" si="28"/>
        <v>0</v>
      </c>
      <c r="ES15" s="47">
        <f t="shared" si="29"/>
        <v>0</v>
      </c>
      <c r="ET15" s="47">
        <f t="shared" si="30"/>
        <v>0</v>
      </c>
      <c r="EU15" s="47">
        <f t="shared" si="31"/>
        <v>0</v>
      </c>
      <c r="EV15" s="47">
        <f t="shared" si="32"/>
        <v>0</v>
      </c>
      <c r="EW15" s="47">
        <f t="shared" si="33"/>
        <v>0</v>
      </c>
      <c r="EX15" s="47">
        <f t="shared" si="34"/>
        <v>0</v>
      </c>
      <c r="EY15" s="47">
        <f t="shared" si="35"/>
        <v>0</v>
      </c>
      <c r="EZ15" s="47">
        <f t="shared" si="36"/>
        <v>0</v>
      </c>
      <c r="FA15" s="47">
        <f t="shared" si="37"/>
        <v>0</v>
      </c>
      <c r="FB15" s="47">
        <f t="shared" si="38"/>
        <v>0</v>
      </c>
      <c r="FC15" s="47">
        <f t="shared" si="39"/>
        <v>0</v>
      </c>
      <c r="FD15" s="47">
        <f t="shared" si="40"/>
        <v>0</v>
      </c>
      <c r="FE15" s="47">
        <f t="shared" si="41"/>
        <v>0</v>
      </c>
      <c r="FF15" s="47">
        <f t="shared" si="42"/>
        <v>0</v>
      </c>
      <c r="FG15" s="47">
        <f t="shared" si="43"/>
        <v>0</v>
      </c>
      <c r="FH15" s="47">
        <f t="shared" si="44"/>
        <v>0</v>
      </c>
      <c r="FI15" s="47">
        <f t="shared" si="45"/>
        <v>0</v>
      </c>
      <c r="FJ15" s="47">
        <f t="shared" si="46"/>
        <v>0</v>
      </c>
      <c r="FK15" s="47">
        <f t="shared" si="47"/>
        <v>0</v>
      </c>
      <c r="FL15" s="47">
        <f t="shared" si="48"/>
        <v>0</v>
      </c>
      <c r="FM15" s="47">
        <f t="shared" si="49"/>
        <v>0</v>
      </c>
      <c r="FN15" s="47">
        <f t="shared" si="50"/>
        <v>0</v>
      </c>
      <c r="FO15" s="765">
        <f t="shared" si="51"/>
        <v>757.01445839587734</v>
      </c>
      <c r="FP15" s="765">
        <f t="shared" si="52"/>
        <v>591.85135176377753</v>
      </c>
      <c r="FQ15" s="765">
        <f t="shared" si="53"/>
        <v>2798.9729526964825</v>
      </c>
      <c r="FR15" s="765">
        <f t="shared" si="54"/>
        <v>76580.343685633532</v>
      </c>
      <c r="FS15" s="765">
        <f t="shared" si="55"/>
        <v>1288176.3408581954</v>
      </c>
      <c r="FT15" s="765">
        <f t="shared" si="56"/>
        <v>6344279.3918794626</v>
      </c>
      <c r="FU15" s="765">
        <f t="shared" si="57"/>
        <v>65.953519241680851</v>
      </c>
      <c r="FV15" s="765">
        <f t="shared" si="58"/>
        <v>21.695732346241456</v>
      </c>
      <c r="FW15" s="765">
        <f t="shared" si="59"/>
        <v>494.04426028481009</v>
      </c>
      <c r="FX15" s="765">
        <f t="shared" si="60"/>
        <v>715.07711769178752</v>
      </c>
      <c r="FY15" s="765">
        <f t="shared" si="61"/>
        <v>3441.0557009775894</v>
      </c>
      <c r="FZ15" s="765">
        <f t="shared" si="62"/>
        <v>85872.05414338944</v>
      </c>
      <c r="GA15" s="765">
        <f t="shared" si="63"/>
        <v>346882.69</v>
      </c>
      <c r="GB15" s="765">
        <f t="shared" si="64"/>
        <v>58.59257463789536</v>
      </c>
      <c r="GC15" s="765">
        <f t="shared" si="65"/>
        <v>67.754720793500184</v>
      </c>
      <c r="GD15" s="765">
        <f t="shared" si="66"/>
        <v>132.68817252112046</v>
      </c>
    </row>
    <row r="16" spans="1:186">
      <c r="A16" s="4">
        <v>42430</v>
      </c>
      <c r="B16" s="6">
        <v>2016</v>
      </c>
      <c r="C16" s="5">
        <v>3</v>
      </c>
      <c r="D16" s="7">
        <v>76355905.372309387</v>
      </c>
      <c r="E16" s="7">
        <f>IFERROR(VLOOKUP($B16-1,CDM!$V$4:$AJ$17,2,FALSE)/12,0)+IFERROR(VLOOKUP($B16,CDM!$V$41:$AJ$54,2,FALSE)/24,0)+IFERROR(VLOOKUP($B16,CDM!$V$41:$AJ$54,2,FALSE)/2*$C16/78,0)</f>
        <v>1127080.6869475781</v>
      </c>
      <c r="F16" s="7">
        <f t="shared" si="2"/>
        <v>77482986.059256971</v>
      </c>
      <c r="G16" s="7"/>
      <c r="H16" s="7"/>
      <c r="I16" s="7">
        <f t="shared" si="3"/>
        <v>77482986.059256971</v>
      </c>
      <c r="J16" s="7">
        <v>808357.23833000101</v>
      </c>
      <c r="K16" s="7">
        <f>IFERROR(VLOOKUP($B16-1,CDM!$V$4:$AJ$17,3,FALSE)/12,0)+IFERROR(VLOOKUP($B16,CDM!$V$41:$AJ$54,3,FALSE)/24,0)+IFERROR(VLOOKUP($B16,CDM!$V$41:$AJ$54,3,FALSE)/2*$C16/78,0)</f>
        <v>12909.360805289867</v>
      </c>
      <c r="L16" s="7">
        <f t="shared" si="4"/>
        <v>821266.59913529083</v>
      </c>
      <c r="M16" s="7"/>
      <c r="N16" s="7"/>
      <c r="O16" s="7">
        <f t="shared" si="5"/>
        <v>821266.59913529083</v>
      </c>
      <c r="P16" s="7">
        <v>24144999.231819902</v>
      </c>
      <c r="Q16" s="7">
        <f>IFERROR(VLOOKUP($B16-1,CDM!$V$4:$AJ$17,4,FALSE)/12,0)+IFERROR(VLOOKUP($B16,CDM!$V$41:$AJ$54,4,FALSE)/24,0)+IFERROR(VLOOKUP($B16,CDM!$V$41:$AJ$54,4,FALSE)/2*$C16/78,0)</f>
        <v>468245.84697925288</v>
      </c>
      <c r="R16" s="7">
        <f t="shared" si="6"/>
        <v>24613245.078799155</v>
      </c>
      <c r="S16" s="7"/>
      <c r="T16" s="7"/>
      <c r="U16" s="7">
        <f t="shared" si="7"/>
        <v>24613245.078799155</v>
      </c>
      <c r="V16" s="7">
        <v>81673423.549999997</v>
      </c>
      <c r="W16" s="7">
        <f>IFERROR(VLOOKUP($B16-1,CDM!$V$4:$AJ$17,5,FALSE)/12,0)+IFERROR(VLOOKUP($B16,CDM!$V$41:$AJ$54,5,FALSE)/24,0)+IFERROR(VLOOKUP($B16,CDM!$V$41:$AJ$54,5,FALSE)/2*$C16/78,0)</f>
        <v>1672534.4177361291</v>
      </c>
      <c r="X16" s="7">
        <f t="shared" si="8"/>
        <v>83345957.967736125</v>
      </c>
      <c r="Y16" s="7"/>
      <c r="Z16" s="7"/>
      <c r="AA16" s="7">
        <f t="shared" si="9"/>
        <v>83345957.967736125</v>
      </c>
      <c r="AB16" s="7">
        <v>6526094.7999999998</v>
      </c>
      <c r="AC16" s="7">
        <f>IFERROR(VLOOKUP($B16-1,CDM!$V$4:$AJ$17,6,FALSE)/12,0)+IFERROR(VLOOKUP($B16,CDM!$V$41:$AJ$54,6,FALSE)/24,0)+IFERROR(VLOOKUP($B16,CDM!$V$41:$AJ$54,6,FALSE)/2*$C16/78,0)</f>
        <v>33662.334494275019</v>
      </c>
      <c r="AD16" s="7">
        <f t="shared" si="10"/>
        <v>6559757.1344942749</v>
      </c>
      <c r="AE16" s="7"/>
      <c r="AF16" s="7">
        <f t="shared" si="11"/>
        <v>6559757.1344942749</v>
      </c>
      <c r="AG16" s="7">
        <v>19099924.41</v>
      </c>
      <c r="AH16" s="7">
        <f>IFERROR(VLOOKUP($B16-1,CDM!$V$4:$AJ$17,7,FALSE)/12,0)+IFERROR(VLOOKUP($B16,CDM!$V$41:$AJ$54,7,FALSE)/24,0)+IFERROR(VLOOKUP($B16,CDM!$V$41:$AJ$54,7,FALSE)/2*$C16/78,0)</f>
        <v>531524.02916070435</v>
      </c>
      <c r="AI16" s="7">
        <f t="shared" si="12"/>
        <v>19631448.439160705</v>
      </c>
      <c r="AJ16" s="7"/>
      <c r="AK16" s="7">
        <f t="shared" si="13"/>
        <v>19631448.439160705</v>
      </c>
      <c r="AL16" s="7">
        <v>1890648.3</v>
      </c>
      <c r="AM16" s="7">
        <v>10142.412295081967</v>
      </c>
      <c r="AN16" s="7">
        <v>416250.69</v>
      </c>
      <c r="AO16" s="5">
        <v>188446.02</v>
      </c>
      <c r="AP16" s="5">
        <v>15863</v>
      </c>
      <c r="AQ16" s="5">
        <v>30102</v>
      </c>
      <c r="AR16" s="5">
        <v>4815.3</v>
      </c>
      <c r="AS16" s="763">
        <f t="shared" si="67"/>
        <v>84.5</v>
      </c>
      <c r="AT16" s="776">
        <v>107159.75</v>
      </c>
      <c r="AU16" s="776">
        <v>1587.5</v>
      </c>
      <c r="AV16" s="776">
        <v>8929.5000000000018</v>
      </c>
      <c r="AW16" s="776">
        <v>1059.2499999999998</v>
      </c>
      <c r="AX16" s="776">
        <v>5</v>
      </c>
      <c r="AY16" s="776">
        <v>3</v>
      </c>
      <c r="AZ16" s="776">
        <v>29976.5</v>
      </c>
      <c r="BA16" s="776">
        <v>439</v>
      </c>
      <c r="BB16" s="776">
        <v>841.50000000000011</v>
      </c>
      <c r="BC16" s="779">
        <v>26937365.306369901</v>
      </c>
      <c r="BD16" s="779">
        <f>IFERROR(VLOOKUP($B16-1,CDM!$V$4:$AJ$17,11,FALSE)/12,0)+IFERROR(VLOOKUP($B16,CDM!$V$41:$AJ$54,11,FALSE)/24,0)+IFERROR(VLOOKUP($B16,CDM!$V$41:$AJ$54,11,FALSE)/2*$C16/78,0)</f>
        <v>546566.74919785443</v>
      </c>
      <c r="BE16" s="779">
        <f t="shared" si="14"/>
        <v>27483932.055567756</v>
      </c>
      <c r="BF16" s="779"/>
      <c r="BG16" s="779"/>
      <c r="BH16" s="779">
        <f t="shared" si="15"/>
        <v>27483932.055567756</v>
      </c>
      <c r="BI16" s="779">
        <v>7323061.3602499999</v>
      </c>
      <c r="BJ16" s="779">
        <f>IFERROR(VLOOKUP($B16-1,CDM!$V$4:$AJ$17,12,FALSE)/12,0)+IFERROR(VLOOKUP($B16,CDM!$V$41:$AJ$54,12,FALSE)/24,0)+IFERROR(VLOOKUP($B16,CDM!$V$41:$AJ$54,12,FALSE)/2*$C16/78,0)</f>
        <v>109109.92677741675</v>
      </c>
      <c r="BK16" s="779">
        <f t="shared" si="16"/>
        <v>7432171.2870274168</v>
      </c>
      <c r="BL16" s="779"/>
      <c r="BM16" s="779"/>
      <c r="BN16" s="779">
        <f t="shared" si="17"/>
        <v>7432171.2870274168</v>
      </c>
      <c r="BO16" s="779">
        <v>30151491.109999999</v>
      </c>
      <c r="BP16" s="779">
        <f>IFERROR(VLOOKUP($B16-1,CDM!$V$4:$AJ$17,13,FALSE)/12,0)+IFERROR(VLOOKUP($B16,CDM!$V$41:$AJ$54,13,FALSE)/24,0)+IFERROR(VLOOKUP($B16,CDM!$V$41:$AJ$54,13,FALSE)/2*$C16/78,0)</f>
        <v>386172.94974517555</v>
      </c>
      <c r="BQ16" s="779">
        <f t="shared" si="19"/>
        <v>30537664.059745174</v>
      </c>
      <c r="BR16" s="779"/>
      <c r="BS16" s="779"/>
      <c r="BT16" s="779">
        <f t="shared" si="20"/>
        <v>30537664.059745174</v>
      </c>
      <c r="BU16" s="779">
        <v>5230196.49</v>
      </c>
      <c r="BV16" s="779">
        <f>IFERROR(VLOOKUP($B16-1,CDM!$V$4:$AJ$17,14,FALSE)/12,0)+IFERROR(VLOOKUP($B16,CDM!$V$41:$AJ$54,14,FALSE)/24,0)+IFERROR(VLOOKUP($B16,CDM!$V$41:$AJ$54,14,FALSE)/2*$C16/78,0)</f>
        <v>86820.235142454098</v>
      </c>
      <c r="BW16" s="779">
        <f t="shared" si="21"/>
        <v>5317016.7251424547</v>
      </c>
      <c r="BX16" s="779"/>
      <c r="BY16" s="779">
        <f t="shared" si="22"/>
        <v>5317016.7251424547</v>
      </c>
      <c r="BZ16" s="779">
        <v>627988.32999999996</v>
      </c>
      <c r="CA16" s="779">
        <v>2642.4341109465072</v>
      </c>
      <c r="CB16" s="5">
        <v>49735.95</v>
      </c>
      <c r="CC16" s="5">
        <v>70185.119999999995</v>
      </c>
      <c r="CD16" s="5">
        <v>7451.14</v>
      </c>
      <c r="CE16" s="5">
        <v>1626.14</v>
      </c>
      <c r="CF16" s="763">
        <f t="shared" si="70"/>
        <v>7.666666666666667</v>
      </c>
      <c r="CG16" s="785">
        <v>39335.250000000007</v>
      </c>
      <c r="CH16" s="785">
        <v>2189.2499999999995</v>
      </c>
      <c r="CI16" s="785">
        <v>366.50000000000006</v>
      </c>
      <c r="CJ16" s="785">
        <v>2</v>
      </c>
      <c r="CK16" s="785">
        <v>11844.25</v>
      </c>
      <c r="CL16" s="785">
        <v>39</v>
      </c>
      <c r="CM16" s="785">
        <v>374.25000000000006</v>
      </c>
      <c r="CN16" s="46">
        <f>Weather!C28</f>
        <v>577.07934782608709</v>
      </c>
      <c r="CO16" s="46">
        <f>Weather!D28</f>
        <v>0</v>
      </c>
      <c r="CP16" s="46">
        <f>Weather!E28</f>
        <v>515.07934782608686</v>
      </c>
      <c r="CQ16" s="46">
        <f>Weather!F28</f>
        <v>0</v>
      </c>
      <c r="CR16" s="46">
        <f>Weather!G28</f>
        <v>453.07934782608692</v>
      </c>
      <c r="CS16" s="46">
        <f>Weather!H28</f>
        <v>0</v>
      </c>
      <c r="CT16" s="46">
        <f>Weather!I28</f>
        <v>391.07934782608697</v>
      </c>
      <c r="CU16" s="46">
        <f>Weather!J28</f>
        <v>0</v>
      </c>
      <c r="CV16" s="46">
        <f>Weather!K28</f>
        <v>329.07934782608692</v>
      </c>
      <c r="CW16" s="46">
        <f>Weather!L28</f>
        <v>0</v>
      </c>
      <c r="CX16" s="46">
        <f>Weather!M28</f>
        <v>267.07934782608692</v>
      </c>
      <c r="CY16" s="46">
        <f>Weather!N28</f>
        <v>0</v>
      </c>
      <c r="CZ16" s="46">
        <f>Weather!O28</f>
        <v>207.6751811594203</v>
      </c>
      <c r="DA16" s="46">
        <f>Weather!P28</f>
        <v>2.595833333333335</v>
      </c>
      <c r="DB16" s="368">
        <f>'Economic Data'!D30</f>
        <v>6908.6</v>
      </c>
      <c r="DC16" s="368">
        <f>'Economic Data'!E30</f>
        <v>6808.7</v>
      </c>
      <c r="DD16" s="368">
        <f>'Economic Data'!F30</f>
        <v>205.8</v>
      </c>
      <c r="DE16" s="368">
        <f>'Economic Data'!G30</f>
        <v>203.7</v>
      </c>
      <c r="DF16" s="368">
        <f>'Economic Data'!H30</f>
        <v>34.700000000000003</v>
      </c>
      <c r="DG16" s="368">
        <f>'Economic Data'!I30</f>
        <v>34.700000000000003</v>
      </c>
      <c r="DH16" s="368">
        <f>'Economic Data'!J30</f>
        <v>743976.2</v>
      </c>
      <c r="DI16" s="368">
        <f>'Economic Data'!K30</f>
        <v>571846.40000000002</v>
      </c>
      <c r="DJ16" s="368">
        <f>'Economic Data'!L30</f>
        <v>91511.8</v>
      </c>
      <c r="DK16" s="368">
        <f>'Economic Data'!M30</f>
        <v>29814.5</v>
      </c>
      <c r="DL16" s="368">
        <f>'Economic Data'!N30</f>
        <v>743287</v>
      </c>
      <c r="DM16" s="368">
        <f>'Economic Data'!O30</f>
        <v>92688</v>
      </c>
      <c r="DN16" s="368">
        <f>'Economic Data'!P30</f>
        <v>21180</v>
      </c>
      <c r="DO16" s="368">
        <f>'Economic Data'!Q30</f>
        <v>568664</v>
      </c>
      <c r="DP16" s="368">
        <f>'Economic Data'!R30</f>
        <v>29546</v>
      </c>
      <c r="DQ16">
        <v>31</v>
      </c>
      <c r="DR16">
        <v>21</v>
      </c>
      <c r="DS16">
        <v>0</v>
      </c>
      <c r="DT16">
        <v>0</v>
      </c>
      <c r="DU16">
        <v>1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1</v>
      </c>
      <c r="EF16">
        <v>0</v>
      </c>
      <c r="EG16">
        <v>1</v>
      </c>
      <c r="EH16">
        <f t="shared" si="69"/>
        <v>15</v>
      </c>
      <c r="EI16">
        <v>0</v>
      </c>
      <c r="EJ16">
        <v>0</v>
      </c>
      <c r="EK16">
        <v>0</v>
      </c>
      <c r="EL16">
        <v>0</v>
      </c>
      <c r="EM16" s="47">
        <f t="shared" si="23"/>
        <v>0</v>
      </c>
      <c r="EN16" s="47">
        <f t="shared" si="24"/>
        <v>0</v>
      </c>
      <c r="EO16" s="47">
        <f t="shared" si="25"/>
        <v>0</v>
      </c>
      <c r="EP16" s="47">
        <f t="shared" si="26"/>
        <v>0</v>
      </c>
      <c r="EQ16" s="47">
        <f t="shared" si="27"/>
        <v>0</v>
      </c>
      <c r="ER16" s="47">
        <f t="shared" si="28"/>
        <v>0</v>
      </c>
      <c r="ES16" s="47">
        <f t="shared" si="29"/>
        <v>0</v>
      </c>
      <c r="ET16" s="47">
        <f t="shared" si="30"/>
        <v>0</v>
      </c>
      <c r="EU16" s="47">
        <f t="shared" si="31"/>
        <v>0</v>
      </c>
      <c r="EV16" s="47">
        <f t="shared" si="32"/>
        <v>0</v>
      </c>
      <c r="EW16" s="47">
        <f t="shared" si="33"/>
        <v>0</v>
      </c>
      <c r="EX16" s="47">
        <f t="shared" si="34"/>
        <v>0</v>
      </c>
      <c r="EY16" s="47">
        <f t="shared" si="35"/>
        <v>0</v>
      </c>
      <c r="EZ16" s="47">
        <f t="shared" si="36"/>
        <v>0</v>
      </c>
      <c r="FA16" s="47">
        <f t="shared" si="37"/>
        <v>0</v>
      </c>
      <c r="FB16" s="47">
        <f t="shared" si="38"/>
        <v>0</v>
      </c>
      <c r="FC16" s="47">
        <f t="shared" si="39"/>
        <v>0</v>
      </c>
      <c r="FD16" s="47">
        <f t="shared" si="40"/>
        <v>0</v>
      </c>
      <c r="FE16" s="47">
        <f t="shared" si="41"/>
        <v>0</v>
      </c>
      <c r="FF16" s="47">
        <f t="shared" si="42"/>
        <v>0</v>
      </c>
      <c r="FG16" s="47">
        <f t="shared" si="43"/>
        <v>0</v>
      </c>
      <c r="FH16" s="47">
        <f t="shared" si="44"/>
        <v>0</v>
      </c>
      <c r="FI16" s="47">
        <f t="shared" si="45"/>
        <v>0</v>
      </c>
      <c r="FJ16" s="47">
        <f t="shared" si="46"/>
        <v>0</v>
      </c>
      <c r="FK16" s="47">
        <f t="shared" si="47"/>
        <v>0</v>
      </c>
      <c r="FL16" s="47">
        <f t="shared" si="48"/>
        <v>0</v>
      </c>
      <c r="FM16" s="47">
        <f t="shared" si="49"/>
        <v>0</v>
      </c>
      <c r="FN16" s="47">
        <f t="shared" si="50"/>
        <v>0</v>
      </c>
      <c r="FO16" s="765">
        <f t="shared" si="51"/>
        <v>723.06053400886969</v>
      </c>
      <c r="FP16" s="765">
        <f t="shared" si="52"/>
        <v>517.33329079388398</v>
      </c>
      <c r="FQ16" s="765">
        <f t="shared" si="53"/>
        <v>2756.3967835600147</v>
      </c>
      <c r="FR16" s="765">
        <f t="shared" si="54"/>
        <v>78683.934829111298</v>
      </c>
      <c r="FS16" s="765">
        <f t="shared" si="55"/>
        <v>1311951.426898855</v>
      </c>
      <c r="FT16" s="765">
        <f t="shared" si="56"/>
        <v>6543816.1463869018</v>
      </c>
      <c r="FU16" s="765">
        <f t="shared" si="57"/>
        <v>63.071015628909315</v>
      </c>
      <c r="FV16" s="765">
        <f t="shared" si="58"/>
        <v>23.103444863512454</v>
      </c>
      <c r="FW16" s="765">
        <f t="shared" si="59"/>
        <v>494.65322638146159</v>
      </c>
      <c r="FX16" s="765">
        <f t="shared" si="60"/>
        <v>698.70998800230711</v>
      </c>
      <c r="FY16" s="765">
        <f t="shared" si="61"/>
        <v>3394.8481384160868</v>
      </c>
      <c r="FZ16" s="765">
        <f t="shared" si="62"/>
        <v>83322.412168472496</v>
      </c>
      <c r="GA16" s="765">
        <f t="shared" si="63"/>
        <v>313994.16499999998</v>
      </c>
      <c r="GB16" s="765">
        <f t="shared" si="64"/>
        <v>53.020523038605226</v>
      </c>
      <c r="GC16" s="765">
        <f t="shared" si="65"/>
        <v>67.754720793500184</v>
      </c>
      <c r="GD16" s="765">
        <f t="shared" si="66"/>
        <v>132.89498997995989</v>
      </c>
    </row>
    <row r="17" spans="1:186">
      <c r="A17" s="4">
        <v>42461</v>
      </c>
      <c r="B17" s="6">
        <v>2016</v>
      </c>
      <c r="C17" s="5">
        <v>4</v>
      </c>
      <c r="D17" s="7">
        <v>67336166.686170697</v>
      </c>
      <c r="E17" s="7">
        <f>IFERROR(VLOOKUP($B17-1,CDM!$V$4:$AJ$17,2,FALSE)/12,0)+IFERROR(VLOOKUP($B17,CDM!$V$41:$AJ$54,2,FALSE)/24,0)+IFERROR(VLOOKUP($B17,CDM!$V$41:$AJ$54,2,FALSE)/2*$C17/78,0)</f>
        <v>1178115.9112213987</v>
      </c>
      <c r="F17" s="7">
        <f t="shared" si="2"/>
        <v>68514282.597392097</v>
      </c>
      <c r="G17" s="7"/>
      <c r="H17" s="7"/>
      <c r="I17" s="7">
        <f t="shared" si="3"/>
        <v>68514282.597392097</v>
      </c>
      <c r="J17" s="7">
        <v>675376.59569999995</v>
      </c>
      <c r="K17" s="7">
        <f>IFERROR(VLOOKUP($B17-1,CDM!$V$4:$AJ$17,3,FALSE)/12,0)+IFERROR(VLOOKUP($B17,CDM!$V$41:$AJ$54,3,FALSE)/24,0)+IFERROR(VLOOKUP($B17,CDM!$V$41:$AJ$54,3,FALSE)/2*$C17/78,0)</f>
        <v>13493.908239701086</v>
      </c>
      <c r="L17" s="7">
        <f t="shared" si="4"/>
        <v>688870.50393970101</v>
      </c>
      <c r="M17" s="7"/>
      <c r="N17" s="7"/>
      <c r="O17" s="7">
        <f t="shared" si="5"/>
        <v>688870.50393970101</v>
      </c>
      <c r="P17" s="7">
        <v>22071304.927159999</v>
      </c>
      <c r="Q17" s="7">
        <f>IFERROR(VLOOKUP($B17-1,CDM!$V$4:$AJ$17,4,FALSE)/12,0)+IFERROR(VLOOKUP($B17,CDM!$V$41:$AJ$54,4,FALSE)/24,0)+IFERROR(VLOOKUP($B17,CDM!$V$41:$AJ$54,4,FALSE)/2*$C17/78,0)</f>
        <v>483651.88310202415</v>
      </c>
      <c r="R17" s="7">
        <f t="shared" si="6"/>
        <v>22554956.810262024</v>
      </c>
      <c r="S17" s="7"/>
      <c r="T17" s="7"/>
      <c r="U17" s="7">
        <f t="shared" si="7"/>
        <v>22554956.810262024</v>
      </c>
      <c r="V17" s="7">
        <v>77365537.939999998</v>
      </c>
      <c r="W17" s="7">
        <f>IFERROR(VLOOKUP($B17-1,CDM!$V$4:$AJ$17,5,FALSE)/12,0)+IFERROR(VLOOKUP($B17,CDM!$V$41:$AJ$54,5,FALSE)/24,0)+IFERROR(VLOOKUP($B17,CDM!$V$41:$AJ$54,5,FALSE)/2*$C17/78,0)</f>
        <v>1721967.9080864503</v>
      </c>
      <c r="X17" s="7">
        <f t="shared" si="8"/>
        <v>79087505.848086447</v>
      </c>
      <c r="Y17" s="7"/>
      <c r="Z17" s="7"/>
      <c r="AA17" s="7">
        <f t="shared" si="9"/>
        <v>79087505.848086447</v>
      </c>
      <c r="AB17" s="7">
        <v>6690984.8499999996</v>
      </c>
      <c r="AC17" s="7">
        <f>IFERROR(VLOOKUP($B17-1,CDM!$V$4:$AJ$17,6,FALSE)/12,0)+IFERROR(VLOOKUP($B17,CDM!$V$41:$AJ$54,6,FALSE)/24,0)+IFERROR(VLOOKUP($B17,CDM!$V$41:$AJ$54,6,FALSE)/2*$C17/78,0)</f>
        <v>35914.754697571974</v>
      </c>
      <c r="AD17" s="7">
        <f t="shared" si="10"/>
        <v>6726899.6046975721</v>
      </c>
      <c r="AE17" s="7"/>
      <c r="AF17" s="7">
        <f t="shared" si="11"/>
        <v>6726899.6046975721</v>
      </c>
      <c r="AG17" s="7">
        <v>19023460.219999999</v>
      </c>
      <c r="AH17" s="7">
        <f>IFERROR(VLOOKUP($B17-1,CDM!$V$4:$AJ$17,7,FALSE)/12,0)+IFERROR(VLOOKUP($B17,CDM!$V$41:$AJ$54,7,FALSE)/24,0)+IFERROR(VLOOKUP($B17,CDM!$V$41:$AJ$54,7,FALSE)/2*$C17/78,0)</f>
        <v>549393.76268302032</v>
      </c>
      <c r="AI17" s="7">
        <f t="shared" si="12"/>
        <v>19572853.982683018</v>
      </c>
      <c r="AJ17" s="7"/>
      <c r="AK17" s="7">
        <f t="shared" si="13"/>
        <v>19572853.982683018</v>
      </c>
      <c r="AL17" s="7">
        <v>1589886.81</v>
      </c>
      <c r="AM17" s="7">
        <v>9815.2377049180341</v>
      </c>
      <c r="AN17" s="7">
        <v>416250.69</v>
      </c>
      <c r="AO17" s="5">
        <v>189291.33</v>
      </c>
      <c r="AP17" s="5">
        <v>16570.57</v>
      </c>
      <c r="AQ17" s="5">
        <v>30101</v>
      </c>
      <c r="AR17" s="5">
        <v>4815.2299999999996</v>
      </c>
      <c r="AS17" s="763">
        <f t="shared" si="67"/>
        <v>84.5</v>
      </c>
      <c r="AT17" s="776">
        <v>107242</v>
      </c>
      <c r="AU17" s="776">
        <v>1587</v>
      </c>
      <c r="AV17" s="776">
        <v>8936.3333333333358</v>
      </c>
      <c r="AW17" s="776">
        <v>1058.333333333333</v>
      </c>
      <c r="AX17" s="776">
        <v>5</v>
      </c>
      <c r="AY17" s="776">
        <v>3</v>
      </c>
      <c r="AZ17" s="776">
        <v>29992</v>
      </c>
      <c r="BA17" s="776">
        <v>439</v>
      </c>
      <c r="BB17" s="776">
        <v>840.33333333333348</v>
      </c>
      <c r="BC17" s="779">
        <v>24368406.0131099</v>
      </c>
      <c r="BD17" s="779">
        <f>IFERROR(VLOOKUP($B17-1,CDM!$V$4:$AJ$17,11,FALSE)/12,0)+IFERROR(VLOOKUP($B17,CDM!$V$41:$AJ$54,11,FALSE)/24,0)+IFERROR(VLOOKUP($B17,CDM!$V$41:$AJ$54,11,FALSE)/2*$C17/78,0)</f>
        <v>576768.93139509798</v>
      </c>
      <c r="BE17" s="779">
        <f t="shared" si="14"/>
        <v>24945174.944504999</v>
      </c>
      <c r="BF17" s="779"/>
      <c r="BG17" s="779"/>
      <c r="BH17" s="779">
        <f t="shared" si="15"/>
        <v>24945174.944504999</v>
      </c>
      <c r="BI17" s="779">
        <v>6812115.3439100003</v>
      </c>
      <c r="BJ17" s="779">
        <f>IFERROR(VLOOKUP($B17-1,CDM!$V$4:$AJ$17,12,FALSE)/12,0)+IFERROR(VLOOKUP($B17,CDM!$V$41:$AJ$54,12,FALSE)/24,0)+IFERROR(VLOOKUP($B17,CDM!$V$41:$AJ$54,12,FALSE)/2*$C17/78,0)</f>
        <v>110926.67086132028</v>
      </c>
      <c r="BK17" s="779">
        <f t="shared" si="16"/>
        <v>6923042.0147713209</v>
      </c>
      <c r="BL17" s="779"/>
      <c r="BM17" s="779"/>
      <c r="BN17" s="779">
        <f t="shared" si="17"/>
        <v>6923042.0147713209</v>
      </c>
      <c r="BO17" s="779">
        <v>28869399.710000001</v>
      </c>
      <c r="BP17" s="779">
        <f>IFERROR(VLOOKUP($B17-1,CDM!$V$4:$AJ$17,13,FALSE)/12,0)+IFERROR(VLOOKUP($B17,CDM!$V$41:$AJ$54,13,FALSE)/24,0)+IFERROR(VLOOKUP($B17,CDM!$V$41:$AJ$54,13,FALSE)/2*$C17/78,0)</f>
        <v>397162.0449620178</v>
      </c>
      <c r="BQ17" s="779">
        <f t="shared" si="19"/>
        <v>29266561.75496202</v>
      </c>
      <c r="BR17" s="779"/>
      <c r="BS17" s="779"/>
      <c r="BT17" s="779">
        <f t="shared" si="20"/>
        <v>29266561.75496202</v>
      </c>
      <c r="BU17" s="779">
        <v>5129617.6100000003</v>
      </c>
      <c r="BV17" s="779">
        <f>IFERROR(VLOOKUP($B17-1,CDM!$V$4:$AJ$17,14,FALSE)/12,0)+IFERROR(VLOOKUP($B17,CDM!$V$41:$AJ$54,14,FALSE)/24,0)+IFERROR(VLOOKUP($B17,CDM!$V$41:$AJ$54,14,FALSE)/2*$C17/78,0)</f>
        <v>89290.827221362342</v>
      </c>
      <c r="BW17" s="779">
        <f t="shared" si="21"/>
        <v>5218908.4372213623</v>
      </c>
      <c r="BX17" s="779"/>
      <c r="BY17" s="779">
        <f t="shared" si="22"/>
        <v>5218908.4372213623</v>
      </c>
      <c r="BZ17" s="779">
        <v>543636.43000000005</v>
      </c>
      <c r="CA17" s="779">
        <v>2642.4341109465072</v>
      </c>
      <c r="CB17" s="5">
        <v>49724.45</v>
      </c>
      <c r="CC17" s="5">
        <v>69008.89</v>
      </c>
      <c r="CD17" s="5">
        <v>7937.74</v>
      </c>
      <c r="CE17" s="5">
        <v>1552.34</v>
      </c>
      <c r="CF17" s="763">
        <f t="shared" si="70"/>
        <v>7.666666666666667</v>
      </c>
      <c r="CG17" s="785">
        <v>39363.333333333343</v>
      </c>
      <c r="CH17" s="785">
        <v>2192.6666666666661</v>
      </c>
      <c r="CI17" s="785">
        <v>366.66666666666674</v>
      </c>
      <c r="CJ17" s="785">
        <v>2</v>
      </c>
      <c r="CK17" s="785">
        <v>11848</v>
      </c>
      <c r="CL17" s="785">
        <v>39</v>
      </c>
      <c r="CM17" s="785">
        <v>373.66666666666674</v>
      </c>
      <c r="CN17" s="46">
        <f>Weather!C29</f>
        <v>465.98333333333341</v>
      </c>
      <c r="CO17" s="46">
        <f>Weather!D29</f>
        <v>0</v>
      </c>
      <c r="CP17" s="46">
        <f>Weather!E29</f>
        <v>405.98333333333341</v>
      </c>
      <c r="CQ17" s="46">
        <f>Weather!F29</f>
        <v>0</v>
      </c>
      <c r="CR17" s="46">
        <f>Weather!G29</f>
        <v>345.98333333333335</v>
      </c>
      <c r="CS17" s="46">
        <f>Weather!H29</f>
        <v>0</v>
      </c>
      <c r="CT17" s="46">
        <f>Weather!I29</f>
        <v>286.81666666666661</v>
      </c>
      <c r="CU17" s="46">
        <f>Weather!J29</f>
        <v>0.83333333333333393</v>
      </c>
      <c r="CV17" s="46">
        <f>Weather!K29</f>
        <v>229.20416666666662</v>
      </c>
      <c r="CW17" s="46">
        <f>Weather!L29</f>
        <v>3.2208333333333368</v>
      </c>
      <c r="CX17" s="46">
        <f>Weather!M29</f>
        <v>175.33749999999998</v>
      </c>
      <c r="CY17" s="46">
        <f>Weather!N29</f>
        <v>9.3541666666666732</v>
      </c>
      <c r="CZ17" s="46">
        <f>Weather!O29</f>
        <v>127.94999999999997</v>
      </c>
      <c r="DA17" s="46">
        <f>Weather!P29</f>
        <v>21.966666666666676</v>
      </c>
      <c r="DB17" s="368">
        <f>'Economic Data'!D31</f>
        <v>6909</v>
      </c>
      <c r="DC17" s="368">
        <f>'Economic Data'!E31</f>
        <v>6823.1</v>
      </c>
      <c r="DD17" s="368">
        <f>'Economic Data'!F31</f>
        <v>205.3</v>
      </c>
      <c r="DE17" s="368">
        <f>'Economic Data'!G31</f>
        <v>203.4</v>
      </c>
      <c r="DF17" s="368">
        <f>'Economic Data'!H31</f>
        <v>33</v>
      </c>
      <c r="DG17" s="368">
        <f>'Economic Data'!I31</f>
        <v>33</v>
      </c>
      <c r="DH17" s="368">
        <f>'Economic Data'!J31</f>
        <v>743976.2</v>
      </c>
      <c r="DI17" s="368">
        <f>'Economic Data'!K31</f>
        <v>571846.40000000002</v>
      </c>
      <c r="DJ17" s="368">
        <f>'Economic Data'!L31</f>
        <v>91511.8</v>
      </c>
      <c r="DK17" s="368">
        <f>'Economic Data'!M31</f>
        <v>29814.5</v>
      </c>
      <c r="DL17" s="368">
        <f>'Economic Data'!N31</f>
        <v>740632</v>
      </c>
      <c r="DM17" s="368">
        <f>'Economic Data'!O31</f>
        <v>90391</v>
      </c>
      <c r="DN17" s="368">
        <f>'Economic Data'!P31</f>
        <v>20746</v>
      </c>
      <c r="DO17" s="368">
        <f>'Economic Data'!Q31</f>
        <v>569815</v>
      </c>
      <c r="DP17" s="368">
        <f>'Economic Data'!R31</f>
        <v>29474</v>
      </c>
      <c r="DQ17">
        <v>30</v>
      </c>
      <c r="DR17">
        <v>21</v>
      </c>
      <c r="DS17">
        <v>0</v>
      </c>
      <c r="DT17">
        <v>0</v>
      </c>
      <c r="DU17">
        <v>0</v>
      </c>
      <c r="DV17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1</v>
      </c>
      <c r="EF17">
        <v>0</v>
      </c>
      <c r="EG17">
        <v>1</v>
      </c>
      <c r="EH17">
        <f t="shared" si="69"/>
        <v>16</v>
      </c>
      <c r="EI17">
        <v>0</v>
      </c>
      <c r="EJ17">
        <v>0</v>
      </c>
      <c r="EK17">
        <v>0</v>
      </c>
      <c r="EL17">
        <v>0</v>
      </c>
      <c r="EM17" s="47">
        <f t="shared" si="23"/>
        <v>0</v>
      </c>
      <c r="EN17" s="47">
        <f t="shared" si="24"/>
        <v>0</v>
      </c>
      <c r="EO17" s="47">
        <f t="shared" si="25"/>
        <v>0</v>
      </c>
      <c r="EP17" s="47">
        <f t="shared" si="26"/>
        <v>0</v>
      </c>
      <c r="EQ17" s="47">
        <f t="shared" si="27"/>
        <v>0</v>
      </c>
      <c r="ER17" s="47">
        <f t="shared" si="28"/>
        <v>0</v>
      </c>
      <c r="ES17" s="47">
        <f t="shared" si="29"/>
        <v>0</v>
      </c>
      <c r="ET17" s="47">
        <f t="shared" si="30"/>
        <v>0</v>
      </c>
      <c r="EU17" s="47">
        <f t="shared" si="31"/>
        <v>0</v>
      </c>
      <c r="EV17" s="47">
        <f t="shared" si="32"/>
        <v>0</v>
      </c>
      <c r="EW17" s="47">
        <f t="shared" si="33"/>
        <v>0</v>
      </c>
      <c r="EX17" s="47">
        <f t="shared" si="34"/>
        <v>0</v>
      </c>
      <c r="EY17" s="47">
        <f t="shared" si="35"/>
        <v>0</v>
      </c>
      <c r="EZ17" s="47">
        <f t="shared" si="36"/>
        <v>0</v>
      </c>
      <c r="FA17" s="47">
        <f t="shared" si="37"/>
        <v>0</v>
      </c>
      <c r="FB17" s="47">
        <f t="shared" si="38"/>
        <v>0</v>
      </c>
      <c r="FC17" s="47">
        <f t="shared" si="39"/>
        <v>0</v>
      </c>
      <c r="FD17" s="47">
        <f t="shared" si="40"/>
        <v>0</v>
      </c>
      <c r="FE17" s="47">
        <f t="shared" si="41"/>
        <v>0</v>
      </c>
      <c r="FF17" s="47">
        <f t="shared" si="42"/>
        <v>0</v>
      </c>
      <c r="FG17" s="47">
        <f t="shared" si="43"/>
        <v>0</v>
      </c>
      <c r="FH17" s="47">
        <f t="shared" si="44"/>
        <v>0</v>
      </c>
      <c r="FI17" s="47">
        <f t="shared" si="45"/>
        <v>0</v>
      </c>
      <c r="FJ17" s="47">
        <f t="shared" si="46"/>
        <v>0</v>
      </c>
      <c r="FK17" s="47">
        <f t="shared" si="47"/>
        <v>0</v>
      </c>
      <c r="FL17" s="47">
        <f t="shared" si="48"/>
        <v>0</v>
      </c>
      <c r="FM17" s="47">
        <f t="shared" si="49"/>
        <v>0</v>
      </c>
      <c r="FN17" s="47">
        <f t="shared" si="50"/>
        <v>0</v>
      </c>
      <c r="FO17" s="765">
        <f t="shared" si="51"/>
        <v>638.87546481222</v>
      </c>
      <c r="FP17" s="765">
        <f t="shared" si="52"/>
        <v>434.07089095129237</v>
      </c>
      <c r="FQ17" s="765">
        <f t="shared" si="53"/>
        <v>2523.9609993206032</v>
      </c>
      <c r="FR17" s="765">
        <f t="shared" si="54"/>
        <v>74728.351982443914</v>
      </c>
      <c r="FS17" s="765">
        <f t="shared" si="55"/>
        <v>1345379.9209395144</v>
      </c>
      <c r="FT17" s="765">
        <f t="shared" si="56"/>
        <v>6524284.660894339</v>
      </c>
      <c r="FU17" s="765">
        <f t="shared" si="57"/>
        <v>53.01036309682582</v>
      </c>
      <c r="FV17" s="765">
        <f t="shared" si="58"/>
        <v>22.358172448560442</v>
      </c>
      <c r="FW17" s="765">
        <f t="shared" si="59"/>
        <v>495.3399722332407</v>
      </c>
      <c r="FX17" s="765">
        <f t="shared" si="60"/>
        <v>633.71602026856613</v>
      </c>
      <c r="FY17" s="765">
        <f t="shared" si="61"/>
        <v>3157.3618188376358</v>
      </c>
      <c r="FZ17" s="765">
        <f t="shared" si="62"/>
        <v>79817.895695350948</v>
      </c>
      <c r="GA17" s="765">
        <f t="shared" si="63"/>
        <v>271818.21500000003</v>
      </c>
      <c r="GB17" s="765">
        <f t="shared" si="64"/>
        <v>45.884236158001357</v>
      </c>
      <c r="GC17" s="765">
        <f t="shared" si="65"/>
        <v>67.754720793500184</v>
      </c>
      <c r="GD17" s="765">
        <f t="shared" si="66"/>
        <v>133.07167707404099</v>
      </c>
    </row>
    <row r="18" spans="1:186">
      <c r="A18" s="4">
        <v>42491</v>
      </c>
      <c r="B18" s="6">
        <v>2016</v>
      </c>
      <c r="C18" s="5">
        <v>5</v>
      </c>
      <c r="D18" s="7">
        <v>67040814.563070007</v>
      </c>
      <c r="E18" s="7">
        <f>IFERROR(VLOOKUP($B18-1,CDM!$V$4:$AJ$17,2,FALSE)/12,0)+IFERROR(VLOOKUP($B18,CDM!$V$41:$AJ$54,2,FALSE)/24,0)+IFERROR(VLOOKUP($B18,CDM!$V$41:$AJ$54,2,FALSE)/2*$C18/78,0)</f>
        <v>1229151.1354952196</v>
      </c>
      <c r="F18" s="7">
        <f t="shared" si="2"/>
        <v>68269965.69856523</v>
      </c>
      <c r="G18" s="7"/>
      <c r="H18" s="7"/>
      <c r="I18" s="7">
        <f t="shared" si="3"/>
        <v>68269965.69856523</v>
      </c>
      <c r="J18" s="7">
        <v>658653.73418000003</v>
      </c>
      <c r="K18" s="7">
        <f>IFERROR(VLOOKUP($B18-1,CDM!$V$4:$AJ$17,3,FALSE)/12,0)+IFERROR(VLOOKUP($B18,CDM!$V$41:$AJ$54,3,FALSE)/24,0)+IFERROR(VLOOKUP($B18,CDM!$V$41:$AJ$54,3,FALSE)/2*$C18/78,0)</f>
        <v>14078.455674112305</v>
      </c>
      <c r="L18" s="7">
        <f t="shared" si="4"/>
        <v>672732.18985411234</v>
      </c>
      <c r="M18" s="7"/>
      <c r="N18" s="7"/>
      <c r="O18" s="7">
        <f t="shared" si="5"/>
        <v>672732.18985411234</v>
      </c>
      <c r="P18" s="7">
        <v>21710441.394160002</v>
      </c>
      <c r="Q18" s="7">
        <f>IFERROR(VLOOKUP($B18-1,CDM!$V$4:$AJ$17,4,FALSE)/12,0)+IFERROR(VLOOKUP($B18,CDM!$V$41:$AJ$54,4,FALSE)/24,0)+IFERROR(VLOOKUP($B18,CDM!$V$41:$AJ$54,4,FALSE)/2*$C18/78,0)</f>
        <v>499057.91922479536</v>
      </c>
      <c r="R18" s="7">
        <f t="shared" si="6"/>
        <v>22209499.313384797</v>
      </c>
      <c r="S18" s="7"/>
      <c r="T18" s="7"/>
      <c r="U18" s="7">
        <f t="shared" si="7"/>
        <v>22209499.313384797</v>
      </c>
      <c r="V18" s="7">
        <v>78705460.799999997</v>
      </c>
      <c r="W18" s="7">
        <f>IFERROR(VLOOKUP($B18-1,CDM!$V$4:$AJ$17,5,FALSE)/12,0)+IFERROR(VLOOKUP($B18,CDM!$V$41:$AJ$54,5,FALSE)/24,0)+IFERROR(VLOOKUP($B18,CDM!$V$41:$AJ$54,5,FALSE)/2*$C18/78,0)</f>
        <v>1771401.3984367712</v>
      </c>
      <c r="X18" s="7">
        <f t="shared" si="8"/>
        <v>80476862.198436767</v>
      </c>
      <c r="Y18" s="7"/>
      <c r="Z18" s="7"/>
      <c r="AA18" s="7">
        <f t="shared" si="9"/>
        <v>80476862.198436767</v>
      </c>
      <c r="AB18" s="7">
        <v>5883065.3700000001</v>
      </c>
      <c r="AC18" s="7">
        <f>IFERROR(VLOOKUP($B18-1,CDM!$V$4:$AJ$17,6,FALSE)/12,0)+IFERROR(VLOOKUP($B18,CDM!$V$41:$AJ$54,6,FALSE)/24,0)+IFERROR(VLOOKUP($B18,CDM!$V$41:$AJ$54,6,FALSE)/2*$C18/78,0)</f>
        <v>38167.174900868937</v>
      </c>
      <c r="AD18" s="7">
        <f t="shared" si="10"/>
        <v>5921232.544900869</v>
      </c>
      <c r="AE18" s="7"/>
      <c r="AF18" s="7">
        <f t="shared" si="11"/>
        <v>5921232.544900869</v>
      </c>
      <c r="AG18" s="7">
        <v>17973558.655000001</v>
      </c>
      <c r="AH18" s="7">
        <f>IFERROR(VLOOKUP($B18-1,CDM!$V$4:$AJ$17,7,FALSE)/12,0)+IFERROR(VLOOKUP($B18,CDM!$V$41:$AJ$54,7,FALSE)/24,0)+IFERROR(VLOOKUP($B18,CDM!$V$41:$AJ$54,7,FALSE)/2*$C18/78,0)</f>
        <v>567263.4962053363</v>
      </c>
      <c r="AI18" s="7">
        <f t="shared" si="12"/>
        <v>18540822.151205339</v>
      </c>
      <c r="AJ18" s="7"/>
      <c r="AK18" s="7">
        <f t="shared" si="13"/>
        <v>18540822.151205339</v>
      </c>
      <c r="AL18" s="7">
        <v>1445396.54</v>
      </c>
      <c r="AM18" s="7">
        <v>10037.337540983604</v>
      </c>
      <c r="AN18" s="7">
        <v>415615.995</v>
      </c>
      <c r="AO18" s="5">
        <v>199979.31</v>
      </c>
      <c r="AP18" s="5">
        <v>28826.84</v>
      </c>
      <c r="AQ18" s="5">
        <v>59082</v>
      </c>
      <c r="AR18" s="5">
        <v>4808.8999999999996</v>
      </c>
      <c r="AS18" s="763">
        <f t="shared" si="67"/>
        <v>84.5</v>
      </c>
      <c r="AT18" s="776">
        <v>107324.25</v>
      </c>
      <c r="AU18" s="776">
        <v>1586.5</v>
      </c>
      <c r="AV18" s="776">
        <v>8943.1666666666697</v>
      </c>
      <c r="AW18" s="776">
        <v>1057.4166666666663</v>
      </c>
      <c r="AX18" s="776">
        <v>5</v>
      </c>
      <c r="AY18" s="776">
        <v>3</v>
      </c>
      <c r="AZ18" s="776">
        <v>30007.5</v>
      </c>
      <c r="BA18" s="776">
        <v>439</v>
      </c>
      <c r="BB18" s="776">
        <v>839.16666666666686</v>
      </c>
      <c r="BC18" s="779">
        <v>26914968.7534802</v>
      </c>
      <c r="BD18" s="779">
        <f>IFERROR(VLOOKUP($B18-1,CDM!$V$4:$AJ$17,11,FALSE)/12,0)+IFERROR(VLOOKUP($B18,CDM!$V$41:$AJ$54,11,FALSE)/24,0)+IFERROR(VLOOKUP($B18,CDM!$V$41:$AJ$54,11,FALSE)/2*$C18/78,0)</f>
        <v>606971.11359234154</v>
      </c>
      <c r="BE18" s="779">
        <f t="shared" si="14"/>
        <v>27521939.867072541</v>
      </c>
      <c r="BF18" s="779"/>
      <c r="BG18" s="779"/>
      <c r="BH18" s="779">
        <f t="shared" si="15"/>
        <v>27521939.867072541</v>
      </c>
      <c r="BI18" s="779">
        <v>6828126.9130499903</v>
      </c>
      <c r="BJ18" s="779">
        <f>IFERROR(VLOOKUP($B18-1,CDM!$V$4:$AJ$17,12,FALSE)/12,0)+IFERROR(VLOOKUP($B18,CDM!$V$41:$AJ$54,12,FALSE)/24,0)+IFERROR(VLOOKUP($B18,CDM!$V$41:$AJ$54,12,FALSE)/2*$C18/78,0)</f>
        <v>112743.41494522379</v>
      </c>
      <c r="BK18" s="779">
        <f t="shared" si="16"/>
        <v>6940870.3279952137</v>
      </c>
      <c r="BL18" s="779"/>
      <c r="BM18" s="779"/>
      <c r="BN18" s="779">
        <f t="shared" si="17"/>
        <v>6940870.3279952137</v>
      </c>
      <c r="BO18" s="779">
        <v>28604624.289999999</v>
      </c>
      <c r="BP18" s="779">
        <f>IFERROR(VLOOKUP($B18-1,CDM!$V$4:$AJ$17,13,FALSE)/12,0)+IFERROR(VLOOKUP($B18,CDM!$V$41:$AJ$54,13,FALSE)/24,0)+IFERROR(VLOOKUP($B18,CDM!$V$41:$AJ$54,13,FALSE)/2*$C18/78,0)</f>
        <v>408151.14017886005</v>
      </c>
      <c r="BQ18" s="779">
        <f t="shared" si="19"/>
        <v>29012775.430178858</v>
      </c>
      <c r="BR18" s="779"/>
      <c r="BS18" s="779"/>
      <c r="BT18" s="779">
        <f t="shared" si="20"/>
        <v>29012775.430178858</v>
      </c>
      <c r="BU18" s="779">
        <v>5280644.88</v>
      </c>
      <c r="BV18" s="779">
        <f>IFERROR(VLOOKUP($B18-1,CDM!$V$4:$AJ$17,14,FALSE)/12,0)+IFERROR(VLOOKUP($B18,CDM!$V$41:$AJ$54,14,FALSE)/24,0)+IFERROR(VLOOKUP($B18,CDM!$V$41:$AJ$54,14,FALSE)/2*$C18/78,0)</f>
        <v>91761.419300270587</v>
      </c>
      <c r="BW18" s="779">
        <f t="shared" si="21"/>
        <v>5372406.2993002702</v>
      </c>
      <c r="BX18" s="779"/>
      <c r="BY18" s="779">
        <f t="shared" si="22"/>
        <v>5372406.2993002702</v>
      </c>
      <c r="BZ18" s="779">
        <v>440680.03</v>
      </c>
      <c r="CA18" s="779">
        <v>2642.4341109465072</v>
      </c>
      <c r="CB18" s="5">
        <v>49777.85</v>
      </c>
      <c r="CC18" s="5">
        <v>71253.149999999994</v>
      </c>
      <c r="CD18" s="5">
        <v>7451.13</v>
      </c>
      <c r="CE18" s="5">
        <v>1371.2</v>
      </c>
      <c r="CF18" s="763">
        <f t="shared" si="70"/>
        <v>7.666666666666667</v>
      </c>
      <c r="CG18" s="785">
        <v>39391.416666666679</v>
      </c>
      <c r="CH18" s="785">
        <v>2196.0833333333326</v>
      </c>
      <c r="CI18" s="785">
        <v>366.83333333333343</v>
      </c>
      <c r="CJ18" s="785">
        <v>2</v>
      </c>
      <c r="CK18" s="785">
        <v>11851.75</v>
      </c>
      <c r="CL18" s="785">
        <v>39</v>
      </c>
      <c r="CM18" s="785">
        <v>373.08333333333343</v>
      </c>
      <c r="CN18" s="46">
        <f>Weather!C30</f>
        <v>203.72361111111115</v>
      </c>
      <c r="CO18" s="46">
        <f>Weather!D30</f>
        <v>8.9833333333333307</v>
      </c>
      <c r="CP18" s="46">
        <f>Weather!E30</f>
        <v>154.58611111111114</v>
      </c>
      <c r="CQ18" s="46">
        <f>Weather!F30</f>
        <v>21.845833333333335</v>
      </c>
      <c r="CR18" s="46">
        <f>Weather!G30</f>
        <v>111.69444444444443</v>
      </c>
      <c r="CS18" s="46">
        <f>Weather!H30</f>
        <v>40.95416666666668</v>
      </c>
      <c r="CT18" s="46">
        <f>Weather!I30</f>
        <v>75.344444444444463</v>
      </c>
      <c r="CU18" s="46">
        <f>Weather!J30</f>
        <v>66.604166666666671</v>
      </c>
      <c r="CV18" s="46">
        <f>Weather!K30</f>
        <v>45.036111111111126</v>
      </c>
      <c r="CW18" s="46">
        <f>Weather!L30</f>
        <v>98.295833333333348</v>
      </c>
      <c r="CX18" s="46">
        <f>Weather!M30</f>
        <v>18.829166666666676</v>
      </c>
      <c r="CY18" s="46">
        <f>Weather!N30</f>
        <v>134.0888888888889</v>
      </c>
      <c r="CZ18" s="46">
        <f>Weather!O30</f>
        <v>4.2083333333333348</v>
      </c>
      <c r="DA18" s="46">
        <f>Weather!P30</f>
        <v>181.46805555555554</v>
      </c>
      <c r="DB18" s="368">
        <f>'Economic Data'!D32</f>
        <v>6919.1</v>
      </c>
      <c r="DC18" s="368">
        <f>'Economic Data'!E32</f>
        <v>6889.6</v>
      </c>
      <c r="DD18" s="368">
        <f>'Economic Data'!F32</f>
        <v>204.8</v>
      </c>
      <c r="DE18" s="368">
        <f>'Economic Data'!G32</f>
        <v>205.4</v>
      </c>
      <c r="DF18" s="368">
        <f>'Economic Data'!H32</f>
        <v>32</v>
      </c>
      <c r="DG18" s="368">
        <f>'Economic Data'!I32</f>
        <v>32</v>
      </c>
      <c r="DH18" s="368">
        <f>'Economic Data'!J32</f>
        <v>743976.2</v>
      </c>
      <c r="DI18" s="368">
        <f>'Economic Data'!K32</f>
        <v>571846.40000000002</v>
      </c>
      <c r="DJ18" s="368">
        <f>'Economic Data'!L32</f>
        <v>91511.8</v>
      </c>
      <c r="DK18" s="368">
        <f>'Economic Data'!M32</f>
        <v>29814.5</v>
      </c>
      <c r="DL18" s="368">
        <f>'Economic Data'!N32</f>
        <v>740632</v>
      </c>
      <c r="DM18" s="368">
        <f>'Economic Data'!O32</f>
        <v>90391</v>
      </c>
      <c r="DN18" s="368">
        <f>'Economic Data'!P32</f>
        <v>20746</v>
      </c>
      <c r="DO18" s="368">
        <f>'Economic Data'!Q32</f>
        <v>569815</v>
      </c>
      <c r="DP18" s="368">
        <f>'Economic Data'!R32</f>
        <v>29474</v>
      </c>
      <c r="DQ18">
        <v>31</v>
      </c>
      <c r="DR18">
        <v>21</v>
      </c>
      <c r="DS18">
        <v>0</v>
      </c>
      <c r="DT18">
        <v>0</v>
      </c>
      <c r="DU18">
        <v>0</v>
      </c>
      <c r="DV18">
        <v>0</v>
      </c>
      <c r="DW18">
        <v>1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0</v>
      </c>
      <c r="EG18">
        <v>1</v>
      </c>
      <c r="EH18">
        <f t="shared" si="69"/>
        <v>17</v>
      </c>
      <c r="EI18">
        <v>0</v>
      </c>
      <c r="EJ18">
        <v>0</v>
      </c>
      <c r="EK18">
        <v>0</v>
      </c>
      <c r="EL18">
        <v>0</v>
      </c>
      <c r="EM18" s="47">
        <f t="shared" si="23"/>
        <v>0</v>
      </c>
      <c r="EN18" s="47">
        <f t="shared" si="24"/>
        <v>0</v>
      </c>
      <c r="EO18" s="47">
        <f t="shared" si="25"/>
        <v>0</v>
      </c>
      <c r="EP18" s="47">
        <f t="shared" si="26"/>
        <v>0</v>
      </c>
      <c r="EQ18" s="47">
        <f t="shared" si="27"/>
        <v>0</v>
      </c>
      <c r="ER18" s="47">
        <f t="shared" si="28"/>
        <v>0</v>
      </c>
      <c r="ES18" s="47">
        <f t="shared" si="29"/>
        <v>0</v>
      </c>
      <c r="ET18" s="47">
        <f t="shared" si="30"/>
        <v>0</v>
      </c>
      <c r="EU18" s="47">
        <f t="shared" si="31"/>
        <v>0</v>
      </c>
      <c r="EV18" s="47">
        <f t="shared" si="32"/>
        <v>0</v>
      </c>
      <c r="EW18" s="47">
        <f t="shared" si="33"/>
        <v>0</v>
      </c>
      <c r="EX18" s="47">
        <f t="shared" si="34"/>
        <v>0</v>
      </c>
      <c r="EY18" s="47">
        <f t="shared" si="35"/>
        <v>0</v>
      </c>
      <c r="EZ18" s="47">
        <f t="shared" si="36"/>
        <v>0</v>
      </c>
      <c r="FA18" s="47">
        <f t="shared" si="37"/>
        <v>0</v>
      </c>
      <c r="FB18" s="47">
        <f t="shared" si="38"/>
        <v>0</v>
      </c>
      <c r="FC18" s="47">
        <f t="shared" si="39"/>
        <v>0</v>
      </c>
      <c r="FD18" s="47">
        <f t="shared" si="40"/>
        <v>0</v>
      </c>
      <c r="FE18" s="47">
        <f t="shared" si="41"/>
        <v>0</v>
      </c>
      <c r="FF18" s="47">
        <f t="shared" si="42"/>
        <v>0</v>
      </c>
      <c r="FG18" s="47">
        <f t="shared" si="43"/>
        <v>0</v>
      </c>
      <c r="FH18" s="47">
        <f t="shared" si="44"/>
        <v>0</v>
      </c>
      <c r="FI18" s="47">
        <f t="shared" si="45"/>
        <v>0</v>
      </c>
      <c r="FJ18" s="47">
        <f t="shared" si="46"/>
        <v>0</v>
      </c>
      <c r="FK18" s="47">
        <f t="shared" si="47"/>
        <v>0</v>
      </c>
      <c r="FL18" s="47">
        <f t="shared" si="48"/>
        <v>0</v>
      </c>
      <c r="FM18" s="47">
        <f t="shared" si="49"/>
        <v>0</v>
      </c>
      <c r="FN18" s="47">
        <f t="shared" si="50"/>
        <v>0</v>
      </c>
      <c r="FO18" s="765">
        <f t="shared" si="51"/>
        <v>636.10941328325362</v>
      </c>
      <c r="FP18" s="765">
        <f t="shared" si="52"/>
        <v>424.03541749392519</v>
      </c>
      <c r="FQ18" s="765">
        <f t="shared" si="53"/>
        <v>2483.404384731522</v>
      </c>
      <c r="FR18" s="765">
        <f t="shared" si="54"/>
        <v>76107.049127688675</v>
      </c>
      <c r="FS18" s="765">
        <f t="shared" si="55"/>
        <v>1184246.5089801739</v>
      </c>
      <c r="FT18" s="765">
        <f t="shared" si="56"/>
        <v>6180274.0504017798</v>
      </c>
      <c r="FU18" s="765">
        <f t="shared" si="57"/>
        <v>48.167842705990168</v>
      </c>
      <c r="FV18" s="765">
        <f t="shared" si="58"/>
        <v>22.864094626386343</v>
      </c>
      <c r="FW18" s="765">
        <f t="shared" si="59"/>
        <v>495.27228798411113</v>
      </c>
      <c r="FX18" s="765">
        <f t="shared" si="60"/>
        <v>698.67860046683268</v>
      </c>
      <c r="FY18" s="765">
        <f t="shared" si="61"/>
        <v>3160.567826658923</v>
      </c>
      <c r="FZ18" s="765">
        <f t="shared" si="62"/>
        <v>79089.801263549802</v>
      </c>
      <c r="GA18" s="765">
        <f t="shared" si="63"/>
        <v>220340.01500000001</v>
      </c>
      <c r="GB18" s="765">
        <f t="shared" si="64"/>
        <v>37.182697070052946</v>
      </c>
      <c r="GC18" s="765">
        <f t="shared" si="65"/>
        <v>67.754720793500184</v>
      </c>
      <c r="GD18" s="765">
        <f t="shared" si="66"/>
        <v>133.42287245923606</v>
      </c>
    </row>
    <row r="19" spans="1:186">
      <c r="A19" s="4">
        <v>42522</v>
      </c>
      <c r="B19" s="6">
        <v>2016</v>
      </c>
      <c r="C19" s="5">
        <v>6</v>
      </c>
      <c r="D19" s="7">
        <v>76928534.813409895</v>
      </c>
      <c r="E19" s="7">
        <f>IFERROR(VLOOKUP($B19-1,CDM!$V$4:$AJ$17,2,FALSE)/12,0)+IFERROR(VLOOKUP($B19,CDM!$V$41:$AJ$54,2,FALSE)/24,0)+IFERROR(VLOOKUP($B19,CDM!$V$41:$AJ$54,2,FALSE)/2*$C19/78,0)</f>
        <v>1280186.3597690403</v>
      </c>
      <c r="F19" s="7">
        <f t="shared" si="2"/>
        <v>78208721.173178941</v>
      </c>
      <c r="G19" s="7"/>
      <c r="H19" s="7"/>
      <c r="I19" s="7">
        <f t="shared" si="3"/>
        <v>78208721.173178941</v>
      </c>
      <c r="J19" s="7">
        <v>640770.07441000105</v>
      </c>
      <c r="K19" s="7">
        <f>IFERROR(VLOOKUP($B19-1,CDM!$V$4:$AJ$17,3,FALSE)/12,0)+IFERROR(VLOOKUP($B19,CDM!$V$41:$AJ$54,3,FALSE)/24,0)+IFERROR(VLOOKUP($B19,CDM!$V$41:$AJ$54,3,FALSE)/2*$C19/78,0)</f>
        <v>14663.003108523522</v>
      </c>
      <c r="L19" s="7">
        <f t="shared" si="4"/>
        <v>655433.0775185246</v>
      </c>
      <c r="M19" s="7"/>
      <c r="N19" s="7"/>
      <c r="O19" s="7">
        <f t="shared" si="5"/>
        <v>655433.0775185246</v>
      </c>
      <c r="P19" s="7">
        <v>22772669.73827</v>
      </c>
      <c r="Q19" s="7">
        <f>IFERROR(VLOOKUP($B19-1,CDM!$V$4:$AJ$17,4,FALSE)/12,0)+IFERROR(VLOOKUP($B19,CDM!$V$41:$AJ$54,4,FALSE)/24,0)+IFERROR(VLOOKUP($B19,CDM!$V$41:$AJ$54,4,FALSE)/2*$C19/78,0)</f>
        <v>514463.95534756663</v>
      </c>
      <c r="R19" s="7">
        <f t="shared" si="6"/>
        <v>23287133.693617567</v>
      </c>
      <c r="S19" s="7"/>
      <c r="T19" s="7"/>
      <c r="U19" s="7">
        <f t="shared" si="7"/>
        <v>23287133.693617567</v>
      </c>
      <c r="V19" s="7">
        <v>81548993.890000001</v>
      </c>
      <c r="W19" s="7">
        <f>IFERROR(VLOOKUP($B19-1,CDM!$V$4:$AJ$17,5,FALSE)/12,0)+IFERROR(VLOOKUP($B19,CDM!$V$41:$AJ$54,5,FALSE)/24,0)+IFERROR(VLOOKUP($B19,CDM!$V$41:$AJ$54,5,FALSE)/2*$C19/78,0)</f>
        <v>1820834.8887870926</v>
      </c>
      <c r="X19" s="7">
        <f t="shared" si="8"/>
        <v>83369828.778787091</v>
      </c>
      <c r="Y19" s="7"/>
      <c r="Z19" s="7"/>
      <c r="AA19" s="7">
        <f t="shared" si="9"/>
        <v>83369828.778787091</v>
      </c>
      <c r="AB19" s="7">
        <v>6548995.6749999998</v>
      </c>
      <c r="AC19" s="7">
        <f>IFERROR(VLOOKUP($B19-1,CDM!$V$4:$AJ$17,6,FALSE)/12,0)+IFERROR(VLOOKUP($B19,CDM!$V$41:$AJ$54,6,FALSE)/24,0)+IFERROR(VLOOKUP($B19,CDM!$V$41:$AJ$54,6,FALSE)/2*$C19/78,0)</f>
        <v>40419.595104165899</v>
      </c>
      <c r="AD19" s="7">
        <f t="shared" si="10"/>
        <v>6589415.2701041661</v>
      </c>
      <c r="AE19" s="7"/>
      <c r="AF19" s="7">
        <f t="shared" si="11"/>
        <v>6589415.2701041661</v>
      </c>
      <c r="AG19" s="7">
        <v>15841997.175000001</v>
      </c>
      <c r="AH19" s="7">
        <f>IFERROR(VLOOKUP($B19-1,CDM!$V$4:$AJ$17,7,FALSE)/12,0)+IFERROR(VLOOKUP($B19,CDM!$V$41:$AJ$54,7,FALSE)/24,0)+IFERROR(VLOOKUP($B19,CDM!$V$41:$AJ$54,7,FALSE)/2*$C19/78,0)</f>
        <v>585133.22972765227</v>
      </c>
      <c r="AI19" s="7">
        <f t="shared" si="12"/>
        <v>16427130.404727653</v>
      </c>
      <c r="AJ19" s="7"/>
      <c r="AK19" s="7">
        <f t="shared" si="13"/>
        <v>16427130.404727653</v>
      </c>
      <c r="AL19" s="7">
        <v>1310560.1000000001</v>
      </c>
      <c r="AM19" s="7">
        <v>9713.5524590163914</v>
      </c>
      <c r="AN19" s="7">
        <v>414765.91499999998</v>
      </c>
      <c r="AO19" s="5">
        <v>204891.58</v>
      </c>
      <c r="AP19" s="5">
        <v>30994.2</v>
      </c>
      <c r="AQ19" s="5">
        <v>60878</v>
      </c>
      <c r="AR19" s="5">
        <v>4808.8999999999996</v>
      </c>
      <c r="AS19" s="763">
        <f t="shared" si="67"/>
        <v>84.5</v>
      </c>
      <c r="AT19" s="776">
        <v>107406.5</v>
      </c>
      <c r="AU19" s="776">
        <v>1586</v>
      </c>
      <c r="AV19" s="776">
        <v>8950.0000000000036</v>
      </c>
      <c r="AW19" s="776">
        <v>1056.4999999999995</v>
      </c>
      <c r="AX19" s="776">
        <v>5</v>
      </c>
      <c r="AY19" s="776">
        <v>3</v>
      </c>
      <c r="AZ19" s="776">
        <v>30023</v>
      </c>
      <c r="BA19" s="776">
        <v>439</v>
      </c>
      <c r="BB19" s="776">
        <v>838.00000000000023</v>
      </c>
      <c r="BC19" s="779">
        <v>32894041.6360799</v>
      </c>
      <c r="BD19" s="779">
        <f>IFERROR(VLOOKUP($B19-1,CDM!$V$4:$AJ$17,11,FALSE)/12,0)+IFERROR(VLOOKUP($B19,CDM!$V$41:$AJ$54,11,FALSE)/24,0)+IFERROR(VLOOKUP($B19,CDM!$V$41:$AJ$54,11,FALSE)/2*$C19/78,0)</f>
        <v>637173.29578958522</v>
      </c>
      <c r="BE19" s="779">
        <f t="shared" si="14"/>
        <v>33531214.931869484</v>
      </c>
      <c r="BF19" s="779"/>
      <c r="BG19" s="779"/>
      <c r="BH19" s="779">
        <f t="shared" si="15"/>
        <v>33531214.931869484</v>
      </c>
      <c r="BI19" s="779">
        <v>7372116.0039600004</v>
      </c>
      <c r="BJ19" s="779">
        <f>IFERROR(VLOOKUP($B19-1,CDM!$V$4:$AJ$17,12,FALSE)/12,0)+IFERROR(VLOOKUP($B19,CDM!$V$41:$AJ$54,12,FALSE)/24,0)+IFERROR(VLOOKUP($B19,CDM!$V$41:$AJ$54,12,FALSE)/2*$C19/78,0)</f>
        <v>114560.15902912732</v>
      </c>
      <c r="BK19" s="779">
        <f t="shared" si="16"/>
        <v>7486676.1629891274</v>
      </c>
      <c r="BL19" s="779"/>
      <c r="BM19" s="779"/>
      <c r="BN19" s="779">
        <f t="shared" si="17"/>
        <v>7486676.1629891274</v>
      </c>
      <c r="BO19" s="779">
        <v>29645373.82</v>
      </c>
      <c r="BP19" s="779">
        <f>IFERROR(VLOOKUP($B19-1,CDM!$V$4:$AJ$17,13,FALSE)/12,0)+IFERROR(VLOOKUP($B19,CDM!$V$41:$AJ$54,13,FALSE)/24,0)+IFERROR(VLOOKUP($B19,CDM!$V$41:$AJ$54,13,FALSE)/2*$C19/78,0)</f>
        <v>419140.2353957023</v>
      </c>
      <c r="BQ19" s="779">
        <f t="shared" si="19"/>
        <v>30064514.055395704</v>
      </c>
      <c r="BR19" s="779"/>
      <c r="BS19" s="779"/>
      <c r="BT19" s="779">
        <f t="shared" si="20"/>
        <v>30064514.055395704</v>
      </c>
      <c r="BU19" s="779">
        <v>5127503.34</v>
      </c>
      <c r="BV19" s="779">
        <f>IFERROR(VLOOKUP($B19-1,CDM!$V$4:$AJ$17,14,FALSE)/12,0)+IFERROR(VLOOKUP($B19,CDM!$V$41:$AJ$54,14,FALSE)/24,0)+IFERROR(VLOOKUP($B19,CDM!$V$41:$AJ$54,14,FALSE)/2*$C19/78,0)</f>
        <v>94232.011379178817</v>
      </c>
      <c r="BW19" s="779">
        <f t="shared" si="21"/>
        <v>5221735.3513791785</v>
      </c>
      <c r="BX19" s="779"/>
      <c r="BY19" s="779">
        <f t="shared" si="22"/>
        <v>5221735.3513791785</v>
      </c>
      <c r="BZ19" s="779">
        <v>357470.35</v>
      </c>
      <c r="CA19" s="779">
        <v>2642.4341109465072</v>
      </c>
      <c r="CB19" s="5">
        <v>49951.3</v>
      </c>
      <c r="CC19" s="5">
        <v>73372.13</v>
      </c>
      <c r="CD19" s="5">
        <v>7698.42</v>
      </c>
      <c r="CE19" s="5">
        <v>1243.42</v>
      </c>
      <c r="CF19" s="763">
        <f t="shared" si="70"/>
        <v>7.666666666666667</v>
      </c>
      <c r="CG19" s="785">
        <v>39419.500000000015</v>
      </c>
      <c r="CH19" s="785">
        <v>2199.4999999999991</v>
      </c>
      <c r="CI19" s="785">
        <v>367.00000000000011</v>
      </c>
      <c r="CJ19" s="785">
        <v>2</v>
      </c>
      <c r="CK19" s="785">
        <v>11855.5</v>
      </c>
      <c r="CL19" s="785">
        <v>39</v>
      </c>
      <c r="CM19" s="785">
        <v>372.50000000000011</v>
      </c>
      <c r="CN19" s="46">
        <f>Weather!C31</f>
        <v>56.883333333333326</v>
      </c>
      <c r="CO19" s="46">
        <f>Weather!D31</f>
        <v>20.087500000000002</v>
      </c>
      <c r="CP19" s="46">
        <f>Weather!E31</f>
        <v>30.204166666666669</v>
      </c>
      <c r="CQ19" s="46">
        <f>Weather!F31</f>
        <v>53.40833333333336</v>
      </c>
      <c r="CR19" s="46">
        <f>Weather!G31</f>
        <v>14.133333333333335</v>
      </c>
      <c r="CS19" s="46">
        <f>Weather!H31</f>
        <v>97.33750000000002</v>
      </c>
      <c r="CT19" s="46">
        <f>Weather!I31</f>
        <v>3.9749999999999996</v>
      </c>
      <c r="CU19" s="46">
        <f>Weather!J31</f>
        <v>147.17916666666667</v>
      </c>
      <c r="CV19" s="46">
        <f>Weather!K31</f>
        <v>0.65000000000000036</v>
      </c>
      <c r="CW19" s="46">
        <f>Weather!L31</f>
        <v>203.85416666666669</v>
      </c>
      <c r="CX19" s="46">
        <f>Weather!M31</f>
        <v>0</v>
      </c>
      <c r="CY19" s="46">
        <f>Weather!N31</f>
        <v>263.20416666666671</v>
      </c>
      <c r="CZ19" s="46">
        <f>Weather!O31</f>
        <v>0</v>
      </c>
      <c r="DA19" s="46">
        <f>Weather!P31</f>
        <v>323.20416666666671</v>
      </c>
      <c r="DB19" s="368">
        <f>'Economic Data'!D33</f>
        <v>6930</v>
      </c>
      <c r="DC19" s="368">
        <f>'Economic Data'!E33</f>
        <v>6973</v>
      </c>
      <c r="DD19" s="368">
        <f>'Economic Data'!F33</f>
        <v>203.4</v>
      </c>
      <c r="DE19" s="368">
        <f>'Economic Data'!G33</f>
        <v>206</v>
      </c>
      <c r="DF19" s="368">
        <f>'Economic Data'!H33</f>
        <v>29.3</v>
      </c>
      <c r="DG19" s="368">
        <f>'Economic Data'!I33</f>
        <v>29.3</v>
      </c>
      <c r="DH19" s="368">
        <f>'Economic Data'!J33</f>
        <v>743976.2</v>
      </c>
      <c r="DI19" s="368">
        <f>'Economic Data'!K33</f>
        <v>571846.40000000002</v>
      </c>
      <c r="DJ19" s="368">
        <f>'Economic Data'!L33</f>
        <v>91511.8</v>
      </c>
      <c r="DK19" s="368">
        <f>'Economic Data'!M33</f>
        <v>29814.5</v>
      </c>
      <c r="DL19" s="368">
        <f>'Economic Data'!N33</f>
        <v>740632</v>
      </c>
      <c r="DM19" s="368">
        <f>'Economic Data'!O33</f>
        <v>90391</v>
      </c>
      <c r="DN19" s="368">
        <f>'Economic Data'!P33</f>
        <v>20746</v>
      </c>
      <c r="DO19" s="368">
        <f>'Economic Data'!Q33</f>
        <v>569815</v>
      </c>
      <c r="DP19" s="368">
        <f>'Economic Data'!R33</f>
        <v>29474</v>
      </c>
      <c r="DQ19">
        <v>30</v>
      </c>
      <c r="DR19">
        <v>22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1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f t="shared" si="69"/>
        <v>18</v>
      </c>
      <c r="EI19">
        <v>0</v>
      </c>
      <c r="EJ19">
        <v>0</v>
      </c>
      <c r="EK19">
        <v>0</v>
      </c>
      <c r="EL19">
        <v>0</v>
      </c>
      <c r="EM19" s="47">
        <f t="shared" si="23"/>
        <v>0</v>
      </c>
      <c r="EN19" s="47">
        <f t="shared" si="24"/>
        <v>0</v>
      </c>
      <c r="EO19" s="47">
        <f t="shared" si="25"/>
        <v>0</v>
      </c>
      <c r="EP19" s="47">
        <f t="shared" si="26"/>
        <v>0</v>
      </c>
      <c r="EQ19" s="47">
        <f t="shared" si="27"/>
        <v>0</v>
      </c>
      <c r="ER19" s="47">
        <f t="shared" si="28"/>
        <v>0</v>
      </c>
      <c r="ES19" s="47">
        <f t="shared" si="29"/>
        <v>0</v>
      </c>
      <c r="ET19" s="47">
        <f t="shared" si="30"/>
        <v>0</v>
      </c>
      <c r="EU19" s="47">
        <f t="shared" si="31"/>
        <v>0</v>
      </c>
      <c r="EV19" s="47">
        <f t="shared" si="32"/>
        <v>0</v>
      </c>
      <c r="EW19" s="47">
        <f t="shared" si="33"/>
        <v>0</v>
      </c>
      <c r="EX19" s="47">
        <f t="shared" si="34"/>
        <v>0</v>
      </c>
      <c r="EY19" s="47">
        <f t="shared" si="35"/>
        <v>0</v>
      </c>
      <c r="EZ19" s="47">
        <f t="shared" si="36"/>
        <v>0</v>
      </c>
      <c r="FA19" s="47">
        <f t="shared" si="37"/>
        <v>0</v>
      </c>
      <c r="FB19" s="47">
        <f t="shared" si="38"/>
        <v>0</v>
      </c>
      <c r="FC19" s="47">
        <f t="shared" si="39"/>
        <v>0</v>
      </c>
      <c r="FD19" s="47">
        <f t="shared" si="40"/>
        <v>0</v>
      </c>
      <c r="FE19" s="47">
        <f t="shared" si="41"/>
        <v>0</v>
      </c>
      <c r="FF19" s="47">
        <f t="shared" si="42"/>
        <v>0</v>
      </c>
      <c r="FG19" s="47">
        <f t="shared" si="43"/>
        <v>0</v>
      </c>
      <c r="FH19" s="47">
        <f t="shared" si="44"/>
        <v>0</v>
      </c>
      <c r="FI19" s="47">
        <f t="shared" si="45"/>
        <v>0</v>
      </c>
      <c r="FJ19" s="47">
        <f t="shared" si="46"/>
        <v>0</v>
      </c>
      <c r="FK19" s="47">
        <f t="shared" si="47"/>
        <v>0</v>
      </c>
      <c r="FL19" s="47">
        <f t="shared" si="48"/>
        <v>0</v>
      </c>
      <c r="FM19" s="47">
        <f t="shared" si="49"/>
        <v>0</v>
      </c>
      <c r="FN19" s="47">
        <f t="shared" si="50"/>
        <v>0</v>
      </c>
      <c r="FO19" s="765">
        <f t="shared" si="51"/>
        <v>728.15631431225245</v>
      </c>
      <c r="FP19" s="765">
        <f t="shared" si="52"/>
        <v>413.26171344169268</v>
      </c>
      <c r="FQ19" s="765">
        <f t="shared" si="53"/>
        <v>2601.9143791751462</v>
      </c>
      <c r="FR19" s="765">
        <f t="shared" si="54"/>
        <v>78911.338172065429</v>
      </c>
      <c r="FS19" s="765">
        <f t="shared" si="55"/>
        <v>1317883.0540208332</v>
      </c>
      <c r="FT19" s="765">
        <f t="shared" si="56"/>
        <v>5475710.1349092172</v>
      </c>
      <c r="FU19" s="765">
        <f t="shared" si="57"/>
        <v>43.651870232821508</v>
      </c>
      <c r="FV19" s="765">
        <f t="shared" si="58"/>
        <v>22.126543186825494</v>
      </c>
      <c r="FW19" s="765">
        <f t="shared" si="59"/>
        <v>494.94739260143183</v>
      </c>
      <c r="FX19" s="765">
        <f t="shared" si="60"/>
        <v>850.62506961959116</v>
      </c>
      <c r="FY19" s="765">
        <f t="shared" si="61"/>
        <v>3403.8082123160402</v>
      </c>
      <c r="FZ19" s="765">
        <f t="shared" si="62"/>
        <v>81919.656826691265</v>
      </c>
      <c r="GA19" s="765">
        <f t="shared" si="63"/>
        <v>178735.17499999999</v>
      </c>
      <c r="GB19" s="765">
        <f t="shared" si="64"/>
        <v>30.152279532706338</v>
      </c>
      <c r="GC19" s="765">
        <f t="shared" si="65"/>
        <v>67.754720793500184</v>
      </c>
      <c r="GD19" s="765">
        <f t="shared" si="66"/>
        <v>134.09744966442949</v>
      </c>
    </row>
    <row r="20" spans="1:186">
      <c r="A20" s="4">
        <v>42552</v>
      </c>
      <c r="B20" s="6">
        <v>2016</v>
      </c>
      <c r="C20" s="5">
        <v>7</v>
      </c>
      <c r="D20" s="7">
        <v>101238961.112638</v>
      </c>
      <c r="E20" s="7">
        <f>IFERROR(VLOOKUP($B20-1,CDM!$V$4:$AJ$17,2,FALSE)/12,0)+IFERROR(VLOOKUP($B20,CDM!$V$41:$AJ$54,2,FALSE)/24,0)+IFERROR(VLOOKUP($B20,CDM!$V$41:$AJ$54,2,FALSE)/2*$C20/78,0)</f>
        <v>1331221.5840428611</v>
      </c>
      <c r="F20" s="7">
        <f t="shared" si="2"/>
        <v>102570182.69668086</v>
      </c>
      <c r="G20" s="7"/>
      <c r="H20" s="7"/>
      <c r="I20" s="7">
        <f t="shared" si="3"/>
        <v>102570182.69668086</v>
      </c>
      <c r="J20" s="7">
        <v>983104.32776000095</v>
      </c>
      <c r="K20" s="7">
        <f>IFERROR(VLOOKUP($B20-1,CDM!$V$4:$AJ$17,3,FALSE)/12,0)+IFERROR(VLOOKUP($B20,CDM!$V$41:$AJ$54,3,FALSE)/24,0)+IFERROR(VLOOKUP($B20,CDM!$V$41:$AJ$54,3,FALSE)/2*$C20/78,0)</f>
        <v>15247.550542934741</v>
      </c>
      <c r="L20" s="7">
        <f t="shared" si="4"/>
        <v>998351.87830293574</v>
      </c>
      <c r="M20" s="7"/>
      <c r="N20" s="7"/>
      <c r="O20" s="7">
        <f t="shared" si="5"/>
        <v>998351.87830293574</v>
      </c>
      <c r="P20" s="7">
        <v>25320734.268800002</v>
      </c>
      <c r="Q20" s="7">
        <f>IFERROR(VLOOKUP($B20-1,CDM!$V$4:$AJ$17,4,FALSE)/12,0)+IFERROR(VLOOKUP($B20,CDM!$V$41:$AJ$54,4,FALSE)/24,0)+IFERROR(VLOOKUP($B20,CDM!$V$41:$AJ$54,4,FALSE)/2*$C20/78,0)</f>
        <v>529869.99147033785</v>
      </c>
      <c r="R20" s="7">
        <f t="shared" si="6"/>
        <v>25850604.260270339</v>
      </c>
      <c r="S20" s="7"/>
      <c r="T20" s="7"/>
      <c r="U20" s="7">
        <f t="shared" si="7"/>
        <v>25850604.260270339</v>
      </c>
      <c r="V20" s="7">
        <v>83831106.840000004</v>
      </c>
      <c r="W20" s="7">
        <f>IFERROR(VLOOKUP($B20-1,CDM!$V$4:$AJ$17,5,FALSE)/12,0)+IFERROR(VLOOKUP($B20,CDM!$V$41:$AJ$54,5,FALSE)/24,0)+IFERROR(VLOOKUP($B20,CDM!$V$41:$AJ$54,5,FALSE)/2*$C20/78,0)</f>
        <v>1870268.3791374136</v>
      </c>
      <c r="X20" s="7">
        <f t="shared" si="8"/>
        <v>85701375.219137415</v>
      </c>
      <c r="Y20" s="7"/>
      <c r="Z20" s="7"/>
      <c r="AA20" s="7">
        <f t="shared" si="9"/>
        <v>85701375.219137415</v>
      </c>
      <c r="AB20" s="7">
        <v>6456779.9800000004</v>
      </c>
      <c r="AC20" s="7">
        <f>IFERROR(VLOOKUP($B20-1,CDM!$V$4:$AJ$17,6,FALSE)/12,0)+IFERROR(VLOOKUP($B20,CDM!$V$41:$AJ$54,6,FALSE)/24,0)+IFERROR(VLOOKUP($B20,CDM!$V$41:$AJ$54,6,FALSE)/2*$C20/78,0)</f>
        <v>42672.015307462854</v>
      </c>
      <c r="AD20" s="7">
        <f t="shared" si="10"/>
        <v>6499451.9953074632</v>
      </c>
      <c r="AE20" s="7"/>
      <c r="AF20" s="7">
        <f t="shared" si="11"/>
        <v>6499451.9953074632</v>
      </c>
      <c r="AG20" s="7">
        <v>17655129.93</v>
      </c>
      <c r="AH20" s="7">
        <f>IFERROR(VLOOKUP($B20-1,CDM!$V$4:$AJ$17,7,FALSE)/12,0)+IFERROR(VLOOKUP($B20,CDM!$V$41:$AJ$54,7,FALSE)/24,0)+IFERROR(VLOOKUP($B20,CDM!$V$41:$AJ$54,7,FALSE)/2*$C20/78,0)</f>
        <v>603002.96324996825</v>
      </c>
      <c r="AI20" s="7">
        <f t="shared" si="12"/>
        <v>18258132.893249966</v>
      </c>
      <c r="AJ20" s="7"/>
      <c r="AK20" s="7">
        <f t="shared" si="13"/>
        <v>18258132.893249966</v>
      </c>
      <c r="AL20" s="7">
        <v>1407560.05</v>
      </c>
      <c r="AM20" s="7">
        <v>10072.365000000002</v>
      </c>
      <c r="AN20" s="7">
        <v>414164.76999999996</v>
      </c>
      <c r="AO20" s="5">
        <v>206668.03</v>
      </c>
      <c r="AP20" s="5">
        <v>16619.310000000001</v>
      </c>
      <c r="AQ20" s="5">
        <v>28722</v>
      </c>
      <c r="AR20" s="5">
        <v>4813.1000000000004</v>
      </c>
      <c r="AS20" s="763">
        <f t="shared" si="67"/>
        <v>84.5</v>
      </c>
      <c r="AT20" s="776">
        <v>107488.75</v>
      </c>
      <c r="AU20" s="776">
        <v>1585.5</v>
      </c>
      <c r="AV20" s="776">
        <v>8956.8333333333376</v>
      </c>
      <c r="AW20" s="776">
        <v>1055.5833333333328</v>
      </c>
      <c r="AX20" s="776">
        <v>5</v>
      </c>
      <c r="AY20" s="776">
        <v>3</v>
      </c>
      <c r="AZ20" s="776">
        <v>30038.5</v>
      </c>
      <c r="BA20" s="776">
        <v>439</v>
      </c>
      <c r="BB20" s="776">
        <v>836.8333333333336</v>
      </c>
      <c r="BC20" s="779">
        <v>43014323.7304601</v>
      </c>
      <c r="BD20" s="779">
        <f>IFERROR(VLOOKUP($B20-1,CDM!$V$4:$AJ$17,11,FALSE)/12,0)+IFERROR(VLOOKUP($B20,CDM!$V$41:$AJ$54,11,FALSE)/24,0)+IFERROR(VLOOKUP($B20,CDM!$V$41:$AJ$54,11,FALSE)/2*$C20/78,0)</f>
        <v>667375.47798682877</v>
      </c>
      <c r="BE20" s="779">
        <f t="shared" si="14"/>
        <v>43681699.208446927</v>
      </c>
      <c r="BF20" s="779"/>
      <c r="BG20" s="779"/>
      <c r="BH20" s="779">
        <f t="shared" si="15"/>
        <v>43681699.208446927</v>
      </c>
      <c r="BI20" s="779">
        <v>8153728.6656899899</v>
      </c>
      <c r="BJ20" s="779">
        <f>IFERROR(VLOOKUP($B20-1,CDM!$V$4:$AJ$17,12,FALSE)/12,0)+IFERROR(VLOOKUP($B20,CDM!$V$41:$AJ$54,12,FALSE)/24,0)+IFERROR(VLOOKUP($B20,CDM!$V$41:$AJ$54,12,FALSE)/2*$C20/78,0)</f>
        <v>116376.90311303083</v>
      </c>
      <c r="BK20" s="779">
        <f t="shared" si="16"/>
        <v>8270105.5688030208</v>
      </c>
      <c r="BL20" s="779"/>
      <c r="BM20" s="779"/>
      <c r="BN20" s="779">
        <f t="shared" si="17"/>
        <v>8270105.5688030208</v>
      </c>
      <c r="BO20" s="779">
        <v>30252012.800000001</v>
      </c>
      <c r="BP20" s="779">
        <f>IFERROR(VLOOKUP($B20-1,CDM!$V$4:$AJ$17,13,FALSE)/12,0)+IFERROR(VLOOKUP($B20,CDM!$V$41:$AJ$54,13,FALSE)/24,0)+IFERROR(VLOOKUP($B20,CDM!$V$41:$AJ$54,13,FALSE)/2*$C20/78,0)</f>
        <v>430129.33061254455</v>
      </c>
      <c r="BQ20" s="779">
        <f t="shared" si="19"/>
        <v>30682142.130612545</v>
      </c>
      <c r="BR20" s="779"/>
      <c r="BS20" s="779"/>
      <c r="BT20" s="779">
        <f t="shared" si="20"/>
        <v>30682142.130612545</v>
      </c>
      <c r="BU20" s="779">
        <v>5431219.0999999996</v>
      </c>
      <c r="BV20" s="779">
        <f>IFERROR(VLOOKUP($B20-1,CDM!$V$4:$AJ$17,14,FALSE)/12,0)+IFERROR(VLOOKUP($B20,CDM!$V$41:$AJ$54,14,FALSE)/24,0)+IFERROR(VLOOKUP($B20,CDM!$V$41:$AJ$54,14,FALSE)/2*$C20/78,0)</f>
        <v>96702.603458087062</v>
      </c>
      <c r="BW20" s="779">
        <f t="shared" si="21"/>
        <v>5527921.7034580866</v>
      </c>
      <c r="BX20" s="779"/>
      <c r="BY20" s="779">
        <f t="shared" si="22"/>
        <v>5527921.7034580866</v>
      </c>
      <c r="BZ20" s="779">
        <v>360380.98</v>
      </c>
      <c r="CA20" s="779">
        <v>2642.4341109465072</v>
      </c>
      <c r="CB20" s="5">
        <v>50244.01</v>
      </c>
      <c r="CC20" s="5">
        <v>71008.56</v>
      </c>
      <c r="CD20" s="5">
        <v>7732.43</v>
      </c>
      <c r="CE20" s="5">
        <v>1180.8800000000001</v>
      </c>
      <c r="CF20" s="763">
        <f t="shared" si="70"/>
        <v>7.666666666666667</v>
      </c>
      <c r="CG20" s="785">
        <v>39447.58333333335</v>
      </c>
      <c r="CH20" s="785">
        <v>2202.9166666666656</v>
      </c>
      <c r="CI20" s="785">
        <v>367.1666666666668</v>
      </c>
      <c r="CJ20" s="785">
        <v>2</v>
      </c>
      <c r="CK20" s="785">
        <v>11859.25</v>
      </c>
      <c r="CL20" s="785">
        <v>39</v>
      </c>
      <c r="CM20" s="785">
        <v>371.9166666666668</v>
      </c>
      <c r="CN20" s="46">
        <f>Weather!C32</f>
        <v>8.75416666666667</v>
      </c>
      <c r="CO20" s="46">
        <f>Weather!D32</f>
        <v>73.983333333333334</v>
      </c>
      <c r="CP20" s="46">
        <f>Weather!E32</f>
        <v>1.6583333333333314</v>
      </c>
      <c r="CQ20" s="46">
        <f>Weather!F32</f>
        <v>128.88749999999999</v>
      </c>
      <c r="CR20" s="46">
        <f>Weather!G32</f>
        <v>0</v>
      </c>
      <c r="CS20" s="46">
        <f>Weather!H32</f>
        <v>189.22916666666666</v>
      </c>
      <c r="CT20" s="46">
        <f>Weather!I32</f>
        <v>0</v>
      </c>
      <c r="CU20" s="46">
        <f>Weather!J32</f>
        <v>251.2291666666666</v>
      </c>
      <c r="CV20" s="46">
        <f>Weather!K32</f>
        <v>0</v>
      </c>
      <c r="CW20" s="46">
        <f>Weather!L32</f>
        <v>313.22916666666657</v>
      </c>
      <c r="CX20" s="46">
        <f>Weather!M32</f>
        <v>0</v>
      </c>
      <c r="CY20" s="46">
        <f>Weather!N32</f>
        <v>375.22916666666669</v>
      </c>
      <c r="CZ20" s="46">
        <f>Weather!O32</f>
        <v>0</v>
      </c>
      <c r="DA20" s="46">
        <f>Weather!P32</f>
        <v>437.22916666666669</v>
      </c>
      <c r="DB20" s="368">
        <f>'Economic Data'!D34</f>
        <v>6933.8</v>
      </c>
      <c r="DC20" s="368">
        <f>'Economic Data'!E34</f>
        <v>7021.7</v>
      </c>
      <c r="DD20" s="368">
        <f>'Economic Data'!F34</f>
        <v>205.8</v>
      </c>
      <c r="DE20" s="368">
        <f>'Economic Data'!G34</f>
        <v>208.5</v>
      </c>
      <c r="DF20" s="368">
        <f>'Economic Data'!H34</f>
        <v>28.4</v>
      </c>
      <c r="DG20" s="368">
        <f>'Economic Data'!I34</f>
        <v>28.4</v>
      </c>
      <c r="DH20" s="368">
        <f>'Economic Data'!J34</f>
        <v>743976.2</v>
      </c>
      <c r="DI20" s="368">
        <f>'Economic Data'!K34</f>
        <v>571846.40000000002</v>
      </c>
      <c r="DJ20" s="368">
        <f>'Economic Data'!L34</f>
        <v>91511.8</v>
      </c>
      <c r="DK20" s="368">
        <f>'Economic Data'!M34</f>
        <v>29814.5</v>
      </c>
      <c r="DL20" s="368">
        <f>'Economic Data'!N34</f>
        <v>746606</v>
      </c>
      <c r="DM20" s="368">
        <f>'Economic Data'!O34</f>
        <v>91685</v>
      </c>
      <c r="DN20" s="368">
        <f>'Economic Data'!P34</f>
        <v>20823</v>
      </c>
      <c r="DO20" s="368">
        <f>'Economic Data'!Q34</f>
        <v>574136</v>
      </c>
      <c r="DP20" s="368">
        <f>'Economic Data'!R34</f>
        <v>30035</v>
      </c>
      <c r="DQ20">
        <v>31</v>
      </c>
      <c r="DR20">
        <v>20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1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f t="shared" si="69"/>
        <v>19</v>
      </c>
      <c r="EI20">
        <v>0</v>
      </c>
      <c r="EJ20">
        <v>0</v>
      </c>
      <c r="EK20">
        <v>0</v>
      </c>
      <c r="EL20">
        <v>0</v>
      </c>
      <c r="EM20" s="47">
        <f t="shared" si="23"/>
        <v>0</v>
      </c>
      <c r="EN20" s="47">
        <f t="shared" si="24"/>
        <v>0</v>
      </c>
      <c r="EO20" s="47">
        <f t="shared" si="25"/>
        <v>0</v>
      </c>
      <c r="EP20" s="47">
        <f t="shared" si="26"/>
        <v>0</v>
      </c>
      <c r="EQ20" s="47">
        <f t="shared" si="27"/>
        <v>0</v>
      </c>
      <c r="ER20" s="47">
        <f t="shared" si="28"/>
        <v>0</v>
      </c>
      <c r="ES20" s="47">
        <f t="shared" si="29"/>
        <v>0</v>
      </c>
      <c r="ET20" s="47">
        <f t="shared" si="30"/>
        <v>0</v>
      </c>
      <c r="EU20" s="47">
        <f t="shared" si="31"/>
        <v>0</v>
      </c>
      <c r="EV20" s="47">
        <f t="shared" si="32"/>
        <v>0</v>
      </c>
      <c r="EW20" s="47">
        <f t="shared" si="33"/>
        <v>0</v>
      </c>
      <c r="EX20" s="47">
        <f t="shared" si="34"/>
        <v>0</v>
      </c>
      <c r="EY20" s="47">
        <f t="shared" si="35"/>
        <v>0</v>
      </c>
      <c r="EZ20" s="47">
        <f t="shared" si="36"/>
        <v>0</v>
      </c>
      <c r="FA20" s="47">
        <f t="shared" si="37"/>
        <v>0</v>
      </c>
      <c r="FB20" s="47">
        <f t="shared" si="38"/>
        <v>0</v>
      </c>
      <c r="FC20" s="47">
        <f t="shared" si="39"/>
        <v>0</v>
      </c>
      <c r="FD20" s="47">
        <f t="shared" si="40"/>
        <v>0</v>
      </c>
      <c r="FE20" s="47">
        <f t="shared" si="41"/>
        <v>0</v>
      </c>
      <c r="FF20" s="47">
        <f t="shared" si="42"/>
        <v>0</v>
      </c>
      <c r="FG20" s="47">
        <f t="shared" si="43"/>
        <v>0</v>
      </c>
      <c r="FH20" s="47">
        <f t="shared" si="44"/>
        <v>0</v>
      </c>
      <c r="FI20" s="47">
        <f t="shared" si="45"/>
        <v>0</v>
      </c>
      <c r="FJ20" s="47">
        <f t="shared" si="46"/>
        <v>0</v>
      </c>
      <c r="FK20" s="47">
        <f t="shared" si="47"/>
        <v>0</v>
      </c>
      <c r="FL20" s="47">
        <f t="shared" si="48"/>
        <v>0</v>
      </c>
      <c r="FM20" s="47">
        <f t="shared" si="49"/>
        <v>0</v>
      </c>
      <c r="FN20" s="47">
        <f t="shared" si="50"/>
        <v>0</v>
      </c>
      <c r="FO20" s="765">
        <f t="shared" si="51"/>
        <v>954.24109682809467</v>
      </c>
      <c r="FP20" s="765">
        <f t="shared" si="52"/>
        <v>629.67636600626668</v>
      </c>
      <c r="FQ20" s="765">
        <f t="shared" si="53"/>
        <v>2886.1321069876249</v>
      </c>
      <c r="FR20" s="765">
        <f t="shared" si="54"/>
        <v>81188.63998023601</v>
      </c>
      <c r="FS20" s="765">
        <f t="shared" si="55"/>
        <v>1299890.3990614926</v>
      </c>
      <c r="FT20" s="765">
        <f t="shared" si="56"/>
        <v>6086044.2977499887</v>
      </c>
      <c r="FU20" s="765">
        <f t="shared" si="57"/>
        <v>46.858533215706508</v>
      </c>
      <c r="FV20" s="765">
        <f t="shared" si="58"/>
        <v>22.943883826879276</v>
      </c>
      <c r="FW20" s="765">
        <f t="shared" si="59"/>
        <v>494.91906393148753</v>
      </c>
      <c r="FX20" s="765">
        <f t="shared" si="60"/>
        <v>1107.3352412829745</v>
      </c>
      <c r="FY20" s="765">
        <f t="shared" si="61"/>
        <v>3754.1617864814184</v>
      </c>
      <c r="FZ20" s="765">
        <f t="shared" si="62"/>
        <v>83564.617695721841</v>
      </c>
      <c r="GA20" s="765">
        <f t="shared" si="63"/>
        <v>180190.49</v>
      </c>
      <c r="GB20" s="765">
        <f t="shared" si="64"/>
        <v>30.388176318063955</v>
      </c>
      <c r="GC20" s="765">
        <f t="shared" si="65"/>
        <v>67.754720793500184</v>
      </c>
      <c r="GD20" s="765">
        <f t="shared" si="66"/>
        <v>135.09480618418101</v>
      </c>
    </row>
    <row r="21" spans="1:186">
      <c r="A21" s="4">
        <v>42583</v>
      </c>
      <c r="B21" s="6">
        <v>2016</v>
      </c>
      <c r="C21" s="5">
        <v>8</v>
      </c>
      <c r="D21" s="7">
        <v>107677061.45640899</v>
      </c>
      <c r="E21" s="7">
        <f>IFERROR(VLOOKUP($B21-1,CDM!$V$4:$AJ$17,2,FALSE)/12,0)+IFERROR(VLOOKUP($B21,CDM!$V$41:$AJ$54,2,FALSE)/24,0)+IFERROR(VLOOKUP($B21,CDM!$V$41:$AJ$54,2,FALSE)/2*$C21/78,0)</f>
        <v>1382256.808316682</v>
      </c>
      <c r="F21" s="7">
        <f t="shared" si="2"/>
        <v>109059318.26472567</v>
      </c>
      <c r="G21" s="7"/>
      <c r="H21" s="7"/>
      <c r="I21" s="7">
        <f t="shared" si="3"/>
        <v>109059318.26472567</v>
      </c>
      <c r="J21" s="7">
        <v>968251.10329999903</v>
      </c>
      <c r="K21" s="7">
        <f>IFERROR(VLOOKUP($B21-1,CDM!$V$4:$AJ$17,3,FALSE)/12,0)+IFERROR(VLOOKUP($B21,CDM!$V$41:$AJ$54,3,FALSE)/24,0)+IFERROR(VLOOKUP($B21,CDM!$V$41:$AJ$54,3,FALSE)/2*$C21/78,0)</f>
        <v>15832.097977345958</v>
      </c>
      <c r="L21" s="7">
        <f t="shared" si="4"/>
        <v>984083.20127734495</v>
      </c>
      <c r="M21" s="7"/>
      <c r="N21" s="7"/>
      <c r="O21" s="7">
        <f t="shared" si="5"/>
        <v>984083.20127734495</v>
      </c>
      <c r="P21" s="7">
        <v>26483969.474950001</v>
      </c>
      <c r="Q21" s="7">
        <f>IFERROR(VLOOKUP($B21-1,CDM!$V$4:$AJ$17,4,FALSE)/12,0)+IFERROR(VLOOKUP($B21,CDM!$V$41:$AJ$54,4,FALSE)/24,0)+IFERROR(VLOOKUP($B21,CDM!$V$41:$AJ$54,4,FALSE)/2*$C21/78,0)</f>
        <v>545276.02759310906</v>
      </c>
      <c r="R21" s="7">
        <f t="shared" si="6"/>
        <v>27029245.50254311</v>
      </c>
      <c r="S21" s="7"/>
      <c r="T21" s="7"/>
      <c r="U21" s="7">
        <f t="shared" si="7"/>
        <v>27029245.50254311</v>
      </c>
      <c r="V21" s="7">
        <v>87838504.120000005</v>
      </c>
      <c r="W21" s="7">
        <f>IFERROR(VLOOKUP($B21-1,CDM!$V$4:$AJ$17,5,FALSE)/12,0)+IFERROR(VLOOKUP($B21,CDM!$V$41:$AJ$54,5,FALSE)/24,0)+IFERROR(VLOOKUP($B21,CDM!$V$41:$AJ$54,5,FALSE)/2*$C21/78,0)</f>
        <v>1919701.869487735</v>
      </c>
      <c r="X21" s="7">
        <f t="shared" si="8"/>
        <v>89758205.989487737</v>
      </c>
      <c r="Y21" s="7"/>
      <c r="Z21" s="7"/>
      <c r="AA21" s="7">
        <f t="shared" si="9"/>
        <v>89758205.989487737</v>
      </c>
      <c r="AB21" s="7">
        <v>7553701.79</v>
      </c>
      <c r="AC21" s="7">
        <f>IFERROR(VLOOKUP($B21-1,CDM!$V$4:$AJ$17,6,FALSE)/12,0)+IFERROR(VLOOKUP($B21,CDM!$V$41:$AJ$54,6,FALSE)/24,0)+IFERROR(VLOOKUP($B21,CDM!$V$41:$AJ$54,6,FALSE)/2*$C21/78,0)</f>
        <v>44924.435510759809</v>
      </c>
      <c r="AD21" s="7">
        <f t="shared" si="10"/>
        <v>7598626.2255107602</v>
      </c>
      <c r="AE21" s="7"/>
      <c r="AF21" s="7">
        <f t="shared" si="11"/>
        <v>7598626.2255107602</v>
      </c>
      <c r="AG21" s="7">
        <v>19003702.379999999</v>
      </c>
      <c r="AH21" s="7">
        <f>IFERROR(VLOOKUP($B21-1,CDM!$V$4:$AJ$17,7,FALSE)/12,0)+IFERROR(VLOOKUP($B21,CDM!$V$41:$AJ$54,7,FALSE)/24,0)+IFERROR(VLOOKUP($B21,CDM!$V$41:$AJ$54,7,FALSE)/2*$C21/78,0)</f>
        <v>620872.69677228434</v>
      </c>
      <c r="AI21" s="7">
        <f t="shared" si="12"/>
        <v>19624575.076772284</v>
      </c>
      <c r="AJ21" s="7"/>
      <c r="AK21" s="7">
        <f t="shared" si="13"/>
        <v>19624575.076772284</v>
      </c>
      <c r="AL21" s="7">
        <v>1576988.53</v>
      </c>
      <c r="AM21" s="7">
        <v>10072.365000000002</v>
      </c>
      <c r="AN21" s="7">
        <v>413883.85</v>
      </c>
      <c r="AO21" s="5">
        <v>205587.47</v>
      </c>
      <c r="AP21" s="5">
        <v>17173.5</v>
      </c>
      <c r="AQ21" s="5">
        <v>30574</v>
      </c>
      <c r="AR21" s="5">
        <v>4813.1000000000004</v>
      </c>
      <c r="AS21" s="763">
        <f t="shared" si="67"/>
        <v>84.5</v>
      </c>
      <c r="AT21" s="776">
        <v>107571</v>
      </c>
      <c r="AU21" s="776">
        <v>1585</v>
      </c>
      <c r="AV21" s="776">
        <v>8963.6666666666715</v>
      </c>
      <c r="AW21" s="776">
        <v>1054.6666666666661</v>
      </c>
      <c r="AX21" s="776">
        <v>5</v>
      </c>
      <c r="AY21" s="776">
        <v>3</v>
      </c>
      <c r="AZ21" s="776">
        <v>30054</v>
      </c>
      <c r="BA21" s="776">
        <v>439</v>
      </c>
      <c r="BB21" s="776">
        <v>835.66666666666697</v>
      </c>
      <c r="BC21" s="779">
        <v>45586348.4991102</v>
      </c>
      <c r="BD21" s="779">
        <f>IFERROR(VLOOKUP($B21-1,CDM!$V$4:$AJ$17,11,FALSE)/12,0)+IFERROR(VLOOKUP($B21,CDM!$V$41:$AJ$54,11,FALSE)/24,0)+IFERROR(VLOOKUP($B21,CDM!$V$41:$AJ$54,11,FALSE)/2*$C21/78,0)</f>
        <v>697577.66018407233</v>
      </c>
      <c r="BE21" s="779">
        <f t="shared" si="14"/>
        <v>46283926.15929427</v>
      </c>
      <c r="BF21" s="779"/>
      <c r="BG21" s="779"/>
      <c r="BH21" s="779">
        <f t="shared" si="15"/>
        <v>46283926.15929427</v>
      </c>
      <c r="BI21" s="779">
        <v>8508203.0139099807</v>
      </c>
      <c r="BJ21" s="779">
        <f>IFERROR(VLOOKUP($B21-1,CDM!$V$4:$AJ$17,12,FALSE)/12,0)+IFERROR(VLOOKUP($B21,CDM!$V$41:$AJ$54,12,FALSE)/24,0)+IFERROR(VLOOKUP($B21,CDM!$V$41:$AJ$54,12,FALSE)/2*$C21/78,0)</f>
        <v>118193.64719693435</v>
      </c>
      <c r="BK21" s="779">
        <f t="shared" si="16"/>
        <v>8626396.6611069143</v>
      </c>
      <c r="BL21" s="779"/>
      <c r="BM21" s="779"/>
      <c r="BN21" s="779">
        <f t="shared" si="17"/>
        <v>8626396.6611069143</v>
      </c>
      <c r="BO21" s="779">
        <v>32320717.75</v>
      </c>
      <c r="BP21" s="779">
        <f>IFERROR(VLOOKUP($B21-1,CDM!$V$4:$AJ$17,13,FALSE)/12,0)+IFERROR(VLOOKUP($B21,CDM!$V$41:$AJ$54,13,FALSE)/24,0)+IFERROR(VLOOKUP($B21,CDM!$V$41:$AJ$54,13,FALSE)/2*$C21/78,0)</f>
        <v>441118.4258293868</v>
      </c>
      <c r="BQ21" s="779">
        <f t="shared" si="19"/>
        <v>32761836.175829388</v>
      </c>
      <c r="BR21" s="779"/>
      <c r="BS21" s="779"/>
      <c r="BT21" s="779">
        <f t="shared" si="20"/>
        <v>32761836.175829388</v>
      </c>
      <c r="BU21" s="779">
        <v>5572096.2800000003</v>
      </c>
      <c r="BV21" s="779">
        <f>IFERROR(VLOOKUP($B21-1,CDM!$V$4:$AJ$17,14,FALSE)/12,0)+IFERROR(VLOOKUP($B21,CDM!$V$41:$AJ$54,14,FALSE)/24,0)+IFERROR(VLOOKUP($B21,CDM!$V$41:$AJ$54,14,FALSE)/2*$C21/78,0)</f>
        <v>99173.195536995307</v>
      </c>
      <c r="BW21" s="779">
        <f t="shared" si="21"/>
        <v>5671269.4755369956</v>
      </c>
      <c r="BX21" s="779"/>
      <c r="BY21" s="779">
        <f t="shared" si="22"/>
        <v>5671269.4755369956</v>
      </c>
      <c r="BZ21" s="779">
        <v>407679.91</v>
      </c>
      <c r="CA21" s="779">
        <v>2642.4341109465072</v>
      </c>
      <c r="CB21" s="5">
        <v>50178.15</v>
      </c>
      <c r="CC21" s="5">
        <v>74505.850000000006</v>
      </c>
      <c r="CD21" s="5">
        <v>7959.48</v>
      </c>
      <c r="CE21" s="5">
        <v>1179.4100000000001</v>
      </c>
      <c r="CF21" s="763">
        <f t="shared" si="70"/>
        <v>7.666666666666667</v>
      </c>
      <c r="CG21" s="785">
        <v>39475.666666666686</v>
      </c>
      <c r="CH21" s="785">
        <v>2206.3333333333321</v>
      </c>
      <c r="CI21" s="785">
        <v>367.33333333333348</v>
      </c>
      <c r="CJ21" s="785">
        <v>2</v>
      </c>
      <c r="CK21" s="785">
        <v>11863</v>
      </c>
      <c r="CL21" s="785">
        <v>39</v>
      </c>
      <c r="CM21" s="785">
        <v>371.33333333333348</v>
      </c>
      <c r="CN21" s="46">
        <f>Weather!C33</f>
        <v>4.029166666666665</v>
      </c>
      <c r="CO21" s="46">
        <f>Weather!D33</f>
        <v>84.054166666666674</v>
      </c>
      <c r="CP21" s="46">
        <f>Weather!E33</f>
        <v>1.1291666666666664</v>
      </c>
      <c r="CQ21" s="46">
        <f>Weather!F33</f>
        <v>143.1541666666667</v>
      </c>
      <c r="CR21" s="46">
        <f>Weather!G33</f>
        <v>0</v>
      </c>
      <c r="CS21" s="46">
        <f>Weather!H33</f>
        <v>204.02500000000006</v>
      </c>
      <c r="CT21" s="46">
        <f>Weather!I33</f>
        <v>0</v>
      </c>
      <c r="CU21" s="46">
        <f>Weather!J33</f>
        <v>266.02500000000003</v>
      </c>
      <c r="CV21" s="46">
        <f>Weather!K33</f>
        <v>0</v>
      </c>
      <c r="CW21" s="46">
        <f>Weather!L33</f>
        <v>328.02499999999998</v>
      </c>
      <c r="CX21" s="46">
        <f>Weather!M33</f>
        <v>0</v>
      </c>
      <c r="CY21" s="46">
        <f>Weather!N33</f>
        <v>390.02499999999998</v>
      </c>
      <c r="CZ21" s="46">
        <f>Weather!O33</f>
        <v>0</v>
      </c>
      <c r="DA21" s="46">
        <f>Weather!P33</f>
        <v>452.02499999999998</v>
      </c>
      <c r="DB21" s="368">
        <f>'Economic Data'!D35</f>
        <v>6931.2</v>
      </c>
      <c r="DC21" s="368">
        <f>'Economic Data'!E35</f>
        <v>7018.7</v>
      </c>
      <c r="DD21" s="368">
        <f>'Economic Data'!F35</f>
        <v>208.7</v>
      </c>
      <c r="DE21" s="368">
        <f>'Economic Data'!G35</f>
        <v>210.5</v>
      </c>
      <c r="DF21" s="368">
        <f>'Economic Data'!H35</f>
        <v>28.2</v>
      </c>
      <c r="DG21" s="368">
        <f>'Economic Data'!I35</f>
        <v>28.2</v>
      </c>
      <c r="DH21" s="368">
        <f>'Economic Data'!J35</f>
        <v>743976.2</v>
      </c>
      <c r="DI21" s="368">
        <f>'Economic Data'!K35</f>
        <v>571846.40000000002</v>
      </c>
      <c r="DJ21" s="368">
        <f>'Economic Data'!L35</f>
        <v>91511.8</v>
      </c>
      <c r="DK21" s="368">
        <f>'Economic Data'!M35</f>
        <v>29814.5</v>
      </c>
      <c r="DL21" s="368">
        <f>'Economic Data'!N35</f>
        <v>746606</v>
      </c>
      <c r="DM21" s="368">
        <f>'Economic Data'!O35</f>
        <v>91685</v>
      </c>
      <c r="DN21" s="368">
        <f>'Economic Data'!P35</f>
        <v>20823</v>
      </c>
      <c r="DO21" s="368">
        <f>'Economic Data'!Q35</f>
        <v>574136</v>
      </c>
      <c r="DP21" s="368">
        <f>'Economic Data'!R35</f>
        <v>30035</v>
      </c>
      <c r="DQ21">
        <v>31</v>
      </c>
      <c r="DR21">
        <v>22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1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f t="shared" si="69"/>
        <v>20</v>
      </c>
      <c r="EI21">
        <v>0</v>
      </c>
      <c r="EJ21">
        <v>0</v>
      </c>
      <c r="EK21">
        <v>0</v>
      </c>
      <c r="EL21">
        <v>0</v>
      </c>
      <c r="EM21" s="47">
        <f t="shared" si="23"/>
        <v>0</v>
      </c>
      <c r="EN21" s="47">
        <f t="shared" si="24"/>
        <v>0</v>
      </c>
      <c r="EO21" s="47">
        <f t="shared" si="25"/>
        <v>0</v>
      </c>
      <c r="EP21" s="47">
        <f t="shared" si="26"/>
        <v>0</v>
      </c>
      <c r="EQ21" s="47">
        <f t="shared" si="27"/>
        <v>0</v>
      </c>
      <c r="ER21" s="47">
        <f t="shared" si="28"/>
        <v>0</v>
      </c>
      <c r="ES21" s="47">
        <f t="shared" si="29"/>
        <v>0</v>
      </c>
      <c r="ET21" s="47">
        <f t="shared" si="30"/>
        <v>0</v>
      </c>
      <c r="EU21" s="47">
        <f t="shared" si="31"/>
        <v>0</v>
      </c>
      <c r="EV21" s="47">
        <f t="shared" si="32"/>
        <v>0</v>
      </c>
      <c r="EW21" s="47">
        <f t="shared" si="33"/>
        <v>0</v>
      </c>
      <c r="EX21" s="47">
        <f t="shared" si="34"/>
        <v>0</v>
      </c>
      <c r="EY21" s="47">
        <f t="shared" si="35"/>
        <v>0</v>
      </c>
      <c r="EZ21" s="47">
        <f t="shared" si="36"/>
        <v>0</v>
      </c>
      <c r="FA21" s="47">
        <f t="shared" si="37"/>
        <v>0</v>
      </c>
      <c r="FB21" s="47">
        <f t="shared" si="38"/>
        <v>0</v>
      </c>
      <c r="FC21" s="47">
        <f t="shared" si="39"/>
        <v>0</v>
      </c>
      <c r="FD21" s="47">
        <f t="shared" si="40"/>
        <v>0</v>
      </c>
      <c r="FE21" s="47">
        <f t="shared" si="41"/>
        <v>0</v>
      </c>
      <c r="FF21" s="47">
        <f t="shared" si="42"/>
        <v>0</v>
      </c>
      <c r="FG21" s="47">
        <f t="shared" si="43"/>
        <v>0</v>
      </c>
      <c r="FH21" s="47">
        <f t="shared" si="44"/>
        <v>0</v>
      </c>
      <c r="FI21" s="47">
        <f t="shared" si="45"/>
        <v>0</v>
      </c>
      <c r="FJ21" s="47">
        <f t="shared" si="46"/>
        <v>0</v>
      </c>
      <c r="FK21" s="47">
        <f t="shared" si="47"/>
        <v>0</v>
      </c>
      <c r="FL21" s="47">
        <f t="shared" si="48"/>
        <v>0</v>
      </c>
      <c r="FM21" s="47">
        <f t="shared" si="49"/>
        <v>0</v>
      </c>
      <c r="FN21" s="47">
        <f t="shared" si="50"/>
        <v>0</v>
      </c>
      <c r="FO21" s="765">
        <f t="shared" si="51"/>
        <v>1013.8356830811805</v>
      </c>
      <c r="FP21" s="765">
        <f t="shared" si="52"/>
        <v>620.87268219390853</v>
      </c>
      <c r="FQ21" s="765">
        <f t="shared" si="53"/>
        <v>3015.4228741076677</v>
      </c>
      <c r="FR21" s="765">
        <f t="shared" si="54"/>
        <v>85105.757891423316</v>
      </c>
      <c r="FS21" s="765">
        <f t="shared" si="55"/>
        <v>1519725.245102152</v>
      </c>
      <c r="FT21" s="765">
        <f t="shared" si="56"/>
        <v>6541525.0255907616</v>
      </c>
      <c r="FU21" s="765">
        <f t="shared" si="57"/>
        <v>52.471835030278832</v>
      </c>
      <c r="FV21" s="765">
        <f t="shared" si="58"/>
        <v>22.943883826879276</v>
      </c>
      <c r="FW21" s="765">
        <f t="shared" si="59"/>
        <v>495.27385321100894</v>
      </c>
      <c r="FX21" s="765">
        <f t="shared" si="60"/>
        <v>1172.4672454582378</v>
      </c>
      <c r="FY21" s="765">
        <f t="shared" si="61"/>
        <v>3909.8338092341378</v>
      </c>
      <c r="FZ21" s="765">
        <f t="shared" si="62"/>
        <v>89188.301749081787</v>
      </c>
      <c r="GA21" s="765">
        <f t="shared" si="63"/>
        <v>203839.95499999999</v>
      </c>
      <c r="GB21" s="765">
        <f t="shared" si="64"/>
        <v>34.365667200539491</v>
      </c>
      <c r="GC21" s="765">
        <f t="shared" si="65"/>
        <v>67.754720793500184</v>
      </c>
      <c r="GD21" s="765">
        <f t="shared" si="66"/>
        <v>135.12966786355472</v>
      </c>
    </row>
    <row r="22" spans="1:186">
      <c r="A22" s="4">
        <v>42614</v>
      </c>
      <c r="B22" s="6">
        <v>2016</v>
      </c>
      <c r="C22" s="5">
        <v>9</v>
      </c>
      <c r="D22" s="7">
        <v>74880248.752480209</v>
      </c>
      <c r="E22" s="7">
        <f>IFERROR(VLOOKUP($B22-1,CDM!$V$4:$AJ$17,2,FALSE)/12,0)+IFERROR(VLOOKUP($B22,CDM!$V$41:$AJ$54,2,FALSE)/24,0)+IFERROR(VLOOKUP($B22,CDM!$V$41:$AJ$54,2,FALSE)/2*$C22/78,0)</f>
        <v>1433292.0325905029</v>
      </c>
      <c r="F22" s="7">
        <f t="shared" si="2"/>
        <v>76313540.785070717</v>
      </c>
      <c r="G22" s="7"/>
      <c r="H22" s="7"/>
      <c r="I22" s="7">
        <f t="shared" si="3"/>
        <v>76313540.785070717</v>
      </c>
      <c r="J22" s="7">
        <v>653467.51299000101</v>
      </c>
      <c r="K22" s="7">
        <f>IFERROR(VLOOKUP($B22-1,CDM!$V$4:$AJ$17,3,FALSE)/12,0)+IFERROR(VLOOKUP($B22,CDM!$V$41:$AJ$54,3,FALSE)/24,0)+IFERROR(VLOOKUP($B22,CDM!$V$41:$AJ$54,3,FALSE)/2*$C22/78,0)</f>
        <v>16416.645411757177</v>
      </c>
      <c r="L22" s="7">
        <f t="shared" si="4"/>
        <v>669884.15840175818</v>
      </c>
      <c r="M22" s="7"/>
      <c r="N22" s="7"/>
      <c r="O22" s="7">
        <f t="shared" si="5"/>
        <v>669884.15840175818</v>
      </c>
      <c r="P22" s="7">
        <v>22354040.928489901</v>
      </c>
      <c r="Q22" s="7">
        <f>IFERROR(VLOOKUP($B22-1,CDM!$V$4:$AJ$17,4,FALSE)/12,0)+IFERROR(VLOOKUP($B22,CDM!$V$41:$AJ$54,4,FALSE)/24,0)+IFERROR(VLOOKUP($B22,CDM!$V$41:$AJ$54,4,FALSE)/2*$C22/78,0)</f>
        <v>560682.06371588027</v>
      </c>
      <c r="R22" s="7">
        <f t="shared" si="6"/>
        <v>22914722.99220578</v>
      </c>
      <c r="S22" s="7"/>
      <c r="T22" s="7"/>
      <c r="U22" s="7">
        <f t="shared" si="7"/>
        <v>22914722.99220578</v>
      </c>
      <c r="V22" s="7">
        <v>79754218.579999998</v>
      </c>
      <c r="W22" s="7">
        <f>IFERROR(VLOOKUP($B22-1,CDM!$V$4:$AJ$17,5,FALSE)/12,0)+IFERROR(VLOOKUP($B22,CDM!$V$41:$AJ$54,5,FALSE)/24,0)+IFERROR(VLOOKUP($B22,CDM!$V$41:$AJ$54,5,FALSE)/2*$C22/78,0)</f>
        <v>1969135.3598380559</v>
      </c>
      <c r="X22" s="7">
        <f t="shared" si="8"/>
        <v>81723353.939838052</v>
      </c>
      <c r="Y22" s="7"/>
      <c r="Z22" s="7"/>
      <c r="AA22" s="7">
        <f t="shared" si="9"/>
        <v>81723353.939838052</v>
      </c>
      <c r="AB22" s="7">
        <v>7017561.29</v>
      </c>
      <c r="AC22" s="7">
        <f>IFERROR(VLOOKUP($B22-1,CDM!$V$4:$AJ$17,6,FALSE)/12,0)+IFERROR(VLOOKUP($B22,CDM!$V$41:$AJ$54,6,FALSE)/24,0)+IFERROR(VLOOKUP($B22,CDM!$V$41:$AJ$54,6,FALSE)/2*$C22/78,0)</f>
        <v>47176.855714056772</v>
      </c>
      <c r="AD22" s="7">
        <f t="shared" si="10"/>
        <v>7064738.1457140567</v>
      </c>
      <c r="AE22" s="7"/>
      <c r="AF22" s="7">
        <f t="shared" si="11"/>
        <v>7064738.1457140567</v>
      </c>
      <c r="AG22" s="7">
        <v>17477708.690000001</v>
      </c>
      <c r="AH22" s="7">
        <f>IFERROR(VLOOKUP($B22-1,CDM!$V$4:$AJ$17,7,FALSE)/12,0)+IFERROR(VLOOKUP($B22,CDM!$V$41:$AJ$54,7,FALSE)/24,0)+IFERROR(VLOOKUP($B22,CDM!$V$41:$AJ$54,7,FALSE)/2*$C22/78,0)</f>
        <v>638742.43029460032</v>
      </c>
      <c r="AI22" s="7">
        <f t="shared" si="12"/>
        <v>18116451.120294601</v>
      </c>
      <c r="AJ22" s="7"/>
      <c r="AK22" s="7">
        <f t="shared" si="13"/>
        <v>18116451.120294601</v>
      </c>
      <c r="AL22" s="7">
        <v>1737590.66</v>
      </c>
      <c r="AM22" s="7">
        <v>9557.7344262295064</v>
      </c>
      <c r="AN22" s="7">
        <v>413316.77500000002</v>
      </c>
      <c r="AO22" s="5">
        <v>204567.16</v>
      </c>
      <c r="AP22" s="5">
        <v>17376.189999999999</v>
      </c>
      <c r="AQ22" s="5">
        <v>29068</v>
      </c>
      <c r="AR22" s="5">
        <v>4804.96</v>
      </c>
      <c r="AS22" s="763">
        <f t="shared" si="67"/>
        <v>84.5</v>
      </c>
      <c r="AT22" s="776">
        <v>107653.25</v>
      </c>
      <c r="AU22" s="776">
        <v>1584.5</v>
      </c>
      <c r="AV22" s="776">
        <v>8970.5000000000055</v>
      </c>
      <c r="AW22" s="776">
        <v>1053.7499999999993</v>
      </c>
      <c r="AX22" s="776">
        <v>5</v>
      </c>
      <c r="AY22" s="776">
        <v>3</v>
      </c>
      <c r="AZ22" s="776">
        <v>30069.5</v>
      </c>
      <c r="BA22" s="776">
        <v>439</v>
      </c>
      <c r="BB22" s="776">
        <v>834.50000000000034</v>
      </c>
      <c r="BC22" s="779">
        <v>31539483.428660002</v>
      </c>
      <c r="BD22" s="779">
        <f>IFERROR(VLOOKUP($B22-1,CDM!$V$4:$AJ$17,11,FALSE)/12,0)+IFERROR(VLOOKUP($B22,CDM!$V$41:$AJ$54,11,FALSE)/24,0)+IFERROR(VLOOKUP($B22,CDM!$V$41:$AJ$54,11,FALSE)/2*$C22/78,0)</f>
        <v>727779.842381316</v>
      </c>
      <c r="BE22" s="779">
        <f t="shared" ref="BE22:BE53" si="71">BC22+BD22</f>
        <v>32267263.271041319</v>
      </c>
      <c r="BF22" s="779"/>
      <c r="BG22" s="779"/>
      <c r="BH22" s="779">
        <f t="shared" si="15"/>
        <v>32267263.271041319</v>
      </c>
      <c r="BI22" s="779">
        <v>7333669.2690399904</v>
      </c>
      <c r="BJ22" s="779">
        <f>IFERROR(VLOOKUP($B22-1,CDM!$V$4:$AJ$17,12,FALSE)/12,0)+IFERROR(VLOOKUP($B22,CDM!$V$41:$AJ$54,12,FALSE)/24,0)+IFERROR(VLOOKUP($B22,CDM!$V$41:$AJ$54,12,FALSE)/2*$C22/78,0)</f>
        <v>120010.39128083787</v>
      </c>
      <c r="BK22" s="779">
        <f t="shared" si="16"/>
        <v>7453679.6603208287</v>
      </c>
      <c r="BL22" s="779"/>
      <c r="BM22" s="779"/>
      <c r="BN22" s="779">
        <f t="shared" si="17"/>
        <v>7453679.6603208287</v>
      </c>
      <c r="BO22" s="779">
        <v>30235739.219999999</v>
      </c>
      <c r="BP22" s="779">
        <f>IFERROR(VLOOKUP($B22-1,CDM!$V$4:$AJ$17,13,FALSE)/12,0)+IFERROR(VLOOKUP($B22,CDM!$V$41:$AJ$54,13,FALSE)/24,0)+IFERROR(VLOOKUP($B22,CDM!$V$41:$AJ$54,13,FALSE)/2*$C22/78,0)</f>
        <v>452107.52104622906</v>
      </c>
      <c r="BQ22" s="779">
        <f t="shared" si="19"/>
        <v>30687846.741046228</v>
      </c>
      <c r="BR22" s="779"/>
      <c r="BS22" s="779"/>
      <c r="BT22" s="779">
        <f t="shared" si="20"/>
        <v>30687846.741046228</v>
      </c>
      <c r="BU22" s="779">
        <v>5327087.3099999996</v>
      </c>
      <c r="BV22" s="779">
        <f>IFERROR(VLOOKUP($B22-1,CDM!$V$4:$AJ$17,14,FALSE)/12,0)+IFERROR(VLOOKUP($B22,CDM!$V$41:$AJ$54,14,FALSE)/24,0)+IFERROR(VLOOKUP($B22,CDM!$V$41:$AJ$54,14,FALSE)/2*$C22/78,0)</f>
        <v>101643.78761590354</v>
      </c>
      <c r="BW22" s="779">
        <f t="shared" si="21"/>
        <v>5428731.0976159032</v>
      </c>
      <c r="BX22" s="779"/>
      <c r="BY22" s="779">
        <f t="shared" ref="BY22:BY53" si="72">BW22-BX22</f>
        <v>5428731.0976159032</v>
      </c>
      <c r="BZ22" s="779">
        <v>439058.59</v>
      </c>
      <c r="CA22" s="779">
        <v>2642.4341109465072</v>
      </c>
      <c r="CB22" s="5">
        <v>50103.91</v>
      </c>
      <c r="CC22" s="5">
        <v>74223.58</v>
      </c>
      <c r="CD22" s="5">
        <v>7837.16</v>
      </c>
      <c r="CE22" s="5">
        <v>1174.77</v>
      </c>
      <c r="CF22" s="763">
        <f t="shared" si="70"/>
        <v>7.666666666666667</v>
      </c>
      <c r="CG22" s="785">
        <v>39503.750000000022</v>
      </c>
      <c r="CH22" s="785">
        <v>2209.7499999999986</v>
      </c>
      <c r="CI22" s="785">
        <v>367.50000000000017</v>
      </c>
      <c r="CJ22" s="785">
        <v>2</v>
      </c>
      <c r="CK22" s="785">
        <v>11866.75</v>
      </c>
      <c r="CL22" s="785">
        <v>39</v>
      </c>
      <c r="CM22" s="785">
        <v>370.75000000000017</v>
      </c>
      <c r="CN22" s="46">
        <f>Weather!C34</f>
        <v>80.145833333333343</v>
      </c>
      <c r="CO22" s="46">
        <f>Weather!D34</f>
        <v>15.887500000000006</v>
      </c>
      <c r="CP22" s="46">
        <f>Weather!E34</f>
        <v>40.929166666666667</v>
      </c>
      <c r="CQ22" s="46">
        <f>Weather!F34</f>
        <v>36.670833333333334</v>
      </c>
      <c r="CR22" s="46">
        <f>Weather!G34</f>
        <v>15.7875</v>
      </c>
      <c r="CS22" s="46">
        <f>Weather!H34</f>
        <v>71.529166666666654</v>
      </c>
      <c r="CT22" s="46">
        <f>Weather!I34</f>
        <v>4.9124999999999979</v>
      </c>
      <c r="CU22" s="46">
        <f>Weather!J34</f>
        <v>120.65416666666664</v>
      </c>
      <c r="CV22" s="46">
        <f>Weather!K34</f>
        <v>0.8125</v>
      </c>
      <c r="CW22" s="46">
        <f>Weather!L34</f>
        <v>176.5541666666667</v>
      </c>
      <c r="CX22" s="46">
        <f>Weather!M34</f>
        <v>0</v>
      </c>
      <c r="CY22" s="46">
        <f>Weather!N34</f>
        <v>235.7416666666667</v>
      </c>
      <c r="CZ22" s="46">
        <f>Weather!O34</f>
        <v>0</v>
      </c>
      <c r="DA22" s="46">
        <f>Weather!P34</f>
        <v>295.74166666666667</v>
      </c>
      <c r="DB22" s="368">
        <f>'Economic Data'!D36</f>
        <v>6929.7</v>
      </c>
      <c r="DC22" s="368">
        <f>'Economic Data'!E36</f>
        <v>6973.4</v>
      </c>
      <c r="DD22" s="368">
        <f>'Economic Data'!F36</f>
        <v>213</v>
      </c>
      <c r="DE22" s="368">
        <f>'Economic Data'!G36</f>
        <v>212.7</v>
      </c>
      <c r="DF22" s="368">
        <f>'Economic Data'!H36</f>
        <v>31.1</v>
      </c>
      <c r="DG22" s="368">
        <f>'Economic Data'!I36</f>
        <v>31.1</v>
      </c>
      <c r="DH22" s="368">
        <f>'Economic Data'!J36</f>
        <v>743976.2</v>
      </c>
      <c r="DI22" s="368">
        <f>'Economic Data'!K36</f>
        <v>571846.40000000002</v>
      </c>
      <c r="DJ22" s="368">
        <f>'Economic Data'!L36</f>
        <v>91511.8</v>
      </c>
      <c r="DK22" s="368">
        <f>'Economic Data'!M36</f>
        <v>29814.5</v>
      </c>
      <c r="DL22" s="368">
        <f>'Economic Data'!N36</f>
        <v>746606</v>
      </c>
      <c r="DM22" s="368">
        <f>'Economic Data'!O36</f>
        <v>91685</v>
      </c>
      <c r="DN22" s="368">
        <f>'Economic Data'!P36</f>
        <v>20823</v>
      </c>
      <c r="DO22" s="368">
        <f>'Economic Data'!Q36</f>
        <v>574136</v>
      </c>
      <c r="DP22" s="368">
        <f>'Economic Data'!R36</f>
        <v>30035</v>
      </c>
      <c r="DQ22">
        <v>30</v>
      </c>
      <c r="DR22">
        <v>21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1</v>
      </c>
      <c r="EB22">
        <v>0</v>
      </c>
      <c r="EC22">
        <v>0</v>
      </c>
      <c r="ED22">
        <v>0</v>
      </c>
      <c r="EE22">
        <v>0</v>
      </c>
      <c r="EF22">
        <v>1</v>
      </c>
      <c r="EG22">
        <v>1</v>
      </c>
      <c r="EH22">
        <f t="shared" si="69"/>
        <v>21</v>
      </c>
      <c r="EI22">
        <v>0</v>
      </c>
      <c r="EJ22">
        <v>0</v>
      </c>
      <c r="EK22">
        <v>0</v>
      </c>
      <c r="EL22">
        <v>0</v>
      </c>
      <c r="EM22" s="47">
        <f t="shared" ref="EM22:EM53" si="73">$EJ22*CN22</f>
        <v>0</v>
      </c>
      <c r="EN22" s="47">
        <f t="shared" ref="EN22:EN53" si="74">$EJ22*CO22</f>
        <v>0</v>
      </c>
      <c r="EO22" s="47">
        <f t="shared" ref="EO22:EO53" si="75">$EJ22*CP22</f>
        <v>0</v>
      </c>
      <c r="EP22" s="47">
        <f t="shared" ref="EP22:EP53" si="76">$EJ22*CQ22</f>
        <v>0</v>
      </c>
      <c r="EQ22" s="47">
        <f t="shared" ref="EQ22:EQ53" si="77">$EJ22*CR22</f>
        <v>0</v>
      </c>
      <c r="ER22" s="47">
        <f t="shared" ref="ER22:ER53" si="78">$EJ22*CS22</f>
        <v>0</v>
      </c>
      <c r="ES22" s="47">
        <f t="shared" ref="ES22:ES53" si="79">$EJ22*CT22</f>
        <v>0</v>
      </c>
      <c r="ET22" s="47">
        <f t="shared" ref="ET22:ET53" si="80">$EJ22*CU22</f>
        <v>0</v>
      </c>
      <c r="EU22" s="47">
        <f t="shared" ref="EU22:EU53" si="81">$EJ22*CV22</f>
        <v>0</v>
      </c>
      <c r="EV22" s="47">
        <f t="shared" ref="EV22:EV53" si="82">$EJ22*CW22</f>
        <v>0</v>
      </c>
      <c r="EW22" s="47">
        <f t="shared" ref="EW22:EW53" si="83">$EJ22*CX22</f>
        <v>0</v>
      </c>
      <c r="EX22" s="47">
        <f t="shared" ref="EX22:EX53" si="84">$EJ22*CY22</f>
        <v>0</v>
      </c>
      <c r="EY22" s="47">
        <f t="shared" ref="EY22:EY53" si="85">$EJ22*CZ22</f>
        <v>0</v>
      </c>
      <c r="EZ22" s="47">
        <f t="shared" ref="EZ22:EZ53" si="86">$EJ22*DA22</f>
        <v>0</v>
      </c>
      <c r="FA22" s="47">
        <f t="shared" ref="FA22:FA53" si="87">$EK22*CN22</f>
        <v>0</v>
      </c>
      <c r="FB22" s="47">
        <f t="shared" ref="FB22:FB53" si="88">$EK22*CO22</f>
        <v>0</v>
      </c>
      <c r="FC22" s="47">
        <f t="shared" ref="FC22:FC53" si="89">$EK22*CP22</f>
        <v>0</v>
      </c>
      <c r="FD22" s="47">
        <f t="shared" ref="FD22:FD53" si="90">$EK22*CQ22</f>
        <v>0</v>
      </c>
      <c r="FE22" s="47">
        <f t="shared" ref="FE22:FE53" si="91">$EK22*CR22</f>
        <v>0</v>
      </c>
      <c r="FF22" s="47">
        <f t="shared" ref="FF22:FF53" si="92">$EK22*CS22</f>
        <v>0</v>
      </c>
      <c r="FG22" s="47">
        <f t="shared" ref="FG22:FG53" si="93">$EK22*CT22</f>
        <v>0</v>
      </c>
      <c r="FH22" s="47">
        <f t="shared" ref="FH22:FH53" si="94">$EK22*CU22</f>
        <v>0</v>
      </c>
      <c r="FI22" s="47">
        <f t="shared" ref="FI22:FI53" si="95">$EK22*CV22</f>
        <v>0</v>
      </c>
      <c r="FJ22" s="47">
        <f t="shared" ref="FJ22:FJ53" si="96">$EK22*CW22</f>
        <v>0</v>
      </c>
      <c r="FK22" s="47">
        <f t="shared" ref="FK22:FK53" si="97">$EK22*CX22</f>
        <v>0</v>
      </c>
      <c r="FL22" s="47">
        <f t="shared" ref="FL22:FL53" si="98">$EK22*CY22</f>
        <v>0</v>
      </c>
      <c r="FM22" s="47">
        <f t="shared" ref="FM22:FM53" si="99">$EK22*CZ22</f>
        <v>0</v>
      </c>
      <c r="FN22" s="47">
        <f t="shared" ref="FN22:FN53" si="100">$EK22*DA22</f>
        <v>0</v>
      </c>
      <c r="FO22" s="765">
        <f t="shared" ref="FO22:FO53" si="101">I22/AT22</f>
        <v>708.882832474363</v>
      </c>
      <c r="FP22" s="765">
        <f t="shared" ref="FP22:FP53" si="102">L22/AU22</f>
        <v>422.77321451672969</v>
      </c>
      <c r="FQ22" s="765">
        <f t="shared" ref="FQ22:FQ53" si="103">R22/AV22</f>
        <v>2554.4532626058485</v>
      </c>
      <c r="FR22" s="765">
        <f t="shared" ref="FR22:FR53" si="104">X22/AW22</f>
        <v>77554.784284543872</v>
      </c>
      <c r="FS22" s="765">
        <f t="shared" ref="FS22:FS53" si="105">AD22/AX22</f>
        <v>1412947.6291428113</v>
      </c>
      <c r="FT22" s="765">
        <f t="shared" ref="FT22:FT53" si="106">AI22/AY22</f>
        <v>6038817.0400982006</v>
      </c>
      <c r="FU22" s="765">
        <f t="shared" ref="FU22:FU53" si="107">AL22/AZ22</f>
        <v>57.785818187864777</v>
      </c>
      <c r="FV22" s="765">
        <f t="shared" ref="FV22:FV53" si="108">AM22/BA22</f>
        <v>21.771604615556964</v>
      </c>
      <c r="FW22" s="765">
        <f t="shared" ref="FW22:FW53" si="109">AN22/BB22</f>
        <v>495.28672857998782</v>
      </c>
      <c r="FX22" s="765">
        <f t="shared" ref="FX22:FX53" si="110">BE22/CG22</f>
        <v>816.81519529263176</v>
      </c>
      <c r="FY22" s="765">
        <f t="shared" ref="FY22:FY53" si="111">BK22/CH22</f>
        <v>3373.0872996134553</v>
      </c>
      <c r="FZ22" s="765">
        <f t="shared" ref="FZ22:FZ53" si="112">BQ22/CI22</f>
        <v>83504.344873595139</v>
      </c>
      <c r="GA22" s="765">
        <f t="shared" ref="GA22:GA53" si="113">BZ22/CJ22</f>
        <v>219529.29500000001</v>
      </c>
      <c r="GB22" s="765">
        <f t="shared" ref="GB22:GB53" si="114">BZ22/CK22</f>
        <v>36.999059557166035</v>
      </c>
      <c r="GC22" s="765">
        <f t="shared" ref="GC22:GC53" si="115">CA22/CL22</f>
        <v>67.754720793500184</v>
      </c>
      <c r="GD22" s="765">
        <f t="shared" ref="GD22:GD53" si="116">CB22/CM22</f>
        <v>135.14203641267696</v>
      </c>
    </row>
    <row r="23" spans="1:186">
      <c r="A23" s="4">
        <v>42644</v>
      </c>
      <c r="B23" s="6">
        <v>2016</v>
      </c>
      <c r="C23" s="5">
        <v>10</v>
      </c>
      <c r="D23" s="7">
        <v>64921187.7292106</v>
      </c>
      <c r="E23" s="7">
        <f>IFERROR(VLOOKUP($B23-1,CDM!$V$4:$AJ$17,2,FALSE)/12,0)+IFERROR(VLOOKUP($B23,CDM!$V$41:$AJ$54,2,FALSE)/24,0)+IFERROR(VLOOKUP($B23,CDM!$V$41:$AJ$54,2,FALSE)/2*$C23/78,0)</f>
        <v>1484327.2568643237</v>
      </c>
      <c r="F23" s="7">
        <f t="shared" si="2"/>
        <v>66405514.986074924</v>
      </c>
      <c r="G23" s="7"/>
      <c r="H23" s="7"/>
      <c r="I23" s="7">
        <f t="shared" si="3"/>
        <v>66405514.986074924</v>
      </c>
      <c r="J23" s="7">
        <v>729304.67990999995</v>
      </c>
      <c r="K23" s="7">
        <f>IFERROR(VLOOKUP($B23-1,CDM!$V$4:$AJ$17,3,FALSE)/12,0)+IFERROR(VLOOKUP($B23,CDM!$V$41:$AJ$54,3,FALSE)/24,0)+IFERROR(VLOOKUP($B23,CDM!$V$41:$AJ$54,3,FALSE)/2*$C23/78,0)</f>
        <v>17001.192846168396</v>
      </c>
      <c r="L23" s="7">
        <f t="shared" si="4"/>
        <v>746305.87275616836</v>
      </c>
      <c r="M23" s="7"/>
      <c r="N23" s="7"/>
      <c r="O23" s="7">
        <f t="shared" si="5"/>
        <v>746305.87275616836</v>
      </c>
      <c r="P23" s="7">
        <v>21120509.448860001</v>
      </c>
      <c r="Q23" s="7">
        <f>IFERROR(VLOOKUP($B23-1,CDM!$V$4:$AJ$17,4,FALSE)/12,0)+IFERROR(VLOOKUP($B23,CDM!$V$41:$AJ$54,4,FALSE)/24,0)+IFERROR(VLOOKUP($B23,CDM!$V$41:$AJ$54,4,FALSE)/2*$C23/78,0)</f>
        <v>576088.0998386516</v>
      </c>
      <c r="R23" s="7">
        <f t="shared" si="6"/>
        <v>21696597.548698653</v>
      </c>
      <c r="S23" s="7"/>
      <c r="T23" s="7"/>
      <c r="U23" s="7">
        <f t="shared" si="7"/>
        <v>21696597.548698653</v>
      </c>
      <c r="V23" s="7">
        <v>77217651.829999998</v>
      </c>
      <c r="W23" s="7">
        <f>IFERROR(VLOOKUP($B23-1,CDM!$V$4:$AJ$17,5,FALSE)/12,0)+IFERROR(VLOOKUP($B23,CDM!$V$41:$AJ$54,5,FALSE)/24,0)+IFERROR(VLOOKUP($B23,CDM!$V$41:$AJ$54,5,FALSE)/2*$C23/78,0)</f>
        <v>2018568.8501883771</v>
      </c>
      <c r="X23" s="7">
        <f t="shared" si="8"/>
        <v>79236220.680188373</v>
      </c>
      <c r="Y23" s="7"/>
      <c r="Z23" s="7"/>
      <c r="AA23" s="7">
        <f t="shared" si="9"/>
        <v>79236220.680188373</v>
      </c>
      <c r="AB23" s="7">
        <v>6771948.7699999996</v>
      </c>
      <c r="AC23" s="7">
        <f>IFERROR(VLOOKUP($B23-1,CDM!$V$4:$AJ$17,6,FALSE)/12,0)+IFERROR(VLOOKUP($B23,CDM!$V$41:$AJ$54,6,FALSE)/24,0)+IFERROR(VLOOKUP($B23,CDM!$V$41:$AJ$54,6,FALSE)/2*$C23/78,0)</f>
        <v>49429.275917353734</v>
      </c>
      <c r="AD23" s="7">
        <f t="shared" si="10"/>
        <v>6821378.0459173536</v>
      </c>
      <c r="AE23" s="7"/>
      <c r="AF23" s="7">
        <f t="shared" si="11"/>
        <v>6821378.0459173536</v>
      </c>
      <c r="AG23" s="7">
        <v>17590250.260000002</v>
      </c>
      <c r="AH23" s="7">
        <f>IFERROR(VLOOKUP($B23-1,CDM!$V$4:$AJ$17,7,FALSE)/12,0)+IFERROR(VLOOKUP($B23,CDM!$V$41:$AJ$54,7,FALSE)/24,0)+IFERROR(VLOOKUP($B23,CDM!$V$41:$AJ$54,7,FALSE)/2*$C23/78,0)</f>
        <v>656612.16381691629</v>
      </c>
      <c r="AI23" s="7">
        <f t="shared" si="12"/>
        <v>18246862.423816919</v>
      </c>
      <c r="AJ23" s="7"/>
      <c r="AK23" s="7">
        <f t="shared" si="13"/>
        <v>18246862.423816919</v>
      </c>
      <c r="AL23" s="7">
        <v>2006630.04</v>
      </c>
      <c r="AM23" s="7">
        <v>9876.3255737704912</v>
      </c>
      <c r="AN23" s="7">
        <v>413085.125</v>
      </c>
      <c r="AO23" s="5">
        <v>193817.60000000001</v>
      </c>
      <c r="AP23" s="5">
        <v>16163.04</v>
      </c>
      <c r="AQ23" s="5">
        <v>28355</v>
      </c>
      <c r="AR23" s="5">
        <v>4750.34</v>
      </c>
      <c r="AS23" s="763">
        <f t="shared" si="67"/>
        <v>84.5</v>
      </c>
      <c r="AT23" s="776">
        <v>107735.5</v>
      </c>
      <c r="AU23" s="776">
        <v>1584</v>
      </c>
      <c r="AV23" s="776">
        <v>8977.3333333333394</v>
      </c>
      <c r="AW23" s="776">
        <v>1052.8333333333326</v>
      </c>
      <c r="AX23" s="776">
        <v>5</v>
      </c>
      <c r="AY23" s="776">
        <v>3</v>
      </c>
      <c r="AZ23" s="776">
        <v>30085</v>
      </c>
      <c r="BA23" s="776">
        <v>439</v>
      </c>
      <c r="BB23" s="776">
        <v>833.33333333333371</v>
      </c>
      <c r="BC23" s="779">
        <v>25104818.368170101</v>
      </c>
      <c r="BD23" s="779">
        <f>IFERROR(VLOOKUP($B23-1,CDM!$V$4:$AJ$17,11,FALSE)/12,0)+IFERROR(VLOOKUP($B23,CDM!$V$41:$AJ$54,11,FALSE)/24,0)+IFERROR(VLOOKUP($B23,CDM!$V$41:$AJ$54,11,FALSE)/2*$C23/78,0)</f>
        <v>757982.02457855956</v>
      </c>
      <c r="BE23" s="779">
        <f t="shared" si="71"/>
        <v>25862800.392748661</v>
      </c>
      <c r="BF23" s="779"/>
      <c r="BG23" s="779"/>
      <c r="BH23" s="779">
        <f t="shared" si="15"/>
        <v>25862800.392748661</v>
      </c>
      <c r="BI23" s="779">
        <v>6756573.7781199897</v>
      </c>
      <c r="BJ23" s="779">
        <f>IFERROR(VLOOKUP($B23-1,CDM!$V$4:$AJ$17,12,FALSE)/12,0)+IFERROR(VLOOKUP($B23,CDM!$V$41:$AJ$54,12,FALSE)/24,0)+IFERROR(VLOOKUP($B23,CDM!$V$41:$AJ$54,12,FALSE)/2*$C23/78,0)</f>
        <v>121827.13536474138</v>
      </c>
      <c r="BK23" s="779">
        <f t="shared" si="16"/>
        <v>6878400.9134847308</v>
      </c>
      <c r="BL23" s="779"/>
      <c r="BM23" s="779"/>
      <c r="BN23" s="779">
        <f t="shared" si="17"/>
        <v>6878400.9134847308</v>
      </c>
      <c r="BO23" s="779">
        <v>29057711.48</v>
      </c>
      <c r="BP23" s="779">
        <f>IFERROR(VLOOKUP($B23-1,CDM!$V$4:$AJ$17,13,FALSE)/12,0)+IFERROR(VLOOKUP($B23,CDM!$V$41:$AJ$54,13,FALSE)/24,0)+IFERROR(VLOOKUP($B23,CDM!$V$41:$AJ$54,13,FALSE)/2*$C23/78,0)</f>
        <v>463096.61626307131</v>
      </c>
      <c r="BQ23" s="779">
        <f t="shared" si="19"/>
        <v>29520808.096263073</v>
      </c>
      <c r="BR23" s="779"/>
      <c r="BS23" s="779"/>
      <c r="BT23" s="779">
        <f t="shared" si="20"/>
        <v>29520808.096263073</v>
      </c>
      <c r="BU23" s="779">
        <v>5346926.47</v>
      </c>
      <c r="BV23" s="779">
        <f>IFERROR(VLOOKUP($B23-1,CDM!$V$4:$AJ$17,14,FALSE)/12,0)+IFERROR(VLOOKUP($B23,CDM!$V$41:$AJ$54,14,FALSE)/24,0)+IFERROR(VLOOKUP($B23,CDM!$V$41:$AJ$54,14,FALSE)/2*$C23/78,0)</f>
        <v>104114.37969481178</v>
      </c>
      <c r="BW23" s="779">
        <f t="shared" si="21"/>
        <v>5451040.8496948117</v>
      </c>
      <c r="BX23" s="779"/>
      <c r="BY23" s="779">
        <f t="shared" si="72"/>
        <v>5451040.8496948117</v>
      </c>
      <c r="BZ23" s="779">
        <v>527759.37</v>
      </c>
      <c r="CA23" s="779">
        <v>2642.4341109465072</v>
      </c>
      <c r="CB23" s="5">
        <v>49784.01</v>
      </c>
      <c r="CC23" s="5">
        <v>70002.94</v>
      </c>
      <c r="CD23" s="5">
        <v>7861.16</v>
      </c>
      <c r="CE23" s="5">
        <v>1213.83</v>
      </c>
      <c r="CF23" s="763">
        <f t="shared" si="70"/>
        <v>7.666666666666667</v>
      </c>
      <c r="CG23" s="785">
        <v>39531.833333333358</v>
      </c>
      <c r="CH23" s="785">
        <v>2213.1666666666652</v>
      </c>
      <c r="CI23" s="785">
        <v>367.66666666666686</v>
      </c>
      <c r="CJ23" s="785">
        <v>2</v>
      </c>
      <c r="CK23" s="785">
        <v>11870.5</v>
      </c>
      <c r="CL23" s="785">
        <v>39</v>
      </c>
      <c r="CM23" s="785">
        <v>370.16666666666686</v>
      </c>
      <c r="CN23" s="46">
        <f>Weather!C35</f>
        <v>283.19583333333327</v>
      </c>
      <c r="CO23" s="46">
        <f>Weather!D35</f>
        <v>0</v>
      </c>
      <c r="CP23" s="46">
        <f>Weather!E35</f>
        <v>222.13333333333333</v>
      </c>
      <c r="CQ23" s="46">
        <f>Weather!F35</f>
        <v>0.93750000000000355</v>
      </c>
      <c r="CR23" s="46">
        <f>Weather!G35</f>
        <v>166.45</v>
      </c>
      <c r="CS23" s="46">
        <f>Weather!H35</f>
        <v>7.2541666666666735</v>
      </c>
      <c r="CT23" s="46">
        <f>Weather!I35</f>
        <v>121.96666666666667</v>
      </c>
      <c r="CU23" s="46">
        <f>Weather!J35</f>
        <v>24.770833333333336</v>
      </c>
      <c r="CV23" s="46">
        <f>Weather!K35</f>
        <v>87.579166666666666</v>
      </c>
      <c r="CW23" s="46">
        <f>Weather!L35</f>
        <v>52.383333333333333</v>
      </c>
      <c r="CX23" s="46">
        <f>Weather!M35</f>
        <v>58.995833333333337</v>
      </c>
      <c r="CY23" s="46">
        <f>Weather!N35</f>
        <v>85.800000000000011</v>
      </c>
      <c r="CZ23" s="46">
        <f>Weather!O35</f>
        <v>33.25</v>
      </c>
      <c r="DA23" s="46">
        <f>Weather!P35</f>
        <v>122.05416666666669</v>
      </c>
      <c r="DB23" s="368">
        <f>'Economic Data'!D37</f>
        <v>6942</v>
      </c>
      <c r="DC23" s="368">
        <f>'Economic Data'!E37</f>
        <v>6966.9</v>
      </c>
      <c r="DD23" s="368">
        <f>'Economic Data'!F37</f>
        <v>213.6</v>
      </c>
      <c r="DE23" s="368">
        <f>'Economic Data'!G37</f>
        <v>212.8</v>
      </c>
      <c r="DF23" s="368">
        <f>'Economic Data'!H37</f>
        <v>34.299999999999997</v>
      </c>
      <c r="DG23" s="368">
        <f>'Economic Data'!I37</f>
        <v>34.299999999999997</v>
      </c>
      <c r="DH23" s="368">
        <f>'Economic Data'!J37</f>
        <v>743976.2</v>
      </c>
      <c r="DI23" s="368">
        <f>'Economic Data'!K37</f>
        <v>571846.40000000002</v>
      </c>
      <c r="DJ23" s="368">
        <f>'Economic Data'!L37</f>
        <v>91511.8</v>
      </c>
      <c r="DK23" s="368">
        <f>'Economic Data'!M37</f>
        <v>29814.5</v>
      </c>
      <c r="DL23" s="368">
        <f>'Economic Data'!N37</f>
        <v>745380</v>
      </c>
      <c r="DM23" s="368">
        <f>'Economic Data'!O37</f>
        <v>91284</v>
      </c>
      <c r="DN23" s="368">
        <f>'Economic Data'!P37</f>
        <v>20669</v>
      </c>
      <c r="DO23" s="368">
        <f>'Economic Data'!Q37</f>
        <v>574771</v>
      </c>
      <c r="DP23" s="368">
        <f>'Economic Data'!R37</f>
        <v>30202</v>
      </c>
      <c r="DQ23">
        <v>31</v>
      </c>
      <c r="DR23">
        <v>20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</v>
      </c>
      <c r="EC23">
        <v>0</v>
      </c>
      <c r="ED23">
        <v>0</v>
      </c>
      <c r="EE23">
        <v>0</v>
      </c>
      <c r="EF23">
        <v>1</v>
      </c>
      <c r="EG23">
        <v>1</v>
      </c>
      <c r="EH23">
        <f t="shared" si="69"/>
        <v>22</v>
      </c>
      <c r="EI23">
        <v>0</v>
      </c>
      <c r="EJ23">
        <v>0</v>
      </c>
      <c r="EK23">
        <v>0</v>
      </c>
      <c r="EL23">
        <v>0</v>
      </c>
      <c r="EM23" s="47">
        <f t="shared" si="73"/>
        <v>0</v>
      </c>
      <c r="EN23" s="47">
        <f t="shared" si="74"/>
        <v>0</v>
      </c>
      <c r="EO23" s="47">
        <f t="shared" si="75"/>
        <v>0</v>
      </c>
      <c r="EP23" s="47">
        <f t="shared" si="76"/>
        <v>0</v>
      </c>
      <c r="EQ23" s="47">
        <f t="shared" si="77"/>
        <v>0</v>
      </c>
      <c r="ER23" s="47">
        <f t="shared" si="78"/>
        <v>0</v>
      </c>
      <c r="ES23" s="47">
        <f t="shared" si="79"/>
        <v>0</v>
      </c>
      <c r="ET23" s="47">
        <f t="shared" si="80"/>
        <v>0</v>
      </c>
      <c r="EU23" s="47">
        <f t="shared" si="81"/>
        <v>0</v>
      </c>
      <c r="EV23" s="47">
        <f t="shared" si="82"/>
        <v>0</v>
      </c>
      <c r="EW23" s="47">
        <f t="shared" si="83"/>
        <v>0</v>
      </c>
      <c r="EX23" s="47">
        <f t="shared" si="84"/>
        <v>0</v>
      </c>
      <c r="EY23" s="47">
        <f t="shared" si="85"/>
        <v>0</v>
      </c>
      <c r="EZ23" s="47">
        <f t="shared" si="86"/>
        <v>0</v>
      </c>
      <c r="FA23" s="47">
        <f t="shared" si="87"/>
        <v>0</v>
      </c>
      <c r="FB23" s="47">
        <f t="shared" si="88"/>
        <v>0</v>
      </c>
      <c r="FC23" s="47">
        <f t="shared" si="89"/>
        <v>0</v>
      </c>
      <c r="FD23" s="47">
        <f t="shared" si="90"/>
        <v>0</v>
      </c>
      <c r="FE23" s="47">
        <f t="shared" si="91"/>
        <v>0</v>
      </c>
      <c r="FF23" s="47">
        <f t="shared" si="92"/>
        <v>0</v>
      </c>
      <c r="FG23" s="47">
        <f t="shared" si="93"/>
        <v>0</v>
      </c>
      <c r="FH23" s="47">
        <f t="shared" si="94"/>
        <v>0</v>
      </c>
      <c r="FI23" s="47">
        <f t="shared" si="95"/>
        <v>0</v>
      </c>
      <c r="FJ23" s="47">
        <f t="shared" si="96"/>
        <v>0</v>
      </c>
      <c r="FK23" s="47">
        <f t="shared" si="97"/>
        <v>0</v>
      </c>
      <c r="FL23" s="47">
        <f t="shared" si="98"/>
        <v>0</v>
      </c>
      <c r="FM23" s="47">
        <f t="shared" si="99"/>
        <v>0</v>
      </c>
      <c r="FN23" s="47">
        <f t="shared" si="100"/>
        <v>0</v>
      </c>
      <c r="FO23" s="765">
        <f t="shared" si="101"/>
        <v>616.37542858273196</v>
      </c>
      <c r="FP23" s="765">
        <f t="shared" si="102"/>
        <v>471.15269744707598</v>
      </c>
      <c r="FQ23" s="765">
        <f t="shared" si="103"/>
        <v>2416.8198665563609</v>
      </c>
      <c r="FR23" s="765">
        <f t="shared" si="104"/>
        <v>75259.98481575599</v>
      </c>
      <c r="FS23" s="765">
        <f t="shared" si="105"/>
        <v>1364275.6091834707</v>
      </c>
      <c r="FT23" s="765">
        <f t="shared" si="106"/>
        <v>6082287.4746056395</v>
      </c>
      <c r="FU23" s="765">
        <f t="shared" si="107"/>
        <v>66.69868838291508</v>
      </c>
      <c r="FV23" s="765">
        <f t="shared" si="108"/>
        <v>22.497324769408863</v>
      </c>
      <c r="FW23" s="765">
        <f t="shared" si="109"/>
        <v>495.70214999999979</v>
      </c>
      <c r="FX23" s="765">
        <f t="shared" si="110"/>
        <v>654.2271939343899</v>
      </c>
      <c r="FY23" s="765">
        <f t="shared" si="111"/>
        <v>3107.9452881172087</v>
      </c>
      <c r="FZ23" s="765">
        <f t="shared" si="112"/>
        <v>80292.315764994724</v>
      </c>
      <c r="GA23" s="765">
        <f t="shared" si="113"/>
        <v>263879.685</v>
      </c>
      <c r="GB23" s="765">
        <f t="shared" si="114"/>
        <v>44.459742218103699</v>
      </c>
      <c r="GC23" s="765">
        <f t="shared" si="115"/>
        <v>67.754720793500184</v>
      </c>
      <c r="GD23" s="765">
        <f t="shared" si="116"/>
        <v>134.49079693831601</v>
      </c>
    </row>
    <row r="24" spans="1:186">
      <c r="A24" s="4">
        <v>42675</v>
      </c>
      <c r="B24" s="6">
        <v>2016</v>
      </c>
      <c r="C24" s="5">
        <v>11</v>
      </c>
      <c r="D24" s="7">
        <v>67863588.85773921</v>
      </c>
      <c r="E24" s="7">
        <f>IFERROR(VLOOKUP($B24-1,CDM!$V$4:$AJ$17,2,FALSE)/12,0)+IFERROR(VLOOKUP($B24,CDM!$V$41:$AJ$54,2,FALSE)/24,0)+IFERROR(VLOOKUP($B24,CDM!$V$41:$AJ$54,2,FALSE)/2*$C24/78,0)</f>
        <v>1535362.4811381446</v>
      </c>
      <c r="F24" s="7">
        <f t="shared" si="2"/>
        <v>69398951.33887735</v>
      </c>
      <c r="G24" s="7"/>
      <c r="H24" s="7"/>
      <c r="I24" s="7">
        <f t="shared" si="3"/>
        <v>69398951.33887735</v>
      </c>
      <c r="J24" s="7">
        <v>595615.86453999998</v>
      </c>
      <c r="K24" s="7">
        <f>IFERROR(VLOOKUP($B24-1,CDM!$V$4:$AJ$17,3,FALSE)/12,0)+IFERROR(VLOOKUP($B24,CDM!$V$41:$AJ$54,3,FALSE)/24,0)+IFERROR(VLOOKUP($B24,CDM!$V$41:$AJ$54,3,FALSE)/2*$C24/78,0)</f>
        <v>17585.740280579616</v>
      </c>
      <c r="L24" s="7">
        <f t="shared" si="4"/>
        <v>613201.60482057964</v>
      </c>
      <c r="M24" s="7"/>
      <c r="N24" s="7"/>
      <c r="O24" s="7">
        <f t="shared" si="5"/>
        <v>613201.60482057964</v>
      </c>
      <c r="P24" s="7">
        <v>22017940.829089999</v>
      </c>
      <c r="Q24" s="7">
        <f>IFERROR(VLOOKUP($B24-1,CDM!$V$4:$AJ$17,4,FALSE)/12,0)+IFERROR(VLOOKUP($B24,CDM!$V$41:$AJ$54,4,FALSE)/24,0)+IFERROR(VLOOKUP($B24,CDM!$V$41:$AJ$54,4,FALSE)/2*$C24/78,0)</f>
        <v>591494.13596142281</v>
      </c>
      <c r="R24" s="7">
        <f t="shared" si="6"/>
        <v>22609434.965051424</v>
      </c>
      <c r="S24" s="7"/>
      <c r="T24" s="7"/>
      <c r="U24" s="7">
        <f t="shared" si="7"/>
        <v>22609434.965051424</v>
      </c>
      <c r="V24" s="7">
        <v>77278386.579999998</v>
      </c>
      <c r="W24" s="7">
        <f>IFERROR(VLOOKUP($B24-1,CDM!$V$4:$AJ$17,5,FALSE)/12,0)+IFERROR(VLOOKUP($B24,CDM!$V$41:$AJ$54,5,FALSE)/24,0)+IFERROR(VLOOKUP($B24,CDM!$V$41:$AJ$54,5,FALSE)/2*$C24/78,0)</f>
        <v>2068002.3405386982</v>
      </c>
      <c r="X24" s="7">
        <f t="shared" si="8"/>
        <v>79346388.920538694</v>
      </c>
      <c r="Y24" s="7"/>
      <c r="Z24" s="7"/>
      <c r="AA24" s="7">
        <f t="shared" si="9"/>
        <v>79346388.920538694</v>
      </c>
      <c r="AB24" s="7">
        <v>7421201.5199999996</v>
      </c>
      <c r="AC24" s="7">
        <f>IFERROR(VLOOKUP($B24-1,CDM!$V$4:$AJ$17,6,FALSE)/12,0)+IFERROR(VLOOKUP($B24,CDM!$V$41:$AJ$54,6,FALSE)/24,0)+IFERROR(VLOOKUP($B24,CDM!$V$41:$AJ$54,6,FALSE)/2*$C24/78,0)</f>
        <v>51681.696120650689</v>
      </c>
      <c r="AD24" s="7">
        <f t="shared" si="10"/>
        <v>7472883.2161206501</v>
      </c>
      <c r="AE24" s="7"/>
      <c r="AF24" s="7">
        <f t="shared" si="11"/>
        <v>7472883.2161206501</v>
      </c>
      <c r="AG24" s="7">
        <v>17917428.109999999</v>
      </c>
      <c r="AH24" s="7">
        <f>IFERROR(VLOOKUP($B24-1,CDM!$V$4:$AJ$17,7,FALSE)/12,0)+IFERROR(VLOOKUP($B24,CDM!$V$41:$AJ$54,7,FALSE)/24,0)+IFERROR(VLOOKUP($B24,CDM!$V$41:$AJ$54,7,FALSE)/2*$C24/78,0)</f>
        <v>674481.89733923227</v>
      </c>
      <c r="AI24" s="7">
        <f t="shared" si="12"/>
        <v>18591910.007339232</v>
      </c>
      <c r="AJ24" s="7"/>
      <c r="AK24" s="7">
        <f t="shared" si="13"/>
        <v>18591910.007339232</v>
      </c>
      <c r="AL24" s="7">
        <v>2142182.42</v>
      </c>
      <c r="AM24" s="7">
        <v>36285.1</v>
      </c>
      <c r="AN24" s="7">
        <v>412802.1</v>
      </c>
      <c r="AO24" s="5">
        <v>184845.07</v>
      </c>
      <c r="AP24" s="5">
        <v>15535.55</v>
      </c>
      <c r="AQ24" s="5">
        <v>32319</v>
      </c>
      <c r="AR24" s="5">
        <v>4752.84</v>
      </c>
      <c r="AS24" s="763">
        <f t="shared" si="67"/>
        <v>84.5</v>
      </c>
      <c r="AT24" s="776">
        <v>107817.75</v>
      </c>
      <c r="AU24" s="776">
        <v>1583.5</v>
      </c>
      <c r="AV24" s="776">
        <v>8984.1666666666733</v>
      </c>
      <c r="AW24" s="776">
        <v>1051.9166666666658</v>
      </c>
      <c r="AX24" s="776">
        <v>5</v>
      </c>
      <c r="AY24" s="776">
        <v>3</v>
      </c>
      <c r="AZ24" s="776">
        <v>30100.5</v>
      </c>
      <c r="BA24" s="776">
        <v>439</v>
      </c>
      <c r="BB24" s="776">
        <v>832.16666666666708</v>
      </c>
      <c r="BC24" s="779">
        <v>24853342.723930001</v>
      </c>
      <c r="BD24" s="779">
        <f>IFERROR(VLOOKUP($B24-1,CDM!$V$4:$AJ$17,11,FALSE)/12,0)+IFERROR(VLOOKUP($B24,CDM!$V$41:$AJ$54,11,FALSE)/24,0)+IFERROR(VLOOKUP($B24,CDM!$V$41:$AJ$54,11,FALSE)/2*$C24/78,0)</f>
        <v>788184.20677580312</v>
      </c>
      <c r="BE24" s="779">
        <f t="shared" si="71"/>
        <v>25641526.930705804</v>
      </c>
      <c r="BF24" s="779"/>
      <c r="BG24" s="779"/>
      <c r="BH24" s="779">
        <f t="shared" si="15"/>
        <v>25641526.930705804</v>
      </c>
      <c r="BI24" s="779">
        <v>6928533.61558</v>
      </c>
      <c r="BJ24" s="779">
        <f>IFERROR(VLOOKUP($B24-1,CDM!$V$4:$AJ$17,12,FALSE)/12,0)+IFERROR(VLOOKUP($B24,CDM!$V$41:$AJ$54,12,FALSE)/24,0)+IFERROR(VLOOKUP($B24,CDM!$V$41:$AJ$54,12,FALSE)/2*$C24/78,0)</f>
        <v>123643.8794486449</v>
      </c>
      <c r="BK24" s="779">
        <f t="shared" si="16"/>
        <v>7052177.4950286448</v>
      </c>
      <c r="BL24" s="779"/>
      <c r="BM24" s="779"/>
      <c r="BN24" s="779">
        <f t="shared" si="17"/>
        <v>7052177.4950286448</v>
      </c>
      <c r="BO24" s="779">
        <v>28199729.350000001</v>
      </c>
      <c r="BP24" s="779">
        <f>IFERROR(VLOOKUP($B24-1,CDM!$V$4:$AJ$17,13,FALSE)/12,0)+IFERROR(VLOOKUP($B24,CDM!$V$41:$AJ$54,13,FALSE)/24,0)+IFERROR(VLOOKUP($B24,CDM!$V$41:$AJ$54,13,FALSE)/2*$C24/78,0)</f>
        <v>474085.7114799135</v>
      </c>
      <c r="BQ24" s="779">
        <f t="shared" si="19"/>
        <v>28673815.061479915</v>
      </c>
      <c r="BR24" s="779"/>
      <c r="BS24" s="779"/>
      <c r="BT24" s="779">
        <f t="shared" si="20"/>
        <v>28673815.061479915</v>
      </c>
      <c r="BU24" s="779">
        <v>5066801.53</v>
      </c>
      <c r="BV24" s="779">
        <f>IFERROR(VLOOKUP($B24-1,CDM!$V$4:$AJ$17,14,FALSE)/12,0)+IFERROR(VLOOKUP($B24,CDM!$V$41:$AJ$54,14,FALSE)/24,0)+IFERROR(VLOOKUP($B24,CDM!$V$41:$AJ$54,14,FALSE)/2*$C24/78,0)</f>
        <v>106584.97177372003</v>
      </c>
      <c r="BW24" s="779">
        <f t="shared" si="21"/>
        <v>5173386.5017737206</v>
      </c>
      <c r="BX24" s="779"/>
      <c r="BY24" s="779">
        <f t="shared" si="72"/>
        <v>5173386.5017737206</v>
      </c>
      <c r="BZ24" s="779">
        <v>537951.13</v>
      </c>
      <c r="CA24" s="779">
        <v>2642.4341109465072</v>
      </c>
      <c r="CB24" s="5">
        <v>49784.07</v>
      </c>
      <c r="CC24" s="5">
        <v>66510.09</v>
      </c>
      <c r="CD24" s="5">
        <v>7481.55</v>
      </c>
      <c r="CE24" s="5">
        <v>1169.55</v>
      </c>
      <c r="CF24" s="763">
        <f t="shared" si="70"/>
        <v>7.666666666666667</v>
      </c>
      <c r="CG24" s="785">
        <v>39559.916666666693</v>
      </c>
      <c r="CH24" s="785">
        <v>2216.5833333333317</v>
      </c>
      <c r="CI24" s="785">
        <v>367.83333333333354</v>
      </c>
      <c r="CJ24" s="785">
        <v>2</v>
      </c>
      <c r="CK24" s="785">
        <v>11874.25</v>
      </c>
      <c r="CL24" s="785">
        <v>39</v>
      </c>
      <c r="CM24" s="785">
        <v>369.58333333333354</v>
      </c>
      <c r="CN24" s="46">
        <f>Weather!C36</f>
        <v>437.33511904761912</v>
      </c>
      <c r="CO24" s="46">
        <f>Weather!D36</f>
        <v>0</v>
      </c>
      <c r="CP24" s="46">
        <f>Weather!E36</f>
        <v>377.33511904761912</v>
      </c>
      <c r="CQ24" s="46">
        <f>Weather!F36</f>
        <v>0</v>
      </c>
      <c r="CR24" s="46">
        <f>Weather!G36</f>
        <v>317.335119047619</v>
      </c>
      <c r="CS24" s="46">
        <f>Weather!H36</f>
        <v>0</v>
      </c>
      <c r="CT24" s="46">
        <f>Weather!I36</f>
        <v>257.33511904761906</v>
      </c>
      <c r="CU24" s="46">
        <f>Weather!J36</f>
        <v>0</v>
      </c>
      <c r="CV24" s="46">
        <f>Weather!K36</f>
        <v>198.66428571428571</v>
      </c>
      <c r="CW24" s="46">
        <f>Weather!L36</f>
        <v>1.3291666666666675</v>
      </c>
      <c r="CX24" s="46">
        <f>Weather!M36</f>
        <v>141.00178571428572</v>
      </c>
      <c r="CY24" s="46">
        <f>Weather!N36</f>
        <v>3.6666666666666679</v>
      </c>
      <c r="CZ24" s="46">
        <f>Weather!O36</f>
        <v>89.230952380952388</v>
      </c>
      <c r="DA24" s="46">
        <f>Weather!P36</f>
        <v>11.895833333333334</v>
      </c>
      <c r="DB24" s="368">
        <f>'Economic Data'!D38</f>
        <v>6959</v>
      </c>
      <c r="DC24" s="368">
        <f>'Economic Data'!E38</f>
        <v>6964.3</v>
      </c>
      <c r="DD24" s="368">
        <f>'Economic Data'!F38</f>
        <v>214.7</v>
      </c>
      <c r="DE24" s="368">
        <f>'Economic Data'!G38</f>
        <v>213.5</v>
      </c>
      <c r="DF24" s="368">
        <f>'Economic Data'!H38</f>
        <v>37.1</v>
      </c>
      <c r="DG24" s="368">
        <f>'Economic Data'!I38</f>
        <v>37.1</v>
      </c>
      <c r="DH24" s="368">
        <f>'Economic Data'!J38</f>
        <v>743976.2</v>
      </c>
      <c r="DI24" s="368">
        <f>'Economic Data'!K38</f>
        <v>571846.40000000002</v>
      </c>
      <c r="DJ24" s="368">
        <f>'Economic Data'!L38</f>
        <v>91511.8</v>
      </c>
      <c r="DK24" s="368">
        <f>'Economic Data'!M38</f>
        <v>29814.5</v>
      </c>
      <c r="DL24" s="368">
        <f>'Economic Data'!N38</f>
        <v>745380</v>
      </c>
      <c r="DM24" s="368">
        <f>'Economic Data'!O38</f>
        <v>91284</v>
      </c>
      <c r="DN24" s="368">
        <f>'Economic Data'!P38</f>
        <v>20669</v>
      </c>
      <c r="DO24" s="368">
        <f>'Economic Data'!Q38</f>
        <v>574771</v>
      </c>
      <c r="DP24" s="368">
        <f>'Economic Data'!R38</f>
        <v>30202</v>
      </c>
      <c r="DQ24">
        <v>30</v>
      </c>
      <c r="DR24">
        <v>22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1</v>
      </c>
      <c r="ED24">
        <v>0</v>
      </c>
      <c r="EE24">
        <v>0</v>
      </c>
      <c r="EF24">
        <v>1</v>
      </c>
      <c r="EG24">
        <v>1</v>
      </c>
      <c r="EH24">
        <f t="shared" si="69"/>
        <v>23</v>
      </c>
      <c r="EI24">
        <v>0</v>
      </c>
      <c r="EJ24">
        <v>0</v>
      </c>
      <c r="EK24">
        <v>0</v>
      </c>
      <c r="EL24">
        <v>0</v>
      </c>
      <c r="EM24" s="47">
        <f t="shared" si="73"/>
        <v>0</v>
      </c>
      <c r="EN24" s="47">
        <f t="shared" si="74"/>
        <v>0</v>
      </c>
      <c r="EO24" s="47">
        <f t="shared" si="75"/>
        <v>0</v>
      </c>
      <c r="EP24" s="47">
        <f t="shared" si="76"/>
        <v>0</v>
      </c>
      <c r="EQ24" s="47">
        <f t="shared" si="77"/>
        <v>0</v>
      </c>
      <c r="ER24" s="47">
        <f t="shared" si="78"/>
        <v>0</v>
      </c>
      <c r="ES24" s="47">
        <f t="shared" si="79"/>
        <v>0</v>
      </c>
      <c r="ET24" s="47">
        <f t="shared" si="80"/>
        <v>0</v>
      </c>
      <c r="EU24" s="47">
        <f t="shared" si="81"/>
        <v>0</v>
      </c>
      <c r="EV24" s="47">
        <f t="shared" si="82"/>
        <v>0</v>
      </c>
      <c r="EW24" s="47">
        <f t="shared" si="83"/>
        <v>0</v>
      </c>
      <c r="EX24" s="47">
        <f t="shared" si="84"/>
        <v>0</v>
      </c>
      <c r="EY24" s="47">
        <f t="shared" si="85"/>
        <v>0</v>
      </c>
      <c r="EZ24" s="47">
        <f t="shared" si="86"/>
        <v>0</v>
      </c>
      <c r="FA24" s="47">
        <f t="shared" si="87"/>
        <v>0</v>
      </c>
      <c r="FB24" s="47">
        <f t="shared" si="88"/>
        <v>0</v>
      </c>
      <c r="FC24" s="47">
        <f t="shared" si="89"/>
        <v>0</v>
      </c>
      <c r="FD24" s="47">
        <f t="shared" si="90"/>
        <v>0</v>
      </c>
      <c r="FE24" s="47">
        <f t="shared" si="91"/>
        <v>0</v>
      </c>
      <c r="FF24" s="47">
        <f t="shared" si="92"/>
        <v>0</v>
      </c>
      <c r="FG24" s="47">
        <f t="shared" si="93"/>
        <v>0</v>
      </c>
      <c r="FH24" s="47">
        <f t="shared" si="94"/>
        <v>0</v>
      </c>
      <c r="FI24" s="47">
        <f t="shared" si="95"/>
        <v>0</v>
      </c>
      <c r="FJ24" s="47">
        <f t="shared" si="96"/>
        <v>0</v>
      </c>
      <c r="FK24" s="47">
        <f t="shared" si="97"/>
        <v>0</v>
      </c>
      <c r="FL24" s="47">
        <f t="shared" si="98"/>
        <v>0</v>
      </c>
      <c r="FM24" s="47">
        <f t="shared" si="99"/>
        <v>0</v>
      </c>
      <c r="FN24" s="47">
        <f t="shared" si="100"/>
        <v>0</v>
      </c>
      <c r="FO24" s="765">
        <f t="shared" si="101"/>
        <v>643.66907433031531</v>
      </c>
      <c r="FP24" s="765">
        <f t="shared" si="102"/>
        <v>387.2444615223111</v>
      </c>
      <c r="FQ24" s="765">
        <f t="shared" si="103"/>
        <v>2516.5867691366002</v>
      </c>
      <c r="FR24" s="765">
        <f t="shared" si="104"/>
        <v>75430.299219398323</v>
      </c>
      <c r="FS24" s="765">
        <f t="shared" si="105"/>
        <v>1494576.6432241299</v>
      </c>
      <c r="FT24" s="765">
        <f t="shared" si="106"/>
        <v>6197303.3357797442</v>
      </c>
      <c r="FU24" s="765">
        <f t="shared" si="107"/>
        <v>71.167668975598403</v>
      </c>
      <c r="FV24" s="765">
        <f t="shared" si="108"/>
        <v>82.653986332574036</v>
      </c>
      <c r="FW24" s="765">
        <f t="shared" si="109"/>
        <v>496.05699979971934</v>
      </c>
      <c r="FX24" s="765">
        <f t="shared" si="110"/>
        <v>648.16938687617187</v>
      </c>
      <c r="FY24" s="765">
        <f t="shared" si="111"/>
        <v>3181.5530636619346</v>
      </c>
      <c r="FZ24" s="765">
        <f t="shared" si="112"/>
        <v>77953.280638368553</v>
      </c>
      <c r="GA24" s="765">
        <f t="shared" si="113"/>
        <v>268975.565</v>
      </c>
      <c r="GB24" s="765">
        <f t="shared" si="114"/>
        <v>45.304009095311287</v>
      </c>
      <c r="GC24" s="765">
        <f t="shared" si="115"/>
        <v>67.754720793500184</v>
      </c>
      <c r="GD24" s="765">
        <f t="shared" si="116"/>
        <v>134.70323337091313</v>
      </c>
    </row>
    <row r="25" spans="1:186">
      <c r="A25" s="4">
        <v>42705</v>
      </c>
      <c r="B25" s="6">
        <v>2016</v>
      </c>
      <c r="C25" s="5">
        <v>12</v>
      </c>
      <c r="D25" s="7">
        <v>86578607.069630504</v>
      </c>
      <c r="E25" s="7">
        <f>IFERROR(VLOOKUP($B25-1,CDM!$V$4:$AJ$17,2,FALSE)/12,0)+IFERROR(VLOOKUP($B25,CDM!$V$41:$AJ$54,2,FALSE)/24,0)+IFERROR(VLOOKUP($B25,CDM!$V$41:$AJ$54,2,FALSE)/2*$C25/78,0)</f>
        <v>1586397.705411965</v>
      </c>
      <c r="F25" s="7">
        <f t="shared" si="2"/>
        <v>88165004.775042474</v>
      </c>
      <c r="G25" s="7"/>
      <c r="H25" s="7"/>
      <c r="I25" s="7">
        <f t="shared" si="3"/>
        <v>88165004.775042474</v>
      </c>
      <c r="J25" s="7">
        <v>878077.18349000101</v>
      </c>
      <c r="K25" s="7">
        <f>IFERROR(VLOOKUP($B25-1,CDM!$V$4:$AJ$17,3,FALSE)/12,0)+IFERROR(VLOOKUP($B25,CDM!$V$41:$AJ$54,3,FALSE)/24,0)+IFERROR(VLOOKUP($B25,CDM!$V$41:$AJ$54,3,FALSE)/2*$C25/78,0)</f>
        <v>18170.287714990835</v>
      </c>
      <c r="L25" s="7">
        <f t="shared" si="4"/>
        <v>896247.4712049918</v>
      </c>
      <c r="M25" s="7"/>
      <c r="N25" s="7"/>
      <c r="O25" s="7">
        <f t="shared" si="5"/>
        <v>896247.4712049918</v>
      </c>
      <c r="P25" s="7">
        <v>25214502.075979903</v>
      </c>
      <c r="Q25" s="7">
        <f>IFERROR(VLOOKUP($B25-1,CDM!$V$4:$AJ$17,4,FALSE)/12,0)+IFERROR(VLOOKUP($B25,CDM!$V$41:$AJ$54,4,FALSE)/24,0)+IFERROR(VLOOKUP($B25,CDM!$V$41:$AJ$54,4,FALSE)/2*$C25/78,0)</f>
        <v>606900.17208419403</v>
      </c>
      <c r="R25" s="7">
        <f t="shared" si="6"/>
        <v>25821402.248064097</v>
      </c>
      <c r="S25" s="7"/>
      <c r="T25" s="7"/>
      <c r="U25" s="7">
        <f t="shared" si="7"/>
        <v>25821402.248064097</v>
      </c>
      <c r="V25" s="7">
        <v>78088137.030000001</v>
      </c>
      <c r="W25" s="7">
        <f>IFERROR(VLOOKUP($B25-1,CDM!$V$4:$AJ$17,5,FALSE)/12,0)+IFERROR(VLOOKUP($B25,CDM!$V$41:$AJ$54,5,FALSE)/24,0)+IFERROR(VLOOKUP($B25,CDM!$V$41:$AJ$54,5,FALSE)/2*$C25/78,0)</f>
        <v>2117435.8308890192</v>
      </c>
      <c r="X25" s="7">
        <f t="shared" si="8"/>
        <v>80205572.860889018</v>
      </c>
      <c r="Y25" s="7"/>
      <c r="Z25" s="7"/>
      <c r="AA25" s="7">
        <f t="shared" si="9"/>
        <v>80205572.860889018</v>
      </c>
      <c r="AB25" s="7">
        <v>6945534.1699999999</v>
      </c>
      <c r="AC25" s="7">
        <f>IFERROR(VLOOKUP($B25-1,CDM!$V$4:$AJ$17,6,FALSE)/12,0)+IFERROR(VLOOKUP($B25,CDM!$V$41:$AJ$54,6,FALSE)/24,0)+IFERROR(VLOOKUP($B25,CDM!$V$41:$AJ$54,6,FALSE)/2*$C25/78,0)</f>
        <v>53934.116323947645</v>
      </c>
      <c r="AD25" s="7">
        <f t="shared" si="10"/>
        <v>6999468.2863239478</v>
      </c>
      <c r="AE25" s="7"/>
      <c r="AF25" s="7">
        <f t="shared" si="11"/>
        <v>6999468.2863239478</v>
      </c>
      <c r="AG25" s="7">
        <v>18207464.780000001</v>
      </c>
      <c r="AH25" s="7">
        <f>IFERROR(VLOOKUP($B25-1,CDM!$V$4:$AJ$17,7,FALSE)/12,0)+IFERROR(VLOOKUP($B25,CDM!$V$41:$AJ$54,7,FALSE)/24,0)+IFERROR(VLOOKUP($B25,CDM!$V$41:$AJ$54,7,FALSE)/2*$C25/78,0)</f>
        <v>692351.63086154824</v>
      </c>
      <c r="AI25" s="7">
        <f t="shared" si="12"/>
        <v>18899816.410861548</v>
      </c>
      <c r="AJ25" s="7"/>
      <c r="AK25" s="7">
        <f t="shared" si="13"/>
        <v>18899816.410861548</v>
      </c>
      <c r="AL25" s="7">
        <v>2317361.77</v>
      </c>
      <c r="AM25" s="7">
        <v>20983.5</v>
      </c>
      <c r="AN25" s="7">
        <v>412498.13</v>
      </c>
      <c r="AO25" s="5">
        <v>184342.3</v>
      </c>
      <c r="AP25" s="5">
        <v>15521.18</v>
      </c>
      <c r="AQ25" s="5">
        <v>32772</v>
      </c>
      <c r="AR25" s="5">
        <v>4754.5</v>
      </c>
      <c r="AS25" s="763">
        <f t="shared" si="67"/>
        <v>84.5</v>
      </c>
      <c r="AT25" s="776">
        <v>107900</v>
      </c>
      <c r="AU25" s="776">
        <v>1583</v>
      </c>
      <c r="AV25" s="776">
        <v>8991</v>
      </c>
      <c r="AW25" s="776">
        <v>1051</v>
      </c>
      <c r="AX25" s="776">
        <v>5</v>
      </c>
      <c r="AY25" s="776">
        <v>3</v>
      </c>
      <c r="AZ25" s="776">
        <v>30116</v>
      </c>
      <c r="BA25" s="776">
        <v>439</v>
      </c>
      <c r="BB25" s="776">
        <v>831</v>
      </c>
      <c r="BC25" s="779">
        <v>30728721.87545</v>
      </c>
      <c r="BD25" s="779">
        <f>IFERROR(VLOOKUP($B25-1,CDM!$V$4:$AJ$17,11,FALSE)/12,0)+IFERROR(VLOOKUP($B25,CDM!$V$41:$AJ$54,11,FALSE)/24,0)+IFERROR(VLOOKUP($B25,CDM!$V$41:$AJ$54,11,FALSE)/2*$C25/78,0)</f>
        <v>818386.38897304679</v>
      </c>
      <c r="BE25" s="779">
        <f t="shared" si="71"/>
        <v>31547108.264423046</v>
      </c>
      <c r="BF25" s="779"/>
      <c r="BG25" s="779"/>
      <c r="BH25" s="779">
        <f t="shared" si="15"/>
        <v>31547108.264423046</v>
      </c>
      <c r="BI25" s="779">
        <v>7871846.1122600101</v>
      </c>
      <c r="BJ25" s="779">
        <f>IFERROR(VLOOKUP($B25-1,CDM!$V$4:$AJ$17,12,FALSE)/12,0)+IFERROR(VLOOKUP($B25,CDM!$V$41:$AJ$54,12,FALSE)/24,0)+IFERROR(VLOOKUP($B25,CDM!$V$41:$AJ$54,12,FALSE)/2*$C25/78,0)</f>
        <v>125460.62353254842</v>
      </c>
      <c r="BK25" s="779">
        <f t="shared" si="16"/>
        <v>7997306.7357925586</v>
      </c>
      <c r="BL25" s="779"/>
      <c r="BM25" s="779"/>
      <c r="BN25" s="779">
        <f t="shared" si="17"/>
        <v>7997306.7357925586</v>
      </c>
      <c r="BO25" s="779">
        <v>28627153.800000001</v>
      </c>
      <c r="BP25" s="779">
        <f>IFERROR(VLOOKUP($B25-1,CDM!$V$4:$AJ$17,13,FALSE)/12,0)+IFERROR(VLOOKUP($B25,CDM!$V$41:$AJ$54,13,FALSE)/24,0)+IFERROR(VLOOKUP($B25,CDM!$V$41:$AJ$54,13,FALSE)/2*$C25/78,0)</f>
        <v>485074.80669675575</v>
      </c>
      <c r="BQ25" s="779">
        <f t="shared" si="19"/>
        <v>29112228.606696755</v>
      </c>
      <c r="BR25" s="779"/>
      <c r="BS25" s="779"/>
      <c r="BT25" s="779">
        <f t="shared" si="20"/>
        <v>29112228.606696755</v>
      </c>
      <c r="BU25" s="779">
        <v>4967152.6100000003</v>
      </c>
      <c r="BV25" s="779">
        <f>IFERROR(VLOOKUP($B25-1,CDM!$V$4:$AJ$17,14,FALSE)/12,0)+IFERROR(VLOOKUP($B25,CDM!$V$41:$AJ$54,14,FALSE)/24,0)+IFERROR(VLOOKUP($B25,CDM!$V$41:$AJ$54,14,FALSE)/2*$C25/78,0)</f>
        <v>109055.56385262826</v>
      </c>
      <c r="BW25" s="779">
        <f t="shared" si="21"/>
        <v>5076208.173852629</v>
      </c>
      <c r="BX25" s="779"/>
      <c r="BY25" s="779">
        <f t="shared" si="72"/>
        <v>5076208.173852629</v>
      </c>
      <c r="BZ25" s="779">
        <v>545398.72</v>
      </c>
      <c r="CA25" s="779">
        <v>2642.4341109465072</v>
      </c>
      <c r="CB25" s="5">
        <v>49784.01</v>
      </c>
      <c r="CC25" s="5">
        <v>66950.23</v>
      </c>
      <c r="CD25" s="5">
        <v>7709.09</v>
      </c>
      <c r="CE25" s="5">
        <v>1091.72</v>
      </c>
      <c r="CF25" s="763">
        <f t="shared" si="70"/>
        <v>7.666666666666667</v>
      </c>
      <c r="CG25" s="785">
        <v>39588</v>
      </c>
      <c r="CH25" s="785">
        <v>2220</v>
      </c>
      <c r="CI25" s="785">
        <v>368</v>
      </c>
      <c r="CJ25" s="785">
        <v>2</v>
      </c>
      <c r="CK25" s="785">
        <v>11878</v>
      </c>
      <c r="CL25" s="785">
        <v>39</v>
      </c>
      <c r="CM25" s="785">
        <v>369</v>
      </c>
      <c r="CN25" s="46">
        <f>Weather!C37</f>
        <v>678.67083333333323</v>
      </c>
      <c r="CO25" s="46">
        <f>Weather!D37</f>
        <v>0</v>
      </c>
      <c r="CP25" s="46">
        <f>Weather!E37</f>
        <v>616.67083333333335</v>
      </c>
      <c r="CQ25" s="46">
        <f>Weather!F37</f>
        <v>0</v>
      </c>
      <c r="CR25" s="46">
        <f>Weather!G37</f>
        <v>554.67083333333346</v>
      </c>
      <c r="CS25" s="46">
        <f>Weather!H37</f>
        <v>0</v>
      </c>
      <c r="CT25" s="46">
        <f>Weather!I37</f>
        <v>492.67083333333335</v>
      </c>
      <c r="CU25" s="46">
        <f>Weather!J37</f>
        <v>0</v>
      </c>
      <c r="CV25" s="46">
        <f>Weather!K37</f>
        <v>430.67083333333341</v>
      </c>
      <c r="CW25" s="46">
        <f>Weather!L37</f>
        <v>0</v>
      </c>
      <c r="CX25" s="46">
        <f>Weather!M37</f>
        <v>368.67083333333341</v>
      </c>
      <c r="CY25" s="46">
        <f>Weather!N37</f>
        <v>0</v>
      </c>
      <c r="CZ25" s="46">
        <f>Weather!O37</f>
        <v>306.67083333333341</v>
      </c>
      <c r="DA25" s="46">
        <f>Weather!P37</f>
        <v>0</v>
      </c>
      <c r="DB25" s="368">
        <f>'Economic Data'!D39</f>
        <v>6974.4</v>
      </c>
      <c r="DC25" s="368">
        <f>'Economic Data'!E39</f>
        <v>6983</v>
      </c>
      <c r="DD25" s="368">
        <f>'Economic Data'!F39</f>
        <v>215.4</v>
      </c>
      <c r="DE25" s="368">
        <f>'Economic Data'!G39</f>
        <v>214.8</v>
      </c>
      <c r="DF25" s="368">
        <f>'Economic Data'!H39</f>
        <v>38</v>
      </c>
      <c r="DG25" s="368">
        <f>'Economic Data'!I39</f>
        <v>38</v>
      </c>
      <c r="DH25" s="368">
        <f>'Economic Data'!J39</f>
        <v>743976.2</v>
      </c>
      <c r="DI25" s="368">
        <f>'Economic Data'!K39</f>
        <v>571846.40000000002</v>
      </c>
      <c r="DJ25" s="368">
        <f>'Economic Data'!L39</f>
        <v>91511.8</v>
      </c>
      <c r="DK25" s="368">
        <f>'Economic Data'!M39</f>
        <v>29814.5</v>
      </c>
      <c r="DL25" s="368">
        <f>'Economic Data'!N39</f>
        <v>745380</v>
      </c>
      <c r="DM25" s="368">
        <f>'Economic Data'!O39</f>
        <v>91284</v>
      </c>
      <c r="DN25" s="368">
        <f>'Economic Data'!P39</f>
        <v>20669</v>
      </c>
      <c r="DO25" s="368">
        <f>'Economic Data'!Q39</f>
        <v>574771</v>
      </c>
      <c r="DP25" s="368">
        <f>'Economic Data'!R39</f>
        <v>30202</v>
      </c>
      <c r="DQ25">
        <v>31</v>
      </c>
      <c r="DR25">
        <v>20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1</v>
      </c>
      <c r="EE25">
        <v>0</v>
      </c>
      <c r="EF25">
        <v>0</v>
      </c>
      <c r="EG25">
        <v>0</v>
      </c>
      <c r="EH25">
        <f t="shared" si="69"/>
        <v>24</v>
      </c>
      <c r="EI25">
        <v>0</v>
      </c>
      <c r="EJ25">
        <v>0</v>
      </c>
      <c r="EK25">
        <v>0</v>
      </c>
      <c r="EL25">
        <v>0</v>
      </c>
      <c r="EM25" s="47">
        <f t="shared" si="73"/>
        <v>0</v>
      </c>
      <c r="EN25" s="47">
        <f t="shared" si="74"/>
        <v>0</v>
      </c>
      <c r="EO25" s="47">
        <f t="shared" si="75"/>
        <v>0</v>
      </c>
      <c r="EP25" s="47">
        <f t="shared" si="76"/>
        <v>0</v>
      </c>
      <c r="EQ25" s="47">
        <f t="shared" si="77"/>
        <v>0</v>
      </c>
      <c r="ER25" s="47">
        <f t="shared" si="78"/>
        <v>0</v>
      </c>
      <c r="ES25" s="47">
        <f t="shared" si="79"/>
        <v>0</v>
      </c>
      <c r="ET25" s="47">
        <f t="shared" si="80"/>
        <v>0</v>
      </c>
      <c r="EU25" s="47">
        <f t="shared" si="81"/>
        <v>0</v>
      </c>
      <c r="EV25" s="47">
        <f t="shared" si="82"/>
        <v>0</v>
      </c>
      <c r="EW25" s="47">
        <f t="shared" si="83"/>
        <v>0</v>
      </c>
      <c r="EX25" s="47">
        <f t="shared" si="84"/>
        <v>0</v>
      </c>
      <c r="EY25" s="47">
        <f t="shared" si="85"/>
        <v>0</v>
      </c>
      <c r="EZ25" s="47">
        <f t="shared" si="86"/>
        <v>0</v>
      </c>
      <c r="FA25" s="47">
        <f t="shared" si="87"/>
        <v>0</v>
      </c>
      <c r="FB25" s="47">
        <f t="shared" si="88"/>
        <v>0</v>
      </c>
      <c r="FC25" s="47">
        <f t="shared" si="89"/>
        <v>0</v>
      </c>
      <c r="FD25" s="47">
        <f t="shared" si="90"/>
        <v>0</v>
      </c>
      <c r="FE25" s="47">
        <f t="shared" si="91"/>
        <v>0</v>
      </c>
      <c r="FF25" s="47">
        <f t="shared" si="92"/>
        <v>0</v>
      </c>
      <c r="FG25" s="47">
        <f t="shared" si="93"/>
        <v>0</v>
      </c>
      <c r="FH25" s="47">
        <f t="shared" si="94"/>
        <v>0</v>
      </c>
      <c r="FI25" s="47">
        <f t="shared" si="95"/>
        <v>0</v>
      </c>
      <c r="FJ25" s="47">
        <f t="shared" si="96"/>
        <v>0</v>
      </c>
      <c r="FK25" s="47">
        <f t="shared" si="97"/>
        <v>0</v>
      </c>
      <c r="FL25" s="47">
        <f t="shared" si="98"/>
        <v>0</v>
      </c>
      <c r="FM25" s="47">
        <f t="shared" si="99"/>
        <v>0</v>
      </c>
      <c r="FN25" s="47">
        <f t="shared" si="100"/>
        <v>0</v>
      </c>
      <c r="FO25" s="765">
        <f t="shared" si="101"/>
        <v>817.09921014867905</v>
      </c>
      <c r="FP25" s="765">
        <f t="shared" si="102"/>
        <v>566.17022817750592</v>
      </c>
      <c r="FQ25" s="765">
        <f t="shared" si="103"/>
        <v>2871.9166108401841</v>
      </c>
      <c r="FR25" s="765">
        <f t="shared" si="104"/>
        <v>76313.580267258818</v>
      </c>
      <c r="FS25" s="765">
        <f t="shared" si="105"/>
        <v>1399893.6572647896</v>
      </c>
      <c r="FT25" s="765">
        <f t="shared" si="106"/>
        <v>6299938.8036205163</v>
      </c>
      <c r="FU25" s="765">
        <f t="shared" si="107"/>
        <v>76.947860605658121</v>
      </c>
      <c r="FV25" s="765">
        <f t="shared" si="108"/>
        <v>47.798405466970387</v>
      </c>
      <c r="FW25" s="765">
        <f t="shared" si="109"/>
        <v>496.38764139590853</v>
      </c>
      <c r="FX25" s="765">
        <f t="shared" si="110"/>
        <v>796.88562858500165</v>
      </c>
      <c r="FY25" s="765">
        <f t="shared" si="111"/>
        <v>3602.3904215281796</v>
      </c>
      <c r="FZ25" s="765">
        <f t="shared" si="112"/>
        <v>79109.316866023786</v>
      </c>
      <c r="GA25" s="765">
        <f t="shared" si="113"/>
        <v>272699.36</v>
      </c>
      <c r="GB25" s="765">
        <f t="shared" si="114"/>
        <v>45.916713251389119</v>
      </c>
      <c r="GC25" s="765">
        <f t="shared" si="115"/>
        <v>67.754720793500184</v>
      </c>
      <c r="GD25" s="765">
        <f t="shared" si="116"/>
        <v>134.91601626016262</v>
      </c>
    </row>
    <row r="26" spans="1:186">
      <c r="A26" s="4">
        <v>42736</v>
      </c>
      <c r="B26" s="6">
        <v>2017</v>
      </c>
      <c r="C26" s="5">
        <v>1</v>
      </c>
      <c r="D26" s="7">
        <v>84308414.787390903</v>
      </c>
      <c r="E26" s="7">
        <f>IFERROR(VLOOKUP($B26-1,CDM!$V$4:$AJ$17,2,FALSE)/12,0)+IFERROR(VLOOKUP($B26,CDM!$V$41:$AJ$54,2,FALSE)/24,0)+IFERROR(VLOOKUP($B26,CDM!$V$41:$AJ$54,2,FALSE)/2*$C26/78,0)</f>
        <v>2140851.9313901626</v>
      </c>
      <c r="F26" s="7">
        <f t="shared" si="2"/>
        <v>86449266.718781069</v>
      </c>
      <c r="G26" s="7">
        <f>IFERROR(HLOOKUP(B26,'EV Forecast VRZ'!$F$116:$T$122,2,FALSE)*C26/78,0)</f>
        <v>3139.3773146332878</v>
      </c>
      <c r="H26" s="7"/>
      <c r="I26" s="7">
        <f t="shared" si="3"/>
        <v>86446127.341466442</v>
      </c>
      <c r="J26" s="7">
        <v>920373.34233999997</v>
      </c>
      <c r="K26" s="7">
        <f>IFERROR(VLOOKUP($B26-1,CDM!$V$4:$AJ$17,3,FALSE)/12,0)+IFERROR(VLOOKUP($B26,CDM!$V$41:$AJ$54,3,FALSE)/24,0)+IFERROR(VLOOKUP($B26,CDM!$V$41:$AJ$54,3,FALSE)/2*$C26/78,0)</f>
        <v>24520.897512551124</v>
      </c>
      <c r="L26" s="7">
        <f t="shared" si="4"/>
        <v>944894.23985255114</v>
      </c>
      <c r="M26" s="7">
        <f>IFERROR(HLOOKUP(B26,'EV Forecast VRZ'!$F$116:$T$122,3,FALSE)*C26/78,0)</f>
        <v>42.709352033378551</v>
      </c>
      <c r="N26" s="7"/>
      <c r="O26" s="7">
        <f t="shared" si="5"/>
        <v>944851.53050051781</v>
      </c>
      <c r="P26" s="7">
        <v>25654563.991049901</v>
      </c>
      <c r="Q26" s="7">
        <f>IFERROR(VLOOKUP($B26-1,CDM!$V$4:$AJ$17,4,FALSE)/12,0)+IFERROR(VLOOKUP($B26,CDM!$V$41:$AJ$54,4,FALSE)/24,0)+IFERROR(VLOOKUP($B26,CDM!$V$41:$AJ$54,4,FALSE)/2*$C26/78,0)</f>
        <v>624543.80877046671</v>
      </c>
      <c r="R26" s="7">
        <f t="shared" si="6"/>
        <v>26279107.799820367</v>
      </c>
      <c r="S26" s="7">
        <f>IFERROR(HLOOKUP(B26,'EV Forecast VRZ'!$F$116:$T$122,4,FALSE)*C26/78,0)</f>
        <v>400.49435897435899</v>
      </c>
      <c r="T26" s="7"/>
      <c r="U26" s="7">
        <f t="shared" si="7"/>
        <v>26278707.305461392</v>
      </c>
      <c r="V26" s="7">
        <v>82073939.140000001</v>
      </c>
      <c r="W26" s="7">
        <f>IFERROR(VLOOKUP($B26-1,CDM!$V$4:$AJ$17,5,FALSE)/12,0)+IFERROR(VLOOKUP($B26,CDM!$V$41:$AJ$54,5,FALSE)/24,0)+IFERROR(VLOOKUP($B26,CDM!$V$41:$AJ$54,5,FALSE)/2*$C26/78,0)</f>
        <v>2271655.189790715</v>
      </c>
      <c r="X26" s="7">
        <f t="shared" si="8"/>
        <v>84345594.329790711</v>
      </c>
      <c r="Y26" s="7">
        <f>IFERROR(HLOOKUP(B26,'EV Forecast VRZ'!$F$116:$T$122,5,FALSE)*C26/78,0)</f>
        <v>182.33784615384613</v>
      </c>
      <c r="Z26" s="7"/>
      <c r="AA26" s="7">
        <f t="shared" si="9"/>
        <v>84345411.991944551</v>
      </c>
      <c r="AB26" s="7">
        <v>7233291.1200000001</v>
      </c>
      <c r="AC26" s="7">
        <f>IFERROR(VLOOKUP($B26-1,CDM!$V$4:$AJ$17,6,FALSE)/12,0)+IFERROR(VLOOKUP($B26,CDM!$V$41:$AJ$54,6,FALSE)/24,0)+IFERROR(VLOOKUP($B26,CDM!$V$41:$AJ$54,6,FALSE)/2*$C26/78,0)</f>
        <v>73608.447499349699</v>
      </c>
      <c r="AD26" s="7">
        <f t="shared" si="10"/>
        <v>7306899.5674993498</v>
      </c>
      <c r="AE26" s="7">
        <f>IFERROR(HLOOKUP(B26,'EV Forecast VRZ'!$F$116:$T$122,6,FALSE)*C26/78,0)</f>
        <v>28.486256410256409</v>
      </c>
      <c r="AF26" s="7">
        <f t="shared" si="11"/>
        <v>7306871.0812429395</v>
      </c>
      <c r="AG26" s="7">
        <v>18270562.609999999</v>
      </c>
      <c r="AH26" s="7">
        <f>IFERROR(VLOOKUP($B26-1,CDM!$V$4:$AJ$17,7,FALSE)/12,0)+IFERROR(VLOOKUP($B26,CDM!$V$41:$AJ$54,7,FALSE)/24,0)+IFERROR(VLOOKUP($B26,CDM!$V$41:$AJ$54,7,FALSE)/2*$C26/78,0)</f>
        <v>725174.56737118564</v>
      </c>
      <c r="AI26" s="7">
        <f t="shared" si="12"/>
        <v>18995737.177371185</v>
      </c>
      <c r="AJ26" s="7">
        <f>IFERROR(HLOOKUP(B26,'EV Forecast VRZ'!$F$116:$T$122,7,FALSE)*C26/78,0)</f>
        <v>0</v>
      </c>
      <c r="AK26" s="7">
        <f t="shared" si="13"/>
        <v>18995737.177371185</v>
      </c>
      <c r="AL26" s="7">
        <v>2253086.1800000002</v>
      </c>
      <c r="AM26" s="7">
        <v>37476.339999999989</v>
      </c>
      <c r="AN26" s="7">
        <v>412071.51</v>
      </c>
      <c r="AO26" s="5">
        <v>185118.53</v>
      </c>
      <c r="AP26" s="5">
        <v>16277.86</v>
      </c>
      <c r="AQ26" s="5">
        <v>30820</v>
      </c>
      <c r="AR26" s="5">
        <v>4727.7</v>
      </c>
      <c r="AS26" s="763">
        <f>967/12</f>
        <v>80.583333333333329</v>
      </c>
      <c r="AT26" s="776">
        <v>107971.5</v>
      </c>
      <c r="AU26" s="776">
        <v>1582.0833333333333</v>
      </c>
      <c r="AV26" s="776">
        <v>8994.75</v>
      </c>
      <c r="AW26" s="776">
        <v>1053.6666666666667</v>
      </c>
      <c r="AX26" s="776">
        <v>5</v>
      </c>
      <c r="AY26" s="776">
        <v>3</v>
      </c>
      <c r="AZ26" s="776">
        <v>30161.5</v>
      </c>
      <c r="BA26" s="776">
        <v>439</v>
      </c>
      <c r="BB26" s="776">
        <v>830.16666666666663</v>
      </c>
      <c r="BC26" s="779">
        <v>29385840.094060197</v>
      </c>
      <c r="BD26" s="779">
        <f>IFERROR(VLOOKUP($B26-1,CDM!$V$4:$AJ$17,11,FALSE)/12,0)+IFERROR(VLOOKUP($B26,CDM!$V$41:$AJ$54,11,FALSE)/24,0)+IFERROR(VLOOKUP($B26,CDM!$V$41:$AJ$54,11,FALSE)/2*$C26/78,0)</f>
        <v>1099616.7123549602</v>
      </c>
      <c r="BE26" s="779">
        <f t="shared" si="71"/>
        <v>30485456.806415159</v>
      </c>
      <c r="BF26" s="779">
        <f>IFERROR(HLOOKUP(B26,'EV Forecast WRZ'!$F$116:$T$122,2,FALSE)*C26/78,0)</f>
        <v>1012.7023076923077</v>
      </c>
      <c r="BG26" s="779"/>
      <c r="BH26" s="779">
        <f t="shared" si="15"/>
        <v>30484444.104107466</v>
      </c>
      <c r="BI26" s="779">
        <v>8016278.7296099998</v>
      </c>
      <c r="BJ26" s="779">
        <f>IFERROR(VLOOKUP($B26-1,CDM!$V$4:$AJ$17,12,FALSE)/12,0)+IFERROR(VLOOKUP($B26,CDM!$V$41:$AJ$54,12,FALSE)/24,0)+IFERROR(VLOOKUP($B26,CDM!$V$41:$AJ$54,12,FALSE)/2*$C26/78,0)</f>
        <v>128391.12790586968</v>
      </c>
      <c r="BK26" s="779">
        <f t="shared" si="16"/>
        <v>8144669.8575158697</v>
      </c>
      <c r="BL26" s="779">
        <f>IFERROR(HLOOKUP(B26,'EV Forecast WRZ'!$F$116:$T$122,3,FALSE)*C26/78,0)</f>
        <v>140.52153846153846</v>
      </c>
      <c r="BM26" s="779"/>
      <c r="BN26" s="779">
        <f t="shared" si="17"/>
        <v>8144529.3359774081</v>
      </c>
      <c r="BO26" s="779">
        <v>30488209.27</v>
      </c>
      <c r="BP26" s="779">
        <f>IFERROR(VLOOKUP($B26-1,CDM!$V$4:$AJ$17,13,FALSE)/12,0)+IFERROR(VLOOKUP($B26,CDM!$V$41:$AJ$54,13,FALSE)/24,0)+IFERROR(VLOOKUP($B26,CDM!$V$41:$AJ$54,13,FALSE)/2*$C26/78,0)</f>
        <v>593636.08201605687</v>
      </c>
      <c r="BQ26" s="779">
        <f t="shared" si="19"/>
        <v>31081845.352016058</v>
      </c>
      <c r="BR26" s="779">
        <f>IFERROR(HLOOKUP(B26,'EV Forecast WRZ'!$F$116:$T$122,4,FALSE)*C26/78,0)</f>
        <v>64.96546153846154</v>
      </c>
      <c r="BS26" s="779"/>
      <c r="BT26" s="779">
        <f t="shared" si="20"/>
        <v>31081780.386554521</v>
      </c>
      <c r="BU26" s="779">
        <v>5171036.6500000004</v>
      </c>
      <c r="BV26" s="779">
        <f>IFERROR(VLOOKUP($B26-1,CDM!$V$4:$AJ$17,14,FALSE)/12,0)+IFERROR(VLOOKUP($B26,CDM!$V$41:$AJ$54,14,FALSE)/24,0)+IFERROR(VLOOKUP($B26,CDM!$V$41:$AJ$54,14,FALSE)/2*$C26/78,0)</f>
        <v>133462.54382573598</v>
      </c>
      <c r="BW26" s="779">
        <f t="shared" si="21"/>
        <v>5304499.1938257366</v>
      </c>
      <c r="BX26" s="779">
        <f>IFERROR(HLOOKUP(B26,'EV Forecast WRZ'!$F$116:$T$122,5,FALSE)*C26/78,0)</f>
        <v>13.949153846153845</v>
      </c>
      <c r="BY26" s="779">
        <f t="shared" si="72"/>
        <v>5304485.2446718905</v>
      </c>
      <c r="BZ26" s="779">
        <v>527530.25</v>
      </c>
      <c r="CA26" s="779">
        <v>2527.5456713401368</v>
      </c>
      <c r="CB26" s="5">
        <v>49784.08</v>
      </c>
      <c r="CC26" s="5">
        <v>65591.240000000005</v>
      </c>
      <c r="CD26" s="5">
        <v>7238.24</v>
      </c>
      <c r="CE26" s="5">
        <v>1073.3699999999999</v>
      </c>
      <c r="CF26" s="763">
        <f>88/12</f>
        <v>7.333333333333333</v>
      </c>
      <c r="CG26" s="785">
        <v>39613.166666666664</v>
      </c>
      <c r="CH26" s="785">
        <v>2221.5</v>
      </c>
      <c r="CI26" s="785">
        <v>368</v>
      </c>
      <c r="CJ26" s="785">
        <v>2</v>
      </c>
      <c r="CK26" s="785">
        <v>11880</v>
      </c>
      <c r="CL26" s="785">
        <v>38.916666666666664</v>
      </c>
      <c r="CM26" s="785">
        <v>369.25</v>
      </c>
      <c r="CN26" s="46">
        <f>Weather!C38</f>
        <v>682.2166666666667</v>
      </c>
      <c r="CO26" s="46">
        <f>Weather!D38</f>
        <v>0</v>
      </c>
      <c r="CP26" s="46">
        <f>Weather!E38</f>
        <v>620.2166666666667</v>
      </c>
      <c r="CQ26" s="46">
        <f>Weather!F38</f>
        <v>0</v>
      </c>
      <c r="CR26" s="46">
        <f>Weather!G38</f>
        <v>558.21666666666658</v>
      </c>
      <c r="CS26" s="46">
        <f>Weather!H38</f>
        <v>0</v>
      </c>
      <c r="CT26" s="46">
        <f>Weather!I38</f>
        <v>496.21666666666664</v>
      </c>
      <c r="CU26" s="46">
        <f>Weather!J38</f>
        <v>0</v>
      </c>
      <c r="CV26" s="46">
        <f>Weather!K38</f>
        <v>434.21666666666664</v>
      </c>
      <c r="CW26" s="46">
        <f>Weather!L38</f>
        <v>0</v>
      </c>
      <c r="CX26" s="46">
        <f>Weather!M38</f>
        <v>372.2166666666667</v>
      </c>
      <c r="CY26" s="46">
        <f>Weather!N38</f>
        <v>0</v>
      </c>
      <c r="CZ26" s="46">
        <f>Weather!O38</f>
        <v>310.2166666666667</v>
      </c>
      <c r="DA26" s="46">
        <f>Weather!P38</f>
        <v>0</v>
      </c>
      <c r="DB26" s="368">
        <f>'Economic Data'!D40</f>
        <v>6998.9</v>
      </c>
      <c r="DC26" s="368">
        <f>'Economic Data'!E40</f>
        <v>6968.1</v>
      </c>
      <c r="DD26" s="368">
        <f>'Economic Data'!F40</f>
        <v>215.3</v>
      </c>
      <c r="DE26" s="368">
        <f>'Economic Data'!G40</f>
        <v>213.8</v>
      </c>
      <c r="DF26" s="368">
        <f>'Economic Data'!H40</f>
        <v>39.5</v>
      </c>
      <c r="DG26" s="368">
        <f>'Economic Data'!I40</f>
        <v>39.5</v>
      </c>
      <c r="DH26" s="368">
        <f>'Economic Data'!J40</f>
        <v>764464.8</v>
      </c>
      <c r="DI26" s="368">
        <f>'Economic Data'!K40</f>
        <v>590729.4</v>
      </c>
      <c r="DJ26" s="368">
        <f>'Economic Data'!L40</f>
        <v>91847.6</v>
      </c>
      <c r="DK26" s="368">
        <f>'Economic Data'!M40</f>
        <v>31122.7</v>
      </c>
      <c r="DL26" s="368">
        <f>'Economic Data'!N40</f>
        <v>756702</v>
      </c>
      <c r="DM26" s="368">
        <f>'Economic Data'!O40</f>
        <v>92757</v>
      </c>
      <c r="DN26" s="368">
        <f>'Economic Data'!P40</f>
        <v>20577</v>
      </c>
      <c r="DO26" s="368">
        <f>'Economic Data'!Q40</f>
        <v>583158</v>
      </c>
      <c r="DP26" s="368">
        <f>'Economic Data'!R40</f>
        <v>30665</v>
      </c>
      <c r="DQ26">
        <v>31</v>
      </c>
      <c r="DR26">
        <v>22</v>
      </c>
      <c r="DS26">
        <v>1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f t="shared" si="69"/>
        <v>25</v>
      </c>
      <c r="EI26">
        <v>0</v>
      </c>
      <c r="EJ26">
        <v>0</v>
      </c>
      <c r="EK26">
        <v>0</v>
      </c>
      <c r="EL26">
        <v>0</v>
      </c>
      <c r="EM26" s="47">
        <f t="shared" si="73"/>
        <v>0</v>
      </c>
      <c r="EN26" s="47">
        <f t="shared" si="74"/>
        <v>0</v>
      </c>
      <c r="EO26" s="47">
        <f t="shared" si="75"/>
        <v>0</v>
      </c>
      <c r="EP26" s="47">
        <f t="shared" si="76"/>
        <v>0</v>
      </c>
      <c r="EQ26" s="47">
        <f t="shared" si="77"/>
        <v>0</v>
      </c>
      <c r="ER26" s="47">
        <f t="shared" si="78"/>
        <v>0</v>
      </c>
      <c r="ES26" s="47">
        <f t="shared" si="79"/>
        <v>0</v>
      </c>
      <c r="ET26" s="47">
        <f t="shared" si="80"/>
        <v>0</v>
      </c>
      <c r="EU26" s="47">
        <f t="shared" si="81"/>
        <v>0</v>
      </c>
      <c r="EV26" s="47">
        <f t="shared" si="82"/>
        <v>0</v>
      </c>
      <c r="EW26" s="47">
        <f t="shared" si="83"/>
        <v>0</v>
      </c>
      <c r="EX26" s="47">
        <f t="shared" si="84"/>
        <v>0</v>
      </c>
      <c r="EY26" s="47">
        <f t="shared" si="85"/>
        <v>0</v>
      </c>
      <c r="EZ26" s="47">
        <f t="shared" si="86"/>
        <v>0</v>
      </c>
      <c r="FA26" s="47">
        <f t="shared" si="87"/>
        <v>0</v>
      </c>
      <c r="FB26" s="47">
        <f t="shared" si="88"/>
        <v>0</v>
      </c>
      <c r="FC26" s="47">
        <f t="shared" si="89"/>
        <v>0</v>
      </c>
      <c r="FD26" s="47">
        <f t="shared" si="90"/>
        <v>0</v>
      </c>
      <c r="FE26" s="47">
        <f t="shared" si="91"/>
        <v>0</v>
      </c>
      <c r="FF26" s="47">
        <f t="shared" si="92"/>
        <v>0</v>
      </c>
      <c r="FG26" s="47">
        <f t="shared" si="93"/>
        <v>0</v>
      </c>
      <c r="FH26" s="47">
        <f t="shared" si="94"/>
        <v>0</v>
      </c>
      <c r="FI26" s="47">
        <f t="shared" si="95"/>
        <v>0</v>
      </c>
      <c r="FJ26" s="47">
        <f t="shared" si="96"/>
        <v>0</v>
      </c>
      <c r="FK26" s="47">
        <f t="shared" si="97"/>
        <v>0</v>
      </c>
      <c r="FL26" s="47">
        <f t="shared" si="98"/>
        <v>0</v>
      </c>
      <c r="FM26" s="47">
        <f t="shared" si="99"/>
        <v>0</v>
      </c>
      <c r="FN26" s="47">
        <f t="shared" si="100"/>
        <v>0</v>
      </c>
      <c r="FO26" s="765">
        <f t="shared" si="101"/>
        <v>800.63838458728867</v>
      </c>
      <c r="FP26" s="765">
        <f t="shared" si="102"/>
        <v>597.24682002794918</v>
      </c>
      <c r="FQ26" s="765">
        <f t="shared" si="103"/>
        <v>2921.6051363095548</v>
      </c>
      <c r="FR26" s="765">
        <f t="shared" si="104"/>
        <v>80049.599174113289</v>
      </c>
      <c r="FS26" s="765">
        <f t="shared" si="105"/>
        <v>1461379.9134998699</v>
      </c>
      <c r="FT26" s="765">
        <f t="shared" si="106"/>
        <v>6331912.3924570614</v>
      </c>
      <c r="FU26" s="765">
        <f t="shared" si="107"/>
        <v>74.700733716824431</v>
      </c>
      <c r="FV26" s="765">
        <f t="shared" si="108"/>
        <v>85.36751708428244</v>
      </c>
      <c r="FW26" s="765">
        <f t="shared" si="109"/>
        <v>496.37202569765111</v>
      </c>
      <c r="FX26" s="765">
        <f t="shared" si="110"/>
        <v>769.57888933599929</v>
      </c>
      <c r="FY26" s="765">
        <f t="shared" si="111"/>
        <v>3666.292981100999</v>
      </c>
      <c r="FZ26" s="765">
        <f t="shared" si="112"/>
        <v>84461.536282652334</v>
      </c>
      <c r="GA26" s="765">
        <f t="shared" si="113"/>
        <v>263765.125</v>
      </c>
      <c r="GB26" s="765">
        <f t="shared" si="114"/>
        <v>44.404903198653201</v>
      </c>
      <c r="GC26" s="765">
        <f t="shared" si="115"/>
        <v>64.947640377048486</v>
      </c>
      <c r="GD26" s="765">
        <f t="shared" si="116"/>
        <v>134.82486120514557</v>
      </c>
    </row>
    <row r="27" spans="1:186">
      <c r="A27" s="4">
        <v>42767</v>
      </c>
      <c r="B27" s="6">
        <v>2017</v>
      </c>
      <c r="C27" s="5">
        <v>2</v>
      </c>
      <c r="D27" s="7">
        <v>72696234.229539901</v>
      </c>
      <c r="E27" s="7">
        <f>IFERROR(VLOOKUP($B27-1,CDM!$V$4:$AJ$17,2,FALSE)/12,0)+IFERROR(VLOOKUP($B27,CDM!$V$41:$AJ$54,2,FALSE)/24,0)+IFERROR(VLOOKUP($B27,CDM!$V$41:$AJ$54,2,FALSE)/2*$C27/78,0)</f>
        <v>2252204.992654724</v>
      </c>
      <c r="F27" s="7">
        <f t="shared" si="2"/>
        <v>74948439.222194627</v>
      </c>
      <c r="G27" s="7">
        <f>IFERROR(HLOOKUP(B27,'EV Forecast VRZ'!$F$116:$T$122,2,FALSE)*C27/78,0)</f>
        <v>6278.7546292665756</v>
      </c>
      <c r="H27" s="7"/>
      <c r="I27" s="7">
        <f t="shared" si="3"/>
        <v>74942160.467565358</v>
      </c>
      <c r="J27" s="7">
        <v>836835.86730000097</v>
      </c>
      <c r="K27" s="7">
        <f>IFERROR(VLOOKUP($B27-1,CDM!$V$4:$AJ$17,3,FALSE)/12,0)+IFERROR(VLOOKUP($B27,CDM!$V$41:$AJ$54,3,FALSE)/24,0)+IFERROR(VLOOKUP($B27,CDM!$V$41:$AJ$54,3,FALSE)/2*$C27/78,0)</f>
        <v>25796.31360412739</v>
      </c>
      <c r="L27" s="7">
        <f t="shared" si="4"/>
        <v>862632.18090412836</v>
      </c>
      <c r="M27" s="7">
        <f>IFERROR(HLOOKUP(B27,'EV Forecast VRZ'!$F$116:$T$122,3,FALSE)*C27/78,0)</f>
        <v>85.418704066757101</v>
      </c>
      <c r="N27" s="7"/>
      <c r="O27" s="7">
        <f t="shared" si="5"/>
        <v>862546.76220006158</v>
      </c>
      <c r="P27" s="7">
        <v>22871851.479970001</v>
      </c>
      <c r="Q27" s="7">
        <f>IFERROR(VLOOKUP($B27-1,CDM!$V$4:$AJ$17,4,FALSE)/12,0)+IFERROR(VLOOKUP($B27,CDM!$V$41:$AJ$54,4,FALSE)/24,0)+IFERROR(VLOOKUP($B27,CDM!$V$41:$AJ$54,4,FALSE)/2*$C27/78,0)</f>
        <v>638194.05348533532</v>
      </c>
      <c r="R27" s="7">
        <f t="shared" si="6"/>
        <v>23510045.533455335</v>
      </c>
      <c r="S27" s="7">
        <f>IFERROR(HLOOKUP(B27,'EV Forecast VRZ'!$F$116:$T$122,4,FALSE)*C27/78,0)</f>
        <v>800.98871794871798</v>
      </c>
      <c r="T27" s="7"/>
      <c r="U27" s="7">
        <f t="shared" si="7"/>
        <v>23509244.544737387</v>
      </c>
      <c r="V27" s="7">
        <v>74127480.870000005</v>
      </c>
      <c r="W27" s="7">
        <f>IFERROR(VLOOKUP($B27-1,CDM!$V$4:$AJ$17,5,FALSE)/12,0)+IFERROR(VLOOKUP($B27,CDM!$V$41:$AJ$54,5,FALSE)/24,0)+IFERROR(VLOOKUP($B27,CDM!$V$41:$AJ$54,5,FALSE)/2*$C27/78,0)</f>
        <v>2328468.9972345103</v>
      </c>
      <c r="X27" s="7">
        <f t="shared" si="8"/>
        <v>76455949.867234513</v>
      </c>
      <c r="Y27" s="7">
        <f>IFERROR(HLOOKUP(B27,'EV Forecast VRZ'!$F$116:$T$122,5,FALSE)*C27/78,0)</f>
        <v>364.67569230769226</v>
      </c>
      <c r="Z27" s="7"/>
      <c r="AA27" s="7">
        <f t="shared" si="9"/>
        <v>76455585.191542208</v>
      </c>
      <c r="AB27" s="7">
        <v>6940205.9800000004</v>
      </c>
      <c r="AC27" s="7">
        <f>IFERROR(VLOOKUP($B27-1,CDM!$V$4:$AJ$17,6,FALSE)/12,0)+IFERROR(VLOOKUP($B27,CDM!$V$41:$AJ$54,6,FALSE)/24,0)+IFERROR(VLOOKUP($B27,CDM!$V$41:$AJ$54,6,FALSE)/2*$C27/78,0)</f>
        <v>77883.466471821084</v>
      </c>
      <c r="AD27" s="7">
        <f t="shared" si="10"/>
        <v>7018089.4464718215</v>
      </c>
      <c r="AE27" s="7">
        <f>IFERROR(HLOOKUP(B27,'EV Forecast VRZ'!$F$116:$T$122,6,FALSE)*C27/78,0)</f>
        <v>56.972512820512819</v>
      </c>
      <c r="AF27" s="7">
        <f t="shared" si="11"/>
        <v>7018032.4739590008</v>
      </c>
      <c r="AG27" s="7">
        <v>16672724.49</v>
      </c>
      <c r="AH27" s="7">
        <f>IFERROR(VLOOKUP($B27-1,CDM!$V$4:$AJ$17,7,FALSE)/12,0)+IFERROR(VLOOKUP($B27,CDM!$V$41:$AJ$54,7,FALSE)/24,0)+IFERROR(VLOOKUP($B27,CDM!$V$41:$AJ$54,7,FALSE)/2*$C27/78,0)</f>
        <v>742655.43015550228</v>
      </c>
      <c r="AI27" s="7">
        <f t="shared" si="12"/>
        <v>17415379.920155503</v>
      </c>
      <c r="AJ27" s="7">
        <f>IFERROR(HLOOKUP(B27,'EV Forecast VRZ'!$F$116:$T$122,7,FALSE)*C27/78,0)</f>
        <v>0</v>
      </c>
      <c r="AK27" s="7">
        <f t="shared" si="13"/>
        <v>17415379.920155503</v>
      </c>
      <c r="AL27" s="7">
        <v>1959289.05</v>
      </c>
      <c r="AM27" s="7">
        <v>17199.759999999998</v>
      </c>
      <c r="AN27" s="7">
        <v>411747.61</v>
      </c>
      <c r="AO27" s="5">
        <v>183905</v>
      </c>
      <c r="AP27" s="5">
        <v>16270.59</v>
      </c>
      <c r="AQ27" s="5">
        <v>30649</v>
      </c>
      <c r="AR27" s="5">
        <v>4945.03</v>
      </c>
      <c r="AS27" s="763">
        <f t="shared" ref="AS27:AS37" si="117">967/12</f>
        <v>80.583333333333329</v>
      </c>
      <c r="AT27" s="776">
        <v>108043</v>
      </c>
      <c r="AU27" s="776">
        <v>1581.1666666666665</v>
      </c>
      <c r="AV27" s="776">
        <v>8998.5</v>
      </c>
      <c r="AW27" s="776">
        <v>1056.3333333333335</v>
      </c>
      <c r="AX27" s="776">
        <v>5</v>
      </c>
      <c r="AY27" s="776">
        <v>3</v>
      </c>
      <c r="AZ27" s="776">
        <v>30207</v>
      </c>
      <c r="BA27" s="776">
        <v>439</v>
      </c>
      <c r="BB27" s="776">
        <v>829.33333333333326</v>
      </c>
      <c r="BC27" s="779">
        <v>25232598.623130199</v>
      </c>
      <c r="BD27" s="779">
        <f>IFERROR(VLOOKUP($B27-1,CDM!$V$4:$AJ$17,11,FALSE)/12,0)+IFERROR(VLOOKUP($B27,CDM!$V$41:$AJ$54,11,FALSE)/24,0)+IFERROR(VLOOKUP($B27,CDM!$V$41:$AJ$54,11,FALSE)/2*$C27/78,0)</f>
        <v>1159262.3557505272</v>
      </c>
      <c r="BE27" s="779">
        <f t="shared" si="71"/>
        <v>26391860.978880726</v>
      </c>
      <c r="BF27" s="779">
        <f>IFERROR(HLOOKUP(B27,'EV Forecast WRZ'!$F$116:$T$122,2,FALSE)*C27/78,0)</f>
        <v>2025.4046153846155</v>
      </c>
      <c r="BG27" s="779"/>
      <c r="BH27" s="779">
        <f t="shared" si="15"/>
        <v>26389835.574265342</v>
      </c>
      <c r="BI27" s="779">
        <v>7164471.7232300099</v>
      </c>
      <c r="BJ27" s="779">
        <f>IFERROR(VLOOKUP($B27-1,CDM!$V$4:$AJ$17,12,FALSE)/12,0)+IFERROR(VLOOKUP($B27,CDM!$V$41:$AJ$54,12,FALSE)/24,0)+IFERROR(VLOOKUP($B27,CDM!$V$41:$AJ$54,12,FALSE)/2*$C27/78,0)</f>
        <v>130114.1408171751</v>
      </c>
      <c r="BK27" s="779">
        <f t="shared" si="16"/>
        <v>7294585.8640471846</v>
      </c>
      <c r="BL27" s="779">
        <f>IFERROR(HLOOKUP(B27,'EV Forecast WRZ'!$F$116:$T$122,3,FALSE)*C27/78,0)</f>
        <v>281.04307692307691</v>
      </c>
      <c r="BM27" s="779"/>
      <c r="BN27" s="779">
        <f t="shared" si="17"/>
        <v>7294304.8209702615</v>
      </c>
      <c r="BO27" s="779">
        <v>27758859.02</v>
      </c>
      <c r="BP27" s="779">
        <f>IFERROR(VLOOKUP($B27-1,CDM!$V$4:$AJ$17,13,FALSE)/12,0)+IFERROR(VLOOKUP($B27,CDM!$V$41:$AJ$54,13,FALSE)/24,0)+IFERROR(VLOOKUP($B27,CDM!$V$41:$AJ$54,13,FALSE)/2*$C27/78,0)</f>
        <v>616169.58855098125</v>
      </c>
      <c r="BQ27" s="779">
        <f t="shared" si="19"/>
        <v>28375028.608550981</v>
      </c>
      <c r="BR27" s="779">
        <f>IFERROR(HLOOKUP(B27,'EV Forecast WRZ'!$F$116:$T$122,4,FALSE)*C27/78,0)</f>
        <v>129.93092307692308</v>
      </c>
      <c r="BS27" s="779"/>
      <c r="BT27" s="779">
        <f t="shared" si="20"/>
        <v>28374898.677627902</v>
      </c>
      <c r="BU27" s="779">
        <v>4628225.5199999996</v>
      </c>
      <c r="BV27" s="779">
        <f>IFERROR(VLOOKUP($B27-1,CDM!$V$4:$AJ$17,14,FALSE)/12,0)+IFERROR(VLOOKUP($B27,CDM!$V$41:$AJ$54,14,FALSE)/24,0)+IFERROR(VLOOKUP($B27,CDM!$V$41:$AJ$54,14,FALSE)/2*$C27/78,0)</f>
        <v>138528.57534668304</v>
      </c>
      <c r="BW27" s="779">
        <f t="shared" si="21"/>
        <v>4766754.0953466827</v>
      </c>
      <c r="BX27" s="779">
        <f>IFERROR(HLOOKUP(B27,'EV Forecast WRZ'!$F$116:$T$122,5,FALSE)*C27/78,0)</f>
        <v>27.898307692307689</v>
      </c>
      <c r="BY27" s="779">
        <f t="shared" si="72"/>
        <v>4766726.1970389904</v>
      </c>
      <c r="BZ27" s="779">
        <v>437404.22</v>
      </c>
      <c r="CA27" s="779">
        <v>2527.5456713401368</v>
      </c>
      <c r="CB27" s="5">
        <v>49908.42</v>
      </c>
      <c r="CC27" s="5">
        <v>65148.19</v>
      </c>
      <c r="CD27" s="5">
        <v>7390.31</v>
      </c>
      <c r="CE27" s="5">
        <v>1073.8</v>
      </c>
      <c r="CF27" s="763">
        <f t="shared" ref="CF27:CF37" si="118">88/12</f>
        <v>7.333333333333333</v>
      </c>
      <c r="CG27" s="785">
        <v>39638.333333333328</v>
      </c>
      <c r="CH27" s="785">
        <v>2223</v>
      </c>
      <c r="CI27" s="785">
        <v>368</v>
      </c>
      <c r="CJ27" s="785">
        <v>2</v>
      </c>
      <c r="CK27" s="785">
        <v>11882</v>
      </c>
      <c r="CL27" s="785">
        <v>38.833333333333329</v>
      </c>
      <c r="CM27" s="785">
        <v>369.5</v>
      </c>
      <c r="CN27" s="46">
        <f>Weather!C39</f>
        <v>586.08333333333337</v>
      </c>
      <c r="CO27" s="46">
        <f>Weather!D39</f>
        <v>0</v>
      </c>
      <c r="CP27" s="46">
        <f>Weather!E39</f>
        <v>530.08333333333337</v>
      </c>
      <c r="CQ27" s="46">
        <f>Weather!F39</f>
        <v>0</v>
      </c>
      <c r="CR27" s="46">
        <f>Weather!G39</f>
        <v>474.08333333333337</v>
      </c>
      <c r="CS27" s="46">
        <f>Weather!H39</f>
        <v>0</v>
      </c>
      <c r="CT27" s="46">
        <f>Weather!I39</f>
        <v>418.08333333333331</v>
      </c>
      <c r="CU27" s="46">
        <f>Weather!J39</f>
        <v>0</v>
      </c>
      <c r="CV27" s="46">
        <f>Weather!K39</f>
        <v>362.08333333333331</v>
      </c>
      <c r="CW27" s="46">
        <f>Weather!L39</f>
        <v>0</v>
      </c>
      <c r="CX27" s="46">
        <f>Weather!M39</f>
        <v>306.08333333333326</v>
      </c>
      <c r="CY27" s="46">
        <f>Weather!N39</f>
        <v>0</v>
      </c>
      <c r="CZ27" s="46">
        <f>Weather!O39</f>
        <v>251.42499999999998</v>
      </c>
      <c r="DA27" s="46">
        <f>Weather!P39</f>
        <v>1.3416666666666668</v>
      </c>
      <c r="DB27" s="368">
        <f>'Economic Data'!D41</f>
        <v>7017.3</v>
      </c>
      <c r="DC27" s="368">
        <f>'Economic Data'!E41</f>
        <v>6948.4</v>
      </c>
      <c r="DD27" s="368">
        <f>'Economic Data'!F41</f>
        <v>209.7</v>
      </c>
      <c r="DE27" s="368">
        <f>'Economic Data'!G41</f>
        <v>207.4</v>
      </c>
      <c r="DF27" s="368">
        <f>'Economic Data'!H41</f>
        <v>35.799999999999997</v>
      </c>
      <c r="DG27" s="368">
        <f>'Economic Data'!I41</f>
        <v>35.799999999999997</v>
      </c>
      <c r="DH27" s="368">
        <f>'Economic Data'!J41</f>
        <v>764464.8</v>
      </c>
      <c r="DI27" s="368">
        <f>'Economic Data'!K41</f>
        <v>590729.4</v>
      </c>
      <c r="DJ27" s="368">
        <f>'Economic Data'!L41</f>
        <v>91847.6</v>
      </c>
      <c r="DK27" s="368">
        <f>'Economic Data'!M41</f>
        <v>31122.7</v>
      </c>
      <c r="DL27" s="368">
        <f>'Economic Data'!N41</f>
        <v>756702</v>
      </c>
      <c r="DM27" s="368">
        <f>'Economic Data'!O41</f>
        <v>92757</v>
      </c>
      <c r="DN27" s="368">
        <f>'Economic Data'!P41</f>
        <v>20577</v>
      </c>
      <c r="DO27" s="368">
        <f>'Economic Data'!Q41</f>
        <v>583158</v>
      </c>
      <c r="DP27" s="368">
        <f>'Economic Data'!R41</f>
        <v>30665</v>
      </c>
      <c r="DQ27">
        <v>28</v>
      </c>
      <c r="DR27">
        <v>19</v>
      </c>
      <c r="DS27">
        <v>0</v>
      </c>
      <c r="DT27">
        <v>1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f t="shared" si="69"/>
        <v>26</v>
      </c>
      <c r="EI27">
        <v>0</v>
      </c>
      <c r="EJ27">
        <v>0</v>
      </c>
      <c r="EK27">
        <v>0</v>
      </c>
      <c r="EL27">
        <v>0</v>
      </c>
      <c r="EM27" s="47">
        <f t="shared" si="73"/>
        <v>0</v>
      </c>
      <c r="EN27" s="47">
        <f t="shared" si="74"/>
        <v>0</v>
      </c>
      <c r="EO27" s="47">
        <f t="shared" si="75"/>
        <v>0</v>
      </c>
      <c r="EP27" s="47">
        <f t="shared" si="76"/>
        <v>0</v>
      </c>
      <c r="EQ27" s="47">
        <f t="shared" si="77"/>
        <v>0</v>
      </c>
      <c r="ER27" s="47">
        <f t="shared" si="78"/>
        <v>0</v>
      </c>
      <c r="ES27" s="47">
        <f t="shared" si="79"/>
        <v>0</v>
      </c>
      <c r="ET27" s="47">
        <f t="shared" si="80"/>
        <v>0</v>
      </c>
      <c r="EU27" s="47">
        <f t="shared" si="81"/>
        <v>0</v>
      </c>
      <c r="EV27" s="47">
        <f t="shared" si="82"/>
        <v>0</v>
      </c>
      <c r="EW27" s="47">
        <f t="shared" si="83"/>
        <v>0</v>
      </c>
      <c r="EX27" s="47">
        <f t="shared" si="84"/>
        <v>0</v>
      </c>
      <c r="EY27" s="47">
        <f t="shared" si="85"/>
        <v>0</v>
      </c>
      <c r="EZ27" s="47">
        <f t="shared" si="86"/>
        <v>0</v>
      </c>
      <c r="FA27" s="47">
        <f t="shared" si="87"/>
        <v>0</v>
      </c>
      <c r="FB27" s="47">
        <f t="shared" si="88"/>
        <v>0</v>
      </c>
      <c r="FC27" s="47">
        <f t="shared" si="89"/>
        <v>0</v>
      </c>
      <c r="FD27" s="47">
        <f t="shared" si="90"/>
        <v>0</v>
      </c>
      <c r="FE27" s="47">
        <f t="shared" si="91"/>
        <v>0</v>
      </c>
      <c r="FF27" s="47">
        <f t="shared" si="92"/>
        <v>0</v>
      </c>
      <c r="FG27" s="47">
        <f t="shared" si="93"/>
        <v>0</v>
      </c>
      <c r="FH27" s="47">
        <f t="shared" si="94"/>
        <v>0</v>
      </c>
      <c r="FI27" s="47">
        <f t="shared" si="95"/>
        <v>0</v>
      </c>
      <c r="FJ27" s="47">
        <f t="shared" si="96"/>
        <v>0</v>
      </c>
      <c r="FK27" s="47">
        <f t="shared" si="97"/>
        <v>0</v>
      </c>
      <c r="FL27" s="47">
        <f t="shared" si="98"/>
        <v>0</v>
      </c>
      <c r="FM27" s="47">
        <f t="shared" si="99"/>
        <v>0</v>
      </c>
      <c r="FN27" s="47">
        <f t="shared" si="100"/>
        <v>0</v>
      </c>
      <c r="FO27" s="765">
        <f t="shared" si="101"/>
        <v>693.63272463339001</v>
      </c>
      <c r="FP27" s="765">
        <f t="shared" si="102"/>
        <v>545.56688999944879</v>
      </c>
      <c r="FQ27" s="765">
        <f t="shared" si="103"/>
        <v>2612.6627252825842</v>
      </c>
      <c r="FR27" s="765">
        <f t="shared" si="104"/>
        <v>72378.620890408172</v>
      </c>
      <c r="FS27" s="765">
        <f t="shared" si="105"/>
        <v>1403617.8892943643</v>
      </c>
      <c r="FT27" s="765">
        <f t="shared" si="106"/>
        <v>5805126.6400518343</v>
      </c>
      <c r="FU27" s="765">
        <f t="shared" si="107"/>
        <v>64.862086602443142</v>
      </c>
      <c r="FV27" s="765">
        <f t="shared" si="108"/>
        <v>39.179407744874709</v>
      </c>
      <c r="FW27" s="765">
        <f t="shared" si="109"/>
        <v>496.4802371382637</v>
      </c>
      <c r="FX27" s="765">
        <f t="shared" si="110"/>
        <v>665.8166163784399</v>
      </c>
      <c r="FY27" s="765">
        <f t="shared" si="111"/>
        <v>3281.4151435210006</v>
      </c>
      <c r="FZ27" s="765">
        <f t="shared" si="112"/>
        <v>77106.056001497229</v>
      </c>
      <c r="GA27" s="765">
        <f t="shared" si="113"/>
        <v>218702.11</v>
      </c>
      <c r="GB27" s="765">
        <f t="shared" si="114"/>
        <v>36.812339673455647</v>
      </c>
      <c r="GC27" s="765">
        <f t="shared" si="115"/>
        <v>65.087012995883356</v>
      </c>
      <c r="GD27" s="765">
        <f t="shared" si="116"/>
        <v>135.07014884979702</v>
      </c>
    </row>
    <row r="28" spans="1:186">
      <c r="A28" s="4">
        <v>42795</v>
      </c>
      <c r="B28" s="6">
        <v>2017</v>
      </c>
      <c r="C28" s="5">
        <v>3</v>
      </c>
      <c r="D28" s="7">
        <v>79348479.056229696</v>
      </c>
      <c r="E28" s="7">
        <f>IFERROR(VLOOKUP($B28-1,CDM!$V$4:$AJ$17,2,FALSE)/12,0)+IFERROR(VLOOKUP($B28,CDM!$V$41:$AJ$54,2,FALSE)/24,0)+IFERROR(VLOOKUP($B28,CDM!$V$41:$AJ$54,2,FALSE)/2*$C28/78,0)</f>
        <v>2363558.0539192855</v>
      </c>
      <c r="F28" s="7">
        <f t="shared" si="2"/>
        <v>81712037.110148981</v>
      </c>
      <c r="G28" s="7">
        <f>IFERROR(HLOOKUP(B28,'EV Forecast VRZ'!$F$116:$T$122,2,FALSE)*C28/78,0)</f>
        <v>9418.1319438998635</v>
      </c>
      <c r="H28" s="7"/>
      <c r="I28" s="7">
        <f t="shared" si="3"/>
        <v>81702618.978205085</v>
      </c>
      <c r="J28" s="7">
        <v>921080.89387999999</v>
      </c>
      <c r="K28" s="7">
        <f>IFERROR(VLOOKUP($B28-1,CDM!$V$4:$AJ$17,3,FALSE)/12,0)+IFERROR(VLOOKUP($B28,CDM!$V$41:$AJ$54,3,FALSE)/24,0)+IFERROR(VLOOKUP($B28,CDM!$V$41:$AJ$54,3,FALSE)/2*$C28/78,0)</f>
        <v>27071.729695703656</v>
      </c>
      <c r="L28" s="7">
        <f t="shared" si="4"/>
        <v>948152.62357570359</v>
      </c>
      <c r="M28" s="7">
        <f>IFERROR(HLOOKUP(B28,'EV Forecast VRZ'!$F$116:$T$122,3,FALSE)*C28/78,0)</f>
        <v>128.12805610013567</v>
      </c>
      <c r="N28" s="7"/>
      <c r="O28" s="7">
        <f t="shared" si="5"/>
        <v>948024.49551960349</v>
      </c>
      <c r="P28" s="7">
        <v>25273750.099300098</v>
      </c>
      <c r="Q28" s="7">
        <f>IFERROR(VLOOKUP($B28-1,CDM!$V$4:$AJ$17,4,FALSE)/12,0)+IFERROR(VLOOKUP($B28,CDM!$V$41:$AJ$54,4,FALSE)/24,0)+IFERROR(VLOOKUP($B28,CDM!$V$41:$AJ$54,4,FALSE)/2*$C28/78,0)</f>
        <v>651844.29820020392</v>
      </c>
      <c r="R28" s="7">
        <f t="shared" si="6"/>
        <v>25925594.397500303</v>
      </c>
      <c r="S28" s="7">
        <f>IFERROR(HLOOKUP(B28,'EV Forecast VRZ'!$F$116:$T$122,4,FALSE)*C28/78,0)</f>
        <v>1201.4830769230771</v>
      </c>
      <c r="T28" s="7"/>
      <c r="U28" s="7">
        <f t="shared" si="7"/>
        <v>25924392.91442338</v>
      </c>
      <c r="V28" s="7">
        <v>82620566.719999999</v>
      </c>
      <c r="W28" s="7">
        <f>IFERROR(VLOOKUP($B28-1,CDM!$V$4:$AJ$17,5,FALSE)/12,0)+IFERROR(VLOOKUP($B28,CDM!$V$41:$AJ$54,5,FALSE)/24,0)+IFERROR(VLOOKUP($B28,CDM!$V$41:$AJ$54,5,FALSE)/2*$C28/78,0)</f>
        <v>2385282.8046783051</v>
      </c>
      <c r="X28" s="7">
        <f t="shared" si="8"/>
        <v>85005849.524678305</v>
      </c>
      <c r="Y28" s="7">
        <f>IFERROR(HLOOKUP(B28,'EV Forecast VRZ'!$F$116:$T$122,5,FALSE)*C28/78,0)</f>
        <v>547.01353846153847</v>
      </c>
      <c r="Z28" s="7"/>
      <c r="AA28" s="7">
        <f t="shared" si="9"/>
        <v>85005302.51113984</v>
      </c>
      <c r="AB28" s="7">
        <v>8329716.8300000001</v>
      </c>
      <c r="AC28" s="7">
        <f>IFERROR(VLOOKUP($B28-1,CDM!$V$4:$AJ$17,6,FALSE)/12,0)+IFERROR(VLOOKUP($B28,CDM!$V$41:$AJ$54,6,FALSE)/24,0)+IFERROR(VLOOKUP($B28,CDM!$V$41:$AJ$54,6,FALSE)/2*$C28/78,0)</f>
        <v>82158.485444292455</v>
      </c>
      <c r="AD28" s="7">
        <f t="shared" si="10"/>
        <v>8411875.3154442925</v>
      </c>
      <c r="AE28" s="7">
        <f>IFERROR(HLOOKUP(B28,'EV Forecast VRZ'!$F$116:$T$122,6,FALSE)*C28/78,0)</f>
        <v>85.458769230769221</v>
      </c>
      <c r="AF28" s="7">
        <f t="shared" si="11"/>
        <v>8411789.8566750623</v>
      </c>
      <c r="AG28" s="7">
        <v>19850014.969999999</v>
      </c>
      <c r="AH28" s="7">
        <f>IFERROR(VLOOKUP($B28-1,CDM!$V$4:$AJ$17,7,FALSE)/12,0)+IFERROR(VLOOKUP($B28,CDM!$V$41:$AJ$54,7,FALSE)/24,0)+IFERROR(VLOOKUP($B28,CDM!$V$41:$AJ$54,7,FALSE)/2*$C28/78,0)</f>
        <v>760136.29293981893</v>
      </c>
      <c r="AI28" s="7">
        <f t="shared" si="12"/>
        <v>20610151.262939818</v>
      </c>
      <c r="AJ28" s="7">
        <f>IFERROR(HLOOKUP(B28,'EV Forecast VRZ'!$F$116:$T$122,7,FALSE)*C28/78,0)</f>
        <v>0</v>
      </c>
      <c r="AK28" s="7">
        <f t="shared" si="13"/>
        <v>20610151.262939818</v>
      </c>
      <c r="AL28" s="7">
        <v>1868985.51</v>
      </c>
      <c r="AM28" s="7">
        <v>39712.050000000003</v>
      </c>
      <c r="AN28" s="7">
        <v>411423.73</v>
      </c>
      <c r="AO28" s="5">
        <v>185176.73</v>
      </c>
      <c r="AP28" s="5">
        <v>17014.37</v>
      </c>
      <c r="AQ28" s="5">
        <v>31522</v>
      </c>
      <c r="AR28" s="5">
        <v>4760.17</v>
      </c>
      <c r="AS28" s="763">
        <f t="shared" si="117"/>
        <v>80.583333333333329</v>
      </c>
      <c r="AT28" s="776">
        <v>108114.5</v>
      </c>
      <c r="AU28" s="776">
        <v>1580.2499999999998</v>
      </c>
      <c r="AV28" s="776">
        <v>9002.25</v>
      </c>
      <c r="AW28" s="776">
        <v>1059.0000000000002</v>
      </c>
      <c r="AX28" s="776">
        <v>5</v>
      </c>
      <c r="AY28" s="776">
        <v>3</v>
      </c>
      <c r="AZ28" s="776">
        <v>30252.5</v>
      </c>
      <c r="BA28" s="776">
        <v>439</v>
      </c>
      <c r="BB28" s="776">
        <v>828.49999999999989</v>
      </c>
      <c r="BC28" s="779">
        <v>27368500.1450799</v>
      </c>
      <c r="BD28" s="779">
        <f>IFERROR(VLOOKUP($B28-1,CDM!$V$4:$AJ$17,11,FALSE)/12,0)+IFERROR(VLOOKUP($B28,CDM!$V$41:$AJ$54,11,FALSE)/24,0)+IFERROR(VLOOKUP($B28,CDM!$V$41:$AJ$54,11,FALSE)/2*$C28/78,0)</f>
        <v>1218907.9991460943</v>
      </c>
      <c r="BE28" s="779">
        <f t="shared" si="71"/>
        <v>28587408.144225992</v>
      </c>
      <c r="BF28" s="779">
        <f>IFERROR(HLOOKUP(B28,'EV Forecast WRZ'!$F$116:$T$122,2,FALSE)*C28/78,0)</f>
        <v>3038.1069230769231</v>
      </c>
      <c r="BG28" s="779"/>
      <c r="BH28" s="779">
        <f t="shared" si="15"/>
        <v>28584370.037302915</v>
      </c>
      <c r="BI28" s="779">
        <v>7829983.4152600002</v>
      </c>
      <c r="BJ28" s="779">
        <f>IFERROR(VLOOKUP($B28-1,CDM!$V$4:$AJ$17,12,FALSE)/12,0)+IFERROR(VLOOKUP($B28,CDM!$V$41:$AJ$54,12,FALSE)/24,0)+IFERROR(VLOOKUP($B28,CDM!$V$41:$AJ$54,12,FALSE)/2*$C28/78,0)</f>
        <v>131837.15372848051</v>
      </c>
      <c r="BK28" s="779">
        <f t="shared" si="16"/>
        <v>7961820.5689884806</v>
      </c>
      <c r="BL28" s="779">
        <f>IFERROR(HLOOKUP(B28,'EV Forecast WRZ'!$F$116:$T$122,3,FALSE)*C28/78,0)</f>
        <v>421.56461538461542</v>
      </c>
      <c r="BM28" s="779"/>
      <c r="BN28" s="779">
        <f t="shared" si="17"/>
        <v>7961399.0043730959</v>
      </c>
      <c r="BO28" s="779">
        <v>28968768.32</v>
      </c>
      <c r="BP28" s="779">
        <f>IFERROR(VLOOKUP($B28-1,CDM!$V$4:$AJ$17,13,FALSE)/12,0)+IFERROR(VLOOKUP($B28,CDM!$V$41:$AJ$54,13,FALSE)/24,0)+IFERROR(VLOOKUP($B28,CDM!$V$41:$AJ$54,13,FALSE)/2*$C28/78,0)</f>
        <v>638703.09508590575</v>
      </c>
      <c r="BQ28" s="779">
        <f t="shared" si="19"/>
        <v>29607471.415085904</v>
      </c>
      <c r="BR28" s="779">
        <f>IFERROR(HLOOKUP(B28,'EV Forecast WRZ'!$F$116:$T$122,4,FALSE)*C28/78,0)</f>
        <v>194.89638461538465</v>
      </c>
      <c r="BS28" s="779"/>
      <c r="BT28" s="779">
        <f t="shared" si="20"/>
        <v>29607276.518701289</v>
      </c>
      <c r="BU28" s="779">
        <v>5304966.9400000004</v>
      </c>
      <c r="BV28" s="779">
        <f>IFERROR(VLOOKUP($B28-1,CDM!$V$4:$AJ$17,14,FALSE)/12,0)+IFERROR(VLOOKUP($B28,CDM!$V$41:$AJ$54,14,FALSE)/24,0)+IFERROR(VLOOKUP($B28,CDM!$V$41:$AJ$54,14,FALSE)/2*$C28/78,0)</f>
        <v>143594.60686763012</v>
      </c>
      <c r="BW28" s="779">
        <f t="shared" si="21"/>
        <v>5448561.5468676304</v>
      </c>
      <c r="BX28" s="779">
        <f>IFERROR(HLOOKUP(B28,'EV Forecast WRZ'!$F$116:$T$122,5,FALSE)*C28/78,0)</f>
        <v>41.847461538461538</v>
      </c>
      <c r="BY28" s="779">
        <f t="shared" si="72"/>
        <v>5448519.6994060921</v>
      </c>
      <c r="BZ28" s="779">
        <v>415090.51</v>
      </c>
      <c r="CA28" s="779">
        <v>2527.5456713401368</v>
      </c>
      <c r="CB28" s="5">
        <v>49908.42</v>
      </c>
      <c r="CC28" s="5">
        <v>65873.61</v>
      </c>
      <c r="CD28" s="5">
        <v>7633.62</v>
      </c>
      <c r="CE28" s="5">
        <v>1074.81</v>
      </c>
      <c r="CF28" s="763">
        <f t="shared" si="118"/>
        <v>7.333333333333333</v>
      </c>
      <c r="CG28" s="785">
        <v>39663.499999999993</v>
      </c>
      <c r="CH28" s="785">
        <v>2224.5</v>
      </c>
      <c r="CI28" s="785">
        <v>368</v>
      </c>
      <c r="CJ28" s="785">
        <v>2</v>
      </c>
      <c r="CK28" s="785">
        <v>11884</v>
      </c>
      <c r="CL28" s="785">
        <v>38.749999999999993</v>
      </c>
      <c r="CM28" s="785">
        <v>369.75</v>
      </c>
      <c r="CN28" s="46">
        <f>Weather!C40</f>
        <v>661.67916666666667</v>
      </c>
      <c r="CO28" s="46">
        <f>Weather!D40</f>
        <v>0</v>
      </c>
      <c r="CP28" s="46">
        <f>Weather!E40</f>
        <v>599.67916666666667</v>
      </c>
      <c r="CQ28" s="46">
        <f>Weather!F40</f>
        <v>0</v>
      </c>
      <c r="CR28" s="46">
        <f>Weather!G40</f>
        <v>537.67916666666656</v>
      </c>
      <c r="CS28" s="46">
        <f>Weather!H40</f>
        <v>0</v>
      </c>
      <c r="CT28" s="46">
        <f>Weather!I40</f>
        <v>475.67916666666662</v>
      </c>
      <c r="CU28" s="46">
        <f>Weather!J40</f>
        <v>0</v>
      </c>
      <c r="CV28" s="46">
        <f>Weather!K40</f>
        <v>413.67916666666662</v>
      </c>
      <c r="CW28" s="46">
        <f>Weather!L40</f>
        <v>0</v>
      </c>
      <c r="CX28" s="46">
        <f>Weather!M40</f>
        <v>351.67916666666656</v>
      </c>
      <c r="CY28" s="46">
        <f>Weather!N40</f>
        <v>0</v>
      </c>
      <c r="CZ28" s="46">
        <f>Weather!O40</f>
        <v>290.67916666666662</v>
      </c>
      <c r="DA28" s="46">
        <f>Weather!P40</f>
        <v>0.99999999999999645</v>
      </c>
      <c r="DB28" s="368">
        <f>'Economic Data'!D42</f>
        <v>7035.4</v>
      </c>
      <c r="DC28" s="368">
        <f>'Economic Data'!E42</f>
        <v>6933.2</v>
      </c>
      <c r="DD28" s="368">
        <f>'Economic Data'!F42</f>
        <v>202.9</v>
      </c>
      <c r="DE28" s="368">
        <f>'Economic Data'!G42</f>
        <v>200.2</v>
      </c>
      <c r="DF28" s="368">
        <f>'Economic Data'!H42</f>
        <v>35.1</v>
      </c>
      <c r="DG28" s="368">
        <f>'Economic Data'!I42</f>
        <v>35.1</v>
      </c>
      <c r="DH28" s="368">
        <f>'Economic Data'!J42</f>
        <v>764464.8</v>
      </c>
      <c r="DI28" s="368">
        <f>'Economic Data'!K42</f>
        <v>590729.4</v>
      </c>
      <c r="DJ28" s="368">
        <f>'Economic Data'!L42</f>
        <v>91847.6</v>
      </c>
      <c r="DK28" s="368">
        <f>'Economic Data'!M42</f>
        <v>31122.7</v>
      </c>
      <c r="DL28" s="368">
        <f>'Economic Data'!N42</f>
        <v>756702</v>
      </c>
      <c r="DM28" s="368">
        <f>'Economic Data'!O42</f>
        <v>92757</v>
      </c>
      <c r="DN28" s="368">
        <f>'Economic Data'!P42</f>
        <v>20577</v>
      </c>
      <c r="DO28" s="368">
        <f>'Economic Data'!Q42</f>
        <v>583158</v>
      </c>
      <c r="DP28" s="368">
        <f>'Economic Data'!R42</f>
        <v>30665</v>
      </c>
      <c r="DQ28">
        <v>31</v>
      </c>
      <c r="DR28">
        <v>23</v>
      </c>
      <c r="DS28">
        <v>0</v>
      </c>
      <c r="DT28">
        <v>0</v>
      </c>
      <c r="DU28">
        <v>1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1</v>
      </c>
      <c r="EF28">
        <v>0</v>
      </c>
      <c r="EG28">
        <v>1</v>
      </c>
      <c r="EH28">
        <f t="shared" si="69"/>
        <v>27</v>
      </c>
      <c r="EI28">
        <v>0</v>
      </c>
      <c r="EJ28">
        <v>0</v>
      </c>
      <c r="EK28">
        <v>0</v>
      </c>
      <c r="EL28">
        <v>0</v>
      </c>
      <c r="EM28" s="47">
        <f t="shared" si="73"/>
        <v>0</v>
      </c>
      <c r="EN28" s="47">
        <f t="shared" si="74"/>
        <v>0</v>
      </c>
      <c r="EO28" s="47">
        <f t="shared" si="75"/>
        <v>0</v>
      </c>
      <c r="EP28" s="47">
        <f t="shared" si="76"/>
        <v>0</v>
      </c>
      <c r="EQ28" s="47">
        <f t="shared" si="77"/>
        <v>0</v>
      </c>
      <c r="ER28" s="47">
        <f t="shared" si="78"/>
        <v>0</v>
      </c>
      <c r="ES28" s="47">
        <f t="shared" si="79"/>
        <v>0</v>
      </c>
      <c r="ET28" s="47">
        <f t="shared" si="80"/>
        <v>0</v>
      </c>
      <c r="EU28" s="47">
        <f t="shared" si="81"/>
        <v>0</v>
      </c>
      <c r="EV28" s="47">
        <f t="shared" si="82"/>
        <v>0</v>
      </c>
      <c r="EW28" s="47">
        <f t="shared" si="83"/>
        <v>0</v>
      </c>
      <c r="EX28" s="47">
        <f t="shared" si="84"/>
        <v>0</v>
      </c>
      <c r="EY28" s="47">
        <f t="shared" si="85"/>
        <v>0</v>
      </c>
      <c r="EZ28" s="47">
        <f t="shared" si="86"/>
        <v>0</v>
      </c>
      <c r="FA28" s="47">
        <f t="shared" si="87"/>
        <v>0</v>
      </c>
      <c r="FB28" s="47">
        <f t="shared" si="88"/>
        <v>0</v>
      </c>
      <c r="FC28" s="47">
        <f t="shared" si="89"/>
        <v>0</v>
      </c>
      <c r="FD28" s="47">
        <f t="shared" si="90"/>
        <v>0</v>
      </c>
      <c r="FE28" s="47">
        <f t="shared" si="91"/>
        <v>0</v>
      </c>
      <c r="FF28" s="47">
        <f t="shared" si="92"/>
        <v>0</v>
      </c>
      <c r="FG28" s="47">
        <f t="shared" si="93"/>
        <v>0</v>
      </c>
      <c r="FH28" s="47">
        <f t="shared" si="94"/>
        <v>0</v>
      </c>
      <c r="FI28" s="47">
        <f t="shared" si="95"/>
        <v>0</v>
      </c>
      <c r="FJ28" s="47">
        <f t="shared" si="96"/>
        <v>0</v>
      </c>
      <c r="FK28" s="47">
        <f t="shared" si="97"/>
        <v>0</v>
      </c>
      <c r="FL28" s="47">
        <f t="shared" si="98"/>
        <v>0</v>
      </c>
      <c r="FM28" s="47">
        <f t="shared" si="99"/>
        <v>0</v>
      </c>
      <c r="FN28" s="47">
        <f t="shared" si="100"/>
        <v>0</v>
      </c>
      <c r="FO28" s="765">
        <f t="shared" si="101"/>
        <v>755.70454451720241</v>
      </c>
      <c r="FP28" s="765">
        <f t="shared" si="102"/>
        <v>600.00166022825738</v>
      </c>
      <c r="FQ28" s="765">
        <f t="shared" si="103"/>
        <v>2879.9016243161768</v>
      </c>
      <c r="FR28" s="765">
        <f t="shared" si="104"/>
        <v>80269.924008194794</v>
      </c>
      <c r="FS28" s="765">
        <f t="shared" si="105"/>
        <v>1682375.0630888585</v>
      </c>
      <c r="FT28" s="765">
        <f t="shared" si="106"/>
        <v>6870050.4209799394</v>
      </c>
      <c r="FU28" s="765">
        <f t="shared" si="107"/>
        <v>61.779539211635402</v>
      </c>
      <c r="FV28" s="765">
        <f t="shared" si="108"/>
        <v>90.460250569476088</v>
      </c>
      <c r="FW28" s="765">
        <f t="shared" si="109"/>
        <v>496.58869040434524</v>
      </c>
      <c r="FX28" s="765">
        <f t="shared" si="110"/>
        <v>720.74850036497025</v>
      </c>
      <c r="FY28" s="765">
        <f t="shared" si="111"/>
        <v>3579.1506266524975</v>
      </c>
      <c r="FZ28" s="765">
        <f t="shared" si="112"/>
        <v>80455.085367081265</v>
      </c>
      <c r="GA28" s="765">
        <f t="shared" si="113"/>
        <v>207545.255</v>
      </c>
      <c r="GB28" s="765">
        <f t="shared" si="114"/>
        <v>34.928518175698422</v>
      </c>
      <c r="GC28" s="765">
        <f t="shared" si="115"/>
        <v>65.226985066842246</v>
      </c>
      <c r="GD28" s="765">
        <f t="shared" si="116"/>
        <v>134.97882352941176</v>
      </c>
    </row>
    <row r="29" spans="1:186">
      <c r="A29" s="4">
        <v>42826</v>
      </c>
      <c r="B29" s="6">
        <v>2017</v>
      </c>
      <c r="C29" s="5">
        <v>4</v>
      </c>
      <c r="D29" s="7">
        <v>63587547.178330302</v>
      </c>
      <c r="E29" s="7">
        <f>IFERROR(VLOOKUP($B29-1,CDM!$V$4:$AJ$17,2,FALSE)/12,0)+IFERROR(VLOOKUP($B29,CDM!$V$41:$AJ$54,2,FALSE)/24,0)+IFERROR(VLOOKUP($B29,CDM!$V$41:$AJ$54,2,FALSE)/2*$C29/78,0)</f>
        <v>2474911.115183847</v>
      </c>
      <c r="F29" s="7">
        <f t="shared" si="2"/>
        <v>66062458.293514147</v>
      </c>
      <c r="G29" s="7">
        <f>IFERROR(HLOOKUP(B29,'EV Forecast VRZ'!$F$116:$T$122,2,FALSE)*C29/78,0)</f>
        <v>12557.509258533151</v>
      </c>
      <c r="H29" s="7"/>
      <c r="I29" s="7">
        <f t="shared" si="3"/>
        <v>66049900.784255616</v>
      </c>
      <c r="J29" s="7">
        <v>622782.92377999902</v>
      </c>
      <c r="K29" s="7">
        <f>IFERROR(VLOOKUP($B29-1,CDM!$V$4:$AJ$17,3,FALSE)/12,0)+IFERROR(VLOOKUP($B29,CDM!$V$41:$AJ$54,3,FALSE)/24,0)+IFERROR(VLOOKUP($B29,CDM!$V$41:$AJ$54,3,FALSE)/2*$C29/78,0)</f>
        <v>28347.145787279922</v>
      </c>
      <c r="L29" s="7">
        <f t="shared" si="4"/>
        <v>651130.06956727896</v>
      </c>
      <c r="M29" s="7">
        <f>IFERROR(HLOOKUP(B29,'EV Forecast VRZ'!$F$116:$T$122,3,FALSE)*C29/78,0)</f>
        <v>170.8374081335142</v>
      </c>
      <c r="N29" s="7"/>
      <c r="O29" s="7">
        <f t="shared" si="5"/>
        <v>650959.23215914541</v>
      </c>
      <c r="P29" s="7">
        <v>20715772.965300001</v>
      </c>
      <c r="Q29" s="7">
        <f>IFERROR(VLOOKUP($B29-1,CDM!$V$4:$AJ$17,4,FALSE)/12,0)+IFERROR(VLOOKUP($B29,CDM!$V$41:$AJ$54,4,FALSE)/24,0)+IFERROR(VLOOKUP($B29,CDM!$V$41:$AJ$54,4,FALSE)/2*$C29/78,0)</f>
        <v>665494.54291507252</v>
      </c>
      <c r="R29" s="7">
        <f t="shared" si="6"/>
        <v>21381267.508215073</v>
      </c>
      <c r="S29" s="7">
        <f>IFERROR(HLOOKUP(B29,'EV Forecast VRZ'!$F$116:$T$122,4,FALSE)*C29/78,0)</f>
        <v>1601.977435897436</v>
      </c>
      <c r="T29" s="7"/>
      <c r="U29" s="7">
        <f t="shared" si="7"/>
        <v>21379665.530779175</v>
      </c>
      <c r="V29" s="7">
        <v>73318350.420000002</v>
      </c>
      <c r="W29" s="7">
        <f>IFERROR(VLOOKUP($B29-1,CDM!$V$4:$AJ$17,5,FALSE)/12,0)+IFERROR(VLOOKUP($B29,CDM!$V$41:$AJ$54,5,FALSE)/24,0)+IFERROR(VLOOKUP($B29,CDM!$V$41:$AJ$54,5,FALSE)/2*$C29/78,0)</f>
        <v>2442096.6121220998</v>
      </c>
      <c r="X29" s="7">
        <f t="shared" si="8"/>
        <v>75760447.032122105</v>
      </c>
      <c r="Y29" s="7">
        <f>IFERROR(HLOOKUP(B29,'EV Forecast VRZ'!$F$116:$T$122,5,FALSE)*C29/78,0)</f>
        <v>729.35138461538452</v>
      </c>
      <c r="Z29" s="7"/>
      <c r="AA29" s="7">
        <f t="shared" si="9"/>
        <v>75759717.680737495</v>
      </c>
      <c r="AB29" s="7">
        <v>7532088.1200000001</v>
      </c>
      <c r="AC29" s="7">
        <f>IFERROR(VLOOKUP($B29-1,CDM!$V$4:$AJ$17,6,FALSE)/12,0)+IFERROR(VLOOKUP($B29,CDM!$V$41:$AJ$54,6,FALSE)/24,0)+IFERROR(VLOOKUP($B29,CDM!$V$41:$AJ$54,6,FALSE)/2*$C29/78,0)</f>
        <v>86433.504416763841</v>
      </c>
      <c r="AD29" s="7">
        <f t="shared" si="10"/>
        <v>7618521.6244167639</v>
      </c>
      <c r="AE29" s="7">
        <f>IFERROR(HLOOKUP(B29,'EV Forecast VRZ'!$F$116:$T$122,6,FALSE)*C29/78,0)</f>
        <v>113.94502564102564</v>
      </c>
      <c r="AF29" s="7">
        <f t="shared" si="11"/>
        <v>7618407.6793911224</v>
      </c>
      <c r="AG29" s="7">
        <v>16922642.52</v>
      </c>
      <c r="AH29" s="7">
        <f>IFERROR(VLOOKUP($B29-1,CDM!$V$4:$AJ$17,7,FALSE)/12,0)+IFERROR(VLOOKUP($B29,CDM!$V$41:$AJ$54,7,FALSE)/24,0)+IFERROR(VLOOKUP($B29,CDM!$V$41:$AJ$54,7,FALSE)/2*$C29/78,0)</f>
        <v>777617.15572413569</v>
      </c>
      <c r="AI29" s="7">
        <f t="shared" si="12"/>
        <v>17700259.675724134</v>
      </c>
      <c r="AJ29" s="7">
        <f>IFERROR(HLOOKUP(B29,'EV Forecast VRZ'!$F$116:$T$122,7,FALSE)*C29/78,0)</f>
        <v>0</v>
      </c>
      <c r="AK29" s="7">
        <f t="shared" si="13"/>
        <v>17700259.675724134</v>
      </c>
      <c r="AL29" s="7">
        <v>1573211.55</v>
      </c>
      <c r="AM29" s="7">
        <v>28166.800000000003</v>
      </c>
      <c r="AN29" s="7">
        <v>410982.43</v>
      </c>
      <c r="AO29" s="5">
        <v>183520.91</v>
      </c>
      <c r="AP29" s="5">
        <v>17580.34</v>
      </c>
      <c r="AQ29" s="5">
        <v>28147</v>
      </c>
      <c r="AR29" s="5">
        <v>4764.76</v>
      </c>
      <c r="AS29" s="763">
        <f t="shared" si="117"/>
        <v>80.583333333333329</v>
      </c>
      <c r="AT29" s="776">
        <v>108186</v>
      </c>
      <c r="AU29" s="776">
        <v>1579.333333333333</v>
      </c>
      <c r="AV29" s="776">
        <v>9006</v>
      </c>
      <c r="AW29" s="776">
        <v>1061.666666666667</v>
      </c>
      <c r="AX29" s="776">
        <v>5</v>
      </c>
      <c r="AY29" s="776">
        <v>3</v>
      </c>
      <c r="AZ29" s="776">
        <v>30298</v>
      </c>
      <c r="BA29" s="776">
        <v>439</v>
      </c>
      <c r="BB29" s="776">
        <v>827.66666666666652</v>
      </c>
      <c r="BC29" s="779">
        <v>23295745.888840001</v>
      </c>
      <c r="BD29" s="779">
        <f>IFERROR(VLOOKUP($B29-1,CDM!$V$4:$AJ$17,11,FALSE)/12,0)+IFERROR(VLOOKUP($B29,CDM!$V$41:$AJ$54,11,FALSE)/24,0)+IFERROR(VLOOKUP($B29,CDM!$V$41:$AJ$54,11,FALSE)/2*$C29/78,0)</f>
        <v>1278553.6425416614</v>
      </c>
      <c r="BE29" s="779">
        <f t="shared" si="71"/>
        <v>24574299.531381663</v>
      </c>
      <c r="BF29" s="779">
        <f>IFERROR(HLOOKUP(B29,'EV Forecast WRZ'!$F$116:$T$122,2,FALSE)*C29/78,0)</f>
        <v>4050.8092307692309</v>
      </c>
      <c r="BG29" s="779"/>
      <c r="BH29" s="779">
        <f t="shared" si="15"/>
        <v>24570248.722150892</v>
      </c>
      <c r="BI29" s="779">
        <v>6481015.5229199994</v>
      </c>
      <c r="BJ29" s="779">
        <f>IFERROR(VLOOKUP($B29-1,CDM!$V$4:$AJ$17,12,FALSE)/12,0)+IFERROR(VLOOKUP($B29,CDM!$V$41:$AJ$54,12,FALSE)/24,0)+IFERROR(VLOOKUP($B29,CDM!$V$41:$AJ$54,12,FALSE)/2*$C29/78,0)</f>
        <v>133560.16663978592</v>
      </c>
      <c r="BK29" s="779">
        <f t="shared" si="16"/>
        <v>6614575.6895597856</v>
      </c>
      <c r="BL29" s="779">
        <f>IFERROR(HLOOKUP(B29,'EV Forecast WRZ'!$F$116:$T$122,3,FALSE)*C29/78,0)</f>
        <v>562.08615384615382</v>
      </c>
      <c r="BM29" s="779"/>
      <c r="BN29" s="779">
        <f t="shared" si="17"/>
        <v>6614013.6034059394</v>
      </c>
      <c r="BO29" s="779">
        <v>27336627.809999999</v>
      </c>
      <c r="BP29" s="779">
        <f>IFERROR(VLOOKUP($B29-1,CDM!$V$4:$AJ$17,13,FALSE)/12,0)+IFERROR(VLOOKUP($B29,CDM!$V$41:$AJ$54,13,FALSE)/24,0)+IFERROR(VLOOKUP($B29,CDM!$V$41:$AJ$54,13,FALSE)/2*$C29/78,0)</f>
        <v>661236.60162083025</v>
      </c>
      <c r="BQ29" s="779">
        <f t="shared" si="19"/>
        <v>27997864.411620829</v>
      </c>
      <c r="BR29" s="779">
        <f>IFERROR(HLOOKUP(B29,'EV Forecast WRZ'!$F$116:$T$122,4,FALSE)*C29/78,0)</f>
        <v>259.86184615384616</v>
      </c>
      <c r="BS29" s="779"/>
      <c r="BT29" s="779">
        <f t="shared" si="20"/>
        <v>27997604.549774677</v>
      </c>
      <c r="BU29" s="779">
        <v>5118656.13</v>
      </c>
      <c r="BV29" s="779">
        <f>IFERROR(VLOOKUP($B29-1,CDM!$V$4:$AJ$17,14,FALSE)/12,0)+IFERROR(VLOOKUP($B29,CDM!$V$41:$AJ$54,14,FALSE)/24,0)+IFERROR(VLOOKUP($B29,CDM!$V$41:$AJ$54,14,FALSE)/2*$C29/78,0)</f>
        <v>148660.63838857718</v>
      </c>
      <c r="BW29" s="779">
        <f t="shared" si="21"/>
        <v>5267316.7683885768</v>
      </c>
      <c r="BX29" s="779">
        <f>IFERROR(HLOOKUP(B29,'EV Forecast WRZ'!$F$116:$T$122,5,FALSE)*C29/78,0)</f>
        <v>55.796615384615379</v>
      </c>
      <c r="BY29" s="779">
        <f t="shared" si="72"/>
        <v>5267260.9717731923</v>
      </c>
      <c r="BZ29" s="779">
        <v>376166.49</v>
      </c>
      <c r="CA29" s="779">
        <v>2527.5456713401368</v>
      </c>
      <c r="CB29" s="5">
        <v>49908.42</v>
      </c>
      <c r="CC29" s="5">
        <v>66414.880000000005</v>
      </c>
      <c r="CD29" s="5">
        <v>7527.17</v>
      </c>
      <c r="CE29" s="5">
        <v>1074.17</v>
      </c>
      <c r="CF29" s="763">
        <f t="shared" si="118"/>
        <v>7.333333333333333</v>
      </c>
      <c r="CG29" s="785">
        <v>39688.666666666657</v>
      </c>
      <c r="CH29" s="785">
        <v>2226</v>
      </c>
      <c r="CI29" s="785">
        <v>368</v>
      </c>
      <c r="CJ29" s="785">
        <v>2</v>
      </c>
      <c r="CK29" s="785">
        <v>11886</v>
      </c>
      <c r="CL29" s="785">
        <v>38.666666666666657</v>
      </c>
      <c r="CM29" s="785">
        <v>370</v>
      </c>
      <c r="CN29" s="46">
        <f>Weather!C41</f>
        <v>348.38749999999999</v>
      </c>
      <c r="CO29" s="46">
        <f>Weather!D41</f>
        <v>0</v>
      </c>
      <c r="CP29" s="46">
        <f>Weather!E41</f>
        <v>288.73333333333335</v>
      </c>
      <c r="CQ29" s="46">
        <f>Weather!F41</f>
        <v>0.34583333333333854</v>
      </c>
      <c r="CR29" s="46">
        <f>Weather!G41</f>
        <v>230.73333333333338</v>
      </c>
      <c r="CS29" s="46">
        <f>Weather!H41</f>
        <v>2.3458333333333385</v>
      </c>
      <c r="CT29" s="46">
        <f>Weather!I41</f>
        <v>174.03750000000005</v>
      </c>
      <c r="CU29" s="46">
        <f>Weather!J41</f>
        <v>5.6500000000000057</v>
      </c>
      <c r="CV29" s="46">
        <f>Weather!K41</f>
        <v>120.79999999999997</v>
      </c>
      <c r="CW29" s="46">
        <f>Weather!L41</f>
        <v>12.412500000000001</v>
      </c>
      <c r="CX29" s="46">
        <f>Weather!M41</f>
        <v>73.1458333333333</v>
      </c>
      <c r="CY29" s="46">
        <f>Weather!N41</f>
        <v>24.758333333333333</v>
      </c>
      <c r="CZ29" s="46">
        <f>Weather!O41</f>
        <v>34.695833333333326</v>
      </c>
      <c r="DA29" s="46">
        <f>Weather!P41</f>
        <v>46.308333333333337</v>
      </c>
      <c r="DB29" s="368">
        <f>'Economic Data'!D43</f>
        <v>7041.8</v>
      </c>
      <c r="DC29" s="368">
        <f>'Economic Data'!E43</f>
        <v>6951.9</v>
      </c>
      <c r="DD29" s="368">
        <f>'Economic Data'!F43</f>
        <v>199</v>
      </c>
      <c r="DE29" s="368">
        <f>'Economic Data'!G43</f>
        <v>198.3</v>
      </c>
      <c r="DF29" s="368">
        <f>'Economic Data'!H43</f>
        <v>33.9</v>
      </c>
      <c r="DG29" s="368">
        <f>'Economic Data'!I43</f>
        <v>33.9</v>
      </c>
      <c r="DH29" s="368">
        <f>'Economic Data'!J43</f>
        <v>764464.8</v>
      </c>
      <c r="DI29" s="368">
        <f>'Economic Data'!K43</f>
        <v>590729.4</v>
      </c>
      <c r="DJ29" s="368">
        <f>'Economic Data'!L43</f>
        <v>91847.6</v>
      </c>
      <c r="DK29" s="368">
        <f>'Economic Data'!M43</f>
        <v>31122.7</v>
      </c>
      <c r="DL29" s="368">
        <f>'Economic Data'!N43</f>
        <v>764644</v>
      </c>
      <c r="DM29" s="368">
        <f>'Economic Data'!O43</f>
        <v>92585</v>
      </c>
      <c r="DN29" s="368">
        <f>'Economic Data'!P43</f>
        <v>20379</v>
      </c>
      <c r="DO29" s="368">
        <f>'Economic Data'!Q43</f>
        <v>590485</v>
      </c>
      <c r="DP29" s="368">
        <f>'Economic Data'!R43</f>
        <v>31148</v>
      </c>
      <c r="DQ29">
        <v>30</v>
      </c>
      <c r="DR29">
        <v>19</v>
      </c>
      <c r="DS29">
        <v>0</v>
      </c>
      <c r="DT29">
        <v>0</v>
      </c>
      <c r="DU29">
        <v>0</v>
      </c>
      <c r="DV29">
        <v>1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1</v>
      </c>
      <c r="EF29">
        <v>0</v>
      </c>
      <c r="EG29">
        <v>1</v>
      </c>
      <c r="EH29">
        <f t="shared" si="69"/>
        <v>28</v>
      </c>
      <c r="EI29">
        <v>0</v>
      </c>
      <c r="EJ29">
        <v>0</v>
      </c>
      <c r="EK29">
        <v>0</v>
      </c>
      <c r="EL29">
        <v>0</v>
      </c>
      <c r="EM29" s="47">
        <f t="shared" si="73"/>
        <v>0</v>
      </c>
      <c r="EN29" s="47">
        <f t="shared" si="74"/>
        <v>0</v>
      </c>
      <c r="EO29" s="47">
        <f t="shared" si="75"/>
        <v>0</v>
      </c>
      <c r="EP29" s="47">
        <f t="shared" si="76"/>
        <v>0</v>
      </c>
      <c r="EQ29" s="47">
        <f t="shared" si="77"/>
        <v>0</v>
      </c>
      <c r="ER29" s="47">
        <f t="shared" si="78"/>
        <v>0</v>
      </c>
      <c r="ES29" s="47">
        <f t="shared" si="79"/>
        <v>0</v>
      </c>
      <c r="ET29" s="47">
        <f t="shared" si="80"/>
        <v>0</v>
      </c>
      <c r="EU29" s="47">
        <f t="shared" si="81"/>
        <v>0</v>
      </c>
      <c r="EV29" s="47">
        <f t="shared" si="82"/>
        <v>0</v>
      </c>
      <c r="EW29" s="47">
        <f t="shared" si="83"/>
        <v>0</v>
      </c>
      <c r="EX29" s="47">
        <f t="shared" si="84"/>
        <v>0</v>
      </c>
      <c r="EY29" s="47">
        <f t="shared" si="85"/>
        <v>0</v>
      </c>
      <c r="EZ29" s="47">
        <f t="shared" si="86"/>
        <v>0</v>
      </c>
      <c r="FA29" s="47">
        <f t="shared" si="87"/>
        <v>0</v>
      </c>
      <c r="FB29" s="47">
        <f t="shared" si="88"/>
        <v>0</v>
      </c>
      <c r="FC29" s="47">
        <f t="shared" si="89"/>
        <v>0</v>
      </c>
      <c r="FD29" s="47">
        <f t="shared" si="90"/>
        <v>0</v>
      </c>
      <c r="FE29" s="47">
        <f t="shared" si="91"/>
        <v>0</v>
      </c>
      <c r="FF29" s="47">
        <f t="shared" si="92"/>
        <v>0</v>
      </c>
      <c r="FG29" s="47">
        <f t="shared" si="93"/>
        <v>0</v>
      </c>
      <c r="FH29" s="47">
        <f t="shared" si="94"/>
        <v>0</v>
      </c>
      <c r="FI29" s="47">
        <f t="shared" si="95"/>
        <v>0</v>
      </c>
      <c r="FJ29" s="47">
        <f t="shared" si="96"/>
        <v>0</v>
      </c>
      <c r="FK29" s="47">
        <f t="shared" si="97"/>
        <v>0</v>
      </c>
      <c r="FL29" s="47">
        <f t="shared" si="98"/>
        <v>0</v>
      </c>
      <c r="FM29" s="47">
        <f t="shared" si="99"/>
        <v>0</v>
      </c>
      <c r="FN29" s="47">
        <f t="shared" si="100"/>
        <v>0</v>
      </c>
      <c r="FO29" s="765">
        <f t="shared" si="101"/>
        <v>610.5217013685284</v>
      </c>
      <c r="FP29" s="765">
        <f t="shared" si="102"/>
        <v>412.28159744656762</v>
      </c>
      <c r="FQ29" s="765">
        <f t="shared" si="103"/>
        <v>2374.1136473700949</v>
      </c>
      <c r="FR29" s="765">
        <f t="shared" si="104"/>
        <v>71359.918711574966</v>
      </c>
      <c r="FS29" s="765">
        <f t="shared" si="105"/>
        <v>1523704.3248833527</v>
      </c>
      <c r="FT29" s="765">
        <f t="shared" si="106"/>
        <v>5900086.558574711</v>
      </c>
      <c r="FU29" s="765">
        <f t="shared" si="107"/>
        <v>51.924600633705197</v>
      </c>
      <c r="FV29" s="765">
        <f t="shared" si="108"/>
        <v>64.161275626423702</v>
      </c>
      <c r="FW29" s="765">
        <f t="shared" si="109"/>
        <v>496.55549335481282</v>
      </c>
      <c r="FX29" s="765">
        <f t="shared" si="110"/>
        <v>619.17674730103477</v>
      </c>
      <c r="FY29" s="765">
        <f t="shared" si="111"/>
        <v>2971.5074975560583</v>
      </c>
      <c r="FZ29" s="765">
        <f t="shared" si="112"/>
        <v>76081.153292447911</v>
      </c>
      <c r="GA29" s="765">
        <f t="shared" si="113"/>
        <v>188083.245</v>
      </c>
      <c r="GB29" s="765">
        <f t="shared" si="114"/>
        <v>31.64786219081272</v>
      </c>
      <c r="GC29" s="765">
        <f t="shared" si="115"/>
        <v>65.367560465693202</v>
      </c>
      <c r="GD29" s="765">
        <f t="shared" si="116"/>
        <v>134.88762162162161</v>
      </c>
    </row>
    <row r="30" spans="1:186">
      <c r="A30" s="4">
        <v>42856</v>
      </c>
      <c r="B30" s="6">
        <v>2017</v>
      </c>
      <c r="C30" s="5">
        <v>5</v>
      </c>
      <c r="D30" s="7">
        <v>62824196.251159802</v>
      </c>
      <c r="E30" s="7">
        <f>IFERROR(VLOOKUP($B30-1,CDM!$V$4:$AJ$17,2,FALSE)/12,0)+IFERROR(VLOOKUP($B30,CDM!$V$41:$AJ$54,2,FALSE)/24,0)+IFERROR(VLOOKUP($B30,CDM!$V$41:$AJ$54,2,FALSE)/2*$C30/78,0)</f>
        <v>2586264.1764484085</v>
      </c>
      <c r="F30" s="7">
        <f t="shared" si="2"/>
        <v>65410460.427608207</v>
      </c>
      <c r="G30" s="7">
        <f>IFERROR(HLOOKUP(B30,'EV Forecast VRZ'!$F$116:$T$122,2,FALSE)*C30/78,0)</f>
        <v>15696.886573166441</v>
      </c>
      <c r="H30" s="7"/>
      <c r="I30" s="7">
        <f t="shared" si="3"/>
        <v>65394763.541035041</v>
      </c>
      <c r="J30" s="7">
        <v>718201.22195000004</v>
      </c>
      <c r="K30" s="7">
        <f>IFERROR(VLOOKUP($B30-1,CDM!$V$4:$AJ$17,3,FALSE)/12,0)+IFERROR(VLOOKUP($B30,CDM!$V$41:$AJ$54,3,FALSE)/24,0)+IFERROR(VLOOKUP($B30,CDM!$V$41:$AJ$54,3,FALSE)/2*$C30/78,0)</f>
        <v>29622.561878856184</v>
      </c>
      <c r="L30" s="7">
        <f t="shared" si="4"/>
        <v>747823.78382885619</v>
      </c>
      <c r="M30" s="7">
        <f>IFERROR(HLOOKUP(B30,'EV Forecast VRZ'!$F$116:$T$122,3,FALSE)*C30/78,0)</f>
        <v>213.54676016689277</v>
      </c>
      <c r="N30" s="7"/>
      <c r="O30" s="7">
        <f t="shared" si="5"/>
        <v>747610.23706868931</v>
      </c>
      <c r="P30" s="7">
        <v>21006775.987570003</v>
      </c>
      <c r="Q30" s="7">
        <f>IFERROR(VLOOKUP($B30-1,CDM!$V$4:$AJ$17,4,FALSE)/12,0)+IFERROR(VLOOKUP($B30,CDM!$V$41:$AJ$54,4,FALSE)/24,0)+IFERROR(VLOOKUP($B30,CDM!$V$41:$AJ$54,4,FALSE)/2*$C30/78,0)</f>
        <v>679144.78762994113</v>
      </c>
      <c r="R30" s="7">
        <f t="shared" si="6"/>
        <v>21685920.775199942</v>
      </c>
      <c r="S30" s="7">
        <f>IFERROR(HLOOKUP(B30,'EV Forecast VRZ'!$F$116:$T$122,4,FALSE)*C30/78,0)</f>
        <v>2002.4717948717951</v>
      </c>
      <c r="T30" s="7"/>
      <c r="U30" s="7">
        <f t="shared" si="7"/>
        <v>21683918.303405069</v>
      </c>
      <c r="V30" s="7">
        <v>77020087.25</v>
      </c>
      <c r="W30" s="7">
        <f>IFERROR(VLOOKUP($B30-1,CDM!$V$4:$AJ$17,5,FALSE)/12,0)+IFERROR(VLOOKUP($B30,CDM!$V$41:$AJ$54,5,FALSE)/24,0)+IFERROR(VLOOKUP($B30,CDM!$V$41:$AJ$54,5,FALSE)/2*$C30/78,0)</f>
        <v>2498910.4195658946</v>
      </c>
      <c r="X30" s="7">
        <f t="shared" si="8"/>
        <v>79518997.669565901</v>
      </c>
      <c r="Y30" s="7">
        <f>IFERROR(HLOOKUP(B30,'EV Forecast VRZ'!$F$116:$T$122,5,FALSE)*C30/78,0)</f>
        <v>911.68923076923068</v>
      </c>
      <c r="Z30" s="7"/>
      <c r="AA30" s="7">
        <f t="shared" si="9"/>
        <v>79518085.980335131</v>
      </c>
      <c r="AB30" s="7">
        <v>7608592.5300000003</v>
      </c>
      <c r="AC30" s="7">
        <f>IFERROR(VLOOKUP($B30-1,CDM!$V$4:$AJ$17,6,FALSE)/12,0)+IFERROR(VLOOKUP($B30,CDM!$V$41:$AJ$54,6,FALSE)/24,0)+IFERROR(VLOOKUP($B30,CDM!$V$41:$AJ$54,6,FALSE)/2*$C30/78,0)</f>
        <v>90708.523389235212</v>
      </c>
      <c r="AD30" s="7">
        <f t="shared" si="10"/>
        <v>7699301.0533892354</v>
      </c>
      <c r="AE30" s="7">
        <f>IFERROR(HLOOKUP(B30,'EV Forecast VRZ'!$F$116:$T$122,6,FALSE)*C30/78,0)</f>
        <v>142.43128205128204</v>
      </c>
      <c r="AF30" s="7">
        <f t="shared" si="11"/>
        <v>7699158.6221071845</v>
      </c>
      <c r="AG30" s="7">
        <v>21192923.600000001</v>
      </c>
      <c r="AH30" s="7">
        <f>IFERROR(VLOOKUP($B30-1,CDM!$V$4:$AJ$17,7,FALSE)/12,0)+IFERROR(VLOOKUP($B30,CDM!$V$41:$AJ$54,7,FALSE)/24,0)+IFERROR(VLOOKUP($B30,CDM!$V$41:$AJ$54,7,FALSE)/2*$C30/78,0)</f>
        <v>795098.01850845234</v>
      </c>
      <c r="AI30" s="7">
        <f t="shared" si="12"/>
        <v>21988021.618508454</v>
      </c>
      <c r="AJ30" s="7">
        <f>IFERROR(HLOOKUP(B30,'EV Forecast VRZ'!$F$116:$T$122,7,FALSE)*C30/78,0)</f>
        <v>0</v>
      </c>
      <c r="AK30" s="7">
        <f t="shared" si="13"/>
        <v>21988021.618508454</v>
      </c>
      <c r="AL30" s="7">
        <v>1431979.58</v>
      </c>
      <c r="AM30" s="7">
        <v>29475.96</v>
      </c>
      <c r="AN30" s="7">
        <v>411017.03</v>
      </c>
      <c r="AO30" s="5">
        <v>196533.96</v>
      </c>
      <c r="AP30" s="5">
        <v>16040.42</v>
      </c>
      <c r="AQ30" s="5">
        <v>35069</v>
      </c>
      <c r="AR30" s="5">
        <v>4764.3</v>
      </c>
      <c r="AS30" s="763">
        <f t="shared" si="117"/>
        <v>80.583333333333329</v>
      </c>
      <c r="AT30" s="776">
        <v>108257.5</v>
      </c>
      <c r="AU30" s="776">
        <v>1578.4166666666663</v>
      </c>
      <c r="AV30" s="776">
        <v>9009.75</v>
      </c>
      <c r="AW30" s="776">
        <v>1064.3333333333337</v>
      </c>
      <c r="AX30" s="776">
        <v>5</v>
      </c>
      <c r="AY30" s="776">
        <v>3</v>
      </c>
      <c r="AZ30" s="776">
        <v>30343.5</v>
      </c>
      <c r="BA30" s="776">
        <v>439</v>
      </c>
      <c r="BB30" s="776">
        <v>826.83333333333314</v>
      </c>
      <c r="BC30" s="779">
        <v>24216362.729150202</v>
      </c>
      <c r="BD30" s="779">
        <f>IFERROR(VLOOKUP($B30-1,CDM!$V$4:$AJ$17,11,FALSE)/12,0)+IFERROR(VLOOKUP($B30,CDM!$V$41:$AJ$54,11,FALSE)/24,0)+IFERROR(VLOOKUP($B30,CDM!$V$41:$AJ$54,11,FALSE)/2*$C30/78,0)</f>
        <v>1338199.2859372285</v>
      </c>
      <c r="BE30" s="779">
        <f t="shared" si="71"/>
        <v>25554562.015087429</v>
      </c>
      <c r="BF30" s="779">
        <f>IFERROR(HLOOKUP(B30,'EV Forecast WRZ'!$F$116:$T$122,2,FALSE)*C30/78,0)</f>
        <v>5063.5115384615392</v>
      </c>
      <c r="BG30" s="779"/>
      <c r="BH30" s="779">
        <f t="shared" si="15"/>
        <v>25549498.503548969</v>
      </c>
      <c r="BI30" s="779">
        <v>6664479.6604300002</v>
      </c>
      <c r="BJ30" s="779">
        <f>IFERROR(VLOOKUP($B30-1,CDM!$V$4:$AJ$17,12,FALSE)/12,0)+IFERROR(VLOOKUP($B30,CDM!$V$41:$AJ$54,12,FALSE)/24,0)+IFERROR(VLOOKUP($B30,CDM!$V$41:$AJ$54,12,FALSE)/2*$C30/78,0)</f>
        <v>135283.17955109134</v>
      </c>
      <c r="BK30" s="779">
        <f t="shared" si="16"/>
        <v>6799762.8399810912</v>
      </c>
      <c r="BL30" s="779">
        <f>IFERROR(HLOOKUP(B30,'EV Forecast WRZ'!$F$116:$T$122,3,FALSE)*C30/78,0)</f>
        <v>702.60769230769233</v>
      </c>
      <c r="BM30" s="779"/>
      <c r="BN30" s="779">
        <f t="shared" si="17"/>
        <v>6799060.2322887834</v>
      </c>
      <c r="BO30" s="779">
        <v>27182998.379999999</v>
      </c>
      <c r="BP30" s="779">
        <f>IFERROR(VLOOKUP($B30-1,CDM!$V$4:$AJ$17,13,FALSE)/12,0)+IFERROR(VLOOKUP($B30,CDM!$V$41:$AJ$54,13,FALSE)/24,0)+IFERROR(VLOOKUP($B30,CDM!$V$41:$AJ$54,13,FALSE)/2*$C30/78,0)</f>
        <v>683770.10815575463</v>
      </c>
      <c r="BQ30" s="779">
        <f t="shared" si="19"/>
        <v>27866768.488155752</v>
      </c>
      <c r="BR30" s="779">
        <f>IFERROR(HLOOKUP(B30,'EV Forecast WRZ'!$F$116:$T$122,4,FALSE)*C30/78,0)</f>
        <v>324.82730769230773</v>
      </c>
      <c r="BS30" s="779"/>
      <c r="BT30" s="779">
        <f t="shared" si="20"/>
        <v>27866443.660848059</v>
      </c>
      <c r="BU30" s="779">
        <v>5278077.8899999997</v>
      </c>
      <c r="BV30" s="779">
        <f>IFERROR(VLOOKUP($B30-1,CDM!$V$4:$AJ$17,14,FALSE)/12,0)+IFERROR(VLOOKUP($B30,CDM!$V$41:$AJ$54,14,FALSE)/24,0)+IFERROR(VLOOKUP($B30,CDM!$V$41:$AJ$54,14,FALSE)/2*$C30/78,0)</f>
        <v>153726.66990952427</v>
      </c>
      <c r="BW30" s="779">
        <f t="shared" si="21"/>
        <v>5431804.5599095244</v>
      </c>
      <c r="BX30" s="779">
        <f>IFERROR(HLOOKUP(B30,'EV Forecast WRZ'!$F$116:$T$122,5,FALSE)*C30/78,0)</f>
        <v>69.745769230769227</v>
      </c>
      <c r="BY30" s="779">
        <f t="shared" si="72"/>
        <v>5431734.8141402937</v>
      </c>
      <c r="BZ30" s="779">
        <v>345386.41</v>
      </c>
      <c r="CA30" s="779">
        <v>2527.5456713401368</v>
      </c>
      <c r="CB30" s="5">
        <v>49908.49</v>
      </c>
      <c r="CC30" s="5">
        <v>66157.460000000006</v>
      </c>
      <c r="CD30" s="5">
        <v>7518.3</v>
      </c>
      <c r="CE30" s="5">
        <v>1074.6600000000001</v>
      </c>
      <c r="CF30" s="763">
        <f t="shared" si="118"/>
        <v>7.333333333333333</v>
      </c>
      <c r="CG30" s="785">
        <v>39713.833333333321</v>
      </c>
      <c r="CH30" s="785">
        <v>2227.5</v>
      </c>
      <c r="CI30" s="785">
        <v>368</v>
      </c>
      <c r="CJ30" s="785">
        <v>2</v>
      </c>
      <c r="CK30" s="785">
        <v>11888</v>
      </c>
      <c r="CL30" s="785">
        <v>38.583333333333321</v>
      </c>
      <c r="CM30" s="785">
        <v>370.25</v>
      </c>
      <c r="CN30" s="46">
        <f>Weather!C42</f>
        <v>247.16666666666663</v>
      </c>
      <c r="CO30" s="46">
        <f>Weather!D42</f>
        <v>1.4083333333333314</v>
      </c>
      <c r="CP30" s="46">
        <f>Weather!E42</f>
        <v>188.63749999999999</v>
      </c>
      <c r="CQ30" s="46">
        <f>Weather!F42</f>
        <v>4.8791666666666664</v>
      </c>
      <c r="CR30" s="46">
        <f>Weather!G42</f>
        <v>134.83333333333331</v>
      </c>
      <c r="CS30" s="46">
        <f>Weather!H42</f>
        <v>13.075000000000003</v>
      </c>
      <c r="CT30" s="46">
        <f>Weather!I42</f>
        <v>88.129166666666677</v>
      </c>
      <c r="CU30" s="46">
        <f>Weather!J42</f>
        <v>28.370833333333344</v>
      </c>
      <c r="CV30" s="46">
        <f>Weather!K42</f>
        <v>52.287499999999987</v>
      </c>
      <c r="CW30" s="46">
        <f>Weather!L42</f>
        <v>54.529166666666683</v>
      </c>
      <c r="CX30" s="46">
        <f>Weather!M42</f>
        <v>26.741666666666656</v>
      </c>
      <c r="CY30" s="46">
        <f>Weather!N42</f>
        <v>90.983333333333348</v>
      </c>
      <c r="CZ30" s="46">
        <f>Weather!O42</f>
        <v>10.045833333333327</v>
      </c>
      <c r="DA30" s="46">
        <f>Weather!P42</f>
        <v>136.28750000000002</v>
      </c>
      <c r="DB30" s="368">
        <f>'Economic Data'!D44</f>
        <v>7055.9</v>
      </c>
      <c r="DC30" s="368">
        <f>'Economic Data'!E44</f>
        <v>7023.7</v>
      </c>
      <c r="DD30" s="368">
        <f>'Economic Data'!F44</f>
        <v>201.8</v>
      </c>
      <c r="DE30" s="368">
        <f>'Economic Data'!G44</f>
        <v>203.3</v>
      </c>
      <c r="DF30" s="368">
        <f>'Economic Data'!H44</f>
        <v>37.799999999999997</v>
      </c>
      <c r="DG30" s="368">
        <f>'Economic Data'!I44</f>
        <v>37.799999999999997</v>
      </c>
      <c r="DH30" s="368">
        <f>'Economic Data'!J44</f>
        <v>764464.8</v>
      </c>
      <c r="DI30" s="368">
        <f>'Economic Data'!K44</f>
        <v>590729.4</v>
      </c>
      <c r="DJ30" s="368">
        <f>'Economic Data'!L44</f>
        <v>91847.6</v>
      </c>
      <c r="DK30" s="368">
        <f>'Economic Data'!M44</f>
        <v>31122.7</v>
      </c>
      <c r="DL30" s="368">
        <f>'Economic Data'!N44</f>
        <v>764644</v>
      </c>
      <c r="DM30" s="368">
        <f>'Economic Data'!O44</f>
        <v>92585</v>
      </c>
      <c r="DN30" s="368">
        <f>'Economic Data'!P44</f>
        <v>20379</v>
      </c>
      <c r="DO30" s="368">
        <f>'Economic Data'!Q44</f>
        <v>590485</v>
      </c>
      <c r="DP30" s="368">
        <f>'Economic Data'!R44</f>
        <v>31148</v>
      </c>
      <c r="DQ30">
        <v>31</v>
      </c>
      <c r="DR30">
        <v>22</v>
      </c>
      <c r="DS30">
        <v>0</v>
      </c>
      <c r="DT30">
        <v>0</v>
      </c>
      <c r="DU30">
        <v>0</v>
      </c>
      <c r="DV30">
        <v>0</v>
      </c>
      <c r="DW30">
        <v>1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1</v>
      </c>
      <c r="EF30">
        <v>0</v>
      </c>
      <c r="EG30">
        <v>1</v>
      </c>
      <c r="EH30">
        <f t="shared" si="69"/>
        <v>29</v>
      </c>
      <c r="EI30">
        <v>0</v>
      </c>
      <c r="EJ30">
        <v>0</v>
      </c>
      <c r="EK30">
        <v>0</v>
      </c>
      <c r="EL30">
        <v>0</v>
      </c>
      <c r="EM30" s="47">
        <f t="shared" si="73"/>
        <v>0</v>
      </c>
      <c r="EN30" s="47">
        <f t="shared" si="74"/>
        <v>0</v>
      </c>
      <c r="EO30" s="47">
        <f t="shared" si="75"/>
        <v>0</v>
      </c>
      <c r="EP30" s="47">
        <f t="shared" si="76"/>
        <v>0</v>
      </c>
      <c r="EQ30" s="47">
        <f t="shared" si="77"/>
        <v>0</v>
      </c>
      <c r="ER30" s="47">
        <f t="shared" si="78"/>
        <v>0</v>
      </c>
      <c r="ES30" s="47">
        <f t="shared" si="79"/>
        <v>0</v>
      </c>
      <c r="ET30" s="47">
        <f t="shared" si="80"/>
        <v>0</v>
      </c>
      <c r="EU30" s="47">
        <f t="shared" si="81"/>
        <v>0</v>
      </c>
      <c r="EV30" s="47">
        <f t="shared" si="82"/>
        <v>0</v>
      </c>
      <c r="EW30" s="47">
        <f t="shared" si="83"/>
        <v>0</v>
      </c>
      <c r="EX30" s="47">
        <f t="shared" si="84"/>
        <v>0</v>
      </c>
      <c r="EY30" s="47">
        <f t="shared" si="85"/>
        <v>0</v>
      </c>
      <c r="EZ30" s="47">
        <f t="shared" si="86"/>
        <v>0</v>
      </c>
      <c r="FA30" s="47">
        <f t="shared" si="87"/>
        <v>0</v>
      </c>
      <c r="FB30" s="47">
        <f t="shared" si="88"/>
        <v>0</v>
      </c>
      <c r="FC30" s="47">
        <f t="shared" si="89"/>
        <v>0</v>
      </c>
      <c r="FD30" s="47">
        <f t="shared" si="90"/>
        <v>0</v>
      </c>
      <c r="FE30" s="47">
        <f t="shared" si="91"/>
        <v>0</v>
      </c>
      <c r="FF30" s="47">
        <f t="shared" si="92"/>
        <v>0</v>
      </c>
      <c r="FG30" s="47">
        <f t="shared" si="93"/>
        <v>0</v>
      </c>
      <c r="FH30" s="47">
        <f t="shared" si="94"/>
        <v>0</v>
      </c>
      <c r="FI30" s="47">
        <f t="shared" si="95"/>
        <v>0</v>
      </c>
      <c r="FJ30" s="47">
        <f t="shared" si="96"/>
        <v>0</v>
      </c>
      <c r="FK30" s="47">
        <f t="shared" si="97"/>
        <v>0</v>
      </c>
      <c r="FL30" s="47">
        <f t="shared" si="98"/>
        <v>0</v>
      </c>
      <c r="FM30" s="47">
        <f t="shared" si="99"/>
        <v>0</v>
      </c>
      <c r="FN30" s="47">
        <f t="shared" si="100"/>
        <v>0</v>
      </c>
      <c r="FO30" s="765">
        <f t="shared" si="101"/>
        <v>604.0668179205602</v>
      </c>
      <c r="FP30" s="765">
        <f t="shared" si="102"/>
        <v>473.78097280746931</v>
      </c>
      <c r="FQ30" s="765">
        <f t="shared" si="103"/>
        <v>2406.9392352950904</v>
      </c>
      <c r="FR30" s="765">
        <f t="shared" si="104"/>
        <v>74712.493895614665</v>
      </c>
      <c r="FS30" s="765">
        <f t="shared" si="105"/>
        <v>1539860.210677847</v>
      </c>
      <c r="FT30" s="765">
        <f t="shared" si="106"/>
        <v>7329340.5395028181</v>
      </c>
      <c r="FU30" s="765">
        <f t="shared" si="107"/>
        <v>47.192300822251887</v>
      </c>
      <c r="FV30" s="765">
        <f t="shared" si="108"/>
        <v>67.143416856492024</v>
      </c>
      <c r="FW30" s="765">
        <f t="shared" si="109"/>
        <v>497.097798830881</v>
      </c>
      <c r="FX30" s="765">
        <f t="shared" si="110"/>
        <v>643.46752429054789</v>
      </c>
      <c r="FY30" s="765">
        <f t="shared" si="111"/>
        <v>3052.643250272095</v>
      </c>
      <c r="FZ30" s="765">
        <f t="shared" si="112"/>
        <v>75724.914369988459</v>
      </c>
      <c r="GA30" s="765">
        <f t="shared" si="113"/>
        <v>172693.20499999999</v>
      </c>
      <c r="GB30" s="765">
        <f t="shared" si="114"/>
        <v>29.053365578734855</v>
      </c>
      <c r="GC30" s="765">
        <f t="shared" si="115"/>
        <v>65.508743101688225</v>
      </c>
      <c r="GD30" s="765">
        <f t="shared" si="116"/>
        <v>134.7967319378798</v>
      </c>
    </row>
    <row r="31" spans="1:186">
      <c r="A31" s="4">
        <v>42887</v>
      </c>
      <c r="B31" s="6">
        <v>2017</v>
      </c>
      <c r="C31" s="5">
        <v>6</v>
      </c>
      <c r="D31" s="7">
        <v>70056804.195859596</v>
      </c>
      <c r="E31" s="7">
        <f>IFERROR(VLOOKUP($B31-1,CDM!$V$4:$AJ$17,2,FALSE)/12,0)+IFERROR(VLOOKUP($B31,CDM!$V$41:$AJ$54,2,FALSE)/24,0)+IFERROR(VLOOKUP($B31,CDM!$V$41:$AJ$54,2,FALSE)/2*$C31/78,0)</f>
        <v>2697617.23771297</v>
      </c>
      <c r="F31" s="7">
        <f t="shared" si="2"/>
        <v>72754421.433572561</v>
      </c>
      <c r="G31" s="7">
        <f>IFERROR(HLOOKUP(B31,'EV Forecast VRZ'!$F$116:$T$122,2,FALSE)*C31/78,0)</f>
        <v>18836.263887799727</v>
      </c>
      <c r="H31" s="7"/>
      <c r="I31" s="7">
        <f t="shared" si="3"/>
        <v>72735585.169684768</v>
      </c>
      <c r="J31" s="7">
        <v>653153.84892999998</v>
      </c>
      <c r="K31" s="7">
        <f>IFERROR(VLOOKUP($B31-1,CDM!$V$4:$AJ$17,3,FALSE)/12,0)+IFERROR(VLOOKUP($B31,CDM!$V$41:$AJ$54,3,FALSE)/24,0)+IFERROR(VLOOKUP($B31,CDM!$V$41:$AJ$54,3,FALSE)/2*$C31/78,0)</f>
        <v>30897.977970432454</v>
      </c>
      <c r="L31" s="7">
        <f t="shared" si="4"/>
        <v>684051.82690043247</v>
      </c>
      <c r="M31" s="7">
        <f>IFERROR(HLOOKUP(B31,'EV Forecast VRZ'!$F$116:$T$122,3,FALSE)*C31/78,0)</f>
        <v>256.25611220027133</v>
      </c>
      <c r="N31" s="7"/>
      <c r="O31" s="7">
        <f t="shared" si="5"/>
        <v>683795.57078823214</v>
      </c>
      <c r="P31" s="7">
        <v>21505128.74501</v>
      </c>
      <c r="Q31" s="7">
        <f>IFERROR(VLOOKUP($B31-1,CDM!$V$4:$AJ$17,4,FALSE)/12,0)+IFERROR(VLOOKUP($B31,CDM!$V$41:$AJ$54,4,FALSE)/24,0)+IFERROR(VLOOKUP($B31,CDM!$V$41:$AJ$54,4,FALSE)/2*$C31/78,0)</f>
        <v>692795.03234480973</v>
      </c>
      <c r="R31" s="7">
        <f t="shared" si="6"/>
        <v>22197923.77735481</v>
      </c>
      <c r="S31" s="7">
        <f>IFERROR(HLOOKUP(B31,'EV Forecast VRZ'!$F$116:$T$122,4,FALSE)*C31/78,0)</f>
        <v>2402.9661538461542</v>
      </c>
      <c r="T31" s="7"/>
      <c r="U31" s="7">
        <f t="shared" si="7"/>
        <v>22195520.811200965</v>
      </c>
      <c r="V31" s="7">
        <v>77681381.140000001</v>
      </c>
      <c r="W31" s="7">
        <f>IFERROR(VLOOKUP($B31-1,CDM!$V$4:$AJ$17,5,FALSE)/12,0)+IFERROR(VLOOKUP($B31,CDM!$V$41:$AJ$54,5,FALSE)/24,0)+IFERROR(VLOOKUP($B31,CDM!$V$41:$AJ$54,5,FALSE)/2*$C31/78,0)</f>
        <v>2555724.2270096894</v>
      </c>
      <c r="X31" s="7">
        <f t="shared" si="8"/>
        <v>80237105.367009684</v>
      </c>
      <c r="Y31" s="7">
        <f>IFERROR(HLOOKUP(B31,'EV Forecast VRZ'!$F$116:$T$122,5,FALSE)*C31/78,0)</f>
        <v>1094.0270769230769</v>
      </c>
      <c r="Z31" s="7"/>
      <c r="AA31" s="7">
        <f t="shared" si="9"/>
        <v>80236011.339932755</v>
      </c>
      <c r="AB31" s="7">
        <v>7491116.9400000004</v>
      </c>
      <c r="AC31" s="7">
        <f>IFERROR(VLOOKUP($B31-1,CDM!$V$4:$AJ$17,6,FALSE)/12,0)+IFERROR(VLOOKUP($B31,CDM!$V$41:$AJ$54,6,FALSE)/24,0)+IFERROR(VLOOKUP($B31,CDM!$V$41:$AJ$54,6,FALSE)/2*$C31/78,0)</f>
        <v>94983.542361706583</v>
      </c>
      <c r="AD31" s="7">
        <f t="shared" si="10"/>
        <v>7586100.4823617069</v>
      </c>
      <c r="AE31" s="7">
        <f>IFERROR(HLOOKUP(B31,'EV Forecast VRZ'!$F$116:$T$122,6,FALSE)*C31/78,0)</f>
        <v>170.91753846153844</v>
      </c>
      <c r="AF31" s="7">
        <f t="shared" si="11"/>
        <v>7585929.5648232456</v>
      </c>
      <c r="AG31" s="7">
        <v>19298915.719999999</v>
      </c>
      <c r="AH31" s="7">
        <f>IFERROR(VLOOKUP($B31-1,CDM!$V$4:$AJ$17,7,FALSE)/12,0)+IFERROR(VLOOKUP($B31,CDM!$V$41:$AJ$54,7,FALSE)/24,0)+IFERROR(VLOOKUP($B31,CDM!$V$41:$AJ$54,7,FALSE)/2*$C31/78,0)</f>
        <v>812578.8812927691</v>
      </c>
      <c r="AI31" s="7">
        <f t="shared" si="12"/>
        <v>20111494.601292767</v>
      </c>
      <c r="AJ31" s="7">
        <f>IFERROR(HLOOKUP(B31,'EV Forecast VRZ'!$F$116:$T$122,7,FALSE)*C31/78,0)</f>
        <v>0</v>
      </c>
      <c r="AK31" s="7">
        <f t="shared" si="13"/>
        <v>20111494.601292767</v>
      </c>
      <c r="AL31" s="7">
        <v>1298692.82</v>
      </c>
      <c r="AM31" s="7">
        <v>21412.54</v>
      </c>
      <c r="AN31" s="7">
        <v>410139.68</v>
      </c>
      <c r="AO31" s="5">
        <v>202521</v>
      </c>
      <c r="AP31" s="5">
        <v>16490.66</v>
      </c>
      <c r="AQ31" s="5">
        <v>37192</v>
      </c>
      <c r="AR31" s="5">
        <v>4765.38</v>
      </c>
      <c r="AS31" s="763">
        <f t="shared" si="117"/>
        <v>80.583333333333329</v>
      </c>
      <c r="AT31" s="776">
        <v>108329</v>
      </c>
      <c r="AU31" s="776">
        <v>1577.4999999999995</v>
      </c>
      <c r="AV31" s="776">
        <v>9013.5</v>
      </c>
      <c r="AW31" s="776">
        <v>1067.0000000000005</v>
      </c>
      <c r="AX31" s="776">
        <v>5</v>
      </c>
      <c r="AY31" s="776">
        <v>3</v>
      </c>
      <c r="AZ31" s="776">
        <v>30389</v>
      </c>
      <c r="BA31" s="776">
        <v>439</v>
      </c>
      <c r="BB31" s="776">
        <v>825.99999999999977</v>
      </c>
      <c r="BC31" s="779">
        <v>29190355.224580098</v>
      </c>
      <c r="BD31" s="779">
        <f>IFERROR(VLOOKUP($B31-1,CDM!$V$4:$AJ$17,11,FALSE)/12,0)+IFERROR(VLOOKUP($B31,CDM!$V$41:$AJ$54,11,FALSE)/24,0)+IFERROR(VLOOKUP($B31,CDM!$V$41:$AJ$54,11,FALSE)/2*$C31/78,0)</f>
        <v>1397844.9293327956</v>
      </c>
      <c r="BE31" s="779">
        <f t="shared" si="71"/>
        <v>30588200.153912894</v>
      </c>
      <c r="BF31" s="779">
        <f>IFERROR(HLOOKUP(B31,'EV Forecast WRZ'!$F$116:$T$122,2,FALSE)*C31/78,0)</f>
        <v>6076.2138461538461</v>
      </c>
      <c r="BG31" s="779"/>
      <c r="BH31" s="779">
        <f t="shared" si="15"/>
        <v>30582123.94006674</v>
      </c>
      <c r="BI31" s="779">
        <v>6939366.2310000006</v>
      </c>
      <c r="BJ31" s="779">
        <f>IFERROR(VLOOKUP($B31-1,CDM!$V$4:$AJ$17,12,FALSE)/12,0)+IFERROR(VLOOKUP($B31,CDM!$V$41:$AJ$54,12,FALSE)/24,0)+IFERROR(VLOOKUP($B31,CDM!$V$41:$AJ$54,12,FALSE)/2*$C31/78,0)</f>
        <v>137006.19246239675</v>
      </c>
      <c r="BK31" s="779">
        <f t="shared" si="16"/>
        <v>7076372.4234623974</v>
      </c>
      <c r="BL31" s="779">
        <f>IFERROR(HLOOKUP(B31,'EV Forecast WRZ'!$F$116:$T$122,3,FALSE)*C31/78,0)</f>
        <v>843.12923076923084</v>
      </c>
      <c r="BM31" s="779"/>
      <c r="BN31" s="779">
        <f t="shared" si="17"/>
        <v>7075529.2942316281</v>
      </c>
      <c r="BO31" s="779">
        <v>28646810.48</v>
      </c>
      <c r="BP31" s="779">
        <f>IFERROR(VLOOKUP($B31-1,CDM!$V$4:$AJ$17,13,FALSE)/12,0)+IFERROR(VLOOKUP($B31,CDM!$V$41:$AJ$54,13,FALSE)/24,0)+IFERROR(VLOOKUP($B31,CDM!$V$41:$AJ$54,13,FALSE)/2*$C31/78,0)</f>
        <v>706303.61469067913</v>
      </c>
      <c r="BQ31" s="779">
        <f t="shared" si="19"/>
        <v>29353114.094690681</v>
      </c>
      <c r="BR31" s="779">
        <f>IFERROR(HLOOKUP(B31,'EV Forecast WRZ'!$F$116:$T$122,4,FALSE)*C31/78,0)</f>
        <v>389.7927692307693</v>
      </c>
      <c r="BS31" s="779"/>
      <c r="BT31" s="779">
        <f t="shared" si="20"/>
        <v>29352724.30192145</v>
      </c>
      <c r="BU31" s="779">
        <v>5068886.9800000004</v>
      </c>
      <c r="BV31" s="779">
        <f>IFERROR(VLOOKUP($B31-1,CDM!$V$4:$AJ$17,14,FALSE)/12,0)+IFERROR(VLOOKUP($B31,CDM!$V$41:$AJ$54,14,FALSE)/24,0)+IFERROR(VLOOKUP($B31,CDM!$V$41:$AJ$54,14,FALSE)/2*$C31/78,0)</f>
        <v>158792.70143047132</v>
      </c>
      <c r="BW31" s="779">
        <f t="shared" si="21"/>
        <v>5227679.6814304721</v>
      </c>
      <c r="BX31" s="779">
        <f>IFERROR(HLOOKUP(B31,'EV Forecast WRZ'!$F$116:$T$122,5,FALSE)*C31/78,0)</f>
        <v>83.694923076923075</v>
      </c>
      <c r="BY31" s="779">
        <f t="shared" si="72"/>
        <v>5227595.9865073953</v>
      </c>
      <c r="BZ31" s="779">
        <v>308965.88</v>
      </c>
      <c r="CA31" s="779">
        <v>2527.5456713401368</v>
      </c>
      <c r="CB31" s="5">
        <v>49446.35</v>
      </c>
      <c r="CC31" s="5">
        <v>69963.89</v>
      </c>
      <c r="CD31" s="5">
        <v>7433.4</v>
      </c>
      <c r="CE31" s="5">
        <v>1074.6600000000001</v>
      </c>
      <c r="CF31" s="763">
        <f t="shared" si="118"/>
        <v>7.333333333333333</v>
      </c>
      <c r="CG31" s="785">
        <v>39738.999999999985</v>
      </c>
      <c r="CH31" s="785">
        <v>2229</v>
      </c>
      <c r="CI31" s="785">
        <v>368</v>
      </c>
      <c r="CJ31" s="785">
        <v>2</v>
      </c>
      <c r="CK31" s="785">
        <v>11890</v>
      </c>
      <c r="CL31" s="785">
        <v>38.499999999999986</v>
      </c>
      <c r="CM31" s="785">
        <v>370.5</v>
      </c>
      <c r="CN31" s="46">
        <f>Weather!C43</f>
        <v>85.453333333333319</v>
      </c>
      <c r="CO31" s="46">
        <f>Weather!D43</f>
        <v>14.074999999999999</v>
      </c>
      <c r="CP31" s="46">
        <f>Weather!E43</f>
        <v>47.73249999999998</v>
      </c>
      <c r="CQ31" s="46">
        <f>Weather!F43</f>
        <v>36.354166666666671</v>
      </c>
      <c r="CR31" s="46">
        <f>Weather!G43</f>
        <v>20.287499999999987</v>
      </c>
      <c r="CS31" s="46">
        <f>Weather!H43</f>
        <v>68.909166666666678</v>
      </c>
      <c r="CT31" s="46">
        <f>Weather!I43</f>
        <v>4.091666666666665</v>
      </c>
      <c r="CU31" s="46">
        <f>Weather!J43</f>
        <v>112.71333333333334</v>
      </c>
      <c r="CV31" s="46">
        <f>Weather!K43</f>
        <v>0</v>
      </c>
      <c r="CW31" s="46">
        <f>Weather!L43</f>
        <v>168.62166666666667</v>
      </c>
      <c r="CX31" s="46">
        <f>Weather!M43</f>
        <v>0</v>
      </c>
      <c r="CY31" s="46">
        <f>Weather!N43</f>
        <v>228.62166666666667</v>
      </c>
      <c r="CZ31" s="46">
        <f>Weather!O43</f>
        <v>0</v>
      </c>
      <c r="DA31" s="46">
        <f>Weather!P43</f>
        <v>288.62166666666667</v>
      </c>
      <c r="DB31" s="368">
        <f>'Economic Data'!D45</f>
        <v>7071</v>
      </c>
      <c r="DC31" s="368">
        <f>'Economic Data'!E45</f>
        <v>7112.9</v>
      </c>
      <c r="DD31" s="368">
        <f>'Economic Data'!F45</f>
        <v>205.5</v>
      </c>
      <c r="DE31" s="368">
        <f>'Economic Data'!G45</f>
        <v>209</v>
      </c>
      <c r="DF31" s="368">
        <f>'Economic Data'!H45</f>
        <v>42.4</v>
      </c>
      <c r="DG31" s="368">
        <f>'Economic Data'!I45</f>
        <v>42.4</v>
      </c>
      <c r="DH31" s="368">
        <f>'Economic Data'!J45</f>
        <v>764464.8</v>
      </c>
      <c r="DI31" s="368">
        <f>'Economic Data'!K45</f>
        <v>590729.4</v>
      </c>
      <c r="DJ31" s="368">
        <f>'Economic Data'!L45</f>
        <v>91847.6</v>
      </c>
      <c r="DK31" s="368">
        <f>'Economic Data'!M45</f>
        <v>31122.7</v>
      </c>
      <c r="DL31" s="368">
        <f>'Economic Data'!N45</f>
        <v>764644</v>
      </c>
      <c r="DM31" s="368">
        <f>'Economic Data'!O45</f>
        <v>92585</v>
      </c>
      <c r="DN31" s="368">
        <f>'Economic Data'!P45</f>
        <v>20379</v>
      </c>
      <c r="DO31" s="368">
        <f>'Economic Data'!Q45</f>
        <v>590485</v>
      </c>
      <c r="DP31" s="368">
        <f>'Economic Data'!R45</f>
        <v>31148</v>
      </c>
      <c r="DQ31">
        <v>30</v>
      </c>
      <c r="DR31">
        <v>22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f t="shared" si="69"/>
        <v>30</v>
      </c>
      <c r="EI31">
        <v>0</v>
      </c>
      <c r="EJ31">
        <v>0</v>
      </c>
      <c r="EK31">
        <v>0</v>
      </c>
      <c r="EL31">
        <v>0</v>
      </c>
      <c r="EM31" s="47">
        <f t="shared" si="73"/>
        <v>0</v>
      </c>
      <c r="EN31" s="47">
        <f t="shared" si="74"/>
        <v>0</v>
      </c>
      <c r="EO31" s="47">
        <f t="shared" si="75"/>
        <v>0</v>
      </c>
      <c r="EP31" s="47">
        <f t="shared" si="76"/>
        <v>0</v>
      </c>
      <c r="EQ31" s="47">
        <f t="shared" si="77"/>
        <v>0</v>
      </c>
      <c r="ER31" s="47">
        <f t="shared" si="78"/>
        <v>0</v>
      </c>
      <c r="ES31" s="47">
        <f t="shared" si="79"/>
        <v>0</v>
      </c>
      <c r="ET31" s="47">
        <f t="shared" si="80"/>
        <v>0</v>
      </c>
      <c r="EU31" s="47">
        <f t="shared" si="81"/>
        <v>0</v>
      </c>
      <c r="EV31" s="47">
        <f t="shared" si="82"/>
        <v>0</v>
      </c>
      <c r="EW31" s="47">
        <f t="shared" si="83"/>
        <v>0</v>
      </c>
      <c r="EX31" s="47">
        <f t="shared" si="84"/>
        <v>0</v>
      </c>
      <c r="EY31" s="47">
        <f t="shared" si="85"/>
        <v>0</v>
      </c>
      <c r="EZ31" s="47">
        <f t="shared" si="86"/>
        <v>0</v>
      </c>
      <c r="FA31" s="47">
        <f t="shared" si="87"/>
        <v>0</v>
      </c>
      <c r="FB31" s="47">
        <f t="shared" si="88"/>
        <v>0</v>
      </c>
      <c r="FC31" s="47">
        <f t="shared" si="89"/>
        <v>0</v>
      </c>
      <c r="FD31" s="47">
        <f t="shared" si="90"/>
        <v>0</v>
      </c>
      <c r="FE31" s="47">
        <f t="shared" si="91"/>
        <v>0</v>
      </c>
      <c r="FF31" s="47">
        <f t="shared" si="92"/>
        <v>0</v>
      </c>
      <c r="FG31" s="47">
        <f t="shared" si="93"/>
        <v>0</v>
      </c>
      <c r="FH31" s="47">
        <f t="shared" si="94"/>
        <v>0</v>
      </c>
      <c r="FI31" s="47">
        <f t="shared" si="95"/>
        <v>0</v>
      </c>
      <c r="FJ31" s="47">
        <f t="shared" si="96"/>
        <v>0</v>
      </c>
      <c r="FK31" s="47">
        <f t="shared" si="97"/>
        <v>0</v>
      </c>
      <c r="FL31" s="47">
        <f t="shared" si="98"/>
        <v>0</v>
      </c>
      <c r="FM31" s="47">
        <f t="shared" si="99"/>
        <v>0</v>
      </c>
      <c r="FN31" s="47">
        <f t="shared" si="100"/>
        <v>0</v>
      </c>
      <c r="FO31" s="765">
        <f t="shared" si="101"/>
        <v>671.43225885667516</v>
      </c>
      <c r="FP31" s="765">
        <f t="shared" si="102"/>
        <v>433.63031816192245</v>
      </c>
      <c r="FQ31" s="765">
        <f t="shared" si="103"/>
        <v>2462.7418624679435</v>
      </c>
      <c r="FR31" s="765">
        <f t="shared" si="104"/>
        <v>75198.786660740065</v>
      </c>
      <c r="FS31" s="765">
        <f t="shared" si="105"/>
        <v>1517220.0964723413</v>
      </c>
      <c r="FT31" s="765">
        <f t="shared" si="106"/>
        <v>6703831.5337642552</v>
      </c>
      <c r="FU31" s="765">
        <f t="shared" si="107"/>
        <v>42.735622100102013</v>
      </c>
      <c r="FV31" s="765">
        <f t="shared" si="108"/>
        <v>48.775717539863329</v>
      </c>
      <c r="FW31" s="765">
        <f t="shared" si="109"/>
        <v>496.53714285714301</v>
      </c>
      <c r="FX31" s="765">
        <f t="shared" si="110"/>
        <v>769.7274756262841</v>
      </c>
      <c r="FY31" s="765">
        <f t="shared" si="111"/>
        <v>3174.6848019122467</v>
      </c>
      <c r="FZ31" s="765">
        <f t="shared" si="112"/>
        <v>79763.896996442068</v>
      </c>
      <c r="GA31" s="765">
        <f t="shared" si="113"/>
        <v>154482.94</v>
      </c>
      <c r="GB31" s="765">
        <f t="shared" si="114"/>
        <v>25.985355761143818</v>
      </c>
      <c r="GC31" s="765">
        <f t="shared" si="115"/>
        <v>65.650536917925649</v>
      </c>
      <c r="GD31" s="765">
        <f t="shared" si="116"/>
        <v>133.45843454790824</v>
      </c>
    </row>
    <row r="32" spans="1:186">
      <c r="A32" s="4">
        <v>42917</v>
      </c>
      <c r="B32" s="6">
        <v>2017</v>
      </c>
      <c r="C32" s="5">
        <v>7</v>
      </c>
      <c r="D32" s="7">
        <v>87121005.357809603</v>
      </c>
      <c r="E32" s="7">
        <f>IFERROR(VLOOKUP($B32-1,CDM!$V$4:$AJ$17,2,FALSE)/12,0)+IFERROR(VLOOKUP($B32,CDM!$V$41:$AJ$54,2,FALSE)/24,0)+IFERROR(VLOOKUP($B32,CDM!$V$41:$AJ$54,2,FALSE)/2*$C32/78,0)</f>
        <v>2808970.298977532</v>
      </c>
      <c r="F32" s="7">
        <f t="shared" si="2"/>
        <v>89929975.656787142</v>
      </c>
      <c r="G32" s="7">
        <f>IFERROR(HLOOKUP(B32,'EV Forecast VRZ'!$F$116:$T$122,2,FALSE)*C32/78,0)</f>
        <v>21975.641202433017</v>
      </c>
      <c r="H32" s="7"/>
      <c r="I32" s="7">
        <f t="shared" si="3"/>
        <v>89908000.015584707</v>
      </c>
      <c r="J32" s="7">
        <v>991134.58272999898</v>
      </c>
      <c r="K32" s="7">
        <f>IFERROR(VLOOKUP($B32-1,CDM!$V$4:$AJ$17,3,FALSE)/12,0)+IFERROR(VLOOKUP($B32,CDM!$V$41:$AJ$54,3,FALSE)/24,0)+IFERROR(VLOOKUP($B32,CDM!$V$41:$AJ$54,3,FALSE)/2*$C32/78,0)</f>
        <v>32173.394062008716</v>
      </c>
      <c r="L32" s="7">
        <f t="shared" si="4"/>
        <v>1023307.9767920077</v>
      </c>
      <c r="M32" s="7">
        <f>IFERROR(HLOOKUP(B32,'EV Forecast VRZ'!$F$116:$T$122,3,FALSE)*C32/78,0)</f>
        <v>298.96546423364987</v>
      </c>
      <c r="N32" s="7"/>
      <c r="O32" s="7">
        <f t="shared" si="5"/>
        <v>1023009.011327774</v>
      </c>
      <c r="P32" s="7">
        <v>23453275.460890099</v>
      </c>
      <c r="Q32" s="7">
        <f>IFERROR(VLOOKUP($B32-1,CDM!$V$4:$AJ$17,4,FALSE)/12,0)+IFERROR(VLOOKUP($B32,CDM!$V$41:$AJ$54,4,FALSE)/24,0)+IFERROR(VLOOKUP($B32,CDM!$V$41:$AJ$54,4,FALSE)/2*$C32/78,0)</f>
        <v>706445.27705967845</v>
      </c>
      <c r="R32" s="7">
        <f t="shared" si="6"/>
        <v>24159720.737949777</v>
      </c>
      <c r="S32" s="7">
        <f>IFERROR(HLOOKUP(B32,'EV Forecast VRZ'!$F$116:$T$122,4,FALSE)*C32/78,0)</f>
        <v>2803.460512820513</v>
      </c>
      <c r="T32" s="7"/>
      <c r="U32" s="7">
        <f t="shared" si="7"/>
        <v>24156917.277436957</v>
      </c>
      <c r="V32" s="7">
        <v>79656488.530000001</v>
      </c>
      <c r="W32" s="7">
        <f>IFERROR(VLOOKUP($B32-1,CDM!$V$4:$AJ$17,5,FALSE)/12,0)+IFERROR(VLOOKUP($B32,CDM!$V$41:$AJ$54,5,FALSE)/24,0)+IFERROR(VLOOKUP($B32,CDM!$V$41:$AJ$54,5,FALSE)/2*$C32/78,0)</f>
        <v>2612538.0344534847</v>
      </c>
      <c r="X32" s="7">
        <f t="shared" si="8"/>
        <v>82269026.564453483</v>
      </c>
      <c r="Y32" s="7">
        <f>IFERROR(HLOOKUP(B32,'EV Forecast VRZ'!$F$116:$T$122,5,FALSE)*C32/78,0)</f>
        <v>1276.3649230769229</v>
      </c>
      <c r="Z32" s="7"/>
      <c r="AA32" s="7">
        <f t="shared" si="9"/>
        <v>82267750.199530408</v>
      </c>
      <c r="AB32" s="7">
        <v>7068123.6399999997</v>
      </c>
      <c r="AC32" s="7">
        <f>IFERROR(VLOOKUP($B32-1,CDM!$V$4:$AJ$17,6,FALSE)/12,0)+IFERROR(VLOOKUP($B32,CDM!$V$41:$AJ$54,6,FALSE)/24,0)+IFERROR(VLOOKUP($B32,CDM!$V$41:$AJ$54,6,FALSE)/2*$C32/78,0)</f>
        <v>99258.561334177968</v>
      </c>
      <c r="AD32" s="7">
        <f t="shared" si="10"/>
        <v>7167382.2013341775</v>
      </c>
      <c r="AE32" s="7">
        <f>IFERROR(HLOOKUP(B32,'EV Forecast VRZ'!$F$116:$T$122,6,FALSE)*C32/78,0)</f>
        <v>199.40379487179487</v>
      </c>
      <c r="AF32" s="7">
        <f t="shared" si="11"/>
        <v>7167182.7975393059</v>
      </c>
      <c r="AG32" s="7">
        <v>17881555.149999999</v>
      </c>
      <c r="AH32" s="7">
        <f>IFERROR(VLOOKUP($B32-1,CDM!$V$4:$AJ$17,7,FALSE)/12,0)+IFERROR(VLOOKUP($B32,CDM!$V$41:$AJ$54,7,FALSE)/24,0)+IFERROR(VLOOKUP($B32,CDM!$V$41:$AJ$54,7,FALSE)/2*$C32/78,0)</f>
        <v>830059.74407708575</v>
      </c>
      <c r="AI32" s="7">
        <f t="shared" si="12"/>
        <v>18711614.894077085</v>
      </c>
      <c r="AJ32" s="7">
        <f>IFERROR(HLOOKUP(B32,'EV Forecast VRZ'!$F$116:$T$122,7,FALSE)*C32/78,0)</f>
        <v>0</v>
      </c>
      <c r="AK32" s="7">
        <f t="shared" si="13"/>
        <v>18711614.894077085</v>
      </c>
      <c r="AL32" s="7">
        <v>1375368</v>
      </c>
      <c r="AM32" s="7">
        <v>20565.049999999996</v>
      </c>
      <c r="AN32" s="7">
        <v>409772.82</v>
      </c>
      <c r="AO32" s="5">
        <v>192443.1</v>
      </c>
      <c r="AP32" s="5">
        <v>16771.400000000001</v>
      </c>
      <c r="AQ32" s="5">
        <v>29609</v>
      </c>
      <c r="AR32" s="5">
        <v>4703.0600000000004</v>
      </c>
      <c r="AS32" s="763">
        <f t="shared" si="117"/>
        <v>80.583333333333329</v>
      </c>
      <c r="AT32" s="776">
        <v>108400.5</v>
      </c>
      <c r="AU32" s="776">
        <v>1576.5833333333328</v>
      </c>
      <c r="AV32" s="776">
        <v>9017.25</v>
      </c>
      <c r="AW32" s="776">
        <v>1069.6666666666672</v>
      </c>
      <c r="AX32" s="776">
        <v>5</v>
      </c>
      <c r="AY32" s="776">
        <v>3</v>
      </c>
      <c r="AZ32" s="776">
        <v>30434.5</v>
      </c>
      <c r="BA32" s="776">
        <v>439</v>
      </c>
      <c r="BB32" s="776">
        <v>825.1666666666664</v>
      </c>
      <c r="BC32" s="779">
        <v>36535253.574919999</v>
      </c>
      <c r="BD32" s="779">
        <f>IFERROR(VLOOKUP($B32-1,CDM!$V$4:$AJ$17,11,FALSE)/12,0)+IFERROR(VLOOKUP($B32,CDM!$V$41:$AJ$54,11,FALSE)/24,0)+IFERROR(VLOOKUP($B32,CDM!$V$41:$AJ$54,11,FALSE)/2*$C32/78,0)</f>
        <v>1457490.5727283629</v>
      </c>
      <c r="BE32" s="779">
        <f t="shared" si="71"/>
        <v>37992744.147648364</v>
      </c>
      <c r="BF32" s="779">
        <f>IFERROR(HLOOKUP(B32,'EV Forecast WRZ'!$F$116:$T$122,2,FALSE)*C32/78,0)</f>
        <v>7088.9161538461531</v>
      </c>
      <c r="BG32" s="779"/>
      <c r="BH32" s="779">
        <f t="shared" si="15"/>
        <v>37985655.231494516</v>
      </c>
      <c r="BI32" s="779">
        <v>7545931.66426</v>
      </c>
      <c r="BJ32" s="779">
        <f>IFERROR(VLOOKUP($B32-1,CDM!$V$4:$AJ$17,12,FALSE)/12,0)+IFERROR(VLOOKUP($B32,CDM!$V$41:$AJ$54,12,FALSE)/24,0)+IFERROR(VLOOKUP($B32,CDM!$V$41:$AJ$54,12,FALSE)/2*$C32/78,0)</f>
        <v>138729.20537370216</v>
      </c>
      <c r="BK32" s="779">
        <f t="shared" si="16"/>
        <v>7684660.8696337026</v>
      </c>
      <c r="BL32" s="779">
        <f>IFERROR(HLOOKUP(B32,'EV Forecast WRZ'!$F$116:$T$122,3,FALSE)*C32/78,0)</f>
        <v>983.65076923076936</v>
      </c>
      <c r="BM32" s="779"/>
      <c r="BN32" s="779">
        <f t="shared" si="17"/>
        <v>7683677.2188644717</v>
      </c>
      <c r="BO32" s="779">
        <v>28049553.609999999</v>
      </c>
      <c r="BP32" s="779">
        <f>IFERROR(VLOOKUP($B32-1,CDM!$V$4:$AJ$17,13,FALSE)/12,0)+IFERROR(VLOOKUP($B32,CDM!$V$41:$AJ$54,13,FALSE)/24,0)+IFERROR(VLOOKUP($B32,CDM!$V$41:$AJ$54,13,FALSE)/2*$C32/78,0)</f>
        <v>728837.12122560362</v>
      </c>
      <c r="BQ32" s="779">
        <f t="shared" si="19"/>
        <v>28778390.731225602</v>
      </c>
      <c r="BR32" s="779">
        <f>IFERROR(HLOOKUP(B32,'EV Forecast WRZ'!$F$116:$T$122,4,FALSE)*C32/78,0)</f>
        <v>454.75823076923086</v>
      </c>
      <c r="BS32" s="779"/>
      <c r="BT32" s="779">
        <f t="shared" si="20"/>
        <v>28777935.972994834</v>
      </c>
      <c r="BU32" s="779">
        <v>5137515.33</v>
      </c>
      <c r="BV32" s="779">
        <f>IFERROR(VLOOKUP($B32-1,CDM!$V$4:$AJ$17,14,FALSE)/12,0)+IFERROR(VLOOKUP($B32,CDM!$V$41:$AJ$54,14,FALSE)/24,0)+IFERROR(VLOOKUP($B32,CDM!$V$41:$AJ$54,14,FALSE)/2*$C32/78,0)</f>
        <v>163858.73295141841</v>
      </c>
      <c r="BW32" s="779">
        <f t="shared" si="21"/>
        <v>5301374.0629514186</v>
      </c>
      <c r="BX32" s="779">
        <f>IFERROR(HLOOKUP(B32,'EV Forecast WRZ'!$F$116:$T$122,5,FALSE)*C32/78,0)</f>
        <v>97.644076923076909</v>
      </c>
      <c r="BY32" s="779">
        <f t="shared" si="72"/>
        <v>5301276.4188744957</v>
      </c>
      <c r="BZ32" s="779">
        <v>328045.2</v>
      </c>
      <c r="CA32" s="779">
        <v>2527.5456713401368</v>
      </c>
      <c r="CB32" s="5">
        <v>49446.34</v>
      </c>
      <c r="CC32" s="5">
        <v>69658.33</v>
      </c>
      <c r="CD32" s="5">
        <v>7453.67</v>
      </c>
      <c r="CE32" s="5">
        <v>1074.9100000000001</v>
      </c>
      <c r="CF32" s="763">
        <f t="shared" si="118"/>
        <v>7.333333333333333</v>
      </c>
      <c r="CG32" s="785">
        <v>39764.16666666665</v>
      </c>
      <c r="CH32" s="785">
        <v>2230.5</v>
      </c>
      <c r="CI32" s="785">
        <v>368</v>
      </c>
      <c r="CJ32" s="785">
        <v>2</v>
      </c>
      <c r="CK32" s="785">
        <v>11892</v>
      </c>
      <c r="CL32" s="785">
        <v>38.41666666666665</v>
      </c>
      <c r="CM32" s="785">
        <v>370.75</v>
      </c>
      <c r="CN32" s="46">
        <f>Weather!C44</f>
        <v>14.412500000000009</v>
      </c>
      <c r="CO32" s="46">
        <f>Weather!D44</f>
        <v>26.579166666666627</v>
      </c>
      <c r="CP32" s="46">
        <f>Weather!E44</f>
        <v>1.8041666666666707</v>
      </c>
      <c r="CQ32" s="46">
        <f>Weather!F44</f>
        <v>75.970833333333289</v>
      </c>
      <c r="CR32" s="46">
        <f>Weather!G44</f>
        <v>0</v>
      </c>
      <c r="CS32" s="46">
        <f>Weather!H44</f>
        <v>136.16666666666663</v>
      </c>
      <c r="CT32" s="46">
        <f>Weather!I44</f>
        <v>0</v>
      </c>
      <c r="CU32" s="46">
        <f>Weather!J44</f>
        <v>198.16666666666666</v>
      </c>
      <c r="CV32" s="46">
        <f>Weather!K44</f>
        <v>0</v>
      </c>
      <c r="CW32" s="46">
        <f>Weather!L44</f>
        <v>260.16666666666657</v>
      </c>
      <c r="CX32" s="46">
        <f>Weather!M44</f>
        <v>0</v>
      </c>
      <c r="CY32" s="46">
        <f>Weather!N44</f>
        <v>322.16666666666657</v>
      </c>
      <c r="CZ32" s="46">
        <f>Weather!O44</f>
        <v>0</v>
      </c>
      <c r="DA32" s="46">
        <f>Weather!P44</f>
        <v>384.16666666666657</v>
      </c>
      <c r="DB32" s="368">
        <f>'Economic Data'!D46</f>
        <v>7099.1</v>
      </c>
      <c r="DC32" s="368">
        <f>'Economic Data'!E46</f>
        <v>7186.7</v>
      </c>
      <c r="DD32" s="368">
        <f>'Economic Data'!F46</f>
        <v>206.4</v>
      </c>
      <c r="DE32" s="368">
        <f>'Economic Data'!G46</f>
        <v>209.1</v>
      </c>
      <c r="DF32" s="368">
        <f>'Economic Data'!H46</f>
        <v>47.3</v>
      </c>
      <c r="DG32" s="368">
        <f>'Economic Data'!I46</f>
        <v>47.3</v>
      </c>
      <c r="DH32" s="368">
        <f>'Economic Data'!J46</f>
        <v>764464.8</v>
      </c>
      <c r="DI32" s="368">
        <f>'Economic Data'!K46</f>
        <v>590729.4</v>
      </c>
      <c r="DJ32" s="368">
        <f>'Economic Data'!L46</f>
        <v>91847.6</v>
      </c>
      <c r="DK32" s="368">
        <f>'Economic Data'!M46</f>
        <v>31122.7</v>
      </c>
      <c r="DL32" s="368">
        <f>'Economic Data'!N46</f>
        <v>765060</v>
      </c>
      <c r="DM32" s="368">
        <f>'Economic Data'!O46</f>
        <v>90464</v>
      </c>
      <c r="DN32" s="368">
        <f>'Economic Data'!P46</f>
        <v>18662</v>
      </c>
      <c r="DO32" s="368">
        <f>'Economic Data'!Q46</f>
        <v>592461</v>
      </c>
      <c r="DP32" s="368">
        <f>'Economic Data'!R46</f>
        <v>31156</v>
      </c>
      <c r="DQ32">
        <v>31</v>
      </c>
      <c r="DR32">
        <v>20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1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f t="shared" si="69"/>
        <v>31</v>
      </c>
      <c r="EI32">
        <v>0</v>
      </c>
      <c r="EJ32">
        <v>0</v>
      </c>
      <c r="EK32">
        <v>0</v>
      </c>
      <c r="EL32">
        <v>0</v>
      </c>
      <c r="EM32" s="47">
        <f t="shared" si="73"/>
        <v>0</v>
      </c>
      <c r="EN32" s="47">
        <f t="shared" si="74"/>
        <v>0</v>
      </c>
      <c r="EO32" s="47">
        <f t="shared" si="75"/>
        <v>0</v>
      </c>
      <c r="EP32" s="47">
        <f t="shared" si="76"/>
        <v>0</v>
      </c>
      <c r="EQ32" s="47">
        <f t="shared" si="77"/>
        <v>0</v>
      </c>
      <c r="ER32" s="47">
        <f t="shared" si="78"/>
        <v>0</v>
      </c>
      <c r="ES32" s="47">
        <f t="shared" si="79"/>
        <v>0</v>
      </c>
      <c r="ET32" s="47">
        <f t="shared" si="80"/>
        <v>0</v>
      </c>
      <c r="EU32" s="47">
        <f t="shared" si="81"/>
        <v>0</v>
      </c>
      <c r="EV32" s="47">
        <f t="shared" si="82"/>
        <v>0</v>
      </c>
      <c r="EW32" s="47">
        <f t="shared" si="83"/>
        <v>0</v>
      </c>
      <c r="EX32" s="47">
        <f t="shared" si="84"/>
        <v>0</v>
      </c>
      <c r="EY32" s="47">
        <f t="shared" si="85"/>
        <v>0</v>
      </c>
      <c r="EZ32" s="47">
        <f t="shared" si="86"/>
        <v>0</v>
      </c>
      <c r="FA32" s="47">
        <f t="shared" si="87"/>
        <v>0</v>
      </c>
      <c r="FB32" s="47">
        <f t="shared" si="88"/>
        <v>0</v>
      </c>
      <c r="FC32" s="47">
        <f t="shared" si="89"/>
        <v>0</v>
      </c>
      <c r="FD32" s="47">
        <f t="shared" si="90"/>
        <v>0</v>
      </c>
      <c r="FE32" s="47">
        <f t="shared" si="91"/>
        <v>0</v>
      </c>
      <c r="FF32" s="47">
        <f t="shared" si="92"/>
        <v>0</v>
      </c>
      <c r="FG32" s="47">
        <f t="shared" si="93"/>
        <v>0</v>
      </c>
      <c r="FH32" s="47">
        <f t="shared" si="94"/>
        <v>0</v>
      </c>
      <c r="FI32" s="47">
        <f t="shared" si="95"/>
        <v>0</v>
      </c>
      <c r="FJ32" s="47">
        <f t="shared" si="96"/>
        <v>0</v>
      </c>
      <c r="FK32" s="47">
        <f t="shared" si="97"/>
        <v>0</v>
      </c>
      <c r="FL32" s="47">
        <f t="shared" si="98"/>
        <v>0</v>
      </c>
      <c r="FM32" s="47">
        <f t="shared" si="99"/>
        <v>0</v>
      </c>
      <c r="FN32" s="47">
        <f t="shared" si="100"/>
        <v>0</v>
      </c>
      <c r="FO32" s="765">
        <f t="shared" si="101"/>
        <v>829.40576856734708</v>
      </c>
      <c r="FP32" s="765">
        <f t="shared" si="102"/>
        <v>649.06684927871959</v>
      </c>
      <c r="FQ32" s="765">
        <f t="shared" si="103"/>
        <v>2679.2781322409578</v>
      </c>
      <c r="FR32" s="765">
        <f t="shared" si="104"/>
        <v>76910.900496528615</v>
      </c>
      <c r="FS32" s="765">
        <f t="shared" si="105"/>
        <v>1433476.4402668355</v>
      </c>
      <c r="FT32" s="765">
        <f t="shared" si="106"/>
        <v>6237204.9646923617</v>
      </c>
      <c r="FU32" s="765">
        <f t="shared" si="107"/>
        <v>45.19108248862311</v>
      </c>
      <c r="FV32" s="765">
        <f t="shared" si="108"/>
        <v>46.845216400911148</v>
      </c>
      <c r="FW32" s="765">
        <f t="shared" si="109"/>
        <v>496.59400525146452</v>
      </c>
      <c r="FX32" s="765">
        <f t="shared" si="110"/>
        <v>955.45178819242733</v>
      </c>
      <c r="FY32" s="765">
        <f t="shared" si="111"/>
        <v>3445.2637837407319</v>
      </c>
      <c r="FZ32" s="765">
        <f t="shared" si="112"/>
        <v>78202.148726156534</v>
      </c>
      <c r="GA32" s="765">
        <f t="shared" si="113"/>
        <v>164022.6</v>
      </c>
      <c r="GB32" s="765">
        <f t="shared" si="114"/>
        <v>27.585368314833502</v>
      </c>
      <c r="GC32" s="765">
        <f t="shared" si="115"/>
        <v>65.792945891717252</v>
      </c>
      <c r="GD32" s="765">
        <f t="shared" si="116"/>
        <v>133.36841537424138</v>
      </c>
    </row>
    <row r="33" spans="1:186">
      <c r="A33" s="4">
        <v>42948</v>
      </c>
      <c r="B33" s="6">
        <v>2017</v>
      </c>
      <c r="C33" s="5">
        <v>8</v>
      </c>
      <c r="D33" s="7">
        <v>80813037.9476697</v>
      </c>
      <c r="E33" s="7">
        <f>IFERROR(VLOOKUP($B33-1,CDM!$V$4:$AJ$17,2,FALSE)/12,0)+IFERROR(VLOOKUP($B33,CDM!$V$41:$AJ$54,2,FALSE)/24,0)+IFERROR(VLOOKUP($B33,CDM!$V$41:$AJ$54,2,FALSE)/2*$C33/78,0)</f>
        <v>2920323.3602420934</v>
      </c>
      <c r="F33" s="7">
        <f t="shared" si="2"/>
        <v>83733361.307911798</v>
      </c>
      <c r="G33" s="7">
        <f>IFERROR(HLOOKUP(B33,'EV Forecast VRZ'!$F$116:$T$122,2,FALSE)*C33/78,0)</f>
        <v>25115.018517066303</v>
      </c>
      <c r="H33" s="7"/>
      <c r="I33" s="7">
        <f t="shared" si="3"/>
        <v>83708246.289394736</v>
      </c>
      <c r="J33" s="7">
        <v>1008568.485350001</v>
      </c>
      <c r="K33" s="7">
        <f>IFERROR(VLOOKUP($B33-1,CDM!$V$4:$AJ$17,3,FALSE)/12,0)+IFERROR(VLOOKUP($B33,CDM!$V$41:$AJ$54,3,FALSE)/24,0)+IFERROR(VLOOKUP($B33,CDM!$V$41:$AJ$54,3,FALSE)/2*$C33/78,0)</f>
        <v>33448.810153584986</v>
      </c>
      <c r="L33" s="7">
        <f t="shared" si="4"/>
        <v>1042017.2955035861</v>
      </c>
      <c r="M33" s="7">
        <f>IFERROR(HLOOKUP(B33,'EV Forecast VRZ'!$F$116:$T$122,3,FALSE)*C33/78,0)</f>
        <v>341.6748162670284</v>
      </c>
      <c r="N33" s="7"/>
      <c r="O33" s="7">
        <f t="shared" si="5"/>
        <v>1041675.6206873191</v>
      </c>
      <c r="P33" s="7">
        <v>23180955.389199898</v>
      </c>
      <c r="Q33" s="7">
        <f>IFERROR(VLOOKUP($B33-1,CDM!$V$4:$AJ$17,4,FALSE)/12,0)+IFERROR(VLOOKUP($B33,CDM!$V$41:$AJ$54,4,FALSE)/24,0)+IFERROR(VLOOKUP($B33,CDM!$V$41:$AJ$54,4,FALSE)/2*$C33/78,0)</f>
        <v>720095.52177454706</v>
      </c>
      <c r="R33" s="7">
        <f t="shared" si="6"/>
        <v>23901050.910974443</v>
      </c>
      <c r="S33" s="7">
        <f>IFERROR(HLOOKUP(B33,'EV Forecast VRZ'!$F$116:$T$122,4,FALSE)*C33/78,0)</f>
        <v>3203.9548717948719</v>
      </c>
      <c r="T33" s="7"/>
      <c r="U33" s="7">
        <f t="shared" si="7"/>
        <v>23897846.956102647</v>
      </c>
      <c r="V33" s="7">
        <v>82639784.379999995</v>
      </c>
      <c r="W33" s="7">
        <f>IFERROR(VLOOKUP($B33-1,CDM!$V$4:$AJ$17,5,FALSE)/12,0)+IFERROR(VLOOKUP($B33,CDM!$V$41:$AJ$54,5,FALSE)/24,0)+IFERROR(VLOOKUP($B33,CDM!$V$41:$AJ$54,5,FALSE)/2*$C33/78,0)</f>
        <v>2669351.8418972795</v>
      </c>
      <c r="X33" s="7">
        <f t="shared" si="8"/>
        <v>85309136.221897274</v>
      </c>
      <c r="Y33" s="7">
        <f>IFERROR(HLOOKUP(B33,'EV Forecast VRZ'!$F$116:$T$122,5,FALSE)*C33/78,0)</f>
        <v>1458.702769230769</v>
      </c>
      <c r="Z33" s="7"/>
      <c r="AA33" s="7">
        <f t="shared" si="9"/>
        <v>85307677.519128039</v>
      </c>
      <c r="AB33" s="7">
        <v>7848850.4000000004</v>
      </c>
      <c r="AC33" s="7">
        <f>IFERROR(VLOOKUP($B33-1,CDM!$V$4:$AJ$17,6,FALSE)/12,0)+IFERROR(VLOOKUP($B33,CDM!$V$41:$AJ$54,6,FALSE)/24,0)+IFERROR(VLOOKUP($B33,CDM!$V$41:$AJ$54,6,FALSE)/2*$C33/78,0)</f>
        <v>103533.58030664935</v>
      </c>
      <c r="AD33" s="7">
        <f t="shared" si="10"/>
        <v>7952383.9803066496</v>
      </c>
      <c r="AE33" s="7">
        <f>IFERROR(HLOOKUP(B33,'EV Forecast VRZ'!$F$116:$T$122,6,FALSE)*C33/78,0)</f>
        <v>227.89005128205127</v>
      </c>
      <c r="AF33" s="7">
        <f t="shared" si="11"/>
        <v>7952156.0902553676</v>
      </c>
      <c r="AG33" s="7">
        <v>18134834.859999999</v>
      </c>
      <c r="AH33" s="7">
        <f>IFERROR(VLOOKUP($B33-1,CDM!$V$4:$AJ$17,7,FALSE)/12,0)+IFERROR(VLOOKUP($B33,CDM!$V$41:$AJ$54,7,FALSE)/24,0)+IFERROR(VLOOKUP($B33,CDM!$V$41:$AJ$54,7,FALSE)/2*$C33/78,0)</f>
        <v>847540.60686140251</v>
      </c>
      <c r="AI33" s="7">
        <f t="shared" si="12"/>
        <v>18982375.466861401</v>
      </c>
      <c r="AJ33" s="7">
        <f>IFERROR(HLOOKUP(B33,'EV Forecast VRZ'!$F$116:$T$122,7,FALSE)*C33/78,0)</f>
        <v>0</v>
      </c>
      <c r="AK33" s="7">
        <f t="shared" si="13"/>
        <v>18982375.466861401</v>
      </c>
      <c r="AL33" s="7">
        <v>1533427.41</v>
      </c>
      <c r="AM33" s="7">
        <v>9520.1500000000015</v>
      </c>
      <c r="AN33" s="7">
        <v>408518.12</v>
      </c>
      <c r="AO33" s="5">
        <v>203208.92</v>
      </c>
      <c r="AP33" s="5">
        <v>16768.07</v>
      </c>
      <c r="AQ33" s="5">
        <v>29981</v>
      </c>
      <c r="AR33" s="5">
        <v>4680.17</v>
      </c>
      <c r="AS33" s="763">
        <f t="shared" si="117"/>
        <v>80.583333333333329</v>
      </c>
      <c r="AT33" s="776">
        <v>108472</v>
      </c>
      <c r="AU33" s="776">
        <v>1575.6666666666661</v>
      </c>
      <c r="AV33" s="776">
        <v>9021</v>
      </c>
      <c r="AW33" s="776">
        <v>1072.3333333333339</v>
      </c>
      <c r="AX33" s="776">
        <v>5</v>
      </c>
      <c r="AY33" s="776">
        <v>3</v>
      </c>
      <c r="AZ33" s="776">
        <v>30480</v>
      </c>
      <c r="BA33" s="776">
        <v>439</v>
      </c>
      <c r="BB33" s="776">
        <v>824.33333333333303</v>
      </c>
      <c r="BC33" s="779">
        <v>33639294.2654799</v>
      </c>
      <c r="BD33" s="779">
        <f>IFERROR(VLOOKUP($B33-1,CDM!$V$4:$AJ$17,11,FALSE)/12,0)+IFERROR(VLOOKUP($B33,CDM!$V$41:$AJ$54,11,FALSE)/24,0)+IFERROR(VLOOKUP($B33,CDM!$V$41:$AJ$54,11,FALSE)/2*$C33/78,0)</f>
        <v>1517136.2161239297</v>
      </c>
      <c r="BE33" s="779">
        <f t="shared" si="71"/>
        <v>35156430.481603831</v>
      </c>
      <c r="BF33" s="779">
        <f>IFERROR(HLOOKUP(B33,'EV Forecast WRZ'!$F$116:$T$122,2,FALSE)*C33/78,0)</f>
        <v>8101.6184615384618</v>
      </c>
      <c r="BG33" s="779"/>
      <c r="BH33" s="779">
        <f t="shared" si="15"/>
        <v>35148328.863142289</v>
      </c>
      <c r="BI33" s="779">
        <v>7464636.54519</v>
      </c>
      <c r="BJ33" s="779">
        <f>IFERROR(VLOOKUP($B33-1,CDM!$V$4:$AJ$17,12,FALSE)/12,0)+IFERROR(VLOOKUP($B33,CDM!$V$41:$AJ$54,12,FALSE)/24,0)+IFERROR(VLOOKUP($B33,CDM!$V$41:$AJ$54,12,FALSE)/2*$C33/78,0)</f>
        <v>140452.21828500758</v>
      </c>
      <c r="BK33" s="779">
        <f t="shared" si="16"/>
        <v>7605088.7634750074</v>
      </c>
      <c r="BL33" s="779">
        <f>IFERROR(HLOOKUP(B33,'EV Forecast WRZ'!$F$116:$T$122,3,FALSE)*C33/78,0)</f>
        <v>1124.1723076923076</v>
      </c>
      <c r="BM33" s="779"/>
      <c r="BN33" s="779">
        <f t="shared" si="17"/>
        <v>7603964.5911673149</v>
      </c>
      <c r="BO33" s="779">
        <v>28988071.77</v>
      </c>
      <c r="BP33" s="779">
        <f>IFERROR(VLOOKUP($B33-1,CDM!$V$4:$AJ$17,13,FALSE)/12,0)+IFERROR(VLOOKUP($B33,CDM!$V$41:$AJ$54,13,FALSE)/24,0)+IFERROR(VLOOKUP($B33,CDM!$V$41:$AJ$54,13,FALSE)/2*$C33/78,0)</f>
        <v>751370.627760528</v>
      </c>
      <c r="BQ33" s="779">
        <f t="shared" si="19"/>
        <v>29739442.397760529</v>
      </c>
      <c r="BR33" s="779">
        <f>IFERROR(HLOOKUP(B33,'EV Forecast WRZ'!$F$116:$T$122,4,FALSE)*C33/78,0)</f>
        <v>519.72369230769232</v>
      </c>
      <c r="BS33" s="779"/>
      <c r="BT33" s="779">
        <f t="shared" si="20"/>
        <v>29738922.67406822</v>
      </c>
      <c r="BU33" s="779">
        <v>5229015.1500000004</v>
      </c>
      <c r="BV33" s="779">
        <f>IFERROR(VLOOKUP($B33-1,CDM!$V$4:$AJ$17,14,FALSE)/12,0)+IFERROR(VLOOKUP($B33,CDM!$V$41:$AJ$54,14,FALSE)/24,0)+IFERROR(VLOOKUP($B33,CDM!$V$41:$AJ$54,14,FALSE)/2*$C33/78,0)</f>
        <v>168924.76447236547</v>
      </c>
      <c r="BW33" s="779">
        <f t="shared" si="21"/>
        <v>5397939.9144723658</v>
      </c>
      <c r="BX33" s="779">
        <f>IFERROR(HLOOKUP(B33,'EV Forecast WRZ'!$F$116:$T$122,5,FALSE)*C33/78,0)</f>
        <v>111.59323076923076</v>
      </c>
      <c r="BY33" s="779">
        <f t="shared" si="72"/>
        <v>5397828.3212415967</v>
      </c>
      <c r="BZ33" s="779">
        <v>371715.47</v>
      </c>
      <c r="CA33" s="779">
        <v>2527.5456713401368</v>
      </c>
      <c r="CB33" s="5">
        <v>49446.35</v>
      </c>
      <c r="CC33" s="5">
        <v>70664.08</v>
      </c>
      <c r="CD33" s="5">
        <v>7530.97</v>
      </c>
      <c r="CE33" s="5">
        <v>1075.29</v>
      </c>
      <c r="CF33" s="763">
        <f t="shared" si="118"/>
        <v>7.333333333333333</v>
      </c>
      <c r="CG33" s="785">
        <v>39789.333333333314</v>
      </c>
      <c r="CH33" s="785">
        <v>2232</v>
      </c>
      <c r="CI33" s="785">
        <v>368</v>
      </c>
      <c r="CJ33" s="785">
        <v>2</v>
      </c>
      <c r="CK33" s="785">
        <v>11894</v>
      </c>
      <c r="CL33" s="785">
        <v>38.333333333333314</v>
      </c>
      <c r="CM33" s="785">
        <v>371</v>
      </c>
      <c r="CN33" s="46">
        <f>Weather!C45</f>
        <v>46.587500000000006</v>
      </c>
      <c r="CO33" s="46">
        <f>Weather!D45</f>
        <v>16.01159420289855</v>
      </c>
      <c r="CP33" s="46">
        <f>Weather!E45</f>
        <v>17.950000000000006</v>
      </c>
      <c r="CQ33" s="46">
        <f>Weather!F45</f>
        <v>49.374094202898547</v>
      </c>
      <c r="CR33" s="46">
        <f>Weather!G45</f>
        <v>3.6416666666666693</v>
      </c>
      <c r="CS33" s="46">
        <f>Weather!H45</f>
        <v>97.06576086956521</v>
      </c>
      <c r="CT33" s="46">
        <f>Weather!I45</f>
        <v>0</v>
      </c>
      <c r="CU33" s="46">
        <f>Weather!J45</f>
        <v>155.42409420289857</v>
      </c>
      <c r="CV33" s="46">
        <f>Weather!K45</f>
        <v>0</v>
      </c>
      <c r="CW33" s="46">
        <f>Weather!L45</f>
        <v>217.42409420289852</v>
      </c>
      <c r="CX33" s="46">
        <f>Weather!M45</f>
        <v>0</v>
      </c>
      <c r="CY33" s="46">
        <f>Weather!N45</f>
        <v>279.42409420289852</v>
      </c>
      <c r="CZ33" s="46">
        <f>Weather!O45</f>
        <v>0</v>
      </c>
      <c r="DA33" s="46">
        <f>Weather!P45</f>
        <v>341.42409420289852</v>
      </c>
      <c r="DB33" s="368">
        <f>'Economic Data'!D47</f>
        <v>7118</v>
      </c>
      <c r="DC33" s="368">
        <f>'Economic Data'!E47</f>
        <v>7207.6</v>
      </c>
      <c r="DD33" s="368">
        <f>'Economic Data'!F47</f>
        <v>207.5</v>
      </c>
      <c r="DE33" s="368">
        <f>'Economic Data'!G47</f>
        <v>209</v>
      </c>
      <c r="DF33" s="368">
        <f>'Economic Data'!H47</f>
        <v>49.6</v>
      </c>
      <c r="DG33" s="368">
        <f>'Economic Data'!I47</f>
        <v>49.6</v>
      </c>
      <c r="DH33" s="368">
        <f>'Economic Data'!J47</f>
        <v>764464.8</v>
      </c>
      <c r="DI33" s="368">
        <f>'Economic Data'!K47</f>
        <v>590729.4</v>
      </c>
      <c r="DJ33" s="368">
        <f>'Economic Data'!L47</f>
        <v>91847.6</v>
      </c>
      <c r="DK33" s="368">
        <f>'Economic Data'!M47</f>
        <v>31122.7</v>
      </c>
      <c r="DL33" s="368">
        <f>'Economic Data'!N47</f>
        <v>765060</v>
      </c>
      <c r="DM33" s="368">
        <f>'Economic Data'!O47</f>
        <v>90464</v>
      </c>
      <c r="DN33" s="368">
        <f>'Economic Data'!P47</f>
        <v>18662</v>
      </c>
      <c r="DO33" s="368">
        <f>'Economic Data'!Q47</f>
        <v>592461</v>
      </c>
      <c r="DP33" s="368">
        <f>'Economic Data'!R47</f>
        <v>31156</v>
      </c>
      <c r="DQ33">
        <v>31</v>
      </c>
      <c r="DR33">
        <v>22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1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f t="shared" si="69"/>
        <v>32</v>
      </c>
      <c r="EI33">
        <v>0</v>
      </c>
      <c r="EJ33">
        <v>0</v>
      </c>
      <c r="EK33">
        <v>0</v>
      </c>
      <c r="EL33">
        <v>0</v>
      </c>
      <c r="EM33" s="47">
        <f t="shared" si="73"/>
        <v>0</v>
      </c>
      <c r="EN33" s="47">
        <f t="shared" si="74"/>
        <v>0</v>
      </c>
      <c r="EO33" s="47">
        <f t="shared" si="75"/>
        <v>0</v>
      </c>
      <c r="EP33" s="47">
        <f t="shared" si="76"/>
        <v>0</v>
      </c>
      <c r="EQ33" s="47">
        <f t="shared" si="77"/>
        <v>0</v>
      </c>
      <c r="ER33" s="47">
        <f t="shared" si="78"/>
        <v>0</v>
      </c>
      <c r="ES33" s="47">
        <f t="shared" si="79"/>
        <v>0</v>
      </c>
      <c r="ET33" s="47">
        <f t="shared" si="80"/>
        <v>0</v>
      </c>
      <c r="EU33" s="47">
        <f t="shared" si="81"/>
        <v>0</v>
      </c>
      <c r="EV33" s="47">
        <f t="shared" si="82"/>
        <v>0</v>
      </c>
      <c r="EW33" s="47">
        <f t="shared" si="83"/>
        <v>0</v>
      </c>
      <c r="EX33" s="47">
        <f t="shared" si="84"/>
        <v>0</v>
      </c>
      <c r="EY33" s="47">
        <f t="shared" si="85"/>
        <v>0</v>
      </c>
      <c r="EZ33" s="47">
        <f t="shared" si="86"/>
        <v>0</v>
      </c>
      <c r="FA33" s="47">
        <f t="shared" si="87"/>
        <v>0</v>
      </c>
      <c r="FB33" s="47">
        <f t="shared" si="88"/>
        <v>0</v>
      </c>
      <c r="FC33" s="47">
        <f t="shared" si="89"/>
        <v>0</v>
      </c>
      <c r="FD33" s="47">
        <f t="shared" si="90"/>
        <v>0</v>
      </c>
      <c r="FE33" s="47">
        <f t="shared" si="91"/>
        <v>0</v>
      </c>
      <c r="FF33" s="47">
        <f t="shared" si="92"/>
        <v>0</v>
      </c>
      <c r="FG33" s="47">
        <f t="shared" si="93"/>
        <v>0</v>
      </c>
      <c r="FH33" s="47">
        <f t="shared" si="94"/>
        <v>0</v>
      </c>
      <c r="FI33" s="47">
        <f t="shared" si="95"/>
        <v>0</v>
      </c>
      <c r="FJ33" s="47">
        <f t="shared" si="96"/>
        <v>0</v>
      </c>
      <c r="FK33" s="47">
        <f t="shared" si="97"/>
        <v>0</v>
      </c>
      <c r="FL33" s="47">
        <f t="shared" si="98"/>
        <v>0</v>
      </c>
      <c r="FM33" s="47">
        <f t="shared" si="99"/>
        <v>0</v>
      </c>
      <c r="FN33" s="47">
        <f t="shared" si="100"/>
        <v>0</v>
      </c>
      <c r="FO33" s="765">
        <f t="shared" si="101"/>
        <v>771.7037234437895</v>
      </c>
      <c r="FP33" s="765">
        <f t="shared" si="102"/>
        <v>661.31835974418436</v>
      </c>
      <c r="FQ33" s="765">
        <f t="shared" si="103"/>
        <v>2649.4901796889972</v>
      </c>
      <c r="FR33" s="765">
        <f t="shared" si="104"/>
        <v>79554.680965399966</v>
      </c>
      <c r="FS33" s="765">
        <f t="shared" si="105"/>
        <v>1590476.79606133</v>
      </c>
      <c r="FT33" s="765">
        <f t="shared" si="106"/>
        <v>6327458.4889537999</v>
      </c>
      <c r="FU33" s="765">
        <f t="shared" si="107"/>
        <v>50.309298228346456</v>
      </c>
      <c r="FV33" s="765">
        <f t="shared" si="108"/>
        <v>21.68599088838269</v>
      </c>
      <c r="FW33" s="765">
        <f t="shared" si="109"/>
        <v>495.57394257986272</v>
      </c>
      <c r="FX33" s="765">
        <f t="shared" si="110"/>
        <v>883.56420016094387</v>
      </c>
      <c r="FY33" s="765">
        <f t="shared" si="111"/>
        <v>3407.2978330981214</v>
      </c>
      <c r="FZ33" s="765">
        <f t="shared" si="112"/>
        <v>80813.70216782752</v>
      </c>
      <c r="GA33" s="765">
        <f t="shared" si="113"/>
        <v>185857.73499999999</v>
      </c>
      <c r="GB33" s="765">
        <f t="shared" si="114"/>
        <v>31.252351605851686</v>
      </c>
      <c r="GC33" s="765">
        <f t="shared" si="115"/>
        <v>65.935974034960125</v>
      </c>
      <c r="GD33" s="765">
        <f t="shared" si="116"/>
        <v>133.27857142857141</v>
      </c>
    </row>
    <row r="34" spans="1:186">
      <c r="A34" s="4">
        <v>42979</v>
      </c>
      <c r="B34" s="6">
        <v>2017</v>
      </c>
      <c r="C34" s="5">
        <v>9</v>
      </c>
      <c r="D34" s="7">
        <v>74005450.480450496</v>
      </c>
      <c r="E34" s="7">
        <f>IFERROR(VLOOKUP($B34-1,CDM!$V$4:$AJ$17,2,FALSE)/12,0)+IFERROR(VLOOKUP($B34,CDM!$V$41:$AJ$54,2,FALSE)/24,0)+IFERROR(VLOOKUP($B34,CDM!$V$41:$AJ$54,2,FALSE)/2*$C34/78,0)</f>
        <v>3031676.4215066549</v>
      </c>
      <c r="F34" s="7">
        <f t="shared" si="2"/>
        <v>77037126.901957154</v>
      </c>
      <c r="G34" s="7">
        <f>IFERROR(HLOOKUP(B34,'EV Forecast VRZ'!$F$116:$T$122,2,FALSE)*C34/78,0)</f>
        <v>28254.395831699592</v>
      </c>
      <c r="H34" s="7"/>
      <c r="I34" s="7">
        <f t="shared" si="3"/>
        <v>77008872.50612545</v>
      </c>
      <c r="J34" s="7">
        <v>729324.48418999999</v>
      </c>
      <c r="K34" s="7">
        <f>IFERROR(VLOOKUP($B34-1,CDM!$V$4:$AJ$17,3,FALSE)/12,0)+IFERROR(VLOOKUP($B34,CDM!$V$41:$AJ$54,3,FALSE)/24,0)+IFERROR(VLOOKUP($B34,CDM!$V$41:$AJ$54,3,FALSE)/2*$C34/78,0)</f>
        <v>34724.226245161248</v>
      </c>
      <c r="L34" s="7">
        <f t="shared" si="4"/>
        <v>764048.71043516125</v>
      </c>
      <c r="M34" s="7">
        <f>IFERROR(HLOOKUP(B34,'EV Forecast VRZ'!$F$116:$T$122,3,FALSE)*C34/78,0)</f>
        <v>384.384168300407</v>
      </c>
      <c r="N34" s="7"/>
      <c r="O34" s="7">
        <f t="shared" si="5"/>
        <v>763664.32626686082</v>
      </c>
      <c r="P34" s="7">
        <v>21680423.1690601</v>
      </c>
      <c r="Q34" s="7">
        <f>IFERROR(VLOOKUP($B34-1,CDM!$V$4:$AJ$17,4,FALSE)/12,0)+IFERROR(VLOOKUP($B34,CDM!$V$41:$AJ$54,4,FALSE)/24,0)+IFERROR(VLOOKUP($B34,CDM!$V$41:$AJ$54,4,FALSE)/2*$C34/78,0)</f>
        <v>733745.76648941566</v>
      </c>
      <c r="R34" s="7">
        <f t="shared" si="6"/>
        <v>22414168.935549516</v>
      </c>
      <c r="S34" s="7">
        <f>IFERROR(HLOOKUP(B34,'EV Forecast VRZ'!$F$116:$T$122,4,FALSE)*C34/78,0)</f>
        <v>3604.4492307692312</v>
      </c>
      <c r="T34" s="7"/>
      <c r="U34" s="7">
        <f t="shared" si="7"/>
        <v>22410564.486318748</v>
      </c>
      <c r="V34" s="7">
        <v>79447122.540000007</v>
      </c>
      <c r="W34" s="7">
        <f>IFERROR(VLOOKUP($B34-1,CDM!$V$4:$AJ$17,5,FALSE)/12,0)+IFERROR(VLOOKUP($B34,CDM!$V$41:$AJ$54,5,FALSE)/24,0)+IFERROR(VLOOKUP($B34,CDM!$V$41:$AJ$54,5,FALSE)/2*$C34/78,0)</f>
        <v>2726165.6493410743</v>
      </c>
      <c r="X34" s="7">
        <f t="shared" si="8"/>
        <v>82173288.189341083</v>
      </c>
      <c r="Y34" s="7">
        <f>IFERROR(HLOOKUP(B34,'EV Forecast VRZ'!$F$116:$T$122,5,FALSE)*C34/78,0)</f>
        <v>1641.0406153846152</v>
      </c>
      <c r="Z34" s="7"/>
      <c r="AA34" s="7">
        <f t="shared" si="9"/>
        <v>82171647.148725703</v>
      </c>
      <c r="AB34" s="7">
        <v>7413804.1200000001</v>
      </c>
      <c r="AC34" s="7">
        <f>IFERROR(VLOOKUP($B34-1,CDM!$V$4:$AJ$17,6,FALSE)/12,0)+IFERROR(VLOOKUP($B34,CDM!$V$41:$AJ$54,6,FALSE)/24,0)+IFERROR(VLOOKUP($B34,CDM!$V$41:$AJ$54,6,FALSE)/2*$C34/78,0)</f>
        <v>107808.59927912072</v>
      </c>
      <c r="AD34" s="7">
        <f t="shared" si="10"/>
        <v>7521612.7192791207</v>
      </c>
      <c r="AE34" s="7">
        <f>IFERROR(HLOOKUP(B34,'EV Forecast VRZ'!$F$116:$T$122,6,FALSE)*C34/78,0)</f>
        <v>256.37630769230771</v>
      </c>
      <c r="AF34" s="7">
        <f t="shared" si="11"/>
        <v>7521356.3429714283</v>
      </c>
      <c r="AG34" s="7">
        <v>17150440.91</v>
      </c>
      <c r="AH34" s="7">
        <f>IFERROR(VLOOKUP($B34-1,CDM!$V$4:$AJ$17,7,FALSE)/12,0)+IFERROR(VLOOKUP($B34,CDM!$V$41:$AJ$54,7,FALSE)/24,0)+IFERROR(VLOOKUP($B34,CDM!$V$41:$AJ$54,7,FALSE)/2*$C34/78,0)</f>
        <v>865021.46964571928</v>
      </c>
      <c r="AI34" s="7">
        <f t="shared" si="12"/>
        <v>18015462.37964572</v>
      </c>
      <c r="AJ34" s="7">
        <f>IFERROR(HLOOKUP(B34,'EV Forecast VRZ'!$F$116:$T$122,7,FALSE)*C34/78,0)</f>
        <v>0</v>
      </c>
      <c r="AK34" s="7">
        <f t="shared" si="13"/>
        <v>18015462.37964572</v>
      </c>
      <c r="AL34" s="7">
        <v>1613629.19</v>
      </c>
      <c r="AM34" s="7">
        <v>40266.239999999998</v>
      </c>
      <c r="AN34" s="7">
        <v>408564.23</v>
      </c>
      <c r="AO34" s="5">
        <v>204071.61</v>
      </c>
      <c r="AP34" s="5">
        <v>16122.23</v>
      </c>
      <c r="AQ34" s="5">
        <v>29396</v>
      </c>
      <c r="AR34" s="5">
        <v>4462.2</v>
      </c>
      <c r="AS34" s="763">
        <f t="shared" si="117"/>
        <v>80.583333333333329</v>
      </c>
      <c r="AT34" s="776">
        <v>108543.5</v>
      </c>
      <c r="AU34" s="776">
        <v>1574.7499999999993</v>
      </c>
      <c r="AV34" s="776">
        <v>9024.75</v>
      </c>
      <c r="AW34" s="776">
        <v>1075.0000000000007</v>
      </c>
      <c r="AX34" s="776">
        <v>5</v>
      </c>
      <c r="AY34" s="776">
        <v>3</v>
      </c>
      <c r="AZ34" s="776">
        <v>30525.5</v>
      </c>
      <c r="BA34" s="776">
        <v>439</v>
      </c>
      <c r="BB34" s="776">
        <v>823.49999999999966</v>
      </c>
      <c r="BC34" s="779">
        <v>31003407.743730098</v>
      </c>
      <c r="BD34" s="779">
        <f>IFERROR(VLOOKUP($B34-1,CDM!$V$4:$AJ$17,11,FALSE)/12,0)+IFERROR(VLOOKUP($B34,CDM!$V$41:$AJ$54,11,FALSE)/24,0)+IFERROR(VLOOKUP($B34,CDM!$V$41:$AJ$54,11,FALSE)/2*$C34/78,0)</f>
        <v>1576781.859519497</v>
      </c>
      <c r="BE34" s="779">
        <f t="shared" si="71"/>
        <v>32580189.603249595</v>
      </c>
      <c r="BF34" s="779">
        <f>IFERROR(HLOOKUP(B34,'EV Forecast WRZ'!$F$116:$T$122,2,FALSE)*C34/78,0)</f>
        <v>9114.3207692307697</v>
      </c>
      <c r="BG34" s="779"/>
      <c r="BH34" s="779">
        <f t="shared" si="15"/>
        <v>32571075.282480363</v>
      </c>
      <c r="BI34" s="779">
        <v>7112919.8067100001</v>
      </c>
      <c r="BJ34" s="779">
        <f>IFERROR(VLOOKUP($B34-1,CDM!$V$4:$AJ$17,12,FALSE)/12,0)+IFERROR(VLOOKUP($B34,CDM!$V$41:$AJ$54,12,FALSE)/24,0)+IFERROR(VLOOKUP($B34,CDM!$V$41:$AJ$54,12,FALSE)/2*$C34/78,0)</f>
        <v>142175.23119631299</v>
      </c>
      <c r="BK34" s="779">
        <f t="shared" si="16"/>
        <v>7255095.0379063133</v>
      </c>
      <c r="BL34" s="779">
        <f>IFERROR(HLOOKUP(B34,'EV Forecast WRZ'!$F$116:$T$122,3,FALSE)*C34/78,0)</f>
        <v>1264.6938461538462</v>
      </c>
      <c r="BM34" s="779"/>
      <c r="BN34" s="779">
        <f t="shared" si="17"/>
        <v>7253830.3440601593</v>
      </c>
      <c r="BO34" s="779">
        <v>29602627.350000001</v>
      </c>
      <c r="BP34" s="779">
        <f>IFERROR(VLOOKUP($B34-1,CDM!$V$4:$AJ$17,13,FALSE)/12,0)+IFERROR(VLOOKUP($B34,CDM!$V$41:$AJ$54,13,FALSE)/24,0)+IFERROR(VLOOKUP($B34,CDM!$V$41:$AJ$54,13,FALSE)/2*$C34/78,0)</f>
        <v>773904.1342954525</v>
      </c>
      <c r="BQ34" s="779">
        <f t="shared" si="19"/>
        <v>30376531.484295454</v>
      </c>
      <c r="BR34" s="779">
        <f>IFERROR(HLOOKUP(B34,'EV Forecast WRZ'!$F$116:$T$122,4,FALSE)*C34/78,0)</f>
        <v>584.68915384615389</v>
      </c>
      <c r="BS34" s="779"/>
      <c r="BT34" s="779">
        <f t="shared" si="20"/>
        <v>30375946.795141608</v>
      </c>
      <c r="BU34" s="779">
        <v>5107859.58</v>
      </c>
      <c r="BV34" s="779">
        <f>IFERROR(VLOOKUP($B34-1,CDM!$V$4:$AJ$17,14,FALSE)/12,0)+IFERROR(VLOOKUP($B34,CDM!$V$41:$AJ$54,14,FALSE)/24,0)+IFERROR(VLOOKUP($B34,CDM!$V$41:$AJ$54,14,FALSE)/2*$C34/78,0)</f>
        <v>173990.79599331255</v>
      </c>
      <c r="BW34" s="779">
        <f t="shared" si="21"/>
        <v>5281850.3759933123</v>
      </c>
      <c r="BX34" s="779">
        <f>IFERROR(HLOOKUP(B34,'EV Forecast WRZ'!$F$116:$T$122,5,FALSE)*C34/78,0)</f>
        <v>125.54238461538459</v>
      </c>
      <c r="BY34" s="779">
        <f t="shared" si="72"/>
        <v>5281724.8336086972</v>
      </c>
      <c r="BZ34" s="779">
        <v>401879.88</v>
      </c>
      <c r="CA34" s="779">
        <v>2527.5456713401368</v>
      </c>
      <c r="CB34" s="5">
        <v>49843.6</v>
      </c>
      <c r="CC34" s="5">
        <v>72657.2</v>
      </c>
      <c r="CD34" s="5">
        <v>7803.41</v>
      </c>
      <c r="CE34" s="5">
        <v>1075.3</v>
      </c>
      <c r="CF34" s="763">
        <f t="shared" si="118"/>
        <v>7.333333333333333</v>
      </c>
      <c r="CG34" s="785">
        <v>39814.499999999978</v>
      </c>
      <c r="CH34" s="785">
        <v>2233.5</v>
      </c>
      <c r="CI34" s="785">
        <v>368</v>
      </c>
      <c r="CJ34" s="785">
        <v>2</v>
      </c>
      <c r="CK34" s="785">
        <v>11896</v>
      </c>
      <c r="CL34" s="785">
        <v>38.249999999999979</v>
      </c>
      <c r="CM34" s="785">
        <v>371.25</v>
      </c>
      <c r="CN34" s="46">
        <f>Weather!C46</f>
        <v>100.06666666666666</v>
      </c>
      <c r="CO34" s="46">
        <f>Weather!D46</f>
        <v>15.912499999999994</v>
      </c>
      <c r="CP34" s="46">
        <f>Weather!E46</f>
        <v>65.699999999999989</v>
      </c>
      <c r="CQ34" s="46">
        <f>Weather!F46</f>
        <v>41.54583333333332</v>
      </c>
      <c r="CR34" s="46">
        <f>Weather!G46</f>
        <v>37.391666666666666</v>
      </c>
      <c r="CS34" s="46">
        <f>Weather!H46</f>
        <v>73.237499999999983</v>
      </c>
      <c r="CT34" s="46">
        <f>Weather!I46</f>
        <v>16.833333333333329</v>
      </c>
      <c r="CU34" s="46">
        <f>Weather!J46</f>
        <v>112.67916666666666</v>
      </c>
      <c r="CV34" s="46">
        <f>Weather!K46</f>
        <v>5.466666666666665</v>
      </c>
      <c r="CW34" s="46">
        <f>Weather!L46</f>
        <v>161.3125</v>
      </c>
      <c r="CX34" s="46">
        <f>Weather!M46</f>
        <v>1.3833333333333311</v>
      </c>
      <c r="CY34" s="46">
        <f>Weather!N46</f>
        <v>217.22916666666663</v>
      </c>
      <c r="CZ34" s="46">
        <f>Weather!O46</f>
        <v>0</v>
      </c>
      <c r="DA34" s="46">
        <f>Weather!P46</f>
        <v>275.8458333333333</v>
      </c>
      <c r="DB34" s="368">
        <f>'Economic Data'!D48</f>
        <v>7143.3</v>
      </c>
      <c r="DC34" s="368">
        <f>'Economic Data'!E48</f>
        <v>7185.7</v>
      </c>
      <c r="DD34" s="368">
        <f>'Economic Data'!F48</f>
        <v>207.7</v>
      </c>
      <c r="DE34" s="368">
        <f>'Economic Data'!G48</f>
        <v>206.8</v>
      </c>
      <c r="DF34" s="368">
        <f>'Economic Data'!H48</f>
        <v>47.3</v>
      </c>
      <c r="DG34" s="368">
        <f>'Economic Data'!I48</f>
        <v>47.3</v>
      </c>
      <c r="DH34" s="368">
        <f>'Economic Data'!J48</f>
        <v>764464.8</v>
      </c>
      <c r="DI34" s="368">
        <f>'Economic Data'!K48</f>
        <v>590729.4</v>
      </c>
      <c r="DJ34" s="368">
        <f>'Economic Data'!L48</f>
        <v>91847.6</v>
      </c>
      <c r="DK34" s="368">
        <f>'Economic Data'!M48</f>
        <v>31122.7</v>
      </c>
      <c r="DL34" s="368">
        <f>'Economic Data'!N48</f>
        <v>765060</v>
      </c>
      <c r="DM34" s="368">
        <f>'Economic Data'!O48</f>
        <v>90464</v>
      </c>
      <c r="DN34" s="368">
        <f>'Economic Data'!P48</f>
        <v>18662</v>
      </c>
      <c r="DO34" s="368">
        <f>'Economic Data'!Q48</f>
        <v>592461</v>
      </c>
      <c r="DP34" s="368">
        <f>'Economic Data'!R48</f>
        <v>31156</v>
      </c>
      <c r="DQ34">
        <v>30</v>
      </c>
      <c r="DR34">
        <v>20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1</v>
      </c>
      <c r="EB34">
        <v>0</v>
      </c>
      <c r="EC34">
        <v>0</v>
      </c>
      <c r="ED34">
        <v>0</v>
      </c>
      <c r="EE34">
        <v>0</v>
      </c>
      <c r="EF34">
        <v>1</v>
      </c>
      <c r="EG34">
        <v>1</v>
      </c>
      <c r="EH34">
        <f t="shared" si="69"/>
        <v>33</v>
      </c>
      <c r="EI34">
        <v>0</v>
      </c>
      <c r="EJ34">
        <v>0</v>
      </c>
      <c r="EK34">
        <v>0</v>
      </c>
      <c r="EL34">
        <v>0</v>
      </c>
      <c r="EM34" s="47">
        <f t="shared" si="73"/>
        <v>0</v>
      </c>
      <c r="EN34" s="47">
        <f t="shared" si="74"/>
        <v>0</v>
      </c>
      <c r="EO34" s="47">
        <f t="shared" si="75"/>
        <v>0</v>
      </c>
      <c r="EP34" s="47">
        <f t="shared" si="76"/>
        <v>0</v>
      </c>
      <c r="EQ34" s="47">
        <f t="shared" si="77"/>
        <v>0</v>
      </c>
      <c r="ER34" s="47">
        <f t="shared" si="78"/>
        <v>0</v>
      </c>
      <c r="ES34" s="47">
        <f t="shared" si="79"/>
        <v>0</v>
      </c>
      <c r="ET34" s="47">
        <f t="shared" si="80"/>
        <v>0</v>
      </c>
      <c r="EU34" s="47">
        <f t="shared" si="81"/>
        <v>0</v>
      </c>
      <c r="EV34" s="47">
        <f t="shared" si="82"/>
        <v>0</v>
      </c>
      <c r="EW34" s="47">
        <f t="shared" si="83"/>
        <v>0</v>
      </c>
      <c r="EX34" s="47">
        <f t="shared" si="84"/>
        <v>0</v>
      </c>
      <c r="EY34" s="47">
        <f t="shared" si="85"/>
        <v>0</v>
      </c>
      <c r="EZ34" s="47">
        <f t="shared" si="86"/>
        <v>0</v>
      </c>
      <c r="FA34" s="47">
        <f t="shared" si="87"/>
        <v>0</v>
      </c>
      <c r="FB34" s="47">
        <f t="shared" si="88"/>
        <v>0</v>
      </c>
      <c r="FC34" s="47">
        <f t="shared" si="89"/>
        <v>0</v>
      </c>
      <c r="FD34" s="47">
        <f t="shared" si="90"/>
        <v>0</v>
      </c>
      <c r="FE34" s="47">
        <f t="shared" si="91"/>
        <v>0</v>
      </c>
      <c r="FF34" s="47">
        <f t="shared" si="92"/>
        <v>0</v>
      </c>
      <c r="FG34" s="47">
        <f t="shared" si="93"/>
        <v>0</v>
      </c>
      <c r="FH34" s="47">
        <f t="shared" si="94"/>
        <v>0</v>
      </c>
      <c r="FI34" s="47">
        <f t="shared" si="95"/>
        <v>0</v>
      </c>
      <c r="FJ34" s="47">
        <f t="shared" si="96"/>
        <v>0</v>
      </c>
      <c r="FK34" s="47">
        <f t="shared" si="97"/>
        <v>0</v>
      </c>
      <c r="FL34" s="47">
        <f t="shared" si="98"/>
        <v>0</v>
      </c>
      <c r="FM34" s="47">
        <f t="shared" si="99"/>
        <v>0</v>
      </c>
      <c r="FN34" s="47">
        <f t="shared" si="100"/>
        <v>0</v>
      </c>
      <c r="FO34" s="765">
        <f t="shared" si="101"/>
        <v>709.47474981113976</v>
      </c>
      <c r="FP34" s="765">
        <f t="shared" si="102"/>
        <v>485.18730619791177</v>
      </c>
      <c r="FQ34" s="765">
        <f t="shared" si="103"/>
        <v>2483.6332236958938</v>
      </c>
      <c r="FR34" s="765">
        <f t="shared" si="104"/>
        <v>76440.268083107934</v>
      </c>
      <c r="FS34" s="765">
        <f t="shared" si="105"/>
        <v>1504322.543855824</v>
      </c>
      <c r="FT34" s="765">
        <f t="shared" si="106"/>
        <v>6005154.1265485734</v>
      </c>
      <c r="FU34" s="765">
        <f t="shared" si="107"/>
        <v>52.861679251773104</v>
      </c>
      <c r="FV34" s="765">
        <f t="shared" si="108"/>
        <v>91.722642369020491</v>
      </c>
      <c r="FW34" s="765">
        <f t="shared" si="109"/>
        <v>496.13142683667292</v>
      </c>
      <c r="FX34" s="765">
        <f t="shared" si="110"/>
        <v>818.29960449709563</v>
      </c>
      <c r="FY34" s="765">
        <f t="shared" si="111"/>
        <v>3248.307605957606</v>
      </c>
      <c r="FZ34" s="765">
        <f t="shared" si="112"/>
        <v>82544.922511672426</v>
      </c>
      <c r="GA34" s="765">
        <f t="shared" si="113"/>
        <v>200939.94</v>
      </c>
      <c r="GB34" s="765">
        <f t="shared" si="114"/>
        <v>33.782774041694687</v>
      </c>
      <c r="GC34" s="765">
        <f t="shared" si="115"/>
        <v>66.079625394513414</v>
      </c>
      <c r="GD34" s="765">
        <f t="shared" si="116"/>
        <v>134.25885521885522</v>
      </c>
    </row>
    <row r="35" spans="1:186">
      <c r="A35" s="4">
        <v>43009</v>
      </c>
      <c r="B35" s="6">
        <v>2017</v>
      </c>
      <c r="C35" s="5">
        <v>10</v>
      </c>
      <c r="D35" s="7">
        <v>63690616.818190597</v>
      </c>
      <c r="E35" s="7">
        <f>IFERROR(VLOOKUP($B35-1,CDM!$V$4:$AJ$17,2,FALSE)/12,0)+IFERROR(VLOOKUP($B35,CDM!$V$41:$AJ$54,2,FALSE)/24,0)+IFERROR(VLOOKUP($B35,CDM!$V$41:$AJ$54,2,FALSE)/2*$C35/78,0)</f>
        <v>3143029.4827712164</v>
      </c>
      <c r="F35" s="7">
        <f t="shared" si="2"/>
        <v>66833646.300961815</v>
      </c>
      <c r="G35" s="7">
        <f>IFERROR(HLOOKUP(B35,'EV Forecast VRZ'!$F$116:$T$122,2,FALSE)*C35/78,0)</f>
        <v>31393.773146332882</v>
      </c>
      <c r="H35" s="7"/>
      <c r="I35" s="7">
        <f t="shared" si="3"/>
        <v>66802252.527815484</v>
      </c>
      <c r="J35" s="7">
        <v>656836.2338899991</v>
      </c>
      <c r="K35" s="7">
        <f>IFERROR(VLOOKUP($B35-1,CDM!$V$4:$AJ$17,3,FALSE)/12,0)+IFERROR(VLOOKUP($B35,CDM!$V$41:$AJ$54,3,FALSE)/24,0)+IFERROR(VLOOKUP($B35,CDM!$V$41:$AJ$54,3,FALSE)/2*$C35/78,0)</f>
        <v>35999.64233673751</v>
      </c>
      <c r="L35" s="7">
        <f t="shared" si="4"/>
        <v>692835.87622673658</v>
      </c>
      <c r="M35" s="7">
        <f>IFERROR(HLOOKUP(B35,'EV Forecast VRZ'!$F$116:$T$122,3,FALSE)*C35/78,0)</f>
        <v>427.09352033378553</v>
      </c>
      <c r="N35" s="7"/>
      <c r="O35" s="7">
        <f t="shared" si="5"/>
        <v>692408.78270640282</v>
      </c>
      <c r="P35" s="7">
        <v>20578458.00911</v>
      </c>
      <c r="Q35" s="7">
        <f>IFERROR(VLOOKUP($B35-1,CDM!$V$4:$AJ$17,4,FALSE)/12,0)+IFERROR(VLOOKUP($B35,CDM!$V$41:$AJ$54,4,FALSE)/24,0)+IFERROR(VLOOKUP($B35,CDM!$V$41:$AJ$54,4,FALSE)/2*$C35/78,0)</f>
        <v>747396.01120428427</v>
      </c>
      <c r="R35" s="7">
        <f t="shared" si="6"/>
        <v>21325854.020314284</v>
      </c>
      <c r="S35" s="7">
        <f>IFERROR(HLOOKUP(B35,'EV Forecast VRZ'!$F$116:$T$122,4,FALSE)*C35/78,0)</f>
        <v>4004.9435897435901</v>
      </c>
      <c r="T35" s="7"/>
      <c r="U35" s="7">
        <f t="shared" si="7"/>
        <v>21321849.07672454</v>
      </c>
      <c r="V35" s="7">
        <v>77301264.430000007</v>
      </c>
      <c r="W35" s="7">
        <f>IFERROR(VLOOKUP($B35-1,CDM!$V$4:$AJ$17,5,FALSE)/12,0)+IFERROR(VLOOKUP($B35,CDM!$V$41:$AJ$54,5,FALSE)/24,0)+IFERROR(VLOOKUP($B35,CDM!$V$41:$AJ$54,5,FALSE)/2*$C35/78,0)</f>
        <v>2782979.4567848695</v>
      </c>
      <c r="X35" s="7">
        <f t="shared" si="8"/>
        <v>80084243.886784881</v>
      </c>
      <c r="Y35" s="7">
        <f>IFERROR(HLOOKUP(B35,'EV Forecast VRZ'!$F$116:$T$122,5,FALSE)*C35/78,0)</f>
        <v>1823.3784615384614</v>
      </c>
      <c r="Z35" s="7"/>
      <c r="AA35" s="7">
        <f t="shared" si="9"/>
        <v>80082420.508323342</v>
      </c>
      <c r="AB35" s="7">
        <v>7950649.7699999996</v>
      </c>
      <c r="AC35" s="7">
        <f>IFERROR(VLOOKUP($B35-1,CDM!$V$4:$AJ$17,6,FALSE)/12,0)+IFERROR(VLOOKUP($B35,CDM!$V$41:$AJ$54,6,FALSE)/24,0)+IFERROR(VLOOKUP($B35,CDM!$V$41:$AJ$54,6,FALSE)/2*$C35/78,0)</f>
        <v>112083.6182515921</v>
      </c>
      <c r="AD35" s="7">
        <f t="shared" si="10"/>
        <v>8062733.3882515915</v>
      </c>
      <c r="AE35" s="7">
        <f>IFERROR(HLOOKUP(B35,'EV Forecast VRZ'!$F$116:$T$122,6,FALSE)*C35/78,0)</f>
        <v>284.86256410256408</v>
      </c>
      <c r="AF35" s="7">
        <f t="shared" si="11"/>
        <v>8062448.5256874887</v>
      </c>
      <c r="AG35" s="7">
        <v>18364591.350000001</v>
      </c>
      <c r="AH35" s="7">
        <f>IFERROR(VLOOKUP($B35-1,CDM!$V$4:$AJ$17,7,FALSE)/12,0)+IFERROR(VLOOKUP($B35,CDM!$V$41:$AJ$54,7,FALSE)/24,0)+IFERROR(VLOOKUP($B35,CDM!$V$41:$AJ$54,7,FALSE)/2*$C35/78,0)</f>
        <v>882502.33243003592</v>
      </c>
      <c r="AI35" s="7">
        <f t="shared" si="12"/>
        <v>19247093.682430036</v>
      </c>
      <c r="AJ35" s="7">
        <f>IFERROR(HLOOKUP(B35,'EV Forecast VRZ'!$F$116:$T$122,7,FALSE)*C35/78,0)</f>
        <v>0</v>
      </c>
      <c r="AK35" s="7">
        <f t="shared" si="13"/>
        <v>19247093.682430036</v>
      </c>
      <c r="AL35" s="7">
        <v>1773077.15</v>
      </c>
      <c r="AM35" s="7">
        <v>25879.379999999997</v>
      </c>
      <c r="AN35" s="7">
        <v>408472</v>
      </c>
      <c r="AO35" s="5">
        <v>188346.19</v>
      </c>
      <c r="AP35" s="5">
        <v>17059.22</v>
      </c>
      <c r="AQ35" s="5">
        <v>33355</v>
      </c>
      <c r="AR35" s="5">
        <v>4197.46</v>
      </c>
      <c r="AS35" s="763">
        <f t="shared" si="117"/>
        <v>80.583333333333329</v>
      </c>
      <c r="AT35" s="776">
        <v>108615</v>
      </c>
      <c r="AU35" s="776">
        <v>1573.8333333333326</v>
      </c>
      <c r="AV35" s="776">
        <v>9028.5</v>
      </c>
      <c r="AW35" s="776">
        <v>1077.6666666666674</v>
      </c>
      <c r="AX35" s="776">
        <v>5</v>
      </c>
      <c r="AY35" s="776">
        <v>3</v>
      </c>
      <c r="AZ35" s="776">
        <v>30571</v>
      </c>
      <c r="BA35" s="776">
        <v>439</v>
      </c>
      <c r="BB35" s="776">
        <v>822.66666666666629</v>
      </c>
      <c r="BC35" s="779">
        <v>24831861.827180002</v>
      </c>
      <c r="BD35" s="779">
        <f>IFERROR(VLOOKUP($B35-1,CDM!$V$4:$AJ$17,11,FALSE)/12,0)+IFERROR(VLOOKUP($B35,CDM!$V$41:$AJ$54,11,FALSE)/24,0)+IFERROR(VLOOKUP($B35,CDM!$V$41:$AJ$54,11,FALSE)/2*$C35/78,0)</f>
        <v>1636427.5029150639</v>
      </c>
      <c r="BE35" s="779">
        <f t="shared" si="71"/>
        <v>26468289.330095068</v>
      </c>
      <c r="BF35" s="779">
        <f>IFERROR(HLOOKUP(B35,'EV Forecast WRZ'!$F$116:$T$122,2,FALSE)*C35/78,0)</f>
        <v>10127.023076923078</v>
      </c>
      <c r="BG35" s="779"/>
      <c r="BH35" s="779">
        <f t="shared" si="15"/>
        <v>26458162.307018146</v>
      </c>
      <c r="BI35" s="779">
        <v>6644922.6095499899</v>
      </c>
      <c r="BJ35" s="779">
        <f>IFERROR(VLOOKUP($B35-1,CDM!$V$4:$AJ$17,12,FALSE)/12,0)+IFERROR(VLOOKUP($B35,CDM!$V$41:$AJ$54,12,FALSE)/24,0)+IFERROR(VLOOKUP($B35,CDM!$V$41:$AJ$54,12,FALSE)/2*$C35/78,0)</f>
        <v>143898.2441076184</v>
      </c>
      <c r="BK35" s="779">
        <f t="shared" si="16"/>
        <v>6788820.8536576079</v>
      </c>
      <c r="BL35" s="779">
        <f>IFERROR(HLOOKUP(B35,'EV Forecast WRZ'!$F$116:$T$122,3,FALSE)*C35/78,0)</f>
        <v>1405.2153846153847</v>
      </c>
      <c r="BM35" s="779"/>
      <c r="BN35" s="779">
        <f t="shared" si="17"/>
        <v>6787415.6382729923</v>
      </c>
      <c r="BO35" s="779">
        <v>27500606.899999999</v>
      </c>
      <c r="BP35" s="779">
        <f>IFERROR(VLOOKUP($B35-1,CDM!$V$4:$AJ$17,13,FALSE)/12,0)+IFERROR(VLOOKUP($B35,CDM!$V$41:$AJ$54,13,FALSE)/24,0)+IFERROR(VLOOKUP($B35,CDM!$V$41:$AJ$54,13,FALSE)/2*$C35/78,0)</f>
        <v>796437.64083037688</v>
      </c>
      <c r="BQ35" s="779">
        <f t="shared" si="19"/>
        <v>28297044.540830374</v>
      </c>
      <c r="BR35" s="779">
        <f>IFERROR(HLOOKUP(B35,'EV Forecast WRZ'!$F$116:$T$122,4,FALSE)*C35/78,0)</f>
        <v>649.65461538461545</v>
      </c>
      <c r="BS35" s="779"/>
      <c r="BT35" s="779">
        <f t="shared" si="20"/>
        <v>28296394.88621499</v>
      </c>
      <c r="BU35" s="779">
        <v>5243707.08</v>
      </c>
      <c r="BV35" s="779">
        <f>IFERROR(VLOOKUP($B35-1,CDM!$V$4:$AJ$17,14,FALSE)/12,0)+IFERROR(VLOOKUP($B35,CDM!$V$41:$AJ$54,14,FALSE)/24,0)+IFERROR(VLOOKUP($B35,CDM!$V$41:$AJ$54,14,FALSE)/2*$C35/78,0)</f>
        <v>179056.82751425961</v>
      </c>
      <c r="BW35" s="779">
        <f t="shared" si="21"/>
        <v>5422763.9075142592</v>
      </c>
      <c r="BX35" s="779">
        <f>IFERROR(HLOOKUP(B35,'EV Forecast WRZ'!$F$116:$T$122,5,FALSE)*C35/78,0)</f>
        <v>139.49153846153845</v>
      </c>
      <c r="BY35" s="779">
        <f t="shared" si="72"/>
        <v>5422624.4159757979</v>
      </c>
      <c r="BZ35" s="779">
        <v>467548.37</v>
      </c>
      <c r="CA35" s="779">
        <v>2527.5456713401368</v>
      </c>
      <c r="CB35" s="5">
        <v>49884.38</v>
      </c>
      <c r="CC35" s="5">
        <v>69454.039999999994</v>
      </c>
      <c r="CD35" s="5">
        <v>7509.42</v>
      </c>
      <c r="CE35" s="5">
        <v>1075.3</v>
      </c>
      <c r="CF35" s="763">
        <f t="shared" si="118"/>
        <v>7.333333333333333</v>
      </c>
      <c r="CG35" s="785">
        <v>39839.666666666642</v>
      </c>
      <c r="CH35" s="785">
        <v>2235</v>
      </c>
      <c r="CI35" s="785">
        <v>368</v>
      </c>
      <c r="CJ35" s="785">
        <v>2</v>
      </c>
      <c r="CK35" s="785">
        <v>11898</v>
      </c>
      <c r="CL35" s="785">
        <v>38.166666666666643</v>
      </c>
      <c r="CM35" s="785">
        <v>371.5</v>
      </c>
      <c r="CN35" s="46">
        <f>Weather!C47</f>
        <v>238.48333333333335</v>
      </c>
      <c r="CO35" s="46">
        <f>Weather!D47</f>
        <v>0</v>
      </c>
      <c r="CP35" s="46">
        <f>Weather!E47</f>
        <v>179.70833333333334</v>
      </c>
      <c r="CQ35" s="46">
        <f>Weather!F47</f>
        <v>3.2250000000000014</v>
      </c>
      <c r="CR35" s="46">
        <f>Weather!G47</f>
        <v>124.7625</v>
      </c>
      <c r="CS35" s="46">
        <f>Weather!H47</f>
        <v>10.279166666666672</v>
      </c>
      <c r="CT35" s="46">
        <f>Weather!I47</f>
        <v>82.137500000000017</v>
      </c>
      <c r="CU35" s="46">
        <f>Weather!J47</f>
        <v>29.654166666666669</v>
      </c>
      <c r="CV35" s="46">
        <f>Weather!K47</f>
        <v>49.88333333333334</v>
      </c>
      <c r="CW35" s="46">
        <f>Weather!L47</f>
        <v>59.400000000000006</v>
      </c>
      <c r="CX35" s="46">
        <f>Weather!M47</f>
        <v>26.758333333333336</v>
      </c>
      <c r="CY35" s="46">
        <f>Weather!N47</f>
        <v>98.274999999999977</v>
      </c>
      <c r="CZ35" s="46">
        <f>Weather!O47</f>
        <v>11.620833333333334</v>
      </c>
      <c r="DA35" s="46">
        <f>Weather!P47</f>
        <v>145.13749999999999</v>
      </c>
      <c r="DB35" s="368">
        <f>'Economic Data'!D49</f>
        <v>7158.3</v>
      </c>
      <c r="DC35" s="368">
        <f>'Economic Data'!E49</f>
        <v>7179.8</v>
      </c>
      <c r="DD35" s="368">
        <f>'Economic Data'!F49</f>
        <v>209.3</v>
      </c>
      <c r="DE35" s="368">
        <f>'Economic Data'!G49</f>
        <v>208</v>
      </c>
      <c r="DF35" s="368">
        <f>'Economic Data'!H49</f>
        <v>43.8</v>
      </c>
      <c r="DG35" s="368">
        <f>'Economic Data'!I49</f>
        <v>43.8</v>
      </c>
      <c r="DH35" s="368">
        <f>'Economic Data'!J49</f>
        <v>764464.8</v>
      </c>
      <c r="DI35" s="368">
        <f>'Economic Data'!K49</f>
        <v>590729.4</v>
      </c>
      <c r="DJ35" s="368">
        <f>'Economic Data'!L49</f>
        <v>91847.6</v>
      </c>
      <c r="DK35" s="368">
        <f>'Economic Data'!M49</f>
        <v>31122.7</v>
      </c>
      <c r="DL35" s="368">
        <f>'Economic Data'!N49</f>
        <v>771453</v>
      </c>
      <c r="DM35" s="368">
        <f>'Economic Data'!O49</f>
        <v>91583</v>
      </c>
      <c r="DN35" s="368">
        <f>'Economic Data'!P49</f>
        <v>19133</v>
      </c>
      <c r="DO35" s="368">
        <f>'Economic Data'!Q49</f>
        <v>596813</v>
      </c>
      <c r="DP35" s="368">
        <f>'Economic Data'!R49</f>
        <v>31522</v>
      </c>
      <c r="DQ35">
        <v>31</v>
      </c>
      <c r="DR35">
        <v>21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</v>
      </c>
      <c r="EC35">
        <v>0</v>
      </c>
      <c r="ED35">
        <v>0</v>
      </c>
      <c r="EE35">
        <v>0</v>
      </c>
      <c r="EF35">
        <v>1</v>
      </c>
      <c r="EG35">
        <v>1</v>
      </c>
      <c r="EH35">
        <f t="shared" si="69"/>
        <v>34</v>
      </c>
      <c r="EI35">
        <v>0</v>
      </c>
      <c r="EJ35">
        <v>0</v>
      </c>
      <c r="EK35">
        <v>0</v>
      </c>
      <c r="EL35">
        <v>0</v>
      </c>
      <c r="EM35" s="47">
        <f t="shared" si="73"/>
        <v>0</v>
      </c>
      <c r="EN35" s="47">
        <f t="shared" si="74"/>
        <v>0</v>
      </c>
      <c r="EO35" s="47">
        <f t="shared" si="75"/>
        <v>0</v>
      </c>
      <c r="EP35" s="47">
        <f t="shared" si="76"/>
        <v>0</v>
      </c>
      <c r="EQ35" s="47">
        <f t="shared" si="77"/>
        <v>0</v>
      </c>
      <c r="ER35" s="47">
        <f t="shared" si="78"/>
        <v>0</v>
      </c>
      <c r="ES35" s="47">
        <f t="shared" si="79"/>
        <v>0</v>
      </c>
      <c r="ET35" s="47">
        <f t="shared" si="80"/>
        <v>0</v>
      </c>
      <c r="EU35" s="47">
        <f t="shared" si="81"/>
        <v>0</v>
      </c>
      <c r="EV35" s="47">
        <f t="shared" si="82"/>
        <v>0</v>
      </c>
      <c r="EW35" s="47">
        <f t="shared" si="83"/>
        <v>0</v>
      </c>
      <c r="EX35" s="47">
        <f t="shared" si="84"/>
        <v>0</v>
      </c>
      <c r="EY35" s="47">
        <f t="shared" si="85"/>
        <v>0</v>
      </c>
      <c r="EZ35" s="47">
        <f t="shared" si="86"/>
        <v>0</v>
      </c>
      <c r="FA35" s="47">
        <f t="shared" si="87"/>
        <v>0</v>
      </c>
      <c r="FB35" s="47">
        <f t="shared" si="88"/>
        <v>0</v>
      </c>
      <c r="FC35" s="47">
        <f t="shared" si="89"/>
        <v>0</v>
      </c>
      <c r="FD35" s="47">
        <f t="shared" si="90"/>
        <v>0</v>
      </c>
      <c r="FE35" s="47">
        <f t="shared" si="91"/>
        <v>0</v>
      </c>
      <c r="FF35" s="47">
        <f t="shared" si="92"/>
        <v>0</v>
      </c>
      <c r="FG35" s="47">
        <f t="shared" si="93"/>
        <v>0</v>
      </c>
      <c r="FH35" s="47">
        <f t="shared" si="94"/>
        <v>0</v>
      </c>
      <c r="FI35" s="47">
        <f t="shared" si="95"/>
        <v>0</v>
      </c>
      <c r="FJ35" s="47">
        <f t="shared" si="96"/>
        <v>0</v>
      </c>
      <c r="FK35" s="47">
        <f t="shared" si="97"/>
        <v>0</v>
      </c>
      <c r="FL35" s="47">
        <f t="shared" si="98"/>
        <v>0</v>
      </c>
      <c r="FM35" s="47">
        <f t="shared" si="99"/>
        <v>0</v>
      </c>
      <c r="FN35" s="47">
        <f t="shared" si="100"/>
        <v>0</v>
      </c>
      <c r="FO35" s="765">
        <f t="shared" si="101"/>
        <v>615.03708076983366</v>
      </c>
      <c r="FP35" s="765">
        <f t="shared" si="102"/>
        <v>440.22188471464807</v>
      </c>
      <c r="FQ35" s="765">
        <f t="shared" si="103"/>
        <v>2362.0594805686751</v>
      </c>
      <c r="FR35" s="765">
        <f t="shared" si="104"/>
        <v>74312.629650589079</v>
      </c>
      <c r="FS35" s="765">
        <f t="shared" si="105"/>
        <v>1612546.6776503182</v>
      </c>
      <c r="FT35" s="765">
        <f t="shared" si="106"/>
        <v>6415697.8941433458</v>
      </c>
      <c r="FU35" s="765">
        <f t="shared" si="107"/>
        <v>57.998663766314479</v>
      </c>
      <c r="FV35" s="765">
        <f t="shared" si="108"/>
        <v>58.950751708428243</v>
      </c>
      <c r="FW35" s="765">
        <f t="shared" si="109"/>
        <v>496.52188006483004</v>
      </c>
      <c r="FX35" s="765">
        <f t="shared" si="110"/>
        <v>664.37025067382797</v>
      </c>
      <c r="FY35" s="765">
        <f t="shared" si="111"/>
        <v>3037.5037376544105</v>
      </c>
      <c r="FZ35" s="765">
        <f t="shared" si="112"/>
        <v>76894.142773995583</v>
      </c>
      <c r="GA35" s="765">
        <f t="shared" si="113"/>
        <v>233774.185</v>
      </c>
      <c r="GB35" s="765">
        <f t="shared" si="114"/>
        <v>39.296383425785848</v>
      </c>
      <c r="GC35" s="765">
        <f t="shared" si="115"/>
        <v>66.223904052580039</v>
      </c>
      <c r="GD35" s="765">
        <f t="shared" si="116"/>
        <v>134.27827725437416</v>
      </c>
    </row>
    <row r="36" spans="1:186">
      <c r="A36" s="4">
        <v>43040</v>
      </c>
      <c r="B36" s="6">
        <v>2017</v>
      </c>
      <c r="C36" s="5">
        <v>11</v>
      </c>
      <c r="D36" s="7">
        <v>71874134.928140312</v>
      </c>
      <c r="E36" s="7">
        <f>IFERROR(VLOOKUP($B36-1,CDM!$V$4:$AJ$17,2,FALSE)/12,0)+IFERROR(VLOOKUP($B36,CDM!$V$41:$AJ$54,2,FALSE)/24,0)+IFERROR(VLOOKUP($B36,CDM!$V$41:$AJ$54,2,FALSE)/2*$C36/78,0)</f>
        <v>3254382.5440357779</v>
      </c>
      <c r="F36" s="7">
        <f t="shared" si="2"/>
        <v>75128517.47217609</v>
      </c>
      <c r="G36" s="7">
        <f>IFERROR(HLOOKUP(B36,'EV Forecast VRZ'!$F$116:$T$122,2,FALSE)*C36/78,0)</f>
        <v>34533.150460966172</v>
      </c>
      <c r="H36" s="7"/>
      <c r="I36" s="7">
        <f t="shared" si="3"/>
        <v>75093984.321715117</v>
      </c>
      <c r="J36" s="7">
        <v>747736.81955999997</v>
      </c>
      <c r="K36" s="7">
        <f>IFERROR(VLOOKUP($B36-1,CDM!$V$4:$AJ$17,3,FALSE)/12,0)+IFERROR(VLOOKUP($B36,CDM!$V$41:$AJ$54,3,FALSE)/24,0)+IFERROR(VLOOKUP($B36,CDM!$V$41:$AJ$54,3,FALSE)/2*$C36/78,0)</f>
        <v>37275.05842831378</v>
      </c>
      <c r="L36" s="7">
        <f t="shared" si="4"/>
        <v>785011.87798831379</v>
      </c>
      <c r="M36" s="7">
        <f>IFERROR(HLOOKUP(B36,'EV Forecast VRZ'!$F$116:$T$122,3,FALSE)*C36/78,0)</f>
        <v>469.80287236716407</v>
      </c>
      <c r="N36" s="7"/>
      <c r="O36" s="7">
        <f t="shared" si="5"/>
        <v>784542.07511594659</v>
      </c>
      <c r="P36" s="7">
        <v>22410384.765579998</v>
      </c>
      <c r="Q36" s="7">
        <f>IFERROR(VLOOKUP($B36-1,CDM!$V$4:$AJ$17,4,FALSE)/12,0)+IFERROR(VLOOKUP($B36,CDM!$V$41:$AJ$54,4,FALSE)/24,0)+IFERROR(VLOOKUP($B36,CDM!$V$41:$AJ$54,4,FALSE)/2*$C36/78,0)</f>
        <v>761046.25591915287</v>
      </c>
      <c r="R36" s="7">
        <f t="shared" si="6"/>
        <v>23171431.02149915</v>
      </c>
      <c r="S36" s="7">
        <f>IFERROR(HLOOKUP(B36,'EV Forecast VRZ'!$F$116:$T$122,4,FALSE)*C36/78,0)</f>
        <v>4405.4379487179494</v>
      </c>
      <c r="T36" s="7"/>
      <c r="U36" s="7">
        <f t="shared" si="7"/>
        <v>23167025.583550431</v>
      </c>
      <c r="V36" s="7">
        <v>78492174.75</v>
      </c>
      <c r="W36" s="7">
        <f>IFERROR(VLOOKUP($B36-1,CDM!$V$4:$AJ$17,5,FALSE)/12,0)+IFERROR(VLOOKUP($B36,CDM!$V$41:$AJ$54,5,FALSE)/24,0)+IFERROR(VLOOKUP($B36,CDM!$V$41:$AJ$54,5,FALSE)/2*$C36/78,0)</f>
        <v>2839793.2642286643</v>
      </c>
      <c r="X36" s="7">
        <f t="shared" si="8"/>
        <v>81331968.014228672</v>
      </c>
      <c r="Y36" s="7">
        <f>IFERROR(HLOOKUP(B36,'EV Forecast VRZ'!$F$116:$T$122,5,FALSE)*C36/78,0)</f>
        <v>2005.7163076923073</v>
      </c>
      <c r="Z36" s="7"/>
      <c r="AA36" s="7">
        <f t="shared" si="9"/>
        <v>81329962.297920972</v>
      </c>
      <c r="AB36" s="7">
        <v>8091891.9100000001</v>
      </c>
      <c r="AC36" s="7">
        <f>IFERROR(VLOOKUP($B36-1,CDM!$V$4:$AJ$17,6,FALSE)/12,0)+IFERROR(VLOOKUP($B36,CDM!$V$41:$AJ$54,6,FALSE)/24,0)+IFERROR(VLOOKUP($B36,CDM!$V$41:$AJ$54,6,FALSE)/2*$C36/78,0)</f>
        <v>116358.63722406348</v>
      </c>
      <c r="AD36" s="7">
        <f t="shared" si="10"/>
        <v>8208250.5472240634</v>
      </c>
      <c r="AE36" s="7">
        <f>IFERROR(HLOOKUP(B36,'EV Forecast VRZ'!$F$116:$T$122,6,FALSE)*C36/78,0)</f>
        <v>313.34882051282051</v>
      </c>
      <c r="AF36" s="7">
        <f t="shared" si="11"/>
        <v>8207937.1984035503</v>
      </c>
      <c r="AG36" s="7">
        <v>20626641.460000001</v>
      </c>
      <c r="AH36" s="7">
        <f>IFERROR(VLOOKUP($B36-1,CDM!$V$4:$AJ$17,7,FALSE)/12,0)+IFERROR(VLOOKUP($B36,CDM!$V$41:$AJ$54,7,FALSE)/24,0)+IFERROR(VLOOKUP($B36,CDM!$V$41:$AJ$54,7,FALSE)/2*$C36/78,0)</f>
        <v>899983.19521435257</v>
      </c>
      <c r="AI36" s="7">
        <f t="shared" si="12"/>
        <v>21526624.655214354</v>
      </c>
      <c r="AJ36" s="7">
        <f>IFERROR(HLOOKUP(B36,'EV Forecast VRZ'!$F$116:$T$122,7,FALSE)*C36/78,0)</f>
        <v>0</v>
      </c>
      <c r="AK36" s="7">
        <f t="shared" si="13"/>
        <v>21526624.655214354</v>
      </c>
      <c r="AL36" s="7">
        <v>1838586.57</v>
      </c>
      <c r="AM36" s="7">
        <v>21495.940000000002</v>
      </c>
      <c r="AN36" s="7">
        <v>408437.4</v>
      </c>
      <c r="AO36" s="5">
        <v>181841.36</v>
      </c>
      <c r="AP36" s="5">
        <v>17050.91</v>
      </c>
      <c r="AQ36" s="5">
        <v>34147</v>
      </c>
      <c r="AR36" s="5">
        <v>4079.23</v>
      </c>
      <c r="AS36" s="763">
        <f t="shared" si="117"/>
        <v>80.583333333333329</v>
      </c>
      <c r="AT36" s="776">
        <v>108686.5</v>
      </c>
      <c r="AU36" s="776">
        <v>1572.9166666666658</v>
      </c>
      <c r="AV36" s="776">
        <v>9032.25</v>
      </c>
      <c r="AW36" s="776">
        <v>1080.3333333333342</v>
      </c>
      <c r="AX36" s="776">
        <v>5</v>
      </c>
      <c r="AY36" s="776">
        <v>3</v>
      </c>
      <c r="AZ36" s="776">
        <v>30616.5</v>
      </c>
      <c r="BA36" s="776">
        <v>439</v>
      </c>
      <c r="BB36" s="776">
        <v>821.83333333333292</v>
      </c>
      <c r="BC36" s="779">
        <v>25853754.8917301</v>
      </c>
      <c r="BD36" s="779">
        <f>IFERROR(VLOOKUP($B36-1,CDM!$V$4:$AJ$17,11,FALSE)/12,0)+IFERROR(VLOOKUP($B36,CDM!$V$41:$AJ$54,11,FALSE)/24,0)+IFERROR(VLOOKUP($B36,CDM!$V$41:$AJ$54,11,FALSE)/2*$C36/78,0)</f>
        <v>1696073.1463106312</v>
      </c>
      <c r="BE36" s="779">
        <f t="shared" si="71"/>
        <v>27549828.038040731</v>
      </c>
      <c r="BF36" s="779">
        <f>IFERROR(HLOOKUP(B36,'EV Forecast WRZ'!$F$116:$T$122,2,FALSE)*C36/78,0)</f>
        <v>11139.725384615384</v>
      </c>
      <c r="BG36" s="779"/>
      <c r="BH36" s="779">
        <f t="shared" si="15"/>
        <v>27538688.312656116</v>
      </c>
      <c r="BI36" s="779">
        <v>7101722.8000999996</v>
      </c>
      <c r="BJ36" s="779">
        <f>IFERROR(VLOOKUP($B36-1,CDM!$V$4:$AJ$17,12,FALSE)/12,0)+IFERROR(VLOOKUP($B36,CDM!$V$41:$AJ$54,12,FALSE)/24,0)+IFERROR(VLOOKUP($B36,CDM!$V$41:$AJ$54,12,FALSE)/2*$C36/78,0)</f>
        <v>145621.25701892382</v>
      </c>
      <c r="BK36" s="779">
        <f t="shared" si="16"/>
        <v>7247344.0571189234</v>
      </c>
      <c r="BL36" s="779">
        <f>IFERROR(HLOOKUP(B36,'EV Forecast WRZ'!$F$116:$T$122,3,FALSE)*C36/78,0)</f>
        <v>1545.7369230769232</v>
      </c>
      <c r="BM36" s="779"/>
      <c r="BN36" s="779">
        <f t="shared" si="17"/>
        <v>7245798.3201958463</v>
      </c>
      <c r="BO36" s="779">
        <v>29176541.93</v>
      </c>
      <c r="BP36" s="779">
        <f>IFERROR(VLOOKUP($B36-1,CDM!$V$4:$AJ$17,13,FALSE)/12,0)+IFERROR(VLOOKUP($B36,CDM!$V$41:$AJ$54,13,FALSE)/24,0)+IFERROR(VLOOKUP($B36,CDM!$V$41:$AJ$54,13,FALSE)/2*$C36/78,0)</f>
        <v>818971.14736530138</v>
      </c>
      <c r="BQ36" s="779">
        <f t="shared" si="19"/>
        <v>29995513.077365302</v>
      </c>
      <c r="BR36" s="779">
        <f>IFERROR(HLOOKUP(B36,'EV Forecast WRZ'!$F$116:$T$122,4,FALSE)*C36/78,0)</f>
        <v>714.62007692307702</v>
      </c>
      <c r="BS36" s="779"/>
      <c r="BT36" s="779">
        <f t="shared" si="20"/>
        <v>29994798.457288377</v>
      </c>
      <c r="BU36" s="779">
        <v>5086320.7699999996</v>
      </c>
      <c r="BV36" s="779">
        <f>IFERROR(VLOOKUP($B36-1,CDM!$V$4:$AJ$17,14,FALSE)/12,0)+IFERROR(VLOOKUP($B36,CDM!$V$41:$AJ$54,14,FALSE)/24,0)+IFERROR(VLOOKUP($B36,CDM!$V$41:$AJ$54,14,FALSE)/2*$C36/78,0)</f>
        <v>184122.85903520667</v>
      </c>
      <c r="BW36" s="779">
        <f t="shared" si="21"/>
        <v>5270443.6290352065</v>
      </c>
      <c r="BX36" s="779">
        <f>IFERROR(HLOOKUP(B36,'EV Forecast WRZ'!$F$116:$T$122,5,FALSE)*C36/78,0)</f>
        <v>153.44069230769227</v>
      </c>
      <c r="BY36" s="779">
        <f t="shared" si="72"/>
        <v>5270290.1883428991</v>
      </c>
      <c r="BZ36" s="779">
        <v>496442.9</v>
      </c>
      <c r="CA36" s="779">
        <v>2527.5456713401368</v>
      </c>
      <c r="CB36" s="5">
        <v>49907.45</v>
      </c>
      <c r="CC36" s="5">
        <v>66462.02</v>
      </c>
      <c r="CD36" s="5">
        <v>7607</v>
      </c>
      <c r="CE36" s="5">
        <v>1025.54</v>
      </c>
      <c r="CF36" s="763">
        <f t="shared" si="118"/>
        <v>7.333333333333333</v>
      </c>
      <c r="CG36" s="785">
        <v>39864.833333333307</v>
      </c>
      <c r="CH36" s="785">
        <v>2236.5</v>
      </c>
      <c r="CI36" s="785">
        <v>368</v>
      </c>
      <c r="CJ36" s="785">
        <v>2</v>
      </c>
      <c r="CK36" s="785">
        <v>11900</v>
      </c>
      <c r="CL36" s="785">
        <v>38.083333333333307</v>
      </c>
      <c r="CM36" s="785">
        <v>371.75</v>
      </c>
      <c r="CN36" s="46">
        <f>Weather!C48</f>
        <v>502.61174242424244</v>
      </c>
      <c r="CO36" s="46">
        <f>Weather!D48</f>
        <v>0</v>
      </c>
      <c r="CP36" s="46">
        <f>Weather!E48</f>
        <v>442.61174242424244</v>
      </c>
      <c r="CQ36" s="46">
        <f>Weather!F48</f>
        <v>0</v>
      </c>
      <c r="CR36" s="46">
        <f>Weather!G48</f>
        <v>382.61174242424244</v>
      </c>
      <c r="CS36" s="46">
        <f>Weather!H48</f>
        <v>0</v>
      </c>
      <c r="CT36" s="46">
        <f>Weather!I48</f>
        <v>322.61174242424249</v>
      </c>
      <c r="CU36" s="46">
        <f>Weather!J48</f>
        <v>0</v>
      </c>
      <c r="CV36" s="46">
        <f>Weather!K48</f>
        <v>262.61174242424244</v>
      </c>
      <c r="CW36" s="46">
        <f>Weather!L48</f>
        <v>0</v>
      </c>
      <c r="CX36" s="46">
        <f>Weather!M48</f>
        <v>203.9075757575757</v>
      </c>
      <c r="CY36" s="46">
        <f>Weather!N48</f>
        <v>1.2958333333333325</v>
      </c>
      <c r="CZ36" s="46">
        <f>Weather!O48</f>
        <v>148.02424242424243</v>
      </c>
      <c r="DA36" s="46">
        <f>Weather!P48</f>
        <v>5.4124999999999979</v>
      </c>
      <c r="DB36" s="368">
        <f>'Economic Data'!D50</f>
        <v>7182.2</v>
      </c>
      <c r="DC36" s="368">
        <f>'Economic Data'!E50</f>
        <v>7182.5</v>
      </c>
      <c r="DD36" s="368">
        <f>'Economic Data'!F50</f>
        <v>208.6</v>
      </c>
      <c r="DE36" s="368">
        <f>'Economic Data'!G50</f>
        <v>206.8</v>
      </c>
      <c r="DF36" s="368">
        <f>'Economic Data'!H50</f>
        <v>41.1</v>
      </c>
      <c r="DG36" s="368">
        <f>'Economic Data'!I50</f>
        <v>41.1</v>
      </c>
      <c r="DH36" s="368">
        <f>'Economic Data'!J50</f>
        <v>764464.8</v>
      </c>
      <c r="DI36" s="368">
        <f>'Economic Data'!K50</f>
        <v>590729.4</v>
      </c>
      <c r="DJ36" s="368">
        <f>'Economic Data'!L50</f>
        <v>91847.6</v>
      </c>
      <c r="DK36" s="368">
        <f>'Economic Data'!M50</f>
        <v>31122.7</v>
      </c>
      <c r="DL36" s="368">
        <f>'Economic Data'!N50</f>
        <v>771453</v>
      </c>
      <c r="DM36" s="368">
        <f>'Economic Data'!O50</f>
        <v>91583</v>
      </c>
      <c r="DN36" s="368">
        <f>'Economic Data'!P50</f>
        <v>19133</v>
      </c>
      <c r="DO36" s="368">
        <f>'Economic Data'!Q50</f>
        <v>596813</v>
      </c>
      <c r="DP36" s="368">
        <f>'Economic Data'!R50</f>
        <v>31522</v>
      </c>
      <c r="DQ36">
        <v>30</v>
      </c>
      <c r="DR36">
        <v>22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1</v>
      </c>
      <c r="ED36">
        <v>0</v>
      </c>
      <c r="EE36">
        <v>0</v>
      </c>
      <c r="EF36">
        <v>1</v>
      </c>
      <c r="EG36">
        <v>1</v>
      </c>
      <c r="EH36">
        <f t="shared" si="69"/>
        <v>35</v>
      </c>
      <c r="EI36">
        <v>0</v>
      </c>
      <c r="EJ36">
        <v>0</v>
      </c>
      <c r="EK36">
        <v>0</v>
      </c>
      <c r="EL36">
        <v>0</v>
      </c>
      <c r="EM36" s="47">
        <f t="shared" si="73"/>
        <v>0</v>
      </c>
      <c r="EN36" s="47">
        <f t="shared" si="74"/>
        <v>0</v>
      </c>
      <c r="EO36" s="47">
        <f t="shared" si="75"/>
        <v>0</v>
      </c>
      <c r="EP36" s="47">
        <f t="shared" si="76"/>
        <v>0</v>
      </c>
      <c r="EQ36" s="47">
        <f t="shared" si="77"/>
        <v>0</v>
      </c>
      <c r="ER36" s="47">
        <f t="shared" si="78"/>
        <v>0</v>
      </c>
      <c r="ES36" s="47">
        <f t="shared" si="79"/>
        <v>0</v>
      </c>
      <c r="ET36" s="47">
        <f t="shared" si="80"/>
        <v>0</v>
      </c>
      <c r="EU36" s="47">
        <f t="shared" si="81"/>
        <v>0</v>
      </c>
      <c r="EV36" s="47">
        <f t="shared" si="82"/>
        <v>0</v>
      </c>
      <c r="EW36" s="47">
        <f t="shared" si="83"/>
        <v>0</v>
      </c>
      <c r="EX36" s="47">
        <f t="shared" si="84"/>
        <v>0</v>
      </c>
      <c r="EY36" s="47">
        <f t="shared" si="85"/>
        <v>0</v>
      </c>
      <c r="EZ36" s="47">
        <f t="shared" si="86"/>
        <v>0</v>
      </c>
      <c r="FA36" s="47">
        <f t="shared" si="87"/>
        <v>0</v>
      </c>
      <c r="FB36" s="47">
        <f t="shared" si="88"/>
        <v>0</v>
      </c>
      <c r="FC36" s="47">
        <f t="shared" si="89"/>
        <v>0</v>
      </c>
      <c r="FD36" s="47">
        <f t="shared" si="90"/>
        <v>0</v>
      </c>
      <c r="FE36" s="47">
        <f t="shared" si="91"/>
        <v>0</v>
      </c>
      <c r="FF36" s="47">
        <f t="shared" si="92"/>
        <v>0</v>
      </c>
      <c r="FG36" s="47">
        <f t="shared" si="93"/>
        <v>0</v>
      </c>
      <c r="FH36" s="47">
        <f t="shared" si="94"/>
        <v>0</v>
      </c>
      <c r="FI36" s="47">
        <f t="shared" si="95"/>
        <v>0</v>
      </c>
      <c r="FJ36" s="47">
        <f t="shared" si="96"/>
        <v>0</v>
      </c>
      <c r="FK36" s="47">
        <f t="shared" si="97"/>
        <v>0</v>
      </c>
      <c r="FL36" s="47">
        <f t="shared" si="98"/>
        <v>0</v>
      </c>
      <c r="FM36" s="47">
        <f t="shared" si="99"/>
        <v>0</v>
      </c>
      <c r="FN36" s="47">
        <f t="shared" si="100"/>
        <v>0</v>
      </c>
      <c r="FO36" s="765">
        <f t="shared" si="101"/>
        <v>690.92283146218824</v>
      </c>
      <c r="FP36" s="765">
        <f t="shared" si="102"/>
        <v>499.08039925084876</v>
      </c>
      <c r="FQ36" s="765">
        <f t="shared" si="103"/>
        <v>2565.4107250684106</v>
      </c>
      <c r="FR36" s="765">
        <f t="shared" si="104"/>
        <v>75284.141944673189</v>
      </c>
      <c r="FS36" s="765">
        <f t="shared" si="105"/>
        <v>1641650.1094448126</v>
      </c>
      <c r="FT36" s="765">
        <f t="shared" si="106"/>
        <v>7175541.5517381178</v>
      </c>
      <c r="FU36" s="765">
        <f t="shared" si="107"/>
        <v>60.05214737151536</v>
      </c>
      <c r="FV36" s="765">
        <f t="shared" si="108"/>
        <v>48.96569476082005</v>
      </c>
      <c r="FW36" s="765">
        <f t="shared" si="109"/>
        <v>496.98324883390819</v>
      </c>
      <c r="FX36" s="765">
        <f t="shared" si="110"/>
        <v>691.08097875840656</v>
      </c>
      <c r="FY36" s="765">
        <f t="shared" si="111"/>
        <v>3240.4847114325612</v>
      </c>
      <c r="FZ36" s="765">
        <f t="shared" si="112"/>
        <v>81509.546405883972</v>
      </c>
      <c r="GA36" s="765">
        <f t="shared" si="113"/>
        <v>248221.45</v>
      </c>
      <c r="GB36" s="765">
        <f t="shared" si="114"/>
        <v>41.717890756302523</v>
      </c>
      <c r="GC36" s="765">
        <f t="shared" si="115"/>
        <v>66.368814127093358</v>
      </c>
      <c r="GD36" s="765">
        <f t="shared" si="116"/>
        <v>134.2500336247478</v>
      </c>
    </row>
    <row r="37" spans="1:186">
      <c r="A37" s="4">
        <v>43070</v>
      </c>
      <c r="B37" s="6">
        <v>2017</v>
      </c>
      <c r="C37" s="5">
        <v>12</v>
      </c>
      <c r="D37" s="7">
        <v>91645822.887368903</v>
      </c>
      <c r="E37" s="7">
        <f>IFERROR(VLOOKUP($B37-1,CDM!$V$4:$AJ$17,2,FALSE)/12,0)+IFERROR(VLOOKUP($B37,CDM!$V$41:$AJ$54,2,FALSE)/24,0)+IFERROR(VLOOKUP($B37,CDM!$V$41:$AJ$54,2,FALSE)/2*$C37/78,0)</f>
        <v>3365735.6053003399</v>
      </c>
      <c r="F37" s="7">
        <f t="shared" si="2"/>
        <v>95011558.49266924</v>
      </c>
      <c r="G37" s="7">
        <f>IFERROR(HLOOKUP(B37,'EV Forecast VRZ'!$F$116:$T$122,2,FALSE)*C37/78,0)</f>
        <v>37672.527775599454</v>
      </c>
      <c r="H37" s="7"/>
      <c r="I37" s="7">
        <f t="shared" si="3"/>
        <v>94973885.964893639</v>
      </c>
      <c r="J37" s="7">
        <v>1106654.9590700001</v>
      </c>
      <c r="K37" s="7">
        <f>IFERROR(VLOOKUP($B37-1,CDM!$V$4:$AJ$17,3,FALSE)/12,0)+IFERROR(VLOOKUP($B37,CDM!$V$41:$AJ$54,3,FALSE)/24,0)+IFERROR(VLOOKUP($B37,CDM!$V$41:$AJ$54,3,FALSE)/2*$C37/78,0)</f>
        <v>38550.474519890049</v>
      </c>
      <c r="L37" s="7">
        <f t="shared" si="4"/>
        <v>1145205.4335898901</v>
      </c>
      <c r="M37" s="7">
        <f>IFERROR(HLOOKUP(B37,'EV Forecast VRZ'!$F$116:$T$122,3,FALSE)*C37/78,0)</f>
        <v>512.51222440054266</v>
      </c>
      <c r="N37" s="7"/>
      <c r="O37" s="7">
        <f t="shared" si="5"/>
        <v>1144692.9213654895</v>
      </c>
      <c r="P37" s="7">
        <v>25632490.429650001</v>
      </c>
      <c r="Q37" s="7">
        <f>IFERROR(VLOOKUP($B37-1,CDM!$V$4:$AJ$17,4,FALSE)/12,0)+IFERROR(VLOOKUP($B37,CDM!$V$41:$AJ$54,4,FALSE)/24,0)+IFERROR(VLOOKUP($B37,CDM!$V$41:$AJ$54,4,FALSE)/2*$C37/78,0)</f>
        <v>774696.50063402147</v>
      </c>
      <c r="R37" s="7">
        <f t="shared" si="6"/>
        <v>26407186.930284023</v>
      </c>
      <c r="S37" s="7">
        <f>IFERROR(HLOOKUP(B37,'EV Forecast VRZ'!$F$116:$T$122,4,FALSE)*C37/78,0)</f>
        <v>4805.9323076923083</v>
      </c>
      <c r="T37" s="7"/>
      <c r="U37" s="7">
        <f t="shared" si="7"/>
        <v>26402380.997976329</v>
      </c>
      <c r="V37" s="7">
        <v>80272625.180000007</v>
      </c>
      <c r="W37" s="7">
        <f>IFERROR(VLOOKUP($B37-1,CDM!$V$4:$AJ$17,5,FALSE)/12,0)+IFERROR(VLOOKUP($B37,CDM!$V$41:$AJ$54,5,FALSE)/24,0)+IFERROR(VLOOKUP($B37,CDM!$V$41:$AJ$54,5,FALSE)/2*$C37/78,0)</f>
        <v>2896607.0716724591</v>
      </c>
      <c r="X37" s="7">
        <f t="shared" si="8"/>
        <v>83169232.251672462</v>
      </c>
      <c r="Y37" s="7">
        <f>IFERROR(HLOOKUP(B37,'EV Forecast VRZ'!$F$116:$T$122,5,FALSE)*C37/78,0)</f>
        <v>2188.0541538461539</v>
      </c>
      <c r="Z37" s="7"/>
      <c r="AA37" s="7">
        <f t="shared" si="9"/>
        <v>83167044.197518617</v>
      </c>
      <c r="AB37" s="7">
        <v>7250522.0599999996</v>
      </c>
      <c r="AC37" s="7">
        <f>IFERROR(VLOOKUP($B37-1,CDM!$V$4:$AJ$17,6,FALSE)/12,0)+IFERROR(VLOOKUP($B37,CDM!$V$41:$AJ$54,6,FALSE)/24,0)+IFERROR(VLOOKUP($B37,CDM!$V$41:$AJ$54,6,FALSE)/2*$C37/78,0)</f>
        <v>120633.65619653485</v>
      </c>
      <c r="AD37" s="7">
        <f t="shared" si="10"/>
        <v>7371155.7161965342</v>
      </c>
      <c r="AE37" s="7">
        <f>IFERROR(HLOOKUP(B37,'EV Forecast VRZ'!$F$116:$T$122,6,FALSE)*C37/78,0)</f>
        <v>341.83507692307688</v>
      </c>
      <c r="AF37" s="7">
        <f t="shared" si="11"/>
        <v>7370813.8811196107</v>
      </c>
      <c r="AG37" s="7">
        <v>19493763.489999998</v>
      </c>
      <c r="AH37" s="7">
        <f>IFERROR(VLOOKUP($B37-1,CDM!$V$4:$AJ$17,7,FALSE)/12,0)+IFERROR(VLOOKUP($B37,CDM!$V$41:$AJ$54,7,FALSE)/24,0)+IFERROR(VLOOKUP($B37,CDM!$V$41:$AJ$54,7,FALSE)/2*$C37/78,0)</f>
        <v>917464.05799866933</v>
      </c>
      <c r="AI37" s="7">
        <f t="shared" si="12"/>
        <v>20411227.547998667</v>
      </c>
      <c r="AJ37" s="7">
        <f>IFERROR(HLOOKUP(B37,'EV Forecast VRZ'!$F$116:$T$122,7,FALSE)*C37/78,0)</f>
        <v>0</v>
      </c>
      <c r="AK37" s="7">
        <f t="shared" si="13"/>
        <v>20411227.547998667</v>
      </c>
      <c r="AL37" s="7">
        <v>1941358.73</v>
      </c>
      <c r="AM37" s="7">
        <v>20279.820000000003</v>
      </c>
      <c r="AN37" s="7">
        <v>408526.51</v>
      </c>
      <c r="AO37" s="5">
        <v>188496.53</v>
      </c>
      <c r="AP37" s="5">
        <v>16743.63</v>
      </c>
      <c r="AQ37" s="5">
        <v>32979</v>
      </c>
      <c r="AR37" s="5">
        <v>3983.05</v>
      </c>
      <c r="AS37" s="763">
        <f t="shared" si="117"/>
        <v>80.583333333333329</v>
      </c>
      <c r="AT37" s="776">
        <v>108758</v>
      </c>
      <c r="AU37" s="776">
        <v>1572</v>
      </c>
      <c r="AV37" s="776">
        <v>9036</v>
      </c>
      <c r="AW37" s="776">
        <v>1083</v>
      </c>
      <c r="AX37" s="776">
        <v>5</v>
      </c>
      <c r="AY37" s="776">
        <v>3</v>
      </c>
      <c r="AZ37" s="776">
        <v>30662</v>
      </c>
      <c r="BA37" s="776">
        <v>439</v>
      </c>
      <c r="BB37" s="776">
        <v>821</v>
      </c>
      <c r="BC37" s="779">
        <v>31842905.854559802</v>
      </c>
      <c r="BD37" s="779">
        <f>IFERROR(VLOOKUP($B37-1,CDM!$V$4:$AJ$17,11,FALSE)/12,0)+IFERROR(VLOOKUP($B37,CDM!$V$41:$AJ$54,11,FALSE)/24,0)+IFERROR(VLOOKUP($B37,CDM!$V$41:$AJ$54,11,FALSE)/2*$C37/78,0)</f>
        <v>1755718.7897061983</v>
      </c>
      <c r="BE37" s="779">
        <f t="shared" si="71"/>
        <v>33598624.644266002</v>
      </c>
      <c r="BF37" s="779">
        <f>IFERROR(HLOOKUP(B37,'EV Forecast WRZ'!$F$116:$T$122,2,FALSE)*C37/78,0)</f>
        <v>12152.427692307692</v>
      </c>
      <c r="BG37" s="779"/>
      <c r="BH37" s="779">
        <f t="shared" si="15"/>
        <v>33586472.216573693</v>
      </c>
      <c r="BI37" s="779">
        <v>8063167.9115699893</v>
      </c>
      <c r="BJ37" s="779">
        <f>IFERROR(VLOOKUP($B37-1,CDM!$V$4:$AJ$17,12,FALSE)/12,0)+IFERROR(VLOOKUP($B37,CDM!$V$41:$AJ$54,12,FALSE)/24,0)+IFERROR(VLOOKUP($B37,CDM!$V$41:$AJ$54,12,FALSE)/2*$C37/78,0)</f>
        <v>147344.26993022923</v>
      </c>
      <c r="BK37" s="779">
        <f t="shared" si="16"/>
        <v>8210512.1815002188</v>
      </c>
      <c r="BL37" s="779">
        <f>IFERROR(HLOOKUP(B37,'EV Forecast WRZ'!$F$116:$T$122,3,FALSE)*C37/78,0)</f>
        <v>1686.2584615384617</v>
      </c>
      <c r="BM37" s="779"/>
      <c r="BN37" s="779">
        <f t="shared" si="17"/>
        <v>8208825.9230386801</v>
      </c>
      <c r="BO37" s="779">
        <v>29723632.32</v>
      </c>
      <c r="BP37" s="779">
        <f>IFERROR(VLOOKUP($B37-1,CDM!$V$4:$AJ$17,13,FALSE)/12,0)+IFERROR(VLOOKUP($B37,CDM!$V$41:$AJ$54,13,FALSE)/24,0)+IFERROR(VLOOKUP($B37,CDM!$V$41:$AJ$54,13,FALSE)/2*$C37/78,0)</f>
        <v>841504.65390022588</v>
      </c>
      <c r="BQ37" s="779">
        <f t="shared" si="19"/>
        <v>30565136.973900225</v>
      </c>
      <c r="BR37" s="779">
        <f>IFERROR(HLOOKUP(B37,'EV Forecast WRZ'!$F$116:$T$122,4,FALSE)*C37/78,0)</f>
        <v>779.58553846153859</v>
      </c>
      <c r="BS37" s="779"/>
      <c r="BT37" s="779">
        <f t="shared" si="20"/>
        <v>30564357.388361763</v>
      </c>
      <c r="BU37" s="779">
        <v>4769132.18</v>
      </c>
      <c r="BV37" s="779">
        <f>IFERROR(VLOOKUP($B37-1,CDM!$V$4:$AJ$17,14,FALSE)/12,0)+IFERROR(VLOOKUP($B37,CDM!$V$41:$AJ$54,14,FALSE)/24,0)+IFERROR(VLOOKUP($B37,CDM!$V$41:$AJ$54,14,FALSE)/2*$C37/78,0)</f>
        <v>189188.89055615375</v>
      </c>
      <c r="BW37" s="779">
        <f t="shared" si="21"/>
        <v>4958321.0705561535</v>
      </c>
      <c r="BX37" s="779">
        <f>IFERROR(HLOOKUP(B37,'EV Forecast WRZ'!$F$116:$T$122,5,FALSE)*C37/78,0)</f>
        <v>167.38984615384615</v>
      </c>
      <c r="BY37" s="779">
        <f t="shared" si="72"/>
        <v>4958153.68071</v>
      </c>
      <c r="BZ37" s="779">
        <v>512903.82</v>
      </c>
      <c r="CA37" s="779">
        <v>2527.5456713401368</v>
      </c>
      <c r="CB37" s="5">
        <v>49907.38</v>
      </c>
      <c r="CC37" s="5">
        <v>68148.509999999995</v>
      </c>
      <c r="CD37" s="5">
        <v>7691.82</v>
      </c>
      <c r="CE37" s="5">
        <v>1025.54</v>
      </c>
      <c r="CF37" s="763">
        <f t="shared" si="118"/>
        <v>7.333333333333333</v>
      </c>
      <c r="CG37" s="785">
        <v>39890</v>
      </c>
      <c r="CH37" s="785">
        <v>2238</v>
      </c>
      <c r="CI37" s="785">
        <v>368</v>
      </c>
      <c r="CJ37" s="785">
        <v>2</v>
      </c>
      <c r="CK37" s="785">
        <v>11902</v>
      </c>
      <c r="CL37" s="785">
        <v>38</v>
      </c>
      <c r="CM37" s="785">
        <v>372</v>
      </c>
      <c r="CN37" s="46">
        <f>Weather!C49</f>
        <v>798.31250000000011</v>
      </c>
      <c r="CO37" s="46">
        <f>Weather!D49</f>
        <v>0</v>
      </c>
      <c r="CP37" s="46">
        <f>Weather!E49</f>
        <v>736.31250000000011</v>
      </c>
      <c r="CQ37" s="46">
        <f>Weather!F49</f>
        <v>0</v>
      </c>
      <c r="CR37" s="46">
        <f>Weather!G49</f>
        <v>674.31250000000011</v>
      </c>
      <c r="CS37" s="46">
        <f>Weather!H49</f>
        <v>0</v>
      </c>
      <c r="CT37" s="46">
        <f>Weather!I49</f>
        <v>612.31250000000011</v>
      </c>
      <c r="CU37" s="46">
        <f>Weather!J49</f>
        <v>0</v>
      </c>
      <c r="CV37" s="46">
        <f>Weather!K49</f>
        <v>550.3125</v>
      </c>
      <c r="CW37" s="46">
        <f>Weather!L49</f>
        <v>0</v>
      </c>
      <c r="CX37" s="46">
        <f>Weather!M49</f>
        <v>488.31250000000011</v>
      </c>
      <c r="CY37" s="46">
        <f>Weather!N49</f>
        <v>0</v>
      </c>
      <c r="CZ37" s="46">
        <f>Weather!O49</f>
        <v>426.3125</v>
      </c>
      <c r="DA37" s="46">
        <f>Weather!P49</f>
        <v>0</v>
      </c>
      <c r="DB37" s="368">
        <f>'Economic Data'!D51</f>
        <v>7196.8</v>
      </c>
      <c r="DC37" s="368">
        <f>'Economic Data'!E51</f>
        <v>7205</v>
      </c>
      <c r="DD37" s="368">
        <f>'Economic Data'!F51</f>
        <v>207.8</v>
      </c>
      <c r="DE37" s="368">
        <f>'Economic Data'!G51</f>
        <v>206.3</v>
      </c>
      <c r="DF37" s="368">
        <f>'Economic Data'!H51</f>
        <v>39</v>
      </c>
      <c r="DG37" s="368">
        <f>'Economic Data'!I51</f>
        <v>39</v>
      </c>
      <c r="DH37" s="368">
        <f>'Economic Data'!J51</f>
        <v>764464.8</v>
      </c>
      <c r="DI37" s="368">
        <f>'Economic Data'!K51</f>
        <v>590729.4</v>
      </c>
      <c r="DJ37" s="368">
        <f>'Economic Data'!L51</f>
        <v>91847.6</v>
      </c>
      <c r="DK37" s="368">
        <f>'Economic Data'!M51</f>
        <v>31122.7</v>
      </c>
      <c r="DL37" s="368">
        <f>'Economic Data'!N51</f>
        <v>771453</v>
      </c>
      <c r="DM37" s="368">
        <f>'Economic Data'!O51</f>
        <v>91583</v>
      </c>
      <c r="DN37" s="368">
        <f>'Economic Data'!P51</f>
        <v>19133</v>
      </c>
      <c r="DO37" s="368">
        <f>'Economic Data'!Q51</f>
        <v>596813</v>
      </c>
      <c r="DP37" s="368">
        <f>'Economic Data'!R51</f>
        <v>31522</v>
      </c>
      <c r="DQ37">
        <v>31</v>
      </c>
      <c r="DR37">
        <v>19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1</v>
      </c>
      <c r="EE37">
        <v>0</v>
      </c>
      <c r="EF37">
        <v>0</v>
      </c>
      <c r="EG37">
        <v>0</v>
      </c>
      <c r="EH37">
        <f t="shared" si="69"/>
        <v>36</v>
      </c>
      <c r="EI37">
        <v>0</v>
      </c>
      <c r="EJ37">
        <v>0</v>
      </c>
      <c r="EK37">
        <v>0</v>
      </c>
      <c r="EL37">
        <v>0</v>
      </c>
      <c r="EM37" s="47">
        <f t="shared" si="73"/>
        <v>0</v>
      </c>
      <c r="EN37" s="47">
        <f t="shared" si="74"/>
        <v>0</v>
      </c>
      <c r="EO37" s="47">
        <f t="shared" si="75"/>
        <v>0</v>
      </c>
      <c r="EP37" s="47">
        <f t="shared" si="76"/>
        <v>0</v>
      </c>
      <c r="EQ37" s="47">
        <f t="shared" si="77"/>
        <v>0</v>
      </c>
      <c r="ER37" s="47">
        <f t="shared" si="78"/>
        <v>0</v>
      </c>
      <c r="ES37" s="47">
        <f t="shared" si="79"/>
        <v>0</v>
      </c>
      <c r="ET37" s="47">
        <f t="shared" si="80"/>
        <v>0</v>
      </c>
      <c r="EU37" s="47">
        <f t="shared" si="81"/>
        <v>0</v>
      </c>
      <c r="EV37" s="47">
        <f t="shared" si="82"/>
        <v>0</v>
      </c>
      <c r="EW37" s="47">
        <f t="shared" si="83"/>
        <v>0</v>
      </c>
      <c r="EX37" s="47">
        <f t="shared" si="84"/>
        <v>0</v>
      </c>
      <c r="EY37" s="47">
        <f t="shared" si="85"/>
        <v>0</v>
      </c>
      <c r="EZ37" s="47">
        <f t="shared" si="86"/>
        <v>0</v>
      </c>
      <c r="FA37" s="47">
        <f t="shared" si="87"/>
        <v>0</v>
      </c>
      <c r="FB37" s="47">
        <f t="shared" si="88"/>
        <v>0</v>
      </c>
      <c r="FC37" s="47">
        <f t="shared" si="89"/>
        <v>0</v>
      </c>
      <c r="FD37" s="47">
        <f t="shared" si="90"/>
        <v>0</v>
      </c>
      <c r="FE37" s="47">
        <f t="shared" si="91"/>
        <v>0</v>
      </c>
      <c r="FF37" s="47">
        <f t="shared" si="92"/>
        <v>0</v>
      </c>
      <c r="FG37" s="47">
        <f t="shared" si="93"/>
        <v>0</v>
      </c>
      <c r="FH37" s="47">
        <f t="shared" si="94"/>
        <v>0</v>
      </c>
      <c r="FI37" s="47">
        <f t="shared" si="95"/>
        <v>0</v>
      </c>
      <c r="FJ37" s="47">
        <f t="shared" si="96"/>
        <v>0</v>
      </c>
      <c r="FK37" s="47">
        <f t="shared" si="97"/>
        <v>0</v>
      </c>
      <c r="FL37" s="47">
        <f t="shared" si="98"/>
        <v>0</v>
      </c>
      <c r="FM37" s="47">
        <f t="shared" si="99"/>
        <v>0</v>
      </c>
      <c r="FN37" s="47">
        <f t="shared" si="100"/>
        <v>0</v>
      </c>
      <c r="FO37" s="765">
        <f t="shared" si="101"/>
        <v>873.25884960089036</v>
      </c>
      <c r="FP37" s="765">
        <f t="shared" si="102"/>
        <v>728.50218421748741</v>
      </c>
      <c r="FQ37" s="765">
        <f t="shared" si="103"/>
        <v>2922.4421126919015</v>
      </c>
      <c r="FR37" s="765">
        <f t="shared" si="104"/>
        <v>76795.22830255999</v>
      </c>
      <c r="FS37" s="765">
        <f t="shared" si="105"/>
        <v>1474231.1432393068</v>
      </c>
      <c r="FT37" s="765">
        <f t="shared" si="106"/>
        <v>6803742.5159995556</v>
      </c>
      <c r="FU37" s="765">
        <f t="shared" si="107"/>
        <v>63.314810840780119</v>
      </c>
      <c r="FV37" s="765">
        <f t="shared" si="108"/>
        <v>46.195489749430529</v>
      </c>
      <c r="FW37" s="765">
        <f t="shared" si="109"/>
        <v>497.59623629719857</v>
      </c>
      <c r="FX37" s="765">
        <f t="shared" si="110"/>
        <v>842.28189130774638</v>
      </c>
      <c r="FY37" s="765">
        <f t="shared" si="111"/>
        <v>3668.6828335568448</v>
      </c>
      <c r="FZ37" s="765">
        <f t="shared" si="112"/>
        <v>83057.437429076701</v>
      </c>
      <c r="GA37" s="765">
        <f t="shared" si="113"/>
        <v>256451.91</v>
      </c>
      <c r="GB37" s="765">
        <f t="shared" si="114"/>
        <v>43.093918669131241</v>
      </c>
      <c r="GC37" s="765">
        <f t="shared" si="115"/>
        <v>66.514359772108861</v>
      </c>
      <c r="GD37" s="765">
        <f t="shared" si="116"/>
        <v>134.15962365591398</v>
      </c>
    </row>
    <row r="38" spans="1:186">
      <c r="A38" s="4">
        <v>43101</v>
      </c>
      <c r="B38" s="6">
        <v>2018</v>
      </c>
      <c r="C38" s="5">
        <v>1</v>
      </c>
      <c r="D38" s="7">
        <v>92647212.240520403</v>
      </c>
      <c r="E38" s="7">
        <f>IFERROR(VLOOKUP($B38-1,CDM!$V$4:$AJ$17,2,FALSE)/12,0)+IFERROR(VLOOKUP($B38,CDM!$V$41:$AJ$54,2,FALSE)/24,0)+IFERROR(VLOOKUP($B38,CDM!$V$41:$AJ$54,2,FALSE)/2*$C38/78,0)</f>
        <v>3222853.5866997642</v>
      </c>
      <c r="F38" s="7">
        <f t="shared" si="2"/>
        <v>95870065.827220172</v>
      </c>
      <c r="G38" s="7">
        <f>IFERROR(HLOOKUP(B38-1,'EV Forecast VRZ'!$F$124:$T$130,2,FALSE)/12,0)+IFERROR(((HLOOKUP(B38,'EV Forecast VRZ'!$F$116:$T$122,2,FALSE)-HLOOKUP(B38-1,'EV Forecast VRZ'!$F$124:$T$130,2,FALSE)))*C38/78,0)</f>
        <v>48680.955465587038</v>
      </c>
      <c r="H38" s="7"/>
      <c r="I38" s="7">
        <f t="shared" si="3"/>
        <v>95821384.871754587</v>
      </c>
      <c r="J38" s="7">
        <v>1168706.8311399999</v>
      </c>
      <c r="K38" s="7">
        <f>IFERROR(VLOOKUP($B38-1,CDM!$V$4:$AJ$17,3,FALSE)/12,0)+IFERROR(VLOOKUP($B38,CDM!$V$41:$AJ$54,3,FALSE)/24,0)+IFERROR(VLOOKUP($B38,CDM!$V$41:$AJ$54,3,FALSE)/2*$C38/78,0)</f>
        <v>36913.931943955766</v>
      </c>
      <c r="L38" s="7">
        <f t="shared" si="4"/>
        <v>1205620.7630839557</v>
      </c>
      <c r="M38" s="7">
        <f>IFERROR(HLOOKUP(B38-1,'EV Forecast VRZ'!$F$124:$T$130,3,FALSE)/12,0)+IFERROR(((HLOOKUP(B38,'EV Forecast VRZ'!$F$116:$T$122,3,FALSE)-HLOOKUP(B38-1,'EV Forecast VRZ'!$F$124:$T$130,3,FALSE)))*C38/78,0)</f>
        <v>662.27530364372433</v>
      </c>
      <c r="N38" s="7"/>
      <c r="O38" s="7">
        <f t="shared" si="5"/>
        <v>1204958.4877803121</v>
      </c>
      <c r="P38" s="7">
        <v>27472324.12661</v>
      </c>
      <c r="Q38" s="7">
        <f>IFERROR(VLOOKUP($B38-1,CDM!$V$4:$AJ$17,4,FALSE)/12,0)+IFERROR(VLOOKUP($B38,CDM!$V$41:$AJ$54,4,FALSE)/24,0)+IFERROR(VLOOKUP($B38,CDM!$V$41:$AJ$54,4,FALSE)/2*$C38/78,0)</f>
        <v>874618.20921600063</v>
      </c>
      <c r="R38" s="7">
        <f t="shared" si="6"/>
        <v>28346942.335826002</v>
      </c>
      <c r="S38" s="7">
        <f>IFERROR(HLOOKUP(B38-1,'EV Forecast VRZ'!$F$124:$T$130,4,FALSE)/12,0)+IFERROR(((HLOOKUP(B38,'EV Forecast VRZ'!$F$116:$T$122,4,FALSE)-HLOOKUP(B38-1,'EV Forecast VRZ'!$F$124:$T$130,4,FALSE)))*C38/78,0)</f>
        <v>6211.3076923076933</v>
      </c>
      <c r="T38" s="7"/>
      <c r="U38" s="7">
        <f t="shared" si="7"/>
        <v>28340731.028133694</v>
      </c>
      <c r="V38" s="7">
        <v>86096522.079999998</v>
      </c>
      <c r="W38" s="7">
        <f>IFERROR(VLOOKUP($B38-1,CDM!$V$4:$AJ$17,5,FALSE)/12,0)+IFERROR(VLOOKUP($B38,CDM!$V$41:$AJ$54,5,FALSE)/24,0)+IFERROR(VLOOKUP($B38,CDM!$V$41:$AJ$54,5,FALSE)/2*$C38/78,0)</f>
        <v>3122876.3427788606</v>
      </c>
      <c r="X38" s="7">
        <f t="shared" si="8"/>
        <v>89219398.42277886</v>
      </c>
      <c r="Y38" s="7">
        <f>IFERROR(HLOOKUP(B38-1,'EV Forecast VRZ'!$F$124:$T$130,5,FALSE)/12,0)+IFERROR(((HLOOKUP(B38,'EV Forecast VRZ'!$F$116:$T$122,5,FALSE)-HLOOKUP(B38-1,'EV Forecast VRZ'!$F$124:$T$130,5,FALSE)))*C38/78,0)</f>
        <v>2827.9730769230769</v>
      </c>
      <c r="Z38" s="7"/>
      <c r="AA38" s="7">
        <f t="shared" si="9"/>
        <v>89216570.449701935</v>
      </c>
      <c r="AB38" s="7">
        <v>7607347.1100000003</v>
      </c>
      <c r="AC38" s="7">
        <f>IFERROR(VLOOKUP($B38-1,CDM!$V$4:$AJ$17,6,FALSE)/12,0)+IFERROR(VLOOKUP($B38,CDM!$V$41:$AJ$54,6,FALSE)/24,0)+IFERROR(VLOOKUP($B38,CDM!$V$41:$AJ$54,6,FALSE)/2*$C38/78,0)</f>
        <v>136639.23917597608</v>
      </c>
      <c r="AD38" s="7">
        <f t="shared" si="10"/>
        <v>7743986.3491759766</v>
      </c>
      <c r="AE38" s="7">
        <f>IFERROR(HLOOKUP(B38-1,'EV Forecast VRZ'!$F$124:$T$130,6,FALSE)/12,0)+IFERROR(((HLOOKUP(B38,'EV Forecast VRZ'!$F$116:$T$122,6,FALSE)-HLOOKUP(B38-1,'EV Forecast VRZ'!$F$124:$T$130,6,FALSE)))*C38/78,0)</f>
        <v>442.10384615384612</v>
      </c>
      <c r="AF38" s="7">
        <f t="shared" si="11"/>
        <v>7743544.2453298224</v>
      </c>
      <c r="AG38" s="7">
        <v>21572042.25</v>
      </c>
      <c r="AH38" s="7">
        <f>IFERROR(VLOOKUP($B38-1,CDM!$V$4:$AJ$17,7,FALSE)/12,0)+IFERROR(VLOOKUP($B38,CDM!$V$41:$AJ$54,7,FALSE)/24,0)+IFERROR(VLOOKUP($B38,CDM!$V$41:$AJ$54,7,FALSE)/2*$C38/78,0)</f>
        <v>1128516.2957271473</v>
      </c>
      <c r="AI38" s="7">
        <f t="shared" si="12"/>
        <v>22700558.545727149</v>
      </c>
      <c r="AJ38" s="7">
        <f>IFERROR(HLOOKUP(B38-1,'EV Forecast VRZ'!$F$124:$T$130,7,FALSE)/12,0)+IFERROR(((HLOOKUP(B38,'EV Forecast VRZ'!$F$116:$T$122,7,FALSE)-HLOOKUP(B38-1,'EV Forecast VRZ'!$F$124:$T$130,7,FALSE)))*C38/78,0)</f>
        <v>0</v>
      </c>
      <c r="AK38" s="7">
        <f t="shared" si="13"/>
        <v>22700558.545727149</v>
      </c>
      <c r="AL38" s="7">
        <v>1726992.5</v>
      </c>
      <c r="AM38" s="7">
        <v>22208.67</v>
      </c>
      <c r="AN38" s="7">
        <v>408301.15</v>
      </c>
      <c r="AO38" s="5">
        <v>194994.1</v>
      </c>
      <c r="AP38" s="5">
        <v>16594.04</v>
      </c>
      <c r="AQ38" s="5">
        <v>34347</v>
      </c>
      <c r="AR38" s="5">
        <v>3623.78</v>
      </c>
      <c r="AS38" s="763">
        <f>720/12</f>
        <v>60</v>
      </c>
      <c r="AT38" s="776">
        <v>108867.5</v>
      </c>
      <c r="AU38" s="776">
        <v>1571.8333333333333</v>
      </c>
      <c r="AV38" s="776">
        <v>9044.25</v>
      </c>
      <c r="AW38" s="776">
        <v>1079.5</v>
      </c>
      <c r="AX38" s="776">
        <v>4.916666666666667</v>
      </c>
      <c r="AY38" s="776">
        <v>3.0833333333333335</v>
      </c>
      <c r="AZ38" s="776">
        <v>30698.25</v>
      </c>
      <c r="BA38" s="776">
        <v>439</v>
      </c>
      <c r="BB38" s="776">
        <v>820.5</v>
      </c>
      <c r="BC38" s="779">
        <v>30971191.922729999</v>
      </c>
      <c r="BD38" s="779">
        <f>IFERROR(VLOOKUP($B38-1,CDM!$V$4:$AJ$17,11,FALSE)/12,0)+IFERROR(VLOOKUP($B38,CDM!$V$41:$AJ$54,11,FALSE)/24,0)+IFERROR(VLOOKUP($B38,CDM!$V$41:$AJ$54,11,FALSE)/2*$C38/78,0)</f>
        <v>1649696.7015657341</v>
      </c>
      <c r="BE38" s="779">
        <f t="shared" si="71"/>
        <v>32620888.624295734</v>
      </c>
      <c r="BF38" s="779">
        <f>IFERROR(HLOOKUP(B38-1,'EV Forecast WRZ'!$F$124:$T$130,2,FALSE)/12,0)+IFERROR(((HLOOKUP(B38,'EV Forecast WRZ'!$F$116:$T$122,2,FALSE)-HLOOKUP(B38-1,'EV Forecast WRZ'!$F$124:$T$130,2,FALSE)))*C38/78,0)</f>
        <v>15248.211666666666</v>
      </c>
      <c r="BG38" s="779"/>
      <c r="BH38" s="779">
        <f t="shared" si="15"/>
        <v>32605640.412629068</v>
      </c>
      <c r="BI38" s="779">
        <v>8621504.83063001</v>
      </c>
      <c r="BJ38" s="779">
        <f>IFERROR(VLOOKUP($B38-1,CDM!$V$4:$AJ$17,12,FALSE)/12,0)+IFERROR(VLOOKUP($B38,CDM!$V$41:$AJ$54,12,FALSE)/24,0)+IFERROR(VLOOKUP($B38,CDM!$V$41:$AJ$54,12,FALSE)/2*$C38/78,0)</f>
        <v>163081.780639979</v>
      </c>
      <c r="BK38" s="779">
        <f t="shared" si="16"/>
        <v>8784586.6112699881</v>
      </c>
      <c r="BL38" s="779">
        <f>IFERROR(HLOOKUP(B38-1,'EV Forecast WRZ'!$F$124:$T$130,3,FALSE)/12,0)+IFERROR(((HLOOKUP(B38,'EV Forecast WRZ'!$F$116:$T$122,3,FALSE)-HLOOKUP(B38-1,'EV Forecast WRZ'!$F$124:$T$130,3,FALSE)))*C38/78,0)</f>
        <v>2078.9751282051284</v>
      </c>
      <c r="BM38" s="779"/>
      <c r="BN38" s="779">
        <f t="shared" si="17"/>
        <v>8782507.6361417826</v>
      </c>
      <c r="BO38" s="779">
        <v>33209764.710000001</v>
      </c>
      <c r="BP38" s="779">
        <f>IFERROR(VLOOKUP($B38-1,CDM!$V$4:$AJ$17,13,FALSE)/12,0)+IFERROR(VLOOKUP($B38,CDM!$V$41:$AJ$54,13,FALSE)/24,0)+IFERROR(VLOOKUP($B38,CDM!$V$41:$AJ$54,13,FALSE)/2*$C38/78,0)</f>
        <v>907901.58928904578</v>
      </c>
      <c r="BQ38" s="779">
        <f t="shared" si="19"/>
        <v>34117666.299289048</v>
      </c>
      <c r="BR38" s="779">
        <f>IFERROR(HLOOKUP(B38-1,'EV Forecast WRZ'!$F$124:$T$130,4,FALSE)/12,0)+IFERROR(((HLOOKUP(B38,'EV Forecast WRZ'!$F$116:$T$122,4,FALSE)-HLOOKUP(B38-1,'EV Forecast WRZ'!$F$124:$T$130,4,FALSE)))*C38/78,0)</f>
        <v>958.61573076923082</v>
      </c>
      <c r="BS38" s="779"/>
      <c r="BT38" s="779">
        <f t="shared" si="20"/>
        <v>34116707.683558278</v>
      </c>
      <c r="BU38" s="779">
        <v>5157832.7300000004</v>
      </c>
      <c r="BV38" s="779">
        <f>IFERROR(VLOOKUP($B38-1,CDM!$V$4:$AJ$17,14,FALSE)/12,0)+IFERROR(VLOOKUP($B38,CDM!$V$41:$AJ$54,14,FALSE)/24,0)+IFERROR(VLOOKUP($B38,CDM!$V$41:$AJ$54,14,FALSE)/2*$C38/78,0)</f>
        <v>204116.392720662</v>
      </c>
      <c r="BW38" s="779">
        <f t="shared" si="21"/>
        <v>5361949.1227206625</v>
      </c>
      <c r="BX38" s="779">
        <f>IFERROR(HLOOKUP(B38-1,'EV Forecast WRZ'!$F$124:$T$130,5,FALSE)/12,0)+IFERROR(((HLOOKUP(B38,'EV Forecast WRZ'!$F$116:$T$122,5,FALSE)-HLOOKUP(B38-1,'EV Forecast WRZ'!$F$124:$T$130,5,FALSE)))*C38/78,0)</f>
        <v>196.25644871794873</v>
      </c>
      <c r="BY38" s="779">
        <f t="shared" si="72"/>
        <v>5361752.8662719447</v>
      </c>
      <c r="BZ38" s="779">
        <v>467074.24</v>
      </c>
      <c r="CA38" s="779">
        <v>2498.8235614385444</v>
      </c>
      <c r="CB38" s="5">
        <v>50190.81</v>
      </c>
      <c r="CC38" s="5">
        <v>71093.429999999993</v>
      </c>
      <c r="CD38" s="5">
        <v>7345.96</v>
      </c>
      <c r="CE38" s="5">
        <v>950.33</v>
      </c>
      <c r="CF38" s="763">
        <f>87/12</f>
        <v>7.25</v>
      </c>
      <c r="CG38" s="785">
        <v>39921.833333333336</v>
      </c>
      <c r="CH38" s="785">
        <v>2239.3333333333335</v>
      </c>
      <c r="CI38" s="785">
        <v>368.75</v>
      </c>
      <c r="CJ38" s="785">
        <v>2.0833333333333335</v>
      </c>
      <c r="CK38" s="785">
        <v>11925.333333333334</v>
      </c>
      <c r="CL38" s="785">
        <v>37.916666666666664</v>
      </c>
      <c r="CM38" s="785">
        <v>372.75</v>
      </c>
      <c r="CN38" s="46">
        <f>Weather!C50</f>
        <v>812.53750000000002</v>
      </c>
      <c r="CO38" s="46">
        <f>Weather!D50</f>
        <v>0</v>
      </c>
      <c r="CP38" s="46">
        <f>Weather!E50</f>
        <v>750.53750000000002</v>
      </c>
      <c r="CQ38" s="46">
        <f>Weather!F50</f>
        <v>0</v>
      </c>
      <c r="CR38" s="46">
        <f>Weather!G50</f>
        <v>688.53749999999991</v>
      </c>
      <c r="CS38" s="46">
        <f>Weather!H50</f>
        <v>0</v>
      </c>
      <c r="CT38" s="46">
        <f>Weather!I50</f>
        <v>626.53750000000002</v>
      </c>
      <c r="CU38" s="46">
        <f>Weather!J50</f>
        <v>0</v>
      </c>
      <c r="CV38" s="46">
        <f>Weather!K50</f>
        <v>564.53750000000002</v>
      </c>
      <c r="CW38" s="46">
        <f>Weather!L50</f>
        <v>0</v>
      </c>
      <c r="CX38" s="46">
        <f>Weather!M50</f>
        <v>502.53750000000002</v>
      </c>
      <c r="CY38" s="46">
        <f>Weather!N50</f>
        <v>0</v>
      </c>
      <c r="CZ38" s="46">
        <f>Weather!O50</f>
        <v>440.53750000000002</v>
      </c>
      <c r="DA38" s="46">
        <f>Weather!P50</f>
        <v>0</v>
      </c>
      <c r="DB38" s="368">
        <f>'Economic Data'!D52</f>
        <v>7195</v>
      </c>
      <c r="DC38" s="368">
        <f>'Economic Data'!E52</f>
        <v>7165</v>
      </c>
      <c r="DD38" s="368">
        <f>'Economic Data'!F52</f>
        <v>206.5</v>
      </c>
      <c r="DE38" s="368">
        <f>'Economic Data'!G52</f>
        <v>204.6</v>
      </c>
      <c r="DF38" s="368">
        <f>'Economic Data'!H52</f>
        <v>39</v>
      </c>
      <c r="DG38" s="368">
        <f>'Economic Data'!I52</f>
        <v>39</v>
      </c>
      <c r="DH38" s="368">
        <f>'Economic Data'!J52</f>
        <v>789531.6</v>
      </c>
      <c r="DI38" s="368">
        <f>'Economic Data'!K52</f>
        <v>608429.30000000005</v>
      </c>
      <c r="DJ38" s="368">
        <f>'Economic Data'!L52</f>
        <v>95137.5</v>
      </c>
      <c r="DK38" s="368">
        <f>'Economic Data'!M52</f>
        <v>31658.2</v>
      </c>
      <c r="DL38" s="368">
        <f>'Economic Data'!N52</f>
        <v>779459</v>
      </c>
      <c r="DM38" s="368">
        <f>'Economic Data'!O52</f>
        <v>94076</v>
      </c>
      <c r="DN38" s="368">
        <f>'Economic Data'!P52</f>
        <v>20117</v>
      </c>
      <c r="DO38" s="368">
        <f>'Economic Data'!Q52</f>
        <v>600187</v>
      </c>
      <c r="DP38" s="368">
        <f>'Economic Data'!R52</f>
        <v>31723</v>
      </c>
      <c r="DQ38">
        <v>31</v>
      </c>
      <c r="DR38">
        <v>22</v>
      </c>
      <c r="DS38">
        <v>1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f t="shared" si="69"/>
        <v>37</v>
      </c>
      <c r="EI38">
        <v>0</v>
      </c>
      <c r="EJ38">
        <v>0</v>
      </c>
      <c r="EK38">
        <v>0</v>
      </c>
      <c r="EL38">
        <v>0</v>
      </c>
      <c r="EM38" s="47">
        <f t="shared" si="73"/>
        <v>0</v>
      </c>
      <c r="EN38" s="47">
        <f t="shared" si="74"/>
        <v>0</v>
      </c>
      <c r="EO38" s="47">
        <f t="shared" si="75"/>
        <v>0</v>
      </c>
      <c r="EP38" s="47">
        <f t="shared" si="76"/>
        <v>0</v>
      </c>
      <c r="EQ38" s="47">
        <f t="shared" si="77"/>
        <v>0</v>
      </c>
      <c r="ER38" s="47">
        <f t="shared" si="78"/>
        <v>0</v>
      </c>
      <c r="ES38" s="47">
        <f t="shared" si="79"/>
        <v>0</v>
      </c>
      <c r="ET38" s="47">
        <f t="shared" si="80"/>
        <v>0</v>
      </c>
      <c r="EU38" s="47">
        <f t="shared" si="81"/>
        <v>0</v>
      </c>
      <c r="EV38" s="47">
        <f t="shared" si="82"/>
        <v>0</v>
      </c>
      <c r="EW38" s="47">
        <f t="shared" si="83"/>
        <v>0</v>
      </c>
      <c r="EX38" s="47">
        <f t="shared" si="84"/>
        <v>0</v>
      </c>
      <c r="EY38" s="47">
        <f t="shared" si="85"/>
        <v>0</v>
      </c>
      <c r="EZ38" s="47">
        <f t="shared" si="86"/>
        <v>0</v>
      </c>
      <c r="FA38" s="47">
        <f t="shared" si="87"/>
        <v>0</v>
      </c>
      <c r="FB38" s="47">
        <f t="shared" si="88"/>
        <v>0</v>
      </c>
      <c r="FC38" s="47">
        <f t="shared" si="89"/>
        <v>0</v>
      </c>
      <c r="FD38" s="47">
        <f t="shared" si="90"/>
        <v>0</v>
      </c>
      <c r="FE38" s="47">
        <f t="shared" si="91"/>
        <v>0</v>
      </c>
      <c r="FF38" s="47">
        <f t="shared" si="92"/>
        <v>0</v>
      </c>
      <c r="FG38" s="47">
        <f t="shared" si="93"/>
        <v>0</v>
      </c>
      <c r="FH38" s="47">
        <f t="shared" si="94"/>
        <v>0</v>
      </c>
      <c r="FI38" s="47">
        <f t="shared" si="95"/>
        <v>0</v>
      </c>
      <c r="FJ38" s="47">
        <f t="shared" si="96"/>
        <v>0</v>
      </c>
      <c r="FK38" s="47">
        <f t="shared" si="97"/>
        <v>0</v>
      </c>
      <c r="FL38" s="47">
        <f t="shared" si="98"/>
        <v>0</v>
      </c>
      <c r="FM38" s="47">
        <f t="shared" si="99"/>
        <v>0</v>
      </c>
      <c r="FN38" s="47">
        <f t="shared" si="100"/>
        <v>0</v>
      </c>
      <c r="FO38" s="765">
        <f t="shared" si="101"/>
        <v>880.16519963951214</v>
      </c>
      <c r="FP38" s="765">
        <f t="shared" si="102"/>
        <v>767.01564823494164</v>
      </c>
      <c r="FQ38" s="765">
        <f t="shared" si="103"/>
        <v>3134.2501960722007</v>
      </c>
      <c r="FR38" s="765">
        <f t="shared" si="104"/>
        <v>82648.817436571437</v>
      </c>
      <c r="FS38" s="765">
        <f t="shared" si="105"/>
        <v>1575048.0710188425</v>
      </c>
      <c r="FT38" s="765">
        <f t="shared" si="106"/>
        <v>7362343.3121277234</v>
      </c>
      <c r="FU38" s="765">
        <f t="shared" si="107"/>
        <v>56.257034195760347</v>
      </c>
      <c r="FV38" s="765">
        <f t="shared" si="108"/>
        <v>50.589225512528472</v>
      </c>
      <c r="FW38" s="765">
        <f t="shared" si="109"/>
        <v>497.62480195003047</v>
      </c>
      <c r="FX38" s="765">
        <f t="shared" si="110"/>
        <v>817.11900232443566</v>
      </c>
      <c r="FY38" s="765">
        <f t="shared" si="111"/>
        <v>3922.8579687124088</v>
      </c>
      <c r="FZ38" s="765">
        <f t="shared" si="112"/>
        <v>92522.484879427924</v>
      </c>
      <c r="GA38" s="765">
        <f t="shared" si="113"/>
        <v>224195.63519999999</v>
      </c>
      <c r="GB38" s="765">
        <f t="shared" si="114"/>
        <v>39.166556350626117</v>
      </c>
      <c r="GC38" s="765">
        <f t="shared" si="115"/>
        <v>65.903038982994588</v>
      </c>
      <c r="GD38" s="765">
        <f t="shared" si="116"/>
        <v>134.65006036217304</v>
      </c>
    </row>
    <row r="39" spans="1:186">
      <c r="A39" s="4">
        <v>43132</v>
      </c>
      <c r="B39" s="6">
        <v>2018</v>
      </c>
      <c r="C39" s="5">
        <v>2</v>
      </c>
      <c r="D39" s="7">
        <v>75788112.29992041</v>
      </c>
      <c r="E39" s="7">
        <f>IFERROR(VLOOKUP($B39-1,CDM!$V$4:$AJ$17,2,FALSE)/12,0)+IFERROR(VLOOKUP($B39,CDM!$V$41:$AJ$54,2,FALSE)/24,0)+IFERROR(VLOOKUP($B39,CDM!$V$41:$AJ$54,2,FALSE)/2*$C39/78,0)</f>
        <v>3285461.5624803663</v>
      </c>
      <c r="F39" s="7">
        <f t="shared" si="2"/>
        <v>79073573.86240077</v>
      </c>
      <c r="G39" s="7">
        <f>IFERROR(HLOOKUP(B39-1,'EV Forecast VRZ'!$F$124:$T$130,2,FALSE)/12,0)+IFERROR(((HLOOKUP(B39,'EV Forecast VRZ'!$F$116:$T$122,2,FALSE)-HLOOKUP(B39-1,'EV Forecast VRZ'!$F$124:$T$130,2,FALSE)))*C39/78,0)</f>
        <v>56550.00584094134</v>
      </c>
      <c r="H39" s="7"/>
      <c r="I39" s="7">
        <f t="shared" si="3"/>
        <v>79017023.856559828</v>
      </c>
      <c r="J39" s="7">
        <v>944048.40275000001</v>
      </c>
      <c r="K39" s="7">
        <f>IFERROR(VLOOKUP($B39-1,CDM!$V$4:$AJ$17,3,FALSE)/12,0)+IFERROR(VLOOKUP($B39,CDM!$V$41:$AJ$54,3,FALSE)/24,0)+IFERROR(VLOOKUP($B39,CDM!$V$41:$AJ$54,3,FALSE)/2*$C39/78,0)</f>
        <v>37631.031400987129</v>
      </c>
      <c r="L39" s="7">
        <f t="shared" si="4"/>
        <v>981679.43415098719</v>
      </c>
      <c r="M39" s="7">
        <f>IFERROR(HLOOKUP(B39-1,'EV Forecast VRZ'!$F$124:$T$130,3,FALSE)/12,0)+IFERROR(((HLOOKUP(B39,'EV Forecast VRZ'!$F$116:$T$122,3,FALSE)-HLOOKUP(B39-1,'EV Forecast VRZ'!$F$124:$T$130,3,FALSE)))*C39/78,0)</f>
        <v>769.32903085352746</v>
      </c>
      <c r="N39" s="7"/>
      <c r="O39" s="7">
        <f t="shared" si="5"/>
        <v>980910.10512013361</v>
      </c>
      <c r="P39" s="7">
        <v>23337775.572329901</v>
      </c>
      <c r="Q39" s="7">
        <f>IFERROR(VLOOKUP($B39-1,CDM!$V$4:$AJ$17,4,FALSE)/12,0)+IFERROR(VLOOKUP($B39,CDM!$V$41:$AJ$54,4,FALSE)/24,0)+IFERROR(VLOOKUP($B39,CDM!$V$41:$AJ$54,4,FALSE)/2*$C39/78,0)</f>
        <v>897951.28315116814</v>
      </c>
      <c r="R39" s="7">
        <f t="shared" si="6"/>
        <v>24235726.85548107</v>
      </c>
      <c r="S39" s="7">
        <f>IFERROR(HLOOKUP(B39-1,'EV Forecast VRZ'!$F$124:$T$130,4,FALSE)/12,0)+IFERROR(((HLOOKUP(B39,'EV Forecast VRZ'!$F$116:$T$122,4,FALSE)-HLOOKUP(B39-1,'EV Forecast VRZ'!$F$124:$T$130,4,FALSE)))*C39/78,0)</f>
        <v>7216.1887179487194</v>
      </c>
      <c r="T39" s="7"/>
      <c r="U39" s="7">
        <f t="shared" si="7"/>
        <v>24228510.666763119</v>
      </c>
      <c r="V39" s="7">
        <v>76015967.129999995</v>
      </c>
      <c r="W39" s="7">
        <f>IFERROR(VLOOKUP($B39-1,CDM!$V$4:$AJ$17,5,FALSE)/12,0)+IFERROR(VLOOKUP($B39,CDM!$V$41:$AJ$54,5,FALSE)/24,0)+IFERROR(VLOOKUP($B39,CDM!$V$41:$AJ$54,5,FALSE)/2*$C39/78,0)</f>
        <v>3194709.0377184968</v>
      </c>
      <c r="X39" s="7">
        <f t="shared" si="8"/>
        <v>79210676.167718485</v>
      </c>
      <c r="Y39" s="7">
        <f>IFERROR(HLOOKUP(B39-1,'EV Forecast VRZ'!$F$124:$T$130,5,FALSE)/12,0)+IFERROR(((HLOOKUP(B39,'EV Forecast VRZ'!$F$116:$T$122,5,FALSE)-HLOOKUP(B39-1,'EV Forecast VRZ'!$F$124:$T$130,5,FALSE)))*C39/78,0)</f>
        <v>3285.5541538461539</v>
      </c>
      <c r="Z39" s="7"/>
      <c r="AA39" s="7">
        <f t="shared" si="9"/>
        <v>79207390.61356464</v>
      </c>
      <c r="AB39" s="7">
        <v>7112535.1299999999</v>
      </c>
      <c r="AC39" s="7">
        <f>IFERROR(VLOOKUP($B39-1,CDM!$V$4:$AJ$17,6,FALSE)/12,0)+IFERROR(VLOOKUP($B39,CDM!$V$41:$AJ$54,6,FALSE)/24,0)+IFERROR(VLOOKUP($B39,CDM!$V$41:$AJ$54,6,FALSE)/2*$C39/78,0)</f>
        <v>141908.33081971394</v>
      </c>
      <c r="AD39" s="7">
        <f t="shared" si="10"/>
        <v>7254443.4608197138</v>
      </c>
      <c r="AE39" s="7">
        <f>IFERROR(HLOOKUP(B39-1,'EV Forecast VRZ'!$F$124:$T$130,6,FALSE)/12,0)+IFERROR(((HLOOKUP(B39,'EV Forecast VRZ'!$F$116:$T$122,6,FALSE)-HLOOKUP(B39-1,'EV Forecast VRZ'!$F$124:$T$130,6,FALSE)))*C39/78,0)</f>
        <v>513.88635897435893</v>
      </c>
      <c r="AF39" s="7">
        <f t="shared" si="11"/>
        <v>7253929.5744607393</v>
      </c>
      <c r="AG39" s="7">
        <v>19725451.09</v>
      </c>
      <c r="AH39" s="7">
        <f>IFERROR(VLOOKUP($B39-1,CDM!$V$4:$AJ$17,7,FALSE)/12,0)+IFERROR(VLOOKUP($B39,CDM!$V$41:$AJ$54,7,FALSE)/24,0)+IFERROR(VLOOKUP($B39,CDM!$V$41:$AJ$54,7,FALSE)/2*$C39/78,0)</f>
        <v>1169475.8934661099</v>
      </c>
      <c r="AI39" s="7">
        <f t="shared" si="12"/>
        <v>20894926.983466111</v>
      </c>
      <c r="AJ39" s="7">
        <f>IFERROR(HLOOKUP(B39-1,'EV Forecast VRZ'!$F$124:$T$130,7,FALSE)/12,0)+IFERROR(((HLOOKUP(B39,'EV Forecast VRZ'!$F$116:$T$122,7,FALSE)-HLOOKUP(B39-1,'EV Forecast VRZ'!$F$124:$T$130,7,FALSE)))*C39/78,0)</f>
        <v>0</v>
      </c>
      <c r="AK39" s="7">
        <f t="shared" si="13"/>
        <v>20894926.983466111</v>
      </c>
      <c r="AL39" s="7">
        <v>1506438.31</v>
      </c>
      <c r="AM39" s="7">
        <v>20423.790000000005</v>
      </c>
      <c r="AN39" s="7">
        <v>408710.99</v>
      </c>
      <c r="AO39" s="5">
        <v>184797.75</v>
      </c>
      <c r="AP39" s="5">
        <v>16353.8</v>
      </c>
      <c r="AQ39" s="5">
        <v>36199</v>
      </c>
      <c r="AR39" s="5">
        <v>3802.1</v>
      </c>
      <c r="AS39" s="763">
        <f t="shared" ref="AS39:AS49" si="119">720/12</f>
        <v>60</v>
      </c>
      <c r="AT39" s="776">
        <v>108977</v>
      </c>
      <c r="AU39" s="776">
        <v>1571.6666666666665</v>
      </c>
      <c r="AV39" s="776">
        <v>9052.5</v>
      </c>
      <c r="AW39" s="776">
        <v>1076</v>
      </c>
      <c r="AX39" s="776">
        <v>4.8333333333333339</v>
      </c>
      <c r="AY39" s="776">
        <v>3.166666666666667</v>
      </c>
      <c r="AZ39" s="776">
        <v>30734.5</v>
      </c>
      <c r="BA39" s="776">
        <v>439</v>
      </c>
      <c r="BB39" s="776">
        <v>820</v>
      </c>
      <c r="BC39" s="779">
        <v>25873717.042549901</v>
      </c>
      <c r="BD39" s="779">
        <f>IFERROR(VLOOKUP($B39-1,CDM!$V$4:$AJ$17,11,FALSE)/12,0)+IFERROR(VLOOKUP($B39,CDM!$V$41:$AJ$54,11,FALSE)/24,0)+IFERROR(VLOOKUP($B39,CDM!$V$41:$AJ$54,11,FALSE)/2*$C39/78,0)</f>
        <v>1679300.561637088</v>
      </c>
      <c r="BE39" s="779">
        <f t="shared" si="71"/>
        <v>27553017.604186989</v>
      </c>
      <c r="BF39" s="779">
        <f>IFERROR(HLOOKUP(B39-1,'EV Forecast WRZ'!$F$124:$T$130,2,FALSE)/12,0)+IFERROR(((HLOOKUP(B39,'EV Forecast WRZ'!$F$116:$T$122,2,FALSE)-HLOOKUP(B39-1,'EV Forecast WRZ'!$F$124:$T$130,2,FALSE)))*C39/78,0)</f>
        <v>17331.293333333335</v>
      </c>
      <c r="BG39" s="779"/>
      <c r="BH39" s="779">
        <f t="shared" si="15"/>
        <v>27535686.310853656</v>
      </c>
      <c r="BI39" s="779">
        <v>7330262.0310799899</v>
      </c>
      <c r="BJ39" s="779">
        <f>IFERROR(VLOOKUP($B39-1,CDM!$V$4:$AJ$17,12,FALSE)/12,0)+IFERROR(VLOOKUP($B39,CDM!$V$41:$AJ$54,12,FALSE)/24,0)+IFERROR(VLOOKUP($B39,CDM!$V$41:$AJ$54,12,FALSE)/2*$C39/78,0)</f>
        <v>166443.65820290294</v>
      </c>
      <c r="BK39" s="779">
        <f t="shared" si="16"/>
        <v>7496705.6892828932</v>
      </c>
      <c r="BL39" s="779">
        <f>IFERROR(HLOOKUP(B39-1,'EV Forecast WRZ'!$F$124:$T$130,3,FALSE)/12,0)+IFERROR(((HLOOKUP(B39,'EV Forecast WRZ'!$F$116:$T$122,3,FALSE)-HLOOKUP(B39-1,'EV Forecast WRZ'!$F$124:$T$130,3,FALSE)))*C39/78,0)</f>
        <v>2331.1702564102566</v>
      </c>
      <c r="BM39" s="779"/>
      <c r="BN39" s="779">
        <f t="shared" si="17"/>
        <v>7494374.5190264834</v>
      </c>
      <c r="BO39" s="779">
        <v>28641648.640000001</v>
      </c>
      <c r="BP39" s="779">
        <f>IFERROR(VLOOKUP($B39-1,CDM!$V$4:$AJ$17,13,FALSE)/12,0)+IFERROR(VLOOKUP($B39,CDM!$V$41:$AJ$54,13,FALSE)/24,0)+IFERROR(VLOOKUP($B39,CDM!$V$41:$AJ$54,13,FALSE)/2*$C39/78,0)</f>
        <v>933279.08546649979</v>
      </c>
      <c r="BQ39" s="779">
        <f t="shared" si="19"/>
        <v>29574927.725466501</v>
      </c>
      <c r="BR39" s="779">
        <f>IFERROR(HLOOKUP(B39-1,'EV Forecast WRZ'!$F$124:$T$130,4,FALSE)/12,0)+IFERROR(((HLOOKUP(B39,'EV Forecast WRZ'!$F$116:$T$122,4,FALSE)-HLOOKUP(B39-1,'EV Forecast WRZ'!$F$124:$T$130,4,FALSE)))*C39/78,0)</f>
        <v>1072.6804615384615</v>
      </c>
      <c r="BS39" s="779"/>
      <c r="BT39" s="779">
        <f t="shared" si="20"/>
        <v>29573855.045004964</v>
      </c>
      <c r="BU39" s="779">
        <v>4701080.42</v>
      </c>
      <c r="BV39" s="779">
        <f>IFERROR(VLOOKUP($B39-1,CDM!$V$4:$AJ$17,14,FALSE)/12,0)+IFERROR(VLOOKUP($B39,CDM!$V$41:$AJ$54,14,FALSE)/24,0)+IFERROR(VLOOKUP($B39,CDM!$V$41:$AJ$54,14,FALSE)/2*$C39/78,0)</f>
        <v>209821.81612462428</v>
      </c>
      <c r="BW39" s="779">
        <f t="shared" si="21"/>
        <v>4910902.2361246245</v>
      </c>
      <c r="BX39" s="779">
        <f>IFERROR(HLOOKUP(B39-1,'EV Forecast WRZ'!$F$124:$T$130,5,FALSE)/12,0)+IFERROR(((HLOOKUP(B39,'EV Forecast WRZ'!$F$116:$T$122,5,FALSE)-HLOOKUP(B39-1,'EV Forecast WRZ'!$F$124:$T$130,5,FALSE)))*C39/78,0)</f>
        <v>211.17389743589746</v>
      </c>
      <c r="BY39" s="779">
        <f t="shared" si="72"/>
        <v>4910691.0622271886</v>
      </c>
      <c r="BZ39" s="779">
        <v>368528.21</v>
      </c>
      <c r="CA39" s="779">
        <v>2498.8235614385444</v>
      </c>
      <c r="CB39" s="5">
        <v>50190.68</v>
      </c>
      <c r="CC39" s="5">
        <v>68590.789999999994</v>
      </c>
      <c r="CD39" s="5">
        <v>7306.68</v>
      </c>
      <c r="CE39" s="5">
        <v>904.7</v>
      </c>
      <c r="CF39" s="763">
        <f t="shared" ref="CF39:CF49" si="120">87/12</f>
        <v>7.25</v>
      </c>
      <c r="CG39" s="785">
        <v>39953.666666666672</v>
      </c>
      <c r="CH39" s="785">
        <v>2240.666666666667</v>
      </c>
      <c r="CI39" s="785">
        <v>369.5</v>
      </c>
      <c r="CJ39" s="785">
        <v>2.166666666666667</v>
      </c>
      <c r="CK39" s="785">
        <v>11948.666666666668</v>
      </c>
      <c r="CL39" s="785">
        <v>37.833333333333329</v>
      </c>
      <c r="CM39" s="785">
        <v>373.5</v>
      </c>
      <c r="CN39" s="46">
        <f>Weather!C51</f>
        <v>632.49583333333328</v>
      </c>
      <c r="CO39" s="46">
        <f>Weather!D51</f>
        <v>0</v>
      </c>
      <c r="CP39" s="46">
        <f>Weather!E51</f>
        <v>576.49583333333317</v>
      </c>
      <c r="CQ39" s="46">
        <f>Weather!F51</f>
        <v>0</v>
      </c>
      <c r="CR39" s="46">
        <f>Weather!G51</f>
        <v>520.49583333333328</v>
      </c>
      <c r="CS39" s="46">
        <f>Weather!H51</f>
        <v>0</v>
      </c>
      <c r="CT39" s="46">
        <f>Weather!I51</f>
        <v>464.49583333333334</v>
      </c>
      <c r="CU39" s="46">
        <f>Weather!J51</f>
        <v>0</v>
      </c>
      <c r="CV39" s="46">
        <f>Weather!K51</f>
        <v>408.49583333333334</v>
      </c>
      <c r="CW39" s="46">
        <f>Weather!L51</f>
        <v>0</v>
      </c>
      <c r="CX39" s="46">
        <f>Weather!M51</f>
        <v>352.49583333333334</v>
      </c>
      <c r="CY39" s="46">
        <f>Weather!N51</f>
        <v>0</v>
      </c>
      <c r="CZ39" s="46">
        <f>Weather!O51</f>
        <v>296.49583333333334</v>
      </c>
      <c r="DA39" s="46">
        <f>Weather!P51</f>
        <v>0</v>
      </c>
      <c r="DB39" s="368">
        <f>'Economic Data'!D53</f>
        <v>7183.9</v>
      </c>
      <c r="DC39" s="368">
        <f>'Economic Data'!E53</f>
        <v>7116</v>
      </c>
      <c r="DD39" s="368">
        <f>'Economic Data'!F53</f>
        <v>206.7</v>
      </c>
      <c r="DE39" s="368">
        <f>'Economic Data'!G53</f>
        <v>204.6</v>
      </c>
      <c r="DF39" s="368">
        <f>'Economic Data'!H53</f>
        <v>39.5</v>
      </c>
      <c r="DG39" s="368">
        <f>'Economic Data'!I53</f>
        <v>39.5</v>
      </c>
      <c r="DH39" s="368">
        <f>'Economic Data'!J53</f>
        <v>789531.6</v>
      </c>
      <c r="DI39" s="368">
        <f>'Economic Data'!K53</f>
        <v>608429.30000000005</v>
      </c>
      <c r="DJ39" s="368">
        <f>'Economic Data'!L53</f>
        <v>95137.5</v>
      </c>
      <c r="DK39" s="368">
        <f>'Economic Data'!M53</f>
        <v>31658.2</v>
      </c>
      <c r="DL39" s="368">
        <f>'Economic Data'!N53</f>
        <v>779459</v>
      </c>
      <c r="DM39" s="368">
        <f>'Economic Data'!O53</f>
        <v>94076</v>
      </c>
      <c r="DN39" s="368">
        <f>'Economic Data'!P53</f>
        <v>20117</v>
      </c>
      <c r="DO39" s="368">
        <f>'Economic Data'!Q53</f>
        <v>600187</v>
      </c>
      <c r="DP39" s="368">
        <f>'Economic Data'!R53</f>
        <v>31723</v>
      </c>
      <c r="DQ39">
        <v>28</v>
      </c>
      <c r="DR39">
        <v>19</v>
      </c>
      <c r="DS39">
        <v>0</v>
      </c>
      <c r="DT39">
        <v>1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f t="shared" si="69"/>
        <v>38</v>
      </c>
      <c r="EI39">
        <v>0</v>
      </c>
      <c r="EJ39">
        <v>0</v>
      </c>
      <c r="EK39">
        <v>0</v>
      </c>
      <c r="EL39">
        <v>0</v>
      </c>
      <c r="EM39" s="47">
        <f t="shared" si="73"/>
        <v>0</v>
      </c>
      <c r="EN39" s="47">
        <f t="shared" si="74"/>
        <v>0</v>
      </c>
      <c r="EO39" s="47">
        <f t="shared" si="75"/>
        <v>0</v>
      </c>
      <c r="EP39" s="47">
        <f t="shared" si="76"/>
        <v>0</v>
      </c>
      <c r="EQ39" s="47">
        <f t="shared" si="77"/>
        <v>0</v>
      </c>
      <c r="ER39" s="47">
        <f t="shared" si="78"/>
        <v>0</v>
      </c>
      <c r="ES39" s="47">
        <f t="shared" si="79"/>
        <v>0</v>
      </c>
      <c r="ET39" s="47">
        <f t="shared" si="80"/>
        <v>0</v>
      </c>
      <c r="EU39" s="47">
        <f t="shared" si="81"/>
        <v>0</v>
      </c>
      <c r="EV39" s="47">
        <f t="shared" si="82"/>
        <v>0</v>
      </c>
      <c r="EW39" s="47">
        <f t="shared" si="83"/>
        <v>0</v>
      </c>
      <c r="EX39" s="47">
        <f t="shared" si="84"/>
        <v>0</v>
      </c>
      <c r="EY39" s="47">
        <f t="shared" si="85"/>
        <v>0</v>
      </c>
      <c r="EZ39" s="47">
        <f t="shared" si="86"/>
        <v>0</v>
      </c>
      <c r="FA39" s="47">
        <f t="shared" si="87"/>
        <v>0</v>
      </c>
      <c r="FB39" s="47">
        <f t="shared" si="88"/>
        <v>0</v>
      </c>
      <c r="FC39" s="47">
        <f t="shared" si="89"/>
        <v>0</v>
      </c>
      <c r="FD39" s="47">
        <f t="shared" si="90"/>
        <v>0</v>
      </c>
      <c r="FE39" s="47">
        <f t="shared" si="91"/>
        <v>0</v>
      </c>
      <c r="FF39" s="47">
        <f t="shared" si="92"/>
        <v>0</v>
      </c>
      <c r="FG39" s="47">
        <f t="shared" si="93"/>
        <v>0</v>
      </c>
      <c r="FH39" s="47">
        <f t="shared" si="94"/>
        <v>0</v>
      </c>
      <c r="FI39" s="47">
        <f t="shared" si="95"/>
        <v>0</v>
      </c>
      <c r="FJ39" s="47">
        <f t="shared" si="96"/>
        <v>0</v>
      </c>
      <c r="FK39" s="47">
        <f t="shared" si="97"/>
        <v>0</v>
      </c>
      <c r="FL39" s="47">
        <f t="shared" si="98"/>
        <v>0</v>
      </c>
      <c r="FM39" s="47">
        <f t="shared" si="99"/>
        <v>0</v>
      </c>
      <c r="FN39" s="47">
        <f t="shared" si="100"/>
        <v>0</v>
      </c>
      <c r="FO39" s="765">
        <f t="shared" si="101"/>
        <v>725.07982286684194</v>
      </c>
      <c r="FP39" s="765">
        <f t="shared" si="102"/>
        <v>624.61045651176289</v>
      </c>
      <c r="FQ39" s="765">
        <f t="shared" si="103"/>
        <v>2677.241298589458</v>
      </c>
      <c r="FR39" s="765">
        <f t="shared" si="104"/>
        <v>73615.870044348034</v>
      </c>
      <c r="FS39" s="765">
        <f t="shared" si="105"/>
        <v>1500919.3367213199</v>
      </c>
      <c r="FT39" s="765">
        <f t="shared" si="106"/>
        <v>6598397.994778771</v>
      </c>
      <c r="FU39" s="765">
        <f t="shared" si="107"/>
        <v>49.014570271193612</v>
      </c>
      <c r="FV39" s="765">
        <f t="shared" si="108"/>
        <v>46.523439635535318</v>
      </c>
      <c r="FW39" s="765">
        <f t="shared" si="109"/>
        <v>498.42803658536582</v>
      </c>
      <c r="FX39" s="765">
        <f t="shared" si="110"/>
        <v>689.62425486656173</v>
      </c>
      <c r="FY39" s="765">
        <f t="shared" si="111"/>
        <v>3345.7478529974228</v>
      </c>
      <c r="FZ39" s="765">
        <f t="shared" si="112"/>
        <v>80040.399798285522</v>
      </c>
      <c r="GA39" s="765">
        <f t="shared" si="113"/>
        <v>170089.94307692305</v>
      </c>
      <c r="GB39" s="765">
        <f t="shared" si="114"/>
        <v>30.842622049880042</v>
      </c>
      <c r="GC39" s="765">
        <f t="shared" si="115"/>
        <v>66.048199861811753</v>
      </c>
      <c r="GD39" s="765">
        <f t="shared" si="116"/>
        <v>134.37933065595718</v>
      </c>
    </row>
    <row r="40" spans="1:186">
      <c r="A40" s="4">
        <v>43160</v>
      </c>
      <c r="B40" s="6">
        <v>2018</v>
      </c>
      <c r="C40" s="5">
        <v>3</v>
      </c>
      <c r="D40" s="7">
        <v>77574339.804849297</v>
      </c>
      <c r="E40" s="7">
        <f>IFERROR(VLOOKUP($B40-1,CDM!$V$4:$AJ$17,2,FALSE)/12,0)+IFERROR(VLOOKUP($B40,CDM!$V$41:$AJ$54,2,FALSE)/24,0)+IFERROR(VLOOKUP($B40,CDM!$V$41:$AJ$54,2,FALSE)/2*$C40/78,0)</f>
        <v>3348069.5382609679</v>
      </c>
      <c r="F40" s="7">
        <f t="shared" si="2"/>
        <v>80922409.343110263</v>
      </c>
      <c r="G40" s="7">
        <f>IFERROR(HLOOKUP(B40-1,'EV Forecast VRZ'!$F$124:$T$130,2,FALSE)/12,0)+IFERROR(((HLOOKUP(B40,'EV Forecast VRZ'!$F$116:$T$122,2,FALSE)-HLOOKUP(B40-1,'EV Forecast VRZ'!$F$124:$T$130,2,FALSE)))*C40/78,0)</f>
        <v>64419.056216295634</v>
      </c>
      <c r="H40" s="7"/>
      <c r="I40" s="7">
        <f t="shared" si="3"/>
        <v>80857990.286893964</v>
      </c>
      <c r="J40" s="7">
        <v>908894.33846000105</v>
      </c>
      <c r="K40" s="7">
        <f>IFERROR(VLOOKUP($B40-1,CDM!$V$4:$AJ$17,3,FALSE)/12,0)+IFERROR(VLOOKUP($B40,CDM!$V$41:$AJ$54,3,FALSE)/24,0)+IFERROR(VLOOKUP($B40,CDM!$V$41:$AJ$54,3,FALSE)/2*$C40/78,0)</f>
        <v>38348.130858018485</v>
      </c>
      <c r="L40" s="7">
        <f t="shared" si="4"/>
        <v>947242.46931801958</v>
      </c>
      <c r="M40" s="7">
        <f>IFERROR(HLOOKUP(B40-1,'EV Forecast VRZ'!$F$124:$T$130,3,FALSE)/12,0)+IFERROR(((HLOOKUP(B40,'EV Forecast VRZ'!$F$116:$T$122,3,FALSE)-HLOOKUP(B40-1,'EV Forecast VRZ'!$F$124:$T$130,3,FALSE)))*C40/78,0)</f>
        <v>876.38275806333058</v>
      </c>
      <c r="N40" s="7"/>
      <c r="O40" s="7">
        <f t="shared" si="5"/>
        <v>946366.08655995619</v>
      </c>
      <c r="P40" s="7">
        <v>24265541.644150101</v>
      </c>
      <c r="Q40" s="7">
        <f>IFERROR(VLOOKUP($B40-1,CDM!$V$4:$AJ$17,4,FALSE)/12,0)+IFERROR(VLOOKUP($B40,CDM!$V$41:$AJ$54,4,FALSE)/24,0)+IFERROR(VLOOKUP($B40,CDM!$V$41:$AJ$54,4,FALSE)/2*$C40/78,0)</f>
        <v>921284.35708633566</v>
      </c>
      <c r="R40" s="7">
        <f t="shared" si="6"/>
        <v>25186826.001236435</v>
      </c>
      <c r="S40" s="7">
        <f>IFERROR(HLOOKUP(B40-1,'EV Forecast VRZ'!$F$124:$T$130,4,FALSE)/12,0)+IFERROR(((HLOOKUP(B40,'EV Forecast VRZ'!$F$116:$T$122,4,FALSE)-HLOOKUP(B40-1,'EV Forecast VRZ'!$F$124:$T$130,4,FALSE)))*C40/78,0)</f>
        <v>8221.0697435897455</v>
      </c>
      <c r="T40" s="7"/>
      <c r="U40" s="7">
        <f t="shared" si="7"/>
        <v>25178604.931492846</v>
      </c>
      <c r="V40" s="7">
        <v>81143864.829999998</v>
      </c>
      <c r="W40" s="7">
        <f>IFERROR(VLOOKUP($B40-1,CDM!$V$4:$AJ$17,5,FALSE)/12,0)+IFERROR(VLOOKUP($B40,CDM!$V$41:$AJ$54,5,FALSE)/24,0)+IFERROR(VLOOKUP($B40,CDM!$V$41:$AJ$54,5,FALSE)/2*$C40/78,0)</f>
        <v>3266541.7326581334</v>
      </c>
      <c r="X40" s="7">
        <f t="shared" si="8"/>
        <v>84410406.562658131</v>
      </c>
      <c r="Y40" s="7">
        <f>IFERROR(HLOOKUP(B40-1,'EV Forecast VRZ'!$F$124:$T$130,5,FALSE)/12,0)+IFERROR(((HLOOKUP(B40,'EV Forecast VRZ'!$F$116:$T$122,5,FALSE)-HLOOKUP(B40-1,'EV Forecast VRZ'!$F$124:$T$130,5,FALSE)))*C40/78,0)</f>
        <v>3743.1352307692309</v>
      </c>
      <c r="Z40" s="7"/>
      <c r="AA40" s="7">
        <f t="shared" si="9"/>
        <v>84406663.427427366</v>
      </c>
      <c r="AB40" s="7">
        <v>7356746.9199999999</v>
      </c>
      <c r="AC40" s="7">
        <f>IFERROR(VLOOKUP($B40-1,CDM!$V$4:$AJ$17,6,FALSE)/12,0)+IFERROR(VLOOKUP($B40,CDM!$V$41:$AJ$54,6,FALSE)/24,0)+IFERROR(VLOOKUP($B40,CDM!$V$41:$AJ$54,6,FALSE)/2*$C40/78,0)</f>
        <v>147177.42246345177</v>
      </c>
      <c r="AD40" s="7">
        <f t="shared" si="10"/>
        <v>7503924.3424634514</v>
      </c>
      <c r="AE40" s="7">
        <f>IFERROR(HLOOKUP(B40-1,'EV Forecast VRZ'!$F$124:$T$130,6,FALSE)/12,0)+IFERROR(((HLOOKUP(B40,'EV Forecast VRZ'!$F$116:$T$122,6,FALSE)-HLOOKUP(B40-1,'EV Forecast VRZ'!$F$124:$T$130,6,FALSE)))*C40/78,0)</f>
        <v>585.66887179487185</v>
      </c>
      <c r="AF40" s="7">
        <f t="shared" si="11"/>
        <v>7503338.6735916566</v>
      </c>
      <c r="AG40" s="7">
        <v>22735788.82</v>
      </c>
      <c r="AH40" s="7">
        <f>IFERROR(VLOOKUP($B40-1,CDM!$V$4:$AJ$17,7,FALSE)/12,0)+IFERROR(VLOOKUP($B40,CDM!$V$41:$AJ$54,7,FALSE)/24,0)+IFERROR(VLOOKUP($B40,CDM!$V$41:$AJ$54,7,FALSE)/2*$C40/78,0)</f>
        <v>1210435.4912050725</v>
      </c>
      <c r="AI40" s="7">
        <f t="shared" si="12"/>
        <v>23946224.311205074</v>
      </c>
      <c r="AJ40" s="7">
        <f>IFERROR(HLOOKUP(B40-1,'EV Forecast VRZ'!$F$124:$T$130,7,FALSE)/12,0)+IFERROR(((HLOOKUP(B40,'EV Forecast VRZ'!$F$116:$T$122,7,FALSE)-HLOOKUP(B40-1,'EV Forecast VRZ'!$F$124:$T$130,7,FALSE)))*C40/78,0)</f>
        <v>0</v>
      </c>
      <c r="AK40" s="7">
        <f t="shared" si="13"/>
        <v>23946224.311205074</v>
      </c>
      <c r="AL40" s="7">
        <v>1414336.76</v>
      </c>
      <c r="AM40" s="7">
        <v>20148.71</v>
      </c>
      <c r="AN40" s="7">
        <v>408291.72</v>
      </c>
      <c r="AO40" s="5">
        <v>180251.41</v>
      </c>
      <c r="AP40" s="5">
        <v>16021.07</v>
      </c>
      <c r="AQ40" s="5">
        <v>35757</v>
      </c>
      <c r="AR40" s="5">
        <v>3602.23</v>
      </c>
      <c r="AS40" s="763">
        <f t="shared" si="119"/>
        <v>60</v>
      </c>
      <c r="AT40" s="776">
        <v>109086.5</v>
      </c>
      <c r="AU40" s="776">
        <v>1571.4999999999998</v>
      </c>
      <c r="AV40" s="776">
        <v>9060.75</v>
      </c>
      <c r="AW40" s="776">
        <v>1072.5</v>
      </c>
      <c r="AX40" s="776">
        <v>4.7500000000000009</v>
      </c>
      <c r="AY40" s="776">
        <v>3.2500000000000004</v>
      </c>
      <c r="AZ40" s="776">
        <v>30770.75</v>
      </c>
      <c r="BA40" s="776">
        <v>439</v>
      </c>
      <c r="BB40" s="776">
        <v>819.5</v>
      </c>
      <c r="BC40" s="779">
        <v>26862067.040940002</v>
      </c>
      <c r="BD40" s="779">
        <f>IFERROR(VLOOKUP($B40-1,CDM!$V$4:$AJ$17,11,FALSE)/12,0)+IFERROR(VLOOKUP($B40,CDM!$V$41:$AJ$54,11,FALSE)/24,0)+IFERROR(VLOOKUP($B40,CDM!$V$41:$AJ$54,11,FALSE)/2*$C40/78,0)</f>
        <v>1708904.421708442</v>
      </c>
      <c r="BE40" s="779">
        <f t="shared" si="71"/>
        <v>28570971.462648444</v>
      </c>
      <c r="BF40" s="779">
        <f>IFERROR(HLOOKUP(B40-1,'EV Forecast WRZ'!$F$124:$T$130,2,FALSE)/12,0)+IFERROR(((HLOOKUP(B40,'EV Forecast WRZ'!$F$116:$T$122,2,FALSE)-HLOOKUP(B40-1,'EV Forecast WRZ'!$F$124:$T$130,2,FALSE)))*C40/78,0)</f>
        <v>19414.375</v>
      </c>
      <c r="BG40" s="779"/>
      <c r="BH40" s="779">
        <f t="shared" si="15"/>
        <v>28551557.087648444</v>
      </c>
      <c r="BI40" s="779">
        <v>7694198.3401800096</v>
      </c>
      <c r="BJ40" s="779">
        <f>IFERROR(VLOOKUP($B40-1,CDM!$V$4:$AJ$17,12,FALSE)/12,0)+IFERROR(VLOOKUP($B40,CDM!$V$41:$AJ$54,12,FALSE)/24,0)+IFERROR(VLOOKUP($B40,CDM!$V$41:$AJ$54,12,FALSE)/2*$C40/78,0)</f>
        <v>169805.53576582688</v>
      </c>
      <c r="BK40" s="779">
        <f t="shared" si="16"/>
        <v>7864003.8759458363</v>
      </c>
      <c r="BL40" s="779">
        <f>IFERROR(HLOOKUP(B40-1,'EV Forecast WRZ'!$F$124:$T$130,3,FALSE)/12,0)+IFERROR(((HLOOKUP(B40,'EV Forecast WRZ'!$F$116:$T$122,3,FALSE)-HLOOKUP(B40-1,'EV Forecast WRZ'!$F$124:$T$130,3,FALSE)))*C40/78,0)</f>
        <v>2583.3653846153848</v>
      </c>
      <c r="BM40" s="779"/>
      <c r="BN40" s="779">
        <f t="shared" si="17"/>
        <v>7861420.5105612213</v>
      </c>
      <c r="BO40" s="779">
        <v>28869882.920000002</v>
      </c>
      <c r="BP40" s="779">
        <f>IFERROR(VLOOKUP($B40-1,CDM!$V$4:$AJ$17,13,FALSE)/12,0)+IFERROR(VLOOKUP($B40,CDM!$V$41:$AJ$54,13,FALSE)/24,0)+IFERROR(VLOOKUP($B40,CDM!$V$41:$AJ$54,13,FALSE)/2*$C40/78,0)</f>
        <v>958656.58164395369</v>
      </c>
      <c r="BQ40" s="779">
        <f t="shared" si="19"/>
        <v>29828539.501643956</v>
      </c>
      <c r="BR40" s="779">
        <f>IFERROR(HLOOKUP(B40-1,'EV Forecast WRZ'!$F$124:$T$130,4,FALSE)/12,0)+IFERROR(((HLOOKUP(B40,'EV Forecast WRZ'!$F$116:$T$122,4,FALSE)-HLOOKUP(B40-1,'EV Forecast WRZ'!$F$124:$T$130,4,FALSE)))*C40/78,0)</f>
        <v>1186.7451923076924</v>
      </c>
      <c r="BS40" s="779"/>
      <c r="BT40" s="779">
        <f t="shared" si="20"/>
        <v>29827352.756451648</v>
      </c>
      <c r="BU40" s="779">
        <v>4884626.8600000003</v>
      </c>
      <c r="BV40" s="779">
        <f>IFERROR(VLOOKUP($B40-1,CDM!$V$4:$AJ$17,14,FALSE)/12,0)+IFERROR(VLOOKUP($B40,CDM!$V$41:$AJ$54,14,FALSE)/24,0)+IFERROR(VLOOKUP($B40,CDM!$V$41:$AJ$54,14,FALSE)/2*$C40/78,0)</f>
        <v>215527.23952858659</v>
      </c>
      <c r="BW40" s="779">
        <f t="shared" si="21"/>
        <v>5100154.0995285865</v>
      </c>
      <c r="BX40" s="779">
        <f>IFERROR(HLOOKUP(B40-1,'EV Forecast WRZ'!$F$124:$T$130,5,FALSE)/12,0)+IFERROR(((HLOOKUP(B40,'EV Forecast WRZ'!$F$116:$T$122,5,FALSE)-HLOOKUP(B40-1,'EV Forecast WRZ'!$F$124:$T$130,5,FALSE)))*C40/78,0)</f>
        <v>226.09134615384616</v>
      </c>
      <c r="BY40" s="779">
        <f t="shared" si="72"/>
        <v>5099928.0081824325</v>
      </c>
      <c r="BZ40" s="779">
        <v>324305.39</v>
      </c>
      <c r="CA40" s="779">
        <v>2498.8235614385444</v>
      </c>
      <c r="CB40" s="5">
        <v>50190.68</v>
      </c>
      <c r="CC40" s="5">
        <v>65607.78</v>
      </c>
      <c r="CD40" s="5">
        <v>7385.24</v>
      </c>
      <c r="CE40" s="5">
        <v>839.8</v>
      </c>
      <c r="CF40" s="763">
        <f t="shared" si="120"/>
        <v>7.25</v>
      </c>
      <c r="CG40" s="785">
        <v>39985.500000000007</v>
      </c>
      <c r="CH40" s="785">
        <v>2242.0000000000005</v>
      </c>
      <c r="CI40" s="785">
        <v>370.25</v>
      </c>
      <c r="CJ40" s="785">
        <v>2.2500000000000004</v>
      </c>
      <c r="CK40" s="785">
        <v>11972.000000000002</v>
      </c>
      <c r="CL40" s="785">
        <v>37.749999999999993</v>
      </c>
      <c r="CM40" s="785">
        <v>374.25</v>
      </c>
      <c r="CN40" s="46">
        <f>Weather!C52</f>
        <v>629.27916666666681</v>
      </c>
      <c r="CO40" s="46">
        <f>Weather!D52</f>
        <v>0</v>
      </c>
      <c r="CP40" s="46">
        <f>Weather!E52</f>
        <v>567.2791666666667</v>
      </c>
      <c r="CQ40" s="46">
        <f>Weather!F52</f>
        <v>0</v>
      </c>
      <c r="CR40" s="46">
        <f>Weather!G52</f>
        <v>505.2791666666667</v>
      </c>
      <c r="CS40" s="46">
        <f>Weather!H52</f>
        <v>0</v>
      </c>
      <c r="CT40" s="46">
        <f>Weather!I52</f>
        <v>443.2791666666667</v>
      </c>
      <c r="CU40" s="46">
        <f>Weather!J52</f>
        <v>0</v>
      </c>
      <c r="CV40" s="46">
        <f>Weather!K52</f>
        <v>381.27916666666664</v>
      </c>
      <c r="CW40" s="46">
        <f>Weather!L52</f>
        <v>0</v>
      </c>
      <c r="CX40" s="46">
        <f>Weather!M52</f>
        <v>319.2791666666667</v>
      </c>
      <c r="CY40" s="46">
        <f>Weather!N52</f>
        <v>0</v>
      </c>
      <c r="CZ40" s="46">
        <f>Weather!O52</f>
        <v>257.2791666666667</v>
      </c>
      <c r="DA40" s="46">
        <f>Weather!P52</f>
        <v>0</v>
      </c>
      <c r="DB40" s="368">
        <f>'Economic Data'!D54</f>
        <v>7183.7</v>
      </c>
      <c r="DC40" s="368">
        <f>'Economic Data'!E54</f>
        <v>7080.1</v>
      </c>
      <c r="DD40" s="368">
        <f>'Economic Data'!F54</f>
        <v>209.4</v>
      </c>
      <c r="DE40" s="368">
        <f>'Economic Data'!G54</f>
        <v>207.3</v>
      </c>
      <c r="DF40" s="368">
        <f>'Economic Data'!H54</f>
        <v>40.9</v>
      </c>
      <c r="DG40" s="368">
        <f>'Economic Data'!I54</f>
        <v>40.9</v>
      </c>
      <c r="DH40" s="368">
        <f>'Economic Data'!J54</f>
        <v>789531.6</v>
      </c>
      <c r="DI40" s="368">
        <f>'Economic Data'!K54</f>
        <v>608429.30000000005</v>
      </c>
      <c r="DJ40" s="368">
        <f>'Economic Data'!L54</f>
        <v>95137.5</v>
      </c>
      <c r="DK40" s="368">
        <f>'Economic Data'!M54</f>
        <v>31658.2</v>
      </c>
      <c r="DL40" s="368">
        <f>'Economic Data'!N54</f>
        <v>779459</v>
      </c>
      <c r="DM40" s="368">
        <f>'Economic Data'!O54</f>
        <v>94076</v>
      </c>
      <c r="DN40" s="368">
        <f>'Economic Data'!P54</f>
        <v>20117</v>
      </c>
      <c r="DO40" s="368">
        <f>'Economic Data'!Q54</f>
        <v>600187</v>
      </c>
      <c r="DP40" s="368">
        <f>'Economic Data'!R54</f>
        <v>31723</v>
      </c>
      <c r="DQ40">
        <v>31</v>
      </c>
      <c r="DR40">
        <v>21</v>
      </c>
      <c r="DS40">
        <v>0</v>
      </c>
      <c r="DT40">
        <v>0</v>
      </c>
      <c r="DU40">
        <v>1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1</v>
      </c>
      <c r="EF40">
        <v>0</v>
      </c>
      <c r="EG40">
        <v>1</v>
      </c>
      <c r="EH40">
        <f t="shared" si="69"/>
        <v>39</v>
      </c>
      <c r="EI40">
        <v>0</v>
      </c>
      <c r="EJ40">
        <v>0</v>
      </c>
      <c r="EK40">
        <v>0</v>
      </c>
      <c r="EL40">
        <v>0</v>
      </c>
      <c r="EM40" s="47">
        <f t="shared" si="73"/>
        <v>0</v>
      </c>
      <c r="EN40" s="47">
        <f t="shared" si="74"/>
        <v>0</v>
      </c>
      <c r="EO40" s="47">
        <f t="shared" si="75"/>
        <v>0</v>
      </c>
      <c r="EP40" s="47">
        <f t="shared" si="76"/>
        <v>0</v>
      </c>
      <c r="EQ40" s="47">
        <f t="shared" si="77"/>
        <v>0</v>
      </c>
      <c r="ER40" s="47">
        <f t="shared" si="78"/>
        <v>0</v>
      </c>
      <c r="ES40" s="47">
        <f t="shared" si="79"/>
        <v>0</v>
      </c>
      <c r="ET40" s="47">
        <f t="shared" si="80"/>
        <v>0</v>
      </c>
      <c r="EU40" s="47">
        <f t="shared" si="81"/>
        <v>0</v>
      </c>
      <c r="EV40" s="47">
        <f t="shared" si="82"/>
        <v>0</v>
      </c>
      <c r="EW40" s="47">
        <f t="shared" si="83"/>
        <v>0</v>
      </c>
      <c r="EX40" s="47">
        <f t="shared" si="84"/>
        <v>0</v>
      </c>
      <c r="EY40" s="47">
        <f t="shared" si="85"/>
        <v>0</v>
      </c>
      <c r="EZ40" s="47">
        <f t="shared" si="86"/>
        <v>0</v>
      </c>
      <c r="FA40" s="47">
        <f t="shared" si="87"/>
        <v>0</v>
      </c>
      <c r="FB40" s="47">
        <f t="shared" si="88"/>
        <v>0</v>
      </c>
      <c r="FC40" s="47">
        <f t="shared" si="89"/>
        <v>0</v>
      </c>
      <c r="FD40" s="47">
        <f t="shared" si="90"/>
        <v>0</v>
      </c>
      <c r="FE40" s="47">
        <f t="shared" si="91"/>
        <v>0</v>
      </c>
      <c r="FF40" s="47">
        <f t="shared" si="92"/>
        <v>0</v>
      </c>
      <c r="FG40" s="47">
        <f t="shared" si="93"/>
        <v>0</v>
      </c>
      <c r="FH40" s="47">
        <f t="shared" si="94"/>
        <v>0</v>
      </c>
      <c r="FI40" s="47">
        <f t="shared" si="95"/>
        <v>0</v>
      </c>
      <c r="FJ40" s="47">
        <f t="shared" si="96"/>
        <v>0</v>
      </c>
      <c r="FK40" s="47">
        <f t="shared" si="97"/>
        <v>0</v>
      </c>
      <c r="FL40" s="47">
        <f t="shared" si="98"/>
        <v>0</v>
      </c>
      <c r="FM40" s="47">
        <f t="shared" si="99"/>
        <v>0</v>
      </c>
      <c r="FN40" s="47">
        <f t="shared" si="100"/>
        <v>0</v>
      </c>
      <c r="FO40" s="765">
        <f t="shared" si="101"/>
        <v>741.22820226970305</v>
      </c>
      <c r="FP40" s="765">
        <f t="shared" si="102"/>
        <v>602.76326396310515</v>
      </c>
      <c r="FQ40" s="765">
        <f t="shared" si="103"/>
        <v>2779.7727562548835</v>
      </c>
      <c r="FR40" s="765">
        <f t="shared" si="104"/>
        <v>78704.341783364231</v>
      </c>
      <c r="FS40" s="765">
        <f t="shared" si="105"/>
        <v>1579773.5457817789</v>
      </c>
      <c r="FT40" s="765">
        <f t="shared" si="106"/>
        <v>7368069.0188323297</v>
      </c>
      <c r="FU40" s="765">
        <f t="shared" si="107"/>
        <v>45.963675243534851</v>
      </c>
      <c r="FV40" s="765">
        <f t="shared" si="108"/>
        <v>45.896833712984055</v>
      </c>
      <c r="FW40" s="765">
        <f t="shared" si="109"/>
        <v>498.22052471018912</v>
      </c>
      <c r="FX40" s="765">
        <f t="shared" si="110"/>
        <v>714.53330488923336</v>
      </c>
      <c r="FY40" s="765">
        <f t="shared" si="111"/>
        <v>3507.5842444004616</v>
      </c>
      <c r="FZ40" s="765">
        <f t="shared" si="112"/>
        <v>80563.239707343571</v>
      </c>
      <c r="GA40" s="765">
        <f t="shared" si="113"/>
        <v>144135.72888888887</v>
      </c>
      <c r="GB40" s="765">
        <f t="shared" si="114"/>
        <v>27.088656030738388</v>
      </c>
      <c r="GC40" s="765">
        <f t="shared" si="115"/>
        <v>66.194001627511128</v>
      </c>
      <c r="GD40" s="765">
        <f t="shared" si="116"/>
        <v>134.1100334001336</v>
      </c>
    </row>
    <row r="41" spans="1:186">
      <c r="A41" s="4">
        <v>43191</v>
      </c>
      <c r="B41" s="6">
        <v>2018</v>
      </c>
      <c r="C41" s="5">
        <v>4</v>
      </c>
      <c r="D41" s="7">
        <v>71453134.588280007</v>
      </c>
      <c r="E41" s="7">
        <f>IFERROR(VLOOKUP($B41-1,CDM!$V$4:$AJ$17,2,FALSE)/12,0)+IFERROR(VLOOKUP($B41,CDM!$V$41:$AJ$54,2,FALSE)/24,0)+IFERROR(VLOOKUP($B41,CDM!$V$41:$AJ$54,2,FALSE)/2*$C41/78,0)</f>
        <v>3410677.5140415695</v>
      </c>
      <c r="F41" s="7">
        <f t="shared" si="2"/>
        <v>74863812.10232158</v>
      </c>
      <c r="G41" s="7">
        <f>IFERROR(HLOOKUP(B41-1,'EV Forecast VRZ'!$F$124:$T$130,2,FALSE)/12,0)+IFERROR(((HLOOKUP(B41,'EV Forecast VRZ'!$F$116:$T$122,2,FALSE)-HLOOKUP(B41-1,'EV Forecast VRZ'!$F$124:$T$130,2,FALSE)))*C41/78,0)</f>
        <v>72288.106591649936</v>
      </c>
      <c r="H41" s="7"/>
      <c r="I41" s="7">
        <f t="shared" si="3"/>
        <v>74791523.995729923</v>
      </c>
      <c r="J41" s="7">
        <v>786585.54633000097</v>
      </c>
      <c r="K41" s="7">
        <f>IFERROR(VLOOKUP($B41-1,CDM!$V$4:$AJ$17,3,FALSE)/12,0)+IFERROR(VLOOKUP($B41,CDM!$V$41:$AJ$54,3,FALSE)/24,0)+IFERROR(VLOOKUP($B41,CDM!$V$41:$AJ$54,3,FALSE)/2*$C41/78,0)</f>
        <v>39065.230315049841</v>
      </c>
      <c r="L41" s="7">
        <f t="shared" si="4"/>
        <v>825650.77664505085</v>
      </c>
      <c r="M41" s="7">
        <f>IFERROR(HLOOKUP(B41-1,'EV Forecast VRZ'!$F$124:$T$130,3,FALSE)/12,0)+IFERROR(((HLOOKUP(B41,'EV Forecast VRZ'!$F$116:$T$122,3,FALSE)-HLOOKUP(B41-1,'EV Forecast VRZ'!$F$124:$T$130,3,FALSE)))*C41/78,0)</f>
        <v>983.43648527313383</v>
      </c>
      <c r="N41" s="7"/>
      <c r="O41" s="7">
        <f t="shared" si="5"/>
        <v>824667.34015977767</v>
      </c>
      <c r="P41" s="7">
        <v>22236277.656720102</v>
      </c>
      <c r="Q41" s="7">
        <f>IFERROR(VLOOKUP($B41-1,CDM!$V$4:$AJ$17,4,FALSE)/12,0)+IFERROR(VLOOKUP($B41,CDM!$V$41:$AJ$54,4,FALSE)/24,0)+IFERROR(VLOOKUP($B41,CDM!$V$41:$AJ$54,4,FALSE)/2*$C41/78,0)</f>
        <v>944617.43102150317</v>
      </c>
      <c r="R41" s="7">
        <f t="shared" si="6"/>
        <v>23180895.087741606</v>
      </c>
      <c r="S41" s="7">
        <f>IFERROR(HLOOKUP(B41-1,'EV Forecast VRZ'!$F$124:$T$130,4,FALSE)/12,0)+IFERROR(((HLOOKUP(B41,'EV Forecast VRZ'!$F$116:$T$122,4,FALSE)-HLOOKUP(B41-1,'EV Forecast VRZ'!$F$124:$T$130,4,FALSE)))*C41/78,0)</f>
        <v>9225.9507692307707</v>
      </c>
      <c r="T41" s="7"/>
      <c r="U41" s="7">
        <f t="shared" si="7"/>
        <v>23171669.136972375</v>
      </c>
      <c r="V41" s="7">
        <v>77058839.040000007</v>
      </c>
      <c r="W41" s="7">
        <f>IFERROR(VLOOKUP($B41-1,CDM!$V$4:$AJ$17,5,FALSE)/12,0)+IFERROR(VLOOKUP($B41,CDM!$V$41:$AJ$54,5,FALSE)/24,0)+IFERROR(VLOOKUP($B41,CDM!$V$41:$AJ$54,5,FALSE)/2*$C41/78,0)</f>
        <v>3338374.42759777</v>
      </c>
      <c r="X41" s="7">
        <f t="shared" si="8"/>
        <v>80397213.467597783</v>
      </c>
      <c r="Y41" s="7">
        <f>IFERROR(HLOOKUP(B41-1,'EV Forecast VRZ'!$F$124:$T$130,5,FALSE)/12,0)+IFERROR(((HLOOKUP(B41,'EV Forecast VRZ'!$F$116:$T$122,5,FALSE)-HLOOKUP(B41-1,'EV Forecast VRZ'!$F$124:$T$130,5,FALSE)))*C41/78,0)</f>
        <v>4200.716307692308</v>
      </c>
      <c r="Z41" s="7"/>
      <c r="AA41" s="7">
        <f t="shared" si="9"/>
        <v>80393012.751290083</v>
      </c>
      <c r="AB41" s="7">
        <v>7162192.54</v>
      </c>
      <c r="AC41" s="7">
        <f>IFERROR(VLOOKUP($B41-1,CDM!$V$4:$AJ$17,6,FALSE)/12,0)+IFERROR(VLOOKUP($B41,CDM!$V$41:$AJ$54,6,FALSE)/24,0)+IFERROR(VLOOKUP($B41,CDM!$V$41:$AJ$54,6,FALSE)/2*$C41/78,0)</f>
        <v>152446.51410718961</v>
      </c>
      <c r="AD41" s="7">
        <f t="shared" si="10"/>
        <v>7314639.0541071892</v>
      </c>
      <c r="AE41" s="7">
        <f>IFERROR(HLOOKUP(B41-1,'EV Forecast VRZ'!$F$124:$T$130,6,FALSE)/12,0)+IFERROR(((HLOOKUP(B41,'EV Forecast VRZ'!$F$116:$T$122,6,FALSE)-HLOOKUP(B41-1,'EV Forecast VRZ'!$F$124:$T$130,6,FALSE)))*C41/78,0)</f>
        <v>657.45138461538454</v>
      </c>
      <c r="AF41" s="7">
        <f t="shared" si="11"/>
        <v>7313981.602722574</v>
      </c>
      <c r="AG41" s="7">
        <v>21800508.280000001</v>
      </c>
      <c r="AH41" s="7">
        <f>IFERROR(VLOOKUP($B41-1,CDM!$V$4:$AJ$17,7,FALSE)/12,0)+IFERROR(VLOOKUP($B41,CDM!$V$41:$AJ$54,7,FALSE)/24,0)+IFERROR(VLOOKUP($B41,CDM!$V$41:$AJ$54,7,FALSE)/2*$C41/78,0)</f>
        <v>1251395.0889440353</v>
      </c>
      <c r="AI41" s="7">
        <f t="shared" si="12"/>
        <v>23051903.368944038</v>
      </c>
      <c r="AJ41" s="7">
        <f>IFERROR(HLOOKUP(B41-1,'EV Forecast VRZ'!$F$124:$T$130,7,FALSE)/12,0)+IFERROR(((HLOOKUP(B41,'EV Forecast VRZ'!$F$116:$T$122,7,FALSE)-HLOOKUP(B41-1,'EV Forecast VRZ'!$F$124:$T$130,7,FALSE)))*C41/78,0)</f>
        <v>0</v>
      </c>
      <c r="AK41" s="7">
        <f t="shared" si="13"/>
        <v>23051903.368944038</v>
      </c>
      <c r="AL41" s="7">
        <v>1197992.4099999999</v>
      </c>
      <c r="AM41" s="7">
        <v>21218.14</v>
      </c>
      <c r="AN41" s="7">
        <v>408734.05</v>
      </c>
      <c r="AO41" s="5">
        <v>183307.67</v>
      </c>
      <c r="AP41" s="5">
        <v>16090.48</v>
      </c>
      <c r="AQ41" s="5">
        <v>36662</v>
      </c>
      <c r="AR41" s="5">
        <v>3628.36</v>
      </c>
      <c r="AS41" s="763">
        <f t="shared" si="119"/>
        <v>60</v>
      </c>
      <c r="AT41" s="776">
        <v>109196</v>
      </c>
      <c r="AU41" s="776">
        <v>1571.333333333333</v>
      </c>
      <c r="AV41" s="776">
        <v>9069</v>
      </c>
      <c r="AW41" s="776">
        <v>1069</v>
      </c>
      <c r="AX41" s="776">
        <v>4.6666666666666679</v>
      </c>
      <c r="AY41" s="776">
        <v>3.3333333333333339</v>
      </c>
      <c r="AZ41" s="776">
        <v>30807</v>
      </c>
      <c r="BA41" s="776">
        <v>439</v>
      </c>
      <c r="BB41" s="776">
        <v>819</v>
      </c>
      <c r="BC41" s="779">
        <v>25231386.626850203</v>
      </c>
      <c r="BD41" s="779">
        <f>IFERROR(VLOOKUP($B41-1,CDM!$V$4:$AJ$17,11,FALSE)/12,0)+IFERROR(VLOOKUP($B41,CDM!$V$41:$AJ$54,11,FALSE)/24,0)+IFERROR(VLOOKUP($B41,CDM!$V$41:$AJ$54,11,FALSE)/2*$C41/78,0)</f>
        <v>1738508.2817797959</v>
      </c>
      <c r="BE41" s="779">
        <f t="shared" si="71"/>
        <v>26969894.908629999</v>
      </c>
      <c r="BF41" s="779">
        <f>IFERROR(HLOOKUP(B41-1,'EV Forecast WRZ'!$F$124:$T$130,2,FALSE)/12,0)+IFERROR(((HLOOKUP(B41,'EV Forecast WRZ'!$F$116:$T$122,2,FALSE)-HLOOKUP(B41-1,'EV Forecast WRZ'!$F$124:$T$130,2,FALSE)))*C41/78,0)</f>
        <v>21497.456666666669</v>
      </c>
      <c r="BG41" s="779"/>
      <c r="BH41" s="779">
        <f t="shared" si="15"/>
        <v>26948397.451963332</v>
      </c>
      <c r="BI41" s="779">
        <v>7000695.0524100102</v>
      </c>
      <c r="BJ41" s="779">
        <f>IFERROR(VLOOKUP($B41-1,CDM!$V$4:$AJ$17,12,FALSE)/12,0)+IFERROR(VLOOKUP($B41,CDM!$V$41:$AJ$54,12,FALSE)/24,0)+IFERROR(VLOOKUP($B41,CDM!$V$41:$AJ$54,12,FALSE)/2*$C41/78,0)</f>
        <v>173167.41332875082</v>
      </c>
      <c r="BK41" s="779">
        <f t="shared" si="16"/>
        <v>7173862.4657387612</v>
      </c>
      <c r="BL41" s="779">
        <f>IFERROR(HLOOKUP(B41-1,'EV Forecast WRZ'!$F$124:$T$130,3,FALSE)/12,0)+IFERROR(((HLOOKUP(B41,'EV Forecast WRZ'!$F$116:$T$122,3,FALSE)-HLOOKUP(B41-1,'EV Forecast WRZ'!$F$124:$T$130,3,FALSE)))*C41/78,0)</f>
        <v>2835.5605128205129</v>
      </c>
      <c r="BM41" s="779"/>
      <c r="BN41" s="779">
        <f t="shared" si="17"/>
        <v>7171026.905225941</v>
      </c>
      <c r="BO41" s="779">
        <v>27695564.940000001</v>
      </c>
      <c r="BP41" s="779">
        <f>IFERROR(VLOOKUP($B41-1,CDM!$V$4:$AJ$17,13,FALSE)/12,0)+IFERROR(VLOOKUP($B41,CDM!$V$41:$AJ$54,13,FALSE)/24,0)+IFERROR(VLOOKUP($B41,CDM!$V$41:$AJ$54,13,FALSE)/2*$C41/78,0)</f>
        <v>984034.07782140758</v>
      </c>
      <c r="BQ41" s="779">
        <f t="shared" si="19"/>
        <v>28679599.017821409</v>
      </c>
      <c r="BR41" s="779">
        <f>IFERROR(HLOOKUP(B41-1,'EV Forecast WRZ'!$F$124:$T$130,4,FALSE)/12,0)+IFERROR(((HLOOKUP(B41,'EV Forecast WRZ'!$F$116:$T$122,4,FALSE)-HLOOKUP(B41-1,'EV Forecast WRZ'!$F$124:$T$130,4,FALSE)))*C41/78,0)</f>
        <v>1300.809923076923</v>
      </c>
      <c r="BS41" s="779"/>
      <c r="BT41" s="779">
        <f t="shared" si="20"/>
        <v>28678298.207898334</v>
      </c>
      <c r="BU41" s="779">
        <v>6434645.5199999996</v>
      </c>
      <c r="BV41" s="779">
        <f>IFERROR(VLOOKUP($B41-1,CDM!$V$4:$AJ$17,14,FALSE)/12,0)+IFERROR(VLOOKUP($B41,CDM!$V$41:$AJ$54,14,FALSE)/24,0)+IFERROR(VLOOKUP($B41,CDM!$V$41:$AJ$54,14,FALSE)/2*$C41/78,0)</f>
        <v>221232.66293254888</v>
      </c>
      <c r="BW41" s="779">
        <f t="shared" si="21"/>
        <v>6655878.1829325482</v>
      </c>
      <c r="BX41" s="779">
        <f>IFERROR(HLOOKUP(B41-1,'EV Forecast WRZ'!$F$124:$T$130,5,FALSE)/12,0)+IFERROR(((HLOOKUP(B41,'EV Forecast WRZ'!$F$116:$T$122,5,FALSE)-HLOOKUP(B41-1,'EV Forecast WRZ'!$F$124:$T$130,5,FALSE)))*C41/78,0)</f>
        <v>241.00879487179489</v>
      </c>
      <c r="BY41" s="779">
        <f t="shared" si="72"/>
        <v>6655637.1741376761</v>
      </c>
      <c r="BZ41" s="779">
        <v>283375.11</v>
      </c>
      <c r="CA41" s="779">
        <v>2498.8235614385444</v>
      </c>
      <c r="CB41" s="5">
        <v>50190.68</v>
      </c>
      <c r="CC41" s="5">
        <v>65290.11</v>
      </c>
      <c r="CD41" s="5">
        <v>8926.08</v>
      </c>
      <c r="CE41" s="5">
        <v>809.11</v>
      </c>
      <c r="CF41" s="763">
        <f t="shared" si="120"/>
        <v>7.25</v>
      </c>
      <c r="CG41" s="785">
        <v>40017.333333333343</v>
      </c>
      <c r="CH41" s="785">
        <v>2243.3333333333339</v>
      </c>
      <c r="CI41" s="785">
        <v>371</v>
      </c>
      <c r="CJ41" s="785">
        <v>2.3333333333333339</v>
      </c>
      <c r="CK41" s="785">
        <v>11995.333333333336</v>
      </c>
      <c r="CL41" s="785">
        <v>37.666666666666657</v>
      </c>
      <c r="CM41" s="785">
        <v>375</v>
      </c>
      <c r="CN41" s="46">
        <f>Weather!C53</f>
        <v>512.51666666666677</v>
      </c>
      <c r="CO41" s="46">
        <f>Weather!D53</f>
        <v>0</v>
      </c>
      <c r="CP41" s="46">
        <f>Weather!E53</f>
        <v>452.51666666666677</v>
      </c>
      <c r="CQ41" s="46">
        <f>Weather!F53</f>
        <v>0</v>
      </c>
      <c r="CR41" s="46">
        <f>Weather!G53</f>
        <v>392.51666666666677</v>
      </c>
      <c r="CS41" s="46">
        <f>Weather!H53</f>
        <v>0</v>
      </c>
      <c r="CT41" s="46">
        <f>Weather!I53</f>
        <v>332.51666666666671</v>
      </c>
      <c r="CU41" s="46">
        <f>Weather!J53</f>
        <v>0</v>
      </c>
      <c r="CV41" s="46">
        <f>Weather!K53</f>
        <v>272.51666666666665</v>
      </c>
      <c r="CW41" s="46">
        <f>Weather!L53</f>
        <v>0</v>
      </c>
      <c r="CX41" s="46">
        <f>Weather!M53</f>
        <v>212.57916666666659</v>
      </c>
      <c r="CY41" s="46">
        <f>Weather!N53</f>
        <v>6.2499999999998224E-2</v>
      </c>
      <c r="CZ41" s="46">
        <f>Weather!O53</f>
        <v>158.6666666666666</v>
      </c>
      <c r="DA41" s="46">
        <f>Weather!P53</f>
        <v>6.15</v>
      </c>
      <c r="DB41" s="368">
        <f>'Economic Data'!D55</f>
        <v>7196</v>
      </c>
      <c r="DC41" s="368">
        <f>'Economic Data'!E55</f>
        <v>7107.1</v>
      </c>
      <c r="DD41" s="368">
        <f>'Economic Data'!F55</f>
        <v>213.7</v>
      </c>
      <c r="DE41" s="368">
        <f>'Economic Data'!G55</f>
        <v>212.2</v>
      </c>
      <c r="DF41" s="368">
        <f>'Economic Data'!H55</f>
        <v>41</v>
      </c>
      <c r="DG41" s="368">
        <f>'Economic Data'!I55</f>
        <v>41</v>
      </c>
      <c r="DH41" s="368">
        <f>'Economic Data'!J55</f>
        <v>789531.6</v>
      </c>
      <c r="DI41" s="368">
        <f>'Economic Data'!K55</f>
        <v>608429.30000000005</v>
      </c>
      <c r="DJ41" s="368">
        <f>'Economic Data'!L55</f>
        <v>95137.5</v>
      </c>
      <c r="DK41" s="368">
        <f>'Economic Data'!M55</f>
        <v>31658.2</v>
      </c>
      <c r="DL41" s="368">
        <f>'Economic Data'!N55</f>
        <v>784896</v>
      </c>
      <c r="DM41" s="368">
        <f>'Economic Data'!O55</f>
        <v>94306</v>
      </c>
      <c r="DN41" s="368">
        <f>'Economic Data'!P55</f>
        <v>19819</v>
      </c>
      <c r="DO41" s="368">
        <f>'Economic Data'!Q55</f>
        <v>604446</v>
      </c>
      <c r="DP41" s="368">
        <f>'Economic Data'!R55</f>
        <v>31589</v>
      </c>
      <c r="DQ41">
        <v>30</v>
      </c>
      <c r="DR41">
        <v>21</v>
      </c>
      <c r="DS41">
        <v>0</v>
      </c>
      <c r="DT41">
        <v>0</v>
      </c>
      <c r="DU41">
        <v>0</v>
      </c>
      <c r="DV41">
        <v>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1</v>
      </c>
      <c r="EF41">
        <v>0</v>
      </c>
      <c r="EG41">
        <v>1</v>
      </c>
      <c r="EH41">
        <f t="shared" si="69"/>
        <v>40</v>
      </c>
      <c r="EI41">
        <v>0</v>
      </c>
      <c r="EJ41">
        <v>0</v>
      </c>
      <c r="EK41">
        <v>0</v>
      </c>
      <c r="EL41">
        <v>0</v>
      </c>
      <c r="EM41" s="47">
        <f t="shared" si="73"/>
        <v>0</v>
      </c>
      <c r="EN41" s="47">
        <f t="shared" si="74"/>
        <v>0</v>
      </c>
      <c r="EO41" s="47">
        <f t="shared" si="75"/>
        <v>0</v>
      </c>
      <c r="EP41" s="47">
        <f t="shared" si="76"/>
        <v>0</v>
      </c>
      <c r="EQ41" s="47">
        <f t="shared" si="77"/>
        <v>0</v>
      </c>
      <c r="ER41" s="47">
        <f t="shared" si="78"/>
        <v>0</v>
      </c>
      <c r="ES41" s="47">
        <f t="shared" si="79"/>
        <v>0</v>
      </c>
      <c r="ET41" s="47">
        <f t="shared" si="80"/>
        <v>0</v>
      </c>
      <c r="EU41" s="47">
        <f t="shared" si="81"/>
        <v>0</v>
      </c>
      <c r="EV41" s="47">
        <f t="shared" si="82"/>
        <v>0</v>
      </c>
      <c r="EW41" s="47">
        <f t="shared" si="83"/>
        <v>0</v>
      </c>
      <c r="EX41" s="47">
        <f t="shared" si="84"/>
        <v>0</v>
      </c>
      <c r="EY41" s="47">
        <f t="shared" si="85"/>
        <v>0</v>
      </c>
      <c r="EZ41" s="47">
        <f t="shared" si="86"/>
        <v>0</v>
      </c>
      <c r="FA41" s="47">
        <f t="shared" si="87"/>
        <v>0</v>
      </c>
      <c r="FB41" s="47">
        <f t="shared" si="88"/>
        <v>0</v>
      </c>
      <c r="FC41" s="47">
        <f t="shared" si="89"/>
        <v>0</v>
      </c>
      <c r="FD41" s="47">
        <f t="shared" si="90"/>
        <v>0</v>
      </c>
      <c r="FE41" s="47">
        <f t="shared" si="91"/>
        <v>0</v>
      </c>
      <c r="FF41" s="47">
        <f t="shared" si="92"/>
        <v>0</v>
      </c>
      <c r="FG41" s="47">
        <f t="shared" si="93"/>
        <v>0</v>
      </c>
      <c r="FH41" s="47">
        <f t="shared" si="94"/>
        <v>0</v>
      </c>
      <c r="FI41" s="47">
        <f t="shared" si="95"/>
        <v>0</v>
      </c>
      <c r="FJ41" s="47">
        <f t="shared" si="96"/>
        <v>0</v>
      </c>
      <c r="FK41" s="47">
        <f t="shared" si="97"/>
        <v>0</v>
      </c>
      <c r="FL41" s="47">
        <f t="shared" si="98"/>
        <v>0</v>
      </c>
      <c r="FM41" s="47">
        <f t="shared" si="99"/>
        <v>0</v>
      </c>
      <c r="FN41" s="47">
        <f t="shared" si="100"/>
        <v>0</v>
      </c>
      <c r="FO41" s="765">
        <f t="shared" si="101"/>
        <v>684.92915487499477</v>
      </c>
      <c r="FP41" s="765">
        <f t="shared" si="102"/>
        <v>525.44597580295988</v>
      </c>
      <c r="FQ41" s="765">
        <f t="shared" si="103"/>
        <v>2556.058560783064</v>
      </c>
      <c r="FR41" s="765">
        <f t="shared" si="104"/>
        <v>75207.870409352458</v>
      </c>
      <c r="FS41" s="765">
        <f t="shared" si="105"/>
        <v>1567422.6544515402</v>
      </c>
      <c r="FT41" s="765">
        <f t="shared" si="106"/>
        <v>6915571.0106832096</v>
      </c>
      <c r="FU41" s="765">
        <f t="shared" si="107"/>
        <v>38.887019508553252</v>
      </c>
      <c r="FV41" s="765">
        <f t="shared" si="108"/>
        <v>48.332892938496585</v>
      </c>
      <c r="FW41" s="765">
        <f t="shared" si="109"/>
        <v>499.06477411477408</v>
      </c>
      <c r="FX41" s="765">
        <f t="shared" si="110"/>
        <v>673.95532540807301</v>
      </c>
      <c r="FY41" s="765">
        <f t="shared" si="111"/>
        <v>3197.8584542669059</v>
      </c>
      <c r="FZ41" s="765">
        <f t="shared" si="112"/>
        <v>77303.501395745043</v>
      </c>
      <c r="GA41" s="765">
        <f t="shared" si="113"/>
        <v>121446.47571428568</v>
      </c>
      <c r="GB41" s="765">
        <f t="shared" si="114"/>
        <v>23.623779525370971</v>
      </c>
      <c r="GC41" s="765">
        <f t="shared" si="115"/>
        <v>66.340448533766676</v>
      </c>
      <c r="GD41" s="765">
        <f t="shared" si="116"/>
        <v>133.84181333333333</v>
      </c>
    </row>
    <row r="42" spans="1:186">
      <c r="A42" s="4">
        <v>43221</v>
      </c>
      <c r="B42" s="6">
        <v>2018</v>
      </c>
      <c r="C42" s="5">
        <v>5</v>
      </c>
      <c r="D42" s="7">
        <v>65635997.683669604</v>
      </c>
      <c r="E42" s="7">
        <f>IFERROR(VLOOKUP($B42-1,CDM!$V$4:$AJ$17,2,FALSE)/12,0)+IFERROR(VLOOKUP($B42,CDM!$V$41:$AJ$54,2,FALSE)/24,0)+IFERROR(VLOOKUP($B42,CDM!$V$41:$AJ$54,2,FALSE)/2*$C42/78,0)</f>
        <v>3473285.4898221716</v>
      </c>
      <c r="F42" s="7">
        <f t="shared" si="2"/>
        <v>69109283.173491776</v>
      </c>
      <c r="G42" s="7">
        <f>IFERROR(HLOOKUP(B42-1,'EV Forecast VRZ'!$F$124:$T$130,2,FALSE)/12,0)+IFERROR(((HLOOKUP(B42,'EV Forecast VRZ'!$F$116:$T$122,2,FALSE)-HLOOKUP(B42-1,'EV Forecast VRZ'!$F$124:$T$130,2,FALSE)))*C42/78,0)</f>
        <v>80157.156967004237</v>
      </c>
      <c r="H42" s="7"/>
      <c r="I42" s="7">
        <f t="shared" si="3"/>
        <v>69029126.016524777</v>
      </c>
      <c r="J42" s="7">
        <v>642897.52127999999</v>
      </c>
      <c r="K42" s="7">
        <f>IFERROR(VLOOKUP($B42-1,CDM!$V$4:$AJ$17,3,FALSE)/12,0)+IFERROR(VLOOKUP($B42,CDM!$V$41:$AJ$54,3,FALSE)/24,0)+IFERROR(VLOOKUP($B42,CDM!$V$41:$AJ$54,3,FALSE)/2*$C42/78,0)</f>
        <v>39782.329772081197</v>
      </c>
      <c r="L42" s="7">
        <f t="shared" si="4"/>
        <v>682679.85105208121</v>
      </c>
      <c r="M42" s="7">
        <f>IFERROR(HLOOKUP(B42-1,'EV Forecast VRZ'!$F$124:$T$130,3,FALSE)/12,0)+IFERROR(((HLOOKUP(B42,'EV Forecast VRZ'!$F$116:$T$122,3,FALSE)-HLOOKUP(B42-1,'EV Forecast VRZ'!$F$124:$T$130,3,FALSE)))*C42/78,0)</f>
        <v>1090.4902124829371</v>
      </c>
      <c r="N42" s="7"/>
      <c r="O42" s="7">
        <f t="shared" si="5"/>
        <v>681589.36083959823</v>
      </c>
      <c r="P42" s="7">
        <v>21346013.1307799</v>
      </c>
      <c r="Q42" s="7">
        <f>IFERROR(VLOOKUP($B42-1,CDM!$V$4:$AJ$17,4,FALSE)/12,0)+IFERROR(VLOOKUP($B42,CDM!$V$41:$AJ$54,4,FALSE)/24,0)+IFERROR(VLOOKUP($B42,CDM!$V$41:$AJ$54,4,FALSE)/2*$C42/78,0)</f>
        <v>967950.50495667069</v>
      </c>
      <c r="R42" s="7">
        <f t="shared" si="6"/>
        <v>22313963.63573657</v>
      </c>
      <c r="S42" s="7">
        <f>IFERROR(HLOOKUP(B42-1,'EV Forecast VRZ'!$F$124:$T$130,4,FALSE)/12,0)+IFERROR(((HLOOKUP(B42,'EV Forecast VRZ'!$F$116:$T$122,4,FALSE)-HLOOKUP(B42-1,'EV Forecast VRZ'!$F$124:$T$130,4,FALSE)))*C42/78,0)</f>
        <v>10230.831794871798</v>
      </c>
      <c r="T42" s="7"/>
      <c r="U42" s="7">
        <f t="shared" si="7"/>
        <v>22303732.803941697</v>
      </c>
      <c r="V42" s="7">
        <v>78446949.640000001</v>
      </c>
      <c r="W42" s="7">
        <f>IFERROR(VLOOKUP($B42-1,CDM!$V$4:$AJ$17,5,FALSE)/12,0)+IFERROR(VLOOKUP($B42,CDM!$V$41:$AJ$54,5,FALSE)/24,0)+IFERROR(VLOOKUP($B42,CDM!$V$41:$AJ$54,5,FALSE)/2*$C42/78,0)</f>
        <v>3410207.1225374062</v>
      </c>
      <c r="X42" s="7">
        <f t="shared" si="8"/>
        <v>81857156.762537405</v>
      </c>
      <c r="Y42" s="7">
        <f>IFERROR(HLOOKUP(B42-1,'EV Forecast VRZ'!$F$124:$T$130,5,FALSE)/12,0)+IFERROR(((HLOOKUP(B42,'EV Forecast VRZ'!$F$116:$T$122,5,FALSE)-HLOOKUP(B42-1,'EV Forecast VRZ'!$F$124:$T$130,5,FALSE)))*C42/78,0)</f>
        <v>4658.2973846153855</v>
      </c>
      <c r="Z42" s="7"/>
      <c r="AA42" s="7">
        <f t="shared" si="9"/>
        <v>81852498.465152785</v>
      </c>
      <c r="AB42" s="7">
        <v>7003788.1799999997</v>
      </c>
      <c r="AC42" s="7">
        <f>IFERROR(VLOOKUP($B42-1,CDM!$V$4:$AJ$17,6,FALSE)/12,0)+IFERROR(VLOOKUP($B42,CDM!$V$41:$AJ$54,6,FALSE)/24,0)+IFERROR(VLOOKUP($B42,CDM!$V$41:$AJ$54,6,FALSE)/2*$C42/78,0)</f>
        <v>157715.60575092747</v>
      </c>
      <c r="AD42" s="7">
        <f t="shared" si="10"/>
        <v>7161503.7857509274</v>
      </c>
      <c r="AE42" s="7">
        <f>IFERROR(HLOOKUP(B42-1,'EV Forecast VRZ'!$F$124:$T$130,6,FALSE)/12,0)+IFERROR(((HLOOKUP(B42,'EV Forecast VRZ'!$F$116:$T$122,6,FALSE)-HLOOKUP(B42-1,'EV Forecast VRZ'!$F$124:$T$130,6,FALSE)))*C42/78,0)</f>
        <v>729.23389743589746</v>
      </c>
      <c r="AF42" s="7">
        <f t="shared" si="11"/>
        <v>7160774.5518534919</v>
      </c>
      <c r="AG42" s="7">
        <v>21315121.09</v>
      </c>
      <c r="AH42" s="7">
        <f>IFERROR(VLOOKUP($B42-1,CDM!$V$4:$AJ$17,7,FALSE)/12,0)+IFERROR(VLOOKUP($B42,CDM!$V$41:$AJ$54,7,FALSE)/24,0)+IFERROR(VLOOKUP($B42,CDM!$V$41:$AJ$54,7,FALSE)/2*$C42/78,0)</f>
        <v>1292354.686682998</v>
      </c>
      <c r="AI42" s="7">
        <f t="shared" si="12"/>
        <v>22607475.776682999</v>
      </c>
      <c r="AJ42" s="7">
        <f>IFERROR(HLOOKUP(B42-1,'EV Forecast VRZ'!$F$124:$T$130,7,FALSE)/12,0)+IFERROR(((HLOOKUP(B42,'EV Forecast VRZ'!$F$116:$T$122,7,FALSE)-HLOOKUP(B42-1,'EV Forecast VRZ'!$F$124:$T$130,7,FALSE)))*C42/78,0)</f>
        <v>0</v>
      </c>
      <c r="AK42" s="7">
        <f t="shared" si="13"/>
        <v>22607475.776682999</v>
      </c>
      <c r="AL42" s="7">
        <v>1090545.3799999999</v>
      </c>
      <c r="AM42" s="7">
        <v>20686.500000000004</v>
      </c>
      <c r="AN42" s="7">
        <v>408472.01</v>
      </c>
      <c r="AO42" s="5">
        <v>202481.13</v>
      </c>
      <c r="AP42" s="5">
        <v>14917</v>
      </c>
      <c r="AQ42" s="5">
        <v>37398</v>
      </c>
      <c r="AR42" s="5">
        <v>3628.32</v>
      </c>
      <c r="AS42" s="763">
        <f t="shared" si="119"/>
        <v>60</v>
      </c>
      <c r="AT42" s="776">
        <v>109305.5</v>
      </c>
      <c r="AU42" s="776">
        <v>1571.1666666666663</v>
      </c>
      <c r="AV42" s="776">
        <v>9077.25</v>
      </c>
      <c r="AW42" s="776">
        <v>1065.5</v>
      </c>
      <c r="AX42" s="776">
        <v>4.5833333333333348</v>
      </c>
      <c r="AY42" s="776">
        <v>3.4166666666666674</v>
      </c>
      <c r="AZ42" s="776">
        <v>30843.25</v>
      </c>
      <c r="BA42" s="776">
        <v>439</v>
      </c>
      <c r="BB42" s="776">
        <v>818.5</v>
      </c>
      <c r="BC42" s="779">
        <v>26274819.8545499</v>
      </c>
      <c r="BD42" s="779">
        <f>IFERROR(VLOOKUP($B42-1,CDM!$V$4:$AJ$17,11,FALSE)/12,0)+IFERROR(VLOOKUP($B42,CDM!$V$41:$AJ$54,11,FALSE)/24,0)+IFERROR(VLOOKUP($B42,CDM!$V$41:$AJ$54,11,FALSE)/2*$C42/78,0)</f>
        <v>1768112.14185115</v>
      </c>
      <c r="BE42" s="779">
        <f t="shared" si="71"/>
        <v>28042931.996401049</v>
      </c>
      <c r="BF42" s="779">
        <f>IFERROR(HLOOKUP(B42-1,'EV Forecast WRZ'!$F$124:$T$130,2,FALSE)/12,0)+IFERROR(((HLOOKUP(B42,'EV Forecast WRZ'!$F$116:$T$122,2,FALSE)-HLOOKUP(B42-1,'EV Forecast WRZ'!$F$124:$T$130,2,FALSE)))*C42/78,0)</f>
        <v>23580.538333333338</v>
      </c>
      <c r="BG42" s="779"/>
      <c r="BH42" s="779">
        <f t="shared" si="15"/>
        <v>28019351.458067715</v>
      </c>
      <c r="BI42" s="779">
        <v>6892929.3653700007</v>
      </c>
      <c r="BJ42" s="779">
        <f>IFERROR(VLOOKUP($B42-1,CDM!$V$4:$AJ$17,12,FALSE)/12,0)+IFERROR(VLOOKUP($B42,CDM!$V$41:$AJ$54,12,FALSE)/24,0)+IFERROR(VLOOKUP($B42,CDM!$V$41:$AJ$54,12,FALSE)/2*$C42/78,0)</f>
        <v>176529.29089167475</v>
      </c>
      <c r="BK42" s="779">
        <f t="shared" si="16"/>
        <v>7069458.6562616751</v>
      </c>
      <c r="BL42" s="779">
        <f>IFERROR(HLOOKUP(B42-1,'EV Forecast WRZ'!$F$124:$T$130,3,FALSE)/12,0)+IFERROR(((HLOOKUP(B42,'EV Forecast WRZ'!$F$116:$T$122,3,FALSE)-HLOOKUP(B42-1,'EV Forecast WRZ'!$F$124:$T$130,3,FALSE)))*C42/78,0)</f>
        <v>3087.7556410256411</v>
      </c>
      <c r="BM42" s="779"/>
      <c r="BN42" s="779">
        <f t="shared" si="17"/>
        <v>7066370.9006206496</v>
      </c>
      <c r="BO42" s="779">
        <v>27592545.890000001</v>
      </c>
      <c r="BP42" s="779">
        <f>IFERROR(VLOOKUP($B42-1,CDM!$V$4:$AJ$17,13,FALSE)/12,0)+IFERROR(VLOOKUP($B42,CDM!$V$41:$AJ$54,13,FALSE)/24,0)+IFERROR(VLOOKUP($B42,CDM!$V$41:$AJ$54,13,FALSE)/2*$C42/78,0)</f>
        <v>1009411.5739988615</v>
      </c>
      <c r="BQ42" s="779">
        <f t="shared" si="19"/>
        <v>28601957.463998862</v>
      </c>
      <c r="BR42" s="779">
        <f>IFERROR(HLOOKUP(B42-1,'EV Forecast WRZ'!$F$124:$T$130,4,FALSE)/12,0)+IFERROR(((HLOOKUP(B42,'EV Forecast WRZ'!$F$116:$T$122,4,FALSE)-HLOOKUP(B42-1,'EV Forecast WRZ'!$F$124:$T$130,4,FALSE)))*C42/78,0)</f>
        <v>1414.8746538461537</v>
      </c>
      <c r="BS42" s="779"/>
      <c r="BT42" s="779">
        <f t="shared" si="20"/>
        <v>28600542.589345016</v>
      </c>
      <c r="BU42" s="779">
        <v>5926066.3700000001</v>
      </c>
      <c r="BV42" s="779">
        <f>IFERROR(VLOOKUP($B42-1,CDM!$V$4:$AJ$17,14,FALSE)/12,0)+IFERROR(VLOOKUP($B42,CDM!$V$41:$AJ$54,14,FALSE)/24,0)+IFERROR(VLOOKUP($B42,CDM!$V$41:$AJ$54,14,FALSE)/2*$C42/78,0)</f>
        <v>226938.08633651116</v>
      </c>
      <c r="BW42" s="779">
        <f t="shared" si="21"/>
        <v>6153004.4563365113</v>
      </c>
      <c r="BX42" s="779">
        <f>IFERROR(HLOOKUP(B42-1,'EV Forecast WRZ'!$F$124:$T$130,5,FALSE)/12,0)+IFERROR(((HLOOKUP(B42,'EV Forecast WRZ'!$F$116:$T$122,5,FALSE)-HLOOKUP(B42-1,'EV Forecast WRZ'!$F$124:$T$130,5,FALSE)))*C42/78,0)</f>
        <v>255.92624358974359</v>
      </c>
      <c r="BY42" s="779">
        <f t="shared" si="72"/>
        <v>6152748.5300929211</v>
      </c>
      <c r="BZ42" s="779">
        <v>255761.79</v>
      </c>
      <c r="CA42" s="779">
        <v>2498.8235614385444</v>
      </c>
      <c r="CB42" s="5">
        <v>50591.1</v>
      </c>
      <c r="CC42" s="5">
        <v>68660.2</v>
      </c>
      <c r="CD42" s="5">
        <v>9226.81</v>
      </c>
      <c r="CE42" s="5">
        <v>795.86</v>
      </c>
      <c r="CF42" s="763">
        <f t="shared" si="120"/>
        <v>7.25</v>
      </c>
      <c r="CG42" s="785">
        <v>40049.166666666679</v>
      </c>
      <c r="CH42" s="785">
        <v>2244.6666666666674</v>
      </c>
      <c r="CI42" s="785">
        <v>371.75</v>
      </c>
      <c r="CJ42" s="785">
        <v>2.4166666666666674</v>
      </c>
      <c r="CK42" s="785">
        <v>12018.66666666667</v>
      </c>
      <c r="CL42" s="785">
        <v>37.583333333333321</v>
      </c>
      <c r="CM42" s="785">
        <v>375.75</v>
      </c>
      <c r="CN42" s="46">
        <f>Weather!C54</f>
        <v>140.84469696969697</v>
      </c>
      <c r="CO42" s="46">
        <f>Weather!D54</f>
        <v>13.3827380952381</v>
      </c>
      <c r="CP42" s="46">
        <f>Weather!E54</f>
        <v>95.407196969696969</v>
      </c>
      <c r="CQ42" s="46">
        <f>Weather!F54</f>
        <v>29.9452380952381</v>
      </c>
      <c r="CR42" s="46">
        <f>Weather!G54</f>
        <v>53.462500000000013</v>
      </c>
      <c r="CS42" s="46">
        <f>Weather!H54</f>
        <v>50.000541125541133</v>
      </c>
      <c r="CT42" s="46">
        <f>Weather!I54</f>
        <v>22.062500000000014</v>
      </c>
      <c r="CU42" s="46">
        <f>Weather!J54</f>
        <v>80.600541125541127</v>
      </c>
      <c r="CV42" s="46">
        <f>Weather!K54</f>
        <v>6.9291666666666698</v>
      </c>
      <c r="CW42" s="46">
        <f>Weather!L54</f>
        <v>127.46720779220779</v>
      </c>
      <c r="CX42" s="46">
        <f>Weather!M54</f>
        <v>2.7874999999999988</v>
      </c>
      <c r="CY42" s="46">
        <f>Weather!N54</f>
        <v>185.32554112554109</v>
      </c>
      <c r="CZ42" s="46">
        <f>Weather!O54</f>
        <v>0.50416666666666554</v>
      </c>
      <c r="DA42" s="46">
        <f>Weather!P54</f>
        <v>245.04220779220779</v>
      </c>
      <c r="DB42" s="368">
        <f>'Economic Data'!D56</f>
        <v>7205</v>
      </c>
      <c r="DC42" s="368">
        <f>'Economic Data'!E56</f>
        <v>7172.4</v>
      </c>
      <c r="DD42" s="368">
        <f>'Economic Data'!F56</f>
        <v>217.6</v>
      </c>
      <c r="DE42" s="368">
        <f>'Economic Data'!G56</f>
        <v>218.1</v>
      </c>
      <c r="DF42" s="368">
        <f>'Economic Data'!H56</f>
        <v>39.299999999999997</v>
      </c>
      <c r="DG42" s="368">
        <f>'Economic Data'!I56</f>
        <v>39.299999999999997</v>
      </c>
      <c r="DH42" s="368">
        <f>'Economic Data'!J56</f>
        <v>789531.6</v>
      </c>
      <c r="DI42" s="368">
        <f>'Economic Data'!K56</f>
        <v>608429.30000000005</v>
      </c>
      <c r="DJ42" s="368">
        <f>'Economic Data'!L56</f>
        <v>95137.5</v>
      </c>
      <c r="DK42" s="368">
        <f>'Economic Data'!M56</f>
        <v>31658.2</v>
      </c>
      <c r="DL42" s="368">
        <f>'Economic Data'!N56</f>
        <v>784896</v>
      </c>
      <c r="DM42" s="368">
        <f>'Economic Data'!O56</f>
        <v>94306</v>
      </c>
      <c r="DN42" s="368">
        <f>'Economic Data'!P56</f>
        <v>19819</v>
      </c>
      <c r="DO42" s="368">
        <f>'Economic Data'!Q56</f>
        <v>604446</v>
      </c>
      <c r="DP42" s="368">
        <f>'Economic Data'!R56</f>
        <v>31589</v>
      </c>
      <c r="DQ42">
        <v>31</v>
      </c>
      <c r="DR42">
        <v>22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1</v>
      </c>
      <c r="EF42">
        <v>0</v>
      </c>
      <c r="EG42">
        <v>1</v>
      </c>
      <c r="EH42">
        <f t="shared" si="69"/>
        <v>41</v>
      </c>
      <c r="EI42">
        <v>0</v>
      </c>
      <c r="EJ42">
        <v>0</v>
      </c>
      <c r="EK42">
        <v>0</v>
      </c>
      <c r="EL42">
        <v>0</v>
      </c>
      <c r="EM42" s="47">
        <f t="shared" si="73"/>
        <v>0</v>
      </c>
      <c r="EN42" s="47">
        <f t="shared" si="74"/>
        <v>0</v>
      </c>
      <c r="EO42" s="47">
        <f t="shared" si="75"/>
        <v>0</v>
      </c>
      <c r="EP42" s="47">
        <f t="shared" si="76"/>
        <v>0</v>
      </c>
      <c r="EQ42" s="47">
        <f t="shared" si="77"/>
        <v>0</v>
      </c>
      <c r="ER42" s="47">
        <f t="shared" si="78"/>
        <v>0</v>
      </c>
      <c r="ES42" s="47">
        <f t="shared" si="79"/>
        <v>0</v>
      </c>
      <c r="ET42" s="47">
        <f t="shared" si="80"/>
        <v>0</v>
      </c>
      <c r="EU42" s="47">
        <f t="shared" si="81"/>
        <v>0</v>
      </c>
      <c r="EV42" s="47">
        <f t="shared" si="82"/>
        <v>0</v>
      </c>
      <c r="EW42" s="47">
        <f t="shared" si="83"/>
        <v>0</v>
      </c>
      <c r="EX42" s="47">
        <f t="shared" si="84"/>
        <v>0</v>
      </c>
      <c r="EY42" s="47">
        <f t="shared" si="85"/>
        <v>0</v>
      </c>
      <c r="EZ42" s="47">
        <f t="shared" si="86"/>
        <v>0</v>
      </c>
      <c r="FA42" s="47">
        <f t="shared" si="87"/>
        <v>0</v>
      </c>
      <c r="FB42" s="47">
        <f t="shared" si="88"/>
        <v>0</v>
      </c>
      <c r="FC42" s="47">
        <f t="shared" si="89"/>
        <v>0</v>
      </c>
      <c r="FD42" s="47">
        <f t="shared" si="90"/>
        <v>0</v>
      </c>
      <c r="FE42" s="47">
        <f t="shared" si="91"/>
        <v>0</v>
      </c>
      <c r="FF42" s="47">
        <f t="shared" si="92"/>
        <v>0</v>
      </c>
      <c r="FG42" s="47">
        <f t="shared" si="93"/>
        <v>0</v>
      </c>
      <c r="FH42" s="47">
        <f t="shared" si="94"/>
        <v>0</v>
      </c>
      <c r="FI42" s="47">
        <f t="shared" si="95"/>
        <v>0</v>
      </c>
      <c r="FJ42" s="47">
        <f t="shared" si="96"/>
        <v>0</v>
      </c>
      <c r="FK42" s="47">
        <f t="shared" si="97"/>
        <v>0</v>
      </c>
      <c r="FL42" s="47">
        <f t="shared" si="98"/>
        <v>0</v>
      </c>
      <c r="FM42" s="47">
        <f t="shared" si="99"/>
        <v>0</v>
      </c>
      <c r="FN42" s="47">
        <f t="shared" si="100"/>
        <v>0</v>
      </c>
      <c r="FO42" s="765">
        <f t="shared" si="101"/>
        <v>631.52472672029103</v>
      </c>
      <c r="FP42" s="765">
        <f t="shared" si="102"/>
        <v>434.50504999602083</v>
      </c>
      <c r="FQ42" s="765">
        <f t="shared" si="103"/>
        <v>2458.2294897393563</v>
      </c>
      <c r="FR42" s="765">
        <f t="shared" si="104"/>
        <v>76825.111931053412</v>
      </c>
      <c r="FS42" s="765">
        <f t="shared" si="105"/>
        <v>1562509.9168911108</v>
      </c>
      <c r="FT42" s="765">
        <f t="shared" si="106"/>
        <v>6616822.1785413641</v>
      </c>
      <c r="FU42" s="765">
        <f t="shared" si="107"/>
        <v>35.357667560973631</v>
      </c>
      <c r="FV42" s="765">
        <f t="shared" si="108"/>
        <v>47.121867881548987</v>
      </c>
      <c r="FW42" s="765">
        <f t="shared" si="109"/>
        <v>499.04949297495421</v>
      </c>
      <c r="FX42" s="765">
        <f t="shared" si="110"/>
        <v>700.21262189561264</v>
      </c>
      <c r="FY42" s="765">
        <f t="shared" si="111"/>
        <v>3149.4469808115559</v>
      </c>
      <c r="FZ42" s="765">
        <f t="shared" si="112"/>
        <v>76938.688537992901</v>
      </c>
      <c r="GA42" s="765">
        <f t="shared" si="113"/>
        <v>105832.46482758618</v>
      </c>
      <c r="GB42" s="765">
        <f t="shared" si="114"/>
        <v>21.280379687153314</v>
      </c>
      <c r="GC42" s="765">
        <f t="shared" si="115"/>
        <v>66.487544871979026</v>
      </c>
      <c r="GD42" s="765">
        <f t="shared" si="116"/>
        <v>134.64031936127745</v>
      </c>
    </row>
    <row r="43" spans="1:186">
      <c r="A43" s="4">
        <v>43252</v>
      </c>
      <c r="B43" s="6">
        <v>2018</v>
      </c>
      <c r="C43" s="5">
        <v>6</v>
      </c>
      <c r="D43" s="7">
        <v>75302537.506399795</v>
      </c>
      <c r="E43" s="7">
        <f>IFERROR(VLOOKUP($B43-1,CDM!$V$4:$AJ$17,2,FALSE)/12,0)+IFERROR(VLOOKUP($B43,CDM!$V$41:$AJ$54,2,FALSE)/24,0)+IFERROR(VLOOKUP($B43,CDM!$V$41:$AJ$54,2,FALSE)/2*$C43/78,0)</f>
        <v>3535893.4656027732</v>
      </c>
      <c r="F43" s="7">
        <f t="shared" si="2"/>
        <v>78838430.972002566</v>
      </c>
      <c r="G43" s="7">
        <f>IFERROR(HLOOKUP(B43-1,'EV Forecast VRZ'!$F$124:$T$130,2,FALSE)/12,0)+IFERROR(((HLOOKUP(B43,'EV Forecast VRZ'!$F$116:$T$122,2,FALSE)-HLOOKUP(B43-1,'EV Forecast VRZ'!$F$124:$T$130,2,FALSE)))*C43/78,0)</f>
        <v>88026.207342358524</v>
      </c>
      <c r="H43" s="7"/>
      <c r="I43" s="7">
        <f t="shared" si="3"/>
        <v>78750404.764660209</v>
      </c>
      <c r="J43" s="7">
        <v>677911.601250001</v>
      </c>
      <c r="K43" s="7">
        <f>IFERROR(VLOOKUP($B43-1,CDM!$V$4:$AJ$17,3,FALSE)/12,0)+IFERROR(VLOOKUP($B43,CDM!$V$41:$AJ$54,3,FALSE)/24,0)+IFERROR(VLOOKUP($B43,CDM!$V$41:$AJ$54,3,FALSE)/2*$C43/78,0)</f>
        <v>40499.42922911256</v>
      </c>
      <c r="L43" s="7">
        <f t="shared" si="4"/>
        <v>718411.03047911357</v>
      </c>
      <c r="M43" s="7">
        <f>IFERROR(HLOOKUP(B43-1,'EV Forecast VRZ'!$F$124:$T$130,3,FALSE)/12,0)+IFERROR(((HLOOKUP(B43,'EV Forecast VRZ'!$F$116:$T$122,3,FALSE)-HLOOKUP(B43-1,'EV Forecast VRZ'!$F$124:$T$130,3,FALSE)))*C43/78,0)</f>
        <v>1197.5439396927402</v>
      </c>
      <c r="N43" s="7"/>
      <c r="O43" s="7">
        <f t="shared" si="5"/>
        <v>717213.48653942079</v>
      </c>
      <c r="P43" s="7">
        <v>21810589.903229997</v>
      </c>
      <c r="Q43" s="7">
        <f>IFERROR(VLOOKUP($B43-1,CDM!$V$4:$AJ$17,4,FALSE)/12,0)+IFERROR(VLOOKUP($B43,CDM!$V$41:$AJ$54,4,FALSE)/24,0)+IFERROR(VLOOKUP($B43,CDM!$V$41:$AJ$54,4,FALSE)/2*$C43/78,0)</f>
        <v>991283.5788918382</v>
      </c>
      <c r="R43" s="7">
        <f t="shared" si="6"/>
        <v>22801873.482121836</v>
      </c>
      <c r="S43" s="7">
        <f>IFERROR(HLOOKUP(B43-1,'EV Forecast VRZ'!$F$124:$T$130,4,FALSE)/12,0)+IFERROR(((HLOOKUP(B43,'EV Forecast VRZ'!$F$116:$T$122,4,FALSE)-HLOOKUP(B43-1,'EV Forecast VRZ'!$F$124:$T$130,4,FALSE)))*C43/78,0)</f>
        <v>11235.712820512825</v>
      </c>
      <c r="T43" s="7"/>
      <c r="U43" s="7">
        <f t="shared" si="7"/>
        <v>22790637.769301325</v>
      </c>
      <c r="V43" s="7">
        <v>79546338.069999993</v>
      </c>
      <c r="W43" s="7">
        <f>IFERROR(VLOOKUP($B43-1,CDM!$V$4:$AJ$17,5,FALSE)/12,0)+IFERROR(VLOOKUP($B43,CDM!$V$41:$AJ$54,5,FALSE)/24,0)+IFERROR(VLOOKUP($B43,CDM!$V$41:$AJ$54,5,FALSE)/2*$C43/78,0)</f>
        <v>3482039.8174770428</v>
      </c>
      <c r="X43" s="7">
        <f t="shared" si="8"/>
        <v>83028377.88747704</v>
      </c>
      <c r="Y43" s="7">
        <f>IFERROR(HLOOKUP(B43-1,'EV Forecast VRZ'!$F$124:$T$130,5,FALSE)/12,0)+IFERROR(((HLOOKUP(B43,'EV Forecast VRZ'!$F$116:$T$122,5,FALSE)-HLOOKUP(B43-1,'EV Forecast VRZ'!$F$124:$T$130,5,FALSE)))*C43/78,0)</f>
        <v>5115.878461538462</v>
      </c>
      <c r="Z43" s="7"/>
      <c r="AA43" s="7">
        <f t="shared" si="9"/>
        <v>83023262.009015501</v>
      </c>
      <c r="AB43" s="7">
        <v>7113941.3899999997</v>
      </c>
      <c r="AC43" s="7">
        <f>IFERROR(VLOOKUP($B43-1,CDM!$V$4:$AJ$17,6,FALSE)/12,0)+IFERROR(VLOOKUP($B43,CDM!$V$41:$AJ$54,6,FALSE)/24,0)+IFERROR(VLOOKUP($B43,CDM!$V$41:$AJ$54,6,FALSE)/2*$C43/78,0)</f>
        <v>162984.6973946653</v>
      </c>
      <c r="AD43" s="7">
        <f t="shared" si="10"/>
        <v>7276926.087394665</v>
      </c>
      <c r="AE43" s="7">
        <f>IFERROR(HLOOKUP(B43-1,'EV Forecast VRZ'!$F$124:$T$130,6,FALSE)/12,0)+IFERROR(((HLOOKUP(B43,'EV Forecast VRZ'!$F$116:$T$122,6,FALSE)-HLOOKUP(B43-1,'EV Forecast VRZ'!$F$124:$T$130,6,FALSE)))*C43/78,0)</f>
        <v>801.01641025641027</v>
      </c>
      <c r="AF43" s="7">
        <f t="shared" si="11"/>
        <v>7276125.0709844083</v>
      </c>
      <c r="AG43" s="7">
        <v>18717671.82</v>
      </c>
      <c r="AH43" s="7">
        <f>IFERROR(VLOOKUP($B43-1,CDM!$V$4:$AJ$17,7,FALSE)/12,0)+IFERROR(VLOOKUP($B43,CDM!$V$41:$AJ$54,7,FALSE)/24,0)+IFERROR(VLOOKUP($B43,CDM!$V$41:$AJ$54,7,FALSE)/2*$C43/78,0)</f>
        <v>1333314.2844219606</v>
      </c>
      <c r="AI43" s="7">
        <f t="shared" si="12"/>
        <v>20050986.104421962</v>
      </c>
      <c r="AJ43" s="7">
        <f>IFERROR(HLOOKUP(B43-1,'EV Forecast VRZ'!$F$124:$T$130,7,FALSE)/12,0)+IFERROR(((HLOOKUP(B43,'EV Forecast VRZ'!$F$116:$T$122,7,FALSE)-HLOOKUP(B43-1,'EV Forecast VRZ'!$F$124:$T$130,7,FALSE)))*C43/78,0)</f>
        <v>0</v>
      </c>
      <c r="AK43" s="7">
        <f t="shared" si="13"/>
        <v>20050986.104421962</v>
      </c>
      <c r="AL43" s="7">
        <v>990859.01</v>
      </c>
      <c r="AM43" s="7">
        <v>20852.499999999996</v>
      </c>
      <c r="AN43" s="7">
        <v>408156.49</v>
      </c>
      <c r="AO43" s="5">
        <v>200282.32</v>
      </c>
      <c r="AP43" s="5">
        <v>15253.53</v>
      </c>
      <c r="AQ43" s="5">
        <v>31669</v>
      </c>
      <c r="AR43" s="5">
        <v>3635.83</v>
      </c>
      <c r="AS43" s="763">
        <f t="shared" si="119"/>
        <v>60</v>
      </c>
      <c r="AT43" s="776">
        <v>109415</v>
      </c>
      <c r="AU43" s="776">
        <v>1570.9999999999995</v>
      </c>
      <c r="AV43" s="776">
        <v>9085.5</v>
      </c>
      <c r="AW43" s="776">
        <v>1062</v>
      </c>
      <c r="AX43" s="776">
        <v>4.5000000000000018</v>
      </c>
      <c r="AY43" s="776">
        <v>3.5000000000000009</v>
      </c>
      <c r="AZ43" s="776">
        <v>30879.5</v>
      </c>
      <c r="BA43" s="776">
        <v>439</v>
      </c>
      <c r="BB43" s="776">
        <v>818</v>
      </c>
      <c r="BC43" s="779">
        <v>31522419.512800101</v>
      </c>
      <c r="BD43" s="779">
        <f>IFERROR(VLOOKUP($B43-1,CDM!$V$4:$AJ$17,11,FALSE)/12,0)+IFERROR(VLOOKUP($B43,CDM!$V$41:$AJ$54,11,FALSE)/24,0)+IFERROR(VLOOKUP($B43,CDM!$V$41:$AJ$54,11,FALSE)/2*$C43/78,0)</f>
        <v>1797716.0019225038</v>
      </c>
      <c r="BE43" s="779">
        <f t="shared" si="71"/>
        <v>33320135.514722604</v>
      </c>
      <c r="BF43" s="779">
        <f>IFERROR(HLOOKUP(B43-1,'EV Forecast WRZ'!$F$124:$T$130,2,FALSE)/12,0)+IFERROR(((HLOOKUP(B43,'EV Forecast WRZ'!$F$116:$T$122,2,FALSE)-HLOOKUP(B43-1,'EV Forecast WRZ'!$F$124:$T$130,2,FALSE)))*C43/78,0)</f>
        <v>25663.620000000003</v>
      </c>
      <c r="BG43" s="779"/>
      <c r="BH43" s="779">
        <f t="shared" si="15"/>
        <v>33294471.894722603</v>
      </c>
      <c r="BI43" s="779">
        <v>7114689.6228800006</v>
      </c>
      <c r="BJ43" s="779">
        <f>IFERROR(VLOOKUP($B43-1,CDM!$V$4:$AJ$17,12,FALSE)/12,0)+IFERROR(VLOOKUP($B43,CDM!$V$41:$AJ$54,12,FALSE)/24,0)+IFERROR(VLOOKUP($B43,CDM!$V$41:$AJ$54,12,FALSE)/2*$C43/78,0)</f>
        <v>179891.16845459869</v>
      </c>
      <c r="BK43" s="779">
        <f t="shared" si="16"/>
        <v>7294580.7913345993</v>
      </c>
      <c r="BL43" s="779">
        <f>IFERROR(HLOOKUP(B43-1,'EV Forecast WRZ'!$F$124:$T$130,3,FALSE)/12,0)+IFERROR(((HLOOKUP(B43,'EV Forecast WRZ'!$F$116:$T$122,3,FALSE)-HLOOKUP(B43-1,'EV Forecast WRZ'!$F$124:$T$130,3,FALSE)))*C43/78,0)</f>
        <v>3339.9507692307693</v>
      </c>
      <c r="BM43" s="779"/>
      <c r="BN43" s="779">
        <f t="shared" si="17"/>
        <v>7291240.8405653685</v>
      </c>
      <c r="BO43" s="779">
        <v>28199952.420000002</v>
      </c>
      <c r="BP43" s="779">
        <f>IFERROR(VLOOKUP($B43-1,CDM!$V$4:$AJ$17,13,FALSE)/12,0)+IFERROR(VLOOKUP($B43,CDM!$V$41:$AJ$54,13,FALSE)/24,0)+IFERROR(VLOOKUP($B43,CDM!$V$41:$AJ$54,13,FALSE)/2*$C43/78,0)</f>
        <v>1034789.0701763155</v>
      </c>
      <c r="BQ43" s="779">
        <f t="shared" si="19"/>
        <v>29234741.490176316</v>
      </c>
      <c r="BR43" s="779">
        <f>IFERROR(HLOOKUP(B43-1,'EV Forecast WRZ'!$F$124:$T$130,4,FALSE)/12,0)+IFERROR(((HLOOKUP(B43,'EV Forecast WRZ'!$F$116:$T$122,4,FALSE)-HLOOKUP(B43-1,'EV Forecast WRZ'!$F$124:$T$130,4,FALSE)))*C43/78,0)</f>
        <v>1528.9393846153846</v>
      </c>
      <c r="BS43" s="779"/>
      <c r="BT43" s="779">
        <f t="shared" si="20"/>
        <v>29233212.550791699</v>
      </c>
      <c r="BU43" s="779">
        <v>6209005.0800000001</v>
      </c>
      <c r="BV43" s="779">
        <f>IFERROR(VLOOKUP($B43-1,CDM!$V$4:$AJ$17,14,FALSE)/12,0)+IFERROR(VLOOKUP($B43,CDM!$V$41:$AJ$54,14,FALSE)/24,0)+IFERROR(VLOOKUP($B43,CDM!$V$41:$AJ$54,14,FALSE)/2*$C43/78,0)</f>
        <v>232643.50974047344</v>
      </c>
      <c r="BW43" s="779">
        <f t="shared" si="21"/>
        <v>6441648.5897404738</v>
      </c>
      <c r="BX43" s="779">
        <f>IFERROR(HLOOKUP(B43-1,'EV Forecast WRZ'!$F$124:$T$130,5,FALSE)/12,0)+IFERROR(((HLOOKUP(B43,'EV Forecast WRZ'!$F$116:$T$122,5,FALSE)-HLOOKUP(B43-1,'EV Forecast WRZ'!$F$124:$T$130,5,FALSE)))*C43/78,0)</f>
        <v>270.84369230769232</v>
      </c>
      <c r="BY43" s="779">
        <f t="shared" si="72"/>
        <v>6441377.7460481664</v>
      </c>
      <c r="BZ43" s="779">
        <v>228792.06</v>
      </c>
      <c r="CA43" s="779">
        <v>2498.8235614385444</v>
      </c>
      <c r="CB43" s="5">
        <v>50759.38</v>
      </c>
      <c r="CC43" s="5">
        <v>71474.7</v>
      </c>
      <c r="CD43" s="5">
        <v>9293.5300000000007</v>
      </c>
      <c r="CE43" s="5">
        <v>795.86</v>
      </c>
      <c r="CF43" s="763">
        <f t="shared" si="120"/>
        <v>7.25</v>
      </c>
      <c r="CG43" s="785">
        <v>40081.000000000015</v>
      </c>
      <c r="CH43" s="785">
        <v>2246.0000000000009</v>
      </c>
      <c r="CI43" s="785">
        <v>372.5</v>
      </c>
      <c r="CJ43" s="785">
        <v>2.5000000000000009</v>
      </c>
      <c r="CK43" s="785">
        <v>12042.000000000004</v>
      </c>
      <c r="CL43" s="785">
        <v>37.499999999999986</v>
      </c>
      <c r="CM43" s="785">
        <v>376.5</v>
      </c>
      <c r="CN43" s="46">
        <f>Weather!C55</f>
        <v>63.468560606060585</v>
      </c>
      <c r="CO43" s="46">
        <f>Weather!D55</f>
        <v>21.662499999999998</v>
      </c>
      <c r="CP43" s="46">
        <f>Weather!E55</f>
        <v>23.060227272727261</v>
      </c>
      <c r="CQ43" s="46">
        <f>Weather!F55</f>
        <v>41.254166666666663</v>
      </c>
      <c r="CR43" s="46">
        <f>Weather!G55</f>
        <v>7.645833333333325</v>
      </c>
      <c r="CS43" s="46">
        <f>Weather!H55</f>
        <v>85.839772727272717</v>
      </c>
      <c r="CT43" s="46">
        <f>Weather!I55</f>
        <v>3.3208333333333275</v>
      </c>
      <c r="CU43" s="46">
        <f>Weather!J55</f>
        <v>141.51477272727271</v>
      </c>
      <c r="CV43" s="46">
        <f>Weather!K55</f>
        <v>0</v>
      </c>
      <c r="CW43" s="46">
        <f>Weather!L55</f>
        <v>198.19393939393944</v>
      </c>
      <c r="CX43" s="46">
        <f>Weather!M55</f>
        <v>0</v>
      </c>
      <c r="CY43" s="46">
        <f>Weather!N55</f>
        <v>258.19393939393944</v>
      </c>
      <c r="CZ43" s="46">
        <f>Weather!O55</f>
        <v>0</v>
      </c>
      <c r="DA43" s="46">
        <f>Weather!P55</f>
        <v>318.19393939393939</v>
      </c>
      <c r="DB43" s="368">
        <f>'Economic Data'!D57</f>
        <v>7216.7</v>
      </c>
      <c r="DC43" s="368">
        <f>'Economic Data'!E57</f>
        <v>7258</v>
      </c>
      <c r="DD43" s="368">
        <f>'Economic Data'!F57</f>
        <v>219.5</v>
      </c>
      <c r="DE43" s="368">
        <f>'Economic Data'!G57</f>
        <v>222.3</v>
      </c>
      <c r="DF43" s="368">
        <f>'Economic Data'!H57</f>
        <v>38</v>
      </c>
      <c r="DG43" s="368">
        <f>'Economic Data'!I57</f>
        <v>38</v>
      </c>
      <c r="DH43" s="368">
        <f>'Economic Data'!J57</f>
        <v>789531.6</v>
      </c>
      <c r="DI43" s="368">
        <f>'Economic Data'!K57</f>
        <v>608429.30000000005</v>
      </c>
      <c r="DJ43" s="368">
        <f>'Economic Data'!L57</f>
        <v>95137.5</v>
      </c>
      <c r="DK43" s="368">
        <f>'Economic Data'!M57</f>
        <v>31658.2</v>
      </c>
      <c r="DL43" s="368">
        <f>'Economic Data'!N57</f>
        <v>784896</v>
      </c>
      <c r="DM43" s="368">
        <f>'Economic Data'!O57</f>
        <v>94306</v>
      </c>
      <c r="DN43" s="368">
        <f>'Economic Data'!P57</f>
        <v>19819</v>
      </c>
      <c r="DO43" s="368">
        <f>'Economic Data'!Q57</f>
        <v>604446</v>
      </c>
      <c r="DP43" s="368">
        <f>'Economic Data'!R57</f>
        <v>31589</v>
      </c>
      <c r="DQ43">
        <v>30</v>
      </c>
      <c r="DR43">
        <v>21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f t="shared" si="69"/>
        <v>42</v>
      </c>
      <c r="EI43">
        <v>0</v>
      </c>
      <c r="EJ43">
        <v>0</v>
      </c>
      <c r="EK43">
        <v>0</v>
      </c>
      <c r="EL43">
        <v>0</v>
      </c>
      <c r="EM43" s="47">
        <f t="shared" si="73"/>
        <v>0</v>
      </c>
      <c r="EN43" s="47">
        <f t="shared" si="74"/>
        <v>0</v>
      </c>
      <c r="EO43" s="47">
        <f t="shared" si="75"/>
        <v>0</v>
      </c>
      <c r="EP43" s="47">
        <f t="shared" si="76"/>
        <v>0</v>
      </c>
      <c r="EQ43" s="47">
        <f t="shared" si="77"/>
        <v>0</v>
      </c>
      <c r="ER43" s="47">
        <f t="shared" si="78"/>
        <v>0</v>
      </c>
      <c r="ES43" s="47">
        <f t="shared" si="79"/>
        <v>0</v>
      </c>
      <c r="ET43" s="47">
        <f t="shared" si="80"/>
        <v>0</v>
      </c>
      <c r="EU43" s="47">
        <f t="shared" si="81"/>
        <v>0</v>
      </c>
      <c r="EV43" s="47">
        <f t="shared" si="82"/>
        <v>0</v>
      </c>
      <c r="EW43" s="47">
        <f t="shared" si="83"/>
        <v>0</v>
      </c>
      <c r="EX43" s="47">
        <f t="shared" si="84"/>
        <v>0</v>
      </c>
      <c r="EY43" s="47">
        <f t="shared" si="85"/>
        <v>0</v>
      </c>
      <c r="EZ43" s="47">
        <f t="shared" si="86"/>
        <v>0</v>
      </c>
      <c r="FA43" s="47">
        <f t="shared" si="87"/>
        <v>0</v>
      </c>
      <c r="FB43" s="47">
        <f t="shared" si="88"/>
        <v>0</v>
      </c>
      <c r="FC43" s="47">
        <f t="shared" si="89"/>
        <v>0</v>
      </c>
      <c r="FD43" s="47">
        <f t="shared" si="90"/>
        <v>0</v>
      </c>
      <c r="FE43" s="47">
        <f t="shared" si="91"/>
        <v>0</v>
      </c>
      <c r="FF43" s="47">
        <f t="shared" si="92"/>
        <v>0</v>
      </c>
      <c r="FG43" s="47">
        <f t="shared" si="93"/>
        <v>0</v>
      </c>
      <c r="FH43" s="47">
        <f t="shared" si="94"/>
        <v>0</v>
      </c>
      <c r="FI43" s="47">
        <f t="shared" si="95"/>
        <v>0</v>
      </c>
      <c r="FJ43" s="47">
        <f t="shared" si="96"/>
        <v>0</v>
      </c>
      <c r="FK43" s="47">
        <f t="shared" si="97"/>
        <v>0</v>
      </c>
      <c r="FL43" s="47">
        <f t="shared" si="98"/>
        <v>0</v>
      </c>
      <c r="FM43" s="47">
        <f t="shared" si="99"/>
        <v>0</v>
      </c>
      <c r="FN43" s="47">
        <f t="shared" si="100"/>
        <v>0</v>
      </c>
      <c r="FO43" s="765">
        <f t="shared" si="101"/>
        <v>719.74048132943574</v>
      </c>
      <c r="FP43" s="765">
        <f t="shared" si="102"/>
        <v>457.29537267925764</v>
      </c>
      <c r="FQ43" s="765">
        <f t="shared" si="103"/>
        <v>2509.6993541491206</v>
      </c>
      <c r="FR43" s="765">
        <f t="shared" si="104"/>
        <v>78181.146786701545</v>
      </c>
      <c r="FS43" s="765">
        <f t="shared" si="105"/>
        <v>1617094.6860877026</v>
      </c>
      <c r="FT43" s="765">
        <f t="shared" si="106"/>
        <v>5728853.1726919878</v>
      </c>
      <c r="FU43" s="765">
        <f t="shared" si="107"/>
        <v>32.087922731909522</v>
      </c>
      <c r="FV43" s="765">
        <f t="shared" si="108"/>
        <v>47.499999999999993</v>
      </c>
      <c r="FW43" s="765">
        <f t="shared" si="109"/>
        <v>498.96881418092909</v>
      </c>
      <c r="FX43" s="765">
        <f t="shared" si="110"/>
        <v>831.3199649390632</v>
      </c>
      <c r="FY43" s="765">
        <f t="shared" si="111"/>
        <v>3247.8097913333022</v>
      </c>
      <c r="FZ43" s="765">
        <f t="shared" si="112"/>
        <v>78482.527490406224</v>
      </c>
      <c r="GA43" s="765">
        <f t="shared" si="113"/>
        <v>91516.823999999964</v>
      </c>
      <c r="GB43" s="765">
        <f t="shared" si="114"/>
        <v>18.999506726457394</v>
      </c>
      <c r="GC43" s="765">
        <f t="shared" si="115"/>
        <v>66.635294971694549</v>
      </c>
      <c r="GD43" s="765">
        <f t="shared" si="116"/>
        <v>134.81907038512617</v>
      </c>
    </row>
    <row r="44" spans="1:186">
      <c r="A44" s="4">
        <v>43282</v>
      </c>
      <c r="B44" s="6">
        <v>2018</v>
      </c>
      <c r="C44" s="5">
        <v>7</v>
      </c>
      <c r="D44" s="7">
        <v>105593928.35262999</v>
      </c>
      <c r="E44" s="7">
        <f>IFERROR(VLOOKUP($B44-1,CDM!$V$4:$AJ$17,2,FALSE)/12,0)+IFERROR(VLOOKUP($B44,CDM!$V$41:$AJ$54,2,FALSE)/24,0)+IFERROR(VLOOKUP($B44,CDM!$V$41:$AJ$54,2,FALSE)/2*$C44/78,0)</f>
        <v>3598501.4413833749</v>
      </c>
      <c r="F44" s="7">
        <f t="shared" si="2"/>
        <v>109192429.79401337</v>
      </c>
      <c r="G44" s="7">
        <f>IFERROR(HLOOKUP(B44-1,'EV Forecast VRZ'!$F$124:$T$130,2,FALSE)/12,0)+IFERROR(((HLOOKUP(B44,'EV Forecast VRZ'!$F$116:$T$122,2,FALSE)-HLOOKUP(B44-1,'EV Forecast VRZ'!$F$124:$T$130,2,FALSE)))*C44/78,0)</f>
        <v>95895.257717712826</v>
      </c>
      <c r="H44" s="7"/>
      <c r="I44" s="7">
        <f t="shared" si="3"/>
        <v>109096534.53629565</v>
      </c>
      <c r="J44" s="7">
        <v>1007454.95042</v>
      </c>
      <c r="K44" s="7">
        <f>IFERROR(VLOOKUP($B44-1,CDM!$V$4:$AJ$17,3,FALSE)/12,0)+IFERROR(VLOOKUP($B44,CDM!$V$41:$AJ$54,3,FALSE)/24,0)+IFERROR(VLOOKUP($B44,CDM!$V$41:$AJ$54,3,FALSE)/2*$C44/78,0)</f>
        <v>41216.528686143916</v>
      </c>
      <c r="L44" s="7">
        <f t="shared" si="4"/>
        <v>1048671.4791061438</v>
      </c>
      <c r="M44" s="7">
        <f>IFERROR(HLOOKUP(B44-1,'EV Forecast VRZ'!$F$124:$T$130,3,FALSE)/12,0)+IFERROR(((HLOOKUP(B44,'EV Forecast VRZ'!$F$116:$T$122,3,FALSE)-HLOOKUP(B44-1,'EV Forecast VRZ'!$F$124:$T$130,3,FALSE)))*C44/78,0)</f>
        <v>1304.5976669025436</v>
      </c>
      <c r="N44" s="7"/>
      <c r="O44" s="7">
        <f t="shared" si="5"/>
        <v>1047366.8814392412</v>
      </c>
      <c r="P44" s="7">
        <v>25306080.0246301</v>
      </c>
      <c r="Q44" s="7">
        <f>IFERROR(VLOOKUP($B44-1,CDM!$V$4:$AJ$17,4,FALSE)/12,0)+IFERROR(VLOOKUP($B44,CDM!$V$41:$AJ$54,4,FALSE)/24,0)+IFERROR(VLOOKUP($B44,CDM!$V$41:$AJ$54,4,FALSE)/2*$C44/78,0)</f>
        <v>1014616.6528270057</v>
      </c>
      <c r="R44" s="7">
        <f t="shared" si="6"/>
        <v>26320696.677457105</v>
      </c>
      <c r="S44" s="7">
        <f>IFERROR(HLOOKUP(B44-1,'EV Forecast VRZ'!$F$124:$T$130,4,FALSE)/12,0)+IFERROR(((HLOOKUP(B44,'EV Forecast VRZ'!$F$116:$T$122,4,FALSE)-HLOOKUP(B44-1,'EV Forecast VRZ'!$F$124:$T$130,4,FALSE)))*C44/78,0)</f>
        <v>12240.59384615385</v>
      </c>
      <c r="T44" s="7"/>
      <c r="U44" s="7">
        <f t="shared" si="7"/>
        <v>26308456.083610952</v>
      </c>
      <c r="V44" s="7">
        <v>85162834.689999998</v>
      </c>
      <c r="W44" s="7">
        <f>IFERROR(VLOOKUP($B44-1,CDM!$V$4:$AJ$17,5,FALSE)/12,0)+IFERROR(VLOOKUP($B44,CDM!$V$41:$AJ$54,5,FALSE)/24,0)+IFERROR(VLOOKUP($B44,CDM!$V$41:$AJ$54,5,FALSE)/2*$C44/78,0)</f>
        <v>3553872.5124166794</v>
      </c>
      <c r="X44" s="7">
        <f t="shared" si="8"/>
        <v>88716707.202416673</v>
      </c>
      <c r="Y44" s="7">
        <f>IFERROR(HLOOKUP(B44-1,'EV Forecast VRZ'!$F$124:$T$130,5,FALSE)/12,0)+IFERROR(((HLOOKUP(B44,'EV Forecast VRZ'!$F$116:$T$122,5,FALSE)-HLOOKUP(B44-1,'EV Forecast VRZ'!$F$124:$T$130,5,FALSE)))*C44/78,0)</f>
        <v>5573.4595384615386</v>
      </c>
      <c r="Z44" s="7"/>
      <c r="AA44" s="7">
        <f t="shared" si="9"/>
        <v>88711133.742878214</v>
      </c>
      <c r="AB44" s="7">
        <v>6311245.5599999996</v>
      </c>
      <c r="AC44" s="7">
        <f>IFERROR(VLOOKUP($B44-1,CDM!$V$4:$AJ$17,6,FALSE)/12,0)+IFERROR(VLOOKUP($B44,CDM!$V$41:$AJ$54,6,FALSE)/24,0)+IFERROR(VLOOKUP($B44,CDM!$V$41:$AJ$54,6,FALSE)/2*$C44/78,0)</f>
        <v>168253.78903840313</v>
      </c>
      <c r="AD44" s="7">
        <f t="shared" si="10"/>
        <v>6479499.3490384025</v>
      </c>
      <c r="AE44" s="7">
        <f>IFERROR(HLOOKUP(B44-1,'EV Forecast VRZ'!$F$124:$T$130,6,FALSE)/12,0)+IFERROR(((HLOOKUP(B44,'EV Forecast VRZ'!$F$116:$T$122,6,FALSE)-HLOOKUP(B44-1,'EV Forecast VRZ'!$F$124:$T$130,6,FALSE)))*C44/78,0)</f>
        <v>872.79892307692307</v>
      </c>
      <c r="AF44" s="7">
        <f t="shared" si="11"/>
        <v>6478626.5501153255</v>
      </c>
      <c r="AG44" s="7">
        <v>19660221.77</v>
      </c>
      <c r="AH44" s="7">
        <f>IFERROR(VLOOKUP($B44-1,CDM!$V$4:$AJ$17,7,FALSE)/12,0)+IFERROR(VLOOKUP($B44,CDM!$V$41:$AJ$54,7,FALSE)/24,0)+IFERROR(VLOOKUP($B44,CDM!$V$41:$AJ$54,7,FALSE)/2*$C44/78,0)</f>
        <v>1374273.8821609232</v>
      </c>
      <c r="AI44" s="7">
        <f t="shared" si="12"/>
        <v>21034495.652160924</v>
      </c>
      <c r="AJ44" s="7">
        <f>IFERROR(HLOOKUP(B44-1,'EV Forecast VRZ'!$F$124:$T$130,7,FALSE)/12,0)+IFERROR(((HLOOKUP(B44,'EV Forecast VRZ'!$F$116:$T$122,7,FALSE)-HLOOKUP(B44-1,'EV Forecast VRZ'!$F$124:$T$130,7,FALSE)))*C44/78,0)</f>
        <v>0</v>
      </c>
      <c r="AK44" s="7">
        <f t="shared" si="13"/>
        <v>21034495.652160924</v>
      </c>
      <c r="AL44" s="7">
        <v>1063365.83</v>
      </c>
      <c r="AM44" s="7">
        <v>21059.939999999995</v>
      </c>
      <c r="AN44" s="7">
        <v>407029.69</v>
      </c>
      <c r="AO44" s="5">
        <v>201737.76</v>
      </c>
      <c r="AP44" s="5">
        <v>15661.56</v>
      </c>
      <c r="AQ44" s="5">
        <v>32304</v>
      </c>
      <c r="AR44" s="5">
        <v>3636.17</v>
      </c>
      <c r="AS44" s="763">
        <f t="shared" si="119"/>
        <v>60</v>
      </c>
      <c r="AT44" s="776">
        <v>109524.5</v>
      </c>
      <c r="AU44" s="776">
        <v>1570.8333333333328</v>
      </c>
      <c r="AV44" s="776">
        <v>9093.75</v>
      </c>
      <c r="AW44" s="776">
        <v>1058.5</v>
      </c>
      <c r="AX44" s="776">
        <v>4.4166666666666687</v>
      </c>
      <c r="AY44" s="776">
        <v>3.5833333333333344</v>
      </c>
      <c r="AZ44" s="776">
        <v>30915.75</v>
      </c>
      <c r="BA44" s="776">
        <v>439</v>
      </c>
      <c r="BB44" s="776">
        <v>817.5</v>
      </c>
      <c r="BC44" s="779">
        <v>43551091.827659801</v>
      </c>
      <c r="BD44" s="779">
        <f>IFERROR(VLOOKUP($B44-1,CDM!$V$4:$AJ$17,11,FALSE)/12,0)+IFERROR(VLOOKUP($B44,CDM!$V$41:$AJ$54,11,FALSE)/24,0)+IFERROR(VLOOKUP($B44,CDM!$V$41:$AJ$54,11,FALSE)/2*$C44/78,0)</f>
        <v>1827319.8619938579</v>
      </c>
      <c r="BE44" s="779">
        <f t="shared" si="71"/>
        <v>45378411.689653657</v>
      </c>
      <c r="BF44" s="779">
        <f>IFERROR(HLOOKUP(B44-1,'EV Forecast WRZ'!$F$124:$T$130,2,FALSE)/12,0)+IFERROR(((HLOOKUP(B44,'EV Forecast WRZ'!$F$116:$T$122,2,FALSE)-HLOOKUP(B44-1,'EV Forecast WRZ'!$F$124:$T$130,2,FALSE)))*C44/78,0)</f>
        <v>27746.701666666668</v>
      </c>
      <c r="BG44" s="779"/>
      <c r="BH44" s="779">
        <f t="shared" si="15"/>
        <v>45350664.987986989</v>
      </c>
      <c r="BI44" s="779">
        <v>8165305.2341500102</v>
      </c>
      <c r="BJ44" s="779">
        <f>IFERROR(VLOOKUP($B44-1,CDM!$V$4:$AJ$17,12,FALSE)/12,0)+IFERROR(VLOOKUP($B44,CDM!$V$41:$AJ$54,12,FALSE)/24,0)+IFERROR(VLOOKUP($B44,CDM!$V$41:$AJ$54,12,FALSE)/2*$C44/78,0)</f>
        <v>183253.04601752263</v>
      </c>
      <c r="BK44" s="779">
        <f t="shared" si="16"/>
        <v>8348558.2801675331</v>
      </c>
      <c r="BL44" s="779">
        <f>IFERROR(HLOOKUP(B44-1,'EV Forecast WRZ'!$F$124:$T$130,3,FALSE)/12,0)+IFERROR(((HLOOKUP(B44,'EV Forecast WRZ'!$F$116:$T$122,3,FALSE)-HLOOKUP(B44-1,'EV Forecast WRZ'!$F$124:$T$130,3,FALSE)))*C44/78,0)</f>
        <v>3592.1458974358975</v>
      </c>
      <c r="BM44" s="779"/>
      <c r="BN44" s="779">
        <f t="shared" si="17"/>
        <v>8344966.1342700971</v>
      </c>
      <c r="BO44" s="779">
        <v>29739839.879999999</v>
      </c>
      <c r="BP44" s="779">
        <f>IFERROR(VLOOKUP($B44-1,CDM!$V$4:$AJ$17,13,FALSE)/12,0)+IFERROR(VLOOKUP($B44,CDM!$V$41:$AJ$54,13,FALSE)/24,0)+IFERROR(VLOOKUP($B44,CDM!$V$41:$AJ$54,13,FALSE)/2*$C44/78,0)</f>
        <v>1060166.5663537695</v>
      </c>
      <c r="BQ44" s="779">
        <f t="shared" si="19"/>
        <v>30800006.446353767</v>
      </c>
      <c r="BR44" s="779">
        <f>IFERROR(HLOOKUP(B44-1,'EV Forecast WRZ'!$F$124:$T$130,4,FALSE)/12,0)+IFERROR(((HLOOKUP(B44,'EV Forecast WRZ'!$F$116:$T$122,4,FALSE)-HLOOKUP(B44-1,'EV Forecast WRZ'!$F$124:$T$130,4,FALSE)))*C44/78,0)</f>
        <v>1643.0041153846155</v>
      </c>
      <c r="BS44" s="779"/>
      <c r="BT44" s="779">
        <f t="shared" si="20"/>
        <v>30798363.442238383</v>
      </c>
      <c r="BU44" s="779">
        <v>6382035.1399999997</v>
      </c>
      <c r="BV44" s="779">
        <f>IFERROR(VLOOKUP($B44-1,CDM!$V$4:$AJ$17,14,FALSE)/12,0)+IFERROR(VLOOKUP($B44,CDM!$V$41:$AJ$54,14,FALSE)/24,0)+IFERROR(VLOOKUP($B44,CDM!$V$41:$AJ$54,14,FALSE)/2*$C44/78,0)</f>
        <v>238348.93314443575</v>
      </c>
      <c r="BW44" s="779">
        <f t="shared" si="21"/>
        <v>6620384.0731444359</v>
      </c>
      <c r="BX44" s="779">
        <f>IFERROR(HLOOKUP(B44-1,'EV Forecast WRZ'!$F$124:$T$130,5,FALSE)/12,0)+IFERROR(((HLOOKUP(B44,'EV Forecast WRZ'!$F$116:$T$122,5,FALSE)-HLOOKUP(B44-1,'EV Forecast WRZ'!$F$124:$T$130,5,FALSE)))*C44/78,0)</f>
        <v>285.761141025641</v>
      </c>
      <c r="BY44" s="779">
        <f t="shared" si="72"/>
        <v>6620098.3120034104</v>
      </c>
      <c r="BZ44" s="779">
        <v>242866.24</v>
      </c>
      <c r="CA44" s="779">
        <v>2498.8235614385444</v>
      </c>
      <c r="CB44" s="5">
        <v>50760.42</v>
      </c>
      <c r="CC44" s="5">
        <v>74089.5</v>
      </c>
      <c r="CD44" s="5">
        <v>9480.67</v>
      </c>
      <c r="CE44" s="5">
        <v>795.86</v>
      </c>
      <c r="CF44" s="763">
        <f t="shared" si="120"/>
        <v>7.25</v>
      </c>
      <c r="CG44" s="785">
        <v>40112.83333333335</v>
      </c>
      <c r="CH44" s="785">
        <v>2247.3333333333344</v>
      </c>
      <c r="CI44" s="785">
        <v>373.25</v>
      </c>
      <c r="CJ44" s="785">
        <v>2.5833333333333344</v>
      </c>
      <c r="CK44" s="785">
        <v>12065.333333333338</v>
      </c>
      <c r="CL44" s="785">
        <v>37.41666666666665</v>
      </c>
      <c r="CM44" s="785">
        <v>377.25</v>
      </c>
      <c r="CN44" s="46">
        <f>Weather!C56</f>
        <v>4.9668995859213254</v>
      </c>
      <c r="CO44" s="46">
        <f>Weather!D56</f>
        <v>75.365513833992097</v>
      </c>
      <c r="CP44" s="46">
        <f>Weather!E56</f>
        <v>0.19999999999999574</v>
      </c>
      <c r="CQ44" s="46">
        <f>Weather!F56</f>
        <v>132.59861424807079</v>
      </c>
      <c r="CR44" s="46">
        <f>Weather!G56</f>
        <v>0</v>
      </c>
      <c r="CS44" s="46">
        <f>Weather!H56</f>
        <v>194.39861424807077</v>
      </c>
      <c r="CT44" s="46">
        <f>Weather!I56</f>
        <v>0</v>
      </c>
      <c r="CU44" s="46">
        <f>Weather!J56</f>
        <v>256.39861424807077</v>
      </c>
      <c r="CV44" s="46">
        <f>Weather!K56</f>
        <v>0</v>
      </c>
      <c r="CW44" s="46">
        <f>Weather!L56</f>
        <v>318.39861424807077</v>
      </c>
      <c r="CX44" s="46">
        <f>Weather!M56</f>
        <v>0</v>
      </c>
      <c r="CY44" s="46">
        <f>Weather!N56</f>
        <v>380.39861424807083</v>
      </c>
      <c r="CZ44" s="46">
        <f>Weather!O56</f>
        <v>0</v>
      </c>
      <c r="DA44" s="46">
        <f>Weather!P56</f>
        <v>442.39861424807088</v>
      </c>
      <c r="DB44" s="368">
        <f>'Economic Data'!D58</f>
        <v>7249.1</v>
      </c>
      <c r="DC44" s="368">
        <f>'Economic Data'!E58</f>
        <v>7338.7</v>
      </c>
      <c r="DD44" s="368">
        <f>'Economic Data'!F58</f>
        <v>218.7</v>
      </c>
      <c r="DE44" s="368">
        <f>'Economic Data'!G58</f>
        <v>223.5</v>
      </c>
      <c r="DF44" s="368">
        <f>'Economic Data'!H58</f>
        <v>35.1</v>
      </c>
      <c r="DG44" s="368">
        <f>'Economic Data'!I58</f>
        <v>35.1</v>
      </c>
      <c r="DH44" s="368">
        <f>'Economic Data'!J58</f>
        <v>789531.6</v>
      </c>
      <c r="DI44" s="368">
        <f>'Economic Data'!K58</f>
        <v>608429.30000000005</v>
      </c>
      <c r="DJ44" s="368">
        <f>'Economic Data'!L58</f>
        <v>95137.5</v>
      </c>
      <c r="DK44" s="368">
        <f>'Economic Data'!M58</f>
        <v>31658.2</v>
      </c>
      <c r="DL44" s="368">
        <f>'Economic Data'!N58</f>
        <v>794140</v>
      </c>
      <c r="DM44" s="368">
        <f>'Economic Data'!O58</f>
        <v>96069</v>
      </c>
      <c r="DN44" s="368">
        <f>'Economic Data'!P58</f>
        <v>19703</v>
      </c>
      <c r="DO44" s="368">
        <f>'Economic Data'!Q58</f>
        <v>611579</v>
      </c>
      <c r="DP44" s="368">
        <f>'Economic Data'!R58</f>
        <v>31769</v>
      </c>
      <c r="DQ44">
        <v>31</v>
      </c>
      <c r="DR44">
        <v>21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1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f t="shared" si="69"/>
        <v>43</v>
      </c>
      <c r="EI44">
        <v>0</v>
      </c>
      <c r="EJ44">
        <v>0</v>
      </c>
      <c r="EK44">
        <v>0</v>
      </c>
      <c r="EL44">
        <v>0</v>
      </c>
      <c r="EM44" s="47">
        <f t="shared" si="73"/>
        <v>0</v>
      </c>
      <c r="EN44" s="47">
        <f t="shared" si="74"/>
        <v>0</v>
      </c>
      <c r="EO44" s="47">
        <f t="shared" si="75"/>
        <v>0</v>
      </c>
      <c r="EP44" s="47">
        <f t="shared" si="76"/>
        <v>0</v>
      </c>
      <c r="EQ44" s="47">
        <f t="shared" si="77"/>
        <v>0</v>
      </c>
      <c r="ER44" s="47">
        <f t="shared" si="78"/>
        <v>0</v>
      </c>
      <c r="ES44" s="47">
        <f t="shared" si="79"/>
        <v>0</v>
      </c>
      <c r="ET44" s="47">
        <f t="shared" si="80"/>
        <v>0</v>
      </c>
      <c r="EU44" s="47">
        <f t="shared" si="81"/>
        <v>0</v>
      </c>
      <c r="EV44" s="47">
        <f t="shared" si="82"/>
        <v>0</v>
      </c>
      <c r="EW44" s="47">
        <f t="shared" si="83"/>
        <v>0</v>
      </c>
      <c r="EX44" s="47">
        <f t="shared" si="84"/>
        <v>0</v>
      </c>
      <c r="EY44" s="47">
        <f t="shared" si="85"/>
        <v>0</v>
      </c>
      <c r="EZ44" s="47">
        <f t="shared" si="86"/>
        <v>0</v>
      </c>
      <c r="FA44" s="47">
        <f t="shared" si="87"/>
        <v>0</v>
      </c>
      <c r="FB44" s="47">
        <f t="shared" si="88"/>
        <v>0</v>
      </c>
      <c r="FC44" s="47">
        <f t="shared" si="89"/>
        <v>0</v>
      </c>
      <c r="FD44" s="47">
        <f t="shared" si="90"/>
        <v>0</v>
      </c>
      <c r="FE44" s="47">
        <f t="shared" si="91"/>
        <v>0</v>
      </c>
      <c r="FF44" s="47">
        <f t="shared" si="92"/>
        <v>0</v>
      </c>
      <c r="FG44" s="47">
        <f t="shared" si="93"/>
        <v>0</v>
      </c>
      <c r="FH44" s="47">
        <f t="shared" si="94"/>
        <v>0</v>
      </c>
      <c r="FI44" s="47">
        <f t="shared" si="95"/>
        <v>0</v>
      </c>
      <c r="FJ44" s="47">
        <f t="shared" si="96"/>
        <v>0</v>
      </c>
      <c r="FK44" s="47">
        <f t="shared" si="97"/>
        <v>0</v>
      </c>
      <c r="FL44" s="47">
        <f t="shared" si="98"/>
        <v>0</v>
      </c>
      <c r="FM44" s="47">
        <f t="shared" si="99"/>
        <v>0</v>
      </c>
      <c r="FN44" s="47">
        <f t="shared" si="100"/>
        <v>0</v>
      </c>
      <c r="FO44" s="765">
        <f t="shared" si="101"/>
        <v>996.09251387859024</v>
      </c>
      <c r="FP44" s="765">
        <f t="shared" si="102"/>
        <v>667.58927051850026</v>
      </c>
      <c r="FQ44" s="765">
        <f t="shared" si="103"/>
        <v>2894.3721432255238</v>
      </c>
      <c r="FR44" s="765">
        <f t="shared" si="104"/>
        <v>83813.610961187223</v>
      </c>
      <c r="FS44" s="765">
        <f t="shared" si="105"/>
        <v>1467056.4563860528</v>
      </c>
      <c r="FT44" s="765">
        <f t="shared" si="106"/>
        <v>5870091.8099053726</v>
      </c>
      <c r="FU44" s="765">
        <f t="shared" si="107"/>
        <v>34.395601918116171</v>
      </c>
      <c r="FV44" s="765">
        <f t="shared" si="108"/>
        <v>47.97252847380409</v>
      </c>
      <c r="FW44" s="765">
        <f t="shared" si="109"/>
        <v>497.89564525993882</v>
      </c>
      <c r="FX44" s="765">
        <f t="shared" si="110"/>
        <v>1131.2691704563454</v>
      </c>
      <c r="FY44" s="765">
        <f t="shared" si="111"/>
        <v>3714.8731593744569</v>
      </c>
      <c r="FZ44" s="765">
        <f t="shared" si="112"/>
        <v>82518.436560894217</v>
      </c>
      <c r="GA44" s="765">
        <f t="shared" si="113"/>
        <v>94012.738064516088</v>
      </c>
      <c r="GB44" s="765">
        <f t="shared" si="114"/>
        <v>20.129260691789138</v>
      </c>
      <c r="GC44" s="765">
        <f t="shared" si="115"/>
        <v>66.783703201030164</v>
      </c>
      <c r="GD44" s="765">
        <f t="shared" si="116"/>
        <v>134.55379721669979</v>
      </c>
    </row>
    <row r="45" spans="1:186">
      <c r="A45" s="4">
        <v>43313</v>
      </c>
      <c r="B45" s="6">
        <v>2018</v>
      </c>
      <c r="C45" s="5">
        <v>8</v>
      </c>
      <c r="D45" s="7">
        <v>102916891.02043</v>
      </c>
      <c r="E45" s="7">
        <f>IFERROR(VLOOKUP($B45-1,CDM!$V$4:$AJ$17,2,FALSE)/12,0)+IFERROR(VLOOKUP($B45,CDM!$V$41:$AJ$54,2,FALSE)/24,0)+IFERROR(VLOOKUP($B45,CDM!$V$41:$AJ$54,2,FALSE)/2*$C45/78,0)</f>
        <v>3661109.4171639769</v>
      </c>
      <c r="F45" s="7">
        <f t="shared" si="2"/>
        <v>106578000.43759398</v>
      </c>
      <c r="G45" s="7">
        <f>IFERROR(HLOOKUP(B45-1,'EV Forecast VRZ'!$F$124:$T$130,2,FALSE)/12,0)+IFERROR(((HLOOKUP(B45,'EV Forecast VRZ'!$F$116:$T$122,2,FALSE)-HLOOKUP(B45-1,'EV Forecast VRZ'!$F$124:$T$130,2,FALSE)))*C45/78,0)</f>
        <v>103764.30809306711</v>
      </c>
      <c r="H45" s="7"/>
      <c r="I45" s="7">
        <f t="shared" si="3"/>
        <v>106474236.12950091</v>
      </c>
      <c r="J45" s="7">
        <v>1016169.23654</v>
      </c>
      <c r="K45" s="7">
        <f>IFERROR(VLOOKUP($B45-1,CDM!$V$4:$AJ$17,3,FALSE)/12,0)+IFERROR(VLOOKUP($B45,CDM!$V$41:$AJ$54,3,FALSE)/24,0)+IFERROR(VLOOKUP($B45,CDM!$V$41:$AJ$54,3,FALSE)/2*$C45/78,0)</f>
        <v>41933.628143175272</v>
      </c>
      <c r="L45" s="7">
        <f t="shared" si="4"/>
        <v>1058102.8646831752</v>
      </c>
      <c r="M45" s="7">
        <f>IFERROR(HLOOKUP(B45-1,'EV Forecast VRZ'!$F$124:$T$130,3,FALSE)/12,0)+IFERROR(((HLOOKUP(B45,'EV Forecast VRZ'!$F$116:$T$122,3,FALSE)-HLOOKUP(B45-1,'EV Forecast VRZ'!$F$124:$T$130,3,FALSE)))*C45/78,0)</f>
        <v>1411.6513941123467</v>
      </c>
      <c r="N45" s="7"/>
      <c r="O45" s="7">
        <f t="shared" si="5"/>
        <v>1056691.213289063</v>
      </c>
      <c r="P45" s="7">
        <v>25164910.779600099</v>
      </c>
      <c r="Q45" s="7">
        <f>IFERROR(VLOOKUP($B45-1,CDM!$V$4:$AJ$17,4,FALSE)/12,0)+IFERROR(VLOOKUP($B45,CDM!$V$41:$AJ$54,4,FALSE)/24,0)+IFERROR(VLOOKUP($B45,CDM!$V$41:$AJ$54,4,FALSE)/2*$C45/78,0)</f>
        <v>1037949.7267621732</v>
      </c>
      <c r="R45" s="7">
        <f t="shared" si="6"/>
        <v>26202860.506362271</v>
      </c>
      <c r="S45" s="7">
        <f>IFERROR(HLOOKUP(B45-1,'EV Forecast VRZ'!$F$124:$T$130,4,FALSE)/12,0)+IFERROR(((HLOOKUP(B45,'EV Forecast VRZ'!$F$116:$T$122,4,FALSE)-HLOOKUP(B45-1,'EV Forecast VRZ'!$F$124:$T$130,4,FALSE)))*C45/78,0)</f>
        <v>13245.474871794875</v>
      </c>
      <c r="T45" s="7"/>
      <c r="U45" s="7">
        <f t="shared" si="7"/>
        <v>26189615.031490475</v>
      </c>
      <c r="V45" s="7">
        <v>87165082.629999995</v>
      </c>
      <c r="W45" s="7">
        <f>IFERROR(VLOOKUP($B45-1,CDM!$V$4:$AJ$17,5,FALSE)/12,0)+IFERROR(VLOOKUP($B45,CDM!$V$41:$AJ$54,5,FALSE)/24,0)+IFERROR(VLOOKUP($B45,CDM!$V$41:$AJ$54,5,FALSE)/2*$C45/78,0)</f>
        <v>3625705.2073563156</v>
      </c>
      <c r="X45" s="7">
        <f t="shared" si="8"/>
        <v>90790787.837356314</v>
      </c>
      <c r="Y45" s="7">
        <f>IFERROR(HLOOKUP(B45-1,'EV Forecast VRZ'!$F$124:$T$130,5,FALSE)/12,0)+IFERROR(((HLOOKUP(B45,'EV Forecast VRZ'!$F$116:$T$122,5,FALSE)-HLOOKUP(B45-1,'EV Forecast VRZ'!$F$124:$T$130,5,FALSE)))*C45/78,0)</f>
        <v>6031.0406153846161</v>
      </c>
      <c r="Z45" s="7"/>
      <c r="AA45" s="7">
        <f t="shared" si="9"/>
        <v>90784756.796740934</v>
      </c>
      <c r="AB45" s="7">
        <v>6502731.6299999999</v>
      </c>
      <c r="AC45" s="7">
        <f>IFERROR(VLOOKUP($B45-1,CDM!$V$4:$AJ$17,6,FALSE)/12,0)+IFERROR(VLOOKUP($B45,CDM!$V$41:$AJ$54,6,FALSE)/24,0)+IFERROR(VLOOKUP($B45,CDM!$V$41:$AJ$54,6,FALSE)/2*$C45/78,0)</f>
        <v>173522.880682141</v>
      </c>
      <c r="AD45" s="7">
        <f t="shared" si="10"/>
        <v>6676254.5106821405</v>
      </c>
      <c r="AE45" s="7">
        <f>IFERROR(HLOOKUP(B45-1,'EV Forecast VRZ'!$F$124:$T$130,6,FALSE)/12,0)+IFERROR(((HLOOKUP(B45,'EV Forecast VRZ'!$F$116:$T$122,6,FALSE)-HLOOKUP(B45-1,'EV Forecast VRZ'!$F$124:$T$130,6,FALSE)))*C45/78,0)</f>
        <v>944.58143589743588</v>
      </c>
      <c r="AF45" s="7">
        <f t="shared" si="11"/>
        <v>6675309.9292462431</v>
      </c>
      <c r="AG45" s="7">
        <v>20602666.219999999</v>
      </c>
      <c r="AH45" s="7">
        <f>IFERROR(VLOOKUP($B45-1,CDM!$V$4:$AJ$17,7,FALSE)/12,0)+IFERROR(VLOOKUP($B45,CDM!$V$41:$AJ$54,7,FALSE)/24,0)+IFERROR(VLOOKUP($B45,CDM!$V$41:$AJ$54,7,FALSE)/2*$C45/78,0)</f>
        <v>1415233.4798998858</v>
      </c>
      <c r="AI45" s="7">
        <f t="shared" si="12"/>
        <v>22017899.699899886</v>
      </c>
      <c r="AJ45" s="7">
        <f>IFERROR(HLOOKUP(B45-1,'EV Forecast VRZ'!$F$124:$T$130,7,FALSE)/12,0)+IFERROR(((HLOOKUP(B45,'EV Forecast VRZ'!$F$116:$T$122,7,FALSE)-HLOOKUP(B45-1,'EV Forecast VRZ'!$F$124:$T$130,7,FALSE)))*C45/78,0)</f>
        <v>0</v>
      </c>
      <c r="AK45" s="7">
        <f t="shared" si="13"/>
        <v>22017899.699899886</v>
      </c>
      <c r="AL45" s="7">
        <v>1192178.55</v>
      </c>
      <c r="AM45" s="7">
        <v>21089.139999999996</v>
      </c>
      <c r="AN45" s="7">
        <v>407029.69</v>
      </c>
      <c r="AO45" s="5">
        <v>202833.46</v>
      </c>
      <c r="AP45" s="5">
        <v>15306.68</v>
      </c>
      <c r="AQ45" s="5">
        <v>33488</v>
      </c>
      <c r="AR45" s="5">
        <v>3638.66</v>
      </c>
      <c r="AS45" s="763">
        <f t="shared" si="119"/>
        <v>60</v>
      </c>
      <c r="AT45" s="776">
        <v>109634</v>
      </c>
      <c r="AU45" s="776">
        <v>1570.6666666666661</v>
      </c>
      <c r="AV45" s="776">
        <v>9102</v>
      </c>
      <c r="AW45" s="776">
        <v>1055</v>
      </c>
      <c r="AX45" s="776">
        <v>4.3333333333333357</v>
      </c>
      <c r="AY45" s="776">
        <v>3.6666666666666679</v>
      </c>
      <c r="AZ45" s="776">
        <v>30952</v>
      </c>
      <c r="BA45" s="776">
        <v>439</v>
      </c>
      <c r="BB45" s="776">
        <v>817</v>
      </c>
      <c r="BC45" s="779">
        <v>42550986.482229695</v>
      </c>
      <c r="BD45" s="779">
        <f>IFERROR(VLOOKUP($B45-1,CDM!$V$4:$AJ$17,11,FALSE)/12,0)+IFERROR(VLOOKUP($B45,CDM!$V$41:$AJ$54,11,FALSE)/24,0)+IFERROR(VLOOKUP($B45,CDM!$V$41:$AJ$54,11,FALSE)/2*$C45/78,0)</f>
        <v>1856923.7220652117</v>
      </c>
      <c r="BE45" s="779">
        <f t="shared" si="71"/>
        <v>44407910.204294905</v>
      </c>
      <c r="BF45" s="779">
        <f>IFERROR(HLOOKUP(B45-1,'EV Forecast WRZ'!$F$124:$T$130,2,FALSE)/12,0)+IFERROR(((HLOOKUP(B45,'EV Forecast WRZ'!$F$116:$T$122,2,FALSE)-HLOOKUP(B45-1,'EV Forecast WRZ'!$F$124:$T$130,2,FALSE)))*C45/78,0)</f>
        <v>29829.78333333334</v>
      </c>
      <c r="BG45" s="779"/>
      <c r="BH45" s="779">
        <f t="shared" si="15"/>
        <v>44378080.420961574</v>
      </c>
      <c r="BI45" s="779">
        <v>8249057.5837700097</v>
      </c>
      <c r="BJ45" s="779">
        <f>IFERROR(VLOOKUP($B45-1,CDM!$V$4:$AJ$17,12,FALSE)/12,0)+IFERROR(VLOOKUP($B45,CDM!$V$41:$AJ$54,12,FALSE)/24,0)+IFERROR(VLOOKUP($B45,CDM!$V$41:$AJ$54,12,FALSE)/2*$C45/78,0)</f>
        <v>186614.92358044657</v>
      </c>
      <c r="BK45" s="779">
        <f t="shared" si="16"/>
        <v>8435672.507350456</v>
      </c>
      <c r="BL45" s="779">
        <f>IFERROR(HLOOKUP(B45-1,'EV Forecast WRZ'!$F$124:$T$130,3,FALSE)/12,0)+IFERROR(((HLOOKUP(B45,'EV Forecast WRZ'!$F$116:$T$122,3,FALSE)-HLOOKUP(B45-1,'EV Forecast WRZ'!$F$124:$T$130,3,FALSE)))*C45/78,0)</f>
        <v>3844.3410256410257</v>
      </c>
      <c r="BM45" s="779"/>
      <c r="BN45" s="779">
        <f t="shared" si="17"/>
        <v>8431828.1663248148</v>
      </c>
      <c r="BO45" s="779">
        <v>31063804.010000002</v>
      </c>
      <c r="BP45" s="779">
        <f>IFERROR(VLOOKUP($B45-1,CDM!$V$4:$AJ$17,13,FALSE)/12,0)+IFERROR(VLOOKUP($B45,CDM!$V$41:$AJ$54,13,FALSE)/24,0)+IFERROR(VLOOKUP($B45,CDM!$V$41:$AJ$54,13,FALSE)/2*$C45/78,0)</f>
        <v>1085544.0625312233</v>
      </c>
      <c r="BQ45" s="779">
        <f t="shared" si="19"/>
        <v>32149348.072531223</v>
      </c>
      <c r="BR45" s="779">
        <f>IFERROR(HLOOKUP(B45-1,'EV Forecast WRZ'!$F$124:$T$130,4,FALSE)/12,0)+IFERROR(((HLOOKUP(B45,'EV Forecast WRZ'!$F$116:$T$122,4,FALSE)-HLOOKUP(B45-1,'EV Forecast WRZ'!$F$124:$T$130,4,FALSE)))*C45/78,0)</f>
        <v>1757.0688461538462</v>
      </c>
      <c r="BS45" s="779"/>
      <c r="BT45" s="779">
        <f t="shared" si="20"/>
        <v>32147591.003685068</v>
      </c>
      <c r="BU45" s="779">
        <v>6347228.0800000001</v>
      </c>
      <c r="BV45" s="779">
        <f>IFERROR(VLOOKUP($B45-1,CDM!$V$4:$AJ$17,14,FALSE)/12,0)+IFERROR(VLOOKUP($B45,CDM!$V$41:$AJ$54,14,FALSE)/24,0)+IFERROR(VLOOKUP($B45,CDM!$V$41:$AJ$54,14,FALSE)/2*$C45/78,0)</f>
        <v>244054.35654839803</v>
      </c>
      <c r="BW45" s="779">
        <f t="shared" si="21"/>
        <v>6591282.4365483979</v>
      </c>
      <c r="BX45" s="779">
        <f>IFERROR(HLOOKUP(B45-1,'EV Forecast WRZ'!$F$124:$T$130,5,FALSE)/12,0)+IFERROR(((HLOOKUP(B45,'EV Forecast WRZ'!$F$116:$T$122,5,FALSE)-HLOOKUP(B45-1,'EV Forecast WRZ'!$F$124:$T$130,5,FALSE)))*C45/78,0)</f>
        <v>300.67858974358973</v>
      </c>
      <c r="BY45" s="779">
        <f t="shared" si="72"/>
        <v>6590981.7579586543</v>
      </c>
      <c r="BZ45" s="779">
        <v>276805.86</v>
      </c>
      <c r="CA45" s="779">
        <v>2498.8235614385444</v>
      </c>
      <c r="CB45" s="5">
        <v>50319.26</v>
      </c>
      <c r="CC45" s="5">
        <v>73595.38</v>
      </c>
      <c r="CD45" s="5">
        <v>9399.65</v>
      </c>
      <c r="CE45" s="5">
        <v>800.75</v>
      </c>
      <c r="CF45" s="763">
        <f t="shared" si="120"/>
        <v>7.25</v>
      </c>
      <c r="CG45" s="785">
        <v>40144.666666666686</v>
      </c>
      <c r="CH45" s="785">
        <v>2248.6666666666679</v>
      </c>
      <c r="CI45" s="785">
        <v>374</v>
      </c>
      <c r="CJ45" s="785">
        <v>2.6666666666666679</v>
      </c>
      <c r="CK45" s="785">
        <v>12088.666666666672</v>
      </c>
      <c r="CL45" s="785">
        <v>37.333333333333314</v>
      </c>
      <c r="CM45" s="785">
        <v>378</v>
      </c>
      <c r="CN45" s="46">
        <f>Weather!C57</f>
        <v>7.2291666666666679</v>
      </c>
      <c r="CO45" s="46">
        <f>Weather!D57</f>
        <v>73.474999999999994</v>
      </c>
      <c r="CP45" s="46">
        <f>Weather!E57</f>
        <v>0.90833333333333144</v>
      </c>
      <c r="CQ45" s="46">
        <f>Weather!F57</f>
        <v>129.1541666666667</v>
      </c>
      <c r="CR45" s="46">
        <f>Weather!G57</f>
        <v>0</v>
      </c>
      <c r="CS45" s="46">
        <f>Weather!H57</f>
        <v>190.24583333333339</v>
      </c>
      <c r="CT45" s="46">
        <f>Weather!I57</f>
        <v>0</v>
      </c>
      <c r="CU45" s="46">
        <f>Weather!J57</f>
        <v>252.24583333333339</v>
      </c>
      <c r="CV45" s="46">
        <f>Weather!K57</f>
        <v>0</v>
      </c>
      <c r="CW45" s="46">
        <f>Weather!L57</f>
        <v>314.24583333333334</v>
      </c>
      <c r="CX45" s="46">
        <f>Weather!M57</f>
        <v>0</v>
      </c>
      <c r="CY45" s="46">
        <f>Weather!N57</f>
        <v>376.24583333333334</v>
      </c>
      <c r="CZ45" s="46">
        <f>Weather!O57</f>
        <v>0</v>
      </c>
      <c r="DA45" s="46">
        <f>Weather!P57</f>
        <v>438.24583333333322</v>
      </c>
      <c r="DB45" s="368">
        <f>'Economic Data'!D59</f>
        <v>7257.7</v>
      </c>
      <c r="DC45" s="368">
        <f>'Economic Data'!E59</f>
        <v>7350.2</v>
      </c>
      <c r="DD45" s="368">
        <f>'Economic Data'!F59</f>
        <v>217.1</v>
      </c>
      <c r="DE45" s="368">
        <f>'Economic Data'!G59</f>
        <v>220.5</v>
      </c>
      <c r="DF45" s="368">
        <f>'Economic Data'!H59</f>
        <v>35.5</v>
      </c>
      <c r="DG45" s="368">
        <f>'Economic Data'!I59</f>
        <v>35.5</v>
      </c>
      <c r="DH45" s="368">
        <f>'Economic Data'!J59</f>
        <v>789531.6</v>
      </c>
      <c r="DI45" s="368">
        <f>'Economic Data'!K59</f>
        <v>608429.30000000005</v>
      </c>
      <c r="DJ45" s="368">
        <f>'Economic Data'!L59</f>
        <v>95137.5</v>
      </c>
      <c r="DK45" s="368">
        <f>'Economic Data'!M59</f>
        <v>31658.2</v>
      </c>
      <c r="DL45" s="368">
        <f>'Economic Data'!N59</f>
        <v>794140</v>
      </c>
      <c r="DM45" s="368">
        <f>'Economic Data'!O59</f>
        <v>96069</v>
      </c>
      <c r="DN45" s="368">
        <f>'Economic Data'!P59</f>
        <v>19703</v>
      </c>
      <c r="DO45" s="368">
        <f>'Economic Data'!Q59</f>
        <v>611579</v>
      </c>
      <c r="DP45" s="368">
        <f>'Economic Data'!R59</f>
        <v>31769</v>
      </c>
      <c r="DQ45">
        <v>31</v>
      </c>
      <c r="DR45">
        <v>22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f t="shared" si="69"/>
        <v>44</v>
      </c>
      <c r="EI45">
        <v>0</v>
      </c>
      <c r="EJ45">
        <v>0</v>
      </c>
      <c r="EK45">
        <v>0</v>
      </c>
      <c r="EL45">
        <v>0</v>
      </c>
      <c r="EM45" s="47">
        <f t="shared" si="73"/>
        <v>0</v>
      </c>
      <c r="EN45" s="47">
        <f t="shared" si="74"/>
        <v>0</v>
      </c>
      <c r="EO45" s="47">
        <f t="shared" si="75"/>
        <v>0</v>
      </c>
      <c r="EP45" s="47">
        <f t="shared" si="76"/>
        <v>0</v>
      </c>
      <c r="EQ45" s="47">
        <f t="shared" si="77"/>
        <v>0</v>
      </c>
      <c r="ER45" s="47">
        <f t="shared" si="78"/>
        <v>0</v>
      </c>
      <c r="ES45" s="47">
        <f t="shared" si="79"/>
        <v>0</v>
      </c>
      <c r="ET45" s="47">
        <f t="shared" si="80"/>
        <v>0</v>
      </c>
      <c r="EU45" s="47">
        <f t="shared" si="81"/>
        <v>0</v>
      </c>
      <c r="EV45" s="47">
        <f t="shared" si="82"/>
        <v>0</v>
      </c>
      <c r="EW45" s="47">
        <f t="shared" si="83"/>
        <v>0</v>
      </c>
      <c r="EX45" s="47">
        <f t="shared" si="84"/>
        <v>0</v>
      </c>
      <c r="EY45" s="47">
        <f t="shared" si="85"/>
        <v>0</v>
      </c>
      <c r="EZ45" s="47">
        <f t="shared" si="86"/>
        <v>0</v>
      </c>
      <c r="FA45" s="47">
        <f t="shared" si="87"/>
        <v>0</v>
      </c>
      <c r="FB45" s="47">
        <f t="shared" si="88"/>
        <v>0</v>
      </c>
      <c r="FC45" s="47">
        <f t="shared" si="89"/>
        <v>0</v>
      </c>
      <c r="FD45" s="47">
        <f t="shared" si="90"/>
        <v>0</v>
      </c>
      <c r="FE45" s="47">
        <f t="shared" si="91"/>
        <v>0</v>
      </c>
      <c r="FF45" s="47">
        <f t="shared" si="92"/>
        <v>0</v>
      </c>
      <c r="FG45" s="47">
        <f t="shared" si="93"/>
        <v>0</v>
      </c>
      <c r="FH45" s="47">
        <f t="shared" si="94"/>
        <v>0</v>
      </c>
      <c r="FI45" s="47">
        <f t="shared" si="95"/>
        <v>0</v>
      </c>
      <c r="FJ45" s="47">
        <f t="shared" si="96"/>
        <v>0</v>
      </c>
      <c r="FK45" s="47">
        <f t="shared" si="97"/>
        <v>0</v>
      </c>
      <c r="FL45" s="47">
        <f t="shared" si="98"/>
        <v>0</v>
      </c>
      <c r="FM45" s="47">
        <f t="shared" si="99"/>
        <v>0</v>
      </c>
      <c r="FN45" s="47">
        <f t="shared" si="100"/>
        <v>0</v>
      </c>
      <c r="FO45" s="765">
        <f t="shared" si="101"/>
        <v>971.17897850576378</v>
      </c>
      <c r="FP45" s="765">
        <f t="shared" si="102"/>
        <v>673.66481197995051</v>
      </c>
      <c r="FQ45" s="765">
        <f t="shared" si="103"/>
        <v>2878.8025166295615</v>
      </c>
      <c r="FR45" s="765">
        <f t="shared" si="104"/>
        <v>86057.618803181336</v>
      </c>
      <c r="FS45" s="765">
        <f t="shared" si="105"/>
        <v>1540674.1178497239</v>
      </c>
      <c r="FT45" s="765">
        <f t="shared" si="106"/>
        <v>6004881.7363363309</v>
      </c>
      <c r="FU45" s="765">
        <f t="shared" si="107"/>
        <v>38.517011824760921</v>
      </c>
      <c r="FV45" s="765">
        <f t="shared" si="108"/>
        <v>48.03904328018222</v>
      </c>
      <c r="FW45" s="765">
        <f t="shared" si="109"/>
        <v>498.20035495716036</v>
      </c>
      <c r="FX45" s="765">
        <f t="shared" si="110"/>
        <v>1106.1970092572251</v>
      </c>
      <c r="FY45" s="765">
        <f t="shared" si="111"/>
        <v>3751.4108393197976</v>
      </c>
      <c r="FZ45" s="765">
        <f t="shared" si="112"/>
        <v>85960.823723345515</v>
      </c>
      <c r="GA45" s="765">
        <f t="shared" si="113"/>
        <v>103802.19749999995</v>
      </c>
      <c r="GB45" s="765">
        <f t="shared" si="114"/>
        <v>22.89796448464125</v>
      </c>
      <c r="GC45" s="765">
        <f t="shared" si="115"/>
        <v>66.932773967103898</v>
      </c>
      <c r="GD45" s="765">
        <f t="shared" si="116"/>
        <v>133.11973544973546</v>
      </c>
    </row>
    <row r="46" spans="1:186">
      <c r="A46" s="4">
        <v>43344</v>
      </c>
      <c r="B46" s="6">
        <v>2018</v>
      </c>
      <c r="C46" s="5">
        <v>9</v>
      </c>
      <c r="D46" s="7">
        <v>81047969.233560294</v>
      </c>
      <c r="E46" s="7">
        <f>IFERROR(VLOOKUP($B46-1,CDM!$V$4:$AJ$17,2,FALSE)/12,0)+IFERROR(VLOOKUP($B46,CDM!$V$41:$AJ$54,2,FALSE)/24,0)+IFERROR(VLOOKUP($B46,CDM!$V$41:$AJ$54,2,FALSE)/2*$C46/78,0)</f>
        <v>3723717.3929445785</v>
      </c>
      <c r="F46" s="7">
        <f t="shared" si="2"/>
        <v>84771686.626504868</v>
      </c>
      <c r="G46" s="7">
        <f>IFERROR(HLOOKUP(B46-1,'EV Forecast VRZ'!$F$124:$T$130,2,FALSE)/12,0)+IFERROR(((HLOOKUP(B46,'EV Forecast VRZ'!$F$116:$T$122,2,FALSE)-HLOOKUP(B46-1,'EV Forecast VRZ'!$F$124:$T$130,2,FALSE)))*C46/78,0)</f>
        <v>111633.35846842141</v>
      </c>
      <c r="H46" s="7"/>
      <c r="I46" s="7">
        <f t="shared" si="3"/>
        <v>84660053.26803644</v>
      </c>
      <c r="J46" s="7">
        <v>716882.53558999998</v>
      </c>
      <c r="K46" s="7">
        <f>IFERROR(VLOOKUP($B46-1,CDM!$V$4:$AJ$17,3,FALSE)/12,0)+IFERROR(VLOOKUP($B46,CDM!$V$41:$AJ$54,3,FALSE)/24,0)+IFERROR(VLOOKUP($B46,CDM!$V$41:$AJ$54,3,FALSE)/2*$C46/78,0)</f>
        <v>42650.727600206636</v>
      </c>
      <c r="L46" s="7">
        <f t="shared" si="4"/>
        <v>759533.26319020661</v>
      </c>
      <c r="M46" s="7">
        <f>IFERROR(HLOOKUP(B46-1,'EV Forecast VRZ'!$F$124:$T$130,3,FALSE)/12,0)+IFERROR(((HLOOKUP(B46,'EV Forecast VRZ'!$F$116:$T$122,3,FALSE)-HLOOKUP(B46-1,'EV Forecast VRZ'!$F$124:$T$130,3,FALSE)))*C46/78,0)</f>
        <v>1518.7051213221498</v>
      </c>
      <c r="N46" s="7"/>
      <c r="O46" s="7">
        <f t="shared" si="5"/>
        <v>758014.55806888442</v>
      </c>
      <c r="P46" s="7">
        <v>21753953.700139999</v>
      </c>
      <c r="Q46" s="7">
        <f>IFERROR(VLOOKUP($B46-1,CDM!$V$4:$AJ$17,4,FALSE)/12,0)+IFERROR(VLOOKUP($B46,CDM!$V$41:$AJ$54,4,FALSE)/24,0)+IFERROR(VLOOKUP($B46,CDM!$V$41:$AJ$54,4,FALSE)/2*$C46/78,0)</f>
        <v>1061282.8006973409</v>
      </c>
      <c r="R46" s="7">
        <f t="shared" si="6"/>
        <v>22815236.500837341</v>
      </c>
      <c r="S46" s="7">
        <f>IFERROR(HLOOKUP(B46-1,'EV Forecast VRZ'!$F$124:$T$130,4,FALSE)/12,0)+IFERROR(((HLOOKUP(B46,'EV Forecast VRZ'!$F$116:$T$122,4,FALSE)-HLOOKUP(B46-1,'EV Forecast VRZ'!$F$124:$T$130,4,FALSE)))*C46/78,0)</f>
        <v>14250.3558974359</v>
      </c>
      <c r="T46" s="7"/>
      <c r="U46" s="7">
        <f t="shared" si="7"/>
        <v>22800986.144939907</v>
      </c>
      <c r="V46" s="7">
        <v>80820608.329999998</v>
      </c>
      <c r="W46" s="7">
        <f>IFERROR(VLOOKUP($B46-1,CDM!$V$4:$AJ$17,5,FALSE)/12,0)+IFERROR(VLOOKUP($B46,CDM!$V$41:$AJ$54,5,FALSE)/24,0)+IFERROR(VLOOKUP($B46,CDM!$V$41:$AJ$54,5,FALSE)/2*$C46/78,0)</f>
        <v>3697537.9022959522</v>
      </c>
      <c r="X46" s="7">
        <f t="shared" si="8"/>
        <v>84518146.232295945</v>
      </c>
      <c r="Y46" s="7">
        <f>IFERROR(HLOOKUP(B46-1,'EV Forecast VRZ'!$F$124:$T$130,5,FALSE)/12,0)+IFERROR(((HLOOKUP(B46,'EV Forecast VRZ'!$F$116:$T$122,5,FALSE)-HLOOKUP(B46-1,'EV Forecast VRZ'!$F$124:$T$130,5,FALSE)))*C46/78,0)</f>
        <v>6488.6216923076936</v>
      </c>
      <c r="Z46" s="7"/>
      <c r="AA46" s="7">
        <f t="shared" si="9"/>
        <v>84511657.610603631</v>
      </c>
      <c r="AB46" s="7">
        <v>6001451.71</v>
      </c>
      <c r="AC46" s="7">
        <f>IFERROR(VLOOKUP($B46-1,CDM!$V$4:$AJ$17,6,FALSE)/12,0)+IFERROR(VLOOKUP($B46,CDM!$V$41:$AJ$54,6,FALSE)/24,0)+IFERROR(VLOOKUP($B46,CDM!$V$41:$AJ$54,6,FALSE)/2*$C46/78,0)</f>
        <v>178791.97232587883</v>
      </c>
      <c r="AD46" s="7">
        <f t="shared" si="10"/>
        <v>6180243.6823258791</v>
      </c>
      <c r="AE46" s="7">
        <f>IFERROR(HLOOKUP(B46-1,'EV Forecast VRZ'!$F$124:$T$130,6,FALSE)/12,0)+IFERROR(((HLOOKUP(B46,'EV Forecast VRZ'!$F$116:$T$122,6,FALSE)-HLOOKUP(B46-1,'EV Forecast VRZ'!$F$124:$T$130,6,FALSE)))*C46/78,0)</f>
        <v>1016.3639487179487</v>
      </c>
      <c r="AF46" s="7">
        <f t="shared" si="11"/>
        <v>6179227.3183771614</v>
      </c>
      <c r="AG46" s="7">
        <v>19924705.140000001</v>
      </c>
      <c r="AH46" s="7">
        <f>IFERROR(VLOOKUP($B46-1,CDM!$V$4:$AJ$17,7,FALSE)/12,0)+IFERROR(VLOOKUP($B46,CDM!$V$41:$AJ$54,7,FALSE)/24,0)+IFERROR(VLOOKUP($B46,CDM!$V$41:$AJ$54,7,FALSE)/2*$C46/78,0)</f>
        <v>1456193.0776388487</v>
      </c>
      <c r="AI46" s="7">
        <f t="shared" si="12"/>
        <v>21380898.21763885</v>
      </c>
      <c r="AJ46" s="7">
        <f>IFERROR(HLOOKUP(B46-1,'EV Forecast VRZ'!$F$124:$T$130,7,FALSE)/12,0)+IFERROR(((HLOOKUP(B46,'EV Forecast VRZ'!$F$116:$T$122,7,FALSE)-HLOOKUP(B46-1,'EV Forecast VRZ'!$F$124:$T$130,7,FALSE)))*C46/78,0)</f>
        <v>0</v>
      </c>
      <c r="AK46" s="7">
        <f t="shared" si="13"/>
        <v>21380898.21763885</v>
      </c>
      <c r="AL46" s="7">
        <v>1295291.01</v>
      </c>
      <c r="AM46" s="7">
        <v>20959.960000000003</v>
      </c>
      <c r="AN46" s="7">
        <v>406674.35</v>
      </c>
      <c r="AO46" s="5">
        <v>207263.72</v>
      </c>
      <c r="AP46" s="5">
        <v>14929.17</v>
      </c>
      <c r="AQ46" s="5">
        <v>36838</v>
      </c>
      <c r="AR46" s="5">
        <v>3581.91</v>
      </c>
      <c r="AS46" s="763">
        <f t="shared" si="119"/>
        <v>60</v>
      </c>
      <c r="AT46" s="776">
        <v>109743.5</v>
      </c>
      <c r="AU46" s="776">
        <v>1570.4999999999993</v>
      </c>
      <c r="AV46" s="776">
        <v>9110.25</v>
      </c>
      <c r="AW46" s="776">
        <v>1051.5</v>
      </c>
      <c r="AX46" s="776">
        <v>4.2500000000000027</v>
      </c>
      <c r="AY46" s="776">
        <v>3.7500000000000013</v>
      </c>
      <c r="AZ46" s="776">
        <v>30988.25</v>
      </c>
      <c r="BA46" s="776">
        <v>439</v>
      </c>
      <c r="BB46" s="776">
        <v>816.5</v>
      </c>
      <c r="BC46" s="779">
        <v>33392375.72783</v>
      </c>
      <c r="BD46" s="779">
        <f>IFERROR(VLOOKUP($B46-1,CDM!$V$4:$AJ$17,11,FALSE)/12,0)+IFERROR(VLOOKUP($B46,CDM!$V$41:$AJ$54,11,FALSE)/24,0)+IFERROR(VLOOKUP($B46,CDM!$V$41:$AJ$54,11,FALSE)/2*$C46/78,0)</f>
        <v>1886527.5821365658</v>
      </c>
      <c r="BE46" s="779">
        <f t="shared" si="71"/>
        <v>35278903.309966564</v>
      </c>
      <c r="BF46" s="779">
        <f>IFERROR(HLOOKUP(B46-1,'EV Forecast WRZ'!$F$124:$T$130,2,FALSE)/12,0)+IFERROR(((HLOOKUP(B46,'EV Forecast WRZ'!$F$116:$T$122,2,FALSE)-HLOOKUP(B46-1,'EV Forecast WRZ'!$F$124:$T$130,2,FALSE)))*C46/78,0)</f>
        <v>31912.865000000005</v>
      </c>
      <c r="BG46" s="779"/>
      <c r="BH46" s="779">
        <f t="shared" si="15"/>
        <v>35246990.444966562</v>
      </c>
      <c r="BI46" s="779">
        <v>7170784.3536500204</v>
      </c>
      <c r="BJ46" s="779">
        <f>IFERROR(VLOOKUP($B46-1,CDM!$V$4:$AJ$17,12,FALSE)/12,0)+IFERROR(VLOOKUP($B46,CDM!$V$41:$AJ$54,12,FALSE)/24,0)+IFERROR(VLOOKUP($B46,CDM!$V$41:$AJ$54,12,FALSE)/2*$C46/78,0)</f>
        <v>189976.80114337051</v>
      </c>
      <c r="BK46" s="779">
        <f t="shared" si="16"/>
        <v>7360761.154793391</v>
      </c>
      <c r="BL46" s="779">
        <f>IFERROR(HLOOKUP(B46-1,'EV Forecast WRZ'!$F$124:$T$130,3,FALSE)/12,0)+IFERROR(((HLOOKUP(B46,'EV Forecast WRZ'!$F$116:$T$122,3,FALSE)-HLOOKUP(B46-1,'EV Forecast WRZ'!$F$124:$T$130,3,FALSE)))*C46/78,0)</f>
        <v>4096.5361538461539</v>
      </c>
      <c r="BM46" s="779"/>
      <c r="BN46" s="779">
        <f t="shared" si="17"/>
        <v>7356664.6186395446</v>
      </c>
      <c r="BO46" s="779">
        <v>30660383.59</v>
      </c>
      <c r="BP46" s="779">
        <f>IFERROR(VLOOKUP($B46-1,CDM!$V$4:$AJ$17,13,FALSE)/12,0)+IFERROR(VLOOKUP($B46,CDM!$V$41:$AJ$54,13,FALSE)/24,0)+IFERROR(VLOOKUP($B46,CDM!$V$41:$AJ$54,13,FALSE)/2*$C46/78,0)</f>
        <v>1110921.5587086773</v>
      </c>
      <c r="BQ46" s="779">
        <f t="shared" si="19"/>
        <v>31771305.148708679</v>
      </c>
      <c r="BR46" s="779">
        <f>IFERROR(HLOOKUP(B46-1,'EV Forecast WRZ'!$F$124:$T$130,4,FALSE)/12,0)+IFERROR(((HLOOKUP(B46,'EV Forecast WRZ'!$F$116:$T$122,4,FALSE)-HLOOKUP(B46-1,'EV Forecast WRZ'!$F$124:$T$130,4,FALSE)))*C46/78,0)</f>
        <v>1871.1335769230768</v>
      </c>
      <c r="BS46" s="779"/>
      <c r="BT46" s="779">
        <f t="shared" si="20"/>
        <v>31769434.015131757</v>
      </c>
      <c r="BU46" s="779">
        <v>6445255.0700000003</v>
      </c>
      <c r="BV46" s="779">
        <f>IFERROR(VLOOKUP($B46-1,CDM!$V$4:$AJ$17,14,FALSE)/12,0)+IFERROR(VLOOKUP($B46,CDM!$V$41:$AJ$54,14,FALSE)/24,0)+IFERROR(VLOOKUP($B46,CDM!$V$41:$AJ$54,14,FALSE)/2*$C46/78,0)</f>
        <v>249759.77995236032</v>
      </c>
      <c r="BW46" s="779">
        <f t="shared" si="21"/>
        <v>6695014.8499523606</v>
      </c>
      <c r="BX46" s="779">
        <f>IFERROR(HLOOKUP(B46-1,'EV Forecast WRZ'!$F$124:$T$130,5,FALSE)/12,0)+IFERROR(((HLOOKUP(B46,'EV Forecast WRZ'!$F$116:$T$122,5,FALSE)-HLOOKUP(B46-1,'EV Forecast WRZ'!$F$124:$T$130,5,FALSE)))*C46/78,0)</f>
        <v>315.59603846153846</v>
      </c>
      <c r="BY46" s="779">
        <f t="shared" si="72"/>
        <v>6694699.253913899</v>
      </c>
      <c r="BZ46" s="779">
        <v>299313.28000000003</v>
      </c>
      <c r="CA46" s="779">
        <v>2498.8235614385444</v>
      </c>
      <c r="CB46" s="5">
        <v>50319.26</v>
      </c>
      <c r="CC46" s="5">
        <v>75498.66</v>
      </c>
      <c r="CD46" s="5">
        <v>11015.82</v>
      </c>
      <c r="CE46" s="5">
        <v>800.85</v>
      </c>
      <c r="CF46" s="763">
        <f t="shared" si="120"/>
        <v>7.25</v>
      </c>
      <c r="CG46" s="785">
        <v>40176.500000000022</v>
      </c>
      <c r="CH46" s="785">
        <v>2250.0000000000014</v>
      </c>
      <c r="CI46" s="785">
        <v>374.75</v>
      </c>
      <c r="CJ46" s="785">
        <v>2.7500000000000013</v>
      </c>
      <c r="CK46" s="785">
        <v>12112.000000000005</v>
      </c>
      <c r="CL46" s="785">
        <v>37.249999999999979</v>
      </c>
      <c r="CM46" s="785">
        <v>378.75</v>
      </c>
      <c r="CN46" s="46">
        <f>Weather!C58</f>
        <v>92.370833333333337</v>
      </c>
      <c r="CO46" s="46">
        <f>Weather!D58</f>
        <v>33.737500000000011</v>
      </c>
      <c r="CP46" s="46">
        <f>Weather!E58</f>
        <v>59.1875</v>
      </c>
      <c r="CQ46" s="46">
        <f>Weather!F58</f>
        <v>60.55416666666666</v>
      </c>
      <c r="CR46" s="46">
        <f>Weather!G58</f>
        <v>33.279166666666669</v>
      </c>
      <c r="CS46" s="46">
        <f>Weather!H58</f>
        <v>94.645833333333329</v>
      </c>
      <c r="CT46" s="46">
        <f>Weather!I58</f>
        <v>13.695833333333338</v>
      </c>
      <c r="CU46" s="46">
        <f>Weather!J58</f>
        <v>135.06250000000003</v>
      </c>
      <c r="CV46" s="46">
        <f>Weather!K58</f>
        <v>2.1166666666666636</v>
      </c>
      <c r="CW46" s="46">
        <f>Weather!L58</f>
        <v>183.48333333333329</v>
      </c>
      <c r="CX46" s="46">
        <f>Weather!M58</f>
        <v>0</v>
      </c>
      <c r="CY46" s="46">
        <f>Weather!N58</f>
        <v>241.36666666666665</v>
      </c>
      <c r="CZ46" s="46">
        <f>Weather!O58</f>
        <v>0</v>
      </c>
      <c r="DA46" s="46">
        <f>Weather!P58</f>
        <v>301.3666666666665</v>
      </c>
      <c r="DB46" s="368">
        <f>'Economic Data'!D60</f>
        <v>7273.8</v>
      </c>
      <c r="DC46" s="368">
        <f>'Economic Data'!E60</f>
        <v>7316.6</v>
      </c>
      <c r="DD46" s="368">
        <f>'Economic Data'!F60</f>
        <v>215.6</v>
      </c>
      <c r="DE46" s="368">
        <f>'Economic Data'!G60</f>
        <v>216.3</v>
      </c>
      <c r="DF46" s="368">
        <f>'Economic Data'!H60</f>
        <v>36.6</v>
      </c>
      <c r="DG46" s="368">
        <f>'Economic Data'!I60</f>
        <v>36.6</v>
      </c>
      <c r="DH46" s="368">
        <f>'Economic Data'!J60</f>
        <v>789531.6</v>
      </c>
      <c r="DI46" s="368">
        <f>'Economic Data'!K60</f>
        <v>608429.30000000005</v>
      </c>
      <c r="DJ46" s="368">
        <f>'Economic Data'!L60</f>
        <v>95137.5</v>
      </c>
      <c r="DK46" s="368">
        <f>'Economic Data'!M60</f>
        <v>31658.2</v>
      </c>
      <c r="DL46" s="368">
        <f>'Economic Data'!N60</f>
        <v>794140</v>
      </c>
      <c r="DM46" s="368">
        <f>'Economic Data'!O60</f>
        <v>96069</v>
      </c>
      <c r="DN46" s="368">
        <f>'Economic Data'!P60</f>
        <v>19703</v>
      </c>
      <c r="DO46" s="368">
        <f>'Economic Data'!Q60</f>
        <v>611579</v>
      </c>
      <c r="DP46" s="368">
        <f>'Economic Data'!R60</f>
        <v>31769</v>
      </c>
      <c r="DQ46">
        <v>30</v>
      </c>
      <c r="DR46">
        <v>19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1</v>
      </c>
      <c r="EB46">
        <v>0</v>
      </c>
      <c r="EC46">
        <v>0</v>
      </c>
      <c r="ED46">
        <v>0</v>
      </c>
      <c r="EE46">
        <v>0</v>
      </c>
      <c r="EF46">
        <v>1</v>
      </c>
      <c r="EG46">
        <v>1</v>
      </c>
      <c r="EH46">
        <f t="shared" si="69"/>
        <v>45</v>
      </c>
      <c r="EI46">
        <v>0</v>
      </c>
      <c r="EJ46">
        <v>0</v>
      </c>
      <c r="EK46">
        <v>0</v>
      </c>
      <c r="EL46">
        <v>0</v>
      </c>
      <c r="EM46" s="47">
        <f t="shared" si="73"/>
        <v>0</v>
      </c>
      <c r="EN46" s="47">
        <f t="shared" si="74"/>
        <v>0</v>
      </c>
      <c r="EO46" s="47">
        <f t="shared" si="75"/>
        <v>0</v>
      </c>
      <c r="EP46" s="47">
        <f t="shared" si="76"/>
        <v>0</v>
      </c>
      <c r="EQ46" s="47">
        <f t="shared" si="77"/>
        <v>0</v>
      </c>
      <c r="ER46" s="47">
        <f t="shared" si="78"/>
        <v>0</v>
      </c>
      <c r="ES46" s="47">
        <f t="shared" si="79"/>
        <v>0</v>
      </c>
      <c r="ET46" s="47">
        <f t="shared" si="80"/>
        <v>0</v>
      </c>
      <c r="EU46" s="47">
        <f t="shared" si="81"/>
        <v>0</v>
      </c>
      <c r="EV46" s="47">
        <f t="shared" si="82"/>
        <v>0</v>
      </c>
      <c r="EW46" s="47">
        <f t="shared" si="83"/>
        <v>0</v>
      </c>
      <c r="EX46" s="47">
        <f t="shared" si="84"/>
        <v>0</v>
      </c>
      <c r="EY46" s="47">
        <f t="shared" si="85"/>
        <v>0</v>
      </c>
      <c r="EZ46" s="47">
        <f t="shared" si="86"/>
        <v>0</v>
      </c>
      <c r="FA46" s="47">
        <f t="shared" si="87"/>
        <v>0</v>
      </c>
      <c r="FB46" s="47">
        <f t="shared" si="88"/>
        <v>0</v>
      </c>
      <c r="FC46" s="47">
        <f t="shared" si="89"/>
        <v>0</v>
      </c>
      <c r="FD46" s="47">
        <f t="shared" si="90"/>
        <v>0</v>
      </c>
      <c r="FE46" s="47">
        <f t="shared" si="91"/>
        <v>0</v>
      </c>
      <c r="FF46" s="47">
        <f t="shared" si="92"/>
        <v>0</v>
      </c>
      <c r="FG46" s="47">
        <f t="shared" si="93"/>
        <v>0</v>
      </c>
      <c r="FH46" s="47">
        <f t="shared" si="94"/>
        <v>0</v>
      </c>
      <c r="FI46" s="47">
        <f t="shared" si="95"/>
        <v>0</v>
      </c>
      <c r="FJ46" s="47">
        <f t="shared" si="96"/>
        <v>0</v>
      </c>
      <c r="FK46" s="47">
        <f t="shared" si="97"/>
        <v>0</v>
      </c>
      <c r="FL46" s="47">
        <f t="shared" si="98"/>
        <v>0</v>
      </c>
      <c r="FM46" s="47">
        <f t="shared" si="99"/>
        <v>0</v>
      </c>
      <c r="FN46" s="47">
        <f t="shared" si="100"/>
        <v>0</v>
      </c>
      <c r="FO46" s="765">
        <f t="shared" si="101"/>
        <v>771.43569567251313</v>
      </c>
      <c r="FP46" s="765">
        <f t="shared" si="102"/>
        <v>483.62512778746066</v>
      </c>
      <c r="FQ46" s="765">
        <f t="shared" si="103"/>
        <v>2504.3480146908528</v>
      </c>
      <c r="FR46" s="765">
        <f t="shared" si="104"/>
        <v>80378.64596509363</v>
      </c>
      <c r="FS46" s="765">
        <f t="shared" si="105"/>
        <v>1454174.9840766764</v>
      </c>
      <c r="FT46" s="765">
        <f t="shared" si="106"/>
        <v>5701572.8580370247</v>
      </c>
      <c r="FU46" s="765">
        <f t="shared" si="107"/>
        <v>41.799424297919373</v>
      </c>
      <c r="FV46" s="765">
        <f t="shared" si="108"/>
        <v>47.744783599088848</v>
      </c>
      <c r="FW46" s="765">
        <f t="shared" si="109"/>
        <v>498.07023882424983</v>
      </c>
      <c r="FX46" s="765">
        <f t="shared" si="110"/>
        <v>878.09797543256741</v>
      </c>
      <c r="FY46" s="765">
        <f t="shared" si="111"/>
        <v>3271.449402130394</v>
      </c>
      <c r="FZ46" s="765">
        <f t="shared" si="112"/>
        <v>84780.000396821022</v>
      </c>
      <c r="GA46" s="765">
        <f t="shared" si="113"/>
        <v>108841.19272727269</v>
      </c>
      <c r="GB46" s="765">
        <f t="shared" si="114"/>
        <v>24.71212681638044</v>
      </c>
      <c r="GC46" s="765">
        <f t="shared" si="115"/>
        <v>67.082511716471032</v>
      </c>
      <c r="GD46" s="765">
        <f t="shared" si="116"/>
        <v>132.85613201320132</v>
      </c>
    </row>
    <row r="47" spans="1:186">
      <c r="A47" s="4">
        <v>43374</v>
      </c>
      <c r="B47" s="6">
        <v>2018</v>
      </c>
      <c r="C47" s="5">
        <v>10</v>
      </c>
      <c r="D47" s="7">
        <v>68357604.438541189</v>
      </c>
      <c r="E47" s="7">
        <f>IFERROR(VLOOKUP($B47-1,CDM!$V$4:$AJ$17,2,FALSE)/12,0)+IFERROR(VLOOKUP($B47,CDM!$V$41:$AJ$54,2,FALSE)/24,0)+IFERROR(VLOOKUP($B47,CDM!$V$41:$AJ$54,2,FALSE)/2*$C47/78,0)</f>
        <v>3786325.3687251806</v>
      </c>
      <c r="F47" s="7">
        <f t="shared" si="2"/>
        <v>72143929.807266369</v>
      </c>
      <c r="G47" s="7">
        <f>IFERROR(HLOOKUP(B47-1,'EV Forecast VRZ'!$F$124:$T$130,2,FALSE)/12,0)+IFERROR(((HLOOKUP(B47,'EV Forecast VRZ'!$F$116:$T$122,2,FALSE)-HLOOKUP(B47-1,'EV Forecast VRZ'!$F$124:$T$130,2,FALSE)))*C47/78,0)</f>
        <v>119502.40884377572</v>
      </c>
      <c r="H47" s="7"/>
      <c r="I47" s="7">
        <f t="shared" si="3"/>
        <v>72024427.398422599</v>
      </c>
      <c r="J47" s="7">
        <v>856661.63881999999</v>
      </c>
      <c r="K47" s="7">
        <f>IFERROR(VLOOKUP($B47-1,CDM!$V$4:$AJ$17,3,FALSE)/12,0)+IFERROR(VLOOKUP($B47,CDM!$V$41:$AJ$54,3,FALSE)/24,0)+IFERROR(VLOOKUP($B47,CDM!$V$41:$AJ$54,3,FALSE)/2*$C47/78,0)</f>
        <v>43367.827057237992</v>
      </c>
      <c r="L47" s="7">
        <f t="shared" si="4"/>
        <v>900029.46587723796</v>
      </c>
      <c r="M47" s="7">
        <f>IFERROR(HLOOKUP(B47-1,'EV Forecast VRZ'!$F$124:$T$130,3,FALSE)/12,0)+IFERROR(((HLOOKUP(B47,'EV Forecast VRZ'!$F$116:$T$122,3,FALSE)-HLOOKUP(B47-1,'EV Forecast VRZ'!$F$124:$T$130,3,FALSE)))*C47/78,0)</f>
        <v>1625.7588485319529</v>
      </c>
      <c r="N47" s="7"/>
      <c r="O47" s="7">
        <f t="shared" si="5"/>
        <v>898403.70702870598</v>
      </c>
      <c r="P47" s="7">
        <v>21021539.011799999</v>
      </c>
      <c r="Q47" s="7">
        <f>IFERROR(VLOOKUP($B47-1,CDM!$V$4:$AJ$17,4,FALSE)/12,0)+IFERROR(VLOOKUP($B47,CDM!$V$41:$AJ$54,4,FALSE)/24,0)+IFERROR(VLOOKUP($B47,CDM!$V$41:$AJ$54,4,FALSE)/2*$C47/78,0)</f>
        <v>1084615.8746325083</v>
      </c>
      <c r="R47" s="7">
        <f t="shared" si="6"/>
        <v>22106154.886432506</v>
      </c>
      <c r="S47" s="7">
        <f>IFERROR(HLOOKUP(B47-1,'EV Forecast VRZ'!$F$124:$T$130,4,FALSE)/12,0)+IFERROR(((HLOOKUP(B47,'EV Forecast VRZ'!$F$116:$T$122,4,FALSE)-HLOOKUP(B47-1,'EV Forecast VRZ'!$F$124:$T$130,4,FALSE)))*C47/78,0)</f>
        <v>15255.236923076929</v>
      </c>
      <c r="T47" s="7"/>
      <c r="U47" s="7">
        <f t="shared" si="7"/>
        <v>22090899.64950943</v>
      </c>
      <c r="V47" s="7">
        <v>78949631.079999998</v>
      </c>
      <c r="W47" s="7">
        <f>IFERROR(VLOOKUP($B47-1,CDM!$V$4:$AJ$17,5,FALSE)/12,0)+IFERROR(VLOOKUP($B47,CDM!$V$41:$AJ$54,5,FALSE)/24,0)+IFERROR(VLOOKUP($B47,CDM!$V$41:$AJ$54,5,FALSE)/2*$C47/78,0)</f>
        <v>3769370.5972355884</v>
      </c>
      <c r="X47" s="7">
        <f t="shared" si="8"/>
        <v>82719001.677235588</v>
      </c>
      <c r="Y47" s="7">
        <f>IFERROR(HLOOKUP(B47-1,'EV Forecast VRZ'!$F$124:$T$130,5,FALSE)/12,0)+IFERROR(((HLOOKUP(B47,'EV Forecast VRZ'!$F$116:$T$122,5,FALSE)-HLOOKUP(B47-1,'EV Forecast VRZ'!$F$124:$T$130,5,FALSE)))*C47/78,0)</f>
        <v>6946.2027692307702</v>
      </c>
      <c r="Z47" s="7"/>
      <c r="AA47" s="7">
        <f t="shared" si="9"/>
        <v>82712055.474466354</v>
      </c>
      <c r="AB47" s="7">
        <v>6757080.0800000001</v>
      </c>
      <c r="AC47" s="7">
        <f>IFERROR(VLOOKUP($B47-1,CDM!$V$4:$AJ$17,6,FALSE)/12,0)+IFERROR(VLOOKUP($B47,CDM!$V$41:$AJ$54,6,FALSE)/24,0)+IFERROR(VLOOKUP($B47,CDM!$V$41:$AJ$54,6,FALSE)/2*$C47/78,0)</f>
        <v>184061.06396961666</v>
      </c>
      <c r="AD47" s="7">
        <f t="shared" si="10"/>
        <v>6941141.1439696169</v>
      </c>
      <c r="AE47" s="7">
        <f>IFERROR(HLOOKUP(B47-1,'EV Forecast VRZ'!$F$124:$T$130,6,FALSE)/12,0)+IFERROR(((HLOOKUP(B47,'EV Forecast VRZ'!$F$116:$T$122,6,FALSE)-HLOOKUP(B47-1,'EV Forecast VRZ'!$F$124:$T$130,6,FALSE)))*C47/78,0)</f>
        <v>1088.1464615384616</v>
      </c>
      <c r="AF47" s="7">
        <f t="shared" si="11"/>
        <v>6940052.9975080788</v>
      </c>
      <c r="AG47" s="7">
        <v>22412679.629999999</v>
      </c>
      <c r="AH47" s="7">
        <f>IFERROR(VLOOKUP($B47-1,CDM!$V$4:$AJ$17,7,FALSE)/12,0)+IFERROR(VLOOKUP($B47,CDM!$V$41:$AJ$54,7,FALSE)/24,0)+IFERROR(VLOOKUP($B47,CDM!$V$41:$AJ$54,7,FALSE)/2*$C47/78,0)</f>
        <v>1497152.6753778113</v>
      </c>
      <c r="AI47" s="7">
        <f t="shared" si="12"/>
        <v>23909832.305377811</v>
      </c>
      <c r="AJ47" s="7">
        <f>IFERROR(HLOOKUP(B47-1,'EV Forecast VRZ'!$F$124:$T$130,7,FALSE)/12,0)+IFERROR(((HLOOKUP(B47,'EV Forecast VRZ'!$F$116:$T$122,7,FALSE)-HLOOKUP(B47-1,'EV Forecast VRZ'!$F$124:$T$130,7,FALSE)))*C47/78,0)</f>
        <v>0</v>
      </c>
      <c r="AK47" s="7">
        <f t="shared" si="13"/>
        <v>23909832.305377811</v>
      </c>
      <c r="AL47" s="7">
        <v>1496183.23</v>
      </c>
      <c r="AM47" s="7">
        <v>20991.54</v>
      </c>
      <c r="AN47" s="7">
        <v>406874.57</v>
      </c>
      <c r="AO47" s="5">
        <v>191745.8</v>
      </c>
      <c r="AP47" s="5">
        <v>14254.82</v>
      </c>
      <c r="AQ47" s="5">
        <v>38323</v>
      </c>
      <c r="AR47" s="5">
        <v>3541.99</v>
      </c>
      <c r="AS47" s="763">
        <f t="shared" si="119"/>
        <v>60</v>
      </c>
      <c r="AT47" s="776">
        <v>109853</v>
      </c>
      <c r="AU47" s="776">
        <v>1570.3333333333326</v>
      </c>
      <c r="AV47" s="776">
        <v>9118.5</v>
      </c>
      <c r="AW47" s="776">
        <v>1048</v>
      </c>
      <c r="AX47" s="776">
        <v>4.1666666666666696</v>
      </c>
      <c r="AY47" s="776">
        <v>3.8333333333333348</v>
      </c>
      <c r="AZ47" s="776">
        <v>31024.5</v>
      </c>
      <c r="BA47" s="776">
        <v>439</v>
      </c>
      <c r="BB47" s="776">
        <v>816</v>
      </c>
      <c r="BC47" s="779">
        <v>25514171.018119901</v>
      </c>
      <c r="BD47" s="779">
        <f>IFERROR(VLOOKUP($B47-1,CDM!$V$4:$AJ$17,11,FALSE)/12,0)+IFERROR(VLOOKUP($B47,CDM!$V$41:$AJ$54,11,FALSE)/24,0)+IFERROR(VLOOKUP($B47,CDM!$V$41:$AJ$54,11,FALSE)/2*$C47/78,0)</f>
        <v>1916131.4422079199</v>
      </c>
      <c r="BE47" s="779">
        <f t="shared" si="71"/>
        <v>27430302.460327823</v>
      </c>
      <c r="BF47" s="779">
        <f>IFERROR(HLOOKUP(B47-1,'EV Forecast WRZ'!$F$124:$T$130,2,FALSE)/12,0)+IFERROR(((HLOOKUP(B47,'EV Forecast WRZ'!$F$116:$T$122,2,FALSE)-HLOOKUP(B47-1,'EV Forecast WRZ'!$F$124:$T$130,2,FALSE)))*C47/78,0)</f>
        <v>33995.946666666678</v>
      </c>
      <c r="BG47" s="779"/>
      <c r="BH47" s="779">
        <f t="shared" si="15"/>
        <v>27396306.513661157</v>
      </c>
      <c r="BI47" s="779">
        <v>6812036.8581199897</v>
      </c>
      <c r="BJ47" s="779">
        <f>IFERROR(VLOOKUP($B47-1,CDM!$V$4:$AJ$17,12,FALSE)/12,0)+IFERROR(VLOOKUP($B47,CDM!$V$41:$AJ$54,12,FALSE)/24,0)+IFERROR(VLOOKUP($B47,CDM!$V$41:$AJ$54,12,FALSE)/2*$C47/78,0)</f>
        <v>193338.67870629445</v>
      </c>
      <c r="BK47" s="779">
        <f t="shared" si="16"/>
        <v>7005375.5368262846</v>
      </c>
      <c r="BL47" s="779">
        <f>IFERROR(HLOOKUP(B47-1,'EV Forecast WRZ'!$F$124:$T$130,3,FALSE)/12,0)+IFERROR(((HLOOKUP(B47,'EV Forecast WRZ'!$F$116:$T$122,3,FALSE)-HLOOKUP(B47-1,'EV Forecast WRZ'!$F$124:$T$130,3,FALSE)))*C47/78,0)</f>
        <v>4348.7312820512825</v>
      </c>
      <c r="BM47" s="779"/>
      <c r="BN47" s="779">
        <f t="shared" si="17"/>
        <v>7001026.8055442329</v>
      </c>
      <c r="BO47" s="779">
        <v>28212998.809999999</v>
      </c>
      <c r="BP47" s="779">
        <f>IFERROR(VLOOKUP($B47-1,CDM!$V$4:$AJ$17,13,FALSE)/12,0)+IFERROR(VLOOKUP($B47,CDM!$V$41:$AJ$54,13,FALSE)/24,0)+IFERROR(VLOOKUP($B47,CDM!$V$41:$AJ$54,13,FALSE)/2*$C47/78,0)</f>
        <v>1136299.0548861311</v>
      </c>
      <c r="BQ47" s="779">
        <f t="shared" si="19"/>
        <v>29349297.864886131</v>
      </c>
      <c r="BR47" s="779">
        <f>IFERROR(HLOOKUP(B47-1,'EV Forecast WRZ'!$F$124:$T$130,4,FALSE)/12,0)+IFERROR(((HLOOKUP(B47,'EV Forecast WRZ'!$F$116:$T$122,4,FALSE)-HLOOKUP(B47-1,'EV Forecast WRZ'!$F$124:$T$130,4,FALSE)))*C47/78,0)</f>
        <v>1985.1983076923075</v>
      </c>
      <c r="BS47" s="779"/>
      <c r="BT47" s="779">
        <f t="shared" si="20"/>
        <v>29347312.666578438</v>
      </c>
      <c r="BU47" s="779">
        <v>6263355.29</v>
      </c>
      <c r="BV47" s="779">
        <f>IFERROR(VLOOKUP($B47-1,CDM!$V$4:$AJ$17,14,FALSE)/12,0)+IFERROR(VLOOKUP($B47,CDM!$V$41:$AJ$54,14,FALSE)/24,0)+IFERROR(VLOOKUP($B47,CDM!$V$41:$AJ$54,14,FALSE)/2*$C47/78,0)</f>
        <v>255465.2033563226</v>
      </c>
      <c r="BW47" s="779">
        <f t="shared" si="21"/>
        <v>6518820.4933563229</v>
      </c>
      <c r="BX47" s="779">
        <f>IFERROR(HLOOKUP(B47-1,'EV Forecast WRZ'!$F$124:$T$130,5,FALSE)/12,0)+IFERROR(((HLOOKUP(B47,'EV Forecast WRZ'!$F$116:$T$122,5,FALSE)-HLOOKUP(B47-1,'EV Forecast WRZ'!$F$124:$T$130,5,FALSE)))*C47/78,0)</f>
        <v>330.51348717948713</v>
      </c>
      <c r="BY47" s="779">
        <f t="shared" si="72"/>
        <v>6518489.9798691431</v>
      </c>
      <c r="BZ47" s="779">
        <v>336639</v>
      </c>
      <c r="CA47" s="779">
        <v>2498.8235614385444</v>
      </c>
      <c r="CB47" s="5">
        <v>50319.26</v>
      </c>
      <c r="CC47" s="5">
        <v>70690.78</v>
      </c>
      <c r="CD47" s="5">
        <v>10019.69</v>
      </c>
      <c r="CE47" s="5">
        <v>774.22</v>
      </c>
      <c r="CF47" s="763">
        <f t="shared" si="120"/>
        <v>7.25</v>
      </c>
      <c r="CG47" s="785">
        <v>40208.333333333358</v>
      </c>
      <c r="CH47" s="785">
        <v>2251.3333333333348</v>
      </c>
      <c r="CI47" s="785">
        <v>375.5</v>
      </c>
      <c r="CJ47" s="785">
        <v>2.8333333333333348</v>
      </c>
      <c r="CK47" s="785">
        <v>12135.333333333339</v>
      </c>
      <c r="CL47" s="785">
        <v>37.166666666666643</v>
      </c>
      <c r="CM47" s="785">
        <v>379.5</v>
      </c>
      <c r="CN47" s="46">
        <f>Weather!C59</f>
        <v>364.80833333333339</v>
      </c>
      <c r="CO47" s="46">
        <f>Weather!D59</f>
        <v>1.6666666666665719E-2</v>
      </c>
      <c r="CP47" s="46">
        <f>Weather!E59</f>
        <v>305.10000000000002</v>
      </c>
      <c r="CQ47" s="46">
        <f>Weather!F59</f>
        <v>2.30833333333333</v>
      </c>
      <c r="CR47" s="46">
        <f>Weather!G59</f>
        <v>248.88749999999993</v>
      </c>
      <c r="CS47" s="46">
        <f>Weather!H59</f>
        <v>8.0958333333333314</v>
      </c>
      <c r="CT47" s="46">
        <f>Weather!I59</f>
        <v>194.17916666666662</v>
      </c>
      <c r="CU47" s="46">
        <f>Weather!J59</f>
        <v>15.387500000000001</v>
      </c>
      <c r="CV47" s="46">
        <f>Weather!K59</f>
        <v>142.14999999999998</v>
      </c>
      <c r="CW47" s="46">
        <f>Weather!L59</f>
        <v>25.358333333333334</v>
      </c>
      <c r="CX47" s="46">
        <f>Weather!M59</f>
        <v>96.316666666666663</v>
      </c>
      <c r="CY47" s="46">
        <f>Weather!N59</f>
        <v>41.524999999999999</v>
      </c>
      <c r="CZ47" s="46">
        <f>Weather!O59</f>
        <v>55.56666666666667</v>
      </c>
      <c r="DA47" s="46">
        <f>Weather!P59</f>
        <v>62.774999999999991</v>
      </c>
      <c r="DB47" s="368">
        <f>'Economic Data'!D61</f>
        <v>7269.1</v>
      </c>
      <c r="DC47" s="368">
        <f>'Economic Data'!E61</f>
        <v>7285.3</v>
      </c>
      <c r="DD47" s="368">
        <f>'Economic Data'!F61</f>
        <v>214.7</v>
      </c>
      <c r="DE47" s="368">
        <f>'Economic Data'!G61</f>
        <v>213</v>
      </c>
      <c r="DF47" s="368">
        <f>'Economic Data'!H61</f>
        <v>39.5</v>
      </c>
      <c r="DG47" s="368">
        <f>'Economic Data'!I61</f>
        <v>39.5</v>
      </c>
      <c r="DH47" s="368">
        <f>'Economic Data'!J61</f>
        <v>789531.6</v>
      </c>
      <c r="DI47" s="368">
        <f>'Economic Data'!K61</f>
        <v>608429.30000000005</v>
      </c>
      <c r="DJ47" s="368">
        <f>'Economic Data'!L61</f>
        <v>95137.5</v>
      </c>
      <c r="DK47" s="368">
        <f>'Economic Data'!M61</f>
        <v>31658.2</v>
      </c>
      <c r="DL47" s="368">
        <f>'Economic Data'!N61</f>
        <v>799632</v>
      </c>
      <c r="DM47" s="368">
        <f>'Economic Data'!O61</f>
        <v>96099</v>
      </c>
      <c r="DN47" s="368">
        <f>'Economic Data'!P61</f>
        <v>19929</v>
      </c>
      <c r="DO47" s="368">
        <f>'Economic Data'!Q61</f>
        <v>617505</v>
      </c>
      <c r="DP47" s="368">
        <f>'Economic Data'!R61</f>
        <v>31552</v>
      </c>
      <c r="DQ47">
        <v>31</v>
      </c>
      <c r="DR47">
        <v>22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</v>
      </c>
      <c r="EC47">
        <v>0</v>
      </c>
      <c r="ED47">
        <v>0</v>
      </c>
      <c r="EE47">
        <v>0</v>
      </c>
      <c r="EF47">
        <v>1</v>
      </c>
      <c r="EG47">
        <v>1</v>
      </c>
      <c r="EH47">
        <f t="shared" si="69"/>
        <v>46</v>
      </c>
      <c r="EI47">
        <v>0</v>
      </c>
      <c r="EJ47">
        <v>0</v>
      </c>
      <c r="EK47">
        <v>0</v>
      </c>
      <c r="EL47">
        <v>0</v>
      </c>
      <c r="EM47" s="47">
        <f t="shared" si="73"/>
        <v>0</v>
      </c>
      <c r="EN47" s="47">
        <f t="shared" si="74"/>
        <v>0</v>
      </c>
      <c r="EO47" s="47">
        <f t="shared" si="75"/>
        <v>0</v>
      </c>
      <c r="EP47" s="47">
        <f t="shared" si="76"/>
        <v>0</v>
      </c>
      <c r="EQ47" s="47">
        <f t="shared" si="77"/>
        <v>0</v>
      </c>
      <c r="ER47" s="47">
        <f t="shared" si="78"/>
        <v>0</v>
      </c>
      <c r="ES47" s="47">
        <f t="shared" si="79"/>
        <v>0</v>
      </c>
      <c r="ET47" s="47">
        <f t="shared" si="80"/>
        <v>0</v>
      </c>
      <c r="EU47" s="47">
        <f t="shared" si="81"/>
        <v>0</v>
      </c>
      <c r="EV47" s="47">
        <f t="shared" si="82"/>
        <v>0</v>
      </c>
      <c r="EW47" s="47">
        <f t="shared" si="83"/>
        <v>0</v>
      </c>
      <c r="EX47" s="47">
        <f t="shared" si="84"/>
        <v>0</v>
      </c>
      <c r="EY47" s="47">
        <f t="shared" si="85"/>
        <v>0</v>
      </c>
      <c r="EZ47" s="47">
        <f t="shared" si="86"/>
        <v>0</v>
      </c>
      <c r="FA47" s="47">
        <f t="shared" si="87"/>
        <v>0</v>
      </c>
      <c r="FB47" s="47">
        <f t="shared" si="88"/>
        <v>0</v>
      </c>
      <c r="FC47" s="47">
        <f t="shared" si="89"/>
        <v>0</v>
      </c>
      <c r="FD47" s="47">
        <f t="shared" si="90"/>
        <v>0</v>
      </c>
      <c r="FE47" s="47">
        <f t="shared" si="91"/>
        <v>0</v>
      </c>
      <c r="FF47" s="47">
        <f t="shared" si="92"/>
        <v>0</v>
      </c>
      <c r="FG47" s="47">
        <f t="shared" si="93"/>
        <v>0</v>
      </c>
      <c r="FH47" s="47">
        <f t="shared" si="94"/>
        <v>0</v>
      </c>
      <c r="FI47" s="47">
        <f t="shared" si="95"/>
        <v>0</v>
      </c>
      <c r="FJ47" s="47">
        <f t="shared" si="96"/>
        <v>0</v>
      </c>
      <c r="FK47" s="47">
        <f t="shared" si="97"/>
        <v>0</v>
      </c>
      <c r="FL47" s="47">
        <f t="shared" si="98"/>
        <v>0</v>
      </c>
      <c r="FM47" s="47">
        <f t="shared" si="99"/>
        <v>0</v>
      </c>
      <c r="FN47" s="47">
        <f t="shared" si="100"/>
        <v>0</v>
      </c>
      <c r="FO47" s="765">
        <f t="shared" si="101"/>
        <v>655.64370020320428</v>
      </c>
      <c r="FP47" s="765">
        <f t="shared" si="102"/>
        <v>573.14548877769369</v>
      </c>
      <c r="FQ47" s="765">
        <f t="shared" si="103"/>
        <v>2424.3192286486269</v>
      </c>
      <c r="FR47" s="765">
        <f t="shared" si="104"/>
        <v>78930.345111866016</v>
      </c>
      <c r="FS47" s="765">
        <f t="shared" si="105"/>
        <v>1665873.874552707</v>
      </c>
      <c r="FT47" s="765">
        <f t="shared" si="106"/>
        <v>6237347.5579246441</v>
      </c>
      <c r="FU47" s="765">
        <f t="shared" si="107"/>
        <v>48.225861174233266</v>
      </c>
      <c r="FV47" s="765">
        <f t="shared" si="108"/>
        <v>47.816719817767655</v>
      </c>
      <c r="FW47" s="765">
        <f t="shared" si="109"/>
        <v>498.62079656862744</v>
      </c>
      <c r="FX47" s="765">
        <f t="shared" si="110"/>
        <v>682.20441352110606</v>
      </c>
      <c r="FY47" s="765">
        <f t="shared" si="111"/>
        <v>3111.6562941188686</v>
      </c>
      <c r="FZ47" s="765">
        <f t="shared" si="112"/>
        <v>78160.580199430449</v>
      </c>
      <c r="GA47" s="765">
        <f t="shared" si="113"/>
        <v>118813.76470588229</v>
      </c>
      <c r="GB47" s="765">
        <f t="shared" si="114"/>
        <v>27.740399934076788</v>
      </c>
      <c r="GC47" s="765">
        <f t="shared" si="115"/>
        <v>67.232920935566256</v>
      </c>
      <c r="GD47" s="765">
        <f t="shared" si="116"/>
        <v>132.59357048748353</v>
      </c>
    </row>
    <row r="48" spans="1:186">
      <c r="A48" s="4">
        <v>43405</v>
      </c>
      <c r="B48" s="6">
        <v>2018</v>
      </c>
      <c r="C48" s="5">
        <v>11</v>
      </c>
      <c r="D48" s="7">
        <v>76196203.675051197</v>
      </c>
      <c r="E48" s="7">
        <f>IFERROR(VLOOKUP($B48-1,CDM!$V$4:$AJ$17,2,FALSE)/12,0)+IFERROR(VLOOKUP($B48,CDM!$V$41:$AJ$54,2,FALSE)/24,0)+IFERROR(VLOOKUP($B48,CDM!$V$41:$AJ$54,2,FALSE)/2*$C48/78,0)</f>
        <v>3848933.3445057822</v>
      </c>
      <c r="F48" s="7">
        <f t="shared" si="2"/>
        <v>80045137.019556984</v>
      </c>
      <c r="G48" s="7">
        <f>IFERROR(HLOOKUP(B48-1,'EV Forecast VRZ'!$F$124:$T$130,2,FALSE)/12,0)+IFERROR(((HLOOKUP(B48,'EV Forecast VRZ'!$F$116:$T$122,2,FALSE)-HLOOKUP(B48-1,'EV Forecast VRZ'!$F$124:$T$130,2,FALSE)))*C48/78,0)</f>
        <v>127371.45921913002</v>
      </c>
      <c r="H48" s="7"/>
      <c r="I48" s="7">
        <f t="shared" si="3"/>
        <v>79917765.560337856</v>
      </c>
      <c r="J48" s="7">
        <v>812048.14022999897</v>
      </c>
      <c r="K48" s="7">
        <f>IFERROR(VLOOKUP($B48-1,CDM!$V$4:$AJ$17,3,FALSE)/12,0)+IFERROR(VLOOKUP($B48,CDM!$V$41:$AJ$54,3,FALSE)/24,0)+IFERROR(VLOOKUP($B48,CDM!$V$41:$AJ$54,3,FALSE)/2*$C48/78,0)</f>
        <v>44084.926514269348</v>
      </c>
      <c r="L48" s="7">
        <f t="shared" si="4"/>
        <v>856133.06674426829</v>
      </c>
      <c r="M48" s="7">
        <f>IFERROR(HLOOKUP(B48-1,'EV Forecast VRZ'!$F$124:$T$130,3,FALSE)/12,0)+IFERROR(((HLOOKUP(B48,'EV Forecast VRZ'!$F$116:$T$122,3,FALSE)-HLOOKUP(B48-1,'EV Forecast VRZ'!$F$124:$T$130,3,FALSE)))*C48/78,0)</f>
        <v>1732.8125757417561</v>
      </c>
      <c r="N48" s="7"/>
      <c r="O48" s="7">
        <f t="shared" si="5"/>
        <v>854400.2541685265</v>
      </c>
      <c r="P48" s="7">
        <v>23030940.04532</v>
      </c>
      <c r="Q48" s="7">
        <f>IFERROR(VLOOKUP($B48-1,CDM!$V$4:$AJ$17,4,FALSE)/12,0)+IFERROR(VLOOKUP($B48,CDM!$V$41:$AJ$54,4,FALSE)/24,0)+IFERROR(VLOOKUP($B48,CDM!$V$41:$AJ$54,4,FALSE)/2*$C48/78,0)</f>
        <v>1107948.9485676759</v>
      </c>
      <c r="R48" s="7">
        <f t="shared" si="6"/>
        <v>24138888.993887678</v>
      </c>
      <c r="S48" s="7">
        <f>IFERROR(HLOOKUP(B48-1,'EV Forecast VRZ'!$F$124:$T$130,4,FALSE)/12,0)+IFERROR(((HLOOKUP(B48,'EV Forecast VRZ'!$F$116:$T$122,4,FALSE)-HLOOKUP(B48-1,'EV Forecast VRZ'!$F$124:$T$130,4,FALSE)))*C48/78,0)</f>
        <v>16260.117948717954</v>
      </c>
      <c r="T48" s="7"/>
      <c r="U48" s="7">
        <f t="shared" si="7"/>
        <v>24122628.875938959</v>
      </c>
      <c r="V48" s="7">
        <v>79256955.909999996</v>
      </c>
      <c r="W48" s="7">
        <f>IFERROR(VLOOKUP($B48-1,CDM!$V$4:$AJ$17,5,FALSE)/12,0)+IFERROR(VLOOKUP($B48,CDM!$V$41:$AJ$54,5,FALSE)/24,0)+IFERROR(VLOOKUP($B48,CDM!$V$41:$AJ$54,5,FALSE)/2*$C48/78,0)</f>
        <v>3841203.292175225</v>
      </c>
      <c r="X48" s="7">
        <f t="shared" si="8"/>
        <v>83098159.202175215</v>
      </c>
      <c r="Y48" s="7">
        <f>IFERROR(HLOOKUP(B48-1,'EV Forecast VRZ'!$F$124:$T$130,5,FALSE)/12,0)+IFERROR(((HLOOKUP(B48,'EV Forecast VRZ'!$F$116:$T$122,5,FALSE)-HLOOKUP(B48-1,'EV Forecast VRZ'!$F$124:$T$130,5,FALSE)))*C48/78,0)</f>
        <v>7403.7838461538468</v>
      </c>
      <c r="Z48" s="7"/>
      <c r="AA48" s="7">
        <f t="shared" si="9"/>
        <v>83090755.41832906</v>
      </c>
      <c r="AB48" s="7">
        <v>7571384.5700000003</v>
      </c>
      <c r="AC48" s="7">
        <f>IFERROR(VLOOKUP($B48-1,CDM!$V$4:$AJ$17,6,FALSE)/12,0)+IFERROR(VLOOKUP($B48,CDM!$V$41:$AJ$54,6,FALSE)/24,0)+IFERROR(VLOOKUP($B48,CDM!$V$41:$AJ$54,6,FALSE)/2*$C48/78,0)</f>
        <v>189330.15561335452</v>
      </c>
      <c r="AD48" s="7">
        <f t="shared" si="10"/>
        <v>7760714.7256133547</v>
      </c>
      <c r="AE48" s="7">
        <f>IFERROR(HLOOKUP(B48-1,'EV Forecast VRZ'!$F$124:$T$130,6,FALSE)/12,0)+IFERROR(((HLOOKUP(B48,'EV Forecast VRZ'!$F$116:$T$122,6,FALSE)-HLOOKUP(B48-1,'EV Forecast VRZ'!$F$124:$T$130,6,FALSE)))*C48/78,0)</f>
        <v>1159.9289743589743</v>
      </c>
      <c r="AF48" s="7">
        <f t="shared" si="11"/>
        <v>7759554.7966389954</v>
      </c>
      <c r="AG48" s="7">
        <v>20805660.75</v>
      </c>
      <c r="AH48" s="7">
        <f>IFERROR(VLOOKUP($B48-1,CDM!$V$4:$AJ$17,7,FALSE)/12,0)+IFERROR(VLOOKUP($B48,CDM!$V$41:$AJ$54,7,FALSE)/24,0)+IFERROR(VLOOKUP($B48,CDM!$V$41:$AJ$54,7,FALSE)/2*$C48/78,0)</f>
        <v>1538112.2731167739</v>
      </c>
      <c r="AI48" s="7">
        <f t="shared" si="12"/>
        <v>22343773.023116775</v>
      </c>
      <c r="AJ48" s="7">
        <f>IFERROR(HLOOKUP(B48-1,'EV Forecast VRZ'!$F$124:$T$130,7,FALSE)/12,0)+IFERROR(((HLOOKUP(B48,'EV Forecast VRZ'!$F$116:$T$122,7,FALSE)-HLOOKUP(B48-1,'EV Forecast VRZ'!$F$124:$T$130,7,FALSE)))*C48/78,0)</f>
        <v>0</v>
      </c>
      <c r="AK48" s="7">
        <f t="shared" si="13"/>
        <v>22343773.023116775</v>
      </c>
      <c r="AL48" s="7">
        <v>1534879.99</v>
      </c>
      <c r="AM48" s="7">
        <v>19788.579999999991</v>
      </c>
      <c r="AN48" s="7">
        <v>406674.35</v>
      </c>
      <c r="AO48" s="5">
        <v>183860.96</v>
      </c>
      <c r="AP48" s="5">
        <v>16774.009999999998</v>
      </c>
      <c r="AQ48" s="5">
        <v>35036</v>
      </c>
      <c r="AR48" s="5">
        <v>3405.43</v>
      </c>
      <c r="AS48" s="763">
        <f t="shared" si="119"/>
        <v>60</v>
      </c>
      <c r="AT48" s="776">
        <v>109962.5</v>
      </c>
      <c r="AU48" s="776">
        <v>1570.1666666666658</v>
      </c>
      <c r="AV48" s="776">
        <v>9126.75</v>
      </c>
      <c r="AW48" s="776">
        <v>1044.5</v>
      </c>
      <c r="AX48" s="776">
        <v>4.0833333333333366</v>
      </c>
      <c r="AY48" s="776">
        <v>3.9166666666666683</v>
      </c>
      <c r="AZ48" s="776">
        <v>31060.75</v>
      </c>
      <c r="BA48" s="776">
        <v>439</v>
      </c>
      <c r="BB48" s="776">
        <v>815.5</v>
      </c>
      <c r="BC48" s="779">
        <v>26574321.448809803</v>
      </c>
      <c r="BD48" s="779">
        <f>IFERROR(VLOOKUP($B48-1,CDM!$V$4:$AJ$17,11,FALSE)/12,0)+IFERROR(VLOOKUP($B48,CDM!$V$41:$AJ$54,11,FALSE)/24,0)+IFERROR(VLOOKUP($B48,CDM!$V$41:$AJ$54,11,FALSE)/2*$C48/78,0)</f>
        <v>1945735.3022792737</v>
      </c>
      <c r="BE48" s="779">
        <f t="shared" si="71"/>
        <v>28520056.751089077</v>
      </c>
      <c r="BF48" s="779">
        <f>IFERROR(HLOOKUP(B48-1,'EV Forecast WRZ'!$F$124:$T$130,2,FALSE)/12,0)+IFERROR(((HLOOKUP(B48,'EV Forecast WRZ'!$F$116:$T$122,2,FALSE)-HLOOKUP(B48-1,'EV Forecast WRZ'!$F$124:$T$130,2,FALSE)))*C48/78,0)</f>
        <v>36079.028333333343</v>
      </c>
      <c r="BG48" s="779"/>
      <c r="BH48" s="779">
        <f t="shared" si="15"/>
        <v>28483977.722755745</v>
      </c>
      <c r="BI48" s="779">
        <v>7379330.4980500005</v>
      </c>
      <c r="BJ48" s="779">
        <f>IFERROR(VLOOKUP($B48-1,CDM!$V$4:$AJ$17,12,FALSE)/12,0)+IFERROR(VLOOKUP($B48,CDM!$V$41:$AJ$54,12,FALSE)/24,0)+IFERROR(VLOOKUP($B48,CDM!$V$41:$AJ$54,12,FALSE)/2*$C48/78,0)</f>
        <v>196700.55626921839</v>
      </c>
      <c r="BK48" s="779">
        <f t="shared" si="16"/>
        <v>7576031.0543192187</v>
      </c>
      <c r="BL48" s="779">
        <f>IFERROR(HLOOKUP(B48-1,'EV Forecast WRZ'!$F$124:$T$130,3,FALSE)/12,0)+IFERROR(((HLOOKUP(B48,'EV Forecast WRZ'!$F$116:$T$122,3,FALSE)-HLOOKUP(B48-1,'EV Forecast WRZ'!$F$124:$T$130,3,FALSE)))*C48/78,0)</f>
        <v>4600.9264102564102</v>
      </c>
      <c r="BM48" s="779"/>
      <c r="BN48" s="779">
        <f t="shared" si="17"/>
        <v>7571430.1279089628</v>
      </c>
      <c r="BO48" s="779">
        <v>28205845.879999999</v>
      </c>
      <c r="BP48" s="779">
        <f>IFERROR(VLOOKUP($B48-1,CDM!$V$4:$AJ$17,13,FALSE)/12,0)+IFERROR(VLOOKUP($B48,CDM!$V$41:$AJ$54,13,FALSE)/24,0)+IFERROR(VLOOKUP($B48,CDM!$V$41:$AJ$54,13,FALSE)/2*$C48/78,0)</f>
        <v>1161676.5510635851</v>
      </c>
      <c r="BQ48" s="779">
        <f t="shared" si="19"/>
        <v>29367522.431063585</v>
      </c>
      <c r="BR48" s="779">
        <f>IFERROR(HLOOKUP(B48-1,'EV Forecast WRZ'!$F$124:$T$130,4,FALSE)/12,0)+IFERROR(((HLOOKUP(B48,'EV Forecast WRZ'!$F$116:$T$122,4,FALSE)-HLOOKUP(B48-1,'EV Forecast WRZ'!$F$124:$T$130,4,FALSE)))*C48/78,0)</f>
        <v>2099.2630384615386</v>
      </c>
      <c r="BS48" s="779"/>
      <c r="BT48" s="779">
        <f t="shared" si="20"/>
        <v>29365423.168025125</v>
      </c>
      <c r="BU48" s="779">
        <v>6616423.4900000002</v>
      </c>
      <c r="BV48" s="779">
        <f>IFERROR(VLOOKUP($B48-1,CDM!$V$4:$AJ$17,14,FALSE)/12,0)+IFERROR(VLOOKUP($B48,CDM!$V$41:$AJ$54,14,FALSE)/24,0)+IFERROR(VLOOKUP($B48,CDM!$V$41:$AJ$54,14,FALSE)/2*$C48/78,0)</f>
        <v>261170.62676028488</v>
      </c>
      <c r="BW48" s="779">
        <f t="shared" si="21"/>
        <v>6877594.1167602856</v>
      </c>
      <c r="BX48" s="779">
        <f>IFERROR(HLOOKUP(B48-1,'EV Forecast WRZ'!$F$124:$T$130,5,FALSE)/12,0)+IFERROR(((HLOOKUP(B48,'EV Forecast WRZ'!$F$116:$T$122,5,FALSE)-HLOOKUP(B48-1,'EV Forecast WRZ'!$F$124:$T$130,5,FALSE)))*C48/78,0)</f>
        <v>345.43093589743592</v>
      </c>
      <c r="BY48" s="779">
        <f t="shared" si="72"/>
        <v>6877248.6858243877</v>
      </c>
      <c r="BZ48" s="779">
        <v>357842.93</v>
      </c>
      <c r="CA48" s="779">
        <v>2498.8235614385444</v>
      </c>
      <c r="CB48" s="5">
        <v>50580.68</v>
      </c>
      <c r="CC48" s="5">
        <v>66426.460000000006</v>
      </c>
      <c r="CD48" s="5">
        <v>12627.27</v>
      </c>
      <c r="CE48" s="5">
        <v>777.9</v>
      </c>
      <c r="CF48" s="763">
        <f t="shared" si="120"/>
        <v>7.25</v>
      </c>
      <c r="CG48" s="785">
        <v>40240.166666666693</v>
      </c>
      <c r="CH48" s="785">
        <v>2252.6666666666683</v>
      </c>
      <c r="CI48" s="785">
        <v>376.25</v>
      </c>
      <c r="CJ48" s="785">
        <v>2.9166666666666683</v>
      </c>
      <c r="CK48" s="785">
        <v>12158.666666666673</v>
      </c>
      <c r="CL48" s="785">
        <v>37.083333333333307</v>
      </c>
      <c r="CM48" s="785">
        <v>380.25</v>
      </c>
      <c r="CN48" s="46">
        <f>Weather!C60</f>
        <v>563.52499999999998</v>
      </c>
      <c r="CO48" s="46">
        <f>Weather!D60</f>
        <v>0</v>
      </c>
      <c r="CP48" s="46">
        <f>Weather!E60</f>
        <v>503.52500000000003</v>
      </c>
      <c r="CQ48" s="46">
        <f>Weather!F60</f>
        <v>0</v>
      </c>
      <c r="CR48" s="46">
        <f>Weather!G60</f>
        <v>443.52500000000003</v>
      </c>
      <c r="CS48" s="46">
        <f>Weather!H60</f>
        <v>0</v>
      </c>
      <c r="CT48" s="46">
        <f>Weather!I60</f>
        <v>383.52500000000003</v>
      </c>
      <c r="CU48" s="46">
        <f>Weather!J60</f>
        <v>0</v>
      </c>
      <c r="CV48" s="46">
        <f>Weather!K60</f>
        <v>323.52500000000003</v>
      </c>
      <c r="CW48" s="46">
        <f>Weather!L60</f>
        <v>0</v>
      </c>
      <c r="CX48" s="46">
        <f>Weather!M60</f>
        <v>263.86666666666662</v>
      </c>
      <c r="CY48" s="46">
        <f>Weather!N60</f>
        <v>0.34166666666666856</v>
      </c>
      <c r="CZ48" s="46">
        <f>Weather!O60</f>
        <v>206.24583333333334</v>
      </c>
      <c r="DA48" s="46">
        <f>Weather!P60</f>
        <v>2.7208333333333368</v>
      </c>
      <c r="DB48" s="368">
        <f>'Economic Data'!D62</f>
        <v>7289.9</v>
      </c>
      <c r="DC48" s="368">
        <f>'Economic Data'!E62</f>
        <v>7286.3</v>
      </c>
      <c r="DD48" s="368">
        <f>'Economic Data'!F62</f>
        <v>214.8</v>
      </c>
      <c r="DE48" s="368">
        <f>'Economic Data'!G62</f>
        <v>212.5</v>
      </c>
      <c r="DF48" s="368">
        <f>'Economic Data'!H62</f>
        <v>45.9</v>
      </c>
      <c r="DG48" s="368">
        <f>'Economic Data'!I62</f>
        <v>45.9</v>
      </c>
      <c r="DH48" s="368">
        <f>'Economic Data'!J62</f>
        <v>789531.6</v>
      </c>
      <c r="DI48" s="368">
        <f>'Economic Data'!K62</f>
        <v>608429.30000000005</v>
      </c>
      <c r="DJ48" s="368">
        <f>'Economic Data'!L62</f>
        <v>95137.5</v>
      </c>
      <c r="DK48" s="368">
        <f>'Economic Data'!M62</f>
        <v>31658.2</v>
      </c>
      <c r="DL48" s="368">
        <f>'Economic Data'!N62</f>
        <v>799632</v>
      </c>
      <c r="DM48" s="368">
        <f>'Economic Data'!O62</f>
        <v>96099</v>
      </c>
      <c r="DN48" s="368">
        <f>'Economic Data'!P62</f>
        <v>19929</v>
      </c>
      <c r="DO48" s="368">
        <f>'Economic Data'!Q62</f>
        <v>617505</v>
      </c>
      <c r="DP48" s="368">
        <f>'Economic Data'!R62</f>
        <v>31552</v>
      </c>
      <c r="DQ48">
        <v>30</v>
      </c>
      <c r="DR48">
        <v>22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1</v>
      </c>
      <c r="ED48">
        <v>0</v>
      </c>
      <c r="EE48">
        <v>0</v>
      </c>
      <c r="EF48">
        <v>1</v>
      </c>
      <c r="EG48">
        <v>1</v>
      </c>
      <c r="EH48">
        <f t="shared" si="69"/>
        <v>47</v>
      </c>
      <c r="EI48">
        <v>0</v>
      </c>
      <c r="EJ48">
        <v>0</v>
      </c>
      <c r="EK48">
        <v>0</v>
      </c>
      <c r="EL48">
        <v>0</v>
      </c>
      <c r="EM48" s="47">
        <f t="shared" si="73"/>
        <v>0</v>
      </c>
      <c r="EN48" s="47">
        <f t="shared" si="74"/>
        <v>0</v>
      </c>
      <c r="EO48" s="47">
        <f t="shared" si="75"/>
        <v>0</v>
      </c>
      <c r="EP48" s="47">
        <f t="shared" si="76"/>
        <v>0</v>
      </c>
      <c r="EQ48" s="47">
        <f t="shared" si="77"/>
        <v>0</v>
      </c>
      <c r="ER48" s="47">
        <f t="shared" si="78"/>
        <v>0</v>
      </c>
      <c r="ES48" s="47">
        <f t="shared" si="79"/>
        <v>0</v>
      </c>
      <c r="ET48" s="47">
        <f t="shared" si="80"/>
        <v>0</v>
      </c>
      <c r="EU48" s="47">
        <f t="shared" si="81"/>
        <v>0</v>
      </c>
      <c r="EV48" s="47">
        <f t="shared" si="82"/>
        <v>0</v>
      </c>
      <c r="EW48" s="47">
        <f t="shared" si="83"/>
        <v>0</v>
      </c>
      <c r="EX48" s="47">
        <f t="shared" si="84"/>
        <v>0</v>
      </c>
      <c r="EY48" s="47">
        <f t="shared" si="85"/>
        <v>0</v>
      </c>
      <c r="EZ48" s="47">
        <f t="shared" si="86"/>
        <v>0</v>
      </c>
      <c r="FA48" s="47">
        <f t="shared" si="87"/>
        <v>0</v>
      </c>
      <c r="FB48" s="47">
        <f t="shared" si="88"/>
        <v>0</v>
      </c>
      <c r="FC48" s="47">
        <f t="shared" si="89"/>
        <v>0</v>
      </c>
      <c r="FD48" s="47">
        <f t="shared" si="90"/>
        <v>0</v>
      </c>
      <c r="FE48" s="47">
        <f t="shared" si="91"/>
        <v>0</v>
      </c>
      <c r="FF48" s="47">
        <f t="shared" si="92"/>
        <v>0</v>
      </c>
      <c r="FG48" s="47">
        <f t="shared" si="93"/>
        <v>0</v>
      </c>
      <c r="FH48" s="47">
        <f t="shared" si="94"/>
        <v>0</v>
      </c>
      <c r="FI48" s="47">
        <f t="shared" si="95"/>
        <v>0</v>
      </c>
      <c r="FJ48" s="47">
        <f t="shared" si="96"/>
        <v>0</v>
      </c>
      <c r="FK48" s="47">
        <f t="shared" si="97"/>
        <v>0</v>
      </c>
      <c r="FL48" s="47">
        <f t="shared" si="98"/>
        <v>0</v>
      </c>
      <c r="FM48" s="47">
        <f t="shared" si="99"/>
        <v>0</v>
      </c>
      <c r="FN48" s="47">
        <f t="shared" si="100"/>
        <v>0</v>
      </c>
      <c r="FO48" s="765">
        <f t="shared" si="101"/>
        <v>726.77290494793999</v>
      </c>
      <c r="FP48" s="765">
        <f t="shared" si="102"/>
        <v>545.24980367961075</v>
      </c>
      <c r="FQ48" s="765">
        <f t="shared" si="103"/>
        <v>2644.8504663640047</v>
      </c>
      <c r="FR48" s="765">
        <f t="shared" si="104"/>
        <v>79557.835521469809</v>
      </c>
      <c r="FS48" s="765">
        <f t="shared" si="105"/>
        <v>1900583.1981093914</v>
      </c>
      <c r="FT48" s="765">
        <f t="shared" si="106"/>
        <v>5704793.1122851316</v>
      </c>
      <c r="FU48" s="765">
        <f t="shared" si="107"/>
        <v>49.415419460251279</v>
      </c>
      <c r="FV48" s="765">
        <f t="shared" si="108"/>
        <v>45.07649202733483</v>
      </c>
      <c r="FW48" s="765">
        <f t="shared" si="109"/>
        <v>498.68099325567135</v>
      </c>
      <c r="FX48" s="765">
        <f t="shared" si="110"/>
        <v>708.74598973055265</v>
      </c>
      <c r="FY48" s="765">
        <f t="shared" si="111"/>
        <v>3363.1389705471502</v>
      </c>
      <c r="FZ48" s="765">
        <f t="shared" si="112"/>
        <v>78053.215763624146</v>
      </c>
      <c r="GA48" s="765">
        <f t="shared" si="113"/>
        <v>122689.00457142849</v>
      </c>
      <c r="GB48" s="765">
        <f t="shared" si="114"/>
        <v>29.431099627152083</v>
      </c>
      <c r="GC48" s="765">
        <f t="shared" si="115"/>
        <v>67.384006151151809</v>
      </c>
      <c r="GD48" s="765">
        <f t="shared" si="116"/>
        <v>133.01953977646286</v>
      </c>
    </row>
    <row r="49" spans="1:186">
      <c r="A49" s="4">
        <v>43435</v>
      </c>
      <c r="B49" s="6">
        <v>2018</v>
      </c>
      <c r="C49" s="5">
        <v>12</v>
      </c>
      <c r="D49" s="7">
        <v>87186092.695300102</v>
      </c>
      <c r="E49" s="7">
        <f>IFERROR(VLOOKUP($B49-1,CDM!$V$4:$AJ$17,2,FALSE)/12,0)+IFERROR(VLOOKUP($B49,CDM!$V$41:$AJ$54,2,FALSE)/24,0)+IFERROR(VLOOKUP($B49,CDM!$V$41:$AJ$54,2,FALSE)/2*$C49/78,0)</f>
        <v>3911541.3202863839</v>
      </c>
      <c r="F49" s="7">
        <f t="shared" si="2"/>
        <v>91097634.01558648</v>
      </c>
      <c r="G49" s="7">
        <f>IFERROR(HLOOKUP(B49-1,'EV Forecast VRZ'!$F$124:$T$130,2,FALSE)/12,0)+IFERROR(((HLOOKUP(B49,'EV Forecast VRZ'!$F$116:$T$122,2,FALSE)-HLOOKUP(B49-1,'EV Forecast VRZ'!$F$124:$T$130,2,FALSE)))*C49/78,0)</f>
        <v>135240.50959448429</v>
      </c>
      <c r="H49" s="7"/>
      <c r="I49" s="7">
        <f t="shared" si="3"/>
        <v>90962393.505991995</v>
      </c>
      <c r="J49" s="7">
        <v>979077.71828000003</v>
      </c>
      <c r="K49" s="7">
        <f>IFERROR(VLOOKUP($B49-1,CDM!$V$4:$AJ$17,3,FALSE)/12,0)+IFERROR(VLOOKUP($B49,CDM!$V$41:$AJ$54,3,FALSE)/24,0)+IFERROR(VLOOKUP($B49,CDM!$V$41:$AJ$54,3,FALSE)/2*$C49/78,0)</f>
        <v>44802.025971300711</v>
      </c>
      <c r="L49" s="7">
        <f t="shared" si="4"/>
        <v>1023879.7442513007</v>
      </c>
      <c r="M49" s="7">
        <f>IFERROR(HLOOKUP(B49-1,'EV Forecast VRZ'!$F$124:$T$130,3,FALSE)/12,0)+IFERROR(((HLOOKUP(B49,'EV Forecast VRZ'!$F$116:$T$122,3,FALSE)-HLOOKUP(B49-1,'EV Forecast VRZ'!$F$124:$T$130,3,FALSE)))*C49/78,0)</f>
        <v>1839.8663029515592</v>
      </c>
      <c r="N49" s="7"/>
      <c r="O49" s="7">
        <f t="shared" si="5"/>
        <v>1022039.8779483491</v>
      </c>
      <c r="P49" s="7">
        <v>24208164.144469999</v>
      </c>
      <c r="Q49" s="7">
        <f>IFERROR(VLOOKUP($B49-1,CDM!$V$4:$AJ$17,4,FALSE)/12,0)+IFERROR(VLOOKUP($B49,CDM!$V$41:$AJ$54,4,FALSE)/24,0)+IFERROR(VLOOKUP($B49,CDM!$V$41:$AJ$54,4,FALSE)/2*$C49/78,0)</f>
        <v>1131282.0225028433</v>
      </c>
      <c r="R49" s="7">
        <f t="shared" si="6"/>
        <v>25339446.166972842</v>
      </c>
      <c r="S49" s="7">
        <f>IFERROR(HLOOKUP(B49-1,'EV Forecast VRZ'!$F$124:$T$130,4,FALSE)/12,0)+IFERROR(((HLOOKUP(B49,'EV Forecast VRZ'!$F$116:$T$122,4,FALSE)-HLOOKUP(B49-1,'EV Forecast VRZ'!$F$124:$T$130,4,FALSE)))*C49/78,0)</f>
        <v>17264.998974358979</v>
      </c>
      <c r="T49" s="7"/>
      <c r="U49" s="7">
        <f t="shared" si="7"/>
        <v>25322181.167998482</v>
      </c>
      <c r="V49" s="7">
        <v>77194203.629999995</v>
      </c>
      <c r="W49" s="7">
        <f>IFERROR(VLOOKUP($B49-1,CDM!$V$4:$AJ$17,5,FALSE)/12,0)+IFERROR(VLOOKUP($B49,CDM!$V$41:$AJ$54,5,FALSE)/24,0)+IFERROR(VLOOKUP($B49,CDM!$V$41:$AJ$54,5,FALSE)/2*$C49/78,0)</f>
        <v>3913035.9871148616</v>
      </c>
      <c r="X49" s="7">
        <f t="shared" si="8"/>
        <v>81107239.617114857</v>
      </c>
      <c r="Y49" s="7">
        <f>IFERROR(HLOOKUP(B49-1,'EV Forecast VRZ'!$F$124:$T$130,5,FALSE)/12,0)+IFERROR(((HLOOKUP(B49,'EV Forecast VRZ'!$F$116:$T$122,5,FALSE)-HLOOKUP(B49-1,'EV Forecast VRZ'!$F$124:$T$130,5,FALSE)))*C49/78,0)</f>
        <v>7861.3649230769242</v>
      </c>
      <c r="Z49" s="7"/>
      <c r="AA49" s="7">
        <f t="shared" si="9"/>
        <v>81099378.252191782</v>
      </c>
      <c r="AB49" s="7">
        <v>7362852.8700000001</v>
      </c>
      <c r="AC49" s="7">
        <f>IFERROR(VLOOKUP($B49-1,CDM!$V$4:$AJ$17,6,FALSE)/12,0)+IFERROR(VLOOKUP($B49,CDM!$V$41:$AJ$54,6,FALSE)/24,0)+IFERROR(VLOOKUP($B49,CDM!$V$41:$AJ$54,6,FALSE)/2*$C49/78,0)</f>
        <v>194599.24725709236</v>
      </c>
      <c r="AD49" s="7">
        <f t="shared" si="10"/>
        <v>7557452.1172570921</v>
      </c>
      <c r="AE49" s="7">
        <f>IFERROR(HLOOKUP(B49-1,'EV Forecast VRZ'!$F$124:$T$130,6,FALSE)/12,0)+IFERROR(((HLOOKUP(B49,'EV Forecast VRZ'!$F$116:$T$122,6,FALSE)-HLOOKUP(B49-1,'EV Forecast VRZ'!$F$124:$T$130,6,FALSE)))*C49/78,0)</f>
        <v>1231.7114871794872</v>
      </c>
      <c r="AF49" s="7">
        <f t="shared" si="11"/>
        <v>7556220.4057699125</v>
      </c>
      <c r="AG49" s="7">
        <v>20948568.609999999</v>
      </c>
      <c r="AH49" s="7">
        <f>IFERROR(VLOOKUP($B49-1,CDM!$V$4:$AJ$17,7,FALSE)/12,0)+IFERROR(VLOOKUP($B49,CDM!$V$41:$AJ$54,7,FALSE)/24,0)+IFERROR(VLOOKUP($B49,CDM!$V$41:$AJ$54,7,FALSE)/2*$C49/78,0)</f>
        <v>1579071.8708557365</v>
      </c>
      <c r="AI49" s="7">
        <f t="shared" si="12"/>
        <v>22527640.480855737</v>
      </c>
      <c r="AJ49" s="7">
        <f>IFERROR(HLOOKUP(B49-1,'EV Forecast VRZ'!$F$124:$T$130,7,FALSE)/12,0)+IFERROR(((HLOOKUP(B49,'EV Forecast VRZ'!$F$116:$T$122,7,FALSE)-HLOOKUP(B49-1,'EV Forecast VRZ'!$F$124:$T$130,7,FALSE)))*C49/78,0)</f>
        <v>0</v>
      </c>
      <c r="AK49" s="7">
        <f t="shared" si="13"/>
        <v>22527640.480855737</v>
      </c>
      <c r="AL49" s="7">
        <v>1652359.94</v>
      </c>
      <c r="AM49" s="7">
        <v>18434.7</v>
      </c>
      <c r="AN49" s="7">
        <v>405729.94</v>
      </c>
      <c r="AO49" s="5">
        <v>180204.19</v>
      </c>
      <c r="AP49" s="5">
        <v>16963.09</v>
      </c>
      <c r="AQ49" s="5">
        <v>35017</v>
      </c>
      <c r="AR49" s="5">
        <v>3390.15</v>
      </c>
      <c r="AS49" s="763">
        <f t="shared" si="119"/>
        <v>60</v>
      </c>
      <c r="AT49" s="776">
        <v>110072</v>
      </c>
      <c r="AU49" s="776">
        <v>1570</v>
      </c>
      <c r="AV49" s="776">
        <v>9135</v>
      </c>
      <c r="AW49" s="776">
        <v>1041</v>
      </c>
      <c r="AX49" s="776">
        <v>4</v>
      </c>
      <c r="AY49" s="776">
        <v>4</v>
      </c>
      <c r="AZ49" s="776">
        <v>31097</v>
      </c>
      <c r="BA49" s="776">
        <v>439</v>
      </c>
      <c r="BB49" s="776">
        <v>815</v>
      </c>
      <c r="BC49" s="779">
        <v>30370798.458409801</v>
      </c>
      <c r="BD49" s="779">
        <f>IFERROR(VLOOKUP($B49-1,CDM!$V$4:$AJ$17,11,FALSE)/12,0)+IFERROR(VLOOKUP($B49,CDM!$V$41:$AJ$54,11,FALSE)/24,0)+IFERROR(VLOOKUP($B49,CDM!$V$41:$AJ$54,11,FALSE)/2*$C49/78,0)</f>
        <v>1975339.1623506276</v>
      </c>
      <c r="BE49" s="779">
        <f t="shared" si="71"/>
        <v>32346137.62076043</v>
      </c>
      <c r="BF49" s="779">
        <f>IFERROR(HLOOKUP(B49-1,'EV Forecast WRZ'!$F$124:$T$130,2,FALSE)/12,0)+IFERROR(((HLOOKUP(B49,'EV Forecast WRZ'!$F$116:$T$122,2,FALSE)-HLOOKUP(B49-1,'EV Forecast WRZ'!$F$124:$T$130,2,FALSE)))*C49/78,0)</f>
        <v>38162.110000000008</v>
      </c>
      <c r="BG49" s="779"/>
      <c r="BH49" s="779">
        <f t="shared" si="15"/>
        <v>32307975.51076043</v>
      </c>
      <c r="BI49" s="779">
        <v>7715313.8120600097</v>
      </c>
      <c r="BJ49" s="779">
        <f>IFERROR(VLOOKUP($B49-1,CDM!$V$4:$AJ$17,12,FALSE)/12,0)+IFERROR(VLOOKUP($B49,CDM!$V$41:$AJ$54,12,FALSE)/24,0)+IFERROR(VLOOKUP($B49,CDM!$V$41:$AJ$54,12,FALSE)/2*$C49/78,0)</f>
        <v>200062.43383214233</v>
      </c>
      <c r="BK49" s="779">
        <f t="shared" si="16"/>
        <v>7915376.2458921522</v>
      </c>
      <c r="BL49" s="779">
        <f>IFERROR(HLOOKUP(B49-1,'EV Forecast WRZ'!$F$124:$T$130,3,FALSE)/12,0)+IFERROR(((HLOOKUP(B49,'EV Forecast WRZ'!$F$116:$T$122,3,FALSE)-HLOOKUP(B49-1,'EV Forecast WRZ'!$F$124:$T$130,3,FALSE)))*C49/78,0)</f>
        <v>4853.1215384615389</v>
      </c>
      <c r="BM49" s="779"/>
      <c r="BN49" s="779">
        <f t="shared" si="17"/>
        <v>7910523.124353691</v>
      </c>
      <c r="BO49" s="779">
        <v>28576716.329999998</v>
      </c>
      <c r="BP49" s="779">
        <f>IFERROR(VLOOKUP($B49-1,CDM!$V$4:$AJ$17,13,FALSE)/12,0)+IFERROR(VLOOKUP($B49,CDM!$V$41:$AJ$54,13,FALSE)/24,0)+IFERROR(VLOOKUP($B49,CDM!$V$41:$AJ$54,13,FALSE)/2*$C49/78,0)</f>
        <v>1187054.0472410391</v>
      </c>
      <c r="BQ49" s="779">
        <f t="shared" si="19"/>
        <v>29763770.377241038</v>
      </c>
      <c r="BR49" s="779">
        <f>IFERROR(HLOOKUP(B49-1,'EV Forecast WRZ'!$F$124:$T$130,4,FALSE)/12,0)+IFERROR(((HLOOKUP(B49,'EV Forecast WRZ'!$F$116:$T$122,4,FALSE)-HLOOKUP(B49-1,'EV Forecast WRZ'!$F$124:$T$130,4,FALSE)))*C49/78,0)</f>
        <v>2213.3277692307693</v>
      </c>
      <c r="BS49" s="779"/>
      <c r="BT49" s="779">
        <f t="shared" si="20"/>
        <v>29761557.049471807</v>
      </c>
      <c r="BU49" s="779">
        <v>6827053.6200000001</v>
      </c>
      <c r="BV49" s="779">
        <f>IFERROR(VLOOKUP($B49-1,CDM!$V$4:$AJ$17,14,FALSE)/12,0)+IFERROR(VLOOKUP($B49,CDM!$V$41:$AJ$54,14,FALSE)/24,0)+IFERROR(VLOOKUP($B49,CDM!$V$41:$AJ$54,14,FALSE)/2*$C49/78,0)</f>
        <v>266876.05016424716</v>
      </c>
      <c r="BW49" s="779">
        <f t="shared" si="21"/>
        <v>7093929.670164247</v>
      </c>
      <c r="BX49" s="779">
        <f>IFERROR(HLOOKUP(B49-1,'EV Forecast WRZ'!$F$124:$T$130,5,FALSE)/12,0)+IFERROR(((HLOOKUP(B49,'EV Forecast WRZ'!$F$116:$T$122,5,FALSE)-HLOOKUP(B49-1,'EV Forecast WRZ'!$F$124:$T$130,5,FALSE)))*C49/78,0)</f>
        <v>360.34838461538459</v>
      </c>
      <c r="BY49" s="779">
        <f t="shared" si="72"/>
        <v>7093569.321779632</v>
      </c>
      <c r="BZ49" s="779">
        <v>371712.88</v>
      </c>
      <c r="CA49" s="779">
        <v>2498.8235614385444</v>
      </c>
      <c r="CB49" s="5">
        <v>50057.96</v>
      </c>
      <c r="CC49" s="5">
        <v>64835.09</v>
      </c>
      <c r="CD49" s="5">
        <v>12886.22</v>
      </c>
      <c r="CE49" s="5">
        <v>746.12</v>
      </c>
      <c r="CF49" s="763">
        <f t="shared" si="120"/>
        <v>7.25</v>
      </c>
      <c r="CG49" s="785">
        <v>40272</v>
      </c>
      <c r="CH49" s="785">
        <v>2254</v>
      </c>
      <c r="CI49" s="785">
        <v>377</v>
      </c>
      <c r="CJ49" s="785">
        <v>3</v>
      </c>
      <c r="CK49" s="785">
        <v>12182</v>
      </c>
      <c r="CL49" s="785">
        <v>37</v>
      </c>
      <c r="CM49" s="785">
        <v>381</v>
      </c>
      <c r="CN49" s="46">
        <f>Weather!C61</f>
        <v>646.91666666666663</v>
      </c>
      <c r="CO49" s="46">
        <f>Weather!D61</f>
        <v>0</v>
      </c>
      <c r="CP49" s="46">
        <f>Weather!E61</f>
        <v>584.91666666666663</v>
      </c>
      <c r="CQ49" s="46">
        <f>Weather!F61</f>
        <v>0</v>
      </c>
      <c r="CR49" s="46">
        <f>Weather!G61</f>
        <v>522.91666666666663</v>
      </c>
      <c r="CS49" s="46">
        <f>Weather!H61</f>
        <v>0</v>
      </c>
      <c r="CT49" s="46">
        <f>Weather!I61</f>
        <v>460.91666666666657</v>
      </c>
      <c r="CU49" s="46">
        <f>Weather!J61</f>
        <v>0</v>
      </c>
      <c r="CV49" s="46">
        <f>Weather!K61</f>
        <v>398.91666666666657</v>
      </c>
      <c r="CW49" s="46">
        <f>Weather!L61</f>
        <v>0</v>
      </c>
      <c r="CX49" s="46">
        <f>Weather!M61</f>
        <v>336.91666666666657</v>
      </c>
      <c r="CY49" s="46">
        <f>Weather!N61</f>
        <v>0</v>
      </c>
      <c r="CZ49" s="46">
        <f>Weather!O61</f>
        <v>274.91666666666663</v>
      </c>
      <c r="DA49" s="46">
        <f>Weather!P61</f>
        <v>0</v>
      </c>
      <c r="DB49" s="368">
        <f>'Economic Data'!D63</f>
        <v>7296.4</v>
      </c>
      <c r="DC49" s="368">
        <f>'Economic Data'!E63</f>
        <v>7306.9</v>
      </c>
      <c r="DD49" s="368">
        <f>'Economic Data'!F63</f>
        <v>214.1</v>
      </c>
      <c r="DE49" s="368">
        <f>'Economic Data'!G63</f>
        <v>211.9</v>
      </c>
      <c r="DF49" s="368">
        <f>'Economic Data'!H63</f>
        <v>51.7</v>
      </c>
      <c r="DG49" s="368">
        <f>'Economic Data'!I63</f>
        <v>51.7</v>
      </c>
      <c r="DH49" s="368">
        <f>'Economic Data'!J63</f>
        <v>789531.6</v>
      </c>
      <c r="DI49" s="368">
        <f>'Economic Data'!K63</f>
        <v>608429.30000000005</v>
      </c>
      <c r="DJ49" s="368">
        <f>'Economic Data'!L63</f>
        <v>95137.5</v>
      </c>
      <c r="DK49" s="368">
        <f>'Economic Data'!M63</f>
        <v>31658.2</v>
      </c>
      <c r="DL49" s="368">
        <f>'Economic Data'!N63</f>
        <v>799632</v>
      </c>
      <c r="DM49" s="368">
        <f>'Economic Data'!O63</f>
        <v>96099</v>
      </c>
      <c r="DN49" s="368">
        <f>'Economic Data'!P63</f>
        <v>19929</v>
      </c>
      <c r="DO49" s="368">
        <f>'Economic Data'!Q63</f>
        <v>617505</v>
      </c>
      <c r="DP49" s="368">
        <f>'Economic Data'!R63</f>
        <v>31552</v>
      </c>
      <c r="DQ49">
        <v>31</v>
      </c>
      <c r="DR49">
        <v>19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1</v>
      </c>
      <c r="EE49">
        <v>0</v>
      </c>
      <c r="EF49">
        <v>0</v>
      </c>
      <c r="EG49">
        <v>0</v>
      </c>
      <c r="EH49">
        <f t="shared" si="69"/>
        <v>48</v>
      </c>
      <c r="EI49">
        <v>0</v>
      </c>
      <c r="EJ49">
        <v>0</v>
      </c>
      <c r="EK49">
        <v>0</v>
      </c>
      <c r="EL49">
        <v>0</v>
      </c>
      <c r="EM49" s="47">
        <f t="shared" si="73"/>
        <v>0</v>
      </c>
      <c r="EN49" s="47">
        <f t="shared" si="74"/>
        <v>0</v>
      </c>
      <c r="EO49" s="47">
        <f t="shared" si="75"/>
        <v>0</v>
      </c>
      <c r="EP49" s="47">
        <f t="shared" si="76"/>
        <v>0</v>
      </c>
      <c r="EQ49" s="47">
        <f t="shared" si="77"/>
        <v>0</v>
      </c>
      <c r="ER49" s="47">
        <f t="shared" si="78"/>
        <v>0</v>
      </c>
      <c r="ES49" s="47">
        <f t="shared" si="79"/>
        <v>0</v>
      </c>
      <c r="ET49" s="47">
        <f t="shared" si="80"/>
        <v>0</v>
      </c>
      <c r="EU49" s="47">
        <f t="shared" si="81"/>
        <v>0</v>
      </c>
      <c r="EV49" s="47">
        <f t="shared" si="82"/>
        <v>0</v>
      </c>
      <c r="EW49" s="47">
        <f t="shared" si="83"/>
        <v>0</v>
      </c>
      <c r="EX49" s="47">
        <f t="shared" si="84"/>
        <v>0</v>
      </c>
      <c r="EY49" s="47">
        <f t="shared" si="85"/>
        <v>0</v>
      </c>
      <c r="EZ49" s="47">
        <f t="shared" si="86"/>
        <v>0</v>
      </c>
      <c r="FA49" s="47">
        <f t="shared" si="87"/>
        <v>0</v>
      </c>
      <c r="FB49" s="47">
        <f t="shared" si="88"/>
        <v>0</v>
      </c>
      <c r="FC49" s="47">
        <f t="shared" si="89"/>
        <v>0</v>
      </c>
      <c r="FD49" s="47">
        <f t="shared" si="90"/>
        <v>0</v>
      </c>
      <c r="FE49" s="47">
        <f t="shared" si="91"/>
        <v>0</v>
      </c>
      <c r="FF49" s="47">
        <f t="shared" si="92"/>
        <v>0</v>
      </c>
      <c r="FG49" s="47">
        <f t="shared" si="93"/>
        <v>0</v>
      </c>
      <c r="FH49" s="47">
        <f t="shared" si="94"/>
        <v>0</v>
      </c>
      <c r="FI49" s="47">
        <f t="shared" si="95"/>
        <v>0</v>
      </c>
      <c r="FJ49" s="47">
        <f t="shared" si="96"/>
        <v>0</v>
      </c>
      <c r="FK49" s="47">
        <f t="shared" si="97"/>
        <v>0</v>
      </c>
      <c r="FL49" s="47">
        <f t="shared" si="98"/>
        <v>0</v>
      </c>
      <c r="FM49" s="47">
        <f t="shared" si="99"/>
        <v>0</v>
      </c>
      <c r="FN49" s="47">
        <f t="shared" si="100"/>
        <v>0</v>
      </c>
      <c r="FO49" s="765">
        <f t="shared" si="101"/>
        <v>826.38994027538331</v>
      </c>
      <c r="FP49" s="765">
        <f t="shared" si="102"/>
        <v>652.15270334477748</v>
      </c>
      <c r="FQ49" s="765">
        <f t="shared" si="103"/>
        <v>2773.885732564077</v>
      </c>
      <c r="FR49" s="765">
        <f t="shared" si="104"/>
        <v>77912.814233539728</v>
      </c>
      <c r="FS49" s="765">
        <f t="shared" si="105"/>
        <v>1889363.029314273</v>
      </c>
      <c r="FT49" s="765">
        <f t="shared" si="106"/>
        <v>5631910.1202139342</v>
      </c>
      <c r="FU49" s="765">
        <f t="shared" si="107"/>
        <v>53.135670321896001</v>
      </c>
      <c r="FV49" s="765">
        <f t="shared" si="108"/>
        <v>41.992482915717538</v>
      </c>
      <c r="FW49" s="765">
        <f t="shared" si="109"/>
        <v>497.82814723926379</v>
      </c>
      <c r="FX49" s="765">
        <f t="shared" si="110"/>
        <v>803.19173670938687</v>
      </c>
      <c r="FY49" s="765">
        <f t="shared" si="111"/>
        <v>3511.7019724454981</v>
      </c>
      <c r="FZ49" s="765">
        <f t="shared" si="112"/>
        <v>78948.993043079681</v>
      </c>
      <c r="GA49" s="765">
        <f t="shared" si="113"/>
        <v>123904.29333333333</v>
      </c>
      <c r="GB49" s="765">
        <f t="shared" si="114"/>
        <v>30.513288458381219</v>
      </c>
      <c r="GC49" s="765">
        <f t="shared" si="115"/>
        <v>67.535771930771475</v>
      </c>
      <c r="GD49" s="765">
        <f t="shared" si="116"/>
        <v>131.3857217847769</v>
      </c>
    </row>
    <row r="50" spans="1:186">
      <c r="A50" s="4">
        <v>43466</v>
      </c>
      <c r="B50" s="6">
        <v>2019</v>
      </c>
      <c r="C50" s="5">
        <v>1</v>
      </c>
      <c r="D50" s="7">
        <v>93869856.192049995</v>
      </c>
      <c r="E50" s="7">
        <f>IFERROR(VLOOKUP($B50-1,CDM!$V$4:$AJ$17,2,FALSE)/12,0)+IFERROR(VLOOKUP($B50,CDM!$V$41:$AJ$54,2,FALSE)/24,0)+IFERROR(VLOOKUP($B50,CDM!$V$41:$AJ$54,2,FALSE)/2*$C50/78,0)</f>
        <v>3712868.8612113632</v>
      </c>
      <c r="F50" s="7">
        <f t="shared" si="2"/>
        <v>97582725.053261355</v>
      </c>
      <c r="G50" s="7">
        <f>IFERROR(HLOOKUP(B50-1,'EV Forecast VRZ'!$F$124:$T$130,2,FALSE)/12,0)+IFERROR(((HLOOKUP(B50,'EV Forecast VRZ'!$F$116:$T$122,2,FALSE)-HLOOKUP(B50-1,'EV Forecast VRZ'!$F$124:$T$130,2,FALSE)))*C50/78,0)</f>
        <v>147237.57009013605</v>
      </c>
      <c r="H50" s="7">
        <f ca="1">HLOOKUP(B50,Heating!$C$102:$O$106,2,FALSE)*INDEX(Weather!$BO$1:$CB$20,MATCH(B50,Weather!$BO$1:$BO$20,0),MATCH(C50,Weather!$BO$1:$CB$1,0))/VLOOKUP(B50,Weather!$BO$2:$CB$20,14,FALSE)*
VLOOKUP('Monthly Data'!$B50,Weather!$BO$3:$CB$20,14,FALSE)/Weather!$CB$14</f>
        <v>146807.61407578114</v>
      </c>
      <c r="I50" s="7">
        <f t="shared" ca="1" si="3"/>
        <v>97288679.869095445</v>
      </c>
      <c r="J50" s="7">
        <v>1193067.1240099999</v>
      </c>
      <c r="K50" s="7">
        <f>IFERROR(VLOOKUP($B50-1,CDM!$V$4:$AJ$17,3,FALSE)/12,0)+IFERROR(VLOOKUP($B50,CDM!$V$41:$AJ$54,3,FALSE)/24,0)+IFERROR(VLOOKUP($B50,CDM!$V$41:$AJ$54,3,FALSE)/2*$C50/78,0)</f>
        <v>42526.47064862051</v>
      </c>
      <c r="L50" s="7">
        <f t="shared" si="4"/>
        <v>1235593.5946586204</v>
      </c>
      <c r="M50" s="7">
        <f>IFERROR(HLOOKUP(B50-1,'EV Forecast VRZ'!$F$124:$T$130,3,FALSE)/12,0)+IFERROR(((HLOOKUP(B50,'EV Forecast VRZ'!$F$116:$T$122,3,FALSE)-HLOOKUP(B50-1,'EV Forecast VRZ'!$F$124:$T$130,3,FALSE)))*C50/78,0)</f>
        <v>2003.0791406331555</v>
      </c>
      <c r="N50" s="7">
        <f ca="1">HLOOKUP(B50,Heating!$C$102:$O$106,3,FALSE)*INDEX(Weather!$BO$1:$CB$20,MATCH(B50,Weather!$BO$1:$BO$20,0),MATCH(C50,Weather!$BO$1:$CB$1,0))/VLOOKUP(B50,Weather!$BO$2:$CB$20,14,FALSE)*
VLOOKUP('Monthly Data'!$B50,Weather!$BO$3:$CB$20,14,FALSE)/Weather!$CB$14</f>
        <v>2070.750316094362</v>
      </c>
      <c r="O50" s="7">
        <f t="shared" ca="1" si="5"/>
        <v>1231519.7652018929</v>
      </c>
      <c r="P50" s="7">
        <v>27050404.437539898</v>
      </c>
      <c r="Q50" s="7">
        <f>IFERROR(VLOOKUP($B50-1,CDM!$V$4:$AJ$17,4,FALSE)/12,0)+IFERROR(VLOOKUP($B50,CDM!$V$41:$AJ$54,4,FALSE)/24,0)+IFERROR(VLOOKUP($B50,CDM!$V$41:$AJ$54,4,FALSE)/2*$C50/78,0)</f>
        <v>1149390.4922258593</v>
      </c>
      <c r="R50" s="7">
        <f t="shared" si="6"/>
        <v>28199794.929765757</v>
      </c>
      <c r="S50" s="7">
        <f>IFERROR(HLOOKUP(B50-1,'EV Forecast VRZ'!$F$124:$T$130,4,FALSE)/12,0)+IFERROR(((HLOOKUP(B50,'EV Forecast VRZ'!$F$116:$T$122,4,FALSE)-HLOOKUP(B50-1,'EV Forecast VRZ'!$F$124:$T$130,4,FALSE)))*C50/78,0)</f>
        <v>18764.510769230772</v>
      </c>
      <c r="T50" s="7">
        <f ca="1">HLOOKUP(B50,Heating!$C$102:$O$106,4,FALSE)*INDEX(Weather!$BO$1:$CB$20,MATCH(B50,Weather!$BO$1:$BO$20,0),MATCH(C50,Weather!$BO$1:$CB$1,0))/VLOOKUP(B50,Weather!$BO$2:$CB$20,14,FALSE)*
VLOOKUP('Monthly Data'!$B50,Weather!$BO$3:$CB$20,14,FALSE)/Weather!$CB$14</f>
        <v>37437.892827103271</v>
      </c>
      <c r="U50" s="7">
        <f t="shared" ca="1" si="7"/>
        <v>28143592.526169423</v>
      </c>
      <c r="V50" s="7">
        <v>85943722.299999997</v>
      </c>
      <c r="W50" s="7">
        <f>IFERROR(VLOOKUP($B50-1,CDM!$V$4:$AJ$17,5,FALSE)/12,0)+IFERROR(VLOOKUP($B50,CDM!$V$41:$AJ$54,5,FALSE)/24,0)+IFERROR(VLOOKUP($B50,CDM!$V$41:$AJ$54,5,FALSE)/2*$C50/78,0)</f>
        <v>4044168.3429999156</v>
      </c>
      <c r="X50" s="7">
        <f t="shared" si="8"/>
        <v>89987890.642999917</v>
      </c>
      <c r="Y50" s="7">
        <f>IFERROR(HLOOKUP(B50-1,'EV Forecast VRZ'!$F$124:$T$130,5,FALSE)/12,0)+IFERROR(((HLOOKUP(B50,'EV Forecast VRZ'!$F$116:$T$122,5,FALSE)-HLOOKUP(B50-1,'EV Forecast VRZ'!$F$124:$T$130,5,FALSE)))*C50/78,0)</f>
        <v>8541.7221538461545</v>
      </c>
      <c r="Z50" s="7">
        <f ca="1">HLOOKUP(B50,Heating!$C$102:$O$106,5,FALSE)*INDEX(Weather!$BO$1:$CB$20,MATCH(B50,Weather!$BO$1:$BO$20,0),MATCH(C50,Weather!$BO$1:$CB$1,0))/VLOOKUP(B50,Weather!$BO$2:$CB$20,14,FALSE)*
VLOOKUP('Monthly Data'!$B50,Weather!$BO$3:$CB$20,14,FALSE)/Weather!$CB$14</f>
        <v>22079.116418653331</v>
      </c>
      <c r="AA50" s="7">
        <f t="shared" ca="1" si="9"/>
        <v>89957269.804427415</v>
      </c>
      <c r="AB50" s="7">
        <v>7763594.7400000002</v>
      </c>
      <c r="AC50" s="7">
        <f>IFERROR(VLOOKUP($B50-1,CDM!$V$4:$AJ$17,6,FALSE)/12,0)+IFERROR(VLOOKUP($B50,CDM!$V$41:$AJ$54,6,FALSE)/24,0)+IFERROR(VLOOKUP($B50,CDM!$V$41:$AJ$54,6,FALSE)/2*$C50/78,0)</f>
        <v>191381.87997197424</v>
      </c>
      <c r="AD50" s="7">
        <f t="shared" si="10"/>
        <v>7954976.6199719748</v>
      </c>
      <c r="AE50" s="7">
        <f>IFERROR(HLOOKUP(B50-1,'EV Forecast VRZ'!$F$124:$T$130,6,FALSE)/12,0)+IFERROR(((HLOOKUP(B50,'EV Forecast VRZ'!$F$116:$T$122,6,FALSE)-HLOOKUP(B50-1,'EV Forecast VRZ'!$F$124:$T$130,6,FALSE)))*C50/78,0)</f>
        <v>1328.9947692307692</v>
      </c>
      <c r="AF50" s="7">
        <f t="shared" si="11"/>
        <v>7953647.6252027443</v>
      </c>
      <c r="AG50" s="7">
        <v>21780539.02</v>
      </c>
      <c r="AH50" s="7">
        <f>IFERROR(VLOOKUP($B50-1,CDM!$V$4:$AJ$17,7,FALSE)/12,0)+IFERROR(VLOOKUP($B50,CDM!$V$41:$AJ$54,7,FALSE)/24,0)+IFERROR(VLOOKUP($B50,CDM!$V$41:$AJ$54,7,FALSE)/2*$C50/78,0)</f>
        <v>1474148.7132283004</v>
      </c>
      <c r="AI50" s="7">
        <f t="shared" si="12"/>
        <v>23254687.7332283</v>
      </c>
      <c r="AJ50" s="7">
        <f>IFERROR(HLOOKUP(B50-1,'EV Forecast VRZ'!$F$124:$T$130,7,FALSE)/12,0)+IFERROR(((HLOOKUP(B50,'EV Forecast VRZ'!$F$116:$T$122,7,FALSE)-HLOOKUP(B50-1,'EV Forecast VRZ'!$F$124:$T$130,7,FALSE)))*C50/78,0)</f>
        <v>0</v>
      </c>
      <c r="AK50" s="7">
        <f t="shared" si="13"/>
        <v>23254687.7332283</v>
      </c>
      <c r="AL50" s="7">
        <v>1627487.58</v>
      </c>
      <c r="AM50" s="7">
        <v>20786.260000000006</v>
      </c>
      <c r="AN50" s="7">
        <v>405306.46</v>
      </c>
      <c r="AO50" s="5">
        <v>189782.23</v>
      </c>
      <c r="AP50" s="5">
        <v>17187.43</v>
      </c>
      <c r="AQ50" s="5">
        <v>36707</v>
      </c>
      <c r="AR50" s="5">
        <v>3415.01</v>
      </c>
      <c r="AS50" s="763">
        <f>629/12</f>
        <v>52.416666666666664</v>
      </c>
      <c r="AT50" s="776">
        <v>110208.75</v>
      </c>
      <c r="AU50" s="776">
        <v>1569.25</v>
      </c>
      <c r="AV50" s="776">
        <v>9146.0833333333339</v>
      </c>
      <c r="AW50" s="776">
        <v>1039.1666666666667</v>
      </c>
      <c r="AX50" s="776">
        <v>4</v>
      </c>
      <c r="AY50" s="776">
        <v>4</v>
      </c>
      <c r="AZ50" s="776">
        <v>31104.083333333332</v>
      </c>
      <c r="BA50" s="776">
        <v>424.08333333333331</v>
      </c>
      <c r="BB50" s="776">
        <v>814.08333333333337</v>
      </c>
      <c r="BC50" s="779">
        <v>31054548.051879998</v>
      </c>
      <c r="BD50" s="779">
        <f>IFERROR(VLOOKUP($B50-1,CDM!$V$4:$AJ$17,11,FALSE)/12,0)+IFERROR(VLOOKUP($B50,CDM!$V$41:$AJ$54,11,FALSE)/24,0)+IFERROR(VLOOKUP($B50,CDM!$V$41:$AJ$54,11,FALSE)/2*$C50/78,0)</f>
        <v>1874014.5533875346</v>
      </c>
      <c r="BE50" s="779">
        <f t="shared" si="71"/>
        <v>32928562.605267532</v>
      </c>
      <c r="BF50" s="779">
        <f>IFERROR(HLOOKUP(B50-1,'EV Forecast WRZ'!$F$124:$T$130,2,FALSE)/12,0)+IFERROR(((HLOOKUP(B50,'EV Forecast WRZ'!$F$116:$T$122,2,FALSE)-HLOOKUP(B50-1,'EV Forecast WRZ'!$F$124:$T$130,2,FALSE)))*C50/78,0)</f>
        <v>41745.528846153851</v>
      </c>
      <c r="BG50" s="779">
        <f ca="1">HLOOKUP(B50,Heating!$R$102:$AD$106,2,FALSE)*INDEX(Weather!$BO$1:$CB$20,MATCH(B50,Weather!$BO$1:$BO$20,0),MATCH(C50,Weather!$BO$1:$CB$1,0))/VLOOKUP(B50,Weather!$BO$2:$CB$20,14,FALSE)*
VLOOKUP('Monthly Data'!$B50,Weather!$BO$3:$CB$20,14,FALSE)/Weather!$CB$14</f>
        <v>54117.074649290553</v>
      </c>
      <c r="BH50" s="779">
        <f t="shared" ca="1" si="15"/>
        <v>32832700.001772091</v>
      </c>
      <c r="BI50" s="779">
        <v>8652788.0040099993</v>
      </c>
      <c r="BJ50" s="779">
        <f>IFERROR(VLOOKUP($B50-1,CDM!$V$4:$AJ$17,12,FALSE)/12,0)+IFERROR(VLOOKUP($B50,CDM!$V$41:$AJ$54,12,FALSE)/24,0)+IFERROR(VLOOKUP($B50,CDM!$V$41:$AJ$54,12,FALSE)/2*$C50/78,0)</f>
        <v>195723.19389118385</v>
      </c>
      <c r="BK50" s="779">
        <f t="shared" si="16"/>
        <v>8848511.1979011837</v>
      </c>
      <c r="BL50" s="779">
        <f>IFERROR(HLOOKUP(B50-1,'EV Forecast WRZ'!$F$124:$T$130,3,FALSE)/12,0)+IFERROR(((HLOOKUP(B50,'EV Forecast WRZ'!$F$116:$T$122,3,FALSE)-HLOOKUP(B50-1,'EV Forecast WRZ'!$F$124:$T$130,3,FALSE)))*C50/78,0)</f>
        <v>5281.8269230769229</v>
      </c>
      <c r="BM50" s="779">
        <f ca="1">HLOOKUP(B50,Heating!$R$102:$AD$106,4,FALSE)*INDEX(Weather!$BO$1:$CB$20,MATCH(B50,Weather!$BO$1:$BO$20,0),MATCH(C50,Weather!$BO$1:$CB$1,0))/VLOOKUP(B50,Weather!$BO$2:$CB$20,14,FALSE)*
VLOOKUP('Monthly Data'!$B50,Weather!$BO$3:$CB$20,14,FALSE)/Weather!$CB$14</f>
        <v>9193.9016525519819</v>
      </c>
      <c r="BN50" s="779">
        <f t="shared" ca="1" si="17"/>
        <v>8834035.4693255555</v>
      </c>
      <c r="BO50" s="779">
        <v>30463335.469999999</v>
      </c>
      <c r="BP50" s="779">
        <f>IFERROR(VLOOKUP($B50-1,CDM!$V$4:$AJ$17,13,FALSE)/12,0)+IFERROR(VLOOKUP($B50,CDM!$V$41:$AJ$54,13,FALSE)/24,0)+IFERROR(VLOOKUP($B50,CDM!$V$41:$AJ$54,13,FALSE)/2*$C50/78,0)</f>
        <v>1318602.8732484509</v>
      </c>
      <c r="BQ50" s="779">
        <f t="shared" si="19"/>
        <v>31781938.343248449</v>
      </c>
      <c r="BR50" s="779">
        <f>IFERROR(HLOOKUP(B50-1,'EV Forecast WRZ'!$F$124:$T$130,4,FALSE)/12,0)+IFERROR(((HLOOKUP(B50,'EV Forecast WRZ'!$F$116:$T$122,4,FALSE)-HLOOKUP(B50-1,'EV Forecast WRZ'!$F$124:$T$130,4,FALSE)))*C50/78,0)</f>
        <v>2406.8221153846152</v>
      </c>
      <c r="BS50" s="779">
        <f ca="1">HLOOKUP(B50,Heating!$R$102:$AD$106,5,FALSE)*INDEX(Weather!$BO$1:$CB$20,MATCH(B50,Weather!$BO$1:$BO$20,0),MATCH(C50,Weather!$BO$1:$CB$1,0))/VLOOKUP(B50,Weather!$BO$2:$CB$20,14,FALSE)*
VLOOKUP('Monthly Data'!$B50,Weather!$BO$3:$CB$20,14,FALSE)/Weather!$CB$14</f>
        <v>6548.3132744276663</v>
      </c>
      <c r="BT50" s="779">
        <f t="shared" ca="1" si="20"/>
        <v>31772983.207858637</v>
      </c>
      <c r="BU50" s="779">
        <v>6855970.6200000001</v>
      </c>
      <c r="BV50" s="779">
        <f>IFERROR(VLOOKUP($B50-1,CDM!$V$4:$AJ$17,14,FALSE)/12,0)+IFERROR(VLOOKUP($B50,CDM!$V$41:$AJ$54,14,FALSE)/24,0)+IFERROR(VLOOKUP($B50,CDM!$V$41:$AJ$54,14,FALSE)/2*$C50/78,0)</f>
        <v>296451.140843731</v>
      </c>
      <c r="BW50" s="779">
        <f t="shared" si="21"/>
        <v>7152421.7608437315</v>
      </c>
      <c r="BX50" s="779">
        <f>IFERROR(HLOOKUP(B50-1,'EV Forecast WRZ'!$F$124:$T$130,5,FALSE)/12,0)+IFERROR(((HLOOKUP(B50,'EV Forecast WRZ'!$F$116:$T$122,5,FALSE)-HLOOKUP(B50-1,'EV Forecast WRZ'!$F$124:$T$130,5,FALSE)))*C50/78,0)</f>
        <v>384.09134615384619</v>
      </c>
      <c r="BY50" s="779">
        <f t="shared" si="72"/>
        <v>7152037.6694975775</v>
      </c>
      <c r="BZ50" s="779">
        <v>365685.1</v>
      </c>
      <c r="CA50" s="779">
        <v>2470.1014515369525</v>
      </c>
      <c r="CB50" s="5">
        <v>50315.15</v>
      </c>
      <c r="CC50" s="5">
        <v>67320.679999999993</v>
      </c>
      <c r="CD50" s="5">
        <v>13154.04</v>
      </c>
      <c r="CE50" s="5">
        <v>746.67</v>
      </c>
      <c r="CF50" s="763">
        <f>86/12</f>
        <v>7.166666666666667</v>
      </c>
      <c r="CG50" s="785">
        <v>40369.083333333336</v>
      </c>
      <c r="CH50" s="785">
        <v>2255.0833333333335</v>
      </c>
      <c r="CI50" s="785">
        <v>377</v>
      </c>
      <c r="CJ50" s="785">
        <v>3</v>
      </c>
      <c r="CK50" s="785">
        <v>12216.833333333334</v>
      </c>
      <c r="CL50" s="785">
        <v>37</v>
      </c>
      <c r="CM50" s="785">
        <v>381.5</v>
      </c>
      <c r="CN50" s="46">
        <f>Weather!C62</f>
        <v>841.93333333333351</v>
      </c>
      <c r="CO50" s="46">
        <f>Weather!D62</f>
        <v>0</v>
      </c>
      <c r="CP50" s="46">
        <f>Weather!E62</f>
        <v>779.93333333333351</v>
      </c>
      <c r="CQ50" s="46">
        <f>Weather!F62</f>
        <v>0</v>
      </c>
      <c r="CR50" s="46">
        <f>Weather!G62</f>
        <v>717.93333333333339</v>
      </c>
      <c r="CS50" s="46">
        <f>Weather!H62</f>
        <v>0</v>
      </c>
      <c r="CT50" s="46">
        <f>Weather!I62</f>
        <v>655.93333333333339</v>
      </c>
      <c r="CU50" s="46">
        <f>Weather!J62</f>
        <v>0</v>
      </c>
      <c r="CV50" s="46">
        <f>Weather!K62</f>
        <v>593.93333333333339</v>
      </c>
      <c r="CW50" s="46">
        <f>Weather!L62</f>
        <v>0</v>
      </c>
      <c r="CX50" s="46">
        <f>Weather!M62</f>
        <v>531.93333333333328</v>
      </c>
      <c r="CY50" s="46">
        <f>Weather!N62</f>
        <v>0</v>
      </c>
      <c r="CZ50" s="46">
        <f>Weather!O62</f>
        <v>469.93333333333328</v>
      </c>
      <c r="DA50" s="46">
        <f>Weather!P62</f>
        <v>0</v>
      </c>
      <c r="DB50" s="368">
        <f>'Economic Data'!D64</f>
        <v>7306.5</v>
      </c>
      <c r="DC50" s="368">
        <f>'Economic Data'!E64</f>
        <v>7280.1</v>
      </c>
      <c r="DD50" s="368">
        <f>'Economic Data'!F64</f>
        <v>216.3</v>
      </c>
      <c r="DE50" s="368">
        <f>'Economic Data'!G64</f>
        <v>214</v>
      </c>
      <c r="DF50" s="368">
        <f>'Economic Data'!H64</f>
        <v>59.6</v>
      </c>
      <c r="DG50" s="368">
        <f>'Economic Data'!I64</f>
        <v>59.6</v>
      </c>
      <c r="DH50" s="368">
        <f>'Economic Data'!J64</f>
        <v>807274.5</v>
      </c>
      <c r="DI50" s="368">
        <f>'Economic Data'!K64</f>
        <v>626103.1</v>
      </c>
      <c r="DJ50" s="368">
        <f>'Economic Data'!L64</f>
        <v>94599.6</v>
      </c>
      <c r="DK50" s="368">
        <f>'Economic Data'!M64</f>
        <v>32860.800000000003</v>
      </c>
      <c r="DL50" s="368">
        <f>'Economic Data'!N64</f>
        <v>800724</v>
      </c>
      <c r="DM50" s="368">
        <f>'Economic Data'!O64</f>
        <v>95863</v>
      </c>
      <c r="DN50" s="368">
        <f>'Economic Data'!P64</f>
        <v>19895</v>
      </c>
      <c r="DO50" s="368">
        <f>'Economic Data'!Q64</f>
        <v>619045</v>
      </c>
      <c r="DP50" s="368">
        <f>'Economic Data'!R64</f>
        <v>31743</v>
      </c>
      <c r="DQ50">
        <v>31</v>
      </c>
      <c r="DR50">
        <v>22</v>
      </c>
      <c r="DS50">
        <v>1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f t="shared" si="69"/>
        <v>49</v>
      </c>
      <c r="EI50">
        <v>0</v>
      </c>
      <c r="EJ50">
        <v>0</v>
      </c>
      <c r="EK50">
        <v>0</v>
      </c>
      <c r="EL50">
        <v>0</v>
      </c>
      <c r="EM50" s="47">
        <f t="shared" si="73"/>
        <v>0</v>
      </c>
      <c r="EN50" s="47">
        <f t="shared" si="74"/>
        <v>0</v>
      </c>
      <c r="EO50" s="47">
        <f t="shared" si="75"/>
        <v>0</v>
      </c>
      <c r="EP50" s="47">
        <f t="shared" si="76"/>
        <v>0</v>
      </c>
      <c r="EQ50" s="47">
        <f t="shared" si="77"/>
        <v>0</v>
      </c>
      <c r="ER50" s="47">
        <f t="shared" si="78"/>
        <v>0</v>
      </c>
      <c r="ES50" s="47">
        <f t="shared" si="79"/>
        <v>0</v>
      </c>
      <c r="ET50" s="47">
        <f t="shared" si="80"/>
        <v>0</v>
      </c>
      <c r="EU50" s="47">
        <f t="shared" si="81"/>
        <v>0</v>
      </c>
      <c r="EV50" s="47">
        <f t="shared" si="82"/>
        <v>0</v>
      </c>
      <c r="EW50" s="47">
        <f t="shared" si="83"/>
        <v>0</v>
      </c>
      <c r="EX50" s="47">
        <f t="shared" si="84"/>
        <v>0</v>
      </c>
      <c r="EY50" s="47">
        <f t="shared" si="85"/>
        <v>0</v>
      </c>
      <c r="EZ50" s="47">
        <f t="shared" si="86"/>
        <v>0</v>
      </c>
      <c r="FA50" s="47">
        <f t="shared" si="87"/>
        <v>0</v>
      </c>
      <c r="FB50" s="47">
        <f t="shared" si="88"/>
        <v>0</v>
      </c>
      <c r="FC50" s="47">
        <f t="shared" si="89"/>
        <v>0</v>
      </c>
      <c r="FD50" s="47">
        <f t="shared" si="90"/>
        <v>0</v>
      </c>
      <c r="FE50" s="47">
        <f t="shared" si="91"/>
        <v>0</v>
      </c>
      <c r="FF50" s="47">
        <f t="shared" si="92"/>
        <v>0</v>
      </c>
      <c r="FG50" s="47">
        <f t="shared" si="93"/>
        <v>0</v>
      </c>
      <c r="FH50" s="47">
        <f t="shared" si="94"/>
        <v>0</v>
      </c>
      <c r="FI50" s="47">
        <f t="shared" si="95"/>
        <v>0</v>
      </c>
      <c r="FJ50" s="47">
        <f t="shared" si="96"/>
        <v>0</v>
      </c>
      <c r="FK50" s="47">
        <f t="shared" si="97"/>
        <v>0</v>
      </c>
      <c r="FL50" s="47">
        <f t="shared" si="98"/>
        <v>0</v>
      </c>
      <c r="FM50" s="47">
        <f t="shared" si="99"/>
        <v>0</v>
      </c>
      <c r="FN50" s="47">
        <f t="shared" si="100"/>
        <v>0</v>
      </c>
      <c r="FO50" s="765">
        <f t="shared" ca="1" si="101"/>
        <v>882.76729269768009</v>
      </c>
      <c r="FP50" s="765">
        <f t="shared" si="102"/>
        <v>787.37842578213827</v>
      </c>
      <c r="FQ50" s="765">
        <f t="shared" si="103"/>
        <v>3083.2645955663083</v>
      </c>
      <c r="FR50" s="765">
        <f t="shared" si="104"/>
        <v>86596.205911467434</v>
      </c>
      <c r="FS50" s="765">
        <f t="shared" si="105"/>
        <v>1988744.1549929937</v>
      </c>
      <c r="FT50" s="765">
        <f t="shared" si="106"/>
        <v>5813671.9333070749</v>
      </c>
      <c r="FU50" s="765">
        <f t="shared" si="107"/>
        <v>52.323920385587108</v>
      </c>
      <c r="FV50" s="765">
        <f t="shared" si="108"/>
        <v>49.01456474749461</v>
      </c>
      <c r="FW50" s="765">
        <f t="shared" si="109"/>
        <v>497.86851468932338</v>
      </c>
      <c r="FX50" s="765">
        <f t="shared" si="110"/>
        <v>815.68764723666493</v>
      </c>
      <c r="FY50" s="765">
        <f t="shared" si="111"/>
        <v>3923.8067467874134</v>
      </c>
      <c r="FZ50" s="765">
        <f t="shared" si="112"/>
        <v>84302.223722144423</v>
      </c>
      <c r="GA50" s="765">
        <f t="shared" si="113"/>
        <v>121895.03333333333</v>
      </c>
      <c r="GB50" s="765">
        <f t="shared" si="114"/>
        <v>29.932887682296283</v>
      </c>
      <c r="GC50" s="765">
        <f t="shared" si="115"/>
        <v>66.759498690187911</v>
      </c>
      <c r="GD50" s="765">
        <f t="shared" si="116"/>
        <v>131.88768020969857</v>
      </c>
    </row>
    <row r="51" spans="1:186">
      <c r="A51" s="4">
        <v>43497</v>
      </c>
      <c r="B51" s="6">
        <v>2019</v>
      </c>
      <c r="C51" s="5">
        <v>2</v>
      </c>
      <c r="D51" s="7">
        <v>81233251.752229691</v>
      </c>
      <c r="E51" s="7">
        <f>IFERROR(VLOOKUP($B51-1,CDM!$V$4:$AJ$17,2,FALSE)/12,0)+IFERROR(VLOOKUP($B51,CDM!$V$41:$AJ$54,2,FALSE)/24,0)+IFERROR(VLOOKUP($B51,CDM!$V$41:$AJ$54,2,FALSE)/2*$C51/78,0)</f>
        <v>3732291.7155738021</v>
      </c>
      <c r="F51" s="7">
        <f t="shared" si="2"/>
        <v>84965543.467803493</v>
      </c>
      <c r="G51" s="7">
        <f>IFERROR(HLOOKUP(B51-1,'EV Forecast VRZ'!$F$124:$T$130,2,FALSE)/12,0)+IFERROR(((HLOOKUP(B51,'EV Forecast VRZ'!$F$116:$T$122,2,FALSE)-HLOOKUP(B51-1,'EV Forecast VRZ'!$F$124:$T$130,2,FALSE)))*C51/78,0)</f>
        <v>151365.58021043349</v>
      </c>
      <c r="H51" s="7">
        <f ca="1">HLOOKUP(B51,Heating!$C$102:$O$106,2,FALSE)*INDEX(Weather!$BO$1:$CB$20,MATCH(B51,Weather!$BO$1:$BO$20,0),MATCH(C51,Weather!$BO$1:$CB$1,0))/VLOOKUP(B51,Weather!$BO$2:$CB$20,14,FALSE)*
VLOOKUP('Monthly Data'!$B51,Weather!$BO$3:$CB$20,14,FALSE)/Weather!$CB$14</f>
        <v>120336.84850462282</v>
      </c>
      <c r="I51" s="7">
        <f t="shared" ca="1" si="3"/>
        <v>84693841.039088443</v>
      </c>
      <c r="J51" s="7">
        <v>1042640.67687</v>
      </c>
      <c r="K51" s="7">
        <f>IFERROR(VLOOKUP($B51-1,CDM!$V$4:$AJ$17,3,FALSE)/12,0)+IFERROR(VLOOKUP($B51,CDM!$V$41:$AJ$54,3,FALSE)/24,0)+IFERROR(VLOOKUP($B51,CDM!$V$41:$AJ$54,3,FALSE)/2*$C51/78,0)</f>
        <v>42748.93620741948</v>
      </c>
      <c r="L51" s="7">
        <f t="shared" si="4"/>
        <v>1085389.6130774193</v>
      </c>
      <c r="M51" s="7">
        <f>IFERROR(HLOOKUP(B51-1,'EV Forecast VRZ'!$F$124:$T$130,3,FALSE)/12,0)+IFERROR(((HLOOKUP(B51,'EV Forecast VRZ'!$F$116:$T$122,3,FALSE)-HLOOKUP(B51-1,'EV Forecast VRZ'!$F$124:$T$130,3,FALSE)))*C51/78,0)</f>
        <v>2059.2382511049486</v>
      </c>
      <c r="N51" s="7">
        <f ca="1">HLOOKUP(B51,Heating!$C$102:$O$106,3,FALSE)*INDEX(Weather!$BO$1:$CB$20,MATCH(B51,Weather!$BO$1:$BO$20,0),MATCH(C51,Weather!$BO$1:$CB$1,0))/VLOOKUP(B51,Weather!$BO$2:$CB$20,14,FALSE)*
VLOOKUP('Monthly Data'!$B51,Weather!$BO$3:$CB$20,14,FALSE)/Weather!$CB$14</f>
        <v>1697.3749532508441</v>
      </c>
      <c r="O51" s="7">
        <f t="shared" ca="1" si="5"/>
        <v>1081632.9998730635</v>
      </c>
      <c r="P51" s="7">
        <v>24125566.114490002</v>
      </c>
      <c r="Q51" s="7">
        <f>IFERROR(VLOOKUP($B51-1,CDM!$V$4:$AJ$17,4,FALSE)/12,0)+IFERROR(VLOOKUP($B51,CDM!$V$41:$AJ$54,4,FALSE)/24,0)+IFERROR(VLOOKUP($B51,CDM!$V$41:$AJ$54,4,FALSE)/2*$C51/78,0)</f>
        <v>1168915.8757413845</v>
      </c>
      <c r="R51" s="7">
        <f t="shared" si="6"/>
        <v>25294481.990231387</v>
      </c>
      <c r="S51" s="7">
        <f>IFERROR(HLOOKUP(B51-1,'EV Forecast VRZ'!$F$124:$T$130,4,FALSE)/12,0)+IFERROR(((HLOOKUP(B51,'EV Forecast VRZ'!$F$116:$T$122,4,FALSE)-HLOOKUP(B51-1,'EV Forecast VRZ'!$F$124:$T$130,4,FALSE)))*C51/78,0)</f>
        <v>19259.141538461539</v>
      </c>
      <c r="T51" s="7">
        <f ca="1">HLOOKUP(B51,Heating!$C$102:$O$106,4,FALSE)*INDEX(Weather!$BO$1:$CB$20,MATCH(B51,Weather!$BO$1:$BO$20,0),MATCH(C51,Weather!$BO$1:$CB$1,0))/VLOOKUP(B51,Weather!$BO$2:$CB$20,14,FALSE)*
VLOOKUP('Monthly Data'!$B51,Weather!$BO$3:$CB$20,14,FALSE)/Weather!$CB$14</f>
        <v>30687.495780306719</v>
      </c>
      <c r="U51" s="7">
        <f t="shared" ca="1" si="7"/>
        <v>25244535.35291262</v>
      </c>
      <c r="V51" s="7">
        <v>77446845.430000007</v>
      </c>
      <c r="W51" s="7">
        <f>IFERROR(VLOOKUP($B51-1,CDM!$V$4:$AJ$17,5,FALSE)/12,0)+IFERROR(VLOOKUP($B51,CDM!$V$41:$AJ$54,5,FALSE)/24,0)+IFERROR(VLOOKUP($B51,CDM!$V$41:$AJ$54,5,FALSE)/2*$C51/78,0)</f>
        <v>4114329.9667403228</v>
      </c>
      <c r="X51" s="7">
        <f t="shared" si="8"/>
        <v>81561175.396740332</v>
      </c>
      <c r="Y51" s="7">
        <f>IFERROR(HLOOKUP(B51-1,'EV Forecast VRZ'!$F$124:$T$130,5,FALSE)/12,0)+IFERROR(((HLOOKUP(B51,'EV Forecast VRZ'!$F$116:$T$122,5,FALSE)-HLOOKUP(B51-1,'EV Forecast VRZ'!$F$124:$T$130,5,FALSE)))*C51/78,0)</f>
        <v>8764.4983076923072</v>
      </c>
      <c r="Z51" s="7">
        <f ca="1">HLOOKUP(B51,Heating!$C$102:$O$106,5,FALSE)*INDEX(Weather!$BO$1:$CB$20,MATCH(B51,Weather!$BO$1:$BO$20,0),MATCH(C51,Weather!$BO$1:$CB$1,0))/VLOOKUP(B51,Weather!$BO$2:$CB$20,14,FALSE)*
VLOOKUP('Monthly Data'!$B51,Weather!$BO$3:$CB$20,14,FALSE)/Weather!$CB$14</f>
        <v>18098.048281173789</v>
      </c>
      <c r="AA51" s="7">
        <f t="shared" ca="1" si="9"/>
        <v>81534312.850151464</v>
      </c>
      <c r="AB51" s="7">
        <v>7720894.1200000001</v>
      </c>
      <c r="AC51" s="7">
        <f>IFERROR(VLOOKUP($B51-1,CDM!$V$4:$AJ$17,6,FALSE)/12,0)+IFERROR(VLOOKUP($B51,CDM!$V$41:$AJ$54,6,FALSE)/24,0)+IFERROR(VLOOKUP($B51,CDM!$V$41:$AJ$54,6,FALSE)/2*$C51/78,0)</f>
        <v>194816.8982060329</v>
      </c>
      <c r="AD51" s="7">
        <f t="shared" si="10"/>
        <v>7915711.0182060329</v>
      </c>
      <c r="AE51" s="7">
        <f>IFERROR(HLOOKUP(B51-1,'EV Forecast VRZ'!$F$124:$T$130,6,FALSE)/12,0)+IFERROR(((HLOOKUP(B51,'EV Forecast VRZ'!$F$116:$T$122,6,FALSE)-HLOOKUP(B51-1,'EV Forecast VRZ'!$F$124:$T$130,6,FALSE)))*C51/78,0)</f>
        <v>1354.4955384615382</v>
      </c>
      <c r="AF51" s="7">
        <f t="shared" si="11"/>
        <v>7914356.522667571</v>
      </c>
      <c r="AG51" s="7">
        <v>19965323.850000001</v>
      </c>
      <c r="AH51" s="7">
        <f>IFERROR(VLOOKUP($B51-1,CDM!$V$4:$AJ$17,7,FALSE)/12,0)+IFERROR(VLOOKUP($B51,CDM!$V$41:$AJ$54,7,FALSE)/24,0)+IFERROR(VLOOKUP($B51,CDM!$V$41:$AJ$54,7,FALSE)/2*$C51/78,0)</f>
        <v>1490195.9972198817</v>
      </c>
      <c r="AI51" s="7">
        <f t="shared" si="12"/>
        <v>21455519.847219884</v>
      </c>
      <c r="AJ51" s="7">
        <f>IFERROR(HLOOKUP(B51-1,'EV Forecast VRZ'!$F$124:$T$130,7,FALSE)/12,0)+IFERROR(((HLOOKUP(B51,'EV Forecast VRZ'!$F$116:$T$122,7,FALSE)-HLOOKUP(B51-1,'EV Forecast VRZ'!$F$124:$T$130,7,FALSE)))*C51/78,0)</f>
        <v>0</v>
      </c>
      <c r="AK51" s="7">
        <f t="shared" si="13"/>
        <v>21455519.847219884</v>
      </c>
      <c r="AL51" s="7">
        <v>1434086.31</v>
      </c>
      <c r="AM51" s="7">
        <v>19112.98</v>
      </c>
      <c r="AN51" s="7">
        <v>405259.28</v>
      </c>
      <c r="AO51" s="5">
        <v>186959.53</v>
      </c>
      <c r="AP51" s="5">
        <v>16621.21</v>
      </c>
      <c r="AQ51" s="5">
        <v>35095</v>
      </c>
      <c r="AR51" s="5">
        <v>3619.52</v>
      </c>
      <c r="AS51" s="763">
        <f t="shared" ref="AS51:AS61" si="121">629/12</f>
        <v>52.416666666666664</v>
      </c>
      <c r="AT51" s="776">
        <v>110345.5</v>
      </c>
      <c r="AU51" s="776">
        <v>1568.5</v>
      </c>
      <c r="AV51" s="776">
        <v>9157.1666666666679</v>
      </c>
      <c r="AW51" s="776">
        <v>1037.3333333333335</v>
      </c>
      <c r="AX51" s="776">
        <v>4</v>
      </c>
      <c r="AY51" s="776">
        <v>4</v>
      </c>
      <c r="AZ51" s="776">
        <v>31111.166666666664</v>
      </c>
      <c r="BA51" s="776">
        <v>409.16666666666663</v>
      </c>
      <c r="BB51" s="776">
        <v>813.16666666666674</v>
      </c>
      <c r="BC51" s="779">
        <v>26909979.644359902</v>
      </c>
      <c r="BD51" s="779">
        <f>IFERROR(VLOOKUP($B51-1,CDM!$V$4:$AJ$17,11,FALSE)/12,0)+IFERROR(VLOOKUP($B51,CDM!$V$41:$AJ$54,11,FALSE)/24,0)+IFERROR(VLOOKUP($B51,CDM!$V$41:$AJ$54,11,FALSE)/2*$C51/78,0)</f>
        <v>1882214.1029114486</v>
      </c>
      <c r="BE51" s="779">
        <f t="shared" si="71"/>
        <v>28792193.747271352</v>
      </c>
      <c r="BF51" s="779">
        <f>IFERROR(HLOOKUP(B51-1,'EV Forecast WRZ'!$F$124:$T$130,2,FALSE)/12,0)+IFERROR(((HLOOKUP(B51,'EV Forecast WRZ'!$F$116:$T$122,2,FALSE)-HLOOKUP(B51-1,'EV Forecast WRZ'!$F$124:$T$130,2,FALSE)))*C51/78,0)</f>
        <v>43245.866025641037</v>
      </c>
      <c r="BG51" s="779">
        <f ca="1">HLOOKUP(B51,Heating!$R$102:$AD$106,2,FALSE)*INDEX(Weather!$BO$1:$CB$20,MATCH(B51,Weather!$BO$1:$BO$20,0),MATCH(C51,Weather!$BO$1:$CB$1,0))/VLOOKUP(B51,Weather!$BO$2:$CB$20,14,FALSE)*
VLOOKUP('Monthly Data'!$B51,Weather!$BO$3:$CB$20,14,FALSE)/Weather!$CB$14</f>
        <v>44359.267430253611</v>
      </c>
      <c r="BH51" s="779">
        <f t="shared" ca="1" si="15"/>
        <v>28704588.613815457</v>
      </c>
      <c r="BI51" s="779">
        <v>7684416.73217999</v>
      </c>
      <c r="BJ51" s="779">
        <f>IFERROR(VLOOKUP($B51-1,CDM!$V$4:$AJ$17,12,FALSE)/12,0)+IFERROR(VLOOKUP($B51,CDM!$V$41:$AJ$54,12,FALSE)/24,0)+IFERROR(VLOOKUP($B51,CDM!$V$41:$AJ$54,12,FALSE)/2*$C51/78,0)</f>
        <v>197610.00544520028</v>
      </c>
      <c r="BK51" s="779">
        <f t="shared" si="16"/>
        <v>7882026.7376251901</v>
      </c>
      <c r="BL51" s="779">
        <f>IFERROR(HLOOKUP(B51-1,'EV Forecast WRZ'!$F$124:$T$130,3,FALSE)/12,0)+IFERROR(((HLOOKUP(B51,'EV Forecast WRZ'!$F$116:$T$122,3,FALSE)-HLOOKUP(B51-1,'EV Forecast WRZ'!$F$124:$T$130,3,FALSE)))*C51/78,0)</f>
        <v>5458.3371794871791</v>
      </c>
      <c r="BM51" s="779">
        <f ca="1">HLOOKUP(B51,Heating!$R$102:$AD$106,4,FALSE)*INDEX(Weather!$BO$1:$CB$20,MATCH(B51,Weather!$BO$1:$BO$20,0),MATCH(C51,Weather!$BO$1:$CB$1,0))/VLOOKUP(B51,Weather!$BO$2:$CB$20,14,FALSE)*
VLOOKUP('Monthly Data'!$B51,Weather!$BO$3:$CB$20,14,FALSE)/Weather!$CB$14</f>
        <v>7536.156467732324</v>
      </c>
      <c r="BN51" s="779">
        <f t="shared" ca="1" si="17"/>
        <v>7869032.2439779704</v>
      </c>
      <c r="BO51" s="779">
        <v>29734090.960000001</v>
      </c>
      <c r="BP51" s="779">
        <f>IFERROR(VLOOKUP($B51-1,CDM!$V$4:$AJ$17,13,FALSE)/12,0)+IFERROR(VLOOKUP($B51,CDM!$V$41:$AJ$54,13,FALSE)/24,0)+IFERROR(VLOOKUP($B51,CDM!$V$41:$AJ$54,13,FALSE)/2*$C51/78,0)</f>
        <v>1354752.8805795719</v>
      </c>
      <c r="BQ51" s="779">
        <f t="shared" si="19"/>
        <v>31088843.840579573</v>
      </c>
      <c r="BR51" s="779">
        <f>IFERROR(HLOOKUP(B51-1,'EV Forecast WRZ'!$F$124:$T$130,4,FALSE)/12,0)+IFERROR(((HLOOKUP(B51,'EV Forecast WRZ'!$F$116:$T$122,4,FALSE)-HLOOKUP(B51-1,'EV Forecast WRZ'!$F$124:$T$130,4,FALSE)))*C51/78,0)</f>
        <v>2486.2517307692306</v>
      </c>
      <c r="BS51" s="779">
        <f ca="1">HLOOKUP(B51,Heating!$R$102:$AD$106,5,FALSE)*INDEX(Weather!$BO$1:$CB$20,MATCH(B51,Weather!$BO$1:$BO$20,0),MATCH(C51,Weather!$BO$1:$CB$1,0))/VLOOKUP(B51,Weather!$BO$2:$CB$20,14,FALSE)*
VLOOKUP('Monthly Data'!$B51,Weather!$BO$3:$CB$20,14,FALSE)/Weather!$CB$14</f>
        <v>5367.5920518594512</v>
      </c>
      <c r="BT51" s="779">
        <f t="shared" ca="1" si="20"/>
        <v>31080989.996796943</v>
      </c>
      <c r="BU51" s="779">
        <v>6402487.21</v>
      </c>
      <c r="BV51" s="779">
        <f>IFERROR(VLOOKUP($B51-1,CDM!$V$4:$AJ$17,14,FALSE)/12,0)+IFERROR(VLOOKUP($B51,CDM!$V$41:$AJ$54,14,FALSE)/24,0)+IFERROR(VLOOKUP($B51,CDM!$V$41:$AJ$54,14,FALSE)/2*$C51/78,0)</f>
        <v>304578.46343056782</v>
      </c>
      <c r="BW51" s="779">
        <f t="shared" si="21"/>
        <v>6707065.6734305676</v>
      </c>
      <c r="BX51" s="779">
        <f>IFERROR(HLOOKUP(B51-1,'EV Forecast WRZ'!$F$124:$T$130,5,FALSE)/12,0)+IFERROR(((HLOOKUP(B51,'EV Forecast WRZ'!$F$116:$T$122,5,FALSE)-HLOOKUP(B51-1,'EV Forecast WRZ'!$F$124:$T$130,5,FALSE)))*C51/78,0)</f>
        <v>392.916858974359</v>
      </c>
      <c r="BY51" s="779">
        <f t="shared" si="72"/>
        <v>6706672.7565715937</v>
      </c>
      <c r="BZ51" s="779">
        <v>306691.34000000003</v>
      </c>
      <c r="CA51" s="779">
        <v>2470.1014515369525</v>
      </c>
      <c r="CB51" s="5">
        <v>50315.08</v>
      </c>
      <c r="CC51" s="5">
        <v>67871.850000000006</v>
      </c>
      <c r="CD51" s="5">
        <v>13449.88</v>
      </c>
      <c r="CE51" s="5">
        <v>752.88</v>
      </c>
      <c r="CF51" s="763">
        <f t="shared" ref="CF51:CF61" si="122">86/12</f>
        <v>7.166666666666667</v>
      </c>
      <c r="CG51" s="785">
        <v>40466.166666666672</v>
      </c>
      <c r="CH51" s="785">
        <v>2256.166666666667</v>
      </c>
      <c r="CI51" s="785">
        <v>377</v>
      </c>
      <c r="CJ51" s="785">
        <v>3</v>
      </c>
      <c r="CK51" s="785">
        <v>12251.666666666668</v>
      </c>
      <c r="CL51" s="785">
        <v>37</v>
      </c>
      <c r="CM51" s="785">
        <v>382</v>
      </c>
      <c r="CN51" s="46">
        <f>Weather!C63</f>
        <v>695.30416666666645</v>
      </c>
      <c r="CO51" s="46">
        <f>Weather!D63</f>
        <v>0</v>
      </c>
      <c r="CP51" s="46">
        <f>Weather!E63</f>
        <v>639.30416666666645</v>
      </c>
      <c r="CQ51" s="46">
        <f>Weather!F63</f>
        <v>0</v>
      </c>
      <c r="CR51" s="46">
        <f>Weather!G63</f>
        <v>583.30416666666656</v>
      </c>
      <c r="CS51" s="46">
        <f>Weather!H63</f>
        <v>0</v>
      </c>
      <c r="CT51" s="46">
        <f>Weather!I63</f>
        <v>527.30416666666656</v>
      </c>
      <c r="CU51" s="46">
        <f>Weather!J63</f>
        <v>0</v>
      </c>
      <c r="CV51" s="46">
        <f>Weather!K63</f>
        <v>471.30416666666662</v>
      </c>
      <c r="CW51" s="46">
        <f>Weather!L63</f>
        <v>0</v>
      </c>
      <c r="CX51" s="46">
        <f>Weather!M63</f>
        <v>415.30416666666656</v>
      </c>
      <c r="CY51" s="46">
        <f>Weather!N63</f>
        <v>0</v>
      </c>
      <c r="CZ51" s="46">
        <f>Weather!O63</f>
        <v>359.30416666666662</v>
      </c>
      <c r="DA51" s="46">
        <f>Weather!P63</f>
        <v>0</v>
      </c>
      <c r="DB51" s="368">
        <f>'Economic Data'!D65</f>
        <v>7329.7</v>
      </c>
      <c r="DC51" s="368">
        <f>'Economic Data'!E65</f>
        <v>7264.2</v>
      </c>
      <c r="DD51" s="368">
        <f>'Economic Data'!F65</f>
        <v>218</v>
      </c>
      <c r="DE51" s="368">
        <f>'Economic Data'!G65</f>
        <v>215.9</v>
      </c>
      <c r="DF51" s="368">
        <f>'Economic Data'!H65</f>
        <v>58.2</v>
      </c>
      <c r="DG51" s="368">
        <f>'Economic Data'!I65</f>
        <v>58.2</v>
      </c>
      <c r="DH51" s="368">
        <f>'Economic Data'!J65</f>
        <v>807274.5</v>
      </c>
      <c r="DI51" s="368">
        <f>'Economic Data'!K65</f>
        <v>626103.1</v>
      </c>
      <c r="DJ51" s="368">
        <f>'Economic Data'!L65</f>
        <v>94599.6</v>
      </c>
      <c r="DK51" s="368">
        <f>'Economic Data'!M65</f>
        <v>32860.800000000003</v>
      </c>
      <c r="DL51" s="368">
        <f>'Economic Data'!N65</f>
        <v>800724</v>
      </c>
      <c r="DM51" s="368">
        <f>'Economic Data'!O65</f>
        <v>95863</v>
      </c>
      <c r="DN51" s="368">
        <f>'Economic Data'!P65</f>
        <v>19895</v>
      </c>
      <c r="DO51" s="368">
        <f>'Economic Data'!Q65</f>
        <v>619045</v>
      </c>
      <c r="DP51" s="368">
        <f>'Economic Data'!R65</f>
        <v>31743</v>
      </c>
      <c r="DQ51">
        <v>28</v>
      </c>
      <c r="DR51">
        <v>19</v>
      </c>
      <c r="DS51">
        <v>0</v>
      </c>
      <c r="DT51">
        <v>1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f t="shared" si="69"/>
        <v>50</v>
      </c>
      <c r="EI51">
        <v>0</v>
      </c>
      <c r="EJ51">
        <v>0</v>
      </c>
      <c r="EK51">
        <v>0</v>
      </c>
      <c r="EL51">
        <v>0</v>
      </c>
      <c r="EM51" s="47">
        <f t="shared" si="73"/>
        <v>0</v>
      </c>
      <c r="EN51" s="47">
        <f t="shared" si="74"/>
        <v>0</v>
      </c>
      <c r="EO51" s="47">
        <f t="shared" si="75"/>
        <v>0</v>
      </c>
      <c r="EP51" s="47">
        <f t="shared" si="76"/>
        <v>0</v>
      </c>
      <c r="EQ51" s="47">
        <f t="shared" si="77"/>
        <v>0</v>
      </c>
      <c r="ER51" s="47">
        <f t="shared" si="78"/>
        <v>0</v>
      </c>
      <c r="ES51" s="47">
        <f t="shared" si="79"/>
        <v>0</v>
      </c>
      <c r="ET51" s="47">
        <f t="shared" si="80"/>
        <v>0</v>
      </c>
      <c r="EU51" s="47">
        <f t="shared" si="81"/>
        <v>0</v>
      </c>
      <c r="EV51" s="47">
        <f t="shared" si="82"/>
        <v>0</v>
      </c>
      <c r="EW51" s="47">
        <f t="shared" si="83"/>
        <v>0</v>
      </c>
      <c r="EX51" s="47">
        <f t="shared" si="84"/>
        <v>0</v>
      </c>
      <c r="EY51" s="47">
        <f t="shared" si="85"/>
        <v>0</v>
      </c>
      <c r="EZ51" s="47">
        <f t="shared" si="86"/>
        <v>0</v>
      </c>
      <c r="FA51" s="47">
        <f t="shared" si="87"/>
        <v>0</v>
      </c>
      <c r="FB51" s="47">
        <f t="shared" si="88"/>
        <v>0</v>
      </c>
      <c r="FC51" s="47">
        <f t="shared" si="89"/>
        <v>0</v>
      </c>
      <c r="FD51" s="47">
        <f t="shared" si="90"/>
        <v>0</v>
      </c>
      <c r="FE51" s="47">
        <f t="shared" si="91"/>
        <v>0</v>
      </c>
      <c r="FF51" s="47">
        <f t="shared" si="92"/>
        <v>0</v>
      </c>
      <c r="FG51" s="47">
        <f t="shared" si="93"/>
        <v>0</v>
      </c>
      <c r="FH51" s="47">
        <f t="shared" si="94"/>
        <v>0</v>
      </c>
      <c r="FI51" s="47">
        <f t="shared" si="95"/>
        <v>0</v>
      </c>
      <c r="FJ51" s="47">
        <f t="shared" si="96"/>
        <v>0</v>
      </c>
      <c r="FK51" s="47">
        <f t="shared" si="97"/>
        <v>0</v>
      </c>
      <c r="FL51" s="47">
        <f t="shared" si="98"/>
        <v>0</v>
      </c>
      <c r="FM51" s="47">
        <f t="shared" si="99"/>
        <v>0</v>
      </c>
      <c r="FN51" s="47">
        <f t="shared" si="100"/>
        <v>0</v>
      </c>
      <c r="FO51" s="765">
        <f t="shared" ca="1" si="101"/>
        <v>767.53325726095261</v>
      </c>
      <c r="FP51" s="765">
        <f t="shared" si="102"/>
        <v>691.99210269519881</v>
      </c>
      <c r="FQ51" s="765">
        <f t="shared" si="103"/>
        <v>2762.2607418850134</v>
      </c>
      <c r="FR51" s="765">
        <f t="shared" si="104"/>
        <v>78625.811757783085</v>
      </c>
      <c r="FS51" s="765">
        <f t="shared" si="105"/>
        <v>1978927.7545515082</v>
      </c>
      <c r="FT51" s="765">
        <f t="shared" si="106"/>
        <v>5363879.9618049711</v>
      </c>
      <c r="FU51" s="765">
        <f t="shared" si="107"/>
        <v>46.095549079376653</v>
      </c>
      <c r="FV51" s="765">
        <f t="shared" si="108"/>
        <v>46.711967413441961</v>
      </c>
      <c r="FW51" s="765">
        <f t="shared" si="109"/>
        <v>498.37173191227708</v>
      </c>
      <c r="FX51" s="765">
        <f t="shared" si="110"/>
        <v>711.51275544437567</v>
      </c>
      <c r="FY51" s="765">
        <f t="shared" si="111"/>
        <v>3493.5480849339688</v>
      </c>
      <c r="FZ51" s="765">
        <f t="shared" si="112"/>
        <v>82463.776765463059</v>
      </c>
      <c r="GA51" s="765">
        <f t="shared" si="113"/>
        <v>102230.44666666667</v>
      </c>
      <c r="GB51" s="765">
        <f t="shared" si="114"/>
        <v>25.032621956196436</v>
      </c>
      <c r="GC51" s="765">
        <f t="shared" si="115"/>
        <v>66.759498690187911</v>
      </c>
      <c r="GD51" s="765">
        <f t="shared" si="116"/>
        <v>131.71486910994764</v>
      </c>
    </row>
    <row r="52" spans="1:186">
      <c r="A52" s="4">
        <v>43525</v>
      </c>
      <c r="B52" s="6">
        <v>2019</v>
      </c>
      <c r="C52" s="5">
        <v>3</v>
      </c>
      <c r="D52" s="7">
        <v>82243137.610608697</v>
      </c>
      <c r="E52" s="7">
        <f>IFERROR(VLOOKUP($B52-1,CDM!$V$4:$AJ$17,2,FALSE)/12,0)+IFERROR(VLOOKUP($B52,CDM!$V$41:$AJ$54,2,FALSE)/24,0)+IFERROR(VLOOKUP($B52,CDM!$V$41:$AJ$54,2,FALSE)/2*$C52/78,0)</f>
        <v>3751714.5699362406</v>
      </c>
      <c r="F52" s="7">
        <f t="shared" si="2"/>
        <v>85994852.180544943</v>
      </c>
      <c r="G52" s="7">
        <f>IFERROR(HLOOKUP(B52-1,'EV Forecast VRZ'!$F$124:$T$130,2,FALSE)/12,0)+IFERROR(((HLOOKUP(B52,'EV Forecast VRZ'!$F$116:$T$122,2,FALSE)-HLOOKUP(B52-1,'EV Forecast VRZ'!$F$124:$T$130,2,FALSE)))*C52/78,0)</f>
        <v>155493.59033073092</v>
      </c>
      <c r="H52" s="7">
        <f ca="1">HLOOKUP(B52,Heating!$C$102:$O$106,2,FALSE)*INDEX(Weather!$BO$1:$CB$20,MATCH(B52,Weather!$BO$1:$BO$20,0),MATCH(C52,Weather!$BO$1:$CB$1,0))/VLOOKUP(B52,Weather!$BO$2:$CB$20,14,FALSE)*
VLOOKUP('Monthly Data'!$B52,Weather!$BO$3:$CB$20,14,FALSE)/Weather!$CB$14</f>
        <v>115095.40006421958</v>
      </c>
      <c r="I52" s="7">
        <f t="shared" ca="1" si="3"/>
        <v>85724263.190149993</v>
      </c>
      <c r="J52" s="7">
        <v>1023136.51093</v>
      </c>
      <c r="K52" s="7">
        <f>IFERROR(VLOOKUP($B52-1,CDM!$V$4:$AJ$17,3,FALSE)/12,0)+IFERROR(VLOOKUP($B52,CDM!$V$41:$AJ$54,3,FALSE)/24,0)+IFERROR(VLOOKUP($B52,CDM!$V$41:$AJ$54,3,FALSE)/2*$C52/78,0)</f>
        <v>42971.401766218449</v>
      </c>
      <c r="L52" s="7">
        <f t="shared" si="4"/>
        <v>1066107.9126962184</v>
      </c>
      <c r="M52" s="7">
        <f>IFERROR(HLOOKUP(B52-1,'EV Forecast VRZ'!$F$124:$T$130,3,FALSE)/12,0)+IFERROR(((HLOOKUP(B52,'EV Forecast VRZ'!$F$116:$T$122,3,FALSE)-HLOOKUP(B52-1,'EV Forecast VRZ'!$F$124:$T$130,3,FALSE)))*C52/78,0)</f>
        <v>2115.3973615767422</v>
      </c>
      <c r="N52" s="7">
        <f ca="1">HLOOKUP(B52,Heating!$C$102:$O$106,3,FALSE)*INDEX(Weather!$BO$1:$CB$20,MATCH(B52,Weather!$BO$1:$BO$20,0),MATCH(C52,Weather!$BO$1:$CB$1,0))/VLOOKUP(B52,Weather!$BO$2:$CB$20,14,FALSE)*
VLOOKUP('Monthly Data'!$B52,Weather!$BO$3:$CB$20,14,FALSE)/Weather!$CB$14</f>
        <v>1623.4432904887574</v>
      </c>
      <c r="O52" s="7">
        <f t="shared" ca="1" si="5"/>
        <v>1062369.0720441528</v>
      </c>
      <c r="P52" s="7">
        <v>25432850.096450001</v>
      </c>
      <c r="Q52" s="7">
        <f>IFERROR(VLOOKUP($B52-1,CDM!$V$4:$AJ$17,4,FALSE)/12,0)+IFERROR(VLOOKUP($B52,CDM!$V$41:$AJ$54,4,FALSE)/24,0)+IFERROR(VLOOKUP($B52,CDM!$V$41:$AJ$54,4,FALSE)/2*$C52/78,0)</f>
        <v>1188441.2592569094</v>
      </c>
      <c r="R52" s="7">
        <f t="shared" si="6"/>
        <v>26621291.355706912</v>
      </c>
      <c r="S52" s="7">
        <f>IFERROR(HLOOKUP(B52-1,'EV Forecast VRZ'!$F$124:$T$130,4,FALSE)/12,0)+IFERROR(((HLOOKUP(B52,'EV Forecast VRZ'!$F$116:$T$122,4,FALSE)-HLOOKUP(B52-1,'EV Forecast VRZ'!$F$124:$T$130,4,FALSE)))*C52/78,0)</f>
        <v>19753.77230769231</v>
      </c>
      <c r="T52" s="7">
        <f ca="1">HLOOKUP(B52,Heating!$C$102:$O$106,4,FALSE)*INDEX(Weather!$BO$1:$CB$20,MATCH(B52,Weather!$BO$1:$BO$20,0),MATCH(C52,Weather!$BO$1:$CB$1,0))/VLOOKUP(B52,Weather!$BO$2:$CB$20,14,FALSE)*
VLOOKUP('Monthly Data'!$B52,Weather!$BO$3:$CB$20,14,FALSE)/Weather!$CB$14</f>
        <v>29350.856763277869</v>
      </c>
      <c r="U52" s="7">
        <f t="shared" ca="1" si="7"/>
        <v>26572186.72663594</v>
      </c>
      <c r="V52" s="7">
        <v>82786227.049999997</v>
      </c>
      <c r="W52" s="7">
        <f>IFERROR(VLOOKUP($B52-1,CDM!$V$4:$AJ$17,5,FALSE)/12,0)+IFERROR(VLOOKUP($B52,CDM!$V$41:$AJ$54,5,FALSE)/24,0)+IFERROR(VLOOKUP($B52,CDM!$V$41:$AJ$54,5,FALSE)/2*$C52/78,0)</f>
        <v>4184491.5904807304</v>
      </c>
      <c r="X52" s="7">
        <f t="shared" si="8"/>
        <v>86970718.640480727</v>
      </c>
      <c r="Y52" s="7">
        <f>IFERROR(HLOOKUP(B52-1,'EV Forecast VRZ'!$F$124:$T$130,5,FALSE)/12,0)+IFERROR(((HLOOKUP(B52,'EV Forecast VRZ'!$F$116:$T$122,5,FALSE)-HLOOKUP(B52-1,'EV Forecast VRZ'!$F$124:$T$130,5,FALSE)))*C52/78,0)</f>
        <v>8987.2744615384618</v>
      </c>
      <c r="Z52" s="7">
        <f ca="1">HLOOKUP(B52,Heating!$C$102:$O$106,5,FALSE)*INDEX(Weather!$BO$1:$CB$20,MATCH(B52,Weather!$BO$1:$BO$20,0),MATCH(C52,Weather!$BO$1:$CB$1,0))/VLOOKUP(B52,Weather!$BO$2:$CB$20,14,FALSE)*
VLOOKUP('Monthly Data'!$B52,Weather!$BO$3:$CB$20,14,FALSE)/Weather!$CB$14</f>
        <v>17309.761167820841</v>
      </c>
      <c r="AA52" s="7">
        <f t="shared" ca="1" si="9"/>
        <v>86944421.604851365</v>
      </c>
      <c r="AB52" s="7">
        <v>8407053.3300000001</v>
      </c>
      <c r="AC52" s="7">
        <f>IFERROR(VLOOKUP($B52-1,CDM!$V$4:$AJ$17,6,FALSE)/12,0)+IFERROR(VLOOKUP($B52,CDM!$V$41:$AJ$54,6,FALSE)/24,0)+IFERROR(VLOOKUP($B52,CDM!$V$41:$AJ$54,6,FALSE)/2*$C52/78,0)</f>
        <v>198251.91644009159</v>
      </c>
      <c r="AD52" s="7">
        <f t="shared" si="10"/>
        <v>8605305.2464400921</v>
      </c>
      <c r="AE52" s="7">
        <f>IFERROR(HLOOKUP(B52-1,'EV Forecast VRZ'!$F$124:$T$130,6,FALSE)/12,0)+IFERROR(((HLOOKUP(B52,'EV Forecast VRZ'!$F$116:$T$122,6,FALSE)-HLOOKUP(B52-1,'EV Forecast VRZ'!$F$124:$T$130,6,FALSE)))*C52/78,0)</f>
        <v>1379.9963076923075</v>
      </c>
      <c r="AF52" s="7">
        <f t="shared" si="11"/>
        <v>8603925.2501324005</v>
      </c>
      <c r="AG52" s="7">
        <v>20924316.300000001</v>
      </c>
      <c r="AH52" s="7">
        <f>IFERROR(VLOOKUP($B52-1,CDM!$V$4:$AJ$17,7,FALSE)/12,0)+IFERROR(VLOOKUP($B52,CDM!$V$41:$AJ$54,7,FALSE)/24,0)+IFERROR(VLOOKUP($B52,CDM!$V$41:$AJ$54,7,FALSE)/2*$C52/78,0)</f>
        <v>1506243.2812114628</v>
      </c>
      <c r="AI52" s="7">
        <f t="shared" si="12"/>
        <v>22430559.581211463</v>
      </c>
      <c r="AJ52" s="7">
        <f>IFERROR(HLOOKUP(B52-1,'EV Forecast VRZ'!$F$124:$T$130,7,FALSE)/12,0)+IFERROR(((HLOOKUP(B52,'EV Forecast VRZ'!$F$116:$T$122,7,FALSE)-HLOOKUP(B52-1,'EV Forecast VRZ'!$F$124:$T$130,7,FALSE)))*C52/78,0)</f>
        <v>0</v>
      </c>
      <c r="AK52" s="7">
        <f t="shared" si="13"/>
        <v>22430559.581211463</v>
      </c>
      <c r="AL52" s="7">
        <v>1270849.1200000001</v>
      </c>
      <c r="AM52" s="7">
        <v>18729.869999999995</v>
      </c>
      <c r="AN52" s="7">
        <v>403637.72</v>
      </c>
      <c r="AO52" s="5">
        <v>184035.83</v>
      </c>
      <c r="AP52" s="5">
        <v>16702.8</v>
      </c>
      <c r="AQ52" s="5">
        <v>34716</v>
      </c>
      <c r="AR52" s="5">
        <v>3236.78</v>
      </c>
      <c r="AS52" s="763">
        <f t="shared" si="121"/>
        <v>52.416666666666664</v>
      </c>
      <c r="AT52" s="776">
        <v>110482.25</v>
      </c>
      <c r="AU52" s="776">
        <v>1567.75</v>
      </c>
      <c r="AV52" s="776">
        <v>9168.2500000000018</v>
      </c>
      <c r="AW52" s="776">
        <v>1035.5000000000002</v>
      </c>
      <c r="AX52" s="776">
        <v>4</v>
      </c>
      <c r="AY52" s="776">
        <v>4</v>
      </c>
      <c r="AZ52" s="776">
        <v>31118.249999999996</v>
      </c>
      <c r="BA52" s="776">
        <v>394.24999999999994</v>
      </c>
      <c r="BB52" s="776">
        <v>812.25000000000011</v>
      </c>
      <c r="BC52" s="779">
        <v>27657368.994940098</v>
      </c>
      <c r="BD52" s="779">
        <f>IFERROR(VLOOKUP($B52-1,CDM!$V$4:$AJ$17,11,FALSE)/12,0)+IFERROR(VLOOKUP($B52,CDM!$V$41:$AJ$54,11,FALSE)/24,0)+IFERROR(VLOOKUP($B52,CDM!$V$41:$AJ$54,11,FALSE)/2*$C52/78,0)</f>
        <v>1890413.6524353623</v>
      </c>
      <c r="BE52" s="779">
        <f t="shared" si="71"/>
        <v>29547782.647375461</v>
      </c>
      <c r="BF52" s="779">
        <f>IFERROR(HLOOKUP(B52-1,'EV Forecast WRZ'!$F$124:$T$130,2,FALSE)/12,0)+IFERROR(((HLOOKUP(B52,'EV Forecast WRZ'!$F$116:$T$122,2,FALSE)-HLOOKUP(B52-1,'EV Forecast WRZ'!$F$124:$T$130,2,FALSE)))*C52/78,0)</f>
        <v>44746.203205128215</v>
      </c>
      <c r="BG52" s="779">
        <f ca="1">HLOOKUP(B52,Heating!$R$102:$AD$106,2,FALSE)*INDEX(Weather!$BO$1:$CB$20,MATCH(B52,Weather!$BO$1:$BO$20,0),MATCH(C52,Weather!$BO$1:$CB$1,0))/VLOOKUP(B52,Weather!$BO$2:$CB$20,14,FALSE)*
VLOOKUP('Monthly Data'!$B52,Weather!$BO$3:$CB$20,14,FALSE)/Weather!$CB$14</f>
        <v>42427.134289166745</v>
      </c>
      <c r="BH52" s="779">
        <f t="shared" ca="1" si="15"/>
        <v>29460609.309881166</v>
      </c>
      <c r="BI52" s="779">
        <v>7968387.1239299905</v>
      </c>
      <c r="BJ52" s="779">
        <f>IFERROR(VLOOKUP($B52-1,CDM!$V$4:$AJ$17,12,FALSE)/12,0)+IFERROR(VLOOKUP($B52,CDM!$V$41:$AJ$54,12,FALSE)/24,0)+IFERROR(VLOOKUP($B52,CDM!$V$41:$AJ$54,12,FALSE)/2*$C52/78,0)</f>
        <v>199496.81699921668</v>
      </c>
      <c r="BK52" s="779">
        <f t="shared" si="16"/>
        <v>8167883.940929207</v>
      </c>
      <c r="BL52" s="779">
        <f>IFERROR(HLOOKUP(B52-1,'EV Forecast WRZ'!$F$124:$T$130,3,FALSE)/12,0)+IFERROR(((HLOOKUP(B52,'EV Forecast WRZ'!$F$116:$T$122,3,FALSE)-HLOOKUP(B52-1,'EV Forecast WRZ'!$F$124:$T$130,3,FALSE)))*C52/78,0)</f>
        <v>5634.8474358974363</v>
      </c>
      <c r="BM52" s="779">
        <f ca="1">HLOOKUP(B52,Heating!$R$102:$AD$106,4,FALSE)*INDEX(Weather!$BO$1:$CB$20,MATCH(B52,Weather!$BO$1:$BO$20,0),MATCH(C52,Weather!$BO$1:$CB$1,0))/VLOOKUP(B52,Weather!$BO$2:$CB$20,14,FALSE)*
VLOOKUP('Monthly Data'!$B52,Weather!$BO$3:$CB$20,14,FALSE)/Weather!$CB$14</f>
        <v>7207.9080878280356</v>
      </c>
      <c r="BN52" s="779">
        <f t="shared" ca="1" si="17"/>
        <v>8155041.1854054816</v>
      </c>
      <c r="BO52" s="779">
        <v>28924320.140000001</v>
      </c>
      <c r="BP52" s="779">
        <f>IFERROR(VLOOKUP($B52-1,CDM!$V$4:$AJ$17,13,FALSE)/12,0)+IFERROR(VLOOKUP($B52,CDM!$V$41:$AJ$54,13,FALSE)/24,0)+IFERROR(VLOOKUP($B52,CDM!$V$41:$AJ$54,13,FALSE)/2*$C52/78,0)</f>
        <v>1390902.887910693</v>
      </c>
      <c r="BQ52" s="779">
        <f t="shared" si="19"/>
        <v>30315223.027910694</v>
      </c>
      <c r="BR52" s="779">
        <f>IFERROR(HLOOKUP(B52-1,'EV Forecast WRZ'!$F$124:$T$130,4,FALSE)/12,0)+IFERROR(((HLOOKUP(B52,'EV Forecast WRZ'!$F$116:$T$122,4,FALSE)-HLOOKUP(B52-1,'EV Forecast WRZ'!$F$124:$T$130,4,FALSE)))*C52/78,0)</f>
        <v>2565.6813461538463</v>
      </c>
      <c r="BS52" s="779">
        <f ca="1">HLOOKUP(B52,Heating!$R$102:$AD$106,5,FALSE)*INDEX(Weather!$BO$1:$CB$20,MATCH(B52,Weather!$BO$1:$BO$20,0),MATCH(C52,Weather!$BO$1:$CB$1,0))/VLOOKUP(B52,Weather!$BO$2:$CB$20,14,FALSE)*
VLOOKUP('Monthly Data'!$B52,Weather!$BO$3:$CB$20,14,FALSE)/Weather!$CB$14</f>
        <v>5133.7986848355622</v>
      </c>
      <c r="BT52" s="779">
        <f t="shared" ca="1" si="20"/>
        <v>30307523.547879703</v>
      </c>
      <c r="BU52" s="779">
        <v>6964289.1900000004</v>
      </c>
      <c r="BV52" s="779">
        <f>IFERROR(VLOOKUP($B52-1,CDM!$V$4:$AJ$17,14,FALSE)/12,0)+IFERROR(VLOOKUP($B52,CDM!$V$41:$AJ$54,14,FALSE)/24,0)+IFERROR(VLOOKUP($B52,CDM!$V$41:$AJ$54,14,FALSE)/2*$C52/78,0)</f>
        <v>312705.78601740469</v>
      </c>
      <c r="BW52" s="779">
        <f t="shared" si="21"/>
        <v>7276994.9760174053</v>
      </c>
      <c r="BX52" s="779">
        <f>IFERROR(HLOOKUP(B52-1,'EV Forecast WRZ'!$F$124:$T$130,5,FALSE)/12,0)+IFERROR(((HLOOKUP(B52,'EV Forecast WRZ'!$F$116:$T$122,5,FALSE)-HLOOKUP(B52-1,'EV Forecast WRZ'!$F$124:$T$130,5,FALSE)))*C52/78,0)</f>
        <v>401.74237179487181</v>
      </c>
      <c r="BY52" s="779">
        <f t="shared" si="72"/>
        <v>7276593.2336456105</v>
      </c>
      <c r="BZ52" s="779">
        <v>290753.36</v>
      </c>
      <c r="CA52" s="779">
        <v>2470.1014515369525</v>
      </c>
      <c r="CB52" s="5">
        <v>50315.08</v>
      </c>
      <c r="CC52" s="5">
        <v>66145.84</v>
      </c>
      <c r="CD52" s="5">
        <v>13052.47</v>
      </c>
      <c r="CE52" s="5">
        <v>752.88</v>
      </c>
      <c r="CF52" s="763">
        <f t="shared" si="122"/>
        <v>7.166666666666667</v>
      </c>
      <c r="CG52" s="785">
        <v>40563.250000000007</v>
      </c>
      <c r="CH52" s="785">
        <v>2257.2500000000005</v>
      </c>
      <c r="CI52" s="785">
        <v>377</v>
      </c>
      <c r="CJ52" s="785">
        <v>3</v>
      </c>
      <c r="CK52" s="785">
        <v>12286.500000000002</v>
      </c>
      <c r="CL52" s="785">
        <v>37</v>
      </c>
      <c r="CM52" s="785">
        <v>382.5</v>
      </c>
      <c r="CN52" s="46">
        <f>Weather!C64</f>
        <v>673.45833333333326</v>
      </c>
      <c r="CO52" s="46">
        <f>Weather!D64</f>
        <v>0</v>
      </c>
      <c r="CP52" s="46">
        <f>Weather!E64</f>
        <v>611.45833333333337</v>
      </c>
      <c r="CQ52" s="46">
        <f>Weather!F64</f>
        <v>0</v>
      </c>
      <c r="CR52" s="46">
        <f>Weather!G64</f>
        <v>549.45833333333326</v>
      </c>
      <c r="CS52" s="46">
        <f>Weather!H64</f>
        <v>0</v>
      </c>
      <c r="CT52" s="46">
        <f>Weather!I64</f>
        <v>487.45833333333331</v>
      </c>
      <c r="CU52" s="46">
        <f>Weather!J64</f>
        <v>0</v>
      </c>
      <c r="CV52" s="46">
        <f>Weather!K64</f>
        <v>425.45833333333326</v>
      </c>
      <c r="CW52" s="46">
        <f>Weather!L64</f>
        <v>0</v>
      </c>
      <c r="CX52" s="46">
        <f>Weather!M64</f>
        <v>363.45833333333326</v>
      </c>
      <c r="CY52" s="46">
        <f>Weather!N64</f>
        <v>0</v>
      </c>
      <c r="CZ52" s="46">
        <f>Weather!O64</f>
        <v>301.45833333333326</v>
      </c>
      <c r="DA52" s="46">
        <f>Weather!P64</f>
        <v>0</v>
      </c>
      <c r="DB52" s="368">
        <f>'Economic Data'!D66</f>
        <v>7341.9</v>
      </c>
      <c r="DC52" s="368">
        <f>'Economic Data'!E66</f>
        <v>7239.5</v>
      </c>
      <c r="DD52" s="368">
        <f>'Economic Data'!F66</f>
        <v>220.1</v>
      </c>
      <c r="DE52" s="368">
        <f>'Economic Data'!G66</f>
        <v>218.5</v>
      </c>
      <c r="DF52" s="368">
        <f>'Economic Data'!H66</f>
        <v>60.6</v>
      </c>
      <c r="DG52" s="368">
        <f>'Economic Data'!I66</f>
        <v>60.6</v>
      </c>
      <c r="DH52" s="368">
        <f>'Economic Data'!J66</f>
        <v>807274.5</v>
      </c>
      <c r="DI52" s="368">
        <f>'Economic Data'!K66</f>
        <v>626103.1</v>
      </c>
      <c r="DJ52" s="368">
        <f>'Economic Data'!L66</f>
        <v>94599.6</v>
      </c>
      <c r="DK52" s="368">
        <f>'Economic Data'!M66</f>
        <v>32860.800000000003</v>
      </c>
      <c r="DL52" s="368">
        <f>'Economic Data'!N66</f>
        <v>800724</v>
      </c>
      <c r="DM52" s="368">
        <f>'Economic Data'!O66</f>
        <v>95863</v>
      </c>
      <c r="DN52" s="368">
        <f>'Economic Data'!P66</f>
        <v>19895</v>
      </c>
      <c r="DO52" s="368">
        <f>'Economic Data'!Q66</f>
        <v>619045</v>
      </c>
      <c r="DP52" s="368">
        <f>'Economic Data'!R66</f>
        <v>31743</v>
      </c>
      <c r="DQ52">
        <v>31</v>
      </c>
      <c r="DR52">
        <v>22</v>
      </c>
      <c r="DS52">
        <v>0</v>
      </c>
      <c r="DT52">
        <v>0</v>
      </c>
      <c r="DU52">
        <v>1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1</v>
      </c>
      <c r="EF52">
        <v>0</v>
      </c>
      <c r="EG52">
        <v>1</v>
      </c>
      <c r="EH52">
        <f t="shared" si="69"/>
        <v>51</v>
      </c>
      <c r="EI52">
        <v>0</v>
      </c>
      <c r="EJ52">
        <v>0</v>
      </c>
      <c r="EK52">
        <v>0</v>
      </c>
      <c r="EL52">
        <v>0</v>
      </c>
      <c r="EM52" s="47">
        <f t="shared" si="73"/>
        <v>0</v>
      </c>
      <c r="EN52" s="47">
        <f t="shared" si="74"/>
        <v>0</v>
      </c>
      <c r="EO52" s="47">
        <f t="shared" si="75"/>
        <v>0</v>
      </c>
      <c r="EP52" s="47">
        <f t="shared" si="76"/>
        <v>0</v>
      </c>
      <c r="EQ52" s="47">
        <f t="shared" si="77"/>
        <v>0</v>
      </c>
      <c r="ER52" s="47">
        <f t="shared" si="78"/>
        <v>0</v>
      </c>
      <c r="ES52" s="47">
        <f t="shared" si="79"/>
        <v>0</v>
      </c>
      <c r="ET52" s="47">
        <f t="shared" si="80"/>
        <v>0</v>
      </c>
      <c r="EU52" s="47">
        <f t="shared" si="81"/>
        <v>0</v>
      </c>
      <c r="EV52" s="47">
        <f t="shared" si="82"/>
        <v>0</v>
      </c>
      <c r="EW52" s="47">
        <f t="shared" si="83"/>
        <v>0</v>
      </c>
      <c r="EX52" s="47">
        <f t="shared" si="84"/>
        <v>0</v>
      </c>
      <c r="EY52" s="47">
        <f t="shared" si="85"/>
        <v>0</v>
      </c>
      <c r="EZ52" s="47">
        <f t="shared" si="86"/>
        <v>0</v>
      </c>
      <c r="FA52" s="47">
        <f t="shared" si="87"/>
        <v>0</v>
      </c>
      <c r="FB52" s="47">
        <f t="shared" si="88"/>
        <v>0</v>
      </c>
      <c r="FC52" s="47">
        <f t="shared" si="89"/>
        <v>0</v>
      </c>
      <c r="FD52" s="47">
        <f t="shared" si="90"/>
        <v>0</v>
      </c>
      <c r="FE52" s="47">
        <f t="shared" si="91"/>
        <v>0</v>
      </c>
      <c r="FF52" s="47">
        <f t="shared" si="92"/>
        <v>0</v>
      </c>
      <c r="FG52" s="47">
        <f t="shared" si="93"/>
        <v>0</v>
      </c>
      <c r="FH52" s="47">
        <f t="shared" si="94"/>
        <v>0</v>
      </c>
      <c r="FI52" s="47">
        <f t="shared" si="95"/>
        <v>0</v>
      </c>
      <c r="FJ52" s="47">
        <f t="shared" si="96"/>
        <v>0</v>
      </c>
      <c r="FK52" s="47">
        <f t="shared" si="97"/>
        <v>0</v>
      </c>
      <c r="FL52" s="47">
        <f t="shared" si="98"/>
        <v>0</v>
      </c>
      <c r="FM52" s="47">
        <f t="shared" si="99"/>
        <v>0</v>
      </c>
      <c r="FN52" s="47">
        <f t="shared" si="100"/>
        <v>0</v>
      </c>
      <c r="FO52" s="765">
        <f t="shared" ca="1" si="101"/>
        <v>775.90982433965632</v>
      </c>
      <c r="FP52" s="765">
        <f t="shared" si="102"/>
        <v>680.02418287113278</v>
      </c>
      <c r="FQ52" s="765">
        <f t="shared" si="103"/>
        <v>2903.6393374642821</v>
      </c>
      <c r="FR52" s="765">
        <f t="shared" si="104"/>
        <v>83989.105398822503</v>
      </c>
      <c r="FS52" s="765">
        <f t="shared" si="105"/>
        <v>2151326.311610023</v>
      </c>
      <c r="FT52" s="765">
        <f t="shared" si="106"/>
        <v>5607639.8953028657</v>
      </c>
      <c r="FU52" s="765">
        <f t="shared" si="107"/>
        <v>40.839350541884592</v>
      </c>
      <c r="FV52" s="765">
        <f t="shared" si="108"/>
        <v>47.507596702599869</v>
      </c>
      <c r="FW52" s="765">
        <f t="shared" si="109"/>
        <v>496.9377900892581</v>
      </c>
      <c r="FX52" s="765">
        <f t="shared" si="110"/>
        <v>728.43725903066093</v>
      </c>
      <c r="FY52" s="765">
        <f t="shared" si="111"/>
        <v>3618.5109938771539</v>
      </c>
      <c r="FZ52" s="765">
        <f t="shared" si="112"/>
        <v>80411.732169524388</v>
      </c>
      <c r="GA52" s="765">
        <f t="shared" si="113"/>
        <v>96917.786666666667</v>
      </c>
      <c r="GB52" s="765">
        <f t="shared" si="114"/>
        <v>23.664457738167904</v>
      </c>
      <c r="GC52" s="765">
        <f t="shared" si="115"/>
        <v>66.759498690187911</v>
      </c>
      <c r="GD52" s="765">
        <f t="shared" si="116"/>
        <v>131.54269281045751</v>
      </c>
    </row>
    <row r="53" spans="1:186">
      <c r="A53" s="4">
        <v>43556</v>
      </c>
      <c r="B53" s="6">
        <v>2019</v>
      </c>
      <c r="C53" s="5">
        <v>4</v>
      </c>
      <c r="D53" s="7">
        <v>68498819.614160195</v>
      </c>
      <c r="E53" s="7">
        <f>IFERROR(VLOOKUP($B53-1,CDM!$V$4:$AJ$17,2,FALSE)/12,0)+IFERROR(VLOOKUP($B53,CDM!$V$41:$AJ$54,2,FALSE)/24,0)+IFERROR(VLOOKUP($B53,CDM!$V$41:$AJ$54,2,FALSE)/2*$C53/78,0)</f>
        <v>3771137.424298679</v>
      </c>
      <c r="F53" s="7">
        <f t="shared" si="2"/>
        <v>72269957.038458869</v>
      </c>
      <c r="G53" s="7">
        <f>IFERROR(HLOOKUP(B53-1,'EV Forecast VRZ'!$F$124:$T$130,2,FALSE)/12,0)+IFERROR(((HLOOKUP(B53,'EV Forecast VRZ'!$F$116:$T$122,2,FALSE)-HLOOKUP(B53-1,'EV Forecast VRZ'!$F$124:$T$130,2,FALSE)))*C53/78,0)</f>
        <v>159621.60045102835</v>
      </c>
      <c r="H53" s="7">
        <f ca="1">HLOOKUP(B53,Heating!$C$102:$O$106,2,FALSE)*INDEX(Weather!$BO$1:$CB$20,MATCH(B53,Weather!$BO$1:$BO$20,0),MATCH(C53,Weather!$BO$1:$CB$1,0))/VLOOKUP(B53,Weather!$BO$2:$CB$20,14,FALSE)*
VLOOKUP('Monthly Data'!$B53,Weather!$BO$3:$CB$20,14,FALSE)/Weather!$CB$14</f>
        <v>69015.672364232567</v>
      </c>
      <c r="I53" s="7">
        <f t="shared" ca="1" si="3"/>
        <v>72041319.765643612</v>
      </c>
      <c r="J53" s="7">
        <v>747853.13806999999</v>
      </c>
      <c r="K53" s="7">
        <f>IFERROR(VLOOKUP($B53-1,CDM!$V$4:$AJ$17,3,FALSE)/12,0)+IFERROR(VLOOKUP($B53,CDM!$V$41:$AJ$54,3,FALSE)/24,0)+IFERROR(VLOOKUP($B53,CDM!$V$41:$AJ$54,3,FALSE)/2*$C53/78,0)</f>
        <v>43193.867325017418</v>
      </c>
      <c r="L53" s="7">
        <f t="shared" si="4"/>
        <v>791047.00539501745</v>
      </c>
      <c r="M53" s="7">
        <f>IFERROR(HLOOKUP(B53-1,'EV Forecast VRZ'!$F$124:$T$130,3,FALSE)/12,0)+IFERROR(((HLOOKUP(B53,'EV Forecast VRZ'!$F$116:$T$122,3,FALSE)-HLOOKUP(B53-1,'EV Forecast VRZ'!$F$124:$T$130,3,FALSE)))*C53/78,0)</f>
        <v>2171.5564720485354</v>
      </c>
      <c r="N53" s="7">
        <f ca="1">HLOOKUP(B53,Heating!$C$102:$O$106,3,FALSE)*INDEX(Weather!$BO$1:$CB$20,MATCH(B53,Weather!$BO$1:$BO$20,0),MATCH(C53,Weather!$BO$1:$CB$1,0))/VLOOKUP(B53,Weather!$BO$2:$CB$20,14,FALSE)*
VLOOKUP('Monthly Data'!$B53,Weather!$BO$3:$CB$20,14,FALSE)/Weather!$CB$14</f>
        <v>973.47965405886987</v>
      </c>
      <c r="O53" s="7">
        <f t="shared" ca="1" si="5"/>
        <v>787901.96926891012</v>
      </c>
      <c r="P53" s="7">
        <v>23076969.784390099</v>
      </c>
      <c r="Q53" s="7">
        <f>IFERROR(VLOOKUP($B53-1,CDM!$V$4:$AJ$17,4,FALSE)/12,0)+IFERROR(VLOOKUP($B53,CDM!$V$41:$AJ$54,4,FALSE)/24,0)+IFERROR(VLOOKUP($B53,CDM!$V$41:$AJ$54,4,FALSE)/2*$C53/78,0)</f>
        <v>1207966.6427724345</v>
      </c>
      <c r="R53" s="7">
        <f t="shared" si="6"/>
        <v>24284936.427162535</v>
      </c>
      <c r="S53" s="7">
        <f>IFERROR(HLOOKUP(B53-1,'EV Forecast VRZ'!$F$124:$T$130,4,FALSE)/12,0)+IFERROR(((HLOOKUP(B53,'EV Forecast VRZ'!$F$116:$T$122,4,FALSE)-HLOOKUP(B53-1,'EV Forecast VRZ'!$F$124:$T$130,4,FALSE)))*C53/78,0)</f>
        <v>20248.403076923081</v>
      </c>
      <c r="T53" s="7">
        <f ca="1">HLOOKUP(B53,Heating!$C$102:$O$106,4,FALSE)*INDEX(Weather!$BO$1:$CB$20,MATCH(B53,Weather!$BO$1:$BO$20,0),MATCH(C53,Weather!$BO$1:$CB$1,0))/VLOOKUP(B53,Weather!$BO$2:$CB$20,14,FALSE)*
VLOOKUP('Monthly Data'!$B53,Weather!$BO$3:$CB$20,14,FALSE)/Weather!$CB$14</f>
        <v>17599.913748539435</v>
      </c>
      <c r="U53" s="7">
        <f t="shared" ca="1" si="7"/>
        <v>24247088.110337071</v>
      </c>
      <c r="V53" s="7">
        <v>75104705.489999995</v>
      </c>
      <c r="W53" s="7">
        <f>IFERROR(VLOOKUP($B53-1,CDM!$V$4:$AJ$17,5,FALSE)/12,0)+IFERROR(VLOOKUP($B53,CDM!$V$41:$AJ$54,5,FALSE)/24,0)+IFERROR(VLOOKUP($B53,CDM!$V$41:$AJ$54,5,FALSE)/2*$C53/78,0)</f>
        <v>4254653.2142211376</v>
      </c>
      <c r="X53" s="7">
        <f t="shared" si="8"/>
        <v>79359358.704221129</v>
      </c>
      <c r="Y53" s="7">
        <f>IFERROR(HLOOKUP(B53-1,'EV Forecast VRZ'!$F$124:$T$130,5,FALSE)/12,0)+IFERROR(((HLOOKUP(B53,'EV Forecast VRZ'!$F$116:$T$122,5,FALSE)-HLOOKUP(B53-1,'EV Forecast VRZ'!$F$124:$T$130,5,FALSE)))*C53/78,0)</f>
        <v>9210.0506153846163</v>
      </c>
      <c r="Z53" s="7">
        <f ca="1">HLOOKUP(B53,Heating!$C$102:$O$106,5,FALSE)*INDEX(Weather!$BO$1:$CB$20,MATCH(B53,Weather!$BO$1:$BO$20,0),MATCH(C53,Weather!$BO$1:$CB$1,0))/VLOOKUP(B53,Weather!$BO$2:$CB$20,14,FALSE)*
VLOOKUP('Monthly Data'!$B53,Weather!$BO$3:$CB$20,14,FALSE)/Weather!$CB$14</f>
        <v>10379.60513447857</v>
      </c>
      <c r="AA53" s="7">
        <f t="shared" ca="1" si="9"/>
        <v>79339769.048471272</v>
      </c>
      <c r="AB53" s="7">
        <v>7947712.4500000002</v>
      </c>
      <c r="AC53" s="7">
        <f>IFERROR(VLOOKUP($B53-1,CDM!$V$4:$AJ$17,6,FALSE)/12,0)+IFERROR(VLOOKUP($B53,CDM!$V$41:$AJ$54,6,FALSE)/24,0)+IFERROR(VLOOKUP($B53,CDM!$V$41:$AJ$54,6,FALSE)/2*$C53/78,0)</f>
        <v>201686.93467415025</v>
      </c>
      <c r="AD53" s="7">
        <f t="shared" si="10"/>
        <v>8149399.3846741505</v>
      </c>
      <c r="AE53" s="7">
        <f>IFERROR(HLOOKUP(B53-1,'EV Forecast VRZ'!$F$124:$T$130,6,FALSE)/12,0)+IFERROR(((HLOOKUP(B53,'EV Forecast VRZ'!$F$116:$T$122,6,FALSE)-HLOOKUP(B53-1,'EV Forecast VRZ'!$F$124:$T$130,6,FALSE)))*C53/78,0)</f>
        <v>1405.4970769230767</v>
      </c>
      <c r="AF53" s="7">
        <f t="shared" si="11"/>
        <v>8147993.8875972275</v>
      </c>
      <c r="AG53" s="7">
        <v>21160766.530000001</v>
      </c>
      <c r="AH53" s="7">
        <f>IFERROR(VLOOKUP($B53-1,CDM!$V$4:$AJ$17,7,FALSE)/12,0)+IFERROR(VLOOKUP($B53,CDM!$V$41:$AJ$54,7,FALSE)/24,0)+IFERROR(VLOOKUP($B53,CDM!$V$41:$AJ$54,7,FALSE)/2*$C53/78,0)</f>
        <v>1522290.5652030441</v>
      </c>
      <c r="AI53" s="7">
        <f t="shared" si="12"/>
        <v>22683057.095203046</v>
      </c>
      <c r="AJ53" s="7">
        <f>IFERROR(HLOOKUP(B53-1,'EV Forecast VRZ'!$F$124:$T$130,7,FALSE)/12,0)+IFERROR(((HLOOKUP(B53,'EV Forecast VRZ'!$F$116:$T$122,7,FALSE)-HLOOKUP(B53-1,'EV Forecast VRZ'!$F$124:$T$130,7,FALSE)))*C53/78,0)</f>
        <v>0</v>
      </c>
      <c r="AK53" s="7">
        <f t="shared" si="13"/>
        <v>22683057.095203046</v>
      </c>
      <c r="AL53" s="7">
        <v>1016013.42</v>
      </c>
      <c r="AM53" s="7">
        <v>19141.36</v>
      </c>
      <c r="AN53" s="7">
        <v>404820.08</v>
      </c>
      <c r="AO53" s="5">
        <v>179854.13</v>
      </c>
      <c r="AP53" s="5">
        <v>16754.57</v>
      </c>
      <c r="AQ53" s="5">
        <v>35070</v>
      </c>
      <c r="AR53" s="5">
        <v>3077.2</v>
      </c>
      <c r="AS53" s="763">
        <f t="shared" si="121"/>
        <v>52.416666666666664</v>
      </c>
      <c r="AT53" s="776">
        <v>110619</v>
      </c>
      <c r="AU53" s="776">
        <v>1567</v>
      </c>
      <c r="AV53" s="776">
        <v>9179.3333333333358</v>
      </c>
      <c r="AW53" s="776">
        <v>1033.666666666667</v>
      </c>
      <c r="AX53" s="776">
        <v>4</v>
      </c>
      <c r="AY53" s="776">
        <v>4</v>
      </c>
      <c r="AZ53" s="776">
        <v>31125.333333333328</v>
      </c>
      <c r="BA53" s="776">
        <v>379.33333333333326</v>
      </c>
      <c r="BB53" s="776">
        <v>811.33333333333348</v>
      </c>
      <c r="BC53" s="779">
        <v>24051429.4798701</v>
      </c>
      <c r="BD53" s="779">
        <f>IFERROR(VLOOKUP($B53-1,CDM!$V$4:$AJ$17,11,FALSE)/12,0)+IFERROR(VLOOKUP($B53,CDM!$V$41:$AJ$54,11,FALSE)/24,0)+IFERROR(VLOOKUP($B53,CDM!$V$41:$AJ$54,11,FALSE)/2*$C53/78,0)</f>
        <v>1898613.2019592761</v>
      </c>
      <c r="BE53" s="779">
        <f t="shared" si="71"/>
        <v>25950042.681829374</v>
      </c>
      <c r="BF53" s="779">
        <f>IFERROR(HLOOKUP(B53-1,'EV Forecast WRZ'!$F$124:$T$130,2,FALSE)/12,0)+IFERROR(((HLOOKUP(B53,'EV Forecast WRZ'!$F$116:$T$122,2,FALSE)-HLOOKUP(B53-1,'EV Forecast WRZ'!$F$124:$T$130,2,FALSE)))*C53/78,0)</f>
        <v>46246.540384615393</v>
      </c>
      <c r="BG53" s="779">
        <f ca="1">HLOOKUP(B53,Heating!$R$102:$AD$106,2,FALSE)*INDEX(Weather!$BO$1:$CB$20,MATCH(B53,Weather!$BO$1:$BO$20,0),MATCH(C53,Weather!$BO$1:$CB$1,0))/VLOOKUP(B53,Weather!$BO$2:$CB$20,14,FALSE)*
VLOOKUP('Monthly Data'!$B53,Weather!$BO$3:$CB$20,14,FALSE)/Weather!$CB$14</f>
        <v>25440.957656175844</v>
      </c>
      <c r="BH53" s="779">
        <f t="shared" ca="1" si="15"/>
        <v>25878355.183788583</v>
      </c>
      <c r="BI53" s="779">
        <v>6871603.43636999</v>
      </c>
      <c r="BJ53" s="779">
        <f>IFERROR(VLOOKUP($B53-1,CDM!$V$4:$AJ$17,12,FALSE)/12,0)+IFERROR(VLOOKUP($B53,CDM!$V$41:$AJ$54,12,FALSE)/24,0)+IFERROR(VLOOKUP($B53,CDM!$V$41:$AJ$54,12,FALSE)/2*$C53/78,0)</f>
        <v>201383.62855323311</v>
      </c>
      <c r="BK53" s="779">
        <f t="shared" si="16"/>
        <v>7072987.0649232231</v>
      </c>
      <c r="BL53" s="779">
        <f>IFERROR(HLOOKUP(B53-1,'EV Forecast WRZ'!$F$124:$T$130,3,FALSE)/12,0)+IFERROR(((HLOOKUP(B53,'EV Forecast WRZ'!$F$116:$T$122,3,FALSE)-HLOOKUP(B53-1,'EV Forecast WRZ'!$F$124:$T$130,3,FALSE)))*C53/78,0)</f>
        <v>5811.3576923076926</v>
      </c>
      <c r="BM53" s="779">
        <f ca="1">HLOOKUP(B53,Heating!$R$102:$AD$106,4,FALSE)*INDEX(Weather!$BO$1:$CB$20,MATCH(B53,Weather!$BO$1:$BO$20,0),MATCH(C53,Weather!$BO$1:$CB$1,0))/VLOOKUP(B53,Weather!$BO$2:$CB$20,14,FALSE)*
VLOOKUP('Monthly Data'!$B53,Weather!$BO$3:$CB$20,14,FALSE)/Weather!$CB$14</f>
        <v>4322.1416559087129</v>
      </c>
      <c r="BN53" s="779">
        <f t="shared" ca="1" si="17"/>
        <v>7062853.5655750064</v>
      </c>
      <c r="BO53" s="779">
        <v>27476847.510000002</v>
      </c>
      <c r="BP53" s="779">
        <f>IFERROR(VLOOKUP($B53-1,CDM!$V$4:$AJ$17,13,FALSE)/12,0)+IFERROR(VLOOKUP($B53,CDM!$V$41:$AJ$54,13,FALSE)/24,0)+IFERROR(VLOOKUP($B53,CDM!$V$41:$AJ$54,13,FALSE)/2*$C53/78,0)</f>
        <v>1427052.8952418142</v>
      </c>
      <c r="BQ53" s="779">
        <f t="shared" si="19"/>
        <v>28903900.405241817</v>
      </c>
      <c r="BR53" s="779">
        <f>IFERROR(HLOOKUP(B53-1,'EV Forecast WRZ'!$F$124:$T$130,4,FALSE)/12,0)+IFERROR(((HLOOKUP(B53,'EV Forecast WRZ'!$F$116:$T$122,4,FALSE)-HLOOKUP(B53-1,'EV Forecast WRZ'!$F$124:$T$130,4,FALSE)))*C53/78,0)</f>
        <v>2645.1109615384617</v>
      </c>
      <c r="BS53" s="779">
        <f ca="1">HLOOKUP(B53,Heating!$R$102:$AD$106,5,FALSE)*INDEX(Weather!$BO$1:$CB$20,MATCH(B53,Weather!$BO$1:$BO$20,0),MATCH(C53,Weather!$BO$1:$CB$1,0))/VLOOKUP(B53,Weather!$BO$2:$CB$20,14,FALSE)*
VLOOKUP('Monthly Data'!$B53,Weather!$BO$3:$CB$20,14,FALSE)/Weather!$CB$14</f>
        <v>3078.4250962144797</v>
      </c>
      <c r="BT53" s="779">
        <f t="shared" ca="1" si="20"/>
        <v>28898176.869184066</v>
      </c>
      <c r="BU53" s="779">
        <v>6548612.4100000001</v>
      </c>
      <c r="BV53" s="779">
        <f>IFERROR(VLOOKUP($B53-1,CDM!$V$4:$AJ$17,14,FALSE)/12,0)+IFERROR(VLOOKUP($B53,CDM!$V$41:$AJ$54,14,FALSE)/24,0)+IFERROR(VLOOKUP($B53,CDM!$V$41:$AJ$54,14,FALSE)/2*$C53/78,0)</f>
        <v>320833.10860424151</v>
      </c>
      <c r="BW53" s="779">
        <f t="shared" si="21"/>
        <v>6869445.5186042413</v>
      </c>
      <c r="BX53" s="779">
        <f>IFERROR(HLOOKUP(B53-1,'EV Forecast WRZ'!$F$124:$T$130,5,FALSE)/12,0)+IFERROR(((HLOOKUP(B53,'EV Forecast WRZ'!$F$116:$T$122,5,FALSE)-HLOOKUP(B53-1,'EV Forecast WRZ'!$F$124:$T$130,5,FALSE)))*C53/78,0)</f>
        <v>410.56788461538463</v>
      </c>
      <c r="BY53" s="779">
        <f t="shared" si="72"/>
        <v>6869034.9507196257</v>
      </c>
      <c r="BZ53" s="779">
        <v>258160.07</v>
      </c>
      <c r="CA53" s="779">
        <v>2470.1014515369525</v>
      </c>
      <c r="CB53" s="5">
        <v>50315.08</v>
      </c>
      <c r="CC53" s="5">
        <v>64147.17</v>
      </c>
      <c r="CD53" s="5">
        <v>12385.95</v>
      </c>
      <c r="CE53" s="5">
        <v>737.12</v>
      </c>
      <c r="CF53" s="763">
        <f t="shared" si="122"/>
        <v>7.166666666666667</v>
      </c>
      <c r="CG53" s="785">
        <v>40660.333333333343</v>
      </c>
      <c r="CH53" s="785">
        <v>2258.3333333333339</v>
      </c>
      <c r="CI53" s="785">
        <v>377</v>
      </c>
      <c r="CJ53" s="785">
        <v>3</v>
      </c>
      <c r="CK53" s="785">
        <v>12321.333333333336</v>
      </c>
      <c r="CL53" s="785">
        <v>37</v>
      </c>
      <c r="CM53" s="785">
        <v>383</v>
      </c>
      <c r="CN53" s="46">
        <f>Weather!C65</f>
        <v>426.6541666666667</v>
      </c>
      <c r="CO53" s="46">
        <f>Weather!D65</f>
        <v>0</v>
      </c>
      <c r="CP53" s="46">
        <f>Weather!E65</f>
        <v>366.65416666666664</v>
      </c>
      <c r="CQ53" s="46">
        <f>Weather!F65</f>
        <v>0</v>
      </c>
      <c r="CR53" s="46">
        <f>Weather!G65</f>
        <v>306.65416666666664</v>
      </c>
      <c r="CS53" s="46">
        <f>Weather!H65</f>
        <v>0</v>
      </c>
      <c r="CT53" s="46">
        <f>Weather!I65</f>
        <v>246.6541666666667</v>
      </c>
      <c r="CU53" s="46">
        <f>Weather!J65</f>
        <v>0</v>
      </c>
      <c r="CV53" s="46">
        <f>Weather!K65</f>
        <v>187.50000000000003</v>
      </c>
      <c r="CW53" s="46">
        <f>Weather!L65</f>
        <v>0.84583333333333144</v>
      </c>
      <c r="CX53" s="46">
        <f>Weather!M65</f>
        <v>129.53333333333336</v>
      </c>
      <c r="CY53" s="46">
        <f>Weather!N65</f>
        <v>2.8791666666666664</v>
      </c>
      <c r="CZ53" s="46">
        <f>Weather!O65</f>
        <v>81.245833333333351</v>
      </c>
      <c r="DA53" s="46">
        <f>Weather!P65</f>
        <v>14.591666666666663</v>
      </c>
      <c r="DB53" s="368">
        <f>'Economic Data'!D67</f>
        <v>7361.6</v>
      </c>
      <c r="DC53" s="368">
        <f>'Economic Data'!E67</f>
        <v>7275.7</v>
      </c>
      <c r="DD53" s="368">
        <f>'Economic Data'!F67</f>
        <v>219.6</v>
      </c>
      <c r="DE53" s="368">
        <f>'Economic Data'!G67</f>
        <v>219</v>
      </c>
      <c r="DF53" s="368">
        <f>'Economic Data'!H67</f>
        <v>58.5</v>
      </c>
      <c r="DG53" s="368">
        <f>'Economic Data'!I67</f>
        <v>58.5</v>
      </c>
      <c r="DH53" s="368">
        <f>'Economic Data'!J67</f>
        <v>807274.5</v>
      </c>
      <c r="DI53" s="368">
        <f>'Economic Data'!K67</f>
        <v>626103.1</v>
      </c>
      <c r="DJ53" s="368">
        <f>'Economic Data'!L67</f>
        <v>94599.6</v>
      </c>
      <c r="DK53" s="368">
        <f>'Economic Data'!M67</f>
        <v>32860.800000000003</v>
      </c>
      <c r="DL53" s="368">
        <f>'Economic Data'!N67</f>
        <v>806630</v>
      </c>
      <c r="DM53" s="368">
        <f>'Economic Data'!O67</f>
        <v>95078</v>
      </c>
      <c r="DN53" s="368">
        <f>'Economic Data'!P67</f>
        <v>19873</v>
      </c>
      <c r="DO53" s="368">
        <f>'Economic Data'!Q67</f>
        <v>624723</v>
      </c>
      <c r="DP53" s="368">
        <f>'Economic Data'!R67</f>
        <v>32769</v>
      </c>
      <c r="DQ53">
        <v>30</v>
      </c>
      <c r="DR53">
        <v>21</v>
      </c>
      <c r="DS53">
        <v>0</v>
      </c>
      <c r="DT53">
        <v>0</v>
      </c>
      <c r="DU53">
        <v>0</v>
      </c>
      <c r="DV53">
        <v>1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1</v>
      </c>
      <c r="EF53">
        <v>0</v>
      </c>
      <c r="EG53">
        <v>1</v>
      </c>
      <c r="EH53">
        <f t="shared" si="69"/>
        <v>52</v>
      </c>
      <c r="EI53">
        <v>0</v>
      </c>
      <c r="EJ53">
        <v>0</v>
      </c>
      <c r="EK53">
        <v>0</v>
      </c>
      <c r="EL53">
        <v>0</v>
      </c>
      <c r="EM53" s="47">
        <f t="shared" si="73"/>
        <v>0</v>
      </c>
      <c r="EN53" s="47">
        <f t="shared" si="74"/>
        <v>0</v>
      </c>
      <c r="EO53" s="47">
        <f t="shared" si="75"/>
        <v>0</v>
      </c>
      <c r="EP53" s="47">
        <f t="shared" si="76"/>
        <v>0</v>
      </c>
      <c r="EQ53" s="47">
        <f t="shared" si="77"/>
        <v>0</v>
      </c>
      <c r="ER53" s="47">
        <f t="shared" si="78"/>
        <v>0</v>
      </c>
      <c r="ES53" s="47">
        <f t="shared" si="79"/>
        <v>0</v>
      </c>
      <c r="ET53" s="47">
        <f t="shared" si="80"/>
        <v>0</v>
      </c>
      <c r="EU53" s="47">
        <f t="shared" si="81"/>
        <v>0</v>
      </c>
      <c r="EV53" s="47">
        <f t="shared" si="82"/>
        <v>0</v>
      </c>
      <c r="EW53" s="47">
        <f t="shared" si="83"/>
        <v>0</v>
      </c>
      <c r="EX53" s="47">
        <f t="shared" si="84"/>
        <v>0</v>
      </c>
      <c r="EY53" s="47">
        <f t="shared" si="85"/>
        <v>0</v>
      </c>
      <c r="EZ53" s="47">
        <f t="shared" si="86"/>
        <v>0</v>
      </c>
      <c r="FA53" s="47">
        <f t="shared" si="87"/>
        <v>0</v>
      </c>
      <c r="FB53" s="47">
        <f t="shared" si="88"/>
        <v>0</v>
      </c>
      <c r="FC53" s="47">
        <f t="shared" si="89"/>
        <v>0</v>
      </c>
      <c r="FD53" s="47">
        <f t="shared" si="90"/>
        <v>0</v>
      </c>
      <c r="FE53" s="47">
        <f t="shared" si="91"/>
        <v>0</v>
      </c>
      <c r="FF53" s="47">
        <f t="shared" si="92"/>
        <v>0</v>
      </c>
      <c r="FG53" s="47">
        <f t="shared" si="93"/>
        <v>0</v>
      </c>
      <c r="FH53" s="47">
        <f t="shared" si="94"/>
        <v>0</v>
      </c>
      <c r="FI53" s="47">
        <f t="shared" si="95"/>
        <v>0</v>
      </c>
      <c r="FJ53" s="47">
        <f t="shared" si="96"/>
        <v>0</v>
      </c>
      <c r="FK53" s="47">
        <f t="shared" si="97"/>
        <v>0</v>
      </c>
      <c r="FL53" s="47">
        <f t="shared" si="98"/>
        <v>0</v>
      </c>
      <c r="FM53" s="47">
        <f t="shared" si="99"/>
        <v>0</v>
      </c>
      <c r="FN53" s="47">
        <f t="shared" si="100"/>
        <v>0</v>
      </c>
      <c r="FO53" s="765">
        <f t="shared" ca="1" si="101"/>
        <v>651.25629200809635</v>
      </c>
      <c r="FP53" s="765">
        <f t="shared" si="102"/>
        <v>504.81621276006217</v>
      </c>
      <c r="FQ53" s="765">
        <f t="shared" si="103"/>
        <v>2645.6100399988231</v>
      </c>
      <c r="FR53" s="765">
        <f t="shared" si="104"/>
        <v>76774.613386863377</v>
      </c>
      <c r="FS53" s="765">
        <f t="shared" si="105"/>
        <v>2037349.8461685376</v>
      </c>
      <c r="FT53" s="765">
        <f t="shared" si="106"/>
        <v>5670764.2738007614</v>
      </c>
      <c r="FU53" s="765">
        <f t="shared" si="107"/>
        <v>32.642651859150106</v>
      </c>
      <c r="FV53" s="765">
        <f t="shared" si="108"/>
        <v>50.460527240773295</v>
      </c>
      <c r="FW53" s="765">
        <f t="shared" si="109"/>
        <v>498.95654889071483</v>
      </c>
      <c r="FX53" s="765">
        <f t="shared" si="110"/>
        <v>638.21519782169435</v>
      </c>
      <c r="FY53" s="765">
        <f t="shared" si="111"/>
        <v>3131.949991847921</v>
      </c>
      <c r="FZ53" s="765">
        <f t="shared" si="112"/>
        <v>76668.170836185192</v>
      </c>
      <c r="GA53" s="765">
        <f t="shared" si="113"/>
        <v>86053.356666666674</v>
      </c>
      <c r="GB53" s="765">
        <f t="shared" si="114"/>
        <v>20.952283573206358</v>
      </c>
      <c r="GC53" s="765">
        <f t="shared" si="115"/>
        <v>66.759498690187911</v>
      </c>
      <c r="GD53" s="765">
        <f t="shared" si="116"/>
        <v>131.37096605744125</v>
      </c>
    </row>
    <row r="54" spans="1:186">
      <c r="A54" s="4">
        <v>43586</v>
      </c>
      <c r="B54" s="6">
        <v>2019</v>
      </c>
      <c r="C54" s="5">
        <v>5</v>
      </c>
      <c r="D54" s="7">
        <v>63431446.939519897</v>
      </c>
      <c r="E54" s="7">
        <f>IFERROR(VLOOKUP($B54-1,CDM!$V$4:$AJ$17,2,FALSE)/12,0)+IFERROR(VLOOKUP($B54,CDM!$V$41:$AJ$54,2,FALSE)/24,0)+IFERROR(VLOOKUP($B54,CDM!$V$41:$AJ$54,2,FALSE)/2*$C54/78,0)</f>
        <v>3790560.2786611179</v>
      </c>
      <c r="F54" s="7">
        <f t="shared" si="2"/>
        <v>67222007.218181014</v>
      </c>
      <c r="G54" s="7">
        <f>IFERROR(HLOOKUP(B54-1,'EV Forecast VRZ'!$F$124:$T$130,2,FALSE)/12,0)+IFERROR(((HLOOKUP(B54,'EV Forecast VRZ'!$F$116:$T$122,2,FALSE)-HLOOKUP(B54-1,'EV Forecast VRZ'!$F$124:$T$130,2,FALSE)))*C54/78,0)</f>
        <v>163749.61057132581</v>
      </c>
      <c r="H54" s="7">
        <f ca="1">HLOOKUP(B54,Heating!$C$102:$O$106,2,FALSE)*INDEX(Weather!$BO$1:$CB$20,MATCH(B54,Weather!$BO$1:$BO$20,0),MATCH(C54,Weather!$BO$1:$CB$1,0))/VLOOKUP(B54,Weather!$BO$2:$CB$20,14,FALSE)*
VLOOKUP('Monthly Data'!$B54,Weather!$BO$3:$CB$20,14,FALSE)/Weather!$CB$14</f>
        <v>38687.988008747066</v>
      </c>
      <c r="I54" s="7">
        <f t="shared" ca="1" si="3"/>
        <v>67019569.619600944</v>
      </c>
      <c r="J54" s="7">
        <v>761313.86048000003</v>
      </c>
      <c r="K54" s="7">
        <f>IFERROR(VLOOKUP($B54-1,CDM!$V$4:$AJ$17,3,FALSE)/12,0)+IFERROR(VLOOKUP($B54,CDM!$V$41:$AJ$54,3,FALSE)/24,0)+IFERROR(VLOOKUP($B54,CDM!$V$41:$AJ$54,3,FALSE)/2*$C54/78,0)</f>
        <v>43416.332883816387</v>
      </c>
      <c r="L54" s="7">
        <f t="shared" si="4"/>
        <v>804730.19336381648</v>
      </c>
      <c r="M54" s="7">
        <f>IFERROR(HLOOKUP(B54-1,'EV Forecast VRZ'!$F$124:$T$130,3,FALSE)/12,0)+IFERROR(((HLOOKUP(B54,'EV Forecast VRZ'!$F$116:$T$122,3,FALSE)-HLOOKUP(B54-1,'EV Forecast VRZ'!$F$124:$T$130,3,FALSE)))*C54/78,0)</f>
        <v>2227.7155825203286</v>
      </c>
      <c r="N54" s="7">
        <f ca="1">HLOOKUP(B54,Heating!$C$102:$O$106,3,FALSE)*INDEX(Weather!$BO$1:$CB$20,MATCH(B54,Weather!$BO$1:$BO$20,0),MATCH(C54,Weather!$BO$1:$CB$1,0))/VLOOKUP(B54,Weather!$BO$2:$CB$20,14,FALSE)*
VLOOKUP('Monthly Data'!$B54,Weather!$BO$3:$CB$20,14,FALSE)/Weather!$CB$14</f>
        <v>545.70169198999429</v>
      </c>
      <c r="O54" s="7">
        <f t="shared" ca="1" si="5"/>
        <v>801956.77608930611</v>
      </c>
      <c r="P54" s="7">
        <v>21762586.578929998</v>
      </c>
      <c r="Q54" s="7">
        <f>IFERROR(VLOOKUP($B54-1,CDM!$V$4:$AJ$17,4,FALSE)/12,0)+IFERROR(VLOOKUP($B54,CDM!$V$41:$AJ$54,4,FALSE)/24,0)+IFERROR(VLOOKUP($B54,CDM!$V$41:$AJ$54,4,FALSE)/2*$C54/78,0)</f>
        <v>1227492.0262879594</v>
      </c>
      <c r="R54" s="7">
        <f t="shared" si="6"/>
        <v>22990078.605217956</v>
      </c>
      <c r="S54" s="7">
        <f>IFERROR(HLOOKUP(B54-1,'EV Forecast VRZ'!$F$124:$T$130,4,FALSE)/12,0)+IFERROR(((HLOOKUP(B54,'EV Forecast VRZ'!$F$116:$T$122,4,FALSE)-HLOOKUP(B54-1,'EV Forecast VRZ'!$F$124:$T$130,4,FALSE)))*C54/78,0)</f>
        <v>20743.033846153849</v>
      </c>
      <c r="T54" s="7">
        <f ca="1">HLOOKUP(B54,Heating!$C$102:$O$106,4,FALSE)*INDEX(Weather!$BO$1:$CB$20,MATCH(B54,Weather!$BO$1:$BO$20,0),MATCH(C54,Weather!$BO$1:$CB$1,0))/VLOOKUP(B54,Weather!$BO$2:$CB$20,14,FALSE)*
VLOOKUP('Monthly Data'!$B54,Weather!$BO$3:$CB$20,14,FALSE)/Weather!$CB$14</f>
        <v>9865.9511489647666</v>
      </c>
      <c r="U54" s="7">
        <f t="shared" ca="1" si="7"/>
        <v>22959469.620222837</v>
      </c>
      <c r="V54" s="7">
        <v>75687625.170000002</v>
      </c>
      <c r="W54" s="7">
        <f>IFERROR(VLOOKUP($B54-1,CDM!$V$4:$AJ$17,5,FALSE)/12,0)+IFERROR(VLOOKUP($B54,CDM!$V$41:$AJ$54,5,FALSE)/24,0)+IFERROR(VLOOKUP($B54,CDM!$V$41:$AJ$54,5,FALSE)/2*$C54/78,0)</f>
        <v>4324814.8379615452</v>
      </c>
      <c r="X54" s="7">
        <f t="shared" si="8"/>
        <v>80012440.007961541</v>
      </c>
      <c r="Y54" s="7">
        <f>IFERROR(HLOOKUP(B54-1,'EV Forecast VRZ'!$F$124:$T$130,5,FALSE)/12,0)+IFERROR(((HLOOKUP(B54,'EV Forecast VRZ'!$F$116:$T$122,5,FALSE)-HLOOKUP(B54-1,'EV Forecast VRZ'!$F$124:$T$130,5,FALSE)))*C54/78,0)</f>
        <v>9432.8267692307691</v>
      </c>
      <c r="Z54" s="7">
        <f ca="1">HLOOKUP(B54,Heating!$C$102:$O$106,5,FALSE)*INDEX(Weather!$BO$1:$CB$20,MATCH(B54,Weather!$BO$1:$BO$20,0),MATCH(C54,Weather!$BO$1:$CB$1,0))/VLOOKUP(B54,Weather!$BO$2:$CB$20,14,FALSE)*
VLOOKUP('Monthly Data'!$B54,Weather!$BO$3:$CB$20,14,FALSE)/Weather!$CB$14</f>
        <v>5818.4760826346501</v>
      </c>
      <c r="AA54" s="7">
        <f t="shared" ca="1" si="9"/>
        <v>79997188.705109671</v>
      </c>
      <c r="AB54" s="7">
        <v>8654486.9100000001</v>
      </c>
      <c r="AC54" s="7">
        <f>IFERROR(VLOOKUP($B54-1,CDM!$V$4:$AJ$17,6,FALSE)/12,0)+IFERROR(VLOOKUP($B54,CDM!$V$41:$AJ$54,6,FALSE)/24,0)+IFERROR(VLOOKUP($B54,CDM!$V$41:$AJ$54,6,FALSE)/2*$C54/78,0)</f>
        <v>205121.95290820891</v>
      </c>
      <c r="AD54" s="7">
        <f t="shared" si="10"/>
        <v>8859608.8629082087</v>
      </c>
      <c r="AE54" s="7">
        <f>IFERROR(HLOOKUP(B54-1,'EV Forecast VRZ'!$F$124:$T$130,6,FALSE)/12,0)+IFERROR(((HLOOKUP(B54,'EV Forecast VRZ'!$F$116:$T$122,6,FALSE)-HLOOKUP(B54-1,'EV Forecast VRZ'!$F$124:$T$130,6,FALSE)))*C54/78,0)</f>
        <v>1430.997846153846</v>
      </c>
      <c r="AF54" s="7">
        <f t="shared" si="11"/>
        <v>8858177.8650620542</v>
      </c>
      <c r="AG54" s="7">
        <v>22039904.699999999</v>
      </c>
      <c r="AH54" s="7">
        <f>IFERROR(VLOOKUP($B54-1,CDM!$V$4:$AJ$17,7,FALSE)/12,0)+IFERROR(VLOOKUP($B54,CDM!$V$41:$AJ$54,7,FALSE)/24,0)+IFERROR(VLOOKUP($B54,CDM!$V$41:$AJ$54,7,FALSE)/2*$C54/78,0)</f>
        <v>1538337.8491946252</v>
      </c>
      <c r="AI54" s="7">
        <f t="shared" si="12"/>
        <v>23578242.549194623</v>
      </c>
      <c r="AJ54" s="7">
        <f>IFERROR(HLOOKUP(B54-1,'EV Forecast VRZ'!$F$124:$T$130,7,FALSE)/12,0)+IFERROR(((HLOOKUP(B54,'EV Forecast VRZ'!$F$116:$T$122,7,FALSE)-HLOOKUP(B54-1,'EV Forecast VRZ'!$F$124:$T$130,7,FALSE)))*C54/78,0)</f>
        <v>0</v>
      </c>
      <c r="AK54" s="7">
        <f t="shared" si="13"/>
        <v>23578242.549194623</v>
      </c>
      <c r="AL54" s="7">
        <v>907803.99</v>
      </c>
      <c r="AM54" s="7">
        <v>20069.52</v>
      </c>
      <c r="AN54" s="7">
        <v>403637.72</v>
      </c>
      <c r="AO54" s="5">
        <v>180437.12</v>
      </c>
      <c r="AP54" s="5">
        <v>16693.240000000002</v>
      </c>
      <c r="AQ54" s="5">
        <v>35824</v>
      </c>
      <c r="AR54" s="5">
        <v>3020.33</v>
      </c>
      <c r="AS54" s="763">
        <f t="shared" si="121"/>
        <v>52.416666666666664</v>
      </c>
      <c r="AT54" s="776">
        <v>110755.75</v>
      </c>
      <c r="AU54" s="776">
        <v>1566.25</v>
      </c>
      <c r="AV54" s="776">
        <v>9190.4166666666697</v>
      </c>
      <c r="AW54" s="776">
        <v>1031.8333333333337</v>
      </c>
      <c r="AX54" s="776">
        <v>4</v>
      </c>
      <c r="AY54" s="776">
        <v>4</v>
      </c>
      <c r="AZ54" s="776">
        <v>31132.416666666661</v>
      </c>
      <c r="BA54" s="776">
        <v>364.41666666666657</v>
      </c>
      <c r="BB54" s="776">
        <v>810.41666666666686</v>
      </c>
      <c r="BC54" s="779">
        <v>23836017.161589999</v>
      </c>
      <c r="BD54" s="779">
        <f>IFERROR(VLOOKUP($B54-1,CDM!$V$4:$AJ$17,11,FALSE)/12,0)+IFERROR(VLOOKUP($B54,CDM!$V$41:$AJ$54,11,FALSE)/24,0)+IFERROR(VLOOKUP($B54,CDM!$V$41:$AJ$54,11,FALSE)/2*$C54/78,0)</f>
        <v>1906812.7514831899</v>
      </c>
      <c r="BE54" s="779">
        <f t="shared" ref="BE54:BE85" si="123">BC54+BD54</f>
        <v>25742829.91307319</v>
      </c>
      <c r="BF54" s="779">
        <f>IFERROR(HLOOKUP(B54-1,'EV Forecast WRZ'!$F$124:$T$130,2,FALSE)/12,0)+IFERROR(((HLOOKUP(B54,'EV Forecast WRZ'!$F$116:$T$122,2,FALSE)-HLOOKUP(B54-1,'EV Forecast WRZ'!$F$124:$T$130,2,FALSE)))*C54/78,0)</f>
        <v>47746.877564102571</v>
      </c>
      <c r="BG54" s="779">
        <f ca="1">HLOOKUP(B54,Heating!$R$102:$AD$106,2,FALSE)*INDEX(Weather!$BO$1:$CB$20,MATCH(B54,Weather!$BO$1:$BO$20,0),MATCH(C54,Weather!$BO$1:$CB$1,0))/VLOOKUP(B54,Weather!$BO$2:$CB$20,14,FALSE)*
VLOOKUP('Monthly Data'!$B54,Weather!$BO$3:$CB$20,14,FALSE)/Weather!$CB$14</f>
        <v>14261.390652527587</v>
      </c>
      <c r="BH54" s="779">
        <f t="shared" ca="1" si="15"/>
        <v>25680821.644856561</v>
      </c>
      <c r="BI54" s="779">
        <v>6635212.5768599901</v>
      </c>
      <c r="BJ54" s="779">
        <f>IFERROR(VLOOKUP($B54-1,CDM!$V$4:$AJ$17,12,FALSE)/12,0)+IFERROR(VLOOKUP($B54,CDM!$V$41:$AJ$54,12,FALSE)/24,0)+IFERROR(VLOOKUP($B54,CDM!$V$41:$AJ$54,12,FALSE)/2*$C54/78,0)</f>
        <v>203270.44010724954</v>
      </c>
      <c r="BK54" s="779">
        <f t="shared" si="16"/>
        <v>6838483.0169672398</v>
      </c>
      <c r="BL54" s="779">
        <f>IFERROR(HLOOKUP(B54-1,'EV Forecast WRZ'!$F$124:$T$130,3,FALSE)/12,0)+IFERROR(((HLOOKUP(B54,'EV Forecast WRZ'!$F$116:$T$122,3,FALSE)-HLOOKUP(B54-1,'EV Forecast WRZ'!$F$124:$T$130,3,FALSE)))*C54/78,0)</f>
        <v>5987.8679487179488</v>
      </c>
      <c r="BM54" s="779">
        <f ca="1">HLOOKUP(B54,Heating!$R$102:$AD$106,4,FALSE)*INDEX(Weather!$BO$1:$CB$20,MATCH(B54,Weather!$BO$1:$BO$20,0),MATCH(C54,Weather!$BO$1:$CB$1,0))/VLOOKUP(B54,Weather!$BO$2:$CB$20,14,FALSE)*
VLOOKUP('Monthly Data'!$B54,Weather!$BO$3:$CB$20,14,FALSE)/Weather!$CB$14</f>
        <v>2422.8549665273094</v>
      </c>
      <c r="BN54" s="779">
        <f t="shared" ca="1" si="17"/>
        <v>6830072.2940519946</v>
      </c>
      <c r="BO54" s="779">
        <v>26341835.550000001</v>
      </c>
      <c r="BP54" s="779">
        <f>IFERROR(VLOOKUP($B54-1,CDM!$V$4:$AJ$17,13,FALSE)/12,0)+IFERROR(VLOOKUP($B54,CDM!$V$41:$AJ$54,13,FALSE)/24,0)+IFERROR(VLOOKUP($B54,CDM!$V$41:$AJ$54,13,FALSE)/2*$C54/78,0)</f>
        <v>1463202.9025729354</v>
      </c>
      <c r="BQ54" s="779">
        <f t="shared" si="19"/>
        <v>27805038.452572934</v>
      </c>
      <c r="BR54" s="779">
        <f>IFERROR(HLOOKUP(B54-1,'EV Forecast WRZ'!$F$124:$T$130,4,FALSE)/12,0)+IFERROR(((HLOOKUP(B54,'EV Forecast WRZ'!$F$116:$T$122,4,FALSE)-HLOOKUP(B54-1,'EV Forecast WRZ'!$F$124:$T$130,4,FALSE)))*C54/78,0)</f>
        <v>2724.540576923077</v>
      </c>
      <c r="BS54" s="779">
        <f ca="1">HLOOKUP(B54,Heating!$R$102:$AD$106,5,FALSE)*INDEX(Weather!$BO$1:$CB$20,MATCH(B54,Weather!$BO$1:$BO$20,0),MATCH(C54,Weather!$BO$1:$CB$1,0))/VLOOKUP(B54,Weather!$BO$2:$CB$20,14,FALSE)*
VLOOKUP('Monthly Data'!$B54,Weather!$BO$3:$CB$20,14,FALSE)/Weather!$CB$14</f>
        <v>1725.6670713809419</v>
      </c>
      <c r="BT54" s="779">
        <f t="shared" ca="1" si="20"/>
        <v>27800588.244924631</v>
      </c>
      <c r="BU54" s="779">
        <v>6627917.54</v>
      </c>
      <c r="BV54" s="779">
        <f>IFERROR(VLOOKUP($B54-1,CDM!$V$4:$AJ$17,14,FALSE)/12,0)+IFERROR(VLOOKUP($B54,CDM!$V$41:$AJ$54,14,FALSE)/24,0)+IFERROR(VLOOKUP($B54,CDM!$V$41:$AJ$54,14,FALSE)/2*$C54/78,0)</f>
        <v>328960.43119107839</v>
      </c>
      <c r="BW54" s="779">
        <f t="shared" si="21"/>
        <v>6956877.9711910784</v>
      </c>
      <c r="BX54" s="779">
        <f>IFERROR(HLOOKUP(B54-1,'EV Forecast WRZ'!$F$124:$T$130,5,FALSE)/12,0)+IFERROR(((HLOOKUP(B54,'EV Forecast WRZ'!$F$116:$T$122,5,FALSE)-HLOOKUP(B54-1,'EV Forecast WRZ'!$F$124:$T$130,5,FALSE)))*C54/78,0)</f>
        <v>419.39339743589744</v>
      </c>
      <c r="BY54" s="779">
        <f t="shared" ref="BY54:BY85" si="124">BW54-BX54</f>
        <v>6956458.5777936429</v>
      </c>
      <c r="BZ54" s="779">
        <v>236556.52</v>
      </c>
      <c r="CA54" s="779">
        <v>2470.1014515369525</v>
      </c>
      <c r="CB54" s="5">
        <v>50315.15</v>
      </c>
      <c r="CC54" s="5">
        <v>64401.24</v>
      </c>
      <c r="CD54" s="5">
        <v>11510.46</v>
      </c>
      <c r="CE54" s="5">
        <v>736.06</v>
      </c>
      <c r="CF54" s="763">
        <f t="shared" si="122"/>
        <v>7.166666666666667</v>
      </c>
      <c r="CG54" s="785">
        <v>40757.416666666679</v>
      </c>
      <c r="CH54" s="785">
        <v>2259.4166666666674</v>
      </c>
      <c r="CI54" s="785">
        <v>377</v>
      </c>
      <c r="CJ54" s="785">
        <v>3</v>
      </c>
      <c r="CK54" s="785">
        <v>12356.16666666667</v>
      </c>
      <c r="CL54" s="785">
        <v>37</v>
      </c>
      <c r="CM54" s="785">
        <v>383.5</v>
      </c>
      <c r="CN54" s="46">
        <f>Weather!C66</f>
        <v>267.53464912280702</v>
      </c>
      <c r="CO54" s="46">
        <f>Weather!D66</f>
        <v>0</v>
      </c>
      <c r="CP54" s="46">
        <f>Weather!E66</f>
        <v>205.53464912280697</v>
      </c>
      <c r="CQ54" s="46">
        <f>Weather!F66</f>
        <v>0</v>
      </c>
      <c r="CR54" s="46">
        <f>Weather!G66</f>
        <v>145.93881578947367</v>
      </c>
      <c r="CS54" s="46">
        <f>Weather!H66</f>
        <v>2.4041666666666686</v>
      </c>
      <c r="CT54" s="46">
        <f>Weather!I66</f>
        <v>92.742982456140368</v>
      </c>
      <c r="CU54" s="46">
        <f>Weather!J66</f>
        <v>11.208333333333332</v>
      </c>
      <c r="CV54" s="46">
        <f>Weather!K66</f>
        <v>47.113815789473684</v>
      </c>
      <c r="CW54" s="46">
        <f>Weather!L66</f>
        <v>27.579166666666666</v>
      </c>
      <c r="CX54" s="46">
        <f>Weather!M66</f>
        <v>21.337500000000002</v>
      </c>
      <c r="CY54" s="46">
        <f>Weather!N66</f>
        <v>63.802850877192981</v>
      </c>
      <c r="CZ54" s="46">
        <f>Weather!O66</f>
        <v>5.4041666666666659</v>
      </c>
      <c r="DA54" s="46">
        <f>Weather!P66</f>
        <v>109.86951754385964</v>
      </c>
      <c r="DB54" s="368">
        <f>'Economic Data'!D68</f>
        <v>7376.4</v>
      </c>
      <c r="DC54" s="368">
        <f>'Economic Data'!E68</f>
        <v>7345.7</v>
      </c>
      <c r="DD54" s="368">
        <f>'Economic Data'!F68</f>
        <v>218.7</v>
      </c>
      <c r="DE54" s="368">
        <f>'Economic Data'!G68</f>
        <v>219.7</v>
      </c>
      <c r="DF54" s="368">
        <f>'Economic Data'!H68</f>
        <v>59</v>
      </c>
      <c r="DG54" s="368">
        <f>'Economic Data'!I68</f>
        <v>59</v>
      </c>
      <c r="DH54" s="368">
        <f>'Economic Data'!J68</f>
        <v>807274.5</v>
      </c>
      <c r="DI54" s="368">
        <f>'Economic Data'!K68</f>
        <v>626103.1</v>
      </c>
      <c r="DJ54" s="368">
        <f>'Economic Data'!L68</f>
        <v>94599.6</v>
      </c>
      <c r="DK54" s="368">
        <f>'Economic Data'!M68</f>
        <v>32860.800000000003</v>
      </c>
      <c r="DL54" s="368">
        <f>'Economic Data'!N68</f>
        <v>806630</v>
      </c>
      <c r="DM54" s="368">
        <f>'Economic Data'!O68</f>
        <v>95078</v>
      </c>
      <c r="DN54" s="368">
        <f>'Economic Data'!P68</f>
        <v>19873</v>
      </c>
      <c r="DO54" s="368">
        <f>'Economic Data'!Q68</f>
        <v>624723</v>
      </c>
      <c r="DP54" s="368">
        <f>'Economic Data'!R68</f>
        <v>32769</v>
      </c>
      <c r="DQ54">
        <v>31</v>
      </c>
      <c r="DR54">
        <v>20</v>
      </c>
      <c r="DS54">
        <v>0</v>
      </c>
      <c r="DT54">
        <v>0</v>
      </c>
      <c r="DU54">
        <v>0</v>
      </c>
      <c r="DV54">
        <v>0</v>
      </c>
      <c r="DW54">
        <v>1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1</v>
      </c>
      <c r="EF54">
        <v>0</v>
      </c>
      <c r="EG54">
        <v>1</v>
      </c>
      <c r="EH54">
        <f t="shared" si="69"/>
        <v>53</v>
      </c>
      <c r="EI54">
        <v>0</v>
      </c>
      <c r="EJ54">
        <v>0</v>
      </c>
      <c r="EK54">
        <v>0</v>
      </c>
      <c r="EL54">
        <v>0</v>
      </c>
      <c r="EM54" s="47">
        <f t="shared" ref="EM54:EM85" si="125">$EJ54*CN54</f>
        <v>0</v>
      </c>
      <c r="EN54" s="47">
        <f t="shared" ref="EN54:EN85" si="126">$EJ54*CO54</f>
        <v>0</v>
      </c>
      <c r="EO54" s="47">
        <f t="shared" ref="EO54:EO85" si="127">$EJ54*CP54</f>
        <v>0</v>
      </c>
      <c r="EP54" s="47">
        <f t="shared" ref="EP54:EP85" si="128">$EJ54*CQ54</f>
        <v>0</v>
      </c>
      <c r="EQ54" s="47">
        <f t="shared" ref="EQ54:EQ85" si="129">$EJ54*CR54</f>
        <v>0</v>
      </c>
      <c r="ER54" s="47">
        <f t="shared" ref="ER54:ER85" si="130">$EJ54*CS54</f>
        <v>0</v>
      </c>
      <c r="ES54" s="47">
        <f t="shared" ref="ES54:ES85" si="131">$EJ54*CT54</f>
        <v>0</v>
      </c>
      <c r="ET54" s="47">
        <f t="shared" ref="ET54:ET85" si="132">$EJ54*CU54</f>
        <v>0</v>
      </c>
      <c r="EU54" s="47">
        <f t="shared" ref="EU54:EU85" si="133">$EJ54*CV54</f>
        <v>0</v>
      </c>
      <c r="EV54" s="47">
        <f t="shared" ref="EV54:EV85" si="134">$EJ54*CW54</f>
        <v>0</v>
      </c>
      <c r="EW54" s="47">
        <f t="shared" ref="EW54:EW85" si="135">$EJ54*CX54</f>
        <v>0</v>
      </c>
      <c r="EX54" s="47">
        <f t="shared" ref="EX54:EX85" si="136">$EJ54*CY54</f>
        <v>0</v>
      </c>
      <c r="EY54" s="47">
        <f t="shared" ref="EY54:EY85" si="137">$EJ54*CZ54</f>
        <v>0</v>
      </c>
      <c r="EZ54" s="47">
        <f t="shared" ref="EZ54:EZ85" si="138">$EJ54*DA54</f>
        <v>0</v>
      </c>
      <c r="FA54" s="47">
        <f t="shared" ref="FA54:FA85" si="139">$EK54*CN54</f>
        <v>0</v>
      </c>
      <c r="FB54" s="47">
        <f t="shared" ref="FB54:FB85" si="140">$EK54*CO54</f>
        <v>0</v>
      </c>
      <c r="FC54" s="47">
        <f t="shared" ref="FC54:FC85" si="141">$EK54*CP54</f>
        <v>0</v>
      </c>
      <c r="FD54" s="47">
        <f t="shared" ref="FD54:FD85" si="142">$EK54*CQ54</f>
        <v>0</v>
      </c>
      <c r="FE54" s="47">
        <f t="shared" ref="FE54:FE85" si="143">$EK54*CR54</f>
        <v>0</v>
      </c>
      <c r="FF54" s="47">
        <f t="shared" ref="FF54:FF85" si="144">$EK54*CS54</f>
        <v>0</v>
      </c>
      <c r="FG54" s="47">
        <f t="shared" ref="FG54:FG85" si="145">$EK54*CT54</f>
        <v>0</v>
      </c>
      <c r="FH54" s="47">
        <f t="shared" ref="FH54:FH85" si="146">$EK54*CU54</f>
        <v>0</v>
      </c>
      <c r="FI54" s="47">
        <f t="shared" ref="FI54:FI85" si="147">$EK54*CV54</f>
        <v>0</v>
      </c>
      <c r="FJ54" s="47">
        <f t="shared" ref="FJ54:FJ85" si="148">$EK54*CW54</f>
        <v>0</v>
      </c>
      <c r="FK54" s="47">
        <f t="shared" ref="FK54:FK85" si="149">$EK54*CX54</f>
        <v>0</v>
      </c>
      <c r="FL54" s="47">
        <f t="shared" ref="FL54:FL85" si="150">$EK54*CY54</f>
        <v>0</v>
      </c>
      <c r="FM54" s="47">
        <f t="shared" ref="FM54:FM85" si="151">$EK54*CZ54</f>
        <v>0</v>
      </c>
      <c r="FN54" s="47">
        <f t="shared" ref="FN54:FN85" si="152">$EK54*DA54</f>
        <v>0</v>
      </c>
      <c r="FO54" s="765">
        <f t="shared" ref="FO54:FO85" ca="1" si="153">I54/AT54</f>
        <v>605.11142418882037</v>
      </c>
      <c r="FP54" s="765">
        <f t="shared" ref="FP54:FP85" si="154">L54/AU54</f>
        <v>513.79421763052926</v>
      </c>
      <c r="FQ54" s="765">
        <f t="shared" ref="FQ54:FQ85" si="155">R54/AV54</f>
        <v>2501.527345174914</v>
      </c>
      <c r="FR54" s="765">
        <f t="shared" ref="FR54:FR85" si="156">X54/AW54</f>
        <v>77543.957365170252</v>
      </c>
      <c r="FS54" s="765">
        <f t="shared" ref="FS54:FS85" si="157">AD54/AX54</f>
        <v>2214902.2157270522</v>
      </c>
      <c r="FT54" s="765">
        <f t="shared" ref="FT54:FT85" si="158">AI54/AY54</f>
        <v>5894560.6372986557</v>
      </c>
      <c r="FU54" s="765">
        <f t="shared" ref="FU54:FU85" si="159">AL54/AZ54</f>
        <v>29.159444951537658</v>
      </c>
      <c r="FV54" s="765">
        <f t="shared" ref="FV54:FV85" si="160">AM54/BA54</f>
        <v>55.07300251543564</v>
      </c>
      <c r="FW54" s="765">
        <f t="shared" ref="FW54:FW85" si="161">AN54/BB54</f>
        <v>498.06196812339317</v>
      </c>
      <c r="FX54" s="765">
        <f t="shared" ref="FX54:FX85" si="162">BE54/CG54</f>
        <v>631.61093166453998</v>
      </c>
      <c r="FY54" s="765">
        <f t="shared" ref="FY54:FY85" si="163">BK54/CH54</f>
        <v>3026.65865834127</v>
      </c>
      <c r="FZ54" s="765">
        <f t="shared" ref="FZ54:FZ85" si="164">BQ54/CI54</f>
        <v>73753.41764608206</v>
      </c>
      <c r="GA54" s="765">
        <f t="shared" ref="GA54:GA85" si="165">BZ54/CJ54</f>
        <v>78852.173333333325</v>
      </c>
      <c r="GB54" s="765">
        <f t="shared" ref="GB54:GB85" si="166">BZ54/CK54</f>
        <v>19.144814599997297</v>
      </c>
      <c r="GC54" s="765">
        <f t="shared" ref="GC54:GC85" si="167">CA54/CL54</f>
        <v>66.759498690187911</v>
      </c>
      <c r="GD54" s="765">
        <f t="shared" ref="GD54:GD85" si="168">CB54/CM54</f>
        <v>131.19986962190353</v>
      </c>
    </row>
    <row r="55" spans="1:186">
      <c r="A55" s="4">
        <v>43617</v>
      </c>
      <c r="B55" s="6">
        <v>2019</v>
      </c>
      <c r="C55" s="5">
        <v>6</v>
      </c>
      <c r="D55" s="7">
        <v>70623856.390441298</v>
      </c>
      <c r="E55" s="7">
        <f>IFERROR(VLOOKUP($B55-1,CDM!$V$4:$AJ$17,2,FALSE)/12,0)+IFERROR(VLOOKUP($B55,CDM!$V$41:$AJ$54,2,FALSE)/24,0)+IFERROR(VLOOKUP($B55,CDM!$V$41:$AJ$54,2,FALSE)/2*$C55/78,0)</f>
        <v>3809983.1330235563</v>
      </c>
      <c r="F55" s="7">
        <f t="shared" ref="F55:F118" si="169">D55+E55</f>
        <v>74433839.523464859</v>
      </c>
      <c r="G55" s="7">
        <f>IFERROR(HLOOKUP(B55-1,'EV Forecast VRZ'!$F$124:$T$130,2,FALSE)/12,0)+IFERROR(((HLOOKUP(B55,'EV Forecast VRZ'!$F$116:$T$122,2,FALSE)-HLOOKUP(B55-1,'EV Forecast VRZ'!$F$124:$T$130,2,FALSE)))*C55/78,0)</f>
        <v>167877.62069162325</v>
      </c>
      <c r="H55" s="7">
        <f ca="1">HLOOKUP(B55,Heating!$C$102:$O$106,2,FALSE)*INDEX(Weather!$BO$1:$CB$20,MATCH(B55,Weather!$BO$1:$BO$20,0),MATCH(C55,Weather!$BO$1:$CB$1,0))/VLOOKUP(B55,Weather!$BO$2:$CB$20,14,FALSE)*
VLOOKUP('Monthly Data'!$B55,Weather!$BO$3:$CB$20,14,FALSE)/Weather!$CB$14</f>
        <v>8681.3695625952096</v>
      </c>
      <c r="I55" s="7">
        <f t="shared" ref="I55:I118" ca="1" si="170">F55-G55-H55</f>
        <v>74257280.533210635</v>
      </c>
      <c r="J55" s="7">
        <v>723033.40134999901</v>
      </c>
      <c r="K55" s="7">
        <f>IFERROR(VLOOKUP($B55-1,CDM!$V$4:$AJ$17,3,FALSE)/12,0)+IFERROR(VLOOKUP($B55,CDM!$V$41:$AJ$54,3,FALSE)/24,0)+IFERROR(VLOOKUP($B55,CDM!$V$41:$AJ$54,3,FALSE)/2*$C55/78,0)</f>
        <v>43638.798442615356</v>
      </c>
      <c r="L55" s="7">
        <f t="shared" ref="L55:L109" si="171">J55+K55</f>
        <v>766672.19979261432</v>
      </c>
      <c r="M55" s="7">
        <f>IFERROR(HLOOKUP(B55-1,'EV Forecast VRZ'!$F$124:$T$130,3,FALSE)/12,0)+IFERROR(((HLOOKUP(B55,'EV Forecast VRZ'!$F$116:$T$122,3,FALSE)-HLOOKUP(B55-1,'EV Forecast VRZ'!$F$124:$T$130,3,FALSE)))*C55/78,0)</f>
        <v>2283.8746929921222</v>
      </c>
      <c r="N55" s="7">
        <f ca="1">HLOOKUP(B55,Heating!$C$102:$O$106,3,FALSE)*INDEX(Weather!$BO$1:$CB$20,MATCH(B55,Weather!$BO$1:$BO$20,0),MATCH(C55,Weather!$BO$1:$CB$1,0))/VLOOKUP(B55,Weather!$BO$2:$CB$20,14,FALSE)*
VLOOKUP('Monthly Data'!$B55,Weather!$BO$3:$CB$20,14,FALSE)/Weather!$CB$14</f>
        <v>122.45242781887605</v>
      </c>
      <c r="O55" s="7">
        <f t="shared" ref="O55:O118" ca="1" si="172">L55-M55-N55</f>
        <v>764265.87267180334</v>
      </c>
      <c r="P55" s="7">
        <v>22213411.1813301</v>
      </c>
      <c r="Q55" s="7">
        <f>IFERROR(VLOOKUP($B55-1,CDM!$V$4:$AJ$17,4,FALSE)/12,0)+IFERROR(VLOOKUP($B55,CDM!$V$41:$AJ$54,4,FALSE)/24,0)+IFERROR(VLOOKUP($B55,CDM!$V$41:$AJ$54,4,FALSE)/2*$C55/78,0)</f>
        <v>1247017.4098034846</v>
      </c>
      <c r="R55" s="7">
        <f t="shared" ref="R55:R109" si="173">P55+Q55</f>
        <v>23460428.591133583</v>
      </c>
      <c r="S55" s="7">
        <f>IFERROR(HLOOKUP(B55-1,'EV Forecast VRZ'!$F$124:$T$130,4,FALSE)/12,0)+IFERROR(((HLOOKUP(B55,'EV Forecast VRZ'!$F$116:$T$122,4,FALSE)-HLOOKUP(B55-1,'EV Forecast VRZ'!$F$124:$T$130,4,FALSE)))*C55/78,0)</f>
        <v>21237.66461538462</v>
      </c>
      <c r="T55" s="7">
        <f ca="1">HLOOKUP(B55,Heating!$C$102:$O$106,4,FALSE)*INDEX(Weather!$BO$1:$CB$20,MATCH(B55,Weather!$BO$1:$BO$20,0),MATCH(C55,Weather!$BO$1:$CB$1,0))/VLOOKUP(B55,Weather!$BO$2:$CB$20,14,FALSE)*
VLOOKUP('Monthly Data'!$B55,Weather!$BO$3:$CB$20,14,FALSE)/Weather!$CB$14</f>
        <v>2213.8646235960668</v>
      </c>
      <c r="U55" s="7">
        <f t="shared" ref="U55:U118" ca="1" si="174">R55-S55-T55</f>
        <v>23436977.061894603</v>
      </c>
      <c r="V55" s="7">
        <v>76310257.200000003</v>
      </c>
      <c r="W55" s="7">
        <f>IFERROR(VLOOKUP($B55-1,CDM!$V$4:$AJ$17,5,FALSE)/12,0)+IFERROR(VLOOKUP($B55,CDM!$V$41:$AJ$54,5,FALSE)/24,0)+IFERROR(VLOOKUP($B55,CDM!$V$41:$AJ$54,5,FALSE)/2*$C55/78,0)</f>
        <v>4394976.4617019519</v>
      </c>
      <c r="X55" s="7">
        <f t="shared" ref="X55:X109" si="175">V55+W55</f>
        <v>80705233.661701947</v>
      </c>
      <c r="Y55" s="7">
        <f>IFERROR(HLOOKUP(B55-1,'EV Forecast VRZ'!$F$124:$T$130,5,FALSE)/12,0)+IFERROR(((HLOOKUP(B55,'EV Forecast VRZ'!$F$116:$T$122,5,FALSE)-HLOOKUP(B55-1,'EV Forecast VRZ'!$F$124:$T$130,5,FALSE)))*C55/78,0)</f>
        <v>9655.6029230769236</v>
      </c>
      <c r="Z55" s="7">
        <f ca="1">HLOOKUP(B55,Heating!$C$102:$O$106,5,FALSE)*INDEX(Weather!$BO$1:$CB$20,MATCH(B55,Weather!$BO$1:$BO$20,0),MATCH(C55,Weather!$BO$1:$CB$1,0))/VLOOKUP(B55,Weather!$BO$2:$CB$20,14,FALSE)*
VLOOKUP('Monthly Data'!$B55,Weather!$BO$3:$CB$20,14,FALSE)/Weather!$CB$14</f>
        <v>1305.6337060756996</v>
      </c>
      <c r="AA55" s="7">
        <f t="shared" ref="AA55:AA118" ca="1" si="176">X55-Y55-Z55</f>
        <v>80694272.425072789</v>
      </c>
      <c r="AB55" s="7">
        <v>8013244.5099999998</v>
      </c>
      <c r="AC55" s="7">
        <f>IFERROR(VLOOKUP($B55-1,CDM!$V$4:$AJ$17,6,FALSE)/12,0)+IFERROR(VLOOKUP($B55,CDM!$V$41:$AJ$54,6,FALSE)/24,0)+IFERROR(VLOOKUP($B55,CDM!$V$41:$AJ$54,6,FALSE)/2*$C55/78,0)</f>
        <v>208556.97114226758</v>
      </c>
      <c r="AD55" s="7">
        <f t="shared" ref="AD55:AD109" si="177">AB55+AC55</f>
        <v>8221801.4811422676</v>
      </c>
      <c r="AE55" s="7">
        <f>IFERROR(HLOOKUP(B55-1,'EV Forecast VRZ'!$F$124:$T$130,6,FALSE)/12,0)+IFERROR(((HLOOKUP(B55,'EV Forecast VRZ'!$F$116:$T$122,6,FALSE)-HLOOKUP(B55-1,'EV Forecast VRZ'!$F$124:$T$130,6,FALSE)))*C55/78,0)</f>
        <v>1456.4986153846151</v>
      </c>
      <c r="AF55" s="7">
        <f t="shared" ref="AF55:AF118" si="178">AD55-AE55</f>
        <v>8220344.9825268826</v>
      </c>
      <c r="AG55" s="7">
        <v>22716840.379999999</v>
      </c>
      <c r="AH55" s="7">
        <f>IFERROR(VLOOKUP($B55-1,CDM!$V$4:$AJ$17,7,FALSE)/12,0)+IFERROR(VLOOKUP($B55,CDM!$V$41:$AJ$54,7,FALSE)/24,0)+IFERROR(VLOOKUP($B55,CDM!$V$41:$AJ$54,7,FALSE)/2*$C55/78,0)</f>
        <v>1554385.1331862062</v>
      </c>
      <c r="AI55" s="7">
        <f t="shared" ref="AI55:AI109" si="179">AG55+AH55</f>
        <v>24271225.513186205</v>
      </c>
      <c r="AJ55" s="7">
        <f>IFERROR(HLOOKUP(B55-1,'EV Forecast VRZ'!$F$124:$T$130,7,FALSE)/12,0)+IFERROR(((HLOOKUP(B55,'EV Forecast VRZ'!$F$116:$T$122,7,FALSE)-HLOOKUP(B55-1,'EV Forecast VRZ'!$F$124:$T$130,7,FALSE)))*C55/78,0)</f>
        <v>0</v>
      </c>
      <c r="AK55" s="7">
        <f t="shared" ref="AK55:AK118" si="180">AI55-AJ55</f>
        <v>24271225.513186205</v>
      </c>
      <c r="AL55" s="7">
        <v>822014.29</v>
      </c>
      <c r="AM55" s="7">
        <v>17232.94000000001</v>
      </c>
      <c r="AN55" s="7">
        <v>403558.05</v>
      </c>
      <c r="AO55" s="5">
        <v>190707.67</v>
      </c>
      <c r="AP55" s="5">
        <v>16169.8</v>
      </c>
      <c r="AQ55" s="5">
        <v>37465</v>
      </c>
      <c r="AR55" s="5">
        <v>3016.29</v>
      </c>
      <c r="AS55" s="763">
        <f t="shared" si="121"/>
        <v>52.416666666666664</v>
      </c>
      <c r="AT55" s="776">
        <v>110892.5</v>
      </c>
      <c r="AU55" s="776">
        <v>1565.5</v>
      </c>
      <c r="AV55" s="776">
        <v>9201.5000000000036</v>
      </c>
      <c r="AW55" s="776">
        <v>1030.0000000000005</v>
      </c>
      <c r="AX55" s="776">
        <v>4</v>
      </c>
      <c r="AY55" s="776">
        <v>4</v>
      </c>
      <c r="AZ55" s="776">
        <v>31139.499999999993</v>
      </c>
      <c r="BA55" s="776">
        <v>349.49999999999989</v>
      </c>
      <c r="BB55" s="776">
        <v>809.50000000000023</v>
      </c>
      <c r="BC55" s="779">
        <v>29017828.626899801</v>
      </c>
      <c r="BD55" s="779">
        <f>IFERROR(VLOOKUP($B55-1,CDM!$V$4:$AJ$17,11,FALSE)/12,0)+IFERROR(VLOOKUP($B55,CDM!$V$41:$AJ$54,11,FALSE)/24,0)+IFERROR(VLOOKUP($B55,CDM!$V$41:$AJ$54,11,FALSE)/2*$C55/78,0)</f>
        <v>1915012.3010071039</v>
      </c>
      <c r="BE55" s="779">
        <f t="shared" si="123"/>
        <v>30932840.927906904</v>
      </c>
      <c r="BF55" s="779">
        <f>IFERROR(HLOOKUP(B55-1,'EV Forecast WRZ'!$F$124:$T$130,2,FALSE)/12,0)+IFERROR(((HLOOKUP(B55,'EV Forecast WRZ'!$F$116:$T$122,2,FALSE)-HLOOKUP(B55-1,'EV Forecast WRZ'!$F$124:$T$130,2,FALSE)))*C55/78,0)</f>
        <v>49247.21474358975</v>
      </c>
      <c r="BG55" s="779">
        <f ca="1">HLOOKUP(B55,Heating!$R$102:$AD$106,2,FALSE)*INDEX(Weather!$BO$1:$CB$20,MATCH(B55,Weather!$BO$1:$BO$20,0),MATCH(C55,Weather!$BO$1:$CB$1,0))/VLOOKUP(B55,Weather!$BO$2:$CB$20,14,FALSE)*
VLOOKUP('Monthly Data'!$B55,Weather!$BO$3:$CB$20,14,FALSE)/Weather!$CB$14</f>
        <v>3200.1768275760596</v>
      </c>
      <c r="BH55" s="779">
        <f t="shared" ref="BH55:BH118" ca="1" si="181">BE55-BF55-BG55</f>
        <v>30880393.53633574</v>
      </c>
      <c r="BI55" s="779">
        <v>6888551.6979099903</v>
      </c>
      <c r="BJ55" s="779">
        <f>IFERROR(VLOOKUP($B55-1,CDM!$V$4:$AJ$17,12,FALSE)/12,0)+IFERROR(VLOOKUP($B55,CDM!$V$41:$AJ$54,12,FALSE)/24,0)+IFERROR(VLOOKUP($B55,CDM!$V$41:$AJ$54,12,FALSE)/2*$C55/78,0)</f>
        <v>205157.25166126597</v>
      </c>
      <c r="BK55" s="779">
        <f t="shared" ref="BK55:BK109" si="182">BI55+BJ55</f>
        <v>7093708.9495712565</v>
      </c>
      <c r="BL55" s="779">
        <f>IFERROR(HLOOKUP(B55-1,'EV Forecast WRZ'!$F$124:$T$130,3,FALSE)/12,0)+IFERROR(((HLOOKUP(B55,'EV Forecast WRZ'!$F$116:$T$122,3,FALSE)-HLOOKUP(B55-1,'EV Forecast WRZ'!$F$124:$T$130,3,FALSE)))*C55/78,0)</f>
        <v>6164.3782051282051</v>
      </c>
      <c r="BM55" s="779">
        <f ca="1">HLOOKUP(B55,Heating!$R$102:$AD$106,4,FALSE)*INDEX(Weather!$BO$1:$CB$20,MATCH(B55,Weather!$BO$1:$BO$20,0),MATCH(C55,Weather!$BO$1:$CB$1,0))/VLOOKUP(B55,Weather!$BO$2:$CB$20,14,FALSE)*
VLOOKUP('Monthly Data'!$B55,Weather!$BO$3:$CB$20,14,FALSE)/Weather!$CB$14</f>
        <v>543.67519335038196</v>
      </c>
      <c r="BN55" s="779">
        <f t="shared" ref="BN55:BN118" ca="1" si="183">BK55-BL55-BM55</f>
        <v>7087000.8961727777</v>
      </c>
      <c r="BO55" s="779">
        <v>26801907.539999999</v>
      </c>
      <c r="BP55" s="779">
        <f>IFERROR(VLOOKUP($B55-1,CDM!$V$4:$AJ$17,13,FALSE)/12,0)+IFERROR(VLOOKUP($B55,CDM!$V$41:$AJ$54,13,FALSE)/24,0)+IFERROR(VLOOKUP($B55,CDM!$V$41:$AJ$54,13,FALSE)/2*$C55/78,0)</f>
        <v>1499352.9099040565</v>
      </c>
      <c r="BQ55" s="779">
        <f t="shared" ref="BQ55:BQ109" si="184">BO55+BP55</f>
        <v>28301260.449904054</v>
      </c>
      <c r="BR55" s="779">
        <f>IFERROR(HLOOKUP(B55-1,'EV Forecast WRZ'!$F$124:$T$130,4,FALSE)/12,0)+IFERROR(((HLOOKUP(B55,'EV Forecast WRZ'!$F$116:$T$122,4,FALSE)-HLOOKUP(B55-1,'EV Forecast WRZ'!$F$124:$T$130,4,FALSE)))*C55/78,0)</f>
        <v>2803.9701923076923</v>
      </c>
      <c r="BS55" s="779">
        <f ca="1">HLOOKUP(B55,Heating!$R$102:$AD$106,5,FALSE)*INDEX(Weather!$BO$1:$CB$20,MATCH(B55,Weather!$BO$1:$BO$20,0),MATCH(C55,Weather!$BO$1:$CB$1,0))/VLOOKUP(B55,Weather!$BO$2:$CB$20,14,FALSE)*
VLOOKUP('Monthly Data'!$B55,Weather!$BO$3:$CB$20,14,FALSE)/Weather!$CB$14</f>
        <v>387.23010318531414</v>
      </c>
      <c r="BT55" s="779">
        <f t="shared" ref="BT55:BT118" ca="1" si="185">BQ55-BR55-BS55</f>
        <v>28298069.249608561</v>
      </c>
      <c r="BU55" s="779">
        <v>6468669.4299999997</v>
      </c>
      <c r="BV55" s="779">
        <f>IFERROR(VLOOKUP($B55-1,CDM!$V$4:$AJ$17,14,FALSE)/12,0)+IFERROR(VLOOKUP($B55,CDM!$V$41:$AJ$54,14,FALSE)/24,0)+IFERROR(VLOOKUP($B55,CDM!$V$41:$AJ$54,14,FALSE)/2*$C55/78,0)</f>
        <v>337087.7537779152</v>
      </c>
      <c r="BW55" s="779">
        <f t="shared" ref="BW55:BW109" si="186">BU55+BV55</f>
        <v>6805757.1837779153</v>
      </c>
      <c r="BX55" s="779">
        <f>IFERROR(HLOOKUP(B55-1,'EV Forecast WRZ'!$F$124:$T$130,5,FALSE)/12,0)+IFERROR(((HLOOKUP(B55,'EV Forecast WRZ'!$F$116:$T$122,5,FALSE)-HLOOKUP(B55-1,'EV Forecast WRZ'!$F$124:$T$130,5,FALSE)))*C55/78,0)</f>
        <v>428.21891025641025</v>
      </c>
      <c r="BY55" s="779">
        <f t="shared" si="124"/>
        <v>6805328.9648676589</v>
      </c>
      <c r="BZ55" s="779">
        <v>211715.45</v>
      </c>
      <c r="CA55" s="779">
        <v>2470.1014515369525</v>
      </c>
      <c r="CB55" s="5">
        <v>49491.3</v>
      </c>
      <c r="CC55" s="5">
        <v>67367.61</v>
      </c>
      <c r="CD55" s="5">
        <v>11226.41</v>
      </c>
      <c r="CE55" s="5">
        <v>736.47</v>
      </c>
      <c r="CF55" s="763">
        <f t="shared" si="122"/>
        <v>7.166666666666667</v>
      </c>
      <c r="CG55" s="785">
        <v>40854.500000000015</v>
      </c>
      <c r="CH55" s="785">
        <v>2260.5000000000009</v>
      </c>
      <c r="CI55" s="785">
        <v>377</v>
      </c>
      <c r="CJ55" s="785">
        <v>3</v>
      </c>
      <c r="CK55" s="785">
        <v>12391.000000000004</v>
      </c>
      <c r="CL55" s="785">
        <v>37</v>
      </c>
      <c r="CM55" s="785">
        <v>384</v>
      </c>
      <c r="CN55" s="46">
        <f>Weather!C67</f>
        <v>80.695833333333368</v>
      </c>
      <c r="CO55" s="46">
        <f>Weather!D67</f>
        <v>10.4375</v>
      </c>
      <c r="CP55" s="46">
        <f>Weather!E67</f>
        <v>46.120833333333351</v>
      </c>
      <c r="CQ55" s="46">
        <f>Weather!F67</f>
        <v>35.862499999999976</v>
      </c>
      <c r="CR55" s="46">
        <f>Weather!G67</f>
        <v>21.925000000000018</v>
      </c>
      <c r="CS55" s="46">
        <f>Weather!H67</f>
        <v>71.666666666666629</v>
      </c>
      <c r="CT55" s="46">
        <f>Weather!I67</f>
        <v>9.0750000000000011</v>
      </c>
      <c r="CU55" s="46">
        <f>Weather!J67</f>
        <v>118.81666666666663</v>
      </c>
      <c r="CV55" s="46">
        <f>Weather!K67</f>
        <v>3.9291666666666671</v>
      </c>
      <c r="CW55" s="46">
        <f>Weather!L67</f>
        <v>173.67083333333326</v>
      </c>
      <c r="CX55" s="46">
        <f>Weather!M67</f>
        <v>0.97916666666666963</v>
      </c>
      <c r="CY55" s="46">
        <f>Weather!N67</f>
        <v>230.72083333333327</v>
      </c>
      <c r="CZ55" s="46">
        <f>Weather!O67</f>
        <v>0</v>
      </c>
      <c r="DA55" s="46">
        <f>Weather!P67</f>
        <v>289.74166666666656</v>
      </c>
      <c r="DB55" s="368">
        <f>'Economic Data'!D69</f>
        <v>7396.1</v>
      </c>
      <c r="DC55" s="368">
        <f>'Economic Data'!E69</f>
        <v>7436.8</v>
      </c>
      <c r="DD55" s="368">
        <f>'Economic Data'!F69</f>
        <v>217.8</v>
      </c>
      <c r="DE55" s="368">
        <f>'Economic Data'!G69</f>
        <v>220.9</v>
      </c>
      <c r="DF55" s="368">
        <f>'Economic Data'!H69</f>
        <v>52.8</v>
      </c>
      <c r="DG55" s="368">
        <f>'Economic Data'!I69</f>
        <v>52.8</v>
      </c>
      <c r="DH55" s="368">
        <f>'Economic Data'!J69</f>
        <v>807274.5</v>
      </c>
      <c r="DI55" s="368">
        <f>'Economic Data'!K69</f>
        <v>626103.1</v>
      </c>
      <c r="DJ55" s="368">
        <f>'Economic Data'!L69</f>
        <v>94599.6</v>
      </c>
      <c r="DK55" s="368">
        <f>'Economic Data'!M69</f>
        <v>32860.800000000003</v>
      </c>
      <c r="DL55" s="368">
        <f>'Economic Data'!N69</f>
        <v>806630</v>
      </c>
      <c r="DM55" s="368">
        <f>'Economic Data'!O69</f>
        <v>95078</v>
      </c>
      <c r="DN55" s="368">
        <f>'Economic Data'!P69</f>
        <v>19873</v>
      </c>
      <c r="DO55" s="368">
        <f>'Economic Data'!Q69</f>
        <v>624723</v>
      </c>
      <c r="DP55" s="368">
        <f>'Economic Data'!R69</f>
        <v>32769</v>
      </c>
      <c r="DQ55">
        <v>30</v>
      </c>
      <c r="DR55">
        <v>22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1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f t="shared" si="69"/>
        <v>54</v>
      </c>
      <c r="EI55">
        <v>0</v>
      </c>
      <c r="EJ55">
        <v>0</v>
      </c>
      <c r="EK55">
        <v>0</v>
      </c>
      <c r="EL55">
        <v>0</v>
      </c>
      <c r="EM55" s="47">
        <f t="shared" si="125"/>
        <v>0</v>
      </c>
      <c r="EN55" s="47">
        <f t="shared" si="126"/>
        <v>0</v>
      </c>
      <c r="EO55" s="47">
        <f t="shared" si="127"/>
        <v>0</v>
      </c>
      <c r="EP55" s="47">
        <f t="shared" si="128"/>
        <v>0</v>
      </c>
      <c r="EQ55" s="47">
        <f t="shared" si="129"/>
        <v>0</v>
      </c>
      <c r="ER55" s="47">
        <f t="shared" si="130"/>
        <v>0</v>
      </c>
      <c r="ES55" s="47">
        <f t="shared" si="131"/>
        <v>0</v>
      </c>
      <c r="ET55" s="47">
        <f t="shared" si="132"/>
        <v>0</v>
      </c>
      <c r="EU55" s="47">
        <f t="shared" si="133"/>
        <v>0</v>
      </c>
      <c r="EV55" s="47">
        <f t="shared" si="134"/>
        <v>0</v>
      </c>
      <c r="EW55" s="47">
        <f t="shared" si="135"/>
        <v>0</v>
      </c>
      <c r="EX55" s="47">
        <f t="shared" si="136"/>
        <v>0</v>
      </c>
      <c r="EY55" s="47">
        <f t="shared" si="137"/>
        <v>0</v>
      </c>
      <c r="EZ55" s="47">
        <f t="shared" si="138"/>
        <v>0</v>
      </c>
      <c r="FA55" s="47">
        <f t="shared" si="139"/>
        <v>0</v>
      </c>
      <c r="FB55" s="47">
        <f t="shared" si="140"/>
        <v>0</v>
      </c>
      <c r="FC55" s="47">
        <f t="shared" si="141"/>
        <v>0</v>
      </c>
      <c r="FD55" s="47">
        <f t="shared" si="142"/>
        <v>0</v>
      </c>
      <c r="FE55" s="47">
        <f t="shared" si="143"/>
        <v>0</v>
      </c>
      <c r="FF55" s="47">
        <f t="shared" si="144"/>
        <v>0</v>
      </c>
      <c r="FG55" s="47">
        <f t="shared" si="145"/>
        <v>0</v>
      </c>
      <c r="FH55" s="47">
        <f t="shared" si="146"/>
        <v>0</v>
      </c>
      <c r="FI55" s="47">
        <f t="shared" si="147"/>
        <v>0</v>
      </c>
      <c r="FJ55" s="47">
        <f t="shared" si="148"/>
        <v>0</v>
      </c>
      <c r="FK55" s="47">
        <f t="shared" si="149"/>
        <v>0</v>
      </c>
      <c r="FL55" s="47">
        <f t="shared" si="150"/>
        <v>0</v>
      </c>
      <c r="FM55" s="47">
        <f t="shared" si="151"/>
        <v>0</v>
      </c>
      <c r="FN55" s="47">
        <f t="shared" si="152"/>
        <v>0</v>
      </c>
      <c r="FO55" s="765">
        <f t="shared" ca="1" si="153"/>
        <v>669.63302778105492</v>
      </c>
      <c r="FP55" s="765">
        <f t="shared" si="154"/>
        <v>489.7299264085687</v>
      </c>
      <c r="FQ55" s="765">
        <f t="shared" si="155"/>
        <v>2549.6308853049582</v>
      </c>
      <c r="FR55" s="765">
        <f t="shared" si="156"/>
        <v>78354.595788060105</v>
      </c>
      <c r="FS55" s="765">
        <f t="shared" si="157"/>
        <v>2055450.3702855669</v>
      </c>
      <c r="FT55" s="765">
        <f t="shared" si="158"/>
        <v>6067806.3782965513</v>
      </c>
      <c r="FU55" s="765">
        <f t="shared" si="159"/>
        <v>26.397799900447993</v>
      </c>
      <c r="FV55" s="765">
        <f t="shared" si="160"/>
        <v>49.307410586552258</v>
      </c>
      <c r="FW55" s="765">
        <f t="shared" si="161"/>
        <v>498.52754786905484</v>
      </c>
      <c r="FX55" s="765">
        <f t="shared" si="162"/>
        <v>757.14648148690821</v>
      </c>
      <c r="FY55" s="765">
        <f t="shared" si="163"/>
        <v>3138.1149964924812</v>
      </c>
      <c r="FZ55" s="765">
        <f t="shared" si="164"/>
        <v>75069.656365793242</v>
      </c>
      <c r="GA55" s="765">
        <f t="shared" si="165"/>
        <v>70571.816666666666</v>
      </c>
      <c r="GB55" s="765">
        <f t="shared" si="166"/>
        <v>17.086227907352107</v>
      </c>
      <c r="GC55" s="765">
        <f t="shared" si="167"/>
        <v>66.759498690187911</v>
      </c>
      <c r="GD55" s="765">
        <f t="shared" si="168"/>
        <v>128.88359375000002</v>
      </c>
    </row>
    <row r="56" spans="1:186">
      <c r="A56" s="4">
        <v>43647</v>
      </c>
      <c r="B56" s="6">
        <v>2019</v>
      </c>
      <c r="C56" s="5">
        <v>7</v>
      </c>
      <c r="D56" s="7">
        <v>108301764.009371</v>
      </c>
      <c r="E56" s="7">
        <f>IFERROR(VLOOKUP($B56-1,CDM!$V$4:$AJ$17,2,FALSE)/12,0)+IFERROR(VLOOKUP($B56,CDM!$V$41:$AJ$54,2,FALSE)/24,0)+IFERROR(VLOOKUP($B56,CDM!$V$41:$AJ$54,2,FALSE)/2*$C56/78,0)</f>
        <v>3829405.9873859948</v>
      </c>
      <c r="F56" s="7">
        <f t="shared" si="169"/>
        <v>112131169.99675699</v>
      </c>
      <c r="G56" s="7">
        <f>IFERROR(HLOOKUP(B56-1,'EV Forecast VRZ'!$F$124:$T$130,2,FALSE)/12,0)+IFERROR(((HLOOKUP(B56,'EV Forecast VRZ'!$F$116:$T$122,2,FALSE)-HLOOKUP(B56-1,'EV Forecast VRZ'!$F$124:$T$130,2,FALSE)))*C56/78,0)</f>
        <v>172005.63081192068</v>
      </c>
      <c r="H56" s="7">
        <f ca="1">HLOOKUP(B56,Heating!$C$102:$O$106,2,FALSE)*INDEX(Weather!$BO$1:$CB$20,MATCH(B56,Weather!$BO$1:$BO$20,0),MATCH(C56,Weather!$BO$1:$CB$1,0))/VLOOKUP(B56,Weather!$BO$2:$CB$20,14,FALSE)*
VLOOKUP('Monthly Data'!$B56,Weather!$BO$3:$CB$20,14,FALSE)/Weather!$CB$14</f>
        <v>0</v>
      </c>
      <c r="I56" s="7">
        <f t="shared" ca="1" si="170"/>
        <v>111959164.36594507</v>
      </c>
      <c r="J56" s="7">
        <v>975830.17512999906</v>
      </c>
      <c r="K56" s="7">
        <f>IFERROR(VLOOKUP($B56-1,CDM!$V$4:$AJ$17,3,FALSE)/12,0)+IFERROR(VLOOKUP($B56,CDM!$V$41:$AJ$54,3,FALSE)/24,0)+IFERROR(VLOOKUP($B56,CDM!$V$41:$AJ$54,3,FALSE)/2*$C56/78,0)</f>
        <v>43861.264001414325</v>
      </c>
      <c r="L56" s="7">
        <f t="shared" si="171"/>
        <v>1019691.4391314134</v>
      </c>
      <c r="M56" s="7">
        <f>IFERROR(HLOOKUP(B56-1,'EV Forecast VRZ'!$F$124:$T$130,3,FALSE)/12,0)+IFERROR(((HLOOKUP(B56,'EV Forecast VRZ'!$F$116:$T$122,3,FALSE)-HLOOKUP(B56-1,'EV Forecast VRZ'!$F$124:$T$130,3,FALSE)))*C56/78,0)</f>
        <v>2340.0338034639153</v>
      </c>
      <c r="N56" s="7">
        <f ca="1">HLOOKUP(B56,Heating!$C$102:$O$106,3,FALSE)*INDEX(Weather!$BO$1:$CB$20,MATCH(B56,Weather!$BO$1:$BO$20,0),MATCH(C56,Weather!$BO$1:$CB$1,0))/VLOOKUP(B56,Weather!$BO$2:$CB$20,14,FALSE)*
VLOOKUP('Monthly Data'!$B56,Weather!$BO$3:$CB$20,14,FALSE)/Weather!$CB$14</f>
        <v>0</v>
      </c>
      <c r="O56" s="7">
        <f t="shared" ca="1" si="172"/>
        <v>1017351.4053279494</v>
      </c>
      <c r="P56" s="7">
        <v>27454085.436310101</v>
      </c>
      <c r="Q56" s="7">
        <f>IFERROR(VLOOKUP($B56-1,CDM!$V$4:$AJ$17,4,FALSE)/12,0)+IFERROR(VLOOKUP($B56,CDM!$V$41:$AJ$54,4,FALSE)/24,0)+IFERROR(VLOOKUP($B56,CDM!$V$41:$AJ$54,4,FALSE)/2*$C56/78,0)</f>
        <v>1266542.7933190095</v>
      </c>
      <c r="R56" s="7">
        <f t="shared" si="173"/>
        <v>28720628.229629111</v>
      </c>
      <c r="S56" s="7">
        <f>IFERROR(HLOOKUP(B56-1,'EV Forecast VRZ'!$F$124:$T$130,4,FALSE)/12,0)+IFERROR(((HLOOKUP(B56,'EV Forecast VRZ'!$F$116:$T$122,4,FALSE)-HLOOKUP(B56-1,'EV Forecast VRZ'!$F$124:$T$130,4,FALSE)))*C56/78,0)</f>
        <v>21732.295384615391</v>
      </c>
      <c r="T56" s="7">
        <f ca="1">HLOOKUP(B56,Heating!$C$102:$O$106,4,FALSE)*INDEX(Weather!$BO$1:$CB$20,MATCH(B56,Weather!$BO$1:$BO$20,0),MATCH(C56,Weather!$BO$1:$CB$1,0))/VLOOKUP(B56,Weather!$BO$2:$CB$20,14,FALSE)*
VLOOKUP('Monthly Data'!$B56,Weather!$BO$3:$CB$20,14,FALSE)/Weather!$CB$14</f>
        <v>0</v>
      </c>
      <c r="U56" s="7">
        <f t="shared" ca="1" si="174"/>
        <v>28698895.934244495</v>
      </c>
      <c r="V56" s="7">
        <v>85509081.980000004</v>
      </c>
      <c r="W56" s="7">
        <f>IFERROR(VLOOKUP($B56-1,CDM!$V$4:$AJ$17,5,FALSE)/12,0)+IFERROR(VLOOKUP($B56,CDM!$V$41:$AJ$54,5,FALSE)/24,0)+IFERROR(VLOOKUP($B56,CDM!$V$41:$AJ$54,5,FALSE)/2*$C56/78,0)</f>
        <v>4465138.0854423596</v>
      </c>
      <c r="X56" s="7">
        <f t="shared" si="175"/>
        <v>89974220.065442368</v>
      </c>
      <c r="Y56" s="7">
        <f>IFERROR(HLOOKUP(B56-1,'EV Forecast VRZ'!$F$124:$T$130,5,FALSE)/12,0)+IFERROR(((HLOOKUP(B56,'EV Forecast VRZ'!$F$116:$T$122,5,FALSE)-HLOOKUP(B56-1,'EV Forecast VRZ'!$F$124:$T$130,5,FALSE)))*C56/78,0)</f>
        <v>9878.3790769230782</v>
      </c>
      <c r="Z56" s="7">
        <f ca="1">HLOOKUP(B56,Heating!$C$102:$O$106,5,FALSE)*INDEX(Weather!$BO$1:$CB$20,MATCH(B56,Weather!$BO$1:$BO$20,0),MATCH(C56,Weather!$BO$1:$CB$1,0))/VLOOKUP(B56,Weather!$BO$2:$CB$20,14,FALSE)*
VLOOKUP('Monthly Data'!$B56,Weather!$BO$3:$CB$20,14,FALSE)/Weather!$CB$14</f>
        <v>0</v>
      </c>
      <c r="AA56" s="7">
        <f t="shared" ca="1" si="176"/>
        <v>89964341.68636544</v>
      </c>
      <c r="AB56" s="7">
        <v>7558032.7599999998</v>
      </c>
      <c r="AC56" s="7">
        <f>IFERROR(VLOOKUP($B56-1,CDM!$V$4:$AJ$17,6,FALSE)/12,0)+IFERROR(VLOOKUP($B56,CDM!$V$41:$AJ$54,6,FALSE)/24,0)+IFERROR(VLOOKUP($B56,CDM!$V$41:$AJ$54,6,FALSE)/2*$C56/78,0)</f>
        <v>211991.98937632627</v>
      </c>
      <c r="AD56" s="7">
        <f t="shared" si="177"/>
        <v>7770024.7493763259</v>
      </c>
      <c r="AE56" s="7">
        <f>IFERROR(HLOOKUP(B56-1,'EV Forecast VRZ'!$F$124:$T$130,6,FALSE)/12,0)+IFERROR(((HLOOKUP(B56,'EV Forecast VRZ'!$F$116:$T$122,6,FALSE)-HLOOKUP(B56-1,'EV Forecast VRZ'!$F$124:$T$130,6,FALSE)))*C56/78,0)</f>
        <v>1481.9993846153843</v>
      </c>
      <c r="AF56" s="7">
        <f t="shared" si="178"/>
        <v>7768542.7499917103</v>
      </c>
      <c r="AG56" s="7">
        <v>22748010.800000001</v>
      </c>
      <c r="AH56" s="7">
        <f>IFERROR(VLOOKUP($B56-1,CDM!$V$4:$AJ$17,7,FALSE)/12,0)+IFERROR(VLOOKUP($B56,CDM!$V$41:$AJ$54,7,FALSE)/24,0)+IFERROR(VLOOKUP($B56,CDM!$V$41:$AJ$54,7,FALSE)/2*$C56/78,0)</f>
        <v>1570432.4171777875</v>
      </c>
      <c r="AI56" s="7">
        <f t="shared" si="179"/>
        <v>24318443.21717779</v>
      </c>
      <c r="AJ56" s="7">
        <f>IFERROR(HLOOKUP(B56-1,'EV Forecast VRZ'!$F$124:$T$130,7,FALSE)/12,0)+IFERROR(((HLOOKUP(B56,'EV Forecast VRZ'!$F$116:$T$122,7,FALSE)-HLOOKUP(B56-1,'EV Forecast VRZ'!$F$124:$T$130,7,FALSE)))*C56/78,0)</f>
        <v>0</v>
      </c>
      <c r="AK56" s="7">
        <f t="shared" si="180"/>
        <v>24318443.21717779</v>
      </c>
      <c r="AL56" s="7">
        <v>883938.35</v>
      </c>
      <c r="AM56" s="7">
        <v>20735.099999999999</v>
      </c>
      <c r="AN56" s="7">
        <v>403592.65</v>
      </c>
      <c r="AO56" s="5">
        <v>199966.99</v>
      </c>
      <c r="AP56" s="5">
        <v>16312.94</v>
      </c>
      <c r="AQ56" s="5">
        <v>39453</v>
      </c>
      <c r="AR56" s="5">
        <v>3022.64</v>
      </c>
      <c r="AS56" s="763">
        <f t="shared" si="121"/>
        <v>52.416666666666664</v>
      </c>
      <c r="AT56" s="776">
        <v>111029.25</v>
      </c>
      <c r="AU56" s="776">
        <v>1564.75</v>
      </c>
      <c r="AV56" s="776">
        <v>9212.5833333333376</v>
      </c>
      <c r="AW56" s="776">
        <v>1028.1666666666672</v>
      </c>
      <c r="AX56" s="776">
        <v>4</v>
      </c>
      <c r="AY56" s="776">
        <v>4</v>
      </c>
      <c r="AZ56" s="776">
        <v>31146.583333333325</v>
      </c>
      <c r="BA56" s="776">
        <v>334.5833333333332</v>
      </c>
      <c r="BB56" s="776">
        <v>808.5833333333336</v>
      </c>
      <c r="BC56" s="779">
        <v>44482042.361199997</v>
      </c>
      <c r="BD56" s="779">
        <f>IFERROR(VLOOKUP($B56-1,CDM!$V$4:$AJ$17,11,FALSE)/12,0)+IFERROR(VLOOKUP($B56,CDM!$V$41:$AJ$54,11,FALSE)/24,0)+IFERROR(VLOOKUP($B56,CDM!$V$41:$AJ$54,11,FALSE)/2*$C56/78,0)</f>
        <v>1923211.8505310176</v>
      </c>
      <c r="BE56" s="779">
        <f t="shared" si="123"/>
        <v>46405254.211731017</v>
      </c>
      <c r="BF56" s="779">
        <f>IFERROR(HLOOKUP(B56-1,'EV Forecast WRZ'!$F$124:$T$130,2,FALSE)/12,0)+IFERROR(((HLOOKUP(B56,'EV Forecast WRZ'!$F$116:$T$122,2,FALSE)-HLOOKUP(B56-1,'EV Forecast WRZ'!$F$124:$T$130,2,FALSE)))*C56/78,0)</f>
        <v>50747.551923076935</v>
      </c>
      <c r="BG56" s="779">
        <f ca="1">HLOOKUP(B56,Heating!$R$102:$AD$106,2,FALSE)*INDEX(Weather!$BO$1:$CB$20,MATCH(B56,Weather!$BO$1:$BO$20,0),MATCH(C56,Weather!$BO$1:$CB$1,0))/VLOOKUP(B56,Weather!$BO$2:$CB$20,14,FALSE)*
VLOOKUP('Monthly Data'!$B56,Weather!$BO$3:$CB$20,14,FALSE)/Weather!$CB$14</f>
        <v>0</v>
      </c>
      <c r="BH56" s="779">
        <f t="shared" ca="1" si="181"/>
        <v>46354506.659807943</v>
      </c>
      <c r="BI56" s="779">
        <v>8387513.6994099803</v>
      </c>
      <c r="BJ56" s="779">
        <f>IFERROR(VLOOKUP($B56-1,CDM!$V$4:$AJ$17,12,FALSE)/12,0)+IFERROR(VLOOKUP($B56,CDM!$V$41:$AJ$54,12,FALSE)/24,0)+IFERROR(VLOOKUP($B56,CDM!$V$41:$AJ$54,12,FALSE)/2*$C56/78,0)</f>
        <v>207044.0632152824</v>
      </c>
      <c r="BK56" s="779">
        <f t="shared" si="182"/>
        <v>8594557.7626252621</v>
      </c>
      <c r="BL56" s="779">
        <f>IFERROR(HLOOKUP(B56-1,'EV Forecast WRZ'!$F$124:$T$130,3,FALSE)/12,0)+IFERROR(((HLOOKUP(B56,'EV Forecast WRZ'!$F$116:$T$122,3,FALSE)-HLOOKUP(B56-1,'EV Forecast WRZ'!$F$124:$T$130,3,FALSE)))*C56/78,0)</f>
        <v>6340.8884615384613</v>
      </c>
      <c r="BM56" s="779">
        <f ca="1">HLOOKUP(B56,Heating!$R$102:$AD$106,4,FALSE)*INDEX(Weather!$BO$1:$CB$20,MATCH(B56,Weather!$BO$1:$BO$20,0),MATCH(C56,Weather!$BO$1:$CB$1,0))/VLOOKUP(B56,Weather!$BO$2:$CB$20,14,FALSE)*
VLOOKUP('Monthly Data'!$B56,Weather!$BO$3:$CB$20,14,FALSE)/Weather!$CB$14</f>
        <v>0</v>
      </c>
      <c r="BN56" s="779">
        <f t="shared" ca="1" si="183"/>
        <v>8588216.8741637245</v>
      </c>
      <c r="BO56" s="779">
        <v>29874854.309999999</v>
      </c>
      <c r="BP56" s="779">
        <f>IFERROR(VLOOKUP($B56-1,CDM!$V$4:$AJ$17,13,FALSE)/12,0)+IFERROR(VLOOKUP($B56,CDM!$V$41:$AJ$54,13,FALSE)/24,0)+IFERROR(VLOOKUP($B56,CDM!$V$41:$AJ$54,13,FALSE)/2*$C56/78,0)</f>
        <v>1535502.9172351775</v>
      </c>
      <c r="BQ56" s="779">
        <f t="shared" si="184"/>
        <v>31410357.227235176</v>
      </c>
      <c r="BR56" s="779">
        <f>IFERROR(HLOOKUP(B56-1,'EV Forecast WRZ'!$F$124:$T$130,4,FALSE)/12,0)+IFERROR(((HLOOKUP(B56,'EV Forecast WRZ'!$F$116:$T$122,4,FALSE)-HLOOKUP(B56-1,'EV Forecast WRZ'!$F$124:$T$130,4,FALSE)))*C56/78,0)</f>
        <v>2883.3998076923081</v>
      </c>
      <c r="BS56" s="779">
        <f ca="1">HLOOKUP(B56,Heating!$R$102:$AD$106,5,FALSE)*INDEX(Weather!$BO$1:$CB$20,MATCH(B56,Weather!$BO$1:$BO$20,0),MATCH(C56,Weather!$BO$1:$CB$1,0))/VLOOKUP(B56,Weather!$BO$2:$CB$20,14,FALSE)*
VLOOKUP('Monthly Data'!$B56,Weather!$BO$3:$CB$20,14,FALSE)/Weather!$CB$14</f>
        <v>0</v>
      </c>
      <c r="BT56" s="779">
        <f t="shared" ca="1" si="185"/>
        <v>31407473.827427484</v>
      </c>
      <c r="BU56" s="779">
        <v>6661958.2699999996</v>
      </c>
      <c r="BV56" s="779">
        <f>IFERROR(VLOOKUP($B56-1,CDM!$V$4:$AJ$17,14,FALSE)/12,0)+IFERROR(VLOOKUP($B56,CDM!$V$41:$AJ$54,14,FALSE)/24,0)+IFERROR(VLOOKUP($B56,CDM!$V$41:$AJ$54,14,FALSE)/2*$C56/78,0)</f>
        <v>345215.07636475208</v>
      </c>
      <c r="BW56" s="779">
        <f t="shared" si="186"/>
        <v>7007173.3463647515</v>
      </c>
      <c r="BX56" s="779">
        <f>IFERROR(HLOOKUP(B56-1,'EV Forecast WRZ'!$F$124:$T$130,5,FALSE)/12,0)+IFERROR(((HLOOKUP(B56,'EV Forecast WRZ'!$F$116:$T$122,5,FALSE)-HLOOKUP(B56-1,'EV Forecast WRZ'!$F$124:$T$130,5,FALSE)))*C56/78,0)</f>
        <v>437.04442307692307</v>
      </c>
      <c r="BY56" s="779">
        <f t="shared" si="124"/>
        <v>7006736.3019416742</v>
      </c>
      <c r="BZ56" s="779">
        <v>225764.53</v>
      </c>
      <c r="CA56" s="779">
        <v>2470.1014515369525</v>
      </c>
      <c r="CB56" s="5">
        <v>49491.3</v>
      </c>
      <c r="CC56" s="5">
        <v>73779.759999999995</v>
      </c>
      <c r="CD56" s="5">
        <v>11834.42</v>
      </c>
      <c r="CE56" s="5">
        <v>739.85</v>
      </c>
      <c r="CF56" s="763">
        <f t="shared" si="122"/>
        <v>7.166666666666667</v>
      </c>
      <c r="CG56" s="785">
        <v>40951.58333333335</v>
      </c>
      <c r="CH56" s="785">
        <v>2261.5833333333344</v>
      </c>
      <c r="CI56" s="785">
        <v>377</v>
      </c>
      <c r="CJ56" s="785">
        <v>3</v>
      </c>
      <c r="CK56" s="785">
        <v>12425.833333333338</v>
      </c>
      <c r="CL56" s="785">
        <v>37</v>
      </c>
      <c r="CM56" s="785">
        <v>384.5</v>
      </c>
      <c r="CN56" s="46">
        <f>Weather!C68</f>
        <v>0.97500000000000497</v>
      </c>
      <c r="CO56" s="46">
        <f>Weather!D68</f>
        <v>74.574999999999989</v>
      </c>
      <c r="CP56" s="46">
        <f>Weather!E68</f>
        <v>0</v>
      </c>
      <c r="CQ56" s="46">
        <f>Weather!F68</f>
        <v>135.6</v>
      </c>
      <c r="CR56" s="46">
        <f>Weather!G68</f>
        <v>0</v>
      </c>
      <c r="CS56" s="46">
        <f>Weather!H68</f>
        <v>197.60000000000005</v>
      </c>
      <c r="CT56" s="46">
        <f>Weather!I68</f>
        <v>0</v>
      </c>
      <c r="CU56" s="46">
        <f>Weather!J68</f>
        <v>259.60000000000008</v>
      </c>
      <c r="CV56" s="46">
        <f>Weather!K68</f>
        <v>0</v>
      </c>
      <c r="CW56" s="46">
        <f>Weather!L68</f>
        <v>321.60000000000002</v>
      </c>
      <c r="CX56" s="46">
        <f>Weather!M68</f>
        <v>0</v>
      </c>
      <c r="CY56" s="46">
        <f>Weather!N68</f>
        <v>383.6</v>
      </c>
      <c r="CZ56" s="46">
        <f>Weather!O68</f>
        <v>0</v>
      </c>
      <c r="DA56" s="46">
        <f>Weather!P68</f>
        <v>445.60000000000008</v>
      </c>
      <c r="DB56" s="368">
        <f>'Economic Data'!D70</f>
        <v>7399.6</v>
      </c>
      <c r="DC56" s="368">
        <f>'Economic Data'!E70</f>
        <v>7484.5</v>
      </c>
      <c r="DD56" s="368">
        <f>'Economic Data'!F70</f>
        <v>216.2</v>
      </c>
      <c r="DE56" s="368">
        <f>'Economic Data'!G70</f>
        <v>220.4</v>
      </c>
      <c r="DF56" s="368">
        <f>'Economic Data'!H70</f>
        <v>46.2</v>
      </c>
      <c r="DG56" s="368">
        <f>'Economic Data'!I70</f>
        <v>46.2</v>
      </c>
      <c r="DH56" s="368">
        <f>'Economic Data'!J70</f>
        <v>807274.5</v>
      </c>
      <c r="DI56" s="368">
        <f>'Economic Data'!K70</f>
        <v>626103.1</v>
      </c>
      <c r="DJ56" s="368">
        <f>'Economic Data'!L70</f>
        <v>94599.6</v>
      </c>
      <c r="DK56" s="368">
        <f>'Economic Data'!M70</f>
        <v>32860.800000000003</v>
      </c>
      <c r="DL56" s="368">
        <f>'Economic Data'!N70</f>
        <v>810347</v>
      </c>
      <c r="DM56" s="368">
        <f>'Economic Data'!O70</f>
        <v>94469</v>
      </c>
      <c r="DN56" s="368">
        <f>'Economic Data'!P70</f>
        <v>19976</v>
      </c>
      <c r="DO56" s="368">
        <f>'Economic Data'!Q70</f>
        <v>628879</v>
      </c>
      <c r="DP56" s="368">
        <f>'Economic Data'!R70</f>
        <v>33162</v>
      </c>
      <c r="DQ56">
        <v>31</v>
      </c>
      <c r="DR56">
        <v>22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1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f t="shared" si="69"/>
        <v>55</v>
      </c>
      <c r="EI56">
        <v>0</v>
      </c>
      <c r="EJ56">
        <v>0</v>
      </c>
      <c r="EK56">
        <v>0</v>
      </c>
      <c r="EL56">
        <v>0</v>
      </c>
      <c r="EM56" s="47">
        <f t="shared" si="125"/>
        <v>0</v>
      </c>
      <c r="EN56" s="47">
        <f t="shared" si="126"/>
        <v>0</v>
      </c>
      <c r="EO56" s="47">
        <f t="shared" si="127"/>
        <v>0</v>
      </c>
      <c r="EP56" s="47">
        <f t="shared" si="128"/>
        <v>0</v>
      </c>
      <c r="EQ56" s="47">
        <f t="shared" si="129"/>
        <v>0</v>
      </c>
      <c r="ER56" s="47">
        <f t="shared" si="130"/>
        <v>0</v>
      </c>
      <c r="ES56" s="47">
        <f t="shared" si="131"/>
        <v>0</v>
      </c>
      <c r="ET56" s="47">
        <f t="shared" si="132"/>
        <v>0</v>
      </c>
      <c r="EU56" s="47">
        <f t="shared" si="133"/>
        <v>0</v>
      </c>
      <c r="EV56" s="47">
        <f t="shared" si="134"/>
        <v>0</v>
      </c>
      <c r="EW56" s="47">
        <f t="shared" si="135"/>
        <v>0</v>
      </c>
      <c r="EX56" s="47">
        <f t="shared" si="136"/>
        <v>0</v>
      </c>
      <c r="EY56" s="47">
        <f t="shared" si="137"/>
        <v>0</v>
      </c>
      <c r="EZ56" s="47">
        <f t="shared" si="138"/>
        <v>0</v>
      </c>
      <c r="FA56" s="47">
        <f t="shared" si="139"/>
        <v>0</v>
      </c>
      <c r="FB56" s="47">
        <f t="shared" si="140"/>
        <v>0</v>
      </c>
      <c r="FC56" s="47">
        <f t="shared" si="141"/>
        <v>0</v>
      </c>
      <c r="FD56" s="47">
        <f t="shared" si="142"/>
        <v>0</v>
      </c>
      <c r="FE56" s="47">
        <f t="shared" si="143"/>
        <v>0</v>
      </c>
      <c r="FF56" s="47">
        <f t="shared" si="144"/>
        <v>0</v>
      </c>
      <c r="FG56" s="47">
        <f t="shared" si="145"/>
        <v>0</v>
      </c>
      <c r="FH56" s="47">
        <f t="shared" si="146"/>
        <v>0</v>
      </c>
      <c r="FI56" s="47">
        <f t="shared" si="147"/>
        <v>0</v>
      </c>
      <c r="FJ56" s="47">
        <f t="shared" si="148"/>
        <v>0</v>
      </c>
      <c r="FK56" s="47">
        <f t="shared" si="149"/>
        <v>0</v>
      </c>
      <c r="FL56" s="47">
        <f t="shared" si="150"/>
        <v>0</v>
      </c>
      <c r="FM56" s="47">
        <f t="shared" si="151"/>
        <v>0</v>
      </c>
      <c r="FN56" s="47">
        <f t="shared" si="152"/>
        <v>0</v>
      </c>
      <c r="FO56" s="765">
        <f t="shared" ca="1" si="153"/>
        <v>1008.3753998693594</v>
      </c>
      <c r="FP56" s="765">
        <f t="shared" si="154"/>
        <v>651.66412470452997</v>
      </c>
      <c r="FQ56" s="765">
        <f t="shared" si="155"/>
        <v>3117.5433850037466</v>
      </c>
      <c r="FR56" s="765">
        <f t="shared" si="156"/>
        <v>87509.372733450145</v>
      </c>
      <c r="FS56" s="765">
        <f t="shared" si="157"/>
        <v>1942506.1873440815</v>
      </c>
      <c r="FT56" s="765">
        <f t="shared" si="158"/>
        <v>6079610.8042944474</v>
      </c>
      <c r="FU56" s="765">
        <f t="shared" si="159"/>
        <v>28.379945900968277</v>
      </c>
      <c r="FV56" s="765">
        <f t="shared" si="160"/>
        <v>61.972901618929036</v>
      </c>
      <c r="FW56" s="765">
        <f t="shared" si="161"/>
        <v>499.13550448314942</v>
      </c>
      <c r="FX56" s="765">
        <f t="shared" si="162"/>
        <v>1133.1736268658151</v>
      </c>
      <c r="FY56" s="765">
        <f t="shared" si="163"/>
        <v>3800.239255370614</v>
      </c>
      <c r="FZ56" s="765">
        <f t="shared" si="164"/>
        <v>83316.597419721948</v>
      </c>
      <c r="GA56" s="765">
        <f t="shared" si="165"/>
        <v>75254.843333333338</v>
      </c>
      <c r="GB56" s="765">
        <f t="shared" si="166"/>
        <v>18.168964925222983</v>
      </c>
      <c r="GC56" s="765">
        <f t="shared" si="167"/>
        <v>66.759498690187911</v>
      </c>
      <c r="GD56" s="765">
        <f t="shared" si="168"/>
        <v>128.71599479843954</v>
      </c>
    </row>
    <row r="57" spans="1:186">
      <c r="A57" s="4">
        <v>43678</v>
      </c>
      <c r="B57" s="6">
        <v>2019</v>
      </c>
      <c r="C57" s="5">
        <v>8</v>
      </c>
      <c r="D57" s="7">
        <v>90507033.205380812</v>
      </c>
      <c r="E57" s="7">
        <f>IFERROR(VLOOKUP($B57-1,CDM!$V$4:$AJ$17,2,FALSE)/12,0)+IFERROR(VLOOKUP($B57,CDM!$V$41:$AJ$54,2,FALSE)/24,0)+IFERROR(VLOOKUP($B57,CDM!$V$41:$AJ$54,2,FALSE)/2*$C57/78,0)</f>
        <v>3848828.8417484337</v>
      </c>
      <c r="F57" s="7">
        <f t="shared" si="169"/>
        <v>94355862.047129244</v>
      </c>
      <c r="G57" s="7">
        <f>IFERROR(HLOOKUP(B57-1,'EV Forecast VRZ'!$F$124:$T$130,2,FALSE)/12,0)+IFERROR(((HLOOKUP(B57,'EV Forecast VRZ'!$F$116:$T$122,2,FALSE)-HLOOKUP(B57-1,'EV Forecast VRZ'!$F$124:$T$130,2,FALSE)))*C57/78,0)</f>
        <v>176133.64093221811</v>
      </c>
      <c r="H57" s="7">
        <f ca="1">HLOOKUP(B57,Heating!$C$102:$O$106,2,FALSE)*INDEX(Weather!$BO$1:$CB$20,MATCH(B57,Weather!$BO$1:$BO$20,0),MATCH(C57,Weather!$BO$1:$CB$1,0))/VLOOKUP(B57,Weather!$BO$2:$CB$20,14,FALSE)*
VLOOKUP('Monthly Data'!$B57,Weather!$BO$3:$CB$20,14,FALSE)/Weather!$CB$14</f>
        <v>874.48975176561908</v>
      </c>
      <c r="I57" s="7">
        <f t="shared" ca="1" si="170"/>
        <v>94178853.916445255</v>
      </c>
      <c r="J57" s="7">
        <v>971217.83658999996</v>
      </c>
      <c r="K57" s="7">
        <f>IFERROR(VLOOKUP($B57-1,CDM!$V$4:$AJ$17,3,FALSE)/12,0)+IFERROR(VLOOKUP($B57,CDM!$V$41:$AJ$54,3,FALSE)/24,0)+IFERROR(VLOOKUP($B57,CDM!$V$41:$AJ$54,3,FALSE)/2*$C57/78,0)</f>
        <v>44083.729560213294</v>
      </c>
      <c r="L57" s="7">
        <f t="shared" si="171"/>
        <v>1015301.5661502132</v>
      </c>
      <c r="M57" s="7">
        <f>IFERROR(HLOOKUP(B57-1,'EV Forecast VRZ'!$F$124:$T$130,3,FALSE)/12,0)+IFERROR(((HLOOKUP(B57,'EV Forecast VRZ'!$F$116:$T$122,3,FALSE)-HLOOKUP(B57-1,'EV Forecast VRZ'!$F$124:$T$130,3,FALSE)))*C57/78,0)</f>
        <v>2396.1929139357089</v>
      </c>
      <c r="N57" s="7">
        <f ca="1">HLOOKUP(B57,Heating!$C$102:$O$106,3,FALSE)*INDEX(Weather!$BO$1:$CB$20,MATCH(B57,Weather!$BO$1:$BO$20,0),MATCH(C57,Weather!$BO$1:$CB$1,0))/VLOOKUP(B57,Weather!$BO$2:$CB$20,14,FALSE)*
VLOOKUP('Monthly Data'!$B57,Weather!$BO$3:$CB$20,14,FALSE)/Weather!$CB$14</f>
        <v>12.334850213934997</v>
      </c>
      <c r="O57" s="7">
        <f t="shared" ca="1" si="172"/>
        <v>1012893.0383860635</v>
      </c>
      <c r="P57" s="7">
        <v>25355358.507699899</v>
      </c>
      <c r="Q57" s="7">
        <f>IFERROR(VLOOKUP($B57-1,CDM!$V$4:$AJ$17,4,FALSE)/12,0)+IFERROR(VLOOKUP($B57,CDM!$V$41:$AJ$54,4,FALSE)/24,0)+IFERROR(VLOOKUP($B57,CDM!$V$41:$AJ$54,4,FALSE)/2*$C57/78,0)</f>
        <v>1286068.1768345344</v>
      </c>
      <c r="R57" s="7">
        <f t="shared" si="173"/>
        <v>26641426.684534434</v>
      </c>
      <c r="S57" s="7">
        <f>IFERROR(HLOOKUP(B57-1,'EV Forecast VRZ'!$F$124:$T$130,4,FALSE)/12,0)+IFERROR(((HLOOKUP(B57,'EV Forecast VRZ'!$F$116:$T$122,4,FALSE)-HLOOKUP(B57-1,'EV Forecast VRZ'!$F$124:$T$130,4,FALSE)))*C57/78,0)</f>
        <v>22226.926153846158</v>
      </c>
      <c r="T57" s="7">
        <f ca="1">HLOOKUP(B57,Heating!$C$102:$O$106,4,FALSE)*INDEX(Weather!$BO$1:$CB$20,MATCH(B57,Weather!$BO$1:$BO$20,0),MATCH(C57,Weather!$BO$1:$CB$1,0))/VLOOKUP(B57,Weather!$BO$2:$CB$20,14,FALSE)*
VLOOKUP('Monthly Data'!$B57,Weather!$BO$3:$CB$20,14,FALSE)/Weather!$CB$14</f>
        <v>223.00650964943617</v>
      </c>
      <c r="U57" s="7">
        <f t="shared" ca="1" si="174"/>
        <v>26618976.751870938</v>
      </c>
      <c r="V57" s="7">
        <v>82253585.260000005</v>
      </c>
      <c r="W57" s="7">
        <f>IFERROR(VLOOKUP($B57-1,CDM!$V$4:$AJ$17,5,FALSE)/12,0)+IFERROR(VLOOKUP($B57,CDM!$V$41:$AJ$54,5,FALSE)/24,0)+IFERROR(VLOOKUP($B57,CDM!$V$41:$AJ$54,5,FALSE)/2*$C57/78,0)</f>
        <v>4535299.7091827663</v>
      </c>
      <c r="X57" s="7">
        <f t="shared" si="175"/>
        <v>86788884.969182774</v>
      </c>
      <c r="Y57" s="7">
        <f>IFERROR(HLOOKUP(B57-1,'EV Forecast VRZ'!$F$124:$T$130,5,FALSE)/12,0)+IFERROR(((HLOOKUP(B57,'EV Forecast VRZ'!$F$116:$T$122,5,FALSE)-HLOOKUP(B57-1,'EV Forecast VRZ'!$F$124:$T$130,5,FALSE)))*C57/78,0)</f>
        <v>10101.155230769231</v>
      </c>
      <c r="Z57" s="7">
        <f ca="1">HLOOKUP(B57,Heating!$C$102:$O$106,5,FALSE)*INDEX(Weather!$BO$1:$CB$20,MATCH(B57,Weather!$BO$1:$BO$20,0),MATCH(C57,Weather!$BO$1:$CB$1,0))/VLOOKUP(B57,Weather!$BO$2:$CB$20,14,FALSE)*
VLOOKUP('Monthly Data'!$B57,Weather!$BO$3:$CB$20,14,FALSE)/Weather!$CB$14</f>
        <v>131.51879865158568</v>
      </c>
      <c r="AA57" s="7">
        <f t="shared" ca="1" si="176"/>
        <v>86778652.29515335</v>
      </c>
      <c r="AB57" s="7">
        <v>7509860.7000000002</v>
      </c>
      <c r="AC57" s="7">
        <f>IFERROR(VLOOKUP($B57-1,CDM!$V$4:$AJ$17,6,FALSE)/12,0)+IFERROR(VLOOKUP($B57,CDM!$V$41:$AJ$54,6,FALSE)/24,0)+IFERROR(VLOOKUP($B57,CDM!$V$41:$AJ$54,6,FALSE)/2*$C57/78,0)</f>
        <v>215427.00761038493</v>
      </c>
      <c r="AD57" s="7">
        <f t="shared" si="177"/>
        <v>7725287.7076103855</v>
      </c>
      <c r="AE57" s="7">
        <f>IFERROR(HLOOKUP(B57-1,'EV Forecast VRZ'!$F$124:$T$130,6,FALSE)/12,0)+IFERROR(((HLOOKUP(B57,'EV Forecast VRZ'!$F$116:$T$122,6,FALSE)-HLOOKUP(B57-1,'EV Forecast VRZ'!$F$124:$T$130,6,FALSE)))*C57/78,0)</f>
        <v>1507.5001538461536</v>
      </c>
      <c r="AF57" s="7">
        <f t="shared" si="178"/>
        <v>7723780.2074565394</v>
      </c>
      <c r="AG57" s="7">
        <v>19108256.09</v>
      </c>
      <c r="AH57" s="7">
        <f>IFERROR(VLOOKUP($B57-1,CDM!$V$4:$AJ$17,7,FALSE)/12,0)+IFERROR(VLOOKUP($B57,CDM!$V$41:$AJ$54,7,FALSE)/24,0)+IFERROR(VLOOKUP($B57,CDM!$V$41:$AJ$54,7,FALSE)/2*$C57/78,0)</f>
        <v>1586479.7011693686</v>
      </c>
      <c r="AI57" s="7">
        <f t="shared" si="179"/>
        <v>20694735.791169368</v>
      </c>
      <c r="AJ57" s="7">
        <f>IFERROR(HLOOKUP(B57-1,'EV Forecast VRZ'!$F$124:$T$130,7,FALSE)/12,0)+IFERROR(((HLOOKUP(B57,'EV Forecast VRZ'!$F$116:$T$122,7,FALSE)-HLOOKUP(B57-1,'EV Forecast VRZ'!$F$124:$T$130,7,FALSE)))*C57/78,0)</f>
        <v>0</v>
      </c>
      <c r="AK57" s="7">
        <f t="shared" si="180"/>
        <v>20694735.791169368</v>
      </c>
      <c r="AL57" s="7">
        <v>990334.6</v>
      </c>
      <c r="AM57" s="7">
        <v>19177.780000000002</v>
      </c>
      <c r="AN57" s="7">
        <v>403592.65</v>
      </c>
      <c r="AO57" s="5">
        <v>193350.65</v>
      </c>
      <c r="AP57" s="5">
        <v>16196.62</v>
      </c>
      <c r="AQ57" s="5">
        <v>31290</v>
      </c>
      <c r="AR57" s="5">
        <v>3022.63</v>
      </c>
      <c r="AS57" s="763">
        <f t="shared" si="121"/>
        <v>52.416666666666664</v>
      </c>
      <c r="AT57" s="776">
        <v>111166</v>
      </c>
      <c r="AU57" s="776">
        <v>1564</v>
      </c>
      <c r="AV57" s="776">
        <v>9223.6666666666715</v>
      </c>
      <c r="AW57" s="776">
        <v>1026.3333333333339</v>
      </c>
      <c r="AX57" s="776">
        <v>4</v>
      </c>
      <c r="AY57" s="776">
        <v>4</v>
      </c>
      <c r="AZ57" s="776">
        <v>31153.666666666657</v>
      </c>
      <c r="BA57" s="776">
        <v>319.66666666666652</v>
      </c>
      <c r="BB57" s="776">
        <v>807.66666666666697</v>
      </c>
      <c r="BC57" s="779">
        <v>37269420.368609898</v>
      </c>
      <c r="BD57" s="779">
        <f>IFERROR(VLOOKUP($B57-1,CDM!$V$4:$AJ$17,11,FALSE)/12,0)+IFERROR(VLOOKUP($B57,CDM!$V$41:$AJ$54,11,FALSE)/24,0)+IFERROR(VLOOKUP($B57,CDM!$V$41:$AJ$54,11,FALSE)/2*$C57/78,0)</f>
        <v>1931411.4000549314</v>
      </c>
      <c r="BE57" s="779">
        <f t="shared" si="123"/>
        <v>39200831.768664829</v>
      </c>
      <c r="BF57" s="779">
        <f>IFERROR(HLOOKUP(B57-1,'EV Forecast WRZ'!$F$124:$T$130,2,FALSE)/12,0)+IFERROR(((HLOOKUP(B57,'EV Forecast WRZ'!$F$116:$T$122,2,FALSE)-HLOOKUP(B57-1,'EV Forecast WRZ'!$F$124:$T$130,2,FALSE)))*C57/78,0)</f>
        <v>52247.889102564113</v>
      </c>
      <c r="BG57" s="779">
        <f ca="1">HLOOKUP(B57,Heating!$R$102:$AD$106,2,FALSE)*INDEX(Weather!$BO$1:$CB$20,MATCH(B57,Weather!$BO$1:$BO$20,0),MATCH(C57,Weather!$BO$1:$CB$1,0))/VLOOKUP(B57,Weather!$BO$2:$CB$20,14,FALSE)*
VLOOKUP('Monthly Data'!$B57,Weather!$BO$3:$CB$20,14,FALSE)/Weather!$CB$14</f>
        <v>322.35948710337874</v>
      </c>
      <c r="BH57" s="779">
        <f t="shared" ca="1" si="181"/>
        <v>39148261.520075165</v>
      </c>
      <c r="BI57" s="779">
        <v>7793888.8982300097</v>
      </c>
      <c r="BJ57" s="779">
        <f>IFERROR(VLOOKUP($B57-1,CDM!$V$4:$AJ$17,12,FALSE)/12,0)+IFERROR(VLOOKUP($B57,CDM!$V$41:$AJ$54,12,FALSE)/24,0)+IFERROR(VLOOKUP($B57,CDM!$V$41:$AJ$54,12,FALSE)/2*$C57/78,0)</f>
        <v>208930.8747692988</v>
      </c>
      <c r="BK57" s="779">
        <f t="shared" si="182"/>
        <v>8002819.7729993081</v>
      </c>
      <c r="BL57" s="779">
        <f>IFERROR(HLOOKUP(B57-1,'EV Forecast WRZ'!$F$124:$T$130,3,FALSE)/12,0)+IFERROR(((HLOOKUP(B57,'EV Forecast WRZ'!$F$116:$T$122,3,FALSE)-HLOOKUP(B57-1,'EV Forecast WRZ'!$F$124:$T$130,3,FALSE)))*C57/78,0)</f>
        <v>6517.3987179487185</v>
      </c>
      <c r="BM57" s="779">
        <f ca="1">HLOOKUP(B57,Heating!$R$102:$AD$106,4,FALSE)*INDEX(Weather!$BO$1:$CB$20,MATCH(B57,Weather!$BO$1:$BO$20,0),MATCH(C57,Weather!$BO$1:$CB$1,0))/VLOOKUP(B57,Weather!$BO$2:$CB$20,14,FALSE)*
VLOOKUP('Monthly Data'!$B57,Weather!$BO$3:$CB$20,14,FALSE)/Weather!$CB$14</f>
        <v>54.765366391333863</v>
      </c>
      <c r="BN57" s="779">
        <f t="shared" ca="1" si="183"/>
        <v>7996247.6089149676</v>
      </c>
      <c r="BO57" s="779">
        <v>30243494.170000002</v>
      </c>
      <c r="BP57" s="779">
        <f>IFERROR(VLOOKUP($B57-1,CDM!$V$4:$AJ$17,13,FALSE)/12,0)+IFERROR(VLOOKUP($B57,CDM!$V$41:$AJ$54,13,FALSE)/24,0)+IFERROR(VLOOKUP($B57,CDM!$V$41:$AJ$54,13,FALSE)/2*$C57/78,0)</f>
        <v>1571652.9245662987</v>
      </c>
      <c r="BQ57" s="779">
        <f t="shared" si="184"/>
        <v>31815147.094566301</v>
      </c>
      <c r="BR57" s="779">
        <f>IFERROR(HLOOKUP(B57-1,'EV Forecast WRZ'!$F$124:$T$130,4,FALSE)/12,0)+IFERROR(((HLOOKUP(B57,'EV Forecast WRZ'!$F$116:$T$122,4,FALSE)-HLOOKUP(B57-1,'EV Forecast WRZ'!$F$124:$T$130,4,FALSE)))*C57/78,0)</f>
        <v>2962.8294230769234</v>
      </c>
      <c r="BS57" s="779">
        <f ca="1">HLOOKUP(B57,Heating!$R$102:$AD$106,5,FALSE)*INDEX(Weather!$BO$1:$CB$20,MATCH(B57,Weather!$BO$1:$BO$20,0),MATCH(C57,Weather!$BO$1:$CB$1,0))/VLOOKUP(B57,Weather!$BO$2:$CB$20,14,FALSE)*
VLOOKUP('Monthly Data'!$B57,Weather!$BO$3:$CB$20,14,FALSE)/Weather!$CB$14</f>
        <v>39.006375015956671</v>
      </c>
      <c r="BT57" s="779">
        <f t="shared" ca="1" si="185"/>
        <v>31812145.258768208</v>
      </c>
      <c r="BU57" s="779">
        <v>6727977.9500000002</v>
      </c>
      <c r="BV57" s="779">
        <f>IFERROR(VLOOKUP($B57-1,CDM!$V$4:$AJ$17,14,FALSE)/12,0)+IFERROR(VLOOKUP($B57,CDM!$V$41:$AJ$54,14,FALSE)/24,0)+IFERROR(VLOOKUP($B57,CDM!$V$41:$AJ$54,14,FALSE)/2*$C57/78,0)</f>
        <v>353342.3989515889</v>
      </c>
      <c r="BW57" s="779">
        <f t="shared" si="186"/>
        <v>7081320.3489515893</v>
      </c>
      <c r="BX57" s="779">
        <f>IFERROR(HLOOKUP(B57-1,'EV Forecast WRZ'!$F$124:$T$130,5,FALSE)/12,0)+IFERROR(((HLOOKUP(B57,'EV Forecast WRZ'!$F$116:$T$122,5,FALSE)-HLOOKUP(B57-1,'EV Forecast WRZ'!$F$124:$T$130,5,FALSE)))*C57/78,0)</f>
        <v>445.86993589743588</v>
      </c>
      <c r="BY57" s="779">
        <f t="shared" si="124"/>
        <v>7080874.4790156921</v>
      </c>
      <c r="BZ57" s="779">
        <v>258636.98</v>
      </c>
      <c r="CA57" s="779">
        <v>2470.1014515369525</v>
      </c>
      <c r="CB57" s="5">
        <v>49491.24</v>
      </c>
      <c r="CC57" s="5">
        <v>71230.899999999994</v>
      </c>
      <c r="CD57" s="5">
        <v>11328.3</v>
      </c>
      <c r="CE57" s="5">
        <v>748.2</v>
      </c>
      <c r="CF57" s="763">
        <f t="shared" si="122"/>
        <v>7.166666666666667</v>
      </c>
      <c r="CG57" s="785">
        <v>41048.666666666686</v>
      </c>
      <c r="CH57" s="785">
        <v>2262.6666666666679</v>
      </c>
      <c r="CI57" s="785">
        <v>377</v>
      </c>
      <c r="CJ57" s="785">
        <v>3</v>
      </c>
      <c r="CK57" s="785">
        <v>12460.666666666672</v>
      </c>
      <c r="CL57" s="785">
        <v>37</v>
      </c>
      <c r="CM57" s="785">
        <v>385</v>
      </c>
      <c r="CN57" s="46">
        <f>Weather!C69</f>
        <v>19.091666666666661</v>
      </c>
      <c r="CO57" s="46">
        <f>Weather!D69</f>
        <v>23.162500000000009</v>
      </c>
      <c r="CP57" s="46">
        <f>Weather!E69</f>
        <v>4.645833333333325</v>
      </c>
      <c r="CQ57" s="46">
        <f>Weather!F69</f>
        <v>70.716666666666669</v>
      </c>
      <c r="CR57" s="46">
        <f>Weather!G69</f>
        <v>0</v>
      </c>
      <c r="CS57" s="46">
        <f>Weather!H69</f>
        <v>128.07083333333338</v>
      </c>
      <c r="CT57" s="46">
        <f>Weather!I69</f>
        <v>0</v>
      </c>
      <c r="CU57" s="46">
        <f>Weather!J69</f>
        <v>190.07083333333335</v>
      </c>
      <c r="CV57" s="46">
        <f>Weather!K69</f>
        <v>0</v>
      </c>
      <c r="CW57" s="46">
        <f>Weather!L69</f>
        <v>252.07083333333335</v>
      </c>
      <c r="CX57" s="46">
        <f>Weather!M69</f>
        <v>0</v>
      </c>
      <c r="CY57" s="46">
        <f>Weather!N69</f>
        <v>314.07083333333338</v>
      </c>
      <c r="CZ57" s="46">
        <f>Weather!O69</f>
        <v>0</v>
      </c>
      <c r="DA57" s="46">
        <f>Weather!P69</f>
        <v>376.07083333333338</v>
      </c>
      <c r="DB57" s="368">
        <f>'Economic Data'!D71</f>
        <v>7414</v>
      </c>
      <c r="DC57" s="368">
        <f>'Economic Data'!E71</f>
        <v>7501.5</v>
      </c>
      <c r="DD57" s="368">
        <f>'Economic Data'!F71</f>
        <v>213.3</v>
      </c>
      <c r="DE57" s="368">
        <f>'Economic Data'!G71</f>
        <v>216.2</v>
      </c>
      <c r="DF57" s="368">
        <f>'Economic Data'!H71</f>
        <v>41.4</v>
      </c>
      <c r="DG57" s="368">
        <f>'Economic Data'!I71</f>
        <v>41.4</v>
      </c>
      <c r="DH57" s="368">
        <f>'Economic Data'!J71</f>
        <v>807274.5</v>
      </c>
      <c r="DI57" s="368">
        <f>'Economic Data'!K71</f>
        <v>626103.1</v>
      </c>
      <c r="DJ57" s="368">
        <f>'Economic Data'!L71</f>
        <v>94599.6</v>
      </c>
      <c r="DK57" s="368">
        <f>'Economic Data'!M71</f>
        <v>32860.800000000003</v>
      </c>
      <c r="DL57" s="368">
        <f>'Economic Data'!N71</f>
        <v>810347</v>
      </c>
      <c r="DM57" s="368">
        <f>'Economic Data'!O71</f>
        <v>94469</v>
      </c>
      <c r="DN57" s="368">
        <f>'Economic Data'!P71</f>
        <v>19976</v>
      </c>
      <c r="DO57" s="368">
        <f>'Economic Data'!Q71</f>
        <v>628879</v>
      </c>
      <c r="DP57" s="368">
        <f>'Economic Data'!R71</f>
        <v>33162</v>
      </c>
      <c r="DQ57">
        <v>31</v>
      </c>
      <c r="DR57">
        <v>20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1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f t="shared" si="69"/>
        <v>56</v>
      </c>
      <c r="EI57">
        <v>0</v>
      </c>
      <c r="EJ57">
        <v>0</v>
      </c>
      <c r="EK57">
        <v>0</v>
      </c>
      <c r="EL57">
        <v>0</v>
      </c>
      <c r="EM57" s="47">
        <f t="shared" si="125"/>
        <v>0</v>
      </c>
      <c r="EN57" s="47">
        <f t="shared" si="126"/>
        <v>0</v>
      </c>
      <c r="EO57" s="47">
        <f t="shared" si="127"/>
        <v>0</v>
      </c>
      <c r="EP57" s="47">
        <f t="shared" si="128"/>
        <v>0</v>
      </c>
      <c r="EQ57" s="47">
        <f t="shared" si="129"/>
        <v>0</v>
      </c>
      <c r="ER57" s="47">
        <f t="shared" si="130"/>
        <v>0</v>
      </c>
      <c r="ES57" s="47">
        <f t="shared" si="131"/>
        <v>0</v>
      </c>
      <c r="ET57" s="47">
        <f t="shared" si="132"/>
        <v>0</v>
      </c>
      <c r="EU57" s="47">
        <f t="shared" si="133"/>
        <v>0</v>
      </c>
      <c r="EV57" s="47">
        <f t="shared" si="134"/>
        <v>0</v>
      </c>
      <c r="EW57" s="47">
        <f t="shared" si="135"/>
        <v>0</v>
      </c>
      <c r="EX57" s="47">
        <f t="shared" si="136"/>
        <v>0</v>
      </c>
      <c r="EY57" s="47">
        <f t="shared" si="137"/>
        <v>0</v>
      </c>
      <c r="EZ57" s="47">
        <f t="shared" si="138"/>
        <v>0</v>
      </c>
      <c r="FA57" s="47">
        <f t="shared" si="139"/>
        <v>0</v>
      </c>
      <c r="FB57" s="47">
        <f t="shared" si="140"/>
        <v>0</v>
      </c>
      <c r="FC57" s="47">
        <f t="shared" si="141"/>
        <v>0</v>
      </c>
      <c r="FD57" s="47">
        <f t="shared" si="142"/>
        <v>0</v>
      </c>
      <c r="FE57" s="47">
        <f t="shared" si="143"/>
        <v>0</v>
      </c>
      <c r="FF57" s="47">
        <f t="shared" si="144"/>
        <v>0</v>
      </c>
      <c r="FG57" s="47">
        <f t="shared" si="145"/>
        <v>0</v>
      </c>
      <c r="FH57" s="47">
        <f t="shared" si="146"/>
        <v>0</v>
      </c>
      <c r="FI57" s="47">
        <f t="shared" si="147"/>
        <v>0</v>
      </c>
      <c r="FJ57" s="47">
        <f t="shared" si="148"/>
        <v>0</v>
      </c>
      <c r="FK57" s="47">
        <f t="shared" si="149"/>
        <v>0</v>
      </c>
      <c r="FL57" s="47">
        <f t="shared" si="150"/>
        <v>0</v>
      </c>
      <c r="FM57" s="47">
        <f t="shared" si="151"/>
        <v>0</v>
      </c>
      <c r="FN57" s="47">
        <f t="shared" si="152"/>
        <v>0</v>
      </c>
      <c r="FO57" s="765">
        <f t="shared" ca="1" si="153"/>
        <v>847.19117280863986</v>
      </c>
      <c r="FP57" s="765">
        <f t="shared" si="154"/>
        <v>649.16979932878087</v>
      </c>
      <c r="FQ57" s="765">
        <f t="shared" si="155"/>
        <v>2888.3770031297481</v>
      </c>
      <c r="FR57" s="765">
        <f t="shared" si="156"/>
        <v>84562.083438632078</v>
      </c>
      <c r="FS57" s="765">
        <f t="shared" si="157"/>
        <v>1931321.9269025964</v>
      </c>
      <c r="FT57" s="765">
        <f t="shared" si="158"/>
        <v>5173683.9477923419</v>
      </c>
      <c r="FU57" s="765">
        <f t="shared" si="159"/>
        <v>31.788701169471768</v>
      </c>
      <c r="FV57" s="765">
        <f t="shared" si="160"/>
        <v>59.993055265902015</v>
      </c>
      <c r="FW57" s="765">
        <f t="shared" si="161"/>
        <v>499.70200165084589</v>
      </c>
      <c r="FX57" s="765">
        <f t="shared" si="162"/>
        <v>954.98428942876285</v>
      </c>
      <c r="FY57" s="765">
        <f t="shared" si="163"/>
        <v>3536.8973657922675</v>
      </c>
      <c r="FZ57" s="765">
        <f t="shared" si="164"/>
        <v>84390.310595666582</v>
      </c>
      <c r="GA57" s="765">
        <f t="shared" si="165"/>
        <v>86212.326666666675</v>
      </c>
      <c r="GB57" s="765">
        <f t="shared" si="166"/>
        <v>20.756271467551219</v>
      </c>
      <c r="GC57" s="765">
        <f t="shared" si="167"/>
        <v>66.759498690187911</v>
      </c>
      <c r="GD57" s="765">
        <f t="shared" si="168"/>
        <v>128.54867532467532</v>
      </c>
    </row>
    <row r="58" spans="1:186">
      <c r="A58" s="4">
        <v>43709</v>
      </c>
      <c r="B58" s="6">
        <v>2019</v>
      </c>
      <c r="C58" s="5">
        <v>9</v>
      </c>
      <c r="D58" s="7">
        <v>66249670.998059496</v>
      </c>
      <c r="E58" s="7">
        <f>IFERROR(VLOOKUP($B58-1,CDM!$V$4:$AJ$17,2,FALSE)/12,0)+IFERROR(VLOOKUP($B58,CDM!$V$41:$AJ$54,2,FALSE)/24,0)+IFERROR(VLOOKUP($B58,CDM!$V$41:$AJ$54,2,FALSE)/2*$C58/78,0)</f>
        <v>3868251.6961108721</v>
      </c>
      <c r="F58" s="7">
        <f t="shared" si="169"/>
        <v>70117922.694170371</v>
      </c>
      <c r="G58" s="7">
        <f>IFERROR(HLOOKUP(B58-1,'EV Forecast VRZ'!$F$124:$T$130,2,FALSE)/12,0)+IFERROR(((HLOOKUP(B58,'EV Forecast VRZ'!$F$116:$T$122,2,FALSE)-HLOOKUP(B58-1,'EV Forecast VRZ'!$F$124:$T$130,2,FALSE)))*C58/78,0)</f>
        <v>180261.65105251555</v>
      </c>
      <c r="H58" s="7">
        <f ca="1">HLOOKUP(B58,Heating!$C$102:$O$106,2,FALSE)*INDEX(Weather!$BO$1:$CB$20,MATCH(B58,Weather!$BO$1:$BO$20,0),MATCH(C58,Weather!$BO$1:$CB$1,0))/VLOOKUP(B58,Weather!$BO$2:$CB$20,14,FALSE)*
VLOOKUP('Monthly Data'!$B58,Weather!$BO$3:$CB$20,14,FALSE)/Weather!$CB$14</f>
        <v>11680.51647806761</v>
      </c>
      <c r="I58" s="7">
        <f t="shared" ca="1" si="170"/>
        <v>69925980.526639789</v>
      </c>
      <c r="J58" s="7">
        <v>682548.76266000001</v>
      </c>
      <c r="K58" s="7">
        <f>IFERROR(VLOOKUP($B58-1,CDM!$V$4:$AJ$17,3,FALSE)/12,0)+IFERROR(VLOOKUP($B58,CDM!$V$41:$AJ$54,3,FALSE)/24,0)+IFERROR(VLOOKUP($B58,CDM!$V$41:$AJ$54,3,FALSE)/2*$C58/78,0)</f>
        <v>44306.195119012264</v>
      </c>
      <c r="L58" s="7">
        <f t="shared" si="171"/>
        <v>726854.95777901227</v>
      </c>
      <c r="M58" s="7">
        <f>IFERROR(HLOOKUP(B58-1,'EV Forecast VRZ'!$F$124:$T$130,3,FALSE)/12,0)+IFERROR(((HLOOKUP(B58,'EV Forecast VRZ'!$F$116:$T$122,3,FALSE)-HLOOKUP(B58-1,'EV Forecast VRZ'!$F$124:$T$130,3,FALSE)))*C58/78,0)</f>
        <v>2452.3520244075021</v>
      </c>
      <c r="N58" s="7">
        <f ca="1">HLOOKUP(B58,Heating!$C$102:$O$106,3,FALSE)*INDEX(Weather!$BO$1:$CB$20,MATCH(B58,Weather!$BO$1:$BO$20,0),MATCH(C58,Weather!$BO$1:$CB$1,0))/VLOOKUP(B58,Weather!$BO$2:$CB$20,14,FALSE)*
VLOOKUP('Monthly Data'!$B58,Weather!$BO$3:$CB$20,14,FALSE)/Weather!$CB$14</f>
        <v>164.75598586200377</v>
      </c>
      <c r="O58" s="7">
        <f t="shared" ca="1" si="172"/>
        <v>724237.8497687428</v>
      </c>
      <c r="P58" s="7">
        <v>21480489.843200002</v>
      </c>
      <c r="Q58" s="7">
        <f>IFERROR(VLOOKUP($B58-1,CDM!$V$4:$AJ$17,4,FALSE)/12,0)+IFERROR(VLOOKUP($B58,CDM!$V$41:$AJ$54,4,FALSE)/24,0)+IFERROR(VLOOKUP($B58,CDM!$V$41:$AJ$54,4,FALSE)/2*$C58/78,0)</f>
        <v>1305593.5603500595</v>
      </c>
      <c r="R58" s="7">
        <f t="shared" si="173"/>
        <v>22786083.403550062</v>
      </c>
      <c r="S58" s="7">
        <f>IFERROR(HLOOKUP(B58-1,'EV Forecast VRZ'!$F$124:$T$130,4,FALSE)/12,0)+IFERROR(((HLOOKUP(B58,'EV Forecast VRZ'!$F$116:$T$122,4,FALSE)-HLOOKUP(B58-1,'EV Forecast VRZ'!$F$124:$T$130,4,FALSE)))*C58/78,0)</f>
        <v>22721.556923076929</v>
      </c>
      <c r="T58" s="7">
        <f ca="1">HLOOKUP(B58,Heating!$C$102:$O$106,4,FALSE)*INDEX(Weather!$BO$1:$CB$20,MATCH(B58,Weather!$BO$1:$BO$20,0),MATCH(C58,Weather!$BO$1:$CB$1,0))/VLOOKUP(B58,Weather!$BO$2:$CB$20,14,FALSE)*
VLOOKUP('Monthly Data'!$B58,Weather!$BO$3:$CB$20,14,FALSE)/Weather!$CB$14</f>
        <v>2978.6869490664199</v>
      </c>
      <c r="U58" s="7">
        <f t="shared" ca="1" si="174"/>
        <v>22760383.159677919</v>
      </c>
      <c r="V58" s="7">
        <v>75654894.079999998</v>
      </c>
      <c r="W58" s="7">
        <f>IFERROR(VLOOKUP($B58-1,CDM!$V$4:$AJ$17,5,FALSE)/12,0)+IFERROR(VLOOKUP($B58,CDM!$V$41:$AJ$54,5,FALSE)/24,0)+IFERROR(VLOOKUP($B58,CDM!$V$41:$AJ$54,5,FALSE)/2*$C58/78,0)</f>
        <v>4605461.3329231739</v>
      </c>
      <c r="X58" s="7">
        <f t="shared" si="175"/>
        <v>80260355.412923172</v>
      </c>
      <c r="Y58" s="7">
        <f>IFERROR(HLOOKUP(B58-1,'EV Forecast VRZ'!$F$124:$T$130,5,FALSE)/12,0)+IFERROR(((HLOOKUP(B58,'EV Forecast VRZ'!$F$116:$T$122,5,FALSE)-HLOOKUP(B58-1,'EV Forecast VRZ'!$F$124:$T$130,5,FALSE)))*C58/78,0)</f>
        <v>10323.931384615385</v>
      </c>
      <c r="Z58" s="7">
        <f ca="1">HLOOKUP(B58,Heating!$C$102:$O$106,5,FALSE)*INDEX(Weather!$BO$1:$CB$20,MATCH(B58,Weather!$BO$1:$BO$20,0),MATCH(C58,Weather!$BO$1:$CB$1,0))/VLOOKUP(B58,Weather!$BO$2:$CB$20,14,FALSE)*
VLOOKUP('Monthly Data'!$B58,Weather!$BO$3:$CB$20,14,FALSE)/Weather!$CB$14</f>
        <v>1756.6901061148599</v>
      </c>
      <c r="AA58" s="7">
        <f t="shared" ca="1" si="176"/>
        <v>80248274.791432455</v>
      </c>
      <c r="AB58" s="7">
        <v>7260476.9100000001</v>
      </c>
      <c r="AC58" s="7">
        <f>IFERROR(VLOOKUP($B58-1,CDM!$V$4:$AJ$17,6,FALSE)/12,0)+IFERROR(VLOOKUP($B58,CDM!$V$41:$AJ$54,6,FALSE)/24,0)+IFERROR(VLOOKUP($B58,CDM!$V$41:$AJ$54,6,FALSE)/2*$C58/78,0)</f>
        <v>218862.02584444359</v>
      </c>
      <c r="AD58" s="7">
        <f t="shared" si="177"/>
        <v>7479338.9358444437</v>
      </c>
      <c r="AE58" s="7">
        <f>IFERROR(HLOOKUP(B58-1,'EV Forecast VRZ'!$F$124:$T$130,6,FALSE)/12,0)+IFERROR(((HLOOKUP(B58,'EV Forecast VRZ'!$F$116:$T$122,6,FALSE)-HLOOKUP(B58-1,'EV Forecast VRZ'!$F$124:$T$130,6,FALSE)))*C58/78,0)</f>
        <v>1533.0009230769228</v>
      </c>
      <c r="AF58" s="7">
        <f t="shared" si="178"/>
        <v>7477805.9349213671</v>
      </c>
      <c r="AG58" s="7">
        <v>21212391.57</v>
      </c>
      <c r="AH58" s="7">
        <f>IFERROR(VLOOKUP($B58-1,CDM!$V$4:$AJ$17,7,FALSE)/12,0)+IFERROR(VLOOKUP($B58,CDM!$V$41:$AJ$54,7,FALSE)/24,0)+IFERROR(VLOOKUP($B58,CDM!$V$41:$AJ$54,7,FALSE)/2*$C58/78,0)</f>
        <v>1602526.9851609496</v>
      </c>
      <c r="AI58" s="7">
        <f t="shared" si="179"/>
        <v>22814918.555160951</v>
      </c>
      <c r="AJ58" s="7">
        <f>IFERROR(HLOOKUP(B58-1,'EV Forecast VRZ'!$F$124:$T$130,7,FALSE)/12,0)+IFERROR(((HLOOKUP(B58,'EV Forecast VRZ'!$F$116:$T$122,7,FALSE)-HLOOKUP(B58-1,'EV Forecast VRZ'!$F$124:$T$130,7,FALSE)))*C58/78,0)</f>
        <v>0</v>
      </c>
      <c r="AK58" s="7">
        <f t="shared" si="180"/>
        <v>22814918.555160951</v>
      </c>
      <c r="AL58" s="7">
        <v>1054960.71</v>
      </c>
      <c r="AM58" s="7">
        <v>18439.659999999996</v>
      </c>
      <c r="AN58" s="7">
        <v>403558.05</v>
      </c>
      <c r="AO58" s="5">
        <v>191894.16</v>
      </c>
      <c r="AP58" s="5">
        <v>15556.33</v>
      </c>
      <c r="AQ58" s="5">
        <v>36355</v>
      </c>
      <c r="AR58" s="5">
        <v>2917.31</v>
      </c>
      <c r="AS58" s="763">
        <f t="shared" si="121"/>
        <v>52.416666666666664</v>
      </c>
      <c r="AT58" s="776">
        <v>111302.75</v>
      </c>
      <c r="AU58" s="776">
        <v>1563.25</v>
      </c>
      <c r="AV58" s="776">
        <v>9234.7500000000055</v>
      </c>
      <c r="AW58" s="776">
        <v>1024.5000000000007</v>
      </c>
      <c r="AX58" s="776">
        <v>4</v>
      </c>
      <c r="AY58" s="776">
        <v>4</v>
      </c>
      <c r="AZ58" s="776">
        <v>31160.749999999989</v>
      </c>
      <c r="BA58" s="776">
        <v>304.74999999999983</v>
      </c>
      <c r="BB58" s="776">
        <v>806.75000000000034</v>
      </c>
      <c r="BC58" s="779">
        <v>26723759.6971201</v>
      </c>
      <c r="BD58" s="779">
        <f>IFERROR(VLOOKUP($B58-1,CDM!$V$4:$AJ$17,11,FALSE)/12,0)+IFERROR(VLOOKUP($B58,CDM!$V$41:$AJ$54,11,FALSE)/24,0)+IFERROR(VLOOKUP($B58,CDM!$V$41:$AJ$54,11,FALSE)/2*$C58/78,0)</f>
        <v>1939610.9495788452</v>
      </c>
      <c r="BE58" s="779">
        <f t="shared" si="123"/>
        <v>28663370.646698944</v>
      </c>
      <c r="BF58" s="779">
        <f>IFERROR(HLOOKUP(B58-1,'EV Forecast WRZ'!$F$124:$T$130,2,FALSE)/12,0)+IFERROR(((HLOOKUP(B58,'EV Forecast WRZ'!$F$116:$T$122,2,FALSE)-HLOOKUP(B58-1,'EV Forecast WRZ'!$F$124:$T$130,2,FALSE)))*C58/78,0)</f>
        <v>53748.226282051291</v>
      </c>
      <c r="BG58" s="779">
        <f ca="1">HLOOKUP(B58,Heating!$R$102:$AD$106,2,FALSE)*INDEX(Weather!$BO$1:$CB$20,MATCH(B58,Weather!$BO$1:$BO$20,0),MATCH(C58,Weather!$BO$1:$CB$1,0))/VLOOKUP(B58,Weather!$BO$2:$CB$20,14,FALSE)*
VLOOKUP('Monthly Data'!$B58,Weather!$BO$3:$CB$20,14,FALSE)/Weather!$CB$14</f>
        <v>4305.7397680992171</v>
      </c>
      <c r="BH58" s="779">
        <f t="shared" ca="1" si="181"/>
        <v>28605316.680648793</v>
      </c>
      <c r="BI58" s="779">
        <v>6674126.5630400004</v>
      </c>
      <c r="BJ58" s="779">
        <f>IFERROR(VLOOKUP($B58-1,CDM!$V$4:$AJ$17,12,FALSE)/12,0)+IFERROR(VLOOKUP($B58,CDM!$V$41:$AJ$54,12,FALSE)/24,0)+IFERROR(VLOOKUP($B58,CDM!$V$41:$AJ$54,12,FALSE)/2*$C58/78,0)</f>
        <v>210817.68632331523</v>
      </c>
      <c r="BK58" s="779">
        <f t="shared" si="182"/>
        <v>6884944.2493633153</v>
      </c>
      <c r="BL58" s="779">
        <f>IFERROR(HLOOKUP(B58-1,'EV Forecast WRZ'!$F$124:$T$130,3,FALSE)/12,0)+IFERROR(((HLOOKUP(B58,'EV Forecast WRZ'!$F$116:$T$122,3,FALSE)-HLOOKUP(B58-1,'EV Forecast WRZ'!$F$124:$T$130,3,FALSE)))*C58/78,0)</f>
        <v>6693.9089743589748</v>
      </c>
      <c r="BM58" s="779">
        <f ca="1">HLOOKUP(B58,Heating!$R$102:$AD$106,4,FALSE)*INDEX(Weather!$BO$1:$CB$20,MATCH(B58,Weather!$BO$1:$BO$20,0),MATCH(C58,Weather!$BO$1:$CB$1,0))/VLOOKUP(B58,Weather!$BO$2:$CB$20,14,FALSE)*
VLOOKUP('Monthly Data'!$B58,Weather!$BO$3:$CB$20,14,FALSE)/Weather!$CB$14</f>
        <v>731.49829745841839</v>
      </c>
      <c r="BN58" s="779">
        <f t="shared" ca="1" si="183"/>
        <v>6877518.842091498</v>
      </c>
      <c r="BO58" s="779">
        <v>27479248.530000001</v>
      </c>
      <c r="BP58" s="779">
        <f>IFERROR(VLOOKUP($B58-1,CDM!$V$4:$AJ$17,13,FALSE)/12,0)+IFERROR(VLOOKUP($B58,CDM!$V$41:$AJ$54,13,FALSE)/24,0)+IFERROR(VLOOKUP($B58,CDM!$V$41:$AJ$54,13,FALSE)/2*$C58/78,0)</f>
        <v>1607802.93189742</v>
      </c>
      <c r="BQ58" s="779">
        <f t="shared" si="184"/>
        <v>29087051.461897422</v>
      </c>
      <c r="BR58" s="779">
        <f>IFERROR(HLOOKUP(B58-1,'EV Forecast WRZ'!$F$124:$T$130,4,FALSE)/12,0)+IFERROR(((HLOOKUP(B58,'EV Forecast WRZ'!$F$116:$T$122,4,FALSE)-HLOOKUP(B58-1,'EV Forecast WRZ'!$F$124:$T$130,4,FALSE)))*C58/78,0)</f>
        <v>3042.2590384615387</v>
      </c>
      <c r="BS58" s="779">
        <f ca="1">HLOOKUP(B58,Heating!$R$102:$AD$106,5,FALSE)*INDEX(Weather!$BO$1:$CB$20,MATCH(B58,Weather!$BO$1:$BO$20,0),MATCH(C58,Weather!$BO$1:$CB$1,0))/VLOOKUP(B58,Weather!$BO$2:$CB$20,14,FALSE)*
VLOOKUP('Monthly Data'!$B58,Weather!$BO$3:$CB$20,14,FALSE)/Weather!$CB$14</f>
        <v>521.00622700685528</v>
      </c>
      <c r="BT58" s="779">
        <f t="shared" ca="1" si="185"/>
        <v>29083488.196631953</v>
      </c>
      <c r="BU58" s="779">
        <v>6368088.0700000003</v>
      </c>
      <c r="BV58" s="779">
        <f>IFERROR(VLOOKUP($B58-1,CDM!$V$4:$AJ$17,14,FALSE)/12,0)+IFERROR(VLOOKUP($B58,CDM!$V$41:$AJ$54,14,FALSE)/24,0)+IFERROR(VLOOKUP($B58,CDM!$V$41:$AJ$54,14,FALSE)/2*$C58/78,0)</f>
        <v>361469.72153842577</v>
      </c>
      <c r="BW58" s="779">
        <f t="shared" si="186"/>
        <v>6729557.7915384257</v>
      </c>
      <c r="BX58" s="779">
        <f>IFERROR(HLOOKUP(B58-1,'EV Forecast WRZ'!$F$124:$T$130,5,FALSE)/12,0)+IFERROR(((HLOOKUP(B58,'EV Forecast WRZ'!$F$116:$T$122,5,FALSE)-HLOOKUP(B58-1,'EV Forecast WRZ'!$F$124:$T$130,5,FALSE)))*C58/78,0)</f>
        <v>454.69544871794869</v>
      </c>
      <c r="BY58" s="779">
        <f t="shared" si="124"/>
        <v>6729103.0960897077</v>
      </c>
      <c r="BZ58" s="779">
        <v>279535.46000000002</v>
      </c>
      <c r="CA58" s="779">
        <v>2470.1014515369525</v>
      </c>
      <c r="CB58" s="5">
        <v>49491.3</v>
      </c>
      <c r="CC58" s="5">
        <v>70657.59</v>
      </c>
      <c r="CD58" s="5">
        <v>11045.65</v>
      </c>
      <c r="CE58" s="5">
        <v>747.97</v>
      </c>
      <c r="CF58" s="763">
        <f t="shared" si="122"/>
        <v>7.166666666666667</v>
      </c>
      <c r="CG58" s="785">
        <v>41145.750000000022</v>
      </c>
      <c r="CH58" s="785">
        <v>2263.7500000000014</v>
      </c>
      <c r="CI58" s="785">
        <v>377</v>
      </c>
      <c r="CJ58" s="785">
        <v>3</v>
      </c>
      <c r="CK58" s="785">
        <v>12495.500000000005</v>
      </c>
      <c r="CL58" s="785">
        <v>37</v>
      </c>
      <c r="CM58" s="785">
        <v>385.5</v>
      </c>
      <c r="CN58" s="46">
        <f>Weather!C70</f>
        <v>113.56666666666666</v>
      </c>
      <c r="CO58" s="46">
        <f>Weather!D70</f>
        <v>5.0833333333333286</v>
      </c>
      <c r="CP58" s="46">
        <f>Weather!E70</f>
        <v>62.054166666666653</v>
      </c>
      <c r="CQ58" s="46">
        <f>Weather!F70</f>
        <v>13.570833333333326</v>
      </c>
      <c r="CR58" s="46">
        <f>Weather!G70</f>
        <v>21.004166666666656</v>
      </c>
      <c r="CS58" s="46">
        <f>Weather!H70</f>
        <v>32.520833333333329</v>
      </c>
      <c r="CT58" s="46">
        <f>Weather!I70</f>
        <v>4.9833333333333325</v>
      </c>
      <c r="CU58" s="46">
        <f>Weather!J70</f>
        <v>76.5</v>
      </c>
      <c r="CV58" s="46">
        <f>Weather!K70</f>
        <v>0.4208333333333325</v>
      </c>
      <c r="CW58" s="46">
        <f>Weather!L70</f>
        <v>131.93750000000003</v>
      </c>
      <c r="CX58" s="46">
        <f>Weather!M70</f>
        <v>0</v>
      </c>
      <c r="CY58" s="46">
        <f>Weather!N70</f>
        <v>191.51666666666671</v>
      </c>
      <c r="CZ58" s="46">
        <f>Weather!O70</f>
        <v>0</v>
      </c>
      <c r="DA58" s="46">
        <f>Weather!P70</f>
        <v>251.51666666666671</v>
      </c>
      <c r="DB58" s="368">
        <f>'Economic Data'!D72</f>
        <v>7432.4</v>
      </c>
      <c r="DC58" s="368">
        <f>'Economic Data'!E72</f>
        <v>7489.3</v>
      </c>
      <c r="DD58" s="368">
        <f>'Economic Data'!F72</f>
        <v>209.5</v>
      </c>
      <c r="DE58" s="368">
        <f>'Economic Data'!G72</f>
        <v>209.9</v>
      </c>
      <c r="DF58" s="368">
        <f>'Economic Data'!H72</f>
        <v>40.1</v>
      </c>
      <c r="DG58" s="368">
        <f>'Economic Data'!I72</f>
        <v>40.1</v>
      </c>
      <c r="DH58" s="368">
        <f>'Economic Data'!J72</f>
        <v>807274.5</v>
      </c>
      <c r="DI58" s="368">
        <f>'Economic Data'!K72</f>
        <v>626103.1</v>
      </c>
      <c r="DJ58" s="368">
        <f>'Economic Data'!L72</f>
        <v>94599.6</v>
      </c>
      <c r="DK58" s="368">
        <f>'Economic Data'!M72</f>
        <v>32860.800000000003</v>
      </c>
      <c r="DL58" s="368">
        <f>'Economic Data'!N72</f>
        <v>810347</v>
      </c>
      <c r="DM58" s="368">
        <f>'Economic Data'!O72</f>
        <v>94469</v>
      </c>
      <c r="DN58" s="368">
        <f>'Economic Data'!P72</f>
        <v>19976</v>
      </c>
      <c r="DO58" s="368">
        <f>'Economic Data'!Q72</f>
        <v>628879</v>
      </c>
      <c r="DP58" s="368">
        <f>'Economic Data'!R72</f>
        <v>33162</v>
      </c>
      <c r="DQ58">
        <v>30</v>
      </c>
      <c r="DR58">
        <v>21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</v>
      </c>
      <c r="EB58">
        <v>0</v>
      </c>
      <c r="EC58">
        <v>0</v>
      </c>
      <c r="ED58">
        <v>0</v>
      </c>
      <c r="EE58">
        <v>0</v>
      </c>
      <c r="EF58">
        <v>1</v>
      </c>
      <c r="EG58">
        <v>1</v>
      </c>
      <c r="EH58">
        <f t="shared" si="69"/>
        <v>57</v>
      </c>
      <c r="EI58">
        <v>0</v>
      </c>
      <c r="EJ58">
        <v>0</v>
      </c>
      <c r="EK58">
        <v>0</v>
      </c>
      <c r="EL58">
        <v>0</v>
      </c>
      <c r="EM58" s="47">
        <f t="shared" si="125"/>
        <v>0</v>
      </c>
      <c r="EN58" s="47">
        <f t="shared" si="126"/>
        <v>0</v>
      </c>
      <c r="EO58" s="47">
        <f t="shared" si="127"/>
        <v>0</v>
      </c>
      <c r="EP58" s="47">
        <f t="shared" si="128"/>
        <v>0</v>
      </c>
      <c r="EQ58" s="47">
        <f t="shared" si="129"/>
        <v>0</v>
      </c>
      <c r="ER58" s="47">
        <f t="shared" si="130"/>
        <v>0</v>
      </c>
      <c r="ES58" s="47">
        <f t="shared" si="131"/>
        <v>0</v>
      </c>
      <c r="ET58" s="47">
        <f t="shared" si="132"/>
        <v>0</v>
      </c>
      <c r="EU58" s="47">
        <f t="shared" si="133"/>
        <v>0</v>
      </c>
      <c r="EV58" s="47">
        <f t="shared" si="134"/>
        <v>0</v>
      </c>
      <c r="EW58" s="47">
        <f t="shared" si="135"/>
        <v>0</v>
      </c>
      <c r="EX58" s="47">
        <f t="shared" si="136"/>
        <v>0</v>
      </c>
      <c r="EY58" s="47">
        <f t="shared" si="137"/>
        <v>0</v>
      </c>
      <c r="EZ58" s="47">
        <f t="shared" si="138"/>
        <v>0</v>
      </c>
      <c r="FA58" s="47">
        <f t="shared" si="139"/>
        <v>0</v>
      </c>
      <c r="FB58" s="47">
        <f t="shared" si="140"/>
        <v>0</v>
      </c>
      <c r="FC58" s="47">
        <f t="shared" si="141"/>
        <v>0</v>
      </c>
      <c r="FD58" s="47">
        <f t="shared" si="142"/>
        <v>0</v>
      </c>
      <c r="FE58" s="47">
        <f t="shared" si="143"/>
        <v>0</v>
      </c>
      <c r="FF58" s="47">
        <f t="shared" si="144"/>
        <v>0</v>
      </c>
      <c r="FG58" s="47">
        <f t="shared" si="145"/>
        <v>0</v>
      </c>
      <c r="FH58" s="47">
        <f t="shared" si="146"/>
        <v>0</v>
      </c>
      <c r="FI58" s="47">
        <f t="shared" si="147"/>
        <v>0</v>
      </c>
      <c r="FJ58" s="47">
        <f t="shared" si="148"/>
        <v>0</v>
      </c>
      <c r="FK58" s="47">
        <f t="shared" si="149"/>
        <v>0</v>
      </c>
      <c r="FL58" s="47">
        <f t="shared" si="150"/>
        <v>0</v>
      </c>
      <c r="FM58" s="47">
        <f t="shared" si="151"/>
        <v>0</v>
      </c>
      <c r="FN58" s="47">
        <f t="shared" si="152"/>
        <v>0</v>
      </c>
      <c r="FO58" s="765">
        <f t="shared" ca="1" si="153"/>
        <v>628.25025012086212</v>
      </c>
      <c r="FP58" s="765">
        <f t="shared" si="154"/>
        <v>464.9639902632415</v>
      </c>
      <c r="FQ58" s="765">
        <f t="shared" si="155"/>
        <v>2467.4282902677442</v>
      </c>
      <c r="FR58" s="765">
        <f t="shared" si="156"/>
        <v>78341.000891091375</v>
      </c>
      <c r="FS58" s="765">
        <f t="shared" si="157"/>
        <v>1869834.7339611109</v>
      </c>
      <c r="FT58" s="765">
        <f t="shared" si="158"/>
        <v>5703729.6387902377</v>
      </c>
      <c r="FU58" s="765">
        <f t="shared" si="159"/>
        <v>33.855433839044323</v>
      </c>
      <c r="FV58" s="765">
        <f t="shared" si="160"/>
        <v>60.50749794913866</v>
      </c>
      <c r="FW58" s="765">
        <f t="shared" si="161"/>
        <v>500.2268980477221</v>
      </c>
      <c r="FX58" s="765">
        <f t="shared" si="162"/>
        <v>696.63016585428454</v>
      </c>
      <c r="FY58" s="765">
        <f t="shared" si="163"/>
        <v>3041.3889560964381</v>
      </c>
      <c r="FZ58" s="765">
        <f t="shared" si="164"/>
        <v>77153.982657552842</v>
      </c>
      <c r="GA58" s="765">
        <f t="shared" si="165"/>
        <v>93178.486666666679</v>
      </c>
      <c r="GB58" s="765">
        <f t="shared" si="166"/>
        <v>22.370890320515379</v>
      </c>
      <c r="GC58" s="765">
        <f t="shared" si="167"/>
        <v>66.759498690187911</v>
      </c>
      <c r="GD58" s="765">
        <f t="shared" si="168"/>
        <v>128.38210116731517</v>
      </c>
    </row>
    <row r="59" spans="1:186">
      <c r="A59" s="4">
        <v>43739</v>
      </c>
      <c r="B59" s="6">
        <v>2019</v>
      </c>
      <c r="C59" s="5">
        <v>10</v>
      </c>
      <c r="D59" s="7">
        <v>65112708.9208197</v>
      </c>
      <c r="E59" s="7">
        <f>IFERROR(VLOOKUP($B59-1,CDM!$V$4:$AJ$17,2,FALSE)/12,0)+IFERROR(VLOOKUP($B59,CDM!$V$41:$AJ$54,2,FALSE)/24,0)+IFERROR(VLOOKUP($B59,CDM!$V$41:$AJ$54,2,FALSE)/2*$C59/78,0)</f>
        <v>3887674.550473311</v>
      </c>
      <c r="F59" s="7">
        <f t="shared" si="169"/>
        <v>69000383.471293017</v>
      </c>
      <c r="G59" s="7">
        <f>IFERROR(HLOOKUP(B59-1,'EV Forecast VRZ'!$F$124:$T$130,2,FALSE)/12,0)+IFERROR(((HLOOKUP(B59,'EV Forecast VRZ'!$F$116:$T$122,2,FALSE)-HLOOKUP(B59-1,'EV Forecast VRZ'!$F$124:$T$130,2,FALSE)))*C59/78,0)</f>
        <v>184389.66117281298</v>
      </c>
      <c r="H59" s="7">
        <f ca="1">HLOOKUP(B59,Heating!$C$102:$O$106,2,FALSE)*INDEX(Weather!$BO$1:$CB$20,MATCH(B59,Weather!$BO$1:$BO$20,0),MATCH(C59,Weather!$BO$1:$CB$1,0))/VLOOKUP(B59,Weather!$BO$2:$CB$20,14,FALSE)*
VLOOKUP('Monthly Data'!$B59,Weather!$BO$3:$CB$20,14,FALSE)/Weather!$CB$14</f>
        <v>45886.790947579517</v>
      </c>
      <c r="I59" s="7">
        <f t="shared" ca="1" si="170"/>
        <v>68770107.019172624</v>
      </c>
      <c r="J59" s="7">
        <v>815717.99471999996</v>
      </c>
      <c r="K59" s="7">
        <f>IFERROR(VLOOKUP($B59-1,CDM!$V$4:$AJ$17,3,FALSE)/12,0)+IFERROR(VLOOKUP($B59,CDM!$V$41:$AJ$54,3,FALSE)/24,0)+IFERROR(VLOOKUP($B59,CDM!$V$41:$AJ$54,3,FALSE)/2*$C59/78,0)</f>
        <v>44528.660677811233</v>
      </c>
      <c r="L59" s="7">
        <f t="shared" si="171"/>
        <v>860246.65539781121</v>
      </c>
      <c r="M59" s="7">
        <f>IFERROR(HLOOKUP(B59-1,'EV Forecast VRZ'!$F$124:$T$130,3,FALSE)/12,0)+IFERROR(((HLOOKUP(B59,'EV Forecast VRZ'!$F$116:$T$122,3,FALSE)-HLOOKUP(B59-1,'EV Forecast VRZ'!$F$124:$T$130,3,FALSE)))*C59/78,0)</f>
        <v>2508.5111348792952</v>
      </c>
      <c r="N59" s="7">
        <f ca="1">HLOOKUP(B59,Heating!$C$102:$O$106,3,FALSE)*INDEX(Weather!$BO$1:$CB$20,MATCH(B59,Weather!$BO$1:$BO$20,0),MATCH(C59,Weather!$BO$1:$CB$1,0))/VLOOKUP(B59,Weather!$BO$2:$CB$20,14,FALSE)*
VLOOKUP('Monthly Data'!$B59,Weather!$BO$3:$CB$20,14,FALSE)/Weather!$CB$14</f>
        <v>647.2422255306692</v>
      </c>
      <c r="O59" s="7">
        <f t="shared" ca="1" si="172"/>
        <v>857090.90203740122</v>
      </c>
      <c r="P59" s="7">
        <v>21587541.58955</v>
      </c>
      <c r="Q59" s="7">
        <f>IFERROR(VLOOKUP($B59-1,CDM!$V$4:$AJ$17,4,FALSE)/12,0)+IFERROR(VLOOKUP($B59,CDM!$V$41:$AJ$54,4,FALSE)/24,0)+IFERROR(VLOOKUP($B59,CDM!$V$41:$AJ$54,4,FALSE)/2*$C59/78,0)</f>
        <v>1325118.9438655844</v>
      </c>
      <c r="R59" s="7">
        <f t="shared" si="173"/>
        <v>22912660.533415586</v>
      </c>
      <c r="S59" s="7">
        <f>IFERROR(HLOOKUP(B59-1,'EV Forecast VRZ'!$F$124:$T$130,4,FALSE)/12,0)+IFERROR(((HLOOKUP(B59,'EV Forecast VRZ'!$F$116:$T$122,4,FALSE)-HLOOKUP(B59-1,'EV Forecast VRZ'!$F$124:$T$130,4,FALSE)))*C59/78,0)</f>
        <v>23216.1876923077</v>
      </c>
      <c r="T59" s="7">
        <f ca="1">HLOOKUP(B59,Heating!$C$102:$O$106,4,FALSE)*INDEX(Weather!$BO$1:$CB$20,MATCH(B59,Weather!$BO$1:$BO$20,0),MATCH(C59,Weather!$BO$1:$CB$1,0))/VLOOKUP(B59,Weather!$BO$2:$CB$20,14,FALSE)*
VLOOKUP('Monthly Data'!$B59,Weather!$BO$3:$CB$20,14,FALSE)/Weather!$CB$14</f>
        <v>11701.741578528774</v>
      </c>
      <c r="U59" s="7">
        <f t="shared" ca="1" si="174"/>
        <v>22877742.604144748</v>
      </c>
      <c r="V59" s="7">
        <v>74424469.099999994</v>
      </c>
      <c r="W59" s="7">
        <f>IFERROR(VLOOKUP($B59-1,CDM!$V$4:$AJ$17,5,FALSE)/12,0)+IFERROR(VLOOKUP($B59,CDM!$V$41:$AJ$54,5,FALSE)/24,0)+IFERROR(VLOOKUP($B59,CDM!$V$41:$AJ$54,5,FALSE)/2*$C59/78,0)</f>
        <v>4675622.9566635815</v>
      </c>
      <c r="X59" s="7">
        <f t="shared" si="175"/>
        <v>79100092.056663573</v>
      </c>
      <c r="Y59" s="7">
        <f>IFERROR(HLOOKUP(B59-1,'EV Forecast VRZ'!$F$124:$T$130,5,FALSE)/12,0)+IFERROR(((HLOOKUP(B59,'EV Forecast VRZ'!$F$116:$T$122,5,FALSE)-HLOOKUP(B59-1,'EV Forecast VRZ'!$F$124:$T$130,5,FALSE)))*C59/78,0)</f>
        <v>10546.70753846154</v>
      </c>
      <c r="Z59" s="7">
        <f ca="1">HLOOKUP(B59,Heating!$C$102:$O$106,5,FALSE)*INDEX(Weather!$BO$1:$CB$20,MATCH(B59,Weather!$BO$1:$BO$20,0),MATCH(C59,Weather!$BO$1:$CB$1,0))/VLOOKUP(B59,Weather!$BO$2:$CB$20,14,FALSE)*
VLOOKUP('Monthly Data'!$B59,Weather!$BO$3:$CB$20,14,FALSE)/Weather!$CB$14</f>
        <v>6901.1393297832619</v>
      </c>
      <c r="AA59" s="7">
        <f t="shared" ca="1" si="176"/>
        <v>79082644.209795341</v>
      </c>
      <c r="AB59" s="7">
        <v>7691489.1699999999</v>
      </c>
      <c r="AC59" s="7">
        <f>IFERROR(VLOOKUP($B59-1,CDM!$V$4:$AJ$17,6,FALSE)/12,0)+IFERROR(VLOOKUP($B59,CDM!$V$41:$AJ$54,6,FALSE)/24,0)+IFERROR(VLOOKUP($B59,CDM!$V$41:$AJ$54,6,FALSE)/2*$C59/78,0)</f>
        <v>222297.04407850225</v>
      </c>
      <c r="AD59" s="7">
        <f t="shared" si="177"/>
        <v>7913786.2140785018</v>
      </c>
      <c r="AE59" s="7">
        <f>IFERROR(HLOOKUP(B59-1,'EV Forecast VRZ'!$F$124:$T$130,6,FALSE)/12,0)+IFERROR(((HLOOKUP(B59,'EV Forecast VRZ'!$F$116:$T$122,6,FALSE)-HLOOKUP(B59-1,'EV Forecast VRZ'!$F$124:$T$130,6,FALSE)))*C59/78,0)</f>
        <v>1558.5016923076919</v>
      </c>
      <c r="AF59" s="7">
        <f t="shared" si="178"/>
        <v>7912227.7123861937</v>
      </c>
      <c r="AG59" s="7">
        <v>23448041.050000001</v>
      </c>
      <c r="AH59" s="7">
        <f>IFERROR(VLOOKUP($B59-1,CDM!$V$4:$AJ$17,7,FALSE)/12,0)+IFERROR(VLOOKUP($B59,CDM!$V$41:$AJ$54,7,FALSE)/24,0)+IFERROR(VLOOKUP($B59,CDM!$V$41:$AJ$54,7,FALSE)/2*$C59/78,0)</f>
        <v>1618574.2691525309</v>
      </c>
      <c r="AI59" s="7">
        <f t="shared" si="179"/>
        <v>25066615.31915253</v>
      </c>
      <c r="AJ59" s="7">
        <f>IFERROR(HLOOKUP(B59-1,'EV Forecast VRZ'!$F$124:$T$130,7,FALSE)/12,0)+IFERROR(((HLOOKUP(B59,'EV Forecast VRZ'!$F$116:$T$122,7,FALSE)-HLOOKUP(B59-1,'EV Forecast VRZ'!$F$124:$T$130,7,FALSE)))*C59/78,0)</f>
        <v>0</v>
      </c>
      <c r="AK59" s="7">
        <f t="shared" si="180"/>
        <v>25066615.31915253</v>
      </c>
      <c r="AL59" s="7">
        <v>1195022.9099999999</v>
      </c>
      <c r="AM59" s="7">
        <v>19281.119999999992</v>
      </c>
      <c r="AN59" s="7">
        <v>403573.78</v>
      </c>
      <c r="AO59" s="5">
        <v>187280.13</v>
      </c>
      <c r="AP59" s="5">
        <v>15495.06</v>
      </c>
      <c r="AQ59" s="5">
        <v>38362</v>
      </c>
      <c r="AR59" s="5">
        <v>2829.02</v>
      </c>
      <c r="AS59" s="763">
        <f t="shared" si="121"/>
        <v>52.416666666666664</v>
      </c>
      <c r="AT59" s="776">
        <v>111439.5</v>
      </c>
      <c r="AU59" s="776">
        <v>1562.5</v>
      </c>
      <c r="AV59" s="776">
        <v>9245.8333333333394</v>
      </c>
      <c r="AW59" s="776">
        <v>1022.6666666666673</v>
      </c>
      <c r="AX59" s="776">
        <v>4</v>
      </c>
      <c r="AY59" s="776">
        <v>4</v>
      </c>
      <c r="AZ59" s="776">
        <v>31167.833333333321</v>
      </c>
      <c r="BA59" s="776">
        <v>289.83333333333314</v>
      </c>
      <c r="BB59" s="776">
        <v>805.83333333333371</v>
      </c>
      <c r="BC59" s="779">
        <v>24420573.743390199</v>
      </c>
      <c r="BD59" s="779">
        <f>IFERROR(VLOOKUP($B59-1,CDM!$V$4:$AJ$17,11,FALSE)/12,0)+IFERROR(VLOOKUP($B59,CDM!$V$41:$AJ$54,11,FALSE)/24,0)+IFERROR(VLOOKUP($B59,CDM!$V$41:$AJ$54,11,FALSE)/2*$C59/78,0)</f>
        <v>1947810.4991027592</v>
      </c>
      <c r="BE59" s="779">
        <f t="shared" si="123"/>
        <v>26368384.242492959</v>
      </c>
      <c r="BF59" s="779">
        <f>IFERROR(HLOOKUP(B59-1,'EV Forecast WRZ'!$F$124:$T$130,2,FALSE)/12,0)+IFERROR(((HLOOKUP(B59,'EV Forecast WRZ'!$F$116:$T$122,2,FALSE)-HLOOKUP(B59-1,'EV Forecast WRZ'!$F$124:$T$130,2,FALSE)))*C59/78,0)</f>
        <v>55248.563461538477</v>
      </c>
      <c r="BG59" s="779">
        <f ca="1">HLOOKUP(B59,Heating!$R$102:$AD$106,2,FALSE)*INDEX(Weather!$BO$1:$CB$20,MATCH(B59,Weather!$BO$1:$BO$20,0),MATCH(C59,Weather!$BO$1:$CB$1,0))/VLOOKUP(B59,Weather!$BO$2:$CB$20,14,FALSE)*
VLOOKUP('Monthly Data'!$B59,Weather!$BO$3:$CB$20,14,FALSE)/Weather!$CB$14</f>
        <v>16915.055167674807</v>
      </c>
      <c r="BH59" s="779">
        <f t="shared" ca="1" si="181"/>
        <v>26296220.623863745</v>
      </c>
      <c r="BI59" s="779">
        <v>6557966.5479500201</v>
      </c>
      <c r="BJ59" s="779">
        <f>IFERROR(VLOOKUP($B59-1,CDM!$V$4:$AJ$17,12,FALSE)/12,0)+IFERROR(VLOOKUP($B59,CDM!$V$41:$AJ$54,12,FALSE)/24,0)+IFERROR(VLOOKUP($B59,CDM!$V$41:$AJ$54,12,FALSE)/2*$C59/78,0)</f>
        <v>212704.49787733165</v>
      </c>
      <c r="BK59" s="779">
        <f t="shared" si="182"/>
        <v>6770671.0458273515</v>
      </c>
      <c r="BL59" s="779">
        <f>IFERROR(HLOOKUP(B59-1,'EV Forecast WRZ'!$F$124:$T$130,3,FALSE)/12,0)+IFERROR(((HLOOKUP(B59,'EV Forecast WRZ'!$F$116:$T$122,3,FALSE)-HLOOKUP(B59-1,'EV Forecast WRZ'!$F$124:$T$130,3,FALSE)))*C59/78,0)</f>
        <v>6870.419230769231</v>
      </c>
      <c r="BM59" s="779">
        <f ca="1">HLOOKUP(B59,Heating!$R$102:$AD$106,4,FALSE)*INDEX(Weather!$BO$1:$CB$20,MATCH(B59,Weather!$BO$1:$BO$20,0),MATCH(C59,Weather!$BO$1:$CB$1,0))/VLOOKUP(B59,Weather!$BO$2:$CB$20,14,FALSE)*
VLOOKUP('Monthly Data'!$B59,Weather!$BO$3:$CB$20,14,FALSE)/Weather!$CB$14</f>
        <v>2873.6836694688573</v>
      </c>
      <c r="BN59" s="779">
        <f t="shared" ca="1" si="183"/>
        <v>6760926.9429271128</v>
      </c>
      <c r="BO59" s="779">
        <v>26568981.43</v>
      </c>
      <c r="BP59" s="779">
        <f>IFERROR(VLOOKUP($B59-1,CDM!$V$4:$AJ$17,13,FALSE)/12,0)+IFERROR(VLOOKUP($B59,CDM!$V$41:$AJ$54,13,FALSE)/24,0)+IFERROR(VLOOKUP($B59,CDM!$V$41:$AJ$54,13,FALSE)/2*$C59/78,0)</f>
        <v>1643952.939228541</v>
      </c>
      <c r="BQ59" s="779">
        <f t="shared" si="184"/>
        <v>28212934.369228542</v>
      </c>
      <c r="BR59" s="779">
        <f>IFERROR(HLOOKUP(B59-1,'EV Forecast WRZ'!$F$124:$T$130,4,FALSE)/12,0)+IFERROR(((HLOOKUP(B59,'EV Forecast WRZ'!$F$116:$T$122,4,FALSE)-HLOOKUP(B59-1,'EV Forecast WRZ'!$F$124:$T$130,4,FALSE)))*C59/78,0)</f>
        <v>3121.688653846154</v>
      </c>
      <c r="BS59" s="779">
        <f ca="1">HLOOKUP(B59,Heating!$R$102:$AD$106,5,FALSE)*INDEX(Weather!$BO$1:$CB$20,MATCH(B59,Weather!$BO$1:$BO$20,0),MATCH(C59,Weather!$BO$1:$CB$1,0))/VLOOKUP(B59,Weather!$BO$2:$CB$20,14,FALSE)*
VLOOKUP('Monthly Data'!$B59,Weather!$BO$3:$CB$20,14,FALSE)/Weather!$CB$14</f>
        <v>2046.7676978103862</v>
      </c>
      <c r="BT59" s="779">
        <f t="shared" ca="1" si="185"/>
        <v>28207765.912876885</v>
      </c>
      <c r="BU59" s="779">
        <v>6894257.96</v>
      </c>
      <c r="BV59" s="779">
        <f>IFERROR(VLOOKUP($B59-1,CDM!$V$4:$AJ$17,14,FALSE)/12,0)+IFERROR(VLOOKUP($B59,CDM!$V$41:$AJ$54,14,FALSE)/24,0)+IFERROR(VLOOKUP($B59,CDM!$V$41:$AJ$54,14,FALSE)/2*$C59/78,0)</f>
        <v>369597.04412526265</v>
      </c>
      <c r="BW59" s="779">
        <f t="shared" si="186"/>
        <v>7263855.0041252626</v>
      </c>
      <c r="BX59" s="779">
        <f>IFERROR(HLOOKUP(B59-1,'EV Forecast WRZ'!$F$124:$T$130,5,FALSE)/12,0)+IFERROR(((HLOOKUP(B59,'EV Forecast WRZ'!$F$116:$T$122,5,FALSE)-HLOOKUP(B59-1,'EV Forecast WRZ'!$F$124:$T$130,5,FALSE)))*C59/78,0)</f>
        <v>463.52096153846151</v>
      </c>
      <c r="BY59" s="779">
        <f t="shared" si="124"/>
        <v>7263391.4831637237</v>
      </c>
      <c r="BZ59" s="779">
        <v>325786.40999999997</v>
      </c>
      <c r="CA59" s="779">
        <v>2470.1014515369525</v>
      </c>
      <c r="CB59" s="5">
        <v>49495.48</v>
      </c>
      <c r="CC59" s="5">
        <v>67051.990000000005</v>
      </c>
      <c r="CD59" s="5">
        <v>11942.04</v>
      </c>
      <c r="CE59" s="5">
        <v>749.3</v>
      </c>
      <c r="CF59" s="763">
        <f t="shared" si="122"/>
        <v>7.166666666666667</v>
      </c>
      <c r="CG59" s="785">
        <v>41242.833333333358</v>
      </c>
      <c r="CH59" s="785">
        <v>2264.8333333333348</v>
      </c>
      <c r="CI59" s="785">
        <v>377</v>
      </c>
      <c r="CJ59" s="785">
        <v>3</v>
      </c>
      <c r="CK59" s="785">
        <v>12530.333333333339</v>
      </c>
      <c r="CL59" s="785">
        <v>37</v>
      </c>
      <c r="CM59" s="785">
        <v>386</v>
      </c>
      <c r="CN59" s="46">
        <f>Weather!C71</f>
        <v>303.96666666666664</v>
      </c>
      <c r="CO59" s="46">
        <f>Weather!D71</f>
        <v>0</v>
      </c>
      <c r="CP59" s="46">
        <f>Weather!E71</f>
        <v>243.77916666666664</v>
      </c>
      <c r="CQ59" s="46">
        <f>Weather!F71</f>
        <v>1.8125000000000036</v>
      </c>
      <c r="CR59" s="46">
        <f>Weather!G71</f>
        <v>183.7791666666667</v>
      </c>
      <c r="CS59" s="46">
        <f>Weather!H71</f>
        <v>3.8125000000000036</v>
      </c>
      <c r="CT59" s="46">
        <f>Weather!I71</f>
        <v>125.30000000000004</v>
      </c>
      <c r="CU59" s="46">
        <f>Weather!J71</f>
        <v>7.3333333333333357</v>
      </c>
      <c r="CV59" s="46">
        <f>Weather!K71</f>
        <v>72.637500000000017</v>
      </c>
      <c r="CW59" s="46">
        <f>Weather!L71</f>
        <v>16.670833333333334</v>
      </c>
      <c r="CX59" s="46">
        <f>Weather!M71</f>
        <v>31.19583333333334</v>
      </c>
      <c r="CY59" s="46">
        <f>Weather!N71</f>
        <v>37.229166666666664</v>
      </c>
      <c r="CZ59" s="46">
        <f>Weather!O71</f>
        <v>8.0666666666666664</v>
      </c>
      <c r="DA59" s="46">
        <f>Weather!P71</f>
        <v>76.099999999999994</v>
      </c>
      <c r="DB59" s="368">
        <f>'Economic Data'!D73</f>
        <v>7450</v>
      </c>
      <c r="DC59" s="368">
        <f>'Economic Data'!E73</f>
        <v>7491.1</v>
      </c>
      <c r="DD59" s="368">
        <f>'Economic Data'!F73</f>
        <v>206.9</v>
      </c>
      <c r="DE59" s="368">
        <f>'Economic Data'!G73</f>
        <v>205.6</v>
      </c>
      <c r="DF59" s="368">
        <f>'Economic Data'!H73</f>
        <v>44.6</v>
      </c>
      <c r="DG59" s="368">
        <f>'Economic Data'!I73</f>
        <v>44.6</v>
      </c>
      <c r="DH59" s="368">
        <f>'Economic Data'!J73</f>
        <v>807274.5</v>
      </c>
      <c r="DI59" s="368">
        <f>'Economic Data'!K73</f>
        <v>626103.1</v>
      </c>
      <c r="DJ59" s="368">
        <f>'Economic Data'!L73</f>
        <v>94599.6</v>
      </c>
      <c r="DK59" s="368">
        <f>'Economic Data'!M73</f>
        <v>32860.800000000003</v>
      </c>
      <c r="DL59" s="368">
        <f>'Economic Data'!N73</f>
        <v>811397</v>
      </c>
      <c r="DM59" s="368">
        <f>'Economic Data'!O73</f>
        <v>92989</v>
      </c>
      <c r="DN59" s="368">
        <f>'Economic Data'!P73</f>
        <v>19323</v>
      </c>
      <c r="DO59" s="368">
        <f>'Economic Data'!Q73</f>
        <v>631766</v>
      </c>
      <c r="DP59" s="368">
        <f>'Economic Data'!R73</f>
        <v>33770</v>
      </c>
      <c r="DQ59">
        <v>31</v>
      </c>
      <c r="DR59">
        <v>21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1</v>
      </c>
      <c r="EC59">
        <v>0</v>
      </c>
      <c r="ED59">
        <v>0</v>
      </c>
      <c r="EE59">
        <v>0</v>
      </c>
      <c r="EF59">
        <v>1</v>
      </c>
      <c r="EG59">
        <v>1</v>
      </c>
      <c r="EH59">
        <f t="shared" si="69"/>
        <v>58</v>
      </c>
      <c r="EI59">
        <v>0</v>
      </c>
      <c r="EJ59">
        <v>0</v>
      </c>
      <c r="EK59">
        <v>0</v>
      </c>
      <c r="EL59">
        <v>0</v>
      </c>
      <c r="EM59" s="47">
        <f t="shared" si="125"/>
        <v>0</v>
      </c>
      <c r="EN59" s="47">
        <f t="shared" si="126"/>
        <v>0</v>
      </c>
      <c r="EO59" s="47">
        <f t="shared" si="127"/>
        <v>0</v>
      </c>
      <c r="EP59" s="47">
        <f t="shared" si="128"/>
        <v>0</v>
      </c>
      <c r="EQ59" s="47">
        <f t="shared" si="129"/>
        <v>0</v>
      </c>
      <c r="ER59" s="47">
        <f t="shared" si="130"/>
        <v>0</v>
      </c>
      <c r="ES59" s="47">
        <f t="shared" si="131"/>
        <v>0</v>
      </c>
      <c r="ET59" s="47">
        <f t="shared" si="132"/>
        <v>0</v>
      </c>
      <c r="EU59" s="47">
        <f t="shared" si="133"/>
        <v>0</v>
      </c>
      <c r="EV59" s="47">
        <f t="shared" si="134"/>
        <v>0</v>
      </c>
      <c r="EW59" s="47">
        <f t="shared" si="135"/>
        <v>0</v>
      </c>
      <c r="EX59" s="47">
        <f t="shared" si="136"/>
        <v>0</v>
      </c>
      <c r="EY59" s="47">
        <f t="shared" si="137"/>
        <v>0</v>
      </c>
      <c r="EZ59" s="47">
        <f t="shared" si="138"/>
        <v>0</v>
      </c>
      <c r="FA59" s="47">
        <f t="shared" si="139"/>
        <v>0</v>
      </c>
      <c r="FB59" s="47">
        <f t="shared" si="140"/>
        <v>0</v>
      </c>
      <c r="FC59" s="47">
        <f t="shared" si="141"/>
        <v>0</v>
      </c>
      <c r="FD59" s="47">
        <f t="shared" si="142"/>
        <v>0</v>
      </c>
      <c r="FE59" s="47">
        <f t="shared" si="143"/>
        <v>0</v>
      </c>
      <c r="FF59" s="47">
        <f t="shared" si="144"/>
        <v>0</v>
      </c>
      <c r="FG59" s="47">
        <f t="shared" si="145"/>
        <v>0</v>
      </c>
      <c r="FH59" s="47">
        <f t="shared" si="146"/>
        <v>0</v>
      </c>
      <c r="FI59" s="47">
        <f t="shared" si="147"/>
        <v>0</v>
      </c>
      <c r="FJ59" s="47">
        <f t="shared" si="148"/>
        <v>0</v>
      </c>
      <c r="FK59" s="47">
        <f t="shared" si="149"/>
        <v>0</v>
      </c>
      <c r="FL59" s="47">
        <f t="shared" si="150"/>
        <v>0</v>
      </c>
      <c r="FM59" s="47">
        <f t="shared" si="151"/>
        <v>0</v>
      </c>
      <c r="FN59" s="47">
        <f t="shared" si="152"/>
        <v>0</v>
      </c>
      <c r="FO59" s="765">
        <f t="shared" ca="1" si="153"/>
        <v>617.10710312925505</v>
      </c>
      <c r="FP59" s="765">
        <f t="shared" si="154"/>
        <v>550.55785945459922</v>
      </c>
      <c r="FQ59" s="765">
        <f t="shared" si="155"/>
        <v>2478.1606705812246</v>
      </c>
      <c r="FR59" s="765">
        <f t="shared" si="156"/>
        <v>77346.895752930432</v>
      </c>
      <c r="FS59" s="765">
        <f t="shared" si="157"/>
        <v>1978446.5535196254</v>
      </c>
      <c r="FT59" s="765">
        <f t="shared" si="158"/>
        <v>6266653.8297881326</v>
      </c>
      <c r="FU59" s="765">
        <f t="shared" si="159"/>
        <v>38.341545824487866</v>
      </c>
      <c r="FV59" s="765">
        <f t="shared" si="160"/>
        <v>66.524853364002311</v>
      </c>
      <c r="FW59" s="765">
        <f t="shared" si="161"/>
        <v>500.81544570837622</v>
      </c>
      <c r="FX59" s="765">
        <f t="shared" si="162"/>
        <v>639.34463545164476</v>
      </c>
      <c r="FY59" s="765">
        <f t="shared" si="163"/>
        <v>2989.4787162384341</v>
      </c>
      <c r="FZ59" s="765">
        <f t="shared" si="164"/>
        <v>74835.36967965131</v>
      </c>
      <c r="GA59" s="765">
        <f t="shared" si="165"/>
        <v>108595.46999999999</v>
      </c>
      <c r="GB59" s="765">
        <f t="shared" si="166"/>
        <v>25.999819903700338</v>
      </c>
      <c r="GC59" s="765">
        <f t="shared" si="167"/>
        <v>66.759498690187911</v>
      </c>
      <c r="GD59" s="765">
        <f t="shared" si="168"/>
        <v>128.22663212435234</v>
      </c>
    </row>
    <row r="60" spans="1:186">
      <c r="A60" s="4">
        <v>43770</v>
      </c>
      <c r="B60" s="6">
        <v>2019</v>
      </c>
      <c r="C60" s="5">
        <v>11</v>
      </c>
      <c r="D60" s="7">
        <v>76919126.331799701</v>
      </c>
      <c r="E60" s="7">
        <f>IFERROR(VLOOKUP($B60-1,CDM!$V$4:$AJ$17,2,FALSE)/12,0)+IFERROR(VLOOKUP($B60,CDM!$V$41:$AJ$54,2,FALSE)/24,0)+IFERROR(VLOOKUP($B60,CDM!$V$41:$AJ$54,2,FALSE)/2*$C60/78,0)</f>
        <v>3907097.4048357494</v>
      </c>
      <c r="F60" s="7">
        <f t="shared" si="169"/>
        <v>80826223.736635447</v>
      </c>
      <c r="G60" s="7">
        <f>IFERROR(HLOOKUP(B60-1,'EV Forecast VRZ'!$F$124:$T$130,2,FALSE)/12,0)+IFERROR(((HLOOKUP(B60,'EV Forecast VRZ'!$F$116:$T$122,2,FALSE)-HLOOKUP(B60-1,'EV Forecast VRZ'!$F$124:$T$130,2,FALSE)))*C60/78,0)</f>
        <v>188517.67129311041</v>
      </c>
      <c r="H60" s="7">
        <f ca="1">HLOOKUP(B60,Heating!$C$102:$O$106,2,FALSE)*INDEX(Weather!$BO$1:$CB$20,MATCH(B60,Weather!$BO$1:$BO$20,0),MATCH(C60,Weather!$BO$1:$CB$1,0))/VLOOKUP(B60,Weather!$BO$2:$CB$20,14,FALSE)*
VLOOKUP('Monthly Data'!$B60,Weather!$BO$3:$CB$20,14,FALSE)/Weather!$CB$14</f>
        <v>99710.654799076612</v>
      </c>
      <c r="I60" s="7">
        <f t="shared" ca="1" si="170"/>
        <v>80537995.410543263</v>
      </c>
      <c r="J60" s="7">
        <v>890971.02520000096</v>
      </c>
      <c r="K60" s="7">
        <f>IFERROR(VLOOKUP($B60-1,CDM!$V$4:$AJ$17,3,FALSE)/12,0)+IFERROR(VLOOKUP($B60,CDM!$V$41:$AJ$54,3,FALSE)/24,0)+IFERROR(VLOOKUP($B60,CDM!$V$41:$AJ$54,3,FALSE)/2*$C60/78,0)</f>
        <v>44751.126236610195</v>
      </c>
      <c r="L60" s="7">
        <f t="shared" si="171"/>
        <v>935722.1514366112</v>
      </c>
      <c r="M60" s="7">
        <f>IFERROR(HLOOKUP(B60-1,'EV Forecast VRZ'!$F$124:$T$130,3,FALSE)/12,0)+IFERROR(((HLOOKUP(B60,'EV Forecast VRZ'!$F$116:$T$122,3,FALSE)-HLOOKUP(B60-1,'EV Forecast VRZ'!$F$124:$T$130,3,FALSE)))*C60/78,0)</f>
        <v>2564.6702453510889</v>
      </c>
      <c r="N60" s="7">
        <f ca="1">HLOOKUP(B60,Heating!$C$102:$O$106,3,FALSE)*INDEX(Weather!$BO$1:$CB$20,MATCH(B60,Weather!$BO$1:$BO$20,0),MATCH(C60,Weather!$BO$1:$CB$1,0))/VLOOKUP(B60,Weather!$BO$2:$CB$20,14,FALSE)*
VLOOKUP('Monthly Data'!$B60,Weather!$BO$3:$CB$20,14,FALSE)/Weather!$CB$14</f>
        <v>1406.4384278909552</v>
      </c>
      <c r="O60" s="7">
        <f t="shared" ca="1" si="172"/>
        <v>931751.04276336916</v>
      </c>
      <c r="P60" s="7">
        <v>23995835.644060098</v>
      </c>
      <c r="Q60" s="7">
        <f>IFERROR(VLOOKUP($B60-1,CDM!$V$4:$AJ$17,4,FALSE)/12,0)+IFERROR(VLOOKUP($B60,CDM!$V$41:$AJ$54,4,FALSE)/24,0)+IFERROR(VLOOKUP($B60,CDM!$V$41:$AJ$54,4,FALSE)/2*$C60/78,0)</f>
        <v>1344644.3273811096</v>
      </c>
      <c r="R60" s="7">
        <f t="shared" si="173"/>
        <v>25340479.971441206</v>
      </c>
      <c r="S60" s="7">
        <f>IFERROR(HLOOKUP(B60-1,'EV Forecast VRZ'!$F$124:$T$130,4,FALSE)/12,0)+IFERROR(((HLOOKUP(B60,'EV Forecast VRZ'!$F$116:$T$122,4,FALSE)-HLOOKUP(B60-1,'EV Forecast VRZ'!$F$124:$T$130,4,FALSE)))*C60/78,0)</f>
        <v>23710.818461538467</v>
      </c>
      <c r="T60" s="7">
        <f ca="1">HLOOKUP(B60,Heating!$C$102:$O$106,4,FALSE)*INDEX(Weather!$BO$1:$CB$20,MATCH(B60,Weather!$BO$1:$BO$20,0),MATCH(C60,Weather!$BO$1:$CB$1,0))/VLOOKUP(B60,Weather!$BO$2:$CB$20,14,FALSE)*
VLOOKUP('Monthly Data'!$B60,Weather!$BO$3:$CB$20,14,FALSE)/Weather!$CB$14</f>
        <v>25427.542240153783</v>
      </c>
      <c r="U60" s="7">
        <f t="shared" ca="1" si="174"/>
        <v>25291341.610739514</v>
      </c>
      <c r="V60" s="7">
        <v>76391237.219999999</v>
      </c>
      <c r="W60" s="7">
        <f>IFERROR(VLOOKUP($B60-1,CDM!$V$4:$AJ$17,5,FALSE)/12,0)+IFERROR(VLOOKUP($B60,CDM!$V$41:$AJ$54,5,FALSE)/24,0)+IFERROR(VLOOKUP($B60,CDM!$V$41:$AJ$54,5,FALSE)/2*$C60/78,0)</f>
        <v>4745784.5804039882</v>
      </c>
      <c r="X60" s="7">
        <f t="shared" si="175"/>
        <v>81137021.800403982</v>
      </c>
      <c r="Y60" s="7">
        <f>IFERROR(HLOOKUP(B60-1,'EV Forecast VRZ'!$F$124:$T$130,5,FALSE)/12,0)+IFERROR(((HLOOKUP(B60,'EV Forecast VRZ'!$F$116:$T$122,5,FALSE)-HLOOKUP(B60-1,'EV Forecast VRZ'!$F$124:$T$130,5,FALSE)))*C60/78,0)</f>
        <v>10769.483692307693</v>
      </c>
      <c r="Z60" s="7">
        <f ca="1">HLOOKUP(B60,Heating!$C$102:$O$106,5,FALSE)*INDEX(Weather!$BO$1:$CB$20,MATCH(B60,Weather!$BO$1:$BO$20,0),MATCH(C60,Weather!$BO$1:$CB$1,0))/VLOOKUP(B60,Weather!$BO$2:$CB$20,14,FALSE)*
VLOOKUP('Monthly Data'!$B60,Weather!$BO$3:$CB$20,14,FALSE)/Weather!$CB$14</f>
        <v>14995.973944188991</v>
      </c>
      <c r="AA60" s="7">
        <f t="shared" ca="1" si="176"/>
        <v>81111256.342767492</v>
      </c>
      <c r="AB60" s="7">
        <v>7640406.0199999996</v>
      </c>
      <c r="AC60" s="7">
        <f>IFERROR(VLOOKUP($B60-1,CDM!$V$4:$AJ$17,6,FALSE)/12,0)+IFERROR(VLOOKUP($B60,CDM!$V$41:$AJ$54,6,FALSE)/24,0)+IFERROR(VLOOKUP($B60,CDM!$V$41:$AJ$54,6,FALSE)/2*$C60/78,0)</f>
        <v>225732.06231256094</v>
      </c>
      <c r="AD60" s="7">
        <f t="shared" si="177"/>
        <v>7866138.0823125606</v>
      </c>
      <c r="AE60" s="7">
        <f>IFERROR(HLOOKUP(B60-1,'EV Forecast VRZ'!$F$124:$T$130,6,FALSE)/12,0)+IFERROR(((HLOOKUP(B60,'EV Forecast VRZ'!$F$116:$T$122,6,FALSE)-HLOOKUP(B60-1,'EV Forecast VRZ'!$F$124:$T$130,6,FALSE)))*C60/78,0)</f>
        <v>1584.0024615384611</v>
      </c>
      <c r="AF60" s="7">
        <f t="shared" si="178"/>
        <v>7864554.079851022</v>
      </c>
      <c r="AG60" s="7">
        <v>22063342.010000002</v>
      </c>
      <c r="AH60" s="7">
        <f>IFERROR(VLOOKUP($B60-1,CDM!$V$4:$AJ$17,7,FALSE)/12,0)+IFERROR(VLOOKUP($B60,CDM!$V$41:$AJ$54,7,FALSE)/24,0)+IFERROR(VLOOKUP($B60,CDM!$V$41:$AJ$54,7,FALSE)/2*$C60/78,0)</f>
        <v>1634621.553144112</v>
      </c>
      <c r="AI60" s="7">
        <f t="shared" si="179"/>
        <v>23697963.563144114</v>
      </c>
      <c r="AJ60" s="7">
        <f>IFERROR(HLOOKUP(B60-1,'EV Forecast VRZ'!$F$124:$T$130,7,FALSE)/12,0)+IFERROR(((HLOOKUP(B60,'EV Forecast VRZ'!$F$116:$T$122,7,FALSE)-HLOOKUP(B60-1,'EV Forecast VRZ'!$F$124:$T$130,7,FALSE)))*C60/78,0)</f>
        <v>0</v>
      </c>
      <c r="AK60" s="7">
        <f t="shared" si="180"/>
        <v>23697963.563144114</v>
      </c>
      <c r="AL60" s="7">
        <v>1243181.8600000001</v>
      </c>
      <c r="AM60" s="7">
        <v>18405.160000000003</v>
      </c>
      <c r="AN60" s="7">
        <v>403125.15</v>
      </c>
      <c r="AO60" s="5">
        <v>179777.07</v>
      </c>
      <c r="AP60" s="5">
        <v>15843.69</v>
      </c>
      <c r="AQ60" s="5">
        <v>36912</v>
      </c>
      <c r="AR60" s="5">
        <v>2758.23</v>
      </c>
      <c r="AS60" s="763">
        <f t="shared" si="121"/>
        <v>52.416666666666664</v>
      </c>
      <c r="AT60" s="776">
        <v>111576.25</v>
      </c>
      <c r="AU60" s="776">
        <v>1561.75</v>
      </c>
      <c r="AV60" s="776">
        <v>9256.9166666666733</v>
      </c>
      <c r="AW60" s="776">
        <v>1020.8333333333339</v>
      </c>
      <c r="AX60" s="776">
        <v>4</v>
      </c>
      <c r="AY60" s="776">
        <v>4</v>
      </c>
      <c r="AZ60" s="776">
        <v>31174.916666666653</v>
      </c>
      <c r="BA60" s="776">
        <v>274.91666666666646</v>
      </c>
      <c r="BB60" s="776">
        <v>804.91666666666708</v>
      </c>
      <c r="BC60" s="779">
        <v>26845088.8490698</v>
      </c>
      <c r="BD60" s="779">
        <f>IFERROR(VLOOKUP($B60-1,CDM!$V$4:$AJ$17,11,FALSE)/12,0)+IFERROR(VLOOKUP($B60,CDM!$V$41:$AJ$54,11,FALSE)/24,0)+IFERROR(VLOOKUP($B60,CDM!$V$41:$AJ$54,11,FALSE)/2*$C60/78,0)</f>
        <v>1956010.0486266729</v>
      </c>
      <c r="BE60" s="779">
        <f t="shared" si="123"/>
        <v>28801098.897696473</v>
      </c>
      <c r="BF60" s="779">
        <f>IFERROR(HLOOKUP(B60-1,'EV Forecast WRZ'!$F$124:$T$130,2,FALSE)/12,0)+IFERROR(((HLOOKUP(B60,'EV Forecast WRZ'!$F$116:$T$122,2,FALSE)-HLOOKUP(B60-1,'EV Forecast WRZ'!$F$124:$T$130,2,FALSE)))*C60/78,0)</f>
        <v>56748.900641025655</v>
      </c>
      <c r="BG60" s="779">
        <f ca="1">HLOOKUP(B60,Heating!$R$102:$AD$106,2,FALSE)*INDEX(Weather!$BO$1:$CB$20,MATCH(B60,Weather!$BO$1:$BO$20,0),MATCH(C60,Weather!$BO$1:$CB$1,0))/VLOOKUP(B60,Weather!$BO$2:$CB$20,14,FALSE)*
VLOOKUP('Monthly Data'!$B60,Weather!$BO$3:$CB$20,14,FALSE)/Weather!$CB$14</f>
        <v>36755.920209328273</v>
      </c>
      <c r="BH60" s="779">
        <f t="shared" ca="1" si="181"/>
        <v>28707594.076846119</v>
      </c>
      <c r="BI60" s="779">
        <v>7273179.2636399996</v>
      </c>
      <c r="BJ60" s="779">
        <f>IFERROR(VLOOKUP($B60-1,CDM!$V$4:$AJ$17,12,FALSE)/12,0)+IFERROR(VLOOKUP($B60,CDM!$V$41:$AJ$54,12,FALSE)/24,0)+IFERROR(VLOOKUP($B60,CDM!$V$41:$AJ$54,12,FALSE)/2*$C60/78,0)</f>
        <v>214591.30943134808</v>
      </c>
      <c r="BK60" s="779">
        <f t="shared" si="182"/>
        <v>7487770.5730713475</v>
      </c>
      <c r="BL60" s="779">
        <f>IFERROR(HLOOKUP(B60-1,'EV Forecast WRZ'!$F$124:$T$130,3,FALSE)/12,0)+IFERROR(((HLOOKUP(B60,'EV Forecast WRZ'!$F$116:$T$122,3,FALSE)-HLOOKUP(B60-1,'EV Forecast WRZ'!$F$124:$T$130,3,FALSE)))*C60/78,0)</f>
        <v>7046.9294871794882</v>
      </c>
      <c r="BM60" s="779">
        <f ca="1">HLOOKUP(B60,Heating!$R$102:$AD$106,4,FALSE)*INDEX(Weather!$BO$1:$CB$20,MATCH(B60,Weather!$BO$1:$BO$20,0),MATCH(C60,Weather!$BO$1:$CB$1,0))/VLOOKUP(B60,Weather!$BO$2:$CB$20,14,FALSE)*
VLOOKUP('Monthly Data'!$B60,Weather!$BO$3:$CB$20,14,FALSE)/Weather!$CB$14</f>
        <v>6244.4305747048011</v>
      </c>
      <c r="BN60" s="779">
        <f t="shared" ca="1" si="183"/>
        <v>7474479.2130094636</v>
      </c>
      <c r="BO60" s="779">
        <v>27571468.760000002</v>
      </c>
      <c r="BP60" s="779">
        <f>IFERROR(VLOOKUP($B60-1,CDM!$V$4:$AJ$17,13,FALSE)/12,0)+IFERROR(VLOOKUP($B60,CDM!$V$41:$AJ$54,13,FALSE)/24,0)+IFERROR(VLOOKUP($B60,CDM!$V$41:$AJ$54,13,FALSE)/2*$C60/78,0)</f>
        <v>1680102.946559662</v>
      </c>
      <c r="BQ60" s="779">
        <f t="shared" si="184"/>
        <v>29251571.706559666</v>
      </c>
      <c r="BR60" s="779">
        <f>IFERROR(HLOOKUP(B60-1,'EV Forecast WRZ'!$F$124:$T$130,4,FALSE)/12,0)+IFERROR(((HLOOKUP(B60,'EV Forecast WRZ'!$F$116:$T$122,4,FALSE)-HLOOKUP(B60-1,'EV Forecast WRZ'!$F$124:$T$130,4,FALSE)))*C60/78,0)</f>
        <v>3201.1182692307693</v>
      </c>
      <c r="BS60" s="779">
        <f ca="1">HLOOKUP(B60,Heating!$R$102:$AD$106,5,FALSE)*INDEX(Weather!$BO$1:$CB$20,MATCH(B60,Weather!$BO$1:$BO$20,0),MATCH(C60,Weather!$BO$1:$CB$1,0))/VLOOKUP(B60,Weather!$BO$2:$CB$20,14,FALSE)*
VLOOKUP('Monthly Data'!$B60,Weather!$BO$3:$CB$20,14,FALSE)/Weather!$CB$14</f>
        <v>4447.5663509225515</v>
      </c>
      <c r="BT60" s="779">
        <f t="shared" ca="1" si="185"/>
        <v>29243923.021939512</v>
      </c>
      <c r="BU60" s="779">
        <v>6571208.7999999998</v>
      </c>
      <c r="BV60" s="779">
        <f>IFERROR(VLOOKUP($B60-1,CDM!$V$4:$AJ$17,14,FALSE)/12,0)+IFERROR(VLOOKUP($B60,CDM!$V$41:$AJ$54,14,FALSE)/24,0)+IFERROR(VLOOKUP($B60,CDM!$V$41:$AJ$54,14,FALSE)/2*$C60/78,0)</f>
        <v>377724.36671209947</v>
      </c>
      <c r="BW60" s="779">
        <f t="shared" si="186"/>
        <v>6948933.1667120997</v>
      </c>
      <c r="BX60" s="779">
        <f>IFERROR(HLOOKUP(B60-1,'EV Forecast WRZ'!$F$124:$T$130,5,FALSE)/12,0)+IFERROR(((HLOOKUP(B60,'EV Forecast WRZ'!$F$116:$T$122,5,FALSE)-HLOOKUP(B60-1,'EV Forecast WRZ'!$F$124:$T$130,5,FALSE)))*C60/78,0)</f>
        <v>472.34647435897432</v>
      </c>
      <c r="BY60" s="779">
        <f t="shared" si="124"/>
        <v>6948460.8202377409</v>
      </c>
      <c r="BZ60" s="779">
        <v>350998.49</v>
      </c>
      <c r="CA60" s="779">
        <v>2470.1014515369525</v>
      </c>
      <c r="CB60" s="5">
        <v>49424.52</v>
      </c>
      <c r="CC60" s="5">
        <v>65150.49</v>
      </c>
      <c r="CD60" s="5">
        <v>12801.14</v>
      </c>
      <c r="CE60" s="5">
        <v>763.05</v>
      </c>
      <c r="CF60" s="763">
        <f t="shared" si="122"/>
        <v>7.166666666666667</v>
      </c>
      <c r="CG60" s="785">
        <v>41339.916666666693</v>
      </c>
      <c r="CH60" s="785">
        <v>2265.9166666666683</v>
      </c>
      <c r="CI60" s="785">
        <v>377</v>
      </c>
      <c r="CJ60" s="785">
        <v>3</v>
      </c>
      <c r="CK60" s="785">
        <v>12565.166666666673</v>
      </c>
      <c r="CL60" s="785">
        <v>37</v>
      </c>
      <c r="CM60" s="785">
        <v>386.5</v>
      </c>
      <c r="CN60" s="46">
        <f>Weather!C72</f>
        <v>589.72500000000002</v>
      </c>
      <c r="CO60" s="46">
        <f>Weather!D72</f>
        <v>0</v>
      </c>
      <c r="CP60" s="46">
        <f>Weather!E72</f>
        <v>529.72500000000002</v>
      </c>
      <c r="CQ60" s="46">
        <f>Weather!F72</f>
        <v>0</v>
      </c>
      <c r="CR60" s="46">
        <f>Weather!G72</f>
        <v>469.72499999999997</v>
      </c>
      <c r="CS60" s="46">
        <f>Weather!H72</f>
        <v>0</v>
      </c>
      <c r="CT60" s="46">
        <f>Weather!I72</f>
        <v>409.72499999999997</v>
      </c>
      <c r="CU60" s="46">
        <f>Weather!J72</f>
        <v>0</v>
      </c>
      <c r="CV60" s="46">
        <f>Weather!K72</f>
        <v>349.72499999999997</v>
      </c>
      <c r="CW60" s="46">
        <f>Weather!L72</f>
        <v>0</v>
      </c>
      <c r="CX60" s="46">
        <f>Weather!M72</f>
        <v>289.72499999999997</v>
      </c>
      <c r="CY60" s="46">
        <f>Weather!N72</f>
        <v>0</v>
      </c>
      <c r="CZ60" s="46">
        <f>Weather!O72</f>
        <v>229.72499999999999</v>
      </c>
      <c r="DA60" s="46">
        <f>Weather!P72</f>
        <v>0</v>
      </c>
      <c r="DB60" s="368">
        <f>'Economic Data'!D74</f>
        <v>7458.2</v>
      </c>
      <c r="DC60" s="368">
        <f>'Economic Data'!E74</f>
        <v>7479.5</v>
      </c>
      <c r="DD60" s="368">
        <f>'Economic Data'!F74</f>
        <v>205.5</v>
      </c>
      <c r="DE60" s="368">
        <f>'Economic Data'!G74</f>
        <v>203.3</v>
      </c>
      <c r="DF60" s="368">
        <f>'Economic Data'!H74</f>
        <v>48.4</v>
      </c>
      <c r="DG60" s="368">
        <f>'Economic Data'!I74</f>
        <v>48.4</v>
      </c>
      <c r="DH60" s="368">
        <f>'Economic Data'!J74</f>
        <v>807274.5</v>
      </c>
      <c r="DI60" s="368">
        <f>'Economic Data'!K74</f>
        <v>626103.1</v>
      </c>
      <c r="DJ60" s="368">
        <f>'Economic Data'!L74</f>
        <v>94599.6</v>
      </c>
      <c r="DK60" s="368">
        <f>'Economic Data'!M74</f>
        <v>32860.800000000003</v>
      </c>
      <c r="DL60" s="368">
        <f>'Economic Data'!N74</f>
        <v>811397</v>
      </c>
      <c r="DM60" s="368">
        <f>'Economic Data'!O74</f>
        <v>92989</v>
      </c>
      <c r="DN60" s="368">
        <f>'Economic Data'!P74</f>
        <v>19323</v>
      </c>
      <c r="DO60" s="368">
        <f>'Economic Data'!Q74</f>
        <v>631766</v>
      </c>
      <c r="DP60" s="368">
        <f>'Economic Data'!R74</f>
        <v>33770</v>
      </c>
      <c r="DQ60">
        <v>30</v>
      </c>
      <c r="DR60">
        <v>21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1</v>
      </c>
      <c r="ED60">
        <v>0</v>
      </c>
      <c r="EE60">
        <v>0</v>
      </c>
      <c r="EF60">
        <v>1</v>
      </c>
      <c r="EG60">
        <v>1</v>
      </c>
      <c r="EH60">
        <f t="shared" si="69"/>
        <v>59</v>
      </c>
      <c r="EI60">
        <v>0</v>
      </c>
      <c r="EJ60">
        <v>0</v>
      </c>
      <c r="EK60">
        <v>0</v>
      </c>
      <c r="EL60">
        <v>0</v>
      </c>
      <c r="EM60" s="47">
        <f t="shared" si="125"/>
        <v>0</v>
      </c>
      <c r="EN60" s="47">
        <f t="shared" si="126"/>
        <v>0</v>
      </c>
      <c r="EO60" s="47">
        <f t="shared" si="127"/>
        <v>0</v>
      </c>
      <c r="EP60" s="47">
        <f t="shared" si="128"/>
        <v>0</v>
      </c>
      <c r="EQ60" s="47">
        <f t="shared" si="129"/>
        <v>0</v>
      </c>
      <c r="ER60" s="47">
        <f t="shared" si="130"/>
        <v>0</v>
      </c>
      <c r="ES60" s="47">
        <f t="shared" si="131"/>
        <v>0</v>
      </c>
      <c r="ET60" s="47">
        <f t="shared" si="132"/>
        <v>0</v>
      </c>
      <c r="EU60" s="47">
        <f t="shared" si="133"/>
        <v>0</v>
      </c>
      <c r="EV60" s="47">
        <f t="shared" si="134"/>
        <v>0</v>
      </c>
      <c r="EW60" s="47">
        <f t="shared" si="135"/>
        <v>0</v>
      </c>
      <c r="EX60" s="47">
        <f t="shared" si="136"/>
        <v>0</v>
      </c>
      <c r="EY60" s="47">
        <f t="shared" si="137"/>
        <v>0</v>
      </c>
      <c r="EZ60" s="47">
        <f t="shared" si="138"/>
        <v>0</v>
      </c>
      <c r="FA60" s="47">
        <f t="shared" si="139"/>
        <v>0</v>
      </c>
      <c r="FB60" s="47">
        <f t="shared" si="140"/>
        <v>0</v>
      </c>
      <c r="FC60" s="47">
        <f t="shared" si="141"/>
        <v>0</v>
      </c>
      <c r="FD60" s="47">
        <f t="shared" si="142"/>
        <v>0</v>
      </c>
      <c r="FE60" s="47">
        <f t="shared" si="143"/>
        <v>0</v>
      </c>
      <c r="FF60" s="47">
        <f t="shared" si="144"/>
        <v>0</v>
      </c>
      <c r="FG60" s="47">
        <f t="shared" si="145"/>
        <v>0</v>
      </c>
      <c r="FH60" s="47">
        <f t="shared" si="146"/>
        <v>0</v>
      </c>
      <c r="FI60" s="47">
        <f t="shared" si="147"/>
        <v>0</v>
      </c>
      <c r="FJ60" s="47">
        <f t="shared" si="148"/>
        <v>0</v>
      </c>
      <c r="FK60" s="47">
        <f t="shared" si="149"/>
        <v>0</v>
      </c>
      <c r="FL60" s="47">
        <f t="shared" si="150"/>
        <v>0</v>
      </c>
      <c r="FM60" s="47">
        <f t="shared" si="151"/>
        <v>0</v>
      </c>
      <c r="FN60" s="47">
        <f t="shared" si="152"/>
        <v>0</v>
      </c>
      <c r="FO60" s="765">
        <f t="shared" ca="1" si="153"/>
        <v>721.82023872054549</v>
      </c>
      <c r="FP60" s="765">
        <f t="shared" si="154"/>
        <v>599.14976880845927</v>
      </c>
      <c r="FQ60" s="765">
        <f t="shared" si="155"/>
        <v>2737.4644154127477</v>
      </c>
      <c r="FR60" s="765">
        <f t="shared" si="156"/>
        <v>79481.164212640593</v>
      </c>
      <c r="FS60" s="765">
        <f t="shared" si="157"/>
        <v>1966534.5205781402</v>
      </c>
      <c r="FT60" s="765">
        <f t="shared" si="158"/>
        <v>5924490.8907860285</v>
      </c>
      <c r="FU60" s="765">
        <f t="shared" si="159"/>
        <v>39.877632177578683</v>
      </c>
      <c r="FV60" s="765">
        <f t="shared" si="160"/>
        <v>66.948141861170114</v>
      </c>
      <c r="FW60" s="765">
        <f t="shared" si="161"/>
        <v>500.8284294440416</v>
      </c>
      <c r="FX60" s="765">
        <f t="shared" si="162"/>
        <v>696.68981507452941</v>
      </c>
      <c r="FY60" s="765">
        <f t="shared" si="163"/>
        <v>3304.5216018850392</v>
      </c>
      <c r="FZ60" s="765">
        <f t="shared" si="164"/>
        <v>77590.375879468615</v>
      </c>
      <c r="GA60" s="765">
        <f t="shared" si="165"/>
        <v>116999.49666666666</v>
      </c>
      <c r="GB60" s="765">
        <f t="shared" si="166"/>
        <v>27.934248650369391</v>
      </c>
      <c r="GC60" s="765">
        <f t="shared" si="167"/>
        <v>66.759498690187911</v>
      </c>
      <c r="GD60" s="765">
        <f t="shared" si="168"/>
        <v>127.87715394566622</v>
      </c>
    </row>
    <row r="61" spans="1:186">
      <c r="A61" s="4">
        <v>43800</v>
      </c>
      <c r="B61" s="6">
        <v>2019</v>
      </c>
      <c r="C61" s="5">
        <v>12</v>
      </c>
      <c r="D61" s="7">
        <v>88768938.471709996</v>
      </c>
      <c r="E61" s="7">
        <f>IFERROR(VLOOKUP($B61-1,CDM!$V$4:$AJ$17,2,FALSE)/12,0)+IFERROR(VLOOKUP($B61,CDM!$V$41:$AJ$54,2,FALSE)/24,0)+IFERROR(VLOOKUP($B61,CDM!$V$41:$AJ$54,2,FALSE)/2*$C61/78,0)</f>
        <v>3926520.2591981879</v>
      </c>
      <c r="F61" s="7">
        <f t="shared" si="169"/>
        <v>92695458.730908185</v>
      </c>
      <c r="G61" s="7">
        <f>IFERROR(HLOOKUP(B61-1,'EV Forecast VRZ'!$F$124:$T$130,2,FALSE)/12,0)+IFERROR(((HLOOKUP(B61,'EV Forecast VRZ'!$F$116:$T$122,2,FALSE)-HLOOKUP(B61-1,'EV Forecast VRZ'!$F$124:$T$130,2,FALSE)))*C61/78,0)</f>
        <v>192645.68141340784</v>
      </c>
      <c r="H61" s="7">
        <f ca="1">HLOOKUP(B61,Heating!$C$102:$O$106,2,FALSE)*INDEX(Weather!$BO$1:$CB$20,MATCH(B61,Weather!$BO$1:$BO$20,0),MATCH(C61,Weather!$BO$1:$CB$1,0))/VLOOKUP(B61,Weather!$BO$2:$CB$20,14,FALSE)*
VLOOKUP('Monthly Data'!$B61,Weather!$BO$3:$CB$20,14,FALSE)/Weather!$CB$14</f>
        <v>115654.60292790469</v>
      </c>
      <c r="I61" s="7">
        <f t="shared" ca="1" si="170"/>
        <v>92387158.446566865</v>
      </c>
      <c r="J61" s="7">
        <v>1030858.18135</v>
      </c>
      <c r="K61" s="7">
        <f>IFERROR(VLOOKUP($B61-1,CDM!$V$4:$AJ$17,3,FALSE)/12,0)+IFERROR(VLOOKUP($B61,CDM!$V$41:$AJ$54,3,FALSE)/24,0)+IFERROR(VLOOKUP($B61,CDM!$V$41:$AJ$54,3,FALSE)/2*$C61/78,0)</f>
        <v>44973.591795409164</v>
      </c>
      <c r="L61" s="7">
        <f t="shared" si="171"/>
        <v>1075831.7731454091</v>
      </c>
      <c r="M61" s="7">
        <f>IFERROR(HLOOKUP(B61-1,'EV Forecast VRZ'!$F$124:$T$130,3,FALSE)/12,0)+IFERROR(((HLOOKUP(B61,'EV Forecast VRZ'!$F$116:$T$122,3,FALSE)-HLOOKUP(B61-1,'EV Forecast VRZ'!$F$124:$T$130,3,FALSE)))*C61/78,0)</f>
        <v>2620.829355822882</v>
      </c>
      <c r="N61" s="7">
        <f ca="1">HLOOKUP(B61,Heating!$C$102:$O$106,3,FALSE)*INDEX(Weather!$BO$1:$CB$20,MATCH(B61,Weather!$BO$1:$BO$20,0),MATCH(C61,Weather!$BO$1:$CB$1,0))/VLOOKUP(B61,Weather!$BO$2:$CB$20,14,FALSE)*
VLOOKUP('Monthly Data'!$B61,Weather!$BO$3:$CB$20,14,FALSE)/Weather!$CB$14</f>
        <v>1631.3309570381166</v>
      </c>
      <c r="O61" s="7">
        <f t="shared" ca="1" si="172"/>
        <v>1071579.6128325481</v>
      </c>
      <c r="P61" s="7">
        <v>25773416.637219999</v>
      </c>
      <c r="Q61" s="7">
        <f>IFERROR(VLOOKUP($B61-1,CDM!$V$4:$AJ$17,4,FALSE)/12,0)+IFERROR(VLOOKUP($B61,CDM!$V$41:$AJ$54,4,FALSE)/24,0)+IFERROR(VLOOKUP($B61,CDM!$V$41:$AJ$54,4,FALSE)/2*$C61/78,0)</f>
        <v>1364169.7108966345</v>
      </c>
      <c r="R61" s="7">
        <f t="shared" si="173"/>
        <v>27137586.348116633</v>
      </c>
      <c r="S61" s="7">
        <f>IFERROR(HLOOKUP(B61-1,'EV Forecast VRZ'!$F$124:$T$130,4,FALSE)/12,0)+IFERROR(((HLOOKUP(B61,'EV Forecast VRZ'!$F$116:$T$122,4,FALSE)-HLOOKUP(B61-1,'EV Forecast VRZ'!$F$124:$T$130,4,FALSE)))*C61/78,0)</f>
        <v>24205.449230769238</v>
      </c>
      <c r="T61" s="7">
        <f ca="1">HLOOKUP(B61,Heating!$C$102:$O$106,4,FALSE)*INDEX(Weather!$BO$1:$CB$20,MATCH(B61,Weather!$BO$1:$BO$20,0),MATCH(C61,Weather!$BO$1:$CB$1,0))/VLOOKUP(B61,Weather!$BO$2:$CB$20,14,FALSE)*
VLOOKUP('Monthly Data'!$B61,Weather!$BO$3:$CB$20,14,FALSE)/Weather!$CB$14</f>
        <v>29493.460925950552</v>
      </c>
      <c r="U61" s="7">
        <f t="shared" ca="1" si="174"/>
        <v>27083887.437959913</v>
      </c>
      <c r="V61" s="7">
        <v>76331857.349999994</v>
      </c>
      <c r="W61" s="7">
        <f>IFERROR(VLOOKUP($B61-1,CDM!$V$4:$AJ$17,5,FALSE)/12,0)+IFERROR(VLOOKUP($B61,CDM!$V$41:$AJ$54,5,FALSE)/24,0)+IFERROR(VLOOKUP($B61,CDM!$V$41:$AJ$54,5,FALSE)/2*$C61/78,0)</f>
        <v>4815946.2041443959</v>
      </c>
      <c r="X61" s="7">
        <f t="shared" si="175"/>
        <v>81147803.554144382</v>
      </c>
      <c r="Y61" s="7">
        <f>IFERROR(HLOOKUP(B61-1,'EV Forecast VRZ'!$F$124:$T$130,5,FALSE)/12,0)+IFERROR(((HLOOKUP(B61,'EV Forecast VRZ'!$F$116:$T$122,5,FALSE)-HLOOKUP(B61-1,'EV Forecast VRZ'!$F$124:$T$130,5,FALSE)))*C61/78,0)</f>
        <v>10992.259846153847</v>
      </c>
      <c r="Z61" s="7">
        <f ca="1">HLOOKUP(B61,Heating!$C$102:$O$106,5,FALSE)*INDEX(Weather!$BO$1:$CB$20,MATCH(B61,Weather!$BO$1:$BO$20,0),MATCH(C61,Weather!$BO$1:$CB$1,0))/VLOOKUP(B61,Weather!$BO$2:$CB$20,14,FALSE)*
VLOOKUP('Monthly Data'!$B61,Weather!$BO$3:$CB$20,14,FALSE)/Weather!$CB$14</f>
        <v>17393.862426510146</v>
      </c>
      <c r="AA61" s="7">
        <f t="shared" ca="1" si="176"/>
        <v>81119417.431871727</v>
      </c>
      <c r="AB61" s="7">
        <v>7100370.6200000001</v>
      </c>
      <c r="AC61" s="7">
        <f>IFERROR(VLOOKUP($B61-1,CDM!$V$4:$AJ$17,6,FALSE)/12,0)+IFERROR(VLOOKUP($B61,CDM!$V$41:$AJ$54,6,FALSE)/24,0)+IFERROR(VLOOKUP($B61,CDM!$V$41:$AJ$54,6,FALSE)/2*$C61/78,0)</f>
        <v>229167.0805466196</v>
      </c>
      <c r="AD61" s="7">
        <f t="shared" si="177"/>
        <v>7329537.7005466195</v>
      </c>
      <c r="AE61" s="7">
        <f>IFERROR(HLOOKUP(B61-1,'EV Forecast VRZ'!$F$124:$T$130,6,FALSE)/12,0)+IFERROR(((HLOOKUP(B61,'EV Forecast VRZ'!$F$116:$T$122,6,FALSE)-HLOOKUP(B61-1,'EV Forecast VRZ'!$F$124:$T$130,6,FALSE)))*C61/78,0)</f>
        <v>1609.5032307692304</v>
      </c>
      <c r="AF61" s="7">
        <f t="shared" si="178"/>
        <v>7327928.1973158503</v>
      </c>
      <c r="AG61" s="7">
        <v>22424651.760000002</v>
      </c>
      <c r="AH61" s="7">
        <f>IFERROR(VLOOKUP($B61-1,CDM!$V$4:$AJ$17,7,FALSE)/12,0)+IFERROR(VLOOKUP($B61,CDM!$V$41:$AJ$54,7,FALSE)/24,0)+IFERROR(VLOOKUP($B61,CDM!$V$41:$AJ$54,7,FALSE)/2*$C61/78,0)</f>
        <v>1650668.8371356933</v>
      </c>
      <c r="AI61" s="7">
        <f t="shared" si="179"/>
        <v>24075320.597135697</v>
      </c>
      <c r="AJ61" s="7">
        <f>IFERROR(HLOOKUP(B61-1,'EV Forecast VRZ'!$F$124:$T$130,7,FALSE)/12,0)+IFERROR(((HLOOKUP(B61,'EV Forecast VRZ'!$F$116:$T$122,7,FALSE)-HLOOKUP(B61-1,'EV Forecast VRZ'!$F$124:$T$130,7,FALSE)))*C61/78,0)</f>
        <v>0</v>
      </c>
      <c r="AK61" s="7">
        <f t="shared" si="180"/>
        <v>24075320.597135697</v>
      </c>
      <c r="AL61" s="7">
        <v>1343251.02</v>
      </c>
      <c r="AM61" s="7">
        <v>18664.680000000004</v>
      </c>
      <c r="AN61" s="7">
        <v>402379.89</v>
      </c>
      <c r="AO61" s="5">
        <v>181804.97</v>
      </c>
      <c r="AP61" s="5">
        <v>15852.73</v>
      </c>
      <c r="AQ61" s="5">
        <v>36165</v>
      </c>
      <c r="AR61" s="5">
        <v>2755.96</v>
      </c>
      <c r="AS61" s="763">
        <f t="shared" si="121"/>
        <v>52.416666666666664</v>
      </c>
      <c r="AT61" s="776">
        <v>111713</v>
      </c>
      <c r="AU61" s="776">
        <v>1561</v>
      </c>
      <c r="AV61" s="776">
        <v>9268</v>
      </c>
      <c r="AW61" s="776">
        <v>1019</v>
      </c>
      <c r="AX61" s="776">
        <v>4</v>
      </c>
      <c r="AY61" s="776">
        <v>4</v>
      </c>
      <c r="AZ61" s="776">
        <v>31182</v>
      </c>
      <c r="BA61" s="776">
        <v>260</v>
      </c>
      <c r="BB61" s="776">
        <v>804</v>
      </c>
      <c r="BC61" s="779">
        <v>30919956.561090101</v>
      </c>
      <c r="BD61" s="779">
        <f>IFERROR(VLOOKUP($B61-1,CDM!$V$4:$AJ$17,11,FALSE)/12,0)+IFERROR(VLOOKUP($B61,CDM!$V$41:$AJ$54,11,FALSE)/24,0)+IFERROR(VLOOKUP($B61,CDM!$V$41:$AJ$54,11,FALSE)/2*$C61/78,0)</f>
        <v>1964209.5981505867</v>
      </c>
      <c r="BE61" s="779">
        <f t="shared" si="123"/>
        <v>32884166.159240685</v>
      </c>
      <c r="BF61" s="779">
        <f>IFERROR(HLOOKUP(B61-1,'EV Forecast WRZ'!$F$124:$T$130,2,FALSE)/12,0)+IFERROR(((HLOOKUP(B61,'EV Forecast WRZ'!$F$116:$T$122,2,FALSE)-HLOOKUP(B61-1,'EV Forecast WRZ'!$F$124:$T$130,2,FALSE)))*C61/78,0)</f>
        <v>58249.237820512833</v>
      </c>
      <c r="BG61" s="779">
        <f ca="1">HLOOKUP(B61,Heating!$R$102:$AD$106,2,FALSE)*INDEX(Weather!$BO$1:$CB$20,MATCH(B61,Weather!$BO$1:$BO$20,0),MATCH(C61,Weather!$BO$1:$CB$1,0))/VLOOKUP(B61,Weather!$BO$2:$CB$20,14,FALSE)*
VLOOKUP('Monthly Data'!$B61,Weather!$BO$3:$CB$20,14,FALSE)/Weather!$CB$14</f>
        <v>42633.270893924324</v>
      </c>
      <c r="BH61" s="779">
        <f t="shared" ca="1" si="181"/>
        <v>32783283.650526248</v>
      </c>
      <c r="BI61" s="779">
        <v>7836944.2918800004</v>
      </c>
      <c r="BJ61" s="779">
        <f>IFERROR(VLOOKUP($B61-1,CDM!$V$4:$AJ$17,12,FALSE)/12,0)+IFERROR(VLOOKUP($B61,CDM!$V$41:$AJ$54,12,FALSE)/24,0)+IFERROR(VLOOKUP($B61,CDM!$V$41:$AJ$54,12,FALSE)/2*$C61/78,0)</f>
        <v>216478.12098536448</v>
      </c>
      <c r="BK61" s="779">
        <f t="shared" si="182"/>
        <v>8053422.4128653649</v>
      </c>
      <c r="BL61" s="779">
        <f>IFERROR(HLOOKUP(B61-1,'EV Forecast WRZ'!$F$124:$T$130,3,FALSE)/12,0)+IFERROR(((HLOOKUP(B61,'EV Forecast WRZ'!$F$116:$T$122,3,FALSE)-HLOOKUP(B61-1,'EV Forecast WRZ'!$F$124:$T$130,3,FALSE)))*C61/78,0)</f>
        <v>7223.4397435897445</v>
      </c>
      <c r="BM61" s="779">
        <f ca="1">HLOOKUP(B61,Heating!$R$102:$AD$106,4,FALSE)*INDEX(Weather!$BO$1:$CB$20,MATCH(B61,Weather!$BO$1:$BO$20,0),MATCH(C61,Weather!$BO$1:$CB$1,0))/VLOOKUP(B61,Weather!$BO$2:$CB$20,14,FALSE)*
VLOOKUP('Monthly Data'!$B61,Weather!$BO$3:$CB$20,14,FALSE)/Weather!$CB$14</f>
        <v>7242.9284521661702</v>
      </c>
      <c r="BN61" s="779">
        <f t="shared" ca="1" si="183"/>
        <v>8038956.0446696095</v>
      </c>
      <c r="BO61" s="779">
        <v>28441626.969999999</v>
      </c>
      <c r="BP61" s="779">
        <f>IFERROR(VLOOKUP($B61-1,CDM!$V$4:$AJ$17,13,FALSE)/12,0)+IFERROR(VLOOKUP($B61,CDM!$V$41:$AJ$54,13,FALSE)/24,0)+IFERROR(VLOOKUP($B61,CDM!$V$41:$AJ$54,13,FALSE)/2*$C61/78,0)</f>
        <v>1716252.9538907832</v>
      </c>
      <c r="BQ61" s="779">
        <f t="shared" si="184"/>
        <v>30157879.923890781</v>
      </c>
      <c r="BR61" s="779">
        <f>IFERROR(HLOOKUP(B61-1,'EV Forecast WRZ'!$F$124:$T$130,4,FALSE)/12,0)+IFERROR(((HLOOKUP(B61,'EV Forecast WRZ'!$F$116:$T$122,4,FALSE)-HLOOKUP(B61-1,'EV Forecast WRZ'!$F$124:$T$130,4,FALSE)))*C61/78,0)</f>
        <v>3280.5478846153846</v>
      </c>
      <c r="BS61" s="779">
        <f ca="1">HLOOKUP(B61,Heating!$R$102:$AD$106,5,FALSE)*INDEX(Weather!$BO$1:$CB$20,MATCH(B61,Weather!$BO$1:$BO$20,0),MATCH(C61,Weather!$BO$1:$CB$1,0))/VLOOKUP(B61,Weather!$BO$2:$CB$20,14,FALSE)*
VLOOKUP('Monthly Data'!$B61,Weather!$BO$3:$CB$20,14,FALSE)/Weather!$CB$14</f>
        <v>5158.7417748681873</v>
      </c>
      <c r="BT61" s="779">
        <f t="shared" ca="1" si="185"/>
        <v>30149440.634231295</v>
      </c>
      <c r="BU61" s="779">
        <v>6730418.04</v>
      </c>
      <c r="BV61" s="779">
        <f>IFERROR(VLOOKUP($B61-1,CDM!$V$4:$AJ$17,14,FALSE)/12,0)+IFERROR(VLOOKUP($B61,CDM!$V$41:$AJ$54,14,FALSE)/24,0)+IFERROR(VLOOKUP($B61,CDM!$V$41:$AJ$54,14,FALSE)/2*$C61/78,0)</f>
        <v>385851.68929893628</v>
      </c>
      <c r="BW61" s="779">
        <f t="shared" si="186"/>
        <v>7116269.7292989362</v>
      </c>
      <c r="BX61" s="779">
        <f>IFERROR(HLOOKUP(B61-1,'EV Forecast WRZ'!$F$124:$T$130,5,FALSE)/12,0)+IFERROR(((HLOOKUP(B61,'EV Forecast WRZ'!$F$116:$T$122,5,FALSE)-HLOOKUP(B61-1,'EV Forecast WRZ'!$F$124:$T$130,5,FALSE)))*C61/78,0)</f>
        <v>481.17198717948713</v>
      </c>
      <c r="BY61" s="779">
        <f t="shared" si="124"/>
        <v>7115788.5573117565</v>
      </c>
      <c r="BZ61" s="779">
        <v>384842.74</v>
      </c>
      <c r="CA61" s="779">
        <v>2470.1014515369525</v>
      </c>
      <c r="CB61" s="5">
        <v>49424.4</v>
      </c>
      <c r="CC61" s="5">
        <v>66361.98</v>
      </c>
      <c r="CD61" s="5">
        <v>13869.69</v>
      </c>
      <c r="CE61" s="5">
        <v>770.22</v>
      </c>
      <c r="CF61" s="763">
        <f t="shared" si="122"/>
        <v>7.166666666666667</v>
      </c>
      <c r="CG61" s="785">
        <v>41437</v>
      </c>
      <c r="CH61" s="785">
        <v>2267</v>
      </c>
      <c r="CI61" s="785">
        <v>377</v>
      </c>
      <c r="CJ61" s="785">
        <v>3</v>
      </c>
      <c r="CK61" s="785">
        <v>12600</v>
      </c>
      <c r="CL61" s="785">
        <v>37</v>
      </c>
      <c r="CM61" s="785">
        <v>387</v>
      </c>
      <c r="CN61" s="46">
        <f>Weather!C73</f>
        <v>676.42916666666656</v>
      </c>
      <c r="CO61" s="46">
        <f>Weather!D73</f>
        <v>0</v>
      </c>
      <c r="CP61" s="46">
        <f>Weather!E73</f>
        <v>614.42916666666667</v>
      </c>
      <c r="CQ61" s="46">
        <f>Weather!F73</f>
        <v>0</v>
      </c>
      <c r="CR61" s="46">
        <f>Weather!G73</f>
        <v>552.42916666666667</v>
      </c>
      <c r="CS61" s="46">
        <f>Weather!H73</f>
        <v>0</v>
      </c>
      <c r="CT61" s="46">
        <f>Weather!I73</f>
        <v>490.42916666666656</v>
      </c>
      <c r="CU61" s="46">
        <f>Weather!J73</f>
        <v>0</v>
      </c>
      <c r="CV61" s="46">
        <f>Weather!K73</f>
        <v>428.42916666666656</v>
      </c>
      <c r="CW61" s="46">
        <f>Weather!L73</f>
        <v>0</v>
      </c>
      <c r="CX61" s="46">
        <f>Weather!M73</f>
        <v>366.42916666666656</v>
      </c>
      <c r="CY61" s="46">
        <f>Weather!N73</f>
        <v>0</v>
      </c>
      <c r="CZ61" s="46">
        <f>Weather!O73</f>
        <v>304.42916666666662</v>
      </c>
      <c r="DA61" s="46">
        <f>Weather!P73</f>
        <v>0</v>
      </c>
      <c r="DB61" s="368">
        <f>'Economic Data'!D75</f>
        <v>7474</v>
      </c>
      <c r="DC61" s="368">
        <f>'Economic Data'!E75</f>
        <v>7485.8</v>
      </c>
      <c r="DD61" s="368">
        <f>'Economic Data'!F75</f>
        <v>206.4</v>
      </c>
      <c r="DE61" s="368">
        <f>'Economic Data'!G75</f>
        <v>204.9</v>
      </c>
      <c r="DF61" s="368">
        <f>'Economic Data'!H75</f>
        <v>53.6</v>
      </c>
      <c r="DG61" s="368">
        <f>'Economic Data'!I75</f>
        <v>53.6</v>
      </c>
      <c r="DH61" s="368">
        <f>'Economic Data'!J75</f>
        <v>807274.5</v>
      </c>
      <c r="DI61" s="368">
        <f>'Economic Data'!K75</f>
        <v>626103.1</v>
      </c>
      <c r="DJ61" s="368">
        <f>'Economic Data'!L75</f>
        <v>94599.6</v>
      </c>
      <c r="DK61" s="368">
        <f>'Economic Data'!M75</f>
        <v>32860.800000000003</v>
      </c>
      <c r="DL61" s="368">
        <f>'Economic Data'!N75</f>
        <v>811397</v>
      </c>
      <c r="DM61" s="368">
        <f>'Economic Data'!O75</f>
        <v>92989</v>
      </c>
      <c r="DN61" s="368">
        <f>'Economic Data'!P75</f>
        <v>19323</v>
      </c>
      <c r="DO61" s="368">
        <f>'Economic Data'!Q75</f>
        <v>631766</v>
      </c>
      <c r="DP61" s="368">
        <f>'Economic Data'!R75</f>
        <v>33770</v>
      </c>
      <c r="DQ61">
        <v>31</v>
      </c>
      <c r="DR61">
        <v>21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1</v>
      </c>
      <c r="EE61">
        <v>0</v>
      </c>
      <c r="EF61">
        <v>0</v>
      </c>
      <c r="EG61">
        <v>0</v>
      </c>
      <c r="EH61">
        <f t="shared" si="69"/>
        <v>60</v>
      </c>
      <c r="EI61">
        <v>0</v>
      </c>
      <c r="EJ61">
        <v>0</v>
      </c>
      <c r="EK61">
        <v>0</v>
      </c>
      <c r="EL61">
        <v>0</v>
      </c>
      <c r="EM61" s="47">
        <f t="shared" si="125"/>
        <v>0</v>
      </c>
      <c r="EN61" s="47">
        <f t="shared" si="126"/>
        <v>0</v>
      </c>
      <c r="EO61" s="47">
        <f t="shared" si="127"/>
        <v>0</v>
      </c>
      <c r="EP61" s="47">
        <f t="shared" si="128"/>
        <v>0</v>
      </c>
      <c r="EQ61" s="47">
        <f t="shared" si="129"/>
        <v>0</v>
      </c>
      <c r="ER61" s="47">
        <f t="shared" si="130"/>
        <v>0</v>
      </c>
      <c r="ES61" s="47">
        <f t="shared" si="131"/>
        <v>0</v>
      </c>
      <c r="ET61" s="47">
        <f t="shared" si="132"/>
        <v>0</v>
      </c>
      <c r="EU61" s="47">
        <f t="shared" si="133"/>
        <v>0</v>
      </c>
      <c r="EV61" s="47">
        <f t="shared" si="134"/>
        <v>0</v>
      </c>
      <c r="EW61" s="47">
        <f t="shared" si="135"/>
        <v>0</v>
      </c>
      <c r="EX61" s="47">
        <f t="shared" si="136"/>
        <v>0</v>
      </c>
      <c r="EY61" s="47">
        <f t="shared" si="137"/>
        <v>0</v>
      </c>
      <c r="EZ61" s="47">
        <f t="shared" si="138"/>
        <v>0</v>
      </c>
      <c r="FA61" s="47">
        <f t="shared" si="139"/>
        <v>0</v>
      </c>
      <c r="FB61" s="47">
        <f t="shared" si="140"/>
        <v>0</v>
      </c>
      <c r="FC61" s="47">
        <f t="shared" si="141"/>
        <v>0</v>
      </c>
      <c r="FD61" s="47">
        <f t="shared" si="142"/>
        <v>0</v>
      </c>
      <c r="FE61" s="47">
        <f t="shared" si="143"/>
        <v>0</v>
      </c>
      <c r="FF61" s="47">
        <f t="shared" si="144"/>
        <v>0</v>
      </c>
      <c r="FG61" s="47">
        <f t="shared" si="145"/>
        <v>0</v>
      </c>
      <c r="FH61" s="47">
        <f t="shared" si="146"/>
        <v>0</v>
      </c>
      <c r="FI61" s="47">
        <f t="shared" si="147"/>
        <v>0</v>
      </c>
      <c r="FJ61" s="47">
        <f t="shared" si="148"/>
        <v>0</v>
      </c>
      <c r="FK61" s="47">
        <f t="shared" si="149"/>
        <v>0</v>
      </c>
      <c r="FL61" s="47">
        <f t="shared" si="150"/>
        <v>0</v>
      </c>
      <c r="FM61" s="47">
        <f t="shared" si="151"/>
        <v>0</v>
      </c>
      <c r="FN61" s="47">
        <f t="shared" si="152"/>
        <v>0</v>
      </c>
      <c r="FO61" s="765">
        <f t="shared" ca="1" si="153"/>
        <v>827.00454241285138</v>
      </c>
      <c r="FP61" s="765">
        <f t="shared" si="154"/>
        <v>689.19396101563677</v>
      </c>
      <c r="FQ61" s="765">
        <f t="shared" si="155"/>
        <v>2928.0952037242805</v>
      </c>
      <c r="FR61" s="765">
        <f t="shared" si="156"/>
        <v>79634.743428993504</v>
      </c>
      <c r="FS61" s="765">
        <f t="shared" si="157"/>
        <v>1832384.4251366549</v>
      </c>
      <c r="FT61" s="765">
        <f t="shared" si="158"/>
        <v>6018830.1492839241</v>
      </c>
      <c r="FU61" s="765">
        <f t="shared" si="159"/>
        <v>43.077769867231098</v>
      </c>
      <c r="FV61" s="765">
        <f t="shared" si="160"/>
        <v>71.787230769230788</v>
      </c>
      <c r="FW61" s="765">
        <f t="shared" si="161"/>
        <v>500.47250000000003</v>
      </c>
      <c r="FX61" s="765">
        <f t="shared" si="162"/>
        <v>793.59427949032715</v>
      </c>
      <c r="FY61" s="765">
        <f t="shared" si="163"/>
        <v>3552.4580559617843</v>
      </c>
      <c r="FZ61" s="765">
        <f t="shared" si="164"/>
        <v>79994.376455943711</v>
      </c>
      <c r="GA61" s="765">
        <f t="shared" si="165"/>
        <v>128280.91333333333</v>
      </c>
      <c r="GB61" s="765">
        <f t="shared" si="166"/>
        <v>30.543074603174603</v>
      </c>
      <c r="GC61" s="765">
        <f t="shared" si="167"/>
        <v>66.759498690187911</v>
      </c>
      <c r="GD61" s="765">
        <f t="shared" si="168"/>
        <v>127.71162790697674</v>
      </c>
    </row>
    <row r="62" spans="1:186">
      <c r="A62" s="4">
        <v>43831</v>
      </c>
      <c r="B62" s="6">
        <v>2020</v>
      </c>
      <c r="C62" s="5">
        <v>1</v>
      </c>
      <c r="D62" s="7">
        <v>86693129.758341104</v>
      </c>
      <c r="E62" s="7">
        <f>IFERROR(VLOOKUP($B62-1,CDM!$V$4:$AJ$17,2,FALSE)/12,0)+IFERROR(VLOOKUP($B62,CDM!$V$41:$AJ$54,2,FALSE)/24,0)+IFERROR(VLOOKUP($B62,CDM!$V$41:$AJ$54,2,FALSE)/2*$C62/78,0)</f>
        <v>3826502.6534933941</v>
      </c>
      <c r="F62" s="7">
        <f t="shared" si="169"/>
        <v>90519632.411834493</v>
      </c>
      <c r="G62" s="7">
        <f>IFERROR(HLOOKUP(B62-1,'EV Forecast VRZ'!$F$124:$T$130,2,FALSE)/12,0)+IFERROR(((HLOOKUP(B62,'EV Forecast VRZ'!$F$116:$T$122,2,FALSE)-HLOOKUP(B62-1,'EV Forecast VRZ'!$F$124:$T$130,2,FALSE)))*C62/78,0)</f>
        <v>201545.82654041427</v>
      </c>
      <c r="H62" s="7">
        <f ca="1">HLOOKUP(B62,Heating!$C$102:$O$106,2,FALSE)*INDEX(Weather!$BO$1:$CB$20,MATCH(B62,Weather!$BO$1:$BO$20,0),MATCH(C62,Weather!$BO$1:$CB$1,0))/VLOOKUP(B62,Weather!$BO$2:$CB$20,14,FALSE)*
VLOOKUP('Monthly Data'!$B62,Weather!$BO$3:$CB$20,14,FALSE)/Weather!$CB$14</f>
        <v>503196.96637022204</v>
      </c>
      <c r="I62" s="7">
        <f t="shared" ca="1" si="170"/>
        <v>89814889.618923858</v>
      </c>
      <c r="J62" s="7">
        <v>1061355.0422100001</v>
      </c>
      <c r="K62" s="7">
        <f>IFERROR(VLOOKUP($B62-1,CDM!$V$4:$AJ$17,3,FALSE)/12,0)+IFERROR(VLOOKUP($B62,CDM!$V$41:$AJ$54,3,FALSE)/24,0)+IFERROR(VLOOKUP($B62,CDM!$V$41:$AJ$54,3,FALSE)/2*$C62/78,0)</f>
        <v>43828.009785285984</v>
      </c>
      <c r="L62" s="7">
        <f t="shared" si="171"/>
        <v>1105183.051995286</v>
      </c>
      <c r="M62" s="7">
        <f>IFERROR(HLOOKUP(B62-1,'EV Forecast VRZ'!$F$124:$T$130,3,FALSE)/12,0)+IFERROR(((HLOOKUP(B62,'EV Forecast VRZ'!$F$116:$T$122,3,FALSE)-HLOOKUP(B62-1,'EV Forecast VRZ'!$F$124:$T$130,3,FALSE)))*C62/78,0)</f>
        <v>2741.9105108677563</v>
      </c>
      <c r="N62" s="7">
        <f ca="1">HLOOKUP(B62,Heating!$C$102:$O$106,3,FALSE)*INDEX(Weather!$BO$1:$CB$20,MATCH(B62,Weather!$BO$1:$BO$20,0),MATCH(C62,Weather!$BO$1:$CB$1,0))/VLOOKUP(B62,Weather!$BO$2:$CB$20,14,FALSE)*
VLOOKUP('Monthly Data'!$B62,Weather!$BO$3:$CB$20,14,FALSE)/Weather!$CB$14</f>
        <v>6663.9281162151137</v>
      </c>
      <c r="O62" s="7">
        <f t="shared" ca="1" si="172"/>
        <v>1095777.213368203</v>
      </c>
      <c r="P62" s="7">
        <v>26571571.344690099</v>
      </c>
      <c r="Q62" s="7">
        <f>IFERROR(VLOOKUP($B62-1,CDM!$V$4:$AJ$17,4,FALSE)/12,0)+IFERROR(VLOOKUP($B62,CDM!$V$41:$AJ$54,4,FALSE)/24,0)+IFERROR(VLOOKUP($B62,CDM!$V$41:$AJ$54,4,FALSE)/2*$C62/78,0)</f>
        <v>1310984.3210404681</v>
      </c>
      <c r="R62" s="7">
        <f t="shared" si="173"/>
        <v>27882555.665730566</v>
      </c>
      <c r="S62" s="7">
        <f>IFERROR(HLOOKUP(B62-1,'EV Forecast VRZ'!$F$124:$T$130,4,FALSE)/12,0)+IFERROR(((HLOOKUP(B62,'EV Forecast VRZ'!$F$116:$T$122,4,FALSE)-HLOOKUP(B62-1,'EV Forecast VRZ'!$F$124:$T$130,4,FALSE)))*C62/78,0)</f>
        <v>25273.896666666667</v>
      </c>
      <c r="T62" s="7">
        <f ca="1">HLOOKUP(B62,Heating!$C$102:$O$106,4,FALSE)*INDEX(Weather!$BO$1:$CB$20,MATCH(B62,Weather!$BO$1:$BO$20,0),MATCH(C62,Weather!$BO$1:$CB$1,0))/VLOOKUP(B62,Weather!$BO$2:$CB$20,14,FALSE)*
VLOOKUP('Monthly Data'!$B62,Weather!$BO$3:$CB$20,14,FALSE)/Weather!$CB$14</f>
        <v>125794.06916719607</v>
      </c>
      <c r="U62" s="7">
        <f t="shared" ca="1" si="174"/>
        <v>27731487.699896701</v>
      </c>
      <c r="V62" s="7">
        <v>80912313.099999994</v>
      </c>
      <c r="W62" s="7">
        <f>IFERROR(VLOOKUP($B62-1,CDM!$V$4:$AJ$17,5,FALSE)/12,0)+IFERROR(VLOOKUP($B62,CDM!$V$41:$AJ$54,5,FALSE)/24,0)+IFERROR(VLOOKUP($B62,CDM!$V$41:$AJ$54,5,FALSE)/2*$C62/78,0)</f>
        <v>4669597.9032554245</v>
      </c>
      <c r="X62" s="7">
        <f t="shared" si="175"/>
        <v>85581911.003255412</v>
      </c>
      <c r="Y62" s="7">
        <f>IFERROR(HLOOKUP(B62-1,'EV Forecast VRZ'!$F$124:$T$130,5,FALSE)/12,0)+IFERROR(((HLOOKUP(B62,'EV Forecast VRZ'!$F$116:$T$122,5,FALSE)-HLOOKUP(B62-1,'EV Forecast VRZ'!$F$124:$T$130,5,FALSE)))*C62/78,0)</f>
        <v>11473.638115384616</v>
      </c>
      <c r="Z62" s="7">
        <f ca="1">HLOOKUP(B62,Heating!$C$102:$O$106,5,FALSE)*INDEX(Weather!$BO$1:$CB$20,MATCH(B62,Weather!$BO$1:$BO$20,0),MATCH(C62,Weather!$BO$1:$CB$1,0))/VLOOKUP(B62,Weather!$BO$2:$CB$20,14,FALSE)*
VLOOKUP('Monthly Data'!$B62,Weather!$BO$3:$CB$20,14,FALSE)/Weather!$CB$14</f>
        <v>70995.631039934058</v>
      </c>
      <c r="AA62" s="7">
        <f t="shared" ca="1" si="176"/>
        <v>85499441.734100088</v>
      </c>
      <c r="AB62" s="7">
        <v>7650561.0499999998</v>
      </c>
      <c r="AC62" s="7">
        <f>IFERROR(VLOOKUP($B62-1,CDM!$V$4:$AJ$17,6,FALSE)/12,0)+IFERROR(VLOOKUP($B62,CDM!$V$41:$AJ$54,6,FALSE)/24,0)+IFERROR(VLOOKUP($B62,CDM!$V$41:$AJ$54,6,FALSE)/2*$C62/78,0)</f>
        <v>220140.51740319104</v>
      </c>
      <c r="AD62" s="7">
        <f t="shared" si="177"/>
        <v>7870701.5674031908</v>
      </c>
      <c r="AE62" s="7">
        <f>IFERROR(HLOOKUP(B62-1,'EV Forecast VRZ'!$F$124:$T$130,6,FALSE)/12,0)+IFERROR(((HLOOKUP(B62,'EV Forecast VRZ'!$F$116:$T$122,6,FALSE)-HLOOKUP(B62-1,'EV Forecast VRZ'!$F$124:$T$130,6,FALSE)))*C62/78,0)</f>
        <v>1665.2332948717949</v>
      </c>
      <c r="AF62" s="7">
        <f t="shared" si="178"/>
        <v>7869036.3341083191</v>
      </c>
      <c r="AG62" s="7">
        <v>23260771.809999999</v>
      </c>
      <c r="AH62" s="7">
        <f>IFERROR(VLOOKUP($B62-1,CDM!$V$4:$AJ$17,7,FALSE)/12,0)+IFERROR(VLOOKUP($B62,CDM!$V$41:$AJ$54,7,FALSE)/24,0)+IFERROR(VLOOKUP($B62,CDM!$V$41:$AJ$54,7,FALSE)/2*$C62/78,0)</f>
        <v>1600148.772266245</v>
      </c>
      <c r="AI62" s="7">
        <f t="shared" si="179"/>
        <v>24860920.582266245</v>
      </c>
      <c r="AJ62" s="7">
        <f>IFERROR(HLOOKUP(B62-1,'EV Forecast VRZ'!$F$124:$T$130,7,FALSE)/12,0)+IFERROR(((HLOOKUP(B62,'EV Forecast VRZ'!$F$116:$T$122,7,FALSE)-HLOOKUP(B62-1,'EV Forecast VRZ'!$F$124:$T$130,7,FALSE)))*C62/78,0)</f>
        <v>0</v>
      </c>
      <c r="AK62" s="7">
        <f t="shared" si="180"/>
        <v>24860920.582266245</v>
      </c>
      <c r="AL62" s="7">
        <v>1294798.52</v>
      </c>
      <c r="AM62" s="7">
        <v>17315.980000000003</v>
      </c>
      <c r="AN62" s="7">
        <v>401974.24</v>
      </c>
      <c r="AO62" s="5">
        <v>184814.9</v>
      </c>
      <c r="AP62" s="5">
        <v>16619.580000000002</v>
      </c>
      <c r="AQ62" s="5">
        <v>38520</v>
      </c>
      <c r="AR62" s="5">
        <v>2717.69</v>
      </c>
      <c r="AS62" s="763">
        <f>642/12</f>
        <v>53.5</v>
      </c>
      <c r="AT62" s="776">
        <v>111790.75</v>
      </c>
      <c r="AU62" s="776">
        <v>1561</v>
      </c>
      <c r="AV62" s="776">
        <v>9269.5</v>
      </c>
      <c r="AW62" s="776">
        <v>1021</v>
      </c>
      <c r="AX62" s="776">
        <v>4.083333333333333</v>
      </c>
      <c r="AY62" s="776">
        <v>4</v>
      </c>
      <c r="AZ62" s="776">
        <v>31217.833333333332</v>
      </c>
      <c r="BA62" s="776">
        <v>259.25</v>
      </c>
      <c r="BB62" s="776">
        <v>803.66666666666663</v>
      </c>
      <c r="BC62" s="779">
        <v>29590579.813260101</v>
      </c>
      <c r="BD62" s="779">
        <f>IFERROR(VLOOKUP($B62-1,CDM!$V$4:$AJ$17,11,FALSE)/12,0)+IFERROR(VLOOKUP($B62,CDM!$V$41:$AJ$54,11,FALSE)/24,0)+IFERROR(VLOOKUP($B62,CDM!$V$41:$AJ$54,11,FALSE)/2*$C62/78,0)</f>
        <v>1919590.1915366629</v>
      </c>
      <c r="BE62" s="779">
        <f t="shared" si="123"/>
        <v>31510170.004796762</v>
      </c>
      <c r="BF62" s="779">
        <f>IFERROR(HLOOKUP(B62-1,'EV Forecast WRZ'!$F$124:$T$130,2,FALSE)/12,0)+IFERROR(((HLOOKUP(B62,'EV Forecast WRZ'!$F$116:$T$122,2,FALSE)-HLOOKUP(B62-1,'EV Forecast WRZ'!$F$124:$T$130,2,FALSE)))*C62/78,0)</f>
        <v>61404.511666666673</v>
      </c>
      <c r="BG62" s="779">
        <f ca="1">HLOOKUP(B62,Heating!$R$102:$AD$106,2,FALSE)*INDEX(Weather!$BO$1:$CB$20,MATCH(B62,Weather!$BO$1:$BO$20,0),MATCH(C62,Weather!$BO$1:$CB$1,0))/VLOOKUP(B62,Weather!$BO$2:$CB$20,14,FALSE)*
VLOOKUP('Monthly Data'!$B62,Weather!$BO$3:$CB$20,14,FALSE)/Weather!$CB$14</f>
        <v>198062.11407712669</v>
      </c>
      <c r="BH62" s="779">
        <f t="shared" ca="1" si="181"/>
        <v>31250703.379052967</v>
      </c>
      <c r="BI62" s="779">
        <v>8016317.3773400197</v>
      </c>
      <c r="BJ62" s="779">
        <f>IFERROR(VLOOKUP($B62-1,CDM!$V$4:$AJ$17,12,FALSE)/12,0)+IFERROR(VLOOKUP($B62,CDM!$V$41:$AJ$54,12,FALSE)/24,0)+IFERROR(VLOOKUP($B62,CDM!$V$41:$AJ$54,12,FALSE)/2*$C62/78,0)</f>
        <v>212675.31697801064</v>
      </c>
      <c r="BK62" s="779">
        <f t="shared" si="182"/>
        <v>8228992.69431803</v>
      </c>
      <c r="BL62" s="779">
        <f>IFERROR(HLOOKUP(B62-1,'EV Forecast WRZ'!$F$124:$T$130,3,FALSE)/12,0)+IFERROR(((HLOOKUP(B62,'EV Forecast WRZ'!$F$116:$T$122,3,FALSE)-HLOOKUP(B62-1,'EV Forecast WRZ'!$F$124:$T$130,3,FALSE)))*C62/78,0)</f>
        <v>7601.7751282051286</v>
      </c>
      <c r="BM62" s="779">
        <f ca="1">HLOOKUP(B62,Heating!$R$102:$AD$106,4,FALSE)*INDEX(Weather!$BO$1:$CB$20,MATCH(B62,Weather!$BO$1:$BO$20,0),MATCH(C62,Weather!$BO$1:$CB$1,0))/VLOOKUP(B62,Weather!$BO$2:$CB$20,14,FALSE)*
VLOOKUP('Monthly Data'!$B62,Weather!$BO$3:$CB$20,14,FALSE)/Weather!$CB$14</f>
        <v>31337.67243616451</v>
      </c>
      <c r="BN62" s="779">
        <f t="shared" ca="1" si="183"/>
        <v>8190053.24675366</v>
      </c>
      <c r="BO62" s="779">
        <v>30147336.350000001</v>
      </c>
      <c r="BP62" s="779">
        <f>IFERROR(VLOOKUP($B62-1,CDM!$V$4:$AJ$17,13,FALSE)/12,0)+IFERROR(VLOOKUP($B62,CDM!$V$41:$AJ$54,13,FALSE)/24,0)+IFERROR(VLOOKUP($B62,CDM!$V$41:$AJ$54,13,FALSE)/2*$C62/78,0)</f>
        <v>1706648.0142368167</v>
      </c>
      <c r="BQ62" s="779">
        <f t="shared" si="184"/>
        <v>31853984.364236817</v>
      </c>
      <c r="BR62" s="779">
        <f>IFERROR(HLOOKUP(B62-1,'EV Forecast WRZ'!$F$124:$T$130,4,FALSE)/12,0)+IFERROR(((HLOOKUP(B62,'EV Forecast WRZ'!$F$116:$T$122,4,FALSE)-HLOOKUP(B62-1,'EV Forecast WRZ'!$F$124:$T$130,4,FALSE)))*C62/78,0)</f>
        <v>3451.3757307692304</v>
      </c>
      <c r="BS62" s="779">
        <f ca="1">HLOOKUP(B62,Heating!$R$102:$AD$106,5,FALSE)*INDEX(Weather!$BO$1:$CB$20,MATCH(B62,Weather!$BO$1:$BO$20,0),MATCH(C62,Weather!$BO$1:$CB$1,0))/VLOOKUP(B62,Weather!$BO$2:$CB$20,14,FALSE)*
VLOOKUP('Monthly Data'!$B62,Weather!$BO$3:$CB$20,14,FALSE)/Weather!$CB$14</f>
        <v>20996.016559873384</v>
      </c>
      <c r="BT62" s="779">
        <f t="shared" ca="1" si="185"/>
        <v>31829536.971946176</v>
      </c>
      <c r="BU62" s="779">
        <v>7205385.4699999997</v>
      </c>
      <c r="BV62" s="779">
        <f>IFERROR(VLOOKUP($B62-1,CDM!$V$4:$AJ$17,14,FALSE)/12,0)+IFERROR(VLOOKUP($B62,CDM!$V$41:$AJ$54,14,FALSE)/24,0)+IFERROR(VLOOKUP($B62,CDM!$V$41:$AJ$54,14,FALSE)/2*$C62/78,0)</f>
        <v>383692.28605788399</v>
      </c>
      <c r="BW62" s="779">
        <f t="shared" si="186"/>
        <v>7589077.7560578836</v>
      </c>
      <c r="BX62" s="779">
        <f>IFERROR(HLOOKUP(B62-1,'EV Forecast WRZ'!$F$124:$T$130,5,FALSE)/12,0)+IFERROR(((HLOOKUP(B62,'EV Forecast WRZ'!$F$116:$T$122,5,FALSE)-HLOOKUP(B62-1,'EV Forecast WRZ'!$F$124:$T$130,5,FALSE)))*C62/78,0)</f>
        <v>502.39644871794872</v>
      </c>
      <c r="BY62" s="779">
        <f t="shared" si="124"/>
        <v>7588575.3596091652</v>
      </c>
      <c r="BZ62" s="779">
        <v>370854.73</v>
      </c>
      <c r="CA62" s="779">
        <v>2067.9919129146574</v>
      </c>
      <c r="CB62" s="5">
        <v>49424.480000000003</v>
      </c>
      <c r="CC62" s="5">
        <v>66633.2</v>
      </c>
      <c r="CD62" s="5">
        <v>12951.12</v>
      </c>
      <c r="CE62" s="5">
        <v>780.29</v>
      </c>
      <c r="CF62" s="763">
        <f>72/12</f>
        <v>6</v>
      </c>
      <c r="CG62" s="785">
        <v>41505.25</v>
      </c>
      <c r="CH62" s="785">
        <v>2269.6666666666665</v>
      </c>
      <c r="CI62" s="785">
        <v>377.75</v>
      </c>
      <c r="CJ62" s="785">
        <v>3</v>
      </c>
      <c r="CK62" s="785">
        <v>12616.583333333334</v>
      </c>
      <c r="CL62" s="785">
        <v>37</v>
      </c>
      <c r="CM62" s="785">
        <v>387.33333333333331</v>
      </c>
      <c r="CN62" s="46">
        <f>Weather!C74</f>
        <v>690.82083333333321</v>
      </c>
      <c r="CO62" s="46">
        <f>Weather!D74</f>
        <v>0</v>
      </c>
      <c r="CP62" s="46">
        <f>Weather!E74</f>
        <v>628.82083333333333</v>
      </c>
      <c r="CQ62" s="46">
        <f>Weather!F74</f>
        <v>0</v>
      </c>
      <c r="CR62" s="46">
        <f>Weather!G74</f>
        <v>566.82083333333333</v>
      </c>
      <c r="CS62" s="46">
        <f>Weather!H74</f>
        <v>0</v>
      </c>
      <c r="CT62" s="46">
        <f>Weather!I74</f>
        <v>504.82083333333333</v>
      </c>
      <c r="CU62" s="46">
        <f>Weather!J74</f>
        <v>0</v>
      </c>
      <c r="CV62" s="46">
        <f>Weather!K74</f>
        <v>442.82083333333327</v>
      </c>
      <c r="CW62" s="46">
        <f>Weather!L74</f>
        <v>0</v>
      </c>
      <c r="CX62" s="46">
        <f>Weather!M74</f>
        <v>380.82083333333333</v>
      </c>
      <c r="CY62" s="46">
        <f>Weather!N74</f>
        <v>0</v>
      </c>
      <c r="CZ62" s="46">
        <f>Weather!O74</f>
        <v>318.82083333333333</v>
      </c>
      <c r="DA62" s="46">
        <f>Weather!P74</f>
        <v>0</v>
      </c>
      <c r="DB62" s="368">
        <f>'Economic Data'!D76</f>
        <v>7498.1</v>
      </c>
      <c r="DC62" s="368">
        <f>'Economic Data'!E76</f>
        <v>7464.7</v>
      </c>
      <c r="DD62" s="368">
        <f>'Economic Data'!F76</f>
        <v>207.2</v>
      </c>
      <c r="DE62" s="368">
        <f>'Economic Data'!G76</f>
        <v>205.8</v>
      </c>
      <c r="DF62" s="368">
        <f>'Economic Data'!H76</f>
        <v>55.9</v>
      </c>
      <c r="DG62" s="368">
        <f>'Economic Data'!I76</f>
        <v>55.9</v>
      </c>
      <c r="DH62" s="368">
        <f>'Economic Data'!J76</f>
        <v>769942</v>
      </c>
      <c r="DI62" s="368">
        <f>'Economic Data'!K76</f>
        <v>596521.6</v>
      </c>
      <c r="DJ62" s="368">
        <f>'Economic Data'!L76</f>
        <v>85928.9</v>
      </c>
      <c r="DK62" s="368">
        <f>'Economic Data'!M76</f>
        <v>23899.8</v>
      </c>
      <c r="DL62" s="368">
        <f>'Economic Data'!N76</f>
        <v>800126</v>
      </c>
      <c r="DM62" s="368">
        <f>'Economic Data'!O76</f>
        <v>90795</v>
      </c>
      <c r="DN62" s="368">
        <f>'Economic Data'!P76</f>
        <v>17100</v>
      </c>
      <c r="DO62" s="368">
        <f>'Economic Data'!Q76</f>
        <v>621238</v>
      </c>
      <c r="DP62" s="368">
        <f>'Economic Data'!R76</f>
        <v>30738</v>
      </c>
      <c r="DQ62">
        <v>31</v>
      </c>
      <c r="DR62">
        <v>22</v>
      </c>
      <c r="DS62">
        <v>1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f t="shared" si="69"/>
        <v>61</v>
      </c>
      <c r="EI62">
        <v>0</v>
      </c>
      <c r="EJ62">
        <v>0</v>
      </c>
      <c r="EK62">
        <v>0</v>
      </c>
      <c r="EL62">
        <v>0</v>
      </c>
      <c r="EM62" s="47">
        <f t="shared" si="125"/>
        <v>0</v>
      </c>
      <c r="EN62" s="47">
        <f t="shared" si="126"/>
        <v>0</v>
      </c>
      <c r="EO62" s="47">
        <f t="shared" si="127"/>
        <v>0</v>
      </c>
      <c r="EP62" s="47">
        <f t="shared" si="128"/>
        <v>0</v>
      </c>
      <c r="EQ62" s="47">
        <f t="shared" si="129"/>
        <v>0</v>
      </c>
      <c r="ER62" s="47">
        <f t="shared" si="130"/>
        <v>0</v>
      </c>
      <c r="ES62" s="47">
        <f t="shared" si="131"/>
        <v>0</v>
      </c>
      <c r="ET62" s="47">
        <f t="shared" si="132"/>
        <v>0</v>
      </c>
      <c r="EU62" s="47">
        <f t="shared" si="133"/>
        <v>0</v>
      </c>
      <c r="EV62" s="47">
        <f t="shared" si="134"/>
        <v>0</v>
      </c>
      <c r="EW62" s="47">
        <f t="shared" si="135"/>
        <v>0</v>
      </c>
      <c r="EX62" s="47">
        <f t="shared" si="136"/>
        <v>0</v>
      </c>
      <c r="EY62" s="47">
        <f t="shared" si="137"/>
        <v>0</v>
      </c>
      <c r="EZ62" s="47">
        <f t="shared" si="138"/>
        <v>0</v>
      </c>
      <c r="FA62" s="47">
        <f t="shared" si="139"/>
        <v>0</v>
      </c>
      <c r="FB62" s="47">
        <f t="shared" si="140"/>
        <v>0</v>
      </c>
      <c r="FC62" s="47">
        <f t="shared" si="141"/>
        <v>0</v>
      </c>
      <c r="FD62" s="47">
        <f t="shared" si="142"/>
        <v>0</v>
      </c>
      <c r="FE62" s="47">
        <f t="shared" si="143"/>
        <v>0</v>
      </c>
      <c r="FF62" s="47">
        <f t="shared" si="144"/>
        <v>0</v>
      </c>
      <c r="FG62" s="47">
        <f t="shared" si="145"/>
        <v>0</v>
      </c>
      <c r="FH62" s="47">
        <f t="shared" si="146"/>
        <v>0</v>
      </c>
      <c r="FI62" s="47">
        <f t="shared" si="147"/>
        <v>0</v>
      </c>
      <c r="FJ62" s="47">
        <f t="shared" si="148"/>
        <v>0</v>
      </c>
      <c r="FK62" s="47">
        <f t="shared" si="149"/>
        <v>0</v>
      </c>
      <c r="FL62" s="47">
        <f t="shared" si="150"/>
        <v>0</v>
      </c>
      <c r="FM62" s="47">
        <f t="shared" si="151"/>
        <v>0</v>
      </c>
      <c r="FN62" s="47">
        <f t="shared" si="152"/>
        <v>0</v>
      </c>
      <c r="FO62" s="765">
        <f t="shared" ca="1" si="153"/>
        <v>803.41968918648331</v>
      </c>
      <c r="FP62" s="765">
        <f t="shared" si="154"/>
        <v>707.99683023400769</v>
      </c>
      <c r="FQ62" s="765">
        <f t="shared" si="155"/>
        <v>3007.9891758703884</v>
      </c>
      <c r="FR62" s="765">
        <f t="shared" si="156"/>
        <v>83821.656222581209</v>
      </c>
      <c r="FS62" s="765">
        <f t="shared" si="157"/>
        <v>1927518.7512007814</v>
      </c>
      <c r="FT62" s="765">
        <f t="shared" si="158"/>
        <v>6215230.1455665613</v>
      </c>
      <c r="FU62" s="765">
        <f t="shared" si="159"/>
        <v>41.476245522057376</v>
      </c>
      <c r="FV62" s="765">
        <f t="shared" si="160"/>
        <v>66.792594021215052</v>
      </c>
      <c r="FW62" s="765">
        <f t="shared" si="161"/>
        <v>500.17532973869766</v>
      </c>
      <c r="FX62" s="765">
        <f t="shared" si="162"/>
        <v>759.18516343828219</v>
      </c>
      <c r="FY62" s="765">
        <f t="shared" si="163"/>
        <v>3625.6393131082527</v>
      </c>
      <c r="FZ62" s="765">
        <f t="shared" si="164"/>
        <v>84325.570785537566</v>
      </c>
      <c r="GA62" s="765">
        <f t="shared" si="165"/>
        <v>123618.24333333333</v>
      </c>
      <c r="GB62" s="765">
        <f t="shared" si="166"/>
        <v>29.39422823136216</v>
      </c>
      <c r="GC62" s="765">
        <f t="shared" si="167"/>
        <v>55.891673322017766</v>
      </c>
      <c r="GD62" s="765">
        <f t="shared" si="168"/>
        <v>127.60192771084338</v>
      </c>
    </row>
    <row r="63" spans="1:186">
      <c r="A63" s="4">
        <v>43862</v>
      </c>
      <c r="B63" s="6">
        <v>2020</v>
      </c>
      <c r="C63" s="5">
        <v>2</v>
      </c>
      <c r="D63" s="7">
        <v>80469886.712630197</v>
      </c>
      <c r="E63" s="7">
        <f>IFERROR(VLOOKUP($B63-1,CDM!$V$4:$AJ$17,2,FALSE)/12,0)+IFERROR(VLOOKUP($B63,CDM!$V$41:$AJ$54,2,FALSE)/24,0)+IFERROR(VLOOKUP($B63,CDM!$V$41:$AJ$54,2,FALSE)/2*$C63/78,0)</f>
        <v>3827410.3992652101</v>
      </c>
      <c r="F63" s="7">
        <f t="shared" si="169"/>
        <v>84297297.111895412</v>
      </c>
      <c r="G63" s="7">
        <f>IFERROR(HLOOKUP(B63-1,'EV Forecast VRZ'!$F$124:$T$130,2,FALSE)/12,0)+IFERROR(((HLOOKUP(B63,'EV Forecast VRZ'!$F$116:$T$122,2,FALSE)-HLOOKUP(B63-1,'EV Forecast VRZ'!$F$124:$T$130,2,FALSE)))*C63/78,0)</f>
        <v>206317.96154712324</v>
      </c>
      <c r="H63" s="7">
        <f ca="1">HLOOKUP(B63,Heating!$C$102:$O$106,2,FALSE)*INDEX(Weather!$BO$1:$CB$20,MATCH(B63,Weather!$BO$1:$BO$20,0),MATCH(C63,Weather!$BO$1:$CB$1,0))/VLOOKUP(B63,Weather!$BO$2:$CB$20,14,FALSE)*
VLOOKUP('Monthly Data'!$B63,Weather!$BO$3:$CB$20,14,FALSE)/Weather!$CB$14</f>
        <v>496458.42088472866</v>
      </c>
      <c r="I63" s="7">
        <f t="shared" ca="1" si="170"/>
        <v>83594520.729463562</v>
      </c>
      <c r="J63" s="7">
        <v>1027159.0252799999</v>
      </c>
      <c r="K63" s="7">
        <f>IFERROR(VLOOKUP($B63-1,CDM!$V$4:$AJ$17,3,FALSE)/12,0)+IFERROR(VLOOKUP($B63,CDM!$V$41:$AJ$54,3,FALSE)/24,0)+IFERROR(VLOOKUP($B63,CDM!$V$41:$AJ$54,3,FALSE)/2*$C63/78,0)</f>
        <v>43838.406927055476</v>
      </c>
      <c r="L63" s="7">
        <f t="shared" si="171"/>
        <v>1070997.4322070554</v>
      </c>
      <c r="M63" s="7">
        <f>IFERROR(HLOOKUP(B63-1,'EV Forecast VRZ'!$F$124:$T$130,3,FALSE)/12,0)+IFERROR(((HLOOKUP(B63,'EV Forecast VRZ'!$F$116:$T$122,3,FALSE)-HLOOKUP(B63-1,'EV Forecast VRZ'!$F$124:$T$130,3,FALSE)))*C63/78,0)</f>
        <v>2806.832555440838</v>
      </c>
      <c r="N63" s="7">
        <f ca="1">HLOOKUP(B63,Heating!$C$102:$O$106,3,FALSE)*INDEX(Weather!$BO$1:$CB$20,MATCH(B63,Weather!$BO$1:$BO$20,0),MATCH(C63,Weather!$BO$1:$CB$1,0))/VLOOKUP(B63,Weather!$BO$2:$CB$20,14,FALSE)*
VLOOKUP('Monthly Data'!$B63,Weather!$BO$3:$CB$20,14,FALSE)/Weather!$CB$14</f>
        <v>6574.6883438709074</v>
      </c>
      <c r="O63" s="7">
        <f t="shared" ca="1" si="172"/>
        <v>1061615.9113077435</v>
      </c>
      <c r="P63" s="7">
        <v>24901685.4999502</v>
      </c>
      <c r="Q63" s="7">
        <f>IFERROR(VLOOKUP($B63-1,CDM!$V$4:$AJ$17,4,FALSE)/12,0)+IFERROR(VLOOKUP($B63,CDM!$V$41:$AJ$54,4,FALSE)/24,0)+IFERROR(VLOOKUP($B63,CDM!$V$41:$AJ$54,4,FALSE)/2*$C63/78,0)</f>
        <v>1318211.5503043642</v>
      </c>
      <c r="R63" s="7">
        <f t="shared" si="173"/>
        <v>26219897.050254565</v>
      </c>
      <c r="S63" s="7">
        <f>IFERROR(HLOOKUP(B63-1,'EV Forecast VRZ'!$F$124:$T$130,4,FALSE)/12,0)+IFERROR(((HLOOKUP(B63,'EV Forecast VRZ'!$F$116:$T$122,4,FALSE)-HLOOKUP(B63-1,'EV Forecast VRZ'!$F$124:$T$130,4,FALSE)))*C63/78,0)</f>
        <v>25847.713333333337</v>
      </c>
      <c r="T63" s="7">
        <f ca="1">HLOOKUP(B63,Heating!$C$102:$O$106,4,FALSE)*INDEX(Weather!$BO$1:$CB$20,MATCH(B63,Weather!$BO$1:$BO$20,0),MATCH(C63,Weather!$BO$1:$CB$1,0))/VLOOKUP(B63,Weather!$BO$2:$CB$20,14,FALSE)*
VLOOKUP('Monthly Data'!$B63,Weather!$BO$3:$CB$20,14,FALSE)/Weather!$CB$14</f>
        <v>124109.50206218536</v>
      </c>
      <c r="U63" s="7">
        <f t="shared" ca="1" si="174"/>
        <v>26069939.834859043</v>
      </c>
      <c r="V63" s="7">
        <v>76686636.780000001</v>
      </c>
      <c r="W63" s="7">
        <f>IFERROR(VLOOKUP($B63-1,CDM!$V$4:$AJ$17,5,FALSE)/12,0)+IFERROR(VLOOKUP($B63,CDM!$V$41:$AJ$54,5,FALSE)/24,0)+IFERROR(VLOOKUP($B63,CDM!$V$41:$AJ$54,5,FALSE)/2*$C63/78,0)</f>
        <v>4701536.6538798604</v>
      </c>
      <c r="X63" s="7">
        <f t="shared" si="175"/>
        <v>81388173.433879867</v>
      </c>
      <c r="Y63" s="7">
        <f>IFERROR(HLOOKUP(B63-1,'EV Forecast VRZ'!$F$124:$T$130,5,FALSE)/12,0)+IFERROR(((HLOOKUP(B63,'EV Forecast VRZ'!$F$116:$T$122,5,FALSE)-HLOOKUP(B63-1,'EV Forecast VRZ'!$F$124:$T$130,5,FALSE)))*C63/78,0)</f>
        <v>11732.24023076923</v>
      </c>
      <c r="Z63" s="7">
        <f ca="1">HLOOKUP(B63,Heating!$C$102:$O$106,5,FALSE)*INDEX(Weather!$BO$1:$CB$20,MATCH(B63,Weather!$BO$1:$BO$20,0),MATCH(C63,Weather!$BO$1:$CB$1,0))/VLOOKUP(B63,Weather!$BO$2:$CB$20,14,FALSE)*
VLOOKUP('Monthly Data'!$B63,Weather!$BO$3:$CB$20,14,FALSE)/Weather!$CB$14</f>
        <v>70044.895401591741</v>
      </c>
      <c r="AA63" s="7">
        <f t="shared" ca="1" si="176"/>
        <v>81306396.298247501</v>
      </c>
      <c r="AB63" s="7">
        <v>7806853.6699999999</v>
      </c>
      <c r="AC63" s="7">
        <f>IFERROR(VLOOKUP($B63-1,CDM!$V$4:$AJ$17,6,FALSE)/12,0)+IFERROR(VLOOKUP($B63,CDM!$V$41:$AJ$54,6,FALSE)/24,0)+IFERROR(VLOOKUP($B63,CDM!$V$41:$AJ$54,6,FALSE)/2*$C63/78,0)</f>
        <v>221455.98902237695</v>
      </c>
      <c r="AD63" s="7">
        <f t="shared" si="177"/>
        <v>8028309.6590223769</v>
      </c>
      <c r="AE63" s="7">
        <f>IFERROR(HLOOKUP(B63-1,'EV Forecast VRZ'!$F$124:$T$130,6,FALSE)/12,0)+IFERROR(((HLOOKUP(B63,'EV Forecast VRZ'!$F$116:$T$122,6,FALSE)-HLOOKUP(B63-1,'EV Forecast VRZ'!$F$124:$T$130,6,FALSE)))*C63/78,0)</f>
        <v>1695.4625897435897</v>
      </c>
      <c r="AF63" s="7">
        <f t="shared" si="178"/>
        <v>8026614.1964326333</v>
      </c>
      <c r="AG63" s="7">
        <v>21400935.870000001</v>
      </c>
      <c r="AH63" s="7">
        <f>IFERROR(VLOOKUP($B63-1,CDM!$V$4:$AJ$17,7,FALSE)/12,0)+IFERROR(VLOOKUP($B63,CDM!$V$41:$AJ$54,7,FALSE)/24,0)+IFERROR(VLOOKUP($B63,CDM!$V$41:$AJ$54,7,FALSE)/2*$C63/78,0)</f>
        <v>1605180.7718774781</v>
      </c>
      <c r="AI63" s="7">
        <f t="shared" si="179"/>
        <v>23006116.64187748</v>
      </c>
      <c r="AJ63" s="7">
        <f>IFERROR(HLOOKUP(B63-1,'EV Forecast VRZ'!$F$124:$T$130,7,FALSE)/12,0)+IFERROR(((HLOOKUP(B63,'EV Forecast VRZ'!$F$116:$T$122,7,FALSE)-HLOOKUP(B63-1,'EV Forecast VRZ'!$F$124:$T$130,7,FALSE)))*C63/78,0)</f>
        <v>0</v>
      </c>
      <c r="AK63" s="7">
        <f t="shared" si="180"/>
        <v>23006116.64187748</v>
      </c>
      <c r="AL63" s="7">
        <v>1113013.74</v>
      </c>
      <c r="AM63" s="7">
        <v>15880.300000000005</v>
      </c>
      <c r="AN63" s="7">
        <v>401504.64</v>
      </c>
      <c r="AO63" s="5">
        <v>181430.24</v>
      </c>
      <c r="AP63" s="5">
        <v>16032.89</v>
      </c>
      <c r="AQ63" s="5">
        <v>35556</v>
      </c>
      <c r="AR63" s="5">
        <v>2712.29</v>
      </c>
      <c r="AS63" s="763">
        <f t="shared" ref="AS63:AS73" si="187">642/12</f>
        <v>53.5</v>
      </c>
      <c r="AT63" s="776">
        <v>111868.5</v>
      </c>
      <c r="AU63" s="776">
        <v>1561</v>
      </c>
      <c r="AV63" s="776">
        <v>9271</v>
      </c>
      <c r="AW63" s="776">
        <v>1023</v>
      </c>
      <c r="AX63" s="776">
        <v>4.1666666666666661</v>
      </c>
      <c r="AY63" s="776">
        <v>4</v>
      </c>
      <c r="AZ63" s="776">
        <v>31253.666666666664</v>
      </c>
      <c r="BA63" s="776">
        <v>258.5</v>
      </c>
      <c r="BB63" s="776">
        <v>803.33333333333326</v>
      </c>
      <c r="BC63" s="779">
        <v>27353640.339829899</v>
      </c>
      <c r="BD63" s="779">
        <f>IFERROR(VLOOKUP($B63-1,CDM!$V$4:$AJ$17,11,FALSE)/12,0)+IFERROR(VLOOKUP($B63,CDM!$V$41:$AJ$54,11,FALSE)/24,0)+IFERROR(VLOOKUP($B63,CDM!$V$41:$AJ$54,11,FALSE)/2*$C63/78,0)</f>
        <v>1919653.9403056765</v>
      </c>
      <c r="BE63" s="779">
        <f t="shared" si="123"/>
        <v>29273294.280135576</v>
      </c>
      <c r="BF63" s="779">
        <f>IFERROR(HLOOKUP(B63-1,'EV Forecast WRZ'!$F$124:$T$130,2,FALSE)/12,0)+IFERROR(((HLOOKUP(B63,'EV Forecast WRZ'!$F$116:$T$122,2,FALSE)-HLOOKUP(B63-1,'EV Forecast WRZ'!$F$124:$T$130,2,FALSE)))*C63/78,0)</f>
        <v>63059.448333333341</v>
      </c>
      <c r="BG63" s="779">
        <f ca="1">HLOOKUP(B63,Heating!$R$102:$AD$106,2,FALSE)*INDEX(Weather!$BO$1:$CB$20,MATCH(B63,Weather!$BO$1:$BO$20,0),MATCH(C63,Weather!$BO$1:$CB$1,0))/VLOOKUP(B63,Weather!$BO$2:$CB$20,14,FALSE)*
VLOOKUP('Monthly Data'!$B63,Weather!$BO$3:$CB$20,14,FALSE)/Weather!$CB$14</f>
        <v>195409.7718456361</v>
      </c>
      <c r="BH63" s="779">
        <f t="shared" ca="1" si="181"/>
        <v>29014825.059956606</v>
      </c>
      <c r="BI63" s="779">
        <v>7519811.4258199902</v>
      </c>
      <c r="BJ63" s="779">
        <f>IFERROR(VLOOKUP($B63-1,CDM!$V$4:$AJ$17,12,FALSE)/12,0)+IFERROR(VLOOKUP($B63,CDM!$V$41:$AJ$54,12,FALSE)/24,0)+IFERROR(VLOOKUP($B63,CDM!$V$41:$AJ$54,12,FALSE)/2*$C63/78,0)</f>
        <v>213551.9382499755</v>
      </c>
      <c r="BK63" s="779">
        <f t="shared" si="182"/>
        <v>7733363.3640699657</v>
      </c>
      <c r="BL63" s="779">
        <f>IFERROR(HLOOKUP(B63-1,'EV Forecast WRZ'!$F$124:$T$130,3,FALSE)/12,0)+IFERROR(((HLOOKUP(B63,'EV Forecast WRZ'!$F$116:$T$122,3,FALSE)-HLOOKUP(B63-1,'EV Forecast WRZ'!$F$124:$T$130,3,FALSE)))*C63/78,0)</f>
        <v>7803.6002564102573</v>
      </c>
      <c r="BM63" s="779">
        <f ca="1">HLOOKUP(B63,Heating!$R$102:$AD$106,4,FALSE)*INDEX(Weather!$BO$1:$CB$20,MATCH(B63,Weather!$BO$1:$BO$20,0),MATCH(C63,Weather!$BO$1:$CB$1,0))/VLOOKUP(B63,Weather!$BO$2:$CB$20,14,FALSE)*
VLOOKUP('Monthly Data'!$B63,Weather!$BO$3:$CB$20,14,FALSE)/Weather!$CB$14</f>
        <v>30918.015035119646</v>
      </c>
      <c r="BN63" s="779">
        <f t="shared" ca="1" si="183"/>
        <v>7694641.7487784354</v>
      </c>
      <c r="BO63" s="779">
        <v>28075256.84</v>
      </c>
      <c r="BP63" s="779">
        <f>IFERROR(VLOOKUP($B63-1,CDM!$V$4:$AJ$17,13,FALSE)/12,0)+IFERROR(VLOOKUP($B63,CDM!$V$41:$AJ$54,13,FALSE)/24,0)+IFERROR(VLOOKUP($B63,CDM!$V$41:$AJ$54,13,FALSE)/2*$C63/78,0)</f>
        <v>1731877.3609924433</v>
      </c>
      <c r="BQ63" s="779">
        <f t="shared" si="184"/>
        <v>29807134.200992443</v>
      </c>
      <c r="BR63" s="779">
        <f>IFERROR(HLOOKUP(B63-1,'EV Forecast WRZ'!$F$124:$T$130,4,FALSE)/12,0)+IFERROR(((HLOOKUP(B63,'EV Forecast WRZ'!$F$116:$T$122,4,FALSE)-HLOOKUP(B63-1,'EV Forecast WRZ'!$F$124:$T$130,4,FALSE)))*C63/78,0)</f>
        <v>3542.7739615384612</v>
      </c>
      <c r="BS63" s="779">
        <f ca="1">HLOOKUP(B63,Heating!$R$102:$AD$106,5,FALSE)*INDEX(Weather!$BO$1:$CB$20,MATCH(B63,Weather!$BO$1:$BO$20,0),MATCH(C63,Weather!$BO$1:$CB$1,0))/VLOOKUP(B63,Weather!$BO$2:$CB$20,14,FALSE)*
VLOOKUP('Monthly Data'!$B63,Weather!$BO$3:$CB$20,14,FALSE)/Weather!$CB$14</f>
        <v>20714.849100491712</v>
      </c>
      <c r="BT63" s="779">
        <f t="shared" ca="1" si="185"/>
        <v>29782876.577930409</v>
      </c>
      <c r="BU63" s="779">
        <v>6678704.54</v>
      </c>
      <c r="BV63" s="779">
        <f>IFERROR(VLOOKUP($B63-1,CDM!$V$4:$AJ$17,14,FALSE)/12,0)+IFERROR(VLOOKUP($B63,CDM!$V$41:$AJ$54,14,FALSE)/24,0)+IFERROR(VLOOKUP($B63,CDM!$V$41:$AJ$54,14,FALSE)/2*$C63/78,0)</f>
        <v>389364.40218942403</v>
      </c>
      <c r="BW63" s="779">
        <f t="shared" si="186"/>
        <v>7068068.9421894243</v>
      </c>
      <c r="BX63" s="779">
        <f>IFERROR(HLOOKUP(B63-1,'EV Forecast WRZ'!$F$124:$T$130,5,FALSE)/12,0)+IFERROR(((HLOOKUP(B63,'EV Forecast WRZ'!$F$116:$T$122,5,FALSE)-HLOOKUP(B63-1,'EV Forecast WRZ'!$F$124:$T$130,5,FALSE)))*C63/78,0)</f>
        <v>514.79539743589737</v>
      </c>
      <c r="BY63" s="779">
        <f t="shared" si="124"/>
        <v>7067554.1467919881</v>
      </c>
      <c r="BZ63" s="779">
        <v>200248.5</v>
      </c>
      <c r="CA63" s="779">
        <v>2067.9919129146574</v>
      </c>
      <c r="CB63" s="5">
        <v>160976.94</v>
      </c>
      <c r="CC63" s="5">
        <v>65155.37</v>
      </c>
      <c r="CD63" s="5">
        <v>12558.44</v>
      </c>
      <c r="CE63" s="5">
        <v>788.32</v>
      </c>
      <c r="CF63" s="763">
        <f t="shared" ref="CF63:CF73" si="188">72/12</f>
        <v>6</v>
      </c>
      <c r="CG63" s="785">
        <v>41573.5</v>
      </c>
      <c r="CH63" s="785">
        <v>2272.333333333333</v>
      </c>
      <c r="CI63" s="785">
        <v>378.5</v>
      </c>
      <c r="CJ63" s="785">
        <v>3</v>
      </c>
      <c r="CK63" s="785">
        <v>12633.166666666668</v>
      </c>
      <c r="CL63" s="785">
        <v>37</v>
      </c>
      <c r="CM63" s="785">
        <v>387.66666666666663</v>
      </c>
      <c r="CN63" s="46">
        <f>Weather!C75</f>
        <v>678.4000000000002</v>
      </c>
      <c r="CO63" s="46">
        <f>Weather!D75</f>
        <v>0</v>
      </c>
      <c r="CP63" s="46">
        <f>Weather!E75</f>
        <v>620.40000000000009</v>
      </c>
      <c r="CQ63" s="46">
        <f>Weather!F75</f>
        <v>0</v>
      </c>
      <c r="CR63" s="46">
        <f>Weather!G75</f>
        <v>562.4</v>
      </c>
      <c r="CS63" s="46">
        <f>Weather!H75</f>
        <v>0</v>
      </c>
      <c r="CT63" s="46">
        <f>Weather!I75</f>
        <v>504.40000000000003</v>
      </c>
      <c r="CU63" s="46">
        <f>Weather!J75</f>
        <v>0</v>
      </c>
      <c r="CV63" s="46">
        <f>Weather!K75</f>
        <v>446.40000000000003</v>
      </c>
      <c r="CW63" s="46">
        <f>Weather!L75</f>
        <v>0</v>
      </c>
      <c r="CX63" s="46">
        <f>Weather!M75</f>
        <v>388.40000000000003</v>
      </c>
      <c r="CY63" s="46">
        <f>Weather!N75</f>
        <v>0</v>
      </c>
      <c r="CZ63" s="46">
        <f>Weather!O75</f>
        <v>330.40000000000003</v>
      </c>
      <c r="DA63" s="46">
        <f>Weather!P75</f>
        <v>0</v>
      </c>
      <c r="DB63" s="368">
        <f>'Economic Data'!D77</f>
        <v>7508</v>
      </c>
      <c r="DC63" s="368">
        <f>'Economic Data'!E77</f>
        <v>7439</v>
      </c>
      <c r="DD63" s="368">
        <f>'Economic Data'!F77</f>
        <v>209.7</v>
      </c>
      <c r="DE63" s="368">
        <f>'Economic Data'!G77</f>
        <v>209.4</v>
      </c>
      <c r="DF63" s="368">
        <f>'Economic Data'!H77</f>
        <v>58</v>
      </c>
      <c r="DG63" s="368">
        <f>'Economic Data'!I77</f>
        <v>58</v>
      </c>
      <c r="DH63" s="368">
        <f>'Economic Data'!J77</f>
        <v>769942</v>
      </c>
      <c r="DI63" s="368">
        <f>'Economic Data'!K77</f>
        <v>596521.6</v>
      </c>
      <c r="DJ63" s="368">
        <f>'Economic Data'!L77</f>
        <v>85928.9</v>
      </c>
      <c r="DK63" s="368">
        <f>'Economic Data'!M77</f>
        <v>23899.8</v>
      </c>
      <c r="DL63" s="368">
        <f>'Economic Data'!N77</f>
        <v>800126</v>
      </c>
      <c r="DM63" s="368">
        <f>'Economic Data'!O77</f>
        <v>90795</v>
      </c>
      <c r="DN63" s="368">
        <f>'Economic Data'!P77</f>
        <v>17100</v>
      </c>
      <c r="DO63" s="368">
        <f>'Economic Data'!Q77</f>
        <v>621238</v>
      </c>
      <c r="DP63" s="368">
        <f>'Economic Data'!R77</f>
        <v>30738</v>
      </c>
      <c r="DQ63">
        <v>29</v>
      </c>
      <c r="DR63">
        <v>19</v>
      </c>
      <c r="DS63">
        <v>0</v>
      </c>
      <c r="DT63">
        <v>1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f t="shared" si="69"/>
        <v>62</v>
      </c>
      <c r="EI63">
        <v>0</v>
      </c>
      <c r="EJ63">
        <v>0</v>
      </c>
      <c r="EK63">
        <v>0</v>
      </c>
      <c r="EL63">
        <v>0</v>
      </c>
      <c r="EM63" s="47">
        <f t="shared" si="125"/>
        <v>0</v>
      </c>
      <c r="EN63" s="47">
        <f t="shared" si="126"/>
        <v>0</v>
      </c>
      <c r="EO63" s="47">
        <f t="shared" si="127"/>
        <v>0</v>
      </c>
      <c r="EP63" s="47">
        <f t="shared" si="128"/>
        <v>0</v>
      </c>
      <c r="EQ63" s="47">
        <f t="shared" si="129"/>
        <v>0</v>
      </c>
      <c r="ER63" s="47">
        <f t="shared" si="130"/>
        <v>0</v>
      </c>
      <c r="ES63" s="47">
        <f t="shared" si="131"/>
        <v>0</v>
      </c>
      <c r="ET63" s="47">
        <f t="shared" si="132"/>
        <v>0</v>
      </c>
      <c r="EU63" s="47">
        <f t="shared" si="133"/>
        <v>0</v>
      </c>
      <c r="EV63" s="47">
        <f t="shared" si="134"/>
        <v>0</v>
      </c>
      <c r="EW63" s="47">
        <f t="shared" si="135"/>
        <v>0</v>
      </c>
      <c r="EX63" s="47">
        <f t="shared" si="136"/>
        <v>0</v>
      </c>
      <c r="EY63" s="47">
        <f t="shared" si="137"/>
        <v>0</v>
      </c>
      <c r="EZ63" s="47">
        <f t="shared" si="138"/>
        <v>0</v>
      </c>
      <c r="FA63" s="47">
        <f t="shared" si="139"/>
        <v>0</v>
      </c>
      <c r="FB63" s="47">
        <f t="shared" si="140"/>
        <v>0</v>
      </c>
      <c r="FC63" s="47">
        <f t="shared" si="141"/>
        <v>0</v>
      </c>
      <c r="FD63" s="47">
        <f t="shared" si="142"/>
        <v>0</v>
      </c>
      <c r="FE63" s="47">
        <f t="shared" si="143"/>
        <v>0</v>
      </c>
      <c r="FF63" s="47">
        <f t="shared" si="144"/>
        <v>0</v>
      </c>
      <c r="FG63" s="47">
        <f t="shared" si="145"/>
        <v>0</v>
      </c>
      <c r="FH63" s="47">
        <f t="shared" si="146"/>
        <v>0</v>
      </c>
      <c r="FI63" s="47">
        <f t="shared" si="147"/>
        <v>0</v>
      </c>
      <c r="FJ63" s="47">
        <f t="shared" si="148"/>
        <v>0</v>
      </c>
      <c r="FK63" s="47">
        <f t="shared" si="149"/>
        <v>0</v>
      </c>
      <c r="FL63" s="47">
        <f t="shared" si="150"/>
        <v>0</v>
      </c>
      <c r="FM63" s="47">
        <f t="shared" si="151"/>
        <v>0</v>
      </c>
      <c r="FN63" s="47">
        <f t="shared" si="152"/>
        <v>0</v>
      </c>
      <c r="FO63" s="765">
        <f t="shared" ca="1" si="153"/>
        <v>747.25700916221786</v>
      </c>
      <c r="FP63" s="765">
        <f t="shared" si="154"/>
        <v>686.09700974186762</v>
      </c>
      <c r="FQ63" s="765">
        <f t="shared" si="155"/>
        <v>2828.1627710338221</v>
      </c>
      <c r="FR63" s="765">
        <f t="shared" si="156"/>
        <v>79558.331802424116</v>
      </c>
      <c r="FS63" s="765">
        <f t="shared" si="157"/>
        <v>1926794.3181653707</v>
      </c>
      <c r="FT63" s="765">
        <f t="shared" si="158"/>
        <v>5751529.16046937</v>
      </c>
      <c r="FU63" s="765">
        <f t="shared" si="159"/>
        <v>35.61226117468884</v>
      </c>
      <c r="FV63" s="765">
        <f t="shared" si="160"/>
        <v>61.432495164410078</v>
      </c>
      <c r="FW63" s="765">
        <f t="shared" si="161"/>
        <v>499.79830705394198</v>
      </c>
      <c r="FX63" s="765">
        <f t="shared" si="162"/>
        <v>704.13350524097268</v>
      </c>
      <c r="FY63" s="765">
        <f t="shared" si="163"/>
        <v>3403.2697802860348</v>
      </c>
      <c r="FZ63" s="765">
        <f t="shared" si="164"/>
        <v>78750.684811076469</v>
      </c>
      <c r="GA63" s="765">
        <f t="shared" si="165"/>
        <v>66749.5</v>
      </c>
      <c r="GB63" s="765">
        <f t="shared" si="166"/>
        <v>15.851013865618278</v>
      </c>
      <c r="GC63" s="765">
        <f t="shared" si="167"/>
        <v>55.891673322017766</v>
      </c>
      <c r="GD63" s="765">
        <f t="shared" si="168"/>
        <v>415.24576096302673</v>
      </c>
    </row>
    <row r="64" spans="1:186">
      <c r="A64" s="4">
        <v>43891</v>
      </c>
      <c r="B64" s="6">
        <v>2020</v>
      </c>
      <c r="C64" s="5">
        <v>3</v>
      </c>
      <c r="D64" s="7">
        <v>80071104.757969111</v>
      </c>
      <c r="E64" s="7">
        <f>IFERROR(VLOOKUP($B64-1,CDM!$V$4:$AJ$17,2,FALSE)/12,0)+IFERROR(VLOOKUP($B64,CDM!$V$41:$AJ$54,2,FALSE)/24,0)+IFERROR(VLOOKUP($B64,CDM!$V$41:$AJ$54,2,FALSE)/2*$C64/78,0)</f>
        <v>3828318.1450370257</v>
      </c>
      <c r="F64" s="7">
        <f t="shared" si="169"/>
        <v>83899422.903006136</v>
      </c>
      <c r="G64" s="7">
        <f>IFERROR(HLOOKUP(B64-1,'EV Forecast VRZ'!$F$124:$T$130,2,FALSE)/12,0)+IFERROR(((HLOOKUP(B64,'EV Forecast VRZ'!$F$116:$T$122,2,FALSE)-HLOOKUP(B64-1,'EV Forecast VRZ'!$F$124:$T$130,2,FALSE)))*C64/78,0)</f>
        <v>211090.09655383221</v>
      </c>
      <c r="H64" s="7">
        <f ca="1">HLOOKUP(B64,Heating!$C$102:$O$106,2,FALSE)*INDEX(Weather!$BO$1:$CB$20,MATCH(B64,Weather!$BO$1:$BO$20,0),MATCH(C64,Weather!$BO$1:$CB$1,0))/VLOOKUP(B64,Weather!$BO$2:$CB$20,14,FALSE)*
VLOOKUP('Monthly Data'!$B64,Weather!$BO$3:$CB$20,14,FALSE)/Weather!$CB$14</f>
        <v>385364.112606076</v>
      </c>
      <c r="I64" s="7">
        <f t="shared" ca="1" si="170"/>
        <v>83302968.693846226</v>
      </c>
      <c r="J64" s="7">
        <v>971877.05158000102</v>
      </c>
      <c r="K64" s="7">
        <f>IFERROR(VLOOKUP($B64-1,CDM!$V$4:$AJ$17,3,FALSE)/12,0)+IFERROR(VLOOKUP($B64,CDM!$V$41:$AJ$54,3,FALSE)/24,0)+IFERROR(VLOOKUP($B64,CDM!$V$41:$AJ$54,3,FALSE)/2*$C64/78,0)</f>
        <v>43848.80406882496</v>
      </c>
      <c r="L64" s="7">
        <f t="shared" si="171"/>
        <v>1015725.855648826</v>
      </c>
      <c r="M64" s="7">
        <f>IFERROR(HLOOKUP(B64-1,'EV Forecast VRZ'!$F$124:$T$130,3,FALSE)/12,0)+IFERROR(((HLOOKUP(B64,'EV Forecast VRZ'!$F$116:$T$122,3,FALSE)-HLOOKUP(B64-1,'EV Forecast VRZ'!$F$124:$T$130,3,FALSE)))*C64/78,0)</f>
        <v>2871.7546000139191</v>
      </c>
      <c r="N64" s="7">
        <f ca="1">HLOOKUP(B64,Heating!$C$102:$O$106,3,FALSE)*INDEX(Weather!$BO$1:$CB$20,MATCH(B64,Weather!$BO$1:$BO$20,0),MATCH(C64,Weather!$BO$1:$CB$1,0))/VLOOKUP(B64,Weather!$BO$2:$CB$20,14,FALSE)*
VLOOKUP('Monthly Data'!$B64,Weather!$BO$3:$CB$20,14,FALSE)/Weather!$CB$14</f>
        <v>5103.4463969453036</v>
      </c>
      <c r="O64" s="7">
        <f t="shared" ca="1" si="172"/>
        <v>1007750.6546518668</v>
      </c>
      <c r="P64" s="7">
        <v>22938625.388429999</v>
      </c>
      <c r="Q64" s="7">
        <f>IFERROR(VLOOKUP($B64-1,CDM!$V$4:$AJ$17,4,FALSE)/12,0)+IFERROR(VLOOKUP($B64,CDM!$V$41:$AJ$54,4,FALSE)/24,0)+IFERROR(VLOOKUP($B64,CDM!$V$41:$AJ$54,4,FALSE)/2*$C64/78,0)</f>
        <v>1325438.7795682603</v>
      </c>
      <c r="R64" s="7">
        <f t="shared" si="173"/>
        <v>24264064.167998258</v>
      </c>
      <c r="S64" s="7">
        <f>IFERROR(HLOOKUP(B64-1,'EV Forecast VRZ'!$F$124:$T$130,4,FALSE)/12,0)+IFERROR(((HLOOKUP(B64,'EV Forecast VRZ'!$F$116:$T$122,4,FALSE)-HLOOKUP(B64-1,'EV Forecast VRZ'!$F$124:$T$130,4,FALSE)))*C64/78,0)</f>
        <v>26421.530000000002</v>
      </c>
      <c r="T64" s="7">
        <f ca="1">HLOOKUP(B64,Heating!$C$102:$O$106,4,FALSE)*INDEX(Weather!$BO$1:$CB$20,MATCH(B64,Weather!$BO$1:$BO$20,0),MATCH(C64,Weather!$BO$1:$CB$1,0))/VLOOKUP(B64,Weather!$BO$2:$CB$20,14,FALSE)*
VLOOKUP('Monthly Data'!$B64,Weather!$BO$3:$CB$20,14,FALSE)/Weather!$CB$14</f>
        <v>96337.066944989783</v>
      </c>
      <c r="U64" s="7">
        <f t="shared" ca="1" si="174"/>
        <v>24141305.571053267</v>
      </c>
      <c r="V64" s="7">
        <v>74941258.299999997</v>
      </c>
      <c r="W64" s="7">
        <f>IFERROR(VLOOKUP($B64-1,CDM!$V$4:$AJ$17,5,FALSE)/12,0)+IFERROR(VLOOKUP($B64,CDM!$V$41:$AJ$54,5,FALSE)/24,0)+IFERROR(VLOOKUP($B64,CDM!$V$41:$AJ$54,5,FALSE)/2*$C64/78,0)</f>
        <v>4733475.4045042964</v>
      </c>
      <c r="X64" s="7">
        <f t="shared" si="175"/>
        <v>79674733.704504296</v>
      </c>
      <c r="Y64" s="7">
        <f>IFERROR(HLOOKUP(B64-1,'EV Forecast VRZ'!$F$124:$T$130,5,FALSE)/12,0)+IFERROR(((HLOOKUP(B64,'EV Forecast VRZ'!$F$116:$T$122,5,FALSE)-HLOOKUP(B64-1,'EV Forecast VRZ'!$F$124:$T$130,5,FALSE)))*C64/78,0)</f>
        <v>11990.842346153846</v>
      </c>
      <c r="Z64" s="7">
        <f ca="1">HLOOKUP(B64,Heating!$C$102:$O$106,5,FALSE)*INDEX(Weather!$BO$1:$CB$20,MATCH(B64,Weather!$BO$1:$BO$20,0),MATCH(C64,Weather!$BO$1:$CB$1,0))/VLOOKUP(B64,Weather!$BO$2:$CB$20,14,FALSE)*
VLOOKUP('Monthly Data'!$B64,Weather!$BO$3:$CB$20,14,FALSE)/Weather!$CB$14</f>
        <v>54370.694147792885</v>
      </c>
      <c r="AA64" s="7">
        <f t="shared" ca="1" si="176"/>
        <v>79608372.168010354</v>
      </c>
      <c r="AB64" s="7">
        <v>8084524.5300000003</v>
      </c>
      <c r="AC64" s="7">
        <f>IFERROR(VLOOKUP($B64-1,CDM!$V$4:$AJ$17,6,FALSE)/12,0)+IFERROR(VLOOKUP($B64,CDM!$V$41:$AJ$54,6,FALSE)/24,0)+IFERROR(VLOOKUP($B64,CDM!$V$41:$AJ$54,6,FALSE)/2*$C64/78,0)</f>
        <v>222771.46064156282</v>
      </c>
      <c r="AD64" s="7">
        <f t="shared" si="177"/>
        <v>8307295.9906415632</v>
      </c>
      <c r="AE64" s="7">
        <f>IFERROR(HLOOKUP(B64-1,'EV Forecast VRZ'!$F$124:$T$130,6,FALSE)/12,0)+IFERROR(((HLOOKUP(B64,'EV Forecast VRZ'!$F$116:$T$122,6,FALSE)-HLOOKUP(B64-1,'EV Forecast VRZ'!$F$124:$T$130,6,FALSE)))*C64/78,0)</f>
        <v>1725.6918846153847</v>
      </c>
      <c r="AF64" s="7">
        <f t="shared" si="178"/>
        <v>8305570.2987569477</v>
      </c>
      <c r="AG64" s="7">
        <v>23276678.73</v>
      </c>
      <c r="AH64" s="7">
        <f>IFERROR(VLOOKUP($B64-1,CDM!$V$4:$AJ$17,7,FALSE)/12,0)+IFERROR(VLOOKUP($B64,CDM!$V$41:$AJ$54,7,FALSE)/24,0)+IFERROR(VLOOKUP($B64,CDM!$V$41:$AJ$54,7,FALSE)/2*$C64/78,0)</f>
        <v>1610212.771488711</v>
      </c>
      <c r="AI64" s="7">
        <f t="shared" si="179"/>
        <v>24886891.501488712</v>
      </c>
      <c r="AJ64" s="7">
        <f>IFERROR(HLOOKUP(B64-1,'EV Forecast VRZ'!$F$124:$T$130,7,FALSE)/12,0)+IFERROR(((HLOOKUP(B64,'EV Forecast VRZ'!$F$116:$T$122,7,FALSE)-HLOOKUP(B64-1,'EV Forecast VRZ'!$F$124:$T$130,7,FALSE)))*C64/78,0)</f>
        <v>0</v>
      </c>
      <c r="AK64" s="7">
        <f t="shared" si="180"/>
        <v>24886891.501488712</v>
      </c>
      <c r="AL64" s="7">
        <v>1054924.07</v>
      </c>
      <c r="AM64" s="7">
        <v>16515.62</v>
      </c>
      <c r="AN64" s="7">
        <v>401573.83</v>
      </c>
      <c r="AO64" s="5">
        <v>178329.14</v>
      </c>
      <c r="AP64" s="5">
        <v>16123.6</v>
      </c>
      <c r="AQ64" s="5">
        <v>37896</v>
      </c>
      <c r="AR64" s="5">
        <v>2698.24</v>
      </c>
      <c r="AS64" s="763">
        <f t="shared" si="187"/>
        <v>53.5</v>
      </c>
      <c r="AT64" s="776">
        <v>111946.25</v>
      </c>
      <c r="AU64" s="776">
        <v>1561</v>
      </c>
      <c r="AV64" s="776">
        <v>9272.5</v>
      </c>
      <c r="AW64" s="776">
        <v>1025</v>
      </c>
      <c r="AX64" s="776">
        <v>4.2499999999999991</v>
      </c>
      <c r="AY64" s="776">
        <v>4</v>
      </c>
      <c r="AZ64" s="776">
        <v>31289.499999999996</v>
      </c>
      <c r="BA64" s="776">
        <v>257.75</v>
      </c>
      <c r="BB64" s="776">
        <v>802.99999999999989</v>
      </c>
      <c r="BC64" s="779">
        <v>27991644.1118</v>
      </c>
      <c r="BD64" s="779">
        <f>IFERROR(VLOOKUP($B64-1,CDM!$V$4:$AJ$17,11,FALSE)/12,0)+IFERROR(VLOOKUP($B64,CDM!$V$41:$AJ$54,11,FALSE)/24,0)+IFERROR(VLOOKUP($B64,CDM!$V$41:$AJ$54,11,FALSE)/2*$C64/78,0)</f>
        <v>1919717.6890746902</v>
      </c>
      <c r="BE64" s="779">
        <f t="shared" si="123"/>
        <v>29911361.800874691</v>
      </c>
      <c r="BF64" s="779">
        <f>IFERROR(HLOOKUP(B64-1,'EV Forecast WRZ'!$F$124:$T$130,2,FALSE)/12,0)+IFERROR(((HLOOKUP(B64,'EV Forecast WRZ'!$F$116:$T$122,2,FALSE)-HLOOKUP(B64-1,'EV Forecast WRZ'!$F$124:$T$130,2,FALSE)))*C64/78,0)</f>
        <v>64714.385000000009</v>
      </c>
      <c r="BG64" s="779">
        <f ca="1">HLOOKUP(B64,Heating!$R$102:$AD$106,2,FALSE)*INDEX(Weather!$BO$1:$CB$20,MATCH(B64,Weather!$BO$1:$BO$20,0),MATCH(C64,Weather!$BO$1:$CB$1,0))/VLOOKUP(B64,Weather!$BO$2:$CB$20,14,FALSE)*
VLOOKUP('Monthly Data'!$B64,Weather!$BO$3:$CB$20,14,FALSE)/Weather!$CB$14</f>
        <v>151682.21577881934</v>
      </c>
      <c r="BH64" s="779">
        <f t="shared" ca="1" si="181"/>
        <v>29694965.20009587</v>
      </c>
      <c r="BI64" s="779">
        <v>6876474.1773399999</v>
      </c>
      <c r="BJ64" s="779">
        <f>IFERROR(VLOOKUP($B64-1,CDM!$V$4:$AJ$17,12,FALSE)/12,0)+IFERROR(VLOOKUP($B64,CDM!$V$41:$AJ$54,12,FALSE)/24,0)+IFERROR(VLOOKUP($B64,CDM!$V$41:$AJ$54,12,FALSE)/2*$C64/78,0)</f>
        <v>214428.55952194036</v>
      </c>
      <c r="BK64" s="779">
        <f t="shared" si="182"/>
        <v>7090902.7368619405</v>
      </c>
      <c r="BL64" s="779">
        <f>IFERROR(HLOOKUP(B64-1,'EV Forecast WRZ'!$F$124:$T$130,3,FALSE)/12,0)+IFERROR(((HLOOKUP(B64,'EV Forecast WRZ'!$F$116:$T$122,3,FALSE)-HLOOKUP(B64-1,'EV Forecast WRZ'!$F$124:$T$130,3,FALSE)))*C64/78,0)</f>
        <v>8005.4253846153852</v>
      </c>
      <c r="BM64" s="779">
        <f ca="1">HLOOKUP(B64,Heating!$R$102:$AD$106,4,FALSE)*INDEX(Weather!$BO$1:$CB$20,MATCH(B64,Weather!$BO$1:$BO$20,0),MATCH(C64,Weather!$BO$1:$CB$1,0))/VLOOKUP(B64,Weather!$BO$2:$CB$20,14,FALSE)*
VLOOKUP('Monthly Data'!$B64,Weather!$BO$3:$CB$20,14,FALSE)/Weather!$CB$14</f>
        <v>23999.378248670375</v>
      </c>
      <c r="BN64" s="779">
        <f t="shared" ca="1" si="183"/>
        <v>7058897.9332286548</v>
      </c>
      <c r="BO64" s="779">
        <v>27015739.629999999</v>
      </c>
      <c r="BP64" s="779">
        <f>IFERROR(VLOOKUP($B64-1,CDM!$V$4:$AJ$17,13,FALSE)/12,0)+IFERROR(VLOOKUP($B64,CDM!$V$41:$AJ$54,13,FALSE)/24,0)+IFERROR(VLOOKUP($B64,CDM!$V$41:$AJ$54,13,FALSE)/2*$C64/78,0)</f>
        <v>1757106.7077480699</v>
      </c>
      <c r="BQ64" s="779">
        <f t="shared" si="184"/>
        <v>28772846.337748069</v>
      </c>
      <c r="BR64" s="779">
        <f>IFERROR(HLOOKUP(B64-1,'EV Forecast WRZ'!$F$124:$T$130,4,FALSE)/12,0)+IFERROR(((HLOOKUP(B64,'EV Forecast WRZ'!$F$116:$T$122,4,FALSE)-HLOOKUP(B64-1,'EV Forecast WRZ'!$F$124:$T$130,4,FALSE)))*C64/78,0)</f>
        <v>3634.1721923076921</v>
      </c>
      <c r="BS64" s="779">
        <f ca="1">HLOOKUP(B64,Heating!$R$102:$AD$106,5,FALSE)*INDEX(Weather!$BO$1:$CB$20,MATCH(B64,Weather!$BO$1:$BO$20,0),MATCH(C64,Weather!$BO$1:$CB$1,0))/VLOOKUP(B64,Weather!$BO$2:$CB$20,14,FALSE)*
VLOOKUP('Monthly Data'!$B64,Weather!$BO$3:$CB$20,14,FALSE)/Weather!$CB$14</f>
        <v>16079.411901512001</v>
      </c>
      <c r="BT64" s="779">
        <f t="shared" ca="1" si="185"/>
        <v>28753132.753654249</v>
      </c>
      <c r="BU64" s="779">
        <v>7134904.7999999998</v>
      </c>
      <c r="BV64" s="779">
        <f>IFERROR(VLOOKUP($B64-1,CDM!$V$4:$AJ$17,14,FALSE)/12,0)+IFERROR(VLOOKUP($B64,CDM!$V$41:$AJ$54,14,FALSE)/24,0)+IFERROR(VLOOKUP($B64,CDM!$V$41:$AJ$54,14,FALSE)/2*$C64/78,0)</f>
        <v>395036.51832096413</v>
      </c>
      <c r="BW64" s="779">
        <f t="shared" si="186"/>
        <v>7529941.3183209635</v>
      </c>
      <c r="BX64" s="779">
        <f>IFERROR(HLOOKUP(B64-1,'EV Forecast WRZ'!$F$124:$T$130,5,FALSE)/12,0)+IFERROR(((HLOOKUP(B64,'EV Forecast WRZ'!$F$116:$T$122,5,FALSE)-HLOOKUP(B64-1,'EV Forecast WRZ'!$F$124:$T$130,5,FALSE)))*C64/78,0)</f>
        <v>527.19434615384614</v>
      </c>
      <c r="BY64" s="779">
        <f t="shared" si="124"/>
        <v>7529414.1239748094</v>
      </c>
      <c r="BZ64" s="779">
        <v>309105.02</v>
      </c>
      <c r="CA64" s="779">
        <v>2067.9919129146574</v>
      </c>
      <c r="CB64" s="5">
        <v>173723.51</v>
      </c>
      <c r="CC64" s="5">
        <v>64307.28</v>
      </c>
      <c r="CD64" s="5">
        <v>13342.38</v>
      </c>
      <c r="CE64" s="5">
        <v>789.36</v>
      </c>
      <c r="CF64" s="763">
        <f t="shared" si="188"/>
        <v>6</v>
      </c>
      <c r="CG64" s="785">
        <v>41641.75</v>
      </c>
      <c r="CH64" s="785">
        <v>2274.9999999999995</v>
      </c>
      <c r="CI64" s="785">
        <v>379.25</v>
      </c>
      <c r="CJ64" s="785">
        <v>3</v>
      </c>
      <c r="CK64" s="785">
        <v>12649.750000000002</v>
      </c>
      <c r="CL64" s="785">
        <v>37</v>
      </c>
      <c r="CM64" s="785">
        <v>387.99999999999994</v>
      </c>
      <c r="CN64" s="46">
        <f>Weather!C76</f>
        <v>543.57083333333344</v>
      </c>
      <c r="CO64" s="46">
        <f>Weather!D76</f>
        <v>0</v>
      </c>
      <c r="CP64" s="46">
        <f>Weather!E76</f>
        <v>481.57083333333344</v>
      </c>
      <c r="CQ64" s="46">
        <f>Weather!F76</f>
        <v>0</v>
      </c>
      <c r="CR64" s="46">
        <f>Weather!G76</f>
        <v>419.57083333333344</v>
      </c>
      <c r="CS64" s="46">
        <f>Weather!H76</f>
        <v>0</v>
      </c>
      <c r="CT64" s="46">
        <f>Weather!I76</f>
        <v>357.57083333333344</v>
      </c>
      <c r="CU64" s="46">
        <f>Weather!J76</f>
        <v>0</v>
      </c>
      <c r="CV64" s="46">
        <f>Weather!K76</f>
        <v>295.57083333333338</v>
      </c>
      <c r="CW64" s="46">
        <f>Weather!L76</f>
        <v>0</v>
      </c>
      <c r="CX64" s="46">
        <f>Weather!M76</f>
        <v>233.60833333333338</v>
      </c>
      <c r="CY64" s="46">
        <f>Weather!N76</f>
        <v>3.7499999999999645E-2</v>
      </c>
      <c r="CZ64" s="46">
        <f>Weather!O76</f>
        <v>174.47500000000005</v>
      </c>
      <c r="DA64" s="46">
        <f>Weather!P76</f>
        <v>2.9041666666666668</v>
      </c>
      <c r="DB64" s="368">
        <f>'Economic Data'!D78</f>
        <v>7351.6</v>
      </c>
      <c r="DC64" s="368">
        <f>'Economic Data'!E78</f>
        <v>7258.8</v>
      </c>
      <c r="DD64" s="368">
        <f>'Economic Data'!F78</f>
        <v>208.2</v>
      </c>
      <c r="DE64" s="368">
        <f>'Economic Data'!G78</f>
        <v>208.2</v>
      </c>
      <c r="DF64" s="368">
        <f>'Economic Data'!H78</f>
        <v>53.3</v>
      </c>
      <c r="DG64" s="368">
        <f>'Economic Data'!I78</f>
        <v>53.3</v>
      </c>
      <c r="DH64" s="368">
        <f>'Economic Data'!J78</f>
        <v>769942</v>
      </c>
      <c r="DI64" s="368">
        <f>'Economic Data'!K78</f>
        <v>596521.6</v>
      </c>
      <c r="DJ64" s="368">
        <f>'Economic Data'!L78</f>
        <v>85928.9</v>
      </c>
      <c r="DK64" s="368">
        <f>'Economic Data'!M78</f>
        <v>23899.8</v>
      </c>
      <c r="DL64" s="368">
        <f>'Economic Data'!N78</f>
        <v>800126</v>
      </c>
      <c r="DM64" s="368">
        <f>'Economic Data'!O78</f>
        <v>90795</v>
      </c>
      <c r="DN64" s="368">
        <f>'Economic Data'!P78</f>
        <v>17100</v>
      </c>
      <c r="DO64" s="368">
        <f>'Economic Data'!Q78</f>
        <v>621238</v>
      </c>
      <c r="DP64" s="368">
        <f>'Economic Data'!R78</f>
        <v>30738</v>
      </c>
      <c r="DQ64">
        <v>31</v>
      </c>
      <c r="DR64">
        <v>22</v>
      </c>
      <c r="DS64">
        <v>0</v>
      </c>
      <c r="DT64">
        <v>0</v>
      </c>
      <c r="DU64">
        <v>1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1</v>
      </c>
      <c r="EF64">
        <v>0</v>
      </c>
      <c r="EG64">
        <v>1</v>
      </c>
      <c r="EH64">
        <f t="shared" si="69"/>
        <v>63</v>
      </c>
      <c r="EI64">
        <v>1</v>
      </c>
      <c r="EJ64">
        <v>0.5</v>
      </c>
      <c r="EK64">
        <v>0.5</v>
      </c>
      <c r="EL64">
        <v>0.5</v>
      </c>
      <c r="EM64" s="47">
        <f t="shared" si="125"/>
        <v>271.78541666666672</v>
      </c>
      <c r="EN64" s="47">
        <f t="shared" si="126"/>
        <v>0</v>
      </c>
      <c r="EO64" s="47">
        <f t="shared" si="127"/>
        <v>240.78541666666672</v>
      </c>
      <c r="EP64" s="47">
        <f t="shared" si="128"/>
        <v>0</v>
      </c>
      <c r="EQ64" s="47">
        <f t="shared" si="129"/>
        <v>209.78541666666672</v>
      </c>
      <c r="ER64" s="47">
        <f t="shared" si="130"/>
        <v>0</v>
      </c>
      <c r="ES64" s="47">
        <f t="shared" si="131"/>
        <v>178.78541666666672</v>
      </c>
      <c r="ET64" s="47">
        <f t="shared" si="132"/>
        <v>0</v>
      </c>
      <c r="EU64" s="47">
        <f t="shared" si="133"/>
        <v>147.78541666666669</v>
      </c>
      <c r="EV64" s="47">
        <f t="shared" si="134"/>
        <v>0</v>
      </c>
      <c r="EW64" s="47">
        <f t="shared" si="135"/>
        <v>116.80416666666669</v>
      </c>
      <c r="EX64" s="47">
        <f t="shared" si="136"/>
        <v>1.8749999999999822E-2</v>
      </c>
      <c r="EY64" s="47">
        <f t="shared" si="137"/>
        <v>87.237500000000026</v>
      </c>
      <c r="EZ64" s="47">
        <f t="shared" si="138"/>
        <v>1.4520833333333334</v>
      </c>
      <c r="FA64" s="47">
        <f t="shared" si="139"/>
        <v>271.78541666666672</v>
      </c>
      <c r="FB64" s="47">
        <f t="shared" si="140"/>
        <v>0</v>
      </c>
      <c r="FC64" s="47">
        <f t="shared" si="141"/>
        <v>240.78541666666672</v>
      </c>
      <c r="FD64" s="47">
        <f t="shared" si="142"/>
        <v>0</v>
      </c>
      <c r="FE64" s="47">
        <f t="shared" si="143"/>
        <v>209.78541666666672</v>
      </c>
      <c r="FF64" s="47">
        <f t="shared" si="144"/>
        <v>0</v>
      </c>
      <c r="FG64" s="47">
        <f t="shared" si="145"/>
        <v>178.78541666666672</v>
      </c>
      <c r="FH64" s="47">
        <f t="shared" si="146"/>
        <v>0</v>
      </c>
      <c r="FI64" s="47">
        <f t="shared" si="147"/>
        <v>147.78541666666669</v>
      </c>
      <c r="FJ64" s="47">
        <f t="shared" si="148"/>
        <v>0</v>
      </c>
      <c r="FK64" s="47">
        <f t="shared" si="149"/>
        <v>116.80416666666669</v>
      </c>
      <c r="FL64" s="47">
        <f t="shared" si="150"/>
        <v>1.8749999999999822E-2</v>
      </c>
      <c r="FM64" s="47">
        <f t="shared" si="151"/>
        <v>87.237500000000026</v>
      </c>
      <c r="FN64" s="47">
        <f t="shared" si="152"/>
        <v>1.4520833333333334</v>
      </c>
      <c r="FO64" s="765">
        <f t="shared" ca="1" si="153"/>
        <v>744.13362389402255</v>
      </c>
      <c r="FP64" s="765">
        <f t="shared" si="154"/>
        <v>650.68920925613452</v>
      </c>
      <c r="FQ64" s="765">
        <f t="shared" si="155"/>
        <v>2616.776939120869</v>
      </c>
      <c r="FR64" s="765">
        <f t="shared" si="156"/>
        <v>77731.447516589556</v>
      </c>
      <c r="FS64" s="765">
        <f t="shared" si="157"/>
        <v>1954657.8801509566</v>
      </c>
      <c r="FT64" s="765">
        <f t="shared" si="158"/>
        <v>6221722.8753721779</v>
      </c>
      <c r="FU64" s="765">
        <f t="shared" si="159"/>
        <v>33.714954537464649</v>
      </c>
      <c r="FV64" s="765">
        <f t="shared" si="160"/>
        <v>64.07612027158099</v>
      </c>
      <c r="FW64" s="765">
        <f t="shared" si="161"/>
        <v>500.09194271481954</v>
      </c>
      <c r="FX64" s="765">
        <f t="shared" si="162"/>
        <v>718.30222795330872</v>
      </c>
      <c r="FY64" s="765">
        <f t="shared" si="163"/>
        <v>3116.8803238953592</v>
      </c>
      <c r="FZ64" s="765">
        <f t="shared" si="164"/>
        <v>75867.755669737817</v>
      </c>
      <c r="GA64" s="765">
        <f t="shared" si="165"/>
        <v>103035.00666666667</v>
      </c>
      <c r="GB64" s="765">
        <f t="shared" si="166"/>
        <v>24.435662364868868</v>
      </c>
      <c r="GC64" s="765">
        <f t="shared" si="167"/>
        <v>55.891673322017766</v>
      </c>
      <c r="GD64" s="765">
        <f t="shared" si="168"/>
        <v>447.74100515463925</v>
      </c>
    </row>
    <row r="65" spans="1:186">
      <c r="A65" s="4">
        <v>43922</v>
      </c>
      <c r="B65" s="6">
        <v>2020</v>
      </c>
      <c r="C65" s="5">
        <v>4</v>
      </c>
      <c r="D65" s="7">
        <v>74360940.880131409</v>
      </c>
      <c r="E65" s="7">
        <f>IFERROR(VLOOKUP($B65-1,CDM!$V$4:$AJ$17,2,FALSE)/12,0)+IFERROR(VLOOKUP($B65,CDM!$V$41:$AJ$54,2,FALSE)/24,0)+IFERROR(VLOOKUP($B65,CDM!$V$41:$AJ$54,2,FALSE)/2*$C65/78,0)</f>
        <v>3829225.8908088417</v>
      </c>
      <c r="F65" s="7">
        <f t="shared" si="169"/>
        <v>78190166.770940244</v>
      </c>
      <c r="G65" s="7">
        <f>IFERROR(HLOOKUP(B65-1,'EV Forecast VRZ'!$F$124:$T$130,2,FALSE)/12,0)+IFERROR(((HLOOKUP(B65,'EV Forecast VRZ'!$F$116:$T$122,2,FALSE)-HLOOKUP(B65-1,'EV Forecast VRZ'!$F$124:$T$130,2,FALSE)))*C65/78,0)</f>
        <v>215862.2315605412</v>
      </c>
      <c r="H65" s="7">
        <f ca="1">HLOOKUP(B65,Heating!$C$102:$O$106,2,FALSE)*INDEX(Weather!$BO$1:$CB$20,MATCH(B65,Weather!$BO$1:$BO$20,0),MATCH(C65,Weather!$BO$1:$CB$1,0))/VLOOKUP(B65,Weather!$BO$2:$CB$20,14,FALSE)*
VLOOKUP('Monthly Data'!$B65,Weather!$BO$3:$CB$20,14,FALSE)/Weather!$CB$14</f>
        <v>303824.71139492164</v>
      </c>
      <c r="I65" s="7">
        <f t="shared" ca="1" si="170"/>
        <v>77670479.82798478</v>
      </c>
      <c r="J65" s="7">
        <v>939180.58213</v>
      </c>
      <c r="K65" s="7">
        <f>IFERROR(VLOOKUP($B65-1,CDM!$V$4:$AJ$17,3,FALSE)/12,0)+IFERROR(VLOOKUP($B65,CDM!$V$41:$AJ$54,3,FALSE)/24,0)+IFERROR(VLOOKUP($B65,CDM!$V$41:$AJ$54,3,FALSE)/2*$C65/78,0)</f>
        <v>43859.201210594445</v>
      </c>
      <c r="L65" s="7">
        <f t="shared" si="171"/>
        <v>983039.7833405945</v>
      </c>
      <c r="M65" s="7">
        <f>IFERROR(HLOOKUP(B65-1,'EV Forecast VRZ'!$F$124:$T$130,3,FALSE)/12,0)+IFERROR(((HLOOKUP(B65,'EV Forecast VRZ'!$F$116:$T$122,3,FALSE)-HLOOKUP(B65-1,'EV Forecast VRZ'!$F$124:$T$130,3,FALSE)))*C65/78,0)</f>
        <v>2936.6766445870003</v>
      </c>
      <c r="N65" s="7">
        <f ca="1">HLOOKUP(B65,Heating!$C$102:$O$106,3,FALSE)*INDEX(Weather!$BO$1:$CB$20,MATCH(B65,Weather!$BO$1:$BO$20,0),MATCH(C65,Weather!$BO$1:$CB$1,0))/VLOOKUP(B65,Weather!$BO$2:$CB$20,14,FALSE)*
VLOOKUP('Monthly Data'!$B65,Weather!$BO$3:$CB$20,14,FALSE)/Weather!$CB$14</f>
        <v>4023.6054109593601</v>
      </c>
      <c r="O65" s="7">
        <f t="shared" ca="1" si="172"/>
        <v>976079.5012850482</v>
      </c>
      <c r="P65" s="7">
        <v>18103771.514610101</v>
      </c>
      <c r="Q65" s="7">
        <f>IFERROR(VLOOKUP($B65-1,CDM!$V$4:$AJ$17,4,FALSE)/12,0)+IFERROR(VLOOKUP($B65,CDM!$V$41:$AJ$54,4,FALSE)/24,0)+IFERROR(VLOOKUP($B65,CDM!$V$41:$AJ$54,4,FALSE)/2*$C65/78,0)</f>
        <v>1332666.0088321564</v>
      </c>
      <c r="R65" s="7">
        <f t="shared" si="173"/>
        <v>19436437.523442257</v>
      </c>
      <c r="S65" s="7">
        <f>IFERROR(HLOOKUP(B65-1,'EV Forecast VRZ'!$F$124:$T$130,4,FALSE)/12,0)+IFERROR(((HLOOKUP(B65,'EV Forecast VRZ'!$F$116:$T$122,4,FALSE)-HLOOKUP(B65-1,'EV Forecast VRZ'!$F$124:$T$130,4,FALSE)))*C65/78,0)</f>
        <v>26995.346666666668</v>
      </c>
      <c r="T65" s="7">
        <f ca="1">HLOOKUP(B65,Heating!$C$102:$O$106,4,FALSE)*INDEX(Weather!$BO$1:$CB$20,MATCH(B65,Weather!$BO$1:$BO$20,0),MATCH(C65,Weather!$BO$1:$CB$1,0))/VLOOKUP(B65,Weather!$BO$2:$CB$20,14,FALSE)*
VLOOKUP('Monthly Data'!$B65,Weather!$BO$3:$CB$20,14,FALSE)/Weather!$CB$14</f>
        <v>75953.054796035198</v>
      </c>
      <c r="U65" s="7">
        <f t="shared" ca="1" si="174"/>
        <v>19333489.121979553</v>
      </c>
      <c r="V65" s="7">
        <v>62217805.369999997</v>
      </c>
      <c r="W65" s="7">
        <f>IFERROR(VLOOKUP($B65-1,CDM!$V$4:$AJ$17,5,FALSE)/12,0)+IFERROR(VLOOKUP($B65,CDM!$V$41:$AJ$54,5,FALSE)/24,0)+IFERROR(VLOOKUP($B65,CDM!$V$41:$AJ$54,5,FALSE)/2*$C65/78,0)</f>
        <v>4765414.1551287323</v>
      </c>
      <c r="X65" s="7">
        <f t="shared" si="175"/>
        <v>66983219.52512873</v>
      </c>
      <c r="Y65" s="7">
        <f>IFERROR(HLOOKUP(B65-1,'EV Forecast VRZ'!$F$124:$T$130,5,FALSE)/12,0)+IFERROR(((HLOOKUP(B65,'EV Forecast VRZ'!$F$116:$T$122,5,FALSE)-HLOOKUP(B65-1,'EV Forecast VRZ'!$F$124:$T$130,5,FALSE)))*C65/78,0)</f>
        <v>12249.444461538462</v>
      </c>
      <c r="Z65" s="7">
        <f ca="1">HLOOKUP(B65,Heating!$C$102:$O$106,5,FALSE)*INDEX(Weather!$BO$1:$CB$20,MATCH(B65,Weather!$BO$1:$BO$20,0),MATCH(C65,Weather!$BO$1:$CB$1,0))/VLOOKUP(B65,Weather!$BO$2:$CB$20,14,FALSE)*
VLOOKUP('Monthly Data'!$B65,Weather!$BO$3:$CB$20,14,FALSE)/Weather!$CB$14</f>
        <v>42866.369538361309</v>
      </c>
      <c r="AA65" s="7">
        <f t="shared" ca="1" si="176"/>
        <v>66928103.711128831</v>
      </c>
      <c r="AB65" s="7">
        <v>6858393.6100000003</v>
      </c>
      <c r="AC65" s="7">
        <f>IFERROR(VLOOKUP($B65-1,CDM!$V$4:$AJ$17,6,FALSE)/12,0)+IFERROR(VLOOKUP($B65,CDM!$V$41:$AJ$54,6,FALSE)/24,0)+IFERROR(VLOOKUP($B65,CDM!$V$41:$AJ$54,6,FALSE)/2*$C65/78,0)</f>
        <v>224086.9322607487</v>
      </c>
      <c r="AD65" s="7">
        <f t="shared" si="177"/>
        <v>7082480.5422607493</v>
      </c>
      <c r="AE65" s="7">
        <f>IFERROR(HLOOKUP(B65-1,'EV Forecast VRZ'!$F$124:$T$130,6,FALSE)/12,0)+IFERROR(((HLOOKUP(B65,'EV Forecast VRZ'!$F$116:$T$122,6,FALSE)-HLOOKUP(B65-1,'EV Forecast VRZ'!$F$124:$T$130,6,FALSE)))*C65/78,0)</f>
        <v>1755.9211794871794</v>
      </c>
      <c r="AF65" s="7">
        <f t="shared" si="178"/>
        <v>7080724.6210812619</v>
      </c>
      <c r="AG65" s="7">
        <v>19404320.359999999</v>
      </c>
      <c r="AH65" s="7">
        <f>IFERROR(VLOOKUP($B65-1,CDM!$V$4:$AJ$17,7,FALSE)/12,0)+IFERROR(VLOOKUP($B65,CDM!$V$41:$AJ$54,7,FALSE)/24,0)+IFERROR(VLOOKUP($B65,CDM!$V$41:$AJ$54,7,FALSE)/2*$C65/78,0)</f>
        <v>1615244.7710999441</v>
      </c>
      <c r="AI65" s="7">
        <f t="shared" si="179"/>
        <v>21019565.131099943</v>
      </c>
      <c r="AJ65" s="7">
        <f>IFERROR(HLOOKUP(B65-1,'EV Forecast VRZ'!$F$124:$T$130,7,FALSE)/12,0)+IFERROR(((HLOOKUP(B65,'EV Forecast VRZ'!$F$116:$T$122,7,FALSE)-HLOOKUP(B65-1,'EV Forecast VRZ'!$F$124:$T$130,7,FALSE)))*C65/78,0)</f>
        <v>0</v>
      </c>
      <c r="AK65" s="7">
        <f t="shared" si="180"/>
        <v>21019565.131099943</v>
      </c>
      <c r="AL65" s="7">
        <v>890978.9</v>
      </c>
      <c r="AM65" s="7">
        <v>24220.600000000002</v>
      </c>
      <c r="AN65" s="7">
        <v>401539.23</v>
      </c>
      <c r="AO65" s="5">
        <v>149266.68</v>
      </c>
      <c r="AP65" s="5">
        <v>13723.77</v>
      </c>
      <c r="AQ65" s="5">
        <v>37000</v>
      </c>
      <c r="AR65" s="5">
        <v>2698.5</v>
      </c>
      <c r="AS65" s="763">
        <f t="shared" si="187"/>
        <v>53.5</v>
      </c>
      <c r="AT65" s="776">
        <v>112024</v>
      </c>
      <c r="AU65" s="776">
        <v>1561</v>
      </c>
      <c r="AV65" s="776">
        <v>9274</v>
      </c>
      <c r="AW65" s="776">
        <v>1027</v>
      </c>
      <c r="AX65" s="776">
        <v>4.3333333333333321</v>
      </c>
      <c r="AY65" s="776">
        <v>4</v>
      </c>
      <c r="AZ65" s="776">
        <v>31325.333333333328</v>
      </c>
      <c r="BA65" s="776">
        <v>257</v>
      </c>
      <c r="BB65" s="776">
        <v>802.66666666666652</v>
      </c>
      <c r="BC65" s="779">
        <v>26832637.010670099</v>
      </c>
      <c r="BD65" s="779">
        <f>IFERROR(VLOOKUP($B65-1,CDM!$V$4:$AJ$17,11,FALSE)/12,0)+IFERROR(VLOOKUP($B65,CDM!$V$41:$AJ$54,11,FALSE)/24,0)+IFERROR(VLOOKUP($B65,CDM!$V$41:$AJ$54,11,FALSE)/2*$C65/78,0)</f>
        <v>1919781.4378437037</v>
      </c>
      <c r="BE65" s="779">
        <f t="shared" si="123"/>
        <v>28752418.448513802</v>
      </c>
      <c r="BF65" s="779">
        <f>IFERROR(HLOOKUP(B65-1,'EV Forecast WRZ'!$F$124:$T$130,2,FALSE)/12,0)+IFERROR(((HLOOKUP(B65,'EV Forecast WRZ'!$F$116:$T$122,2,FALSE)-HLOOKUP(B65-1,'EV Forecast WRZ'!$F$124:$T$130,2,FALSE)))*C65/78,0)</f>
        <v>66369.32166666667</v>
      </c>
      <c r="BG65" s="779">
        <f ca="1">HLOOKUP(B65,Heating!$R$102:$AD$106,2,FALSE)*INDEX(Weather!$BO$1:$CB$20,MATCH(B65,Weather!$BO$1:$BO$20,0),MATCH(C65,Weather!$BO$1:$CB$1,0))/VLOOKUP(B65,Weather!$BO$2:$CB$20,14,FALSE)*
VLOOKUP('Monthly Data'!$B65,Weather!$BO$3:$CB$20,14,FALSE)/Weather!$CB$14</f>
        <v>119587.69362587346</v>
      </c>
      <c r="BH65" s="779">
        <f t="shared" ca="1" si="181"/>
        <v>28566461.433221262</v>
      </c>
      <c r="BI65" s="779">
        <v>5391524.2541500004</v>
      </c>
      <c r="BJ65" s="779">
        <f>IFERROR(VLOOKUP($B65-1,CDM!$V$4:$AJ$17,12,FALSE)/12,0)+IFERROR(VLOOKUP($B65,CDM!$V$41:$AJ$54,12,FALSE)/24,0)+IFERROR(VLOOKUP($B65,CDM!$V$41:$AJ$54,12,FALSE)/2*$C65/78,0)</f>
        <v>215305.18079390522</v>
      </c>
      <c r="BK65" s="779">
        <f t="shared" si="182"/>
        <v>5606829.434943906</v>
      </c>
      <c r="BL65" s="779">
        <f>IFERROR(HLOOKUP(B65-1,'EV Forecast WRZ'!$F$124:$T$130,3,FALSE)/12,0)+IFERROR(((HLOOKUP(B65,'EV Forecast WRZ'!$F$116:$T$122,3,FALSE)-HLOOKUP(B65-1,'EV Forecast WRZ'!$F$124:$T$130,3,FALSE)))*C65/78,0)</f>
        <v>8207.2505128205139</v>
      </c>
      <c r="BM65" s="779">
        <f ca="1">HLOOKUP(B65,Heating!$R$102:$AD$106,4,FALSE)*INDEX(Weather!$BO$1:$CB$20,MATCH(B65,Weather!$BO$1:$BO$20,0),MATCH(C65,Weather!$BO$1:$CB$1,0))/VLOOKUP(B65,Weather!$BO$2:$CB$20,14,FALSE)*
VLOOKUP('Monthly Data'!$B65,Weather!$BO$3:$CB$20,14,FALSE)/Weather!$CB$14</f>
        <v>18921.336812474296</v>
      </c>
      <c r="BN65" s="779">
        <f t="shared" ca="1" si="183"/>
        <v>5579700.8476186115</v>
      </c>
      <c r="BO65" s="779">
        <v>24168395.280000001</v>
      </c>
      <c r="BP65" s="779">
        <f>IFERROR(VLOOKUP($B65-1,CDM!$V$4:$AJ$17,13,FALSE)/12,0)+IFERROR(VLOOKUP($B65,CDM!$V$41:$AJ$54,13,FALSE)/24,0)+IFERROR(VLOOKUP($B65,CDM!$V$41:$AJ$54,13,FALSE)/2*$C65/78,0)</f>
        <v>1782336.0545036965</v>
      </c>
      <c r="BQ65" s="779">
        <f t="shared" si="184"/>
        <v>25950731.334503699</v>
      </c>
      <c r="BR65" s="779">
        <f>IFERROR(HLOOKUP(B65-1,'EV Forecast WRZ'!$F$124:$T$130,4,FALSE)/12,0)+IFERROR(((HLOOKUP(B65,'EV Forecast WRZ'!$F$116:$T$122,4,FALSE)-HLOOKUP(B65-1,'EV Forecast WRZ'!$F$124:$T$130,4,FALSE)))*C65/78,0)</f>
        <v>3725.5704230769229</v>
      </c>
      <c r="BS65" s="779">
        <f ca="1">HLOOKUP(B65,Heating!$R$102:$AD$106,5,FALSE)*INDEX(Weather!$BO$1:$CB$20,MATCH(B65,Weather!$BO$1:$BO$20,0),MATCH(C65,Weather!$BO$1:$CB$1,0))/VLOOKUP(B65,Weather!$BO$2:$CB$20,14,FALSE)*
VLOOKUP('Monthly Data'!$B65,Weather!$BO$3:$CB$20,14,FALSE)/Weather!$CB$14</f>
        <v>12677.160432348795</v>
      </c>
      <c r="BT65" s="779">
        <f t="shared" ca="1" si="185"/>
        <v>25934328.603648271</v>
      </c>
      <c r="BU65" s="779">
        <v>7303406.6100000003</v>
      </c>
      <c r="BV65" s="779">
        <f>IFERROR(VLOOKUP($B65-1,CDM!$V$4:$AJ$17,14,FALSE)/12,0)+IFERROR(VLOOKUP($B65,CDM!$V$41:$AJ$54,14,FALSE)/24,0)+IFERROR(VLOOKUP($B65,CDM!$V$41:$AJ$54,14,FALSE)/2*$C65/78,0)</f>
        <v>400708.63445250416</v>
      </c>
      <c r="BW65" s="779">
        <f t="shared" si="186"/>
        <v>7704115.2444525044</v>
      </c>
      <c r="BX65" s="779">
        <f>IFERROR(HLOOKUP(B65-1,'EV Forecast WRZ'!$F$124:$T$130,5,FALSE)/12,0)+IFERROR(((HLOOKUP(B65,'EV Forecast WRZ'!$F$116:$T$122,5,FALSE)-HLOOKUP(B65-1,'EV Forecast WRZ'!$F$124:$T$130,5,FALSE)))*C65/78,0)</f>
        <v>539.5932948717948</v>
      </c>
      <c r="BY65" s="779">
        <f t="shared" si="124"/>
        <v>7703575.6511576325</v>
      </c>
      <c r="BZ65" s="779">
        <v>259937.04</v>
      </c>
      <c r="CA65" s="779">
        <v>2067.9919129146574</v>
      </c>
      <c r="CB65" s="5">
        <v>160976.95000000001</v>
      </c>
      <c r="CC65" s="5">
        <v>56223.519999999997</v>
      </c>
      <c r="CD65" s="5">
        <v>12846.56</v>
      </c>
      <c r="CE65" s="5">
        <v>789.37</v>
      </c>
      <c r="CF65" s="763">
        <f t="shared" si="188"/>
        <v>6</v>
      </c>
      <c r="CG65" s="785">
        <v>41710</v>
      </c>
      <c r="CH65" s="785">
        <v>2277.6666666666661</v>
      </c>
      <c r="CI65" s="785">
        <v>380</v>
      </c>
      <c r="CJ65" s="785">
        <v>3</v>
      </c>
      <c r="CK65" s="785">
        <v>12666.333333333336</v>
      </c>
      <c r="CL65" s="785">
        <v>37</v>
      </c>
      <c r="CM65" s="785">
        <v>388.33333333333326</v>
      </c>
      <c r="CN65" s="46">
        <f>Weather!C77</f>
        <v>439.67500000000013</v>
      </c>
      <c r="CO65" s="46">
        <f>Weather!D77</f>
        <v>0</v>
      </c>
      <c r="CP65" s="46">
        <f>Weather!E77</f>
        <v>379.67500000000013</v>
      </c>
      <c r="CQ65" s="46">
        <f>Weather!F77</f>
        <v>0</v>
      </c>
      <c r="CR65" s="46">
        <f>Weather!G77</f>
        <v>319.67500000000007</v>
      </c>
      <c r="CS65" s="46">
        <f>Weather!H77</f>
        <v>0</v>
      </c>
      <c r="CT65" s="46">
        <f>Weather!I77</f>
        <v>259.67500000000007</v>
      </c>
      <c r="CU65" s="46">
        <f>Weather!J77</f>
        <v>0</v>
      </c>
      <c r="CV65" s="46">
        <f>Weather!K77</f>
        <v>199.67500000000004</v>
      </c>
      <c r="CW65" s="46">
        <f>Weather!L77</f>
        <v>0</v>
      </c>
      <c r="CX65" s="46">
        <f>Weather!M77</f>
        <v>141.82916666666665</v>
      </c>
      <c r="CY65" s="46">
        <f>Weather!N77</f>
        <v>2.1541666666666721</v>
      </c>
      <c r="CZ65" s="46">
        <f>Weather!O77</f>
        <v>89.183333333333337</v>
      </c>
      <c r="DA65" s="46">
        <f>Weather!P77</f>
        <v>9.5083333333333364</v>
      </c>
      <c r="DB65" s="368">
        <f>'Economic Data'!D79</f>
        <v>6961.6</v>
      </c>
      <c r="DC65" s="368">
        <f>'Economic Data'!E79</f>
        <v>6893.7</v>
      </c>
      <c r="DD65" s="368">
        <f>'Economic Data'!F79</f>
        <v>202.5</v>
      </c>
      <c r="DE65" s="368">
        <f>'Economic Data'!G79</f>
        <v>203.5</v>
      </c>
      <c r="DF65" s="368">
        <f>'Economic Data'!H79</f>
        <v>47.5</v>
      </c>
      <c r="DG65" s="368">
        <f>'Economic Data'!I79</f>
        <v>47.5</v>
      </c>
      <c r="DH65" s="368">
        <f>'Economic Data'!J79</f>
        <v>769942</v>
      </c>
      <c r="DI65" s="368">
        <f>'Economic Data'!K79</f>
        <v>596521.6</v>
      </c>
      <c r="DJ65" s="368">
        <f>'Economic Data'!L79</f>
        <v>85928.9</v>
      </c>
      <c r="DK65" s="368">
        <f>'Economic Data'!M79</f>
        <v>23899.8</v>
      </c>
      <c r="DL65" s="368">
        <f>'Economic Data'!N79</f>
        <v>706539</v>
      </c>
      <c r="DM65" s="368">
        <f>'Economic Data'!O79</f>
        <v>72582</v>
      </c>
      <c r="DN65" s="368">
        <f>'Economic Data'!P79</f>
        <v>8855</v>
      </c>
      <c r="DO65" s="368">
        <f>'Economic Data'!Q79</f>
        <v>552481</v>
      </c>
      <c r="DP65" s="368">
        <f>'Economic Data'!R79</f>
        <v>20965</v>
      </c>
      <c r="DQ65">
        <v>30</v>
      </c>
      <c r="DR65">
        <v>21</v>
      </c>
      <c r="DS65">
        <v>0</v>
      </c>
      <c r="DT65">
        <v>0</v>
      </c>
      <c r="DU65">
        <v>0</v>
      </c>
      <c r="DV65">
        <v>1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1</v>
      </c>
      <c r="EF65">
        <v>0</v>
      </c>
      <c r="EG65">
        <v>1</v>
      </c>
      <c r="EH65">
        <f t="shared" si="69"/>
        <v>64</v>
      </c>
      <c r="EI65">
        <v>1</v>
      </c>
      <c r="EJ65">
        <v>1</v>
      </c>
      <c r="EK65">
        <v>1</v>
      </c>
      <c r="EL65">
        <v>1</v>
      </c>
      <c r="EM65" s="47">
        <f t="shared" si="125"/>
        <v>439.67500000000013</v>
      </c>
      <c r="EN65" s="47">
        <f t="shared" si="126"/>
        <v>0</v>
      </c>
      <c r="EO65" s="47">
        <f t="shared" si="127"/>
        <v>379.67500000000013</v>
      </c>
      <c r="EP65" s="47">
        <f t="shared" si="128"/>
        <v>0</v>
      </c>
      <c r="EQ65" s="47">
        <f t="shared" si="129"/>
        <v>319.67500000000007</v>
      </c>
      <c r="ER65" s="47">
        <f t="shared" si="130"/>
        <v>0</v>
      </c>
      <c r="ES65" s="47">
        <f t="shared" si="131"/>
        <v>259.67500000000007</v>
      </c>
      <c r="ET65" s="47">
        <f t="shared" si="132"/>
        <v>0</v>
      </c>
      <c r="EU65" s="47">
        <f t="shared" si="133"/>
        <v>199.67500000000004</v>
      </c>
      <c r="EV65" s="47">
        <f t="shared" si="134"/>
        <v>0</v>
      </c>
      <c r="EW65" s="47">
        <f t="shared" si="135"/>
        <v>141.82916666666665</v>
      </c>
      <c r="EX65" s="47">
        <f t="shared" si="136"/>
        <v>2.1541666666666721</v>
      </c>
      <c r="EY65" s="47">
        <f t="shared" si="137"/>
        <v>89.183333333333337</v>
      </c>
      <c r="EZ65" s="47">
        <f t="shared" si="138"/>
        <v>9.5083333333333364</v>
      </c>
      <c r="FA65" s="47">
        <f t="shared" si="139"/>
        <v>439.67500000000013</v>
      </c>
      <c r="FB65" s="47">
        <f t="shared" si="140"/>
        <v>0</v>
      </c>
      <c r="FC65" s="47">
        <f t="shared" si="141"/>
        <v>379.67500000000013</v>
      </c>
      <c r="FD65" s="47">
        <f t="shared" si="142"/>
        <v>0</v>
      </c>
      <c r="FE65" s="47">
        <f t="shared" si="143"/>
        <v>319.67500000000007</v>
      </c>
      <c r="FF65" s="47">
        <f t="shared" si="144"/>
        <v>0</v>
      </c>
      <c r="FG65" s="47">
        <f t="shared" si="145"/>
        <v>259.67500000000007</v>
      </c>
      <c r="FH65" s="47">
        <f t="shared" si="146"/>
        <v>0</v>
      </c>
      <c r="FI65" s="47">
        <f t="shared" si="147"/>
        <v>199.67500000000004</v>
      </c>
      <c r="FJ65" s="47">
        <f t="shared" si="148"/>
        <v>0</v>
      </c>
      <c r="FK65" s="47">
        <f t="shared" si="149"/>
        <v>141.82916666666665</v>
      </c>
      <c r="FL65" s="47">
        <f t="shared" si="150"/>
        <v>2.1541666666666721</v>
      </c>
      <c r="FM65" s="47">
        <f t="shared" si="151"/>
        <v>89.183333333333337</v>
      </c>
      <c r="FN65" s="47">
        <f t="shared" si="152"/>
        <v>9.5083333333333364</v>
      </c>
      <c r="FO65" s="765">
        <f t="shared" ca="1" si="153"/>
        <v>693.33785463815593</v>
      </c>
      <c r="FP65" s="765">
        <f t="shared" si="154"/>
        <v>629.75002135848467</v>
      </c>
      <c r="FQ65" s="765">
        <f t="shared" si="155"/>
        <v>2095.7987409361936</v>
      </c>
      <c r="FR65" s="765">
        <f t="shared" si="156"/>
        <v>65222.219596035764</v>
      </c>
      <c r="FS65" s="765">
        <f t="shared" si="157"/>
        <v>1634418.586675558</v>
      </c>
      <c r="FT65" s="765">
        <f t="shared" si="158"/>
        <v>5254891.2827749858</v>
      </c>
      <c r="FU65" s="765">
        <f t="shared" si="159"/>
        <v>28.442758789478169</v>
      </c>
      <c r="FV65" s="765">
        <f t="shared" si="160"/>
        <v>94.243579766536968</v>
      </c>
      <c r="FW65" s="765">
        <f t="shared" si="161"/>
        <v>500.25651578073098</v>
      </c>
      <c r="FX65" s="765">
        <f t="shared" si="162"/>
        <v>689.34112799122033</v>
      </c>
      <c r="FY65" s="765">
        <f t="shared" si="163"/>
        <v>2461.6549546073061</v>
      </c>
      <c r="FZ65" s="765">
        <f t="shared" si="164"/>
        <v>68291.398248693949</v>
      </c>
      <c r="GA65" s="765">
        <f t="shared" si="165"/>
        <v>86645.680000000008</v>
      </c>
      <c r="GB65" s="765">
        <f t="shared" si="166"/>
        <v>20.521885312771385</v>
      </c>
      <c r="GC65" s="765">
        <f t="shared" si="167"/>
        <v>55.891673322017766</v>
      </c>
      <c r="GD65" s="765">
        <f t="shared" si="168"/>
        <v>414.53291845493573</v>
      </c>
    </row>
    <row r="66" spans="1:186">
      <c r="A66" s="4">
        <v>43952</v>
      </c>
      <c r="B66" s="6">
        <v>2020</v>
      </c>
      <c r="C66" s="5">
        <v>5</v>
      </c>
      <c r="D66" s="7">
        <v>76660224.034160897</v>
      </c>
      <c r="E66" s="7">
        <f>IFERROR(VLOOKUP($B66-1,CDM!$V$4:$AJ$17,2,FALSE)/12,0)+IFERROR(VLOOKUP($B66,CDM!$V$41:$AJ$54,2,FALSE)/24,0)+IFERROR(VLOOKUP($B66,CDM!$V$41:$AJ$54,2,FALSE)/2*$C66/78,0)</f>
        <v>3830133.6365806572</v>
      </c>
      <c r="F66" s="7">
        <f t="shared" si="169"/>
        <v>80490357.670741558</v>
      </c>
      <c r="G66" s="7">
        <f>IFERROR(HLOOKUP(B66-1,'EV Forecast VRZ'!$F$124:$T$130,2,FALSE)/12,0)+IFERROR(((HLOOKUP(B66,'EV Forecast VRZ'!$F$116:$T$122,2,FALSE)-HLOOKUP(B66-1,'EV Forecast VRZ'!$F$124:$T$130,2,FALSE)))*C66/78,0)</f>
        <v>220634.36656725017</v>
      </c>
      <c r="H66" s="7">
        <f ca="1">HLOOKUP(B66,Heating!$C$102:$O$106,2,FALSE)*INDEX(Weather!$BO$1:$CB$20,MATCH(B66,Weather!$BO$1:$BO$20,0),MATCH(C66,Weather!$BO$1:$CB$1,0))/VLOOKUP(B66,Weather!$BO$2:$CB$20,14,FALSE)*
VLOOKUP('Monthly Data'!$B66,Weather!$BO$3:$CB$20,14,FALSE)/Weather!$CB$14</f>
        <v>170236.98872018073</v>
      </c>
      <c r="I66" s="7">
        <f t="shared" ca="1" si="170"/>
        <v>80099486.315454125</v>
      </c>
      <c r="J66" s="7">
        <v>974571.44930999901</v>
      </c>
      <c r="K66" s="7">
        <f>IFERROR(VLOOKUP($B66-1,CDM!$V$4:$AJ$17,3,FALSE)/12,0)+IFERROR(VLOOKUP($B66,CDM!$V$41:$AJ$54,3,FALSE)/24,0)+IFERROR(VLOOKUP($B66,CDM!$V$41:$AJ$54,3,FALSE)/2*$C66/78,0)</f>
        <v>43869.598352363937</v>
      </c>
      <c r="L66" s="7">
        <f t="shared" si="171"/>
        <v>1018441.0476623629</v>
      </c>
      <c r="M66" s="7">
        <f>IFERROR(HLOOKUP(B66-1,'EV Forecast VRZ'!$F$124:$T$130,3,FALSE)/12,0)+IFERROR(((HLOOKUP(B66,'EV Forecast VRZ'!$F$116:$T$122,3,FALSE)-HLOOKUP(B66-1,'EV Forecast VRZ'!$F$124:$T$130,3,FALSE)))*C66/78,0)</f>
        <v>3001.5986891600819</v>
      </c>
      <c r="N66" s="7">
        <f ca="1">HLOOKUP(B66,Heating!$C$102:$O$106,3,FALSE)*INDEX(Weather!$BO$1:$CB$20,MATCH(B66,Weather!$BO$1:$BO$20,0),MATCH(C66,Weather!$BO$1:$CB$1,0))/VLOOKUP(B66,Weather!$BO$2:$CB$20,14,FALSE)*
VLOOKUP('Monthly Data'!$B66,Weather!$BO$3:$CB$20,14,FALSE)/Weather!$CB$14</f>
        <v>2254.4791232257744</v>
      </c>
      <c r="O66" s="7">
        <f t="shared" ca="1" si="172"/>
        <v>1013184.9698499771</v>
      </c>
      <c r="P66" s="7">
        <v>18389795.34598</v>
      </c>
      <c r="Q66" s="7">
        <f>IFERROR(VLOOKUP($B66-1,CDM!$V$4:$AJ$17,4,FALSE)/12,0)+IFERROR(VLOOKUP($B66,CDM!$V$41:$AJ$54,4,FALSE)/24,0)+IFERROR(VLOOKUP($B66,CDM!$V$41:$AJ$54,4,FALSE)/2*$C66/78,0)</f>
        <v>1339893.2380960525</v>
      </c>
      <c r="R66" s="7">
        <f t="shared" si="173"/>
        <v>19729688.584076051</v>
      </c>
      <c r="S66" s="7">
        <f>IFERROR(HLOOKUP(B66-1,'EV Forecast VRZ'!$F$124:$T$130,4,FALSE)/12,0)+IFERROR(((HLOOKUP(B66,'EV Forecast VRZ'!$F$116:$T$122,4,FALSE)-HLOOKUP(B66-1,'EV Forecast VRZ'!$F$124:$T$130,4,FALSE)))*C66/78,0)</f>
        <v>27569.163333333338</v>
      </c>
      <c r="T66" s="7">
        <f ca="1">HLOOKUP(B66,Heating!$C$102:$O$106,4,FALSE)*INDEX(Weather!$BO$1:$CB$20,MATCH(B66,Weather!$BO$1:$BO$20,0),MATCH(C66,Weather!$BO$1:$CB$1,0))/VLOOKUP(B66,Weather!$BO$2:$CB$20,14,FALSE)*
VLOOKUP('Monthly Data'!$B66,Weather!$BO$3:$CB$20,14,FALSE)/Weather!$CB$14</f>
        <v>42557.497292473476</v>
      </c>
      <c r="U66" s="7">
        <f t="shared" ca="1" si="174"/>
        <v>19659561.923450243</v>
      </c>
      <c r="V66" s="7">
        <v>65325375.770000003</v>
      </c>
      <c r="W66" s="7">
        <f>IFERROR(VLOOKUP($B66-1,CDM!$V$4:$AJ$17,5,FALSE)/12,0)+IFERROR(VLOOKUP($B66,CDM!$V$41:$AJ$54,5,FALSE)/24,0)+IFERROR(VLOOKUP($B66,CDM!$V$41:$AJ$54,5,FALSE)/2*$C66/78,0)</f>
        <v>4797352.9057531683</v>
      </c>
      <c r="X66" s="7">
        <f t="shared" si="175"/>
        <v>70122728.675753176</v>
      </c>
      <c r="Y66" s="7">
        <f>IFERROR(HLOOKUP(B66-1,'EV Forecast VRZ'!$F$124:$T$130,5,FALSE)/12,0)+IFERROR(((HLOOKUP(B66,'EV Forecast VRZ'!$F$116:$T$122,5,FALSE)-HLOOKUP(B66-1,'EV Forecast VRZ'!$F$124:$T$130,5,FALSE)))*C66/78,0)</f>
        <v>12508.046576923076</v>
      </c>
      <c r="Z66" s="7">
        <f ca="1">HLOOKUP(B66,Heating!$C$102:$O$106,5,FALSE)*INDEX(Weather!$BO$1:$CB$20,MATCH(B66,Weather!$BO$1:$BO$20,0),MATCH(C66,Weather!$BO$1:$CB$1,0))/VLOOKUP(B66,Weather!$BO$2:$CB$20,14,FALSE)*
VLOOKUP('Monthly Data'!$B66,Weather!$BO$3:$CB$20,14,FALSE)/Weather!$CB$14</f>
        <v>24018.591621705356</v>
      </c>
      <c r="AA66" s="7">
        <f t="shared" ca="1" si="176"/>
        <v>70086202.037554547</v>
      </c>
      <c r="AB66" s="7">
        <v>7029275.2300000004</v>
      </c>
      <c r="AC66" s="7">
        <f>IFERROR(VLOOKUP($B66-1,CDM!$V$4:$AJ$17,6,FALSE)/12,0)+IFERROR(VLOOKUP($B66,CDM!$V$41:$AJ$54,6,FALSE)/24,0)+IFERROR(VLOOKUP($B66,CDM!$V$41:$AJ$54,6,FALSE)/2*$C66/78,0)</f>
        <v>225402.4038799346</v>
      </c>
      <c r="AD66" s="7">
        <f t="shared" si="177"/>
        <v>7254677.6338799354</v>
      </c>
      <c r="AE66" s="7">
        <f>IFERROR(HLOOKUP(B66-1,'EV Forecast VRZ'!$F$124:$T$130,6,FALSE)/12,0)+IFERROR(((HLOOKUP(B66,'EV Forecast VRZ'!$F$116:$T$122,6,FALSE)-HLOOKUP(B66-1,'EV Forecast VRZ'!$F$124:$T$130,6,FALSE)))*C66/78,0)</f>
        <v>1786.1504743589742</v>
      </c>
      <c r="AF66" s="7">
        <f t="shared" si="178"/>
        <v>7252891.4834055761</v>
      </c>
      <c r="AG66" s="7">
        <v>20699805.870000001</v>
      </c>
      <c r="AH66" s="7">
        <f>IFERROR(VLOOKUP($B66-1,CDM!$V$4:$AJ$17,7,FALSE)/12,0)+IFERROR(VLOOKUP($B66,CDM!$V$41:$AJ$54,7,FALSE)/24,0)+IFERROR(VLOOKUP($B66,CDM!$V$41:$AJ$54,7,FALSE)/2*$C66/78,0)</f>
        <v>1620276.7707111773</v>
      </c>
      <c r="AI66" s="7">
        <f t="shared" si="179"/>
        <v>22320082.640711177</v>
      </c>
      <c r="AJ66" s="7">
        <f>IFERROR(HLOOKUP(B66-1,'EV Forecast VRZ'!$F$124:$T$130,7,FALSE)/12,0)+IFERROR(((HLOOKUP(B66,'EV Forecast VRZ'!$F$116:$T$122,7,FALSE)-HLOOKUP(B66-1,'EV Forecast VRZ'!$F$124:$T$130,7,FALSE)))*C66/78,0)</f>
        <v>0</v>
      </c>
      <c r="AK66" s="7">
        <f t="shared" si="180"/>
        <v>22320082.640711177</v>
      </c>
      <c r="AL66" s="7">
        <v>811073.64</v>
      </c>
      <c r="AM66" s="7">
        <v>20329.860000000004</v>
      </c>
      <c r="AN66" s="7">
        <v>401573.83</v>
      </c>
      <c r="AO66" s="5">
        <v>174188.07</v>
      </c>
      <c r="AP66" s="5">
        <v>15899.33</v>
      </c>
      <c r="AQ66" s="5">
        <v>37167</v>
      </c>
      <c r="AR66" s="5">
        <v>2698.5</v>
      </c>
      <c r="AS66" s="763">
        <f t="shared" si="187"/>
        <v>53.5</v>
      </c>
      <c r="AT66" s="776">
        <v>112101.75</v>
      </c>
      <c r="AU66" s="776">
        <v>1561</v>
      </c>
      <c r="AV66" s="776">
        <v>9275.5</v>
      </c>
      <c r="AW66" s="776">
        <v>1029</v>
      </c>
      <c r="AX66" s="776">
        <v>4.4166666666666652</v>
      </c>
      <c r="AY66" s="776">
        <v>4</v>
      </c>
      <c r="AZ66" s="776">
        <v>31361.166666666661</v>
      </c>
      <c r="BA66" s="776">
        <v>256.25</v>
      </c>
      <c r="BB66" s="776">
        <v>802.33333333333314</v>
      </c>
      <c r="BC66" s="779">
        <v>30084796.321030099</v>
      </c>
      <c r="BD66" s="779">
        <f>IFERROR(VLOOKUP($B66-1,CDM!$V$4:$AJ$17,11,FALSE)/12,0)+IFERROR(VLOOKUP($B66,CDM!$V$41:$AJ$54,11,FALSE)/24,0)+IFERROR(VLOOKUP($B66,CDM!$V$41:$AJ$54,11,FALSE)/2*$C66/78,0)</f>
        <v>1919845.1866127173</v>
      </c>
      <c r="BE66" s="779">
        <f t="shared" si="123"/>
        <v>32004641.507642817</v>
      </c>
      <c r="BF66" s="779">
        <f>IFERROR(HLOOKUP(B66-1,'EV Forecast WRZ'!$F$124:$T$130,2,FALSE)/12,0)+IFERROR(((HLOOKUP(B66,'EV Forecast WRZ'!$F$116:$T$122,2,FALSE)-HLOOKUP(B66-1,'EV Forecast WRZ'!$F$124:$T$130,2,FALSE)))*C66/78,0)</f>
        <v>68024.258333333346</v>
      </c>
      <c r="BG66" s="779">
        <f ca="1">HLOOKUP(B66,Heating!$R$102:$AD$106,2,FALSE)*INDEX(Weather!$BO$1:$CB$20,MATCH(B66,Weather!$BO$1:$BO$20,0),MATCH(C66,Weather!$BO$1:$CB$1,0))/VLOOKUP(B66,Weather!$BO$2:$CB$20,14,FALSE)*
VLOOKUP('Monthly Data'!$B66,Weather!$BO$3:$CB$20,14,FALSE)/Weather!$CB$14</f>
        <v>67006.560320229881</v>
      </c>
      <c r="BH66" s="779">
        <f t="shared" ca="1" si="181"/>
        <v>31869610.688989256</v>
      </c>
      <c r="BI66" s="779">
        <v>5599966.37099999</v>
      </c>
      <c r="BJ66" s="779">
        <f>IFERROR(VLOOKUP($B66-1,CDM!$V$4:$AJ$17,12,FALSE)/12,0)+IFERROR(VLOOKUP($B66,CDM!$V$41:$AJ$54,12,FALSE)/24,0)+IFERROR(VLOOKUP($B66,CDM!$V$41:$AJ$54,12,FALSE)/2*$C66/78,0)</f>
        <v>216181.80206587008</v>
      </c>
      <c r="BK66" s="779">
        <f t="shared" si="182"/>
        <v>5816148.1730658598</v>
      </c>
      <c r="BL66" s="779">
        <f>IFERROR(HLOOKUP(B66-1,'EV Forecast WRZ'!$F$124:$T$130,3,FALSE)/12,0)+IFERROR(((HLOOKUP(B66,'EV Forecast WRZ'!$F$116:$T$122,3,FALSE)-HLOOKUP(B66-1,'EV Forecast WRZ'!$F$124:$T$130,3,FALSE)))*C66/78,0)</f>
        <v>8409.0756410256417</v>
      </c>
      <c r="BM66" s="779">
        <f ca="1">HLOOKUP(B66,Heating!$R$102:$AD$106,4,FALSE)*INDEX(Weather!$BO$1:$CB$20,MATCH(B66,Weather!$BO$1:$BO$20,0),MATCH(C66,Weather!$BO$1:$CB$1,0))/VLOOKUP(B66,Weather!$BO$2:$CB$20,14,FALSE)*
VLOOKUP('Monthly Data'!$B66,Weather!$BO$3:$CB$20,14,FALSE)/Weather!$CB$14</f>
        <v>10601.874306823642</v>
      </c>
      <c r="BN66" s="779">
        <f t="shared" ca="1" si="183"/>
        <v>5797137.22311801</v>
      </c>
      <c r="BO66" s="779">
        <v>23504938.949999999</v>
      </c>
      <c r="BP66" s="779">
        <f>IFERROR(VLOOKUP($B66-1,CDM!$V$4:$AJ$17,13,FALSE)/12,0)+IFERROR(VLOOKUP($B66,CDM!$V$41:$AJ$54,13,FALSE)/24,0)+IFERROR(VLOOKUP($B66,CDM!$V$41:$AJ$54,13,FALSE)/2*$C66/78,0)</f>
        <v>1807565.4012593231</v>
      </c>
      <c r="BQ66" s="779">
        <f t="shared" si="184"/>
        <v>25312504.351259321</v>
      </c>
      <c r="BR66" s="779">
        <f>IFERROR(HLOOKUP(B66-1,'EV Forecast WRZ'!$F$124:$T$130,4,FALSE)/12,0)+IFERROR(((HLOOKUP(B66,'EV Forecast WRZ'!$F$116:$T$122,4,FALSE)-HLOOKUP(B66-1,'EV Forecast WRZ'!$F$124:$T$130,4,FALSE)))*C66/78,0)</f>
        <v>3816.9686538461538</v>
      </c>
      <c r="BS66" s="779">
        <f ca="1">HLOOKUP(B66,Heating!$R$102:$AD$106,5,FALSE)*INDEX(Weather!$BO$1:$CB$20,MATCH(B66,Weather!$BO$1:$BO$20,0),MATCH(C66,Weather!$BO$1:$CB$1,0))/VLOOKUP(B66,Weather!$BO$2:$CB$20,14,FALSE)*
VLOOKUP('Monthly Data'!$B66,Weather!$BO$3:$CB$20,14,FALSE)/Weather!$CB$14</f>
        <v>7103.1800132955095</v>
      </c>
      <c r="BT66" s="779">
        <f t="shared" ca="1" si="185"/>
        <v>25301584.202592179</v>
      </c>
      <c r="BU66" s="779">
        <v>7467575.6699999999</v>
      </c>
      <c r="BV66" s="779">
        <f>IFERROR(VLOOKUP($B66-1,CDM!$V$4:$AJ$17,14,FALSE)/12,0)+IFERROR(VLOOKUP($B66,CDM!$V$41:$AJ$54,14,FALSE)/24,0)+IFERROR(VLOOKUP($B66,CDM!$V$41:$AJ$54,14,FALSE)/2*$C66/78,0)</f>
        <v>406380.7505840442</v>
      </c>
      <c r="BW66" s="779">
        <f t="shared" si="186"/>
        <v>7873956.4205840444</v>
      </c>
      <c r="BX66" s="779">
        <f>IFERROR(HLOOKUP(B66-1,'EV Forecast WRZ'!$F$124:$T$130,5,FALSE)/12,0)+IFERROR(((HLOOKUP(B66,'EV Forecast WRZ'!$F$116:$T$122,5,FALSE)-HLOOKUP(B66-1,'EV Forecast WRZ'!$F$124:$T$130,5,FALSE)))*C66/78,0)</f>
        <v>551.99224358974357</v>
      </c>
      <c r="BY66" s="779">
        <f t="shared" si="124"/>
        <v>7873404.4283404546</v>
      </c>
      <c r="BZ66" s="779">
        <v>236948.97</v>
      </c>
      <c r="CA66" s="779">
        <v>2067.9919129146574</v>
      </c>
      <c r="CB66" s="5">
        <v>161237.24</v>
      </c>
      <c r="CC66" s="5">
        <v>59109.01</v>
      </c>
      <c r="CD66" s="5">
        <v>12500.13</v>
      </c>
      <c r="CE66" s="5">
        <v>790.42</v>
      </c>
      <c r="CF66" s="763">
        <f t="shared" si="188"/>
        <v>6</v>
      </c>
      <c r="CG66" s="785">
        <v>41778.25</v>
      </c>
      <c r="CH66" s="785">
        <v>2280.3333333333326</v>
      </c>
      <c r="CI66" s="785">
        <v>380.75</v>
      </c>
      <c r="CJ66" s="785">
        <v>3</v>
      </c>
      <c r="CK66" s="785">
        <v>12682.91666666667</v>
      </c>
      <c r="CL66" s="785">
        <v>37</v>
      </c>
      <c r="CM66" s="785">
        <v>388.66666666666657</v>
      </c>
      <c r="CN66" s="46">
        <f>Weather!C78</f>
        <v>265.14107142857148</v>
      </c>
      <c r="CO66" s="46">
        <f>Weather!D78</f>
        <v>7.9916666666666636</v>
      </c>
      <c r="CP66" s="46">
        <f>Weather!E78</f>
        <v>212.73690476190475</v>
      </c>
      <c r="CQ66" s="46">
        <f>Weather!F78</f>
        <v>17.587499999999995</v>
      </c>
      <c r="CR66" s="46">
        <f>Weather!G78</f>
        <v>164.60000000000005</v>
      </c>
      <c r="CS66" s="46">
        <f>Weather!H78</f>
        <v>31.450595238095232</v>
      </c>
      <c r="CT66" s="46">
        <f>Weather!I78</f>
        <v>122.05</v>
      </c>
      <c r="CU66" s="46">
        <f>Weather!J78</f>
        <v>50.900595238095221</v>
      </c>
      <c r="CV66" s="46">
        <f>Weather!K78</f>
        <v>86.899999999999977</v>
      </c>
      <c r="CW66" s="46">
        <f>Weather!L78</f>
        <v>77.750595238095229</v>
      </c>
      <c r="CX66" s="46">
        <f>Weather!M78</f>
        <v>59.029166666666669</v>
      </c>
      <c r="CY66" s="46">
        <f>Weather!N78</f>
        <v>111.87976190476191</v>
      </c>
      <c r="CZ66" s="46">
        <f>Weather!O78</f>
        <v>36.524999999999999</v>
      </c>
      <c r="DA66" s="46">
        <f>Weather!P78</f>
        <v>151.37559523809523</v>
      </c>
      <c r="DB66" s="368">
        <f>'Economic Data'!D80</f>
        <v>6572.6</v>
      </c>
      <c r="DC66" s="368">
        <f>'Economic Data'!E80</f>
        <v>6550.9</v>
      </c>
      <c r="DD66" s="368">
        <f>'Economic Data'!F80</f>
        <v>195.4</v>
      </c>
      <c r="DE66" s="368">
        <f>'Economic Data'!G80</f>
        <v>197</v>
      </c>
      <c r="DF66" s="368">
        <f>'Economic Data'!H80</f>
        <v>43.9</v>
      </c>
      <c r="DG66" s="368">
        <f>'Economic Data'!I80</f>
        <v>43.9</v>
      </c>
      <c r="DH66" s="368">
        <f>'Economic Data'!J80</f>
        <v>769942</v>
      </c>
      <c r="DI66" s="368">
        <f>'Economic Data'!K80</f>
        <v>596521.6</v>
      </c>
      <c r="DJ66" s="368">
        <f>'Economic Data'!L80</f>
        <v>85928.9</v>
      </c>
      <c r="DK66" s="368">
        <f>'Economic Data'!M80</f>
        <v>23899.8</v>
      </c>
      <c r="DL66" s="368">
        <f>'Economic Data'!N80</f>
        <v>706539</v>
      </c>
      <c r="DM66" s="368">
        <f>'Economic Data'!O80</f>
        <v>72582</v>
      </c>
      <c r="DN66" s="368">
        <f>'Economic Data'!P80</f>
        <v>8855</v>
      </c>
      <c r="DO66" s="368">
        <f>'Economic Data'!Q80</f>
        <v>552481</v>
      </c>
      <c r="DP66" s="368">
        <f>'Economic Data'!R80</f>
        <v>20965</v>
      </c>
      <c r="DQ66">
        <v>31</v>
      </c>
      <c r="DR66">
        <v>20</v>
      </c>
      <c r="DS66">
        <v>0</v>
      </c>
      <c r="DT66">
        <v>0</v>
      </c>
      <c r="DU66">
        <v>0</v>
      </c>
      <c r="DV66">
        <v>0</v>
      </c>
      <c r="DW66">
        <v>1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1</v>
      </c>
      <c r="EF66">
        <v>0</v>
      </c>
      <c r="EG66">
        <v>1</v>
      </c>
      <c r="EH66">
        <f t="shared" si="69"/>
        <v>65</v>
      </c>
      <c r="EI66">
        <v>1</v>
      </c>
      <c r="EJ66">
        <v>1</v>
      </c>
      <c r="EK66">
        <v>1</v>
      </c>
      <c r="EL66">
        <v>1</v>
      </c>
      <c r="EM66" s="47">
        <f t="shared" si="125"/>
        <v>265.14107142857148</v>
      </c>
      <c r="EN66" s="47">
        <f t="shared" si="126"/>
        <v>7.9916666666666636</v>
      </c>
      <c r="EO66" s="47">
        <f t="shared" si="127"/>
        <v>212.73690476190475</v>
      </c>
      <c r="EP66" s="47">
        <f t="shared" si="128"/>
        <v>17.587499999999995</v>
      </c>
      <c r="EQ66" s="47">
        <f t="shared" si="129"/>
        <v>164.60000000000005</v>
      </c>
      <c r="ER66" s="47">
        <f t="shared" si="130"/>
        <v>31.450595238095232</v>
      </c>
      <c r="ES66" s="47">
        <f t="shared" si="131"/>
        <v>122.05</v>
      </c>
      <c r="ET66" s="47">
        <f t="shared" si="132"/>
        <v>50.900595238095221</v>
      </c>
      <c r="EU66" s="47">
        <f t="shared" si="133"/>
        <v>86.899999999999977</v>
      </c>
      <c r="EV66" s="47">
        <f t="shared" si="134"/>
        <v>77.750595238095229</v>
      </c>
      <c r="EW66" s="47">
        <f t="shared" si="135"/>
        <v>59.029166666666669</v>
      </c>
      <c r="EX66" s="47">
        <f t="shared" si="136"/>
        <v>111.87976190476191</v>
      </c>
      <c r="EY66" s="47">
        <f t="shared" si="137"/>
        <v>36.524999999999999</v>
      </c>
      <c r="EZ66" s="47">
        <f t="shared" si="138"/>
        <v>151.37559523809523</v>
      </c>
      <c r="FA66" s="47">
        <f t="shared" si="139"/>
        <v>265.14107142857148</v>
      </c>
      <c r="FB66" s="47">
        <f t="shared" si="140"/>
        <v>7.9916666666666636</v>
      </c>
      <c r="FC66" s="47">
        <f t="shared" si="141"/>
        <v>212.73690476190475</v>
      </c>
      <c r="FD66" s="47">
        <f t="shared" si="142"/>
        <v>17.587499999999995</v>
      </c>
      <c r="FE66" s="47">
        <f t="shared" si="143"/>
        <v>164.60000000000005</v>
      </c>
      <c r="FF66" s="47">
        <f t="shared" si="144"/>
        <v>31.450595238095232</v>
      </c>
      <c r="FG66" s="47">
        <f t="shared" si="145"/>
        <v>122.05</v>
      </c>
      <c r="FH66" s="47">
        <f t="shared" si="146"/>
        <v>50.900595238095221</v>
      </c>
      <c r="FI66" s="47">
        <f t="shared" si="147"/>
        <v>86.899999999999977</v>
      </c>
      <c r="FJ66" s="47">
        <f t="shared" si="148"/>
        <v>77.750595238095229</v>
      </c>
      <c r="FK66" s="47">
        <f t="shared" si="149"/>
        <v>59.029166666666669</v>
      </c>
      <c r="FL66" s="47">
        <f t="shared" si="150"/>
        <v>111.87976190476191</v>
      </c>
      <c r="FM66" s="47">
        <f t="shared" si="151"/>
        <v>36.524999999999999</v>
      </c>
      <c r="FN66" s="47">
        <f t="shared" si="152"/>
        <v>151.37559523809523</v>
      </c>
      <c r="FO66" s="765">
        <f t="shared" ca="1" si="153"/>
        <v>714.52485189084132</v>
      </c>
      <c r="FP66" s="765">
        <f t="shared" si="154"/>
        <v>652.42860196179561</v>
      </c>
      <c r="FQ66" s="765">
        <f t="shared" si="155"/>
        <v>2127.0754766940922</v>
      </c>
      <c r="FR66" s="765">
        <f t="shared" si="156"/>
        <v>68146.480734454017</v>
      </c>
      <c r="FS66" s="765">
        <f t="shared" si="157"/>
        <v>1642568.5208784766</v>
      </c>
      <c r="FT66" s="765">
        <f t="shared" si="158"/>
        <v>5580020.6601777943</v>
      </c>
      <c r="FU66" s="765">
        <f t="shared" si="159"/>
        <v>25.862355460840643</v>
      </c>
      <c r="FV66" s="765">
        <f t="shared" si="160"/>
        <v>79.33603902439026</v>
      </c>
      <c r="FW66" s="765">
        <f t="shared" si="161"/>
        <v>500.50747403406746</v>
      </c>
      <c r="FX66" s="765">
        <f t="shared" si="162"/>
        <v>766.05988780388884</v>
      </c>
      <c r="FY66" s="765">
        <f t="shared" si="163"/>
        <v>2550.569290922027</v>
      </c>
      <c r="FZ66" s="765">
        <f t="shared" si="164"/>
        <v>66480.641762992309</v>
      </c>
      <c r="GA66" s="765">
        <f t="shared" si="165"/>
        <v>78982.990000000005</v>
      </c>
      <c r="GB66" s="765">
        <f t="shared" si="166"/>
        <v>18.682529912283581</v>
      </c>
      <c r="GC66" s="765">
        <f t="shared" si="167"/>
        <v>55.891673322017766</v>
      </c>
      <c r="GD66" s="765">
        <f t="shared" si="168"/>
        <v>414.84710120068621</v>
      </c>
    </row>
    <row r="67" spans="1:186">
      <c r="A67" s="4">
        <v>43983</v>
      </c>
      <c r="B67" s="6">
        <v>2020</v>
      </c>
      <c r="C67" s="5">
        <v>6</v>
      </c>
      <c r="D67" s="7">
        <v>91676340.201578692</v>
      </c>
      <c r="E67" s="7">
        <f>IFERROR(VLOOKUP($B67-1,CDM!$V$4:$AJ$17,2,FALSE)/12,0)+IFERROR(VLOOKUP($B67,CDM!$V$41:$AJ$54,2,FALSE)/24,0)+IFERROR(VLOOKUP($B67,CDM!$V$41:$AJ$54,2,FALSE)/2*$C67/78,0)</f>
        <v>3831041.3823524732</v>
      </c>
      <c r="F67" s="7">
        <f t="shared" si="169"/>
        <v>95507381.583931163</v>
      </c>
      <c r="G67" s="7">
        <f>IFERROR(HLOOKUP(B67-1,'EV Forecast VRZ'!$F$124:$T$130,2,FALSE)/12,0)+IFERROR(((HLOOKUP(B67,'EV Forecast VRZ'!$F$116:$T$122,2,FALSE)-HLOOKUP(B67-1,'EV Forecast VRZ'!$F$124:$T$130,2,FALSE)))*C67/78,0)</f>
        <v>225406.50157395913</v>
      </c>
      <c r="H67" s="7">
        <f ca="1">HLOOKUP(B67,Heating!$C$102:$O$106,2,FALSE)*INDEX(Weather!$BO$1:$CB$20,MATCH(B67,Weather!$BO$1:$BO$20,0),MATCH(C67,Weather!$BO$1:$CB$1,0))/VLOOKUP(B67,Weather!$BO$2:$CB$20,14,FALSE)*
VLOOKUP('Monthly Data'!$B67,Weather!$BO$3:$CB$20,14,FALSE)/Weather!$CB$14</f>
        <v>23793.300635567273</v>
      </c>
      <c r="I67" s="7">
        <f t="shared" ca="1" si="170"/>
        <v>95258181.781721637</v>
      </c>
      <c r="J67" s="7">
        <v>893037.08716999996</v>
      </c>
      <c r="K67" s="7">
        <f>IFERROR(VLOOKUP($B67-1,CDM!$V$4:$AJ$17,3,FALSE)/12,0)+IFERROR(VLOOKUP($B67,CDM!$V$41:$AJ$54,3,FALSE)/24,0)+IFERROR(VLOOKUP($B67,CDM!$V$41:$AJ$54,3,FALSE)/2*$C67/78,0)</f>
        <v>43879.995494133422</v>
      </c>
      <c r="L67" s="7">
        <f t="shared" si="171"/>
        <v>936917.0826641334</v>
      </c>
      <c r="M67" s="7">
        <f>IFERROR(HLOOKUP(B67-1,'EV Forecast VRZ'!$F$124:$T$130,3,FALSE)/12,0)+IFERROR(((HLOOKUP(B67,'EV Forecast VRZ'!$F$116:$T$122,3,FALSE)-HLOOKUP(B67-1,'EV Forecast VRZ'!$F$124:$T$130,3,FALSE)))*C67/78,0)</f>
        <v>3066.5207337331631</v>
      </c>
      <c r="N67" s="7">
        <f ca="1">HLOOKUP(B67,Heating!$C$102:$O$106,3,FALSE)*INDEX(Weather!$BO$1:$CB$20,MATCH(B67,Weather!$BO$1:$BO$20,0),MATCH(C67,Weather!$BO$1:$CB$1,0))/VLOOKUP(B67,Weather!$BO$2:$CB$20,14,FALSE)*
VLOOKUP('Monthly Data'!$B67,Weather!$BO$3:$CB$20,14,FALSE)/Weather!$CB$14</f>
        <v>315.0989685543118</v>
      </c>
      <c r="O67" s="7">
        <f t="shared" ca="1" si="172"/>
        <v>933535.46296184591</v>
      </c>
      <c r="P67" s="7">
        <v>20702668.818460003</v>
      </c>
      <c r="Q67" s="7">
        <f>IFERROR(VLOOKUP($B67-1,CDM!$V$4:$AJ$17,4,FALSE)/12,0)+IFERROR(VLOOKUP($B67,CDM!$V$41:$AJ$54,4,FALSE)/24,0)+IFERROR(VLOOKUP($B67,CDM!$V$41:$AJ$54,4,FALSE)/2*$C67/78,0)</f>
        <v>1347120.4673599487</v>
      </c>
      <c r="R67" s="7">
        <f t="shared" si="173"/>
        <v>22049789.285819951</v>
      </c>
      <c r="S67" s="7">
        <f>IFERROR(HLOOKUP(B67-1,'EV Forecast VRZ'!$F$124:$T$130,4,FALSE)/12,0)+IFERROR(((HLOOKUP(B67,'EV Forecast VRZ'!$F$116:$T$122,4,FALSE)-HLOOKUP(B67-1,'EV Forecast VRZ'!$F$124:$T$130,4,FALSE)))*C67/78,0)</f>
        <v>28142.980000000003</v>
      </c>
      <c r="T67" s="7">
        <f ca="1">HLOOKUP(B67,Heating!$C$102:$O$106,4,FALSE)*INDEX(Weather!$BO$1:$CB$20,MATCH(B67,Weather!$BO$1:$BO$20,0),MATCH(C67,Weather!$BO$1:$CB$1,0))/VLOOKUP(B67,Weather!$BO$2:$CB$20,14,FALSE)*
VLOOKUP('Monthly Data'!$B67,Weather!$BO$3:$CB$20,14,FALSE)/Weather!$CB$14</f>
        <v>5948.0805845405857</v>
      </c>
      <c r="U67" s="7">
        <f t="shared" ca="1" si="174"/>
        <v>22015698.22523541</v>
      </c>
      <c r="V67" s="7">
        <v>73301362.409999996</v>
      </c>
      <c r="W67" s="7">
        <f>IFERROR(VLOOKUP($B67-1,CDM!$V$4:$AJ$17,5,FALSE)/12,0)+IFERROR(VLOOKUP($B67,CDM!$V$41:$AJ$54,5,FALSE)/24,0)+IFERROR(VLOOKUP($B67,CDM!$V$41:$AJ$54,5,FALSE)/2*$C67/78,0)</f>
        <v>4829291.6563776042</v>
      </c>
      <c r="X67" s="7">
        <f t="shared" si="175"/>
        <v>78130654.066377595</v>
      </c>
      <c r="Y67" s="7">
        <f>IFERROR(HLOOKUP(B67-1,'EV Forecast VRZ'!$F$124:$T$130,5,FALSE)/12,0)+IFERROR(((HLOOKUP(B67,'EV Forecast VRZ'!$F$116:$T$122,5,FALSE)-HLOOKUP(B67-1,'EV Forecast VRZ'!$F$124:$T$130,5,FALSE)))*C67/78,0)</f>
        <v>12766.648692307692</v>
      </c>
      <c r="Z67" s="7">
        <f ca="1">HLOOKUP(B67,Heating!$C$102:$O$106,5,FALSE)*INDEX(Weather!$BO$1:$CB$20,MATCH(B67,Weather!$BO$1:$BO$20,0),MATCH(C67,Weather!$BO$1:$CB$1,0))/VLOOKUP(B67,Weather!$BO$2:$CB$20,14,FALSE)*
VLOOKUP('Monthly Data'!$B67,Weather!$BO$3:$CB$20,14,FALSE)/Weather!$CB$14</f>
        <v>3356.9765043101152</v>
      </c>
      <c r="AA67" s="7">
        <f t="shared" ca="1" si="176"/>
        <v>78114530.441180974</v>
      </c>
      <c r="AB67" s="7">
        <v>7429352.6399999997</v>
      </c>
      <c r="AC67" s="7">
        <f>IFERROR(VLOOKUP($B67-1,CDM!$V$4:$AJ$17,6,FALSE)/12,0)+IFERROR(VLOOKUP($B67,CDM!$V$41:$AJ$54,6,FALSE)/24,0)+IFERROR(VLOOKUP($B67,CDM!$V$41:$AJ$54,6,FALSE)/2*$C67/78,0)</f>
        <v>226717.87549912048</v>
      </c>
      <c r="AD67" s="7">
        <f t="shared" si="177"/>
        <v>7656070.5154991206</v>
      </c>
      <c r="AE67" s="7">
        <f>IFERROR(HLOOKUP(B67-1,'EV Forecast VRZ'!$F$124:$T$130,6,FALSE)/12,0)+IFERROR(((HLOOKUP(B67,'EV Forecast VRZ'!$F$116:$T$122,6,FALSE)-HLOOKUP(B67-1,'EV Forecast VRZ'!$F$124:$T$130,6,FALSE)))*C67/78,0)</f>
        <v>1816.3797692307689</v>
      </c>
      <c r="AF67" s="7">
        <f t="shared" si="178"/>
        <v>7654254.1357298894</v>
      </c>
      <c r="AG67" s="7">
        <v>22662289.079999998</v>
      </c>
      <c r="AH67" s="7">
        <f>IFERROR(VLOOKUP($B67-1,CDM!$V$4:$AJ$17,7,FALSE)/12,0)+IFERROR(VLOOKUP($B67,CDM!$V$41:$AJ$54,7,FALSE)/24,0)+IFERROR(VLOOKUP($B67,CDM!$V$41:$AJ$54,7,FALSE)/2*$C67/78,0)</f>
        <v>1625308.7703224104</v>
      </c>
      <c r="AI67" s="7">
        <f t="shared" si="179"/>
        <v>24287597.85032241</v>
      </c>
      <c r="AJ67" s="7">
        <f>IFERROR(HLOOKUP(B67-1,'EV Forecast VRZ'!$F$124:$T$130,7,FALSE)/12,0)+IFERROR(((HLOOKUP(B67,'EV Forecast VRZ'!$F$116:$T$122,7,FALSE)-HLOOKUP(B67-1,'EV Forecast VRZ'!$F$124:$T$130,7,FALSE)))*C67/78,0)</f>
        <v>0</v>
      </c>
      <c r="AK67" s="7">
        <f t="shared" si="180"/>
        <v>24287597.85032241</v>
      </c>
      <c r="AL67" s="7">
        <v>735963.16</v>
      </c>
      <c r="AM67" s="7">
        <v>23940.66</v>
      </c>
      <c r="AN67" s="7">
        <v>401539.23</v>
      </c>
      <c r="AO67" s="5">
        <v>184612.86</v>
      </c>
      <c r="AP67" s="5">
        <v>16313.12</v>
      </c>
      <c r="AQ67" s="5">
        <v>38634</v>
      </c>
      <c r="AR67" s="5">
        <v>2700.54</v>
      </c>
      <c r="AS67" s="763">
        <f t="shared" si="187"/>
        <v>53.5</v>
      </c>
      <c r="AT67" s="776">
        <v>112179.5</v>
      </c>
      <c r="AU67" s="776">
        <v>1561</v>
      </c>
      <c r="AV67" s="776">
        <v>9277</v>
      </c>
      <c r="AW67" s="776">
        <v>1031</v>
      </c>
      <c r="AX67" s="776">
        <v>4.4999999999999982</v>
      </c>
      <c r="AY67" s="776">
        <v>4</v>
      </c>
      <c r="AZ67" s="776">
        <v>31396.999999999993</v>
      </c>
      <c r="BA67" s="776">
        <v>255.5</v>
      </c>
      <c r="BB67" s="776">
        <v>801.99999999999977</v>
      </c>
      <c r="BC67" s="779">
        <v>38414383.222709902</v>
      </c>
      <c r="BD67" s="779">
        <f>IFERROR(VLOOKUP($B67-1,CDM!$V$4:$AJ$17,11,FALSE)/12,0)+IFERROR(VLOOKUP($B67,CDM!$V$41:$AJ$54,11,FALSE)/24,0)+IFERROR(VLOOKUP($B67,CDM!$V$41:$AJ$54,11,FALSE)/2*$C67/78,0)</f>
        <v>1919908.935381731</v>
      </c>
      <c r="BE67" s="779">
        <f t="shared" si="123"/>
        <v>40334292.158091635</v>
      </c>
      <c r="BF67" s="779">
        <f>IFERROR(HLOOKUP(B67-1,'EV Forecast WRZ'!$F$124:$T$130,2,FALSE)/12,0)+IFERROR(((HLOOKUP(B67,'EV Forecast WRZ'!$F$116:$T$122,2,FALSE)-HLOOKUP(B67-1,'EV Forecast WRZ'!$F$124:$T$130,2,FALSE)))*C67/78,0)</f>
        <v>69679.195000000007</v>
      </c>
      <c r="BG67" s="779">
        <f ca="1">HLOOKUP(B67,Heating!$R$102:$AD$106,2,FALSE)*INDEX(Weather!$BO$1:$CB$20,MATCH(B67,Weather!$BO$1:$BO$20,0),MATCH(C67,Weather!$BO$1:$CB$1,0))/VLOOKUP(B67,Weather!$BO$2:$CB$20,14,FALSE)*
VLOOKUP('Monthly Data'!$B67,Weather!$BO$3:$CB$20,14,FALSE)/Weather!$CB$14</f>
        <v>9365.2222483509286</v>
      </c>
      <c r="BH67" s="779">
        <f t="shared" ca="1" si="181"/>
        <v>40255247.740843281</v>
      </c>
      <c r="BI67" s="779">
        <v>6444108.9209900098</v>
      </c>
      <c r="BJ67" s="779">
        <f>IFERROR(VLOOKUP($B67-1,CDM!$V$4:$AJ$17,12,FALSE)/12,0)+IFERROR(VLOOKUP($B67,CDM!$V$41:$AJ$54,12,FALSE)/24,0)+IFERROR(VLOOKUP($B67,CDM!$V$41:$AJ$54,12,FALSE)/2*$C67/78,0)</f>
        <v>217058.42333783497</v>
      </c>
      <c r="BK67" s="779">
        <f t="shared" si="182"/>
        <v>6661167.3443278447</v>
      </c>
      <c r="BL67" s="779">
        <f>IFERROR(HLOOKUP(B67-1,'EV Forecast WRZ'!$F$124:$T$130,3,FALSE)/12,0)+IFERROR(((HLOOKUP(B67,'EV Forecast WRZ'!$F$116:$T$122,3,FALSE)-HLOOKUP(B67-1,'EV Forecast WRZ'!$F$124:$T$130,3,FALSE)))*C67/78,0)</f>
        <v>8610.9007692307696</v>
      </c>
      <c r="BM67" s="779">
        <f ca="1">HLOOKUP(B67,Heating!$R$102:$AD$106,4,FALSE)*INDEX(Weather!$BO$1:$CB$20,MATCH(B67,Weather!$BO$1:$BO$20,0),MATCH(C67,Weather!$BO$1:$CB$1,0))/VLOOKUP(B67,Weather!$BO$2:$CB$20,14,FALSE)*
VLOOKUP('Monthly Data'!$B67,Weather!$BO$3:$CB$20,14,FALSE)/Weather!$CB$14</f>
        <v>1481.7789281821802</v>
      </c>
      <c r="BN67" s="779">
        <f t="shared" ca="1" si="183"/>
        <v>6651074.6646304317</v>
      </c>
      <c r="BO67" s="779">
        <v>28194603.760000002</v>
      </c>
      <c r="BP67" s="779">
        <f>IFERROR(VLOOKUP($B67-1,CDM!$V$4:$AJ$17,13,FALSE)/12,0)+IFERROR(VLOOKUP($B67,CDM!$V$41:$AJ$54,13,FALSE)/24,0)+IFERROR(VLOOKUP($B67,CDM!$V$41:$AJ$54,13,FALSE)/2*$C67/78,0)</f>
        <v>1832794.7480149497</v>
      </c>
      <c r="BQ67" s="779">
        <f t="shared" si="184"/>
        <v>30027398.508014951</v>
      </c>
      <c r="BR67" s="779">
        <f>IFERROR(HLOOKUP(B67-1,'EV Forecast WRZ'!$F$124:$T$130,4,FALSE)/12,0)+IFERROR(((HLOOKUP(B67,'EV Forecast WRZ'!$F$116:$T$122,4,FALSE)-HLOOKUP(B67-1,'EV Forecast WRZ'!$F$124:$T$130,4,FALSE)))*C67/78,0)</f>
        <v>3908.3668846153846</v>
      </c>
      <c r="BS67" s="779">
        <f ca="1">HLOOKUP(B67,Heating!$R$102:$AD$106,5,FALSE)*INDEX(Weather!$BO$1:$CB$20,MATCH(B67,Weather!$BO$1:$BO$20,0),MATCH(C67,Weather!$BO$1:$CB$1,0))/VLOOKUP(B67,Weather!$BO$2:$CB$20,14,FALSE)*
VLOOKUP('Monthly Data'!$B67,Weather!$BO$3:$CB$20,14,FALSE)/Weather!$CB$14</f>
        <v>992.78129151292796</v>
      </c>
      <c r="BT67" s="779">
        <f t="shared" ca="1" si="185"/>
        <v>30022497.359838821</v>
      </c>
      <c r="BU67" s="779">
        <v>7286482.4900000002</v>
      </c>
      <c r="BV67" s="779">
        <f>IFERROR(VLOOKUP($B67-1,CDM!$V$4:$AJ$17,14,FALSE)/12,0)+IFERROR(VLOOKUP($B67,CDM!$V$41:$AJ$54,14,FALSE)/24,0)+IFERROR(VLOOKUP($B67,CDM!$V$41:$AJ$54,14,FALSE)/2*$C67/78,0)</f>
        <v>412052.86671558424</v>
      </c>
      <c r="BW67" s="779">
        <f t="shared" si="186"/>
        <v>7698535.3567155842</v>
      </c>
      <c r="BX67" s="779">
        <f>IFERROR(HLOOKUP(B67-1,'EV Forecast WRZ'!$F$124:$T$130,5,FALSE)/12,0)+IFERROR(((HLOOKUP(B67,'EV Forecast WRZ'!$F$116:$T$122,5,FALSE)-HLOOKUP(B67-1,'EV Forecast WRZ'!$F$124:$T$130,5,FALSE)))*C67/78,0)</f>
        <v>564.39119230769222</v>
      </c>
      <c r="BY67" s="779">
        <f t="shared" si="124"/>
        <v>7697970.9655232765</v>
      </c>
      <c r="BZ67" s="779">
        <v>214844.75</v>
      </c>
      <c r="CA67" s="779">
        <v>2067.9919129146574</v>
      </c>
      <c r="CB67" s="5">
        <v>161237.37</v>
      </c>
      <c r="CC67" s="5">
        <v>78939.039999999994</v>
      </c>
      <c r="CD67" s="5">
        <v>11880.21</v>
      </c>
      <c r="CE67" s="5">
        <v>790.42</v>
      </c>
      <c r="CF67" s="763">
        <f t="shared" si="188"/>
        <v>6</v>
      </c>
      <c r="CG67" s="785">
        <v>41846.5</v>
      </c>
      <c r="CH67" s="785">
        <v>2282.9999999999991</v>
      </c>
      <c r="CI67" s="785">
        <v>381.5</v>
      </c>
      <c r="CJ67" s="785">
        <v>3</v>
      </c>
      <c r="CK67" s="785">
        <v>12699.500000000004</v>
      </c>
      <c r="CL67" s="785">
        <v>37</v>
      </c>
      <c r="CM67" s="785">
        <v>388.99999999999989</v>
      </c>
      <c r="CN67" s="46">
        <f>Weather!C79</f>
        <v>53.275000000000006</v>
      </c>
      <c r="CO67" s="46">
        <f>Weather!D79</f>
        <v>35.811231884057946</v>
      </c>
      <c r="CP67" s="46">
        <f>Weather!E79</f>
        <v>29.733333333333348</v>
      </c>
      <c r="CQ67" s="46">
        <f>Weather!F79</f>
        <v>72.269565217391289</v>
      </c>
      <c r="CR67" s="46">
        <f>Weather!G79</f>
        <v>13.145833333333346</v>
      </c>
      <c r="CS67" s="46">
        <f>Weather!H79</f>
        <v>115.68206521739128</v>
      </c>
      <c r="CT67" s="46">
        <f>Weather!I79</f>
        <v>3.4333333333333353</v>
      </c>
      <c r="CU67" s="46">
        <f>Weather!J79</f>
        <v>165.96956521739128</v>
      </c>
      <c r="CV67" s="46">
        <f>Weather!K79</f>
        <v>0</v>
      </c>
      <c r="CW67" s="46">
        <f>Weather!L79</f>
        <v>222.53623188405788</v>
      </c>
      <c r="CX67" s="46">
        <f>Weather!M79</f>
        <v>0</v>
      </c>
      <c r="CY67" s="46">
        <f>Weather!N79</f>
        <v>282.53623188405788</v>
      </c>
      <c r="CZ67" s="46">
        <f>Weather!O79</f>
        <v>0</v>
      </c>
      <c r="DA67" s="46">
        <f>Weather!P79</f>
        <v>342.536231884058</v>
      </c>
      <c r="DB67" s="368">
        <f>'Economic Data'!D81</f>
        <v>6477.4</v>
      </c>
      <c r="DC67" s="368">
        <f>'Economic Data'!E81</f>
        <v>6515.6</v>
      </c>
      <c r="DD67" s="368">
        <f>'Economic Data'!F81</f>
        <v>193</v>
      </c>
      <c r="DE67" s="368">
        <f>'Economic Data'!G81</f>
        <v>195.5</v>
      </c>
      <c r="DF67" s="368">
        <f>'Economic Data'!H81</f>
        <v>44.1</v>
      </c>
      <c r="DG67" s="368">
        <f>'Economic Data'!I81</f>
        <v>44.1</v>
      </c>
      <c r="DH67" s="368">
        <f>'Economic Data'!J81</f>
        <v>769942</v>
      </c>
      <c r="DI67" s="368">
        <f>'Economic Data'!K81</f>
        <v>596521.6</v>
      </c>
      <c r="DJ67" s="368">
        <f>'Economic Data'!L81</f>
        <v>85928.9</v>
      </c>
      <c r="DK67" s="368">
        <f>'Economic Data'!M81</f>
        <v>23899.8</v>
      </c>
      <c r="DL67" s="368">
        <f>'Economic Data'!N81</f>
        <v>706539</v>
      </c>
      <c r="DM67" s="368">
        <f>'Economic Data'!O81</f>
        <v>72582</v>
      </c>
      <c r="DN67" s="368">
        <f>'Economic Data'!P81</f>
        <v>8855</v>
      </c>
      <c r="DO67" s="368">
        <f>'Economic Data'!Q81</f>
        <v>552481</v>
      </c>
      <c r="DP67" s="368">
        <f>'Economic Data'!R81</f>
        <v>20965</v>
      </c>
      <c r="DQ67">
        <v>30</v>
      </c>
      <c r="DR67">
        <v>22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f t="shared" si="69"/>
        <v>66</v>
      </c>
      <c r="EI67">
        <v>1</v>
      </c>
      <c r="EJ67">
        <v>0.5</v>
      </c>
      <c r="EK67">
        <v>1</v>
      </c>
      <c r="EL67">
        <v>0.5</v>
      </c>
      <c r="EM67" s="47">
        <f t="shared" si="125"/>
        <v>26.637500000000003</v>
      </c>
      <c r="EN67" s="47">
        <f t="shared" si="126"/>
        <v>17.905615942028973</v>
      </c>
      <c r="EO67" s="47">
        <f t="shared" si="127"/>
        <v>14.866666666666674</v>
      </c>
      <c r="EP67" s="47">
        <f t="shared" si="128"/>
        <v>36.134782608695645</v>
      </c>
      <c r="EQ67" s="47">
        <f t="shared" si="129"/>
        <v>6.5729166666666732</v>
      </c>
      <c r="ER67" s="47">
        <f t="shared" si="130"/>
        <v>57.841032608695642</v>
      </c>
      <c r="ES67" s="47">
        <f t="shared" si="131"/>
        <v>1.7166666666666677</v>
      </c>
      <c r="ET67" s="47">
        <f t="shared" si="132"/>
        <v>82.984782608695639</v>
      </c>
      <c r="EU67" s="47">
        <f t="shared" si="133"/>
        <v>0</v>
      </c>
      <c r="EV67" s="47">
        <f t="shared" si="134"/>
        <v>111.26811594202894</v>
      </c>
      <c r="EW67" s="47">
        <f t="shared" si="135"/>
        <v>0</v>
      </c>
      <c r="EX67" s="47">
        <f t="shared" si="136"/>
        <v>141.26811594202894</v>
      </c>
      <c r="EY67" s="47">
        <f t="shared" si="137"/>
        <v>0</v>
      </c>
      <c r="EZ67" s="47">
        <f t="shared" si="138"/>
        <v>171.268115942029</v>
      </c>
      <c r="FA67" s="47">
        <f t="shared" si="139"/>
        <v>53.275000000000006</v>
      </c>
      <c r="FB67" s="47">
        <f t="shared" si="140"/>
        <v>35.811231884057946</v>
      </c>
      <c r="FC67" s="47">
        <f t="shared" si="141"/>
        <v>29.733333333333348</v>
      </c>
      <c r="FD67" s="47">
        <f t="shared" si="142"/>
        <v>72.269565217391289</v>
      </c>
      <c r="FE67" s="47">
        <f t="shared" si="143"/>
        <v>13.145833333333346</v>
      </c>
      <c r="FF67" s="47">
        <f t="shared" si="144"/>
        <v>115.68206521739128</v>
      </c>
      <c r="FG67" s="47">
        <f t="shared" si="145"/>
        <v>3.4333333333333353</v>
      </c>
      <c r="FH67" s="47">
        <f t="shared" si="146"/>
        <v>165.96956521739128</v>
      </c>
      <c r="FI67" s="47">
        <f t="shared" si="147"/>
        <v>0</v>
      </c>
      <c r="FJ67" s="47">
        <f t="shared" si="148"/>
        <v>222.53623188405788</v>
      </c>
      <c r="FK67" s="47">
        <f t="shared" si="149"/>
        <v>0</v>
      </c>
      <c r="FL67" s="47">
        <f t="shared" si="150"/>
        <v>282.53623188405788</v>
      </c>
      <c r="FM67" s="47">
        <f t="shared" si="151"/>
        <v>0</v>
      </c>
      <c r="FN67" s="47">
        <f t="shared" si="152"/>
        <v>342.536231884058</v>
      </c>
      <c r="FO67" s="765">
        <f t="shared" ca="1" si="153"/>
        <v>849.1585519789412</v>
      </c>
      <c r="FP67" s="765">
        <f t="shared" si="154"/>
        <v>600.20312790783692</v>
      </c>
      <c r="FQ67" s="765">
        <f t="shared" si="155"/>
        <v>2376.8232495224697</v>
      </c>
      <c r="FR67" s="765">
        <f t="shared" si="156"/>
        <v>75781.429744304172</v>
      </c>
      <c r="FS67" s="765">
        <f t="shared" si="157"/>
        <v>1701349.0034442497</v>
      </c>
      <c r="FT67" s="765">
        <f t="shared" si="158"/>
        <v>6071899.4625806026</v>
      </c>
      <c r="FU67" s="765">
        <f t="shared" si="159"/>
        <v>23.440556741089921</v>
      </c>
      <c r="FV67" s="765">
        <f t="shared" si="160"/>
        <v>93.701213307240707</v>
      </c>
      <c r="FW67" s="765">
        <f t="shared" si="161"/>
        <v>500.67235660847894</v>
      </c>
      <c r="FX67" s="765">
        <f t="shared" si="162"/>
        <v>963.86297917607533</v>
      </c>
      <c r="FY67" s="765">
        <f t="shared" si="163"/>
        <v>2917.7255121891581</v>
      </c>
      <c r="FZ67" s="765">
        <f t="shared" si="164"/>
        <v>78708.777216290822</v>
      </c>
      <c r="GA67" s="765">
        <f t="shared" si="165"/>
        <v>71614.916666666672</v>
      </c>
      <c r="GB67" s="765">
        <f t="shared" si="166"/>
        <v>16.917575495098227</v>
      </c>
      <c r="GC67" s="765">
        <f t="shared" si="167"/>
        <v>55.891673322017766</v>
      </c>
      <c r="GD67" s="765">
        <f t="shared" si="168"/>
        <v>414.49195372750654</v>
      </c>
    </row>
    <row r="68" spans="1:186">
      <c r="A68" s="4">
        <v>44013</v>
      </c>
      <c r="B68" s="6">
        <v>2020</v>
      </c>
      <c r="C68" s="5">
        <v>7</v>
      </c>
      <c r="D68" s="7">
        <v>128705525.09886</v>
      </c>
      <c r="E68" s="7">
        <f>IFERROR(VLOOKUP($B68-1,CDM!$V$4:$AJ$17,2,FALSE)/12,0)+IFERROR(VLOOKUP($B68,CDM!$V$41:$AJ$54,2,FALSE)/24,0)+IFERROR(VLOOKUP($B68,CDM!$V$41:$AJ$54,2,FALSE)/2*$C68/78,0)</f>
        <v>3831949.1281242887</v>
      </c>
      <c r="F68" s="7">
        <f t="shared" si="169"/>
        <v>132537474.22698428</v>
      </c>
      <c r="G68" s="7">
        <f>IFERROR(HLOOKUP(B68-1,'EV Forecast VRZ'!$F$124:$T$130,2,FALSE)/12,0)+IFERROR(((HLOOKUP(B68,'EV Forecast VRZ'!$F$116:$T$122,2,FALSE)-HLOOKUP(B68-1,'EV Forecast VRZ'!$F$124:$T$130,2,FALSE)))*C68/78,0)</f>
        <v>230178.6365806681</v>
      </c>
      <c r="H68" s="7">
        <f ca="1">HLOOKUP(B68,Heating!$C$102:$O$106,2,FALSE)*INDEX(Weather!$BO$1:$CB$20,MATCH(B68,Weather!$BO$1:$BO$20,0),MATCH(C68,Weather!$BO$1:$CB$1,0))/VLOOKUP(B68,Weather!$BO$2:$CB$20,14,FALSE)*
VLOOKUP('Monthly Data'!$B68,Weather!$BO$3:$CB$20,14,FALSE)/Weather!$CB$14</f>
        <v>0</v>
      </c>
      <c r="I68" s="7">
        <f t="shared" ca="1" si="170"/>
        <v>132307295.59040362</v>
      </c>
      <c r="J68" s="7">
        <v>1159332.21199</v>
      </c>
      <c r="K68" s="7">
        <f>IFERROR(VLOOKUP($B68-1,CDM!$V$4:$AJ$17,3,FALSE)/12,0)+IFERROR(VLOOKUP($B68,CDM!$V$41:$AJ$54,3,FALSE)/24,0)+IFERROR(VLOOKUP($B68,CDM!$V$41:$AJ$54,3,FALSE)/2*$C68/78,0)</f>
        <v>43890.392635902914</v>
      </c>
      <c r="L68" s="7">
        <f t="shared" si="171"/>
        <v>1203222.6046259028</v>
      </c>
      <c r="M68" s="7">
        <f>IFERROR(HLOOKUP(B68-1,'EV Forecast VRZ'!$F$124:$T$130,3,FALSE)/12,0)+IFERROR(((HLOOKUP(B68,'EV Forecast VRZ'!$F$116:$T$122,3,FALSE)-HLOOKUP(B68-1,'EV Forecast VRZ'!$F$124:$T$130,3,FALSE)))*C68/78,0)</f>
        <v>3131.4427783062442</v>
      </c>
      <c r="N68" s="7">
        <f ca="1">HLOOKUP(B68,Heating!$C$102:$O$106,3,FALSE)*INDEX(Weather!$BO$1:$CB$20,MATCH(B68,Weather!$BO$1:$BO$20,0),MATCH(C68,Weather!$BO$1:$CB$1,0))/VLOOKUP(B68,Weather!$BO$2:$CB$20,14,FALSE)*
VLOOKUP('Monthly Data'!$B68,Weather!$BO$3:$CB$20,14,FALSE)/Weather!$CB$14</f>
        <v>0</v>
      </c>
      <c r="O68" s="7">
        <f t="shared" ca="1" si="172"/>
        <v>1200091.1618475965</v>
      </c>
      <c r="P68" s="7">
        <v>25811228.52397</v>
      </c>
      <c r="Q68" s="7">
        <f>IFERROR(VLOOKUP($B68-1,CDM!$V$4:$AJ$17,4,FALSE)/12,0)+IFERROR(VLOOKUP($B68,CDM!$V$41:$AJ$54,4,FALSE)/24,0)+IFERROR(VLOOKUP($B68,CDM!$V$41:$AJ$54,4,FALSE)/2*$C68/78,0)</f>
        <v>1354347.6966238448</v>
      </c>
      <c r="R68" s="7">
        <f t="shared" si="173"/>
        <v>27165576.220593844</v>
      </c>
      <c r="S68" s="7">
        <f>IFERROR(HLOOKUP(B68-1,'EV Forecast VRZ'!$F$124:$T$130,4,FALSE)/12,0)+IFERROR(((HLOOKUP(B68,'EV Forecast VRZ'!$F$116:$T$122,4,FALSE)-HLOOKUP(B68-1,'EV Forecast VRZ'!$F$124:$T$130,4,FALSE)))*C68/78,0)</f>
        <v>28716.796666666669</v>
      </c>
      <c r="T68" s="7">
        <f ca="1">HLOOKUP(B68,Heating!$C$102:$O$106,4,FALSE)*INDEX(Weather!$BO$1:$CB$20,MATCH(B68,Weather!$BO$1:$BO$20,0),MATCH(C68,Weather!$BO$1:$CB$1,0))/VLOOKUP(B68,Weather!$BO$2:$CB$20,14,FALSE)*
VLOOKUP('Monthly Data'!$B68,Weather!$BO$3:$CB$20,14,FALSE)/Weather!$CB$14</f>
        <v>0</v>
      </c>
      <c r="U68" s="7">
        <f t="shared" ca="1" si="174"/>
        <v>27136859.423927177</v>
      </c>
      <c r="V68" s="7">
        <v>84178256.540000007</v>
      </c>
      <c r="W68" s="7">
        <f>IFERROR(VLOOKUP($B68-1,CDM!$V$4:$AJ$17,5,FALSE)/12,0)+IFERROR(VLOOKUP($B68,CDM!$V$41:$AJ$54,5,FALSE)/24,0)+IFERROR(VLOOKUP($B68,CDM!$V$41:$AJ$54,5,FALSE)/2*$C68/78,0)</f>
        <v>4861230.4070020393</v>
      </c>
      <c r="X68" s="7">
        <f t="shared" si="175"/>
        <v>89039486.947002053</v>
      </c>
      <c r="Y68" s="7">
        <f>IFERROR(HLOOKUP(B68-1,'EV Forecast VRZ'!$F$124:$T$130,5,FALSE)/12,0)+IFERROR(((HLOOKUP(B68,'EV Forecast VRZ'!$F$116:$T$122,5,FALSE)-HLOOKUP(B68-1,'EV Forecast VRZ'!$F$124:$T$130,5,FALSE)))*C68/78,0)</f>
        <v>13025.250807692308</v>
      </c>
      <c r="Z68" s="7">
        <f ca="1">HLOOKUP(B68,Heating!$C$102:$O$106,5,FALSE)*INDEX(Weather!$BO$1:$CB$20,MATCH(B68,Weather!$BO$1:$BO$20,0),MATCH(C68,Weather!$BO$1:$CB$1,0))/VLOOKUP(B68,Weather!$BO$2:$CB$20,14,FALSE)*
VLOOKUP('Monthly Data'!$B68,Weather!$BO$3:$CB$20,14,FALSE)/Weather!$CB$14</f>
        <v>0</v>
      </c>
      <c r="AA68" s="7">
        <f t="shared" ca="1" si="176"/>
        <v>89026461.696194366</v>
      </c>
      <c r="AB68" s="7">
        <v>7743406.5300000003</v>
      </c>
      <c r="AC68" s="7">
        <f>IFERROR(VLOOKUP($B68-1,CDM!$V$4:$AJ$17,6,FALSE)/12,0)+IFERROR(VLOOKUP($B68,CDM!$V$41:$AJ$54,6,FALSE)/24,0)+IFERROR(VLOOKUP($B68,CDM!$V$41:$AJ$54,6,FALSE)/2*$C68/78,0)</f>
        <v>228033.34711830635</v>
      </c>
      <c r="AD68" s="7">
        <f t="shared" si="177"/>
        <v>7971439.8771183062</v>
      </c>
      <c r="AE68" s="7">
        <f>IFERROR(HLOOKUP(B68-1,'EV Forecast VRZ'!$F$124:$T$130,6,FALSE)/12,0)+IFERROR(((HLOOKUP(B68,'EV Forecast VRZ'!$F$116:$T$122,6,FALSE)-HLOOKUP(B68-1,'EV Forecast VRZ'!$F$124:$T$130,6,FALSE)))*C68/78,0)</f>
        <v>1846.6090641025637</v>
      </c>
      <c r="AF68" s="7">
        <f t="shared" si="178"/>
        <v>7969593.2680542041</v>
      </c>
      <c r="AG68" s="7">
        <v>23358904.350000001</v>
      </c>
      <c r="AH68" s="7">
        <f>IFERROR(VLOOKUP($B68-1,CDM!$V$4:$AJ$17,7,FALSE)/12,0)+IFERROR(VLOOKUP($B68,CDM!$V$41:$AJ$54,7,FALSE)/24,0)+IFERROR(VLOOKUP($B68,CDM!$V$41:$AJ$54,7,FALSE)/2*$C68/78,0)</f>
        <v>1630340.7699336433</v>
      </c>
      <c r="AI68" s="7">
        <f t="shared" si="179"/>
        <v>24989245.119933646</v>
      </c>
      <c r="AJ68" s="7">
        <f>IFERROR(HLOOKUP(B68-1,'EV Forecast VRZ'!$F$124:$T$130,7,FALSE)/12,0)+IFERROR(((HLOOKUP(B68,'EV Forecast VRZ'!$F$116:$T$122,7,FALSE)-HLOOKUP(B68-1,'EV Forecast VRZ'!$F$124:$T$130,7,FALSE)))*C68/78,0)</f>
        <v>0</v>
      </c>
      <c r="AK68" s="7">
        <f t="shared" si="180"/>
        <v>24989245.119933646</v>
      </c>
      <c r="AL68" s="7">
        <v>759240.77</v>
      </c>
      <c r="AM68" s="7">
        <v>19023.66</v>
      </c>
      <c r="AN68" s="7">
        <v>401573.83</v>
      </c>
      <c r="AO68" s="5">
        <v>195392.18</v>
      </c>
      <c r="AP68" s="5">
        <v>15564.8</v>
      </c>
      <c r="AQ68" s="5">
        <v>40067</v>
      </c>
      <c r="AR68" s="5">
        <v>2596.25</v>
      </c>
      <c r="AS68" s="763">
        <f t="shared" si="187"/>
        <v>53.5</v>
      </c>
      <c r="AT68" s="776">
        <v>112257.25</v>
      </c>
      <c r="AU68" s="776">
        <v>1561</v>
      </c>
      <c r="AV68" s="776">
        <v>9278.5</v>
      </c>
      <c r="AW68" s="776">
        <v>1033</v>
      </c>
      <c r="AX68" s="776">
        <v>4.5833333333333313</v>
      </c>
      <c r="AY68" s="776">
        <v>4</v>
      </c>
      <c r="AZ68" s="776">
        <v>31432.833333333325</v>
      </c>
      <c r="BA68" s="776">
        <v>254.75</v>
      </c>
      <c r="BB68" s="776">
        <v>801.6666666666664</v>
      </c>
      <c r="BC68" s="779">
        <v>53278227.313599996</v>
      </c>
      <c r="BD68" s="779">
        <f>IFERROR(VLOOKUP($B68-1,CDM!$V$4:$AJ$17,11,FALSE)/12,0)+IFERROR(VLOOKUP($B68,CDM!$V$41:$AJ$54,11,FALSE)/24,0)+IFERROR(VLOOKUP($B68,CDM!$V$41:$AJ$54,11,FALSE)/2*$C68/78,0)</f>
        <v>1919972.6841507447</v>
      </c>
      <c r="BE68" s="779">
        <f t="shared" si="123"/>
        <v>55198199.997750744</v>
      </c>
      <c r="BF68" s="779">
        <f>IFERROR(HLOOKUP(B68-1,'EV Forecast WRZ'!$F$124:$T$130,2,FALSE)/12,0)+IFERROR(((HLOOKUP(B68,'EV Forecast WRZ'!$F$116:$T$122,2,FALSE)-HLOOKUP(B68-1,'EV Forecast WRZ'!$F$124:$T$130,2,FALSE)))*C68/78,0)</f>
        <v>71334.131666666683</v>
      </c>
      <c r="BG68" s="779">
        <f ca="1">HLOOKUP(B68,Heating!$R$102:$AD$106,2,FALSE)*INDEX(Weather!$BO$1:$CB$20,MATCH(B68,Weather!$BO$1:$BO$20,0),MATCH(C68,Weather!$BO$1:$CB$1,0))/VLOOKUP(B68,Weather!$BO$2:$CB$20,14,FALSE)*
VLOOKUP('Monthly Data'!$B68,Weather!$BO$3:$CB$20,14,FALSE)/Weather!$CB$14</f>
        <v>0</v>
      </c>
      <c r="BH68" s="779">
        <f t="shared" ca="1" si="181"/>
        <v>55126865.866084076</v>
      </c>
      <c r="BI68" s="779">
        <v>8067348.7171200002</v>
      </c>
      <c r="BJ68" s="779">
        <f>IFERROR(VLOOKUP($B68-1,CDM!$V$4:$AJ$17,12,FALSE)/12,0)+IFERROR(VLOOKUP($B68,CDM!$V$41:$AJ$54,12,FALSE)/24,0)+IFERROR(VLOOKUP($B68,CDM!$V$41:$AJ$54,12,FALSE)/2*$C68/78,0)</f>
        <v>217935.04460979984</v>
      </c>
      <c r="BK68" s="779">
        <f t="shared" si="182"/>
        <v>8285283.7617298001</v>
      </c>
      <c r="BL68" s="779">
        <f>IFERROR(HLOOKUP(B68-1,'EV Forecast WRZ'!$F$124:$T$130,3,FALSE)/12,0)+IFERROR(((HLOOKUP(B68,'EV Forecast WRZ'!$F$116:$T$122,3,FALSE)-HLOOKUP(B68-1,'EV Forecast WRZ'!$F$124:$T$130,3,FALSE)))*C68/78,0)</f>
        <v>8812.7258974358974</v>
      </c>
      <c r="BM68" s="779">
        <f ca="1">HLOOKUP(B68,Heating!$R$102:$AD$106,4,FALSE)*INDEX(Weather!$BO$1:$CB$20,MATCH(B68,Weather!$BO$1:$BO$20,0),MATCH(C68,Weather!$BO$1:$CB$1,0))/VLOOKUP(B68,Weather!$BO$2:$CB$20,14,FALSE)*
VLOOKUP('Monthly Data'!$B68,Weather!$BO$3:$CB$20,14,FALSE)/Weather!$CB$14</f>
        <v>0</v>
      </c>
      <c r="BN68" s="779">
        <f t="shared" ca="1" si="183"/>
        <v>8276471.0358323641</v>
      </c>
      <c r="BO68" s="779">
        <v>28837574.93</v>
      </c>
      <c r="BP68" s="779">
        <f>IFERROR(VLOOKUP($B68-1,CDM!$V$4:$AJ$17,13,FALSE)/12,0)+IFERROR(VLOOKUP($B68,CDM!$V$41:$AJ$54,13,FALSE)/24,0)+IFERROR(VLOOKUP($B68,CDM!$V$41:$AJ$54,13,FALSE)/2*$C68/78,0)</f>
        <v>1858024.0947705763</v>
      </c>
      <c r="BQ68" s="779">
        <f t="shared" si="184"/>
        <v>30695599.024770577</v>
      </c>
      <c r="BR68" s="779">
        <f>IFERROR(HLOOKUP(B68-1,'EV Forecast WRZ'!$F$124:$T$130,4,FALSE)/12,0)+IFERROR(((HLOOKUP(B68,'EV Forecast WRZ'!$F$116:$T$122,4,FALSE)-HLOOKUP(B68-1,'EV Forecast WRZ'!$F$124:$T$130,4,FALSE)))*C68/78,0)</f>
        <v>3999.7651153846155</v>
      </c>
      <c r="BS68" s="779">
        <f ca="1">HLOOKUP(B68,Heating!$R$102:$AD$106,5,FALSE)*INDEX(Weather!$BO$1:$CB$20,MATCH(B68,Weather!$BO$1:$BO$20,0),MATCH(C68,Weather!$BO$1:$CB$1,0))/VLOOKUP(B68,Weather!$BO$2:$CB$20,14,FALSE)*
VLOOKUP('Monthly Data'!$B68,Weather!$BO$3:$CB$20,14,FALSE)/Weather!$CB$14</f>
        <v>0</v>
      </c>
      <c r="BT68" s="779">
        <f t="shared" ca="1" si="185"/>
        <v>30691599.259655192</v>
      </c>
      <c r="BU68" s="779">
        <v>7684210.5499999998</v>
      </c>
      <c r="BV68" s="779">
        <f>IFERROR(VLOOKUP($B68-1,CDM!$V$4:$AJ$17,14,FALSE)/12,0)+IFERROR(VLOOKUP($B68,CDM!$V$41:$AJ$54,14,FALSE)/24,0)+IFERROR(VLOOKUP($B68,CDM!$V$41:$AJ$54,14,FALSE)/2*$C68/78,0)</f>
        <v>417724.98284712428</v>
      </c>
      <c r="BW68" s="779">
        <f t="shared" si="186"/>
        <v>8101935.5328471242</v>
      </c>
      <c r="BX68" s="779">
        <f>IFERROR(HLOOKUP(B68-1,'EV Forecast WRZ'!$F$124:$T$130,5,FALSE)/12,0)+IFERROR(((HLOOKUP(B68,'EV Forecast WRZ'!$F$116:$T$122,5,FALSE)-HLOOKUP(B68-1,'EV Forecast WRZ'!$F$124:$T$130,5,FALSE)))*C68/78,0)</f>
        <v>576.79014102564099</v>
      </c>
      <c r="BY68" s="779">
        <f t="shared" si="124"/>
        <v>8101358.7427060986</v>
      </c>
      <c r="BZ68" s="779">
        <v>220954.95</v>
      </c>
      <c r="CA68" s="779">
        <v>2067.9919129146574</v>
      </c>
      <c r="CB68" s="5">
        <v>164028.47</v>
      </c>
      <c r="CC68" s="5">
        <v>68263.64</v>
      </c>
      <c r="CD68" s="5">
        <v>12065.83</v>
      </c>
      <c r="CE68" s="5">
        <v>764.64</v>
      </c>
      <c r="CF68" s="763">
        <f t="shared" si="188"/>
        <v>6</v>
      </c>
      <c r="CG68" s="785">
        <v>41914.75</v>
      </c>
      <c r="CH68" s="785">
        <v>2285.6666666666656</v>
      </c>
      <c r="CI68" s="785">
        <v>382.25</v>
      </c>
      <c r="CJ68" s="785">
        <v>3</v>
      </c>
      <c r="CK68" s="785">
        <v>12716.083333333338</v>
      </c>
      <c r="CL68" s="785">
        <v>37</v>
      </c>
      <c r="CM68" s="785">
        <v>389.3333333333332</v>
      </c>
      <c r="CN68" s="46">
        <f>Weather!C80</f>
        <v>0</v>
      </c>
      <c r="CO68" s="46">
        <f>Weather!D80</f>
        <v>122.88750000000002</v>
      </c>
      <c r="CP68" s="46">
        <f>Weather!E80</f>
        <v>0</v>
      </c>
      <c r="CQ68" s="46">
        <f>Weather!F80</f>
        <v>184.88749999999999</v>
      </c>
      <c r="CR68" s="46">
        <f>Weather!G80</f>
        <v>0</v>
      </c>
      <c r="CS68" s="46">
        <f>Weather!H80</f>
        <v>246.88749999999999</v>
      </c>
      <c r="CT68" s="46">
        <f>Weather!I80</f>
        <v>0</v>
      </c>
      <c r="CU68" s="46">
        <f>Weather!J80</f>
        <v>308.88750000000005</v>
      </c>
      <c r="CV68" s="46">
        <f>Weather!K80</f>
        <v>0</v>
      </c>
      <c r="CW68" s="46">
        <f>Weather!L80</f>
        <v>370.88750000000005</v>
      </c>
      <c r="CX68" s="46">
        <f>Weather!M80</f>
        <v>0</v>
      </c>
      <c r="CY68" s="46">
        <f>Weather!N80</f>
        <v>432.88750000000005</v>
      </c>
      <c r="CZ68" s="46">
        <f>Weather!O80</f>
        <v>0</v>
      </c>
      <c r="DA68" s="46">
        <f>Weather!P80</f>
        <v>494.88750000000005</v>
      </c>
      <c r="DB68" s="368">
        <f>'Economic Data'!D82</f>
        <v>6666.4</v>
      </c>
      <c r="DC68" s="368">
        <f>'Economic Data'!E82</f>
        <v>6730.9</v>
      </c>
      <c r="DD68" s="368">
        <f>'Economic Data'!F82</f>
        <v>198.5</v>
      </c>
      <c r="DE68" s="368">
        <f>'Economic Data'!G82</f>
        <v>201.2</v>
      </c>
      <c r="DF68" s="368">
        <f>'Economic Data'!H82</f>
        <v>44.4</v>
      </c>
      <c r="DG68" s="368">
        <f>'Economic Data'!I82</f>
        <v>44.4</v>
      </c>
      <c r="DH68" s="368">
        <f>'Economic Data'!J82</f>
        <v>769942</v>
      </c>
      <c r="DI68" s="368">
        <f>'Economic Data'!K82</f>
        <v>596521.6</v>
      </c>
      <c r="DJ68" s="368">
        <f>'Economic Data'!L82</f>
        <v>85928.9</v>
      </c>
      <c r="DK68" s="368">
        <f>'Economic Data'!M82</f>
        <v>23899.8</v>
      </c>
      <c r="DL68" s="368">
        <f>'Economic Data'!N82</f>
        <v>777225</v>
      </c>
      <c r="DM68" s="368">
        <f>'Economic Data'!O82</f>
        <v>89887</v>
      </c>
      <c r="DN68" s="368">
        <f>'Economic Data'!P82</f>
        <v>17609</v>
      </c>
      <c r="DO68" s="368">
        <f>'Economic Data'!Q82</f>
        <v>598852</v>
      </c>
      <c r="DP68" s="368">
        <f>'Economic Data'!R82</f>
        <v>22145</v>
      </c>
      <c r="DQ68">
        <v>31</v>
      </c>
      <c r="DR68">
        <v>22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1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f t="shared" ref="EH68:EH121" si="189">EH67+1</f>
        <v>67</v>
      </c>
      <c r="EI68">
        <v>1</v>
      </c>
      <c r="EJ68">
        <v>0.5</v>
      </c>
      <c r="EK68">
        <v>1</v>
      </c>
      <c r="EL68">
        <v>0</v>
      </c>
      <c r="EM68" s="47">
        <f t="shared" si="125"/>
        <v>0</v>
      </c>
      <c r="EN68" s="47">
        <f t="shared" si="126"/>
        <v>61.443750000000009</v>
      </c>
      <c r="EO68" s="47">
        <f t="shared" si="127"/>
        <v>0</v>
      </c>
      <c r="EP68" s="47">
        <f t="shared" si="128"/>
        <v>92.443749999999994</v>
      </c>
      <c r="EQ68" s="47">
        <f t="shared" si="129"/>
        <v>0</v>
      </c>
      <c r="ER68" s="47">
        <f t="shared" si="130"/>
        <v>123.44374999999999</v>
      </c>
      <c r="ES68" s="47">
        <f t="shared" si="131"/>
        <v>0</v>
      </c>
      <c r="ET68" s="47">
        <f t="shared" si="132"/>
        <v>154.44375000000002</v>
      </c>
      <c r="EU68" s="47">
        <f t="shared" si="133"/>
        <v>0</v>
      </c>
      <c r="EV68" s="47">
        <f t="shared" si="134"/>
        <v>185.44375000000002</v>
      </c>
      <c r="EW68" s="47">
        <f t="shared" si="135"/>
        <v>0</v>
      </c>
      <c r="EX68" s="47">
        <f t="shared" si="136"/>
        <v>216.44375000000002</v>
      </c>
      <c r="EY68" s="47">
        <f t="shared" si="137"/>
        <v>0</v>
      </c>
      <c r="EZ68" s="47">
        <f t="shared" si="138"/>
        <v>247.44375000000002</v>
      </c>
      <c r="FA68" s="47">
        <f t="shared" si="139"/>
        <v>0</v>
      </c>
      <c r="FB68" s="47">
        <f t="shared" si="140"/>
        <v>122.88750000000002</v>
      </c>
      <c r="FC68" s="47">
        <f t="shared" si="141"/>
        <v>0</v>
      </c>
      <c r="FD68" s="47">
        <f t="shared" si="142"/>
        <v>184.88749999999999</v>
      </c>
      <c r="FE68" s="47">
        <f t="shared" si="143"/>
        <v>0</v>
      </c>
      <c r="FF68" s="47">
        <f t="shared" si="144"/>
        <v>246.88749999999999</v>
      </c>
      <c r="FG68" s="47">
        <f t="shared" si="145"/>
        <v>0</v>
      </c>
      <c r="FH68" s="47">
        <f t="shared" si="146"/>
        <v>308.88750000000005</v>
      </c>
      <c r="FI68" s="47">
        <f t="shared" si="147"/>
        <v>0</v>
      </c>
      <c r="FJ68" s="47">
        <f t="shared" si="148"/>
        <v>370.88750000000005</v>
      </c>
      <c r="FK68" s="47">
        <f t="shared" si="149"/>
        <v>0</v>
      </c>
      <c r="FL68" s="47">
        <f t="shared" si="150"/>
        <v>432.88750000000005</v>
      </c>
      <c r="FM68" s="47">
        <f t="shared" si="151"/>
        <v>0</v>
      </c>
      <c r="FN68" s="47">
        <f t="shared" si="152"/>
        <v>494.88750000000005</v>
      </c>
      <c r="FO68" s="765">
        <f t="shared" ca="1" si="153"/>
        <v>1178.6080238951481</v>
      </c>
      <c r="FP68" s="765">
        <f t="shared" si="154"/>
        <v>770.80243730038615</v>
      </c>
      <c r="FQ68" s="765">
        <f t="shared" si="155"/>
        <v>2927.7982670252568</v>
      </c>
      <c r="FR68" s="765">
        <f t="shared" si="156"/>
        <v>86195.050287514096</v>
      </c>
      <c r="FS68" s="765">
        <f t="shared" si="157"/>
        <v>1739223.2459167221</v>
      </c>
      <c r="FT68" s="765">
        <f t="shared" si="158"/>
        <v>6247311.2799834115</v>
      </c>
      <c r="FU68" s="765">
        <f t="shared" si="159"/>
        <v>24.154385382588277</v>
      </c>
      <c r="FV68" s="765">
        <f t="shared" si="160"/>
        <v>74.675799803729149</v>
      </c>
      <c r="FW68" s="765">
        <f t="shared" si="161"/>
        <v>500.92369646569665</v>
      </c>
      <c r="FX68" s="765">
        <f t="shared" si="162"/>
        <v>1316.9158827799461</v>
      </c>
      <c r="FY68" s="765">
        <f t="shared" si="163"/>
        <v>3624.8871642393774</v>
      </c>
      <c r="FZ68" s="765">
        <f t="shared" si="164"/>
        <v>80302.417330989076</v>
      </c>
      <c r="GA68" s="765">
        <f t="shared" si="165"/>
        <v>73651.650000000009</v>
      </c>
      <c r="GB68" s="765">
        <f t="shared" si="166"/>
        <v>17.376022491202082</v>
      </c>
      <c r="GC68" s="765">
        <f t="shared" si="167"/>
        <v>55.891673322017766</v>
      </c>
      <c r="GD68" s="765">
        <f t="shared" si="168"/>
        <v>421.30600171232891</v>
      </c>
    </row>
    <row r="69" spans="1:186">
      <c r="A69" s="4">
        <v>44044</v>
      </c>
      <c r="B69" s="6">
        <v>2020</v>
      </c>
      <c r="C69" s="5">
        <v>8</v>
      </c>
      <c r="D69" s="7">
        <v>105712174.93870001</v>
      </c>
      <c r="E69" s="7">
        <f>IFERROR(VLOOKUP($B69-1,CDM!$V$4:$AJ$17,2,FALSE)/12,0)+IFERROR(VLOOKUP($B69,CDM!$V$41:$AJ$54,2,FALSE)/24,0)+IFERROR(VLOOKUP($B69,CDM!$V$41:$AJ$54,2,FALSE)/2*$C69/78,0)</f>
        <v>3832856.8738961047</v>
      </c>
      <c r="F69" s="7">
        <f t="shared" si="169"/>
        <v>109545031.81259611</v>
      </c>
      <c r="G69" s="7">
        <f>IFERROR(HLOOKUP(B69-1,'EV Forecast VRZ'!$F$124:$T$130,2,FALSE)/12,0)+IFERROR(((HLOOKUP(B69,'EV Forecast VRZ'!$F$116:$T$122,2,FALSE)-HLOOKUP(B69-1,'EV Forecast VRZ'!$F$124:$T$130,2,FALSE)))*C69/78,0)</f>
        <v>234950.77158737706</v>
      </c>
      <c r="H69" s="7">
        <f ca="1">HLOOKUP(B69,Heating!$C$102:$O$106,2,FALSE)*INDEX(Weather!$BO$1:$CB$20,MATCH(B69,Weather!$BO$1:$BO$20,0),MATCH(C69,Weather!$BO$1:$CB$1,0))/VLOOKUP(B69,Weather!$BO$2:$CB$20,14,FALSE)*
VLOOKUP('Monthly Data'!$B69,Weather!$BO$3:$CB$20,14,FALSE)/Weather!$CB$14</f>
        <v>2790.7781154666177</v>
      </c>
      <c r="I69" s="7">
        <f t="shared" ca="1" si="170"/>
        <v>109307290.26289327</v>
      </c>
      <c r="J69" s="7">
        <v>1106123.13209</v>
      </c>
      <c r="K69" s="7">
        <f>IFERROR(VLOOKUP($B69-1,CDM!$V$4:$AJ$17,3,FALSE)/12,0)+IFERROR(VLOOKUP($B69,CDM!$V$41:$AJ$54,3,FALSE)/24,0)+IFERROR(VLOOKUP($B69,CDM!$V$41:$AJ$54,3,FALSE)/2*$C69/78,0)</f>
        <v>43900.789777672398</v>
      </c>
      <c r="L69" s="7">
        <f t="shared" si="171"/>
        <v>1150023.9218676724</v>
      </c>
      <c r="M69" s="7">
        <f>IFERROR(HLOOKUP(B69-1,'EV Forecast VRZ'!$F$124:$T$130,3,FALSE)/12,0)+IFERROR(((HLOOKUP(B69,'EV Forecast VRZ'!$F$116:$T$122,3,FALSE)-HLOOKUP(B69-1,'EV Forecast VRZ'!$F$124:$T$130,3,FALSE)))*C69/78,0)</f>
        <v>3196.3648228793259</v>
      </c>
      <c r="N69" s="7">
        <f ca="1">HLOOKUP(B69,Heating!$C$102:$O$106,3,FALSE)*INDEX(Weather!$BO$1:$CB$20,MATCH(B69,Weather!$BO$1:$BO$20,0),MATCH(C69,Weather!$BO$1:$CB$1,0))/VLOOKUP(B69,Weather!$BO$2:$CB$20,14,FALSE)*
VLOOKUP('Monthly Data'!$B69,Weather!$BO$3:$CB$20,14,FALSE)/Weather!$CB$14</f>
        <v>36.958777561653399</v>
      </c>
      <c r="O69" s="7">
        <f t="shared" ca="1" si="172"/>
        <v>1146790.5982672314</v>
      </c>
      <c r="P69" s="7">
        <v>23861542.559469998</v>
      </c>
      <c r="Q69" s="7">
        <f>IFERROR(VLOOKUP($B69-1,CDM!$V$4:$AJ$17,4,FALSE)/12,0)+IFERROR(VLOOKUP($B69,CDM!$V$41:$AJ$54,4,FALSE)/24,0)+IFERROR(VLOOKUP($B69,CDM!$V$41:$AJ$54,4,FALSE)/2*$C69/78,0)</f>
        <v>1361574.9258877409</v>
      </c>
      <c r="R69" s="7">
        <f t="shared" si="173"/>
        <v>25223117.485357739</v>
      </c>
      <c r="S69" s="7">
        <f>IFERROR(HLOOKUP(B69-1,'EV Forecast VRZ'!$F$124:$T$130,4,FALSE)/12,0)+IFERROR(((HLOOKUP(B69,'EV Forecast VRZ'!$F$116:$T$122,4,FALSE)-HLOOKUP(B69-1,'EV Forecast VRZ'!$F$124:$T$130,4,FALSE)))*C69/78,0)</f>
        <v>29290.613333333335</v>
      </c>
      <c r="T69" s="7">
        <f ca="1">HLOOKUP(B69,Heating!$C$102:$O$106,4,FALSE)*INDEX(Weather!$BO$1:$CB$20,MATCH(B69,Weather!$BO$1:$BO$20,0),MATCH(C69,Weather!$BO$1:$CB$1,0))/VLOOKUP(B69,Weather!$BO$2:$CB$20,14,FALSE)*
VLOOKUP('Monthly Data'!$B69,Weather!$BO$3:$CB$20,14,FALSE)/Weather!$CB$14</f>
        <v>697.66584210488566</v>
      </c>
      <c r="U69" s="7">
        <f t="shared" ca="1" si="174"/>
        <v>25193129.206182301</v>
      </c>
      <c r="V69" s="7">
        <v>80251065.819999993</v>
      </c>
      <c r="W69" s="7">
        <f>IFERROR(VLOOKUP($B69-1,CDM!$V$4:$AJ$17,5,FALSE)/12,0)+IFERROR(VLOOKUP($B69,CDM!$V$41:$AJ$54,5,FALSE)/24,0)+IFERROR(VLOOKUP($B69,CDM!$V$41:$AJ$54,5,FALSE)/2*$C69/78,0)</f>
        <v>4893169.1576264752</v>
      </c>
      <c r="X69" s="7">
        <f t="shared" si="175"/>
        <v>85144234.977626473</v>
      </c>
      <c r="Y69" s="7">
        <f>IFERROR(HLOOKUP(B69-1,'EV Forecast VRZ'!$F$124:$T$130,5,FALSE)/12,0)+IFERROR(((HLOOKUP(B69,'EV Forecast VRZ'!$F$116:$T$122,5,FALSE)-HLOOKUP(B69-1,'EV Forecast VRZ'!$F$124:$T$130,5,FALSE)))*C69/78,0)</f>
        <v>13283.852923076924</v>
      </c>
      <c r="Z69" s="7">
        <f ca="1">HLOOKUP(B69,Heating!$C$102:$O$106,5,FALSE)*INDEX(Weather!$BO$1:$CB$20,MATCH(B69,Weather!$BO$1:$BO$20,0),MATCH(C69,Weather!$BO$1:$CB$1,0))/VLOOKUP(B69,Weather!$BO$2:$CB$20,14,FALSE)*
VLOOKUP('Monthly Data'!$B69,Weather!$BO$3:$CB$20,14,FALSE)/Weather!$CB$14</f>
        <v>393.74850534018532</v>
      </c>
      <c r="AA69" s="7">
        <f t="shared" ca="1" si="176"/>
        <v>85130557.376198053</v>
      </c>
      <c r="AB69" s="7">
        <v>7481440.5</v>
      </c>
      <c r="AC69" s="7">
        <f>IFERROR(VLOOKUP($B69-1,CDM!$V$4:$AJ$17,6,FALSE)/12,0)+IFERROR(VLOOKUP($B69,CDM!$V$41:$AJ$54,6,FALSE)/24,0)+IFERROR(VLOOKUP($B69,CDM!$V$41:$AJ$54,6,FALSE)/2*$C69/78,0)</f>
        <v>229348.81873749223</v>
      </c>
      <c r="AD69" s="7">
        <f t="shared" si="177"/>
        <v>7710789.318737492</v>
      </c>
      <c r="AE69" s="7">
        <f>IFERROR(HLOOKUP(B69-1,'EV Forecast VRZ'!$F$124:$T$130,6,FALSE)/12,0)+IFERROR(((HLOOKUP(B69,'EV Forecast VRZ'!$F$116:$T$122,6,FALSE)-HLOOKUP(B69-1,'EV Forecast VRZ'!$F$124:$T$130,6,FALSE)))*C69/78,0)</f>
        <v>1876.8383589743585</v>
      </c>
      <c r="AF69" s="7">
        <f t="shared" si="178"/>
        <v>7708912.4803785179</v>
      </c>
      <c r="AG69" s="7">
        <v>21029264.780000001</v>
      </c>
      <c r="AH69" s="7">
        <f>IFERROR(VLOOKUP($B69-1,CDM!$V$4:$AJ$17,7,FALSE)/12,0)+IFERROR(VLOOKUP($B69,CDM!$V$41:$AJ$54,7,FALSE)/24,0)+IFERROR(VLOOKUP($B69,CDM!$V$41:$AJ$54,7,FALSE)/2*$C69/78,0)</f>
        <v>1635372.7695448764</v>
      </c>
      <c r="AI69" s="7">
        <f t="shared" si="179"/>
        <v>22664637.549544878</v>
      </c>
      <c r="AJ69" s="7">
        <f>IFERROR(HLOOKUP(B69-1,'EV Forecast VRZ'!$F$124:$T$130,7,FALSE)/12,0)+IFERROR(((HLOOKUP(B69,'EV Forecast VRZ'!$F$116:$T$122,7,FALSE)-HLOOKUP(B69-1,'EV Forecast VRZ'!$F$124:$T$130,7,FALSE)))*C69/78,0)</f>
        <v>0</v>
      </c>
      <c r="AK69" s="7">
        <f t="shared" si="180"/>
        <v>22664637.549544878</v>
      </c>
      <c r="AL69" s="7">
        <v>850616.2</v>
      </c>
      <c r="AM69" s="7">
        <v>18730.2</v>
      </c>
      <c r="AN69" s="7">
        <v>401573.83</v>
      </c>
      <c r="AO69" s="5">
        <v>192566.87</v>
      </c>
      <c r="AP69" s="5">
        <v>15769.8</v>
      </c>
      <c r="AQ69" s="5">
        <v>36188</v>
      </c>
      <c r="AR69" s="5">
        <v>2596.1999999999998</v>
      </c>
      <c r="AS69" s="763">
        <f t="shared" si="187"/>
        <v>53.5</v>
      </c>
      <c r="AT69" s="776">
        <v>112335</v>
      </c>
      <c r="AU69" s="776">
        <v>1561</v>
      </c>
      <c r="AV69" s="776">
        <v>9280</v>
      </c>
      <c r="AW69" s="776">
        <v>1035</v>
      </c>
      <c r="AX69" s="776">
        <v>4.6666666666666643</v>
      </c>
      <c r="AY69" s="776">
        <v>4</v>
      </c>
      <c r="AZ69" s="776">
        <v>31468.666666666657</v>
      </c>
      <c r="BA69" s="776">
        <v>254</v>
      </c>
      <c r="BB69" s="776">
        <v>801.33333333333303</v>
      </c>
      <c r="BC69" s="779">
        <v>43837181.946139805</v>
      </c>
      <c r="BD69" s="779">
        <f>IFERROR(VLOOKUP($B69-1,CDM!$V$4:$AJ$17,11,FALSE)/12,0)+IFERROR(VLOOKUP($B69,CDM!$V$41:$AJ$54,11,FALSE)/24,0)+IFERROR(VLOOKUP($B69,CDM!$V$41:$AJ$54,11,FALSE)/2*$C69/78,0)</f>
        <v>1920036.4329197584</v>
      </c>
      <c r="BE69" s="779">
        <f t="shared" si="123"/>
        <v>45757218.379059561</v>
      </c>
      <c r="BF69" s="779">
        <f>IFERROR(HLOOKUP(B69-1,'EV Forecast WRZ'!$F$124:$T$130,2,FALSE)/12,0)+IFERROR(((HLOOKUP(B69,'EV Forecast WRZ'!$F$116:$T$122,2,FALSE)-HLOOKUP(B69-1,'EV Forecast WRZ'!$F$124:$T$130,2,FALSE)))*C69/78,0)</f>
        <v>72989.068333333344</v>
      </c>
      <c r="BG69" s="779">
        <f ca="1">HLOOKUP(B69,Heating!$R$102:$AD$106,2,FALSE)*INDEX(Weather!$BO$1:$CB$20,MATCH(B69,Weather!$BO$1:$BO$20,0),MATCH(C69,Weather!$BO$1:$CB$1,0))/VLOOKUP(B69,Weather!$BO$2:$CB$20,14,FALSE)*
VLOOKUP('Monthly Data'!$B69,Weather!$BO$3:$CB$20,14,FALSE)/Weather!$CB$14</f>
        <v>1098.4712754862269</v>
      </c>
      <c r="BH69" s="779">
        <f t="shared" ca="1" si="181"/>
        <v>45683130.839450739</v>
      </c>
      <c r="BI69" s="779">
        <v>7428953.7582700104</v>
      </c>
      <c r="BJ69" s="779">
        <f>IFERROR(VLOOKUP($B69-1,CDM!$V$4:$AJ$17,12,FALSE)/12,0)+IFERROR(VLOOKUP($B69,CDM!$V$41:$AJ$54,12,FALSE)/24,0)+IFERROR(VLOOKUP($B69,CDM!$V$41:$AJ$54,12,FALSE)/2*$C69/78,0)</f>
        <v>218811.6658817647</v>
      </c>
      <c r="BK69" s="779">
        <f t="shared" si="182"/>
        <v>7647765.4241517754</v>
      </c>
      <c r="BL69" s="779">
        <f>IFERROR(HLOOKUP(B69-1,'EV Forecast WRZ'!$F$124:$T$130,3,FALSE)/12,0)+IFERROR(((HLOOKUP(B69,'EV Forecast WRZ'!$F$116:$T$122,3,FALSE)-HLOOKUP(B69-1,'EV Forecast WRZ'!$F$124:$T$130,3,FALSE)))*C69/78,0)</f>
        <v>9014.5510256410271</v>
      </c>
      <c r="BM69" s="779">
        <f ca="1">HLOOKUP(B69,Heating!$R$102:$AD$106,4,FALSE)*INDEX(Weather!$BO$1:$CB$20,MATCH(B69,Weather!$BO$1:$BO$20,0),MATCH(C69,Weather!$BO$1:$CB$1,0))/VLOOKUP(B69,Weather!$BO$2:$CB$20,14,FALSE)*
VLOOKUP('Monthly Data'!$B69,Weather!$BO$3:$CB$20,14,FALSE)/Weather!$CB$14</f>
        <v>173.80170444065067</v>
      </c>
      <c r="BN69" s="779">
        <f t="shared" ca="1" si="183"/>
        <v>7638577.071421694</v>
      </c>
      <c r="BO69" s="779">
        <v>27859463.129999999</v>
      </c>
      <c r="BP69" s="779">
        <f>IFERROR(VLOOKUP($B69-1,CDM!$V$4:$AJ$17,13,FALSE)/12,0)+IFERROR(VLOOKUP($B69,CDM!$V$41:$AJ$54,13,FALSE)/24,0)+IFERROR(VLOOKUP($B69,CDM!$V$41:$AJ$54,13,FALSE)/2*$C69/78,0)</f>
        <v>1883253.441526203</v>
      </c>
      <c r="BQ69" s="779">
        <f t="shared" si="184"/>
        <v>29742716.571526203</v>
      </c>
      <c r="BR69" s="779">
        <f>IFERROR(HLOOKUP(B69-1,'EV Forecast WRZ'!$F$124:$T$130,4,FALSE)/12,0)+IFERROR(((HLOOKUP(B69,'EV Forecast WRZ'!$F$116:$T$122,4,FALSE)-HLOOKUP(B69-1,'EV Forecast WRZ'!$F$124:$T$130,4,FALSE)))*C69/78,0)</f>
        <v>4091.1633461538463</v>
      </c>
      <c r="BS69" s="779">
        <f ca="1">HLOOKUP(B69,Heating!$R$102:$AD$106,5,FALSE)*INDEX(Weather!$BO$1:$CB$20,MATCH(B69,Weather!$BO$1:$BO$20,0),MATCH(C69,Weather!$BO$1:$CB$1,0))/VLOOKUP(B69,Weather!$BO$2:$CB$20,14,FALSE)*
VLOOKUP('Monthly Data'!$B69,Weather!$BO$3:$CB$20,14,FALSE)/Weather!$CB$14</f>
        <v>116.44589980329592</v>
      </c>
      <c r="BT69" s="779">
        <f t="shared" ca="1" si="185"/>
        <v>29738508.962280247</v>
      </c>
      <c r="BU69" s="779">
        <v>7472501.6100000003</v>
      </c>
      <c r="BV69" s="779">
        <f>IFERROR(VLOOKUP($B69-1,CDM!$V$4:$AJ$17,14,FALSE)/12,0)+IFERROR(VLOOKUP($B69,CDM!$V$41:$AJ$54,14,FALSE)/24,0)+IFERROR(VLOOKUP($B69,CDM!$V$41:$AJ$54,14,FALSE)/2*$C69/78,0)</f>
        <v>423397.09897866438</v>
      </c>
      <c r="BW69" s="779">
        <f t="shared" si="186"/>
        <v>7895898.7089786651</v>
      </c>
      <c r="BX69" s="779">
        <f>IFERROR(HLOOKUP(B69-1,'EV Forecast WRZ'!$F$124:$T$130,5,FALSE)/12,0)+IFERROR(((HLOOKUP(B69,'EV Forecast WRZ'!$F$116:$T$122,5,FALSE)-HLOOKUP(B69-1,'EV Forecast WRZ'!$F$124:$T$130,5,FALSE)))*C69/78,0)</f>
        <v>589.18908974358965</v>
      </c>
      <c r="BY69" s="779">
        <f t="shared" si="124"/>
        <v>7895309.5198889216</v>
      </c>
      <c r="BZ69" s="779">
        <v>249887.63</v>
      </c>
      <c r="CA69" s="779">
        <v>2067.9919129146574</v>
      </c>
      <c r="CB69" s="5">
        <v>164028.47</v>
      </c>
      <c r="CC69" s="5">
        <v>66675.87</v>
      </c>
      <c r="CD69" s="5">
        <v>11832.5</v>
      </c>
      <c r="CE69" s="5">
        <v>764.71</v>
      </c>
      <c r="CF69" s="763">
        <f t="shared" si="188"/>
        <v>6</v>
      </c>
      <c r="CG69" s="785">
        <v>41983</v>
      </c>
      <c r="CH69" s="785">
        <v>2288.3333333333321</v>
      </c>
      <c r="CI69" s="785">
        <v>383</v>
      </c>
      <c r="CJ69" s="785">
        <v>3</v>
      </c>
      <c r="CK69" s="785">
        <v>12732.666666666672</v>
      </c>
      <c r="CL69" s="785">
        <v>37</v>
      </c>
      <c r="CM69" s="785">
        <v>389.66666666666652</v>
      </c>
      <c r="CN69" s="46">
        <f>Weather!C81</f>
        <v>19.720833333333321</v>
      </c>
      <c r="CO69" s="46">
        <f>Weather!D81</f>
        <v>50.651893939393972</v>
      </c>
      <c r="CP69" s="46">
        <f>Weather!E81</f>
        <v>3.4874999999999972</v>
      </c>
      <c r="CQ69" s="46">
        <f>Weather!F81</f>
        <v>96.418560606060637</v>
      </c>
      <c r="CR69" s="46">
        <f>Weather!G81</f>
        <v>0</v>
      </c>
      <c r="CS69" s="46">
        <f>Weather!H81</f>
        <v>154.93106060606064</v>
      </c>
      <c r="CT69" s="46">
        <f>Weather!I81</f>
        <v>0</v>
      </c>
      <c r="CU69" s="46">
        <f>Weather!J81</f>
        <v>216.93106060606064</v>
      </c>
      <c r="CV69" s="46">
        <f>Weather!K81</f>
        <v>0</v>
      </c>
      <c r="CW69" s="46">
        <f>Weather!L81</f>
        <v>278.93106060606061</v>
      </c>
      <c r="CX69" s="46">
        <f>Weather!M81</f>
        <v>0</v>
      </c>
      <c r="CY69" s="46">
        <f>Weather!N81</f>
        <v>340.93106060606056</v>
      </c>
      <c r="CZ69" s="46">
        <f>Weather!O81</f>
        <v>0</v>
      </c>
      <c r="DA69" s="46">
        <f>Weather!P81</f>
        <v>402.93106060606067</v>
      </c>
      <c r="DB69" s="368">
        <f>'Economic Data'!D83</f>
        <v>6904.3</v>
      </c>
      <c r="DC69" s="368">
        <f>'Economic Data'!E83</f>
        <v>6971.5</v>
      </c>
      <c r="DD69" s="368">
        <f>'Economic Data'!F83</f>
        <v>205.7</v>
      </c>
      <c r="DE69" s="368">
        <f>'Economic Data'!G83</f>
        <v>207.4</v>
      </c>
      <c r="DF69" s="368">
        <f>'Economic Data'!H83</f>
        <v>45.9</v>
      </c>
      <c r="DG69" s="368">
        <f>'Economic Data'!I83</f>
        <v>45.9</v>
      </c>
      <c r="DH69" s="368">
        <f>'Economic Data'!J83</f>
        <v>769942</v>
      </c>
      <c r="DI69" s="368">
        <f>'Economic Data'!K83</f>
        <v>596521.6</v>
      </c>
      <c r="DJ69" s="368">
        <f>'Economic Data'!L83</f>
        <v>85928.9</v>
      </c>
      <c r="DK69" s="368">
        <f>'Economic Data'!M83</f>
        <v>23899.8</v>
      </c>
      <c r="DL69" s="368">
        <f>'Economic Data'!N83</f>
        <v>777225</v>
      </c>
      <c r="DM69" s="368">
        <f>'Economic Data'!O83</f>
        <v>89887</v>
      </c>
      <c r="DN69" s="368">
        <f>'Economic Data'!P83</f>
        <v>17609</v>
      </c>
      <c r="DO69" s="368">
        <f>'Economic Data'!Q83</f>
        <v>598852</v>
      </c>
      <c r="DP69" s="368">
        <f>'Economic Data'!R83</f>
        <v>22145</v>
      </c>
      <c r="DQ69">
        <v>31</v>
      </c>
      <c r="DR69">
        <v>20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1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f t="shared" si="189"/>
        <v>68</v>
      </c>
      <c r="EI69">
        <v>1</v>
      </c>
      <c r="EJ69">
        <v>0.5</v>
      </c>
      <c r="EK69">
        <v>1</v>
      </c>
      <c r="EL69">
        <v>0</v>
      </c>
      <c r="EM69" s="47">
        <f t="shared" si="125"/>
        <v>9.8604166666666604</v>
      </c>
      <c r="EN69" s="47">
        <f t="shared" si="126"/>
        <v>25.325946969696986</v>
      </c>
      <c r="EO69" s="47">
        <f t="shared" si="127"/>
        <v>1.7437499999999986</v>
      </c>
      <c r="EP69" s="47">
        <f t="shared" si="128"/>
        <v>48.209280303030319</v>
      </c>
      <c r="EQ69" s="47">
        <f t="shared" si="129"/>
        <v>0</v>
      </c>
      <c r="ER69" s="47">
        <f t="shared" si="130"/>
        <v>77.46553030303032</v>
      </c>
      <c r="ES69" s="47">
        <f t="shared" si="131"/>
        <v>0</v>
      </c>
      <c r="ET69" s="47">
        <f t="shared" si="132"/>
        <v>108.46553030303032</v>
      </c>
      <c r="EU69" s="47">
        <f t="shared" si="133"/>
        <v>0</v>
      </c>
      <c r="EV69" s="47">
        <f t="shared" si="134"/>
        <v>139.46553030303031</v>
      </c>
      <c r="EW69" s="47">
        <f t="shared" si="135"/>
        <v>0</v>
      </c>
      <c r="EX69" s="47">
        <f t="shared" si="136"/>
        <v>170.46553030303028</v>
      </c>
      <c r="EY69" s="47">
        <f t="shared" si="137"/>
        <v>0</v>
      </c>
      <c r="EZ69" s="47">
        <f t="shared" si="138"/>
        <v>201.46553030303033</v>
      </c>
      <c r="FA69" s="47">
        <f t="shared" si="139"/>
        <v>19.720833333333321</v>
      </c>
      <c r="FB69" s="47">
        <f t="shared" si="140"/>
        <v>50.651893939393972</v>
      </c>
      <c r="FC69" s="47">
        <f t="shared" si="141"/>
        <v>3.4874999999999972</v>
      </c>
      <c r="FD69" s="47">
        <f t="shared" si="142"/>
        <v>96.418560606060637</v>
      </c>
      <c r="FE69" s="47">
        <f t="shared" si="143"/>
        <v>0</v>
      </c>
      <c r="FF69" s="47">
        <f t="shared" si="144"/>
        <v>154.93106060606064</v>
      </c>
      <c r="FG69" s="47">
        <f t="shared" si="145"/>
        <v>0</v>
      </c>
      <c r="FH69" s="47">
        <f t="shared" si="146"/>
        <v>216.93106060606064</v>
      </c>
      <c r="FI69" s="47">
        <f t="shared" si="147"/>
        <v>0</v>
      </c>
      <c r="FJ69" s="47">
        <f t="shared" si="148"/>
        <v>278.93106060606061</v>
      </c>
      <c r="FK69" s="47">
        <f t="shared" si="149"/>
        <v>0</v>
      </c>
      <c r="FL69" s="47">
        <f t="shared" si="150"/>
        <v>340.93106060606056</v>
      </c>
      <c r="FM69" s="47">
        <f t="shared" si="151"/>
        <v>0</v>
      </c>
      <c r="FN69" s="47">
        <f t="shared" si="152"/>
        <v>402.93106060606067</v>
      </c>
      <c r="FO69" s="765">
        <f t="shared" ca="1" si="153"/>
        <v>973.04749421723659</v>
      </c>
      <c r="FP69" s="765">
        <f t="shared" si="154"/>
        <v>736.72256365642045</v>
      </c>
      <c r="FQ69" s="765">
        <f t="shared" si="155"/>
        <v>2718.0083497152737</v>
      </c>
      <c r="FR69" s="765">
        <f t="shared" si="156"/>
        <v>82264.961331040075</v>
      </c>
      <c r="FS69" s="765">
        <f t="shared" si="157"/>
        <v>1652311.9968723205</v>
      </c>
      <c r="FT69" s="765">
        <f t="shared" si="158"/>
        <v>5666159.3873862196</v>
      </c>
      <c r="FU69" s="765">
        <f t="shared" si="159"/>
        <v>27.030576446412311</v>
      </c>
      <c r="FV69" s="765">
        <f t="shared" si="160"/>
        <v>73.74094488188976</v>
      </c>
      <c r="FW69" s="765">
        <f t="shared" si="161"/>
        <v>501.13206738768741</v>
      </c>
      <c r="FX69" s="765">
        <f t="shared" si="162"/>
        <v>1089.898729939727</v>
      </c>
      <c r="FY69" s="765">
        <f t="shared" si="163"/>
        <v>3342.067920241127</v>
      </c>
      <c r="FZ69" s="765">
        <f t="shared" si="164"/>
        <v>77657.223424350406</v>
      </c>
      <c r="GA69" s="765">
        <f t="shared" si="165"/>
        <v>83295.876666666663</v>
      </c>
      <c r="GB69" s="765">
        <f t="shared" si="166"/>
        <v>19.625710508403575</v>
      </c>
      <c r="GC69" s="765">
        <f t="shared" si="167"/>
        <v>55.891673322017766</v>
      </c>
      <c r="GD69" s="765">
        <f t="shared" si="168"/>
        <v>420.94560307955533</v>
      </c>
    </row>
    <row r="70" spans="1:186">
      <c r="A70" s="4">
        <v>44075</v>
      </c>
      <c r="B70" s="6">
        <v>2020</v>
      </c>
      <c r="C70" s="5">
        <v>9</v>
      </c>
      <c r="D70" s="7">
        <v>71769234.842220306</v>
      </c>
      <c r="E70" s="7">
        <f>IFERROR(VLOOKUP($B70-1,CDM!$V$4:$AJ$17,2,FALSE)/12,0)+IFERROR(VLOOKUP($B70,CDM!$V$41:$AJ$54,2,FALSE)/24,0)+IFERROR(VLOOKUP($B70,CDM!$V$41:$AJ$54,2,FALSE)/2*$C70/78,0)</f>
        <v>3833764.6196679203</v>
      </c>
      <c r="F70" s="7">
        <f t="shared" si="169"/>
        <v>75602999.461888224</v>
      </c>
      <c r="G70" s="7">
        <f>IFERROR(HLOOKUP(B70-1,'EV Forecast VRZ'!$F$124:$T$130,2,FALSE)/12,0)+IFERROR(((HLOOKUP(B70,'EV Forecast VRZ'!$F$116:$T$122,2,FALSE)-HLOOKUP(B70-1,'EV Forecast VRZ'!$F$124:$T$130,2,FALSE)))*C70/78,0)</f>
        <v>239722.90659408603</v>
      </c>
      <c r="H70" s="7">
        <f ca="1">HLOOKUP(B70,Heating!$C$102:$O$106,2,FALSE)*INDEX(Weather!$BO$1:$CB$20,MATCH(B70,Weather!$BO$1:$BO$20,0),MATCH(C70,Weather!$BO$1:$CB$1,0))/VLOOKUP(B70,Weather!$BO$2:$CB$20,14,FALSE)*
VLOOKUP('Monthly Data'!$B70,Weather!$BO$3:$CB$20,14,FALSE)/Weather!$CB$14</f>
        <v>68052.597387134505</v>
      </c>
      <c r="I70" s="7">
        <f t="shared" ca="1" si="170"/>
        <v>75295223.957907006</v>
      </c>
      <c r="J70" s="7">
        <v>955513.18759000103</v>
      </c>
      <c r="K70" s="7">
        <f>IFERROR(VLOOKUP($B70-1,CDM!$V$4:$AJ$17,3,FALSE)/12,0)+IFERROR(VLOOKUP($B70,CDM!$V$41:$AJ$54,3,FALSE)/24,0)+IFERROR(VLOOKUP($B70,CDM!$V$41:$AJ$54,3,FALSE)/2*$C70/78,0)</f>
        <v>43911.186919441883</v>
      </c>
      <c r="L70" s="7">
        <f t="shared" si="171"/>
        <v>999424.37450944295</v>
      </c>
      <c r="M70" s="7">
        <f>IFERROR(HLOOKUP(B70-1,'EV Forecast VRZ'!$F$124:$T$130,3,FALSE)/12,0)+IFERROR(((HLOOKUP(B70,'EV Forecast VRZ'!$F$116:$T$122,3,FALSE)-HLOOKUP(B70-1,'EV Forecast VRZ'!$F$124:$T$130,3,FALSE)))*C70/78,0)</f>
        <v>3261.286867452407</v>
      </c>
      <c r="N70" s="7">
        <f ca="1">HLOOKUP(B70,Heating!$C$102:$O$106,3,FALSE)*INDEX(Weather!$BO$1:$CB$20,MATCH(B70,Weather!$BO$1:$BO$20,0),MATCH(C70,Weather!$BO$1:$CB$1,0))/VLOOKUP(B70,Weather!$BO$2:$CB$20,14,FALSE)*
VLOOKUP('Monthly Data'!$B70,Weather!$BO$3:$CB$20,14,FALSE)/Weather!$CB$14</f>
        <v>901.23281223427819</v>
      </c>
      <c r="O70" s="7">
        <f t="shared" ca="1" si="172"/>
        <v>995261.85482975619</v>
      </c>
      <c r="P70" s="7">
        <v>20178943.140609998</v>
      </c>
      <c r="Q70" s="7">
        <f>IFERROR(VLOOKUP($B70-1,CDM!$V$4:$AJ$17,4,FALSE)/12,0)+IFERROR(VLOOKUP($B70,CDM!$V$41:$AJ$54,4,FALSE)/24,0)+IFERROR(VLOOKUP($B70,CDM!$V$41:$AJ$54,4,FALSE)/2*$C70/78,0)</f>
        <v>1368802.155151637</v>
      </c>
      <c r="R70" s="7">
        <f t="shared" si="173"/>
        <v>21547745.295761634</v>
      </c>
      <c r="S70" s="7">
        <f>IFERROR(HLOOKUP(B70-1,'EV Forecast VRZ'!$F$124:$T$130,4,FALSE)/12,0)+IFERROR(((HLOOKUP(B70,'EV Forecast VRZ'!$F$116:$T$122,4,FALSE)-HLOOKUP(B70-1,'EV Forecast VRZ'!$F$124:$T$130,4,FALSE)))*C70/78,0)</f>
        <v>29864.430000000004</v>
      </c>
      <c r="T70" s="7">
        <f ca="1">HLOOKUP(B70,Heating!$C$102:$O$106,4,FALSE)*INDEX(Weather!$BO$1:$CB$20,MATCH(B70,Weather!$BO$1:$BO$20,0),MATCH(C70,Weather!$BO$1:$CB$1,0))/VLOOKUP(B70,Weather!$BO$2:$CB$20,14,FALSE)*
VLOOKUP('Monthly Data'!$B70,Weather!$BO$3:$CB$20,14,FALSE)/Weather!$CB$14</f>
        <v>17012.449825514566</v>
      </c>
      <c r="U70" s="7">
        <f t="shared" ca="1" si="174"/>
        <v>21500868.41593612</v>
      </c>
      <c r="V70" s="7">
        <v>73807152.819999993</v>
      </c>
      <c r="W70" s="7">
        <f>IFERROR(VLOOKUP($B70-1,CDM!$V$4:$AJ$17,5,FALSE)/12,0)+IFERROR(VLOOKUP($B70,CDM!$V$41:$AJ$54,5,FALSE)/24,0)+IFERROR(VLOOKUP($B70,CDM!$V$41:$AJ$54,5,FALSE)/2*$C70/78,0)</f>
        <v>4925107.9082509112</v>
      </c>
      <c r="X70" s="7">
        <f t="shared" si="175"/>
        <v>78732260.728250906</v>
      </c>
      <c r="Y70" s="7">
        <f>IFERROR(HLOOKUP(B70-1,'EV Forecast VRZ'!$F$124:$T$130,5,FALSE)/12,0)+IFERROR(((HLOOKUP(B70,'EV Forecast VRZ'!$F$116:$T$122,5,FALSE)-HLOOKUP(B70-1,'EV Forecast VRZ'!$F$124:$T$130,5,FALSE)))*C70/78,0)</f>
        <v>13542.455038461538</v>
      </c>
      <c r="Z70" s="7">
        <f ca="1">HLOOKUP(B70,Heating!$C$102:$O$106,5,FALSE)*INDEX(Weather!$BO$1:$CB$20,MATCH(B70,Weather!$BO$1:$BO$20,0),MATCH(C70,Weather!$BO$1:$CB$1,0))/VLOOKUP(B70,Weather!$BO$2:$CB$20,14,FALSE)*
VLOOKUP('Monthly Data'!$B70,Weather!$BO$3:$CB$20,14,FALSE)/Weather!$CB$14</f>
        <v>9601.4829545921802</v>
      </c>
      <c r="AA70" s="7">
        <f t="shared" ca="1" si="176"/>
        <v>78709116.790257856</v>
      </c>
      <c r="AB70" s="7">
        <v>7387908.79</v>
      </c>
      <c r="AC70" s="7">
        <f>IFERROR(VLOOKUP($B70-1,CDM!$V$4:$AJ$17,6,FALSE)/12,0)+IFERROR(VLOOKUP($B70,CDM!$V$41:$AJ$54,6,FALSE)/24,0)+IFERROR(VLOOKUP($B70,CDM!$V$41:$AJ$54,6,FALSE)/2*$C70/78,0)</f>
        <v>230664.29035667813</v>
      </c>
      <c r="AD70" s="7">
        <f t="shared" si="177"/>
        <v>7618573.080356678</v>
      </c>
      <c r="AE70" s="7">
        <f>IFERROR(HLOOKUP(B70-1,'EV Forecast VRZ'!$F$124:$T$130,6,FALSE)/12,0)+IFERROR(((HLOOKUP(B70,'EV Forecast VRZ'!$F$116:$T$122,6,FALSE)-HLOOKUP(B70-1,'EV Forecast VRZ'!$F$124:$T$130,6,FALSE)))*C70/78,0)</f>
        <v>1907.0676538461535</v>
      </c>
      <c r="AF70" s="7">
        <f t="shared" si="178"/>
        <v>7616666.012702832</v>
      </c>
      <c r="AG70" s="7">
        <v>21615569.670000002</v>
      </c>
      <c r="AH70" s="7">
        <f>IFERROR(VLOOKUP($B70-1,CDM!$V$4:$AJ$17,7,FALSE)/12,0)+IFERROR(VLOOKUP($B70,CDM!$V$41:$AJ$54,7,FALSE)/24,0)+IFERROR(VLOOKUP($B70,CDM!$V$41:$AJ$54,7,FALSE)/2*$C70/78,0)</f>
        <v>1640404.7691561095</v>
      </c>
      <c r="AI70" s="7">
        <f t="shared" si="179"/>
        <v>23255974.439156111</v>
      </c>
      <c r="AJ70" s="7">
        <f>IFERROR(HLOOKUP(B70-1,'EV Forecast VRZ'!$F$124:$T$130,7,FALSE)/12,0)+IFERROR(((HLOOKUP(B70,'EV Forecast VRZ'!$F$116:$T$122,7,FALSE)-HLOOKUP(B70-1,'EV Forecast VRZ'!$F$124:$T$130,7,FALSE)))*C70/78,0)</f>
        <v>0</v>
      </c>
      <c r="AK70" s="7">
        <f t="shared" si="180"/>
        <v>23255974.439156111</v>
      </c>
      <c r="AL70" s="7">
        <v>925333.54</v>
      </c>
      <c r="AM70" s="7">
        <v>19502.460000000003</v>
      </c>
      <c r="AN70" s="7">
        <v>401151.4</v>
      </c>
      <c r="AO70" s="5">
        <v>186949.58</v>
      </c>
      <c r="AP70" s="5">
        <v>17027.41</v>
      </c>
      <c r="AQ70" s="5">
        <v>37657</v>
      </c>
      <c r="AR70" s="5">
        <v>2558.87</v>
      </c>
      <c r="AS70" s="763">
        <f t="shared" si="187"/>
        <v>53.5</v>
      </c>
      <c r="AT70" s="776">
        <v>112412.75</v>
      </c>
      <c r="AU70" s="776">
        <v>1561</v>
      </c>
      <c r="AV70" s="776">
        <v>9281.5</v>
      </c>
      <c r="AW70" s="776">
        <v>1037</v>
      </c>
      <c r="AX70" s="776">
        <v>4.7499999999999973</v>
      </c>
      <c r="AY70" s="776">
        <v>4</v>
      </c>
      <c r="AZ70" s="776">
        <v>31504.499999999989</v>
      </c>
      <c r="BA70" s="776">
        <v>253.25</v>
      </c>
      <c r="BB70" s="776">
        <v>800.99999999999966</v>
      </c>
      <c r="BC70" s="779">
        <v>29299169.7896</v>
      </c>
      <c r="BD70" s="779">
        <f>IFERROR(VLOOKUP($B70-1,CDM!$V$4:$AJ$17,11,FALSE)/12,0)+IFERROR(VLOOKUP($B70,CDM!$V$41:$AJ$54,11,FALSE)/24,0)+IFERROR(VLOOKUP($B70,CDM!$V$41:$AJ$54,11,FALSE)/2*$C70/78,0)</f>
        <v>1920100.181688772</v>
      </c>
      <c r="BE70" s="779">
        <f t="shared" si="123"/>
        <v>31219269.97128877</v>
      </c>
      <c r="BF70" s="779">
        <f>IFERROR(HLOOKUP(B70-1,'EV Forecast WRZ'!$F$124:$T$130,2,FALSE)/12,0)+IFERROR(((HLOOKUP(B70,'EV Forecast WRZ'!$F$116:$T$122,2,FALSE)-HLOOKUP(B70-1,'EV Forecast WRZ'!$F$124:$T$130,2,FALSE)))*C70/78,0)</f>
        <v>74644.005000000005</v>
      </c>
      <c r="BG70" s="779">
        <f ca="1">HLOOKUP(B70,Heating!$R$102:$AD$106,2,FALSE)*INDEX(Weather!$BO$1:$CB$20,MATCH(B70,Weather!$BO$1:$BO$20,0),MATCH(C70,Weather!$BO$1:$CB$1,0))/VLOOKUP(B70,Weather!$BO$2:$CB$20,14,FALSE)*
VLOOKUP('Monthly Data'!$B70,Weather!$BO$3:$CB$20,14,FALSE)/Weather!$CB$14</f>
        <v>26786.014637891585</v>
      </c>
      <c r="BH70" s="779">
        <f t="shared" ca="1" si="181"/>
        <v>31117839.95165088</v>
      </c>
      <c r="BI70" s="779">
        <v>6302581.8812499996</v>
      </c>
      <c r="BJ70" s="779">
        <f>IFERROR(VLOOKUP($B70-1,CDM!$V$4:$AJ$17,12,FALSE)/12,0)+IFERROR(VLOOKUP($B70,CDM!$V$41:$AJ$54,12,FALSE)/24,0)+IFERROR(VLOOKUP($B70,CDM!$V$41:$AJ$54,12,FALSE)/2*$C70/78,0)</f>
        <v>219688.28715372956</v>
      </c>
      <c r="BK70" s="779">
        <f t="shared" si="182"/>
        <v>6522270.1684037289</v>
      </c>
      <c r="BL70" s="779">
        <f>IFERROR(HLOOKUP(B70-1,'EV Forecast WRZ'!$F$124:$T$130,3,FALSE)/12,0)+IFERROR(((HLOOKUP(B70,'EV Forecast WRZ'!$F$116:$T$122,3,FALSE)-HLOOKUP(B70-1,'EV Forecast WRZ'!$F$124:$T$130,3,FALSE)))*C70/78,0)</f>
        <v>9216.3761538461549</v>
      </c>
      <c r="BM70" s="779">
        <f ca="1">HLOOKUP(B70,Heating!$R$102:$AD$106,4,FALSE)*INDEX(Weather!$BO$1:$CB$20,MATCH(B70,Weather!$BO$1:$BO$20,0),MATCH(C70,Weather!$BO$1:$CB$1,0))/VLOOKUP(B70,Weather!$BO$2:$CB$20,14,FALSE)*
VLOOKUP('Monthly Data'!$B70,Weather!$BO$3:$CB$20,14,FALSE)/Weather!$CB$14</f>
        <v>4238.1217453110794</v>
      </c>
      <c r="BN70" s="779">
        <f t="shared" ca="1" si="183"/>
        <v>6508815.6705045719</v>
      </c>
      <c r="BO70" s="779">
        <v>25403788.219999999</v>
      </c>
      <c r="BP70" s="779">
        <f>IFERROR(VLOOKUP($B70-1,CDM!$V$4:$AJ$17,13,FALSE)/12,0)+IFERROR(VLOOKUP($B70,CDM!$V$41:$AJ$54,13,FALSE)/24,0)+IFERROR(VLOOKUP($B70,CDM!$V$41:$AJ$54,13,FALSE)/2*$C70/78,0)</f>
        <v>1908482.7882818296</v>
      </c>
      <c r="BQ70" s="779">
        <f t="shared" si="184"/>
        <v>27312271.008281827</v>
      </c>
      <c r="BR70" s="779">
        <f>IFERROR(HLOOKUP(B70-1,'EV Forecast WRZ'!$F$124:$T$130,4,FALSE)/12,0)+IFERROR(((HLOOKUP(B70,'EV Forecast WRZ'!$F$116:$T$122,4,FALSE)-HLOOKUP(B70-1,'EV Forecast WRZ'!$F$124:$T$130,4,FALSE)))*C70/78,0)</f>
        <v>4182.5615769230772</v>
      </c>
      <c r="BS70" s="779">
        <f ca="1">HLOOKUP(B70,Heating!$R$102:$AD$106,5,FALSE)*INDEX(Weather!$BO$1:$CB$20,MATCH(B70,Weather!$BO$1:$BO$20,0),MATCH(C70,Weather!$BO$1:$CB$1,0))/VLOOKUP(B70,Weather!$BO$2:$CB$20,14,FALSE)*
VLOOKUP('Monthly Data'!$B70,Weather!$BO$3:$CB$20,14,FALSE)/Weather!$CB$14</f>
        <v>2839.5112792302143</v>
      </c>
      <c r="BT70" s="779">
        <f t="shared" ca="1" si="185"/>
        <v>27305248.935425676</v>
      </c>
      <c r="BU70" s="779">
        <v>6767010.2300000004</v>
      </c>
      <c r="BV70" s="779">
        <f>IFERROR(VLOOKUP($B70-1,CDM!$V$4:$AJ$17,14,FALSE)/12,0)+IFERROR(VLOOKUP($B70,CDM!$V$41:$AJ$54,14,FALSE)/24,0)+IFERROR(VLOOKUP($B70,CDM!$V$41:$AJ$54,14,FALSE)/2*$C70/78,0)</f>
        <v>429069.21511020442</v>
      </c>
      <c r="BW70" s="779">
        <f t="shared" si="186"/>
        <v>7196079.4451102046</v>
      </c>
      <c r="BX70" s="779">
        <f>IFERROR(HLOOKUP(B70-1,'EV Forecast WRZ'!$F$124:$T$130,5,FALSE)/12,0)+IFERROR(((HLOOKUP(B70,'EV Forecast WRZ'!$F$116:$T$122,5,FALSE)-HLOOKUP(B70-1,'EV Forecast WRZ'!$F$124:$T$130,5,FALSE)))*C70/78,0)</f>
        <v>601.58803846153842</v>
      </c>
      <c r="BY70" s="779">
        <f t="shared" si="124"/>
        <v>7195477.8570717433</v>
      </c>
      <c r="BZ70" s="779">
        <v>275734.08</v>
      </c>
      <c r="CA70" s="779">
        <v>2067.9919129146574</v>
      </c>
      <c r="CB70" s="5">
        <v>164028.47</v>
      </c>
      <c r="CC70" s="5">
        <v>65076.35</v>
      </c>
      <c r="CD70" s="5">
        <v>10898.54</v>
      </c>
      <c r="CE70" s="5">
        <v>764.52</v>
      </c>
      <c r="CF70" s="763">
        <f t="shared" si="188"/>
        <v>6</v>
      </c>
      <c r="CG70" s="785">
        <v>42051.25</v>
      </c>
      <c r="CH70" s="785">
        <v>2290.9999999999986</v>
      </c>
      <c r="CI70" s="785">
        <v>383.75</v>
      </c>
      <c r="CJ70" s="785">
        <v>3</v>
      </c>
      <c r="CK70" s="785">
        <v>12749.250000000005</v>
      </c>
      <c r="CL70" s="785">
        <v>37</v>
      </c>
      <c r="CM70" s="785">
        <v>389.99999999999983</v>
      </c>
      <c r="CN70" s="46">
        <f>Weather!C82</f>
        <v>132.75869565217394</v>
      </c>
      <c r="CO70" s="46">
        <f>Weather!D82</f>
        <v>4.6041666666666714</v>
      </c>
      <c r="CP70" s="46">
        <f>Weather!E82</f>
        <v>85.042028985507244</v>
      </c>
      <c r="CQ70" s="46">
        <f>Weather!F82</f>
        <v>16.887500000000003</v>
      </c>
      <c r="CR70" s="46">
        <f>Weather!G82</f>
        <v>46.033695652173925</v>
      </c>
      <c r="CS70" s="46">
        <f>Weather!H82</f>
        <v>37.879166666666663</v>
      </c>
      <c r="CT70" s="46">
        <f>Weather!I82</f>
        <v>23.967028985507248</v>
      </c>
      <c r="CU70" s="46">
        <f>Weather!J82</f>
        <v>75.812499999999972</v>
      </c>
      <c r="CV70" s="46">
        <f>Weather!K82</f>
        <v>8.9666666666666686</v>
      </c>
      <c r="CW70" s="46">
        <f>Weather!L82</f>
        <v>120.81213768115938</v>
      </c>
      <c r="CX70" s="46">
        <f>Weather!M82</f>
        <v>2.2333333333333343</v>
      </c>
      <c r="CY70" s="46">
        <f>Weather!N82</f>
        <v>174.07880434782609</v>
      </c>
      <c r="CZ70" s="46">
        <f>Weather!O82</f>
        <v>0</v>
      </c>
      <c r="DA70" s="46">
        <f>Weather!P82</f>
        <v>231.84547101449272</v>
      </c>
      <c r="DB70" s="368">
        <f>'Economic Data'!D84</f>
        <v>7065.2</v>
      </c>
      <c r="DC70" s="368">
        <f>'Economic Data'!E84</f>
        <v>7098.8</v>
      </c>
      <c r="DD70" s="368">
        <f>'Economic Data'!F84</f>
        <v>211.9</v>
      </c>
      <c r="DE70" s="368">
        <f>'Economic Data'!G84</f>
        <v>211.3</v>
      </c>
      <c r="DF70" s="368">
        <f>'Economic Data'!H84</f>
        <v>49.4</v>
      </c>
      <c r="DG70" s="368">
        <f>'Economic Data'!I84</f>
        <v>49.4</v>
      </c>
      <c r="DH70" s="368">
        <f>'Economic Data'!J84</f>
        <v>769942</v>
      </c>
      <c r="DI70" s="368">
        <f>'Economic Data'!K84</f>
        <v>596521.6</v>
      </c>
      <c r="DJ70" s="368">
        <f>'Economic Data'!L84</f>
        <v>85928.9</v>
      </c>
      <c r="DK70" s="368">
        <f>'Economic Data'!M84</f>
        <v>23899.8</v>
      </c>
      <c r="DL70" s="368">
        <f>'Economic Data'!N84</f>
        <v>777225</v>
      </c>
      <c r="DM70" s="368">
        <f>'Economic Data'!O84</f>
        <v>89887</v>
      </c>
      <c r="DN70" s="368">
        <f>'Economic Data'!P84</f>
        <v>17609</v>
      </c>
      <c r="DO70" s="368">
        <f>'Economic Data'!Q84</f>
        <v>598852</v>
      </c>
      <c r="DP70" s="368">
        <f>'Economic Data'!R84</f>
        <v>22145</v>
      </c>
      <c r="DQ70">
        <v>30</v>
      </c>
      <c r="DR70">
        <v>21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1</v>
      </c>
      <c r="EB70">
        <v>0</v>
      </c>
      <c r="EC70">
        <v>0</v>
      </c>
      <c r="ED70">
        <v>0</v>
      </c>
      <c r="EE70">
        <v>0</v>
      </c>
      <c r="EF70">
        <v>1</v>
      </c>
      <c r="EG70">
        <v>1</v>
      </c>
      <c r="EH70">
        <f t="shared" si="189"/>
        <v>69</v>
      </c>
      <c r="EI70">
        <v>1</v>
      </c>
      <c r="EJ70">
        <v>0.5</v>
      </c>
      <c r="EK70">
        <v>1</v>
      </c>
      <c r="EL70">
        <v>0</v>
      </c>
      <c r="EM70" s="47">
        <f t="shared" si="125"/>
        <v>66.37934782608697</v>
      </c>
      <c r="EN70" s="47">
        <f t="shared" si="126"/>
        <v>2.3020833333333357</v>
      </c>
      <c r="EO70" s="47">
        <f t="shared" si="127"/>
        <v>42.521014492753622</v>
      </c>
      <c r="EP70" s="47">
        <f t="shared" si="128"/>
        <v>8.4437500000000014</v>
      </c>
      <c r="EQ70" s="47">
        <f t="shared" si="129"/>
        <v>23.016847826086963</v>
      </c>
      <c r="ER70" s="47">
        <f t="shared" si="130"/>
        <v>18.939583333333331</v>
      </c>
      <c r="ES70" s="47">
        <f t="shared" si="131"/>
        <v>11.983514492753624</v>
      </c>
      <c r="ET70" s="47">
        <f t="shared" si="132"/>
        <v>37.906249999999986</v>
      </c>
      <c r="EU70" s="47">
        <f t="shared" si="133"/>
        <v>4.4833333333333343</v>
      </c>
      <c r="EV70" s="47">
        <f t="shared" si="134"/>
        <v>60.406068840579692</v>
      </c>
      <c r="EW70" s="47">
        <f t="shared" si="135"/>
        <v>1.1166666666666671</v>
      </c>
      <c r="EX70" s="47">
        <f t="shared" si="136"/>
        <v>87.039402173913047</v>
      </c>
      <c r="EY70" s="47">
        <f t="shared" si="137"/>
        <v>0</v>
      </c>
      <c r="EZ70" s="47">
        <f t="shared" si="138"/>
        <v>115.92273550724636</v>
      </c>
      <c r="FA70" s="47">
        <f t="shared" si="139"/>
        <v>132.75869565217394</v>
      </c>
      <c r="FB70" s="47">
        <f t="shared" si="140"/>
        <v>4.6041666666666714</v>
      </c>
      <c r="FC70" s="47">
        <f t="shared" si="141"/>
        <v>85.042028985507244</v>
      </c>
      <c r="FD70" s="47">
        <f t="shared" si="142"/>
        <v>16.887500000000003</v>
      </c>
      <c r="FE70" s="47">
        <f t="shared" si="143"/>
        <v>46.033695652173925</v>
      </c>
      <c r="FF70" s="47">
        <f t="shared" si="144"/>
        <v>37.879166666666663</v>
      </c>
      <c r="FG70" s="47">
        <f t="shared" si="145"/>
        <v>23.967028985507248</v>
      </c>
      <c r="FH70" s="47">
        <f t="shared" si="146"/>
        <v>75.812499999999972</v>
      </c>
      <c r="FI70" s="47">
        <f t="shared" si="147"/>
        <v>8.9666666666666686</v>
      </c>
      <c r="FJ70" s="47">
        <f t="shared" si="148"/>
        <v>120.81213768115938</v>
      </c>
      <c r="FK70" s="47">
        <f t="shared" si="149"/>
        <v>2.2333333333333343</v>
      </c>
      <c r="FL70" s="47">
        <f t="shared" si="150"/>
        <v>174.07880434782609</v>
      </c>
      <c r="FM70" s="47">
        <f t="shared" si="151"/>
        <v>0</v>
      </c>
      <c r="FN70" s="47">
        <f t="shared" si="152"/>
        <v>231.84547101449272</v>
      </c>
      <c r="FO70" s="765">
        <f t="shared" ca="1" si="153"/>
        <v>669.81035476764873</v>
      </c>
      <c r="FP70" s="765">
        <f t="shared" si="154"/>
        <v>640.24623607267324</v>
      </c>
      <c r="FQ70" s="765">
        <f t="shared" si="155"/>
        <v>2321.5800566461921</v>
      </c>
      <c r="FR70" s="765">
        <f t="shared" si="156"/>
        <v>75923.105813163842</v>
      </c>
      <c r="FS70" s="765">
        <f t="shared" si="157"/>
        <v>1603910.1221803541</v>
      </c>
      <c r="FT70" s="765">
        <f t="shared" si="158"/>
        <v>5813993.6097890278</v>
      </c>
      <c r="FU70" s="765">
        <f t="shared" si="159"/>
        <v>29.371472011934813</v>
      </c>
      <c r="FV70" s="765">
        <f t="shared" si="160"/>
        <v>77.008726554787771</v>
      </c>
      <c r="FW70" s="765">
        <f t="shared" si="161"/>
        <v>500.81323345817754</v>
      </c>
      <c r="FX70" s="765">
        <f t="shared" si="162"/>
        <v>742.41003469073496</v>
      </c>
      <c r="FY70" s="765">
        <f t="shared" si="163"/>
        <v>2846.9097199492503</v>
      </c>
      <c r="FZ70" s="765">
        <f t="shared" si="164"/>
        <v>71172.041715392377</v>
      </c>
      <c r="GA70" s="765">
        <f t="shared" si="165"/>
        <v>91911.360000000001</v>
      </c>
      <c r="GB70" s="765">
        <f t="shared" si="166"/>
        <v>21.627474557326895</v>
      </c>
      <c r="GC70" s="765">
        <f t="shared" si="167"/>
        <v>55.891673322017766</v>
      </c>
      <c r="GD70" s="765">
        <f t="shared" si="168"/>
        <v>420.5858205128207</v>
      </c>
    </row>
    <row r="71" spans="1:186">
      <c r="A71" s="4">
        <v>44105</v>
      </c>
      <c r="B71" s="6">
        <v>2020</v>
      </c>
      <c r="C71" s="5">
        <v>10</v>
      </c>
      <c r="D71" s="7">
        <v>70852401.622689798</v>
      </c>
      <c r="E71" s="7">
        <f>IFERROR(VLOOKUP($B71-1,CDM!$V$4:$AJ$17,2,FALSE)/12,0)+IFERROR(VLOOKUP($B71,CDM!$V$41:$AJ$54,2,FALSE)/24,0)+IFERROR(VLOOKUP($B71,CDM!$V$41:$AJ$54,2,FALSE)/2*$C71/78,0)</f>
        <v>3834672.3654397363</v>
      </c>
      <c r="F71" s="7">
        <f t="shared" si="169"/>
        <v>74687073.988129541</v>
      </c>
      <c r="G71" s="7">
        <f>IFERROR(HLOOKUP(B71-1,'EV Forecast VRZ'!$F$124:$T$130,2,FALSE)/12,0)+IFERROR(((HLOOKUP(B71,'EV Forecast VRZ'!$F$116:$T$122,2,FALSE)-HLOOKUP(B71-1,'EV Forecast VRZ'!$F$124:$T$130,2,FALSE)))*C71/78,0)</f>
        <v>244495.041600795</v>
      </c>
      <c r="H71" s="7">
        <f ca="1">HLOOKUP(B71,Heating!$C$102:$O$106,2,FALSE)*INDEX(Weather!$BO$1:$CB$20,MATCH(B71,Weather!$BO$1:$BO$20,0),MATCH(C71,Weather!$BO$1:$CB$1,0))/VLOOKUP(B71,Weather!$BO$2:$CB$20,14,FALSE)*
VLOOKUP('Monthly Data'!$B71,Weather!$BO$3:$CB$20,14,FALSE)/Weather!$CB$14</f>
        <v>230330.88675798575</v>
      </c>
      <c r="I71" s="7">
        <f t="shared" ca="1" si="170"/>
        <v>74212248.059770763</v>
      </c>
      <c r="J71" s="7">
        <v>1125835.36011</v>
      </c>
      <c r="K71" s="7">
        <f>IFERROR(VLOOKUP($B71-1,CDM!$V$4:$AJ$17,3,FALSE)/12,0)+IFERROR(VLOOKUP($B71,CDM!$V$41:$AJ$54,3,FALSE)/24,0)+IFERROR(VLOOKUP($B71,CDM!$V$41:$AJ$54,3,FALSE)/2*$C71/78,0)</f>
        <v>43921.584061211375</v>
      </c>
      <c r="L71" s="7">
        <f t="shared" si="171"/>
        <v>1169756.9441712114</v>
      </c>
      <c r="M71" s="7">
        <f>IFERROR(HLOOKUP(B71-1,'EV Forecast VRZ'!$F$124:$T$130,3,FALSE)/12,0)+IFERROR(((HLOOKUP(B71,'EV Forecast VRZ'!$F$116:$T$122,3,FALSE)-HLOOKUP(B71-1,'EV Forecast VRZ'!$F$124:$T$130,3,FALSE)))*C71/78,0)</f>
        <v>3326.2089120254882</v>
      </c>
      <c r="N71" s="7">
        <f ca="1">HLOOKUP(B71,Heating!$C$102:$O$106,3,FALSE)*INDEX(Weather!$BO$1:$CB$20,MATCH(B71,Weather!$BO$1:$BO$20,0),MATCH(C71,Weather!$BO$1:$CB$1,0))/VLOOKUP(B71,Weather!$BO$2:$CB$20,14,FALSE)*
VLOOKUP('Monthly Data'!$B71,Weather!$BO$3:$CB$20,14,FALSE)/Weather!$CB$14</f>
        <v>3050.3134455902255</v>
      </c>
      <c r="O71" s="7">
        <f t="shared" ca="1" si="172"/>
        <v>1163380.4218135958</v>
      </c>
      <c r="P71" s="7">
        <v>20122574.631239999</v>
      </c>
      <c r="Q71" s="7">
        <f>IFERROR(VLOOKUP($B71-1,CDM!$V$4:$AJ$17,4,FALSE)/12,0)+IFERROR(VLOOKUP($B71,CDM!$V$41:$AJ$54,4,FALSE)/24,0)+IFERROR(VLOOKUP($B71,CDM!$V$41:$AJ$54,4,FALSE)/2*$C71/78,0)</f>
        <v>1376029.3844155334</v>
      </c>
      <c r="R71" s="7">
        <f t="shared" si="173"/>
        <v>21498604.015655532</v>
      </c>
      <c r="S71" s="7">
        <f>IFERROR(HLOOKUP(B71-1,'EV Forecast VRZ'!$F$124:$T$130,4,FALSE)/12,0)+IFERROR(((HLOOKUP(B71,'EV Forecast VRZ'!$F$116:$T$122,4,FALSE)-HLOOKUP(B71-1,'EV Forecast VRZ'!$F$124:$T$130,4,FALSE)))*C71/78,0)</f>
        <v>30438.24666666667</v>
      </c>
      <c r="T71" s="7">
        <f ca="1">HLOOKUP(B71,Heating!$C$102:$O$106,4,FALSE)*INDEX(Weather!$BO$1:$CB$20,MATCH(B71,Weather!$BO$1:$BO$20,0),MATCH(C71,Weather!$BO$1:$CB$1,0))/VLOOKUP(B71,Weather!$BO$2:$CB$20,14,FALSE)*
VLOOKUP('Monthly Data'!$B71,Weather!$BO$3:$CB$20,14,FALSE)/Weather!$CB$14</f>
        <v>57580.354089134453</v>
      </c>
      <c r="U71" s="7">
        <f t="shared" ca="1" si="174"/>
        <v>21410585.414899733</v>
      </c>
      <c r="V71" s="7">
        <v>73414307.090000004</v>
      </c>
      <c r="W71" s="7">
        <f>IFERROR(VLOOKUP($B71-1,CDM!$V$4:$AJ$17,5,FALSE)/12,0)+IFERROR(VLOOKUP($B71,CDM!$V$41:$AJ$54,5,FALSE)/24,0)+IFERROR(VLOOKUP($B71,CDM!$V$41:$AJ$54,5,FALSE)/2*$C71/78,0)</f>
        <v>4957046.6588753471</v>
      </c>
      <c r="X71" s="7">
        <f t="shared" si="175"/>
        <v>78371353.74887535</v>
      </c>
      <c r="Y71" s="7">
        <f>IFERROR(HLOOKUP(B71-1,'EV Forecast VRZ'!$F$124:$T$130,5,FALSE)/12,0)+IFERROR(((HLOOKUP(B71,'EV Forecast VRZ'!$F$116:$T$122,5,FALSE)-HLOOKUP(B71-1,'EV Forecast VRZ'!$F$124:$T$130,5,FALSE)))*C71/78,0)</f>
        <v>13801.057153846154</v>
      </c>
      <c r="Z71" s="7">
        <f ca="1">HLOOKUP(B71,Heating!$C$102:$O$106,5,FALSE)*INDEX(Weather!$BO$1:$CB$20,MATCH(B71,Weather!$BO$1:$BO$20,0),MATCH(C71,Weather!$BO$1:$CB$1,0))/VLOOKUP(B71,Weather!$BO$2:$CB$20,14,FALSE)*
VLOOKUP('Monthly Data'!$B71,Weather!$BO$3:$CB$20,14,FALSE)/Weather!$CB$14</f>
        <v>32497.188469414607</v>
      </c>
      <c r="AA71" s="7">
        <f t="shared" ca="1" si="176"/>
        <v>78325055.503252089</v>
      </c>
      <c r="AB71" s="7">
        <v>7635639.5999999996</v>
      </c>
      <c r="AC71" s="7">
        <f>IFERROR(VLOOKUP($B71-1,CDM!$V$4:$AJ$17,6,FALSE)/12,0)+IFERROR(VLOOKUP($B71,CDM!$V$41:$AJ$54,6,FALSE)/24,0)+IFERROR(VLOOKUP($B71,CDM!$V$41:$AJ$54,6,FALSE)/2*$C71/78,0)</f>
        <v>231979.76197586401</v>
      </c>
      <c r="AD71" s="7">
        <f t="shared" si="177"/>
        <v>7867619.3619758636</v>
      </c>
      <c r="AE71" s="7">
        <f>IFERROR(HLOOKUP(B71-1,'EV Forecast VRZ'!$F$124:$T$130,6,FALSE)/12,0)+IFERROR(((HLOOKUP(B71,'EV Forecast VRZ'!$F$116:$T$122,6,FALSE)-HLOOKUP(B71-1,'EV Forecast VRZ'!$F$124:$T$130,6,FALSE)))*C71/78,0)</f>
        <v>1937.2969487179482</v>
      </c>
      <c r="AF71" s="7">
        <f t="shared" si="178"/>
        <v>7865682.0650271457</v>
      </c>
      <c r="AG71" s="7">
        <v>22624518.030000001</v>
      </c>
      <c r="AH71" s="7">
        <f>IFERROR(VLOOKUP($B71-1,CDM!$V$4:$AJ$17,7,FALSE)/12,0)+IFERROR(VLOOKUP($B71,CDM!$V$41:$AJ$54,7,FALSE)/24,0)+IFERROR(VLOOKUP($B71,CDM!$V$41:$AJ$54,7,FALSE)/2*$C71/78,0)</f>
        <v>1645436.7687673427</v>
      </c>
      <c r="AI71" s="7">
        <f t="shared" si="179"/>
        <v>24269954.798767343</v>
      </c>
      <c r="AJ71" s="7">
        <f>IFERROR(HLOOKUP(B71-1,'EV Forecast VRZ'!$F$124:$T$130,7,FALSE)/12,0)+IFERROR(((HLOOKUP(B71,'EV Forecast VRZ'!$F$116:$T$122,7,FALSE)-HLOOKUP(B71-1,'EV Forecast VRZ'!$F$124:$T$130,7,FALSE)))*C71/78,0)</f>
        <v>0</v>
      </c>
      <c r="AK71" s="7">
        <f t="shared" si="180"/>
        <v>24269954.798767343</v>
      </c>
      <c r="AL71" s="7">
        <v>1080684.74</v>
      </c>
      <c r="AM71" s="7">
        <v>19190.099999999991</v>
      </c>
      <c r="AN71" s="7">
        <v>401186</v>
      </c>
      <c r="AO71" s="5">
        <v>179575.6</v>
      </c>
      <c r="AP71" s="5">
        <v>16086.38</v>
      </c>
      <c r="AQ71" s="5">
        <v>38392</v>
      </c>
      <c r="AR71" s="5">
        <v>2558.35</v>
      </c>
      <c r="AS71" s="763">
        <f t="shared" si="187"/>
        <v>53.5</v>
      </c>
      <c r="AT71" s="776">
        <v>112490.5</v>
      </c>
      <c r="AU71" s="776">
        <v>1561</v>
      </c>
      <c r="AV71" s="776">
        <v>9283</v>
      </c>
      <c r="AW71" s="776">
        <v>1039</v>
      </c>
      <c r="AX71" s="776">
        <v>4.8333333333333304</v>
      </c>
      <c r="AY71" s="776">
        <v>4</v>
      </c>
      <c r="AZ71" s="776">
        <v>31540.333333333321</v>
      </c>
      <c r="BA71" s="776">
        <v>252.5</v>
      </c>
      <c r="BB71" s="776">
        <v>800.66666666666629</v>
      </c>
      <c r="BC71" s="779">
        <v>26808416.2166299</v>
      </c>
      <c r="BD71" s="779">
        <f>IFERROR(VLOOKUP($B71-1,CDM!$V$4:$AJ$17,11,FALSE)/12,0)+IFERROR(VLOOKUP($B71,CDM!$V$41:$AJ$54,11,FALSE)/24,0)+IFERROR(VLOOKUP($B71,CDM!$V$41:$AJ$54,11,FALSE)/2*$C71/78,0)</f>
        <v>1920163.9304577855</v>
      </c>
      <c r="BE71" s="779">
        <f t="shared" si="123"/>
        <v>28728580.147087686</v>
      </c>
      <c r="BF71" s="779">
        <f>IFERROR(HLOOKUP(B71-1,'EV Forecast WRZ'!$F$124:$T$130,2,FALSE)/12,0)+IFERROR(((HLOOKUP(B71,'EV Forecast WRZ'!$F$116:$T$122,2,FALSE)-HLOOKUP(B71-1,'EV Forecast WRZ'!$F$124:$T$130,2,FALSE)))*C71/78,0)</f>
        <v>76298.94166666668</v>
      </c>
      <c r="BG71" s="779">
        <f ca="1">HLOOKUP(B71,Heating!$R$102:$AD$106,2,FALSE)*INDEX(Weather!$BO$1:$CB$20,MATCH(B71,Weather!$BO$1:$BO$20,0),MATCH(C71,Weather!$BO$1:$CB$1,0))/VLOOKUP(B71,Weather!$BO$2:$CB$20,14,FALSE)*
VLOOKUP('Monthly Data'!$B71,Weather!$BO$3:$CB$20,14,FALSE)/Weather!$CB$14</f>
        <v>90659.970980392623</v>
      </c>
      <c r="BH71" s="779">
        <f t="shared" ca="1" si="181"/>
        <v>28561621.234440628</v>
      </c>
      <c r="BI71" s="779">
        <v>6255988.8250099998</v>
      </c>
      <c r="BJ71" s="779">
        <f>IFERROR(VLOOKUP($B71-1,CDM!$V$4:$AJ$17,12,FALSE)/12,0)+IFERROR(VLOOKUP($B71,CDM!$V$41:$AJ$54,12,FALSE)/24,0)+IFERROR(VLOOKUP($B71,CDM!$V$41:$AJ$54,12,FALSE)/2*$C71/78,0)</f>
        <v>220564.90842569442</v>
      </c>
      <c r="BK71" s="779">
        <f t="shared" si="182"/>
        <v>6476553.7334356941</v>
      </c>
      <c r="BL71" s="779">
        <f>IFERROR(HLOOKUP(B71-1,'EV Forecast WRZ'!$F$124:$T$130,3,FALSE)/12,0)+IFERROR(((HLOOKUP(B71,'EV Forecast WRZ'!$F$116:$T$122,3,FALSE)-HLOOKUP(B71-1,'EV Forecast WRZ'!$F$124:$T$130,3,FALSE)))*C71/78,0)</f>
        <v>9418.2012820512828</v>
      </c>
      <c r="BM71" s="779">
        <f ca="1">HLOOKUP(B71,Heating!$R$102:$AD$106,4,FALSE)*INDEX(Weather!$BO$1:$CB$20,MATCH(B71,Weather!$BO$1:$BO$20,0),MATCH(C71,Weather!$BO$1:$CB$1,0))/VLOOKUP(B71,Weather!$BO$2:$CB$20,14,FALSE)*
VLOOKUP('Monthly Data'!$B71,Weather!$BO$3:$CB$20,14,FALSE)/Weather!$CB$14</f>
        <v>14344.350947144751</v>
      </c>
      <c r="BN71" s="779">
        <f t="shared" ca="1" si="183"/>
        <v>6452791.1812064983</v>
      </c>
      <c r="BO71" s="779">
        <v>25328818.460000001</v>
      </c>
      <c r="BP71" s="779">
        <f>IFERROR(VLOOKUP($B71-1,CDM!$V$4:$AJ$17,13,FALSE)/12,0)+IFERROR(VLOOKUP($B71,CDM!$V$41:$AJ$54,13,FALSE)/24,0)+IFERROR(VLOOKUP($B71,CDM!$V$41:$AJ$54,13,FALSE)/2*$C71/78,0)</f>
        <v>1933712.1350374562</v>
      </c>
      <c r="BQ71" s="779">
        <f t="shared" si="184"/>
        <v>27262530.595037457</v>
      </c>
      <c r="BR71" s="779">
        <f>IFERROR(HLOOKUP(B71-1,'EV Forecast WRZ'!$F$124:$T$130,4,FALSE)/12,0)+IFERROR(((HLOOKUP(B71,'EV Forecast WRZ'!$F$116:$T$122,4,FALSE)-HLOOKUP(B71-1,'EV Forecast WRZ'!$F$124:$T$130,4,FALSE)))*C71/78,0)</f>
        <v>4273.9598076923075</v>
      </c>
      <c r="BS71" s="779">
        <f ca="1">HLOOKUP(B71,Heating!$R$102:$AD$106,5,FALSE)*INDEX(Weather!$BO$1:$CB$20,MATCH(B71,Weather!$BO$1:$BO$20,0),MATCH(C71,Weather!$BO$1:$CB$1,0))/VLOOKUP(B71,Weather!$BO$2:$CB$20,14,FALSE)*
VLOOKUP('Monthly Data'!$B71,Weather!$BO$3:$CB$20,14,FALSE)/Weather!$CB$14</f>
        <v>9610.6126145898306</v>
      </c>
      <c r="BT71" s="779">
        <f t="shared" ca="1" si="185"/>
        <v>27248646.022615172</v>
      </c>
      <c r="BU71" s="779">
        <v>6718462.21</v>
      </c>
      <c r="BV71" s="779">
        <f>IFERROR(VLOOKUP($B71-1,CDM!$V$4:$AJ$17,14,FALSE)/12,0)+IFERROR(VLOOKUP($B71,CDM!$V$41:$AJ$54,14,FALSE)/24,0)+IFERROR(VLOOKUP($B71,CDM!$V$41:$AJ$54,14,FALSE)/2*$C71/78,0)</f>
        <v>434741.33124174445</v>
      </c>
      <c r="BW71" s="779">
        <f t="shared" si="186"/>
        <v>7153203.5412417445</v>
      </c>
      <c r="BX71" s="779">
        <f>IFERROR(HLOOKUP(B71-1,'EV Forecast WRZ'!$F$124:$T$130,5,FALSE)/12,0)+IFERROR(((HLOOKUP(B71,'EV Forecast WRZ'!$F$116:$T$122,5,FALSE)-HLOOKUP(B71-1,'EV Forecast WRZ'!$F$124:$T$130,5,FALSE)))*C71/78,0)</f>
        <v>613.98698717948707</v>
      </c>
      <c r="BY71" s="779">
        <f t="shared" si="124"/>
        <v>7152589.5542545654</v>
      </c>
      <c r="BZ71" s="779">
        <v>322089.37</v>
      </c>
      <c r="CA71" s="779">
        <v>2067.9919129146574</v>
      </c>
      <c r="CB71" s="5">
        <v>164028.49</v>
      </c>
      <c r="CC71" s="5">
        <v>62380.15</v>
      </c>
      <c r="CD71" s="5">
        <v>11821.44</v>
      </c>
      <c r="CE71" s="5">
        <v>764.52</v>
      </c>
      <c r="CF71" s="763">
        <f t="shared" si="188"/>
        <v>6</v>
      </c>
      <c r="CG71" s="785">
        <v>42119.5</v>
      </c>
      <c r="CH71" s="785">
        <v>2293.6666666666652</v>
      </c>
      <c r="CI71" s="785">
        <v>384.5</v>
      </c>
      <c r="CJ71" s="785">
        <v>3</v>
      </c>
      <c r="CK71" s="785">
        <v>12765.833333333339</v>
      </c>
      <c r="CL71" s="785">
        <v>37</v>
      </c>
      <c r="CM71" s="785">
        <v>390.33333333333314</v>
      </c>
      <c r="CN71" s="46">
        <f>Weather!C83</f>
        <v>349.83333333333326</v>
      </c>
      <c r="CO71" s="46">
        <f>Weather!D83</f>
        <v>0</v>
      </c>
      <c r="CP71" s="46">
        <f>Weather!E83</f>
        <v>287.83333333333331</v>
      </c>
      <c r="CQ71" s="46">
        <f>Weather!F83</f>
        <v>0</v>
      </c>
      <c r="CR71" s="46">
        <f>Weather!G83</f>
        <v>226.0625</v>
      </c>
      <c r="CS71" s="46">
        <f>Weather!H83</f>
        <v>0.22916666666666785</v>
      </c>
      <c r="CT71" s="46">
        <f>Weather!I83</f>
        <v>167.76250000000005</v>
      </c>
      <c r="CU71" s="46">
        <f>Weather!J83</f>
        <v>3.9291666666666654</v>
      </c>
      <c r="CV71" s="46">
        <f>Weather!K83</f>
        <v>112.09583333333335</v>
      </c>
      <c r="CW71" s="46">
        <f>Weather!L83</f>
        <v>10.262500000000003</v>
      </c>
      <c r="CX71" s="46">
        <f>Weather!M83</f>
        <v>71.3</v>
      </c>
      <c r="CY71" s="46">
        <f>Weather!N83</f>
        <v>31.466666666666676</v>
      </c>
      <c r="CZ71" s="46">
        <f>Weather!O83</f>
        <v>38.454166666666666</v>
      </c>
      <c r="DA71" s="46">
        <f>Weather!P83</f>
        <v>60.620833333333344</v>
      </c>
      <c r="DB71" s="368">
        <f>'Economic Data'!D85</f>
        <v>7186.6</v>
      </c>
      <c r="DC71" s="368">
        <f>'Economic Data'!E85</f>
        <v>7210.7</v>
      </c>
      <c r="DD71" s="368">
        <f>'Economic Data'!F85</f>
        <v>216.7</v>
      </c>
      <c r="DE71" s="368">
        <f>'Economic Data'!G85</f>
        <v>214.7</v>
      </c>
      <c r="DF71" s="368">
        <f>'Economic Data'!H85</f>
        <v>52.7</v>
      </c>
      <c r="DG71" s="368">
        <f>'Economic Data'!I85</f>
        <v>52.7</v>
      </c>
      <c r="DH71" s="368">
        <f>'Economic Data'!J85</f>
        <v>769942</v>
      </c>
      <c r="DI71" s="368">
        <f>'Economic Data'!K85</f>
        <v>596521.6</v>
      </c>
      <c r="DJ71" s="368">
        <f>'Economic Data'!L85</f>
        <v>85928.9</v>
      </c>
      <c r="DK71" s="368">
        <f>'Economic Data'!M85</f>
        <v>23899.8</v>
      </c>
      <c r="DL71" s="368">
        <f>'Economic Data'!N85</f>
        <v>795879</v>
      </c>
      <c r="DM71" s="368">
        <f>'Economic Data'!O85</f>
        <v>90451</v>
      </c>
      <c r="DN71" s="368">
        <f>'Economic Data'!P85</f>
        <v>16831</v>
      </c>
      <c r="DO71" s="368">
        <f>'Economic Data'!Q85</f>
        <v>613516</v>
      </c>
      <c r="DP71" s="368">
        <f>'Economic Data'!R85</f>
        <v>21752</v>
      </c>
      <c r="DQ71">
        <v>31</v>
      </c>
      <c r="DR71">
        <v>21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1</v>
      </c>
      <c r="EC71">
        <v>0</v>
      </c>
      <c r="ED71">
        <v>0</v>
      </c>
      <c r="EE71">
        <v>0</v>
      </c>
      <c r="EF71">
        <v>1</v>
      </c>
      <c r="EG71">
        <v>1</v>
      </c>
      <c r="EH71">
        <f t="shared" si="189"/>
        <v>70</v>
      </c>
      <c r="EI71">
        <v>1</v>
      </c>
      <c r="EJ71">
        <v>0.5</v>
      </c>
      <c r="EK71">
        <v>1</v>
      </c>
      <c r="EL71">
        <v>0</v>
      </c>
      <c r="EM71" s="47">
        <f t="shared" si="125"/>
        <v>174.91666666666663</v>
      </c>
      <c r="EN71" s="47">
        <f t="shared" si="126"/>
        <v>0</v>
      </c>
      <c r="EO71" s="47">
        <f t="shared" si="127"/>
        <v>143.91666666666666</v>
      </c>
      <c r="EP71" s="47">
        <f t="shared" si="128"/>
        <v>0</v>
      </c>
      <c r="EQ71" s="47">
        <f t="shared" si="129"/>
        <v>113.03125</v>
      </c>
      <c r="ER71" s="47">
        <f t="shared" si="130"/>
        <v>0.11458333333333393</v>
      </c>
      <c r="ES71" s="47">
        <f t="shared" si="131"/>
        <v>83.881250000000023</v>
      </c>
      <c r="ET71" s="47">
        <f t="shared" si="132"/>
        <v>1.9645833333333327</v>
      </c>
      <c r="EU71" s="47">
        <f t="shared" si="133"/>
        <v>56.047916666666673</v>
      </c>
      <c r="EV71" s="47">
        <f t="shared" si="134"/>
        <v>5.1312500000000014</v>
      </c>
      <c r="EW71" s="47">
        <f t="shared" si="135"/>
        <v>35.65</v>
      </c>
      <c r="EX71" s="47">
        <f t="shared" si="136"/>
        <v>15.733333333333338</v>
      </c>
      <c r="EY71" s="47">
        <f t="shared" si="137"/>
        <v>19.227083333333333</v>
      </c>
      <c r="EZ71" s="47">
        <f t="shared" si="138"/>
        <v>30.310416666666672</v>
      </c>
      <c r="FA71" s="47">
        <f t="shared" si="139"/>
        <v>349.83333333333326</v>
      </c>
      <c r="FB71" s="47">
        <f t="shared" si="140"/>
        <v>0</v>
      </c>
      <c r="FC71" s="47">
        <f t="shared" si="141"/>
        <v>287.83333333333331</v>
      </c>
      <c r="FD71" s="47">
        <f t="shared" si="142"/>
        <v>0</v>
      </c>
      <c r="FE71" s="47">
        <f t="shared" si="143"/>
        <v>226.0625</v>
      </c>
      <c r="FF71" s="47">
        <f t="shared" si="144"/>
        <v>0.22916666666666785</v>
      </c>
      <c r="FG71" s="47">
        <f t="shared" si="145"/>
        <v>167.76250000000005</v>
      </c>
      <c r="FH71" s="47">
        <f t="shared" si="146"/>
        <v>3.9291666666666654</v>
      </c>
      <c r="FI71" s="47">
        <f t="shared" si="147"/>
        <v>112.09583333333335</v>
      </c>
      <c r="FJ71" s="47">
        <f t="shared" si="148"/>
        <v>10.262500000000003</v>
      </c>
      <c r="FK71" s="47">
        <f t="shared" si="149"/>
        <v>71.3</v>
      </c>
      <c r="FL71" s="47">
        <f t="shared" si="150"/>
        <v>31.466666666666676</v>
      </c>
      <c r="FM71" s="47">
        <f t="shared" si="151"/>
        <v>38.454166666666666</v>
      </c>
      <c r="FN71" s="47">
        <f t="shared" si="152"/>
        <v>60.620833333333344</v>
      </c>
      <c r="FO71" s="765">
        <f t="shared" ca="1" si="153"/>
        <v>659.72013689841151</v>
      </c>
      <c r="FP71" s="765">
        <f t="shared" si="154"/>
        <v>749.36383354978307</v>
      </c>
      <c r="FQ71" s="765">
        <f t="shared" si="155"/>
        <v>2315.9112372784157</v>
      </c>
      <c r="FR71" s="765">
        <f t="shared" si="156"/>
        <v>75429.599373316029</v>
      </c>
      <c r="FS71" s="765">
        <f t="shared" si="157"/>
        <v>1627783.3162708692</v>
      </c>
      <c r="FT71" s="765">
        <f t="shared" si="158"/>
        <v>6067488.6996918358</v>
      </c>
      <c r="FU71" s="765">
        <f t="shared" si="159"/>
        <v>34.263580177761817</v>
      </c>
      <c r="FV71" s="765">
        <f t="shared" si="160"/>
        <v>76.000396039603928</v>
      </c>
      <c r="FW71" s="765">
        <f t="shared" si="161"/>
        <v>501.06494587843486</v>
      </c>
      <c r="FX71" s="765">
        <f t="shared" si="162"/>
        <v>682.07315250864053</v>
      </c>
      <c r="FY71" s="765">
        <f t="shared" si="163"/>
        <v>2823.6682459391213</v>
      </c>
      <c r="FZ71" s="765">
        <f t="shared" si="164"/>
        <v>70903.850702308075</v>
      </c>
      <c r="GA71" s="765">
        <f t="shared" si="165"/>
        <v>107363.12333333334</v>
      </c>
      <c r="GB71" s="765">
        <f t="shared" si="166"/>
        <v>25.230579280631883</v>
      </c>
      <c r="GC71" s="765">
        <f t="shared" si="167"/>
        <v>55.891673322017766</v>
      </c>
      <c r="GD71" s="765">
        <f t="shared" si="168"/>
        <v>420.2267036720753</v>
      </c>
    </row>
    <row r="72" spans="1:186">
      <c r="A72" s="4">
        <v>44136</v>
      </c>
      <c r="B72" s="6">
        <v>2020</v>
      </c>
      <c r="C72" s="5">
        <v>11</v>
      </c>
      <c r="D72" s="7">
        <v>74784670.431370392</v>
      </c>
      <c r="E72" s="7">
        <f>IFERROR(VLOOKUP($B72-1,CDM!$V$4:$AJ$17,2,FALSE)/12,0)+IFERROR(VLOOKUP($B72,CDM!$V$41:$AJ$54,2,FALSE)/24,0)+IFERROR(VLOOKUP($B72,CDM!$V$41:$AJ$54,2,FALSE)/2*$C72/78,0)</f>
        <v>3835580.1112115518</v>
      </c>
      <c r="F72" s="7">
        <f t="shared" si="169"/>
        <v>78620250.542581946</v>
      </c>
      <c r="G72" s="7">
        <f>IFERROR(HLOOKUP(B72-1,'EV Forecast VRZ'!$F$124:$T$130,2,FALSE)/12,0)+IFERROR(((HLOOKUP(B72,'EV Forecast VRZ'!$F$116:$T$122,2,FALSE)-HLOOKUP(B72-1,'EV Forecast VRZ'!$F$124:$T$130,2,FALSE)))*C72/78,0)</f>
        <v>249267.17660750399</v>
      </c>
      <c r="H72" s="7">
        <f ca="1">HLOOKUP(B72,Heating!$C$102:$O$106,2,FALSE)*INDEX(Weather!$BO$1:$CB$20,MATCH(B72,Weather!$BO$1:$BO$20,0),MATCH(C72,Weather!$BO$1:$CB$1,0))/VLOOKUP(B72,Weather!$BO$2:$CB$20,14,FALSE)*
VLOOKUP('Monthly Data'!$B72,Weather!$BO$3:$CB$20,14,FALSE)/Weather!$CB$14</f>
        <v>293122.30709631689</v>
      </c>
      <c r="I72" s="7">
        <f t="shared" ca="1" si="170"/>
        <v>78077861.058878124</v>
      </c>
      <c r="J72" s="7">
        <v>909742.48582000099</v>
      </c>
      <c r="K72" s="7">
        <f>IFERROR(VLOOKUP($B72-1,CDM!$V$4:$AJ$17,3,FALSE)/12,0)+IFERROR(VLOOKUP($B72,CDM!$V$41:$AJ$54,3,FALSE)/24,0)+IFERROR(VLOOKUP($B72,CDM!$V$41:$AJ$54,3,FALSE)/2*$C72/78,0)</f>
        <v>43931.98120298086</v>
      </c>
      <c r="L72" s="7">
        <f t="shared" si="171"/>
        <v>953674.46702298184</v>
      </c>
      <c r="M72" s="7">
        <f>IFERROR(HLOOKUP(B72-1,'EV Forecast VRZ'!$F$124:$T$130,3,FALSE)/12,0)+IFERROR(((HLOOKUP(B72,'EV Forecast VRZ'!$F$116:$T$122,3,FALSE)-HLOOKUP(B72-1,'EV Forecast VRZ'!$F$124:$T$130,3,FALSE)))*C72/78,0)</f>
        <v>3391.1309565985698</v>
      </c>
      <c r="N72" s="7">
        <f ca="1">HLOOKUP(B72,Heating!$C$102:$O$106,3,FALSE)*INDEX(Weather!$BO$1:$CB$20,MATCH(B72,Weather!$BO$1:$BO$20,0),MATCH(C72,Weather!$BO$1:$CB$1,0))/VLOOKUP(B72,Weather!$BO$2:$CB$20,14,FALSE)*
VLOOKUP('Monthly Data'!$B72,Weather!$BO$3:$CB$20,14,FALSE)/Weather!$CB$14</f>
        <v>3881.8715419516907</v>
      </c>
      <c r="O72" s="7">
        <f t="shared" ca="1" si="172"/>
        <v>946401.46452443162</v>
      </c>
      <c r="P72" s="7">
        <v>21338594.844720002</v>
      </c>
      <c r="Q72" s="7">
        <f>IFERROR(VLOOKUP($B72-1,CDM!$V$4:$AJ$17,4,FALSE)/12,0)+IFERROR(VLOOKUP($B72,CDM!$V$41:$AJ$54,4,FALSE)/24,0)+IFERROR(VLOOKUP($B72,CDM!$V$41:$AJ$54,4,FALSE)/2*$C72/78,0)</f>
        <v>1383256.6136794295</v>
      </c>
      <c r="R72" s="7">
        <f t="shared" si="173"/>
        <v>22721851.45839943</v>
      </c>
      <c r="S72" s="7">
        <f>IFERROR(HLOOKUP(B72-1,'EV Forecast VRZ'!$F$124:$T$130,4,FALSE)/12,0)+IFERROR(((HLOOKUP(B72,'EV Forecast VRZ'!$F$116:$T$122,4,FALSE)-HLOOKUP(B72-1,'EV Forecast VRZ'!$F$124:$T$130,4,FALSE)))*C72/78,0)</f>
        <v>31012.063333333339</v>
      </c>
      <c r="T72" s="7">
        <f ca="1">HLOOKUP(B72,Heating!$C$102:$O$106,4,FALSE)*INDEX(Weather!$BO$1:$CB$20,MATCH(B72,Weather!$BO$1:$BO$20,0),MATCH(C72,Weather!$BO$1:$CB$1,0))/VLOOKUP(B72,Weather!$BO$2:$CB$20,14,FALSE)*
VLOOKUP('Monthly Data'!$B72,Weather!$BO$3:$CB$20,14,FALSE)/Weather!$CB$14</f>
        <v>73277.563732753522</v>
      </c>
      <c r="U72" s="7">
        <f t="shared" ca="1" si="174"/>
        <v>22617561.831333343</v>
      </c>
      <c r="V72" s="7">
        <v>73244374.980000004</v>
      </c>
      <c r="W72" s="7">
        <f>IFERROR(VLOOKUP($B72-1,CDM!$V$4:$AJ$17,5,FALSE)/12,0)+IFERROR(VLOOKUP($B72,CDM!$V$41:$AJ$54,5,FALSE)/24,0)+IFERROR(VLOOKUP($B72,CDM!$V$41:$AJ$54,5,FALSE)/2*$C72/78,0)</f>
        <v>4988985.4094997831</v>
      </c>
      <c r="X72" s="7">
        <f t="shared" si="175"/>
        <v>78233360.389499784</v>
      </c>
      <c r="Y72" s="7">
        <f>IFERROR(HLOOKUP(B72-1,'EV Forecast VRZ'!$F$124:$T$130,5,FALSE)/12,0)+IFERROR(((HLOOKUP(B72,'EV Forecast VRZ'!$F$116:$T$122,5,FALSE)-HLOOKUP(B72-1,'EV Forecast VRZ'!$F$124:$T$130,5,FALSE)))*C72/78,0)</f>
        <v>14059.659269230768</v>
      </c>
      <c r="Z72" s="7">
        <f ca="1">HLOOKUP(B72,Heating!$C$102:$O$106,5,FALSE)*INDEX(Weather!$BO$1:$CB$20,MATCH(B72,Weather!$BO$1:$BO$20,0),MATCH(C72,Weather!$BO$1:$CB$1,0))/VLOOKUP(B72,Weather!$BO$2:$CB$20,14,FALSE)*
VLOOKUP('Monthly Data'!$B72,Weather!$BO$3:$CB$20,14,FALSE)/Weather!$CB$14</f>
        <v>41356.376439029074</v>
      </c>
      <c r="AA72" s="7">
        <f t="shared" ca="1" si="176"/>
        <v>78177944.35379152</v>
      </c>
      <c r="AB72" s="7">
        <v>7345725.1500000004</v>
      </c>
      <c r="AC72" s="7">
        <f>IFERROR(VLOOKUP($B72-1,CDM!$V$4:$AJ$17,6,FALSE)/12,0)+IFERROR(VLOOKUP($B72,CDM!$V$41:$AJ$54,6,FALSE)/24,0)+IFERROR(VLOOKUP($B72,CDM!$V$41:$AJ$54,6,FALSE)/2*$C72/78,0)</f>
        <v>233295.23359504988</v>
      </c>
      <c r="AD72" s="7">
        <f t="shared" si="177"/>
        <v>7579020.3835950503</v>
      </c>
      <c r="AE72" s="7">
        <f>IFERROR(HLOOKUP(B72-1,'EV Forecast VRZ'!$F$124:$T$130,6,FALSE)/12,0)+IFERROR(((HLOOKUP(B72,'EV Forecast VRZ'!$F$116:$T$122,6,FALSE)-HLOOKUP(B72-1,'EV Forecast VRZ'!$F$124:$T$130,6,FALSE)))*C72/78,0)</f>
        <v>1967.526243589743</v>
      </c>
      <c r="AF72" s="7">
        <f t="shared" si="178"/>
        <v>7577052.8573514605</v>
      </c>
      <c r="AG72" s="7">
        <v>22443866.800000001</v>
      </c>
      <c r="AH72" s="7">
        <f>IFERROR(VLOOKUP($B72-1,CDM!$V$4:$AJ$17,7,FALSE)/12,0)+IFERROR(VLOOKUP($B72,CDM!$V$41:$AJ$54,7,FALSE)/24,0)+IFERROR(VLOOKUP($B72,CDM!$V$41:$AJ$54,7,FALSE)/2*$C72/78,0)</f>
        <v>1650468.7683785756</v>
      </c>
      <c r="AI72" s="7">
        <f t="shared" si="179"/>
        <v>24094335.568378575</v>
      </c>
      <c r="AJ72" s="7">
        <f>IFERROR(HLOOKUP(B72-1,'EV Forecast VRZ'!$F$124:$T$130,7,FALSE)/12,0)+IFERROR(((HLOOKUP(B72,'EV Forecast VRZ'!$F$116:$T$122,7,FALSE)-HLOOKUP(B72-1,'EV Forecast VRZ'!$F$124:$T$130,7,FALSE)))*C72/78,0)</f>
        <v>0</v>
      </c>
      <c r="AK72" s="7">
        <f t="shared" si="180"/>
        <v>24094335.568378575</v>
      </c>
      <c r="AL72" s="7">
        <v>1153342.6000000001</v>
      </c>
      <c r="AM72" s="7">
        <v>19103.64</v>
      </c>
      <c r="AN72" s="7">
        <v>400401.94</v>
      </c>
      <c r="AO72" s="5">
        <v>177226.28</v>
      </c>
      <c r="AP72" s="5">
        <v>16076.52</v>
      </c>
      <c r="AQ72" s="5">
        <v>37839</v>
      </c>
      <c r="AR72" s="5">
        <v>2558.92</v>
      </c>
      <c r="AS72" s="763">
        <f t="shared" si="187"/>
        <v>53.5</v>
      </c>
      <c r="AT72" s="776">
        <v>112568.25</v>
      </c>
      <c r="AU72" s="776">
        <v>1561</v>
      </c>
      <c r="AV72" s="776">
        <v>9284.5</v>
      </c>
      <c r="AW72" s="776">
        <v>1041</v>
      </c>
      <c r="AX72" s="776">
        <v>4.9166666666666634</v>
      </c>
      <c r="AY72" s="776">
        <v>4</v>
      </c>
      <c r="AZ72" s="776">
        <v>31576.166666666653</v>
      </c>
      <c r="BA72" s="776">
        <v>251.75</v>
      </c>
      <c r="BB72" s="776">
        <v>800.33333333333292</v>
      </c>
      <c r="BC72" s="779">
        <v>27368444.87867</v>
      </c>
      <c r="BD72" s="779">
        <f>IFERROR(VLOOKUP($B72-1,CDM!$V$4:$AJ$17,11,FALSE)/12,0)+IFERROR(VLOOKUP($B72,CDM!$V$41:$AJ$54,11,FALSE)/24,0)+IFERROR(VLOOKUP($B72,CDM!$V$41:$AJ$54,11,FALSE)/2*$C72/78,0)</f>
        <v>1920227.6792267992</v>
      </c>
      <c r="BE72" s="779">
        <f t="shared" si="123"/>
        <v>29288672.5578968</v>
      </c>
      <c r="BF72" s="779">
        <f>IFERROR(HLOOKUP(B72-1,'EV Forecast WRZ'!$F$124:$T$130,2,FALSE)/12,0)+IFERROR(((HLOOKUP(B72,'EV Forecast WRZ'!$F$116:$T$122,2,FALSE)-HLOOKUP(B72-1,'EV Forecast WRZ'!$F$124:$T$130,2,FALSE)))*C72/78,0)</f>
        <v>77953.878333333341</v>
      </c>
      <c r="BG72" s="779">
        <f ca="1">HLOOKUP(B72,Heating!$R$102:$AD$106,2,FALSE)*INDEX(Weather!$BO$1:$CB$20,MATCH(B72,Weather!$BO$1:$BO$20,0),MATCH(C72,Weather!$BO$1:$CB$1,0))/VLOOKUP(B72,Weather!$BO$2:$CB$20,14,FALSE)*
VLOOKUP('Monthly Data'!$B72,Weather!$BO$3:$CB$20,14,FALSE)/Weather!$CB$14</f>
        <v>115375.14672524251</v>
      </c>
      <c r="BH72" s="779">
        <f t="shared" ca="1" si="181"/>
        <v>29095343.532838225</v>
      </c>
      <c r="BI72" s="779">
        <v>6500270.5689500002</v>
      </c>
      <c r="BJ72" s="779">
        <f>IFERROR(VLOOKUP($B72-1,CDM!$V$4:$AJ$17,12,FALSE)/12,0)+IFERROR(VLOOKUP($B72,CDM!$V$41:$AJ$54,12,FALSE)/24,0)+IFERROR(VLOOKUP($B72,CDM!$V$41:$AJ$54,12,FALSE)/2*$C72/78,0)</f>
        <v>221441.52969765928</v>
      </c>
      <c r="BK72" s="779">
        <f t="shared" si="182"/>
        <v>6721712.0986476596</v>
      </c>
      <c r="BL72" s="779">
        <f>IFERROR(HLOOKUP(B72-1,'EV Forecast WRZ'!$F$124:$T$130,3,FALSE)/12,0)+IFERROR(((HLOOKUP(B72,'EV Forecast WRZ'!$F$116:$T$122,3,FALSE)-HLOOKUP(B72-1,'EV Forecast WRZ'!$F$124:$T$130,3,FALSE)))*C72/78,0)</f>
        <v>9620.0264102564106</v>
      </c>
      <c r="BM72" s="779">
        <f ca="1">HLOOKUP(B72,Heating!$R$102:$AD$106,4,FALSE)*INDEX(Weather!$BO$1:$CB$20,MATCH(B72,Weather!$BO$1:$BO$20,0),MATCH(C72,Weather!$BO$1:$CB$1,0))/VLOOKUP(B72,Weather!$BO$2:$CB$20,14,FALSE)*
VLOOKUP('Monthly Data'!$B72,Weather!$BO$3:$CB$20,14,FALSE)/Weather!$CB$14</f>
        <v>18254.821585627091</v>
      </c>
      <c r="BN72" s="779">
        <f t="shared" ca="1" si="183"/>
        <v>6693837.2506517759</v>
      </c>
      <c r="BO72" s="779">
        <v>25742106.59</v>
      </c>
      <c r="BP72" s="779">
        <f>IFERROR(VLOOKUP($B72-1,CDM!$V$4:$AJ$17,13,FALSE)/12,0)+IFERROR(VLOOKUP($B72,CDM!$V$41:$AJ$54,13,FALSE)/24,0)+IFERROR(VLOOKUP($B72,CDM!$V$41:$AJ$54,13,FALSE)/2*$C72/78,0)</f>
        <v>1958941.4817930828</v>
      </c>
      <c r="BQ72" s="779">
        <f t="shared" si="184"/>
        <v>27701048.071793083</v>
      </c>
      <c r="BR72" s="779">
        <f>IFERROR(HLOOKUP(B72-1,'EV Forecast WRZ'!$F$124:$T$130,4,FALSE)/12,0)+IFERROR(((HLOOKUP(B72,'EV Forecast WRZ'!$F$116:$T$122,4,FALSE)-HLOOKUP(B72-1,'EV Forecast WRZ'!$F$124:$T$130,4,FALSE)))*C72/78,0)</f>
        <v>4365.3580384615389</v>
      </c>
      <c r="BS72" s="779">
        <f ca="1">HLOOKUP(B72,Heating!$R$102:$AD$106,5,FALSE)*INDEX(Weather!$BO$1:$CB$20,MATCH(B72,Weather!$BO$1:$BO$20,0),MATCH(C72,Weather!$BO$1:$CB$1,0))/VLOOKUP(B72,Weather!$BO$2:$CB$20,14,FALSE)*
VLOOKUP('Monthly Data'!$B72,Weather!$BO$3:$CB$20,14,FALSE)/Weather!$CB$14</f>
        <v>12230.599993988286</v>
      </c>
      <c r="BT72" s="779">
        <f t="shared" ca="1" si="185"/>
        <v>27684452.113760632</v>
      </c>
      <c r="BU72" s="779">
        <v>6514627.9699999997</v>
      </c>
      <c r="BV72" s="779">
        <f>IFERROR(VLOOKUP($B72-1,CDM!$V$4:$AJ$17,14,FALSE)/12,0)+IFERROR(VLOOKUP($B72,CDM!$V$41:$AJ$54,14,FALSE)/24,0)+IFERROR(VLOOKUP($B72,CDM!$V$41:$AJ$54,14,FALSE)/2*$C72/78,0)</f>
        <v>440413.44737328449</v>
      </c>
      <c r="BW72" s="779">
        <f t="shared" si="186"/>
        <v>6955041.4173732847</v>
      </c>
      <c r="BX72" s="779">
        <f>IFERROR(HLOOKUP(B72-1,'EV Forecast WRZ'!$F$124:$T$130,5,FALSE)/12,0)+IFERROR(((HLOOKUP(B72,'EV Forecast WRZ'!$F$116:$T$122,5,FALSE)-HLOOKUP(B72-1,'EV Forecast WRZ'!$F$124:$T$130,5,FALSE)))*C72/78,0)</f>
        <v>626.38593589743584</v>
      </c>
      <c r="BY72" s="779">
        <f t="shared" si="124"/>
        <v>6954415.0314373877</v>
      </c>
      <c r="BZ72" s="779">
        <v>343668.56</v>
      </c>
      <c r="CA72" s="779">
        <v>2067.9919129146574</v>
      </c>
      <c r="CB72" s="5">
        <v>164443.49</v>
      </c>
      <c r="CC72" s="5">
        <v>64686.49</v>
      </c>
      <c r="CD72" s="5">
        <v>11816.43</v>
      </c>
      <c r="CE72" s="5">
        <v>763.78</v>
      </c>
      <c r="CF72" s="763">
        <f t="shared" si="188"/>
        <v>6</v>
      </c>
      <c r="CG72" s="785">
        <v>42187.75</v>
      </c>
      <c r="CH72" s="785">
        <v>2296.3333333333317</v>
      </c>
      <c r="CI72" s="785">
        <v>385.25</v>
      </c>
      <c r="CJ72" s="785">
        <v>3</v>
      </c>
      <c r="CK72" s="785">
        <v>12782.416666666673</v>
      </c>
      <c r="CL72" s="785">
        <v>37</v>
      </c>
      <c r="CM72" s="785">
        <v>390.66666666666646</v>
      </c>
      <c r="CN72" s="46">
        <f>Weather!C84</f>
        <v>426.30072463768113</v>
      </c>
      <c r="CO72" s="46">
        <f>Weather!D84</f>
        <v>0</v>
      </c>
      <c r="CP72" s="46">
        <f>Weather!E84</f>
        <v>366.30072463768118</v>
      </c>
      <c r="CQ72" s="46">
        <f>Weather!F84</f>
        <v>0</v>
      </c>
      <c r="CR72" s="46">
        <f>Weather!G84</f>
        <v>306.30072463768124</v>
      </c>
      <c r="CS72" s="46">
        <f>Weather!H84</f>
        <v>0</v>
      </c>
      <c r="CT72" s="46">
        <f>Weather!I84</f>
        <v>246.30072463768118</v>
      </c>
      <c r="CU72" s="46">
        <f>Weather!J84</f>
        <v>0</v>
      </c>
      <c r="CV72" s="46">
        <f>Weather!K84</f>
        <v>188.12989130434778</v>
      </c>
      <c r="CW72" s="46">
        <f>Weather!L84</f>
        <v>1.8291666666666622</v>
      </c>
      <c r="CX72" s="46">
        <f>Weather!M84</f>
        <v>136.26322463768113</v>
      </c>
      <c r="CY72" s="46">
        <f>Weather!N84</f>
        <v>9.9624999999999932</v>
      </c>
      <c r="CZ72" s="46">
        <f>Weather!O84</f>
        <v>92.875724637681159</v>
      </c>
      <c r="DA72" s="46">
        <f>Weather!P84</f>
        <v>26.574999999999996</v>
      </c>
      <c r="DB72" s="368">
        <f>'Economic Data'!D86</f>
        <v>7271.8</v>
      </c>
      <c r="DC72" s="368">
        <f>'Economic Data'!E86</f>
        <v>7283</v>
      </c>
      <c r="DD72" s="368">
        <f>'Economic Data'!F86</f>
        <v>217</v>
      </c>
      <c r="DE72" s="368">
        <f>'Economic Data'!G86</f>
        <v>214.6</v>
      </c>
      <c r="DF72" s="368">
        <f>'Economic Data'!H86</f>
        <v>53.6</v>
      </c>
      <c r="DG72" s="368">
        <f>'Economic Data'!I86</f>
        <v>53.6</v>
      </c>
      <c r="DH72" s="368">
        <f>'Economic Data'!J86</f>
        <v>769942</v>
      </c>
      <c r="DI72" s="368">
        <f>'Economic Data'!K86</f>
        <v>596521.6</v>
      </c>
      <c r="DJ72" s="368">
        <f>'Economic Data'!L86</f>
        <v>85928.9</v>
      </c>
      <c r="DK72" s="368">
        <f>'Economic Data'!M86</f>
        <v>23899.8</v>
      </c>
      <c r="DL72" s="368">
        <f>'Economic Data'!N86</f>
        <v>795879</v>
      </c>
      <c r="DM72" s="368">
        <f>'Economic Data'!O86</f>
        <v>90451</v>
      </c>
      <c r="DN72" s="368">
        <f>'Economic Data'!P86</f>
        <v>16831</v>
      </c>
      <c r="DO72" s="368">
        <f>'Economic Data'!Q86</f>
        <v>613516</v>
      </c>
      <c r="DP72" s="368">
        <f>'Economic Data'!R86</f>
        <v>21752</v>
      </c>
      <c r="DQ72">
        <v>30</v>
      </c>
      <c r="DR72">
        <v>21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1</v>
      </c>
      <c r="ED72">
        <v>0</v>
      </c>
      <c r="EE72">
        <v>0</v>
      </c>
      <c r="EF72">
        <v>1</v>
      </c>
      <c r="EG72">
        <v>1</v>
      </c>
      <c r="EH72">
        <f t="shared" si="189"/>
        <v>71</v>
      </c>
      <c r="EI72">
        <v>1</v>
      </c>
      <c r="EJ72">
        <v>0.5</v>
      </c>
      <c r="EK72">
        <v>1</v>
      </c>
      <c r="EL72">
        <v>0</v>
      </c>
      <c r="EM72" s="47">
        <f t="shared" si="125"/>
        <v>213.15036231884056</v>
      </c>
      <c r="EN72" s="47">
        <f t="shared" si="126"/>
        <v>0</v>
      </c>
      <c r="EO72" s="47">
        <f t="shared" si="127"/>
        <v>183.15036231884059</v>
      </c>
      <c r="EP72" s="47">
        <f t="shared" si="128"/>
        <v>0</v>
      </c>
      <c r="EQ72" s="47">
        <f t="shared" si="129"/>
        <v>153.15036231884062</v>
      </c>
      <c r="ER72" s="47">
        <f t="shared" si="130"/>
        <v>0</v>
      </c>
      <c r="ES72" s="47">
        <f t="shared" si="131"/>
        <v>123.15036231884059</v>
      </c>
      <c r="ET72" s="47">
        <f t="shared" si="132"/>
        <v>0</v>
      </c>
      <c r="EU72" s="47">
        <f t="shared" si="133"/>
        <v>94.06494565217389</v>
      </c>
      <c r="EV72" s="47">
        <f t="shared" si="134"/>
        <v>0.91458333333333108</v>
      </c>
      <c r="EW72" s="47">
        <f t="shared" si="135"/>
        <v>68.131612318840567</v>
      </c>
      <c r="EX72" s="47">
        <f t="shared" si="136"/>
        <v>4.9812499999999966</v>
      </c>
      <c r="EY72" s="47">
        <f t="shared" si="137"/>
        <v>46.43786231884058</v>
      </c>
      <c r="EZ72" s="47">
        <f t="shared" si="138"/>
        <v>13.287499999999998</v>
      </c>
      <c r="FA72" s="47">
        <f t="shared" si="139"/>
        <v>426.30072463768113</v>
      </c>
      <c r="FB72" s="47">
        <f t="shared" si="140"/>
        <v>0</v>
      </c>
      <c r="FC72" s="47">
        <f t="shared" si="141"/>
        <v>366.30072463768118</v>
      </c>
      <c r="FD72" s="47">
        <f t="shared" si="142"/>
        <v>0</v>
      </c>
      <c r="FE72" s="47">
        <f t="shared" si="143"/>
        <v>306.30072463768124</v>
      </c>
      <c r="FF72" s="47">
        <f t="shared" si="144"/>
        <v>0</v>
      </c>
      <c r="FG72" s="47">
        <f t="shared" si="145"/>
        <v>246.30072463768118</v>
      </c>
      <c r="FH72" s="47">
        <f t="shared" si="146"/>
        <v>0</v>
      </c>
      <c r="FI72" s="47">
        <f t="shared" si="147"/>
        <v>188.12989130434778</v>
      </c>
      <c r="FJ72" s="47">
        <f t="shared" si="148"/>
        <v>1.8291666666666622</v>
      </c>
      <c r="FK72" s="47">
        <f t="shared" si="149"/>
        <v>136.26322463768113</v>
      </c>
      <c r="FL72" s="47">
        <f t="shared" si="150"/>
        <v>9.9624999999999932</v>
      </c>
      <c r="FM72" s="47">
        <f t="shared" si="151"/>
        <v>92.875724637681159</v>
      </c>
      <c r="FN72" s="47">
        <f t="shared" si="152"/>
        <v>26.574999999999996</v>
      </c>
      <c r="FO72" s="765">
        <f t="shared" ca="1" si="153"/>
        <v>693.60464481661677</v>
      </c>
      <c r="FP72" s="765">
        <f t="shared" si="154"/>
        <v>610.93815952785508</v>
      </c>
      <c r="FQ72" s="765">
        <f t="shared" si="155"/>
        <v>2447.288648650916</v>
      </c>
      <c r="FR72" s="765">
        <f t="shared" si="156"/>
        <v>75152.123332852818</v>
      </c>
      <c r="FS72" s="765">
        <f t="shared" si="157"/>
        <v>1541495.6712396722</v>
      </c>
      <c r="FT72" s="765">
        <f t="shared" si="158"/>
        <v>6023583.8920946438</v>
      </c>
      <c r="FU72" s="765">
        <f t="shared" si="159"/>
        <v>36.525731960286521</v>
      </c>
      <c r="FV72" s="765">
        <f t="shared" si="160"/>
        <v>75.883376365441904</v>
      </c>
      <c r="FW72" s="765">
        <f t="shared" si="161"/>
        <v>500.29396917950879</v>
      </c>
      <c r="FX72" s="765">
        <f t="shared" si="162"/>
        <v>694.24590213739293</v>
      </c>
      <c r="FY72" s="765">
        <f t="shared" si="163"/>
        <v>2927.1499921531417</v>
      </c>
      <c r="FZ72" s="765">
        <f t="shared" si="164"/>
        <v>71904.083249300675</v>
      </c>
      <c r="GA72" s="765">
        <f t="shared" si="165"/>
        <v>114556.18666666666</v>
      </c>
      <c r="GB72" s="765">
        <f t="shared" si="166"/>
        <v>26.886039546512446</v>
      </c>
      <c r="GC72" s="765">
        <f t="shared" si="167"/>
        <v>55.891673322017766</v>
      </c>
      <c r="GD72" s="765">
        <f t="shared" si="168"/>
        <v>420.9304351535838</v>
      </c>
    </row>
    <row r="73" spans="1:186">
      <c r="A73" s="4">
        <v>44166</v>
      </c>
      <c r="B73" s="6">
        <v>2020</v>
      </c>
      <c r="C73" s="5">
        <v>12</v>
      </c>
      <c r="D73" s="7">
        <v>92392387.981232002</v>
      </c>
      <c r="E73" s="7">
        <f>IFERROR(VLOOKUP($B73-1,CDM!$V$4:$AJ$17,2,FALSE)/12,0)+IFERROR(VLOOKUP($B73,CDM!$V$41:$AJ$54,2,FALSE)/24,0)+IFERROR(VLOOKUP($B73,CDM!$V$41:$AJ$54,2,FALSE)/2*$C73/78,0)</f>
        <v>3836487.8569833678</v>
      </c>
      <c r="F73" s="7">
        <f t="shared" si="169"/>
        <v>96228875.838215366</v>
      </c>
      <c r="G73" s="7">
        <f>IFERROR(HLOOKUP(B73-1,'EV Forecast VRZ'!$F$124:$T$130,2,FALSE)/12,0)+IFERROR(((HLOOKUP(B73,'EV Forecast VRZ'!$F$116:$T$122,2,FALSE)-HLOOKUP(B73-1,'EV Forecast VRZ'!$F$124:$T$130,2,FALSE)))*C73/78,0)</f>
        <v>254039.31161421296</v>
      </c>
      <c r="H73" s="7">
        <f ca="1">HLOOKUP(B73,Heating!$C$102:$O$106,2,FALSE)*INDEX(Weather!$BO$1:$CB$20,MATCH(B73,Weather!$BO$1:$BO$20,0),MATCH(C73,Weather!$BO$1:$CB$1,0))/VLOOKUP(B73,Weather!$BO$2:$CB$20,14,FALSE)*
VLOOKUP('Monthly Data'!$B73,Weather!$BO$3:$CB$20,14,FALSE)/Weather!$CB$14</f>
        <v>466453.38831473573</v>
      </c>
      <c r="I73" s="7">
        <f t="shared" ca="1" si="170"/>
        <v>95508383.138286412</v>
      </c>
      <c r="J73" s="7">
        <v>1255856.27058</v>
      </c>
      <c r="K73" s="7">
        <f>IFERROR(VLOOKUP($B73-1,CDM!$V$4:$AJ$17,3,FALSE)/12,0)+IFERROR(VLOOKUP($B73,CDM!$V$41:$AJ$54,3,FALSE)/24,0)+IFERROR(VLOOKUP($B73,CDM!$V$41:$AJ$54,3,FALSE)/2*$C73/78,0)</f>
        <v>43942.378344750345</v>
      </c>
      <c r="L73" s="7">
        <f t="shared" si="171"/>
        <v>1299798.6489247503</v>
      </c>
      <c r="M73" s="7">
        <f>IFERROR(HLOOKUP(B73-1,'EV Forecast VRZ'!$F$124:$T$130,3,FALSE)/12,0)+IFERROR(((HLOOKUP(B73,'EV Forecast VRZ'!$F$116:$T$122,3,FALSE)-HLOOKUP(B73-1,'EV Forecast VRZ'!$F$124:$T$130,3,FALSE)))*C73/78,0)</f>
        <v>3456.053001171651</v>
      </c>
      <c r="N73" s="7">
        <f ca="1">HLOOKUP(B73,Heating!$C$102:$O$106,3,FALSE)*INDEX(Weather!$BO$1:$CB$20,MATCH(B73,Weather!$BO$1:$BO$20,0),MATCH(C73,Weather!$BO$1:$CB$1,0))/VLOOKUP(B73,Weather!$BO$2:$CB$20,14,FALSE)*
VLOOKUP('Monthly Data'!$B73,Weather!$BO$3:$CB$20,14,FALSE)/Weather!$CB$14</f>
        <v>6177.3262897761424</v>
      </c>
      <c r="O73" s="7">
        <f t="shared" ca="1" si="172"/>
        <v>1290165.2696338024</v>
      </c>
      <c r="P73" s="7">
        <v>23735239.936930001</v>
      </c>
      <c r="Q73" s="7">
        <f>IFERROR(VLOOKUP($B73-1,CDM!$V$4:$AJ$17,4,FALSE)/12,0)+IFERROR(VLOOKUP($B73,CDM!$V$41:$AJ$54,4,FALSE)/24,0)+IFERROR(VLOOKUP($B73,CDM!$V$41:$AJ$54,4,FALSE)/2*$C73/78,0)</f>
        <v>1390483.8429433256</v>
      </c>
      <c r="R73" s="7">
        <f t="shared" si="173"/>
        <v>25125723.779873326</v>
      </c>
      <c r="S73" s="7">
        <f>IFERROR(HLOOKUP(B73-1,'EV Forecast VRZ'!$F$124:$T$130,4,FALSE)/12,0)+IFERROR(((HLOOKUP(B73,'EV Forecast VRZ'!$F$116:$T$122,4,FALSE)-HLOOKUP(B73-1,'EV Forecast VRZ'!$F$124:$T$130,4,FALSE)))*C73/78,0)</f>
        <v>31585.880000000005</v>
      </c>
      <c r="T73" s="7">
        <f ca="1">HLOOKUP(B73,Heating!$C$102:$O$106,4,FALSE)*INDEX(Weather!$BO$1:$CB$20,MATCH(B73,Weather!$BO$1:$BO$20,0),MATCH(C73,Weather!$BO$1:$CB$1,0))/VLOOKUP(B73,Weather!$BO$2:$CB$20,14,FALSE)*
VLOOKUP('Monthly Data'!$B73,Weather!$BO$3:$CB$20,14,FALSE)/Weather!$CB$14</f>
        <v>116608.55234521779</v>
      </c>
      <c r="U73" s="7">
        <f t="shared" ca="1" si="174"/>
        <v>24977529.347528111</v>
      </c>
      <c r="V73" s="7">
        <v>75827033.290000007</v>
      </c>
      <c r="W73" s="7">
        <f>IFERROR(VLOOKUP($B73-1,CDM!$V$4:$AJ$17,5,FALSE)/12,0)+IFERROR(VLOOKUP($B73,CDM!$V$41:$AJ$54,5,FALSE)/24,0)+IFERROR(VLOOKUP($B73,CDM!$V$41:$AJ$54,5,FALSE)/2*$C73/78,0)</f>
        <v>5020924.160124219</v>
      </c>
      <c r="X73" s="7">
        <f t="shared" si="175"/>
        <v>80847957.450124219</v>
      </c>
      <c r="Y73" s="7">
        <f>IFERROR(HLOOKUP(B73-1,'EV Forecast VRZ'!$F$124:$T$130,5,FALSE)/12,0)+IFERROR(((HLOOKUP(B73,'EV Forecast VRZ'!$F$116:$T$122,5,FALSE)-HLOOKUP(B73-1,'EV Forecast VRZ'!$F$124:$T$130,5,FALSE)))*C73/78,0)</f>
        <v>14318.261384615384</v>
      </c>
      <c r="Z73" s="7">
        <f ca="1">HLOOKUP(B73,Heating!$C$102:$O$106,5,FALSE)*INDEX(Weather!$BO$1:$CB$20,MATCH(B73,Weather!$BO$1:$BO$20,0),MATCH(C73,Weather!$BO$1:$CB$1,0))/VLOOKUP(B73,Weather!$BO$2:$CB$20,14,FALSE)*
VLOOKUP('Monthly Data'!$B73,Weather!$BO$3:$CB$20,14,FALSE)/Weather!$CB$14</f>
        <v>65811.510933782527</v>
      </c>
      <c r="AA73" s="7">
        <f t="shared" ca="1" si="176"/>
        <v>80767827.677805811</v>
      </c>
      <c r="AB73" s="7">
        <v>6962579.5899999999</v>
      </c>
      <c r="AC73" s="7">
        <f>IFERROR(VLOOKUP($B73-1,CDM!$V$4:$AJ$17,6,FALSE)/12,0)+IFERROR(VLOOKUP($B73,CDM!$V$41:$AJ$54,6,FALSE)/24,0)+IFERROR(VLOOKUP($B73,CDM!$V$41:$AJ$54,6,FALSE)/2*$C73/78,0)</f>
        <v>234610.70521423579</v>
      </c>
      <c r="AD73" s="7">
        <f t="shared" si="177"/>
        <v>7197190.2952142358</v>
      </c>
      <c r="AE73" s="7">
        <f>IFERROR(HLOOKUP(B73-1,'EV Forecast VRZ'!$F$124:$T$130,6,FALSE)/12,0)+IFERROR(((HLOOKUP(B73,'EV Forecast VRZ'!$F$116:$T$122,6,FALSE)-HLOOKUP(B73-1,'EV Forecast VRZ'!$F$124:$T$130,6,FALSE)))*C73/78,0)</f>
        <v>1997.7555384615378</v>
      </c>
      <c r="AF73" s="7">
        <f t="shared" si="178"/>
        <v>7195192.5396757741</v>
      </c>
      <c r="AG73" s="7">
        <v>22465660.68</v>
      </c>
      <c r="AH73" s="7">
        <f>IFERROR(VLOOKUP($B73-1,CDM!$V$4:$AJ$17,7,FALSE)/12,0)+IFERROR(VLOOKUP($B73,CDM!$V$41:$AJ$54,7,FALSE)/24,0)+IFERROR(VLOOKUP($B73,CDM!$V$41:$AJ$54,7,FALSE)/2*$C73/78,0)</f>
        <v>1655500.7679898087</v>
      </c>
      <c r="AI73" s="7">
        <f t="shared" si="179"/>
        <v>24121161.447989807</v>
      </c>
      <c r="AJ73" s="7">
        <f>IFERROR(HLOOKUP(B73-1,'EV Forecast VRZ'!$F$124:$T$130,7,FALSE)/12,0)+IFERROR(((HLOOKUP(B73,'EV Forecast VRZ'!$F$116:$T$122,7,FALSE)-HLOOKUP(B73-1,'EV Forecast VRZ'!$F$124:$T$130,7,FALSE)))*C73/78,0)</f>
        <v>0</v>
      </c>
      <c r="AK73" s="7">
        <f t="shared" si="180"/>
        <v>24121161.447989807</v>
      </c>
      <c r="AL73" s="7">
        <v>1254113.6399999999</v>
      </c>
      <c r="AM73" s="7">
        <v>15896.76</v>
      </c>
      <c r="AN73" s="7">
        <v>399105.32</v>
      </c>
      <c r="AO73" s="5">
        <v>175808.64000000001</v>
      </c>
      <c r="AP73" s="5">
        <v>17446.34</v>
      </c>
      <c r="AQ73" s="5">
        <v>38341</v>
      </c>
      <c r="AR73" s="5">
        <v>2573</v>
      </c>
      <c r="AS73" s="763">
        <f t="shared" si="187"/>
        <v>53.5</v>
      </c>
      <c r="AT73" s="776">
        <v>112646</v>
      </c>
      <c r="AU73" s="776">
        <v>1561</v>
      </c>
      <c r="AV73" s="776">
        <v>9286</v>
      </c>
      <c r="AW73" s="776">
        <v>1043</v>
      </c>
      <c r="AX73" s="776">
        <v>5</v>
      </c>
      <c r="AY73" s="776">
        <v>4</v>
      </c>
      <c r="AZ73" s="776">
        <v>31612</v>
      </c>
      <c r="BA73" s="776">
        <v>251</v>
      </c>
      <c r="BB73" s="776">
        <v>800</v>
      </c>
      <c r="BC73" s="779">
        <v>33056885.972139701</v>
      </c>
      <c r="BD73" s="779">
        <f>IFERROR(VLOOKUP($B73-1,CDM!$V$4:$AJ$17,11,FALSE)/12,0)+IFERROR(VLOOKUP($B73,CDM!$V$41:$AJ$54,11,FALSE)/24,0)+IFERROR(VLOOKUP($B73,CDM!$V$41:$AJ$54,11,FALSE)/2*$C73/78,0)</f>
        <v>1920291.4279958128</v>
      </c>
      <c r="BE73" s="779">
        <f t="shared" si="123"/>
        <v>34977177.400135517</v>
      </c>
      <c r="BF73" s="779">
        <f>IFERROR(HLOOKUP(B73-1,'EV Forecast WRZ'!$F$124:$T$130,2,FALSE)/12,0)+IFERROR(((HLOOKUP(B73,'EV Forecast WRZ'!$F$116:$T$122,2,FALSE)-HLOOKUP(B73-1,'EV Forecast WRZ'!$F$124:$T$130,2,FALSE)))*C73/78,0)</f>
        <v>79608.815000000017</v>
      </c>
      <c r="BG73" s="779">
        <f ca="1">HLOOKUP(B73,Heating!$R$102:$AD$106,2,FALSE)*INDEX(Weather!$BO$1:$CB$20,MATCH(B73,Weather!$BO$1:$BO$20,0),MATCH(C73,Weather!$BO$1:$CB$1,0))/VLOOKUP(B73,Weather!$BO$2:$CB$20,14,FALSE)*
VLOOKUP('Monthly Data'!$B73,Weather!$BO$3:$CB$20,14,FALSE)/Weather!$CB$14</f>
        <v>183599.56514539651</v>
      </c>
      <c r="BH73" s="779">
        <f t="shared" ca="1" si="181"/>
        <v>34713969.019990124</v>
      </c>
      <c r="BI73" s="779">
        <v>7271498.5679899901</v>
      </c>
      <c r="BJ73" s="779">
        <f>IFERROR(VLOOKUP($B73-1,CDM!$V$4:$AJ$17,12,FALSE)/12,0)+IFERROR(VLOOKUP($B73,CDM!$V$41:$AJ$54,12,FALSE)/24,0)+IFERROR(VLOOKUP($B73,CDM!$V$41:$AJ$54,12,FALSE)/2*$C73/78,0)</f>
        <v>222318.15096962414</v>
      </c>
      <c r="BK73" s="779">
        <f t="shared" si="182"/>
        <v>7493816.7189596146</v>
      </c>
      <c r="BL73" s="779">
        <f>IFERROR(HLOOKUP(B73-1,'EV Forecast WRZ'!$F$124:$T$130,3,FALSE)/12,0)+IFERROR(((HLOOKUP(B73,'EV Forecast WRZ'!$F$116:$T$122,3,FALSE)-HLOOKUP(B73-1,'EV Forecast WRZ'!$F$124:$T$130,3,FALSE)))*C73/78,0)</f>
        <v>9821.8515384615384</v>
      </c>
      <c r="BM73" s="779">
        <f ca="1">HLOOKUP(B73,Heating!$R$102:$AD$106,4,FALSE)*INDEX(Weather!$BO$1:$CB$20,MATCH(B73,Weather!$BO$1:$BO$20,0),MATCH(C73,Weather!$BO$1:$CB$1,0))/VLOOKUP(B73,Weather!$BO$2:$CB$20,14,FALSE)*
VLOOKUP('Monthly Data'!$B73,Weather!$BO$3:$CB$20,14,FALSE)/Weather!$CB$14</f>
        <v>29049.387151892151</v>
      </c>
      <c r="BN73" s="779">
        <f t="shared" ca="1" si="183"/>
        <v>7454945.4802692607</v>
      </c>
      <c r="BO73" s="779">
        <v>28686189.359999999</v>
      </c>
      <c r="BP73" s="779">
        <f>IFERROR(VLOOKUP($B73-1,CDM!$V$4:$AJ$17,13,FALSE)/12,0)+IFERROR(VLOOKUP($B73,CDM!$V$41:$AJ$54,13,FALSE)/24,0)+IFERROR(VLOOKUP($B73,CDM!$V$41:$AJ$54,13,FALSE)/2*$C73/78,0)</f>
        <v>1984170.8285487094</v>
      </c>
      <c r="BQ73" s="779">
        <f t="shared" si="184"/>
        <v>30670360.18854871</v>
      </c>
      <c r="BR73" s="779">
        <f>IFERROR(HLOOKUP(B73-1,'EV Forecast WRZ'!$F$124:$T$130,4,FALSE)/12,0)+IFERROR(((HLOOKUP(B73,'EV Forecast WRZ'!$F$116:$T$122,4,FALSE)-HLOOKUP(B73-1,'EV Forecast WRZ'!$F$124:$T$130,4,FALSE)))*C73/78,0)</f>
        <v>4456.7562692307692</v>
      </c>
      <c r="BS73" s="779">
        <f ca="1">HLOOKUP(B73,Heating!$R$102:$AD$106,5,FALSE)*INDEX(Weather!$BO$1:$CB$20,MATCH(B73,Weather!$BO$1:$BO$20,0),MATCH(C73,Weather!$BO$1:$CB$1,0))/VLOOKUP(B73,Weather!$BO$2:$CB$20,14,FALSE)*
VLOOKUP('Monthly Data'!$B73,Weather!$BO$3:$CB$20,14,FALSE)/Weather!$CB$14</f>
        <v>19462.881773932742</v>
      </c>
      <c r="BT73" s="779">
        <f t="shared" ca="1" si="185"/>
        <v>30646440.550505545</v>
      </c>
      <c r="BU73" s="779">
        <v>7134901.29</v>
      </c>
      <c r="BV73" s="779">
        <f>IFERROR(VLOOKUP($B73-1,CDM!$V$4:$AJ$17,14,FALSE)/12,0)+IFERROR(VLOOKUP($B73,CDM!$V$41:$AJ$54,14,FALSE)/24,0)+IFERROR(VLOOKUP($B73,CDM!$V$41:$AJ$54,14,FALSE)/2*$C73/78,0)</f>
        <v>446085.56350482453</v>
      </c>
      <c r="BW73" s="779">
        <f t="shared" si="186"/>
        <v>7580986.8535048245</v>
      </c>
      <c r="BX73" s="779">
        <f>IFERROR(HLOOKUP(B73-1,'EV Forecast WRZ'!$F$124:$T$130,5,FALSE)/12,0)+IFERROR(((HLOOKUP(B73,'EV Forecast WRZ'!$F$116:$T$122,5,FALSE)-HLOOKUP(B73-1,'EV Forecast WRZ'!$F$124:$T$130,5,FALSE)))*C73/78,0)</f>
        <v>638.7848846153845</v>
      </c>
      <c r="BY73" s="779">
        <f t="shared" si="124"/>
        <v>7580348.0686202087</v>
      </c>
      <c r="BZ73" s="779">
        <v>371233.25</v>
      </c>
      <c r="CA73" s="779">
        <v>2067.9919129146574</v>
      </c>
      <c r="CB73" s="5">
        <v>164443.49</v>
      </c>
      <c r="CC73" s="5">
        <v>65591.839999999997</v>
      </c>
      <c r="CD73" s="5">
        <v>12242.68</v>
      </c>
      <c r="CE73" s="5">
        <v>763.68</v>
      </c>
      <c r="CF73" s="763">
        <f t="shared" si="188"/>
        <v>6</v>
      </c>
      <c r="CG73" s="785">
        <v>42256</v>
      </c>
      <c r="CH73" s="785">
        <v>2299</v>
      </c>
      <c r="CI73" s="785">
        <v>386</v>
      </c>
      <c r="CJ73" s="785">
        <v>3</v>
      </c>
      <c r="CK73" s="785">
        <v>12799</v>
      </c>
      <c r="CL73" s="785">
        <v>37</v>
      </c>
      <c r="CM73" s="785">
        <v>391</v>
      </c>
      <c r="CN73" s="46">
        <f>Weather!C85</f>
        <v>644.90416666666681</v>
      </c>
      <c r="CO73" s="46">
        <f>Weather!D85</f>
        <v>0</v>
      </c>
      <c r="CP73" s="46">
        <f>Weather!E85</f>
        <v>582.90416666666681</v>
      </c>
      <c r="CQ73" s="46">
        <f>Weather!F85</f>
        <v>0</v>
      </c>
      <c r="CR73" s="46">
        <f>Weather!G85</f>
        <v>520.90416666666681</v>
      </c>
      <c r="CS73" s="46">
        <f>Weather!H85</f>
        <v>0</v>
      </c>
      <c r="CT73" s="46">
        <f>Weather!I85</f>
        <v>458.90416666666681</v>
      </c>
      <c r="CU73" s="46">
        <f>Weather!J85</f>
        <v>0</v>
      </c>
      <c r="CV73" s="46">
        <f>Weather!K85</f>
        <v>396.9041666666667</v>
      </c>
      <c r="CW73" s="46">
        <f>Weather!L85</f>
        <v>0</v>
      </c>
      <c r="CX73" s="46">
        <f>Weather!M85</f>
        <v>334.90416666666664</v>
      </c>
      <c r="CY73" s="46">
        <f>Weather!N85</f>
        <v>0</v>
      </c>
      <c r="CZ73" s="46">
        <f>Weather!O85</f>
        <v>272.9041666666667</v>
      </c>
      <c r="DA73" s="46">
        <f>Weather!P85</f>
        <v>0</v>
      </c>
      <c r="DB73" s="368">
        <f>'Economic Data'!D87</f>
        <v>7289.8</v>
      </c>
      <c r="DC73" s="368">
        <f>'Economic Data'!E87</f>
        <v>7300.6</v>
      </c>
      <c r="DD73" s="368">
        <f>'Economic Data'!F87</f>
        <v>216.1</v>
      </c>
      <c r="DE73" s="368">
        <f>'Economic Data'!G87</f>
        <v>214.5</v>
      </c>
      <c r="DF73" s="368">
        <f>'Economic Data'!H87</f>
        <v>55.5</v>
      </c>
      <c r="DG73" s="368">
        <f>'Economic Data'!I87</f>
        <v>55.5</v>
      </c>
      <c r="DH73" s="368">
        <f>'Economic Data'!J87</f>
        <v>769942</v>
      </c>
      <c r="DI73" s="368">
        <f>'Economic Data'!K87</f>
        <v>596521.6</v>
      </c>
      <c r="DJ73" s="368">
        <f>'Economic Data'!L87</f>
        <v>85928.9</v>
      </c>
      <c r="DK73" s="368">
        <f>'Economic Data'!M87</f>
        <v>23899.8</v>
      </c>
      <c r="DL73" s="368">
        <f>'Economic Data'!N87</f>
        <v>795879</v>
      </c>
      <c r="DM73" s="368">
        <f>'Economic Data'!O87</f>
        <v>90451</v>
      </c>
      <c r="DN73" s="368">
        <f>'Economic Data'!P87</f>
        <v>16831</v>
      </c>
      <c r="DO73" s="368">
        <f>'Economic Data'!Q87</f>
        <v>613516</v>
      </c>
      <c r="DP73" s="368">
        <f>'Economic Data'!R87</f>
        <v>21752</v>
      </c>
      <c r="DQ73">
        <v>31</v>
      </c>
      <c r="DR73">
        <v>21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1</v>
      </c>
      <c r="EE73">
        <v>0</v>
      </c>
      <c r="EF73">
        <v>0</v>
      </c>
      <c r="EG73">
        <v>0</v>
      </c>
      <c r="EH73">
        <f t="shared" si="189"/>
        <v>72</v>
      </c>
      <c r="EI73">
        <v>1</v>
      </c>
      <c r="EJ73">
        <v>0.5</v>
      </c>
      <c r="EK73">
        <v>1</v>
      </c>
      <c r="EL73">
        <v>0</v>
      </c>
      <c r="EM73" s="47">
        <f t="shared" si="125"/>
        <v>322.45208333333341</v>
      </c>
      <c r="EN73" s="47">
        <f t="shared" si="126"/>
        <v>0</v>
      </c>
      <c r="EO73" s="47">
        <f t="shared" si="127"/>
        <v>291.45208333333341</v>
      </c>
      <c r="EP73" s="47">
        <f t="shared" si="128"/>
        <v>0</v>
      </c>
      <c r="EQ73" s="47">
        <f t="shared" si="129"/>
        <v>260.45208333333341</v>
      </c>
      <c r="ER73" s="47">
        <f t="shared" si="130"/>
        <v>0</v>
      </c>
      <c r="ES73" s="47">
        <f t="shared" si="131"/>
        <v>229.45208333333341</v>
      </c>
      <c r="ET73" s="47">
        <f t="shared" si="132"/>
        <v>0</v>
      </c>
      <c r="EU73" s="47">
        <f t="shared" si="133"/>
        <v>198.45208333333335</v>
      </c>
      <c r="EV73" s="47">
        <f t="shared" si="134"/>
        <v>0</v>
      </c>
      <c r="EW73" s="47">
        <f t="shared" si="135"/>
        <v>167.45208333333332</v>
      </c>
      <c r="EX73" s="47">
        <f t="shared" si="136"/>
        <v>0</v>
      </c>
      <c r="EY73" s="47">
        <f t="shared" si="137"/>
        <v>136.45208333333335</v>
      </c>
      <c r="EZ73" s="47">
        <f t="shared" si="138"/>
        <v>0</v>
      </c>
      <c r="FA73" s="47">
        <f t="shared" si="139"/>
        <v>644.90416666666681</v>
      </c>
      <c r="FB73" s="47">
        <f t="shared" si="140"/>
        <v>0</v>
      </c>
      <c r="FC73" s="47">
        <f t="shared" si="141"/>
        <v>582.90416666666681</v>
      </c>
      <c r="FD73" s="47">
        <f t="shared" si="142"/>
        <v>0</v>
      </c>
      <c r="FE73" s="47">
        <f t="shared" si="143"/>
        <v>520.90416666666681</v>
      </c>
      <c r="FF73" s="47">
        <f t="shared" si="144"/>
        <v>0</v>
      </c>
      <c r="FG73" s="47">
        <f t="shared" si="145"/>
        <v>458.90416666666681</v>
      </c>
      <c r="FH73" s="47">
        <f t="shared" si="146"/>
        <v>0</v>
      </c>
      <c r="FI73" s="47">
        <f t="shared" si="147"/>
        <v>396.9041666666667</v>
      </c>
      <c r="FJ73" s="47">
        <f t="shared" si="148"/>
        <v>0</v>
      </c>
      <c r="FK73" s="47">
        <f t="shared" si="149"/>
        <v>334.90416666666664</v>
      </c>
      <c r="FL73" s="47">
        <f t="shared" si="150"/>
        <v>0</v>
      </c>
      <c r="FM73" s="47">
        <f t="shared" si="151"/>
        <v>272.9041666666667</v>
      </c>
      <c r="FN73" s="47">
        <f t="shared" si="152"/>
        <v>0</v>
      </c>
      <c r="FO73" s="765">
        <f t="shared" ca="1" si="153"/>
        <v>847.8630678256344</v>
      </c>
      <c r="FP73" s="765">
        <f t="shared" si="154"/>
        <v>832.67049899087147</v>
      </c>
      <c r="FQ73" s="765">
        <f t="shared" si="155"/>
        <v>2705.7639220195269</v>
      </c>
      <c r="FR73" s="765">
        <f t="shared" si="156"/>
        <v>77514.820182285926</v>
      </c>
      <c r="FS73" s="765">
        <f t="shared" si="157"/>
        <v>1439438.0590428472</v>
      </c>
      <c r="FT73" s="765">
        <f t="shared" si="158"/>
        <v>6030290.3619974516</v>
      </c>
      <c r="FU73" s="765">
        <f t="shared" si="159"/>
        <v>39.672075161331136</v>
      </c>
      <c r="FV73" s="765">
        <f t="shared" si="160"/>
        <v>63.333705179282866</v>
      </c>
      <c r="FW73" s="765">
        <f t="shared" si="161"/>
        <v>498.88165000000004</v>
      </c>
      <c r="FX73" s="765">
        <f t="shared" si="162"/>
        <v>827.74463745114349</v>
      </c>
      <c r="FY73" s="765">
        <f t="shared" si="163"/>
        <v>3259.5983988515072</v>
      </c>
      <c r="FZ73" s="765">
        <f t="shared" si="164"/>
        <v>79456.891680178</v>
      </c>
      <c r="GA73" s="765">
        <f t="shared" si="165"/>
        <v>123744.41666666667</v>
      </c>
      <c r="GB73" s="765">
        <f t="shared" si="166"/>
        <v>29.004863661223531</v>
      </c>
      <c r="GC73" s="765">
        <f t="shared" si="167"/>
        <v>55.891673322017766</v>
      </c>
      <c r="GD73" s="765">
        <f t="shared" si="168"/>
        <v>420.57158567774934</v>
      </c>
    </row>
    <row r="74" spans="1:186">
      <c r="A74" s="4">
        <v>44197</v>
      </c>
      <c r="B74" s="6">
        <v>2021</v>
      </c>
      <c r="C74" s="5">
        <v>1</v>
      </c>
      <c r="D74" s="7">
        <v>93690437.657649398</v>
      </c>
      <c r="E74" s="7">
        <f ca="1">IFERROR(VLOOKUP($B74-1,CDM!$V$4:$AJ$17,2,FALSE)/12,0)+IFERROR(VLOOKUP($B74,CDM!$V$41:$AJ$54,2,FALSE)/24,0)+IFERROR(VLOOKUP($B74,CDM!$V$41:$AJ$54,2,FALSE)/2*$C74/78,0)</f>
        <v>3838542.9600022533</v>
      </c>
      <c r="F74" s="7">
        <f t="shared" ca="1" si="169"/>
        <v>97528980.617651656</v>
      </c>
      <c r="G74" s="7">
        <f>IFERROR(HLOOKUP(B74-1,'EV Forecast VRZ'!$F$124:$T$130,2,FALSE)/12,0)+IFERROR(((HLOOKUP(B74,'EV Forecast VRZ'!$F$116:$T$122,2,FALSE)-HLOOKUP(B74-1,'EV Forecast VRZ'!$F$124:$T$130,2,FALSE)))*C74/78,0)</f>
        <v>268217.31286819099</v>
      </c>
      <c r="H74" s="7">
        <f ca="1">HLOOKUP(B74,Heating!$C$102:$O$106,2,FALSE)*INDEX(Weather!$BO$1:$CB$20,MATCH(B74,Weather!$BO$1:$BO$20,0),MATCH(C74,Weather!$BO$1:$CB$1,0))/VLOOKUP(B74,Weather!$BO$2:$CB$20,14,FALSE)*
VLOOKUP('Monthly Data'!$B74,Weather!$BO$3:$CB$20,14,FALSE)/Weather!$CB$14</f>
        <v>1000692.3870284107</v>
      </c>
      <c r="I74" s="7">
        <f t="shared" ca="1" si="170"/>
        <v>96260070.917755052</v>
      </c>
      <c r="J74" s="7">
        <v>1374613.4238499999</v>
      </c>
      <c r="K74" s="7">
        <f ca="1">IFERROR(VLOOKUP($B74-1,CDM!$V$4:$AJ$17,3,FALSE)/12,0)+IFERROR(VLOOKUP($B74,CDM!$V$41:$AJ$54,3,FALSE)/24,0)+IFERROR(VLOOKUP($B74,CDM!$V$41:$AJ$54,3,FALSE)/2*$C74/78,0)</f>
        <v>43965.917091062038</v>
      </c>
      <c r="L74" s="7">
        <f t="shared" ca="1" si="171"/>
        <v>1418579.340941062</v>
      </c>
      <c r="M74" s="7">
        <f>IFERROR(HLOOKUP(B74-1,'EV Forecast VRZ'!$F$124:$T$130,3,FALSE)/12,0)+IFERROR(((HLOOKUP(B74,'EV Forecast VRZ'!$F$116:$T$122,3,FALSE)-HLOOKUP(B74-1,'EV Forecast VRZ'!$F$124:$T$130,3,FALSE)))*C74/78,0)</f>
        <v>3648.936234373125</v>
      </c>
      <c r="N74" s="7">
        <f ca="1">HLOOKUP(B74,Heating!$C$102:$O$106,3,FALSE)*INDEX(Weather!$BO$1:$CB$20,MATCH(B74,Weather!$BO$1:$BO$20,0),MATCH(C74,Weather!$BO$1:$CB$1,0))/VLOOKUP(B74,Weather!$BO$2:$CB$20,14,FALSE)*
VLOOKUP('Monthly Data'!$B74,Weather!$BO$3:$CB$20,14,FALSE)/Weather!$CB$14</f>
        <v>12513.93854381139</v>
      </c>
      <c r="O74" s="7">
        <f t="shared" ca="1" si="172"/>
        <v>1402416.4661628774</v>
      </c>
      <c r="P74" s="7">
        <v>23297791.308749899</v>
      </c>
      <c r="Q74" s="7">
        <f ca="1">IFERROR(VLOOKUP($B74-1,CDM!$V$4:$AJ$17,4,FALSE)/12,0)+IFERROR(VLOOKUP($B74,CDM!$V$41:$AJ$54,4,FALSE)/24,0)+IFERROR(VLOOKUP($B74,CDM!$V$41:$AJ$54,4,FALSE)/2*$C74/78,0)</f>
        <v>1385248.3902567551</v>
      </c>
      <c r="R74" s="7">
        <f t="shared" ca="1" si="173"/>
        <v>24683039.699006654</v>
      </c>
      <c r="S74" s="7">
        <f>IFERROR(HLOOKUP(B74-1,'EV Forecast VRZ'!$F$124:$T$130,4,FALSE)/12,0)+IFERROR(((HLOOKUP(B74,'EV Forecast VRZ'!$F$116:$T$122,4,FALSE)-HLOOKUP(B74-1,'EV Forecast VRZ'!$F$124:$T$130,4,FALSE)))*C74/78,0)</f>
        <v>33300.327948717953</v>
      </c>
      <c r="T74" s="7">
        <f ca="1">HLOOKUP(B74,Heating!$C$102:$O$106,4,FALSE)*INDEX(Weather!$BO$1:$CB$20,MATCH(B74,Weather!$BO$1:$BO$20,0),MATCH(C74,Weather!$BO$1:$CB$1,0))/VLOOKUP(B74,Weather!$BO$2:$CB$20,14,FALSE)*
VLOOKUP('Monthly Data'!$B74,Weather!$BO$3:$CB$20,14,FALSE)/Weather!$CB$14</f>
        <v>245109.04012810724</v>
      </c>
      <c r="U74" s="7">
        <f t="shared" ca="1" si="174"/>
        <v>24404630.330929827</v>
      </c>
      <c r="V74" s="7">
        <v>78117436.25</v>
      </c>
      <c r="W74" s="7">
        <f ca="1">IFERROR(VLOOKUP($B74-1,CDM!$V$4:$AJ$17,5,FALSE)/12,0)+IFERROR(VLOOKUP($B74,CDM!$V$41:$AJ$54,5,FALSE)/24,0)+IFERROR(VLOOKUP($B74,CDM!$V$41:$AJ$54,5,FALSE)/2*$C74/78,0)</f>
        <v>5123768.9959909217</v>
      </c>
      <c r="X74" s="7">
        <f t="shared" ca="1" si="175"/>
        <v>83241205.245990917</v>
      </c>
      <c r="Y74" s="7">
        <f>IFERROR(HLOOKUP(B74-1,'EV Forecast VRZ'!$F$124:$T$130,5,FALSE)/12,0)+IFERROR(((HLOOKUP(B74,'EV Forecast VRZ'!$F$116:$T$122,5,FALSE)-HLOOKUP(B74-1,'EV Forecast VRZ'!$F$124:$T$130,5,FALSE)))*C74/78,0)</f>
        <v>15091.686038461537</v>
      </c>
      <c r="Z74" s="7">
        <f ca="1">HLOOKUP(B74,Heating!$C$102:$O$106,5,FALSE)*INDEX(Weather!$BO$1:$CB$20,MATCH(B74,Weather!$BO$1:$BO$20,0),MATCH(C74,Weather!$BO$1:$CB$1,0))/VLOOKUP(B74,Weather!$BO$2:$CB$20,14,FALSE)*
VLOOKUP('Monthly Data'!$B74,Weather!$BO$3:$CB$20,14,FALSE)/Weather!$CB$14</f>
        <v>132917.92311335597</v>
      </c>
      <c r="AA74" s="7">
        <f t="shared" ca="1" si="176"/>
        <v>83093195.636839092</v>
      </c>
      <c r="AB74" s="7">
        <v>7338821.1699999999</v>
      </c>
      <c r="AC74" s="7">
        <f ca="1">IFERROR(VLOOKUP($B74-1,CDM!$V$4:$AJ$17,6,FALSE)/12,0)+IFERROR(VLOOKUP($B74,CDM!$V$41:$AJ$54,6,FALSE)/24,0)+IFERROR(VLOOKUP($B74,CDM!$V$41:$AJ$54,6,FALSE)/2*$C74/78,0)</f>
        <v>236356.93757865194</v>
      </c>
      <c r="AD74" s="7">
        <f t="shared" ca="1" si="177"/>
        <v>7575178.107578652</v>
      </c>
      <c r="AE74" s="7">
        <f>IFERROR(HLOOKUP(B74-1,'EV Forecast VRZ'!$F$124:$T$130,6,FALSE)/12,0)+IFERROR(((HLOOKUP(B74,'EV Forecast VRZ'!$F$116:$T$122,6,FALSE)-HLOOKUP(B74-1,'EV Forecast VRZ'!$F$124:$T$130,6,FALSE)))*C74/78,0)</f>
        <v>2091.1702435897432</v>
      </c>
      <c r="AF74" s="7">
        <f t="shared" ca="1" si="178"/>
        <v>7573086.9373350618</v>
      </c>
      <c r="AG74" s="7">
        <v>24681052.510000002</v>
      </c>
      <c r="AH74" s="7">
        <f ca="1">IFERROR(VLOOKUP($B74-1,CDM!$V$4:$AJ$17,7,FALSE)/12,0)+IFERROR(VLOOKUP($B74,CDM!$V$41:$AJ$54,7,FALSE)/24,0)+IFERROR(VLOOKUP($B74,CDM!$V$41:$AJ$54,7,FALSE)/2*$C74/78,0)</f>
        <v>1682919.8869583858</v>
      </c>
      <c r="AI74" s="7">
        <f t="shared" ca="1" si="179"/>
        <v>26363972.396958388</v>
      </c>
      <c r="AJ74" s="7">
        <f>IFERROR(HLOOKUP(B74-1,'EV Forecast VRZ'!$F$124:$T$130,7,FALSE)/12,0)+IFERROR(((HLOOKUP(B74,'EV Forecast VRZ'!$F$116:$T$122,7,FALSE)-HLOOKUP(B74-1,'EV Forecast VRZ'!$F$124:$T$130,7,FALSE)))*C74/78,0)</f>
        <v>0</v>
      </c>
      <c r="AK74" s="7">
        <f t="shared" ca="1" si="180"/>
        <v>26363972.396958388</v>
      </c>
      <c r="AL74" s="7">
        <v>1234690.67</v>
      </c>
      <c r="AM74" s="7">
        <v>18287.640000000007</v>
      </c>
      <c r="AN74" s="7">
        <v>399045.57</v>
      </c>
      <c r="AO74" s="5">
        <v>172253.36</v>
      </c>
      <c r="AP74" s="5">
        <v>17328.68</v>
      </c>
      <c r="AQ74" s="5">
        <v>38170</v>
      </c>
      <c r="AR74" s="5">
        <v>2590.7600000000002</v>
      </c>
      <c r="AS74" s="763">
        <f>632/12</f>
        <v>52.666666666666664</v>
      </c>
      <c r="AT74" s="776">
        <v>112709.58333333333</v>
      </c>
      <c r="AU74" s="776">
        <v>1560.6666666666667</v>
      </c>
      <c r="AV74" s="776">
        <v>9290.4166666666661</v>
      </c>
      <c r="AW74" s="776">
        <v>1044.4166666666667</v>
      </c>
      <c r="AX74" s="776">
        <v>5.083333333333333</v>
      </c>
      <c r="AY74" s="776">
        <v>4</v>
      </c>
      <c r="AZ74" s="776">
        <v>31622.333333333332</v>
      </c>
      <c r="BA74" s="776">
        <v>250.66666666666666</v>
      </c>
      <c r="BB74" s="776">
        <v>800.25</v>
      </c>
      <c r="BC74" s="779">
        <v>32688403.838419698</v>
      </c>
      <c r="BD74" s="779">
        <f ca="1">IFERROR(VLOOKUP($B74-1,CDM!$V$4:$AJ$17,11,FALSE)/12,0)+IFERROR(VLOOKUP($B74,CDM!$V$41:$AJ$54,11,FALSE)/24,0)+IFERROR(VLOOKUP($B74,CDM!$V$41:$AJ$54,11,FALSE)/2*$C74/78,0)</f>
        <v>1791729.2295936868</v>
      </c>
      <c r="BE74" s="779">
        <f t="shared" ca="1" si="123"/>
        <v>34480133.068013385</v>
      </c>
      <c r="BF74" s="779">
        <f>IFERROR(HLOOKUP(B74-1,'EV Forecast WRZ'!$F$124:$T$130,2,FALSE)/12,0)+IFERROR(((HLOOKUP(B74,'EV Forecast WRZ'!$F$116:$T$122,2,FALSE)-HLOOKUP(B74-1,'EV Forecast WRZ'!$F$124:$T$130,2,FALSE)))*C74/78,0)</f>
        <v>84571.812179487184</v>
      </c>
      <c r="BG74" s="779">
        <f ca="1">HLOOKUP(B74,Heating!$R$102:$AD$106,2,FALSE)*INDEX(Weather!$BO$1:$CB$20,MATCH(B74,Weather!$BO$1:$BO$20,0),MATCH(C74,Weather!$BO$1:$CB$1,0))/VLOOKUP(B74,Weather!$BO$2:$CB$20,14,FALSE)*
VLOOKUP('Monthly Data'!$B74,Weather!$BO$3:$CB$20,14,FALSE)/Weather!$CB$14</f>
        <v>424068.44257786899</v>
      </c>
      <c r="BH74" s="779">
        <f t="shared" ca="1" si="181"/>
        <v>33971492.813256033</v>
      </c>
      <c r="BI74" s="779">
        <v>7234440.7226600004</v>
      </c>
      <c r="BJ74" s="779">
        <f ca="1">IFERROR(VLOOKUP($B74-1,CDM!$V$4:$AJ$17,12,FALSE)/12,0)+IFERROR(VLOOKUP($B74,CDM!$V$41:$AJ$54,12,FALSE)/24,0)+IFERROR(VLOOKUP($B74,CDM!$V$41:$AJ$54,12,FALSE)/2*$C74/78,0)</f>
        <v>225815.27576129782</v>
      </c>
      <c r="BK74" s="779">
        <f t="shared" ca="1" si="182"/>
        <v>7460255.9984212983</v>
      </c>
      <c r="BL74" s="779">
        <f>IFERROR(HLOOKUP(B74-1,'EV Forecast WRZ'!$F$124:$T$130,3,FALSE)/12,0)+IFERROR(((HLOOKUP(B74,'EV Forecast WRZ'!$F$116:$T$122,3,FALSE)-HLOOKUP(B74-1,'EV Forecast WRZ'!$F$124:$T$130,3,FALSE)))*C74/78,0)</f>
        <v>10412.860256410258</v>
      </c>
      <c r="BM74" s="779">
        <f ca="1">HLOOKUP(B74,Heating!$R$102:$AD$106,4,FALSE)*INDEX(Weather!$BO$1:$CB$20,MATCH(B74,Weather!$BO$1:$BO$20,0),MATCH(C74,Weather!$BO$1:$CB$1,0))/VLOOKUP(B74,Weather!$BO$2:$CB$20,14,FALSE)*
VLOOKUP('Monthly Data'!$B74,Weather!$BO$3:$CB$20,14,FALSE)/Weather!$CB$14</f>
        <v>64042.219297157135</v>
      </c>
      <c r="BN74" s="779">
        <f t="shared" ca="1" si="183"/>
        <v>7385800.9188677315</v>
      </c>
      <c r="BO74" s="779">
        <v>28116377.030000001</v>
      </c>
      <c r="BP74" s="779">
        <f ca="1">IFERROR(VLOOKUP($B74-1,CDM!$V$4:$AJ$17,13,FALSE)/12,0)+IFERROR(VLOOKUP($B74,CDM!$V$41:$AJ$54,13,FALSE)/24,0)+IFERROR(VLOOKUP($B74,CDM!$V$41:$AJ$54,13,FALSE)/2*$C74/78,0)</f>
        <v>2015802.8740043617</v>
      </c>
      <c r="BQ74" s="779">
        <f t="shared" ca="1" si="184"/>
        <v>30132179.904004361</v>
      </c>
      <c r="BR74" s="779">
        <f>IFERROR(HLOOKUP(B74-1,'EV Forecast WRZ'!$F$124:$T$130,4,FALSE)/12,0)+IFERROR(((HLOOKUP(B74,'EV Forecast WRZ'!$F$116:$T$122,4,FALSE)-HLOOKUP(B74-1,'EV Forecast WRZ'!$F$124:$T$130,4,FALSE)))*C74/78,0)</f>
        <v>4723.2871153846154</v>
      </c>
      <c r="BS74" s="779">
        <f ca="1">HLOOKUP(B74,Heating!$R$102:$AD$106,5,FALSE)*INDEX(Weather!$BO$1:$CB$20,MATCH(B74,Weather!$BO$1:$BO$20,0),MATCH(C74,Weather!$BO$1:$CB$1,0))/VLOOKUP(B74,Weather!$BO$2:$CB$20,14,FALSE)*
VLOOKUP('Monthly Data'!$B74,Weather!$BO$3:$CB$20,14,FALSE)/Weather!$CB$14</f>
        <v>39220.230658287408</v>
      </c>
      <c r="BT74" s="779">
        <f t="shared" ca="1" si="185"/>
        <v>30088236.386230689</v>
      </c>
      <c r="BU74" s="779">
        <v>7719998.4900000002</v>
      </c>
      <c r="BV74" s="779">
        <f ca="1">IFERROR(VLOOKUP($B74-1,CDM!$V$4:$AJ$17,14,FALSE)/12,0)+IFERROR(VLOOKUP($B74,CDM!$V$41:$AJ$54,14,FALSE)/24,0)+IFERROR(VLOOKUP($B74,CDM!$V$41:$AJ$54,14,FALSE)/2*$C74/78,0)</f>
        <v>453207.83173480991</v>
      </c>
      <c r="BW74" s="779">
        <f t="shared" ca="1" si="186"/>
        <v>8173206.3217348102</v>
      </c>
      <c r="BX74" s="779">
        <f>IFERROR(HLOOKUP(B74-1,'EV Forecast WRZ'!$F$124:$T$130,5,FALSE)/12,0)+IFERROR(((HLOOKUP(B74,'EV Forecast WRZ'!$F$116:$T$122,5,FALSE)-HLOOKUP(B74-1,'EV Forecast WRZ'!$F$124:$T$130,5,FALSE)))*C74/78,0)</f>
        <v>670.64301282051292</v>
      </c>
      <c r="BY74" s="779">
        <f t="shared" ca="1" si="124"/>
        <v>8172535.6787219895</v>
      </c>
      <c r="BZ74" s="779">
        <v>363052.58</v>
      </c>
      <c r="CA74" s="779">
        <v>2122.8763999999992</v>
      </c>
      <c r="CB74" s="5">
        <v>164443.6</v>
      </c>
      <c r="CC74" s="5">
        <v>60614.51</v>
      </c>
      <c r="CD74" s="5">
        <v>12446.98</v>
      </c>
      <c r="CE74" s="5">
        <v>763.84</v>
      </c>
      <c r="CF74" s="763">
        <f>71/12</f>
        <v>5.916666666666667</v>
      </c>
      <c r="CG74" s="785">
        <v>42354.75</v>
      </c>
      <c r="CH74" s="785">
        <v>2303.25</v>
      </c>
      <c r="CI74" s="785">
        <v>386.75</v>
      </c>
      <c r="CJ74" s="785">
        <v>3</v>
      </c>
      <c r="CK74" s="785">
        <v>12833.583333333334</v>
      </c>
      <c r="CL74" s="785">
        <v>37.833333333333336</v>
      </c>
      <c r="CM74" s="785">
        <v>391.08333333333331</v>
      </c>
      <c r="CN74" s="46">
        <f>Weather!C86</f>
        <v>715.50416666666661</v>
      </c>
      <c r="CO74" s="46">
        <f>Weather!D86</f>
        <v>0</v>
      </c>
      <c r="CP74" s="46">
        <f>Weather!E86</f>
        <v>653.50416666666661</v>
      </c>
      <c r="CQ74" s="46">
        <f>Weather!F86</f>
        <v>0</v>
      </c>
      <c r="CR74" s="46">
        <f>Weather!G86</f>
        <v>591.50416666666661</v>
      </c>
      <c r="CS74" s="46">
        <f>Weather!H86</f>
        <v>0</v>
      </c>
      <c r="CT74" s="46">
        <f>Weather!I86</f>
        <v>529.50416666666661</v>
      </c>
      <c r="CU74" s="46">
        <f>Weather!J86</f>
        <v>0</v>
      </c>
      <c r="CV74" s="46">
        <f>Weather!K86</f>
        <v>467.50416666666661</v>
      </c>
      <c r="CW74" s="46">
        <f>Weather!L86</f>
        <v>0</v>
      </c>
      <c r="CX74" s="46">
        <f>Weather!M86</f>
        <v>405.50416666666661</v>
      </c>
      <c r="CY74" s="46">
        <f>Weather!N86</f>
        <v>0</v>
      </c>
      <c r="CZ74" s="46">
        <f>Weather!O86</f>
        <v>343.50416666666661</v>
      </c>
      <c r="DA74" s="46">
        <f>Weather!P86</f>
        <v>0</v>
      </c>
      <c r="DB74" s="368">
        <f>'Economic Data'!D88</f>
        <v>7234.6</v>
      </c>
      <c r="DC74" s="368">
        <f>'Economic Data'!E88</f>
        <v>7207.2</v>
      </c>
      <c r="DD74" s="368">
        <f>'Economic Data'!F88</f>
        <v>209.4</v>
      </c>
      <c r="DE74" s="368">
        <f>'Economic Data'!G88</f>
        <v>208.7</v>
      </c>
      <c r="DF74" s="368">
        <f>'Economic Data'!H88</f>
        <v>56.1</v>
      </c>
      <c r="DG74" s="368">
        <f>'Economic Data'!I88</f>
        <v>56.1</v>
      </c>
      <c r="DH74" s="368">
        <f>'Economic Data'!J88</f>
        <v>817265.5</v>
      </c>
      <c r="DI74" s="368">
        <f>'Economic Data'!K88</f>
        <v>634181.69999999995</v>
      </c>
      <c r="DJ74" s="368">
        <f>'Economic Data'!L88</f>
        <v>92312.5</v>
      </c>
      <c r="DK74" s="368">
        <f>'Economic Data'!M88</f>
        <v>25225.4</v>
      </c>
      <c r="DL74" s="368">
        <f>'Economic Data'!N88</f>
        <v>808584</v>
      </c>
      <c r="DM74" s="368">
        <f>'Economic Data'!O88</f>
        <v>91502</v>
      </c>
      <c r="DN74" s="368">
        <f>'Economic Data'!P88</f>
        <v>15844</v>
      </c>
      <c r="DO74" s="368">
        <f>'Economic Data'!Q88</f>
        <v>622695</v>
      </c>
      <c r="DP74" s="368">
        <f>'Economic Data'!R88</f>
        <v>23185</v>
      </c>
      <c r="DQ74">
        <v>31</v>
      </c>
      <c r="DR74">
        <v>20</v>
      </c>
      <c r="DS74">
        <v>1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f t="shared" si="189"/>
        <v>73</v>
      </c>
      <c r="EI74">
        <v>1</v>
      </c>
      <c r="EJ74">
        <v>0.5</v>
      </c>
      <c r="EK74">
        <v>0.75</v>
      </c>
      <c r="EL74">
        <v>0</v>
      </c>
      <c r="EM74" s="47">
        <f t="shared" si="125"/>
        <v>357.7520833333333</v>
      </c>
      <c r="EN74" s="47">
        <f t="shared" si="126"/>
        <v>0</v>
      </c>
      <c r="EO74" s="47">
        <f t="shared" si="127"/>
        <v>326.7520833333333</v>
      </c>
      <c r="EP74" s="47">
        <f t="shared" si="128"/>
        <v>0</v>
      </c>
      <c r="EQ74" s="47">
        <f t="shared" si="129"/>
        <v>295.7520833333333</v>
      </c>
      <c r="ER74" s="47">
        <f t="shared" si="130"/>
        <v>0</v>
      </c>
      <c r="ES74" s="47">
        <f t="shared" si="131"/>
        <v>264.7520833333333</v>
      </c>
      <c r="ET74" s="47">
        <f t="shared" si="132"/>
        <v>0</v>
      </c>
      <c r="EU74" s="47">
        <f t="shared" si="133"/>
        <v>233.7520833333333</v>
      </c>
      <c r="EV74" s="47">
        <f t="shared" si="134"/>
        <v>0</v>
      </c>
      <c r="EW74" s="47">
        <f t="shared" si="135"/>
        <v>202.7520833333333</v>
      </c>
      <c r="EX74" s="47">
        <f t="shared" si="136"/>
        <v>0</v>
      </c>
      <c r="EY74" s="47">
        <f t="shared" si="137"/>
        <v>171.7520833333333</v>
      </c>
      <c r="EZ74" s="47">
        <f t="shared" si="138"/>
        <v>0</v>
      </c>
      <c r="FA74" s="47">
        <f t="shared" si="139"/>
        <v>536.62812499999995</v>
      </c>
      <c r="FB74" s="47">
        <f t="shared" si="140"/>
        <v>0</v>
      </c>
      <c r="FC74" s="47">
        <f t="shared" si="141"/>
        <v>490.12812499999995</v>
      </c>
      <c r="FD74" s="47">
        <f t="shared" si="142"/>
        <v>0</v>
      </c>
      <c r="FE74" s="47">
        <f t="shared" si="143"/>
        <v>443.62812499999995</v>
      </c>
      <c r="FF74" s="47">
        <f t="shared" si="144"/>
        <v>0</v>
      </c>
      <c r="FG74" s="47">
        <f t="shared" si="145"/>
        <v>397.12812499999995</v>
      </c>
      <c r="FH74" s="47">
        <f t="shared" si="146"/>
        <v>0</v>
      </c>
      <c r="FI74" s="47">
        <f t="shared" si="147"/>
        <v>350.62812499999995</v>
      </c>
      <c r="FJ74" s="47">
        <f t="shared" si="148"/>
        <v>0</v>
      </c>
      <c r="FK74" s="47">
        <f t="shared" si="149"/>
        <v>304.12812499999995</v>
      </c>
      <c r="FL74" s="47">
        <f t="shared" si="150"/>
        <v>0</v>
      </c>
      <c r="FM74" s="47">
        <f t="shared" si="151"/>
        <v>257.62812499999995</v>
      </c>
      <c r="FN74" s="47">
        <f t="shared" si="152"/>
        <v>0</v>
      </c>
      <c r="FO74" s="765">
        <f t="shared" ca="1" si="153"/>
        <v>854.05400384695224</v>
      </c>
      <c r="FP74" s="765">
        <f t="shared" ca="1" si="154"/>
        <v>908.95728808696833</v>
      </c>
      <c r="FQ74" s="765">
        <f t="shared" ca="1" si="155"/>
        <v>2656.8280610672277</v>
      </c>
      <c r="FR74" s="765">
        <f t="shared" ca="1" si="156"/>
        <v>79701.146010683078</v>
      </c>
      <c r="FS74" s="765">
        <f t="shared" ca="1" si="157"/>
        <v>1490198.9719826856</v>
      </c>
      <c r="FT74" s="765">
        <f t="shared" ca="1" si="158"/>
        <v>6590993.0992395971</v>
      </c>
      <c r="FU74" s="765">
        <f t="shared" si="159"/>
        <v>39.044894536561713</v>
      </c>
      <c r="FV74" s="765">
        <f t="shared" si="160"/>
        <v>72.956010638297897</v>
      </c>
      <c r="FW74" s="765">
        <f t="shared" si="161"/>
        <v>498.65113402061854</v>
      </c>
      <c r="FX74" s="765">
        <f t="shared" ca="1" si="162"/>
        <v>814.07948501675457</v>
      </c>
      <c r="FY74" s="765">
        <f t="shared" ca="1" si="163"/>
        <v>3239.0126987610111</v>
      </c>
      <c r="FZ74" s="765">
        <f t="shared" ca="1" si="164"/>
        <v>77911.260255990594</v>
      </c>
      <c r="GA74" s="765">
        <f t="shared" si="165"/>
        <v>121017.52666666667</v>
      </c>
      <c r="GB74" s="765">
        <f t="shared" si="166"/>
        <v>28.289260339084304</v>
      </c>
      <c r="GC74" s="765">
        <f t="shared" si="167"/>
        <v>56.111270484581475</v>
      </c>
      <c r="GD74" s="765">
        <f t="shared" si="168"/>
        <v>420.48225015981251</v>
      </c>
    </row>
    <row r="75" spans="1:186">
      <c r="A75" s="4">
        <v>44228</v>
      </c>
      <c r="B75" s="6">
        <v>2021</v>
      </c>
      <c r="C75" s="5">
        <v>2</v>
      </c>
      <c r="D75" s="7">
        <v>86622305.799620301</v>
      </c>
      <c r="E75" s="7">
        <f ca="1">IFERROR(VLOOKUP($B75-1,CDM!$V$4:$AJ$17,2,FALSE)/12,0)+IFERROR(VLOOKUP($B75,CDM!$V$41:$AJ$54,2,FALSE)/24,0)+IFERROR(VLOOKUP($B75,CDM!$V$41:$AJ$54,2,FALSE)/2*$C75/78,0)</f>
        <v>3839482.6539707696</v>
      </c>
      <c r="F75" s="7">
        <f t="shared" ca="1" si="169"/>
        <v>90461788.453591064</v>
      </c>
      <c r="G75" s="7">
        <f>IFERROR(HLOOKUP(B75-1,'EV Forecast VRZ'!$F$124:$T$130,2,FALSE)/12,0)+IFERROR(((HLOOKUP(B75,'EV Forecast VRZ'!$F$116:$T$122,2,FALSE)-HLOOKUP(B75-1,'EV Forecast VRZ'!$F$124:$T$130,2,FALSE)))*C75/78,0)</f>
        <v>277623.17911546002</v>
      </c>
      <c r="H75" s="7">
        <f ca="1">HLOOKUP(B75,Heating!$C$102:$O$106,2,FALSE)*INDEX(Weather!$BO$1:$CB$20,MATCH(B75,Weather!$BO$1:$BO$20,0),MATCH(C75,Weather!$BO$1:$CB$1,0))/VLOOKUP(B75,Weather!$BO$2:$CB$20,14,FALSE)*
VLOOKUP('Monthly Data'!$B75,Weather!$BO$3:$CB$20,14,FALSE)/Weather!$CB$14</f>
        <v>1000615.8234471763</v>
      </c>
      <c r="I75" s="7">
        <f t="shared" ca="1" si="170"/>
        <v>89183549.451028422</v>
      </c>
      <c r="J75" s="7">
        <v>1345641.3133400001</v>
      </c>
      <c r="K75" s="7">
        <f ca="1">IFERROR(VLOOKUP($B75-1,CDM!$V$4:$AJ$17,3,FALSE)/12,0)+IFERROR(VLOOKUP($B75,CDM!$V$41:$AJ$54,3,FALSE)/24,0)+IFERROR(VLOOKUP($B75,CDM!$V$41:$AJ$54,3,FALSE)/2*$C75/78,0)</f>
        <v>43976.68016120122</v>
      </c>
      <c r="L75" s="7">
        <f t="shared" ca="1" si="171"/>
        <v>1389617.9935012013</v>
      </c>
      <c r="M75" s="7">
        <f>IFERROR(HLOOKUP(B75-1,'EV Forecast VRZ'!$F$124:$T$130,3,FALSE)/12,0)+IFERROR(((HLOOKUP(B75,'EV Forecast VRZ'!$F$116:$T$122,3,FALSE)-HLOOKUP(B75-1,'EV Forecast VRZ'!$F$124:$T$130,3,FALSE)))*C75/78,0)</f>
        <v>3776.8974230015174</v>
      </c>
      <c r="N75" s="7">
        <f ca="1">HLOOKUP(B75,Heating!$C$102:$O$106,3,FALSE)*INDEX(Weather!$BO$1:$CB$20,MATCH(B75,Weather!$BO$1:$BO$20,0),MATCH(C75,Weather!$BO$1:$CB$1,0))/VLOOKUP(B75,Weather!$BO$2:$CB$20,14,FALSE)*
VLOOKUP('Monthly Data'!$B75,Weather!$BO$3:$CB$20,14,FALSE)/Weather!$CB$14</f>
        <v>12512.981094786415</v>
      </c>
      <c r="O75" s="7">
        <f t="shared" ca="1" si="172"/>
        <v>1373328.1149834134</v>
      </c>
      <c r="P75" s="7">
        <v>22532462.089510102</v>
      </c>
      <c r="Q75" s="7">
        <f ca="1">IFERROR(VLOOKUP($B75-1,CDM!$V$4:$AJ$17,4,FALSE)/12,0)+IFERROR(VLOOKUP($B75,CDM!$V$41:$AJ$54,4,FALSE)/24,0)+IFERROR(VLOOKUP($B75,CDM!$V$41:$AJ$54,4,FALSE)/2*$C75/78,0)</f>
        <v>1389850.2980254027</v>
      </c>
      <c r="R75" s="7">
        <f t="shared" ca="1" si="173"/>
        <v>23922312.387535505</v>
      </c>
      <c r="S75" s="7">
        <f>IFERROR(HLOOKUP(B75-1,'EV Forecast VRZ'!$F$124:$T$130,4,FALSE)/12,0)+IFERROR(((HLOOKUP(B75,'EV Forecast VRZ'!$F$116:$T$122,4,FALSE)-HLOOKUP(B75-1,'EV Forecast VRZ'!$F$124:$T$130,4,FALSE)))*C75/78,0)</f>
        <v>34440.959230769236</v>
      </c>
      <c r="T75" s="7">
        <f ca="1">HLOOKUP(B75,Heating!$C$102:$O$106,4,FALSE)*INDEX(Weather!$BO$1:$CB$20,MATCH(B75,Weather!$BO$1:$BO$20,0),MATCH(C75,Weather!$BO$1:$CB$1,0))/VLOOKUP(B75,Weather!$BO$2:$CB$20,14,FALSE)*
VLOOKUP('Monthly Data'!$B75,Weather!$BO$3:$CB$20,14,FALSE)/Weather!$CB$14</f>
        <v>245090.2866868416</v>
      </c>
      <c r="U75" s="7">
        <f t="shared" ca="1" si="174"/>
        <v>23642781.141617894</v>
      </c>
      <c r="V75" s="7">
        <v>73429727.060000002</v>
      </c>
      <c r="W75" s="7">
        <f ca="1">IFERROR(VLOOKUP($B75-1,CDM!$V$4:$AJ$17,5,FALSE)/12,0)+IFERROR(VLOOKUP($B75,CDM!$V$41:$AJ$54,5,FALSE)/24,0)+IFERROR(VLOOKUP($B75,CDM!$V$41:$AJ$54,5,FALSE)/2*$C75/78,0)</f>
        <v>5160903.3912310684</v>
      </c>
      <c r="X75" s="7">
        <f t="shared" ca="1" si="175"/>
        <v>78590630.451231077</v>
      </c>
      <c r="Y75" s="7">
        <f>IFERROR(HLOOKUP(B75-1,'EV Forecast VRZ'!$F$124:$T$130,5,FALSE)/12,0)+IFERROR(((HLOOKUP(B75,'EV Forecast VRZ'!$F$116:$T$122,5,FALSE)-HLOOKUP(B75-1,'EV Forecast VRZ'!$F$124:$T$130,5,FALSE)))*C75/78,0)</f>
        <v>15606.508576923075</v>
      </c>
      <c r="Z75" s="7">
        <f ca="1">HLOOKUP(B75,Heating!$C$102:$O$106,5,FALSE)*INDEX(Weather!$BO$1:$CB$20,MATCH(B75,Weather!$BO$1:$BO$20,0),MATCH(C75,Weather!$BO$1:$CB$1,0))/VLOOKUP(B75,Weather!$BO$2:$CB$20,14,FALSE)*
VLOOKUP('Monthly Data'!$B75,Weather!$BO$3:$CB$20,14,FALSE)/Weather!$CB$14</f>
        <v>132907.75348247268</v>
      </c>
      <c r="AA75" s="7">
        <f t="shared" ca="1" si="176"/>
        <v>78442116.189171672</v>
      </c>
      <c r="AB75" s="7">
        <v>7751662.29</v>
      </c>
      <c r="AC75" s="7">
        <f ca="1">IFERROR(VLOOKUP($B75-1,CDM!$V$4:$AJ$17,6,FALSE)/12,0)+IFERROR(VLOOKUP($B75,CDM!$V$41:$AJ$54,6,FALSE)/24,0)+IFERROR(VLOOKUP($B75,CDM!$V$41:$AJ$54,6,FALSE)/2*$C75/78,0)</f>
        <v>237554.44774797707</v>
      </c>
      <c r="AD75" s="7">
        <f t="shared" ca="1" si="177"/>
        <v>7989216.7377479775</v>
      </c>
      <c r="AE75" s="7">
        <f>IFERROR(HLOOKUP(B75-1,'EV Forecast VRZ'!$F$124:$T$130,6,FALSE)/12,0)+IFERROR(((HLOOKUP(B75,'EV Forecast VRZ'!$F$116:$T$122,6,FALSE)-HLOOKUP(B75-1,'EV Forecast VRZ'!$F$124:$T$130,6,FALSE)))*C75/78,0)</f>
        <v>2154.3556538461535</v>
      </c>
      <c r="AF75" s="7">
        <f t="shared" ca="1" si="178"/>
        <v>7987062.3820941318</v>
      </c>
      <c r="AG75" s="7">
        <v>22611355.539999999</v>
      </c>
      <c r="AH75" s="7">
        <f ca="1">IFERROR(VLOOKUP($B75-1,CDM!$V$4:$AJ$17,7,FALSE)/12,0)+IFERROR(VLOOKUP($B75,CDM!$V$41:$AJ$54,7,FALSE)/24,0)+IFERROR(VLOOKUP($B75,CDM!$V$41:$AJ$54,7,FALSE)/2*$C75/78,0)</f>
        <v>1690265.9025357671</v>
      </c>
      <c r="AI75" s="7">
        <f t="shared" ca="1" si="179"/>
        <v>24301621.442535765</v>
      </c>
      <c r="AJ75" s="7">
        <f>IFERROR(HLOOKUP(B75-1,'EV Forecast VRZ'!$F$124:$T$130,7,FALSE)/12,0)+IFERROR(((HLOOKUP(B75,'EV Forecast VRZ'!$F$116:$T$122,7,FALSE)-HLOOKUP(B75-1,'EV Forecast VRZ'!$F$124:$T$130,7,FALSE)))*C75/78,0)</f>
        <v>0</v>
      </c>
      <c r="AK75" s="7">
        <f t="shared" ca="1" si="180"/>
        <v>24301621.442535765</v>
      </c>
      <c r="AL75" s="7">
        <v>1086824.98</v>
      </c>
      <c r="AM75" s="7">
        <v>1536.3600000000001</v>
      </c>
      <c r="AN75" s="7">
        <v>398670.31</v>
      </c>
      <c r="AO75" s="5">
        <v>175204.86</v>
      </c>
      <c r="AP75" s="5">
        <v>17475.900000000001</v>
      </c>
      <c r="AQ75" s="5">
        <v>38442</v>
      </c>
      <c r="AR75" s="5">
        <v>2743.06</v>
      </c>
      <c r="AS75" s="763">
        <f t="shared" ref="AS75:AS85" si="190">632/12</f>
        <v>52.666666666666664</v>
      </c>
      <c r="AT75" s="776">
        <v>112773.16666666666</v>
      </c>
      <c r="AU75" s="776">
        <v>1560.3333333333335</v>
      </c>
      <c r="AV75" s="776">
        <v>9294.8333333333321</v>
      </c>
      <c r="AW75" s="776">
        <v>1045.8333333333335</v>
      </c>
      <c r="AX75" s="776">
        <v>5.1666666666666661</v>
      </c>
      <c r="AY75" s="776">
        <v>4</v>
      </c>
      <c r="AZ75" s="776">
        <v>31632.666666666664</v>
      </c>
      <c r="BA75" s="776">
        <v>250.33333333333331</v>
      </c>
      <c r="BB75" s="776">
        <v>800.5</v>
      </c>
      <c r="BC75" s="779">
        <v>29862393.369889703</v>
      </c>
      <c r="BD75" s="779">
        <f ca="1">IFERROR(VLOOKUP($B75-1,CDM!$V$4:$AJ$17,11,FALSE)/12,0)+IFERROR(VLOOKUP($B75,CDM!$V$41:$AJ$54,11,FALSE)/24,0)+IFERROR(VLOOKUP($B75,CDM!$V$41:$AJ$54,11,FALSE)/2*$C75/78,0)</f>
        <v>1774634.3522373466</v>
      </c>
      <c r="BE75" s="779">
        <f t="shared" ca="1" si="123"/>
        <v>31637027.72212705</v>
      </c>
      <c r="BF75" s="779">
        <f>IFERROR(HLOOKUP(B75-1,'EV Forecast WRZ'!$F$124:$T$130,2,FALSE)/12,0)+IFERROR(((HLOOKUP(B75,'EV Forecast WRZ'!$F$116:$T$122,2,FALSE)-HLOOKUP(B75-1,'EV Forecast WRZ'!$F$124:$T$130,2,FALSE)))*C75/78,0)</f>
        <v>87879.87269230769</v>
      </c>
      <c r="BG75" s="779">
        <f ca="1">HLOOKUP(B75,Heating!$R$102:$AD$106,2,FALSE)*INDEX(Weather!$BO$1:$CB$20,MATCH(B75,Weather!$BO$1:$BO$20,0),MATCH(C75,Weather!$BO$1:$CB$1,0))/VLOOKUP(B75,Weather!$BO$2:$CB$20,14,FALSE)*
VLOOKUP('Monthly Data'!$B75,Weather!$BO$3:$CB$20,14,FALSE)/Weather!$CB$14</f>
        <v>424035.99684422184</v>
      </c>
      <c r="BH75" s="779">
        <f t="shared" ca="1" si="181"/>
        <v>31125111.85259052</v>
      </c>
      <c r="BI75" s="779">
        <v>6942210.9836299801</v>
      </c>
      <c r="BJ75" s="779">
        <f ca="1">IFERROR(VLOOKUP($B75-1,CDM!$V$4:$AJ$17,12,FALSE)/12,0)+IFERROR(VLOOKUP($B75,CDM!$V$41:$AJ$54,12,FALSE)/24,0)+IFERROR(VLOOKUP($B75,CDM!$V$41:$AJ$54,12,FALSE)/2*$C75/78,0)</f>
        <v>226924.41466629523</v>
      </c>
      <c r="BK75" s="779">
        <f t="shared" ca="1" si="182"/>
        <v>7169135.3982962752</v>
      </c>
      <c r="BL75" s="779">
        <f>IFERROR(HLOOKUP(B75-1,'EV Forecast WRZ'!$F$124:$T$130,3,FALSE)/12,0)+IFERROR(((HLOOKUP(B75,'EV Forecast WRZ'!$F$116:$T$122,3,FALSE)-HLOOKUP(B75-1,'EV Forecast WRZ'!$F$124:$T$130,3,FALSE)))*C75/78,0)</f>
        <v>10802.043846153847</v>
      </c>
      <c r="BM75" s="779">
        <f ca="1">HLOOKUP(B75,Heating!$R$102:$AD$106,4,FALSE)*INDEX(Weather!$BO$1:$CB$20,MATCH(B75,Weather!$BO$1:$BO$20,0),MATCH(C75,Weather!$BO$1:$CB$1,0))/VLOOKUP(B75,Weather!$BO$2:$CB$20,14,FALSE)*
VLOOKUP('Monthly Data'!$B75,Weather!$BO$3:$CB$20,14,FALSE)/Weather!$CB$14</f>
        <v>64037.319388130993</v>
      </c>
      <c r="BN75" s="779">
        <f t="shared" ca="1" si="183"/>
        <v>7094296.0350619908</v>
      </c>
      <c r="BO75" s="779">
        <v>26385107.34</v>
      </c>
      <c r="BP75" s="779">
        <f ca="1">IFERROR(VLOOKUP($B75-1,CDM!$V$4:$AJ$17,13,FALSE)/12,0)+IFERROR(VLOOKUP($B75,CDM!$V$41:$AJ$54,13,FALSE)/24,0)+IFERROR(VLOOKUP($B75,CDM!$V$41:$AJ$54,13,FALSE)/2*$C75/78,0)</f>
        <v>2038522.0010192415</v>
      </c>
      <c r="BQ75" s="779">
        <f t="shared" ca="1" si="184"/>
        <v>28423629.341019243</v>
      </c>
      <c r="BR75" s="779">
        <f>IFERROR(HLOOKUP(B75-1,'EV Forecast WRZ'!$F$124:$T$130,4,FALSE)/12,0)+IFERROR(((HLOOKUP(B75,'EV Forecast WRZ'!$F$116:$T$122,4,FALSE)-HLOOKUP(B75-1,'EV Forecast WRZ'!$F$124:$T$130,4,FALSE)))*C75/78,0)</f>
        <v>4898.4197307692311</v>
      </c>
      <c r="BS75" s="779">
        <f ca="1">HLOOKUP(B75,Heating!$R$102:$AD$106,5,FALSE)*INDEX(Weather!$BO$1:$CB$20,MATCH(B75,Weather!$BO$1:$BO$20,0),MATCH(C75,Weather!$BO$1:$CB$1,0))/VLOOKUP(B75,Weather!$BO$2:$CB$20,14,FALSE)*
VLOOKUP('Monthly Data'!$B75,Weather!$BO$3:$CB$20,14,FALSE)/Weather!$CB$14</f>
        <v>39217.229894661185</v>
      </c>
      <c r="BT75" s="779">
        <f t="shared" ca="1" si="185"/>
        <v>28379513.691393815</v>
      </c>
      <c r="BU75" s="779">
        <v>7160396.8499999996</v>
      </c>
      <c r="BV75" s="779">
        <f ca="1">IFERROR(VLOOKUP($B75-1,CDM!$V$4:$AJ$17,14,FALSE)/12,0)+IFERROR(VLOOKUP($B75,CDM!$V$41:$AJ$54,14,FALSE)/24,0)+IFERROR(VLOOKUP($B75,CDM!$V$41:$AJ$54,14,FALSE)/2*$C75/78,0)</f>
        <v>458317.01932860399</v>
      </c>
      <c r="BW75" s="779">
        <f t="shared" ca="1" si="186"/>
        <v>7618713.8693286031</v>
      </c>
      <c r="BX75" s="779">
        <f>IFERROR(HLOOKUP(B75-1,'EV Forecast WRZ'!$F$124:$T$130,5,FALSE)/12,0)+IFERROR(((HLOOKUP(B75,'EV Forecast WRZ'!$F$116:$T$122,5,FALSE)-HLOOKUP(B75-1,'EV Forecast WRZ'!$F$124:$T$130,5,FALSE)))*C75/78,0)</f>
        <v>690.10219230769235</v>
      </c>
      <c r="BY75" s="779">
        <f t="shared" ca="1" si="124"/>
        <v>7618023.7671362953</v>
      </c>
      <c r="BZ75" s="779">
        <v>301824.12</v>
      </c>
      <c r="CA75" s="779">
        <v>2328.0635999999995</v>
      </c>
      <c r="CB75" s="5">
        <v>174246.2</v>
      </c>
      <c r="CC75" s="5">
        <v>61656.51</v>
      </c>
      <c r="CD75" s="5">
        <v>13007.09</v>
      </c>
      <c r="CE75" s="5">
        <v>768.38</v>
      </c>
      <c r="CF75" s="763">
        <f t="shared" ref="CF75:CF85" si="191">71/12</f>
        <v>5.916666666666667</v>
      </c>
      <c r="CG75" s="785">
        <v>42453.5</v>
      </c>
      <c r="CH75" s="785">
        <v>2307.5</v>
      </c>
      <c r="CI75" s="785">
        <v>387.5</v>
      </c>
      <c r="CJ75" s="785">
        <v>3</v>
      </c>
      <c r="CK75" s="785">
        <v>12868.166666666668</v>
      </c>
      <c r="CL75" s="785">
        <v>38.666666666666671</v>
      </c>
      <c r="CM75" s="785">
        <v>391.16666666666663</v>
      </c>
      <c r="CN75" s="46">
        <f>Weather!C87</f>
        <v>709.45416666666654</v>
      </c>
      <c r="CO75" s="46">
        <f>Weather!D87</f>
        <v>0</v>
      </c>
      <c r="CP75" s="46">
        <f>Weather!E87</f>
        <v>653.45416666666654</v>
      </c>
      <c r="CQ75" s="46">
        <f>Weather!F87</f>
        <v>0</v>
      </c>
      <c r="CR75" s="46">
        <f>Weather!G87</f>
        <v>597.45416666666665</v>
      </c>
      <c r="CS75" s="46">
        <f>Weather!H87</f>
        <v>0</v>
      </c>
      <c r="CT75" s="46">
        <f>Weather!I87</f>
        <v>541.45416666666677</v>
      </c>
      <c r="CU75" s="46">
        <f>Weather!J87</f>
        <v>0</v>
      </c>
      <c r="CV75" s="46">
        <f>Weather!K87</f>
        <v>485.45416666666677</v>
      </c>
      <c r="CW75" s="46">
        <f>Weather!L87</f>
        <v>0</v>
      </c>
      <c r="CX75" s="46">
        <f>Weather!M87</f>
        <v>429.45416666666677</v>
      </c>
      <c r="CY75" s="46">
        <f>Weather!N87</f>
        <v>0</v>
      </c>
      <c r="CZ75" s="46">
        <f>Weather!O87</f>
        <v>373.45416666666665</v>
      </c>
      <c r="DA75" s="46">
        <f>Weather!P87</f>
        <v>0</v>
      </c>
      <c r="DB75" s="368">
        <f>'Economic Data'!D89</f>
        <v>7209.5</v>
      </c>
      <c r="DC75" s="368">
        <f>'Economic Data'!E89</f>
        <v>7151.3</v>
      </c>
      <c r="DD75" s="368">
        <f>'Economic Data'!F89</f>
        <v>208.2</v>
      </c>
      <c r="DE75" s="368">
        <f>'Economic Data'!G89</f>
        <v>207.5</v>
      </c>
      <c r="DF75" s="368">
        <f>'Economic Data'!H89</f>
        <v>56.2</v>
      </c>
      <c r="DG75" s="368">
        <f>'Economic Data'!I89</f>
        <v>56.2</v>
      </c>
      <c r="DH75" s="368">
        <f>'Economic Data'!J89</f>
        <v>817265.5</v>
      </c>
      <c r="DI75" s="368">
        <f>'Economic Data'!K89</f>
        <v>634181.69999999995</v>
      </c>
      <c r="DJ75" s="368">
        <f>'Economic Data'!L89</f>
        <v>92312.5</v>
      </c>
      <c r="DK75" s="368">
        <f>'Economic Data'!M89</f>
        <v>25225.4</v>
      </c>
      <c r="DL75" s="368">
        <f>'Economic Data'!N89</f>
        <v>808584</v>
      </c>
      <c r="DM75" s="368">
        <f>'Economic Data'!O89</f>
        <v>91502</v>
      </c>
      <c r="DN75" s="368">
        <f>'Economic Data'!P89</f>
        <v>15844</v>
      </c>
      <c r="DO75" s="368">
        <f>'Economic Data'!Q89</f>
        <v>622695</v>
      </c>
      <c r="DP75" s="368">
        <f>'Economic Data'!R89</f>
        <v>23185</v>
      </c>
      <c r="DQ75">
        <v>28</v>
      </c>
      <c r="DR75">
        <v>19</v>
      </c>
      <c r="DS75">
        <v>0</v>
      </c>
      <c r="DT75">
        <v>1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f t="shared" si="189"/>
        <v>74</v>
      </c>
      <c r="EI75">
        <v>1</v>
      </c>
      <c r="EJ75">
        <v>0.5</v>
      </c>
      <c r="EK75">
        <v>0.75</v>
      </c>
      <c r="EL75">
        <v>0</v>
      </c>
      <c r="EM75" s="47">
        <f t="shared" si="125"/>
        <v>354.72708333333327</v>
      </c>
      <c r="EN75" s="47">
        <f t="shared" si="126"/>
        <v>0</v>
      </c>
      <c r="EO75" s="47">
        <f t="shared" si="127"/>
        <v>326.72708333333327</v>
      </c>
      <c r="EP75" s="47">
        <f t="shared" si="128"/>
        <v>0</v>
      </c>
      <c r="EQ75" s="47">
        <f t="shared" si="129"/>
        <v>298.72708333333333</v>
      </c>
      <c r="ER75" s="47">
        <f t="shared" si="130"/>
        <v>0</v>
      </c>
      <c r="ES75" s="47">
        <f t="shared" si="131"/>
        <v>270.72708333333338</v>
      </c>
      <c r="ET75" s="47">
        <f t="shared" si="132"/>
        <v>0</v>
      </c>
      <c r="EU75" s="47">
        <f t="shared" si="133"/>
        <v>242.72708333333338</v>
      </c>
      <c r="EV75" s="47">
        <f t="shared" si="134"/>
        <v>0</v>
      </c>
      <c r="EW75" s="47">
        <f t="shared" si="135"/>
        <v>214.72708333333338</v>
      </c>
      <c r="EX75" s="47">
        <f t="shared" si="136"/>
        <v>0</v>
      </c>
      <c r="EY75" s="47">
        <f t="shared" si="137"/>
        <v>186.72708333333333</v>
      </c>
      <c r="EZ75" s="47">
        <f t="shared" si="138"/>
        <v>0</v>
      </c>
      <c r="FA75" s="47">
        <f t="shared" si="139"/>
        <v>532.09062499999993</v>
      </c>
      <c r="FB75" s="47">
        <f t="shared" si="140"/>
        <v>0</v>
      </c>
      <c r="FC75" s="47">
        <f t="shared" si="141"/>
        <v>490.09062499999993</v>
      </c>
      <c r="FD75" s="47">
        <f t="shared" si="142"/>
        <v>0</v>
      </c>
      <c r="FE75" s="47">
        <f t="shared" si="143"/>
        <v>448.09062499999999</v>
      </c>
      <c r="FF75" s="47">
        <f t="shared" si="144"/>
        <v>0</v>
      </c>
      <c r="FG75" s="47">
        <f t="shared" si="145"/>
        <v>406.09062500000005</v>
      </c>
      <c r="FH75" s="47">
        <f t="shared" si="146"/>
        <v>0</v>
      </c>
      <c r="FI75" s="47">
        <f t="shared" si="147"/>
        <v>364.09062500000005</v>
      </c>
      <c r="FJ75" s="47">
        <f t="shared" si="148"/>
        <v>0</v>
      </c>
      <c r="FK75" s="47">
        <f t="shared" si="149"/>
        <v>322.09062500000005</v>
      </c>
      <c r="FL75" s="47">
        <f t="shared" si="150"/>
        <v>0</v>
      </c>
      <c r="FM75" s="47">
        <f t="shared" si="151"/>
        <v>280.09062499999999</v>
      </c>
      <c r="FN75" s="47">
        <f t="shared" si="152"/>
        <v>0</v>
      </c>
      <c r="FO75" s="765">
        <f t="shared" ca="1" si="153"/>
        <v>790.8224277734073</v>
      </c>
      <c r="FP75" s="765">
        <f t="shared" ca="1" si="154"/>
        <v>890.59046795633481</v>
      </c>
      <c r="FQ75" s="765">
        <f t="shared" ca="1" si="155"/>
        <v>2573.721499851406</v>
      </c>
      <c r="FR75" s="765">
        <f t="shared" ca="1" si="156"/>
        <v>75146.419554961976</v>
      </c>
      <c r="FS75" s="765">
        <f t="shared" ca="1" si="157"/>
        <v>1546300.0137576733</v>
      </c>
      <c r="FT75" s="765">
        <f t="shared" ca="1" si="158"/>
        <v>6075405.3606339414</v>
      </c>
      <c r="FU75" s="765">
        <f t="shared" si="159"/>
        <v>34.357678138633062</v>
      </c>
      <c r="FV75" s="765">
        <f t="shared" si="160"/>
        <v>6.1372569906790959</v>
      </c>
      <c r="FW75" s="765">
        <f t="shared" si="161"/>
        <v>498.02662086196125</v>
      </c>
      <c r="FX75" s="765">
        <f t="shared" ca="1" si="162"/>
        <v>745.21600626867166</v>
      </c>
      <c r="FY75" s="765">
        <f t="shared" ca="1" si="163"/>
        <v>3106.8842462822427</v>
      </c>
      <c r="FZ75" s="765">
        <f t="shared" ca="1" si="164"/>
        <v>73351.301525210947</v>
      </c>
      <c r="GA75" s="765">
        <f t="shared" si="165"/>
        <v>100608.04</v>
      </c>
      <c r="GB75" s="765">
        <f t="shared" si="166"/>
        <v>23.455098757916822</v>
      </c>
      <c r="GC75" s="765">
        <f t="shared" si="167"/>
        <v>60.208541379310326</v>
      </c>
      <c r="GD75" s="765">
        <f t="shared" si="168"/>
        <v>445.45257775884113</v>
      </c>
    </row>
    <row r="76" spans="1:186">
      <c r="A76" s="4">
        <v>44256</v>
      </c>
      <c r="B76" s="6">
        <v>2021</v>
      </c>
      <c r="C76" s="5">
        <v>3</v>
      </c>
      <c r="D76" s="7">
        <v>82002172.769920394</v>
      </c>
      <c r="E76" s="7">
        <f ca="1">IFERROR(VLOOKUP($B76-1,CDM!$V$4:$AJ$17,2,FALSE)/12,0)+IFERROR(VLOOKUP($B76,CDM!$V$41:$AJ$54,2,FALSE)/24,0)+IFERROR(VLOOKUP($B76,CDM!$V$41:$AJ$54,2,FALSE)/2*$C76/78,0)</f>
        <v>3840422.3479392859</v>
      </c>
      <c r="F76" s="7">
        <f t="shared" ca="1" si="169"/>
        <v>85842595.117859676</v>
      </c>
      <c r="G76" s="7">
        <f>IFERROR(HLOOKUP(B76-1,'EV Forecast VRZ'!$F$124:$T$130,2,FALSE)/12,0)+IFERROR(((HLOOKUP(B76,'EV Forecast VRZ'!$F$116:$T$122,2,FALSE)-HLOOKUP(B76-1,'EV Forecast VRZ'!$F$124:$T$130,2,FALSE)))*C76/78,0)</f>
        <v>287029.04536272906</v>
      </c>
      <c r="H76" s="7">
        <f ca="1">HLOOKUP(B76,Heating!$C$102:$O$106,2,FALSE)*INDEX(Weather!$BO$1:$CB$20,MATCH(B76,Weather!$BO$1:$BO$20,0),MATCH(C76,Weather!$BO$1:$CB$1,0))/VLOOKUP(B76,Weather!$BO$2:$CB$20,14,FALSE)*
VLOOKUP('Monthly Data'!$B76,Weather!$BO$3:$CB$20,14,FALSE)/Weather!$CB$14</f>
        <v>754298.85423297319</v>
      </c>
      <c r="I76" s="7">
        <f t="shared" ca="1" si="170"/>
        <v>84801267.218263984</v>
      </c>
      <c r="J76" s="7">
        <v>1133174.6163900001</v>
      </c>
      <c r="K76" s="7">
        <f ca="1">IFERROR(VLOOKUP($B76-1,CDM!$V$4:$AJ$17,3,FALSE)/12,0)+IFERROR(VLOOKUP($B76,CDM!$V$41:$AJ$54,3,FALSE)/24,0)+IFERROR(VLOOKUP($B76,CDM!$V$41:$AJ$54,3,FALSE)/2*$C76/78,0)</f>
        <v>43987.443231340403</v>
      </c>
      <c r="L76" s="7">
        <f t="shared" ca="1" si="171"/>
        <v>1177162.0596213406</v>
      </c>
      <c r="M76" s="7">
        <f>IFERROR(HLOOKUP(B76-1,'EV Forecast VRZ'!$F$124:$T$130,3,FALSE)/12,0)+IFERROR(((HLOOKUP(B76,'EV Forecast VRZ'!$F$116:$T$122,3,FALSE)-HLOOKUP(B76-1,'EV Forecast VRZ'!$F$124:$T$130,3,FALSE)))*C76/78,0)</f>
        <v>3904.8586116299102</v>
      </c>
      <c r="N76" s="7">
        <f ca="1">HLOOKUP(B76,Heating!$C$102:$O$106,3,FALSE)*INDEX(Weather!$BO$1:$CB$20,MATCH(B76,Weather!$BO$1:$BO$20,0),MATCH(C76,Weather!$BO$1:$CB$1,0))/VLOOKUP(B76,Weather!$BO$2:$CB$20,14,FALSE)*
VLOOKUP('Monthly Data'!$B76,Weather!$BO$3:$CB$20,14,FALSE)/Weather!$CB$14</f>
        <v>9432.7184136664982</v>
      </c>
      <c r="O76" s="7">
        <f t="shared" ca="1" si="172"/>
        <v>1163824.4825960442</v>
      </c>
      <c r="P76" s="7">
        <v>23275265.499380101</v>
      </c>
      <c r="Q76" s="7">
        <f ca="1">IFERROR(VLOOKUP($B76-1,CDM!$V$4:$AJ$17,4,FALSE)/12,0)+IFERROR(VLOOKUP($B76,CDM!$V$41:$AJ$54,4,FALSE)/24,0)+IFERROR(VLOOKUP($B76,CDM!$V$41:$AJ$54,4,FALSE)/2*$C76/78,0)</f>
        <v>1394452.2057940506</v>
      </c>
      <c r="R76" s="7">
        <f t="shared" ca="1" si="173"/>
        <v>24669717.705174152</v>
      </c>
      <c r="S76" s="7">
        <f>IFERROR(HLOOKUP(B76-1,'EV Forecast VRZ'!$F$124:$T$130,4,FALSE)/12,0)+IFERROR(((HLOOKUP(B76,'EV Forecast VRZ'!$F$116:$T$122,4,FALSE)-HLOOKUP(B76-1,'EV Forecast VRZ'!$F$124:$T$130,4,FALSE)))*C76/78,0)</f>
        <v>35581.59051282052</v>
      </c>
      <c r="T76" s="7">
        <f ca="1">HLOOKUP(B76,Heating!$C$102:$O$106,4,FALSE)*INDEX(Weather!$BO$1:$CB$20,MATCH(B76,Weather!$BO$1:$BO$20,0),MATCH(C76,Weather!$BO$1:$CB$1,0))/VLOOKUP(B76,Weather!$BO$2:$CB$20,14,FALSE)*
VLOOKUP('Monthly Data'!$B76,Weather!$BO$3:$CB$20,14,FALSE)/Weather!$CB$14</f>
        <v>184757.54440362906</v>
      </c>
      <c r="U76" s="7">
        <f t="shared" ca="1" si="174"/>
        <v>24449378.570257705</v>
      </c>
      <c r="V76" s="7">
        <v>78781004.819999993</v>
      </c>
      <c r="W76" s="7">
        <f ca="1">IFERROR(VLOOKUP($B76-1,CDM!$V$4:$AJ$17,5,FALSE)/12,0)+IFERROR(VLOOKUP($B76,CDM!$V$41:$AJ$54,5,FALSE)/24,0)+IFERROR(VLOOKUP($B76,CDM!$V$41:$AJ$54,5,FALSE)/2*$C76/78,0)</f>
        <v>5198037.7864712151</v>
      </c>
      <c r="X76" s="7">
        <f t="shared" ca="1" si="175"/>
        <v>83979042.606471211</v>
      </c>
      <c r="Y76" s="7">
        <f>IFERROR(HLOOKUP(B76-1,'EV Forecast VRZ'!$F$124:$T$130,5,FALSE)/12,0)+IFERROR(((HLOOKUP(B76,'EV Forecast VRZ'!$F$116:$T$122,5,FALSE)-HLOOKUP(B76-1,'EV Forecast VRZ'!$F$124:$T$130,5,FALSE)))*C76/78,0)</f>
        <v>16121.331115384615</v>
      </c>
      <c r="Z76" s="7">
        <f ca="1">HLOOKUP(B76,Heating!$C$102:$O$106,5,FALSE)*INDEX(Weather!$BO$1:$CB$20,MATCH(B76,Weather!$BO$1:$BO$20,0),MATCH(C76,Weather!$BO$1:$CB$1,0))/VLOOKUP(B76,Weather!$BO$2:$CB$20,14,FALSE)*
VLOOKUP('Monthly Data'!$B76,Weather!$BO$3:$CB$20,14,FALSE)/Weather!$CB$14</f>
        <v>100190.46653203362</v>
      </c>
      <c r="AA76" s="7">
        <f t="shared" ca="1" si="176"/>
        <v>83862730.808823794</v>
      </c>
      <c r="AB76" s="7">
        <v>8577466.7400000002</v>
      </c>
      <c r="AC76" s="7">
        <f ca="1">IFERROR(VLOOKUP($B76-1,CDM!$V$4:$AJ$17,6,FALSE)/12,0)+IFERROR(VLOOKUP($B76,CDM!$V$41:$AJ$54,6,FALSE)/24,0)+IFERROR(VLOOKUP($B76,CDM!$V$41:$AJ$54,6,FALSE)/2*$C76/78,0)</f>
        <v>238751.95791730221</v>
      </c>
      <c r="AD76" s="7">
        <f t="shared" ca="1" si="177"/>
        <v>8816218.6979173031</v>
      </c>
      <c r="AE76" s="7">
        <f>IFERROR(HLOOKUP(B76-1,'EV Forecast VRZ'!$F$124:$T$130,6,FALSE)/12,0)+IFERROR(((HLOOKUP(B76,'EV Forecast VRZ'!$F$116:$T$122,6,FALSE)-HLOOKUP(B76-1,'EV Forecast VRZ'!$F$124:$T$130,6,FALSE)))*C76/78,0)</f>
        <v>2217.5410641025637</v>
      </c>
      <c r="AF76" s="7">
        <f t="shared" ca="1" si="178"/>
        <v>8814001.1568532009</v>
      </c>
      <c r="AG76" s="7">
        <v>24711431.16</v>
      </c>
      <c r="AH76" s="7">
        <f ca="1">IFERROR(VLOOKUP($B76-1,CDM!$V$4:$AJ$17,7,FALSE)/12,0)+IFERROR(VLOOKUP($B76,CDM!$V$41:$AJ$54,7,FALSE)/24,0)+IFERROR(VLOOKUP($B76,CDM!$V$41:$AJ$54,7,FALSE)/2*$C76/78,0)</f>
        <v>1697611.9181131481</v>
      </c>
      <c r="AI76" s="7">
        <f t="shared" ca="1" si="179"/>
        <v>26409043.07811315</v>
      </c>
      <c r="AJ76" s="7">
        <f>IFERROR(HLOOKUP(B76-1,'EV Forecast VRZ'!$F$124:$T$130,7,FALSE)/12,0)+IFERROR(((HLOOKUP(B76,'EV Forecast VRZ'!$F$116:$T$122,7,FALSE)-HLOOKUP(B76-1,'EV Forecast VRZ'!$F$124:$T$130,7,FALSE)))*C76/78,0)</f>
        <v>0</v>
      </c>
      <c r="AK76" s="7">
        <f t="shared" ca="1" si="180"/>
        <v>26409043.07811315</v>
      </c>
      <c r="AL76" s="7">
        <v>1010190.11</v>
      </c>
      <c r="AM76" s="7">
        <v>35059.540000000008</v>
      </c>
      <c r="AN76" s="7">
        <v>398774.09</v>
      </c>
      <c r="AO76" s="5">
        <v>176686.6</v>
      </c>
      <c r="AP76" s="5">
        <v>17882.349999999999</v>
      </c>
      <c r="AQ76" s="5">
        <v>38332</v>
      </c>
      <c r="AR76" s="5">
        <v>2572.77</v>
      </c>
      <c r="AS76" s="763">
        <f t="shared" si="190"/>
        <v>52.666666666666664</v>
      </c>
      <c r="AT76" s="776">
        <v>112836.74999999999</v>
      </c>
      <c r="AU76" s="776">
        <v>1560.0000000000002</v>
      </c>
      <c r="AV76" s="776">
        <v>9299.2499999999982</v>
      </c>
      <c r="AW76" s="776">
        <v>1047.2500000000002</v>
      </c>
      <c r="AX76" s="776">
        <v>5.2499999999999991</v>
      </c>
      <c r="AY76" s="776">
        <v>4</v>
      </c>
      <c r="AZ76" s="776">
        <v>31642.999999999996</v>
      </c>
      <c r="BA76" s="776">
        <v>249.99999999999997</v>
      </c>
      <c r="BB76" s="776">
        <v>800.75</v>
      </c>
      <c r="BC76" s="779">
        <v>29184000.801219899</v>
      </c>
      <c r="BD76" s="779">
        <f ca="1">IFERROR(VLOOKUP($B76-1,CDM!$V$4:$AJ$17,11,FALSE)/12,0)+IFERROR(VLOOKUP($B76,CDM!$V$41:$AJ$54,11,FALSE)/24,0)+IFERROR(VLOOKUP($B76,CDM!$V$41:$AJ$54,11,FALSE)/2*$C76/78,0)</f>
        <v>1757539.4748810064</v>
      </c>
      <c r="BE76" s="779">
        <f t="shared" ca="1" si="123"/>
        <v>30941540.276100904</v>
      </c>
      <c r="BF76" s="779">
        <f>IFERROR(HLOOKUP(B76-1,'EV Forecast WRZ'!$F$124:$T$130,2,FALSE)/12,0)+IFERROR(((HLOOKUP(B76,'EV Forecast WRZ'!$F$116:$T$122,2,FALSE)-HLOOKUP(B76-1,'EV Forecast WRZ'!$F$124:$T$130,2,FALSE)))*C76/78,0)</f>
        <v>91187.933205128211</v>
      </c>
      <c r="BG76" s="779">
        <f ca="1">HLOOKUP(B76,Heating!$R$102:$AD$106,2,FALSE)*INDEX(Weather!$BO$1:$CB$20,MATCH(B76,Weather!$BO$1:$BO$20,0),MATCH(C76,Weather!$BO$1:$CB$1,0))/VLOOKUP(B76,Weather!$BO$2:$CB$20,14,FALSE)*
VLOOKUP('Monthly Data'!$B76,Weather!$BO$3:$CB$20,14,FALSE)/Weather!$CB$14</f>
        <v>319653.01675045758</v>
      </c>
      <c r="BH76" s="779">
        <f t="shared" ca="1" si="181"/>
        <v>30530699.326145317</v>
      </c>
      <c r="BI76" s="779">
        <v>7049295.3213900002</v>
      </c>
      <c r="BJ76" s="779">
        <f ca="1">IFERROR(VLOOKUP($B76-1,CDM!$V$4:$AJ$17,12,FALSE)/12,0)+IFERROR(VLOOKUP($B76,CDM!$V$41:$AJ$54,12,FALSE)/24,0)+IFERROR(VLOOKUP($B76,CDM!$V$41:$AJ$54,12,FALSE)/2*$C76/78,0)</f>
        <v>228033.55357129261</v>
      </c>
      <c r="BK76" s="779">
        <f t="shared" ca="1" si="182"/>
        <v>7277328.8749612924</v>
      </c>
      <c r="BL76" s="779">
        <f>IFERROR(HLOOKUP(B76-1,'EV Forecast WRZ'!$F$124:$T$130,3,FALSE)/12,0)+IFERROR(((HLOOKUP(B76,'EV Forecast WRZ'!$F$116:$T$122,3,FALSE)-HLOOKUP(B76-1,'EV Forecast WRZ'!$F$124:$T$130,3,FALSE)))*C76/78,0)</f>
        <v>11191.227435897437</v>
      </c>
      <c r="BM76" s="779">
        <f ca="1">HLOOKUP(B76,Heating!$R$102:$AD$106,4,FALSE)*INDEX(Weather!$BO$1:$CB$20,MATCH(B76,Weather!$BO$1:$BO$20,0),MATCH(C76,Weather!$BO$1:$CB$1,0))/VLOOKUP(B76,Weather!$BO$2:$CB$20,14,FALSE)*
VLOOKUP('Monthly Data'!$B76,Weather!$BO$3:$CB$20,14,FALSE)/Weather!$CB$14</f>
        <v>48273.548659475258</v>
      </c>
      <c r="BN76" s="779">
        <f t="shared" ca="1" si="183"/>
        <v>7217864.0988659197</v>
      </c>
      <c r="BO76" s="779">
        <v>27056910.829999998</v>
      </c>
      <c r="BP76" s="779">
        <f ca="1">IFERROR(VLOOKUP($B76-1,CDM!$V$4:$AJ$17,13,FALSE)/12,0)+IFERROR(VLOOKUP($B76,CDM!$V$41:$AJ$54,13,FALSE)/24,0)+IFERROR(VLOOKUP($B76,CDM!$V$41:$AJ$54,13,FALSE)/2*$C76/78,0)</f>
        <v>2061241.1280341214</v>
      </c>
      <c r="BQ76" s="779">
        <f t="shared" ca="1" si="184"/>
        <v>29118151.958034121</v>
      </c>
      <c r="BR76" s="779">
        <f>IFERROR(HLOOKUP(B76-1,'EV Forecast WRZ'!$F$124:$T$130,4,FALSE)/12,0)+IFERROR(((HLOOKUP(B76,'EV Forecast WRZ'!$F$116:$T$122,4,FALSE)-HLOOKUP(B76-1,'EV Forecast WRZ'!$F$124:$T$130,4,FALSE)))*C76/78,0)</f>
        <v>5073.552346153846</v>
      </c>
      <c r="BS76" s="779">
        <f ca="1">HLOOKUP(B76,Heating!$R$102:$AD$106,5,FALSE)*INDEX(Weather!$BO$1:$CB$20,MATCH(B76,Weather!$BO$1:$BO$20,0),MATCH(C76,Weather!$BO$1:$CB$1,0))/VLOOKUP(B76,Weather!$BO$2:$CB$20,14,FALSE)*
VLOOKUP('Monthly Data'!$B76,Weather!$BO$3:$CB$20,14,FALSE)/Weather!$CB$14</f>
        <v>29563.305798847061</v>
      </c>
      <c r="BT76" s="779">
        <f t="shared" ca="1" si="185"/>
        <v>29083515.099889118</v>
      </c>
      <c r="BU76" s="779">
        <v>7485735.8799999999</v>
      </c>
      <c r="BV76" s="779">
        <f ca="1">IFERROR(VLOOKUP($B76-1,CDM!$V$4:$AJ$17,14,FALSE)/12,0)+IFERROR(VLOOKUP($B76,CDM!$V$41:$AJ$54,14,FALSE)/24,0)+IFERROR(VLOOKUP($B76,CDM!$V$41:$AJ$54,14,FALSE)/2*$C76/78,0)</f>
        <v>463426.20692239807</v>
      </c>
      <c r="BW76" s="779">
        <f t="shared" ca="1" si="186"/>
        <v>7949162.0869223978</v>
      </c>
      <c r="BX76" s="779">
        <f>IFERROR(HLOOKUP(B76-1,'EV Forecast WRZ'!$F$124:$T$130,5,FALSE)/12,0)+IFERROR(((HLOOKUP(B76,'EV Forecast WRZ'!$F$116:$T$122,5,FALSE)-HLOOKUP(B76-1,'EV Forecast WRZ'!$F$124:$T$130,5,FALSE)))*C76/78,0)</f>
        <v>709.56137179487189</v>
      </c>
      <c r="BY76" s="779">
        <f t="shared" ca="1" si="124"/>
        <v>7948452.5255506029</v>
      </c>
      <c r="BZ76" s="779">
        <v>300881.64</v>
      </c>
      <c r="CA76" s="779">
        <v>2264.8670895681648</v>
      </c>
      <c r="CB76" s="5">
        <v>174246.2</v>
      </c>
      <c r="CC76" s="5">
        <v>61229.64</v>
      </c>
      <c r="CD76" s="5">
        <v>12963.44</v>
      </c>
      <c r="CE76" s="5">
        <v>769.96</v>
      </c>
      <c r="CF76" s="763">
        <f t="shared" si="191"/>
        <v>5.916666666666667</v>
      </c>
      <c r="CG76" s="785">
        <v>42552.25</v>
      </c>
      <c r="CH76" s="785">
        <v>2311.75</v>
      </c>
      <c r="CI76" s="785">
        <v>388.25</v>
      </c>
      <c r="CJ76" s="785">
        <v>3</v>
      </c>
      <c r="CK76" s="785">
        <v>12902.750000000002</v>
      </c>
      <c r="CL76" s="785">
        <v>39.500000000000007</v>
      </c>
      <c r="CM76" s="785">
        <v>391.24999999999994</v>
      </c>
      <c r="CN76" s="46">
        <f>Weather!C88</f>
        <v>554.59637681159427</v>
      </c>
      <c r="CO76" s="46">
        <f>Weather!D88</f>
        <v>0</v>
      </c>
      <c r="CP76" s="46">
        <f>Weather!E88</f>
        <v>492.59637681159415</v>
      </c>
      <c r="CQ76" s="46">
        <f>Weather!F88</f>
        <v>0</v>
      </c>
      <c r="CR76" s="46">
        <f>Weather!G88</f>
        <v>430.59637681159427</v>
      </c>
      <c r="CS76" s="46">
        <f>Weather!H88</f>
        <v>0</v>
      </c>
      <c r="CT76" s="46">
        <f>Weather!I88</f>
        <v>368.59637681159427</v>
      </c>
      <c r="CU76" s="46">
        <f>Weather!J88</f>
        <v>0</v>
      </c>
      <c r="CV76" s="46">
        <f>Weather!K88</f>
        <v>306.89221014492756</v>
      </c>
      <c r="CW76" s="46">
        <f>Weather!L88</f>
        <v>0.29583333333332895</v>
      </c>
      <c r="CX76" s="46">
        <f>Weather!M88</f>
        <v>249.74637681159425</v>
      </c>
      <c r="CY76" s="46">
        <f>Weather!N88</f>
        <v>5.1499999999999932</v>
      </c>
      <c r="CZ76" s="46">
        <f>Weather!O88</f>
        <v>194.65054347826086</v>
      </c>
      <c r="DA76" s="46">
        <f>Weather!P88</f>
        <v>12.05416666666666</v>
      </c>
      <c r="DB76" s="368">
        <f>'Economic Data'!D90</f>
        <v>7237.4</v>
      </c>
      <c r="DC76" s="368">
        <f>'Economic Data'!E90</f>
        <v>7153.7</v>
      </c>
      <c r="DD76" s="368">
        <f>'Economic Data'!F90</f>
        <v>207.5</v>
      </c>
      <c r="DE76" s="368">
        <f>'Economic Data'!G90</f>
        <v>207.1</v>
      </c>
      <c r="DF76" s="368">
        <f>'Economic Data'!H90</f>
        <v>53</v>
      </c>
      <c r="DG76" s="368">
        <f>'Economic Data'!I90</f>
        <v>53</v>
      </c>
      <c r="DH76" s="368">
        <f>'Economic Data'!J90</f>
        <v>817265.5</v>
      </c>
      <c r="DI76" s="368">
        <f>'Economic Data'!K90</f>
        <v>634181.69999999995</v>
      </c>
      <c r="DJ76" s="368">
        <f>'Economic Data'!L90</f>
        <v>92312.5</v>
      </c>
      <c r="DK76" s="368">
        <f>'Economic Data'!M90</f>
        <v>25225.4</v>
      </c>
      <c r="DL76" s="368">
        <f>'Economic Data'!N90</f>
        <v>808584</v>
      </c>
      <c r="DM76" s="368">
        <f>'Economic Data'!O90</f>
        <v>91502</v>
      </c>
      <c r="DN76" s="368">
        <f>'Economic Data'!P90</f>
        <v>15844</v>
      </c>
      <c r="DO76" s="368">
        <f>'Economic Data'!Q90</f>
        <v>622695</v>
      </c>
      <c r="DP76" s="368">
        <f>'Economic Data'!R90</f>
        <v>23185</v>
      </c>
      <c r="DQ76">
        <v>31</v>
      </c>
      <c r="DR76">
        <v>23</v>
      </c>
      <c r="DS76">
        <v>0</v>
      </c>
      <c r="DT76">
        <v>0</v>
      </c>
      <c r="DU76">
        <v>1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1</v>
      </c>
      <c r="EF76">
        <v>0</v>
      </c>
      <c r="EG76">
        <v>1</v>
      </c>
      <c r="EH76">
        <f t="shared" si="189"/>
        <v>75</v>
      </c>
      <c r="EI76">
        <v>1</v>
      </c>
      <c r="EJ76">
        <v>0.5</v>
      </c>
      <c r="EK76">
        <v>0.75</v>
      </c>
      <c r="EL76">
        <v>0</v>
      </c>
      <c r="EM76" s="47">
        <f t="shared" si="125"/>
        <v>277.29818840579713</v>
      </c>
      <c r="EN76" s="47">
        <f t="shared" si="126"/>
        <v>0</v>
      </c>
      <c r="EO76" s="47">
        <f t="shared" si="127"/>
        <v>246.29818840579708</v>
      </c>
      <c r="EP76" s="47">
        <f t="shared" si="128"/>
        <v>0</v>
      </c>
      <c r="EQ76" s="47">
        <f t="shared" si="129"/>
        <v>215.29818840579713</v>
      </c>
      <c r="ER76" s="47">
        <f t="shared" si="130"/>
        <v>0</v>
      </c>
      <c r="ES76" s="47">
        <f t="shared" si="131"/>
        <v>184.29818840579713</v>
      </c>
      <c r="ET76" s="47">
        <f t="shared" si="132"/>
        <v>0</v>
      </c>
      <c r="EU76" s="47">
        <f t="shared" si="133"/>
        <v>153.44610507246378</v>
      </c>
      <c r="EV76" s="47">
        <f t="shared" si="134"/>
        <v>0.14791666666666448</v>
      </c>
      <c r="EW76" s="47">
        <f t="shared" si="135"/>
        <v>124.87318840579712</v>
      </c>
      <c r="EX76" s="47">
        <f t="shared" si="136"/>
        <v>2.5749999999999966</v>
      </c>
      <c r="EY76" s="47">
        <f t="shared" si="137"/>
        <v>97.325271739130429</v>
      </c>
      <c r="EZ76" s="47">
        <f t="shared" si="138"/>
        <v>6.02708333333333</v>
      </c>
      <c r="FA76" s="47">
        <f t="shared" si="139"/>
        <v>415.94728260869567</v>
      </c>
      <c r="FB76" s="47">
        <f t="shared" si="140"/>
        <v>0</v>
      </c>
      <c r="FC76" s="47">
        <f t="shared" si="141"/>
        <v>369.44728260869562</v>
      </c>
      <c r="FD76" s="47">
        <f t="shared" si="142"/>
        <v>0</v>
      </c>
      <c r="FE76" s="47">
        <f t="shared" si="143"/>
        <v>322.94728260869567</v>
      </c>
      <c r="FF76" s="47">
        <f t="shared" si="144"/>
        <v>0</v>
      </c>
      <c r="FG76" s="47">
        <f t="shared" si="145"/>
        <v>276.44728260869567</v>
      </c>
      <c r="FH76" s="47">
        <f t="shared" si="146"/>
        <v>0</v>
      </c>
      <c r="FI76" s="47">
        <f t="shared" si="147"/>
        <v>230.16915760869568</v>
      </c>
      <c r="FJ76" s="47">
        <f t="shared" si="148"/>
        <v>0.22187499999999671</v>
      </c>
      <c r="FK76" s="47">
        <f t="shared" si="149"/>
        <v>187.30978260869568</v>
      </c>
      <c r="FL76" s="47">
        <f t="shared" si="150"/>
        <v>3.8624999999999949</v>
      </c>
      <c r="FM76" s="47">
        <f t="shared" si="151"/>
        <v>145.98790760869565</v>
      </c>
      <c r="FN76" s="47">
        <f t="shared" si="152"/>
        <v>9.040624999999995</v>
      </c>
      <c r="FO76" s="765">
        <f t="shared" ca="1" si="153"/>
        <v>751.53943390131315</v>
      </c>
      <c r="FP76" s="765">
        <f t="shared" ca="1" si="154"/>
        <v>754.59106385983364</v>
      </c>
      <c r="FQ76" s="765">
        <f t="shared" ca="1" si="155"/>
        <v>2652.8717590315518</v>
      </c>
      <c r="FR76" s="765">
        <f t="shared" ca="1" si="156"/>
        <v>80190.06216898658</v>
      </c>
      <c r="FS76" s="765">
        <f t="shared" ca="1" si="157"/>
        <v>1679279.7519842484</v>
      </c>
      <c r="FT76" s="765">
        <f t="shared" ca="1" si="158"/>
        <v>6602260.7695282875</v>
      </c>
      <c r="FU76" s="765">
        <f t="shared" si="159"/>
        <v>31.924599753499987</v>
      </c>
      <c r="FV76" s="765">
        <f t="shared" si="160"/>
        <v>140.23816000000005</v>
      </c>
      <c r="FW76" s="765">
        <f t="shared" si="161"/>
        <v>498.00073680924135</v>
      </c>
      <c r="FX76" s="765">
        <f t="shared" ca="1" si="162"/>
        <v>727.14228451141605</v>
      </c>
      <c r="FY76" s="765">
        <f t="shared" ca="1" si="163"/>
        <v>3147.9739915480882</v>
      </c>
      <c r="FZ76" s="765">
        <f t="shared" ca="1" si="164"/>
        <v>74998.459647222466</v>
      </c>
      <c r="GA76" s="765">
        <f t="shared" si="165"/>
        <v>100293.88</v>
      </c>
      <c r="GB76" s="765">
        <f t="shared" si="166"/>
        <v>23.319186995020438</v>
      </c>
      <c r="GC76" s="765">
        <f t="shared" si="167"/>
        <v>57.338407330839608</v>
      </c>
      <c r="GD76" s="765">
        <f t="shared" si="168"/>
        <v>445.3576996805113</v>
      </c>
    </row>
    <row r="77" spans="1:186">
      <c r="A77" s="4">
        <v>44287</v>
      </c>
      <c r="B77" s="6">
        <v>2021</v>
      </c>
      <c r="C77" s="5">
        <v>4</v>
      </c>
      <c r="D77" s="7">
        <v>70735782.267010897</v>
      </c>
      <c r="E77" s="7">
        <f ca="1">IFERROR(VLOOKUP($B77-1,CDM!$V$4:$AJ$17,2,FALSE)/12,0)+IFERROR(VLOOKUP($B77,CDM!$V$41:$AJ$54,2,FALSE)/24,0)+IFERROR(VLOOKUP($B77,CDM!$V$41:$AJ$54,2,FALSE)/2*$C77/78,0)</f>
        <v>3841362.0419078027</v>
      </c>
      <c r="F77" s="7">
        <f t="shared" ca="1" si="169"/>
        <v>74577144.3089187</v>
      </c>
      <c r="G77" s="7">
        <f>IFERROR(HLOOKUP(B77-1,'EV Forecast VRZ'!$F$124:$T$130,2,FALSE)/12,0)+IFERROR(((HLOOKUP(B77,'EV Forecast VRZ'!$F$116:$T$122,2,FALSE)-HLOOKUP(B77-1,'EV Forecast VRZ'!$F$124:$T$130,2,FALSE)))*C77/78,0)</f>
        <v>296434.91160999809</v>
      </c>
      <c r="H77" s="7">
        <f ca="1">HLOOKUP(B77,Heating!$C$102:$O$106,2,FALSE)*INDEX(Weather!$BO$1:$CB$20,MATCH(B77,Weather!$BO$1:$BO$20,0),MATCH(C77,Weather!$BO$1:$CB$1,0))/VLOOKUP(B77,Weather!$BO$2:$CB$20,14,FALSE)*
VLOOKUP('Monthly Data'!$B77,Weather!$BO$3:$CB$20,14,FALSE)/Weather!$CB$14</f>
        <v>489694.28527500801</v>
      </c>
      <c r="I77" s="7">
        <f t="shared" ca="1" si="170"/>
        <v>73791015.112033695</v>
      </c>
      <c r="J77" s="7">
        <v>942966.76417000103</v>
      </c>
      <c r="K77" s="7">
        <f ca="1">IFERROR(VLOOKUP($B77-1,CDM!$V$4:$AJ$17,3,FALSE)/12,0)+IFERROR(VLOOKUP($B77,CDM!$V$41:$AJ$54,3,FALSE)/24,0)+IFERROR(VLOOKUP($B77,CDM!$V$41:$AJ$54,3,FALSE)/2*$C77/78,0)</f>
        <v>43998.206301479579</v>
      </c>
      <c r="L77" s="7">
        <f t="shared" ca="1" si="171"/>
        <v>986964.97047148063</v>
      </c>
      <c r="M77" s="7">
        <f>IFERROR(HLOOKUP(B77-1,'EV Forecast VRZ'!$F$124:$T$130,3,FALSE)/12,0)+IFERROR(((HLOOKUP(B77,'EV Forecast VRZ'!$F$116:$T$122,3,FALSE)-HLOOKUP(B77-1,'EV Forecast VRZ'!$F$124:$T$130,3,FALSE)))*C77/78,0)</f>
        <v>4032.8198002583026</v>
      </c>
      <c r="N77" s="7">
        <f ca="1">HLOOKUP(B77,Heating!$C$102:$O$106,3,FALSE)*INDEX(Weather!$BO$1:$CB$20,MATCH(B77,Weather!$BO$1:$BO$20,0),MATCH(C77,Weather!$BO$1:$CB$1,0))/VLOOKUP(B77,Weather!$BO$2:$CB$20,14,FALSE)*
VLOOKUP('Monthly Data'!$B77,Weather!$BO$3:$CB$20,14,FALSE)/Weather!$CB$14</f>
        <v>6123.7641763063739</v>
      </c>
      <c r="O77" s="7">
        <f t="shared" ca="1" si="172"/>
        <v>976808.38649491593</v>
      </c>
      <c r="P77" s="7">
        <v>19213989.0752699</v>
      </c>
      <c r="Q77" s="7">
        <f ca="1">IFERROR(VLOOKUP($B77-1,CDM!$V$4:$AJ$17,4,FALSE)/12,0)+IFERROR(VLOOKUP($B77,CDM!$V$41:$AJ$54,4,FALSE)/24,0)+IFERROR(VLOOKUP($B77,CDM!$V$41:$AJ$54,4,FALSE)/2*$C77/78,0)</f>
        <v>1399054.1135626982</v>
      </c>
      <c r="R77" s="7">
        <f t="shared" ca="1" si="173"/>
        <v>20613043.1888326</v>
      </c>
      <c r="S77" s="7">
        <f>IFERROR(HLOOKUP(B77-1,'EV Forecast VRZ'!$F$124:$T$130,4,FALSE)/12,0)+IFERROR(((HLOOKUP(B77,'EV Forecast VRZ'!$F$116:$T$122,4,FALSE)-HLOOKUP(B77-1,'EV Forecast VRZ'!$F$124:$T$130,4,FALSE)))*C77/78,0)</f>
        <v>36722.221794871795</v>
      </c>
      <c r="T77" s="7">
        <f ca="1">HLOOKUP(B77,Heating!$C$102:$O$106,4,FALSE)*INDEX(Weather!$BO$1:$CB$20,MATCH(B77,Weather!$BO$1:$BO$20,0),MATCH(C77,Weather!$BO$1:$CB$1,0))/VLOOKUP(B77,Weather!$BO$2:$CB$20,14,FALSE)*
VLOOKUP('Monthly Data'!$B77,Weather!$BO$3:$CB$20,14,FALSE)/Weather!$CB$14</f>
        <v>119945.44754797762</v>
      </c>
      <c r="U77" s="7">
        <f t="shared" ca="1" si="174"/>
        <v>20456375.51948975</v>
      </c>
      <c r="V77" s="7">
        <v>70156130.159999996</v>
      </c>
      <c r="W77" s="7">
        <f ca="1">IFERROR(VLOOKUP($B77-1,CDM!$V$4:$AJ$17,5,FALSE)/12,0)+IFERROR(VLOOKUP($B77,CDM!$V$41:$AJ$54,5,FALSE)/24,0)+IFERROR(VLOOKUP($B77,CDM!$V$41:$AJ$54,5,FALSE)/2*$C77/78,0)</f>
        <v>5235172.1817113617</v>
      </c>
      <c r="X77" s="7">
        <f t="shared" ca="1" si="175"/>
        <v>75391302.341711357</v>
      </c>
      <c r="Y77" s="7">
        <f>IFERROR(HLOOKUP(B77-1,'EV Forecast VRZ'!$F$124:$T$130,5,FALSE)/12,0)+IFERROR(((HLOOKUP(B77,'EV Forecast VRZ'!$F$116:$T$122,5,FALSE)-HLOOKUP(B77-1,'EV Forecast VRZ'!$F$124:$T$130,5,FALSE)))*C77/78,0)</f>
        <v>16636.153653846151</v>
      </c>
      <c r="Z77" s="7">
        <f ca="1">HLOOKUP(B77,Heating!$C$102:$O$106,5,FALSE)*INDEX(Weather!$BO$1:$CB$20,MATCH(B77,Weather!$BO$1:$BO$20,0),MATCH(C77,Weather!$BO$1:$CB$1,0))/VLOOKUP(B77,Weather!$BO$2:$CB$20,14,FALSE)*
VLOOKUP('Monthly Data'!$B77,Weather!$BO$3:$CB$20,14,FALSE)/Weather!$CB$14</f>
        <v>65044.111660045404</v>
      </c>
      <c r="AA77" s="7">
        <f t="shared" ca="1" si="176"/>
        <v>75309622.076397464</v>
      </c>
      <c r="AB77" s="7">
        <v>7889400.8799999999</v>
      </c>
      <c r="AC77" s="7">
        <f ca="1">IFERROR(VLOOKUP($B77-1,CDM!$V$4:$AJ$17,6,FALSE)/12,0)+IFERROR(VLOOKUP($B77,CDM!$V$41:$AJ$54,6,FALSE)/24,0)+IFERROR(VLOOKUP($B77,CDM!$V$41:$AJ$54,6,FALSE)/2*$C77/78,0)</f>
        <v>239949.46808662734</v>
      </c>
      <c r="AD77" s="7">
        <f t="shared" ca="1" si="177"/>
        <v>8129350.3480866272</v>
      </c>
      <c r="AE77" s="7">
        <f>IFERROR(HLOOKUP(B77-1,'EV Forecast VRZ'!$F$124:$T$130,6,FALSE)/12,0)+IFERROR(((HLOOKUP(B77,'EV Forecast VRZ'!$F$116:$T$122,6,FALSE)-HLOOKUP(B77-1,'EV Forecast VRZ'!$F$124:$T$130,6,FALSE)))*C77/78,0)</f>
        <v>2280.726474358974</v>
      </c>
      <c r="AF77" s="7">
        <f t="shared" ca="1" si="178"/>
        <v>8127069.6216122685</v>
      </c>
      <c r="AG77" s="7">
        <v>22718466.719999999</v>
      </c>
      <c r="AH77" s="7">
        <f ca="1">IFERROR(VLOOKUP($B77-1,CDM!$V$4:$AJ$17,7,FALSE)/12,0)+IFERROR(VLOOKUP($B77,CDM!$V$41:$AJ$54,7,FALSE)/24,0)+IFERROR(VLOOKUP($B77,CDM!$V$41:$AJ$54,7,FALSE)/2*$C77/78,0)</f>
        <v>1704957.9336905293</v>
      </c>
      <c r="AI77" s="7">
        <f t="shared" ca="1" si="179"/>
        <v>24423424.653690528</v>
      </c>
      <c r="AJ77" s="7">
        <f>IFERROR(HLOOKUP(B77-1,'EV Forecast VRZ'!$F$124:$T$130,7,FALSE)/12,0)+IFERROR(((HLOOKUP(B77,'EV Forecast VRZ'!$F$116:$T$122,7,FALSE)-HLOOKUP(B77-1,'EV Forecast VRZ'!$F$124:$T$130,7,FALSE)))*C77/78,0)</f>
        <v>0</v>
      </c>
      <c r="AK77" s="7">
        <f t="shared" ca="1" si="180"/>
        <v>24423424.653690528</v>
      </c>
      <c r="AL77" s="7">
        <v>851903.59</v>
      </c>
      <c r="AM77" s="7">
        <v>23109.839999999997</v>
      </c>
      <c r="AN77" s="7">
        <v>398739.49</v>
      </c>
      <c r="AO77" s="5">
        <v>171379.38</v>
      </c>
      <c r="AP77" s="5">
        <v>17697.169999999998</v>
      </c>
      <c r="AQ77" s="5">
        <v>39082</v>
      </c>
      <c r="AR77" s="5">
        <v>2580</v>
      </c>
      <c r="AS77" s="763">
        <f t="shared" si="190"/>
        <v>52.666666666666664</v>
      </c>
      <c r="AT77" s="776">
        <v>112900.33333333331</v>
      </c>
      <c r="AU77" s="776">
        <v>1559.666666666667</v>
      </c>
      <c r="AV77" s="776">
        <v>9303.6666666666642</v>
      </c>
      <c r="AW77" s="776">
        <v>1048.666666666667</v>
      </c>
      <c r="AX77" s="776">
        <v>5.3333333333333321</v>
      </c>
      <c r="AY77" s="776">
        <v>4</v>
      </c>
      <c r="AZ77" s="776">
        <v>31653.333333333328</v>
      </c>
      <c r="BA77" s="776">
        <v>249.66666666666663</v>
      </c>
      <c r="BB77" s="776">
        <v>801</v>
      </c>
      <c r="BC77" s="779">
        <v>26291734.234090202</v>
      </c>
      <c r="BD77" s="779">
        <f ca="1">IFERROR(VLOOKUP($B77-1,CDM!$V$4:$AJ$17,11,FALSE)/12,0)+IFERROR(VLOOKUP($B77,CDM!$V$41:$AJ$54,11,FALSE)/24,0)+IFERROR(VLOOKUP($B77,CDM!$V$41:$AJ$54,11,FALSE)/2*$C77/78,0)</f>
        <v>1740444.5975246662</v>
      </c>
      <c r="BE77" s="779">
        <f t="shared" ca="1" si="123"/>
        <v>28032178.831614867</v>
      </c>
      <c r="BF77" s="779">
        <f>IFERROR(HLOOKUP(B77-1,'EV Forecast WRZ'!$F$124:$T$130,2,FALSE)/12,0)+IFERROR(((HLOOKUP(B77,'EV Forecast WRZ'!$F$116:$T$122,2,FALSE)-HLOOKUP(B77-1,'EV Forecast WRZ'!$F$124:$T$130,2,FALSE)))*C77/78,0)</f>
        <v>94495.993717948717</v>
      </c>
      <c r="BG77" s="779">
        <f ca="1">HLOOKUP(B77,Heating!$R$102:$AD$106,2,FALSE)*INDEX(Weather!$BO$1:$CB$20,MATCH(B77,Weather!$BO$1:$BO$20,0),MATCH(C77,Weather!$BO$1:$CB$1,0))/VLOOKUP(B77,Weather!$BO$2:$CB$20,14,FALSE)*
VLOOKUP('Monthly Data'!$B77,Weather!$BO$3:$CB$20,14,FALSE)/Weather!$CB$14</f>
        <v>207520.2085952909</v>
      </c>
      <c r="BH77" s="779">
        <f t="shared" ca="1" si="181"/>
        <v>27730162.629301626</v>
      </c>
      <c r="BI77" s="779">
        <v>5883586.5475199902</v>
      </c>
      <c r="BJ77" s="779">
        <f ca="1">IFERROR(VLOOKUP($B77-1,CDM!$V$4:$AJ$17,12,FALSE)/12,0)+IFERROR(VLOOKUP($B77,CDM!$V$41:$AJ$54,12,FALSE)/24,0)+IFERROR(VLOOKUP($B77,CDM!$V$41:$AJ$54,12,FALSE)/2*$C77/78,0)</f>
        <v>229142.69247628999</v>
      </c>
      <c r="BK77" s="779">
        <f t="shared" ca="1" si="182"/>
        <v>6112729.2399962805</v>
      </c>
      <c r="BL77" s="779">
        <f>IFERROR(HLOOKUP(B77-1,'EV Forecast WRZ'!$F$124:$T$130,3,FALSE)/12,0)+IFERROR(((HLOOKUP(B77,'EV Forecast WRZ'!$F$116:$T$122,3,FALSE)-HLOOKUP(B77-1,'EV Forecast WRZ'!$F$124:$T$130,3,FALSE)))*C77/78,0)</f>
        <v>11580.411025641028</v>
      </c>
      <c r="BM77" s="779">
        <f ca="1">HLOOKUP(B77,Heating!$R$102:$AD$106,4,FALSE)*INDEX(Weather!$BO$1:$CB$20,MATCH(B77,Weather!$BO$1:$BO$20,0),MATCH(C77,Weather!$BO$1:$CB$1,0))/VLOOKUP(B77,Weather!$BO$2:$CB$20,14,FALSE)*
VLOOKUP('Monthly Data'!$B77,Weather!$BO$3:$CB$20,14,FALSE)/Weather!$CB$14</f>
        <v>31339.409805319443</v>
      </c>
      <c r="BN77" s="779">
        <f t="shared" ca="1" si="183"/>
        <v>6069809.4191653198</v>
      </c>
      <c r="BO77" s="779">
        <v>23520001.760000002</v>
      </c>
      <c r="BP77" s="779">
        <f ca="1">IFERROR(VLOOKUP($B77-1,CDM!$V$4:$AJ$17,13,FALSE)/12,0)+IFERROR(VLOOKUP($B77,CDM!$V$41:$AJ$54,13,FALSE)/24,0)+IFERROR(VLOOKUP($B77,CDM!$V$41:$AJ$54,13,FALSE)/2*$C77/78,0)</f>
        <v>2083960.2550490012</v>
      </c>
      <c r="BQ77" s="779">
        <f t="shared" ca="1" si="184"/>
        <v>25603962.015049003</v>
      </c>
      <c r="BR77" s="779">
        <f>IFERROR(HLOOKUP(B77-1,'EV Forecast WRZ'!$F$124:$T$130,4,FALSE)/12,0)+IFERROR(((HLOOKUP(B77,'EV Forecast WRZ'!$F$116:$T$122,4,FALSE)-HLOOKUP(B77-1,'EV Forecast WRZ'!$F$124:$T$130,4,FALSE)))*C77/78,0)</f>
        <v>5248.6849615384617</v>
      </c>
      <c r="BS77" s="779">
        <f ca="1">HLOOKUP(B77,Heating!$R$102:$AD$106,5,FALSE)*INDEX(Weather!$BO$1:$CB$20,MATCH(B77,Weather!$BO$1:$BO$20,0),MATCH(C77,Weather!$BO$1:$CB$1,0))/VLOOKUP(B77,Weather!$BO$2:$CB$20,14,FALSE)*
VLOOKUP('Monthly Data'!$B77,Weather!$BO$3:$CB$20,14,FALSE)/Weather!$CB$14</f>
        <v>19192.634089646308</v>
      </c>
      <c r="BT77" s="779">
        <f t="shared" ca="1" si="185"/>
        <v>25579520.695997819</v>
      </c>
      <c r="BU77" s="779">
        <v>7128823.6100000003</v>
      </c>
      <c r="BV77" s="779">
        <f ca="1">IFERROR(VLOOKUP($B77-1,CDM!$V$4:$AJ$17,14,FALSE)/12,0)+IFERROR(VLOOKUP($B77,CDM!$V$41:$AJ$54,14,FALSE)/24,0)+IFERROR(VLOOKUP($B77,CDM!$V$41:$AJ$54,14,FALSE)/2*$C77/78,0)</f>
        <v>468535.39451619214</v>
      </c>
      <c r="BW77" s="779">
        <f t="shared" ca="1" si="186"/>
        <v>7597359.0045161927</v>
      </c>
      <c r="BX77" s="779">
        <f>IFERROR(HLOOKUP(B77-1,'EV Forecast WRZ'!$F$124:$T$130,5,FALSE)/12,0)+IFERROR(((HLOOKUP(B77,'EV Forecast WRZ'!$F$116:$T$122,5,FALSE)-HLOOKUP(B77-1,'EV Forecast WRZ'!$F$124:$T$130,5,FALSE)))*C77/78,0)</f>
        <v>729.02055128205143</v>
      </c>
      <c r="BY77" s="779">
        <f t="shared" ca="1" si="124"/>
        <v>7596629.9839649107</v>
      </c>
      <c r="BZ77" s="779">
        <v>253535.43</v>
      </c>
      <c r="CA77" s="779">
        <v>1998.9210083236494</v>
      </c>
      <c r="CB77" s="5">
        <v>161499.64000000001</v>
      </c>
      <c r="CC77" s="5">
        <v>58308.79</v>
      </c>
      <c r="CD77" s="5">
        <v>12157.11</v>
      </c>
      <c r="CE77" s="5">
        <v>774.28</v>
      </c>
      <c r="CF77" s="763">
        <f t="shared" si="191"/>
        <v>5.916666666666667</v>
      </c>
      <c r="CG77" s="785">
        <v>42651</v>
      </c>
      <c r="CH77" s="785">
        <v>2316</v>
      </c>
      <c r="CI77" s="785">
        <v>389</v>
      </c>
      <c r="CJ77" s="785">
        <v>3</v>
      </c>
      <c r="CK77" s="785">
        <v>12937.333333333336</v>
      </c>
      <c r="CL77" s="785">
        <v>40.333333333333343</v>
      </c>
      <c r="CM77" s="785">
        <v>391.33333333333326</v>
      </c>
      <c r="CN77" s="46">
        <f>Weather!C89</f>
        <v>379.79583333333329</v>
      </c>
      <c r="CO77" s="46">
        <f>Weather!D89</f>
        <v>0</v>
      </c>
      <c r="CP77" s="46">
        <f>Weather!E89</f>
        <v>319.79583333333329</v>
      </c>
      <c r="CQ77" s="46">
        <f>Weather!F89</f>
        <v>0</v>
      </c>
      <c r="CR77" s="46">
        <f>Weather!G89</f>
        <v>260.00833333333338</v>
      </c>
      <c r="CS77" s="46">
        <f>Weather!H89</f>
        <v>0.21249999999999858</v>
      </c>
      <c r="CT77" s="46">
        <f>Weather!I89</f>
        <v>203.50416666666672</v>
      </c>
      <c r="CU77" s="46">
        <f>Weather!J89</f>
        <v>3.7083333333333339</v>
      </c>
      <c r="CV77" s="46">
        <f>Weather!K89</f>
        <v>150.85000000000002</v>
      </c>
      <c r="CW77" s="46">
        <f>Weather!L89</f>
        <v>11.054166666666664</v>
      </c>
      <c r="CX77" s="46">
        <f>Weather!M89</f>
        <v>102.15833333333332</v>
      </c>
      <c r="CY77" s="46">
        <f>Weather!N89</f>
        <v>22.362499999999997</v>
      </c>
      <c r="CZ77" s="46">
        <f>Weather!O89</f>
        <v>60.454166666666659</v>
      </c>
      <c r="DA77" s="46">
        <f>Weather!P89</f>
        <v>40.658333333333331</v>
      </c>
      <c r="DB77" s="368">
        <f>'Economic Data'!D91</f>
        <v>7276.1</v>
      </c>
      <c r="DC77" s="368">
        <f>'Economic Data'!E91</f>
        <v>7213.2</v>
      </c>
      <c r="DD77" s="368">
        <f>'Economic Data'!F91</f>
        <v>209.2</v>
      </c>
      <c r="DE77" s="368">
        <f>'Economic Data'!G91</f>
        <v>209.5</v>
      </c>
      <c r="DF77" s="368">
        <f>'Economic Data'!H91</f>
        <v>51</v>
      </c>
      <c r="DG77" s="368">
        <f>'Economic Data'!I91</f>
        <v>51</v>
      </c>
      <c r="DH77" s="368">
        <f>'Economic Data'!J91</f>
        <v>817265.5</v>
      </c>
      <c r="DI77" s="368">
        <f>'Economic Data'!K91</f>
        <v>634181.69999999995</v>
      </c>
      <c r="DJ77" s="368">
        <f>'Economic Data'!L91</f>
        <v>92312.5</v>
      </c>
      <c r="DK77" s="368">
        <f>'Economic Data'!M91</f>
        <v>25225.4</v>
      </c>
      <c r="DL77" s="368">
        <f>'Economic Data'!N91</f>
        <v>802518</v>
      </c>
      <c r="DM77" s="368">
        <f>'Economic Data'!O91</f>
        <v>89676</v>
      </c>
      <c r="DN77" s="368">
        <f>'Economic Data'!P91</f>
        <v>14052</v>
      </c>
      <c r="DO77" s="368">
        <f>'Economic Data'!Q91</f>
        <v>620093</v>
      </c>
      <c r="DP77" s="368">
        <f>'Economic Data'!R91</f>
        <v>24138</v>
      </c>
      <c r="DQ77">
        <v>30</v>
      </c>
      <c r="DR77">
        <v>21</v>
      </c>
      <c r="DS77">
        <v>0</v>
      </c>
      <c r="DT77">
        <v>0</v>
      </c>
      <c r="DU77">
        <v>0</v>
      </c>
      <c r="DV77">
        <v>1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1</v>
      </c>
      <c r="EF77">
        <v>0</v>
      </c>
      <c r="EG77">
        <v>1</v>
      </c>
      <c r="EH77">
        <f t="shared" si="189"/>
        <v>76</v>
      </c>
      <c r="EI77">
        <v>1</v>
      </c>
      <c r="EJ77">
        <v>0.5</v>
      </c>
      <c r="EK77">
        <v>0.75</v>
      </c>
      <c r="EL77">
        <v>0</v>
      </c>
      <c r="EM77" s="47">
        <f t="shared" si="125"/>
        <v>189.89791666666665</v>
      </c>
      <c r="EN77" s="47">
        <f t="shared" si="126"/>
        <v>0</v>
      </c>
      <c r="EO77" s="47">
        <f t="shared" si="127"/>
        <v>159.89791666666665</v>
      </c>
      <c r="EP77" s="47">
        <f t="shared" si="128"/>
        <v>0</v>
      </c>
      <c r="EQ77" s="47">
        <f t="shared" si="129"/>
        <v>130.00416666666669</v>
      </c>
      <c r="ER77" s="47">
        <f t="shared" si="130"/>
        <v>0.10624999999999929</v>
      </c>
      <c r="ES77" s="47">
        <f t="shared" si="131"/>
        <v>101.75208333333336</v>
      </c>
      <c r="ET77" s="47">
        <f t="shared" si="132"/>
        <v>1.854166666666667</v>
      </c>
      <c r="EU77" s="47">
        <f t="shared" si="133"/>
        <v>75.425000000000011</v>
      </c>
      <c r="EV77" s="47">
        <f t="shared" si="134"/>
        <v>5.5270833333333318</v>
      </c>
      <c r="EW77" s="47">
        <f t="shared" si="135"/>
        <v>51.079166666666659</v>
      </c>
      <c r="EX77" s="47">
        <f t="shared" si="136"/>
        <v>11.181249999999999</v>
      </c>
      <c r="EY77" s="47">
        <f t="shared" si="137"/>
        <v>30.227083333333329</v>
      </c>
      <c r="EZ77" s="47">
        <f t="shared" si="138"/>
        <v>20.329166666666666</v>
      </c>
      <c r="FA77" s="47">
        <f t="shared" si="139"/>
        <v>284.84687499999995</v>
      </c>
      <c r="FB77" s="47">
        <f t="shared" si="140"/>
        <v>0</v>
      </c>
      <c r="FC77" s="47">
        <f t="shared" si="141"/>
        <v>239.84687499999995</v>
      </c>
      <c r="FD77" s="47">
        <f t="shared" si="142"/>
        <v>0</v>
      </c>
      <c r="FE77" s="47">
        <f t="shared" si="143"/>
        <v>195.00625000000002</v>
      </c>
      <c r="FF77" s="47">
        <f t="shared" si="144"/>
        <v>0.15937499999999893</v>
      </c>
      <c r="FG77" s="47">
        <f t="shared" si="145"/>
        <v>152.62812500000004</v>
      </c>
      <c r="FH77" s="47">
        <f t="shared" si="146"/>
        <v>2.7812500000000004</v>
      </c>
      <c r="FI77" s="47">
        <f t="shared" si="147"/>
        <v>113.13750000000002</v>
      </c>
      <c r="FJ77" s="47">
        <f t="shared" si="148"/>
        <v>8.2906249999999986</v>
      </c>
      <c r="FK77" s="47">
        <f t="shared" si="149"/>
        <v>76.618749999999991</v>
      </c>
      <c r="FL77" s="47">
        <f t="shared" si="150"/>
        <v>16.771874999999998</v>
      </c>
      <c r="FM77" s="47">
        <f t="shared" si="151"/>
        <v>45.340624999999996</v>
      </c>
      <c r="FN77" s="47">
        <f t="shared" si="152"/>
        <v>30.493749999999999</v>
      </c>
      <c r="FO77" s="765">
        <f t="shared" ca="1" si="153"/>
        <v>653.59430688454165</v>
      </c>
      <c r="FP77" s="765">
        <f t="shared" ca="1" si="154"/>
        <v>632.80506762437301</v>
      </c>
      <c r="FQ77" s="765">
        <f t="shared" ca="1" si="155"/>
        <v>2215.5827296226512</v>
      </c>
      <c r="FR77" s="765">
        <f t="shared" ca="1" si="156"/>
        <v>71892.532430112522</v>
      </c>
      <c r="FS77" s="765">
        <f t="shared" ca="1" si="157"/>
        <v>1524253.1902662429</v>
      </c>
      <c r="FT77" s="765">
        <f t="shared" ca="1" si="158"/>
        <v>6105856.163422632</v>
      </c>
      <c r="FU77" s="765">
        <f t="shared" si="159"/>
        <v>26.913550652906491</v>
      </c>
      <c r="FV77" s="765">
        <f t="shared" si="160"/>
        <v>92.562777036048061</v>
      </c>
      <c r="FW77" s="765">
        <f t="shared" si="161"/>
        <v>497.80210986267167</v>
      </c>
      <c r="FX77" s="765">
        <f t="shared" ca="1" si="162"/>
        <v>657.24552370670949</v>
      </c>
      <c r="FY77" s="765">
        <f t="shared" ca="1" si="163"/>
        <v>2639.3476856633338</v>
      </c>
      <c r="FZ77" s="765">
        <f t="shared" ca="1" si="164"/>
        <v>65819.953766192804</v>
      </c>
      <c r="GA77" s="765">
        <f t="shared" si="165"/>
        <v>84511.81</v>
      </c>
      <c r="GB77" s="765">
        <f t="shared" si="166"/>
        <v>19.597193909100273</v>
      </c>
      <c r="GC77" s="765">
        <f t="shared" si="167"/>
        <v>49.560024999759889</v>
      </c>
      <c r="GD77" s="765">
        <f t="shared" si="168"/>
        <v>412.69073253833062</v>
      </c>
    </row>
    <row r="78" spans="1:186">
      <c r="A78" s="4">
        <v>44317</v>
      </c>
      <c r="B78" s="6">
        <v>2021</v>
      </c>
      <c r="C78" s="5">
        <v>5</v>
      </c>
      <c r="D78" s="7">
        <v>74465208.395140395</v>
      </c>
      <c r="E78" s="7">
        <f ca="1">IFERROR(VLOOKUP($B78-1,CDM!$V$4:$AJ$17,2,FALSE)/12,0)+IFERROR(VLOOKUP($B78,CDM!$V$41:$AJ$54,2,FALSE)/24,0)+IFERROR(VLOOKUP($B78,CDM!$V$41:$AJ$54,2,FALSE)/2*$C78/78,0)</f>
        <v>3842301.735876319</v>
      </c>
      <c r="F78" s="7">
        <f t="shared" ca="1" si="169"/>
        <v>78307510.131016716</v>
      </c>
      <c r="G78" s="7">
        <f>IFERROR(HLOOKUP(B78-1,'EV Forecast VRZ'!$F$124:$T$130,2,FALSE)/12,0)+IFERROR(((HLOOKUP(B78,'EV Forecast VRZ'!$F$116:$T$122,2,FALSE)-HLOOKUP(B78-1,'EV Forecast VRZ'!$F$124:$T$130,2,FALSE)))*C78/78,0)</f>
        <v>305840.77785726712</v>
      </c>
      <c r="H78" s="7">
        <f ca="1">HLOOKUP(B78,Heating!$C$102:$O$106,2,FALSE)*INDEX(Weather!$BO$1:$CB$20,MATCH(B78,Weather!$BO$1:$BO$20,0),MATCH(C78,Weather!$BO$1:$CB$1,0))/VLOOKUP(B78,Weather!$BO$2:$CB$20,14,FALSE)*
VLOOKUP('Monthly Data'!$B78,Weather!$BO$3:$CB$20,14,FALSE)/Weather!$CB$14</f>
        <v>265894.68379537872</v>
      </c>
      <c r="I78" s="7">
        <f t="shared" ca="1" si="170"/>
        <v>77735774.669364065</v>
      </c>
      <c r="J78" s="7">
        <v>958485.37114000099</v>
      </c>
      <c r="K78" s="7">
        <f ca="1">IFERROR(VLOOKUP($B78-1,CDM!$V$4:$AJ$17,3,FALSE)/12,0)+IFERROR(VLOOKUP($B78,CDM!$V$41:$AJ$54,3,FALSE)/24,0)+IFERROR(VLOOKUP($B78,CDM!$V$41:$AJ$54,3,FALSE)/2*$C78/78,0)</f>
        <v>44008.969371618761</v>
      </c>
      <c r="L78" s="7">
        <f t="shared" ca="1" si="171"/>
        <v>1002494.3405116198</v>
      </c>
      <c r="M78" s="7">
        <f>IFERROR(HLOOKUP(B78-1,'EV Forecast VRZ'!$F$124:$T$130,3,FALSE)/12,0)+IFERROR(((HLOOKUP(B78,'EV Forecast VRZ'!$F$116:$T$122,3,FALSE)-HLOOKUP(B78-1,'EV Forecast VRZ'!$F$124:$T$130,3,FALSE)))*C78/78,0)</f>
        <v>4160.7809888866959</v>
      </c>
      <c r="N78" s="7">
        <f ca="1">HLOOKUP(B78,Heating!$C$102:$O$106,3,FALSE)*INDEX(Weather!$BO$1:$CB$20,MATCH(B78,Weather!$BO$1:$BO$20,0),MATCH(C78,Weather!$BO$1:$CB$1,0))/VLOOKUP(B78,Weather!$BO$2:$CB$20,14,FALSE)*
VLOOKUP('Monthly Data'!$B78,Weather!$BO$3:$CB$20,14,FALSE)/Weather!$CB$14</f>
        <v>3325.0874846987958</v>
      </c>
      <c r="O78" s="7">
        <f t="shared" ca="1" si="172"/>
        <v>995008.47203803435</v>
      </c>
      <c r="P78" s="7">
        <v>19176936.350449998</v>
      </c>
      <c r="Q78" s="7">
        <f ca="1">IFERROR(VLOOKUP($B78-1,CDM!$V$4:$AJ$17,4,FALSE)/12,0)+IFERROR(VLOOKUP($B78,CDM!$V$41:$AJ$54,4,FALSE)/24,0)+IFERROR(VLOOKUP($B78,CDM!$V$41:$AJ$54,4,FALSE)/2*$C78/78,0)</f>
        <v>1403656.0213313461</v>
      </c>
      <c r="R78" s="7">
        <f t="shared" ca="1" si="173"/>
        <v>20580592.371781345</v>
      </c>
      <c r="S78" s="7">
        <f>IFERROR(HLOOKUP(B78-1,'EV Forecast VRZ'!$F$124:$T$130,4,FALSE)/12,0)+IFERROR(((HLOOKUP(B78,'EV Forecast VRZ'!$F$116:$T$122,4,FALSE)-HLOOKUP(B78-1,'EV Forecast VRZ'!$F$124:$T$130,4,FALSE)))*C78/78,0)</f>
        <v>37862.853076923078</v>
      </c>
      <c r="T78" s="7">
        <f ca="1">HLOOKUP(B78,Heating!$C$102:$O$106,4,FALSE)*INDEX(Weather!$BO$1:$CB$20,MATCH(B78,Weather!$BO$1:$BO$20,0),MATCH(C78,Weather!$BO$1:$CB$1,0))/VLOOKUP(B78,Weather!$BO$2:$CB$20,14,FALSE)*
VLOOKUP('Monthly Data'!$B78,Weather!$BO$3:$CB$20,14,FALSE)/Weather!$CB$14</f>
        <v>65128.096870793459</v>
      </c>
      <c r="U78" s="7">
        <f t="shared" ca="1" si="174"/>
        <v>20477601.421833627</v>
      </c>
      <c r="V78" s="7">
        <v>72494498.370000005</v>
      </c>
      <c r="W78" s="7">
        <f ca="1">IFERROR(VLOOKUP($B78-1,CDM!$V$4:$AJ$17,5,FALSE)/12,0)+IFERROR(VLOOKUP($B78,CDM!$V$41:$AJ$54,5,FALSE)/24,0)+IFERROR(VLOOKUP($B78,CDM!$V$41:$AJ$54,5,FALSE)/2*$C78/78,0)</f>
        <v>5272306.5769515084</v>
      </c>
      <c r="X78" s="7">
        <f t="shared" ca="1" si="175"/>
        <v>77766804.946951509</v>
      </c>
      <c r="Y78" s="7">
        <f>IFERROR(HLOOKUP(B78-1,'EV Forecast VRZ'!$F$124:$T$130,5,FALSE)/12,0)+IFERROR(((HLOOKUP(B78,'EV Forecast VRZ'!$F$116:$T$122,5,FALSE)-HLOOKUP(B78-1,'EV Forecast VRZ'!$F$124:$T$130,5,FALSE)))*C78/78,0)</f>
        <v>17150.976192307691</v>
      </c>
      <c r="Z78" s="7">
        <f ca="1">HLOOKUP(B78,Heating!$C$102:$O$106,5,FALSE)*INDEX(Weather!$BO$1:$CB$20,MATCH(B78,Weather!$BO$1:$BO$20,0),MATCH(C78,Weather!$BO$1:$CB$1,0))/VLOOKUP(B78,Weather!$BO$2:$CB$20,14,FALSE)*
VLOOKUP('Monthly Data'!$B78,Weather!$BO$3:$CB$20,14,FALSE)/Weather!$CB$14</f>
        <v>35317.715608803606</v>
      </c>
      <c r="AA78" s="7">
        <f t="shared" ca="1" si="176"/>
        <v>77714336.255150393</v>
      </c>
      <c r="AB78" s="7">
        <v>8506310.4499999993</v>
      </c>
      <c r="AC78" s="7">
        <f ca="1">IFERROR(VLOOKUP($B78-1,CDM!$V$4:$AJ$17,6,FALSE)/12,0)+IFERROR(VLOOKUP($B78,CDM!$V$41:$AJ$54,6,FALSE)/24,0)+IFERROR(VLOOKUP($B78,CDM!$V$41:$AJ$54,6,FALSE)/2*$C78/78,0)</f>
        <v>241146.97825595248</v>
      </c>
      <c r="AD78" s="7">
        <f t="shared" ca="1" si="177"/>
        <v>8747457.428255951</v>
      </c>
      <c r="AE78" s="7">
        <f>IFERROR(HLOOKUP(B78-1,'EV Forecast VRZ'!$F$124:$T$130,6,FALSE)/12,0)+IFERROR(((HLOOKUP(B78,'EV Forecast VRZ'!$F$116:$T$122,6,FALSE)-HLOOKUP(B78-1,'EV Forecast VRZ'!$F$124:$T$130,6,FALSE)))*C78/78,0)</f>
        <v>2343.9118846153842</v>
      </c>
      <c r="AF78" s="7">
        <f t="shared" ca="1" si="178"/>
        <v>8745113.5163713358</v>
      </c>
      <c r="AG78" s="7">
        <v>25678242.699999999</v>
      </c>
      <c r="AH78" s="7">
        <f ca="1">IFERROR(VLOOKUP($B78-1,CDM!$V$4:$AJ$17,7,FALSE)/12,0)+IFERROR(VLOOKUP($B78,CDM!$V$41:$AJ$54,7,FALSE)/24,0)+IFERROR(VLOOKUP($B78,CDM!$V$41:$AJ$54,7,FALSE)/2*$C78/78,0)</f>
        <v>1712303.9492679106</v>
      </c>
      <c r="AI78" s="7">
        <f t="shared" ca="1" si="179"/>
        <v>27390546.649267908</v>
      </c>
      <c r="AJ78" s="7">
        <f>IFERROR(HLOOKUP(B78-1,'EV Forecast VRZ'!$F$124:$T$130,7,FALSE)/12,0)+IFERROR(((HLOOKUP(B78,'EV Forecast VRZ'!$F$116:$T$122,7,FALSE)-HLOOKUP(B78-1,'EV Forecast VRZ'!$F$124:$T$130,7,FALSE)))*C78/78,0)</f>
        <v>0</v>
      </c>
      <c r="AK78" s="7">
        <f t="shared" ca="1" si="180"/>
        <v>27390546.649267908</v>
      </c>
      <c r="AL78" s="7">
        <v>775209.33</v>
      </c>
      <c r="AM78" s="7">
        <v>17877.600000000002</v>
      </c>
      <c r="AN78" s="7">
        <v>398249.99</v>
      </c>
      <c r="AO78" s="5">
        <v>179883.01</v>
      </c>
      <c r="AP78" s="5">
        <v>17886.47</v>
      </c>
      <c r="AQ78" s="5">
        <v>40104</v>
      </c>
      <c r="AR78" s="5">
        <v>2579.19</v>
      </c>
      <c r="AS78" s="763">
        <f t="shared" si="190"/>
        <v>52.666666666666664</v>
      </c>
      <c r="AT78" s="776">
        <v>112963.91666666664</v>
      </c>
      <c r="AU78" s="776">
        <v>1559.3333333333337</v>
      </c>
      <c r="AV78" s="776">
        <v>9308.0833333333303</v>
      </c>
      <c r="AW78" s="776">
        <v>1050.0833333333337</v>
      </c>
      <c r="AX78" s="776">
        <v>5.4166666666666652</v>
      </c>
      <c r="AY78" s="776">
        <v>4</v>
      </c>
      <c r="AZ78" s="776">
        <v>31663.666666666661</v>
      </c>
      <c r="BA78" s="776">
        <v>249.33333333333329</v>
      </c>
      <c r="BB78" s="776">
        <v>801.25</v>
      </c>
      <c r="BC78" s="779">
        <v>29692691.126080099</v>
      </c>
      <c r="BD78" s="779">
        <f ca="1">IFERROR(VLOOKUP($B78-1,CDM!$V$4:$AJ$17,11,FALSE)/12,0)+IFERROR(VLOOKUP($B78,CDM!$V$41:$AJ$54,11,FALSE)/24,0)+IFERROR(VLOOKUP($B78,CDM!$V$41:$AJ$54,11,FALSE)/2*$C78/78,0)</f>
        <v>1723349.7201683261</v>
      </c>
      <c r="BE78" s="779">
        <f t="shared" ca="1" si="123"/>
        <v>31416040.846248426</v>
      </c>
      <c r="BF78" s="779">
        <f>IFERROR(HLOOKUP(B78-1,'EV Forecast WRZ'!$F$124:$T$130,2,FALSE)/12,0)+IFERROR(((HLOOKUP(B78,'EV Forecast WRZ'!$F$116:$T$122,2,FALSE)-HLOOKUP(B78-1,'EV Forecast WRZ'!$F$124:$T$130,2,FALSE)))*C78/78,0)</f>
        <v>97804.054230769238</v>
      </c>
      <c r="BG78" s="779">
        <f ca="1">HLOOKUP(B78,Heating!$R$102:$AD$106,2,FALSE)*INDEX(Weather!$BO$1:$CB$20,MATCH(B78,Weather!$BO$1:$BO$20,0),MATCH(C78,Weather!$BO$1:$CB$1,0))/VLOOKUP(B78,Weather!$BO$2:$CB$20,14,FALSE)*
VLOOKUP('Monthly Data'!$B78,Weather!$BO$3:$CB$20,14,FALSE)/Weather!$CB$14</f>
        <v>112679.52660425295</v>
      </c>
      <c r="BH78" s="779">
        <f t="shared" ca="1" si="181"/>
        <v>31205557.265413404</v>
      </c>
      <c r="BI78" s="779">
        <v>5942993.7124399999</v>
      </c>
      <c r="BJ78" s="779">
        <f ca="1">IFERROR(VLOOKUP($B78-1,CDM!$V$4:$AJ$17,12,FALSE)/12,0)+IFERROR(VLOOKUP($B78,CDM!$V$41:$AJ$54,12,FALSE)/24,0)+IFERROR(VLOOKUP($B78,CDM!$V$41:$AJ$54,12,FALSE)/2*$C78/78,0)</f>
        <v>230251.8313812874</v>
      </c>
      <c r="BK78" s="779">
        <f t="shared" ca="1" si="182"/>
        <v>6173245.5438212873</v>
      </c>
      <c r="BL78" s="779">
        <f>IFERROR(HLOOKUP(B78-1,'EV Forecast WRZ'!$F$124:$T$130,3,FALSE)/12,0)+IFERROR(((HLOOKUP(B78,'EV Forecast WRZ'!$F$116:$T$122,3,FALSE)-HLOOKUP(B78-1,'EV Forecast WRZ'!$F$124:$T$130,3,FALSE)))*C78/78,0)</f>
        <v>11969.594615384616</v>
      </c>
      <c r="BM78" s="779">
        <f ca="1">HLOOKUP(B78,Heating!$R$102:$AD$106,4,FALSE)*INDEX(Weather!$BO$1:$CB$20,MATCH(B78,Weather!$BO$1:$BO$20,0),MATCH(C78,Weather!$BO$1:$CB$1,0))/VLOOKUP(B78,Weather!$BO$2:$CB$20,14,FALSE)*
VLOOKUP('Monthly Data'!$B78,Weather!$BO$3:$CB$20,14,FALSE)/Weather!$CB$14</f>
        <v>17016.703504798865</v>
      </c>
      <c r="BN78" s="779">
        <f t="shared" ca="1" si="183"/>
        <v>6144259.2457011035</v>
      </c>
      <c r="BO78" s="779">
        <v>23634492.940000001</v>
      </c>
      <c r="BP78" s="779">
        <f ca="1">IFERROR(VLOOKUP($B78-1,CDM!$V$4:$AJ$17,13,FALSE)/12,0)+IFERROR(VLOOKUP($B78,CDM!$V$41:$AJ$54,13,FALSE)/24,0)+IFERROR(VLOOKUP($B78,CDM!$V$41:$AJ$54,13,FALSE)/2*$C78/78,0)</f>
        <v>2106679.382063881</v>
      </c>
      <c r="BQ78" s="779">
        <f t="shared" ca="1" si="184"/>
        <v>25741172.322063882</v>
      </c>
      <c r="BR78" s="779">
        <f>IFERROR(HLOOKUP(B78-1,'EV Forecast WRZ'!$F$124:$T$130,4,FALSE)/12,0)+IFERROR(((HLOOKUP(B78,'EV Forecast WRZ'!$F$116:$T$122,4,FALSE)-HLOOKUP(B78-1,'EV Forecast WRZ'!$F$124:$T$130,4,FALSE)))*C78/78,0)</f>
        <v>5423.8175769230775</v>
      </c>
      <c r="BS78" s="779">
        <f ca="1">HLOOKUP(B78,Heating!$R$102:$AD$106,5,FALSE)*INDEX(Weather!$BO$1:$CB$20,MATCH(B78,Weather!$BO$1:$BO$20,0),MATCH(C78,Weather!$BO$1:$CB$1,0))/VLOOKUP(B78,Weather!$BO$2:$CB$20,14,FALSE)*
VLOOKUP('Monthly Data'!$B78,Weather!$BO$3:$CB$20,14,FALSE)/Weather!$CB$14</f>
        <v>10421.235301124636</v>
      </c>
      <c r="BT78" s="779">
        <f t="shared" ca="1" si="185"/>
        <v>25725327.269185834</v>
      </c>
      <c r="BU78" s="779">
        <v>7389496.8899999997</v>
      </c>
      <c r="BV78" s="779">
        <f ca="1">IFERROR(VLOOKUP($B78-1,CDM!$V$4:$AJ$17,14,FALSE)/12,0)+IFERROR(VLOOKUP($B78,CDM!$V$41:$AJ$54,14,FALSE)/24,0)+IFERROR(VLOOKUP($B78,CDM!$V$41:$AJ$54,14,FALSE)/2*$C78/78,0)</f>
        <v>473644.58210998622</v>
      </c>
      <c r="BW78" s="779">
        <f t="shared" ca="1" si="186"/>
        <v>7863141.4721099855</v>
      </c>
      <c r="BX78" s="779">
        <f>IFERROR(HLOOKUP(B78-1,'EV Forecast WRZ'!$F$124:$T$130,5,FALSE)/12,0)+IFERROR(((HLOOKUP(B78,'EV Forecast WRZ'!$F$116:$T$122,5,FALSE)-HLOOKUP(B78-1,'EV Forecast WRZ'!$F$124:$T$130,5,FALSE)))*C78/78,0)</f>
        <v>748.47973076923086</v>
      </c>
      <c r="BY78" s="779">
        <f t="shared" ca="1" si="124"/>
        <v>7862392.9923792165</v>
      </c>
      <c r="BZ78" s="779">
        <v>202145.28</v>
      </c>
      <c r="CA78" s="779">
        <v>2108.4238943299565</v>
      </c>
      <c r="CB78" s="5">
        <v>161499.66</v>
      </c>
      <c r="CC78" s="5">
        <v>61553.89</v>
      </c>
      <c r="CD78" s="5">
        <v>11768.5</v>
      </c>
      <c r="CE78" s="5">
        <v>781.93</v>
      </c>
      <c r="CF78" s="763">
        <f t="shared" si="191"/>
        <v>5.916666666666667</v>
      </c>
      <c r="CG78" s="785">
        <v>42749.75</v>
      </c>
      <c r="CH78" s="785">
        <v>2320.25</v>
      </c>
      <c r="CI78" s="785">
        <v>389.75</v>
      </c>
      <c r="CJ78" s="785">
        <v>3</v>
      </c>
      <c r="CK78" s="785">
        <v>12971.91666666667</v>
      </c>
      <c r="CL78" s="785">
        <v>41.166666666666679</v>
      </c>
      <c r="CM78" s="785">
        <v>391.41666666666657</v>
      </c>
      <c r="CN78" s="46">
        <f>Weather!C90</f>
        <v>221.92222222222222</v>
      </c>
      <c r="CO78" s="46">
        <f>Weather!D90</f>
        <v>6.4541666666666622</v>
      </c>
      <c r="CP78" s="46">
        <f>Weather!E90</f>
        <v>173.64305555555555</v>
      </c>
      <c r="CQ78" s="46">
        <f>Weather!F90</f>
        <v>20.174999999999997</v>
      </c>
      <c r="CR78" s="46">
        <f>Weather!G90</f>
        <v>127.04305555555555</v>
      </c>
      <c r="CS78" s="46">
        <f>Weather!H90</f>
        <v>35.574999999999996</v>
      </c>
      <c r="CT78" s="46">
        <f>Weather!I90</f>
        <v>83.376388888888897</v>
      </c>
      <c r="CU78" s="46">
        <f>Weather!J90</f>
        <v>53.908333333333317</v>
      </c>
      <c r="CV78" s="46">
        <f>Weather!K90</f>
        <v>50.724999999999987</v>
      </c>
      <c r="CW78" s="46">
        <f>Weather!L90</f>
        <v>83.256944444444414</v>
      </c>
      <c r="CX78" s="46">
        <f>Weather!M90</f>
        <v>25.983333333333327</v>
      </c>
      <c r="CY78" s="46">
        <f>Weather!N90</f>
        <v>120.51527777777777</v>
      </c>
      <c r="CZ78" s="46">
        <f>Weather!O90</f>
        <v>8.125</v>
      </c>
      <c r="DA78" s="46">
        <f>Weather!P90</f>
        <v>164.65694444444446</v>
      </c>
      <c r="DB78" s="368">
        <f>'Economic Data'!D92</f>
        <v>7265.7</v>
      </c>
      <c r="DC78" s="368">
        <f>'Economic Data'!E92</f>
        <v>7247.3</v>
      </c>
      <c r="DD78" s="368">
        <f>'Economic Data'!F92</f>
        <v>207.8</v>
      </c>
      <c r="DE78" s="368">
        <f>'Economic Data'!G92</f>
        <v>209.3</v>
      </c>
      <c r="DF78" s="368">
        <f>'Economic Data'!H92</f>
        <v>49.5</v>
      </c>
      <c r="DG78" s="368">
        <f>'Economic Data'!I92</f>
        <v>49.5</v>
      </c>
      <c r="DH78" s="368">
        <f>'Economic Data'!J92</f>
        <v>817265.5</v>
      </c>
      <c r="DI78" s="368">
        <f>'Economic Data'!K92</f>
        <v>634181.69999999995</v>
      </c>
      <c r="DJ78" s="368">
        <f>'Economic Data'!L92</f>
        <v>92312.5</v>
      </c>
      <c r="DK78" s="368">
        <f>'Economic Data'!M92</f>
        <v>25225.4</v>
      </c>
      <c r="DL78" s="368">
        <f>'Economic Data'!N92</f>
        <v>802518</v>
      </c>
      <c r="DM78" s="368">
        <f>'Economic Data'!O92</f>
        <v>89676</v>
      </c>
      <c r="DN78" s="368">
        <f>'Economic Data'!P92</f>
        <v>14052</v>
      </c>
      <c r="DO78" s="368">
        <f>'Economic Data'!Q92</f>
        <v>620093</v>
      </c>
      <c r="DP78" s="368">
        <f>'Economic Data'!R92</f>
        <v>24138</v>
      </c>
      <c r="DQ78">
        <v>31</v>
      </c>
      <c r="DR78">
        <v>20</v>
      </c>
      <c r="DS78">
        <v>0</v>
      </c>
      <c r="DT78">
        <v>0</v>
      </c>
      <c r="DU78">
        <v>0</v>
      </c>
      <c r="DV78">
        <v>0</v>
      </c>
      <c r="DW78">
        <v>1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1</v>
      </c>
      <c r="EF78">
        <v>0</v>
      </c>
      <c r="EG78">
        <v>1</v>
      </c>
      <c r="EH78">
        <f t="shared" si="189"/>
        <v>77</v>
      </c>
      <c r="EI78">
        <v>1</v>
      </c>
      <c r="EJ78">
        <v>0.5</v>
      </c>
      <c r="EK78">
        <v>0.75</v>
      </c>
      <c r="EL78">
        <v>0</v>
      </c>
      <c r="EM78" s="47">
        <f t="shared" si="125"/>
        <v>110.96111111111111</v>
      </c>
      <c r="EN78" s="47">
        <f t="shared" si="126"/>
        <v>3.2270833333333311</v>
      </c>
      <c r="EO78" s="47">
        <f t="shared" si="127"/>
        <v>86.821527777777774</v>
      </c>
      <c r="EP78" s="47">
        <f t="shared" si="128"/>
        <v>10.087499999999999</v>
      </c>
      <c r="EQ78" s="47">
        <f t="shared" si="129"/>
        <v>63.521527777777777</v>
      </c>
      <c r="ER78" s="47">
        <f t="shared" si="130"/>
        <v>17.787499999999998</v>
      </c>
      <c r="ES78" s="47">
        <f t="shared" si="131"/>
        <v>41.688194444444449</v>
      </c>
      <c r="ET78" s="47">
        <f t="shared" si="132"/>
        <v>26.954166666666659</v>
      </c>
      <c r="EU78" s="47">
        <f t="shared" si="133"/>
        <v>25.362499999999994</v>
      </c>
      <c r="EV78" s="47">
        <f t="shared" si="134"/>
        <v>41.628472222222207</v>
      </c>
      <c r="EW78" s="47">
        <f t="shared" si="135"/>
        <v>12.991666666666664</v>
      </c>
      <c r="EX78" s="47">
        <f t="shared" si="136"/>
        <v>60.257638888888884</v>
      </c>
      <c r="EY78" s="47">
        <f t="shared" si="137"/>
        <v>4.0625</v>
      </c>
      <c r="EZ78" s="47">
        <f t="shared" si="138"/>
        <v>82.328472222222231</v>
      </c>
      <c r="FA78" s="47">
        <f t="shared" si="139"/>
        <v>166.44166666666666</v>
      </c>
      <c r="FB78" s="47">
        <f t="shared" si="140"/>
        <v>4.8406249999999966</v>
      </c>
      <c r="FC78" s="47">
        <f t="shared" si="141"/>
        <v>130.23229166666667</v>
      </c>
      <c r="FD78" s="47">
        <f t="shared" si="142"/>
        <v>15.131249999999998</v>
      </c>
      <c r="FE78" s="47">
        <f t="shared" si="143"/>
        <v>95.282291666666666</v>
      </c>
      <c r="FF78" s="47">
        <f t="shared" si="144"/>
        <v>26.681249999999999</v>
      </c>
      <c r="FG78" s="47">
        <f t="shared" si="145"/>
        <v>62.532291666666673</v>
      </c>
      <c r="FH78" s="47">
        <f t="shared" si="146"/>
        <v>40.431249999999991</v>
      </c>
      <c r="FI78" s="47">
        <f t="shared" si="147"/>
        <v>38.043749999999989</v>
      </c>
      <c r="FJ78" s="47">
        <f t="shared" si="148"/>
        <v>62.442708333333314</v>
      </c>
      <c r="FK78" s="47">
        <f t="shared" si="149"/>
        <v>19.487499999999997</v>
      </c>
      <c r="FL78" s="47">
        <f t="shared" si="150"/>
        <v>90.386458333333323</v>
      </c>
      <c r="FM78" s="47">
        <f t="shared" si="151"/>
        <v>6.09375</v>
      </c>
      <c r="FN78" s="47">
        <f t="shared" si="152"/>
        <v>123.49270833333335</v>
      </c>
      <c r="FO78" s="765">
        <f t="shared" ca="1" si="153"/>
        <v>688.14694960291081</v>
      </c>
      <c r="FP78" s="765">
        <f t="shared" ca="1" si="154"/>
        <v>642.89932055041868</v>
      </c>
      <c r="FQ78" s="765">
        <f t="shared" ca="1" si="155"/>
        <v>2211.0451351547154</v>
      </c>
      <c r="FR78" s="765">
        <f t="shared" ca="1" si="156"/>
        <v>74057.746160099821</v>
      </c>
      <c r="FS78" s="765">
        <f t="shared" ca="1" si="157"/>
        <v>1614915.217524176</v>
      </c>
      <c r="FT78" s="765">
        <f t="shared" ca="1" si="158"/>
        <v>6847636.662316977</v>
      </c>
      <c r="FU78" s="765">
        <f t="shared" si="159"/>
        <v>24.482614037119308</v>
      </c>
      <c r="FV78" s="765">
        <f t="shared" si="160"/>
        <v>71.701604278074882</v>
      </c>
      <c r="FW78" s="765">
        <f t="shared" si="161"/>
        <v>497.0358689547582</v>
      </c>
      <c r="FX78" s="765">
        <f t="shared" ca="1" si="162"/>
        <v>734.88244600841938</v>
      </c>
      <c r="FY78" s="765">
        <f t="shared" ca="1" si="163"/>
        <v>2660.594997875784</v>
      </c>
      <c r="FZ78" s="765">
        <f t="shared" ca="1" si="164"/>
        <v>66045.342712158774</v>
      </c>
      <c r="GA78" s="765">
        <f t="shared" si="165"/>
        <v>67381.759999999995</v>
      </c>
      <c r="GB78" s="765">
        <f t="shared" si="166"/>
        <v>15.583300848628122</v>
      </c>
      <c r="GC78" s="765">
        <f t="shared" si="167"/>
        <v>51.21677476105156</v>
      </c>
      <c r="GD78" s="765">
        <f t="shared" si="168"/>
        <v>412.60292101341292</v>
      </c>
    </row>
    <row r="79" spans="1:186">
      <c r="A79" s="4">
        <v>44348</v>
      </c>
      <c r="B79" s="6">
        <v>2021</v>
      </c>
      <c r="C79" s="5">
        <v>6</v>
      </c>
      <c r="D79" s="7">
        <v>92271395.157950997</v>
      </c>
      <c r="E79" s="7">
        <f ca="1">IFERROR(VLOOKUP($B79-1,CDM!$V$4:$AJ$17,2,FALSE)/12,0)+IFERROR(VLOOKUP($B79,CDM!$V$41:$AJ$54,2,FALSE)/24,0)+IFERROR(VLOOKUP($B79,CDM!$V$41:$AJ$54,2,FALSE)/2*$C79/78,0)</f>
        <v>3843241.4298448353</v>
      </c>
      <c r="F79" s="7">
        <f t="shared" ca="1" si="169"/>
        <v>96114636.587795839</v>
      </c>
      <c r="G79" s="7">
        <f>IFERROR(HLOOKUP(B79-1,'EV Forecast VRZ'!$F$124:$T$130,2,FALSE)/12,0)+IFERROR(((HLOOKUP(B79,'EV Forecast VRZ'!$F$116:$T$122,2,FALSE)-HLOOKUP(B79-1,'EV Forecast VRZ'!$F$124:$T$130,2,FALSE)))*C79/78,0)</f>
        <v>315246.64410453616</v>
      </c>
      <c r="H79" s="7">
        <f ca="1">HLOOKUP(B79,Heating!$C$102:$O$106,2,FALSE)*INDEX(Weather!$BO$1:$CB$20,MATCH(B79,Weather!$BO$1:$BO$20,0),MATCH(C79,Weather!$BO$1:$CB$1,0))/VLOOKUP(B79,Weather!$BO$2:$CB$20,14,FALSE)*
VLOOKUP('Monthly Data'!$B79,Weather!$BO$3:$CB$20,14,FALSE)/Weather!$CB$14</f>
        <v>21827.00095016096</v>
      </c>
      <c r="I79" s="7">
        <f t="shared" ca="1" si="170"/>
        <v>95777562.942741141</v>
      </c>
      <c r="J79" s="7">
        <v>830236.44765999995</v>
      </c>
      <c r="K79" s="7">
        <f ca="1">IFERROR(VLOOKUP($B79-1,CDM!$V$4:$AJ$17,3,FALSE)/12,0)+IFERROR(VLOOKUP($B79,CDM!$V$41:$AJ$54,3,FALSE)/24,0)+IFERROR(VLOOKUP($B79,CDM!$V$41:$AJ$54,3,FALSE)/2*$C79/78,0)</f>
        <v>44019.732441757944</v>
      </c>
      <c r="L79" s="7">
        <f t="shared" ca="1" si="171"/>
        <v>874256.18010175787</v>
      </c>
      <c r="M79" s="7">
        <f>IFERROR(HLOOKUP(B79-1,'EV Forecast VRZ'!$F$124:$T$130,3,FALSE)/12,0)+IFERROR(((HLOOKUP(B79,'EV Forecast VRZ'!$F$116:$T$122,3,FALSE)-HLOOKUP(B79-1,'EV Forecast VRZ'!$F$124:$T$130,3,FALSE)))*C79/78,0)</f>
        <v>4288.7421775150879</v>
      </c>
      <c r="N79" s="7">
        <f ca="1">HLOOKUP(B79,Heating!$C$102:$O$106,3,FALSE)*INDEX(Weather!$BO$1:$CB$20,MATCH(B79,Weather!$BO$1:$BO$20,0),MATCH(C79,Weather!$BO$1:$CB$1,0))/VLOOKUP(B79,Weather!$BO$2:$CB$20,14,FALSE)*
VLOOKUP('Monthly Data'!$B79,Weather!$BO$3:$CB$20,14,FALSE)/Weather!$CB$14</f>
        <v>272.95275953595552</v>
      </c>
      <c r="O79" s="7">
        <f t="shared" ca="1" si="172"/>
        <v>869694.48516470683</v>
      </c>
      <c r="P79" s="7">
        <v>21463708.979539998</v>
      </c>
      <c r="Q79" s="7">
        <f ca="1">IFERROR(VLOOKUP($B79-1,CDM!$V$4:$AJ$17,4,FALSE)/12,0)+IFERROR(VLOOKUP($B79,CDM!$V$41:$AJ$54,4,FALSE)/24,0)+IFERROR(VLOOKUP($B79,CDM!$V$41:$AJ$54,4,FALSE)/2*$C79/78,0)</f>
        <v>1408257.9290999938</v>
      </c>
      <c r="R79" s="7">
        <f t="shared" ca="1" si="173"/>
        <v>22871966.90863999</v>
      </c>
      <c r="S79" s="7">
        <f>IFERROR(HLOOKUP(B79-1,'EV Forecast VRZ'!$F$124:$T$130,4,FALSE)/12,0)+IFERROR(((HLOOKUP(B79,'EV Forecast VRZ'!$F$116:$T$122,4,FALSE)-HLOOKUP(B79-1,'EV Forecast VRZ'!$F$124:$T$130,4,FALSE)))*C79/78,0)</f>
        <v>39003.484358974361</v>
      </c>
      <c r="T79" s="7">
        <f ca="1">HLOOKUP(B79,Heating!$C$102:$O$106,4,FALSE)*INDEX(Weather!$BO$1:$CB$20,MATCH(B79,Weather!$BO$1:$BO$20,0),MATCH(C79,Weather!$BO$1:$CB$1,0))/VLOOKUP(B79,Weather!$BO$2:$CB$20,14,FALSE)*
VLOOKUP('Monthly Data'!$B79,Weather!$BO$3:$CB$20,14,FALSE)/Weather!$CB$14</f>
        <v>5346.2935474668975</v>
      </c>
      <c r="U79" s="7">
        <f t="shared" ca="1" si="174"/>
        <v>22827617.13073355</v>
      </c>
      <c r="V79" s="7">
        <v>77749930.209999993</v>
      </c>
      <c r="W79" s="7">
        <f ca="1">IFERROR(VLOOKUP($B79-1,CDM!$V$4:$AJ$17,5,FALSE)/12,0)+IFERROR(VLOOKUP($B79,CDM!$V$41:$AJ$54,5,FALSE)/24,0)+IFERROR(VLOOKUP($B79,CDM!$V$41:$AJ$54,5,FALSE)/2*$C79/78,0)</f>
        <v>5309440.9721916551</v>
      </c>
      <c r="X79" s="7">
        <f t="shared" ca="1" si="175"/>
        <v>83059371.182191655</v>
      </c>
      <c r="Y79" s="7">
        <f>IFERROR(HLOOKUP(B79-1,'EV Forecast VRZ'!$F$124:$T$130,5,FALSE)/12,0)+IFERROR(((HLOOKUP(B79,'EV Forecast VRZ'!$F$116:$T$122,5,FALSE)-HLOOKUP(B79-1,'EV Forecast VRZ'!$F$124:$T$130,5,FALSE)))*C79/78,0)</f>
        <v>17665.798730769231</v>
      </c>
      <c r="Z79" s="7">
        <f ca="1">HLOOKUP(B79,Heating!$C$102:$O$106,5,FALSE)*INDEX(Weather!$BO$1:$CB$20,MATCH(B79,Weather!$BO$1:$BO$20,0),MATCH(C79,Weather!$BO$1:$CB$1,0))/VLOOKUP(B79,Weather!$BO$2:$CB$20,14,FALSE)*
VLOOKUP('Monthly Data'!$B79,Weather!$BO$3:$CB$20,14,FALSE)/Weather!$CB$14</f>
        <v>2899.1922709673559</v>
      </c>
      <c r="AA79" s="7">
        <f t="shared" ca="1" si="176"/>
        <v>83038806.191189915</v>
      </c>
      <c r="AB79" s="7">
        <v>8363421.8700000001</v>
      </c>
      <c r="AC79" s="7">
        <f ca="1">IFERROR(VLOOKUP($B79-1,CDM!$V$4:$AJ$17,6,FALSE)/12,0)+IFERROR(VLOOKUP($B79,CDM!$V$41:$AJ$54,6,FALSE)/24,0)+IFERROR(VLOOKUP($B79,CDM!$V$41:$AJ$54,6,FALSE)/2*$C79/78,0)</f>
        <v>242344.48842527761</v>
      </c>
      <c r="AD79" s="7">
        <f t="shared" ca="1" si="177"/>
        <v>8605766.3584252782</v>
      </c>
      <c r="AE79" s="7">
        <f>IFERROR(HLOOKUP(B79-1,'EV Forecast VRZ'!$F$124:$T$130,6,FALSE)/12,0)+IFERROR(((HLOOKUP(B79,'EV Forecast VRZ'!$F$116:$T$122,6,FALSE)-HLOOKUP(B79-1,'EV Forecast VRZ'!$F$124:$T$130,6,FALSE)))*C79/78,0)</f>
        <v>2407.0972948717945</v>
      </c>
      <c r="AF79" s="7">
        <f t="shared" ca="1" si="178"/>
        <v>8603359.2611304056</v>
      </c>
      <c r="AG79" s="7">
        <v>24949691.079999998</v>
      </c>
      <c r="AH79" s="7">
        <f ca="1">IFERROR(VLOOKUP($B79-1,CDM!$V$4:$AJ$17,7,FALSE)/12,0)+IFERROR(VLOOKUP($B79,CDM!$V$41:$AJ$54,7,FALSE)/24,0)+IFERROR(VLOOKUP($B79,CDM!$V$41:$AJ$54,7,FALSE)/2*$C79/78,0)</f>
        <v>1719649.9648452918</v>
      </c>
      <c r="AI79" s="7">
        <f t="shared" ca="1" si="179"/>
        <v>26669341.04484529</v>
      </c>
      <c r="AJ79" s="7">
        <f>IFERROR(HLOOKUP(B79-1,'EV Forecast VRZ'!$F$124:$T$130,7,FALSE)/12,0)+IFERROR(((HLOOKUP(B79,'EV Forecast VRZ'!$F$116:$T$122,7,FALSE)-HLOOKUP(B79-1,'EV Forecast VRZ'!$F$124:$T$130,7,FALSE)))*C79/78,0)</f>
        <v>0</v>
      </c>
      <c r="AK79" s="7">
        <f t="shared" ca="1" si="180"/>
        <v>26669341.04484529</v>
      </c>
      <c r="AL79" s="7">
        <v>696172.79</v>
      </c>
      <c r="AM79" s="7">
        <v>19866.180000000004</v>
      </c>
      <c r="AN79" s="7">
        <v>398757.31</v>
      </c>
      <c r="AO79" s="5">
        <v>192401.16</v>
      </c>
      <c r="AP79" s="5">
        <v>18458.09</v>
      </c>
      <c r="AQ79" s="5">
        <v>47757</v>
      </c>
      <c r="AR79" s="5">
        <v>2579.34</v>
      </c>
      <c r="AS79" s="763">
        <f t="shared" si="190"/>
        <v>52.666666666666664</v>
      </c>
      <c r="AT79" s="776">
        <v>113027.49999999997</v>
      </c>
      <c r="AU79" s="776">
        <v>1559.0000000000005</v>
      </c>
      <c r="AV79" s="776">
        <v>9312.4999999999964</v>
      </c>
      <c r="AW79" s="776">
        <v>1051.5000000000005</v>
      </c>
      <c r="AX79" s="776">
        <v>5.4999999999999982</v>
      </c>
      <c r="AY79" s="776">
        <v>4</v>
      </c>
      <c r="AZ79" s="776">
        <v>31673.999999999993</v>
      </c>
      <c r="BA79" s="776">
        <v>248.99999999999994</v>
      </c>
      <c r="BB79" s="776">
        <v>801.5</v>
      </c>
      <c r="BC79" s="779">
        <v>38756138.051790103</v>
      </c>
      <c r="BD79" s="779">
        <f ca="1">IFERROR(VLOOKUP($B79-1,CDM!$V$4:$AJ$17,11,FALSE)/12,0)+IFERROR(VLOOKUP($B79,CDM!$V$41:$AJ$54,11,FALSE)/24,0)+IFERROR(VLOOKUP($B79,CDM!$V$41:$AJ$54,11,FALSE)/2*$C79/78,0)</f>
        <v>1706254.8428119861</v>
      </c>
      <c r="BE79" s="779">
        <f t="shared" ca="1" si="123"/>
        <v>40462392.89460209</v>
      </c>
      <c r="BF79" s="779">
        <f>IFERROR(HLOOKUP(B79-1,'EV Forecast WRZ'!$F$124:$T$130,2,FALSE)/12,0)+IFERROR(((HLOOKUP(B79,'EV Forecast WRZ'!$F$116:$T$122,2,FALSE)-HLOOKUP(B79-1,'EV Forecast WRZ'!$F$124:$T$130,2,FALSE)))*C79/78,0)</f>
        <v>101112.11474358974</v>
      </c>
      <c r="BG79" s="779">
        <f ca="1">HLOOKUP(B79,Heating!$R$102:$AD$106,2,FALSE)*INDEX(Weather!$BO$1:$CB$20,MATCH(B79,Weather!$BO$1:$BO$20,0),MATCH(C79,Weather!$BO$1:$CB$1,0))/VLOOKUP(B79,Weather!$BO$2:$CB$20,14,FALSE)*
VLOOKUP('Monthly Data'!$B79,Weather!$BO$3:$CB$20,14,FALSE)/Weather!$CB$14</f>
        <v>9249.7379005418916</v>
      </c>
      <c r="BH79" s="779">
        <f t="shared" ca="1" si="181"/>
        <v>40352031.04195796</v>
      </c>
      <c r="BI79" s="779">
        <v>6747594.3442200096</v>
      </c>
      <c r="BJ79" s="779">
        <f ca="1">IFERROR(VLOOKUP($B79-1,CDM!$V$4:$AJ$17,12,FALSE)/12,0)+IFERROR(VLOOKUP($B79,CDM!$V$41:$AJ$54,12,FALSE)/24,0)+IFERROR(VLOOKUP($B79,CDM!$V$41:$AJ$54,12,FALSE)/2*$C79/78,0)</f>
        <v>231360.97028628478</v>
      </c>
      <c r="BK79" s="779">
        <f t="shared" ca="1" si="182"/>
        <v>6978955.3145062942</v>
      </c>
      <c r="BL79" s="779">
        <f>IFERROR(HLOOKUP(B79-1,'EV Forecast WRZ'!$F$124:$T$130,3,FALSE)/12,0)+IFERROR(((HLOOKUP(B79,'EV Forecast WRZ'!$F$116:$T$122,3,FALSE)-HLOOKUP(B79-1,'EV Forecast WRZ'!$F$124:$T$130,3,FALSE)))*C79/78,0)</f>
        <v>12358.778205128207</v>
      </c>
      <c r="BM79" s="779">
        <f ca="1">HLOOKUP(B79,Heating!$R$102:$AD$106,4,FALSE)*INDEX(Weather!$BO$1:$CB$20,MATCH(B79,Weather!$BO$1:$BO$20,0),MATCH(C79,Weather!$BO$1:$CB$1,0))/VLOOKUP(B79,Weather!$BO$2:$CB$20,14,FALSE)*
VLOOKUP('Monthly Data'!$B79,Weather!$BO$3:$CB$20,14,FALSE)/Weather!$CB$14</f>
        <v>1396.8823981967389</v>
      </c>
      <c r="BN79" s="779">
        <f t="shared" ca="1" si="183"/>
        <v>6965199.6539029693</v>
      </c>
      <c r="BO79" s="779">
        <v>26196543.41</v>
      </c>
      <c r="BP79" s="779">
        <f ca="1">IFERROR(VLOOKUP($B79-1,CDM!$V$4:$AJ$17,13,FALSE)/12,0)+IFERROR(VLOOKUP($B79,CDM!$V$41:$AJ$54,13,FALSE)/24,0)+IFERROR(VLOOKUP($B79,CDM!$V$41:$AJ$54,13,FALSE)/2*$C79/78,0)</f>
        <v>2129398.5090787606</v>
      </c>
      <c r="BQ79" s="779">
        <f t="shared" ca="1" si="184"/>
        <v>28325941.91907876</v>
      </c>
      <c r="BR79" s="779">
        <f>IFERROR(HLOOKUP(B79-1,'EV Forecast WRZ'!$F$124:$T$130,4,FALSE)/12,0)+IFERROR(((HLOOKUP(B79,'EV Forecast WRZ'!$F$116:$T$122,4,FALSE)-HLOOKUP(B79-1,'EV Forecast WRZ'!$F$124:$T$130,4,FALSE)))*C79/78,0)</f>
        <v>5598.9501923076932</v>
      </c>
      <c r="BS79" s="779">
        <f ca="1">HLOOKUP(B79,Heating!$R$102:$AD$106,5,FALSE)*INDEX(Weather!$BO$1:$CB$20,MATCH(B79,Weather!$BO$1:$BO$20,0),MATCH(C79,Weather!$BO$1:$CB$1,0))/VLOOKUP(B79,Weather!$BO$2:$CB$20,14,FALSE)*
VLOOKUP('Monthly Data'!$B79,Weather!$BO$3:$CB$20,14,FALSE)/Weather!$CB$14</f>
        <v>855.46769710727006</v>
      </c>
      <c r="BT79" s="779">
        <f t="shared" ca="1" si="185"/>
        <v>28319487.501189347</v>
      </c>
      <c r="BU79" s="779">
        <v>7193270.29</v>
      </c>
      <c r="BV79" s="779">
        <f ca="1">IFERROR(VLOOKUP($B79-1,CDM!$V$4:$AJ$17,14,FALSE)/12,0)+IFERROR(VLOOKUP($B79,CDM!$V$41:$AJ$54,14,FALSE)/24,0)+IFERROR(VLOOKUP($B79,CDM!$V$41:$AJ$54,14,FALSE)/2*$C79/78,0)</f>
        <v>478753.7697037803</v>
      </c>
      <c r="BW79" s="779">
        <f t="shared" ca="1" si="186"/>
        <v>7672024.0597037803</v>
      </c>
      <c r="BX79" s="779">
        <f>IFERROR(HLOOKUP(B79-1,'EV Forecast WRZ'!$F$124:$T$130,5,FALSE)/12,0)+IFERROR(((HLOOKUP(B79,'EV Forecast WRZ'!$F$116:$T$122,5,FALSE)-HLOOKUP(B79-1,'EV Forecast WRZ'!$F$124:$T$130,5,FALSE)))*C79/78,0)</f>
        <v>767.9389102564104</v>
      </c>
      <c r="BY79" s="779">
        <f t="shared" ca="1" si="124"/>
        <v>7671256.1207935242</v>
      </c>
      <c r="BZ79" s="779">
        <v>162938.89000000001</v>
      </c>
      <c r="CA79" s="779">
        <v>2379.747871659275</v>
      </c>
      <c r="CB79" s="5">
        <v>161499.64000000001</v>
      </c>
      <c r="CC79" s="5">
        <v>67486.210000000006</v>
      </c>
      <c r="CD79" s="5">
        <v>11520.36</v>
      </c>
      <c r="CE79" s="5">
        <v>781.93</v>
      </c>
      <c r="CF79" s="763">
        <f t="shared" si="191"/>
        <v>5.916666666666667</v>
      </c>
      <c r="CG79" s="785">
        <v>42848.5</v>
      </c>
      <c r="CH79" s="785">
        <v>2324.5</v>
      </c>
      <c r="CI79" s="785">
        <v>390.5</v>
      </c>
      <c r="CJ79" s="785">
        <v>3</v>
      </c>
      <c r="CK79" s="785">
        <v>13006.500000000004</v>
      </c>
      <c r="CL79" s="785">
        <v>42.000000000000014</v>
      </c>
      <c r="CM79" s="785">
        <v>391.49999999999989</v>
      </c>
      <c r="CN79" s="46">
        <f>Weather!C91</f>
        <v>36.066666666666677</v>
      </c>
      <c r="CO79" s="46">
        <f>Weather!D91</f>
        <v>37.74166666666666</v>
      </c>
      <c r="CP79" s="46">
        <f>Weather!E91</f>
        <v>14.254166666666677</v>
      </c>
      <c r="CQ79" s="46">
        <f>Weather!F91</f>
        <v>75.92916666666666</v>
      </c>
      <c r="CR79" s="46">
        <f>Weather!G91</f>
        <v>3.2708333333333357</v>
      </c>
      <c r="CS79" s="46">
        <f>Weather!H91</f>
        <v>124.94583333333331</v>
      </c>
      <c r="CT79" s="46">
        <f>Weather!I91</f>
        <v>0</v>
      </c>
      <c r="CU79" s="46">
        <f>Weather!J91</f>
        <v>181.67499999999995</v>
      </c>
      <c r="CV79" s="46">
        <f>Weather!K91</f>
        <v>0</v>
      </c>
      <c r="CW79" s="46">
        <f>Weather!L91</f>
        <v>241.67500000000001</v>
      </c>
      <c r="CX79" s="46">
        <f>Weather!M91</f>
        <v>0</v>
      </c>
      <c r="CY79" s="46">
        <f>Weather!N91</f>
        <v>301.67500000000001</v>
      </c>
      <c r="CZ79" s="46">
        <f>Weather!O91</f>
        <v>0</v>
      </c>
      <c r="DA79" s="46">
        <f>Weather!P91</f>
        <v>361.67500000000001</v>
      </c>
      <c r="DB79" s="368">
        <f>'Economic Data'!D93</f>
        <v>7250</v>
      </c>
      <c r="DC79" s="368">
        <f>'Economic Data'!E93</f>
        <v>7295.8</v>
      </c>
      <c r="DD79" s="368">
        <f>'Economic Data'!F93</f>
        <v>208</v>
      </c>
      <c r="DE79" s="368">
        <f>'Economic Data'!G93</f>
        <v>210.4</v>
      </c>
      <c r="DF79" s="368">
        <f>'Economic Data'!H93</f>
        <v>45.3</v>
      </c>
      <c r="DG79" s="368">
        <f>'Economic Data'!I93</f>
        <v>45.3</v>
      </c>
      <c r="DH79" s="368">
        <f>'Economic Data'!J93</f>
        <v>817265.5</v>
      </c>
      <c r="DI79" s="368">
        <f>'Economic Data'!K93</f>
        <v>634181.69999999995</v>
      </c>
      <c r="DJ79" s="368">
        <f>'Economic Data'!L93</f>
        <v>92312.5</v>
      </c>
      <c r="DK79" s="368">
        <f>'Economic Data'!M93</f>
        <v>25225.4</v>
      </c>
      <c r="DL79" s="368">
        <f>'Economic Data'!N93</f>
        <v>802518</v>
      </c>
      <c r="DM79" s="368">
        <f>'Economic Data'!O93</f>
        <v>89676</v>
      </c>
      <c r="DN79" s="368">
        <f>'Economic Data'!P93</f>
        <v>14052</v>
      </c>
      <c r="DO79" s="368">
        <f>'Economic Data'!Q93</f>
        <v>620093</v>
      </c>
      <c r="DP79" s="368">
        <f>'Economic Data'!R93</f>
        <v>24138</v>
      </c>
      <c r="DQ79">
        <v>30</v>
      </c>
      <c r="DR79">
        <v>22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f t="shared" si="189"/>
        <v>78</v>
      </c>
      <c r="EI79">
        <v>1</v>
      </c>
      <c r="EJ79">
        <v>0.5</v>
      </c>
      <c r="EK79">
        <v>0.75</v>
      </c>
      <c r="EL79">
        <v>0</v>
      </c>
      <c r="EM79" s="47">
        <f t="shared" si="125"/>
        <v>18.033333333333339</v>
      </c>
      <c r="EN79" s="47">
        <f t="shared" si="126"/>
        <v>18.87083333333333</v>
      </c>
      <c r="EO79" s="47">
        <f t="shared" si="127"/>
        <v>7.1270833333333385</v>
      </c>
      <c r="EP79" s="47">
        <f t="shared" si="128"/>
        <v>37.96458333333333</v>
      </c>
      <c r="EQ79" s="47">
        <f t="shared" si="129"/>
        <v>1.6354166666666679</v>
      </c>
      <c r="ER79" s="47">
        <f t="shared" si="130"/>
        <v>62.472916666666656</v>
      </c>
      <c r="ES79" s="47">
        <f t="shared" si="131"/>
        <v>0</v>
      </c>
      <c r="ET79" s="47">
        <f t="shared" si="132"/>
        <v>90.837499999999977</v>
      </c>
      <c r="EU79" s="47">
        <f t="shared" si="133"/>
        <v>0</v>
      </c>
      <c r="EV79" s="47">
        <f t="shared" si="134"/>
        <v>120.83750000000001</v>
      </c>
      <c r="EW79" s="47">
        <f t="shared" si="135"/>
        <v>0</v>
      </c>
      <c r="EX79" s="47">
        <f t="shared" si="136"/>
        <v>150.83750000000001</v>
      </c>
      <c r="EY79" s="47">
        <f t="shared" si="137"/>
        <v>0</v>
      </c>
      <c r="EZ79" s="47">
        <f t="shared" si="138"/>
        <v>180.83750000000001</v>
      </c>
      <c r="FA79" s="47">
        <f t="shared" si="139"/>
        <v>27.050000000000008</v>
      </c>
      <c r="FB79" s="47">
        <f t="shared" si="140"/>
        <v>28.306249999999995</v>
      </c>
      <c r="FC79" s="47">
        <f t="shared" si="141"/>
        <v>10.690625000000008</v>
      </c>
      <c r="FD79" s="47">
        <f t="shared" si="142"/>
        <v>56.946874999999991</v>
      </c>
      <c r="FE79" s="47">
        <f t="shared" si="143"/>
        <v>2.4531250000000018</v>
      </c>
      <c r="FF79" s="47">
        <f t="shared" si="144"/>
        <v>93.70937499999998</v>
      </c>
      <c r="FG79" s="47">
        <f t="shared" si="145"/>
        <v>0</v>
      </c>
      <c r="FH79" s="47">
        <f t="shared" si="146"/>
        <v>136.25624999999997</v>
      </c>
      <c r="FI79" s="47">
        <f t="shared" si="147"/>
        <v>0</v>
      </c>
      <c r="FJ79" s="47">
        <f t="shared" si="148"/>
        <v>181.25625000000002</v>
      </c>
      <c r="FK79" s="47">
        <f t="shared" si="149"/>
        <v>0</v>
      </c>
      <c r="FL79" s="47">
        <f t="shared" si="150"/>
        <v>226.25625000000002</v>
      </c>
      <c r="FM79" s="47">
        <f t="shared" si="151"/>
        <v>0</v>
      </c>
      <c r="FN79" s="47">
        <f t="shared" si="152"/>
        <v>271.25625000000002</v>
      </c>
      <c r="FO79" s="765">
        <f t="shared" ca="1" si="153"/>
        <v>847.38283110518387</v>
      </c>
      <c r="FP79" s="765">
        <f t="shared" ca="1" si="154"/>
        <v>560.78010269516199</v>
      </c>
      <c r="FQ79" s="765">
        <f t="shared" ca="1" si="155"/>
        <v>2456.050137840537</v>
      </c>
      <c r="FR79" s="765">
        <f t="shared" ca="1" si="156"/>
        <v>78991.318290244046</v>
      </c>
      <c r="FS79" s="765">
        <f t="shared" ca="1" si="157"/>
        <v>1564684.7924409602</v>
      </c>
      <c r="FT79" s="765">
        <f t="shared" ca="1" si="158"/>
        <v>6667335.2612113226</v>
      </c>
      <c r="FU79" s="765">
        <f t="shared" si="159"/>
        <v>21.97931394834881</v>
      </c>
      <c r="FV79" s="765">
        <f t="shared" si="160"/>
        <v>79.783855421686781</v>
      </c>
      <c r="FW79" s="765">
        <f t="shared" si="161"/>
        <v>497.51379912663754</v>
      </c>
      <c r="FX79" s="765">
        <f t="shared" ca="1" si="162"/>
        <v>944.31293731640756</v>
      </c>
      <c r="FY79" s="765">
        <f t="shared" ca="1" si="163"/>
        <v>3002.3468765352955</v>
      </c>
      <c r="FZ79" s="765">
        <f t="shared" ca="1" si="164"/>
        <v>72537.62335231436</v>
      </c>
      <c r="GA79" s="765">
        <f t="shared" si="165"/>
        <v>54312.96333333334</v>
      </c>
      <c r="GB79" s="765">
        <f t="shared" si="166"/>
        <v>12.527497020720407</v>
      </c>
      <c r="GC79" s="765">
        <f t="shared" si="167"/>
        <v>56.660663610935103</v>
      </c>
      <c r="GD79" s="765">
        <f t="shared" si="168"/>
        <v>412.51504469987242</v>
      </c>
    </row>
    <row r="80" spans="1:186">
      <c r="A80" s="4">
        <v>44378</v>
      </c>
      <c r="B80" s="6">
        <v>2021</v>
      </c>
      <c r="C80" s="5">
        <v>7</v>
      </c>
      <c r="D80" s="7">
        <v>98243556.1504094</v>
      </c>
      <c r="E80" s="7">
        <f ca="1">IFERROR(VLOOKUP($B80-1,CDM!$V$4:$AJ$17,2,FALSE)/12,0)+IFERROR(VLOOKUP($B80,CDM!$V$41:$AJ$54,2,FALSE)/24,0)+IFERROR(VLOOKUP($B80,CDM!$V$41:$AJ$54,2,FALSE)/2*$C80/78,0)</f>
        <v>3844181.1238133516</v>
      </c>
      <c r="F80" s="7">
        <f t="shared" ca="1" si="169"/>
        <v>102087737.27422275</v>
      </c>
      <c r="G80" s="7">
        <f>IFERROR(HLOOKUP(B80-1,'EV Forecast VRZ'!$F$124:$T$130,2,FALSE)/12,0)+IFERROR(((HLOOKUP(B80,'EV Forecast VRZ'!$F$116:$T$122,2,FALSE)-HLOOKUP(B80-1,'EV Forecast VRZ'!$F$124:$T$130,2,FALSE)))*C80/78,0)</f>
        <v>324652.51035180519</v>
      </c>
      <c r="H80" s="7">
        <f ca="1">HLOOKUP(B80,Heating!$C$102:$O$106,2,FALSE)*INDEX(Weather!$BO$1:$CB$20,MATCH(B80,Weather!$BO$1:$BO$20,0),MATCH(C80,Weather!$BO$1:$CB$1,0))/VLOOKUP(B80,Weather!$BO$2:$CB$20,14,FALSE)*
VLOOKUP('Monthly Data'!$B80,Weather!$BO$3:$CB$20,14,FALSE)/Weather!$CB$14</f>
        <v>8198.6834904872176</v>
      </c>
      <c r="I80" s="7">
        <f t="shared" ca="1" si="170"/>
        <v>101754886.08038045</v>
      </c>
      <c r="J80" s="7">
        <v>1093404.6052600001</v>
      </c>
      <c r="K80" s="7">
        <f ca="1">IFERROR(VLOOKUP($B80-1,CDM!$V$4:$AJ$17,3,FALSE)/12,0)+IFERROR(VLOOKUP($B80,CDM!$V$41:$AJ$54,3,FALSE)/24,0)+IFERROR(VLOOKUP($B80,CDM!$V$41:$AJ$54,3,FALSE)/2*$C80/78,0)</f>
        <v>44030.495511897127</v>
      </c>
      <c r="L80" s="7">
        <f t="shared" ca="1" si="171"/>
        <v>1137435.1007718972</v>
      </c>
      <c r="M80" s="7">
        <f>IFERROR(HLOOKUP(B80-1,'EV Forecast VRZ'!$F$124:$T$130,3,FALSE)/12,0)+IFERROR(((HLOOKUP(B80,'EV Forecast VRZ'!$F$116:$T$122,3,FALSE)-HLOOKUP(B80-1,'EV Forecast VRZ'!$F$124:$T$130,3,FALSE)))*C80/78,0)</f>
        <v>4416.7033661434807</v>
      </c>
      <c r="N80" s="7">
        <f ca="1">HLOOKUP(B80,Heating!$C$102:$O$106,3,FALSE)*INDEX(Weather!$BO$1:$CB$20,MATCH(B80,Weather!$BO$1:$BO$20,0),MATCH(C80,Weather!$BO$1:$CB$1,0))/VLOOKUP(B80,Weather!$BO$2:$CB$20,14,FALSE)*
VLOOKUP('Monthly Data'!$B80,Weather!$BO$3:$CB$20,14,FALSE)/Weather!$CB$14</f>
        <v>102.52683309082197</v>
      </c>
      <c r="O80" s="7">
        <f t="shared" ca="1" si="172"/>
        <v>1132915.8705726629</v>
      </c>
      <c r="P80" s="7">
        <v>23306627.88656</v>
      </c>
      <c r="Q80" s="7">
        <f ca="1">IFERROR(VLOOKUP($B80-1,CDM!$V$4:$AJ$17,4,FALSE)/12,0)+IFERROR(VLOOKUP($B80,CDM!$V$41:$AJ$54,4,FALSE)/24,0)+IFERROR(VLOOKUP($B80,CDM!$V$41:$AJ$54,4,FALSE)/2*$C80/78,0)</f>
        <v>1412859.8368686417</v>
      </c>
      <c r="R80" s="7">
        <f t="shared" ca="1" si="173"/>
        <v>24719487.723428641</v>
      </c>
      <c r="S80" s="7">
        <f>IFERROR(HLOOKUP(B80-1,'EV Forecast VRZ'!$F$124:$T$130,4,FALSE)/12,0)+IFERROR(((HLOOKUP(B80,'EV Forecast VRZ'!$F$116:$T$122,4,FALSE)-HLOOKUP(B80-1,'EV Forecast VRZ'!$F$124:$T$130,4,FALSE)))*C80/78,0)</f>
        <v>40144.115641025644</v>
      </c>
      <c r="T80" s="7">
        <f ca="1">HLOOKUP(B80,Heating!$C$102:$O$106,4,FALSE)*INDEX(Weather!$BO$1:$CB$20,MATCH(B80,Weather!$BO$1:$BO$20,0),MATCH(C80,Weather!$BO$1:$CB$1,0))/VLOOKUP(B80,Weather!$BO$2:$CB$20,14,FALSE)*
VLOOKUP('Monthly Data'!$B80,Weather!$BO$3:$CB$20,14,FALSE)/Weather!$CB$14</f>
        <v>2008.1810021908636</v>
      </c>
      <c r="U80" s="7">
        <f t="shared" ca="1" si="174"/>
        <v>24677335.426785424</v>
      </c>
      <c r="V80" s="7">
        <v>79021416.790000007</v>
      </c>
      <c r="W80" s="7">
        <f ca="1">IFERROR(VLOOKUP($B80-1,CDM!$V$4:$AJ$17,5,FALSE)/12,0)+IFERROR(VLOOKUP($B80,CDM!$V$41:$AJ$54,5,FALSE)/24,0)+IFERROR(VLOOKUP($B80,CDM!$V$41:$AJ$54,5,FALSE)/2*$C80/78,0)</f>
        <v>5346575.3674318017</v>
      </c>
      <c r="X80" s="7">
        <f t="shared" ca="1" si="175"/>
        <v>84367992.157431811</v>
      </c>
      <c r="Y80" s="7">
        <f>IFERROR(HLOOKUP(B80-1,'EV Forecast VRZ'!$F$124:$T$130,5,FALSE)/12,0)+IFERROR(((HLOOKUP(B80,'EV Forecast VRZ'!$F$116:$T$122,5,FALSE)-HLOOKUP(B80-1,'EV Forecast VRZ'!$F$124:$T$130,5,FALSE)))*C80/78,0)</f>
        <v>18180.621269230767</v>
      </c>
      <c r="Z80" s="7">
        <f ca="1">HLOOKUP(B80,Heating!$C$102:$O$106,5,FALSE)*INDEX(Weather!$BO$1:$CB$20,MATCH(B80,Weather!$BO$1:$BO$20,0),MATCH(C80,Weather!$BO$1:$CB$1,0))/VLOOKUP(B80,Weather!$BO$2:$CB$20,14,FALSE)*
VLOOKUP('Monthly Data'!$B80,Weather!$BO$3:$CB$20,14,FALSE)/Weather!$CB$14</f>
        <v>1088.9979737483318</v>
      </c>
      <c r="AA80" s="7">
        <f t="shared" ca="1" si="176"/>
        <v>84348722.53818883</v>
      </c>
      <c r="AB80" s="7">
        <v>7818263.9500000002</v>
      </c>
      <c r="AC80" s="7">
        <f ca="1">IFERROR(VLOOKUP($B80-1,CDM!$V$4:$AJ$17,6,FALSE)/12,0)+IFERROR(VLOOKUP($B80,CDM!$V$41:$AJ$54,6,FALSE)/24,0)+IFERROR(VLOOKUP($B80,CDM!$V$41:$AJ$54,6,FALSE)/2*$C80/78,0)</f>
        <v>243541.99859460277</v>
      </c>
      <c r="AD80" s="7">
        <f t="shared" ca="1" si="177"/>
        <v>8061805.9485946028</v>
      </c>
      <c r="AE80" s="7">
        <f>IFERROR(HLOOKUP(B80-1,'EV Forecast VRZ'!$F$124:$T$130,6,FALSE)/12,0)+IFERROR(((HLOOKUP(B80,'EV Forecast VRZ'!$F$116:$T$122,6,FALSE)-HLOOKUP(B80-1,'EV Forecast VRZ'!$F$124:$T$130,6,FALSE)))*C80/78,0)</f>
        <v>2470.2827051282047</v>
      </c>
      <c r="AF80" s="7">
        <f t="shared" ca="1" si="178"/>
        <v>8059335.6658894746</v>
      </c>
      <c r="AG80" s="7">
        <v>25225725.5</v>
      </c>
      <c r="AH80" s="7">
        <f ca="1">IFERROR(VLOOKUP($B80-1,CDM!$V$4:$AJ$17,7,FALSE)/12,0)+IFERROR(VLOOKUP($B80,CDM!$V$41:$AJ$54,7,FALSE)/24,0)+IFERROR(VLOOKUP($B80,CDM!$V$41:$AJ$54,7,FALSE)/2*$C80/78,0)</f>
        <v>1726995.9804226728</v>
      </c>
      <c r="AI80" s="7">
        <f t="shared" ca="1" si="179"/>
        <v>26952721.480422672</v>
      </c>
      <c r="AJ80" s="7">
        <f>IFERROR(HLOOKUP(B80-1,'EV Forecast VRZ'!$F$124:$T$130,7,FALSE)/12,0)+IFERROR(((HLOOKUP(B80,'EV Forecast VRZ'!$F$116:$T$122,7,FALSE)-HLOOKUP(B80-1,'EV Forecast VRZ'!$F$124:$T$130,7,FALSE)))*C80/78,0)</f>
        <v>0</v>
      </c>
      <c r="AK80" s="7">
        <f t="shared" ca="1" si="180"/>
        <v>26952721.480422672</v>
      </c>
      <c r="AL80" s="7">
        <v>747303.99</v>
      </c>
      <c r="AM80" s="7">
        <v>18267.839999999993</v>
      </c>
      <c r="AN80" s="7">
        <v>398249.99</v>
      </c>
      <c r="AO80" s="5">
        <v>193567.45</v>
      </c>
      <c r="AP80" s="5">
        <v>18422.52</v>
      </c>
      <c r="AQ80" s="5">
        <v>42126</v>
      </c>
      <c r="AR80" s="5">
        <v>2579.29</v>
      </c>
      <c r="AS80" s="763">
        <f t="shared" si="190"/>
        <v>52.666666666666664</v>
      </c>
      <c r="AT80" s="776">
        <v>113091.0833333333</v>
      </c>
      <c r="AU80" s="776">
        <v>1558.6666666666672</v>
      </c>
      <c r="AV80" s="776">
        <v>9316.9166666666624</v>
      </c>
      <c r="AW80" s="776">
        <v>1052.9166666666672</v>
      </c>
      <c r="AX80" s="776">
        <v>5.5833333333333313</v>
      </c>
      <c r="AY80" s="776">
        <v>4</v>
      </c>
      <c r="AZ80" s="776">
        <v>31684.333333333325</v>
      </c>
      <c r="BA80" s="776">
        <v>248.6666666666666</v>
      </c>
      <c r="BB80" s="776">
        <v>801.75</v>
      </c>
      <c r="BC80" s="779">
        <v>40825237.957350306</v>
      </c>
      <c r="BD80" s="779">
        <f ca="1">IFERROR(VLOOKUP($B80-1,CDM!$V$4:$AJ$17,11,FALSE)/12,0)+IFERROR(VLOOKUP($B80,CDM!$V$41:$AJ$54,11,FALSE)/24,0)+IFERROR(VLOOKUP($B80,CDM!$V$41:$AJ$54,11,FALSE)/2*$C80/78,0)</f>
        <v>1689159.9654556459</v>
      </c>
      <c r="BE80" s="779">
        <f t="shared" ca="1" si="123"/>
        <v>42514397.92280595</v>
      </c>
      <c r="BF80" s="779">
        <f>IFERROR(HLOOKUP(B80-1,'EV Forecast WRZ'!$F$124:$T$130,2,FALSE)/12,0)+IFERROR(((HLOOKUP(B80,'EV Forecast WRZ'!$F$116:$T$122,2,FALSE)-HLOOKUP(B80-1,'EV Forecast WRZ'!$F$124:$T$130,2,FALSE)))*C80/78,0)</f>
        <v>104420.17525641026</v>
      </c>
      <c r="BG80" s="779">
        <f ca="1">HLOOKUP(B80,Heating!$R$102:$AD$106,2,FALSE)*INDEX(Weather!$BO$1:$CB$20,MATCH(B80,Weather!$BO$1:$BO$20,0),MATCH(C80,Weather!$BO$1:$CB$1,0))/VLOOKUP(B80,Weather!$BO$2:$CB$20,14,FALSE)*
VLOOKUP('Monthly Data'!$B80,Weather!$BO$3:$CB$20,14,FALSE)/Weather!$CB$14</f>
        <v>3474.397311369863</v>
      </c>
      <c r="BH80" s="779">
        <f t="shared" ca="1" si="181"/>
        <v>42406503.350238174</v>
      </c>
      <c r="BI80" s="779">
        <v>7286937.0730100097</v>
      </c>
      <c r="BJ80" s="779">
        <f ca="1">IFERROR(VLOOKUP($B80-1,CDM!$V$4:$AJ$17,12,FALSE)/12,0)+IFERROR(VLOOKUP($B80,CDM!$V$41:$AJ$54,12,FALSE)/24,0)+IFERROR(VLOOKUP($B80,CDM!$V$41:$AJ$54,12,FALSE)/2*$C80/78,0)</f>
        <v>232470.10919128216</v>
      </c>
      <c r="BK80" s="779">
        <f t="shared" ca="1" si="182"/>
        <v>7519407.1822012914</v>
      </c>
      <c r="BL80" s="779">
        <f>IFERROR(HLOOKUP(B80-1,'EV Forecast WRZ'!$F$124:$T$130,3,FALSE)/12,0)+IFERROR(((HLOOKUP(B80,'EV Forecast WRZ'!$F$116:$T$122,3,FALSE)-HLOOKUP(B80-1,'EV Forecast WRZ'!$F$124:$T$130,3,FALSE)))*C80/78,0)</f>
        <v>12747.961794871795</v>
      </c>
      <c r="BM80" s="779">
        <f ca="1">HLOOKUP(B80,Heating!$R$102:$AD$106,4,FALSE)*INDEX(Weather!$BO$1:$CB$20,MATCH(B80,Weather!$BO$1:$BO$20,0),MATCH(C80,Weather!$BO$1:$CB$1,0))/VLOOKUP(B80,Weather!$BO$2:$CB$20,14,FALSE)*
VLOOKUP('Monthly Data'!$B80,Weather!$BO$3:$CB$20,14,FALSE)/Weather!$CB$14</f>
        <v>524.69859154715141</v>
      </c>
      <c r="BN80" s="779">
        <f t="shared" ca="1" si="183"/>
        <v>7506134.5218148725</v>
      </c>
      <c r="BO80" s="779">
        <v>27214148.16</v>
      </c>
      <c r="BP80" s="779">
        <f ca="1">IFERROR(VLOOKUP($B80-1,CDM!$V$4:$AJ$17,13,FALSE)/12,0)+IFERROR(VLOOKUP($B80,CDM!$V$41:$AJ$54,13,FALSE)/24,0)+IFERROR(VLOOKUP($B80,CDM!$V$41:$AJ$54,13,FALSE)/2*$C80/78,0)</f>
        <v>2152117.6360936407</v>
      </c>
      <c r="BQ80" s="779">
        <f t="shared" ca="1" si="184"/>
        <v>29366265.796093643</v>
      </c>
      <c r="BR80" s="779">
        <f>IFERROR(HLOOKUP(B80-1,'EV Forecast WRZ'!$F$124:$T$130,4,FALSE)/12,0)+IFERROR(((HLOOKUP(B80,'EV Forecast WRZ'!$F$116:$T$122,4,FALSE)-HLOOKUP(B80-1,'EV Forecast WRZ'!$F$124:$T$130,4,FALSE)))*C80/78,0)</f>
        <v>5774.0828076923081</v>
      </c>
      <c r="BS80" s="779">
        <f ca="1">HLOOKUP(B80,Heating!$R$102:$AD$106,5,FALSE)*INDEX(Weather!$BO$1:$CB$20,MATCH(B80,Weather!$BO$1:$BO$20,0),MATCH(C80,Weather!$BO$1:$CB$1,0))/VLOOKUP(B80,Weather!$BO$2:$CB$20,14,FALSE)*
VLOOKUP('Monthly Data'!$B80,Weather!$BO$3:$CB$20,14,FALSE)/Weather!$CB$14</f>
        <v>321.33177164070128</v>
      </c>
      <c r="BT80" s="779">
        <f t="shared" ca="1" si="185"/>
        <v>29360170.381514307</v>
      </c>
      <c r="BU80" s="779">
        <v>7420972.8600000003</v>
      </c>
      <c r="BV80" s="779">
        <f ca="1">IFERROR(VLOOKUP($B80-1,CDM!$V$4:$AJ$17,14,FALSE)/12,0)+IFERROR(VLOOKUP($B80,CDM!$V$41:$AJ$54,14,FALSE)/24,0)+IFERROR(VLOOKUP($B80,CDM!$V$41:$AJ$54,14,FALSE)/2*$C80/78,0)</f>
        <v>483862.95729757438</v>
      </c>
      <c r="BW80" s="779">
        <f t="shared" ca="1" si="186"/>
        <v>7904835.8172975751</v>
      </c>
      <c r="BX80" s="779">
        <f>IFERROR(HLOOKUP(B80-1,'EV Forecast WRZ'!$F$124:$T$130,5,FALSE)/12,0)+IFERROR(((HLOOKUP(B80,'EV Forecast WRZ'!$F$116:$T$122,5,FALSE)-HLOOKUP(B80-1,'EV Forecast WRZ'!$F$124:$T$130,5,FALSE)))*C80/78,0)</f>
        <v>787.39808974358982</v>
      </c>
      <c r="BY80" s="779">
        <f t="shared" ca="1" si="124"/>
        <v>7904048.4192078318</v>
      </c>
      <c r="BZ80" s="779">
        <v>182216.36</v>
      </c>
      <c r="CA80" s="779">
        <v>1796.325812800872</v>
      </c>
      <c r="CB80" s="5">
        <v>161499.64000000001</v>
      </c>
      <c r="CC80" s="5">
        <v>67704.34</v>
      </c>
      <c r="CD80" s="5">
        <v>11428.03</v>
      </c>
      <c r="CE80" s="5">
        <v>782.09</v>
      </c>
      <c r="CF80" s="763">
        <f t="shared" si="191"/>
        <v>5.916666666666667</v>
      </c>
      <c r="CG80" s="785">
        <v>42947.25</v>
      </c>
      <c r="CH80" s="785">
        <v>2328.75</v>
      </c>
      <c r="CI80" s="785">
        <v>391.25</v>
      </c>
      <c r="CJ80" s="785">
        <v>3</v>
      </c>
      <c r="CK80" s="785">
        <v>13041.083333333338</v>
      </c>
      <c r="CL80" s="785">
        <v>42.83333333333335</v>
      </c>
      <c r="CM80" s="785">
        <v>391.5833333333332</v>
      </c>
      <c r="CN80" s="46">
        <f>Weather!C92</f>
        <v>25.516666666666669</v>
      </c>
      <c r="CO80" s="46">
        <f>Weather!D92</f>
        <v>32.391666666666652</v>
      </c>
      <c r="CP80" s="46">
        <f>Weather!E92</f>
        <v>5.3541666666666572</v>
      </c>
      <c r="CQ80" s="46">
        <f>Weather!F92</f>
        <v>74.229166666666615</v>
      </c>
      <c r="CR80" s="46">
        <f>Weather!G92</f>
        <v>0.74583333333333002</v>
      </c>
      <c r="CS80" s="46">
        <f>Weather!H92</f>
        <v>131.62083333333331</v>
      </c>
      <c r="CT80" s="46">
        <f>Weather!I92</f>
        <v>0</v>
      </c>
      <c r="CU80" s="46">
        <f>Weather!J92</f>
        <v>192.87499999999994</v>
      </c>
      <c r="CV80" s="46">
        <f>Weather!K92</f>
        <v>0</v>
      </c>
      <c r="CW80" s="46">
        <f>Weather!L92</f>
        <v>254.87499999999994</v>
      </c>
      <c r="CX80" s="46">
        <f>Weather!M92</f>
        <v>0</v>
      </c>
      <c r="CY80" s="46">
        <f>Weather!N92</f>
        <v>316.87499999999994</v>
      </c>
      <c r="CZ80" s="46">
        <f>Weather!O92</f>
        <v>0</v>
      </c>
      <c r="DA80" s="46">
        <f>Weather!P92</f>
        <v>378.87499999999994</v>
      </c>
      <c r="DB80" s="368">
        <f>'Economic Data'!D94</f>
        <v>7317</v>
      </c>
      <c r="DC80" s="368">
        <f>'Economic Data'!E94</f>
        <v>7392.6</v>
      </c>
      <c r="DD80" s="368">
        <f>'Economic Data'!F94</f>
        <v>210.4</v>
      </c>
      <c r="DE80" s="368">
        <f>'Economic Data'!G94</f>
        <v>212.2</v>
      </c>
      <c r="DF80" s="368">
        <f>'Economic Data'!H94</f>
        <v>46.8</v>
      </c>
      <c r="DG80" s="368">
        <f>'Economic Data'!I94</f>
        <v>46.8</v>
      </c>
      <c r="DH80" s="368">
        <f>'Economic Data'!J94</f>
        <v>817265.5</v>
      </c>
      <c r="DI80" s="368">
        <f>'Economic Data'!K94</f>
        <v>634181.69999999995</v>
      </c>
      <c r="DJ80" s="368">
        <f>'Economic Data'!L94</f>
        <v>92312.5</v>
      </c>
      <c r="DK80" s="368">
        <f>'Economic Data'!M94</f>
        <v>25225.4</v>
      </c>
      <c r="DL80" s="368">
        <f>'Economic Data'!N94</f>
        <v>819564</v>
      </c>
      <c r="DM80" s="368">
        <f>'Economic Data'!O94</f>
        <v>91574</v>
      </c>
      <c r="DN80" s="368">
        <f>'Economic Data'!P94</f>
        <v>13797</v>
      </c>
      <c r="DO80" s="368">
        <f>'Economic Data'!Q94</f>
        <v>639578</v>
      </c>
      <c r="DP80" s="368">
        <f>'Economic Data'!R94</f>
        <v>25974</v>
      </c>
      <c r="DQ80">
        <v>31</v>
      </c>
      <c r="DR80">
        <v>21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1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f t="shared" si="189"/>
        <v>79</v>
      </c>
      <c r="EI80">
        <v>1</v>
      </c>
      <c r="EJ80">
        <v>0.5</v>
      </c>
      <c r="EK80">
        <v>0.75</v>
      </c>
      <c r="EL80">
        <v>0</v>
      </c>
      <c r="EM80" s="47">
        <f t="shared" si="125"/>
        <v>12.758333333333335</v>
      </c>
      <c r="EN80" s="47">
        <f t="shared" si="126"/>
        <v>16.195833333333326</v>
      </c>
      <c r="EO80" s="47">
        <f t="shared" si="127"/>
        <v>2.6770833333333286</v>
      </c>
      <c r="EP80" s="47">
        <f t="shared" si="128"/>
        <v>37.114583333333307</v>
      </c>
      <c r="EQ80" s="47">
        <f t="shared" si="129"/>
        <v>0.37291666666666501</v>
      </c>
      <c r="ER80" s="47">
        <f t="shared" si="130"/>
        <v>65.810416666666654</v>
      </c>
      <c r="ES80" s="47">
        <f t="shared" si="131"/>
        <v>0</v>
      </c>
      <c r="ET80" s="47">
        <f t="shared" si="132"/>
        <v>96.437499999999972</v>
      </c>
      <c r="EU80" s="47">
        <f t="shared" si="133"/>
        <v>0</v>
      </c>
      <c r="EV80" s="47">
        <f t="shared" si="134"/>
        <v>127.43749999999997</v>
      </c>
      <c r="EW80" s="47">
        <f t="shared" si="135"/>
        <v>0</v>
      </c>
      <c r="EX80" s="47">
        <f t="shared" si="136"/>
        <v>158.43749999999997</v>
      </c>
      <c r="EY80" s="47">
        <f t="shared" si="137"/>
        <v>0</v>
      </c>
      <c r="EZ80" s="47">
        <f t="shared" si="138"/>
        <v>189.43749999999997</v>
      </c>
      <c r="FA80" s="47">
        <f t="shared" si="139"/>
        <v>19.137500000000003</v>
      </c>
      <c r="FB80" s="47">
        <f t="shared" si="140"/>
        <v>24.293749999999989</v>
      </c>
      <c r="FC80" s="47">
        <f t="shared" si="141"/>
        <v>4.0156249999999929</v>
      </c>
      <c r="FD80" s="47">
        <f t="shared" si="142"/>
        <v>55.671874999999957</v>
      </c>
      <c r="FE80" s="47">
        <f t="shared" si="143"/>
        <v>0.55937499999999751</v>
      </c>
      <c r="FF80" s="47">
        <f t="shared" si="144"/>
        <v>98.715624999999989</v>
      </c>
      <c r="FG80" s="47">
        <f t="shared" si="145"/>
        <v>0</v>
      </c>
      <c r="FH80" s="47">
        <f t="shared" si="146"/>
        <v>144.65624999999994</v>
      </c>
      <c r="FI80" s="47">
        <f t="shared" si="147"/>
        <v>0</v>
      </c>
      <c r="FJ80" s="47">
        <f t="shared" si="148"/>
        <v>191.15624999999994</v>
      </c>
      <c r="FK80" s="47">
        <f t="shared" si="149"/>
        <v>0</v>
      </c>
      <c r="FL80" s="47">
        <f t="shared" si="150"/>
        <v>237.65624999999994</v>
      </c>
      <c r="FM80" s="47">
        <f t="shared" si="151"/>
        <v>0</v>
      </c>
      <c r="FN80" s="47">
        <f t="shared" si="152"/>
        <v>284.15624999999994</v>
      </c>
      <c r="FO80" s="765">
        <f t="shared" ca="1" si="153"/>
        <v>899.76046812161428</v>
      </c>
      <c r="FP80" s="765">
        <f t="shared" ca="1" si="154"/>
        <v>729.74878150463871</v>
      </c>
      <c r="FQ80" s="765">
        <f t="shared" ca="1" si="155"/>
        <v>2653.1833017105428</v>
      </c>
      <c r="FR80" s="765">
        <f t="shared" ca="1" si="156"/>
        <v>80127.891245681138</v>
      </c>
      <c r="FS80" s="765">
        <f t="shared" ca="1" si="157"/>
        <v>1443905.5430318697</v>
      </c>
      <c r="FT80" s="765">
        <f t="shared" ca="1" si="158"/>
        <v>6738180.370105668</v>
      </c>
      <c r="FU80" s="765">
        <f t="shared" si="159"/>
        <v>23.585914910628812</v>
      </c>
      <c r="FV80" s="765">
        <f t="shared" si="160"/>
        <v>73.463163538873985</v>
      </c>
      <c r="FW80" s="765">
        <f t="shared" si="161"/>
        <v>496.7258995946367</v>
      </c>
      <c r="FX80" s="765">
        <f t="shared" ca="1" si="162"/>
        <v>989.92130864737442</v>
      </c>
      <c r="FY80" s="765">
        <f t="shared" ca="1" si="163"/>
        <v>3228.9456498985687</v>
      </c>
      <c r="FZ80" s="765">
        <f t="shared" ca="1" si="164"/>
        <v>75057.548360622735</v>
      </c>
      <c r="GA80" s="765">
        <f t="shared" si="165"/>
        <v>60738.78666666666</v>
      </c>
      <c r="GB80" s="765">
        <f t="shared" si="166"/>
        <v>13.972486437093027</v>
      </c>
      <c r="GC80" s="765">
        <f t="shared" si="167"/>
        <v>41.937567614028126</v>
      </c>
      <c r="GD80" s="765">
        <f t="shared" si="168"/>
        <v>412.42725686316254</v>
      </c>
    </row>
    <row r="81" spans="1:186">
      <c r="A81" s="4">
        <v>44409</v>
      </c>
      <c r="B81" s="6">
        <v>2021</v>
      </c>
      <c r="C81" s="5">
        <v>8</v>
      </c>
      <c r="D81" s="7">
        <v>117678432.39711</v>
      </c>
      <c r="E81" s="7">
        <f ca="1">IFERROR(VLOOKUP($B81-1,CDM!$V$4:$AJ$17,2,FALSE)/12,0)+IFERROR(VLOOKUP($B81,CDM!$V$41:$AJ$54,2,FALSE)/24,0)+IFERROR(VLOOKUP($B81,CDM!$V$41:$AJ$54,2,FALSE)/2*$C81/78,0)</f>
        <v>3845120.8177818679</v>
      </c>
      <c r="F81" s="7">
        <f t="shared" ca="1" si="169"/>
        <v>121523553.21489187</v>
      </c>
      <c r="G81" s="7">
        <f>IFERROR(HLOOKUP(B81-1,'EV Forecast VRZ'!$F$124:$T$130,2,FALSE)/12,0)+IFERROR(((HLOOKUP(B81,'EV Forecast VRZ'!$F$116:$T$122,2,FALSE)-HLOOKUP(B81-1,'EV Forecast VRZ'!$F$124:$T$130,2,FALSE)))*C81/78,0)</f>
        <v>334058.37659907422</v>
      </c>
      <c r="H81" s="7">
        <f ca="1">HLOOKUP(B81,Heating!$C$102:$O$106,2,FALSE)*INDEX(Weather!$BO$1:$CB$20,MATCH(B81,Weather!$BO$1:$BO$20,0),MATCH(C81,Weather!$BO$1:$CB$1,0))/VLOOKUP(B81,Weather!$BO$2:$CB$20,14,FALSE)*
VLOOKUP('Monthly Data'!$B81,Weather!$BO$3:$CB$20,14,FALSE)/Weather!$CB$14</f>
        <v>1059.1295404053537</v>
      </c>
      <c r="I81" s="7">
        <f t="shared" ca="1" si="170"/>
        <v>121188435.70875239</v>
      </c>
      <c r="J81" s="7">
        <v>1150050.6338599999</v>
      </c>
      <c r="K81" s="7">
        <f ca="1">IFERROR(VLOOKUP($B81-1,CDM!$V$4:$AJ$17,3,FALSE)/12,0)+IFERROR(VLOOKUP($B81,CDM!$V$41:$AJ$54,3,FALSE)/24,0)+IFERROR(VLOOKUP($B81,CDM!$V$41:$AJ$54,3,FALSE)/2*$C81/78,0)</f>
        <v>44041.258582036309</v>
      </c>
      <c r="L81" s="7">
        <f t="shared" ca="1" si="171"/>
        <v>1194091.8924420362</v>
      </c>
      <c r="M81" s="7">
        <f>IFERROR(HLOOKUP(B81-1,'EV Forecast VRZ'!$F$124:$T$130,3,FALSE)/12,0)+IFERROR(((HLOOKUP(B81,'EV Forecast VRZ'!$F$116:$T$122,3,FALSE)-HLOOKUP(B81-1,'EV Forecast VRZ'!$F$124:$T$130,3,FALSE)))*C81/78,0)</f>
        <v>4544.6645547718736</v>
      </c>
      <c r="N81" s="7">
        <f ca="1">HLOOKUP(B81,Heating!$C$102:$O$106,3,FALSE)*INDEX(Weather!$BO$1:$CB$20,MATCH(B81,Weather!$BO$1:$BO$20,0),MATCH(C81,Weather!$BO$1:$CB$1,0))/VLOOKUP(B81,Weather!$BO$2:$CB$20,14,FALSE)*
VLOOKUP('Monthly Data'!$B81,Weather!$BO$3:$CB$20,14,FALSE)/Weather!$CB$14</f>
        <v>13.244711512121766</v>
      </c>
      <c r="O81" s="7">
        <f t="shared" ca="1" si="172"/>
        <v>1189533.983175752</v>
      </c>
      <c r="P81" s="7">
        <v>26153660.242789999</v>
      </c>
      <c r="Q81" s="7">
        <f ca="1">IFERROR(VLOOKUP($B81-1,CDM!$V$4:$AJ$17,4,FALSE)/12,0)+IFERROR(VLOOKUP($B81,CDM!$V$41:$AJ$54,4,FALSE)/24,0)+IFERROR(VLOOKUP($B81,CDM!$V$41:$AJ$54,4,FALSE)/2*$C81/78,0)</f>
        <v>1417461.7446372893</v>
      </c>
      <c r="R81" s="7">
        <f t="shared" ca="1" si="173"/>
        <v>27571121.987427287</v>
      </c>
      <c r="S81" s="7">
        <f>IFERROR(HLOOKUP(B81-1,'EV Forecast VRZ'!$F$124:$T$130,4,FALSE)/12,0)+IFERROR(((HLOOKUP(B81,'EV Forecast VRZ'!$F$116:$T$122,4,FALSE)-HLOOKUP(B81-1,'EV Forecast VRZ'!$F$124:$T$130,4,FALSE)))*C81/78,0)</f>
        <v>41284.746923076927</v>
      </c>
      <c r="T81" s="7">
        <f ca="1">HLOOKUP(B81,Heating!$C$102:$O$106,4,FALSE)*INDEX(Weather!$BO$1:$CB$20,MATCH(B81,Weather!$BO$1:$BO$20,0),MATCH(C81,Weather!$BO$1:$CB$1,0))/VLOOKUP(B81,Weather!$BO$2:$CB$20,14,FALSE)*
VLOOKUP('Monthly Data'!$B81,Weather!$BO$3:$CB$20,14,FALSE)/Weather!$CB$14</f>
        <v>259.42260417407306</v>
      </c>
      <c r="U81" s="7">
        <f t="shared" ca="1" si="174"/>
        <v>27529577.817900036</v>
      </c>
      <c r="V81" s="7">
        <v>85090018.349999994</v>
      </c>
      <c r="W81" s="7">
        <f ca="1">IFERROR(VLOOKUP($B81-1,CDM!$V$4:$AJ$17,5,FALSE)/12,0)+IFERROR(VLOOKUP($B81,CDM!$V$41:$AJ$54,5,FALSE)/24,0)+IFERROR(VLOOKUP($B81,CDM!$V$41:$AJ$54,5,FALSE)/2*$C81/78,0)</f>
        <v>5383709.7626719484</v>
      </c>
      <c r="X81" s="7">
        <f t="shared" ca="1" si="175"/>
        <v>90473728.112671942</v>
      </c>
      <c r="Y81" s="7">
        <f>IFERROR(HLOOKUP(B81-1,'EV Forecast VRZ'!$F$124:$T$130,5,FALSE)/12,0)+IFERROR(((HLOOKUP(B81,'EV Forecast VRZ'!$F$116:$T$122,5,FALSE)-HLOOKUP(B81-1,'EV Forecast VRZ'!$F$124:$T$130,5,FALSE)))*C81/78,0)</f>
        <v>18695.443807692307</v>
      </c>
      <c r="Z81" s="7">
        <f ca="1">HLOOKUP(B81,Heating!$C$102:$O$106,5,FALSE)*INDEX(Weather!$BO$1:$CB$20,MATCH(B81,Weather!$BO$1:$BO$20,0),MATCH(C81,Weather!$BO$1:$CB$1,0))/VLOOKUP(B81,Weather!$BO$2:$CB$20,14,FALSE)*
VLOOKUP('Monthly Data'!$B81,Weather!$BO$3:$CB$20,14,FALSE)/Weather!$CB$14</f>
        <v>140.67989388499871</v>
      </c>
      <c r="AA81" s="7">
        <f t="shared" ca="1" si="176"/>
        <v>90454891.988970369</v>
      </c>
      <c r="AB81" s="7">
        <v>8205681.3899999997</v>
      </c>
      <c r="AC81" s="7">
        <f ca="1">IFERROR(VLOOKUP($B81-1,CDM!$V$4:$AJ$17,6,FALSE)/12,0)+IFERROR(VLOOKUP($B81,CDM!$V$41:$AJ$54,6,FALSE)/24,0)+IFERROR(VLOOKUP($B81,CDM!$V$41:$AJ$54,6,FALSE)/2*$C81/78,0)</f>
        <v>244739.50876392791</v>
      </c>
      <c r="AD81" s="7">
        <f t="shared" ca="1" si="177"/>
        <v>8450420.8987639267</v>
      </c>
      <c r="AE81" s="7">
        <f>IFERROR(HLOOKUP(B81-1,'EV Forecast VRZ'!$F$124:$T$130,6,FALSE)/12,0)+IFERROR(((HLOOKUP(B81,'EV Forecast VRZ'!$F$116:$T$122,6,FALSE)-HLOOKUP(B81-1,'EV Forecast VRZ'!$F$124:$T$130,6,FALSE)))*C81/78,0)</f>
        <v>2533.468115384615</v>
      </c>
      <c r="AF81" s="7">
        <f t="shared" ca="1" si="178"/>
        <v>8447887.4306485429</v>
      </c>
      <c r="AG81" s="7">
        <v>22056990.309999999</v>
      </c>
      <c r="AH81" s="7">
        <f ca="1">IFERROR(VLOOKUP($B81-1,CDM!$V$4:$AJ$17,7,FALSE)/12,0)+IFERROR(VLOOKUP($B81,CDM!$V$41:$AJ$54,7,FALSE)/24,0)+IFERROR(VLOOKUP($B81,CDM!$V$41:$AJ$54,7,FALSE)/2*$C81/78,0)</f>
        <v>1734341.9960000541</v>
      </c>
      <c r="AI81" s="7">
        <f t="shared" ca="1" si="179"/>
        <v>23791332.306000054</v>
      </c>
      <c r="AJ81" s="7">
        <f>IFERROR(HLOOKUP(B81-1,'EV Forecast VRZ'!$F$124:$T$130,7,FALSE)/12,0)+IFERROR(((HLOOKUP(B81,'EV Forecast VRZ'!$F$116:$T$122,7,FALSE)-HLOOKUP(B81-1,'EV Forecast VRZ'!$F$124:$T$130,7,FALSE)))*C81/78,0)</f>
        <v>0</v>
      </c>
      <c r="AK81" s="7">
        <f t="shared" ca="1" si="180"/>
        <v>23791332.306000054</v>
      </c>
      <c r="AL81" s="7">
        <v>845336.19</v>
      </c>
      <c r="AM81" s="7">
        <v>19519.86</v>
      </c>
      <c r="AN81" s="7">
        <v>398249.99</v>
      </c>
      <c r="AO81" s="5">
        <v>201547.92</v>
      </c>
      <c r="AP81" s="5">
        <v>17295.650000000001</v>
      </c>
      <c r="AQ81" s="5">
        <v>42050</v>
      </c>
      <c r="AR81" s="5">
        <v>2580.0700000000002</v>
      </c>
      <c r="AS81" s="763">
        <f t="shared" si="190"/>
        <v>52.666666666666664</v>
      </c>
      <c r="AT81" s="776">
        <v>113154.66666666663</v>
      </c>
      <c r="AU81" s="776">
        <v>1558.3333333333339</v>
      </c>
      <c r="AV81" s="776">
        <v>9321.3333333333285</v>
      </c>
      <c r="AW81" s="776">
        <v>1054.3333333333339</v>
      </c>
      <c r="AX81" s="776">
        <v>5.6666666666666643</v>
      </c>
      <c r="AY81" s="776">
        <v>4</v>
      </c>
      <c r="AZ81" s="776">
        <v>31694.666666666657</v>
      </c>
      <c r="BA81" s="776">
        <v>248.33333333333326</v>
      </c>
      <c r="BB81" s="776">
        <v>802</v>
      </c>
      <c r="BC81" s="779">
        <v>48677065.674900204</v>
      </c>
      <c r="BD81" s="779">
        <f ca="1">IFERROR(VLOOKUP($B81-1,CDM!$V$4:$AJ$17,11,FALSE)/12,0)+IFERROR(VLOOKUP($B81,CDM!$V$41:$AJ$54,11,FALSE)/24,0)+IFERROR(VLOOKUP($B81,CDM!$V$41:$AJ$54,11,FALSE)/2*$C81/78,0)</f>
        <v>1672065.0880993058</v>
      </c>
      <c r="BE81" s="779">
        <f t="shared" ca="1" si="123"/>
        <v>50349130.762999512</v>
      </c>
      <c r="BF81" s="779">
        <f>IFERROR(HLOOKUP(B81-1,'EV Forecast WRZ'!$F$124:$T$130,2,FALSE)/12,0)+IFERROR(((HLOOKUP(B81,'EV Forecast WRZ'!$F$116:$T$122,2,FALSE)-HLOOKUP(B81-1,'EV Forecast WRZ'!$F$124:$T$130,2,FALSE)))*C81/78,0)</f>
        <v>107728.23576923077</v>
      </c>
      <c r="BG81" s="779">
        <f ca="1">HLOOKUP(B81,Heating!$R$102:$AD$106,2,FALSE)*INDEX(Weather!$BO$1:$CB$20,MATCH(B81,Weather!$BO$1:$BO$20,0),MATCH(C81,Weather!$BO$1:$CB$1,0))/VLOOKUP(B81,Weather!$BO$2:$CB$20,14,FALSE)*
VLOOKUP('Monthly Data'!$B81,Weather!$BO$3:$CB$20,14,FALSE)/Weather!$CB$14</f>
        <v>448.83264878396739</v>
      </c>
      <c r="BH81" s="779">
        <f t="shared" ca="1" si="181"/>
        <v>50240953.694581501</v>
      </c>
      <c r="BI81" s="779">
        <v>8168149.6042099996</v>
      </c>
      <c r="BJ81" s="779">
        <f ca="1">IFERROR(VLOOKUP($B81-1,CDM!$V$4:$AJ$17,12,FALSE)/12,0)+IFERROR(VLOOKUP($B81,CDM!$V$41:$AJ$54,12,FALSE)/24,0)+IFERROR(VLOOKUP($B81,CDM!$V$41:$AJ$54,12,FALSE)/2*$C81/78,0)</f>
        <v>233579.24809627954</v>
      </c>
      <c r="BK81" s="779">
        <f t="shared" ca="1" si="182"/>
        <v>8401728.8523062784</v>
      </c>
      <c r="BL81" s="779">
        <f>IFERROR(HLOOKUP(B81-1,'EV Forecast WRZ'!$F$124:$T$130,3,FALSE)/12,0)+IFERROR(((HLOOKUP(B81,'EV Forecast WRZ'!$F$116:$T$122,3,FALSE)-HLOOKUP(B81-1,'EV Forecast WRZ'!$F$124:$T$130,3,FALSE)))*C81/78,0)</f>
        <v>13137.145384615385</v>
      </c>
      <c r="BM81" s="779">
        <f ca="1">HLOOKUP(B81,Heating!$R$102:$AD$106,4,FALSE)*INDEX(Weather!$BO$1:$CB$20,MATCH(B81,Weather!$BO$1:$BO$20,0),MATCH(C81,Weather!$BO$1:$CB$1,0))/VLOOKUP(B81,Weather!$BO$2:$CB$20,14,FALSE)*
VLOOKUP('Monthly Data'!$B81,Weather!$BO$3:$CB$20,14,FALSE)/Weather!$CB$14</f>
        <v>67.782074861344171</v>
      </c>
      <c r="BN81" s="779">
        <f t="shared" ca="1" si="183"/>
        <v>8388523.9248468019</v>
      </c>
      <c r="BO81" s="779">
        <v>29538580.43</v>
      </c>
      <c r="BP81" s="779">
        <f ca="1">IFERROR(VLOOKUP($B81-1,CDM!$V$4:$AJ$17,13,FALSE)/12,0)+IFERROR(VLOOKUP($B81,CDM!$V$41:$AJ$54,13,FALSE)/24,0)+IFERROR(VLOOKUP($B81,CDM!$V$41:$AJ$54,13,FALSE)/2*$C81/78,0)</f>
        <v>2174836.7631085203</v>
      </c>
      <c r="BQ81" s="779">
        <f t="shared" ca="1" si="184"/>
        <v>31713417.193108521</v>
      </c>
      <c r="BR81" s="779">
        <f>IFERROR(HLOOKUP(B81-1,'EV Forecast WRZ'!$F$124:$T$130,4,FALSE)/12,0)+IFERROR(((HLOOKUP(B81,'EV Forecast WRZ'!$F$116:$T$122,4,FALSE)-HLOOKUP(B81-1,'EV Forecast WRZ'!$F$124:$T$130,4,FALSE)))*C81/78,0)</f>
        <v>5949.2154230769238</v>
      </c>
      <c r="BS81" s="779">
        <f ca="1">HLOOKUP(B81,Heating!$R$102:$AD$106,5,FALSE)*INDEX(Weather!$BO$1:$CB$20,MATCH(B81,Weather!$BO$1:$BO$20,0),MATCH(C81,Weather!$BO$1:$CB$1,0))/VLOOKUP(B81,Weather!$BO$2:$CB$20,14,FALSE)*
VLOOKUP('Monthly Data'!$B81,Weather!$BO$3:$CB$20,14,FALSE)/Weather!$CB$14</f>
        <v>41.510563495997268</v>
      </c>
      <c r="BT81" s="779">
        <f t="shared" ca="1" si="185"/>
        <v>31707426.467121948</v>
      </c>
      <c r="BU81" s="779">
        <v>7636255.6600000001</v>
      </c>
      <c r="BV81" s="779">
        <f ca="1">IFERROR(VLOOKUP($B81-1,CDM!$V$4:$AJ$17,14,FALSE)/12,0)+IFERROR(VLOOKUP($B81,CDM!$V$41:$AJ$54,14,FALSE)/24,0)+IFERROR(VLOOKUP($B81,CDM!$V$41:$AJ$54,14,FALSE)/2*$C81/78,0)</f>
        <v>488972.14489136846</v>
      </c>
      <c r="BW81" s="779">
        <f t="shared" ca="1" si="186"/>
        <v>8125227.8048913684</v>
      </c>
      <c r="BX81" s="779">
        <f>IFERROR(HLOOKUP(B81-1,'EV Forecast WRZ'!$F$124:$T$130,5,FALSE)/12,0)+IFERROR(((HLOOKUP(B81,'EV Forecast WRZ'!$F$116:$T$122,5,FALSE)-HLOOKUP(B81-1,'EV Forecast WRZ'!$F$124:$T$130,5,FALSE)))*C81/78,0)</f>
        <v>806.85726923076936</v>
      </c>
      <c r="BY81" s="779">
        <f t="shared" ca="1" si="124"/>
        <v>8124420.9476221371</v>
      </c>
      <c r="BZ81" s="779">
        <v>239063.67</v>
      </c>
      <c r="CA81" s="779">
        <v>2325.1307073916842</v>
      </c>
      <c r="CB81" s="5">
        <v>161895.85</v>
      </c>
      <c r="CC81" s="5">
        <v>70263.350000000006</v>
      </c>
      <c r="CD81" s="5">
        <v>12062.51</v>
      </c>
      <c r="CE81" s="5">
        <v>786.05</v>
      </c>
      <c r="CF81" s="763">
        <f t="shared" si="191"/>
        <v>5.916666666666667</v>
      </c>
      <c r="CG81" s="785">
        <v>43046</v>
      </c>
      <c r="CH81" s="785">
        <v>2333</v>
      </c>
      <c r="CI81" s="785">
        <v>392</v>
      </c>
      <c r="CJ81" s="785">
        <v>3</v>
      </c>
      <c r="CK81" s="785">
        <v>13075.666666666672</v>
      </c>
      <c r="CL81" s="785">
        <v>43.666666666666686</v>
      </c>
      <c r="CM81" s="785">
        <v>391.66666666666652</v>
      </c>
      <c r="CN81" s="46">
        <f>Weather!C93</f>
        <v>8.524999999999995</v>
      </c>
      <c r="CO81" s="46">
        <f>Weather!D93</f>
        <v>88.587499999999991</v>
      </c>
      <c r="CP81" s="46">
        <f>Weather!E93</f>
        <v>0.69166666666666643</v>
      </c>
      <c r="CQ81" s="46">
        <f>Weather!F93</f>
        <v>142.75416666666666</v>
      </c>
      <c r="CR81" s="46">
        <f>Weather!G93</f>
        <v>0</v>
      </c>
      <c r="CS81" s="46">
        <f>Weather!H93</f>
        <v>204.06249999999994</v>
      </c>
      <c r="CT81" s="46">
        <f>Weather!I93</f>
        <v>0</v>
      </c>
      <c r="CU81" s="46">
        <f>Weather!J93</f>
        <v>266.0625</v>
      </c>
      <c r="CV81" s="46">
        <f>Weather!K93</f>
        <v>0</v>
      </c>
      <c r="CW81" s="46">
        <f>Weather!L93</f>
        <v>328.06249999999989</v>
      </c>
      <c r="CX81" s="46">
        <f>Weather!M93</f>
        <v>0</v>
      </c>
      <c r="CY81" s="46">
        <f>Weather!N93</f>
        <v>390.06249999999989</v>
      </c>
      <c r="CZ81" s="46">
        <f>Weather!O93</f>
        <v>0</v>
      </c>
      <c r="DA81" s="46">
        <f>Weather!P93</f>
        <v>452.06249999999989</v>
      </c>
      <c r="DB81" s="368">
        <f>'Economic Data'!D95</f>
        <v>7405.9</v>
      </c>
      <c r="DC81" s="368">
        <f>'Economic Data'!E95</f>
        <v>7474.7</v>
      </c>
      <c r="DD81" s="368">
        <f>'Economic Data'!F95</f>
        <v>212.2</v>
      </c>
      <c r="DE81" s="368">
        <f>'Economic Data'!G95</f>
        <v>213.1</v>
      </c>
      <c r="DF81" s="368">
        <f>'Economic Data'!H95</f>
        <v>49.2</v>
      </c>
      <c r="DG81" s="368">
        <f>'Economic Data'!I95</f>
        <v>49.2</v>
      </c>
      <c r="DH81" s="368">
        <f>'Economic Data'!J95</f>
        <v>817265.5</v>
      </c>
      <c r="DI81" s="368">
        <f>'Economic Data'!K95</f>
        <v>634181.69999999995</v>
      </c>
      <c r="DJ81" s="368">
        <f>'Economic Data'!L95</f>
        <v>92312.5</v>
      </c>
      <c r="DK81" s="368">
        <f>'Economic Data'!M95</f>
        <v>25225.4</v>
      </c>
      <c r="DL81" s="368">
        <f>'Economic Data'!N95</f>
        <v>819564</v>
      </c>
      <c r="DM81" s="368">
        <f>'Economic Data'!O95</f>
        <v>91574</v>
      </c>
      <c r="DN81" s="368">
        <f>'Economic Data'!P95</f>
        <v>13797</v>
      </c>
      <c r="DO81" s="368">
        <f>'Economic Data'!Q95</f>
        <v>639578</v>
      </c>
      <c r="DP81" s="368">
        <f>'Economic Data'!R95</f>
        <v>25974</v>
      </c>
      <c r="DQ81">
        <v>31</v>
      </c>
      <c r="DR81">
        <v>20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1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f t="shared" si="189"/>
        <v>80</v>
      </c>
      <c r="EI81">
        <v>1</v>
      </c>
      <c r="EJ81">
        <v>0.5</v>
      </c>
      <c r="EK81">
        <v>0.75</v>
      </c>
      <c r="EL81">
        <v>0</v>
      </c>
      <c r="EM81" s="47">
        <f t="shared" si="125"/>
        <v>4.2624999999999975</v>
      </c>
      <c r="EN81" s="47">
        <f t="shared" si="126"/>
        <v>44.293749999999996</v>
      </c>
      <c r="EO81" s="47">
        <f t="shared" si="127"/>
        <v>0.34583333333333321</v>
      </c>
      <c r="EP81" s="47">
        <f t="shared" si="128"/>
        <v>71.377083333333331</v>
      </c>
      <c r="EQ81" s="47">
        <f t="shared" si="129"/>
        <v>0</v>
      </c>
      <c r="ER81" s="47">
        <f t="shared" si="130"/>
        <v>102.03124999999997</v>
      </c>
      <c r="ES81" s="47">
        <f t="shared" si="131"/>
        <v>0</v>
      </c>
      <c r="ET81" s="47">
        <f t="shared" si="132"/>
        <v>133.03125</v>
      </c>
      <c r="EU81" s="47">
        <f t="shared" si="133"/>
        <v>0</v>
      </c>
      <c r="EV81" s="47">
        <f t="shared" si="134"/>
        <v>164.03124999999994</v>
      </c>
      <c r="EW81" s="47">
        <f t="shared" si="135"/>
        <v>0</v>
      </c>
      <c r="EX81" s="47">
        <f t="shared" si="136"/>
        <v>195.03124999999994</v>
      </c>
      <c r="EY81" s="47">
        <f t="shared" si="137"/>
        <v>0</v>
      </c>
      <c r="EZ81" s="47">
        <f t="shared" si="138"/>
        <v>226.03124999999994</v>
      </c>
      <c r="FA81" s="47">
        <f t="shared" si="139"/>
        <v>6.3937499999999963</v>
      </c>
      <c r="FB81" s="47">
        <f t="shared" si="140"/>
        <v>66.440624999999997</v>
      </c>
      <c r="FC81" s="47">
        <f t="shared" si="141"/>
        <v>0.51874999999999982</v>
      </c>
      <c r="FD81" s="47">
        <f t="shared" si="142"/>
        <v>107.065625</v>
      </c>
      <c r="FE81" s="47">
        <f t="shared" si="143"/>
        <v>0</v>
      </c>
      <c r="FF81" s="47">
        <f t="shared" si="144"/>
        <v>153.04687499999994</v>
      </c>
      <c r="FG81" s="47">
        <f t="shared" si="145"/>
        <v>0</v>
      </c>
      <c r="FH81" s="47">
        <f t="shared" si="146"/>
        <v>199.546875</v>
      </c>
      <c r="FI81" s="47">
        <f t="shared" si="147"/>
        <v>0</v>
      </c>
      <c r="FJ81" s="47">
        <f t="shared" si="148"/>
        <v>246.04687499999991</v>
      </c>
      <c r="FK81" s="47">
        <f t="shared" si="149"/>
        <v>0</v>
      </c>
      <c r="FL81" s="47">
        <f t="shared" si="150"/>
        <v>292.54687499999989</v>
      </c>
      <c r="FM81" s="47">
        <f t="shared" si="151"/>
        <v>0</v>
      </c>
      <c r="FN81" s="47">
        <f t="shared" si="152"/>
        <v>339.04687499999989</v>
      </c>
      <c r="FO81" s="765">
        <f t="shared" ca="1" si="153"/>
        <v>1070.998123884292</v>
      </c>
      <c r="FP81" s="765">
        <f t="shared" ca="1" si="154"/>
        <v>766.26217696815127</v>
      </c>
      <c r="FQ81" s="765">
        <f t="shared" ca="1" si="155"/>
        <v>2957.8517365999824</v>
      </c>
      <c r="FR81" s="765">
        <f t="shared" ca="1" si="156"/>
        <v>85811.313417014127</v>
      </c>
      <c r="FS81" s="765">
        <f t="shared" ca="1" si="157"/>
        <v>1491250.7468406935</v>
      </c>
      <c r="FT81" s="765">
        <f t="shared" ca="1" si="158"/>
        <v>5947833.0765000135</v>
      </c>
      <c r="FU81" s="765">
        <f t="shared" si="159"/>
        <v>26.671244057885666</v>
      </c>
      <c r="FV81" s="765">
        <f t="shared" si="160"/>
        <v>78.603463087248343</v>
      </c>
      <c r="FW81" s="765">
        <f t="shared" si="161"/>
        <v>496.57105985037407</v>
      </c>
      <c r="FX81" s="765">
        <f t="shared" ca="1" si="162"/>
        <v>1169.6587548901061</v>
      </c>
      <c r="FY81" s="765">
        <f t="shared" ca="1" si="163"/>
        <v>3601.2554017600851</v>
      </c>
      <c r="FZ81" s="765">
        <f t="shared" ca="1" si="164"/>
        <v>80901.574472215609</v>
      </c>
      <c r="GA81" s="765">
        <f t="shared" si="165"/>
        <v>79687.89</v>
      </c>
      <c r="GB81" s="765">
        <f t="shared" si="166"/>
        <v>18.2830960817804</v>
      </c>
      <c r="GC81" s="765">
        <f t="shared" si="167"/>
        <v>53.247268108206484</v>
      </c>
      <c r="GD81" s="765">
        <f t="shared" si="168"/>
        <v>413.35110638297891</v>
      </c>
    </row>
    <row r="82" spans="1:186">
      <c r="A82" s="4">
        <v>44440</v>
      </c>
      <c r="B82" s="6">
        <v>2021</v>
      </c>
      <c r="C82" s="5">
        <v>9</v>
      </c>
      <c r="D82" s="7">
        <v>75046710.733019903</v>
      </c>
      <c r="E82" s="7">
        <f ca="1">IFERROR(VLOOKUP($B82-1,CDM!$V$4:$AJ$17,2,FALSE)/12,0)+IFERROR(VLOOKUP($B82,CDM!$V$41:$AJ$54,2,FALSE)/24,0)+IFERROR(VLOOKUP($B82,CDM!$V$41:$AJ$54,2,FALSE)/2*$C82/78,0)</f>
        <v>3846060.5117503842</v>
      </c>
      <c r="F82" s="7">
        <f t="shared" ca="1" si="169"/>
        <v>78892771.244770288</v>
      </c>
      <c r="G82" s="7">
        <f>IFERROR(HLOOKUP(B82-1,'EV Forecast VRZ'!$F$124:$T$130,2,FALSE)/12,0)+IFERROR(((HLOOKUP(B82,'EV Forecast VRZ'!$F$116:$T$122,2,FALSE)-HLOOKUP(B82-1,'EV Forecast VRZ'!$F$124:$T$130,2,FALSE)))*C82/78,0)</f>
        <v>343464.24284634326</v>
      </c>
      <c r="H82" s="7">
        <f ca="1">HLOOKUP(B82,Heating!$C$102:$O$106,2,FALSE)*INDEX(Weather!$BO$1:$CB$20,MATCH(B82,Weather!$BO$1:$BO$20,0),MATCH(C82,Weather!$BO$1:$CB$1,0))/VLOOKUP(B82,Weather!$BO$2:$CB$20,14,FALSE)*
VLOOKUP('Monthly Data'!$B82,Weather!$BO$3:$CB$20,14,FALSE)/Weather!$CB$14</f>
        <v>69947.211755806624</v>
      </c>
      <c r="I82" s="7">
        <f t="shared" ca="1" si="170"/>
        <v>78479359.790168136</v>
      </c>
      <c r="J82" s="7">
        <v>825485.01095000003</v>
      </c>
      <c r="K82" s="7">
        <f ca="1">IFERROR(VLOOKUP($B82-1,CDM!$V$4:$AJ$17,3,FALSE)/12,0)+IFERROR(VLOOKUP($B82,CDM!$V$41:$AJ$54,3,FALSE)/24,0)+IFERROR(VLOOKUP($B82,CDM!$V$41:$AJ$54,3,FALSE)/2*$C82/78,0)</f>
        <v>44052.021652175492</v>
      </c>
      <c r="L82" s="7">
        <f t="shared" ca="1" si="171"/>
        <v>869537.03260217549</v>
      </c>
      <c r="M82" s="7">
        <f>IFERROR(HLOOKUP(B82-1,'EV Forecast VRZ'!$F$124:$T$130,3,FALSE)/12,0)+IFERROR(((HLOOKUP(B82,'EV Forecast VRZ'!$F$116:$T$122,3,FALSE)-HLOOKUP(B82-1,'EV Forecast VRZ'!$F$124:$T$130,3,FALSE)))*C82/78,0)</f>
        <v>4672.6257434002664</v>
      </c>
      <c r="N82" s="7">
        <f ca="1">HLOOKUP(B82,Heating!$C$102:$O$106,3,FALSE)*INDEX(Weather!$BO$1:$CB$20,MATCH(B82,Weather!$BO$1:$BO$20,0),MATCH(C82,Weather!$BO$1:$CB$1,0))/VLOOKUP(B82,Weather!$BO$2:$CB$20,14,FALSE)*
VLOOKUP('Monthly Data'!$B82,Weather!$BO$3:$CB$20,14,FALSE)/Weather!$CB$14</f>
        <v>874.70947173127115</v>
      </c>
      <c r="O82" s="7">
        <f t="shared" ca="1" si="172"/>
        <v>863989.69738704397</v>
      </c>
      <c r="P82" s="7">
        <v>21116890.36403</v>
      </c>
      <c r="Q82" s="7">
        <f ca="1">IFERROR(VLOOKUP($B82-1,CDM!$V$4:$AJ$17,4,FALSE)/12,0)+IFERROR(VLOOKUP($B82,CDM!$V$41:$AJ$54,4,FALSE)/24,0)+IFERROR(VLOOKUP($B82,CDM!$V$41:$AJ$54,4,FALSE)/2*$C82/78,0)</f>
        <v>1422063.6524059372</v>
      </c>
      <c r="R82" s="7">
        <f t="shared" ca="1" si="173"/>
        <v>22538954.016435936</v>
      </c>
      <c r="S82" s="7">
        <f>IFERROR(HLOOKUP(B82-1,'EV Forecast VRZ'!$F$124:$T$130,4,FALSE)/12,0)+IFERROR(((HLOOKUP(B82,'EV Forecast VRZ'!$F$116:$T$122,4,FALSE)-HLOOKUP(B82-1,'EV Forecast VRZ'!$F$124:$T$130,4,FALSE)))*C82/78,0)</f>
        <v>42425.378205128203</v>
      </c>
      <c r="T82" s="7">
        <f ca="1">HLOOKUP(B82,Heating!$C$102:$O$106,4,FALSE)*INDEX(Weather!$BO$1:$CB$20,MATCH(B82,Weather!$BO$1:$BO$20,0),MATCH(C82,Weather!$BO$1:$CB$1,0))/VLOOKUP(B82,Weather!$BO$2:$CB$20,14,FALSE)*
VLOOKUP('Monthly Data'!$B82,Weather!$BO$3:$CB$20,14,FALSE)/Weather!$CB$14</f>
        <v>17132.831382893761</v>
      </c>
      <c r="U82" s="7">
        <f t="shared" ca="1" si="174"/>
        <v>22479395.806847915</v>
      </c>
      <c r="V82" s="7">
        <v>75531581.650000006</v>
      </c>
      <c r="W82" s="7">
        <f ca="1">IFERROR(VLOOKUP($B82-1,CDM!$V$4:$AJ$17,5,FALSE)/12,0)+IFERROR(VLOOKUP($B82,CDM!$V$41:$AJ$54,5,FALSE)/24,0)+IFERROR(VLOOKUP($B82,CDM!$V$41:$AJ$54,5,FALSE)/2*$C82/78,0)</f>
        <v>5420844.1579120951</v>
      </c>
      <c r="X82" s="7">
        <f t="shared" ca="1" si="175"/>
        <v>80952425.807912096</v>
      </c>
      <c r="Y82" s="7">
        <f>IFERROR(HLOOKUP(B82-1,'EV Forecast VRZ'!$F$124:$T$130,5,FALSE)/12,0)+IFERROR(((HLOOKUP(B82,'EV Forecast VRZ'!$F$116:$T$122,5,FALSE)-HLOOKUP(B82-1,'EV Forecast VRZ'!$F$124:$T$130,5,FALSE)))*C82/78,0)</f>
        <v>19210.266346153847</v>
      </c>
      <c r="Z82" s="7">
        <f ca="1">HLOOKUP(B82,Heating!$C$102:$O$106,5,FALSE)*INDEX(Weather!$BO$1:$CB$20,MATCH(B82,Weather!$BO$1:$BO$20,0),MATCH(C82,Weather!$BO$1:$CB$1,0))/VLOOKUP(B82,Weather!$BO$2:$CB$20,14,FALSE)*
VLOOKUP('Monthly Data'!$B82,Weather!$BO$3:$CB$20,14,FALSE)/Weather!$CB$14</f>
        <v>9290.8052810918161</v>
      </c>
      <c r="AA82" s="7">
        <f t="shared" ca="1" si="176"/>
        <v>80923924.736284852</v>
      </c>
      <c r="AB82" s="7">
        <v>8336466.7000000002</v>
      </c>
      <c r="AC82" s="7">
        <f ca="1">IFERROR(VLOOKUP($B82-1,CDM!$V$4:$AJ$17,6,FALSE)/12,0)+IFERROR(VLOOKUP($B82,CDM!$V$41:$AJ$54,6,FALSE)/24,0)+IFERROR(VLOOKUP($B82,CDM!$V$41:$AJ$54,6,FALSE)/2*$C82/78,0)</f>
        <v>245937.01893325304</v>
      </c>
      <c r="AD82" s="7">
        <f t="shared" ca="1" si="177"/>
        <v>8582403.7189332526</v>
      </c>
      <c r="AE82" s="7">
        <f>IFERROR(HLOOKUP(B82-1,'EV Forecast VRZ'!$F$124:$T$130,6,FALSE)/12,0)+IFERROR(((HLOOKUP(B82,'EV Forecast VRZ'!$F$116:$T$122,6,FALSE)-HLOOKUP(B82-1,'EV Forecast VRZ'!$F$124:$T$130,6,FALSE)))*C82/78,0)</f>
        <v>2596.6535256410252</v>
      </c>
      <c r="AF82" s="7">
        <f t="shared" ca="1" si="178"/>
        <v>8579807.0654076114</v>
      </c>
      <c r="AG82" s="7">
        <v>22987362.239999998</v>
      </c>
      <c r="AH82" s="7">
        <f ca="1">IFERROR(VLOOKUP($B82-1,CDM!$V$4:$AJ$17,7,FALSE)/12,0)+IFERROR(VLOOKUP($B82,CDM!$V$41:$AJ$54,7,FALSE)/24,0)+IFERROR(VLOOKUP($B82,CDM!$V$41:$AJ$54,7,FALSE)/2*$C82/78,0)</f>
        <v>1741688.0115774353</v>
      </c>
      <c r="AI82" s="7">
        <f t="shared" ca="1" si="179"/>
        <v>24729050.251577433</v>
      </c>
      <c r="AJ82" s="7">
        <f>IFERROR(HLOOKUP(B82-1,'EV Forecast VRZ'!$F$124:$T$130,7,FALSE)/12,0)+IFERROR(((HLOOKUP(B82,'EV Forecast VRZ'!$F$116:$T$122,7,FALSE)-HLOOKUP(B82-1,'EV Forecast VRZ'!$F$124:$T$130,7,FALSE)))*C82/78,0)</f>
        <v>0</v>
      </c>
      <c r="AK82" s="7">
        <f t="shared" ca="1" si="180"/>
        <v>24729050.251577433</v>
      </c>
      <c r="AL82" s="7">
        <v>925632.19</v>
      </c>
      <c r="AM82" s="7">
        <v>18550.14</v>
      </c>
      <c r="AN82" s="7">
        <v>398215.39</v>
      </c>
      <c r="AO82" s="5">
        <v>187589.42</v>
      </c>
      <c r="AP82" s="5">
        <v>19363.5</v>
      </c>
      <c r="AQ82" s="5">
        <v>40294</v>
      </c>
      <c r="AR82" s="5">
        <v>2580.0700000000002</v>
      </c>
      <c r="AS82" s="763">
        <f t="shared" si="190"/>
        <v>52.666666666666664</v>
      </c>
      <c r="AT82" s="776">
        <v>113218.24999999996</v>
      </c>
      <c r="AU82" s="776">
        <v>1558.0000000000007</v>
      </c>
      <c r="AV82" s="776">
        <v>9325.7499999999945</v>
      </c>
      <c r="AW82" s="776">
        <v>1055.7500000000007</v>
      </c>
      <c r="AX82" s="776">
        <v>5.7499999999999973</v>
      </c>
      <c r="AY82" s="776">
        <v>4</v>
      </c>
      <c r="AZ82" s="776">
        <v>31704.999999999989</v>
      </c>
      <c r="BA82" s="776">
        <v>247.99999999999991</v>
      </c>
      <c r="BB82" s="776">
        <v>802.25</v>
      </c>
      <c r="BC82" s="779">
        <v>31175541.399359901</v>
      </c>
      <c r="BD82" s="779">
        <f ca="1">IFERROR(VLOOKUP($B82-1,CDM!$V$4:$AJ$17,11,FALSE)/12,0)+IFERROR(VLOOKUP($B82,CDM!$V$41:$AJ$54,11,FALSE)/24,0)+IFERROR(VLOOKUP($B82,CDM!$V$41:$AJ$54,11,FALSE)/2*$C82/78,0)</f>
        <v>1654970.2107429656</v>
      </c>
      <c r="BE82" s="779">
        <f t="shared" ca="1" si="123"/>
        <v>32830511.610102866</v>
      </c>
      <c r="BF82" s="779">
        <f>IFERROR(HLOOKUP(B82-1,'EV Forecast WRZ'!$F$124:$T$130,2,FALSE)/12,0)+IFERROR(((HLOOKUP(B82,'EV Forecast WRZ'!$F$116:$T$122,2,FALSE)-HLOOKUP(B82-1,'EV Forecast WRZ'!$F$124:$T$130,2,FALSE)))*C82/78,0)</f>
        <v>111036.29628205129</v>
      </c>
      <c r="BG82" s="779">
        <f ca="1">HLOOKUP(B82,Heating!$R$102:$AD$106,2,FALSE)*INDEX(Weather!$BO$1:$CB$20,MATCH(B82,Weather!$BO$1:$BO$20,0),MATCH(C82,Weather!$BO$1:$CB$1,0))/VLOOKUP(B82,Weather!$BO$2:$CB$20,14,FALSE)*
VLOOKUP('Monthly Data'!$B82,Weather!$BO$3:$CB$20,14,FALSE)/Weather!$CB$14</f>
        <v>29641.88149770263</v>
      </c>
      <c r="BH82" s="779">
        <f t="shared" ca="1" si="181"/>
        <v>32689833.432323109</v>
      </c>
      <c r="BI82" s="779">
        <v>6629286.0111600002</v>
      </c>
      <c r="BJ82" s="779">
        <f ca="1">IFERROR(VLOOKUP($B82-1,CDM!$V$4:$AJ$17,12,FALSE)/12,0)+IFERROR(VLOOKUP($B82,CDM!$V$41:$AJ$54,12,FALSE)/24,0)+IFERROR(VLOOKUP($B82,CDM!$V$41:$AJ$54,12,FALSE)/2*$C82/78,0)</f>
        <v>234688.38700127695</v>
      </c>
      <c r="BK82" s="779">
        <f t="shared" ca="1" si="182"/>
        <v>6863974.3981612772</v>
      </c>
      <c r="BL82" s="779">
        <f>IFERROR(HLOOKUP(B82-1,'EV Forecast WRZ'!$F$124:$T$130,3,FALSE)/12,0)+IFERROR(((HLOOKUP(B82,'EV Forecast WRZ'!$F$116:$T$122,3,FALSE)-HLOOKUP(B82-1,'EV Forecast WRZ'!$F$124:$T$130,3,FALSE)))*C82/78,0)</f>
        <v>13526.328974358976</v>
      </c>
      <c r="BM82" s="779">
        <f ca="1">HLOOKUP(B82,Heating!$R$102:$AD$106,4,FALSE)*INDEX(Weather!$BO$1:$CB$20,MATCH(B82,Weather!$BO$1:$BO$20,0),MATCH(C82,Weather!$BO$1:$CB$1,0))/VLOOKUP(B82,Weather!$BO$2:$CB$20,14,FALSE)*
VLOOKUP('Monthly Data'!$B82,Weather!$BO$3:$CB$20,14,FALSE)/Weather!$CB$14</f>
        <v>4476.4752211139548</v>
      </c>
      <c r="BN82" s="779">
        <f t="shared" ca="1" si="183"/>
        <v>6845971.5939658042</v>
      </c>
      <c r="BO82" s="779">
        <v>25587991.039999999</v>
      </c>
      <c r="BP82" s="779">
        <f ca="1">IFERROR(VLOOKUP($B82-1,CDM!$V$4:$AJ$17,13,FALSE)/12,0)+IFERROR(VLOOKUP($B82,CDM!$V$41:$AJ$54,13,FALSE)/24,0)+IFERROR(VLOOKUP($B82,CDM!$V$41:$AJ$54,13,FALSE)/2*$C82/78,0)</f>
        <v>2197555.8901234004</v>
      </c>
      <c r="BQ82" s="779">
        <f t="shared" ca="1" si="184"/>
        <v>27785546.9301234</v>
      </c>
      <c r="BR82" s="779">
        <f>IFERROR(HLOOKUP(B82-1,'EV Forecast WRZ'!$F$124:$T$130,4,FALSE)/12,0)+IFERROR(((HLOOKUP(B82,'EV Forecast WRZ'!$F$116:$T$122,4,FALSE)-HLOOKUP(B82-1,'EV Forecast WRZ'!$F$124:$T$130,4,FALSE)))*C82/78,0)</f>
        <v>6124.3480384615395</v>
      </c>
      <c r="BS82" s="779">
        <f ca="1">HLOOKUP(B82,Heating!$R$102:$AD$106,5,FALSE)*INDEX(Weather!$BO$1:$CB$20,MATCH(B82,Weather!$BO$1:$BO$20,0),MATCH(C82,Weather!$BO$1:$CB$1,0))/VLOOKUP(B82,Weather!$BO$2:$CB$20,14,FALSE)*
VLOOKUP('Monthly Data'!$B82,Weather!$BO$3:$CB$20,14,FALSE)/Weather!$CB$14</f>
        <v>2741.4476361844481</v>
      </c>
      <c r="BT82" s="779">
        <f t="shared" ca="1" si="185"/>
        <v>27776681.134448756</v>
      </c>
      <c r="BU82" s="779">
        <v>7372050.21</v>
      </c>
      <c r="BV82" s="779">
        <f ca="1">IFERROR(VLOOKUP($B82-1,CDM!$V$4:$AJ$17,14,FALSE)/12,0)+IFERROR(VLOOKUP($B82,CDM!$V$41:$AJ$54,14,FALSE)/24,0)+IFERROR(VLOOKUP($B82,CDM!$V$41:$AJ$54,14,FALSE)/2*$C82/78,0)</f>
        <v>494081.33248516254</v>
      </c>
      <c r="BW82" s="779">
        <f t="shared" ca="1" si="186"/>
        <v>7866131.5424851626</v>
      </c>
      <c r="BX82" s="779">
        <f>IFERROR(HLOOKUP(B82-1,'EV Forecast WRZ'!$F$124:$T$130,5,FALSE)/12,0)+IFERROR(((HLOOKUP(B82,'EV Forecast WRZ'!$F$116:$T$122,5,FALSE)-HLOOKUP(B82-1,'EV Forecast WRZ'!$F$124:$T$130,5,FALSE)))*C82/78,0)</f>
        <v>826.31644871794879</v>
      </c>
      <c r="BY82" s="779">
        <f t="shared" ca="1" si="124"/>
        <v>7865305.2260364443</v>
      </c>
      <c r="BZ82" s="779">
        <v>245683.64</v>
      </c>
      <c r="CA82" s="779">
        <v>1810.1688728686941</v>
      </c>
      <c r="CB82" s="5">
        <v>161895.85</v>
      </c>
      <c r="CC82" s="5">
        <v>64162.22</v>
      </c>
      <c r="CD82" s="5">
        <v>12188.04</v>
      </c>
      <c r="CE82" s="5">
        <v>788.21</v>
      </c>
      <c r="CF82" s="763">
        <f t="shared" si="191"/>
        <v>5.916666666666667</v>
      </c>
      <c r="CG82" s="785">
        <v>43144.75</v>
      </c>
      <c r="CH82" s="785">
        <v>2337.25</v>
      </c>
      <c r="CI82" s="785">
        <v>392.75</v>
      </c>
      <c r="CJ82" s="785">
        <v>3</v>
      </c>
      <c r="CK82" s="785">
        <v>13110.250000000005</v>
      </c>
      <c r="CL82" s="785">
        <v>44.500000000000021</v>
      </c>
      <c r="CM82" s="785">
        <v>391.74999999999983</v>
      </c>
      <c r="CN82" s="46">
        <f>Weather!C94</f>
        <v>93.104166666666671</v>
      </c>
      <c r="CO82" s="46">
        <f>Weather!D94</f>
        <v>2.37916666666667</v>
      </c>
      <c r="CP82" s="46">
        <f>Weather!E94</f>
        <v>45.679166666666674</v>
      </c>
      <c r="CQ82" s="46">
        <f>Weather!F94</f>
        <v>14.954166666666683</v>
      </c>
      <c r="CR82" s="46">
        <f>Weather!G94</f>
        <v>20.066666666666677</v>
      </c>
      <c r="CS82" s="46">
        <f>Weather!H94</f>
        <v>49.341666666666683</v>
      </c>
      <c r="CT82" s="46">
        <f>Weather!I94</f>
        <v>5.9833333333333432</v>
      </c>
      <c r="CU82" s="46">
        <f>Weather!J94</f>
        <v>95.25833333333334</v>
      </c>
      <c r="CV82" s="46">
        <f>Weather!K94</f>
        <v>0.28333333333333321</v>
      </c>
      <c r="CW82" s="46">
        <f>Weather!L94</f>
        <v>149.55833333333328</v>
      </c>
      <c r="CX82" s="46">
        <f>Weather!M94</f>
        <v>0</v>
      </c>
      <c r="CY82" s="46">
        <f>Weather!N94</f>
        <v>209.27500000000001</v>
      </c>
      <c r="CZ82" s="46">
        <f>Weather!O94</f>
        <v>0</v>
      </c>
      <c r="DA82" s="46">
        <f>Weather!P94</f>
        <v>269.27499999999998</v>
      </c>
      <c r="DB82" s="368">
        <f>'Economic Data'!D96</f>
        <v>7482</v>
      </c>
      <c r="DC82" s="368">
        <f>'Economic Data'!E96</f>
        <v>7507</v>
      </c>
      <c r="DD82" s="368">
        <f>'Economic Data'!F96</f>
        <v>216.7</v>
      </c>
      <c r="DE82" s="368">
        <f>'Economic Data'!G96</f>
        <v>215.5</v>
      </c>
      <c r="DF82" s="368">
        <f>'Economic Data'!H96</f>
        <v>52.6</v>
      </c>
      <c r="DG82" s="368">
        <f>'Economic Data'!I96</f>
        <v>52.6</v>
      </c>
      <c r="DH82" s="368">
        <f>'Economic Data'!J96</f>
        <v>817265.5</v>
      </c>
      <c r="DI82" s="368">
        <f>'Economic Data'!K96</f>
        <v>634181.69999999995</v>
      </c>
      <c r="DJ82" s="368">
        <f>'Economic Data'!L96</f>
        <v>92312.5</v>
      </c>
      <c r="DK82" s="368">
        <f>'Economic Data'!M96</f>
        <v>25225.4</v>
      </c>
      <c r="DL82" s="368">
        <f>'Economic Data'!N96</f>
        <v>819564</v>
      </c>
      <c r="DM82" s="368">
        <f>'Economic Data'!O96</f>
        <v>91574</v>
      </c>
      <c r="DN82" s="368">
        <f>'Economic Data'!P96</f>
        <v>13797</v>
      </c>
      <c r="DO82" s="368">
        <f>'Economic Data'!Q96</f>
        <v>639578</v>
      </c>
      <c r="DP82" s="368">
        <f>'Economic Data'!R96</f>
        <v>25974</v>
      </c>
      <c r="DQ82">
        <v>30</v>
      </c>
      <c r="DR82">
        <v>20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1</v>
      </c>
      <c r="EB82">
        <v>0</v>
      </c>
      <c r="EC82">
        <v>0</v>
      </c>
      <c r="ED82">
        <v>0</v>
      </c>
      <c r="EE82">
        <v>0</v>
      </c>
      <c r="EF82">
        <v>1</v>
      </c>
      <c r="EG82">
        <v>1</v>
      </c>
      <c r="EH82">
        <f t="shared" si="189"/>
        <v>81</v>
      </c>
      <c r="EI82">
        <v>1</v>
      </c>
      <c r="EJ82">
        <v>0.5</v>
      </c>
      <c r="EK82">
        <v>0.75</v>
      </c>
      <c r="EL82">
        <v>0</v>
      </c>
      <c r="EM82" s="47">
        <f t="shared" si="125"/>
        <v>46.552083333333336</v>
      </c>
      <c r="EN82" s="47">
        <f t="shared" si="126"/>
        <v>1.189583333333335</v>
      </c>
      <c r="EO82" s="47">
        <f t="shared" si="127"/>
        <v>22.839583333333337</v>
      </c>
      <c r="EP82" s="47">
        <f t="shared" si="128"/>
        <v>7.4770833333333417</v>
      </c>
      <c r="EQ82" s="47">
        <f t="shared" si="129"/>
        <v>10.033333333333339</v>
      </c>
      <c r="ER82" s="47">
        <f t="shared" si="130"/>
        <v>24.670833333333341</v>
      </c>
      <c r="ES82" s="47">
        <f t="shared" si="131"/>
        <v>2.9916666666666716</v>
      </c>
      <c r="ET82" s="47">
        <f t="shared" si="132"/>
        <v>47.62916666666667</v>
      </c>
      <c r="EU82" s="47">
        <f t="shared" si="133"/>
        <v>0.14166666666666661</v>
      </c>
      <c r="EV82" s="47">
        <f t="shared" si="134"/>
        <v>74.77916666666664</v>
      </c>
      <c r="EW82" s="47">
        <f t="shared" si="135"/>
        <v>0</v>
      </c>
      <c r="EX82" s="47">
        <f t="shared" si="136"/>
        <v>104.6375</v>
      </c>
      <c r="EY82" s="47">
        <f t="shared" si="137"/>
        <v>0</v>
      </c>
      <c r="EZ82" s="47">
        <f t="shared" si="138"/>
        <v>134.63749999999999</v>
      </c>
      <c r="FA82" s="47">
        <f t="shared" si="139"/>
        <v>69.828125</v>
      </c>
      <c r="FB82" s="47">
        <f t="shared" si="140"/>
        <v>1.7843750000000025</v>
      </c>
      <c r="FC82" s="47">
        <f t="shared" si="141"/>
        <v>34.259375000000006</v>
      </c>
      <c r="FD82" s="47">
        <f t="shared" si="142"/>
        <v>11.215625000000014</v>
      </c>
      <c r="FE82" s="47">
        <f t="shared" si="143"/>
        <v>15.050000000000008</v>
      </c>
      <c r="FF82" s="47">
        <f t="shared" si="144"/>
        <v>37.006250000000009</v>
      </c>
      <c r="FG82" s="47">
        <f t="shared" si="145"/>
        <v>4.4875000000000078</v>
      </c>
      <c r="FH82" s="47">
        <f t="shared" si="146"/>
        <v>71.443750000000009</v>
      </c>
      <c r="FI82" s="47">
        <f t="shared" si="147"/>
        <v>0.21249999999999991</v>
      </c>
      <c r="FJ82" s="47">
        <f t="shared" si="148"/>
        <v>112.16874999999996</v>
      </c>
      <c r="FK82" s="47">
        <f t="shared" si="149"/>
        <v>0</v>
      </c>
      <c r="FL82" s="47">
        <f t="shared" si="150"/>
        <v>156.95625000000001</v>
      </c>
      <c r="FM82" s="47">
        <f t="shared" si="151"/>
        <v>0</v>
      </c>
      <c r="FN82" s="47">
        <f t="shared" si="152"/>
        <v>201.95624999999998</v>
      </c>
      <c r="FO82" s="765">
        <f t="shared" ca="1" si="153"/>
        <v>693.16881147843367</v>
      </c>
      <c r="FP82" s="765">
        <f t="shared" ca="1" si="154"/>
        <v>558.11106072026644</v>
      </c>
      <c r="FQ82" s="765">
        <f t="shared" ca="1" si="155"/>
        <v>2416.851622275522</v>
      </c>
      <c r="FR82" s="765">
        <f t="shared" ca="1" si="156"/>
        <v>76677.646988313558</v>
      </c>
      <c r="FS82" s="765">
        <f t="shared" ca="1" si="157"/>
        <v>1492591.9511188273</v>
      </c>
      <c r="FT82" s="765">
        <f t="shared" ca="1" si="158"/>
        <v>6182262.5628943583</v>
      </c>
      <c r="FU82" s="765">
        <f t="shared" si="159"/>
        <v>29.195148714713778</v>
      </c>
      <c r="FV82" s="765">
        <f t="shared" si="160"/>
        <v>74.798951612903252</v>
      </c>
      <c r="FW82" s="765">
        <f t="shared" si="161"/>
        <v>496.37318790900594</v>
      </c>
      <c r="FX82" s="765">
        <f t="shared" ca="1" si="162"/>
        <v>760.93873785577307</v>
      </c>
      <c r="FY82" s="765">
        <f t="shared" ca="1" si="163"/>
        <v>2936.7737290239716</v>
      </c>
      <c r="FZ82" s="765">
        <f t="shared" ca="1" si="164"/>
        <v>70746.14113335048</v>
      </c>
      <c r="GA82" s="765">
        <f t="shared" si="165"/>
        <v>81894.546666666676</v>
      </c>
      <c r="GB82" s="765">
        <f t="shared" si="166"/>
        <v>18.739813504700514</v>
      </c>
      <c r="GC82" s="765">
        <f t="shared" si="167"/>
        <v>40.677952199296477</v>
      </c>
      <c r="GD82" s="765">
        <f t="shared" si="168"/>
        <v>413.26317804722419</v>
      </c>
    </row>
    <row r="83" spans="1:186">
      <c r="A83" s="4">
        <v>44470</v>
      </c>
      <c r="B83" s="6">
        <v>2021</v>
      </c>
      <c r="C83" s="5">
        <v>10</v>
      </c>
      <c r="D83" s="7">
        <v>70038457.550959796</v>
      </c>
      <c r="E83" s="7">
        <f ca="1">IFERROR(VLOOKUP($B83-1,CDM!$V$4:$AJ$17,2,FALSE)/12,0)+IFERROR(VLOOKUP($B83,CDM!$V$41:$AJ$54,2,FALSE)/24,0)+IFERROR(VLOOKUP($B83,CDM!$V$41:$AJ$54,2,FALSE)/2*$C83/78,0)</f>
        <v>3847000.2057189005</v>
      </c>
      <c r="F83" s="7">
        <f t="shared" ca="1" si="169"/>
        <v>73885457.7566787</v>
      </c>
      <c r="G83" s="7">
        <f>IFERROR(HLOOKUP(B83-1,'EV Forecast VRZ'!$F$124:$T$130,2,FALSE)/12,0)+IFERROR(((HLOOKUP(B83,'EV Forecast VRZ'!$F$116:$T$122,2,FALSE)-HLOOKUP(B83-1,'EV Forecast VRZ'!$F$124:$T$130,2,FALSE)))*C83/78,0)</f>
        <v>352870.10909361229</v>
      </c>
      <c r="H83" s="7">
        <f ca="1">HLOOKUP(B83,Heating!$C$102:$O$106,2,FALSE)*INDEX(Weather!$BO$1:$CB$20,MATCH(B83,Weather!$BO$1:$BO$20,0),MATCH(C83,Weather!$BO$1:$CB$1,0))/VLOOKUP(B83,Weather!$BO$2:$CB$20,14,FALSE)*
VLOOKUP('Monthly Data'!$B83,Weather!$BO$3:$CB$20,14,FALSE)/Weather!$CB$14</f>
        <v>235011.91259813739</v>
      </c>
      <c r="I83" s="7">
        <f t="shared" ca="1" si="170"/>
        <v>73297575.734986961</v>
      </c>
      <c r="J83" s="7">
        <v>831479.18441000103</v>
      </c>
      <c r="K83" s="7">
        <f ca="1">IFERROR(VLOOKUP($B83-1,CDM!$V$4:$AJ$17,3,FALSE)/12,0)+IFERROR(VLOOKUP($B83,CDM!$V$41:$AJ$54,3,FALSE)/24,0)+IFERROR(VLOOKUP($B83,CDM!$V$41:$AJ$54,3,FALSE)/2*$C83/78,0)</f>
        <v>44062.784722314675</v>
      </c>
      <c r="L83" s="7">
        <f t="shared" ca="1" si="171"/>
        <v>875541.96913231572</v>
      </c>
      <c r="M83" s="7">
        <f>IFERROR(HLOOKUP(B83-1,'EV Forecast VRZ'!$F$124:$T$130,3,FALSE)/12,0)+IFERROR(((HLOOKUP(B83,'EV Forecast VRZ'!$F$116:$T$122,3,FALSE)-HLOOKUP(B83-1,'EV Forecast VRZ'!$F$124:$T$130,3,FALSE)))*C83/78,0)</f>
        <v>4800.5869320286583</v>
      </c>
      <c r="N83" s="7">
        <f ca="1">HLOOKUP(B83,Heating!$C$102:$O$106,3,FALSE)*INDEX(Weather!$BO$1:$CB$20,MATCH(B83,Weather!$BO$1:$BO$20,0),MATCH(C83,Weather!$BO$1:$CB$1,0))/VLOOKUP(B83,Weather!$BO$2:$CB$20,14,FALSE)*
VLOOKUP('Monthly Data'!$B83,Weather!$BO$3:$CB$20,14,FALSE)/Weather!$CB$14</f>
        <v>2938.8897821535738</v>
      </c>
      <c r="O83" s="7">
        <f t="shared" ca="1" si="172"/>
        <v>867802.49241813354</v>
      </c>
      <c r="P83" s="7">
        <v>20531059.12458</v>
      </c>
      <c r="Q83" s="7">
        <f ca="1">IFERROR(VLOOKUP($B83-1,CDM!$V$4:$AJ$17,4,FALSE)/12,0)+IFERROR(VLOOKUP($B83,CDM!$V$41:$AJ$54,4,FALSE)/24,0)+IFERROR(VLOOKUP($B83,CDM!$V$41:$AJ$54,4,FALSE)/2*$C83/78,0)</f>
        <v>1426665.5601745849</v>
      </c>
      <c r="R83" s="7">
        <f t="shared" ca="1" si="173"/>
        <v>21957724.684754584</v>
      </c>
      <c r="S83" s="7">
        <f>IFERROR(HLOOKUP(B83-1,'EV Forecast VRZ'!$F$124:$T$130,4,FALSE)/12,0)+IFERROR(((HLOOKUP(B83,'EV Forecast VRZ'!$F$116:$T$122,4,FALSE)-HLOOKUP(B83-1,'EV Forecast VRZ'!$F$124:$T$130,4,FALSE)))*C83/78,0)</f>
        <v>43566.009487179486</v>
      </c>
      <c r="T83" s="7">
        <f ca="1">HLOOKUP(B83,Heating!$C$102:$O$106,4,FALSE)*INDEX(Weather!$BO$1:$CB$20,MATCH(B83,Weather!$BO$1:$BO$20,0),MATCH(C83,Weather!$BO$1:$CB$1,0))/VLOOKUP(B83,Weather!$BO$2:$CB$20,14,FALSE)*
VLOOKUP('Monthly Data'!$B83,Weather!$BO$3:$CB$20,14,FALSE)/Weather!$CB$14</f>
        <v>57563.687964745834</v>
      </c>
      <c r="U83" s="7">
        <f t="shared" ca="1" si="174"/>
        <v>21856594.987302661</v>
      </c>
      <c r="V83" s="7">
        <v>74719275.799999997</v>
      </c>
      <c r="W83" s="7">
        <f ca="1">IFERROR(VLOOKUP($B83-1,CDM!$V$4:$AJ$17,5,FALSE)/12,0)+IFERROR(VLOOKUP($B83,CDM!$V$41:$AJ$54,5,FALSE)/24,0)+IFERROR(VLOOKUP($B83,CDM!$V$41:$AJ$54,5,FALSE)/2*$C83/78,0)</f>
        <v>5457978.5531522427</v>
      </c>
      <c r="X83" s="7">
        <f t="shared" ca="1" si="175"/>
        <v>80177254.353152245</v>
      </c>
      <c r="Y83" s="7">
        <f>IFERROR(HLOOKUP(B83-1,'EV Forecast VRZ'!$F$124:$T$130,5,FALSE)/12,0)+IFERROR(((HLOOKUP(B83,'EV Forecast VRZ'!$F$116:$T$122,5,FALSE)-HLOOKUP(B83-1,'EV Forecast VRZ'!$F$124:$T$130,5,FALSE)))*C83/78,0)</f>
        <v>19725.088884615383</v>
      </c>
      <c r="Z83" s="7">
        <f ca="1">HLOOKUP(B83,Heating!$C$102:$O$106,5,FALSE)*INDEX(Weather!$BO$1:$CB$20,MATCH(B83,Weather!$BO$1:$BO$20,0),MATCH(C83,Weather!$BO$1:$CB$1,0))/VLOOKUP(B83,Weather!$BO$2:$CB$20,14,FALSE)*
VLOOKUP('Monthly Data'!$B83,Weather!$BO$3:$CB$20,14,FALSE)/Weather!$CB$14</f>
        <v>31215.681996144831</v>
      </c>
      <c r="AA83" s="7">
        <f t="shared" ca="1" si="176"/>
        <v>80126313.582271472</v>
      </c>
      <c r="AB83" s="7">
        <v>8094253.5099999998</v>
      </c>
      <c r="AC83" s="7">
        <f ca="1">IFERROR(VLOOKUP($B83-1,CDM!$V$4:$AJ$17,6,FALSE)/12,0)+IFERROR(VLOOKUP($B83,CDM!$V$41:$AJ$54,6,FALSE)/24,0)+IFERROR(VLOOKUP($B83,CDM!$V$41:$AJ$54,6,FALSE)/2*$C83/78,0)</f>
        <v>247134.52910257818</v>
      </c>
      <c r="AD83" s="7">
        <f t="shared" ca="1" si="177"/>
        <v>8341388.0391025776</v>
      </c>
      <c r="AE83" s="7">
        <f>IFERROR(HLOOKUP(B83-1,'EV Forecast VRZ'!$F$124:$T$130,6,FALSE)/12,0)+IFERROR(((HLOOKUP(B83,'EV Forecast VRZ'!$F$116:$T$122,6,FALSE)-HLOOKUP(B83-1,'EV Forecast VRZ'!$F$124:$T$130,6,FALSE)))*C83/78,0)</f>
        <v>2659.8389358974355</v>
      </c>
      <c r="AF83" s="7">
        <f t="shared" ca="1" si="178"/>
        <v>8338728.2001666799</v>
      </c>
      <c r="AG83" s="7">
        <v>23400593.960000001</v>
      </c>
      <c r="AH83" s="7">
        <f ca="1">IFERROR(VLOOKUP($B83-1,CDM!$V$4:$AJ$17,7,FALSE)/12,0)+IFERROR(VLOOKUP($B83,CDM!$V$41:$AJ$54,7,FALSE)/24,0)+IFERROR(VLOOKUP($B83,CDM!$V$41:$AJ$54,7,FALSE)/2*$C83/78,0)</f>
        <v>1749034.0271548165</v>
      </c>
      <c r="AI83" s="7">
        <f t="shared" ca="1" si="179"/>
        <v>25149627.987154819</v>
      </c>
      <c r="AJ83" s="7">
        <f>IFERROR(HLOOKUP(B83-1,'EV Forecast VRZ'!$F$124:$T$130,7,FALSE)/12,0)+IFERROR(((HLOOKUP(B83,'EV Forecast VRZ'!$F$116:$T$122,7,FALSE)-HLOOKUP(B83-1,'EV Forecast VRZ'!$F$124:$T$130,7,FALSE)))*C83/78,0)</f>
        <v>0</v>
      </c>
      <c r="AK83" s="7">
        <f t="shared" ca="1" si="180"/>
        <v>25149627.987154819</v>
      </c>
      <c r="AL83" s="7">
        <v>1089749.79</v>
      </c>
      <c r="AM83" s="7">
        <v>18192.480000000003</v>
      </c>
      <c r="AN83" s="7">
        <v>398470.11</v>
      </c>
      <c r="AO83" s="5">
        <v>181046.74</v>
      </c>
      <c r="AP83" s="5">
        <v>17202.79</v>
      </c>
      <c r="AQ83" s="5">
        <v>39330</v>
      </c>
      <c r="AR83" s="5">
        <v>2579.8200000000002</v>
      </c>
      <c r="AS83" s="763">
        <f t="shared" si="190"/>
        <v>52.666666666666664</v>
      </c>
      <c r="AT83" s="776">
        <v>113281.83333333328</v>
      </c>
      <c r="AU83" s="776">
        <v>1557.6666666666674</v>
      </c>
      <c r="AV83" s="776">
        <v>9330.1666666666606</v>
      </c>
      <c r="AW83" s="776">
        <v>1057.1666666666674</v>
      </c>
      <c r="AX83" s="776">
        <v>5.8333333333333304</v>
      </c>
      <c r="AY83" s="776">
        <v>4</v>
      </c>
      <c r="AZ83" s="776">
        <v>31715.333333333321</v>
      </c>
      <c r="BA83" s="776">
        <v>247.66666666666657</v>
      </c>
      <c r="BB83" s="776">
        <v>802.5</v>
      </c>
      <c r="BC83" s="779">
        <v>27636679.788909998</v>
      </c>
      <c r="BD83" s="779">
        <f ca="1">IFERROR(VLOOKUP($B83-1,CDM!$V$4:$AJ$17,11,FALSE)/12,0)+IFERROR(VLOOKUP($B83,CDM!$V$41:$AJ$54,11,FALSE)/24,0)+IFERROR(VLOOKUP($B83,CDM!$V$41:$AJ$54,11,FALSE)/2*$C83/78,0)</f>
        <v>1637875.3333866254</v>
      </c>
      <c r="BE83" s="779">
        <f t="shared" ca="1" si="123"/>
        <v>29274555.122296624</v>
      </c>
      <c r="BF83" s="779">
        <f>IFERROR(HLOOKUP(B83-1,'EV Forecast WRZ'!$F$124:$T$130,2,FALSE)/12,0)+IFERROR(((HLOOKUP(B83,'EV Forecast WRZ'!$F$116:$T$122,2,FALSE)-HLOOKUP(B83-1,'EV Forecast WRZ'!$F$124:$T$130,2,FALSE)))*C83/78,0)</f>
        <v>114344.3567948718</v>
      </c>
      <c r="BG83" s="779">
        <f ca="1">HLOOKUP(B83,Heating!$R$102:$AD$106,2,FALSE)*INDEX(Weather!$BO$1:$CB$20,MATCH(B83,Weather!$BO$1:$BO$20,0),MATCH(C83,Weather!$BO$1:$CB$1,0))/VLOOKUP(B83,Weather!$BO$2:$CB$20,14,FALSE)*
VLOOKUP('Monthly Data'!$B83,Weather!$BO$3:$CB$20,14,FALSE)/Weather!$CB$14</f>
        <v>99592.179429570213</v>
      </c>
      <c r="BH83" s="779">
        <f t="shared" ca="1" si="181"/>
        <v>29060618.586072184</v>
      </c>
      <c r="BI83" s="779">
        <v>6455749.64270999</v>
      </c>
      <c r="BJ83" s="779">
        <f ca="1">IFERROR(VLOOKUP($B83-1,CDM!$V$4:$AJ$17,12,FALSE)/12,0)+IFERROR(VLOOKUP($B83,CDM!$V$41:$AJ$54,12,FALSE)/24,0)+IFERROR(VLOOKUP($B83,CDM!$V$41:$AJ$54,12,FALSE)/2*$C83/78,0)</f>
        <v>235797.52590627433</v>
      </c>
      <c r="BK83" s="779">
        <f t="shared" ca="1" si="182"/>
        <v>6691547.1686162641</v>
      </c>
      <c r="BL83" s="779">
        <f>IFERROR(HLOOKUP(B83-1,'EV Forecast WRZ'!$F$124:$T$130,3,FALSE)/12,0)+IFERROR(((HLOOKUP(B83,'EV Forecast WRZ'!$F$116:$T$122,3,FALSE)-HLOOKUP(B83-1,'EV Forecast WRZ'!$F$124:$T$130,3,FALSE)))*C83/78,0)</f>
        <v>13915.512564102564</v>
      </c>
      <c r="BM83" s="779">
        <f ca="1">HLOOKUP(B83,Heating!$R$102:$AD$106,4,FALSE)*INDEX(Weather!$BO$1:$CB$20,MATCH(B83,Weather!$BO$1:$BO$20,0),MATCH(C83,Weather!$BO$1:$CB$1,0))/VLOOKUP(B83,Weather!$BO$2:$CB$20,14,FALSE)*
VLOOKUP('Monthly Data'!$B83,Weather!$BO$3:$CB$20,14,FALSE)/Weather!$CB$14</f>
        <v>15040.270755679225</v>
      </c>
      <c r="BN83" s="779">
        <f t="shared" ca="1" si="183"/>
        <v>6662591.3852964826</v>
      </c>
      <c r="BO83" s="779">
        <v>25726321.02</v>
      </c>
      <c r="BP83" s="779">
        <f ca="1">IFERROR(VLOOKUP($B83-1,CDM!$V$4:$AJ$17,13,FALSE)/12,0)+IFERROR(VLOOKUP($B83,CDM!$V$41:$AJ$54,13,FALSE)/24,0)+IFERROR(VLOOKUP($B83,CDM!$V$41:$AJ$54,13,FALSE)/2*$C83/78,0)</f>
        <v>2220275.01713828</v>
      </c>
      <c r="BQ83" s="779">
        <f t="shared" ca="1" si="184"/>
        <v>27946596.03713828</v>
      </c>
      <c r="BR83" s="779">
        <f>IFERROR(HLOOKUP(B83-1,'EV Forecast WRZ'!$F$124:$T$130,4,FALSE)/12,0)+IFERROR(((HLOOKUP(B83,'EV Forecast WRZ'!$F$116:$T$122,4,FALSE)-HLOOKUP(B83-1,'EV Forecast WRZ'!$F$124:$T$130,4,FALSE)))*C83/78,0)</f>
        <v>6299.4806538461553</v>
      </c>
      <c r="BS83" s="779">
        <f ca="1">HLOOKUP(B83,Heating!$R$102:$AD$106,5,FALSE)*INDEX(Weather!$BO$1:$CB$20,MATCH(B83,Weather!$BO$1:$BO$20,0),MATCH(C83,Weather!$BO$1:$CB$1,0))/VLOOKUP(B83,Weather!$BO$2:$CB$20,14,FALSE)*
VLOOKUP('Monthly Data'!$B83,Weather!$BO$3:$CB$20,14,FALSE)/Weather!$CB$14</f>
        <v>9210.8439506720697</v>
      </c>
      <c r="BT83" s="779">
        <f t="shared" ca="1" si="185"/>
        <v>27931085.712533765</v>
      </c>
      <c r="BU83" s="779">
        <v>7443098.7699999996</v>
      </c>
      <c r="BV83" s="779">
        <f ca="1">IFERROR(VLOOKUP($B83-1,CDM!$V$4:$AJ$17,14,FALSE)/12,0)+IFERROR(VLOOKUP($B83,CDM!$V$41:$AJ$54,14,FALSE)/24,0)+IFERROR(VLOOKUP($B83,CDM!$V$41:$AJ$54,14,FALSE)/2*$C83/78,0)</f>
        <v>499190.52007895662</v>
      </c>
      <c r="BW83" s="779">
        <f t="shared" ca="1" si="186"/>
        <v>7942289.2900789566</v>
      </c>
      <c r="BX83" s="779">
        <f>IFERROR(HLOOKUP(B83-1,'EV Forecast WRZ'!$F$124:$T$130,5,FALSE)/12,0)+IFERROR(((HLOOKUP(B83,'EV Forecast WRZ'!$F$116:$T$122,5,FALSE)-HLOOKUP(B83-1,'EV Forecast WRZ'!$F$124:$T$130,5,FALSE)))*C83/78,0)</f>
        <v>845.77562820512833</v>
      </c>
      <c r="BY83" s="779">
        <f t="shared" ca="1" si="124"/>
        <v>7941443.5144507512</v>
      </c>
      <c r="BZ83" s="779">
        <v>289203.8</v>
      </c>
      <c r="CA83" s="779">
        <v>2465.0714600773063</v>
      </c>
      <c r="CB83" s="5">
        <v>161895.85</v>
      </c>
      <c r="CC83" s="5">
        <v>61917.97</v>
      </c>
      <c r="CD83" s="5">
        <v>14079.53</v>
      </c>
      <c r="CE83" s="5">
        <v>788.21</v>
      </c>
      <c r="CF83" s="763">
        <f t="shared" si="191"/>
        <v>5.916666666666667</v>
      </c>
      <c r="CG83" s="785">
        <v>43243.5</v>
      </c>
      <c r="CH83" s="785">
        <v>2341.5</v>
      </c>
      <c r="CI83" s="785">
        <v>393.5</v>
      </c>
      <c r="CJ83" s="785">
        <v>3</v>
      </c>
      <c r="CK83" s="785">
        <v>13144.833333333339</v>
      </c>
      <c r="CL83" s="785">
        <v>45.333333333333357</v>
      </c>
      <c r="CM83" s="785">
        <v>391.83333333333314</v>
      </c>
      <c r="CN83" s="46">
        <f>Weather!C95</f>
        <v>214.18749999999994</v>
      </c>
      <c r="CO83" s="46">
        <f>Weather!D95</f>
        <v>0</v>
      </c>
      <c r="CP83" s="46">
        <f>Weather!E95</f>
        <v>153.47499999999997</v>
      </c>
      <c r="CQ83" s="46">
        <f>Weather!F95</f>
        <v>1.2875000000000014</v>
      </c>
      <c r="CR83" s="46">
        <f>Weather!G95</f>
        <v>108.43333333333334</v>
      </c>
      <c r="CS83" s="46">
        <f>Weather!H95</f>
        <v>18.245833333333344</v>
      </c>
      <c r="CT83" s="46">
        <f>Weather!I95</f>
        <v>72.749999999999986</v>
      </c>
      <c r="CU83" s="46">
        <f>Weather!J95</f>
        <v>44.562500000000028</v>
      </c>
      <c r="CV83" s="46">
        <f>Weather!K95</f>
        <v>44.166666666666664</v>
      </c>
      <c r="CW83" s="46">
        <f>Weather!L95</f>
        <v>77.979166666666686</v>
      </c>
      <c r="CX83" s="46">
        <f>Weather!M95</f>
        <v>22.266666666666666</v>
      </c>
      <c r="CY83" s="46">
        <f>Weather!N95</f>
        <v>118.07916666666668</v>
      </c>
      <c r="CZ83" s="46">
        <f>Weather!O95</f>
        <v>6.6666666666666643</v>
      </c>
      <c r="DA83" s="46">
        <f>Weather!P95</f>
        <v>164.47916666666669</v>
      </c>
      <c r="DB83" s="368">
        <f>'Economic Data'!D97</f>
        <v>7537.7</v>
      </c>
      <c r="DC83" s="368">
        <f>'Economic Data'!E97</f>
        <v>7547.1</v>
      </c>
      <c r="DD83" s="368">
        <f>'Economic Data'!F97</f>
        <v>221.3</v>
      </c>
      <c r="DE83" s="368">
        <f>'Economic Data'!G97</f>
        <v>218.9</v>
      </c>
      <c r="DF83" s="368">
        <f>'Economic Data'!H97</f>
        <v>50.3</v>
      </c>
      <c r="DG83" s="368">
        <f>'Economic Data'!I97</f>
        <v>50.3</v>
      </c>
      <c r="DH83" s="368">
        <f>'Economic Data'!J97</f>
        <v>817265.5</v>
      </c>
      <c r="DI83" s="368">
        <f>'Economic Data'!K97</f>
        <v>634181.69999999995</v>
      </c>
      <c r="DJ83" s="368">
        <f>'Economic Data'!L97</f>
        <v>92312.5</v>
      </c>
      <c r="DK83" s="368">
        <f>'Economic Data'!M97</f>
        <v>25225.4</v>
      </c>
      <c r="DL83" s="368">
        <f>'Economic Data'!N97</f>
        <v>838397</v>
      </c>
      <c r="DM83" s="368">
        <f>'Economic Data'!O97</f>
        <v>96497</v>
      </c>
      <c r="DN83" s="368">
        <f>'Economic Data'!P97</f>
        <v>15415</v>
      </c>
      <c r="DO83" s="368">
        <f>'Economic Data'!Q97</f>
        <v>654360</v>
      </c>
      <c r="DP83" s="368">
        <f>'Economic Data'!R97</f>
        <v>27605</v>
      </c>
      <c r="DQ83">
        <v>31</v>
      </c>
      <c r="DR83">
        <v>20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1</v>
      </c>
      <c r="EC83">
        <v>0</v>
      </c>
      <c r="ED83">
        <v>0</v>
      </c>
      <c r="EE83">
        <v>0</v>
      </c>
      <c r="EF83">
        <v>1</v>
      </c>
      <c r="EG83">
        <v>1</v>
      </c>
      <c r="EH83">
        <f t="shared" si="189"/>
        <v>82</v>
      </c>
      <c r="EI83">
        <v>1</v>
      </c>
      <c r="EJ83">
        <v>0.5</v>
      </c>
      <c r="EK83">
        <v>0.75</v>
      </c>
      <c r="EL83">
        <v>0</v>
      </c>
      <c r="EM83" s="47">
        <f t="shared" si="125"/>
        <v>107.09374999999997</v>
      </c>
      <c r="EN83" s="47">
        <f t="shared" si="126"/>
        <v>0</v>
      </c>
      <c r="EO83" s="47">
        <f t="shared" si="127"/>
        <v>76.737499999999983</v>
      </c>
      <c r="EP83" s="47">
        <f t="shared" si="128"/>
        <v>0.64375000000000071</v>
      </c>
      <c r="EQ83" s="47">
        <f t="shared" si="129"/>
        <v>54.216666666666669</v>
      </c>
      <c r="ER83" s="47">
        <f t="shared" si="130"/>
        <v>9.1229166666666721</v>
      </c>
      <c r="ES83" s="47">
        <f t="shared" si="131"/>
        <v>36.374999999999993</v>
      </c>
      <c r="ET83" s="47">
        <f t="shared" si="132"/>
        <v>22.281250000000014</v>
      </c>
      <c r="EU83" s="47">
        <f t="shared" si="133"/>
        <v>22.083333333333332</v>
      </c>
      <c r="EV83" s="47">
        <f t="shared" si="134"/>
        <v>38.989583333333343</v>
      </c>
      <c r="EW83" s="47">
        <f t="shared" si="135"/>
        <v>11.133333333333333</v>
      </c>
      <c r="EX83" s="47">
        <f t="shared" si="136"/>
        <v>59.03958333333334</v>
      </c>
      <c r="EY83" s="47">
        <f t="shared" si="137"/>
        <v>3.3333333333333321</v>
      </c>
      <c r="EZ83" s="47">
        <f t="shared" si="138"/>
        <v>82.239583333333343</v>
      </c>
      <c r="FA83" s="47">
        <f t="shared" si="139"/>
        <v>160.64062499999994</v>
      </c>
      <c r="FB83" s="47">
        <f t="shared" si="140"/>
        <v>0</v>
      </c>
      <c r="FC83" s="47">
        <f t="shared" si="141"/>
        <v>115.10624999999997</v>
      </c>
      <c r="FD83" s="47">
        <f t="shared" si="142"/>
        <v>0.96562500000000107</v>
      </c>
      <c r="FE83" s="47">
        <f t="shared" si="143"/>
        <v>81.325000000000003</v>
      </c>
      <c r="FF83" s="47">
        <f t="shared" si="144"/>
        <v>13.684375000000008</v>
      </c>
      <c r="FG83" s="47">
        <f t="shared" si="145"/>
        <v>54.562499999999986</v>
      </c>
      <c r="FH83" s="47">
        <f t="shared" si="146"/>
        <v>33.421875000000021</v>
      </c>
      <c r="FI83" s="47">
        <f t="shared" si="147"/>
        <v>33.125</v>
      </c>
      <c r="FJ83" s="47">
        <f t="shared" si="148"/>
        <v>58.484375000000014</v>
      </c>
      <c r="FK83" s="47">
        <f t="shared" si="149"/>
        <v>16.7</v>
      </c>
      <c r="FL83" s="47">
        <f t="shared" si="150"/>
        <v>88.559375000000017</v>
      </c>
      <c r="FM83" s="47">
        <f t="shared" si="151"/>
        <v>4.9999999999999982</v>
      </c>
      <c r="FN83" s="47">
        <f t="shared" si="152"/>
        <v>123.35937500000001</v>
      </c>
      <c r="FO83" s="765">
        <f t="shared" ca="1" si="153"/>
        <v>647.03733668670316</v>
      </c>
      <c r="FP83" s="765">
        <f t="shared" ca="1" si="154"/>
        <v>562.0855783002238</v>
      </c>
      <c r="FQ83" s="765">
        <f t="shared" ca="1" si="155"/>
        <v>2353.4118380973473</v>
      </c>
      <c r="FR83" s="765">
        <f t="shared" ca="1" si="156"/>
        <v>75841.640567383438</v>
      </c>
      <c r="FS83" s="765">
        <f t="shared" ca="1" si="157"/>
        <v>1429952.2352747284</v>
      </c>
      <c r="FT83" s="765">
        <f t="shared" ca="1" si="158"/>
        <v>6287406.9967887048</v>
      </c>
      <c r="FU83" s="765">
        <f t="shared" si="159"/>
        <v>34.360344838458801</v>
      </c>
      <c r="FV83" s="765">
        <f t="shared" si="160"/>
        <v>73.45550471063261</v>
      </c>
      <c r="FW83" s="765">
        <f t="shared" si="161"/>
        <v>496.53596261682242</v>
      </c>
      <c r="FX83" s="765">
        <f t="shared" ca="1" si="162"/>
        <v>676.97006769333245</v>
      </c>
      <c r="FY83" s="765">
        <f t="shared" ca="1" si="163"/>
        <v>2857.803616748351</v>
      </c>
      <c r="FZ83" s="765">
        <f t="shared" ca="1" si="164"/>
        <v>71020.574427289146</v>
      </c>
      <c r="GA83" s="765">
        <f t="shared" si="165"/>
        <v>96401.266666666663</v>
      </c>
      <c r="GB83" s="765">
        <f t="shared" si="166"/>
        <v>22.001328785707933</v>
      </c>
      <c r="GC83" s="765">
        <f t="shared" si="167"/>
        <v>54.376576325234666</v>
      </c>
      <c r="GD83" s="765">
        <f t="shared" si="168"/>
        <v>413.17528711186753</v>
      </c>
    </row>
    <row r="84" spans="1:186">
      <c r="A84" s="4">
        <v>44501</v>
      </c>
      <c r="B84" s="6">
        <v>2021</v>
      </c>
      <c r="C84" s="5">
        <v>11</v>
      </c>
      <c r="D84" s="7">
        <v>75996650.6820914</v>
      </c>
      <c r="E84" s="7">
        <f ca="1">IFERROR(VLOOKUP($B84-1,CDM!$V$4:$AJ$17,2,FALSE)/12,0)+IFERROR(VLOOKUP($B84,CDM!$V$41:$AJ$54,2,FALSE)/24,0)+IFERROR(VLOOKUP($B84,CDM!$V$41:$AJ$54,2,FALSE)/2*$C84/78,0)</f>
        <v>3847939.8996874169</v>
      </c>
      <c r="F84" s="7">
        <f t="shared" ca="1" si="169"/>
        <v>79844590.581778824</v>
      </c>
      <c r="G84" s="7">
        <f>IFERROR(HLOOKUP(B84-1,'EV Forecast VRZ'!$F$124:$T$130,2,FALSE)/12,0)+IFERROR(((HLOOKUP(B84,'EV Forecast VRZ'!$F$116:$T$122,2,FALSE)-HLOOKUP(B84-1,'EV Forecast VRZ'!$F$124:$T$130,2,FALSE)))*C84/78,0)</f>
        <v>362275.97534088133</v>
      </c>
      <c r="H84" s="7">
        <f ca="1">HLOOKUP(B84,Heating!$C$102:$O$106,2,FALSE)*INDEX(Weather!$BO$1:$CB$20,MATCH(B84,Weather!$BO$1:$BO$20,0),MATCH(C84,Weather!$BO$1:$CB$1,0))/VLOOKUP(B84,Weather!$BO$2:$CB$20,14,FALSE)*
VLOOKUP('Monthly Data'!$B84,Weather!$BO$3:$CB$20,14,FALSE)/Weather!$CB$14</f>
        <v>683425.82550781278</v>
      </c>
      <c r="I84" s="7">
        <f t="shared" ca="1" si="170"/>
        <v>78798888.780930117</v>
      </c>
      <c r="J84" s="7">
        <v>920524.22496999905</v>
      </c>
      <c r="K84" s="7">
        <f ca="1">IFERROR(VLOOKUP($B84-1,CDM!$V$4:$AJ$17,3,FALSE)/12,0)+IFERROR(VLOOKUP($B84,CDM!$V$41:$AJ$54,3,FALSE)/24,0)+IFERROR(VLOOKUP($B84,CDM!$V$41:$AJ$54,3,FALSE)/2*$C84/78,0)</f>
        <v>44073.547792453857</v>
      </c>
      <c r="L84" s="7">
        <f t="shared" ca="1" si="171"/>
        <v>964597.77276245295</v>
      </c>
      <c r="M84" s="7">
        <f>IFERROR(HLOOKUP(B84-1,'EV Forecast VRZ'!$F$124:$T$130,3,FALSE)/12,0)+IFERROR(((HLOOKUP(B84,'EV Forecast VRZ'!$F$116:$T$122,3,FALSE)-HLOOKUP(B84-1,'EV Forecast VRZ'!$F$124:$T$130,3,FALSE)))*C84/78,0)</f>
        <v>4928.5481206570512</v>
      </c>
      <c r="N84" s="7">
        <f ca="1">HLOOKUP(B84,Heating!$C$102:$O$106,3,FALSE)*INDEX(Weather!$BO$1:$CB$20,MATCH(B84,Weather!$BO$1:$BO$20,0),MATCH(C84,Weather!$BO$1:$CB$1,0))/VLOOKUP(B84,Weather!$BO$2:$CB$20,14,FALSE)*
VLOOKUP('Monthly Data'!$B84,Weather!$BO$3:$CB$20,14,FALSE)/Weather!$CB$14</f>
        <v>8546.4313414583066</v>
      </c>
      <c r="O84" s="7">
        <f t="shared" ca="1" si="172"/>
        <v>951122.79330033751</v>
      </c>
      <c r="P84" s="7">
        <v>21813461.426630002</v>
      </c>
      <c r="Q84" s="7">
        <f ca="1">IFERROR(VLOOKUP($B84-1,CDM!$V$4:$AJ$17,4,FALSE)/12,0)+IFERROR(VLOOKUP($B84,CDM!$V$41:$AJ$54,4,FALSE)/24,0)+IFERROR(VLOOKUP($B84,CDM!$V$41:$AJ$54,4,FALSE)/2*$C84/78,0)</f>
        <v>1431267.4679432327</v>
      </c>
      <c r="R84" s="7">
        <f t="shared" ca="1" si="173"/>
        <v>23244728.894573234</v>
      </c>
      <c r="S84" s="7">
        <f>IFERROR(HLOOKUP(B84-1,'EV Forecast VRZ'!$F$124:$T$130,4,FALSE)/12,0)+IFERROR(((HLOOKUP(B84,'EV Forecast VRZ'!$F$116:$T$122,4,FALSE)-HLOOKUP(B84-1,'EV Forecast VRZ'!$F$124:$T$130,4,FALSE)))*C84/78,0)</f>
        <v>44706.640769230769</v>
      </c>
      <c r="T84" s="7">
        <f ca="1">HLOOKUP(B84,Heating!$C$102:$O$106,4,FALSE)*INDEX(Weather!$BO$1:$CB$20,MATCH(B84,Weather!$BO$1:$BO$20,0),MATCH(C84,Weather!$BO$1:$CB$1,0))/VLOOKUP(B84,Weather!$BO$2:$CB$20,14,FALSE)*
VLOOKUP('Monthly Data'!$B84,Weather!$BO$3:$CB$20,14,FALSE)/Weather!$CB$14</f>
        <v>167397.94392402368</v>
      </c>
      <c r="U84" s="7">
        <f t="shared" ca="1" si="174"/>
        <v>23032624.309879977</v>
      </c>
      <c r="V84" s="7">
        <v>75204990.840000004</v>
      </c>
      <c r="W84" s="7">
        <f ca="1">IFERROR(VLOOKUP($B84-1,CDM!$V$4:$AJ$17,5,FALSE)/12,0)+IFERROR(VLOOKUP($B84,CDM!$V$41:$AJ$54,5,FALSE)/24,0)+IFERROR(VLOOKUP($B84,CDM!$V$41:$AJ$54,5,FALSE)/2*$C84/78,0)</f>
        <v>5495112.9483923893</v>
      </c>
      <c r="X84" s="7">
        <f t="shared" ca="1" si="175"/>
        <v>80700103.788392395</v>
      </c>
      <c r="Y84" s="7">
        <f>IFERROR(HLOOKUP(B84-1,'EV Forecast VRZ'!$F$124:$T$130,5,FALSE)/12,0)+IFERROR(((HLOOKUP(B84,'EV Forecast VRZ'!$F$116:$T$122,5,FALSE)-HLOOKUP(B84-1,'EV Forecast VRZ'!$F$124:$T$130,5,FALSE)))*C84/78,0)</f>
        <v>20239.911423076923</v>
      </c>
      <c r="Z84" s="7">
        <f ca="1">HLOOKUP(B84,Heating!$C$102:$O$106,5,FALSE)*INDEX(Weather!$BO$1:$CB$20,MATCH(B84,Weather!$BO$1:$BO$20,0),MATCH(C84,Weather!$BO$1:$CB$1,0))/VLOOKUP(B84,Weather!$BO$2:$CB$20,14,FALSE)*
VLOOKUP('Monthly Data'!$B84,Weather!$BO$3:$CB$20,14,FALSE)/Weather!$CB$14</f>
        <v>90776.688726772787</v>
      </c>
      <c r="AA84" s="7">
        <f t="shared" ca="1" si="176"/>
        <v>80589087.188242555</v>
      </c>
      <c r="AB84" s="7">
        <v>8878016.5500000007</v>
      </c>
      <c r="AC84" s="7">
        <f ca="1">IFERROR(VLOOKUP($B84-1,CDM!$V$4:$AJ$17,6,FALSE)/12,0)+IFERROR(VLOOKUP($B84,CDM!$V$41:$AJ$54,6,FALSE)/24,0)+IFERROR(VLOOKUP($B84,CDM!$V$41:$AJ$54,6,FALSE)/2*$C84/78,0)</f>
        <v>248332.03927190331</v>
      </c>
      <c r="AD84" s="7">
        <f t="shared" ca="1" si="177"/>
        <v>9126348.5892719049</v>
      </c>
      <c r="AE84" s="7">
        <f>IFERROR(HLOOKUP(B84-1,'EV Forecast VRZ'!$F$124:$T$130,6,FALSE)/12,0)+IFERROR(((HLOOKUP(B84,'EV Forecast VRZ'!$F$116:$T$122,6,FALSE)-HLOOKUP(B84-1,'EV Forecast VRZ'!$F$124:$T$130,6,FALSE)))*C84/78,0)</f>
        <v>2723.0243461538457</v>
      </c>
      <c r="AF84" s="7">
        <f t="shared" ca="1" si="178"/>
        <v>9123625.5649257507</v>
      </c>
      <c r="AG84" s="7">
        <v>23304214.739999998</v>
      </c>
      <c r="AH84" s="7">
        <f ca="1">IFERROR(VLOOKUP($B84-1,CDM!$V$4:$AJ$17,7,FALSE)/12,0)+IFERROR(VLOOKUP($B84,CDM!$V$41:$AJ$54,7,FALSE)/24,0)+IFERROR(VLOOKUP($B84,CDM!$V$41:$AJ$54,7,FALSE)/2*$C84/78,0)</f>
        <v>1756380.0427321976</v>
      </c>
      <c r="AI84" s="7">
        <f t="shared" ca="1" si="179"/>
        <v>25060594.782732196</v>
      </c>
      <c r="AJ84" s="7">
        <f>IFERROR(HLOOKUP(B84-1,'EV Forecast VRZ'!$F$124:$T$130,7,FALSE)/12,0)+IFERROR(((HLOOKUP(B84,'EV Forecast VRZ'!$F$116:$T$122,7,FALSE)-HLOOKUP(B84-1,'EV Forecast VRZ'!$F$124:$T$130,7,FALSE)))*C84/78,0)</f>
        <v>0</v>
      </c>
      <c r="AK84" s="7">
        <f t="shared" ca="1" si="180"/>
        <v>25060594.782732196</v>
      </c>
      <c r="AL84" s="7">
        <v>1162414.1000000001</v>
      </c>
      <c r="AM84" s="7">
        <v>19048.739999999998</v>
      </c>
      <c r="AN84" s="7">
        <v>398412.47</v>
      </c>
      <c r="AO84" s="5">
        <v>180681.62</v>
      </c>
      <c r="AP84" s="5">
        <v>18653.650000000001</v>
      </c>
      <c r="AQ84" s="5">
        <v>38229</v>
      </c>
      <c r="AR84" s="5">
        <v>2579.06</v>
      </c>
      <c r="AS84" s="763">
        <f t="shared" si="190"/>
        <v>52.666666666666664</v>
      </c>
      <c r="AT84" s="776">
        <v>113345.41666666661</v>
      </c>
      <c r="AU84" s="776">
        <v>1557.3333333333342</v>
      </c>
      <c r="AV84" s="776">
        <v>9334.5833333333267</v>
      </c>
      <c r="AW84" s="776">
        <v>1058.5833333333342</v>
      </c>
      <c r="AX84" s="776">
        <v>5.9166666666666634</v>
      </c>
      <c r="AY84" s="776">
        <v>4</v>
      </c>
      <c r="AZ84" s="776">
        <v>31725.666666666653</v>
      </c>
      <c r="BA84" s="776">
        <v>247.33333333333323</v>
      </c>
      <c r="BB84" s="776">
        <v>802.75</v>
      </c>
      <c r="BC84" s="779">
        <v>27834012.871320099</v>
      </c>
      <c r="BD84" s="779">
        <f ca="1">IFERROR(VLOOKUP($B84-1,CDM!$V$4:$AJ$17,11,FALSE)/12,0)+IFERROR(VLOOKUP($B84,CDM!$V$41:$AJ$54,11,FALSE)/24,0)+IFERROR(VLOOKUP($B84,CDM!$V$41:$AJ$54,11,FALSE)/2*$C84/78,0)</f>
        <v>1620780.4560302852</v>
      </c>
      <c r="BE84" s="779">
        <f t="shared" ca="1" si="123"/>
        <v>29454793.327350385</v>
      </c>
      <c r="BF84" s="779">
        <f>IFERROR(HLOOKUP(B84-1,'EV Forecast WRZ'!$F$124:$T$130,2,FALSE)/12,0)+IFERROR(((HLOOKUP(B84,'EV Forecast WRZ'!$F$116:$T$122,2,FALSE)-HLOOKUP(B84-1,'EV Forecast WRZ'!$F$124:$T$130,2,FALSE)))*C84/78,0)</f>
        <v>117652.41730769232</v>
      </c>
      <c r="BG84" s="779">
        <f ca="1">HLOOKUP(B84,Heating!$R$102:$AD$106,2,FALSE)*INDEX(Weather!$BO$1:$CB$20,MATCH(B84,Weather!$BO$1:$BO$20,0),MATCH(C84,Weather!$BO$1:$CB$1,0))/VLOOKUP(B84,Weather!$BO$2:$CB$20,14,FALSE)*
VLOOKUP('Monthly Data'!$B84,Weather!$BO$3:$CB$20,14,FALSE)/Weather!$CB$14</f>
        <v>289618.7971422674</v>
      </c>
      <c r="BH84" s="779">
        <f t="shared" ca="1" si="181"/>
        <v>29047522.112900425</v>
      </c>
      <c r="BI84" s="779">
        <v>6809444.3778900001</v>
      </c>
      <c r="BJ84" s="779">
        <f ca="1">IFERROR(VLOOKUP($B84-1,CDM!$V$4:$AJ$17,12,FALSE)/12,0)+IFERROR(VLOOKUP($B84,CDM!$V$41:$AJ$54,12,FALSE)/24,0)+IFERROR(VLOOKUP($B84,CDM!$V$41:$AJ$54,12,FALSE)/2*$C84/78,0)</f>
        <v>236906.66481127171</v>
      </c>
      <c r="BK84" s="779">
        <f t="shared" ca="1" si="182"/>
        <v>7046351.0427012723</v>
      </c>
      <c r="BL84" s="779">
        <f>IFERROR(HLOOKUP(B84-1,'EV Forecast WRZ'!$F$124:$T$130,3,FALSE)/12,0)+IFERROR(((HLOOKUP(B84,'EV Forecast WRZ'!$F$116:$T$122,3,FALSE)-HLOOKUP(B84-1,'EV Forecast WRZ'!$F$124:$T$130,3,FALSE)))*C84/78,0)</f>
        <v>14304.696153846155</v>
      </c>
      <c r="BM84" s="779">
        <f ca="1">HLOOKUP(B84,Heating!$R$102:$AD$106,4,FALSE)*INDEX(Weather!$BO$1:$CB$20,MATCH(B84,Weather!$BO$1:$BO$20,0),MATCH(C84,Weather!$BO$1:$CB$1,0))/VLOOKUP(B84,Weather!$BO$2:$CB$20,14,FALSE)*
VLOOKUP('Monthly Data'!$B84,Weather!$BO$3:$CB$20,14,FALSE)/Weather!$CB$14</f>
        <v>43737.823089154132</v>
      </c>
      <c r="BN84" s="779">
        <f t="shared" ca="1" si="183"/>
        <v>6988308.5234582713</v>
      </c>
      <c r="BO84" s="779">
        <v>26402840.800000001</v>
      </c>
      <c r="BP84" s="779">
        <f ca="1">IFERROR(VLOOKUP($B84-1,CDM!$V$4:$AJ$17,13,FALSE)/12,0)+IFERROR(VLOOKUP($B84,CDM!$V$41:$AJ$54,13,FALSE)/24,0)+IFERROR(VLOOKUP($B84,CDM!$V$41:$AJ$54,13,FALSE)/2*$C84/78,0)</f>
        <v>2242994.14415316</v>
      </c>
      <c r="BQ84" s="779">
        <f t="shared" ca="1" si="184"/>
        <v>28645834.94415316</v>
      </c>
      <c r="BR84" s="779">
        <f>IFERROR(HLOOKUP(B84-1,'EV Forecast WRZ'!$F$124:$T$130,4,FALSE)/12,0)+IFERROR(((HLOOKUP(B84,'EV Forecast WRZ'!$F$116:$T$122,4,FALSE)-HLOOKUP(B84-1,'EV Forecast WRZ'!$F$124:$T$130,4,FALSE)))*C84/78,0)</f>
        <v>6474.613269230771</v>
      </c>
      <c r="BS84" s="779">
        <f ca="1">HLOOKUP(B84,Heating!$R$102:$AD$106,5,FALSE)*INDEX(Weather!$BO$1:$CB$20,MATCH(B84,Weather!$BO$1:$BO$20,0),MATCH(C84,Weather!$BO$1:$CB$1,0))/VLOOKUP(B84,Weather!$BO$2:$CB$20,14,FALSE)*
VLOOKUP('Monthly Data'!$B84,Weather!$BO$3:$CB$20,14,FALSE)/Weather!$CB$14</f>
        <v>26785.572531277692</v>
      </c>
      <c r="BT84" s="779">
        <f t="shared" ca="1" si="185"/>
        <v>28612574.758352648</v>
      </c>
      <c r="BU84" s="779">
        <v>7333606.6500000004</v>
      </c>
      <c r="BV84" s="779">
        <f ca="1">IFERROR(VLOOKUP($B84-1,CDM!$V$4:$AJ$17,14,FALSE)/12,0)+IFERROR(VLOOKUP($B84,CDM!$V$41:$AJ$54,14,FALSE)/24,0)+IFERROR(VLOOKUP($B84,CDM!$V$41:$AJ$54,14,FALSE)/2*$C84/78,0)</f>
        <v>504299.70767275069</v>
      </c>
      <c r="BW84" s="779">
        <f t="shared" ca="1" si="186"/>
        <v>7837906.3576727509</v>
      </c>
      <c r="BX84" s="779">
        <f>IFERROR(HLOOKUP(B84-1,'EV Forecast WRZ'!$F$124:$T$130,5,FALSE)/12,0)+IFERROR(((HLOOKUP(B84,'EV Forecast WRZ'!$F$116:$T$122,5,FALSE)-HLOOKUP(B84-1,'EV Forecast WRZ'!$F$124:$T$130,5,FALSE)))*C84/78,0)</f>
        <v>865.23480769230787</v>
      </c>
      <c r="BY84" s="779">
        <f t="shared" ca="1" si="124"/>
        <v>7837041.1228650585</v>
      </c>
      <c r="BZ84" s="779">
        <v>330675.58</v>
      </c>
      <c r="CA84" s="779">
        <v>1765.6193886504293</v>
      </c>
      <c r="CB84" s="5">
        <v>162506.4</v>
      </c>
      <c r="CC84" s="5">
        <v>61530.15</v>
      </c>
      <c r="CD84" s="5">
        <v>13250.46</v>
      </c>
      <c r="CE84" s="5">
        <v>788.6</v>
      </c>
      <c r="CF84" s="763">
        <f t="shared" si="191"/>
        <v>5.916666666666667</v>
      </c>
      <c r="CG84" s="785">
        <v>43342.25</v>
      </c>
      <c r="CH84" s="785">
        <v>2345.75</v>
      </c>
      <c r="CI84" s="785">
        <v>394.25</v>
      </c>
      <c r="CJ84" s="785">
        <v>3</v>
      </c>
      <c r="CK84" s="785">
        <v>13179.416666666673</v>
      </c>
      <c r="CL84" s="785">
        <v>46.166666666666693</v>
      </c>
      <c r="CM84" s="785">
        <v>391.91666666666646</v>
      </c>
      <c r="CN84" s="46">
        <f>Weather!C96</f>
        <v>506.31260351966881</v>
      </c>
      <c r="CO84" s="46">
        <f>Weather!D96</f>
        <v>0</v>
      </c>
      <c r="CP84" s="46">
        <f>Weather!E96</f>
        <v>446.3126035196687</v>
      </c>
      <c r="CQ84" s="46">
        <f>Weather!F96</f>
        <v>0</v>
      </c>
      <c r="CR84" s="46">
        <f>Weather!G96</f>
        <v>386.3126035196687</v>
      </c>
      <c r="CS84" s="46">
        <f>Weather!H96</f>
        <v>0</v>
      </c>
      <c r="CT84" s="46">
        <f>Weather!I96</f>
        <v>326.31260351966864</v>
      </c>
      <c r="CU84" s="46">
        <f>Weather!J96</f>
        <v>0</v>
      </c>
      <c r="CV84" s="46">
        <f>Weather!K96</f>
        <v>266.31260351966876</v>
      </c>
      <c r="CW84" s="46">
        <f>Weather!L96</f>
        <v>0</v>
      </c>
      <c r="CX84" s="46">
        <f>Weather!M96</f>
        <v>206.31260351966876</v>
      </c>
      <c r="CY84" s="46">
        <f>Weather!N96</f>
        <v>0</v>
      </c>
      <c r="CZ84" s="46">
        <f>Weather!O96</f>
        <v>148.50427018633536</v>
      </c>
      <c r="DA84" s="46">
        <f>Weather!P96</f>
        <v>2.1916666666666682</v>
      </c>
      <c r="DB84" s="368">
        <f>'Economic Data'!D98</f>
        <v>7604</v>
      </c>
      <c r="DC84" s="368">
        <f>'Economic Data'!E98</f>
        <v>7604.8</v>
      </c>
      <c r="DD84" s="368">
        <f>'Economic Data'!F98</f>
        <v>227.6</v>
      </c>
      <c r="DE84" s="368">
        <f>'Economic Data'!G98</f>
        <v>225.2</v>
      </c>
      <c r="DF84" s="368">
        <f>'Economic Data'!H98</f>
        <v>50.4</v>
      </c>
      <c r="DG84" s="368">
        <f>'Economic Data'!I98</f>
        <v>50.4</v>
      </c>
      <c r="DH84" s="368">
        <f>'Economic Data'!J98</f>
        <v>817265.5</v>
      </c>
      <c r="DI84" s="368">
        <f>'Economic Data'!K98</f>
        <v>634181.69999999995</v>
      </c>
      <c r="DJ84" s="368">
        <f>'Economic Data'!L98</f>
        <v>92312.5</v>
      </c>
      <c r="DK84" s="368">
        <f>'Economic Data'!M98</f>
        <v>25225.4</v>
      </c>
      <c r="DL84" s="368">
        <f>'Economic Data'!N98</f>
        <v>838397</v>
      </c>
      <c r="DM84" s="368">
        <f>'Economic Data'!O98</f>
        <v>96497</v>
      </c>
      <c r="DN84" s="368">
        <f>'Economic Data'!P98</f>
        <v>15415</v>
      </c>
      <c r="DO84" s="368">
        <f>'Economic Data'!Q98</f>
        <v>654360</v>
      </c>
      <c r="DP84" s="368">
        <f>'Economic Data'!R98</f>
        <v>27605</v>
      </c>
      <c r="DQ84">
        <v>30</v>
      </c>
      <c r="DR84">
        <v>22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1</v>
      </c>
      <c r="ED84">
        <v>0</v>
      </c>
      <c r="EE84">
        <v>0</v>
      </c>
      <c r="EF84">
        <v>1</v>
      </c>
      <c r="EG84">
        <v>1</v>
      </c>
      <c r="EH84">
        <f t="shared" si="189"/>
        <v>83</v>
      </c>
      <c r="EI84">
        <v>1</v>
      </c>
      <c r="EJ84">
        <v>0.5</v>
      </c>
      <c r="EK84">
        <v>0.75</v>
      </c>
      <c r="EL84">
        <v>0</v>
      </c>
      <c r="EM84" s="47">
        <f t="shared" si="125"/>
        <v>253.15630175983441</v>
      </c>
      <c r="EN84" s="47">
        <f t="shared" si="126"/>
        <v>0</v>
      </c>
      <c r="EO84" s="47">
        <f t="shared" si="127"/>
        <v>223.15630175983435</v>
      </c>
      <c r="EP84" s="47">
        <f t="shared" si="128"/>
        <v>0</v>
      </c>
      <c r="EQ84" s="47">
        <f t="shared" si="129"/>
        <v>193.15630175983435</v>
      </c>
      <c r="ER84" s="47">
        <f t="shared" si="130"/>
        <v>0</v>
      </c>
      <c r="ES84" s="47">
        <f t="shared" si="131"/>
        <v>163.15630175983432</v>
      </c>
      <c r="ET84" s="47">
        <f t="shared" si="132"/>
        <v>0</v>
      </c>
      <c r="EU84" s="47">
        <f t="shared" si="133"/>
        <v>133.15630175983438</v>
      </c>
      <c r="EV84" s="47">
        <f t="shared" si="134"/>
        <v>0</v>
      </c>
      <c r="EW84" s="47">
        <f t="shared" si="135"/>
        <v>103.15630175983438</v>
      </c>
      <c r="EX84" s="47">
        <f t="shared" si="136"/>
        <v>0</v>
      </c>
      <c r="EY84" s="47">
        <f t="shared" si="137"/>
        <v>74.252135093167681</v>
      </c>
      <c r="EZ84" s="47">
        <f t="shared" si="138"/>
        <v>1.0958333333333341</v>
      </c>
      <c r="FA84" s="47">
        <f t="shared" si="139"/>
        <v>379.73445263975162</v>
      </c>
      <c r="FB84" s="47">
        <f t="shared" si="140"/>
        <v>0</v>
      </c>
      <c r="FC84" s="47">
        <f t="shared" si="141"/>
        <v>334.73445263975151</v>
      </c>
      <c r="FD84" s="47">
        <f t="shared" si="142"/>
        <v>0</v>
      </c>
      <c r="FE84" s="47">
        <f t="shared" si="143"/>
        <v>289.73445263975151</v>
      </c>
      <c r="FF84" s="47">
        <f t="shared" si="144"/>
        <v>0</v>
      </c>
      <c r="FG84" s="47">
        <f t="shared" si="145"/>
        <v>244.73445263975148</v>
      </c>
      <c r="FH84" s="47">
        <f t="shared" si="146"/>
        <v>0</v>
      </c>
      <c r="FI84" s="47">
        <f t="shared" si="147"/>
        <v>199.73445263975157</v>
      </c>
      <c r="FJ84" s="47">
        <f t="shared" si="148"/>
        <v>0</v>
      </c>
      <c r="FK84" s="47">
        <f t="shared" si="149"/>
        <v>154.73445263975157</v>
      </c>
      <c r="FL84" s="47">
        <f t="shared" si="150"/>
        <v>0</v>
      </c>
      <c r="FM84" s="47">
        <f t="shared" si="151"/>
        <v>111.37820263975152</v>
      </c>
      <c r="FN84" s="47">
        <f t="shared" si="152"/>
        <v>1.6437500000000012</v>
      </c>
      <c r="FO84" s="765">
        <f t="shared" ca="1" si="153"/>
        <v>695.21019109812687</v>
      </c>
      <c r="FP84" s="765">
        <f t="shared" ca="1" si="154"/>
        <v>619.39069312657477</v>
      </c>
      <c r="FQ84" s="765">
        <f t="shared" ca="1" si="155"/>
        <v>2490.1731619415168</v>
      </c>
      <c r="FR84" s="765">
        <f t="shared" ca="1" si="156"/>
        <v>76234.058526388093</v>
      </c>
      <c r="FS84" s="765">
        <f t="shared" ca="1" si="157"/>
        <v>1542481.4517079284</v>
      </c>
      <c r="FT84" s="765">
        <f t="shared" ca="1" si="158"/>
        <v>6265148.695683049</v>
      </c>
      <c r="FU84" s="765">
        <f t="shared" si="159"/>
        <v>36.639548420311648</v>
      </c>
      <c r="FV84" s="765">
        <f t="shared" si="160"/>
        <v>77.016469002695445</v>
      </c>
      <c r="FW84" s="765">
        <f t="shared" si="161"/>
        <v>496.30952351292427</v>
      </c>
      <c r="FX84" s="765">
        <f t="shared" ca="1" si="162"/>
        <v>679.58616194014814</v>
      </c>
      <c r="FY84" s="765">
        <f t="shared" ca="1" si="163"/>
        <v>3003.8798007892028</v>
      </c>
      <c r="FZ84" s="765">
        <f t="shared" ca="1" si="164"/>
        <v>72659.061367541304</v>
      </c>
      <c r="GA84" s="765">
        <f t="shared" si="165"/>
        <v>110225.19333333334</v>
      </c>
      <c r="GB84" s="765">
        <f t="shared" si="166"/>
        <v>25.090304704937612</v>
      </c>
      <c r="GC84" s="765">
        <f t="shared" si="167"/>
        <v>38.244463292067039</v>
      </c>
      <c r="GD84" s="765">
        <f t="shared" si="168"/>
        <v>414.64529024027235</v>
      </c>
    </row>
    <row r="85" spans="1:186">
      <c r="A85" s="4">
        <v>44531</v>
      </c>
      <c r="B85" s="6">
        <v>2021</v>
      </c>
      <c r="C85" s="5">
        <v>12</v>
      </c>
      <c r="D85" s="7">
        <v>89448908.011650696</v>
      </c>
      <c r="E85" s="7">
        <f ca="1">IFERROR(VLOOKUP($B85-1,CDM!$V$4:$AJ$17,2,FALSE)/12,0)+IFERROR(VLOOKUP($B85,CDM!$V$41:$AJ$54,2,FALSE)/24,0)+IFERROR(VLOOKUP($B85,CDM!$V$41:$AJ$54,2,FALSE)/2*$C85/78,0)</f>
        <v>3848879.5936559336</v>
      </c>
      <c r="F85" s="7">
        <f t="shared" ca="1" si="169"/>
        <v>93297787.605306625</v>
      </c>
      <c r="G85" s="7">
        <f>IFERROR(HLOOKUP(B85-1,'EV Forecast VRZ'!$F$124:$T$130,2,FALSE)/12,0)+IFERROR(((HLOOKUP(B85,'EV Forecast VRZ'!$F$116:$T$122,2,FALSE)-HLOOKUP(B85-1,'EV Forecast VRZ'!$F$124:$T$130,2,FALSE)))*C85/78,0)</f>
        <v>371681.84158815036</v>
      </c>
      <c r="H85" s="7">
        <f ca="1">HLOOKUP(B85,Heating!$C$102:$O$106,2,FALSE)*INDEX(Weather!$BO$1:$CB$20,MATCH(B85,Weather!$BO$1:$BO$20,0),MATCH(C85,Weather!$BO$1:$CB$1,0))/VLOOKUP(B85,Weather!$BO$2:$CB$20,14,FALSE)*
VLOOKUP('Monthly Data'!$B85,Weather!$BO$3:$CB$20,14,FALSE)/Weather!$CB$14</f>
        <v>816237.95923853863</v>
      </c>
      <c r="I85" s="7">
        <f t="shared" ca="1" si="170"/>
        <v>92109867.804479927</v>
      </c>
      <c r="J85" s="7">
        <v>1187913.7558299999</v>
      </c>
      <c r="K85" s="7">
        <f ca="1">IFERROR(VLOOKUP($B85-1,CDM!$V$4:$AJ$17,3,FALSE)/12,0)+IFERROR(VLOOKUP($B85,CDM!$V$41:$AJ$54,3,FALSE)/24,0)+IFERROR(VLOOKUP($B85,CDM!$V$41:$AJ$54,3,FALSE)/2*$C85/78,0)</f>
        <v>44084.310862593033</v>
      </c>
      <c r="L85" s="7">
        <f t="shared" ca="1" si="171"/>
        <v>1231998.066692593</v>
      </c>
      <c r="M85" s="7">
        <f>IFERROR(HLOOKUP(B85-1,'EV Forecast VRZ'!$F$124:$T$130,3,FALSE)/12,0)+IFERROR(((HLOOKUP(B85,'EV Forecast VRZ'!$F$116:$T$122,3,FALSE)-HLOOKUP(B85-1,'EV Forecast VRZ'!$F$124:$T$130,3,FALSE)))*C85/78,0)</f>
        <v>5056.509309285444</v>
      </c>
      <c r="N85" s="7">
        <f ca="1">HLOOKUP(B85,Heating!$C$102:$O$106,3,FALSE)*INDEX(Weather!$BO$1:$CB$20,MATCH(B85,Weather!$BO$1:$BO$20,0),MATCH(C85,Weather!$BO$1:$CB$1,0))/VLOOKUP(B85,Weather!$BO$2:$CB$20,14,FALSE)*
VLOOKUP('Monthly Data'!$B85,Weather!$BO$3:$CB$20,14,FALSE)/Weather!$CB$14</f>
        <v>10207.284267814764</v>
      </c>
      <c r="O85" s="7">
        <f t="shared" ca="1" si="172"/>
        <v>1216734.2731154927</v>
      </c>
      <c r="P85" s="7">
        <v>23827944.848219998</v>
      </c>
      <c r="Q85" s="7">
        <f ca="1">IFERROR(VLOOKUP($B85-1,CDM!$V$4:$AJ$17,4,FALSE)/12,0)+IFERROR(VLOOKUP($B85,CDM!$V$41:$AJ$54,4,FALSE)/24,0)+IFERROR(VLOOKUP($B85,CDM!$V$41:$AJ$54,4,FALSE)/2*$C85/78,0)</f>
        <v>1435869.3757118804</v>
      </c>
      <c r="R85" s="7">
        <f t="shared" ca="1" si="173"/>
        <v>25263814.223931879</v>
      </c>
      <c r="S85" s="7">
        <f>IFERROR(HLOOKUP(B85-1,'EV Forecast VRZ'!$F$124:$T$130,4,FALSE)/12,0)+IFERROR(((HLOOKUP(B85,'EV Forecast VRZ'!$F$116:$T$122,4,FALSE)-HLOOKUP(B85-1,'EV Forecast VRZ'!$F$124:$T$130,4,FALSE)))*C85/78,0)</f>
        <v>45847.272051282052</v>
      </c>
      <c r="T85" s="7">
        <f ca="1">HLOOKUP(B85,Heating!$C$102:$O$106,4,FALSE)*INDEX(Weather!$BO$1:$CB$20,MATCH(B85,Weather!$BO$1:$BO$20,0),MATCH(C85,Weather!$BO$1:$CB$1,0))/VLOOKUP(B85,Weather!$BO$2:$CB$20,14,FALSE)*
VLOOKUP('Monthly Data'!$B85,Weather!$BO$3:$CB$20,14,FALSE)/Weather!$CB$14</f>
        <v>199928.87454574314</v>
      </c>
      <c r="U85" s="7">
        <f t="shared" ca="1" si="174"/>
        <v>25018038.077334855</v>
      </c>
      <c r="V85" s="7">
        <v>76122738.510000005</v>
      </c>
      <c r="W85" s="7">
        <f ca="1">IFERROR(VLOOKUP($B85-1,CDM!$V$4:$AJ$17,5,FALSE)/12,0)+IFERROR(VLOOKUP($B85,CDM!$V$41:$AJ$54,5,FALSE)/24,0)+IFERROR(VLOOKUP($B85,CDM!$V$41:$AJ$54,5,FALSE)/2*$C85/78,0)</f>
        <v>5532247.343632536</v>
      </c>
      <c r="X85" s="7">
        <f t="shared" ca="1" si="175"/>
        <v>81654985.85363254</v>
      </c>
      <c r="Y85" s="7">
        <f>IFERROR(HLOOKUP(B85-1,'EV Forecast VRZ'!$F$124:$T$130,5,FALSE)/12,0)+IFERROR(((HLOOKUP(B85,'EV Forecast VRZ'!$F$116:$T$122,5,FALSE)-HLOOKUP(B85-1,'EV Forecast VRZ'!$F$124:$T$130,5,FALSE)))*C85/78,0)</f>
        <v>20754.733961538463</v>
      </c>
      <c r="Z85" s="7">
        <f ca="1">HLOOKUP(B85,Heating!$C$102:$O$106,5,FALSE)*INDEX(Weather!$BO$1:$CB$20,MATCH(B85,Weather!$BO$1:$BO$20,0),MATCH(C85,Weather!$BO$1:$CB$1,0))/VLOOKUP(B85,Weather!$BO$2:$CB$20,14,FALSE)*
VLOOKUP('Monthly Data'!$B85,Weather!$BO$3:$CB$20,14,FALSE)/Weather!$CB$14</f>
        <v>108417.58737711915</v>
      </c>
      <c r="AA85" s="7">
        <f t="shared" ca="1" si="176"/>
        <v>81525813.532293886</v>
      </c>
      <c r="AB85" s="7">
        <v>8370146.6799999997</v>
      </c>
      <c r="AC85" s="7">
        <f ca="1">IFERROR(VLOOKUP($B85-1,CDM!$V$4:$AJ$17,6,FALSE)/12,0)+IFERROR(VLOOKUP($B85,CDM!$V$41:$AJ$54,6,FALSE)/24,0)+IFERROR(VLOOKUP($B85,CDM!$V$41:$AJ$54,6,FALSE)/2*$C85/78,0)</f>
        <v>249529.54944122845</v>
      </c>
      <c r="AD85" s="7">
        <f t="shared" ca="1" si="177"/>
        <v>8619676.2294412274</v>
      </c>
      <c r="AE85" s="7">
        <f>IFERROR(HLOOKUP(B85-1,'EV Forecast VRZ'!$F$124:$T$130,6,FALSE)/12,0)+IFERROR(((HLOOKUP(B85,'EV Forecast VRZ'!$F$116:$T$122,6,FALSE)-HLOOKUP(B85-1,'EV Forecast VRZ'!$F$124:$T$130,6,FALSE)))*C85/78,0)</f>
        <v>2786.209756410256</v>
      </c>
      <c r="AF85" s="7">
        <f t="shared" ca="1" si="178"/>
        <v>8616890.0196848176</v>
      </c>
      <c r="AG85" s="7">
        <v>22484304.260000002</v>
      </c>
      <c r="AH85" s="7">
        <f ca="1">IFERROR(VLOOKUP($B85-1,CDM!$V$4:$AJ$17,7,FALSE)/12,0)+IFERROR(VLOOKUP($B85,CDM!$V$41:$AJ$54,7,FALSE)/24,0)+IFERROR(VLOOKUP($B85,CDM!$V$41:$AJ$54,7,FALSE)/2*$C85/78,0)</f>
        <v>1763726.0583095788</v>
      </c>
      <c r="AI85" s="7">
        <f t="shared" ca="1" si="179"/>
        <v>24248030.318309579</v>
      </c>
      <c r="AJ85" s="7">
        <f>IFERROR(HLOOKUP(B85-1,'EV Forecast VRZ'!$F$124:$T$130,7,FALSE)/12,0)+IFERROR(((HLOOKUP(B85,'EV Forecast VRZ'!$F$116:$T$122,7,FALSE)-HLOOKUP(B85-1,'EV Forecast VRZ'!$F$124:$T$130,7,FALSE)))*C85/78,0)</f>
        <v>0</v>
      </c>
      <c r="AK85" s="7">
        <f t="shared" ca="1" si="180"/>
        <v>24248030.318309579</v>
      </c>
      <c r="AL85" s="7">
        <v>1256914.67</v>
      </c>
      <c r="AM85" s="7">
        <v>17935.080000000002</v>
      </c>
      <c r="AN85" s="7">
        <v>398447.07</v>
      </c>
      <c r="AO85" s="5">
        <v>177848.55</v>
      </c>
      <c r="AP85" s="5">
        <v>18721.330000000002</v>
      </c>
      <c r="AQ85" s="5">
        <v>37651</v>
      </c>
      <c r="AR85" s="5">
        <v>2578.8200000000002</v>
      </c>
      <c r="AS85" s="763">
        <f t="shared" si="190"/>
        <v>52.666666666666664</v>
      </c>
      <c r="AT85" s="776">
        <v>113409</v>
      </c>
      <c r="AU85" s="776">
        <v>1557</v>
      </c>
      <c r="AV85" s="776">
        <v>9339</v>
      </c>
      <c r="AW85" s="776">
        <v>1060</v>
      </c>
      <c r="AX85" s="776">
        <v>6</v>
      </c>
      <c r="AY85" s="776">
        <v>4</v>
      </c>
      <c r="AZ85" s="776">
        <v>31736</v>
      </c>
      <c r="BA85" s="776">
        <v>247</v>
      </c>
      <c r="BB85" s="776">
        <v>803</v>
      </c>
      <c r="BC85" s="779">
        <v>32401888.869009897</v>
      </c>
      <c r="BD85" s="779">
        <f ca="1">IFERROR(VLOOKUP($B85-1,CDM!$V$4:$AJ$17,11,FALSE)/12,0)+IFERROR(VLOOKUP($B85,CDM!$V$41:$AJ$54,11,FALSE)/24,0)+IFERROR(VLOOKUP($B85,CDM!$V$41:$AJ$54,11,FALSE)/2*$C85/78,0)</f>
        <v>1603685.578673945</v>
      </c>
      <c r="BE85" s="779">
        <f t="shared" ca="1" si="123"/>
        <v>34005574.447683841</v>
      </c>
      <c r="BF85" s="779">
        <f>IFERROR(HLOOKUP(B85-1,'EV Forecast WRZ'!$F$124:$T$130,2,FALSE)/12,0)+IFERROR(((HLOOKUP(B85,'EV Forecast WRZ'!$F$116:$T$122,2,FALSE)-HLOOKUP(B85-1,'EV Forecast WRZ'!$F$124:$T$130,2,FALSE)))*C85/78,0)</f>
        <v>120960.47782051284</v>
      </c>
      <c r="BG85" s="779">
        <f ca="1">HLOOKUP(B85,Heating!$R$102:$AD$106,2,FALSE)*INDEX(Weather!$BO$1:$CB$20,MATCH(B85,Weather!$BO$1:$BO$20,0),MATCH(C85,Weather!$BO$1:$CB$1,0))/VLOOKUP(B85,Weather!$BO$2:$CB$20,14,FALSE)*
VLOOKUP('Monthly Data'!$B85,Weather!$BO$3:$CB$20,14,FALSE)/Weather!$CB$14</f>
        <v>345901.26259989018</v>
      </c>
      <c r="BH85" s="779">
        <f t="shared" ca="1" si="181"/>
        <v>33538712.707263436</v>
      </c>
      <c r="BI85" s="779">
        <v>7406119.3913400099</v>
      </c>
      <c r="BJ85" s="779">
        <f ca="1">IFERROR(VLOOKUP($B85-1,CDM!$V$4:$AJ$17,12,FALSE)/12,0)+IFERROR(VLOOKUP($B85,CDM!$V$41:$AJ$54,12,FALSE)/24,0)+IFERROR(VLOOKUP($B85,CDM!$V$41:$AJ$54,12,FALSE)/2*$C85/78,0)</f>
        <v>238015.80371626912</v>
      </c>
      <c r="BK85" s="779">
        <f t="shared" ca="1" si="182"/>
        <v>7644135.1950562792</v>
      </c>
      <c r="BL85" s="779">
        <f>IFERROR(HLOOKUP(B85-1,'EV Forecast WRZ'!$F$124:$T$130,3,FALSE)/12,0)+IFERROR(((HLOOKUP(B85,'EV Forecast WRZ'!$F$116:$T$122,3,FALSE)-HLOOKUP(B85-1,'EV Forecast WRZ'!$F$124:$T$130,3,FALSE)))*C85/78,0)</f>
        <v>14693.879743589743</v>
      </c>
      <c r="BM85" s="779">
        <f ca="1">HLOOKUP(B85,Heating!$R$102:$AD$106,4,FALSE)*INDEX(Weather!$BO$1:$CB$20,MATCH(B85,Weather!$BO$1:$BO$20,0),MATCH(C85,Weather!$BO$1:$CB$1,0))/VLOOKUP(B85,Weather!$BO$2:$CB$20,14,FALSE)*
VLOOKUP('Monthly Data'!$B85,Weather!$BO$3:$CB$20,14,FALSE)/Weather!$CB$14</f>
        <v>52237.52180172666</v>
      </c>
      <c r="BN85" s="779">
        <f t="shared" ca="1" si="183"/>
        <v>7577203.7935109623</v>
      </c>
      <c r="BO85" s="779">
        <v>28002178.93</v>
      </c>
      <c r="BP85" s="779">
        <f ca="1">IFERROR(VLOOKUP($B85-1,CDM!$V$4:$AJ$17,13,FALSE)/12,0)+IFERROR(VLOOKUP($B85,CDM!$V$41:$AJ$54,13,FALSE)/24,0)+IFERROR(VLOOKUP($B85,CDM!$V$41:$AJ$54,13,FALSE)/2*$C85/78,0)</f>
        <v>2265713.2711680396</v>
      </c>
      <c r="BQ85" s="779">
        <f t="shared" ca="1" si="184"/>
        <v>30267892.201168038</v>
      </c>
      <c r="BR85" s="779">
        <f>IFERROR(HLOOKUP(B85-1,'EV Forecast WRZ'!$F$124:$T$130,4,FALSE)/12,0)+IFERROR(((HLOOKUP(B85,'EV Forecast WRZ'!$F$116:$T$122,4,FALSE)-HLOOKUP(B85-1,'EV Forecast WRZ'!$F$124:$T$130,4,FALSE)))*C85/78,0)</f>
        <v>6649.7458846153859</v>
      </c>
      <c r="BS85" s="779">
        <f ca="1">HLOOKUP(B85,Heating!$R$102:$AD$106,5,FALSE)*INDEX(Weather!$BO$1:$CB$20,MATCH(B85,Weather!$BO$1:$BO$20,0),MATCH(C85,Weather!$BO$1:$CB$1,0))/VLOOKUP(B85,Weather!$BO$2:$CB$20,14,FALSE)*
VLOOKUP('Monthly Data'!$B85,Weather!$BO$3:$CB$20,14,FALSE)/Weather!$CB$14</f>
        <v>31990.890955460422</v>
      </c>
      <c r="BT85" s="779">
        <f t="shared" ca="1" si="185"/>
        <v>30229251.564327963</v>
      </c>
      <c r="BU85" s="779">
        <v>7331635.21</v>
      </c>
      <c r="BV85" s="779">
        <f ca="1">IFERROR(VLOOKUP($B85-1,CDM!$V$4:$AJ$17,14,FALSE)/12,0)+IFERROR(VLOOKUP($B85,CDM!$V$41:$AJ$54,14,FALSE)/24,0)+IFERROR(VLOOKUP($B85,CDM!$V$41:$AJ$54,14,FALSE)/2*$C85/78,0)</f>
        <v>509408.89526654471</v>
      </c>
      <c r="BW85" s="779">
        <f t="shared" ca="1" si="186"/>
        <v>7841044.105266545</v>
      </c>
      <c r="BX85" s="779">
        <f>IFERROR(HLOOKUP(B85-1,'EV Forecast WRZ'!$F$124:$T$130,5,FALSE)/12,0)+IFERROR(((HLOOKUP(B85,'EV Forecast WRZ'!$F$116:$T$122,5,FALSE)-HLOOKUP(B85-1,'EV Forecast WRZ'!$F$124:$T$130,5,FALSE)))*C85/78,0)</f>
        <v>884.69398717948729</v>
      </c>
      <c r="BY85" s="779">
        <f t="shared" ca="1" si="124"/>
        <v>7840159.4112793654</v>
      </c>
      <c r="BZ85" s="779">
        <v>383308.25</v>
      </c>
      <c r="CA85" s="779">
        <v>2108.4238943299565</v>
      </c>
      <c r="CB85" s="5">
        <v>162548.21</v>
      </c>
      <c r="CC85" s="5">
        <v>63700.9</v>
      </c>
      <c r="CD85" s="5">
        <v>14907.54</v>
      </c>
      <c r="CE85" s="5">
        <v>788.52</v>
      </c>
      <c r="CF85" s="763">
        <f t="shared" si="191"/>
        <v>5.916666666666667</v>
      </c>
      <c r="CG85" s="785">
        <v>43441</v>
      </c>
      <c r="CH85" s="785">
        <v>2350</v>
      </c>
      <c r="CI85" s="785">
        <v>395</v>
      </c>
      <c r="CJ85" s="785">
        <v>3</v>
      </c>
      <c r="CK85" s="785">
        <v>13214</v>
      </c>
      <c r="CL85" s="785">
        <v>47</v>
      </c>
      <c r="CM85" s="785">
        <v>392</v>
      </c>
      <c r="CN85" s="46">
        <f>Weather!C97</f>
        <v>595.04583333333335</v>
      </c>
      <c r="CO85" s="46">
        <f>Weather!D97</f>
        <v>0</v>
      </c>
      <c r="CP85" s="46">
        <f>Weather!E97</f>
        <v>533.04583333333346</v>
      </c>
      <c r="CQ85" s="46">
        <f>Weather!F97</f>
        <v>0</v>
      </c>
      <c r="CR85" s="46">
        <f>Weather!G97</f>
        <v>471.04583333333335</v>
      </c>
      <c r="CS85" s="46">
        <f>Weather!H97</f>
        <v>0</v>
      </c>
      <c r="CT85" s="46">
        <f>Weather!I97</f>
        <v>409.04583333333335</v>
      </c>
      <c r="CU85" s="46">
        <f>Weather!J97</f>
        <v>0</v>
      </c>
      <c r="CV85" s="46">
        <f>Weather!K97</f>
        <v>347.04583333333335</v>
      </c>
      <c r="CW85" s="46">
        <f>Weather!L97</f>
        <v>0</v>
      </c>
      <c r="CX85" s="46">
        <f>Weather!M97</f>
        <v>285.45833333333331</v>
      </c>
      <c r="CY85" s="46">
        <f>Weather!N97</f>
        <v>0.41249999999999964</v>
      </c>
      <c r="CZ85" s="46">
        <f>Weather!O97</f>
        <v>225.45833333333331</v>
      </c>
      <c r="DA85" s="46">
        <f>Weather!P97</f>
        <v>2.4124999999999996</v>
      </c>
      <c r="DB85" s="368">
        <f>'Economic Data'!D99</f>
        <v>7658.5</v>
      </c>
      <c r="DC85" s="368">
        <f>'Economic Data'!E99</f>
        <v>7662.8</v>
      </c>
      <c r="DD85" s="368">
        <f>'Economic Data'!F99</f>
        <v>228.8</v>
      </c>
      <c r="DE85" s="368">
        <f>'Economic Data'!G99</f>
        <v>227.5</v>
      </c>
      <c r="DF85" s="368">
        <f>'Economic Data'!H99</f>
        <v>55.6</v>
      </c>
      <c r="DG85" s="368">
        <f>'Economic Data'!I99</f>
        <v>55.6</v>
      </c>
      <c r="DH85" s="368">
        <f>'Economic Data'!J99</f>
        <v>817265.5</v>
      </c>
      <c r="DI85" s="368">
        <f>'Economic Data'!K99</f>
        <v>634181.69999999995</v>
      </c>
      <c r="DJ85" s="368">
        <f>'Economic Data'!L99</f>
        <v>92312.5</v>
      </c>
      <c r="DK85" s="368">
        <f>'Economic Data'!M99</f>
        <v>25225.4</v>
      </c>
      <c r="DL85" s="368">
        <f>'Economic Data'!N99</f>
        <v>838397</v>
      </c>
      <c r="DM85" s="368">
        <f>'Economic Data'!O99</f>
        <v>96497</v>
      </c>
      <c r="DN85" s="368">
        <f>'Economic Data'!P99</f>
        <v>15415</v>
      </c>
      <c r="DO85" s="368">
        <f>'Economic Data'!Q99</f>
        <v>654360</v>
      </c>
      <c r="DP85" s="368">
        <f>'Economic Data'!R99</f>
        <v>27605</v>
      </c>
      <c r="DQ85">
        <v>31</v>
      </c>
      <c r="DR85">
        <v>21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1</v>
      </c>
      <c r="EE85">
        <v>0</v>
      </c>
      <c r="EF85">
        <v>0</v>
      </c>
      <c r="EG85">
        <v>0</v>
      </c>
      <c r="EH85">
        <f t="shared" si="189"/>
        <v>84</v>
      </c>
      <c r="EI85">
        <v>1</v>
      </c>
      <c r="EJ85">
        <v>0.5</v>
      </c>
      <c r="EK85">
        <v>0.75</v>
      </c>
      <c r="EL85">
        <v>0</v>
      </c>
      <c r="EM85" s="47">
        <f t="shared" si="125"/>
        <v>297.52291666666667</v>
      </c>
      <c r="EN85" s="47">
        <f t="shared" si="126"/>
        <v>0</v>
      </c>
      <c r="EO85" s="47">
        <f t="shared" si="127"/>
        <v>266.52291666666673</v>
      </c>
      <c r="EP85" s="47">
        <f t="shared" si="128"/>
        <v>0</v>
      </c>
      <c r="EQ85" s="47">
        <f t="shared" si="129"/>
        <v>235.52291666666667</v>
      </c>
      <c r="ER85" s="47">
        <f t="shared" si="130"/>
        <v>0</v>
      </c>
      <c r="ES85" s="47">
        <f t="shared" si="131"/>
        <v>204.52291666666667</v>
      </c>
      <c r="ET85" s="47">
        <f t="shared" si="132"/>
        <v>0</v>
      </c>
      <c r="EU85" s="47">
        <f t="shared" si="133"/>
        <v>173.52291666666667</v>
      </c>
      <c r="EV85" s="47">
        <f t="shared" si="134"/>
        <v>0</v>
      </c>
      <c r="EW85" s="47">
        <f t="shared" si="135"/>
        <v>142.72916666666666</v>
      </c>
      <c r="EX85" s="47">
        <f t="shared" si="136"/>
        <v>0.20624999999999982</v>
      </c>
      <c r="EY85" s="47">
        <f t="shared" si="137"/>
        <v>112.72916666666666</v>
      </c>
      <c r="EZ85" s="47">
        <f t="shared" si="138"/>
        <v>1.2062499999999998</v>
      </c>
      <c r="FA85" s="47">
        <f t="shared" si="139"/>
        <v>446.28437500000001</v>
      </c>
      <c r="FB85" s="47">
        <f t="shared" si="140"/>
        <v>0</v>
      </c>
      <c r="FC85" s="47">
        <f t="shared" si="141"/>
        <v>399.78437500000007</v>
      </c>
      <c r="FD85" s="47">
        <f t="shared" si="142"/>
        <v>0</v>
      </c>
      <c r="FE85" s="47">
        <f t="shared" si="143"/>
        <v>353.28437500000001</v>
      </c>
      <c r="FF85" s="47">
        <f t="shared" si="144"/>
        <v>0</v>
      </c>
      <c r="FG85" s="47">
        <f t="shared" si="145"/>
        <v>306.78437500000001</v>
      </c>
      <c r="FH85" s="47">
        <f t="shared" si="146"/>
        <v>0</v>
      </c>
      <c r="FI85" s="47">
        <f t="shared" si="147"/>
        <v>260.28437500000001</v>
      </c>
      <c r="FJ85" s="47">
        <f t="shared" si="148"/>
        <v>0</v>
      </c>
      <c r="FK85" s="47">
        <f t="shared" si="149"/>
        <v>214.09375</v>
      </c>
      <c r="FL85" s="47">
        <f t="shared" si="150"/>
        <v>0.30937499999999973</v>
      </c>
      <c r="FM85" s="47">
        <f t="shared" si="151"/>
        <v>169.09375</v>
      </c>
      <c r="FN85" s="47">
        <f t="shared" si="152"/>
        <v>1.8093749999999997</v>
      </c>
      <c r="FO85" s="765">
        <f t="shared" ca="1" si="153"/>
        <v>812.19187017326601</v>
      </c>
      <c r="FP85" s="765">
        <f t="shared" ca="1" si="154"/>
        <v>791.26401200551902</v>
      </c>
      <c r="FQ85" s="765">
        <f t="shared" ca="1" si="155"/>
        <v>2705.1947985792781</v>
      </c>
      <c r="FR85" s="765">
        <f t="shared" ca="1" si="156"/>
        <v>77033.005522294843</v>
      </c>
      <c r="FS85" s="765">
        <f t="shared" ca="1" si="157"/>
        <v>1436612.7049068713</v>
      </c>
      <c r="FT85" s="765">
        <f t="shared" ca="1" si="158"/>
        <v>6062007.5795773948</v>
      </c>
      <c r="FU85" s="765">
        <f t="shared" si="159"/>
        <v>39.605327388454747</v>
      </c>
      <c r="FV85" s="765">
        <f t="shared" si="160"/>
        <v>72.611659919028341</v>
      </c>
      <c r="FW85" s="765">
        <f t="shared" si="161"/>
        <v>496.19809464508097</v>
      </c>
      <c r="FX85" s="765">
        <f t="shared" ca="1" si="162"/>
        <v>782.79907110066165</v>
      </c>
      <c r="FY85" s="765">
        <f t="shared" ca="1" si="163"/>
        <v>3252.823487257991</v>
      </c>
      <c r="FZ85" s="765">
        <f t="shared" ca="1" si="164"/>
        <v>76627.575192830482</v>
      </c>
      <c r="GA85" s="765">
        <f t="shared" si="165"/>
        <v>127769.41666666667</v>
      </c>
      <c r="GB85" s="765">
        <f t="shared" si="166"/>
        <v>29.007738005146056</v>
      </c>
      <c r="GC85" s="765">
        <f t="shared" si="167"/>
        <v>44.860082858084183</v>
      </c>
      <c r="GD85" s="765">
        <f t="shared" si="168"/>
        <v>414.66380102040813</v>
      </c>
    </row>
    <row r="86" spans="1:186">
      <c r="A86" s="4">
        <v>44562</v>
      </c>
      <c r="B86" s="6">
        <v>2022</v>
      </c>
      <c r="C86" s="5">
        <v>1</v>
      </c>
      <c r="D86" s="7">
        <v>102401228.86625101</v>
      </c>
      <c r="E86" s="7">
        <f ca="1">IFERROR(VLOOKUP($B86-1,CDM!$V$4:$AJ$17,2,FALSE)/12,0)+IFERROR(VLOOKUP($B86,CDM!$V$41:$AJ$54,2,FALSE)/24,0)+IFERROR(VLOOKUP($B86,CDM!$V$41:$AJ$54,2,FALSE)/2*$C86/78,0)</f>
        <v>3846125.5685432148</v>
      </c>
      <c r="F86" s="7">
        <f t="shared" ca="1" si="169"/>
        <v>106247354.43479422</v>
      </c>
      <c r="G86" s="7">
        <f>IFERROR(HLOOKUP(B86-1,'EV Forecast VRZ'!$F$124:$T$130,2,FALSE)/12,0)+IFERROR(((HLOOKUP(B86,'EV Forecast VRZ'!$F$116:$T$122,2,FALSE)-HLOOKUP(B86-1,'EV Forecast VRZ'!$F$124:$T$130,2,FALSE)))*C86/78,0)</f>
        <v>402345.72230525612</v>
      </c>
      <c r="H86" s="7">
        <f ca="1">HLOOKUP(B86,Heating!$C$102:$O$106,2,FALSE)*INDEX(Weather!$BO$1:$CB$20,MATCH(B86,Weather!$BO$1:$BO$20,0),MATCH(C86,Weather!$BO$1:$CB$1,0))/VLOOKUP(B86,Weather!$BO$2:$CB$20,14,FALSE)*
VLOOKUP('Monthly Data'!$B86,Weather!$BO$3:$CB$20,14,FALSE)/Weather!$CB$14</f>
        <v>1862230.3271339724</v>
      </c>
      <c r="I86" s="7">
        <f t="shared" ca="1" si="170"/>
        <v>103982778.385355</v>
      </c>
      <c r="J86" s="7">
        <v>1603152.73276</v>
      </c>
      <c r="K86" s="7">
        <f ca="1">IFERROR(VLOOKUP($B86-1,CDM!$V$4:$AJ$17,3,FALSE)/12,0)+IFERROR(VLOOKUP($B86,CDM!$V$41:$AJ$54,3,FALSE)/24,0)+IFERROR(VLOOKUP($B86,CDM!$V$41:$AJ$54,3,FALSE)/2*$C86/78,0)</f>
        <v>44052.766799902012</v>
      </c>
      <c r="L86" s="7">
        <f t="shared" ca="1" si="171"/>
        <v>1647205.4995599021</v>
      </c>
      <c r="M86" s="7">
        <f>IFERROR(HLOOKUP(B86-1,'EV Forecast VRZ'!$F$124:$T$130,3,FALSE)/12,0)+IFERROR(((HLOOKUP(B86,'EV Forecast VRZ'!$F$116:$T$122,3,FALSE)-HLOOKUP(B86-1,'EV Forecast VRZ'!$F$124:$T$130,3,FALSE)))*C86/78,0)</f>
        <v>5473.6730793591842</v>
      </c>
      <c r="N86" s="7">
        <f ca="1">HLOOKUP(B86,Heating!$C$102:$O$106,3,FALSE)*INDEX(Weather!$BO$1:$CB$20,MATCH(B86,Weather!$BO$1:$BO$20,0),MATCH(C86,Weather!$BO$1:$CB$1,0))/VLOOKUP(B86,Weather!$BO$2:$CB$20,14,FALSE)*
VLOOKUP('Monthly Data'!$B86,Weather!$BO$3:$CB$20,14,FALSE)/Weather!$CB$14</f>
        <v>22927.41889601175</v>
      </c>
      <c r="O86" s="7">
        <f t="shared" ca="1" si="172"/>
        <v>1618804.4075845312</v>
      </c>
      <c r="P86" s="7">
        <v>26419877.8191</v>
      </c>
      <c r="Q86" s="7">
        <f ca="1">IFERROR(VLOOKUP($B86-1,CDM!$V$4:$AJ$17,4,FALSE)/12,0)+IFERROR(VLOOKUP($B86,CDM!$V$41:$AJ$54,4,FALSE)/24,0)+IFERROR(VLOOKUP($B86,CDM!$V$41:$AJ$54,4,FALSE)/2*$C86/78,0)</f>
        <v>1478048.4112374254</v>
      </c>
      <c r="R86" s="7">
        <f t="shared" ca="1" si="173"/>
        <v>27897926.230337426</v>
      </c>
      <c r="S86" s="7">
        <f>IFERROR(HLOOKUP(B86-1,'EV Forecast VRZ'!$F$124:$T$130,4,FALSE)/12,0)+IFERROR(((HLOOKUP(B86,'EV Forecast VRZ'!$F$116:$T$122,4,FALSE)-HLOOKUP(B86-1,'EV Forecast VRZ'!$F$124:$T$130,4,FALSE)))*C86/78,0)</f>
        <v>49626.603076923071</v>
      </c>
      <c r="T86" s="7">
        <f ca="1">HLOOKUP(B86,Heating!$C$102:$O$106,4,FALSE)*INDEX(Weather!$BO$1:$CB$20,MATCH(B86,Weather!$BO$1:$BO$20,0),MATCH(C86,Weather!$BO$1:$CB$1,0))/VLOOKUP(B86,Weather!$BO$2:$CB$20,14,FALSE)*
VLOOKUP('Monthly Data'!$B86,Weather!$BO$3:$CB$20,14,FALSE)/Weather!$CB$14</f>
        <v>456477.55075319513</v>
      </c>
      <c r="U86" s="7">
        <f t="shared" ca="1" si="174"/>
        <v>27391822.076507308</v>
      </c>
      <c r="V86" s="7">
        <v>81979657.519999996</v>
      </c>
      <c r="W86" s="7">
        <f ca="1">IFERROR(VLOOKUP($B86-1,CDM!$V$4:$AJ$17,5,FALSE)/12,0)+IFERROR(VLOOKUP($B86,CDM!$V$41:$AJ$54,5,FALSE)/24,0)+IFERROR(VLOOKUP($B86,CDM!$V$41:$AJ$54,5,FALSE)/2*$C86/78,0)</f>
        <v>5785720.3175348742</v>
      </c>
      <c r="X86" s="7">
        <f t="shared" ca="1" si="175"/>
        <v>87765377.837534875</v>
      </c>
      <c r="Y86" s="7">
        <f>IFERROR(HLOOKUP(B86-1,'EV Forecast VRZ'!$F$124:$T$130,5,FALSE)/12,0)+IFERROR(((HLOOKUP(B86,'EV Forecast VRZ'!$F$116:$T$122,5,FALSE)-HLOOKUP(B86-1,'EV Forecast VRZ'!$F$124:$T$130,5,FALSE)))*C86/78,0)</f>
        <v>22492.035487179484</v>
      </c>
      <c r="Z86" s="7">
        <f ca="1">HLOOKUP(B86,Heating!$C$102:$O$106,5,FALSE)*INDEX(Weather!$BO$1:$CB$20,MATCH(B86,Weather!$BO$1:$BO$20,0),MATCH(C86,Weather!$BO$1:$CB$1,0))/VLOOKUP(B86,Weather!$BO$2:$CB$20,14,FALSE)*
VLOOKUP('Monthly Data'!$B86,Weather!$BO$3:$CB$20,14,FALSE)/Weather!$CB$14</f>
        <v>243424.23190083669</v>
      </c>
      <c r="AA86" s="7">
        <f t="shared" ca="1" si="176"/>
        <v>87499461.570146859</v>
      </c>
      <c r="AB86" s="7">
        <v>8258882.6900000004</v>
      </c>
      <c r="AC86" s="7">
        <f ca="1">IFERROR(VLOOKUP($B86-1,CDM!$V$4:$AJ$17,6,FALSE)/12,0)+IFERROR(VLOOKUP($B86,CDM!$V$41:$AJ$54,6,FALSE)/24,0)+IFERROR(VLOOKUP($B86,CDM!$V$41:$AJ$54,6,FALSE)/2*$C86/78,0)</f>
        <v>260942.17700415003</v>
      </c>
      <c r="AD86" s="7">
        <f t="shared" ca="1" si="177"/>
        <v>8519824.8670041505</v>
      </c>
      <c r="AE86" s="7">
        <f>IFERROR(HLOOKUP(B86-1,'EV Forecast VRZ'!$F$124:$T$130,6,FALSE)/12,0)+IFERROR(((HLOOKUP(B86,'EV Forecast VRZ'!$F$116:$T$122,6,FALSE)-HLOOKUP(B86-1,'EV Forecast VRZ'!$F$124:$T$130,6,FALSE)))*C86/78,0)</f>
        <v>3000.4327179487182</v>
      </c>
      <c r="AF86" s="7">
        <f t="shared" ca="1" si="178"/>
        <v>8516824.4342862014</v>
      </c>
      <c r="AG86" s="7">
        <v>24151967.609999999</v>
      </c>
      <c r="AH86" s="7">
        <f ca="1">IFERROR(VLOOKUP($B86-1,CDM!$V$4:$AJ$17,7,FALSE)/12,0)+IFERROR(VLOOKUP($B86,CDM!$V$41:$AJ$54,7,FALSE)/24,0)+IFERROR(VLOOKUP($B86,CDM!$V$41:$AJ$54,7,FALSE)/2*$C86/78,0)</f>
        <v>1737217.4211952786</v>
      </c>
      <c r="AI86" s="7">
        <f t="shared" ca="1" si="179"/>
        <v>25889185.031195279</v>
      </c>
      <c r="AJ86" s="7">
        <f>IFERROR(HLOOKUP(B86-1,'EV Forecast VRZ'!$F$124:$T$130,7,FALSE)/12,0)+IFERROR(((HLOOKUP(B86,'EV Forecast VRZ'!$F$116:$T$122,7,FALSE)-HLOOKUP(B86-1,'EV Forecast VRZ'!$F$124:$T$130,7,FALSE)))*C86/78,0)</f>
        <v>13.461538461538462</v>
      </c>
      <c r="AK86" s="7">
        <f t="shared" ca="1" si="180"/>
        <v>25889171.569656819</v>
      </c>
      <c r="AL86" s="7">
        <v>1224555.42</v>
      </c>
      <c r="AM86" s="7">
        <v>18512.340000000004</v>
      </c>
      <c r="AN86" s="7">
        <v>398212.27</v>
      </c>
      <c r="AO86" s="5">
        <v>183894.17</v>
      </c>
      <c r="AP86" s="5">
        <v>19147.939999999999</v>
      </c>
      <c r="AQ86" s="5">
        <v>37362</v>
      </c>
      <c r="AR86" s="5">
        <v>2569.5300000000002</v>
      </c>
      <c r="AS86" s="763">
        <f>601/12</f>
        <v>50.083333333333336</v>
      </c>
      <c r="AT86" s="776">
        <v>113524.66666666667</v>
      </c>
      <c r="AU86" s="776">
        <v>1557.3333333333333</v>
      </c>
      <c r="AV86" s="776">
        <v>9350.4166666666661</v>
      </c>
      <c r="AW86" s="776">
        <v>1056.5</v>
      </c>
      <c r="AX86" s="776">
        <v>5.916666666666667</v>
      </c>
      <c r="AY86" s="776">
        <v>4</v>
      </c>
      <c r="AZ86" s="776">
        <v>31745.083333333332</v>
      </c>
      <c r="BA86" s="776">
        <v>246.83333333333334</v>
      </c>
      <c r="BB86" s="776">
        <v>802.66666666666663</v>
      </c>
      <c r="BC86" s="779">
        <v>35309214.798329897</v>
      </c>
      <c r="BD86" s="779">
        <f ca="1">IFERROR(VLOOKUP($B86-1,CDM!$V$4:$AJ$17,11,FALSE)/12,0)+IFERROR(VLOOKUP($B86,CDM!$V$41:$AJ$54,11,FALSE)/24,0)+IFERROR(VLOOKUP($B86,CDM!$V$41:$AJ$54,11,FALSE)/2*$C86/78,0)</f>
        <v>1699890.0679794727</v>
      </c>
      <c r="BE86" s="779">
        <f t="shared" ref="BE86:BE117" ca="1" si="192">BC86+BD86</f>
        <v>37009104.866309367</v>
      </c>
      <c r="BF86" s="779">
        <f>IFERROR(HLOOKUP(B86-1,'EV Forecast WRZ'!$F$124:$T$130,2,FALSE)/12,0)+IFERROR(((HLOOKUP(B86,'EV Forecast WRZ'!$F$116:$T$122,2,FALSE)-HLOOKUP(B86-1,'EV Forecast WRZ'!$F$124:$T$130,2,FALSE)))*C86/78,0)</f>
        <v>130574.0282051282</v>
      </c>
      <c r="BG86" s="779">
        <f ca="1">HLOOKUP(B86,Heating!$R$102:$AD$106,2,FALSE)*INDEX(Weather!$BO$1:$CB$20,MATCH(B86,Weather!$BO$1:$BO$20,0),MATCH(C86,Weather!$BO$1:$CB$1,0))/VLOOKUP(B86,Weather!$BO$2:$CB$20,14,FALSE)*
VLOOKUP('Monthly Data'!$B86,Weather!$BO$3:$CB$20,14,FALSE)/Weather!$CB$14</f>
        <v>824246.7601214546</v>
      </c>
      <c r="BH86" s="779">
        <f t="shared" ca="1" si="181"/>
        <v>36054284.077982783</v>
      </c>
      <c r="BI86" s="779">
        <v>8175617.9013599996</v>
      </c>
      <c r="BJ86" s="779">
        <f ca="1">IFERROR(VLOOKUP($B86-1,CDM!$V$4:$AJ$17,12,FALSE)/12,0)+IFERROR(VLOOKUP($B86,CDM!$V$41:$AJ$54,12,FALSE)/24,0)+IFERROR(VLOOKUP($B86,CDM!$V$41:$AJ$54,12,FALSE)/2*$C86/78,0)</f>
        <v>250137.10961022603</v>
      </c>
      <c r="BK86" s="779">
        <f t="shared" ca="1" si="182"/>
        <v>8425755.0109702256</v>
      </c>
      <c r="BL86" s="779">
        <f>IFERROR(HLOOKUP(B86-1,'EV Forecast WRZ'!$F$124:$T$130,3,FALSE)/12,0)+IFERROR(((HLOOKUP(B86,'EV Forecast WRZ'!$F$116:$T$122,3,FALSE)-HLOOKUP(B86-1,'EV Forecast WRZ'!$F$124:$T$130,3,FALSE)))*C86/78,0)</f>
        <v>15900.451282051283</v>
      </c>
      <c r="BM86" s="779">
        <f ca="1">HLOOKUP(B86,Heating!$R$102:$AD$106,4,FALSE)*INDEX(Weather!$BO$1:$CB$20,MATCH(B86,Weather!$BO$1:$BO$20,0),MATCH(C86,Weather!$BO$1:$CB$1,0))/VLOOKUP(B86,Weather!$BO$2:$CB$20,14,FALSE)*
VLOOKUP('Monthly Data'!$B86,Weather!$BO$3:$CB$20,14,FALSE)/Weather!$CB$14</f>
        <v>126474.3254233397</v>
      </c>
      <c r="BN86" s="779">
        <f t="shared" ca="1" si="183"/>
        <v>8283380.2342648357</v>
      </c>
      <c r="BO86" s="779">
        <v>29472505.969999999</v>
      </c>
      <c r="BP86" s="779">
        <f ca="1">IFERROR(VLOOKUP($B86-1,CDM!$V$4:$AJ$17,13,FALSE)/12,0)+IFERROR(VLOOKUP($B86,CDM!$V$41:$AJ$54,13,FALSE)/24,0)+IFERROR(VLOOKUP($B86,CDM!$V$41:$AJ$54,13,FALSE)/2*$C86/78,0)</f>
        <v>2382350.0609901203</v>
      </c>
      <c r="BQ86" s="779">
        <f t="shared" ca="1" si="184"/>
        <v>31854856.03099012</v>
      </c>
      <c r="BR86" s="779">
        <f>IFERROR(HLOOKUP(B86-1,'EV Forecast WRZ'!$F$124:$T$130,4,FALSE)/12,0)+IFERROR(((HLOOKUP(B86,'EV Forecast WRZ'!$F$116:$T$122,4,FALSE)-HLOOKUP(B86-1,'EV Forecast WRZ'!$F$124:$T$130,4,FALSE)))*C86/78,0)</f>
        <v>7189.4658974358972</v>
      </c>
      <c r="BS86" s="779">
        <f ca="1">HLOOKUP(B86,Heating!$R$102:$AD$106,5,FALSE)*INDEX(Weather!$BO$1:$CB$20,MATCH(B86,Weather!$BO$1:$BO$20,0),MATCH(C86,Weather!$BO$1:$CB$1,0))/VLOOKUP(B86,Weather!$BO$2:$CB$20,14,FALSE)*
VLOOKUP('Monthly Data'!$B86,Weather!$BO$3:$CB$20,14,FALSE)/Weather!$CB$14</f>
        <v>71865.238769964417</v>
      </c>
      <c r="BT86" s="779">
        <f t="shared" ca="1" si="185"/>
        <v>31775801.326322719</v>
      </c>
      <c r="BU86" s="779">
        <v>8077542.9800000004</v>
      </c>
      <c r="BV86" s="779">
        <f ca="1">IFERROR(VLOOKUP($B86-1,CDM!$V$4:$AJ$17,14,FALSE)/12,0)+IFERROR(VLOOKUP($B86,CDM!$V$41:$AJ$54,14,FALSE)/24,0)+IFERROR(VLOOKUP($B86,CDM!$V$41:$AJ$54,14,FALSE)/2*$C86/78,0)</f>
        <v>535650.50803638785</v>
      </c>
      <c r="BW86" s="779">
        <f t="shared" ca="1" si="186"/>
        <v>8613193.4880363885</v>
      </c>
      <c r="BX86" s="779">
        <f>IFERROR(HLOOKUP(B86-1,'EV Forecast WRZ'!$F$124:$T$130,5,FALSE)/12,0)+IFERROR(((HLOOKUP(B86,'EV Forecast WRZ'!$F$116:$T$122,5,FALSE)-HLOOKUP(B86-1,'EV Forecast WRZ'!$F$124:$T$130,5,FALSE)))*C86/78,0)</f>
        <v>962.3623076923077</v>
      </c>
      <c r="BY86" s="779">
        <f t="shared" ref="BY86:BY117" ca="1" si="193">BW86-BX86</f>
        <v>8612231.1257286966</v>
      </c>
      <c r="BZ86" s="779">
        <v>372799.5</v>
      </c>
      <c r="CA86" s="779">
        <v>2766.8164144314565</v>
      </c>
      <c r="CB86" s="5">
        <v>162944.4</v>
      </c>
      <c r="CC86" s="5">
        <v>64562.29</v>
      </c>
      <c r="CD86" s="5">
        <v>15701.56</v>
      </c>
      <c r="CE86" s="5">
        <v>788.28</v>
      </c>
      <c r="CF86" s="763">
        <f>95/12</f>
        <v>7.916666666666667</v>
      </c>
      <c r="CG86" s="785">
        <v>43529.083333333336</v>
      </c>
      <c r="CH86" s="785">
        <v>2355.1666666666665</v>
      </c>
      <c r="CI86" s="785">
        <v>393.66666666666669</v>
      </c>
      <c r="CJ86" s="785">
        <v>3</v>
      </c>
      <c r="CK86" s="785">
        <v>13233.833333333334</v>
      </c>
      <c r="CL86" s="785">
        <v>46.916666666666664</v>
      </c>
      <c r="CM86" s="785">
        <v>392.16666666666669</v>
      </c>
      <c r="CN86" s="46">
        <f>Weather!C98</f>
        <v>887.49166666666656</v>
      </c>
      <c r="CO86" s="46">
        <f>Weather!D98</f>
        <v>0</v>
      </c>
      <c r="CP86" s="46">
        <f>Weather!E98</f>
        <v>825.49166666666656</v>
      </c>
      <c r="CQ86" s="46">
        <f>Weather!F98</f>
        <v>0</v>
      </c>
      <c r="CR86" s="46">
        <f>Weather!G98</f>
        <v>763.49166666666656</v>
      </c>
      <c r="CS86" s="46">
        <f>Weather!H98</f>
        <v>0</v>
      </c>
      <c r="CT86" s="46">
        <f>Weather!I98</f>
        <v>701.49166666666656</v>
      </c>
      <c r="CU86" s="46">
        <f>Weather!J98</f>
        <v>0</v>
      </c>
      <c r="CV86" s="46">
        <f>Weather!K98</f>
        <v>639.49166666666679</v>
      </c>
      <c r="CW86" s="46">
        <f>Weather!L98</f>
        <v>0</v>
      </c>
      <c r="CX86" s="46">
        <f>Weather!M98</f>
        <v>577.49166666666656</v>
      </c>
      <c r="CY86" s="46">
        <f>Weather!N98</f>
        <v>0</v>
      </c>
      <c r="CZ86" s="46">
        <f>Weather!O98</f>
        <v>515.49166666666679</v>
      </c>
      <c r="DA86" s="46">
        <f>Weather!P98</f>
        <v>0</v>
      </c>
      <c r="DB86" s="368">
        <f>'Economic Data'!D100</f>
        <v>7643.6</v>
      </c>
      <c r="DC86" s="368">
        <f>'Economic Data'!E100</f>
        <v>7611.7</v>
      </c>
      <c r="DD86" s="368">
        <f>'Economic Data'!F100</f>
        <v>226.2</v>
      </c>
      <c r="DE86" s="368">
        <f>'Economic Data'!G100</f>
        <v>226.3</v>
      </c>
      <c r="DF86" s="368">
        <f>'Economic Data'!H100</f>
        <v>57.8</v>
      </c>
      <c r="DG86" s="368">
        <f>'Economic Data'!I100</f>
        <v>57.8</v>
      </c>
      <c r="DH86" s="368">
        <f>'Economic Data'!J100</f>
        <v>850461.9</v>
      </c>
      <c r="DI86" s="368">
        <f>'Economic Data'!K100</f>
        <v>662856.4</v>
      </c>
      <c r="DJ86" s="368">
        <f>'Economic Data'!L100</f>
        <v>96870.8</v>
      </c>
      <c r="DK86" s="368">
        <f>'Economic Data'!M100</f>
        <v>30149.3</v>
      </c>
      <c r="DL86" s="368">
        <f>'Economic Data'!N100</f>
        <v>845218</v>
      </c>
      <c r="DM86" s="368">
        <f>'Economic Data'!O100</f>
        <v>97384</v>
      </c>
      <c r="DN86" s="368">
        <f>'Economic Data'!P100</f>
        <v>16017</v>
      </c>
      <c r="DO86" s="368">
        <f>'Economic Data'!Q100</f>
        <v>657318</v>
      </c>
      <c r="DP86" s="368">
        <f>'Economic Data'!R100</f>
        <v>28188</v>
      </c>
      <c r="DQ86">
        <v>31</v>
      </c>
      <c r="DR86">
        <v>20</v>
      </c>
      <c r="DS86">
        <v>1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f t="shared" si="189"/>
        <v>85</v>
      </c>
      <c r="EI86">
        <v>0.5</v>
      </c>
      <c r="EJ86">
        <v>0.25</v>
      </c>
      <c r="EK86">
        <v>0.5</v>
      </c>
      <c r="EL86">
        <v>0</v>
      </c>
      <c r="EM86" s="47">
        <f t="shared" ref="EM86:EM121" si="194">$EJ86*CN86</f>
        <v>221.87291666666664</v>
      </c>
      <c r="EN86" s="47">
        <f t="shared" ref="EN86:EN121" si="195">$EJ86*CO86</f>
        <v>0</v>
      </c>
      <c r="EO86" s="47">
        <f t="shared" ref="EO86:EO121" si="196">$EJ86*CP86</f>
        <v>206.37291666666664</v>
      </c>
      <c r="EP86" s="47">
        <f t="shared" ref="EP86:EP121" si="197">$EJ86*CQ86</f>
        <v>0</v>
      </c>
      <c r="EQ86" s="47">
        <f t="shared" ref="EQ86:EQ121" si="198">$EJ86*CR86</f>
        <v>190.87291666666664</v>
      </c>
      <c r="ER86" s="47">
        <f t="shared" ref="ER86:ER121" si="199">$EJ86*CS86</f>
        <v>0</v>
      </c>
      <c r="ES86" s="47">
        <f t="shared" ref="ES86:ES121" si="200">$EJ86*CT86</f>
        <v>175.37291666666664</v>
      </c>
      <c r="ET86" s="47">
        <f t="shared" ref="ET86:ET121" si="201">$EJ86*CU86</f>
        <v>0</v>
      </c>
      <c r="EU86" s="47">
        <f t="shared" ref="EU86:EU121" si="202">$EJ86*CV86</f>
        <v>159.8729166666667</v>
      </c>
      <c r="EV86" s="47">
        <f t="shared" ref="EV86:EV121" si="203">$EJ86*CW86</f>
        <v>0</v>
      </c>
      <c r="EW86" s="47">
        <f t="shared" ref="EW86:EW121" si="204">$EJ86*CX86</f>
        <v>144.37291666666664</v>
      </c>
      <c r="EX86" s="47">
        <f t="shared" ref="EX86:EX121" si="205">$EJ86*CY86</f>
        <v>0</v>
      </c>
      <c r="EY86" s="47">
        <f t="shared" ref="EY86:EY121" si="206">$EJ86*CZ86</f>
        <v>128.8729166666667</v>
      </c>
      <c r="EZ86" s="47">
        <f t="shared" ref="EZ86:EZ121" si="207">$EJ86*DA86</f>
        <v>0</v>
      </c>
      <c r="FA86" s="47">
        <f t="shared" ref="FA86:FA121" si="208">$EK86*CN86</f>
        <v>443.74583333333328</v>
      </c>
      <c r="FB86" s="47">
        <f t="shared" ref="FB86:FB121" si="209">$EK86*CO86</f>
        <v>0</v>
      </c>
      <c r="FC86" s="47">
        <f t="shared" ref="FC86:FC121" si="210">$EK86*CP86</f>
        <v>412.74583333333328</v>
      </c>
      <c r="FD86" s="47">
        <f t="shared" ref="FD86:FD121" si="211">$EK86*CQ86</f>
        <v>0</v>
      </c>
      <c r="FE86" s="47">
        <f t="shared" ref="FE86:FE121" si="212">$EK86*CR86</f>
        <v>381.74583333333328</v>
      </c>
      <c r="FF86" s="47">
        <f t="shared" ref="FF86:FF121" si="213">$EK86*CS86</f>
        <v>0</v>
      </c>
      <c r="FG86" s="47">
        <f t="shared" ref="FG86:FG121" si="214">$EK86*CT86</f>
        <v>350.74583333333328</v>
      </c>
      <c r="FH86" s="47">
        <f t="shared" ref="FH86:FH121" si="215">$EK86*CU86</f>
        <v>0</v>
      </c>
      <c r="FI86" s="47">
        <f t="shared" ref="FI86:FI121" si="216">$EK86*CV86</f>
        <v>319.74583333333339</v>
      </c>
      <c r="FJ86" s="47">
        <f t="shared" ref="FJ86:FJ121" si="217">$EK86*CW86</f>
        <v>0</v>
      </c>
      <c r="FK86" s="47">
        <f t="shared" ref="FK86:FK121" si="218">$EK86*CX86</f>
        <v>288.74583333333328</v>
      </c>
      <c r="FL86" s="47">
        <f t="shared" ref="FL86:FL121" si="219">$EK86*CY86</f>
        <v>0</v>
      </c>
      <c r="FM86" s="47">
        <f t="shared" ref="FM86:FM121" si="220">$EK86*CZ86</f>
        <v>257.74583333333339</v>
      </c>
      <c r="FN86" s="47">
        <f t="shared" ref="FN86:FN121" si="221">$EK86*DA86</f>
        <v>0</v>
      </c>
      <c r="FO86" s="765">
        <f t="shared" ref="FO86:FO121" ca="1" si="222">I86/AT86</f>
        <v>915.94876636520985</v>
      </c>
      <c r="FP86" s="765">
        <f t="shared" ref="FP86:FP121" ca="1" si="223">L86/AU86</f>
        <v>1057.70901084754</v>
      </c>
      <c r="FQ86" s="765">
        <f t="shared" ref="FQ86:FQ121" ca="1" si="224">R86/AV86</f>
        <v>2983.6024665928358</v>
      </c>
      <c r="FR86" s="765">
        <f t="shared" ref="FR86:FR121" ca="1" si="225">X86/AW86</f>
        <v>83071.820007131915</v>
      </c>
      <c r="FS86" s="765">
        <f t="shared" ref="FS86:FS121" ca="1" si="226">AD86/AX86</f>
        <v>1439970.4000570395</v>
      </c>
      <c r="FT86" s="765">
        <f t="shared" ref="FT86:FT121" ca="1" si="227">AI86/AY86</f>
        <v>6472296.2577988198</v>
      </c>
      <c r="FU86" s="765">
        <f t="shared" ref="FU86:FU121" si="228">AL86/AZ86</f>
        <v>38.574648147613409</v>
      </c>
      <c r="FV86" s="765">
        <f t="shared" ref="FV86:FV121" si="229">AM86/BA86</f>
        <v>74.999351789331541</v>
      </c>
      <c r="FW86" s="765">
        <f t="shared" ref="FW86:FW121" si="230">AN86/BB86</f>
        <v>496.11163205980068</v>
      </c>
      <c r="FX86" s="765">
        <f t="shared" ref="FX86:FX121" ca="1" si="231">BE86/CG86</f>
        <v>850.21558076250244</v>
      </c>
      <c r="FY86" s="765">
        <f t="shared" ref="FY86:FY121" ca="1" si="232">BK86/CH86</f>
        <v>3577.5621021740399</v>
      </c>
      <c r="FZ86" s="765">
        <f t="shared" ref="FZ86:FZ121" ca="1" si="233">BQ86/CI86</f>
        <v>80918.347242142554</v>
      </c>
      <c r="GA86" s="765">
        <f t="shared" ref="GA86:GA121" si="234">BZ86/CJ86</f>
        <v>124266.5</v>
      </c>
      <c r="GB86" s="765">
        <f t="shared" ref="GB86:GB121" si="235">BZ86/CK86</f>
        <v>28.170182486807803</v>
      </c>
      <c r="GC86" s="765">
        <f t="shared" ref="GC86:GC121" si="236">CA86/CL86</f>
        <v>58.972996399959996</v>
      </c>
      <c r="GD86" s="765">
        <f t="shared" ref="GD86:GD121" si="237">CB86/CM86</f>
        <v>415.49783255418612</v>
      </c>
    </row>
    <row r="87" spans="1:186">
      <c r="A87" s="4">
        <v>44593</v>
      </c>
      <c r="B87" s="6">
        <v>2022</v>
      </c>
      <c r="C87" s="5">
        <v>2</v>
      </c>
      <c r="D87" s="7">
        <v>86015626.173900694</v>
      </c>
      <c r="E87" s="7">
        <f ca="1">IFERROR(VLOOKUP($B87-1,CDM!$V$4:$AJ$17,2,FALSE)/12,0)+IFERROR(VLOOKUP($B87,CDM!$V$41:$AJ$54,2,FALSE)/24,0)+IFERROR(VLOOKUP($B87,CDM!$V$41:$AJ$54,2,FALSE)/2*$C87/78,0)</f>
        <v>3846447.4741050974</v>
      </c>
      <c r="F87" s="7">
        <f t="shared" ca="1" si="169"/>
        <v>89862073.648005784</v>
      </c>
      <c r="G87" s="7">
        <f>IFERROR(HLOOKUP(B87-1,'EV Forecast VRZ'!$F$124:$T$130,2,FALSE)/12,0)+IFERROR(((HLOOKUP(B87,'EV Forecast VRZ'!$F$116:$T$122,2,FALSE)-HLOOKUP(B87-1,'EV Forecast VRZ'!$F$124:$T$130,2,FALSE)))*C87/78,0)</f>
        <v>423603.73677509278</v>
      </c>
      <c r="H87" s="7">
        <f ca="1">HLOOKUP(B87,Heating!$C$102:$O$106,2,FALSE)*INDEX(Weather!$BO$1:$CB$20,MATCH(B87,Weather!$BO$1:$BO$20,0),MATCH(C87,Weather!$BO$1:$CB$1,0))/VLOOKUP(B87,Weather!$BO$2:$CB$20,14,FALSE)*
VLOOKUP('Monthly Data'!$B87,Weather!$BO$3:$CB$20,14,FALSE)/Weather!$CB$14</f>
        <v>1436672.7511910319</v>
      </c>
      <c r="I87" s="7">
        <f t="shared" ca="1" si="170"/>
        <v>88001797.160039648</v>
      </c>
      <c r="J87" s="7">
        <v>1329861.3317499999</v>
      </c>
      <c r="K87" s="7">
        <f ca="1">IFERROR(VLOOKUP($B87-1,CDM!$V$4:$AJ$17,3,FALSE)/12,0)+IFERROR(VLOOKUP($B87,CDM!$V$41:$AJ$54,3,FALSE)/24,0)+IFERROR(VLOOKUP($B87,CDM!$V$41:$AJ$54,3,FALSE)/2*$C87/78,0)</f>
        <v>44056.453842978604</v>
      </c>
      <c r="L87" s="7">
        <f t="shared" ca="1" si="171"/>
        <v>1373917.7855929786</v>
      </c>
      <c r="M87" s="7">
        <f>IFERROR(HLOOKUP(B87-1,'EV Forecast VRZ'!$F$124:$T$130,3,FALSE)/12,0)+IFERROR(((HLOOKUP(B87,'EV Forecast VRZ'!$F$116:$T$122,3,FALSE)-HLOOKUP(B87-1,'EV Forecast VRZ'!$F$124:$T$130,3,FALSE)))*C87/78,0)</f>
        <v>5762.8756608045323</v>
      </c>
      <c r="N87" s="7">
        <f ca="1">HLOOKUP(B87,Heating!$C$102:$O$106,3,FALSE)*INDEX(Weather!$BO$1:$CB$20,MATCH(B87,Weather!$BO$1:$BO$20,0),MATCH(C87,Weather!$BO$1:$CB$1,0))/VLOOKUP(B87,Weather!$BO$2:$CB$20,14,FALSE)*
VLOOKUP('Monthly Data'!$B87,Weather!$BO$3:$CB$20,14,FALSE)/Weather!$CB$14</f>
        <v>17688.036492100764</v>
      </c>
      <c r="O87" s="7">
        <f t="shared" ca="1" si="172"/>
        <v>1350466.8734400733</v>
      </c>
      <c r="P87" s="7">
        <v>23878455.9513399</v>
      </c>
      <c r="Q87" s="7">
        <f ca="1">IFERROR(VLOOKUP($B87-1,CDM!$V$4:$AJ$17,4,FALSE)/12,0)+IFERROR(VLOOKUP($B87,CDM!$V$41:$AJ$54,4,FALSE)/24,0)+IFERROR(VLOOKUP($B87,CDM!$V$41:$AJ$54,4,FALSE)/2*$C87/78,0)</f>
        <v>1487047.0150045066</v>
      </c>
      <c r="R87" s="7">
        <f t="shared" ca="1" si="173"/>
        <v>25365502.966344409</v>
      </c>
      <c r="S87" s="7">
        <f>IFERROR(HLOOKUP(B87-1,'EV Forecast VRZ'!$F$124:$T$130,4,FALSE)/12,0)+IFERROR(((HLOOKUP(B87,'EV Forecast VRZ'!$F$116:$T$122,4,FALSE)-HLOOKUP(B87-1,'EV Forecast VRZ'!$F$124:$T$130,4,FALSE)))*C87/78,0)</f>
        <v>52265.302820512821</v>
      </c>
      <c r="T87" s="7">
        <f ca="1">HLOOKUP(B87,Heating!$C$102:$O$106,4,FALSE)*INDEX(Weather!$BO$1:$CB$20,MATCH(B87,Weather!$BO$1:$BO$20,0),MATCH(C87,Weather!$BO$1:$CB$1,0))/VLOOKUP(B87,Weather!$BO$2:$CB$20,14,FALSE)*
VLOOKUP('Monthly Data'!$B87,Weather!$BO$3:$CB$20,14,FALSE)/Weather!$CB$14</f>
        <v>352163.12887936161</v>
      </c>
      <c r="U87" s="7">
        <f t="shared" ca="1" si="174"/>
        <v>24961074.534644537</v>
      </c>
      <c r="V87" s="7">
        <v>75799941.010000005</v>
      </c>
      <c r="W87" s="7">
        <f ca="1">IFERROR(VLOOKUP($B87-1,CDM!$V$4:$AJ$17,5,FALSE)/12,0)+IFERROR(VLOOKUP($B87,CDM!$V$41:$AJ$54,5,FALSE)/24,0)+IFERROR(VLOOKUP($B87,CDM!$V$41:$AJ$54,5,FALSE)/2*$C87/78,0)</f>
        <v>5846748.6038979609</v>
      </c>
      <c r="X87" s="7">
        <f t="shared" ca="1" si="175"/>
        <v>81646689.613897964</v>
      </c>
      <c r="Y87" s="7">
        <f>IFERROR(HLOOKUP(B87-1,'EV Forecast VRZ'!$F$124:$T$130,5,FALSE)/12,0)+IFERROR(((HLOOKUP(B87,'EV Forecast VRZ'!$F$116:$T$122,5,FALSE)-HLOOKUP(B87-1,'EV Forecast VRZ'!$F$124:$T$130,5,FALSE)))*C87/78,0)</f>
        <v>23714.514474358974</v>
      </c>
      <c r="Z87" s="7">
        <f ca="1">HLOOKUP(B87,Heating!$C$102:$O$106,5,FALSE)*INDEX(Weather!$BO$1:$CB$20,MATCH(B87,Weather!$BO$1:$BO$20,0),MATCH(C87,Weather!$BO$1:$CB$1,0))/VLOOKUP(B87,Weather!$BO$2:$CB$20,14,FALSE)*
VLOOKUP('Monthly Data'!$B87,Weather!$BO$3:$CB$20,14,FALSE)/Weather!$CB$14</f>
        <v>187796.83471795337</v>
      </c>
      <c r="AA87" s="7">
        <f t="shared" ca="1" si="176"/>
        <v>81435178.264705643</v>
      </c>
      <c r="AB87" s="7">
        <v>8622763.0800000001</v>
      </c>
      <c r="AC87" s="7">
        <f ca="1">IFERROR(VLOOKUP($B87-1,CDM!$V$4:$AJ$17,6,FALSE)/12,0)+IFERROR(VLOOKUP($B87,CDM!$V$41:$AJ$54,6,FALSE)/24,0)+IFERROR(VLOOKUP($B87,CDM!$V$41:$AJ$54,6,FALSE)/2*$C87/78,0)</f>
        <v>263342.03480337799</v>
      </c>
      <c r="AD87" s="7">
        <f t="shared" ca="1" si="177"/>
        <v>8886105.1148033775</v>
      </c>
      <c r="AE87" s="7">
        <f>IFERROR(HLOOKUP(B87-1,'EV Forecast VRZ'!$F$124:$T$130,6,FALSE)/12,0)+IFERROR(((HLOOKUP(B87,'EV Forecast VRZ'!$F$116:$T$122,6,FALSE)-HLOOKUP(B87-1,'EV Forecast VRZ'!$F$124:$T$130,6,FALSE)))*C87/78,0)</f>
        <v>3151.4702692307692</v>
      </c>
      <c r="AF87" s="7">
        <f t="shared" ca="1" si="178"/>
        <v>8882953.6445341464</v>
      </c>
      <c r="AG87" s="7">
        <v>23061499.289999999</v>
      </c>
      <c r="AH87" s="7">
        <f ca="1">IFERROR(VLOOKUP($B87-1,CDM!$V$4:$AJ$17,7,FALSE)/12,0)+IFERROR(VLOOKUP($B87,CDM!$V$41:$AJ$54,7,FALSE)/24,0)+IFERROR(VLOOKUP($B87,CDM!$V$41:$AJ$54,7,FALSE)/2*$C87/78,0)</f>
        <v>1739070.0143367848</v>
      </c>
      <c r="AI87" s="7">
        <f t="shared" ca="1" si="179"/>
        <v>24800569.304336783</v>
      </c>
      <c r="AJ87" s="7">
        <f>IFERROR(HLOOKUP(B87-1,'EV Forecast VRZ'!$F$124:$T$130,7,FALSE)/12,0)+IFERROR(((HLOOKUP(B87,'EV Forecast VRZ'!$F$116:$T$122,7,FALSE)-HLOOKUP(B87-1,'EV Forecast VRZ'!$F$124:$T$130,7,FALSE)))*C87/78,0)</f>
        <v>26.923076923076923</v>
      </c>
      <c r="AK87" s="7">
        <f t="shared" ca="1" si="180"/>
        <v>24800542.381259859</v>
      </c>
      <c r="AL87" s="7">
        <v>1086879.17</v>
      </c>
      <c r="AM87" s="7">
        <v>6024.5399999999991</v>
      </c>
      <c r="AN87" s="7">
        <v>397853.78</v>
      </c>
      <c r="AO87" s="5">
        <v>181503.95</v>
      </c>
      <c r="AP87" s="5">
        <v>18945.36</v>
      </c>
      <c r="AQ87" s="5">
        <v>47205</v>
      </c>
      <c r="AR87" s="5">
        <v>2743.2</v>
      </c>
      <c r="AS87" s="763">
        <f t="shared" ref="AS87:AS97" si="238">601/12</f>
        <v>50.083333333333336</v>
      </c>
      <c r="AT87" s="776">
        <v>113640.33333333334</v>
      </c>
      <c r="AU87" s="776">
        <v>1557.6666666666665</v>
      </c>
      <c r="AV87" s="776">
        <v>9361.8333333333321</v>
      </c>
      <c r="AW87" s="776">
        <v>1053</v>
      </c>
      <c r="AX87" s="776">
        <v>5.8333333333333339</v>
      </c>
      <c r="AY87" s="776">
        <v>4</v>
      </c>
      <c r="AZ87" s="776">
        <v>31754.166666666664</v>
      </c>
      <c r="BA87" s="776">
        <v>246.66666666666669</v>
      </c>
      <c r="BB87" s="776">
        <v>802.33333333333326</v>
      </c>
      <c r="BC87" s="779">
        <v>29802671.721710101</v>
      </c>
      <c r="BD87" s="779">
        <f ca="1">IFERROR(VLOOKUP($B87-1,CDM!$V$4:$AJ$17,11,FALSE)/12,0)+IFERROR(VLOOKUP($B87,CDM!$V$41:$AJ$54,11,FALSE)/24,0)+IFERROR(VLOOKUP($B87,CDM!$V$41:$AJ$54,11,FALSE)/2*$C87/78,0)</f>
        <v>1700181.0898255601</v>
      </c>
      <c r="BE87" s="779">
        <f t="shared" ca="1" si="192"/>
        <v>31502852.81153566</v>
      </c>
      <c r="BF87" s="779">
        <f>IFERROR(HLOOKUP(B87-1,'EV Forecast WRZ'!$F$124:$T$130,2,FALSE)/12,0)+IFERROR(((HLOOKUP(B87,'EV Forecast WRZ'!$F$116:$T$122,2,FALSE)-HLOOKUP(B87-1,'EV Forecast WRZ'!$F$124:$T$130,2,FALSE)))*C87/78,0)</f>
        <v>136879.51807692306</v>
      </c>
      <c r="BG87" s="779">
        <f ca="1">HLOOKUP(B87,Heating!$R$102:$AD$106,2,FALSE)*INDEX(Weather!$BO$1:$CB$20,MATCH(B87,Weather!$BO$1:$BO$20,0),MATCH(C87,Weather!$BO$1:$CB$1,0))/VLOOKUP(B87,Weather!$BO$2:$CB$20,14,FALSE)*
VLOOKUP('Monthly Data'!$B87,Weather!$BO$3:$CB$20,14,FALSE)/Weather!$CB$14</f>
        <v>635889.57996751228</v>
      </c>
      <c r="BH87" s="779">
        <f t="shared" ca="1" si="181"/>
        <v>30730083.713491224</v>
      </c>
      <c r="BI87" s="779">
        <v>7448512.0922799902</v>
      </c>
      <c r="BJ87" s="779">
        <f ca="1">IFERROR(VLOOKUP($B87-1,CDM!$V$4:$AJ$17,12,FALSE)/12,0)+IFERROR(VLOOKUP($B87,CDM!$V$41:$AJ$54,12,FALSE)/24,0)+IFERROR(VLOOKUP($B87,CDM!$V$41:$AJ$54,12,FALSE)/2*$C87/78,0)</f>
        <v>252566.65225975169</v>
      </c>
      <c r="BK87" s="779">
        <f t="shared" ca="1" si="182"/>
        <v>7701078.7445397414</v>
      </c>
      <c r="BL87" s="779">
        <f>IFERROR(HLOOKUP(B87-1,'EV Forecast WRZ'!$F$124:$T$130,3,FALSE)/12,0)+IFERROR(((HLOOKUP(B87,'EV Forecast WRZ'!$F$116:$T$122,3,FALSE)-HLOOKUP(B87-1,'EV Forecast WRZ'!$F$124:$T$130,3,FALSE)))*C87/78,0)</f>
        <v>16717.83923076923</v>
      </c>
      <c r="BM87" s="779">
        <f ca="1">HLOOKUP(B87,Heating!$R$102:$AD$106,4,FALSE)*INDEX(Weather!$BO$1:$CB$20,MATCH(B87,Weather!$BO$1:$BO$20,0),MATCH(C87,Weather!$BO$1:$CB$1,0))/VLOOKUP(B87,Weather!$BO$2:$CB$20,14,FALSE)*
VLOOKUP('Monthly Data'!$B87,Weather!$BO$3:$CB$20,14,FALSE)/Weather!$CB$14</f>
        <v>97572.364929006624</v>
      </c>
      <c r="BN87" s="779">
        <f t="shared" ca="1" si="183"/>
        <v>7586788.5403799657</v>
      </c>
      <c r="BO87" s="779">
        <v>27029254.530000001</v>
      </c>
      <c r="BP87" s="779">
        <f ca="1">IFERROR(VLOOKUP($B87-1,CDM!$V$4:$AJ$17,13,FALSE)/12,0)+IFERROR(VLOOKUP($B87,CDM!$V$41:$AJ$54,13,FALSE)/24,0)+IFERROR(VLOOKUP($B87,CDM!$V$41:$AJ$54,13,FALSE)/2*$C87/78,0)</f>
        <v>2414562.3261106429</v>
      </c>
      <c r="BQ87" s="779">
        <f t="shared" ca="1" si="184"/>
        <v>29443816.856110644</v>
      </c>
      <c r="BR87" s="779">
        <f>IFERROR(HLOOKUP(B87-1,'EV Forecast WRZ'!$F$124:$T$130,4,FALSE)/12,0)+IFERROR(((HLOOKUP(B87,'EV Forecast WRZ'!$F$116:$T$122,4,FALSE)-HLOOKUP(B87-1,'EV Forecast WRZ'!$F$124:$T$130,4,FALSE)))*C87/78,0)</f>
        <v>7554.0532948717946</v>
      </c>
      <c r="BS87" s="779">
        <f ca="1">HLOOKUP(B87,Heating!$R$102:$AD$106,5,FALSE)*INDEX(Weather!$BO$1:$CB$20,MATCH(B87,Weather!$BO$1:$BO$20,0),MATCH(C87,Weather!$BO$1:$CB$1,0))/VLOOKUP(B87,Weather!$BO$2:$CB$20,14,FALSE)*
VLOOKUP('Monthly Data'!$B87,Weather!$BO$3:$CB$20,14,FALSE)/Weather!$CB$14</f>
        <v>55442.567331370417</v>
      </c>
      <c r="BT87" s="779">
        <f t="shared" ca="1" si="185"/>
        <v>29380820.235484403</v>
      </c>
      <c r="BU87" s="779">
        <v>7413619.0899999999</v>
      </c>
      <c r="BV87" s="779">
        <f ca="1">IFERROR(VLOOKUP($B87-1,CDM!$V$4:$AJ$17,14,FALSE)/12,0)+IFERROR(VLOOKUP($B87,CDM!$V$41:$AJ$54,14,FALSE)/24,0)+IFERROR(VLOOKUP($B87,CDM!$V$41:$AJ$54,14,FALSE)/2*$C87/78,0)</f>
        <v>542896.12730781594</v>
      </c>
      <c r="BW87" s="779">
        <f t="shared" ca="1" si="186"/>
        <v>7956515.2173078153</v>
      </c>
      <c r="BX87" s="779">
        <f>IFERROR(HLOOKUP(B87-1,'EV Forecast WRZ'!$F$124:$T$130,5,FALSE)/12,0)+IFERROR(((HLOOKUP(B87,'EV Forecast WRZ'!$F$116:$T$122,5,FALSE)-HLOOKUP(B87-1,'EV Forecast WRZ'!$F$124:$T$130,5,FALSE)))*C87/78,0)</f>
        <v>1020.5714487179487</v>
      </c>
      <c r="BY87" s="779">
        <f t="shared" ca="1" si="193"/>
        <v>7955494.6458590971</v>
      </c>
      <c r="BZ87" s="779">
        <v>311497.67</v>
      </c>
      <c r="CA87" s="779">
        <v>2969.0955340855348</v>
      </c>
      <c r="CB87" s="5">
        <v>163736.88</v>
      </c>
      <c r="CC87" s="5">
        <v>64218.05</v>
      </c>
      <c r="CD87" s="5">
        <v>14184.67</v>
      </c>
      <c r="CE87" s="5">
        <v>788.28</v>
      </c>
      <c r="CF87" s="763">
        <f t="shared" ref="CF87:CF97" si="239">95/12</f>
        <v>7.916666666666667</v>
      </c>
      <c r="CG87" s="785">
        <v>43617.166666666672</v>
      </c>
      <c r="CH87" s="785">
        <v>2360.333333333333</v>
      </c>
      <c r="CI87" s="785">
        <v>392.33333333333337</v>
      </c>
      <c r="CJ87" s="785">
        <v>3</v>
      </c>
      <c r="CK87" s="785">
        <v>13253.666666666668</v>
      </c>
      <c r="CL87" s="785">
        <v>46.833333333333329</v>
      </c>
      <c r="CM87" s="785">
        <v>392.33333333333337</v>
      </c>
      <c r="CN87" s="46">
        <f>Weather!C99</f>
        <v>692.85</v>
      </c>
      <c r="CO87" s="46">
        <f>Weather!D99</f>
        <v>0</v>
      </c>
      <c r="CP87" s="46">
        <f>Weather!E99</f>
        <v>636.84999999999991</v>
      </c>
      <c r="CQ87" s="46">
        <f>Weather!F99</f>
        <v>0</v>
      </c>
      <c r="CR87" s="46">
        <f>Weather!G99</f>
        <v>580.84999999999991</v>
      </c>
      <c r="CS87" s="46">
        <f>Weather!H99</f>
        <v>0</v>
      </c>
      <c r="CT87" s="46">
        <f>Weather!I99</f>
        <v>524.84999999999991</v>
      </c>
      <c r="CU87" s="46">
        <f>Weather!J99</f>
        <v>0</v>
      </c>
      <c r="CV87" s="46">
        <f>Weather!K99</f>
        <v>468.84999999999991</v>
      </c>
      <c r="CW87" s="46">
        <f>Weather!L99</f>
        <v>0</v>
      </c>
      <c r="CX87" s="46">
        <f>Weather!M99</f>
        <v>412.84999999999991</v>
      </c>
      <c r="CY87" s="46">
        <f>Weather!N99</f>
        <v>0</v>
      </c>
      <c r="CZ87" s="46">
        <f>Weather!O99</f>
        <v>356.85</v>
      </c>
      <c r="DA87" s="46">
        <f>Weather!P99</f>
        <v>0</v>
      </c>
      <c r="DB87" s="368">
        <f>'Economic Data'!D101</f>
        <v>7668.9</v>
      </c>
      <c r="DC87" s="368">
        <f>'Economic Data'!E101</f>
        <v>7606.7</v>
      </c>
      <c r="DD87" s="368">
        <f>'Economic Data'!F101</f>
        <v>226.3</v>
      </c>
      <c r="DE87" s="368">
        <f>'Economic Data'!G101</f>
        <v>226.6</v>
      </c>
      <c r="DF87" s="368">
        <f>'Economic Data'!H101</f>
        <v>58</v>
      </c>
      <c r="DG87" s="368">
        <f>'Economic Data'!I101</f>
        <v>58</v>
      </c>
      <c r="DH87" s="368">
        <f>'Economic Data'!J101</f>
        <v>850461.9</v>
      </c>
      <c r="DI87" s="368">
        <f>'Economic Data'!K101</f>
        <v>662856.4</v>
      </c>
      <c r="DJ87" s="368">
        <f>'Economic Data'!L101</f>
        <v>96870.8</v>
      </c>
      <c r="DK87" s="368">
        <f>'Economic Data'!M101</f>
        <v>30149.3</v>
      </c>
      <c r="DL87" s="368">
        <f>'Economic Data'!N101</f>
        <v>845218</v>
      </c>
      <c r="DM87" s="368">
        <f>'Economic Data'!O101</f>
        <v>97384</v>
      </c>
      <c r="DN87" s="368">
        <f>'Economic Data'!P101</f>
        <v>16017</v>
      </c>
      <c r="DO87" s="368">
        <f>'Economic Data'!Q101</f>
        <v>657318</v>
      </c>
      <c r="DP87" s="368">
        <f>'Economic Data'!R101</f>
        <v>28188</v>
      </c>
      <c r="DQ87">
        <v>28</v>
      </c>
      <c r="DR87">
        <v>19</v>
      </c>
      <c r="DS87">
        <v>0</v>
      </c>
      <c r="DT87">
        <v>1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f t="shared" si="189"/>
        <v>86</v>
      </c>
      <c r="EI87">
        <v>0.5</v>
      </c>
      <c r="EJ87">
        <v>0.25</v>
      </c>
      <c r="EK87">
        <v>0.5</v>
      </c>
      <c r="EL87">
        <v>0</v>
      </c>
      <c r="EM87" s="47">
        <f t="shared" si="194"/>
        <v>173.21250000000001</v>
      </c>
      <c r="EN87" s="47">
        <f t="shared" si="195"/>
        <v>0</v>
      </c>
      <c r="EO87" s="47">
        <f t="shared" si="196"/>
        <v>159.21249999999998</v>
      </c>
      <c r="EP87" s="47">
        <f t="shared" si="197"/>
        <v>0</v>
      </c>
      <c r="EQ87" s="47">
        <f t="shared" si="198"/>
        <v>145.21249999999998</v>
      </c>
      <c r="ER87" s="47">
        <f t="shared" si="199"/>
        <v>0</v>
      </c>
      <c r="ES87" s="47">
        <f t="shared" si="200"/>
        <v>131.21249999999998</v>
      </c>
      <c r="ET87" s="47">
        <f t="shared" si="201"/>
        <v>0</v>
      </c>
      <c r="EU87" s="47">
        <f t="shared" si="202"/>
        <v>117.21249999999998</v>
      </c>
      <c r="EV87" s="47">
        <f t="shared" si="203"/>
        <v>0</v>
      </c>
      <c r="EW87" s="47">
        <f t="shared" si="204"/>
        <v>103.21249999999998</v>
      </c>
      <c r="EX87" s="47">
        <f t="shared" si="205"/>
        <v>0</v>
      </c>
      <c r="EY87" s="47">
        <f t="shared" si="206"/>
        <v>89.212500000000006</v>
      </c>
      <c r="EZ87" s="47">
        <f t="shared" si="207"/>
        <v>0</v>
      </c>
      <c r="FA87" s="47">
        <f t="shared" si="208"/>
        <v>346.42500000000001</v>
      </c>
      <c r="FB87" s="47">
        <f t="shared" si="209"/>
        <v>0</v>
      </c>
      <c r="FC87" s="47">
        <f t="shared" si="210"/>
        <v>318.42499999999995</v>
      </c>
      <c r="FD87" s="47">
        <f t="shared" si="211"/>
        <v>0</v>
      </c>
      <c r="FE87" s="47">
        <f t="shared" si="212"/>
        <v>290.42499999999995</v>
      </c>
      <c r="FF87" s="47">
        <f t="shared" si="213"/>
        <v>0</v>
      </c>
      <c r="FG87" s="47">
        <f t="shared" si="214"/>
        <v>262.42499999999995</v>
      </c>
      <c r="FH87" s="47">
        <f t="shared" si="215"/>
        <v>0</v>
      </c>
      <c r="FI87" s="47">
        <f t="shared" si="216"/>
        <v>234.42499999999995</v>
      </c>
      <c r="FJ87" s="47">
        <f t="shared" si="217"/>
        <v>0</v>
      </c>
      <c r="FK87" s="47">
        <f t="shared" si="218"/>
        <v>206.42499999999995</v>
      </c>
      <c r="FL87" s="47">
        <f t="shared" si="219"/>
        <v>0</v>
      </c>
      <c r="FM87" s="47">
        <f t="shared" si="220"/>
        <v>178.42500000000001</v>
      </c>
      <c r="FN87" s="47">
        <f t="shared" si="221"/>
        <v>0</v>
      </c>
      <c r="FO87" s="765">
        <f t="shared" ca="1" si="222"/>
        <v>774.38876302756046</v>
      </c>
      <c r="FP87" s="765">
        <f t="shared" ca="1" si="223"/>
        <v>882.03581356279392</v>
      </c>
      <c r="FQ87" s="765">
        <f t="shared" ca="1" si="224"/>
        <v>2709.4589342911195</v>
      </c>
      <c r="FR87" s="765">
        <f t="shared" ca="1" si="225"/>
        <v>77537.217107215547</v>
      </c>
      <c r="FS87" s="765">
        <f t="shared" ca="1" si="226"/>
        <v>1523332.3053948646</v>
      </c>
      <c r="FT87" s="765">
        <f t="shared" ca="1" si="227"/>
        <v>6200142.3260841956</v>
      </c>
      <c r="FU87" s="765">
        <f t="shared" si="228"/>
        <v>34.227922949744126</v>
      </c>
      <c r="FV87" s="765">
        <f t="shared" si="229"/>
        <v>24.423810810810807</v>
      </c>
      <c r="FW87" s="765">
        <f t="shared" si="230"/>
        <v>495.87093477357718</v>
      </c>
      <c r="FX87" s="765">
        <f t="shared" ca="1" si="231"/>
        <v>722.25812034716432</v>
      </c>
      <c r="FY87" s="765">
        <f t="shared" ca="1" si="232"/>
        <v>3262.7081250697961</v>
      </c>
      <c r="FZ87" s="765">
        <f t="shared" ca="1" si="233"/>
        <v>75047.961400451924</v>
      </c>
      <c r="GA87" s="765">
        <f t="shared" si="234"/>
        <v>103832.55666666666</v>
      </c>
      <c r="GB87" s="765">
        <f t="shared" si="235"/>
        <v>23.502754206383138</v>
      </c>
      <c r="GC87" s="765">
        <f t="shared" si="236"/>
        <v>63.397057667306797</v>
      </c>
      <c r="GD87" s="765">
        <f t="shared" si="237"/>
        <v>417.34124044180118</v>
      </c>
    </row>
    <row r="88" spans="1:186">
      <c r="A88" s="4">
        <v>44621</v>
      </c>
      <c r="B88" s="6">
        <v>2022</v>
      </c>
      <c r="C88" s="5">
        <v>3</v>
      </c>
      <c r="D88" s="7">
        <v>85096252.480660394</v>
      </c>
      <c r="E88" s="7">
        <f ca="1">IFERROR(VLOOKUP($B88-1,CDM!$V$4:$AJ$17,2,FALSE)/12,0)+IFERROR(VLOOKUP($B88,CDM!$V$41:$AJ$54,2,FALSE)/24,0)+IFERROR(VLOOKUP($B88,CDM!$V$41:$AJ$54,2,FALSE)/2*$C88/78,0)</f>
        <v>3846769.3796669804</v>
      </c>
      <c r="F88" s="7">
        <f t="shared" ca="1" si="169"/>
        <v>88943021.860327378</v>
      </c>
      <c r="G88" s="7">
        <f>IFERROR(HLOOKUP(B88-1,'EV Forecast VRZ'!$F$124:$T$130,2,FALSE)/12,0)+IFERROR(((HLOOKUP(B88,'EV Forecast VRZ'!$F$116:$T$122,2,FALSE)-HLOOKUP(B88-1,'EV Forecast VRZ'!$F$124:$T$130,2,FALSE)))*C88/78,0)</f>
        <v>444861.7512449295</v>
      </c>
      <c r="H88" s="7">
        <f ca="1">HLOOKUP(B88,Heating!$C$102:$O$106,2,FALSE)*INDEX(Weather!$BO$1:$CB$20,MATCH(B88,Weather!$BO$1:$BO$20,0),MATCH(C88,Weather!$BO$1:$CB$1,0))/VLOOKUP(B88,Weather!$BO$2:$CB$20,14,FALSE)*
VLOOKUP('Monthly Data'!$B88,Weather!$BO$3:$CB$20,14,FALSE)/Weather!$CB$14</f>
        <v>1228838.1538134124</v>
      </c>
      <c r="I88" s="7">
        <f t="shared" ca="1" si="170"/>
        <v>87269321.955269039</v>
      </c>
      <c r="J88" s="7">
        <v>1242943.6126999999</v>
      </c>
      <c r="K88" s="7">
        <f ca="1">IFERROR(VLOOKUP($B88-1,CDM!$V$4:$AJ$17,3,FALSE)/12,0)+IFERROR(VLOOKUP($B88,CDM!$V$41:$AJ$54,3,FALSE)/24,0)+IFERROR(VLOOKUP($B88,CDM!$V$41:$AJ$54,3,FALSE)/2*$C88/78,0)</f>
        <v>44060.140886055204</v>
      </c>
      <c r="L88" s="7">
        <f t="shared" ca="1" si="171"/>
        <v>1287003.7535860552</v>
      </c>
      <c r="M88" s="7">
        <f>IFERROR(HLOOKUP(B88-1,'EV Forecast VRZ'!$F$124:$T$130,3,FALSE)/12,0)+IFERROR(((HLOOKUP(B88,'EV Forecast VRZ'!$F$116:$T$122,3,FALSE)-HLOOKUP(B88-1,'EV Forecast VRZ'!$F$124:$T$130,3,FALSE)))*C88/78,0)</f>
        <v>6052.0782422498796</v>
      </c>
      <c r="N88" s="7">
        <f ca="1">HLOOKUP(B88,Heating!$C$102:$O$106,3,FALSE)*INDEX(Weather!$BO$1:$CB$20,MATCH(B88,Weather!$BO$1:$BO$20,0),MATCH(C88,Weather!$BO$1:$CB$1,0))/VLOOKUP(B88,Weather!$BO$2:$CB$20,14,FALSE)*
VLOOKUP('Monthly Data'!$B88,Weather!$BO$3:$CB$20,14,FALSE)/Weather!$CB$14</f>
        <v>15129.217206575395</v>
      </c>
      <c r="O88" s="7">
        <f t="shared" ca="1" si="172"/>
        <v>1265822.45813723</v>
      </c>
      <c r="P88" s="7">
        <v>24542720.141819999</v>
      </c>
      <c r="Q88" s="7">
        <f ca="1">IFERROR(VLOOKUP($B88-1,CDM!$V$4:$AJ$17,4,FALSE)/12,0)+IFERROR(VLOOKUP($B88,CDM!$V$41:$AJ$54,4,FALSE)/24,0)+IFERROR(VLOOKUP($B88,CDM!$V$41:$AJ$54,4,FALSE)/2*$C88/78,0)</f>
        <v>1496045.6187715875</v>
      </c>
      <c r="R88" s="7">
        <f t="shared" ca="1" si="173"/>
        <v>26038765.760591585</v>
      </c>
      <c r="S88" s="7">
        <f>IFERROR(HLOOKUP(B88-1,'EV Forecast VRZ'!$F$124:$T$130,4,FALSE)/12,0)+IFERROR(((HLOOKUP(B88,'EV Forecast VRZ'!$F$116:$T$122,4,FALSE)-HLOOKUP(B88-1,'EV Forecast VRZ'!$F$124:$T$130,4,FALSE)))*C88/78,0)</f>
        <v>54904.002564102564</v>
      </c>
      <c r="T88" s="7">
        <f ca="1">HLOOKUP(B88,Heating!$C$102:$O$106,4,FALSE)*INDEX(Weather!$BO$1:$CB$20,MATCH(B88,Weather!$BO$1:$BO$20,0),MATCH(C88,Weather!$BO$1:$CB$1,0))/VLOOKUP(B88,Weather!$BO$2:$CB$20,14,FALSE)*
VLOOKUP('Monthly Data'!$B88,Weather!$BO$3:$CB$20,14,FALSE)/Weather!$CB$14</f>
        <v>301217.8582593074</v>
      </c>
      <c r="U88" s="7">
        <f t="shared" ca="1" si="174"/>
        <v>25682643.899768174</v>
      </c>
      <c r="V88" s="7">
        <v>81231731.920000002</v>
      </c>
      <c r="W88" s="7">
        <f ca="1">IFERROR(VLOOKUP($B88-1,CDM!$V$4:$AJ$17,5,FALSE)/12,0)+IFERROR(VLOOKUP($B88,CDM!$V$41:$AJ$54,5,FALSE)/24,0)+IFERROR(VLOOKUP($B88,CDM!$V$41:$AJ$54,5,FALSE)/2*$C88/78,0)</f>
        <v>5907776.8902610466</v>
      </c>
      <c r="X88" s="7">
        <f t="shared" ca="1" si="175"/>
        <v>87139508.810261041</v>
      </c>
      <c r="Y88" s="7">
        <f>IFERROR(HLOOKUP(B88-1,'EV Forecast VRZ'!$F$124:$T$130,5,FALSE)/12,0)+IFERROR(((HLOOKUP(B88,'EV Forecast VRZ'!$F$116:$T$122,5,FALSE)-HLOOKUP(B88-1,'EV Forecast VRZ'!$F$124:$T$130,5,FALSE)))*C88/78,0)</f>
        <v>24936.993461538459</v>
      </c>
      <c r="Z88" s="7">
        <f ca="1">HLOOKUP(B88,Heating!$C$102:$O$106,5,FALSE)*INDEX(Weather!$BO$1:$CB$20,MATCH(B88,Weather!$BO$1:$BO$20,0),MATCH(C88,Weather!$BO$1:$CB$1,0))/VLOOKUP(B88,Weather!$BO$2:$CB$20,14,FALSE)*
VLOOKUP('Monthly Data'!$B88,Weather!$BO$3:$CB$20,14,FALSE)/Weather!$CB$14</f>
        <v>160629.42341984116</v>
      </c>
      <c r="AA88" s="7">
        <f t="shared" ca="1" si="176"/>
        <v>86953942.393379658</v>
      </c>
      <c r="AB88" s="7">
        <v>9813072.7699999996</v>
      </c>
      <c r="AC88" s="7">
        <f ca="1">IFERROR(VLOOKUP($B88-1,CDM!$V$4:$AJ$17,6,FALSE)/12,0)+IFERROR(VLOOKUP($B88,CDM!$V$41:$AJ$54,6,FALSE)/24,0)+IFERROR(VLOOKUP($B88,CDM!$V$41:$AJ$54,6,FALSE)/2*$C88/78,0)</f>
        <v>265741.89260260598</v>
      </c>
      <c r="AD88" s="7">
        <f t="shared" ca="1" si="177"/>
        <v>10078814.662602605</v>
      </c>
      <c r="AE88" s="7">
        <f>IFERROR(HLOOKUP(B88-1,'EV Forecast VRZ'!$F$124:$T$130,6,FALSE)/12,0)+IFERROR(((HLOOKUP(B88,'EV Forecast VRZ'!$F$116:$T$122,6,FALSE)-HLOOKUP(B88-1,'EV Forecast VRZ'!$F$124:$T$130,6,FALSE)))*C88/78,0)</f>
        <v>3302.5078205128207</v>
      </c>
      <c r="AF88" s="7">
        <f t="shared" ca="1" si="178"/>
        <v>10075512.154782092</v>
      </c>
      <c r="AG88" s="7">
        <v>26284903.649999999</v>
      </c>
      <c r="AH88" s="7">
        <f ca="1">IFERROR(VLOOKUP($B88-1,CDM!$V$4:$AJ$17,7,FALSE)/12,0)+IFERROR(VLOOKUP($B88,CDM!$V$41:$AJ$54,7,FALSE)/24,0)+IFERROR(VLOOKUP($B88,CDM!$V$41:$AJ$54,7,FALSE)/2*$C88/78,0)</f>
        <v>1740922.607478291</v>
      </c>
      <c r="AI88" s="7">
        <f t="shared" ca="1" si="179"/>
        <v>28025826.257478289</v>
      </c>
      <c r="AJ88" s="7">
        <f>IFERROR(HLOOKUP(B88-1,'EV Forecast VRZ'!$F$124:$T$130,7,FALSE)/12,0)+IFERROR(((HLOOKUP(B88,'EV Forecast VRZ'!$F$116:$T$122,7,FALSE)-HLOOKUP(B88-1,'EV Forecast VRZ'!$F$124:$T$130,7,FALSE)))*C88/78,0)</f>
        <v>40.384615384615387</v>
      </c>
      <c r="AK88" s="7">
        <f t="shared" ca="1" si="180"/>
        <v>28025785.872862905</v>
      </c>
      <c r="AL88" s="7">
        <v>1003863.51</v>
      </c>
      <c r="AM88" s="7">
        <v>26089.670000000002</v>
      </c>
      <c r="AN88" s="7">
        <v>398195.5</v>
      </c>
      <c r="AO88" s="5">
        <v>179374.22</v>
      </c>
      <c r="AP88" s="5">
        <v>18856.330000000002</v>
      </c>
      <c r="AQ88" s="5">
        <v>39554</v>
      </c>
      <c r="AR88" s="5">
        <v>2574.5300000000002</v>
      </c>
      <c r="AS88" s="763">
        <f t="shared" si="238"/>
        <v>50.083333333333336</v>
      </c>
      <c r="AT88" s="776">
        <v>113756.00000000001</v>
      </c>
      <c r="AU88" s="776">
        <v>1557.9999999999998</v>
      </c>
      <c r="AV88" s="776">
        <v>9373.2499999999982</v>
      </c>
      <c r="AW88" s="776">
        <v>1049.5</v>
      </c>
      <c r="AX88" s="776">
        <v>5.7500000000000009</v>
      </c>
      <c r="AY88" s="776">
        <v>4</v>
      </c>
      <c r="AZ88" s="776">
        <v>31763.249999999996</v>
      </c>
      <c r="BA88" s="776">
        <v>246.50000000000003</v>
      </c>
      <c r="BB88" s="776">
        <v>801.99999999999989</v>
      </c>
      <c r="BC88" s="779">
        <v>30192206.9659</v>
      </c>
      <c r="BD88" s="779">
        <f ca="1">IFERROR(VLOOKUP($B88-1,CDM!$V$4:$AJ$17,11,FALSE)/12,0)+IFERROR(VLOOKUP($B88,CDM!$V$41:$AJ$54,11,FALSE)/24,0)+IFERROR(VLOOKUP($B88,CDM!$V$41:$AJ$54,11,FALSE)/2*$C88/78,0)</f>
        <v>1700472.1116716478</v>
      </c>
      <c r="BE88" s="779">
        <f t="shared" ca="1" si="192"/>
        <v>31892679.077571649</v>
      </c>
      <c r="BF88" s="779">
        <f>IFERROR(HLOOKUP(B88-1,'EV Forecast WRZ'!$F$124:$T$130,2,FALSE)/12,0)+IFERROR(((HLOOKUP(B88,'EV Forecast WRZ'!$F$116:$T$122,2,FALSE)-HLOOKUP(B88-1,'EV Forecast WRZ'!$F$124:$T$130,2,FALSE)))*C88/78,0)</f>
        <v>143185.00794871795</v>
      </c>
      <c r="BG88" s="779">
        <f ca="1">HLOOKUP(B88,Heating!$R$102:$AD$106,2,FALSE)*INDEX(Weather!$BO$1:$CB$20,MATCH(B88,Weather!$BO$1:$BO$20,0),MATCH(C88,Weather!$BO$1:$CB$1,0))/VLOOKUP(B88,Weather!$BO$2:$CB$20,14,FALSE)*
VLOOKUP('Monthly Data'!$B88,Weather!$BO$3:$CB$20,14,FALSE)/Weather!$CB$14</f>
        <v>543899.35135100363</v>
      </c>
      <c r="BH88" s="779">
        <f t="shared" ca="1" si="181"/>
        <v>31205594.718271926</v>
      </c>
      <c r="BI88" s="779">
        <v>7726426.3654699996</v>
      </c>
      <c r="BJ88" s="779">
        <f ca="1">IFERROR(VLOOKUP($B88-1,CDM!$V$4:$AJ$17,12,FALSE)/12,0)+IFERROR(VLOOKUP($B88,CDM!$V$41:$AJ$54,12,FALSE)/24,0)+IFERROR(VLOOKUP($B88,CDM!$V$41:$AJ$54,12,FALSE)/2*$C88/78,0)</f>
        <v>254996.19490927737</v>
      </c>
      <c r="BK88" s="779">
        <f t="shared" ca="1" si="182"/>
        <v>7981422.560379277</v>
      </c>
      <c r="BL88" s="779">
        <f>IFERROR(HLOOKUP(B88-1,'EV Forecast WRZ'!$F$124:$T$130,3,FALSE)/12,0)+IFERROR(((HLOOKUP(B88,'EV Forecast WRZ'!$F$116:$T$122,3,FALSE)-HLOOKUP(B88-1,'EV Forecast WRZ'!$F$124:$T$130,3,FALSE)))*C88/78,0)</f>
        <v>17535.227179487181</v>
      </c>
      <c r="BM88" s="779">
        <f ca="1">HLOOKUP(B88,Heating!$R$102:$AD$106,4,FALSE)*INDEX(Weather!$BO$1:$CB$20,MATCH(B88,Weather!$BO$1:$BO$20,0),MATCH(C88,Weather!$BO$1:$CB$1,0))/VLOOKUP(B88,Weather!$BO$2:$CB$20,14,FALSE)*
VLOOKUP('Monthly Data'!$B88,Weather!$BO$3:$CB$20,14,FALSE)/Weather!$CB$14</f>
        <v>83457.171915572893</v>
      </c>
      <c r="BN88" s="779">
        <f t="shared" ca="1" si="183"/>
        <v>7880430.1612842167</v>
      </c>
      <c r="BO88" s="779">
        <v>28645335.43</v>
      </c>
      <c r="BP88" s="779">
        <f ca="1">IFERROR(VLOOKUP($B88-1,CDM!$V$4:$AJ$17,13,FALSE)/12,0)+IFERROR(VLOOKUP($B88,CDM!$V$41:$AJ$54,13,FALSE)/24,0)+IFERROR(VLOOKUP($B88,CDM!$V$41:$AJ$54,13,FALSE)/2*$C88/78,0)</f>
        <v>2446774.5912311655</v>
      </c>
      <c r="BQ88" s="779">
        <f t="shared" ca="1" si="184"/>
        <v>31092110.021231167</v>
      </c>
      <c r="BR88" s="779">
        <f>IFERROR(HLOOKUP(B88-1,'EV Forecast WRZ'!$F$124:$T$130,4,FALSE)/12,0)+IFERROR(((HLOOKUP(B88,'EV Forecast WRZ'!$F$116:$T$122,4,FALSE)-HLOOKUP(B88-1,'EV Forecast WRZ'!$F$124:$T$130,4,FALSE)))*C88/78,0)</f>
        <v>7918.640692307692</v>
      </c>
      <c r="BS88" s="779">
        <f ca="1">HLOOKUP(B88,Heating!$R$102:$AD$106,5,FALSE)*INDEX(Weather!$BO$1:$CB$20,MATCH(B88,Weather!$BO$1:$BO$20,0),MATCH(C88,Weather!$BO$1:$CB$1,0))/VLOOKUP(B88,Weather!$BO$2:$CB$20,14,FALSE)*
VLOOKUP('Monthly Data'!$B88,Weather!$BO$3:$CB$20,14,FALSE)/Weather!$CB$14</f>
        <v>47422.032627594468</v>
      </c>
      <c r="BT88" s="779">
        <f t="shared" ca="1" si="185"/>
        <v>31036769.347911265</v>
      </c>
      <c r="BU88" s="779">
        <v>8270925.7000000002</v>
      </c>
      <c r="BV88" s="779">
        <f ca="1">IFERROR(VLOOKUP($B88-1,CDM!$V$4:$AJ$17,14,FALSE)/12,0)+IFERROR(VLOOKUP($B88,CDM!$V$41:$AJ$54,14,FALSE)/24,0)+IFERROR(VLOOKUP($B88,CDM!$V$41:$AJ$54,14,FALSE)/2*$C88/78,0)</f>
        <v>550141.74657924403</v>
      </c>
      <c r="BW88" s="779">
        <f t="shared" ca="1" si="186"/>
        <v>8821067.446579244</v>
      </c>
      <c r="BX88" s="779">
        <f>IFERROR(HLOOKUP(B88-1,'EV Forecast WRZ'!$F$124:$T$130,5,FALSE)/12,0)+IFERROR(((HLOOKUP(B88,'EV Forecast WRZ'!$F$116:$T$122,5,FALSE)-HLOOKUP(B88-1,'EV Forecast WRZ'!$F$124:$T$130,5,FALSE)))*C88/78,0)</f>
        <v>1078.7805897435896</v>
      </c>
      <c r="BY88" s="779">
        <f t="shared" ca="1" si="193"/>
        <v>8819988.6659894995</v>
      </c>
      <c r="BZ88" s="779">
        <v>310702.71000000002</v>
      </c>
      <c r="CA88" s="779">
        <v>3211.655344233498</v>
      </c>
      <c r="CB88" s="5">
        <v>163143.01</v>
      </c>
      <c r="CC88" s="5">
        <v>63924.59</v>
      </c>
      <c r="CD88" s="5">
        <v>13831.91</v>
      </c>
      <c r="CE88" s="5">
        <v>793.44</v>
      </c>
      <c r="CF88" s="763">
        <f t="shared" si="239"/>
        <v>7.916666666666667</v>
      </c>
      <c r="CG88" s="785">
        <v>43705.250000000007</v>
      </c>
      <c r="CH88" s="785">
        <v>2365.4999999999995</v>
      </c>
      <c r="CI88" s="785">
        <v>391.00000000000006</v>
      </c>
      <c r="CJ88" s="785">
        <v>3</v>
      </c>
      <c r="CK88" s="785">
        <v>13273.500000000002</v>
      </c>
      <c r="CL88" s="785">
        <v>46.749999999999993</v>
      </c>
      <c r="CM88" s="785">
        <v>392.50000000000006</v>
      </c>
      <c r="CN88" s="46">
        <f>Weather!C100</f>
        <v>606.7208333333333</v>
      </c>
      <c r="CO88" s="46">
        <f>Weather!D100</f>
        <v>0</v>
      </c>
      <c r="CP88" s="46">
        <f>Weather!E100</f>
        <v>544.7208333333333</v>
      </c>
      <c r="CQ88" s="46">
        <f>Weather!F100</f>
        <v>0</v>
      </c>
      <c r="CR88" s="46">
        <f>Weather!G100</f>
        <v>482.72083333333353</v>
      </c>
      <c r="CS88" s="46">
        <f>Weather!H100</f>
        <v>0</v>
      </c>
      <c r="CT88" s="46">
        <f>Weather!I100</f>
        <v>420.72083333333353</v>
      </c>
      <c r="CU88" s="46">
        <f>Weather!J100</f>
        <v>0</v>
      </c>
      <c r="CV88" s="46">
        <f>Weather!K100</f>
        <v>358.72083333333347</v>
      </c>
      <c r="CW88" s="46">
        <f>Weather!L100</f>
        <v>0</v>
      </c>
      <c r="CX88" s="46">
        <f>Weather!M100</f>
        <v>296.72083333333336</v>
      </c>
      <c r="CY88" s="46">
        <f>Weather!N100</f>
        <v>0</v>
      </c>
      <c r="CZ88" s="46">
        <f>Weather!O100</f>
        <v>236.04166666666666</v>
      </c>
      <c r="DA88" s="46">
        <f>Weather!P100</f>
        <v>1.3208333333333311</v>
      </c>
      <c r="DB88" s="368">
        <f>'Economic Data'!D102</f>
        <v>7681.1</v>
      </c>
      <c r="DC88" s="368">
        <f>'Economic Data'!E102</f>
        <v>7595.3</v>
      </c>
      <c r="DD88" s="368">
        <f>'Economic Data'!F102</f>
        <v>227.8</v>
      </c>
      <c r="DE88" s="368">
        <f>'Economic Data'!G102</f>
        <v>228</v>
      </c>
      <c r="DF88" s="368">
        <f>'Economic Data'!H102</f>
        <v>56</v>
      </c>
      <c r="DG88" s="368">
        <f>'Economic Data'!I102</f>
        <v>56</v>
      </c>
      <c r="DH88" s="368">
        <f>'Economic Data'!J102</f>
        <v>850461.9</v>
      </c>
      <c r="DI88" s="368">
        <f>'Economic Data'!K102</f>
        <v>662856.4</v>
      </c>
      <c r="DJ88" s="368">
        <f>'Economic Data'!L102</f>
        <v>96870.8</v>
      </c>
      <c r="DK88" s="368">
        <f>'Economic Data'!M102</f>
        <v>30149.3</v>
      </c>
      <c r="DL88" s="368">
        <f>'Economic Data'!N102</f>
        <v>845218</v>
      </c>
      <c r="DM88" s="368">
        <f>'Economic Data'!O102</f>
        <v>97384</v>
      </c>
      <c r="DN88" s="368">
        <f>'Economic Data'!P102</f>
        <v>16017</v>
      </c>
      <c r="DO88" s="368">
        <f>'Economic Data'!Q102</f>
        <v>657318</v>
      </c>
      <c r="DP88" s="368">
        <f>'Economic Data'!R102</f>
        <v>28188</v>
      </c>
      <c r="DQ88">
        <v>31</v>
      </c>
      <c r="DR88">
        <v>23</v>
      </c>
      <c r="DS88">
        <v>0</v>
      </c>
      <c r="DT88">
        <v>0</v>
      </c>
      <c r="DU88">
        <v>1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</v>
      </c>
      <c r="EF88">
        <v>0</v>
      </c>
      <c r="EG88">
        <v>1</v>
      </c>
      <c r="EH88">
        <f t="shared" si="189"/>
        <v>87</v>
      </c>
      <c r="EI88">
        <v>0.5</v>
      </c>
      <c r="EJ88">
        <v>0.25</v>
      </c>
      <c r="EK88">
        <v>0.5</v>
      </c>
      <c r="EL88">
        <v>0</v>
      </c>
      <c r="EM88" s="47">
        <f t="shared" si="194"/>
        <v>151.68020833333333</v>
      </c>
      <c r="EN88" s="47">
        <f t="shared" si="195"/>
        <v>0</v>
      </c>
      <c r="EO88" s="47">
        <f t="shared" si="196"/>
        <v>136.18020833333333</v>
      </c>
      <c r="EP88" s="47">
        <f t="shared" si="197"/>
        <v>0</v>
      </c>
      <c r="EQ88" s="47">
        <f t="shared" si="198"/>
        <v>120.68020833333338</v>
      </c>
      <c r="ER88" s="47">
        <f t="shared" si="199"/>
        <v>0</v>
      </c>
      <c r="ES88" s="47">
        <f t="shared" si="200"/>
        <v>105.18020833333338</v>
      </c>
      <c r="ET88" s="47">
        <f t="shared" si="201"/>
        <v>0</v>
      </c>
      <c r="EU88" s="47">
        <f t="shared" si="202"/>
        <v>89.680208333333368</v>
      </c>
      <c r="EV88" s="47">
        <f t="shared" si="203"/>
        <v>0</v>
      </c>
      <c r="EW88" s="47">
        <f t="shared" si="204"/>
        <v>74.18020833333334</v>
      </c>
      <c r="EX88" s="47">
        <f t="shared" si="205"/>
        <v>0</v>
      </c>
      <c r="EY88" s="47">
        <f t="shared" si="206"/>
        <v>59.010416666666664</v>
      </c>
      <c r="EZ88" s="47">
        <f t="shared" si="207"/>
        <v>0.33020833333333277</v>
      </c>
      <c r="FA88" s="47">
        <f t="shared" si="208"/>
        <v>303.36041666666665</v>
      </c>
      <c r="FB88" s="47">
        <f t="shared" si="209"/>
        <v>0</v>
      </c>
      <c r="FC88" s="47">
        <f t="shared" si="210"/>
        <v>272.36041666666665</v>
      </c>
      <c r="FD88" s="47">
        <f t="shared" si="211"/>
        <v>0</v>
      </c>
      <c r="FE88" s="47">
        <f t="shared" si="212"/>
        <v>241.36041666666677</v>
      </c>
      <c r="FF88" s="47">
        <f t="shared" si="213"/>
        <v>0</v>
      </c>
      <c r="FG88" s="47">
        <f t="shared" si="214"/>
        <v>210.36041666666677</v>
      </c>
      <c r="FH88" s="47">
        <f t="shared" si="215"/>
        <v>0</v>
      </c>
      <c r="FI88" s="47">
        <f t="shared" si="216"/>
        <v>179.36041666666674</v>
      </c>
      <c r="FJ88" s="47">
        <f t="shared" si="217"/>
        <v>0</v>
      </c>
      <c r="FK88" s="47">
        <f t="shared" si="218"/>
        <v>148.36041666666668</v>
      </c>
      <c r="FL88" s="47">
        <f t="shared" si="219"/>
        <v>0</v>
      </c>
      <c r="FM88" s="47">
        <f t="shared" si="220"/>
        <v>118.02083333333333</v>
      </c>
      <c r="FN88" s="47">
        <f t="shared" si="221"/>
        <v>0.66041666666666554</v>
      </c>
      <c r="FO88" s="765">
        <f t="shared" ca="1" si="222"/>
        <v>767.16236466884413</v>
      </c>
      <c r="FP88" s="765">
        <f t="shared" ca="1" si="223"/>
        <v>826.06145929785328</v>
      </c>
      <c r="FQ88" s="765">
        <f t="shared" ca="1" si="224"/>
        <v>2777.986905352102</v>
      </c>
      <c r="FR88" s="765">
        <f t="shared" ca="1" si="225"/>
        <v>83029.546269900951</v>
      </c>
      <c r="FS88" s="765">
        <f t="shared" ca="1" si="226"/>
        <v>1752837.3326265397</v>
      </c>
      <c r="FT88" s="765">
        <f t="shared" ca="1" si="227"/>
        <v>7006456.5643695723</v>
      </c>
      <c r="FU88" s="765">
        <f t="shared" si="228"/>
        <v>31.604559042289441</v>
      </c>
      <c r="FV88" s="765">
        <f t="shared" si="229"/>
        <v>105.8404462474645</v>
      </c>
      <c r="FW88" s="765">
        <f t="shared" si="230"/>
        <v>496.50311720698261</v>
      </c>
      <c r="FX88" s="765">
        <f t="shared" ca="1" si="231"/>
        <v>729.7219230543617</v>
      </c>
      <c r="FY88" s="765">
        <f t="shared" ca="1" si="232"/>
        <v>3374.0953542081074</v>
      </c>
      <c r="FZ88" s="765">
        <f t="shared" ca="1" si="233"/>
        <v>79519.462969900676</v>
      </c>
      <c r="GA88" s="765">
        <f t="shared" si="234"/>
        <v>103567.57</v>
      </c>
      <c r="GB88" s="765">
        <f t="shared" si="235"/>
        <v>23.407745507967</v>
      </c>
      <c r="GC88" s="765">
        <f t="shared" si="236"/>
        <v>68.698510037080183</v>
      </c>
      <c r="GD88" s="765">
        <f t="shared" si="237"/>
        <v>415.65098089171971</v>
      </c>
    </row>
    <row r="89" spans="1:186">
      <c r="A89" s="4">
        <v>44652</v>
      </c>
      <c r="B89" s="6">
        <v>2022</v>
      </c>
      <c r="C89" s="5">
        <v>4</v>
      </c>
      <c r="D89" s="7">
        <v>71751446.942620203</v>
      </c>
      <c r="E89" s="7">
        <f ca="1">IFERROR(VLOOKUP($B89-1,CDM!$V$4:$AJ$17,2,FALSE)/12,0)+IFERROR(VLOOKUP($B89,CDM!$V$41:$AJ$54,2,FALSE)/24,0)+IFERROR(VLOOKUP($B89,CDM!$V$41:$AJ$54,2,FALSE)/2*$C89/78,0)</f>
        <v>3847091.2852288629</v>
      </c>
      <c r="F89" s="7">
        <f t="shared" ca="1" si="169"/>
        <v>75598538.227849066</v>
      </c>
      <c r="G89" s="7">
        <f>IFERROR(HLOOKUP(B89-1,'EV Forecast VRZ'!$F$124:$T$130,2,FALSE)/12,0)+IFERROR(((HLOOKUP(B89,'EV Forecast VRZ'!$F$116:$T$122,2,FALSE)-HLOOKUP(B89-1,'EV Forecast VRZ'!$F$124:$T$130,2,FALSE)))*C89/78,0)</f>
        <v>466119.76571476622</v>
      </c>
      <c r="H89" s="7">
        <f ca="1">HLOOKUP(B89,Heating!$C$102:$O$106,2,FALSE)*INDEX(Weather!$BO$1:$CB$20,MATCH(B89,Weather!$BO$1:$BO$20,0),MATCH(C89,Weather!$BO$1:$CB$1,0))/VLOOKUP(B89,Weather!$BO$2:$CB$20,14,FALSE)*
VLOOKUP('Monthly Data'!$B89,Weather!$BO$3:$CB$20,14,FALSE)/Weather!$CB$14</f>
        <v>799342.14467879257</v>
      </c>
      <c r="I89" s="7">
        <f t="shared" ca="1" si="170"/>
        <v>74333076.317455515</v>
      </c>
      <c r="J89" s="7">
        <v>951125.36635999999</v>
      </c>
      <c r="K89" s="7">
        <f ca="1">IFERROR(VLOOKUP($B89-1,CDM!$V$4:$AJ$17,3,FALSE)/12,0)+IFERROR(VLOOKUP($B89,CDM!$V$41:$AJ$54,3,FALSE)/24,0)+IFERROR(VLOOKUP($B89,CDM!$V$41:$AJ$54,3,FALSE)/2*$C89/78,0)</f>
        <v>44063.827929131803</v>
      </c>
      <c r="L89" s="7">
        <f t="shared" ca="1" si="171"/>
        <v>995189.19428913179</v>
      </c>
      <c r="M89" s="7">
        <f>IFERROR(HLOOKUP(B89-1,'EV Forecast VRZ'!$F$124:$T$130,3,FALSE)/12,0)+IFERROR(((HLOOKUP(B89,'EV Forecast VRZ'!$F$116:$T$122,3,FALSE)-HLOOKUP(B89-1,'EV Forecast VRZ'!$F$124:$T$130,3,FALSE)))*C89/78,0)</f>
        <v>6341.2808236952278</v>
      </c>
      <c r="N89" s="7">
        <f ca="1">HLOOKUP(B89,Heating!$C$102:$O$106,3,FALSE)*INDEX(Weather!$BO$1:$CB$20,MATCH(B89,Weather!$BO$1:$BO$20,0),MATCH(C89,Weather!$BO$1:$CB$1,0))/VLOOKUP(B89,Weather!$BO$2:$CB$20,14,FALSE)*
VLOOKUP('Monthly Data'!$B89,Weather!$BO$3:$CB$20,14,FALSE)/Weather!$CB$14</f>
        <v>9841.3455764586724</v>
      </c>
      <c r="O89" s="7">
        <f t="shared" ca="1" si="172"/>
        <v>979006.56788897782</v>
      </c>
      <c r="P89" s="7">
        <v>21085412.50956</v>
      </c>
      <c r="Q89" s="7">
        <f ca="1">IFERROR(VLOOKUP($B89-1,CDM!$V$4:$AJ$17,4,FALSE)/12,0)+IFERROR(VLOOKUP($B89,CDM!$V$41:$AJ$54,4,FALSE)/24,0)+IFERROR(VLOOKUP($B89,CDM!$V$41:$AJ$54,4,FALSE)/2*$C89/78,0)</f>
        <v>1505044.2225386687</v>
      </c>
      <c r="R89" s="7">
        <f t="shared" ca="1" si="173"/>
        <v>22590456.732098669</v>
      </c>
      <c r="S89" s="7">
        <f>IFERROR(HLOOKUP(B89-1,'EV Forecast VRZ'!$F$124:$T$130,4,FALSE)/12,0)+IFERROR(((HLOOKUP(B89,'EV Forecast VRZ'!$F$116:$T$122,4,FALSE)-HLOOKUP(B89-1,'EV Forecast VRZ'!$F$124:$T$130,4,FALSE)))*C89/78,0)</f>
        <v>57542.702307692307</v>
      </c>
      <c r="T89" s="7">
        <f ca="1">HLOOKUP(B89,Heating!$C$102:$O$106,4,FALSE)*INDEX(Weather!$BO$1:$CB$20,MATCH(B89,Weather!$BO$1:$BO$20,0),MATCH(C89,Weather!$BO$1:$CB$1,0))/VLOOKUP(B89,Weather!$BO$2:$CB$20,14,FALSE)*
VLOOKUP('Monthly Data'!$B89,Weather!$BO$3:$CB$20,14,FALSE)/Weather!$CB$14</f>
        <v>195938.03145626199</v>
      </c>
      <c r="U89" s="7">
        <f t="shared" ca="1" si="174"/>
        <v>22336975.998334713</v>
      </c>
      <c r="V89" s="7">
        <v>73205893.010000005</v>
      </c>
      <c r="W89" s="7">
        <f ca="1">IFERROR(VLOOKUP($B89-1,CDM!$V$4:$AJ$17,5,FALSE)/12,0)+IFERROR(VLOOKUP($B89,CDM!$V$41:$AJ$54,5,FALSE)/24,0)+IFERROR(VLOOKUP($B89,CDM!$V$41:$AJ$54,5,FALSE)/2*$C89/78,0)</f>
        <v>5968805.1766241323</v>
      </c>
      <c r="X89" s="7">
        <f t="shared" ca="1" si="175"/>
        <v>79174698.18662414</v>
      </c>
      <c r="Y89" s="7">
        <f>IFERROR(HLOOKUP(B89-1,'EV Forecast VRZ'!$F$124:$T$130,5,FALSE)/12,0)+IFERROR(((HLOOKUP(B89,'EV Forecast VRZ'!$F$116:$T$122,5,FALSE)-HLOOKUP(B89-1,'EV Forecast VRZ'!$F$124:$T$130,5,FALSE)))*C89/78,0)</f>
        <v>26159.472448717948</v>
      </c>
      <c r="Z89" s="7">
        <f ca="1">HLOOKUP(B89,Heating!$C$102:$O$106,5,FALSE)*INDEX(Weather!$BO$1:$CB$20,MATCH(B89,Weather!$BO$1:$BO$20,0),MATCH(C89,Weather!$BO$1:$CB$1,0))/VLOOKUP(B89,Weather!$BO$2:$CB$20,14,FALSE)*
VLOOKUP('Monthly Data'!$B89,Weather!$BO$3:$CB$20,14,FALSE)/Weather!$CB$14</f>
        <v>104487.20803181516</v>
      </c>
      <c r="AA89" s="7">
        <f t="shared" ca="1" si="176"/>
        <v>79044051.5061436</v>
      </c>
      <c r="AB89" s="7">
        <v>9228794.9399999995</v>
      </c>
      <c r="AC89" s="7">
        <f ca="1">IFERROR(VLOOKUP($B89-1,CDM!$V$4:$AJ$17,6,FALSE)/12,0)+IFERROR(VLOOKUP($B89,CDM!$V$41:$AJ$54,6,FALSE)/24,0)+IFERROR(VLOOKUP($B89,CDM!$V$41:$AJ$54,6,FALSE)/2*$C89/78,0)</f>
        <v>268141.75040183397</v>
      </c>
      <c r="AD89" s="7">
        <f t="shared" ca="1" si="177"/>
        <v>9496936.6904018335</v>
      </c>
      <c r="AE89" s="7">
        <f>IFERROR(HLOOKUP(B89-1,'EV Forecast VRZ'!$F$124:$T$130,6,FALSE)/12,0)+IFERROR(((HLOOKUP(B89,'EV Forecast VRZ'!$F$116:$T$122,6,FALSE)-HLOOKUP(B89-1,'EV Forecast VRZ'!$F$124:$T$130,6,FALSE)))*C89/78,0)</f>
        <v>3453.5453717948722</v>
      </c>
      <c r="AF89" s="7">
        <f t="shared" ca="1" si="178"/>
        <v>9493483.1450300384</v>
      </c>
      <c r="AG89" s="7">
        <v>24655612.199999999</v>
      </c>
      <c r="AH89" s="7">
        <f ca="1">IFERROR(VLOOKUP($B89-1,CDM!$V$4:$AJ$17,7,FALSE)/12,0)+IFERROR(VLOOKUP($B89,CDM!$V$41:$AJ$54,7,FALSE)/24,0)+IFERROR(VLOOKUP($B89,CDM!$V$41:$AJ$54,7,FALSE)/2*$C89/78,0)</f>
        <v>1742775.2006197972</v>
      </c>
      <c r="AI89" s="7">
        <f t="shared" ca="1" si="179"/>
        <v>26398387.400619797</v>
      </c>
      <c r="AJ89" s="7">
        <f>IFERROR(HLOOKUP(B89-1,'EV Forecast VRZ'!$F$124:$T$130,7,FALSE)/12,0)+IFERROR(((HLOOKUP(B89,'EV Forecast VRZ'!$F$116:$T$122,7,FALSE)-HLOOKUP(B89-1,'EV Forecast VRZ'!$F$124:$T$130,7,FALSE)))*C89/78,0)</f>
        <v>53.846153846153847</v>
      </c>
      <c r="AK89" s="7">
        <f t="shared" ca="1" si="180"/>
        <v>26398333.55446595</v>
      </c>
      <c r="AL89" s="7">
        <v>846919.59</v>
      </c>
      <c r="AM89" s="7">
        <v>20826.360000000008</v>
      </c>
      <c r="AN89" s="7">
        <v>398009.96</v>
      </c>
      <c r="AO89" s="5">
        <v>177237.86</v>
      </c>
      <c r="AP89" s="5">
        <v>18780.2</v>
      </c>
      <c r="AQ89" s="5">
        <v>40004</v>
      </c>
      <c r="AR89" s="5">
        <v>2565.08</v>
      </c>
      <c r="AS89" s="763">
        <f t="shared" si="238"/>
        <v>50.083333333333336</v>
      </c>
      <c r="AT89" s="776">
        <v>113871.66666666669</v>
      </c>
      <c r="AU89" s="776">
        <v>1558.333333333333</v>
      </c>
      <c r="AV89" s="776">
        <v>9384.6666666666642</v>
      </c>
      <c r="AW89" s="776">
        <v>1046</v>
      </c>
      <c r="AX89" s="776">
        <v>5.6666666666666679</v>
      </c>
      <c r="AY89" s="776">
        <v>4</v>
      </c>
      <c r="AZ89" s="776">
        <v>31772.333333333328</v>
      </c>
      <c r="BA89" s="776">
        <v>246.33333333333337</v>
      </c>
      <c r="BB89" s="776">
        <v>801.66666666666652</v>
      </c>
      <c r="BC89" s="779">
        <v>26510896.747310098</v>
      </c>
      <c r="BD89" s="779">
        <f ca="1">IFERROR(VLOOKUP($B89-1,CDM!$V$4:$AJ$17,11,FALSE)/12,0)+IFERROR(VLOOKUP($B89,CDM!$V$41:$AJ$54,11,FALSE)/24,0)+IFERROR(VLOOKUP($B89,CDM!$V$41:$AJ$54,11,FALSE)/2*$C89/78,0)</f>
        <v>1700763.1335177352</v>
      </c>
      <c r="BE89" s="779">
        <f t="shared" ca="1" si="192"/>
        <v>28211659.880827833</v>
      </c>
      <c r="BF89" s="779">
        <f>IFERROR(HLOOKUP(B89-1,'EV Forecast WRZ'!$F$124:$T$130,2,FALSE)/12,0)+IFERROR(((HLOOKUP(B89,'EV Forecast WRZ'!$F$116:$T$122,2,FALSE)-HLOOKUP(B89-1,'EV Forecast WRZ'!$F$124:$T$130,2,FALSE)))*C89/78,0)</f>
        <v>149490.49782051283</v>
      </c>
      <c r="BG89" s="779">
        <f ca="1">HLOOKUP(B89,Heating!$R$102:$AD$106,2,FALSE)*INDEX(Weather!$BO$1:$CB$20,MATCH(B89,Weather!$BO$1:$BO$20,0),MATCH(C89,Weather!$BO$1:$CB$1,0))/VLOOKUP(B89,Weather!$BO$2:$CB$20,14,FALSE)*
VLOOKUP('Monthly Data'!$B89,Weather!$BO$3:$CB$20,14,FALSE)/Weather!$CB$14</f>
        <v>353798.97071809985</v>
      </c>
      <c r="BH89" s="779">
        <f t="shared" ca="1" si="181"/>
        <v>27708370.412289221</v>
      </c>
      <c r="BI89" s="779">
        <v>6624297.54868</v>
      </c>
      <c r="BJ89" s="779">
        <f ca="1">IFERROR(VLOOKUP($B89-1,CDM!$V$4:$AJ$17,12,FALSE)/12,0)+IFERROR(VLOOKUP($B89,CDM!$V$41:$AJ$54,12,FALSE)/24,0)+IFERROR(VLOOKUP($B89,CDM!$V$41:$AJ$54,12,FALSE)/2*$C89/78,0)</f>
        <v>257425.73755880306</v>
      </c>
      <c r="BK89" s="779">
        <f t="shared" ca="1" si="182"/>
        <v>6881723.2862388026</v>
      </c>
      <c r="BL89" s="779">
        <f>IFERROR(HLOOKUP(B89-1,'EV Forecast WRZ'!$F$124:$T$130,3,FALSE)/12,0)+IFERROR(((HLOOKUP(B89,'EV Forecast WRZ'!$F$116:$T$122,3,FALSE)-HLOOKUP(B89-1,'EV Forecast WRZ'!$F$124:$T$130,3,FALSE)))*C89/78,0)</f>
        <v>18352.615128205129</v>
      </c>
      <c r="BM89" s="779">
        <f ca="1">HLOOKUP(B89,Heating!$R$102:$AD$106,4,FALSE)*INDEX(Weather!$BO$1:$CB$20,MATCH(B89,Weather!$BO$1:$BO$20,0),MATCH(C89,Weather!$BO$1:$CB$1,0))/VLOOKUP(B89,Weather!$BO$2:$CB$20,14,FALSE)*
VLOOKUP('Monthly Data'!$B89,Weather!$BO$3:$CB$20,14,FALSE)/Weather!$CB$14</f>
        <v>54287.730716042002</v>
      </c>
      <c r="BN89" s="779">
        <f t="shared" ca="1" si="183"/>
        <v>6809082.9403945552</v>
      </c>
      <c r="BO89" s="779">
        <v>25472918.010000002</v>
      </c>
      <c r="BP89" s="779">
        <f ca="1">IFERROR(VLOOKUP($B89-1,CDM!$V$4:$AJ$17,13,FALSE)/12,0)+IFERROR(VLOOKUP($B89,CDM!$V$41:$AJ$54,13,FALSE)/24,0)+IFERROR(VLOOKUP($B89,CDM!$V$41:$AJ$54,13,FALSE)/2*$C89/78,0)</f>
        <v>2478986.856351688</v>
      </c>
      <c r="BQ89" s="779">
        <f t="shared" ca="1" si="184"/>
        <v>27951904.86635169</v>
      </c>
      <c r="BR89" s="779">
        <f>IFERROR(HLOOKUP(B89-1,'EV Forecast WRZ'!$F$124:$T$130,4,FALSE)/12,0)+IFERROR(((HLOOKUP(B89,'EV Forecast WRZ'!$F$116:$T$122,4,FALSE)-HLOOKUP(B89-1,'EV Forecast WRZ'!$F$124:$T$130,4,FALSE)))*C89/78,0)</f>
        <v>8283.2280897435885</v>
      </c>
      <c r="BS89" s="779">
        <f ca="1">HLOOKUP(B89,Heating!$R$102:$AD$106,5,FALSE)*INDEX(Weather!$BO$1:$CB$20,MATCH(B89,Weather!$BO$1:$BO$20,0),MATCH(C89,Weather!$BO$1:$CB$1,0))/VLOOKUP(B89,Weather!$BO$2:$CB$20,14,FALSE)*
VLOOKUP('Monthly Data'!$B89,Weather!$BO$3:$CB$20,14,FALSE)/Weather!$CB$14</f>
        <v>30847.373307815422</v>
      </c>
      <c r="BT89" s="779">
        <f t="shared" ca="1" si="185"/>
        <v>27912774.264954131</v>
      </c>
      <c r="BU89" s="779">
        <v>7280625.3200000003</v>
      </c>
      <c r="BV89" s="779">
        <f ca="1">IFERROR(VLOOKUP($B89-1,CDM!$V$4:$AJ$17,14,FALSE)/12,0)+IFERROR(VLOOKUP($B89,CDM!$V$41:$AJ$54,14,FALSE)/24,0)+IFERROR(VLOOKUP($B89,CDM!$V$41:$AJ$54,14,FALSE)/2*$C89/78,0)</f>
        <v>557387.36585067201</v>
      </c>
      <c r="BW89" s="779">
        <f t="shared" ca="1" si="186"/>
        <v>7838012.6858506724</v>
      </c>
      <c r="BX89" s="779">
        <f>IFERROR(HLOOKUP(B89-1,'EV Forecast WRZ'!$F$124:$T$130,5,FALSE)/12,0)+IFERROR(((HLOOKUP(B89,'EV Forecast WRZ'!$F$116:$T$122,5,FALSE)-HLOOKUP(B89-1,'EV Forecast WRZ'!$F$124:$T$130,5,FALSE)))*C89/78,0)</f>
        <v>1136.9897307692308</v>
      </c>
      <c r="BY89" s="779">
        <f t="shared" ca="1" si="193"/>
        <v>7836875.6961199036</v>
      </c>
      <c r="BZ89" s="779">
        <v>262402.93</v>
      </c>
      <c r="CA89" s="779">
        <v>1970.2511654617931</v>
      </c>
      <c r="CB89" s="5">
        <v>163143.01</v>
      </c>
      <c r="CC89" s="5">
        <v>62174.62</v>
      </c>
      <c r="CD89" s="5">
        <v>14569.54</v>
      </c>
      <c r="CE89" s="5">
        <v>797</v>
      </c>
      <c r="CF89" s="763">
        <f t="shared" si="239"/>
        <v>7.916666666666667</v>
      </c>
      <c r="CG89" s="785">
        <v>43793.333333333343</v>
      </c>
      <c r="CH89" s="785">
        <v>2370.6666666666661</v>
      </c>
      <c r="CI89" s="785">
        <v>389.66666666666674</v>
      </c>
      <c r="CJ89" s="785">
        <v>3</v>
      </c>
      <c r="CK89" s="785">
        <v>13293.333333333336</v>
      </c>
      <c r="CL89" s="785">
        <v>46.666666666666657</v>
      </c>
      <c r="CM89" s="785">
        <v>392.66666666666674</v>
      </c>
      <c r="CN89" s="46">
        <f>Weather!C101</f>
        <v>414.33333333333331</v>
      </c>
      <c r="CO89" s="46">
        <f>Weather!D101</f>
        <v>0</v>
      </c>
      <c r="CP89" s="46">
        <f>Weather!E101</f>
        <v>354.33333333333331</v>
      </c>
      <c r="CQ89" s="46">
        <f>Weather!F101</f>
        <v>0</v>
      </c>
      <c r="CR89" s="46">
        <f>Weather!G101</f>
        <v>294.33333333333337</v>
      </c>
      <c r="CS89" s="46">
        <f>Weather!H101</f>
        <v>0</v>
      </c>
      <c r="CT89" s="46">
        <f>Weather!I101</f>
        <v>234.33333333333331</v>
      </c>
      <c r="CU89" s="46">
        <f>Weather!J101</f>
        <v>0</v>
      </c>
      <c r="CV89" s="46">
        <f>Weather!K101</f>
        <v>176.58749999999998</v>
      </c>
      <c r="CW89" s="46">
        <f>Weather!L101</f>
        <v>2.2541666666666629</v>
      </c>
      <c r="CX89" s="46">
        <f>Weather!M101</f>
        <v>123.04166666666666</v>
      </c>
      <c r="CY89" s="46">
        <f>Weather!N101</f>
        <v>8.7083333333333286</v>
      </c>
      <c r="CZ89" s="46">
        <f>Weather!O101</f>
        <v>75.575000000000003</v>
      </c>
      <c r="DA89" s="46">
        <f>Weather!P101</f>
        <v>21.24166666666666</v>
      </c>
      <c r="DB89" s="368">
        <f>'Economic Data'!D103</f>
        <v>7758.4</v>
      </c>
      <c r="DC89" s="368">
        <f>'Economic Data'!E103</f>
        <v>7694.2</v>
      </c>
      <c r="DD89" s="368">
        <f>'Economic Data'!F103</f>
        <v>232.8</v>
      </c>
      <c r="DE89" s="368">
        <f>'Economic Data'!G103</f>
        <v>233.6</v>
      </c>
      <c r="DF89" s="368">
        <f>'Economic Data'!H103</f>
        <v>56.8</v>
      </c>
      <c r="DG89" s="368">
        <f>'Economic Data'!I103</f>
        <v>56.8</v>
      </c>
      <c r="DH89" s="368">
        <f>'Economic Data'!J103</f>
        <v>850461.9</v>
      </c>
      <c r="DI89" s="368">
        <f>'Economic Data'!K103</f>
        <v>662856.4</v>
      </c>
      <c r="DJ89" s="368">
        <f>'Economic Data'!L103</f>
        <v>96870.8</v>
      </c>
      <c r="DK89" s="368">
        <f>'Economic Data'!M103</f>
        <v>30149.3</v>
      </c>
      <c r="DL89" s="368">
        <f>'Economic Data'!N103</f>
        <v>851621</v>
      </c>
      <c r="DM89" s="368">
        <f>'Economic Data'!O103</f>
        <v>97519</v>
      </c>
      <c r="DN89" s="368">
        <f>'Economic Data'!P103</f>
        <v>16842</v>
      </c>
      <c r="DO89" s="368">
        <f>'Economic Data'!Q103</f>
        <v>664186</v>
      </c>
      <c r="DP89" s="368">
        <f>'Economic Data'!R103</f>
        <v>30079</v>
      </c>
      <c r="DQ89">
        <v>30</v>
      </c>
      <c r="DR89">
        <v>20</v>
      </c>
      <c r="DS89">
        <v>0</v>
      </c>
      <c r="DT89">
        <v>0</v>
      </c>
      <c r="DU89">
        <v>0</v>
      </c>
      <c r="DV89">
        <v>1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1</v>
      </c>
      <c r="EF89">
        <v>0</v>
      </c>
      <c r="EG89">
        <v>1</v>
      </c>
      <c r="EH89">
        <f t="shared" si="189"/>
        <v>88</v>
      </c>
      <c r="EI89">
        <v>0.5</v>
      </c>
      <c r="EJ89">
        <v>0.25</v>
      </c>
      <c r="EK89">
        <v>0.5</v>
      </c>
      <c r="EL89">
        <v>0</v>
      </c>
      <c r="EM89" s="47">
        <f t="shared" si="194"/>
        <v>103.58333333333333</v>
      </c>
      <c r="EN89" s="47">
        <f t="shared" si="195"/>
        <v>0</v>
      </c>
      <c r="EO89" s="47">
        <f t="shared" si="196"/>
        <v>88.583333333333329</v>
      </c>
      <c r="EP89" s="47">
        <f t="shared" si="197"/>
        <v>0</v>
      </c>
      <c r="EQ89" s="47">
        <f t="shared" si="198"/>
        <v>73.583333333333343</v>
      </c>
      <c r="ER89" s="47">
        <f t="shared" si="199"/>
        <v>0</v>
      </c>
      <c r="ES89" s="47">
        <f t="shared" si="200"/>
        <v>58.583333333333329</v>
      </c>
      <c r="ET89" s="47">
        <f t="shared" si="201"/>
        <v>0</v>
      </c>
      <c r="EU89" s="47">
        <f t="shared" si="202"/>
        <v>44.146874999999994</v>
      </c>
      <c r="EV89" s="47">
        <f t="shared" si="203"/>
        <v>0.56354166666666572</v>
      </c>
      <c r="EW89" s="47">
        <f t="shared" si="204"/>
        <v>30.760416666666664</v>
      </c>
      <c r="EX89" s="47">
        <f t="shared" si="205"/>
        <v>2.1770833333333321</v>
      </c>
      <c r="EY89" s="47">
        <f t="shared" si="206"/>
        <v>18.893750000000001</v>
      </c>
      <c r="EZ89" s="47">
        <f t="shared" si="207"/>
        <v>5.310416666666665</v>
      </c>
      <c r="FA89" s="47">
        <f t="shared" si="208"/>
        <v>207.16666666666666</v>
      </c>
      <c r="FB89" s="47">
        <f t="shared" si="209"/>
        <v>0</v>
      </c>
      <c r="FC89" s="47">
        <f t="shared" si="210"/>
        <v>177.16666666666666</v>
      </c>
      <c r="FD89" s="47">
        <f t="shared" si="211"/>
        <v>0</v>
      </c>
      <c r="FE89" s="47">
        <f t="shared" si="212"/>
        <v>147.16666666666669</v>
      </c>
      <c r="FF89" s="47">
        <f t="shared" si="213"/>
        <v>0</v>
      </c>
      <c r="FG89" s="47">
        <f t="shared" si="214"/>
        <v>117.16666666666666</v>
      </c>
      <c r="FH89" s="47">
        <f t="shared" si="215"/>
        <v>0</v>
      </c>
      <c r="FI89" s="47">
        <f t="shared" si="216"/>
        <v>88.293749999999989</v>
      </c>
      <c r="FJ89" s="47">
        <f t="shared" si="217"/>
        <v>1.1270833333333314</v>
      </c>
      <c r="FK89" s="47">
        <f t="shared" si="218"/>
        <v>61.520833333333329</v>
      </c>
      <c r="FL89" s="47">
        <f t="shared" si="219"/>
        <v>4.3541666666666643</v>
      </c>
      <c r="FM89" s="47">
        <f t="shared" si="220"/>
        <v>37.787500000000001</v>
      </c>
      <c r="FN89" s="47">
        <f t="shared" si="221"/>
        <v>10.62083333333333</v>
      </c>
      <c r="FO89" s="765">
        <f t="shared" ca="1" si="222"/>
        <v>652.77938308436842</v>
      </c>
      <c r="FP89" s="765">
        <f t="shared" ca="1" si="223"/>
        <v>638.62408189676921</v>
      </c>
      <c r="FQ89" s="765">
        <f t="shared" ca="1" si="224"/>
        <v>2407.1666617992478</v>
      </c>
      <c r="FR89" s="765">
        <f t="shared" ca="1" si="225"/>
        <v>75692.828094286946</v>
      </c>
      <c r="FS89" s="765">
        <f t="shared" ca="1" si="226"/>
        <v>1675930.0041885586</v>
      </c>
      <c r="FT89" s="765">
        <f t="shared" ca="1" si="227"/>
        <v>6599596.8501549494</v>
      </c>
      <c r="FU89" s="765">
        <f t="shared" si="228"/>
        <v>26.655882686194492</v>
      </c>
      <c r="FV89" s="765">
        <f t="shared" si="229"/>
        <v>84.545439783491219</v>
      </c>
      <c r="FW89" s="765">
        <f t="shared" si="230"/>
        <v>496.47812058212071</v>
      </c>
      <c r="FX89" s="765">
        <f t="shared" ca="1" si="231"/>
        <v>644.19987549462235</v>
      </c>
      <c r="FY89" s="765">
        <f t="shared" ca="1" si="232"/>
        <v>2902.8641533628252</v>
      </c>
      <c r="FZ89" s="765">
        <f t="shared" ca="1" si="233"/>
        <v>71732.861077035981</v>
      </c>
      <c r="GA89" s="765">
        <f t="shared" si="234"/>
        <v>87467.643333333326</v>
      </c>
      <c r="GB89" s="765">
        <f t="shared" si="235"/>
        <v>19.739438064192573</v>
      </c>
      <c r="GC89" s="765">
        <f t="shared" si="236"/>
        <v>42.219667831324145</v>
      </c>
      <c r="GD89" s="765">
        <f t="shared" si="237"/>
        <v>415.47455857385393</v>
      </c>
    </row>
    <row r="90" spans="1:186">
      <c r="A90" s="4">
        <v>44682</v>
      </c>
      <c r="B90" s="6">
        <v>2022</v>
      </c>
      <c r="C90" s="5">
        <v>5</v>
      </c>
      <c r="D90" s="7">
        <v>71175228.628490701</v>
      </c>
      <c r="E90" s="7">
        <f ca="1">IFERROR(VLOOKUP($B90-1,CDM!$V$4:$AJ$17,2,FALSE)/12,0)+IFERROR(VLOOKUP($B90,CDM!$V$41:$AJ$54,2,FALSE)/24,0)+IFERROR(VLOOKUP($B90,CDM!$V$41:$AJ$54,2,FALSE)/2*$C90/78,0)</f>
        <v>3847413.1907907459</v>
      </c>
      <c r="F90" s="7">
        <f t="shared" ca="1" si="169"/>
        <v>75022641.819281444</v>
      </c>
      <c r="G90" s="7">
        <f>IFERROR(HLOOKUP(B90-1,'EV Forecast VRZ'!$F$124:$T$130,2,FALSE)/12,0)+IFERROR(((HLOOKUP(B90,'EV Forecast VRZ'!$F$116:$T$122,2,FALSE)-HLOOKUP(B90-1,'EV Forecast VRZ'!$F$124:$T$130,2,FALSE)))*C90/78,0)</f>
        <v>487377.78018460295</v>
      </c>
      <c r="H90" s="7">
        <f ca="1">HLOOKUP(B90,Heating!$C$102:$O$106,2,FALSE)*INDEX(Weather!$BO$1:$CB$20,MATCH(B90,Weather!$BO$1:$BO$20,0),MATCH(C90,Weather!$BO$1:$CB$1,0))/VLOOKUP(B90,Weather!$BO$2:$CB$20,14,FALSE)*
VLOOKUP('Monthly Data'!$B90,Weather!$BO$3:$CB$20,14,FALSE)/Weather!$CB$14</f>
        <v>247040.33685851394</v>
      </c>
      <c r="I90" s="7">
        <f t="shared" ca="1" si="170"/>
        <v>74288223.702238336</v>
      </c>
      <c r="J90" s="7">
        <v>786152.27271000005</v>
      </c>
      <c r="K90" s="7">
        <f ca="1">IFERROR(VLOOKUP($B90-1,CDM!$V$4:$AJ$17,3,FALSE)/12,0)+IFERROR(VLOOKUP($B90,CDM!$V$41:$AJ$54,3,FALSE)/24,0)+IFERROR(VLOOKUP($B90,CDM!$V$41:$AJ$54,3,FALSE)/2*$C90/78,0)</f>
        <v>44067.514972208395</v>
      </c>
      <c r="L90" s="7">
        <f t="shared" ca="1" si="171"/>
        <v>830219.78768220847</v>
      </c>
      <c r="M90" s="7">
        <f>IFERROR(HLOOKUP(B90-1,'EV Forecast VRZ'!$F$124:$T$130,3,FALSE)/12,0)+IFERROR(((HLOOKUP(B90,'EV Forecast VRZ'!$F$116:$T$122,3,FALSE)-HLOOKUP(B90-1,'EV Forecast VRZ'!$F$124:$T$130,3,FALSE)))*C90/78,0)</f>
        <v>6630.483405140576</v>
      </c>
      <c r="N90" s="7">
        <f ca="1">HLOOKUP(B90,Heating!$C$102:$O$106,3,FALSE)*INDEX(Weather!$BO$1:$CB$20,MATCH(B90,Weather!$BO$1:$BO$20,0),MATCH(C90,Weather!$BO$1:$CB$1,0))/VLOOKUP(B90,Weather!$BO$2:$CB$20,14,FALSE)*
VLOOKUP('Monthly Data'!$B90,Weather!$BO$3:$CB$20,14,FALSE)/Weather!$CB$14</f>
        <v>3041.5127521223758</v>
      </c>
      <c r="O90" s="7">
        <f t="shared" ca="1" si="172"/>
        <v>820547.79152494553</v>
      </c>
      <c r="P90" s="7">
        <v>21132492.856539998</v>
      </c>
      <c r="Q90" s="7">
        <f ca="1">IFERROR(VLOOKUP($B90-1,CDM!$V$4:$AJ$17,4,FALSE)/12,0)+IFERROR(VLOOKUP($B90,CDM!$V$41:$AJ$54,4,FALSE)/24,0)+IFERROR(VLOOKUP($B90,CDM!$V$41:$AJ$54,4,FALSE)/2*$C90/78,0)</f>
        <v>1514042.8263057496</v>
      </c>
      <c r="R90" s="7">
        <f t="shared" ca="1" si="173"/>
        <v>22646535.682845749</v>
      </c>
      <c r="S90" s="7">
        <f>IFERROR(HLOOKUP(B90-1,'EV Forecast VRZ'!$F$124:$T$130,4,FALSE)/12,0)+IFERROR(((HLOOKUP(B90,'EV Forecast VRZ'!$F$116:$T$122,4,FALSE)-HLOOKUP(B90-1,'EV Forecast VRZ'!$F$124:$T$130,4,FALSE)))*C90/78,0)</f>
        <v>60181.40205128205</v>
      </c>
      <c r="T90" s="7">
        <f ca="1">HLOOKUP(B90,Heating!$C$102:$O$106,4,FALSE)*INDEX(Weather!$BO$1:$CB$20,MATCH(B90,Weather!$BO$1:$BO$20,0),MATCH(C90,Weather!$BO$1:$CB$1,0))/VLOOKUP(B90,Weather!$BO$2:$CB$20,14,FALSE)*
VLOOKUP('Monthly Data'!$B90,Weather!$BO$3:$CB$20,14,FALSE)/Weather!$CB$14</f>
        <v>60555.542600346642</v>
      </c>
      <c r="U90" s="7">
        <f t="shared" ca="1" si="174"/>
        <v>22525798.738194123</v>
      </c>
      <c r="V90" s="7">
        <v>75556709.640000001</v>
      </c>
      <c r="W90" s="7">
        <f ca="1">IFERROR(VLOOKUP($B90-1,CDM!$V$4:$AJ$17,5,FALSE)/12,0)+IFERROR(VLOOKUP($B90,CDM!$V$41:$AJ$54,5,FALSE)/24,0)+IFERROR(VLOOKUP($B90,CDM!$V$41:$AJ$54,5,FALSE)/2*$C90/78,0)</f>
        <v>6029833.4629872181</v>
      </c>
      <c r="X90" s="7">
        <f t="shared" ca="1" si="175"/>
        <v>81586543.102987215</v>
      </c>
      <c r="Y90" s="7">
        <f>IFERROR(HLOOKUP(B90-1,'EV Forecast VRZ'!$F$124:$T$130,5,FALSE)/12,0)+IFERROR(((HLOOKUP(B90,'EV Forecast VRZ'!$F$116:$T$122,5,FALSE)-HLOOKUP(B90-1,'EV Forecast VRZ'!$F$124:$T$130,5,FALSE)))*C90/78,0)</f>
        <v>27381.951435897434</v>
      </c>
      <c r="Z90" s="7">
        <f ca="1">HLOOKUP(B90,Heating!$C$102:$O$106,5,FALSE)*INDEX(Weather!$BO$1:$CB$20,MATCH(B90,Weather!$BO$1:$BO$20,0),MATCH(C90,Weather!$BO$1:$CB$1,0))/VLOOKUP(B90,Weather!$BO$2:$CB$20,14,FALSE)*
VLOOKUP('Monthly Data'!$B90,Weather!$BO$3:$CB$20,14,FALSE)/Weather!$CB$14</f>
        <v>32292.248371262536</v>
      </c>
      <c r="AA90" s="7">
        <f t="shared" ca="1" si="176"/>
        <v>81526868.903180063</v>
      </c>
      <c r="AB90" s="7">
        <v>9488834.5099999998</v>
      </c>
      <c r="AC90" s="7">
        <f ca="1">IFERROR(VLOOKUP($B90-1,CDM!$V$4:$AJ$17,6,FALSE)/12,0)+IFERROR(VLOOKUP($B90,CDM!$V$41:$AJ$54,6,FALSE)/24,0)+IFERROR(VLOOKUP($B90,CDM!$V$41:$AJ$54,6,FALSE)/2*$C90/78,0)</f>
        <v>270541.6082010619</v>
      </c>
      <c r="AD90" s="7">
        <f t="shared" ca="1" si="177"/>
        <v>9759376.1182010621</v>
      </c>
      <c r="AE90" s="7">
        <f>IFERROR(HLOOKUP(B90-1,'EV Forecast VRZ'!$F$124:$T$130,6,FALSE)/12,0)+IFERROR(((HLOOKUP(B90,'EV Forecast VRZ'!$F$116:$T$122,6,FALSE)-HLOOKUP(B90-1,'EV Forecast VRZ'!$F$124:$T$130,6,FALSE)))*C90/78,0)</f>
        <v>3604.5829230769232</v>
      </c>
      <c r="AF90" s="7">
        <f t="shared" ca="1" si="178"/>
        <v>9755771.535277985</v>
      </c>
      <c r="AG90" s="7">
        <v>25631932.109999999</v>
      </c>
      <c r="AH90" s="7">
        <f ca="1">IFERROR(VLOOKUP($B90-1,CDM!$V$4:$AJ$17,7,FALSE)/12,0)+IFERROR(VLOOKUP($B90,CDM!$V$41:$AJ$54,7,FALSE)/24,0)+IFERROR(VLOOKUP($B90,CDM!$V$41:$AJ$54,7,FALSE)/2*$C90/78,0)</f>
        <v>1744627.7937613034</v>
      </c>
      <c r="AI90" s="7">
        <f t="shared" ca="1" si="179"/>
        <v>27376559.903761301</v>
      </c>
      <c r="AJ90" s="7">
        <f>IFERROR(HLOOKUP(B90-1,'EV Forecast VRZ'!$F$124:$T$130,7,FALSE)/12,0)+IFERROR(((HLOOKUP(B90,'EV Forecast VRZ'!$F$116:$T$122,7,FALSE)-HLOOKUP(B90-1,'EV Forecast VRZ'!$F$124:$T$130,7,FALSE)))*C90/78,0)</f>
        <v>67.307692307692307</v>
      </c>
      <c r="AK90" s="7">
        <f t="shared" ca="1" si="180"/>
        <v>27376492.596068993</v>
      </c>
      <c r="AL90" s="7">
        <v>770965.69</v>
      </c>
      <c r="AM90" s="7">
        <v>18482.580000000002</v>
      </c>
      <c r="AN90" s="7">
        <v>397884.18</v>
      </c>
      <c r="AO90" s="5">
        <v>192104.67</v>
      </c>
      <c r="AP90" s="5">
        <v>18804.38</v>
      </c>
      <c r="AQ90" s="5">
        <v>41333</v>
      </c>
      <c r="AR90" s="5">
        <v>2565.08</v>
      </c>
      <c r="AS90" s="763">
        <f t="shared" si="238"/>
        <v>50.083333333333336</v>
      </c>
      <c r="AT90" s="776">
        <v>113987.33333333336</v>
      </c>
      <c r="AU90" s="776">
        <v>1558.6666666666663</v>
      </c>
      <c r="AV90" s="776">
        <v>9396.0833333333303</v>
      </c>
      <c r="AW90" s="776">
        <v>1042.5</v>
      </c>
      <c r="AX90" s="776">
        <v>5.5833333333333348</v>
      </c>
      <c r="AY90" s="776">
        <v>4</v>
      </c>
      <c r="AZ90" s="776">
        <v>31781.416666666661</v>
      </c>
      <c r="BA90" s="776">
        <v>246.16666666666671</v>
      </c>
      <c r="BB90" s="776">
        <v>801.33333333333314</v>
      </c>
      <c r="BC90" s="779">
        <v>28982490.0885498</v>
      </c>
      <c r="BD90" s="779">
        <f ca="1">IFERROR(VLOOKUP($B90-1,CDM!$V$4:$AJ$17,11,FALSE)/12,0)+IFERROR(VLOOKUP($B90,CDM!$V$41:$AJ$54,11,FALSE)/24,0)+IFERROR(VLOOKUP($B90,CDM!$V$41:$AJ$54,11,FALSE)/2*$C90/78,0)</f>
        <v>1701054.1553638228</v>
      </c>
      <c r="BE90" s="779">
        <f t="shared" ca="1" si="192"/>
        <v>30683544.243913624</v>
      </c>
      <c r="BF90" s="779">
        <f>IFERROR(HLOOKUP(B90-1,'EV Forecast WRZ'!$F$124:$T$130,2,FALSE)/12,0)+IFERROR(((HLOOKUP(B90,'EV Forecast WRZ'!$F$116:$T$122,2,FALSE)-HLOOKUP(B90-1,'EV Forecast WRZ'!$F$124:$T$130,2,FALSE)))*C90/78,0)</f>
        <v>155795.98769230768</v>
      </c>
      <c r="BG90" s="779">
        <f ca="1">HLOOKUP(B90,Heating!$R$102:$AD$106,2,FALSE)*INDEX(Weather!$BO$1:$CB$20,MATCH(B90,Weather!$BO$1:$BO$20,0),MATCH(C90,Weather!$BO$1:$CB$1,0))/VLOOKUP(B90,Weather!$BO$2:$CB$20,14,FALSE)*
VLOOKUP('Monthly Data'!$B90,Weather!$BO$3:$CB$20,14,FALSE)/Weather!$CB$14</f>
        <v>109343.18612903457</v>
      </c>
      <c r="BH90" s="779">
        <f t="shared" ca="1" si="181"/>
        <v>30418405.070092283</v>
      </c>
      <c r="BI90" s="779">
        <v>6556923.9057799997</v>
      </c>
      <c r="BJ90" s="779">
        <f ca="1">IFERROR(VLOOKUP($B90-1,CDM!$V$4:$AJ$17,12,FALSE)/12,0)+IFERROR(VLOOKUP($B90,CDM!$V$41:$AJ$54,12,FALSE)/24,0)+IFERROR(VLOOKUP($B90,CDM!$V$41:$AJ$54,12,FALSE)/2*$C90/78,0)</f>
        <v>259855.28020832871</v>
      </c>
      <c r="BK90" s="779">
        <f t="shared" ca="1" si="182"/>
        <v>6816779.1859883284</v>
      </c>
      <c r="BL90" s="779">
        <f>IFERROR(HLOOKUP(B90-1,'EV Forecast WRZ'!$F$124:$T$130,3,FALSE)/12,0)+IFERROR(((HLOOKUP(B90,'EV Forecast WRZ'!$F$116:$T$122,3,FALSE)-HLOOKUP(B90-1,'EV Forecast WRZ'!$F$124:$T$130,3,FALSE)))*C90/78,0)</f>
        <v>19170.003076923076</v>
      </c>
      <c r="BM90" s="779">
        <f ca="1">HLOOKUP(B90,Heating!$R$102:$AD$106,4,FALSE)*INDEX(Weather!$BO$1:$CB$20,MATCH(B90,Weather!$BO$1:$BO$20,0),MATCH(C90,Weather!$BO$1:$CB$1,0))/VLOOKUP(B90,Weather!$BO$2:$CB$20,14,FALSE)*
VLOOKUP('Monthly Data'!$B90,Weather!$BO$3:$CB$20,14,FALSE)/Weather!$CB$14</f>
        <v>16777.870868756065</v>
      </c>
      <c r="BN90" s="779">
        <f t="shared" ca="1" si="183"/>
        <v>6780831.3120426489</v>
      </c>
      <c r="BO90" s="779">
        <v>25541767.5</v>
      </c>
      <c r="BP90" s="779">
        <f ca="1">IFERROR(VLOOKUP($B90-1,CDM!$V$4:$AJ$17,13,FALSE)/12,0)+IFERROR(VLOOKUP($B90,CDM!$V$41:$AJ$54,13,FALSE)/24,0)+IFERROR(VLOOKUP($B90,CDM!$V$41:$AJ$54,13,FALSE)/2*$C90/78,0)</f>
        <v>2511199.1214722106</v>
      </c>
      <c r="BQ90" s="779">
        <f t="shared" ca="1" si="184"/>
        <v>28052966.62147221</v>
      </c>
      <c r="BR90" s="779">
        <f>IFERROR(HLOOKUP(B90-1,'EV Forecast WRZ'!$F$124:$T$130,4,FALSE)/12,0)+IFERROR(((HLOOKUP(B90,'EV Forecast WRZ'!$F$116:$T$122,4,FALSE)-HLOOKUP(B90-1,'EV Forecast WRZ'!$F$124:$T$130,4,FALSE)))*C90/78,0)</f>
        <v>8647.8154871794868</v>
      </c>
      <c r="BS90" s="779">
        <f ca="1">HLOOKUP(B90,Heating!$R$102:$AD$106,5,FALSE)*INDEX(Weather!$BO$1:$CB$20,MATCH(B90,Weather!$BO$1:$BO$20,0),MATCH(C90,Weather!$BO$1:$CB$1,0))/VLOOKUP(B90,Weather!$BO$2:$CB$20,14,FALSE)*
VLOOKUP('Monthly Data'!$B90,Weather!$BO$3:$CB$20,14,FALSE)/Weather!$CB$14</f>
        <v>9533.5214637347708</v>
      </c>
      <c r="BT90" s="779">
        <f t="shared" ca="1" si="185"/>
        <v>28034785.284521297</v>
      </c>
      <c r="BU90" s="779">
        <v>7196649.5099999998</v>
      </c>
      <c r="BV90" s="779">
        <f ca="1">IFERROR(VLOOKUP($B90-1,CDM!$V$4:$AJ$17,14,FALSE)/12,0)+IFERROR(VLOOKUP($B90,CDM!$V$41:$AJ$54,14,FALSE)/24,0)+IFERROR(VLOOKUP($B90,CDM!$V$41:$AJ$54,14,FALSE)/2*$C90/78,0)</f>
        <v>564632.9851221001</v>
      </c>
      <c r="BW90" s="779">
        <f t="shared" ca="1" si="186"/>
        <v>7761282.4951221002</v>
      </c>
      <c r="BX90" s="779">
        <f>IFERROR(HLOOKUP(B90-1,'EV Forecast WRZ'!$F$124:$T$130,5,FALSE)/12,0)+IFERROR(((HLOOKUP(B90,'EV Forecast WRZ'!$F$116:$T$122,5,FALSE)-HLOOKUP(B90-1,'EV Forecast WRZ'!$F$124:$T$130,5,FALSE)))*C90/78,0)</f>
        <v>1195.1988717948718</v>
      </c>
      <c r="BY90" s="779">
        <f t="shared" ca="1" si="193"/>
        <v>7760087.2962503051</v>
      </c>
      <c r="BZ90" s="779">
        <v>238880.17</v>
      </c>
      <c r="CA90" s="779">
        <v>2445.1546686034721</v>
      </c>
      <c r="CB90" s="5">
        <v>163232.93</v>
      </c>
      <c r="CC90" s="5">
        <v>68706.77</v>
      </c>
      <c r="CD90" s="5">
        <v>12916.17</v>
      </c>
      <c r="CE90" s="5">
        <v>797</v>
      </c>
      <c r="CF90" s="763">
        <f t="shared" si="239"/>
        <v>7.916666666666667</v>
      </c>
      <c r="CG90" s="785">
        <v>43881.416666666679</v>
      </c>
      <c r="CH90" s="785">
        <v>2375.8333333333326</v>
      </c>
      <c r="CI90" s="785">
        <v>388.33333333333343</v>
      </c>
      <c r="CJ90" s="785">
        <v>3</v>
      </c>
      <c r="CK90" s="785">
        <v>13313.16666666667</v>
      </c>
      <c r="CL90" s="785">
        <v>46.583333333333321</v>
      </c>
      <c r="CM90" s="785">
        <v>392.83333333333343</v>
      </c>
      <c r="CN90" s="46">
        <f>Weather!C102</f>
        <v>158.97916666666669</v>
      </c>
      <c r="CO90" s="46">
        <f>Weather!D102</f>
        <v>6.0166666666666657</v>
      </c>
      <c r="CP90" s="46">
        <f>Weather!E102</f>
        <v>109.50833333333333</v>
      </c>
      <c r="CQ90" s="46">
        <f>Weather!F102</f>
        <v>18.545833333333334</v>
      </c>
      <c r="CR90" s="46">
        <f>Weather!G102</f>
        <v>70.650000000000006</v>
      </c>
      <c r="CS90" s="46">
        <f>Weather!H102</f>
        <v>41.6875</v>
      </c>
      <c r="CT90" s="46">
        <f>Weather!I102</f>
        <v>39.324999999999996</v>
      </c>
      <c r="CU90" s="46">
        <f>Weather!J102</f>
        <v>72.362499999999997</v>
      </c>
      <c r="CV90" s="46">
        <f>Weather!K102</f>
        <v>14.399999999999993</v>
      </c>
      <c r="CW90" s="46">
        <f>Weather!L102</f>
        <v>109.43749999999997</v>
      </c>
      <c r="CX90" s="46">
        <f>Weather!M102</f>
        <v>0.93333333333333179</v>
      </c>
      <c r="CY90" s="46">
        <f>Weather!N102</f>
        <v>157.97083333333333</v>
      </c>
      <c r="CZ90" s="46">
        <f>Weather!O102</f>
        <v>0</v>
      </c>
      <c r="DA90" s="46">
        <f>Weather!P102</f>
        <v>219.03749999999999</v>
      </c>
      <c r="DB90" s="368">
        <f>'Economic Data'!D104</f>
        <v>7776.1</v>
      </c>
      <c r="DC90" s="368">
        <f>'Economic Data'!E104</f>
        <v>7765</v>
      </c>
      <c r="DD90" s="368">
        <f>'Economic Data'!F104</f>
        <v>235</v>
      </c>
      <c r="DE90" s="368">
        <f>'Economic Data'!G104</f>
        <v>237.4</v>
      </c>
      <c r="DF90" s="368">
        <f>'Economic Data'!H104</f>
        <v>60.5</v>
      </c>
      <c r="DG90" s="368">
        <f>'Economic Data'!I104</f>
        <v>60.5</v>
      </c>
      <c r="DH90" s="368">
        <f>'Economic Data'!J104</f>
        <v>850461.9</v>
      </c>
      <c r="DI90" s="368">
        <f>'Economic Data'!K104</f>
        <v>662856.4</v>
      </c>
      <c r="DJ90" s="368">
        <f>'Economic Data'!L104</f>
        <v>96870.8</v>
      </c>
      <c r="DK90" s="368">
        <f>'Economic Data'!M104</f>
        <v>30149.3</v>
      </c>
      <c r="DL90" s="368">
        <f>'Economic Data'!N104</f>
        <v>851621</v>
      </c>
      <c r="DM90" s="368">
        <f>'Economic Data'!O104</f>
        <v>97519</v>
      </c>
      <c r="DN90" s="368">
        <f>'Economic Data'!P104</f>
        <v>16842</v>
      </c>
      <c r="DO90" s="368">
        <f>'Economic Data'!Q104</f>
        <v>664186</v>
      </c>
      <c r="DP90" s="368">
        <f>'Economic Data'!R104</f>
        <v>30079</v>
      </c>
      <c r="DQ90">
        <v>31</v>
      </c>
      <c r="DR90">
        <v>21</v>
      </c>
      <c r="DS90">
        <v>0</v>
      </c>
      <c r="DT90">
        <v>0</v>
      </c>
      <c r="DU90">
        <v>0</v>
      </c>
      <c r="DV90">
        <v>0</v>
      </c>
      <c r="DW90">
        <v>1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1</v>
      </c>
      <c r="EF90">
        <v>0</v>
      </c>
      <c r="EG90">
        <v>1</v>
      </c>
      <c r="EH90">
        <f t="shared" si="189"/>
        <v>89</v>
      </c>
      <c r="EI90">
        <v>0.5</v>
      </c>
      <c r="EJ90">
        <v>0.25</v>
      </c>
      <c r="EK90">
        <v>0.5</v>
      </c>
      <c r="EL90">
        <v>0</v>
      </c>
      <c r="EM90" s="47">
        <f t="shared" si="194"/>
        <v>39.744791666666671</v>
      </c>
      <c r="EN90" s="47">
        <f t="shared" si="195"/>
        <v>1.5041666666666664</v>
      </c>
      <c r="EO90" s="47">
        <f t="shared" si="196"/>
        <v>27.377083333333331</v>
      </c>
      <c r="EP90" s="47">
        <f t="shared" si="197"/>
        <v>4.6364583333333336</v>
      </c>
      <c r="EQ90" s="47">
        <f t="shared" si="198"/>
        <v>17.662500000000001</v>
      </c>
      <c r="ER90" s="47">
        <f t="shared" si="199"/>
        <v>10.421875</v>
      </c>
      <c r="ES90" s="47">
        <f t="shared" si="200"/>
        <v>9.8312499999999989</v>
      </c>
      <c r="ET90" s="47">
        <f t="shared" si="201"/>
        <v>18.090624999999999</v>
      </c>
      <c r="EU90" s="47">
        <f t="shared" si="202"/>
        <v>3.5999999999999983</v>
      </c>
      <c r="EV90" s="47">
        <f t="shared" si="203"/>
        <v>27.359374999999993</v>
      </c>
      <c r="EW90" s="47">
        <f t="shared" si="204"/>
        <v>0.23333333333333295</v>
      </c>
      <c r="EX90" s="47">
        <f t="shared" si="205"/>
        <v>39.492708333333333</v>
      </c>
      <c r="EY90" s="47">
        <f t="shared" si="206"/>
        <v>0</v>
      </c>
      <c r="EZ90" s="47">
        <f t="shared" si="207"/>
        <v>54.759374999999999</v>
      </c>
      <c r="FA90" s="47">
        <f t="shared" si="208"/>
        <v>79.489583333333343</v>
      </c>
      <c r="FB90" s="47">
        <f t="shared" si="209"/>
        <v>3.0083333333333329</v>
      </c>
      <c r="FC90" s="47">
        <f t="shared" si="210"/>
        <v>54.754166666666663</v>
      </c>
      <c r="FD90" s="47">
        <f t="shared" si="211"/>
        <v>9.2729166666666671</v>
      </c>
      <c r="FE90" s="47">
        <f t="shared" si="212"/>
        <v>35.325000000000003</v>
      </c>
      <c r="FF90" s="47">
        <f t="shared" si="213"/>
        <v>20.84375</v>
      </c>
      <c r="FG90" s="47">
        <f t="shared" si="214"/>
        <v>19.662499999999998</v>
      </c>
      <c r="FH90" s="47">
        <f t="shared" si="215"/>
        <v>36.181249999999999</v>
      </c>
      <c r="FI90" s="47">
        <f t="shared" si="216"/>
        <v>7.1999999999999966</v>
      </c>
      <c r="FJ90" s="47">
        <f t="shared" si="217"/>
        <v>54.718749999999986</v>
      </c>
      <c r="FK90" s="47">
        <f t="shared" si="218"/>
        <v>0.4666666666666659</v>
      </c>
      <c r="FL90" s="47">
        <f t="shared" si="219"/>
        <v>78.985416666666666</v>
      </c>
      <c r="FM90" s="47">
        <f t="shared" si="220"/>
        <v>0</v>
      </c>
      <c r="FN90" s="47">
        <f t="shared" si="221"/>
        <v>109.51875</v>
      </c>
      <c r="FO90" s="765">
        <f t="shared" ca="1" si="222"/>
        <v>651.72349882944582</v>
      </c>
      <c r="FP90" s="765">
        <f t="shared" ca="1" si="223"/>
        <v>532.64742580124596</v>
      </c>
      <c r="FQ90" s="765">
        <f t="shared" ca="1" si="224"/>
        <v>2410.2101779478071</v>
      </c>
      <c r="FR90" s="765">
        <f t="shared" ca="1" si="225"/>
        <v>78260.473000467347</v>
      </c>
      <c r="FS90" s="765">
        <f t="shared" ca="1" si="226"/>
        <v>1747947.9614688465</v>
      </c>
      <c r="FT90" s="765">
        <f t="shared" ca="1" si="227"/>
        <v>6844139.9759403253</v>
      </c>
      <c r="FU90" s="765">
        <f t="shared" si="228"/>
        <v>24.258380237927302</v>
      </c>
      <c r="FV90" s="765">
        <f t="shared" si="229"/>
        <v>75.081570751523344</v>
      </c>
      <c r="FW90" s="765">
        <f t="shared" si="230"/>
        <v>496.52767886855253</v>
      </c>
      <c r="FX90" s="765">
        <f t="shared" ca="1" si="231"/>
        <v>699.23777705247926</v>
      </c>
      <c r="FY90" s="765">
        <f t="shared" ca="1" si="232"/>
        <v>2869.2160726713423</v>
      </c>
      <c r="FZ90" s="765">
        <f t="shared" ca="1" si="233"/>
        <v>72239.399025250314</v>
      </c>
      <c r="GA90" s="765">
        <f t="shared" si="234"/>
        <v>79626.723333333342</v>
      </c>
      <c r="GB90" s="765">
        <f t="shared" si="235"/>
        <v>17.943151767047656</v>
      </c>
      <c r="GC90" s="765">
        <f t="shared" si="236"/>
        <v>52.489903440503888</v>
      </c>
      <c r="GD90" s="765">
        <f t="shared" si="237"/>
        <v>415.52718710224849</v>
      </c>
    </row>
    <row r="91" spans="1:186">
      <c r="A91" s="4">
        <v>44713</v>
      </c>
      <c r="B91" s="6">
        <v>2022</v>
      </c>
      <c r="C91" s="5">
        <v>6</v>
      </c>
      <c r="D91" s="7">
        <v>80728784.847711101</v>
      </c>
      <c r="E91" s="7">
        <f ca="1">IFERROR(VLOOKUP($B91-1,CDM!$V$4:$AJ$17,2,FALSE)/12,0)+IFERROR(VLOOKUP($B91,CDM!$V$41:$AJ$54,2,FALSE)/24,0)+IFERROR(VLOOKUP($B91,CDM!$V$41:$AJ$54,2,FALSE)/2*$C91/78,0)</f>
        <v>3847735.0963526289</v>
      </c>
      <c r="F91" s="7">
        <f t="shared" ca="1" si="169"/>
        <v>84576519.944063723</v>
      </c>
      <c r="G91" s="7">
        <f>IFERROR(HLOOKUP(B91-1,'EV Forecast VRZ'!$F$124:$T$130,2,FALSE)/12,0)+IFERROR(((HLOOKUP(B91,'EV Forecast VRZ'!$F$116:$T$122,2,FALSE)-HLOOKUP(B91-1,'EV Forecast VRZ'!$F$124:$T$130,2,FALSE)))*C91/78,0)</f>
        <v>508635.79465443967</v>
      </c>
      <c r="H91" s="7">
        <f ca="1">HLOOKUP(B91,Heating!$C$102:$O$106,2,FALSE)*INDEX(Weather!$BO$1:$CB$20,MATCH(B91,Weather!$BO$1:$BO$20,0),MATCH(C91,Weather!$BO$1:$CB$1,0))/VLOOKUP(B91,Weather!$BO$2:$CB$20,14,FALSE)*
VLOOKUP('Monthly Data'!$B91,Weather!$BO$3:$CB$20,14,FALSE)/Weather!$CB$14</f>
        <v>81588.193206505632</v>
      </c>
      <c r="I91" s="7">
        <f t="shared" ca="1" si="170"/>
        <v>83986295.956202775</v>
      </c>
      <c r="J91" s="7">
        <v>772781.29087999999</v>
      </c>
      <c r="K91" s="7">
        <f ca="1">IFERROR(VLOOKUP($B91-1,CDM!$V$4:$AJ$17,3,FALSE)/12,0)+IFERROR(VLOOKUP($B91,CDM!$V$41:$AJ$54,3,FALSE)/24,0)+IFERROR(VLOOKUP($B91,CDM!$V$41:$AJ$54,3,FALSE)/2*$C91/78,0)</f>
        <v>44071.202015284995</v>
      </c>
      <c r="L91" s="7">
        <f t="shared" ca="1" si="171"/>
        <v>816852.49289528502</v>
      </c>
      <c r="M91" s="7">
        <f>IFERROR(HLOOKUP(B91-1,'EV Forecast VRZ'!$F$124:$T$130,3,FALSE)/12,0)+IFERROR(((HLOOKUP(B91,'EV Forecast VRZ'!$F$116:$T$122,3,FALSE)-HLOOKUP(B91-1,'EV Forecast VRZ'!$F$124:$T$130,3,FALSE)))*C91/78,0)</f>
        <v>6919.6859865859242</v>
      </c>
      <c r="N91" s="7">
        <f ca="1">HLOOKUP(B91,Heating!$C$102:$O$106,3,FALSE)*INDEX(Weather!$BO$1:$CB$20,MATCH(B91,Weather!$BO$1:$BO$20,0),MATCH(C91,Weather!$BO$1:$CB$1,0))/VLOOKUP(B91,Weather!$BO$2:$CB$20,14,FALSE)*
VLOOKUP('Monthly Data'!$B91,Weather!$BO$3:$CB$20,14,FALSE)/Weather!$CB$14</f>
        <v>1004.4980233423723</v>
      </c>
      <c r="O91" s="7">
        <f t="shared" ca="1" si="172"/>
        <v>808928.30888535676</v>
      </c>
      <c r="P91" s="7">
        <v>22130781.368469998</v>
      </c>
      <c r="Q91" s="7">
        <f ca="1">IFERROR(VLOOKUP($B91-1,CDM!$V$4:$AJ$17,4,FALSE)/12,0)+IFERROR(VLOOKUP($B91,CDM!$V$41:$AJ$54,4,FALSE)/24,0)+IFERROR(VLOOKUP($B91,CDM!$V$41:$AJ$54,4,FALSE)/2*$C91/78,0)</f>
        <v>1523041.4300728305</v>
      </c>
      <c r="R91" s="7">
        <f t="shared" ca="1" si="173"/>
        <v>23653822.798542827</v>
      </c>
      <c r="S91" s="7">
        <f>IFERROR(HLOOKUP(B91-1,'EV Forecast VRZ'!$F$124:$T$130,4,FALSE)/12,0)+IFERROR(((HLOOKUP(B91,'EV Forecast VRZ'!$F$116:$T$122,4,FALSE)-HLOOKUP(B91-1,'EV Forecast VRZ'!$F$124:$T$130,4,FALSE)))*C91/78,0)</f>
        <v>62820.101794871793</v>
      </c>
      <c r="T91" s="7">
        <f ca="1">HLOOKUP(B91,Heating!$C$102:$O$106,4,FALSE)*INDEX(Weather!$BO$1:$CB$20,MATCH(B91,Weather!$BO$1:$BO$20,0),MATCH(C91,Weather!$BO$1:$CB$1,0))/VLOOKUP(B91,Weather!$BO$2:$CB$20,14,FALSE)*
VLOOKUP('Monthly Data'!$B91,Weather!$BO$3:$CB$20,14,FALSE)/Weather!$CB$14</f>
        <v>19999.233211179908</v>
      </c>
      <c r="U91" s="7">
        <f t="shared" ca="1" si="174"/>
        <v>23571003.463536777</v>
      </c>
      <c r="V91" s="7">
        <v>77277239.359999999</v>
      </c>
      <c r="W91" s="7">
        <f ca="1">IFERROR(VLOOKUP($B91-1,CDM!$V$4:$AJ$17,5,FALSE)/12,0)+IFERROR(VLOOKUP($B91,CDM!$V$41:$AJ$54,5,FALSE)/24,0)+IFERROR(VLOOKUP($B91,CDM!$V$41:$AJ$54,5,FALSE)/2*$C91/78,0)</f>
        <v>6090861.7493503047</v>
      </c>
      <c r="X91" s="7">
        <f t="shared" ca="1" si="175"/>
        <v>83368101.109350309</v>
      </c>
      <c r="Y91" s="7">
        <f>IFERROR(HLOOKUP(B91-1,'EV Forecast VRZ'!$F$124:$T$130,5,FALSE)/12,0)+IFERROR(((HLOOKUP(B91,'EV Forecast VRZ'!$F$116:$T$122,5,FALSE)-HLOOKUP(B91-1,'EV Forecast VRZ'!$F$124:$T$130,5,FALSE)))*C91/78,0)</f>
        <v>28604.430423076919</v>
      </c>
      <c r="Z91" s="7">
        <f ca="1">HLOOKUP(B91,Heating!$C$102:$O$106,5,FALSE)*INDEX(Weather!$BO$1:$CB$20,MATCH(B91,Weather!$BO$1:$BO$20,0),MATCH(C91,Weather!$BO$1:$CB$1,0))/VLOOKUP(B91,Weather!$BO$2:$CB$20,14,FALSE)*
VLOOKUP('Monthly Data'!$B91,Weather!$BO$3:$CB$20,14,FALSE)/Weather!$CB$14</f>
        <v>10664.923116162898</v>
      </c>
      <c r="AA91" s="7">
        <f t="shared" ca="1" si="176"/>
        <v>83328831.755811065</v>
      </c>
      <c r="AB91" s="7">
        <v>9614550.9399999995</v>
      </c>
      <c r="AC91" s="7">
        <f ca="1">IFERROR(VLOOKUP($B91-1,CDM!$V$4:$AJ$17,6,FALSE)/12,0)+IFERROR(VLOOKUP($B91,CDM!$V$41:$AJ$54,6,FALSE)/24,0)+IFERROR(VLOOKUP($B91,CDM!$V$41:$AJ$54,6,FALSE)/2*$C91/78,0)</f>
        <v>272941.46600028989</v>
      </c>
      <c r="AD91" s="7">
        <f t="shared" ca="1" si="177"/>
        <v>9887492.4060002901</v>
      </c>
      <c r="AE91" s="7">
        <f>IFERROR(HLOOKUP(B91-1,'EV Forecast VRZ'!$F$124:$T$130,6,FALSE)/12,0)+IFERROR(((HLOOKUP(B91,'EV Forecast VRZ'!$F$116:$T$122,6,FALSE)-HLOOKUP(B91-1,'EV Forecast VRZ'!$F$124:$T$130,6,FALSE)))*C91/78,0)</f>
        <v>3755.6204743589747</v>
      </c>
      <c r="AF91" s="7">
        <f t="shared" ca="1" si="178"/>
        <v>9883736.785525931</v>
      </c>
      <c r="AG91" s="7">
        <v>25283969.98</v>
      </c>
      <c r="AH91" s="7">
        <f ca="1">IFERROR(VLOOKUP($B91-1,CDM!$V$4:$AJ$17,7,FALSE)/12,0)+IFERROR(VLOOKUP($B91,CDM!$V$41:$AJ$54,7,FALSE)/24,0)+IFERROR(VLOOKUP($B91,CDM!$V$41:$AJ$54,7,FALSE)/2*$C91/78,0)</f>
        <v>1746480.3869028096</v>
      </c>
      <c r="AI91" s="7">
        <f t="shared" ca="1" si="179"/>
        <v>27030450.36690281</v>
      </c>
      <c r="AJ91" s="7">
        <f>IFERROR(HLOOKUP(B91-1,'EV Forecast VRZ'!$F$124:$T$130,7,FALSE)/12,0)+IFERROR(((HLOOKUP(B91,'EV Forecast VRZ'!$F$116:$T$122,7,FALSE)-HLOOKUP(B91-1,'EV Forecast VRZ'!$F$124:$T$130,7,FALSE)))*C91/78,0)</f>
        <v>80.769230769230774</v>
      </c>
      <c r="AK91" s="7">
        <f t="shared" ca="1" si="180"/>
        <v>27030369.597672042</v>
      </c>
      <c r="AL91" s="7">
        <v>694077.63</v>
      </c>
      <c r="AM91" s="7">
        <v>18622.980000000003</v>
      </c>
      <c r="AN91" s="7">
        <v>397826.52</v>
      </c>
      <c r="AO91" s="5">
        <v>197483.89</v>
      </c>
      <c r="AP91" s="5">
        <v>19397.2</v>
      </c>
      <c r="AQ91" s="5">
        <v>42832</v>
      </c>
      <c r="AR91" s="5">
        <v>2571.59</v>
      </c>
      <c r="AS91" s="763">
        <f t="shared" si="238"/>
        <v>50.083333333333336</v>
      </c>
      <c r="AT91" s="776">
        <v>114103.00000000003</v>
      </c>
      <c r="AU91" s="776">
        <v>1558.9999999999995</v>
      </c>
      <c r="AV91" s="776">
        <v>9407.4999999999964</v>
      </c>
      <c r="AW91" s="776">
        <v>1039</v>
      </c>
      <c r="AX91" s="776">
        <v>5.5000000000000018</v>
      </c>
      <c r="AY91" s="776">
        <v>4</v>
      </c>
      <c r="AZ91" s="776">
        <v>31790.499999999993</v>
      </c>
      <c r="BA91" s="776">
        <v>246.00000000000006</v>
      </c>
      <c r="BB91" s="776">
        <v>800.99999999999977</v>
      </c>
      <c r="BC91" s="779">
        <v>34319366.238789797</v>
      </c>
      <c r="BD91" s="779">
        <f ca="1">IFERROR(VLOOKUP($B91-1,CDM!$V$4:$AJ$17,11,FALSE)/12,0)+IFERROR(VLOOKUP($B91,CDM!$V$41:$AJ$54,11,FALSE)/24,0)+IFERROR(VLOOKUP($B91,CDM!$V$41:$AJ$54,11,FALSE)/2*$C91/78,0)</f>
        <v>1701345.1772099105</v>
      </c>
      <c r="BE91" s="779">
        <f t="shared" ca="1" si="192"/>
        <v>36020711.415999711</v>
      </c>
      <c r="BF91" s="779">
        <f>IFERROR(HLOOKUP(B91-1,'EV Forecast WRZ'!$F$124:$T$130,2,FALSE)/12,0)+IFERROR(((HLOOKUP(B91,'EV Forecast WRZ'!$F$116:$T$122,2,FALSE)-HLOOKUP(B91-1,'EV Forecast WRZ'!$F$124:$T$130,2,FALSE)))*C91/78,0)</f>
        <v>162101.47756410256</v>
      </c>
      <c r="BG91" s="779">
        <f ca="1">HLOOKUP(B91,Heating!$R$102:$AD$106,2,FALSE)*INDEX(Weather!$BO$1:$CB$20,MATCH(B91,Weather!$BO$1:$BO$20,0),MATCH(C91,Weather!$BO$1:$CB$1,0))/VLOOKUP(B91,Weather!$BO$2:$CB$20,14,FALSE)*
VLOOKUP('Monthly Data'!$B91,Weather!$BO$3:$CB$20,14,FALSE)/Weather!$CB$14</f>
        <v>36111.969037752402</v>
      </c>
      <c r="BH91" s="779">
        <f t="shared" ca="1" si="181"/>
        <v>35822497.969397858</v>
      </c>
      <c r="BI91" s="779">
        <v>7068268.6945000105</v>
      </c>
      <c r="BJ91" s="779">
        <f ca="1">IFERROR(VLOOKUP($B91-1,CDM!$V$4:$AJ$17,12,FALSE)/12,0)+IFERROR(VLOOKUP($B91,CDM!$V$41:$AJ$54,12,FALSE)/24,0)+IFERROR(VLOOKUP($B91,CDM!$V$41:$AJ$54,12,FALSE)/2*$C91/78,0)</f>
        <v>262284.82285785442</v>
      </c>
      <c r="BK91" s="779">
        <f t="shared" ca="1" si="182"/>
        <v>7330553.5173578653</v>
      </c>
      <c r="BL91" s="779">
        <f>IFERROR(HLOOKUP(B91-1,'EV Forecast WRZ'!$F$124:$T$130,3,FALSE)/12,0)+IFERROR(((HLOOKUP(B91,'EV Forecast WRZ'!$F$116:$T$122,3,FALSE)-HLOOKUP(B91-1,'EV Forecast WRZ'!$F$124:$T$130,3,FALSE)))*C91/78,0)</f>
        <v>19987.391025641027</v>
      </c>
      <c r="BM91" s="779">
        <f ca="1">HLOOKUP(B91,Heating!$R$102:$AD$106,4,FALSE)*INDEX(Weather!$BO$1:$CB$20,MATCH(B91,Weather!$BO$1:$BO$20,0),MATCH(C91,Weather!$BO$1:$CB$1,0))/VLOOKUP(B91,Weather!$BO$2:$CB$20,14,FALSE)*
VLOOKUP('Monthly Data'!$B91,Weather!$BO$3:$CB$20,14,FALSE)/Weather!$CB$14</f>
        <v>5541.1038838481718</v>
      </c>
      <c r="BN91" s="779">
        <f t="shared" ca="1" si="183"/>
        <v>7305025.0224483758</v>
      </c>
      <c r="BO91" s="779">
        <v>26153981.300000001</v>
      </c>
      <c r="BP91" s="779">
        <f ca="1">IFERROR(VLOOKUP($B91-1,CDM!$V$4:$AJ$17,13,FALSE)/12,0)+IFERROR(VLOOKUP($B91,CDM!$V$41:$AJ$54,13,FALSE)/24,0)+IFERROR(VLOOKUP($B91,CDM!$V$41:$AJ$54,13,FALSE)/2*$C91/78,0)</f>
        <v>2543411.3865927332</v>
      </c>
      <c r="BQ91" s="779">
        <f t="shared" ca="1" si="184"/>
        <v>28697392.686592735</v>
      </c>
      <c r="BR91" s="779">
        <f>IFERROR(HLOOKUP(B91-1,'EV Forecast WRZ'!$F$124:$T$130,4,FALSE)/12,0)+IFERROR(((HLOOKUP(B91,'EV Forecast WRZ'!$F$116:$T$122,4,FALSE)-HLOOKUP(B91-1,'EV Forecast WRZ'!$F$124:$T$130,4,FALSE)))*C91/78,0)</f>
        <v>9012.4028846153851</v>
      </c>
      <c r="BS91" s="779">
        <f ca="1">HLOOKUP(B91,Heating!$R$102:$AD$106,5,FALSE)*INDEX(Weather!$BO$1:$CB$20,MATCH(B91,Weather!$BO$1:$BO$20,0),MATCH(C91,Weather!$BO$1:$CB$1,0))/VLOOKUP(B91,Weather!$BO$2:$CB$20,14,FALSE)*
VLOOKUP('Monthly Data'!$B91,Weather!$BO$3:$CB$20,14,FALSE)/Weather!$CB$14</f>
        <v>3148.5659427635865</v>
      </c>
      <c r="BT91" s="779">
        <f t="shared" ca="1" si="185"/>
        <v>28685231.717765357</v>
      </c>
      <c r="BU91" s="779">
        <v>6712141.3899999997</v>
      </c>
      <c r="BV91" s="779">
        <f ca="1">IFERROR(VLOOKUP($B91-1,CDM!$V$4:$AJ$17,14,FALSE)/12,0)+IFERROR(VLOOKUP($B91,CDM!$V$41:$AJ$54,14,FALSE)/24,0)+IFERROR(VLOOKUP($B91,CDM!$V$41:$AJ$54,14,FALSE)/2*$C91/78,0)</f>
        <v>571878.60439352819</v>
      </c>
      <c r="BW91" s="779">
        <f t="shared" ca="1" si="186"/>
        <v>7284019.9943935275</v>
      </c>
      <c r="BX91" s="779">
        <f>IFERROR(HLOOKUP(B91-1,'EV Forecast WRZ'!$F$124:$T$130,5,FALSE)/12,0)+IFERROR(((HLOOKUP(B91,'EV Forecast WRZ'!$F$116:$T$122,5,FALSE)-HLOOKUP(B91-1,'EV Forecast WRZ'!$F$124:$T$130,5,FALSE)))*C91/78,0)</f>
        <v>1253.4080128205128</v>
      </c>
      <c r="BY91" s="779">
        <f t="shared" ca="1" si="193"/>
        <v>7282766.5863807071</v>
      </c>
      <c r="BZ91" s="779">
        <v>214676.03</v>
      </c>
      <c r="CA91" s="779">
        <v>2759.8110769542595</v>
      </c>
      <c r="CB91" s="5">
        <v>162845.07</v>
      </c>
      <c r="CC91" s="5">
        <v>69003.289999999994</v>
      </c>
      <c r="CD91" s="5">
        <v>12478.72</v>
      </c>
      <c r="CE91" s="5">
        <v>798</v>
      </c>
      <c r="CF91" s="763">
        <f t="shared" si="239"/>
        <v>7.916666666666667</v>
      </c>
      <c r="CG91" s="785">
        <v>43969.500000000015</v>
      </c>
      <c r="CH91" s="785">
        <v>2380.9999999999991</v>
      </c>
      <c r="CI91" s="785">
        <v>387.00000000000011</v>
      </c>
      <c r="CJ91" s="785">
        <v>3</v>
      </c>
      <c r="CK91" s="785">
        <v>13333.000000000004</v>
      </c>
      <c r="CL91" s="785">
        <v>46.499999999999986</v>
      </c>
      <c r="CM91" s="785">
        <v>393.00000000000011</v>
      </c>
      <c r="CN91" s="46">
        <f>Weather!C103</f>
        <v>75.529010989011013</v>
      </c>
      <c r="CO91" s="46">
        <f>Weather!D103</f>
        <v>16.451515151515149</v>
      </c>
      <c r="CP91" s="46">
        <f>Weather!E103</f>
        <v>36.166510989010987</v>
      </c>
      <c r="CQ91" s="46">
        <f>Weather!F103</f>
        <v>37.089015151515156</v>
      </c>
      <c r="CR91" s="46">
        <f>Weather!G103</f>
        <v>6.1903205128205077</v>
      </c>
      <c r="CS91" s="46">
        <f>Weather!H103</f>
        <v>67.11282467532466</v>
      </c>
      <c r="CT91" s="46">
        <f>Weather!I103</f>
        <v>0</v>
      </c>
      <c r="CU91" s="46">
        <f>Weather!J103</f>
        <v>120.92250416250417</v>
      </c>
      <c r="CV91" s="46">
        <f>Weather!K103</f>
        <v>0</v>
      </c>
      <c r="CW91" s="46">
        <f>Weather!L103</f>
        <v>180.92250416250408</v>
      </c>
      <c r="CX91" s="46">
        <f>Weather!M103</f>
        <v>0</v>
      </c>
      <c r="CY91" s="46">
        <f>Weather!N103</f>
        <v>240.92250416250408</v>
      </c>
      <c r="CZ91" s="46">
        <f>Weather!O103</f>
        <v>0</v>
      </c>
      <c r="DA91" s="46">
        <f>Weather!P103</f>
        <v>300.92250416250414</v>
      </c>
      <c r="DB91" s="368">
        <f>'Economic Data'!D105</f>
        <v>7782.8</v>
      </c>
      <c r="DC91" s="368">
        <f>'Economic Data'!E105</f>
        <v>7838.7</v>
      </c>
      <c r="DD91" s="368">
        <f>'Economic Data'!F105</f>
        <v>236.3</v>
      </c>
      <c r="DE91" s="368">
        <f>'Economic Data'!G105</f>
        <v>239.6</v>
      </c>
      <c r="DF91" s="368">
        <f>'Economic Data'!H105</f>
        <v>62.5</v>
      </c>
      <c r="DG91" s="368">
        <f>'Economic Data'!I105</f>
        <v>62.5</v>
      </c>
      <c r="DH91" s="368">
        <f>'Economic Data'!J105</f>
        <v>850461.9</v>
      </c>
      <c r="DI91" s="368">
        <f>'Economic Data'!K105</f>
        <v>662856.4</v>
      </c>
      <c r="DJ91" s="368">
        <f>'Economic Data'!L105</f>
        <v>96870.8</v>
      </c>
      <c r="DK91" s="368">
        <f>'Economic Data'!M105</f>
        <v>30149.3</v>
      </c>
      <c r="DL91" s="368">
        <f>'Economic Data'!N105</f>
        <v>851621</v>
      </c>
      <c r="DM91" s="368">
        <f>'Economic Data'!O105</f>
        <v>97519</v>
      </c>
      <c r="DN91" s="368">
        <f>'Economic Data'!P105</f>
        <v>16842</v>
      </c>
      <c r="DO91" s="368">
        <f>'Economic Data'!Q105</f>
        <v>664186</v>
      </c>
      <c r="DP91" s="368">
        <f>'Economic Data'!R105</f>
        <v>30079</v>
      </c>
      <c r="DQ91">
        <v>30</v>
      </c>
      <c r="DR91">
        <v>22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1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f t="shared" si="189"/>
        <v>90</v>
      </c>
      <c r="EI91">
        <v>0.5</v>
      </c>
      <c r="EJ91">
        <v>0.25</v>
      </c>
      <c r="EK91">
        <v>0.5</v>
      </c>
      <c r="EL91">
        <v>0</v>
      </c>
      <c r="EM91" s="47">
        <f t="shared" si="194"/>
        <v>18.882252747252753</v>
      </c>
      <c r="EN91" s="47">
        <f t="shared" si="195"/>
        <v>4.1128787878787874</v>
      </c>
      <c r="EO91" s="47">
        <f t="shared" si="196"/>
        <v>9.0416277472527469</v>
      </c>
      <c r="EP91" s="47">
        <f t="shared" si="197"/>
        <v>9.272253787878789</v>
      </c>
      <c r="EQ91" s="47">
        <f t="shared" si="198"/>
        <v>1.5475801282051269</v>
      </c>
      <c r="ER91" s="47">
        <f t="shared" si="199"/>
        <v>16.778206168831165</v>
      </c>
      <c r="ES91" s="47">
        <f t="shared" si="200"/>
        <v>0</v>
      </c>
      <c r="ET91" s="47">
        <f t="shared" si="201"/>
        <v>30.230626040626042</v>
      </c>
      <c r="EU91" s="47">
        <f t="shared" si="202"/>
        <v>0</v>
      </c>
      <c r="EV91" s="47">
        <f t="shared" si="203"/>
        <v>45.230626040626021</v>
      </c>
      <c r="EW91" s="47">
        <f t="shared" si="204"/>
        <v>0</v>
      </c>
      <c r="EX91" s="47">
        <f t="shared" si="205"/>
        <v>60.230626040626021</v>
      </c>
      <c r="EY91" s="47">
        <f t="shared" si="206"/>
        <v>0</v>
      </c>
      <c r="EZ91" s="47">
        <f t="shared" si="207"/>
        <v>75.230626040626035</v>
      </c>
      <c r="FA91" s="47">
        <f t="shared" si="208"/>
        <v>37.764505494505507</v>
      </c>
      <c r="FB91" s="47">
        <f t="shared" si="209"/>
        <v>8.2257575757575747</v>
      </c>
      <c r="FC91" s="47">
        <f t="shared" si="210"/>
        <v>18.083255494505494</v>
      </c>
      <c r="FD91" s="47">
        <f t="shared" si="211"/>
        <v>18.544507575757578</v>
      </c>
      <c r="FE91" s="47">
        <f t="shared" si="212"/>
        <v>3.0951602564102538</v>
      </c>
      <c r="FF91" s="47">
        <f t="shared" si="213"/>
        <v>33.55641233766233</v>
      </c>
      <c r="FG91" s="47">
        <f t="shared" si="214"/>
        <v>0</v>
      </c>
      <c r="FH91" s="47">
        <f t="shared" si="215"/>
        <v>60.461252081252084</v>
      </c>
      <c r="FI91" s="47">
        <f t="shared" si="216"/>
        <v>0</v>
      </c>
      <c r="FJ91" s="47">
        <f t="shared" si="217"/>
        <v>90.461252081252042</v>
      </c>
      <c r="FK91" s="47">
        <f t="shared" si="218"/>
        <v>0</v>
      </c>
      <c r="FL91" s="47">
        <f t="shared" si="219"/>
        <v>120.46125208125204</v>
      </c>
      <c r="FM91" s="47">
        <f t="shared" si="220"/>
        <v>0</v>
      </c>
      <c r="FN91" s="47">
        <f t="shared" si="221"/>
        <v>150.46125208125207</v>
      </c>
      <c r="FO91" s="765">
        <f t="shared" ca="1" si="222"/>
        <v>736.05686052253452</v>
      </c>
      <c r="FP91" s="765">
        <f t="shared" ca="1" si="223"/>
        <v>523.95926420480134</v>
      </c>
      <c r="FQ91" s="765">
        <f t="shared" ca="1" si="224"/>
        <v>2514.3579908097622</v>
      </c>
      <c r="FR91" s="765">
        <f t="shared" ca="1" si="225"/>
        <v>80238.788363186046</v>
      </c>
      <c r="FS91" s="765">
        <f t="shared" ca="1" si="226"/>
        <v>1797725.8920000521</v>
      </c>
      <c r="FT91" s="765">
        <f t="shared" ca="1" si="227"/>
        <v>6757612.5917257024</v>
      </c>
      <c r="FU91" s="765">
        <f t="shared" si="228"/>
        <v>21.832862962205695</v>
      </c>
      <c r="FV91" s="765">
        <f t="shared" si="229"/>
        <v>75.703170731707317</v>
      </c>
      <c r="FW91" s="765">
        <f t="shared" si="230"/>
        <v>496.66232209737842</v>
      </c>
      <c r="FX91" s="765">
        <f t="shared" ca="1" si="231"/>
        <v>819.22040086877723</v>
      </c>
      <c r="FY91" s="765">
        <f t="shared" ca="1" si="232"/>
        <v>3078.7709018722671</v>
      </c>
      <c r="FZ91" s="765">
        <f t="shared" ca="1" si="233"/>
        <v>74153.469474399812</v>
      </c>
      <c r="GA91" s="765">
        <f t="shared" si="234"/>
        <v>71558.676666666666</v>
      </c>
      <c r="GB91" s="765">
        <f t="shared" si="235"/>
        <v>16.101104777619437</v>
      </c>
      <c r="GC91" s="765">
        <f t="shared" si="236"/>
        <v>59.350775848478719</v>
      </c>
      <c r="GD91" s="765">
        <f t="shared" si="237"/>
        <v>414.36404580152663</v>
      </c>
    </row>
    <row r="92" spans="1:186">
      <c r="A92" s="4">
        <v>44743</v>
      </c>
      <c r="B92" s="6">
        <v>2022</v>
      </c>
      <c r="C92" s="5">
        <v>7</v>
      </c>
      <c r="D92" s="7">
        <v>103253476.02421001</v>
      </c>
      <c r="E92" s="7">
        <f ca="1">IFERROR(VLOOKUP($B92-1,CDM!$V$4:$AJ$17,2,FALSE)/12,0)+IFERROR(VLOOKUP($B92,CDM!$V$41:$AJ$54,2,FALSE)/24,0)+IFERROR(VLOOKUP($B92,CDM!$V$41:$AJ$54,2,FALSE)/2*$C92/78,0)</f>
        <v>3848057.0019145114</v>
      </c>
      <c r="F92" s="7">
        <f t="shared" ca="1" si="169"/>
        <v>107101533.02612452</v>
      </c>
      <c r="G92" s="7">
        <f>IFERROR(HLOOKUP(B92-1,'EV Forecast VRZ'!$F$124:$T$130,2,FALSE)/12,0)+IFERROR(((HLOOKUP(B92,'EV Forecast VRZ'!$F$116:$T$122,2,FALSE)-HLOOKUP(B92-1,'EV Forecast VRZ'!$F$124:$T$130,2,FALSE)))*C92/78,0)</f>
        <v>529893.80912427627</v>
      </c>
      <c r="H92" s="7">
        <f ca="1">HLOOKUP(B92,Heating!$C$102:$O$106,2,FALSE)*INDEX(Weather!$BO$1:$CB$20,MATCH(B92,Weather!$BO$1:$BO$20,0),MATCH(C92,Weather!$BO$1:$CB$1,0))/VLOOKUP(B92,Weather!$BO$2:$CB$20,14,FALSE)*
VLOOKUP('Monthly Data'!$B92,Weather!$BO$3:$CB$20,14,FALSE)/Weather!$CB$14</f>
        <v>1400.5406815279887</v>
      </c>
      <c r="I92" s="7">
        <f t="shared" ca="1" si="170"/>
        <v>106570238.67631872</v>
      </c>
      <c r="J92" s="7">
        <v>1056726.2877400001</v>
      </c>
      <c r="K92" s="7">
        <f ca="1">IFERROR(VLOOKUP($B92-1,CDM!$V$4:$AJ$17,3,FALSE)/12,0)+IFERROR(VLOOKUP($B92,CDM!$V$41:$AJ$54,3,FALSE)/24,0)+IFERROR(VLOOKUP($B92,CDM!$V$41:$AJ$54,3,FALSE)/2*$C92/78,0)</f>
        <v>44074.889058361587</v>
      </c>
      <c r="L92" s="7">
        <f t="shared" ca="1" si="171"/>
        <v>1100801.1767983616</v>
      </c>
      <c r="M92" s="7">
        <f>IFERROR(HLOOKUP(B92-1,'EV Forecast VRZ'!$F$124:$T$130,3,FALSE)/12,0)+IFERROR(((HLOOKUP(B92,'EV Forecast VRZ'!$F$116:$T$122,3,FALSE)-HLOOKUP(B92-1,'EV Forecast VRZ'!$F$124:$T$130,3,FALSE)))*C92/78,0)</f>
        <v>7208.8885680312724</v>
      </c>
      <c r="N92" s="7">
        <f ca="1">HLOOKUP(B92,Heating!$C$102:$O$106,3,FALSE)*INDEX(Weather!$BO$1:$CB$20,MATCH(B92,Weather!$BO$1:$BO$20,0),MATCH(C92,Weather!$BO$1:$CB$1,0))/VLOOKUP(B92,Weather!$BO$2:$CB$20,14,FALSE)*
VLOOKUP('Monthly Data'!$B92,Weather!$BO$3:$CB$20,14,FALSE)/Weather!$CB$14</f>
        <v>17.243185452638087</v>
      </c>
      <c r="O92" s="7">
        <f t="shared" ca="1" si="172"/>
        <v>1093575.0450448776</v>
      </c>
      <c r="P92" s="7">
        <v>25358152.623659901</v>
      </c>
      <c r="Q92" s="7">
        <f ca="1">IFERROR(VLOOKUP($B92-1,CDM!$V$4:$AJ$17,4,FALSE)/12,0)+IFERROR(VLOOKUP($B92,CDM!$V$41:$AJ$54,4,FALSE)/24,0)+IFERROR(VLOOKUP($B92,CDM!$V$41:$AJ$54,4,FALSE)/2*$C92/78,0)</f>
        <v>1532040.0338399117</v>
      </c>
      <c r="R92" s="7">
        <f t="shared" ca="1" si="173"/>
        <v>26890192.657499813</v>
      </c>
      <c r="S92" s="7">
        <f>IFERROR(HLOOKUP(B92-1,'EV Forecast VRZ'!$F$124:$T$130,4,FALSE)/12,0)+IFERROR(((HLOOKUP(B92,'EV Forecast VRZ'!$F$116:$T$122,4,FALSE)-HLOOKUP(B92-1,'EV Forecast VRZ'!$F$124:$T$130,4,FALSE)))*C92/78,0)</f>
        <v>65458.801538461543</v>
      </c>
      <c r="T92" s="7">
        <f ca="1">HLOOKUP(B92,Heating!$C$102:$O$106,4,FALSE)*INDEX(Weather!$BO$1:$CB$20,MATCH(B92,Weather!$BO$1:$BO$20,0),MATCH(C92,Weather!$BO$1:$CB$1,0))/VLOOKUP(B92,Weather!$BO$2:$CB$20,14,FALSE)*
VLOOKUP('Monthly Data'!$B92,Weather!$BO$3:$CB$20,14,FALSE)/Weather!$CB$14</f>
        <v>343.30628747628236</v>
      </c>
      <c r="U92" s="7">
        <f t="shared" ca="1" si="174"/>
        <v>26824390.549673878</v>
      </c>
      <c r="V92" s="7">
        <v>81676912.150000006</v>
      </c>
      <c r="W92" s="7">
        <f ca="1">IFERROR(VLOOKUP($B92-1,CDM!$V$4:$AJ$17,5,FALSE)/12,0)+IFERROR(VLOOKUP($B92,CDM!$V$41:$AJ$54,5,FALSE)/24,0)+IFERROR(VLOOKUP($B92,CDM!$V$41:$AJ$54,5,FALSE)/2*$C92/78,0)</f>
        <v>6151890.0357133904</v>
      </c>
      <c r="X92" s="7">
        <f t="shared" ca="1" si="175"/>
        <v>87828802.185713395</v>
      </c>
      <c r="Y92" s="7">
        <f>IFERROR(HLOOKUP(B92-1,'EV Forecast VRZ'!$F$124:$T$130,5,FALSE)/12,0)+IFERROR(((HLOOKUP(B92,'EV Forecast VRZ'!$F$116:$T$122,5,FALSE)-HLOOKUP(B92-1,'EV Forecast VRZ'!$F$124:$T$130,5,FALSE)))*C92/78,0)</f>
        <v>29826.909410256409</v>
      </c>
      <c r="Z92" s="7">
        <f ca="1">HLOOKUP(B92,Heating!$C$102:$O$106,5,FALSE)*INDEX(Weather!$BO$1:$CB$20,MATCH(B92,Weather!$BO$1:$BO$20,0),MATCH(C92,Weather!$BO$1:$CB$1,0))/VLOOKUP(B92,Weather!$BO$2:$CB$20,14,FALSE)*
VLOOKUP('Monthly Data'!$B92,Weather!$BO$3:$CB$20,14,FALSE)/Weather!$CB$14</f>
        <v>183.07377700776652</v>
      </c>
      <c r="AA92" s="7">
        <f t="shared" ca="1" si="176"/>
        <v>87798792.202526137</v>
      </c>
      <c r="AB92" s="7">
        <v>9282002.4000000004</v>
      </c>
      <c r="AC92" s="7">
        <f ca="1">IFERROR(VLOOKUP($B92-1,CDM!$V$4:$AJ$17,6,FALSE)/12,0)+IFERROR(VLOOKUP($B92,CDM!$V$41:$AJ$54,6,FALSE)/24,0)+IFERROR(VLOOKUP($B92,CDM!$V$41:$AJ$54,6,FALSE)/2*$C92/78,0)</f>
        <v>275341.32379951788</v>
      </c>
      <c r="AD92" s="7">
        <f t="shared" ca="1" si="177"/>
        <v>9557343.7237995174</v>
      </c>
      <c r="AE92" s="7">
        <f>IFERROR(HLOOKUP(B92-1,'EV Forecast VRZ'!$F$124:$T$130,6,FALSE)/12,0)+IFERROR(((HLOOKUP(B92,'EV Forecast VRZ'!$F$116:$T$122,6,FALSE)-HLOOKUP(B92-1,'EV Forecast VRZ'!$F$124:$T$130,6,FALSE)))*C92/78,0)</f>
        <v>3906.6580256410261</v>
      </c>
      <c r="AF92" s="7">
        <f t="shared" ca="1" si="178"/>
        <v>9553437.0657738764</v>
      </c>
      <c r="AG92" s="7">
        <v>25012881.399999999</v>
      </c>
      <c r="AH92" s="7">
        <f ca="1">IFERROR(VLOOKUP($B92-1,CDM!$V$4:$AJ$17,7,FALSE)/12,0)+IFERROR(VLOOKUP($B92,CDM!$V$41:$AJ$54,7,FALSE)/24,0)+IFERROR(VLOOKUP($B92,CDM!$V$41:$AJ$54,7,FALSE)/2*$C92/78,0)</f>
        <v>1748332.9800443158</v>
      </c>
      <c r="AI92" s="7">
        <f t="shared" ca="1" si="179"/>
        <v>26761214.380044315</v>
      </c>
      <c r="AJ92" s="7">
        <f>IFERROR(HLOOKUP(B92-1,'EV Forecast VRZ'!$F$124:$T$130,7,FALSE)/12,0)+IFERROR(((HLOOKUP(B92,'EV Forecast VRZ'!$F$116:$T$122,7,FALSE)-HLOOKUP(B92-1,'EV Forecast VRZ'!$F$124:$T$130,7,FALSE)))*C92/78,0)</f>
        <v>94.230769230769226</v>
      </c>
      <c r="AK92" s="7">
        <f t="shared" ca="1" si="180"/>
        <v>26761120.149275083</v>
      </c>
      <c r="AL92" s="7">
        <v>744334.89</v>
      </c>
      <c r="AM92" s="7">
        <v>17630.04</v>
      </c>
      <c r="AN92" s="7">
        <v>397861.12</v>
      </c>
      <c r="AO92" s="5">
        <v>199161.46</v>
      </c>
      <c r="AP92" s="5">
        <v>19538.36</v>
      </c>
      <c r="AQ92" s="5">
        <v>44038</v>
      </c>
      <c r="AR92" s="5">
        <v>2569.0500000000002</v>
      </c>
      <c r="AS92" s="763">
        <f t="shared" si="238"/>
        <v>50.083333333333336</v>
      </c>
      <c r="AT92" s="776">
        <v>114218.6666666667</v>
      </c>
      <c r="AU92" s="776">
        <v>1559.3333333333328</v>
      </c>
      <c r="AV92" s="776">
        <v>9418.9166666666624</v>
      </c>
      <c r="AW92" s="776">
        <v>1035.5</v>
      </c>
      <c r="AX92" s="776">
        <v>5.4166666666666687</v>
      </c>
      <c r="AY92" s="776">
        <v>4</v>
      </c>
      <c r="AZ92" s="776">
        <v>31799.583333333325</v>
      </c>
      <c r="BA92" s="776">
        <v>245.8333333333334</v>
      </c>
      <c r="BB92" s="776">
        <v>800.6666666666664</v>
      </c>
      <c r="BC92" s="779">
        <v>43794706.505709901</v>
      </c>
      <c r="BD92" s="779">
        <f ca="1">IFERROR(VLOOKUP($B92-1,CDM!$V$4:$AJ$17,11,FALSE)/12,0)+IFERROR(VLOOKUP($B92,CDM!$V$41:$AJ$54,11,FALSE)/24,0)+IFERROR(VLOOKUP($B92,CDM!$V$41:$AJ$54,11,FALSE)/2*$C92/78,0)</f>
        <v>1701636.1990559979</v>
      </c>
      <c r="BE92" s="779">
        <f t="shared" ca="1" si="192"/>
        <v>45496342.704765901</v>
      </c>
      <c r="BF92" s="779">
        <f>IFERROR(HLOOKUP(B92-1,'EV Forecast WRZ'!$F$124:$T$130,2,FALSE)/12,0)+IFERROR(((HLOOKUP(B92,'EV Forecast WRZ'!$F$116:$T$122,2,FALSE)-HLOOKUP(B92-1,'EV Forecast WRZ'!$F$124:$T$130,2,FALSE)))*C92/78,0)</f>
        <v>168406.96743589744</v>
      </c>
      <c r="BG92" s="779">
        <f ca="1">HLOOKUP(B92,Heating!$R$102:$AD$106,2,FALSE)*INDEX(Weather!$BO$1:$CB$20,MATCH(B92,Weather!$BO$1:$BO$20,0),MATCH(C92,Weather!$BO$1:$CB$1,0))/VLOOKUP(B92,Weather!$BO$2:$CB$20,14,FALSE)*
VLOOKUP('Monthly Data'!$B92,Weather!$BO$3:$CB$20,14,FALSE)/Weather!$CB$14</f>
        <v>619.89706769751763</v>
      </c>
      <c r="BH92" s="779">
        <f t="shared" ca="1" si="181"/>
        <v>45327315.840262309</v>
      </c>
      <c r="BI92" s="779">
        <v>7888607.0265100002</v>
      </c>
      <c r="BJ92" s="779">
        <f ca="1">IFERROR(VLOOKUP($B92-1,CDM!$V$4:$AJ$17,12,FALSE)/12,0)+IFERROR(VLOOKUP($B92,CDM!$V$41:$AJ$54,12,FALSE)/24,0)+IFERROR(VLOOKUP($B92,CDM!$V$41:$AJ$54,12,FALSE)/2*$C92/78,0)</f>
        <v>264714.36550738005</v>
      </c>
      <c r="BK92" s="779">
        <f t="shared" ca="1" si="182"/>
        <v>8153321.3920173803</v>
      </c>
      <c r="BL92" s="779">
        <f>IFERROR(HLOOKUP(B92-1,'EV Forecast WRZ'!$F$124:$T$130,3,FALSE)/12,0)+IFERROR(((HLOOKUP(B92,'EV Forecast WRZ'!$F$116:$T$122,3,FALSE)-HLOOKUP(B92-1,'EV Forecast WRZ'!$F$124:$T$130,3,FALSE)))*C92/78,0)</f>
        <v>20804.778974358975</v>
      </c>
      <c r="BM92" s="779">
        <f ca="1">HLOOKUP(B92,Heating!$R$102:$AD$106,4,FALSE)*INDEX(Weather!$BO$1:$CB$20,MATCH(B92,Weather!$BO$1:$BO$20,0),MATCH(C92,Weather!$BO$1:$CB$1,0))/VLOOKUP(B92,Weather!$BO$2:$CB$20,14,FALSE)*
VLOOKUP('Monthly Data'!$B92,Weather!$BO$3:$CB$20,14,FALSE)/Weather!$CB$14</f>
        <v>95.118436931917472</v>
      </c>
      <c r="BN92" s="779">
        <f t="shared" ca="1" si="183"/>
        <v>8132421.4946060898</v>
      </c>
      <c r="BO92" s="779">
        <v>28545087.309999999</v>
      </c>
      <c r="BP92" s="779">
        <f ca="1">IFERROR(VLOOKUP($B92-1,CDM!$V$4:$AJ$17,13,FALSE)/12,0)+IFERROR(VLOOKUP($B92,CDM!$V$41:$AJ$54,13,FALSE)/24,0)+IFERROR(VLOOKUP($B92,CDM!$V$41:$AJ$54,13,FALSE)/2*$C92/78,0)</f>
        <v>2575623.6517132563</v>
      </c>
      <c r="BQ92" s="779">
        <f t="shared" ca="1" si="184"/>
        <v>31120710.961713254</v>
      </c>
      <c r="BR92" s="779">
        <f>IFERROR(HLOOKUP(B92-1,'EV Forecast WRZ'!$F$124:$T$130,4,FALSE)/12,0)+IFERROR(((HLOOKUP(B92,'EV Forecast WRZ'!$F$116:$T$122,4,FALSE)-HLOOKUP(B92-1,'EV Forecast WRZ'!$F$124:$T$130,4,FALSE)))*C92/78,0)</f>
        <v>9376.9902820512816</v>
      </c>
      <c r="BS92" s="779">
        <f ca="1">HLOOKUP(B92,Heating!$R$102:$AD$106,5,FALSE)*INDEX(Weather!$BO$1:$CB$20,MATCH(B92,Weather!$BO$1:$BO$20,0),MATCH(C92,Weather!$BO$1:$CB$1,0))/VLOOKUP(B92,Weather!$BO$2:$CB$20,14,FALSE)*
VLOOKUP('Monthly Data'!$B92,Weather!$BO$3:$CB$20,14,FALSE)/Weather!$CB$14</f>
        <v>54.048196411859131</v>
      </c>
      <c r="BT92" s="779">
        <f t="shared" ca="1" si="185"/>
        <v>31111279.923234791</v>
      </c>
      <c r="BU92" s="779">
        <v>7309055.8700000001</v>
      </c>
      <c r="BV92" s="779">
        <f ca="1">IFERROR(VLOOKUP($B92-1,CDM!$V$4:$AJ$17,14,FALSE)/12,0)+IFERROR(VLOOKUP($B92,CDM!$V$41:$AJ$54,14,FALSE)/24,0)+IFERROR(VLOOKUP($B92,CDM!$V$41:$AJ$54,14,FALSE)/2*$C92/78,0)</f>
        <v>579124.22366495628</v>
      </c>
      <c r="BW92" s="779">
        <f t="shared" ca="1" si="186"/>
        <v>7888180.0936649563</v>
      </c>
      <c r="BX92" s="779">
        <f>IFERROR(HLOOKUP(B92-1,'EV Forecast WRZ'!$F$124:$T$130,5,FALSE)/12,0)+IFERROR(((HLOOKUP(B92,'EV Forecast WRZ'!$F$116:$T$122,5,FALSE)-HLOOKUP(B92-1,'EV Forecast WRZ'!$F$124:$T$130,5,FALSE)))*C92/78,0)</f>
        <v>1311.617153846154</v>
      </c>
      <c r="BY92" s="779">
        <f t="shared" ca="1" si="193"/>
        <v>7886868.4765111106</v>
      </c>
      <c r="BZ92" s="779">
        <v>231238.3</v>
      </c>
      <c r="CA92" s="779">
        <v>2083.2122322816026</v>
      </c>
      <c r="CB92" s="5">
        <v>162845.07</v>
      </c>
      <c r="CC92" s="5">
        <v>71388.61</v>
      </c>
      <c r="CD92" s="5">
        <v>12426.58</v>
      </c>
      <c r="CE92" s="5">
        <v>801</v>
      </c>
      <c r="CF92" s="763">
        <f t="shared" si="239"/>
        <v>7.916666666666667</v>
      </c>
      <c r="CG92" s="785">
        <v>44057.58333333335</v>
      </c>
      <c r="CH92" s="785">
        <v>2386.1666666666656</v>
      </c>
      <c r="CI92" s="785">
        <v>385.6666666666668</v>
      </c>
      <c r="CJ92" s="785">
        <v>3</v>
      </c>
      <c r="CK92" s="785">
        <v>13352.833333333338</v>
      </c>
      <c r="CL92" s="785">
        <v>46.41666666666665</v>
      </c>
      <c r="CM92" s="785">
        <v>393.1666666666668</v>
      </c>
      <c r="CN92" s="46">
        <f>Weather!C104</f>
        <v>8.9945652173913082</v>
      </c>
      <c r="CO92" s="46">
        <f>Weather!D104</f>
        <v>44.848903508771912</v>
      </c>
      <c r="CP92" s="46">
        <f>Weather!E104</f>
        <v>0.62083333333333357</v>
      </c>
      <c r="CQ92" s="46">
        <f>Weather!F104</f>
        <v>98.475171624713937</v>
      </c>
      <c r="CR92" s="46">
        <f>Weather!G104</f>
        <v>0</v>
      </c>
      <c r="CS92" s="46">
        <f>Weather!H104</f>
        <v>159.8543382913806</v>
      </c>
      <c r="CT92" s="46">
        <f>Weather!I104</f>
        <v>0</v>
      </c>
      <c r="CU92" s="46">
        <f>Weather!J104</f>
        <v>221.8543382913806</v>
      </c>
      <c r="CV92" s="46">
        <f>Weather!K104</f>
        <v>0</v>
      </c>
      <c r="CW92" s="46">
        <f>Weather!L104</f>
        <v>283.8543382913806</v>
      </c>
      <c r="CX92" s="46">
        <f>Weather!M104</f>
        <v>0</v>
      </c>
      <c r="CY92" s="46">
        <f>Weather!N104</f>
        <v>345.85433829138066</v>
      </c>
      <c r="CZ92" s="46">
        <f>Weather!O104</f>
        <v>0</v>
      </c>
      <c r="DA92" s="46">
        <f>Weather!P104</f>
        <v>407.8543382913806</v>
      </c>
      <c r="DB92" s="368">
        <f>'Economic Data'!D106</f>
        <v>7784.1</v>
      </c>
      <c r="DC92" s="368">
        <f>'Economic Data'!E106</f>
        <v>7872.1</v>
      </c>
      <c r="DD92" s="368">
        <f>'Economic Data'!F106</f>
        <v>236.4</v>
      </c>
      <c r="DE92" s="368">
        <f>'Economic Data'!G106</f>
        <v>238.3</v>
      </c>
      <c r="DF92" s="368">
        <f>'Economic Data'!H106</f>
        <v>64.7</v>
      </c>
      <c r="DG92" s="368">
        <f>'Economic Data'!I106</f>
        <v>64.7</v>
      </c>
      <c r="DH92" s="368">
        <f>'Economic Data'!J106</f>
        <v>850461.9</v>
      </c>
      <c r="DI92" s="368">
        <f>'Economic Data'!K106</f>
        <v>662856.4</v>
      </c>
      <c r="DJ92" s="368">
        <f>'Economic Data'!L106</f>
        <v>96870.8</v>
      </c>
      <c r="DK92" s="368">
        <f>'Economic Data'!M106</f>
        <v>30149.3</v>
      </c>
      <c r="DL92" s="368">
        <f>'Economic Data'!N106</f>
        <v>852979</v>
      </c>
      <c r="DM92" s="368">
        <f>'Economic Data'!O106</f>
        <v>97268</v>
      </c>
      <c r="DN92" s="368">
        <f>'Economic Data'!P106</f>
        <v>16485</v>
      </c>
      <c r="DO92" s="368">
        <f>'Economic Data'!Q106</f>
        <v>664978</v>
      </c>
      <c r="DP92" s="368">
        <f>'Economic Data'!R106</f>
        <v>30634</v>
      </c>
      <c r="DQ92">
        <v>31</v>
      </c>
      <c r="DR92">
        <v>20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1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f t="shared" si="189"/>
        <v>91</v>
      </c>
      <c r="EI92">
        <v>0.5</v>
      </c>
      <c r="EJ92">
        <v>0.25</v>
      </c>
      <c r="EK92">
        <v>0.5</v>
      </c>
      <c r="EL92">
        <v>0</v>
      </c>
      <c r="EM92" s="47">
        <f t="shared" si="194"/>
        <v>2.2486413043478271</v>
      </c>
      <c r="EN92" s="47">
        <f t="shared" si="195"/>
        <v>11.212225877192978</v>
      </c>
      <c r="EO92" s="47">
        <f t="shared" si="196"/>
        <v>0.15520833333333339</v>
      </c>
      <c r="EP92" s="47">
        <f t="shared" si="197"/>
        <v>24.618792906178484</v>
      </c>
      <c r="EQ92" s="47">
        <f t="shared" si="198"/>
        <v>0</v>
      </c>
      <c r="ER92" s="47">
        <f t="shared" si="199"/>
        <v>39.96358457284515</v>
      </c>
      <c r="ES92" s="47">
        <f t="shared" si="200"/>
        <v>0</v>
      </c>
      <c r="ET92" s="47">
        <f t="shared" si="201"/>
        <v>55.46358457284515</v>
      </c>
      <c r="EU92" s="47">
        <f t="shared" si="202"/>
        <v>0</v>
      </c>
      <c r="EV92" s="47">
        <f t="shared" si="203"/>
        <v>70.96358457284515</v>
      </c>
      <c r="EW92" s="47">
        <f t="shared" si="204"/>
        <v>0</v>
      </c>
      <c r="EX92" s="47">
        <f t="shared" si="205"/>
        <v>86.463584572845164</v>
      </c>
      <c r="EY92" s="47">
        <f t="shared" si="206"/>
        <v>0</v>
      </c>
      <c r="EZ92" s="47">
        <f t="shared" si="207"/>
        <v>101.96358457284515</v>
      </c>
      <c r="FA92" s="47">
        <f t="shared" si="208"/>
        <v>4.4972826086956541</v>
      </c>
      <c r="FB92" s="47">
        <f t="shared" si="209"/>
        <v>22.424451754385956</v>
      </c>
      <c r="FC92" s="47">
        <f t="shared" si="210"/>
        <v>0.31041666666666679</v>
      </c>
      <c r="FD92" s="47">
        <f t="shared" si="211"/>
        <v>49.237585812356969</v>
      </c>
      <c r="FE92" s="47">
        <f t="shared" si="212"/>
        <v>0</v>
      </c>
      <c r="FF92" s="47">
        <f t="shared" si="213"/>
        <v>79.9271691456903</v>
      </c>
      <c r="FG92" s="47">
        <f t="shared" si="214"/>
        <v>0</v>
      </c>
      <c r="FH92" s="47">
        <f t="shared" si="215"/>
        <v>110.9271691456903</v>
      </c>
      <c r="FI92" s="47">
        <f t="shared" si="216"/>
        <v>0</v>
      </c>
      <c r="FJ92" s="47">
        <f t="shared" si="217"/>
        <v>141.9271691456903</v>
      </c>
      <c r="FK92" s="47">
        <f t="shared" si="218"/>
        <v>0</v>
      </c>
      <c r="FL92" s="47">
        <f t="shared" si="219"/>
        <v>172.92716914569033</v>
      </c>
      <c r="FM92" s="47">
        <f t="shared" si="220"/>
        <v>0</v>
      </c>
      <c r="FN92" s="47">
        <f t="shared" si="221"/>
        <v>203.9271691456903</v>
      </c>
      <c r="FO92" s="765">
        <f t="shared" ca="1" si="222"/>
        <v>933.03697010691792</v>
      </c>
      <c r="FP92" s="765">
        <f t="shared" ca="1" si="223"/>
        <v>705.9434652405057</v>
      </c>
      <c r="FQ92" s="765">
        <f t="shared" ca="1" si="224"/>
        <v>2854.9135329611322</v>
      </c>
      <c r="FR92" s="765">
        <f t="shared" ca="1" si="225"/>
        <v>84817.771304406953</v>
      </c>
      <c r="FS92" s="765">
        <f t="shared" ca="1" si="226"/>
        <v>1764432.6874706794</v>
      </c>
      <c r="FT92" s="765">
        <f t="shared" ca="1" si="227"/>
        <v>6690303.5950110788</v>
      </c>
      <c r="FU92" s="765">
        <f t="shared" si="228"/>
        <v>23.407064243504244</v>
      </c>
      <c r="FV92" s="765">
        <f t="shared" si="229"/>
        <v>71.715416949152527</v>
      </c>
      <c r="FW92" s="765">
        <f t="shared" si="230"/>
        <v>496.91230641132404</v>
      </c>
      <c r="FX92" s="765">
        <f t="shared" ca="1" si="231"/>
        <v>1032.6563388769443</v>
      </c>
      <c r="FY92" s="765">
        <f t="shared" ca="1" si="232"/>
        <v>3416.9119474823151</v>
      </c>
      <c r="FZ92" s="765">
        <f t="shared" ca="1" si="233"/>
        <v>80693.286849731827</v>
      </c>
      <c r="GA92" s="765">
        <f t="shared" si="234"/>
        <v>77079.433333333334</v>
      </c>
      <c r="GB92" s="765">
        <f t="shared" si="235"/>
        <v>17.317545589575239</v>
      </c>
      <c r="GC92" s="765">
        <f t="shared" si="236"/>
        <v>44.880694411811923</v>
      </c>
      <c r="GD92" s="765">
        <f t="shared" si="237"/>
        <v>414.18839338702827</v>
      </c>
    </row>
    <row r="93" spans="1:186">
      <c r="A93" s="4">
        <v>44774</v>
      </c>
      <c r="B93" s="6">
        <v>2022</v>
      </c>
      <c r="C93" s="5">
        <v>8</v>
      </c>
      <c r="D93" s="7">
        <v>106491071.87694</v>
      </c>
      <c r="E93" s="7">
        <f ca="1">IFERROR(VLOOKUP($B93-1,CDM!$V$4:$AJ$17,2,FALSE)/12,0)+IFERROR(VLOOKUP($B93,CDM!$V$41:$AJ$54,2,FALSE)/24,0)+IFERROR(VLOOKUP($B93,CDM!$V$41:$AJ$54,2,FALSE)/2*$C93/78,0)</f>
        <v>3848378.9074763944</v>
      </c>
      <c r="F93" s="7">
        <f t="shared" ca="1" si="169"/>
        <v>110339450.78441639</v>
      </c>
      <c r="G93" s="7">
        <f>IFERROR(HLOOKUP(B93-1,'EV Forecast VRZ'!$F$124:$T$130,2,FALSE)/12,0)+IFERROR(((HLOOKUP(B93,'EV Forecast VRZ'!$F$116:$T$122,2,FALSE)-HLOOKUP(B93-1,'EV Forecast VRZ'!$F$124:$T$130,2,FALSE)))*C93/78,0)</f>
        <v>551151.82359411311</v>
      </c>
      <c r="H93" s="7">
        <f ca="1">HLOOKUP(B93,Heating!$C$102:$O$106,2,FALSE)*INDEX(Weather!$BO$1:$CB$20,MATCH(B93,Weather!$BO$1:$BO$20,0),MATCH(C93,Weather!$BO$1:$CB$1,0))/VLOOKUP(B93,Weather!$BO$2:$CB$20,14,FALSE)*
VLOOKUP('Monthly Data'!$B93,Weather!$BO$3:$CB$20,14,FALSE)/Weather!$CB$14</f>
        <v>1720.1271457692801</v>
      </c>
      <c r="I93" s="7">
        <f t="shared" ca="1" si="170"/>
        <v>109786578.83367652</v>
      </c>
      <c r="J93" s="7">
        <v>1036366.32473</v>
      </c>
      <c r="K93" s="7">
        <f ca="1">IFERROR(VLOOKUP($B93-1,CDM!$V$4:$AJ$17,3,FALSE)/12,0)+IFERROR(VLOOKUP($B93,CDM!$V$41:$AJ$54,3,FALSE)/24,0)+IFERROR(VLOOKUP($B93,CDM!$V$41:$AJ$54,3,FALSE)/2*$C93/78,0)</f>
        <v>44078.576101438186</v>
      </c>
      <c r="L93" s="7">
        <f t="shared" ca="1" si="171"/>
        <v>1080444.9008314381</v>
      </c>
      <c r="M93" s="7">
        <f>IFERROR(HLOOKUP(B93-1,'EV Forecast VRZ'!$F$124:$T$130,3,FALSE)/12,0)+IFERROR(((HLOOKUP(B93,'EV Forecast VRZ'!$F$116:$T$122,3,FALSE)-HLOOKUP(B93-1,'EV Forecast VRZ'!$F$124:$T$130,3,FALSE)))*C93/78,0)</f>
        <v>7498.0911494766206</v>
      </c>
      <c r="N93" s="7">
        <f ca="1">HLOOKUP(B93,Heating!$C$102:$O$106,3,FALSE)*INDEX(Weather!$BO$1:$CB$20,MATCH(B93,Weather!$BO$1:$BO$20,0),MATCH(C93,Weather!$BO$1:$CB$1,0))/VLOOKUP(B93,Weather!$BO$2:$CB$20,14,FALSE)*
VLOOKUP('Monthly Data'!$B93,Weather!$BO$3:$CB$20,14,FALSE)/Weather!$CB$14</f>
        <v>21.177872065991814</v>
      </c>
      <c r="O93" s="7">
        <f t="shared" ca="1" si="172"/>
        <v>1072925.6318098956</v>
      </c>
      <c r="P93" s="7">
        <v>25492350.706059899</v>
      </c>
      <c r="Q93" s="7">
        <f ca="1">IFERROR(VLOOKUP($B93-1,CDM!$V$4:$AJ$17,4,FALSE)/12,0)+IFERROR(VLOOKUP($B93,CDM!$V$41:$AJ$54,4,FALSE)/24,0)+IFERROR(VLOOKUP($B93,CDM!$V$41:$AJ$54,4,FALSE)/2*$C93/78,0)</f>
        <v>1541038.6376069926</v>
      </c>
      <c r="R93" s="7">
        <f t="shared" ca="1" si="173"/>
        <v>27033389.343666892</v>
      </c>
      <c r="S93" s="7">
        <f>IFERROR(HLOOKUP(B93-1,'EV Forecast VRZ'!$F$124:$T$130,4,FALSE)/12,0)+IFERROR(((HLOOKUP(B93,'EV Forecast VRZ'!$F$116:$T$122,4,FALSE)-HLOOKUP(B93-1,'EV Forecast VRZ'!$F$124:$T$130,4,FALSE)))*C93/78,0)</f>
        <v>68097.501282051293</v>
      </c>
      <c r="T93" s="7">
        <f ca="1">HLOOKUP(B93,Heating!$C$102:$O$106,4,FALSE)*INDEX(Weather!$BO$1:$CB$20,MATCH(B93,Weather!$BO$1:$BO$20,0),MATCH(C93,Weather!$BO$1:$CB$1,0))/VLOOKUP(B93,Weather!$BO$2:$CB$20,14,FALSE)*
VLOOKUP('Monthly Data'!$B93,Weather!$BO$3:$CB$20,14,FALSE)/Weather!$CB$14</f>
        <v>421.64463495409319</v>
      </c>
      <c r="U93" s="7">
        <f t="shared" ca="1" si="174"/>
        <v>26964870.197749887</v>
      </c>
      <c r="V93" s="7">
        <v>83875328.469999999</v>
      </c>
      <c r="W93" s="7">
        <f ca="1">IFERROR(VLOOKUP($B93-1,CDM!$V$4:$AJ$17,5,FALSE)/12,0)+IFERROR(VLOOKUP($B93,CDM!$V$41:$AJ$54,5,FALSE)/24,0)+IFERROR(VLOOKUP($B93,CDM!$V$41:$AJ$54,5,FALSE)/2*$C93/78,0)</f>
        <v>6212918.3220764762</v>
      </c>
      <c r="X93" s="7">
        <f t="shared" ca="1" si="175"/>
        <v>90088246.792076468</v>
      </c>
      <c r="Y93" s="7">
        <f>IFERROR(HLOOKUP(B93-1,'EV Forecast VRZ'!$F$124:$T$130,5,FALSE)/12,0)+IFERROR(((HLOOKUP(B93,'EV Forecast VRZ'!$F$116:$T$122,5,FALSE)-HLOOKUP(B93-1,'EV Forecast VRZ'!$F$124:$T$130,5,FALSE)))*C93/78,0)</f>
        <v>31049.388397435898</v>
      </c>
      <c r="Z93" s="7">
        <f ca="1">HLOOKUP(B93,Heating!$C$102:$O$106,5,FALSE)*INDEX(Weather!$BO$1:$CB$20,MATCH(B93,Weather!$BO$1:$BO$20,0),MATCH(C93,Weather!$BO$1:$CB$1,0))/VLOOKUP(B93,Weather!$BO$2:$CB$20,14,FALSE)*
VLOOKUP('Monthly Data'!$B93,Weather!$BO$3:$CB$20,14,FALSE)/Weather!$CB$14</f>
        <v>224.84900129141869</v>
      </c>
      <c r="AA93" s="7">
        <f t="shared" ca="1" si="176"/>
        <v>90056972.55467774</v>
      </c>
      <c r="AB93" s="7">
        <v>9515051.7400000002</v>
      </c>
      <c r="AC93" s="7">
        <f ca="1">IFERROR(VLOOKUP($B93-1,CDM!$V$4:$AJ$17,6,FALSE)/12,0)+IFERROR(VLOOKUP($B93,CDM!$V$41:$AJ$54,6,FALSE)/24,0)+IFERROR(VLOOKUP($B93,CDM!$V$41:$AJ$54,6,FALSE)/2*$C93/78,0)</f>
        <v>277741.18159874587</v>
      </c>
      <c r="AD93" s="7">
        <f t="shared" ca="1" si="177"/>
        <v>9792792.9215987455</v>
      </c>
      <c r="AE93" s="7">
        <f>IFERROR(HLOOKUP(B93-1,'EV Forecast VRZ'!$F$124:$T$130,6,FALSE)/12,0)+IFERROR(((HLOOKUP(B93,'EV Forecast VRZ'!$F$116:$T$122,6,FALSE)-HLOOKUP(B93-1,'EV Forecast VRZ'!$F$124:$T$130,6,FALSE)))*C93/78,0)</f>
        <v>4057.6955769230772</v>
      </c>
      <c r="AF93" s="7">
        <f t="shared" ca="1" si="178"/>
        <v>9788735.2260218225</v>
      </c>
      <c r="AG93" s="7">
        <v>19387385.440000001</v>
      </c>
      <c r="AH93" s="7">
        <f ca="1">IFERROR(VLOOKUP($B93-1,CDM!$V$4:$AJ$17,7,FALSE)/12,0)+IFERROR(VLOOKUP($B93,CDM!$V$41:$AJ$54,7,FALSE)/24,0)+IFERROR(VLOOKUP($B93,CDM!$V$41:$AJ$54,7,FALSE)/2*$C93/78,0)</f>
        <v>1750185.573185822</v>
      </c>
      <c r="AI93" s="7">
        <f t="shared" ca="1" si="179"/>
        <v>21137571.013185821</v>
      </c>
      <c r="AJ93" s="7">
        <f>IFERROR(HLOOKUP(B93-1,'EV Forecast VRZ'!$F$124:$T$130,7,FALSE)/12,0)+IFERROR(((HLOOKUP(B93,'EV Forecast VRZ'!$F$116:$T$122,7,FALSE)-HLOOKUP(B93-1,'EV Forecast VRZ'!$F$124:$T$130,7,FALSE)))*C93/78,0)</f>
        <v>107.69230769230769</v>
      </c>
      <c r="AK93" s="7">
        <f t="shared" ca="1" si="180"/>
        <v>21137463.320878129</v>
      </c>
      <c r="AL93" s="7">
        <v>842151.11</v>
      </c>
      <c r="AM93" s="7">
        <v>18693.66</v>
      </c>
      <c r="AN93" s="7">
        <v>397861.12</v>
      </c>
      <c r="AO93" s="5">
        <v>201499.42</v>
      </c>
      <c r="AP93" s="5">
        <v>19492.509999999998</v>
      </c>
      <c r="AQ93" s="5">
        <v>38908</v>
      </c>
      <c r="AR93" s="5">
        <v>2570.35</v>
      </c>
      <c r="AS93" s="763">
        <f t="shared" si="238"/>
        <v>50.083333333333336</v>
      </c>
      <c r="AT93" s="776">
        <v>114334.33333333337</v>
      </c>
      <c r="AU93" s="776">
        <v>1559.6666666666661</v>
      </c>
      <c r="AV93" s="776">
        <v>9430.3333333333285</v>
      </c>
      <c r="AW93" s="776">
        <v>1032</v>
      </c>
      <c r="AX93" s="776">
        <v>5.3333333333333357</v>
      </c>
      <c r="AY93" s="776">
        <v>4</v>
      </c>
      <c r="AZ93" s="776">
        <v>31808.666666666657</v>
      </c>
      <c r="BA93" s="776">
        <v>245.66666666666674</v>
      </c>
      <c r="BB93" s="776">
        <v>800.33333333333303</v>
      </c>
      <c r="BC93" s="779">
        <v>44941627.830970101</v>
      </c>
      <c r="BD93" s="779">
        <f ca="1">IFERROR(VLOOKUP($B93-1,CDM!$V$4:$AJ$17,11,FALSE)/12,0)+IFERROR(VLOOKUP($B93,CDM!$V$41:$AJ$54,11,FALSE)/24,0)+IFERROR(VLOOKUP($B93,CDM!$V$41:$AJ$54,11,FALSE)/2*$C93/78,0)</f>
        <v>1701927.2209020855</v>
      </c>
      <c r="BE93" s="779">
        <f t="shared" ca="1" si="192"/>
        <v>46643555.051872186</v>
      </c>
      <c r="BF93" s="779">
        <f>IFERROR(HLOOKUP(B93-1,'EV Forecast WRZ'!$F$124:$T$130,2,FALSE)/12,0)+IFERROR(((HLOOKUP(B93,'EV Forecast WRZ'!$F$116:$T$122,2,FALSE)-HLOOKUP(B93-1,'EV Forecast WRZ'!$F$124:$T$130,2,FALSE)))*C93/78,0)</f>
        <v>174712.4573076923</v>
      </c>
      <c r="BG93" s="779">
        <f ca="1">HLOOKUP(B93,Heating!$R$102:$AD$106,2,FALSE)*INDEX(Weather!$BO$1:$CB$20,MATCH(B93,Weather!$BO$1:$BO$20,0),MATCH(C93,Weather!$BO$1:$CB$1,0))/VLOOKUP(B93,Weather!$BO$2:$CB$20,14,FALSE)*
VLOOKUP('Monthly Data'!$B93,Weather!$BO$3:$CB$20,14,FALSE)/Weather!$CB$14</f>
        <v>761.35008985668526</v>
      </c>
      <c r="BH93" s="779">
        <f t="shared" ca="1" si="181"/>
        <v>46468081.244474642</v>
      </c>
      <c r="BI93" s="779">
        <v>8117623.5096500004</v>
      </c>
      <c r="BJ93" s="779">
        <f ca="1">IFERROR(VLOOKUP($B93-1,CDM!$V$4:$AJ$17,12,FALSE)/12,0)+IFERROR(VLOOKUP($B93,CDM!$V$41:$AJ$54,12,FALSE)/24,0)+IFERROR(VLOOKUP($B93,CDM!$V$41:$AJ$54,12,FALSE)/2*$C93/78,0)</f>
        <v>267143.90815690573</v>
      </c>
      <c r="BK93" s="779">
        <f t="shared" ca="1" si="182"/>
        <v>8384767.4178069057</v>
      </c>
      <c r="BL93" s="779">
        <f>IFERROR(HLOOKUP(B93-1,'EV Forecast WRZ'!$F$124:$T$130,3,FALSE)/12,0)+IFERROR(((HLOOKUP(B93,'EV Forecast WRZ'!$F$116:$T$122,3,FALSE)-HLOOKUP(B93-1,'EV Forecast WRZ'!$F$124:$T$130,3,FALSE)))*C93/78,0)</f>
        <v>21622.166923076926</v>
      </c>
      <c r="BM93" s="779">
        <f ca="1">HLOOKUP(B93,Heating!$R$102:$AD$106,4,FALSE)*INDEX(Weather!$BO$1:$CB$20,MATCH(B93,Weather!$BO$1:$BO$20,0),MATCH(C93,Weather!$BO$1:$CB$1,0))/VLOOKUP(B93,Weather!$BO$2:$CB$20,14,FALSE)*
VLOOKUP('Monthly Data'!$B93,Weather!$BO$3:$CB$20,14,FALSE)/Weather!$CB$14</f>
        <v>116.82331515799299</v>
      </c>
      <c r="BN93" s="779">
        <f t="shared" ca="1" si="183"/>
        <v>8363028.4275686713</v>
      </c>
      <c r="BO93" s="779">
        <v>29956192.780000001</v>
      </c>
      <c r="BP93" s="779">
        <f ca="1">IFERROR(VLOOKUP($B93-1,CDM!$V$4:$AJ$17,13,FALSE)/12,0)+IFERROR(VLOOKUP($B93,CDM!$V$41:$AJ$54,13,FALSE)/24,0)+IFERROR(VLOOKUP($B93,CDM!$V$41:$AJ$54,13,FALSE)/2*$C93/78,0)</f>
        <v>2607835.9168337788</v>
      </c>
      <c r="BQ93" s="779">
        <f t="shared" ca="1" si="184"/>
        <v>32564028.696833782</v>
      </c>
      <c r="BR93" s="779">
        <f>IFERROR(HLOOKUP(B93-1,'EV Forecast WRZ'!$F$124:$T$130,4,FALSE)/12,0)+IFERROR(((HLOOKUP(B93,'EV Forecast WRZ'!$F$116:$T$122,4,FALSE)-HLOOKUP(B93-1,'EV Forecast WRZ'!$F$124:$T$130,4,FALSE)))*C93/78,0)</f>
        <v>9741.5776794871781</v>
      </c>
      <c r="BS93" s="779">
        <f ca="1">HLOOKUP(B93,Heating!$R$102:$AD$106,5,FALSE)*INDEX(Weather!$BO$1:$CB$20,MATCH(B93,Weather!$BO$1:$BO$20,0),MATCH(C93,Weather!$BO$1:$CB$1,0))/VLOOKUP(B93,Weather!$BO$2:$CB$20,14,FALSE)*
VLOOKUP('Monthly Data'!$B93,Weather!$BO$3:$CB$20,14,FALSE)/Weather!$CB$14</f>
        <v>66.381341901813784</v>
      </c>
      <c r="BT93" s="779">
        <f t="shared" ca="1" si="185"/>
        <v>32554220.737812392</v>
      </c>
      <c r="BU93" s="779">
        <v>7608212.5199999996</v>
      </c>
      <c r="BV93" s="779">
        <f ca="1">IFERROR(VLOOKUP($B93-1,CDM!$V$4:$AJ$17,14,FALSE)/12,0)+IFERROR(VLOOKUP($B93,CDM!$V$41:$AJ$54,14,FALSE)/24,0)+IFERROR(VLOOKUP($B93,CDM!$V$41:$AJ$54,14,FALSE)/2*$C93/78,0)</f>
        <v>586369.84293638438</v>
      </c>
      <c r="BW93" s="779">
        <f t="shared" ca="1" si="186"/>
        <v>8194582.362936384</v>
      </c>
      <c r="BX93" s="779">
        <f>IFERROR(HLOOKUP(B93-1,'EV Forecast WRZ'!$F$124:$T$130,5,FALSE)/12,0)+IFERROR(((HLOOKUP(B93,'EV Forecast WRZ'!$F$116:$T$122,5,FALSE)-HLOOKUP(B93-1,'EV Forecast WRZ'!$F$124:$T$130,5,FALSE)))*C93/78,0)</f>
        <v>1369.826294871795</v>
      </c>
      <c r="BY93" s="779">
        <f t="shared" ca="1" si="193"/>
        <v>8193212.5366415121</v>
      </c>
      <c r="BZ93" s="779">
        <v>262243.82</v>
      </c>
      <c r="CA93" s="779">
        <v>2696.4711505979321</v>
      </c>
      <c r="CB93" s="5">
        <v>162845.07</v>
      </c>
      <c r="CC93" s="5">
        <v>71826.009999999995</v>
      </c>
      <c r="CD93" s="5">
        <v>13505.62</v>
      </c>
      <c r="CE93" s="5">
        <v>803</v>
      </c>
      <c r="CF93" s="763">
        <f t="shared" si="239"/>
        <v>7.916666666666667</v>
      </c>
      <c r="CG93" s="785">
        <v>44145.666666666686</v>
      </c>
      <c r="CH93" s="785">
        <v>2391.3333333333321</v>
      </c>
      <c r="CI93" s="785">
        <v>384.33333333333348</v>
      </c>
      <c r="CJ93" s="785">
        <v>3</v>
      </c>
      <c r="CK93" s="785">
        <v>13372.666666666672</v>
      </c>
      <c r="CL93" s="785">
        <v>46.333333333333314</v>
      </c>
      <c r="CM93" s="785">
        <v>393.33333333333348</v>
      </c>
      <c r="CN93" s="46">
        <f>Weather!C105</f>
        <v>7.3916666666666764</v>
      </c>
      <c r="CO93" s="46">
        <f>Weather!D105</f>
        <v>49.674999999999997</v>
      </c>
      <c r="CP93" s="46">
        <f>Weather!E105</f>
        <v>0.76250000000000284</v>
      </c>
      <c r="CQ93" s="46">
        <f>Weather!F105</f>
        <v>105.04583333333332</v>
      </c>
      <c r="CR93" s="46">
        <f>Weather!G105</f>
        <v>0</v>
      </c>
      <c r="CS93" s="46">
        <f>Weather!H105</f>
        <v>166.28333333333327</v>
      </c>
      <c r="CT93" s="46">
        <f>Weather!I105</f>
        <v>0</v>
      </c>
      <c r="CU93" s="46">
        <f>Weather!J105</f>
        <v>228.28333333333333</v>
      </c>
      <c r="CV93" s="46">
        <f>Weather!K105</f>
        <v>0</v>
      </c>
      <c r="CW93" s="46">
        <f>Weather!L105</f>
        <v>290.28333333333336</v>
      </c>
      <c r="CX93" s="46">
        <f>Weather!M105</f>
        <v>0</v>
      </c>
      <c r="CY93" s="46">
        <f>Weather!N105</f>
        <v>352.28333333333342</v>
      </c>
      <c r="CZ93" s="46">
        <f>Weather!O105</f>
        <v>0</v>
      </c>
      <c r="DA93" s="46">
        <f>Weather!P105</f>
        <v>414.28333333333336</v>
      </c>
      <c r="DB93" s="368">
        <f>'Economic Data'!D107</f>
        <v>7778</v>
      </c>
      <c r="DC93" s="368">
        <f>'Economic Data'!E107</f>
        <v>7852.4</v>
      </c>
      <c r="DD93" s="368">
        <f>'Economic Data'!F107</f>
        <v>235.2</v>
      </c>
      <c r="DE93" s="368">
        <f>'Economic Data'!G107</f>
        <v>235.2</v>
      </c>
      <c r="DF93" s="368">
        <f>'Economic Data'!H107</f>
        <v>64.5</v>
      </c>
      <c r="DG93" s="368">
        <f>'Economic Data'!I107</f>
        <v>64.5</v>
      </c>
      <c r="DH93" s="368">
        <f>'Economic Data'!J107</f>
        <v>850461.9</v>
      </c>
      <c r="DI93" s="368">
        <f>'Economic Data'!K107</f>
        <v>662856.4</v>
      </c>
      <c r="DJ93" s="368">
        <f>'Economic Data'!L107</f>
        <v>96870.8</v>
      </c>
      <c r="DK93" s="368">
        <f>'Economic Data'!M107</f>
        <v>30149.3</v>
      </c>
      <c r="DL93" s="368">
        <f>'Economic Data'!N107</f>
        <v>852979</v>
      </c>
      <c r="DM93" s="368">
        <f>'Economic Data'!O107</f>
        <v>97268</v>
      </c>
      <c r="DN93" s="368">
        <f>'Economic Data'!P107</f>
        <v>16485</v>
      </c>
      <c r="DO93" s="368">
        <f>'Economic Data'!Q107</f>
        <v>664978</v>
      </c>
      <c r="DP93" s="368">
        <f>'Economic Data'!R107</f>
        <v>30634</v>
      </c>
      <c r="DQ93">
        <v>31</v>
      </c>
      <c r="DR93">
        <v>22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f t="shared" si="189"/>
        <v>92</v>
      </c>
      <c r="EI93">
        <v>0.5</v>
      </c>
      <c r="EJ93">
        <v>0.25</v>
      </c>
      <c r="EK93">
        <v>0.5</v>
      </c>
      <c r="EL93">
        <v>0</v>
      </c>
      <c r="EM93" s="47">
        <f t="shared" si="194"/>
        <v>1.8479166666666691</v>
      </c>
      <c r="EN93" s="47">
        <f t="shared" si="195"/>
        <v>12.418749999999999</v>
      </c>
      <c r="EO93" s="47">
        <f t="shared" si="196"/>
        <v>0.19062500000000071</v>
      </c>
      <c r="EP93" s="47">
        <f t="shared" si="197"/>
        <v>26.26145833333333</v>
      </c>
      <c r="EQ93" s="47">
        <f t="shared" si="198"/>
        <v>0</v>
      </c>
      <c r="ER93" s="47">
        <f t="shared" si="199"/>
        <v>41.570833333333319</v>
      </c>
      <c r="ES93" s="47">
        <f t="shared" si="200"/>
        <v>0</v>
      </c>
      <c r="ET93" s="47">
        <f t="shared" si="201"/>
        <v>57.070833333333333</v>
      </c>
      <c r="EU93" s="47">
        <f t="shared" si="202"/>
        <v>0</v>
      </c>
      <c r="EV93" s="47">
        <f t="shared" si="203"/>
        <v>72.57083333333334</v>
      </c>
      <c r="EW93" s="47">
        <f t="shared" si="204"/>
        <v>0</v>
      </c>
      <c r="EX93" s="47">
        <f t="shared" si="205"/>
        <v>88.070833333333354</v>
      </c>
      <c r="EY93" s="47">
        <f t="shared" si="206"/>
        <v>0</v>
      </c>
      <c r="EZ93" s="47">
        <f t="shared" si="207"/>
        <v>103.57083333333334</v>
      </c>
      <c r="FA93" s="47">
        <f t="shared" si="208"/>
        <v>3.6958333333333382</v>
      </c>
      <c r="FB93" s="47">
        <f t="shared" si="209"/>
        <v>24.837499999999999</v>
      </c>
      <c r="FC93" s="47">
        <f t="shared" si="210"/>
        <v>0.38125000000000142</v>
      </c>
      <c r="FD93" s="47">
        <f t="shared" si="211"/>
        <v>52.52291666666666</v>
      </c>
      <c r="FE93" s="47">
        <f t="shared" si="212"/>
        <v>0</v>
      </c>
      <c r="FF93" s="47">
        <f t="shared" si="213"/>
        <v>83.141666666666637</v>
      </c>
      <c r="FG93" s="47">
        <f t="shared" si="214"/>
        <v>0</v>
      </c>
      <c r="FH93" s="47">
        <f t="shared" si="215"/>
        <v>114.14166666666667</v>
      </c>
      <c r="FI93" s="47">
        <f t="shared" si="216"/>
        <v>0</v>
      </c>
      <c r="FJ93" s="47">
        <f t="shared" si="217"/>
        <v>145.14166666666668</v>
      </c>
      <c r="FK93" s="47">
        <f t="shared" si="218"/>
        <v>0</v>
      </c>
      <c r="FL93" s="47">
        <f t="shared" si="219"/>
        <v>176.14166666666671</v>
      </c>
      <c r="FM93" s="47">
        <f t="shared" si="220"/>
        <v>0</v>
      </c>
      <c r="FN93" s="47">
        <f t="shared" si="221"/>
        <v>207.14166666666668</v>
      </c>
      <c r="FO93" s="765">
        <f t="shared" ca="1" si="222"/>
        <v>960.22406947178138</v>
      </c>
      <c r="FP93" s="765">
        <f t="shared" ca="1" si="223"/>
        <v>692.74090670962084</v>
      </c>
      <c r="FQ93" s="765">
        <f t="shared" ca="1" si="224"/>
        <v>2866.6419720406038</v>
      </c>
      <c r="FR93" s="765">
        <f t="shared" ca="1" si="225"/>
        <v>87294.812783019835</v>
      </c>
      <c r="FS93" s="765">
        <f t="shared" ca="1" si="226"/>
        <v>1836148.672799764</v>
      </c>
      <c r="FT93" s="765">
        <f t="shared" ca="1" si="227"/>
        <v>5284392.7532964554</v>
      </c>
      <c r="FU93" s="765">
        <f t="shared" si="228"/>
        <v>26.475523756628181</v>
      </c>
      <c r="FV93" s="765">
        <f t="shared" si="229"/>
        <v>76.093595658073241</v>
      </c>
      <c r="FW93" s="765">
        <f t="shared" si="230"/>
        <v>497.11926697209515</v>
      </c>
      <c r="FX93" s="765">
        <f t="shared" ca="1" si="231"/>
        <v>1056.5828669904672</v>
      </c>
      <c r="FY93" s="765">
        <f t="shared" ca="1" si="232"/>
        <v>3506.3147830249136</v>
      </c>
      <c r="FZ93" s="765">
        <f t="shared" ca="1" si="233"/>
        <v>84728.608924979446</v>
      </c>
      <c r="GA93" s="765">
        <f t="shared" si="234"/>
        <v>87414.606666666674</v>
      </c>
      <c r="GB93" s="765">
        <f t="shared" si="235"/>
        <v>19.610435714641799</v>
      </c>
      <c r="GC93" s="765">
        <f t="shared" si="236"/>
        <v>58.197219077653237</v>
      </c>
      <c r="GD93" s="765">
        <f t="shared" si="237"/>
        <v>414.01288983050836</v>
      </c>
    </row>
    <row r="94" spans="1:186">
      <c r="A94" s="4">
        <v>44805</v>
      </c>
      <c r="B94" s="6">
        <v>2022</v>
      </c>
      <c r="C94" s="5">
        <v>9</v>
      </c>
      <c r="D94" s="7">
        <v>76063744.821371093</v>
      </c>
      <c r="E94" s="7">
        <f ca="1">IFERROR(VLOOKUP($B94-1,CDM!$V$4:$AJ$17,2,FALSE)/12,0)+IFERROR(VLOOKUP($B94,CDM!$V$41:$AJ$54,2,FALSE)/24,0)+IFERROR(VLOOKUP($B94,CDM!$V$41:$AJ$54,2,FALSE)/2*$C94/78,0)</f>
        <v>3848700.813038277</v>
      </c>
      <c r="F94" s="7">
        <f t="shared" ca="1" si="169"/>
        <v>79912445.634409368</v>
      </c>
      <c r="G94" s="7">
        <f>IFERROR(HLOOKUP(B94-1,'EV Forecast VRZ'!$F$124:$T$130,2,FALSE)/12,0)+IFERROR(((HLOOKUP(B94,'EV Forecast VRZ'!$F$116:$T$122,2,FALSE)-HLOOKUP(B94-1,'EV Forecast VRZ'!$F$124:$T$130,2,FALSE)))*C94/78,0)</f>
        <v>572409.83806394972</v>
      </c>
      <c r="H94" s="7">
        <f ca="1">HLOOKUP(B94,Heating!$C$102:$O$106,2,FALSE)*INDEX(Weather!$BO$1:$CB$20,MATCH(B94,Weather!$BO$1:$BO$20,0),MATCH(C94,Weather!$BO$1:$CB$1,0))/VLOOKUP(B94,Weather!$BO$2:$CB$20,14,FALSE)*
VLOOKUP('Monthly Data'!$B94,Weather!$BO$3:$CB$20,14,FALSE)/Weather!$CB$14</f>
        <v>161099.77678327638</v>
      </c>
      <c r="I94" s="7">
        <f t="shared" ca="1" si="170"/>
        <v>79178936.01956214</v>
      </c>
      <c r="J94" s="7">
        <v>809655.95794000104</v>
      </c>
      <c r="K94" s="7">
        <f ca="1">IFERROR(VLOOKUP($B94-1,CDM!$V$4:$AJ$17,3,FALSE)/12,0)+IFERROR(VLOOKUP($B94,CDM!$V$41:$AJ$54,3,FALSE)/24,0)+IFERROR(VLOOKUP($B94,CDM!$V$41:$AJ$54,3,FALSE)/2*$C94/78,0)</f>
        <v>44082.263144514785</v>
      </c>
      <c r="L94" s="7">
        <f t="shared" ca="1" si="171"/>
        <v>853738.2210845158</v>
      </c>
      <c r="M94" s="7">
        <f>IFERROR(HLOOKUP(B94-1,'EV Forecast VRZ'!$F$124:$T$130,3,FALSE)/12,0)+IFERROR(((HLOOKUP(B94,'EV Forecast VRZ'!$F$116:$T$122,3,FALSE)-HLOOKUP(B94-1,'EV Forecast VRZ'!$F$124:$T$130,3,FALSE)))*C94/78,0)</f>
        <v>7787.2937309219687</v>
      </c>
      <c r="N94" s="7">
        <f ca="1">HLOOKUP(B94,Heating!$C$102:$O$106,3,FALSE)*INDEX(Weather!$BO$1:$CB$20,MATCH(B94,Weather!$BO$1:$BO$20,0),MATCH(C94,Weather!$BO$1:$CB$1,0))/VLOOKUP(B94,Weather!$BO$2:$CB$20,14,FALSE)*
VLOOKUP('Monthly Data'!$B94,Weather!$BO$3:$CB$20,14,FALSE)/Weather!$CB$14</f>
        <v>1983.4292313608323</v>
      </c>
      <c r="O94" s="7">
        <f t="shared" ca="1" si="172"/>
        <v>843967.49812223308</v>
      </c>
      <c r="P94" s="7">
        <v>21247332.307519998</v>
      </c>
      <c r="Q94" s="7">
        <f ca="1">IFERROR(VLOOKUP($B94-1,CDM!$V$4:$AJ$17,4,FALSE)/12,0)+IFERROR(VLOOKUP($B94,CDM!$V$41:$AJ$54,4,FALSE)/24,0)+IFERROR(VLOOKUP($B94,CDM!$V$41:$AJ$54,4,FALSE)/2*$C94/78,0)</f>
        <v>1550037.2413740736</v>
      </c>
      <c r="R94" s="7">
        <f t="shared" ca="1" si="173"/>
        <v>22797369.54889407</v>
      </c>
      <c r="S94" s="7">
        <f>IFERROR(HLOOKUP(B94-1,'EV Forecast VRZ'!$F$124:$T$130,4,FALSE)/12,0)+IFERROR(((HLOOKUP(B94,'EV Forecast VRZ'!$F$116:$T$122,4,FALSE)-HLOOKUP(B94-1,'EV Forecast VRZ'!$F$124:$T$130,4,FALSE)))*C94/78,0)</f>
        <v>70736.201025641029</v>
      </c>
      <c r="T94" s="7">
        <f ca="1">HLOOKUP(B94,Heating!$C$102:$O$106,4,FALSE)*INDEX(Weather!$BO$1:$CB$20,MATCH(B94,Weather!$BO$1:$BO$20,0),MATCH(C94,Weather!$BO$1:$CB$1,0))/VLOOKUP(B94,Weather!$BO$2:$CB$20,14,FALSE)*
VLOOKUP('Monthly Data'!$B94,Weather!$BO$3:$CB$20,14,FALSE)/Weather!$CB$14</f>
        <v>39489.439335946314</v>
      </c>
      <c r="U94" s="7">
        <f t="shared" ca="1" si="174"/>
        <v>22687143.908532482</v>
      </c>
      <c r="V94" s="7">
        <v>75178829.780000001</v>
      </c>
      <c r="W94" s="7">
        <f ca="1">IFERROR(VLOOKUP($B94-1,CDM!$V$4:$AJ$17,5,FALSE)/12,0)+IFERROR(VLOOKUP($B94,CDM!$V$41:$AJ$54,5,FALSE)/24,0)+IFERROR(VLOOKUP($B94,CDM!$V$41:$AJ$54,5,FALSE)/2*$C94/78,0)</f>
        <v>6273946.6084395619</v>
      </c>
      <c r="X94" s="7">
        <f t="shared" ca="1" si="175"/>
        <v>81452776.388439566</v>
      </c>
      <c r="Y94" s="7">
        <f>IFERROR(HLOOKUP(B94-1,'EV Forecast VRZ'!$F$124:$T$130,5,FALSE)/12,0)+IFERROR(((HLOOKUP(B94,'EV Forecast VRZ'!$F$116:$T$122,5,FALSE)-HLOOKUP(B94-1,'EV Forecast VRZ'!$F$124:$T$130,5,FALSE)))*C94/78,0)</f>
        <v>32271.867384615383</v>
      </c>
      <c r="Z94" s="7">
        <f ca="1">HLOOKUP(B94,Heating!$C$102:$O$106,5,FALSE)*INDEX(Weather!$BO$1:$CB$20,MATCH(B94,Weather!$BO$1:$BO$20,0),MATCH(C94,Weather!$BO$1:$CB$1,0))/VLOOKUP(B94,Weather!$BO$2:$CB$20,14,FALSE)*
VLOOKUP('Monthly Data'!$B94,Weather!$BO$3:$CB$20,14,FALSE)/Weather!$CB$14</f>
        <v>21058.399088161805</v>
      </c>
      <c r="AA94" s="7">
        <f t="shared" ca="1" si="176"/>
        <v>81399446.121966794</v>
      </c>
      <c r="AB94" s="7">
        <v>8833890.0800000001</v>
      </c>
      <c r="AC94" s="7">
        <f ca="1">IFERROR(VLOOKUP($B94-1,CDM!$V$4:$AJ$17,6,FALSE)/12,0)+IFERROR(VLOOKUP($B94,CDM!$V$41:$AJ$54,6,FALSE)/24,0)+IFERROR(VLOOKUP($B94,CDM!$V$41:$AJ$54,6,FALSE)/2*$C94/78,0)</f>
        <v>280141.0393979738</v>
      </c>
      <c r="AD94" s="7">
        <f t="shared" ca="1" si="177"/>
        <v>9114031.1193979736</v>
      </c>
      <c r="AE94" s="7">
        <f>IFERROR(HLOOKUP(B94-1,'EV Forecast VRZ'!$F$124:$T$130,6,FALSE)/12,0)+IFERROR(((HLOOKUP(B94,'EV Forecast VRZ'!$F$116:$T$122,6,FALSE)-HLOOKUP(B94-1,'EV Forecast VRZ'!$F$124:$T$130,6,FALSE)))*C94/78,0)</f>
        <v>4208.7331282051291</v>
      </c>
      <c r="AF94" s="7">
        <f t="shared" ca="1" si="178"/>
        <v>9109822.3862697687</v>
      </c>
      <c r="AG94" s="7">
        <v>23873440.449999999</v>
      </c>
      <c r="AH94" s="7">
        <f ca="1">IFERROR(VLOOKUP($B94-1,CDM!$V$4:$AJ$17,7,FALSE)/12,0)+IFERROR(VLOOKUP($B94,CDM!$V$41:$AJ$54,7,FALSE)/24,0)+IFERROR(VLOOKUP($B94,CDM!$V$41:$AJ$54,7,FALSE)/2*$C94/78,0)</f>
        <v>1752038.1663273282</v>
      </c>
      <c r="AI94" s="7">
        <f t="shared" ca="1" si="179"/>
        <v>25625478.616327327</v>
      </c>
      <c r="AJ94" s="7">
        <f>IFERROR(HLOOKUP(B94-1,'EV Forecast VRZ'!$F$124:$T$130,7,FALSE)/12,0)+IFERROR(((HLOOKUP(B94,'EV Forecast VRZ'!$F$116:$T$122,7,FALSE)-HLOOKUP(B94-1,'EV Forecast VRZ'!$F$124:$T$130,7,FALSE)))*C94/78,0)</f>
        <v>121.15384615384616</v>
      </c>
      <c r="AK94" s="7">
        <f t="shared" ca="1" si="180"/>
        <v>25625357.462481175</v>
      </c>
      <c r="AL94" s="7">
        <v>929486.94</v>
      </c>
      <c r="AM94" s="7">
        <v>18047.939999999999</v>
      </c>
      <c r="AN94" s="7">
        <v>397683.13</v>
      </c>
      <c r="AO94" s="5">
        <v>192558.75</v>
      </c>
      <c r="AP94" s="5">
        <v>19427.25</v>
      </c>
      <c r="AQ94" s="5">
        <v>40974</v>
      </c>
      <c r="AR94" s="5">
        <v>2570.35</v>
      </c>
      <c r="AS94" s="763">
        <f t="shared" si="238"/>
        <v>50.083333333333336</v>
      </c>
      <c r="AT94" s="776">
        <v>114450.00000000004</v>
      </c>
      <c r="AU94" s="776">
        <v>1559.9999999999993</v>
      </c>
      <c r="AV94" s="776">
        <v>9441.7499999999945</v>
      </c>
      <c r="AW94" s="776">
        <v>1028.5</v>
      </c>
      <c r="AX94" s="776">
        <v>5.2500000000000027</v>
      </c>
      <c r="AY94" s="776">
        <v>4</v>
      </c>
      <c r="AZ94" s="776">
        <v>31817.749999999989</v>
      </c>
      <c r="BA94" s="776">
        <v>245.50000000000009</v>
      </c>
      <c r="BB94" s="776">
        <v>799.99999999999966</v>
      </c>
      <c r="BC94" s="779">
        <v>31941724.0457801</v>
      </c>
      <c r="BD94" s="779">
        <f ca="1">IFERROR(VLOOKUP($B94-1,CDM!$V$4:$AJ$17,11,FALSE)/12,0)+IFERROR(VLOOKUP($B94,CDM!$V$41:$AJ$54,11,FALSE)/24,0)+IFERROR(VLOOKUP($B94,CDM!$V$41:$AJ$54,11,FALSE)/2*$C94/78,0)</f>
        <v>1702218.242748173</v>
      </c>
      <c r="BE94" s="779">
        <f t="shared" ca="1" si="192"/>
        <v>33643942.288528271</v>
      </c>
      <c r="BF94" s="779">
        <f>IFERROR(HLOOKUP(B94-1,'EV Forecast WRZ'!$F$124:$T$130,2,FALSE)/12,0)+IFERROR(((HLOOKUP(B94,'EV Forecast WRZ'!$F$116:$T$122,2,FALSE)-HLOOKUP(B94-1,'EV Forecast WRZ'!$F$124:$T$130,2,FALSE)))*C94/78,0)</f>
        <v>181017.94717948718</v>
      </c>
      <c r="BG94" s="779">
        <f ca="1">HLOOKUP(B94,Heating!$R$102:$AD$106,2,FALSE)*INDEX(Weather!$BO$1:$CB$20,MATCH(B94,Weather!$BO$1:$BO$20,0),MATCH(C94,Weather!$BO$1:$CB$1,0))/VLOOKUP(B94,Weather!$BO$2:$CB$20,14,FALSE)*
VLOOKUP('Monthly Data'!$B94,Weather!$BO$3:$CB$20,14,FALSE)/Weather!$CB$14</f>
        <v>71304.804317233225</v>
      </c>
      <c r="BH94" s="779">
        <f t="shared" ca="1" si="181"/>
        <v>33391619.53703155</v>
      </c>
      <c r="BI94" s="779">
        <v>6805705.1570899896</v>
      </c>
      <c r="BJ94" s="779">
        <f ca="1">IFERROR(VLOOKUP($B94-1,CDM!$V$4:$AJ$17,12,FALSE)/12,0)+IFERROR(VLOOKUP($B94,CDM!$V$41:$AJ$54,12,FALSE)/24,0)+IFERROR(VLOOKUP($B94,CDM!$V$41:$AJ$54,12,FALSE)/2*$C94/78,0)</f>
        <v>269573.45080643141</v>
      </c>
      <c r="BK94" s="779">
        <f t="shared" ca="1" si="182"/>
        <v>7075278.6078964211</v>
      </c>
      <c r="BL94" s="779">
        <f>IFERROR(HLOOKUP(B94-1,'EV Forecast WRZ'!$F$124:$T$130,3,FALSE)/12,0)+IFERROR(((HLOOKUP(B94,'EV Forecast WRZ'!$F$116:$T$122,3,FALSE)-HLOOKUP(B94-1,'EV Forecast WRZ'!$F$124:$T$130,3,FALSE)))*C94/78,0)</f>
        <v>22439.554871794873</v>
      </c>
      <c r="BM94" s="779">
        <f ca="1">HLOOKUP(B94,Heating!$R$102:$AD$106,4,FALSE)*INDEX(Weather!$BO$1:$CB$20,MATCH(B94,Weather!$BO$1:$BO$20,0),MATCH(C94,Weather!$BO$1:$CB$1,0))/VLOOKUP(B94,Weather!$BO$2:$CB$20,14,FALSE)*
VLOOKUP('Monthly Data'!$B94,Weather!$BO$3:$CB$20,14,FALSE)/Weather!$CB$14</f>
        <v>10941.173762255925</v>
      </c>
      <c r="BN94" s="779">
        <f t="shared" ca="1" si="183"/>
        <v>7041897.8792623701</v>
      </c>
      <c r="BO94" s="779">
        <v>26457118.789999999</v>
      </c>
      <c r="BP94" s="779">
        <f ca="1">IFERROR(VLOOKUP($B94-1,CDM!$V$4:$AJ$17,13,FALSE)/12,0)+IFERROR(VLOOKUP($B94,CDM!$V$41:$AJ$54,13,FALSE)/24,0)+IFERROR(VLOOKUP($B94,CDM!$V$41:$AJ$54,13,FALSE)/2*$C94/78,0)</f>
        <v>2640048.1819543014</v>
      </c>
      <c r="BQ94" s="779">
        <f t="shared" ca="1" si="184"/>
        <v>29097166.971954301</v>
      </c>
      <c r="BR94" s="779">
        <f>IFERROR(HLOOKUP(B94-1,'EV Forecast WRZ'!$F$124:$T$130,4,FALSE)/12,0)+IFERROR(((HLOOKUP(B94,'EV Forecast WRZ'!$F$116:$T$122,4,FALSE)-HLOOKUP(B94-1,'EV Forecast WRZ'!$F$124:$T$130,4,FALSE)))*C94/78,0)</f>
        <v>10106.165076923076</v>
      </c>
      <c r="BS94" s="779">
        <f ca="1">HLOOKUP(B94,Heating!$R$102:$AD$106,5,FALSE)*INDEX(Weather!$BO$1:$CB$20,MATCH(B94,Weather!$BO$1:$BO$20,0),MATCH(C94,Weather!$BO$1:$CB$1,0))/VLOOKUP(B94,Weather!$BO$2:$CB$20,14,FALSE)*
VLOOKUP('Monthly Data'!$B94,Weather!$BO$3:$CB$20,14,FALSE)/Weather!$CB$14</f>
        <v>6216.9935456567318</v>
      </c>
      <c r="BT94" s="779">
        <f t="shared" ca="1" si="185"/>
        <v>29080843.813331723</v>
      </c>
      <c r="BU94" s="779">
        <v>6941514.3499999996</v>
      </c>
      <c r="BV94" s="779">
        <f ca="1">IFERROR(VLOOKUP($B94-1,CDM!$V$4:$AJ$17,14,FALSE)/12,0)+IFERROR(VLOOKUP($B94,CDM!$V$41:$AJ$54,14,FALSE)/24,0)+IFERROR(VLOOKUP($B94,CDM!$V$41:$AJ$54,14,FALSE)/2*$C94/78,0)</f>
        <v>593615.46220781247</v>
      </c>
      <c r="BW94" s="779">
        <f t="shared" ca="1" si="186"/>
        <v>7535129.8122078124</v>
      </c>
      <c r="BX94" s="779">
        <f>IFERROR(HLOOKUP(B94-1,'EV Forecast WRZ'!$F$124:$T$130,5,FALSE)/12,0)+IFERROR(((HLOOKUP(B94,'EV Forecast WRZ'!$F$116:$T$122,5,FALSE)-HLOOKUP(B94-1,'EV Forecast WRZ'!$F$124:$T$130,5,FALSE)))*C94/78,0)</f>
        <v>1428.0354358974359</v>
      </c>
      <c r="BY94" s="779">
        <f t="shared" ca="1" si="193"/>
        <v>7533701.7767719151</v>
      </c>
      <c r="BZ94" s="779">
        <v>289439.90000000002</v>
      </c>
      <c r="CA94" s="779">
        <v>2099.2661306668469</v>
      </c>
      <c r="CB94" s="5">
        <v>162901.51999999999</v>
      </c>
      <c r="CC94" s="5">
        <v>67268.72</v>
      </c>
      <c r="CD94" s="5">
        <v>13070.09</v>
      </c>
      <c r="CE94" s="5">
        <v>803</v>
      </c>
      <c r="CF94" s="763">
        <f t="shared" si="239"/>
        <v>7.916666666666667</v>
      </c>
      <c r="CG94" s="785">
        <v>44233.750000000022</v>
      </c>
      <c r="CH94" s="785">
        <v>2396.4999999999986</v>
      </c>
      <c r="CI94" s="785">
        <v>383.00000000000017</v>
      </c>
      <c r="CJ94" s="785">
        <v>3</v>
      </c>
      <c r="CK94" s="785">
        <v>13392.500000000005</v>
      </c>
      <c r="CL94" s="785">
        <v>46.249999999999979</v>
      </c>
      <c r="CM94" s="785">
        <v>393.50000000000017</v>
      </c>
      <c r="CN94" s="46">
        <f>Weather!C106</f>
        <v>111.79166666666666</v>
      </c>
      <c r="CO94" s="46">
        <f>Weather!D106</f>
        <v>3.0124999999999957</v>
      </c>
      <c r="CP94" s="46">
        <f>Weather!E106</f>
        <v>71.412499999999994</v>
      </c>
      <c r="CQ94" s="46">
        <f>Weather!F106</f>
        <v>22.633333333333329</v>
      </c>
      <c r="CR94" s="46">
        <f>Weather!G106</f>
        <v>45.029166666666661</v>
      </c>
      <c r="CS94" s="46">
        <f>Weather!H106</f>
        <v>56.250000000000007</v>
      </c>
      <c r="CT94" s="46">
        <f>Weather!I106</f>
        <v>22.833333333333329</v>
      </c>
      <c r="CU94" s="46">
        <f>Weather!J106</f>
        <v>94.054166666666674</v>
      </c>
      <c r="CV94" s="46">
        <f>Weather!K106</f>
        <v>8.5708333333333329</v>
      </c>
      <c r="CW94" s="46">
        <f>Weather!L106</f>
        <v>139.79166666666663</v>
      </c>
      <c r="CX94" s="46">
        <f>Weather!M106</f>
        <v>2.1000000000000014</v>
      </c>
      <c r="CY94" s="46">
        <f>Weather!N106</f>
        <v>193.32083333333327</v>
      </c>
      <c r="CZ94" s="46">
        <f>Weather!O106</f>
        <v>0</v>
      </c>
      <c r="DA94" s="46">
        <f>Weather!P106</f>
        <v>251.2208333333333</v>
      </c>
      <c r="DB94" s="368">
        <f>'Economic Data'!D108</f>
        <v>7770.7</v>
      </c>
      <c r="DC94" s="368">
        <f>'Economic Data'!E108</f>
        <v>7793.8</v>
      </c>
      <c r="DD94" s="368">
        <f>'Economic Data'!F108</f>
        <v>233.8</v>
      </c>
      <c r="DE94" s="368">
        <f>'Economic Data'!G108</f>
        <v>231.9</v>
      </c>
      <c r="DF94" s="368">
        <f>'Economic Data'!H108</f>
        <v>64.8</v>
      </c>
      <c r="DG94" s="368">
        <f>'Economic Data'!I108</f>
        <v>64.8</v>
      </c>
      <c r="DH94" s="368">
        <f>'Economic Data'!J108</f>
        <v>850461.9</v>
      </c>
      <c r="DI94" s="368">
        <f>'Economic Data'!K108</f>
        <v>662856.4</v>
      </c>
      <c r="DJ94" s="368">
        <f>'Economic Data'!L108</f>
        <v>96870.8</v>
      </c>
      <c r="DK94" s="368">
        <f>'Economic Data'!M108</f>
        <v>30149.3</v>
      </c>
      <c r="DL94" s="368">
        <f>'Economic Data'!N108</f>
        <v>852979</v>
      </c>
      <c r="DM94" s="368">
        <f>'Economic Data'!O108</f>
        <v>97268</v>
      </c>
      <c r="DN94" s="368">
        <f>'Economic Data'!P108</f>
        <v>16485</v>
      </c>
      <c r="DO94" s="368">
        <f>'Economic Data'!Q108</f>
        <v>664978</v>
      </c>
      <c r="DP94" s="368">
        <f>'Economic Data'!R108</f>
        <v>30634</v>
      </c>
      <c r="DQ94">
        <v>30</v>
      </c>
      <c r="DR94">
        <v>20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1</v>
      </c>
      <c r="EB94">
        <v>0</v>
      </c>
      <c r="EC94">
        <v>0</v>
      </c>
      <c r="ED94">
        <v>0</v>
      </c>
      <c r="EE94">
        <v>0</v>
      </c>
      <c r="EF94">
        <v>1</v>
      </c>
      <c r="EG94">
        <v>1</v>
      </c>
      <c r="EH94">
        <f t="shared" si="189"/>
        <v>93</v>
      </c>
      <c r="EI94">
        <v>0.5</v>
      </c>
      <c r="EJ94">
        <v>0.25</v>
      </c>
      <c r="EK94">
        <v>0.5</v>
      </c>
      <c r="EL94">
        <v>0</v>
      </c>
      <c r="EM94" s="47">
        <f t="shared" si="194"/>
        <v>27.947916666666664</v>
      </c>
      <c r="EN94" s="47">
        <f t="shared" si="195"/>
        <v>0.75312499999999893</v>
      </c>
      <c r="EO94" s="47">
        <f t="shared" si="196"/>
        <v>17.853124999999999</v>
      </c>
      <c r="EP94" s="47">
        <f t="shared" si="197"/>
        <v>5.6583333333333323</v>
      </c>
      <c r="EQ94" s="47">
        <f t="shared" si="198"/>
        <v>11.257291666666665</v>
      </c>
      <c r="ER94" s="47">
        <f t="shared" si="199"/>
        <v>14.062500000000002</v>
      </c>
      <c r="ES94" s="47">
        <f t="shared" si="200"/>
        <v>5.7083333333333321</v>
      </c>
      <c r="ET94" s="47">
        <f t="shared" si="201"/>
        <v>23.513541666666669</v>
      </c>
      <c r="EU94" s="47">
        <f t="shared" si="202"/>
        <v>2.1427083333333332</v>
      </c>
      <c r="EV94" s="47">
        <f t="shared" si="203"/>
        <v>34.947916666666657</v>
      </c>
      <c r="EW94" s="47">
        <f t="shared" si="204"/>
        <v>0.52500000000000036</v>
      </c>
      <c r="EX94" s="47">
        <f t="shared" si="205"/>
        <v>48.330208333333317</v>
      </c>
      <c r="EY94" s="47">
        <f t="shared" si="206"/>
        <v>0</v>
      </c>
      <c r="EZ94" s="47">
        <f t="shared" si="207"/>
        <v>62.805208333333326</v>
      </c>
      <c r="FA94" s="47">
        <f t="shared" si="208"/>
        <v>55.895833333333329</v>
      </c>
      <c r="FB94" s="47">
        <f t="shared" si="209"/>
        <v>1.5062499999999979</v>
      </c>
      <c r="FC94" s="47">
        <f t="shared" si="210"/>
        <v>35.706249999999997</v>
      </c>
      <c r="FD94" s="47">
        <f t="shared" si="211"/>
        <v>11.316666666666665</v>
      </c>
      <c r="FE94" s="47">
        <f t="shared" si="212"/>
        <v>22.514583333333331</v>
      </c>
      <c r="FF94" s="47">
        <f t="shared" si="213"/>
        <v>28.125000000000004</v>
      </c>
      <c r="FG94" s="47">
        <f t="shared" si="214"/>
        <v>11.416666666666664</v>
      </c>
      <c r="FH94" s="47">
        <f t="shared" si="215"/>
        <v>47.027083333333337</v>
      </c>
      <c r="FI94" s="47">
        <f t="shared" si="216"/>
        <v>4.2854166666666664</v>
      </c>
      <c r="FJ94" s="47">
        <f t="shared" si="217"/>
        <v>69.895833333333314</v>
      </c>
      <c r="FK94" s="47">
        <f t="shared" si="218"/>
        <v>1.0500000000000007</v>
      </c>
      <c r="FL94" s="47">
        <f t="shared" si="219"/>
        <v>96.660416666666634</v>
      </c>
      <c r="FM94" s="47">
        <f t="shared" si="220"/>
        <v>0</v>
      </c>
      <c r="FN94" s="47">
        <f t="shared" si="221"/>
        <v>125.61041666666665</v>
      </c>
      <c r="FO94" s="765">
        <f t="shared" ca="1" si="222"/>
        <v>691.82119720019318</v>
      </c>
      <c r="FP94" s="765">
        <f t="shared" ca="1" si="223"/>
        <v>547.26809043879246</v>
      </c>
      <c r="FQ94" s="765">
        <f t="shared" ca="1" si="224"/>
        <v>2414.5279793358309</v>
      </c>
      <c r="FR94" s="765">
        <f t="shared" ca="1" si="225"/>
        <v>79195.698967855686</v>
      </c>
      <c r="FS94" s="765">
        <f t="shared" ca="1" si="226"/>
        <v>1736005.9275043751</v>
      </c>
      <c r="FT94" s="765">
        <f t="shared" ca="1" si="227"/>
        <v>6406369.6540818317</v>
      </c>
      <c r="FU94" s="765">
        <f t="shared" si="228"/>
        <v>29.212843145728414</v>
      </c>
      <c r="FV94" s="765">
        <f t="shared" si="229"/>
        <v>73.515030549898142</v>
      </c>
      <c r="FW94" s="765">
        <f t="shared" si="230"/>
        <v>497.10391250000021</v>
      </c>
      <c r="FX94" s="765">
        <f t="shared" ca="1" si="231"/>
        <v>760.59439429232782</v>
      </c>
      <c r="FY94" s="765">
        <f t="shared" ca="1" si="232"/>
        <v>2952.3382465664199</v>
      </c>
      <c r="FZ94" s="765">
        <f t="shared" ca="1" si="233"/>
        <v>75971.715331473344</v>
      </c>
      <c r="GA94" s="765">
        <f t="shared" si="234"/>
        <v>96479.966666666674</v>
      </c>
      <c r="GB94" s="765">
        <f t="shared" si="235"/>
        <v>21.612088855702812</v>
      </c>
      <c r="GC94" s="765">
        <f t="shared" si="236"/>
        <v>45.389537960364279</v>
      </c>
      <c r="GD94" s="765">
        <f t="shared" si="237"/>
        <v>413.9809911054636</v>
      </c>
    </row>
    <row r="95" spans="1:186">
      <c r="A95" s="4">
        <v>44835</v>
      </c>
      <c r="B95" s="6">
        <v>2022</v>
      </c>
      <c r="C95" s="5">
        <v>10</v>
      </c>
      <c r="D95" s="7">
        <v>68731222.298929602</v>
      </c>
      <c r="E95" s="7">
        <f ca="1">IFERROR(VLOOKUP($B95-1,CDM!$V$4:$AJ$17,2,FALSE)/12,0)+IFERROR(VLOOKUP($B95,CDM!$V$41:$AJ$54,2,FALSE)/24,0)+IFERROR(VLOOKUP($B95,CDM!$V$41:$AJ$54,2,FALSE)/2*$C95/78,0)</f>
        <v>3849022.71860016</v>
      </c>
      <c r="F95" s="7">
        <f t="shared" ca="1" si="169"/>
        <v>72580245.017529756</v>
      </c>
      <c r="G95" s="7">
        <f>IFERROR(HLOOKUP(B95-1,'EV Forecast VRZ'!$F$124:$T$130,2,FALSE)/12,0)+IFERROR(((HLOOKUP(B95,'EV Forecast VRZ'!$F$116:$T$122,2,FALSE)-HLOOKUP(B95-1,'EV Forecast VRZ'!$F$124:$T$130,2,FALSE)))*C95/78,0)</f>
        <v>593667.85253378644</v>
      </c>
      <c r="H95" s="7">
        <f ca="1">HLOOKUP(B95,Heating!$C$102:$O$106,2,FALSE)*INDEX(Weather!$BO$1:$CB$20,MATCH(B95,Weather!$BO$1:$BO$20,0),MATCH(C95,Weather!$BO$1:$CB$1,0))/VLOOKUP(B95,Weather!$BO$2:$CB$20,14,FALSE)*
VLOOKUP('Monthly Data'!$B95,Weather!$BO$3:$CB$20,14,FALSE)/Weather!$CB$14</f>
        <v>606512.58134347852</v>
      </c>
      <c r="I95" s="7">
        <f t="shared" ca="1" si="170"/>
        <v>71380064.583652496</v>
      </c>
      <c r="J95" s="7">
        <v>980090.73809</v>
      </c>
      <c r="K95" s="7">
        <f ca="1">IFERROR(VLOOKUP($B95-1,CDM!$V$4:$AJ$17,3,FALSE)/12,0)+IFERROR(VLOOKUP($B95,CDM!$V$41:$AJ$54,3,FALSE)/24,0)+IFERROR(VLOOKUP($B95,CDM!$V$41:$AJ$54,3,FALSE)/2*$C95/78,0)</f>
        <v>44085.950187591377</v>
      </c>
      <c r="L95" s="7">
        <f t="shared" ca="1" si="171"/>
        <v>1024176.6882775914</v>
      </c>
      <c r="M95" s="7">
        <f>IFERROR(HLOOKUP(B95-1,'EV Forecast VRZ'!$F$124:$T$130,3,FALSE)/12,0)+IFERROR(((HLOOKUP(B95,'EV Forecast VRZ'!$F$116:$T$122,3,FALSE)-HLOOKUP(B95-1,'EV Forecast VRZ'!$F$124:$T$130,3,FALSE)))*C95/78,0)</f>
        <v>8076.496312367316</v>
      </c>
      <c r="N95" s="7">
        <f ca="1">HLOOKUP(B95,Heating!$C$102:$O$106,3,FALSE)*INDEX(Weather!$BO$1:$CB$20,MATCH(B95,Weather!$BO$1:$BO$20,0),MATCH(C95,Weather!$BO$1:$CB$1,0))/VLOOKUP(B95,Weather!$BO$2:$CB$20,14,FALSE)*
VLOOKUP('Monthly Data'!$B95,Weather!$BO$3:$CB$20,14,FALSE)/Weather!$CB$14</f>
        <v>7467.2653621556683</v>
      </c>
      <c r="O95" s="7">
        <f t="shared" ca="1" si="172"/>
        <v>1008632.9266030685</v>
      </c>
      <c r="P95" s="7">
        <v>20430222.074930001</v>
      </c>
      <c r="Q95" s="7">
        <f ca="1">IFERROR(VLOOKUP($B95-1,CDM!$V$4:$AJ$17,4,FALSE)/12,0)+IFERROR(VLOOKUP($B95,CDM!$V$41:$AJ$54,4,FALSE)/24,0)+IFERROR(VLOOKUP($B95,CDM!$V$41:$AJ$54,4,FALSE)/2*$C95/78,0)</f>
        <v>1559035.8451411547</v>
      </c>
      <c r="R95" s="7">
        <f t="shared" ca="1" si="173"/>
        <v>21989257.920071155</v>
      </c>
      <c r="S95" s="7">
        <f>IFERROR(HLOOKUP(B95-1,'EV Forecast VRZ'!$F$124:$T$130,4,FALSE)/12,0)+IFERROR(((HLOOKUP(B95,'EV Forecast VRZ'!$F$116:$T$122,4,FALSE)-HLOOKUP(B95-1,'EV Forecast VRZ'!$F$124:$T$130,4,FALSE)))*C95/78,0)</f>
        <v>73374.900769230779</v>
      </c>
      <c r="T95" s="7">
        <f ca="1">HLOOKUP(B95,Heating!$C$102:$O$106,4,FALSE)*INDEX(Weather!$BO$1:$CB$20,MATCH(B95,Weather!$BO$1:$BO$20,0),MATCH(C95,Weather!$BO$1:$CB$1,0))/VLOOKUP(B95,Weather!$BO$2:$CB$20,14,FALSE)*
VLOOKUP('Monthly Data'!$B95,Weather!$BO$3:$CB$20,14,FALSE)/Weather!$CB$14</f>
        <v>148670.85644489739</v>
      </c>
      <c r="U95" s="7">
        <f t="shared" ca="1" si="174"/>
        <v>21767212.162857026</v>
      </c>
      <c r="V95" s="7">
        <v>73502083.099999994</v>
      </c>
      <c r="W95" s="7">
        <f ca="1">IFERROR(VLOOKUP($B95-1,CDM!$V$4:$AJ$17,5,FALSE)/12,0)+IFERROR(VLOOKUP($B95,CDM!$V$41:$AJ$54,5,FALSE)/24,0)+IFERROR(VLOOKUP($B95,CDM!$V$41:$AJ$54,5,FALSE)/2*$C95/78,0)</f>
        <v>6334974.8948026486</v>
      </c>
      <c r="X95" s="7">
        <f t="shared" ca="1" si="175"/>
        <v>79837057.994802639</v>
      </c>
      <c r="Y95" s="7">
        <f>IFERROR(HLOOKUP(B95-1,'EV Forecast VRZ'!$F$124:$T$130,5,FALSE)/12,0)+IFERROR(((HLOOKUP(B95,'EV Forecast VRZ'!$F$116:$T$122,5,FALSE)-HLOOKUP(B95-1,'EV Forecast VRZ'!$F$124:$T$130,5,FALSE)))*C95/78,0)</f>
        <v>33494.346371794876</v>
      </c>
      <c r="Z95" s="7">
        <f ca="1">HLOOKUP(B95,Heating!$C$102:$O$106,5,FALSE)*INDEX(Weather!$BO$1:$CB$20,MATCH(B95,Weather!$BO$1:$BO$20,0),MATCH(C95,Weather!$BO$1:$CB$1,0))/VLOOKUP(B95,Weather!$BO$2:$CB$20,14,FALSE)*
VLOOKUP('Monthly Data'!$B95,Weather!$BO$3:$CB$20,14,FALSE)/Weather!$CB$14</f>
        <v>79281.202276923563</v>
      </c>
      <c r="AA95" s="7">
        <f t="shared" ca="1" si="176"/>
        <v>79724282.446153909</v>
      </c>
      <c r="AB95" s="7">
        <v>8691604.7400000002</v>
      </c>
      <c r="AC95" s="7">
        <f ca="1">IFERROR(VLOOKUP($B95-1,CDM!$V$4:$AJ$17,6,FALSE)/12,0)+IFERROR(VLOOKUP($B95,CDM!$V$41:$AJ$54,6,FALSE)/24,0)+IFERROR(VLOOKUP($B95,CDM!$V$41:$AJ$54,6,FALSE)/2*$C95/78,0)</f>
        <v>282540.89719720179</v>
      </c>
      <c r="AD95" s="7">
        <f t="shared" ca="1" si="177"/>
        <v>8974145.6371972021</v>
      </c>
      <c r="AE95" s="7">
        <f>IFERROR(HLOOKUP(B95-1,'EV Forecast VRZ'!$F$124:$T$130,6,FALSE)/12,0)+IFERROR(((HLOOKUP(B95,'EV Forecast VRZ'!$F$116:$T$122,6,FALSE)-HLOOKUP(B95-1,'EV Forecast VRZ'!$F$124:$T$130,6,FALSE)))*C95/78,0)</f>
        <v>4359.7706794871801</v>
      </c>
      <c r="AF95" s="7">
        <f t="shared" ca="1" si="178"/>
        <v>8969785.8665177152</v>
      </c>
      <c r="AG95" s="7">
        <v>24354873.039999999</v>
      </c>
      <c r="AH95" s="7">
        <f ca="1">IFERROR(VLOOKUP($B95-1,CDM!$V$4:$AJ$17,7,FALSE)/12,0)+IFERROR(VLOOKUP($B95,CDM!$V$41:$AJ$54,7,FALSE)/24,0)+IFERROR(VLOOKUP($B95,CDM!$V$41:$AJ$54,7,FALSE)/2*$C95/78,0)</f>
        <v>1753890.7594688344</v>
      </c>
      <c r="AI95" s="7">
        <f t="shared" ca="1" si="179"/>
        <v>26108763.799468834</v>
      </c>
      <c r="AJ95" s="7">
        <f>IFERROR(HLOOKUP(B95-1,'EV Forecast VRZ'!$F$124:$T$130,7,FALSE)/12,0)+IFERROR(((HLOOKUP(B95,'EV Forecast VRZ'!$F$116:$T$122,7,FALSE)-HLOOKUP(B95-1,'EV Forecast VRZ'!$F$124:$T$130,7,FALSE)))*C95/78,0)</f>
        <v>134.61538461538461</v>
      </c>
      <c r="AK95" s="7">
        <f t="shared" ca="1" si="180"/>
        <v>26108629.184084218</v>
      </c>
      <c r="AL95" s="7">
        <v>1085947.76</v>
      </c>
      <c r="AM95" s="7">
        <v>17957.88</v>
      </c>
      <c r="AN95" s="7">
        <v>397880.24</v>
      </c>
      <c r="AO95" s="5">
        <v>178065.24</v>
      </c>
      <c r="AP95" s="5">
        <v>18505.09</v>
      </c>
      <c r="AQ95" s="5">
        <v>40455</v>
      </c>
      <c r="AR95" s="5">
        <v>2570.8200000000002</v>
      </c>
      <c r="AS95" s="763">
        <f t="shared" si="238"/>
        <v>50.083333333333336</v>
      </c>
      <c r="AT95" s="776">
        <v>114565.66666666672</v>
      </c>
      <c r="AU95" s="776">
        <v>1560.3333333333326</v>
      </c>
      <c r="AV95" s="776">
        <v>9453.1666666666606</v>
      </c>
      <c r="AW95" s="776">
        <v>1025</v>
      </c>
      <c r="AX95" s="776">
        <v>5.1666666666666696</v>
      </c>
      <c r="AY95" s="776">
        <v>4</v>
      </c>
      <c r="AZ95" s="776">
        <v>31826.833333333321</v>
      </c>
      <c r="BA95" s="776">
        <v>245.33333333333343</v>
      </c>
      <c r="BB95" s="776">
        <v>799.66666666666629</v>
      </c>
      <c r="BC95" s="779">
        <v>26725301.060379799</v>
      </c>
      <c r="BD95" s="779">
        <f ca="1">IFERROR(VLOOKUP($B95-1,CDM!$V$4:$AJ$17,11,FALSE)/12,0)+IFERROR(VLOOKUP($B95,CDM!$V$41:$AJ$54,11,FALSE)/24,0)+IFERROR(VLOOKUP($B95,CDM!$V$41:$AJ$54,11,FALSE)/2*$C95/78,0)</f>
        <v>1702509.2645942606</v>
      </c>
      <c r="BE95" s="779">
        <f t="shared" ca="1" si="192"/>
        <v>28427810.32497406</v>
      </c>
      <c r="BF95" s="779">
        <f>IFERROR(HLOOKUP(B95-1,'EV Forecast WRZ'!$F$124:$T$130,2,FALSE)/12,0)+IFERROR(((HLOOKUP(B95,'EV Forecast WRZ'!$F$116:$T$122,2,FALSE)-HLOOKUP(B95-1,'EV Forecast WRZ'!$F$124:$T$130,2,FALSE)))*C95/78,0)</f>
        <v>187323.43705128203</v>
      </c>
      <c r="BG95" s="779">
        <f ca="1">HLOOKUP(B95,Heating!$R$102:$AD$106,2,FALSE)*INDEX(Weather!$BO$1:$CB$20,MATCH(B95,Weather!$BO$1:$BO$20,0),MATCH(C95,Weather!$BO$1:$CB$1,0))/VLOOKUP(B95,Weather!$BO$2:$CB$20,14,FALSE)*
VLOOKUP('Monthly Data'!$B95,Weather!$BO$3:$CB$20,14,FALSE)/Weather!$CB$14</f>
        <v>268450.16046680324</v>
      </c>
      <c r="BH95" s="779">
        <f t="shared" ca="1" si="181"/>
        <v>27972036.727455974</v>
      </c>
      <c r="BI95" s="779">
        <v>6474326.7470799899</v>
      </c>
      <c r="BJ95" s="779">
        <f ca="1">IFERROR(VLOOKUP($B95-1,CDM!$V$4:$AJ$17,12,FALSE)/12,0)+IFERROR(VLOOKUP($B95,CDM!$V$41:$AJ$54,12,FALSE)/24,0)+IFERROR(VLOOKUP($B95,CDM!$V$41:$AJ$54,12,FALSE)/2*$C95/78,0)</f>
        <v>272002.9934559571</v>
      </c>
      <c r="BK95" s="779">
        <f t="shared" ca="1" si="182"/>
        <v>6746329.7405359466</v>
      </c>
      <c r="BL95" s="779">
        <f>IFERROR(HLOOKUP(B95-1,'EV Forecast WRZ'!$F$124:$T$130,3,FALSE)/12,0)+IFERROR(((HLOOKUP(B95,'EV Forecast WRZ'!$F$116:$T$122,3,FALSE)-HLOOKUP(B95-1,'EV Forecast WRZ'!$F$124:$T$130,3,FALSE)))*C95/78,0)</f>
        <v>23256.942820512821</v>
      </c>
      <c r="BM95" s="779">
        <f ca="1">HLOOKUP(B95,Heating!$R$102:$AD$106,4,FALSE)*INDEX(Weather!$BO$1:$CB$20,MATCH(B95,Weather!$BO$1:$BO$20,0),MATCH(C95,Weather!$BO$1:$CB$1,0))/VLOOKUP(B95,Weather!$BO$2:$CB$20,14,FALSE)*
VLOOKUP('Monthly Data'!$B95,Weather!$BO$3:$CB$20,14,FALSE)/Weather!$CB$14</f>
        <v>41191.612266481119</v>
      </c>
      <c r="BN95" s="779">
        <f t="shared" ca="1" si="183"/>
        <v>6681881.185448953</v>
      </c>
      <c r="BO95" s="779">
        <v>25520769.23</v>
      </c>
      <c r="BP95" s="779">
        <f ca="1">IFERROR(VLOOKUP($B95-1,CDM!$V$4:$AJ$17,13,FALSE)/12,0)+IFERROR(VLOOKUP($B95,CDM!$V$41:$AJ$54,13,FALSE)/24,0)+IFERROR(VLOOKUP($B95,CDM!$V$41:$AJ$54,13,FALSE)/2*$C95/78,0)</f>
        <v>2672260.447074824</v>
      </c>
      <c r="BQ95" s="779">
        <f t="shared" ca="1" si="184"/>
        <v>28193029.677074824</v>
      </c>
      <c r="BR95" s="779">
        <f>IFERROR(HLOOKUP(B95-1,'EV Forecast WRZ'!$F$124:$T$130,4,FALSE)/12,0)+IFERROR(((HLOOKUP(B95,'EV Forecast WRZ'!$F$116:$T$122,4,FALSE)-HLOOKUP(B95-1,'EV Forecast WRZ'!$F$124:$T$130,4,FALSE)))*C95/78,0)</f>
        <v>10470.752474358973</v>
      </c>
      <c r="BS95" s="779">
        <f ca="1">HLOOKUP(B95,Heating!$R$102:$AD$106,5,FALSE)*INDEX(Weather!$BO$1:$CB$20,MATCH(B95,Weather!$BO$1:$BO$20,0),MATCH(C95,Weather!$BO$1:$CB$1,0))/VLOOKUP(B95,Weather!$BO$2:$CB$20,14,FALSE)*
VLOOKUP('Monthly Data'!$B95,Weather!$BO$3:$CB$20,14,FALSE)/Weather!$CB$14</f>
        <v>23405.897133207203</v>
      </c>
      <c r="BT95" s="779">
        <f t="shared" ca="1" si="185"/>
        <v>28159153.027467255</v>
      </c>
      <c r="BU95" s="779">
        <v>7486662.1100000003</v>
      </c>
      <c r="BV95" s="779">
        <f ca="1">IFERROR(VLOOKUP($B95-1,CDM!$V$4:$AJ$17,14,FALSE)/12,0)+IFERROR(VLOOKUP($B95,CDM!$V$41:$AJ$54,14,FALSE)/24,0)+IFERROR(VLOOKUP($B95,CDM!$V$41:$AJ$54,14,FALSE)/2*$C95/78,0)</f>
        <v>600861.08147924044</v>
      </c>
      <c r="BW95" s="779">
        <f t="shared" ca="1" si="186"/>
        <v>8087523.1914792405</v>
      </c>
      <c r="BX95" s="779">
        <f>IFERROR(HLOOKUP(B95-1,'EV Forecast WRZ'!$F$124:$T$130,5,FALSE)/12,0)+IFERROR(((HLOOKUP(B95,'EV Forecast WRZ'!$F$116:$T$122,5,FALSE)-HLOOKUP(B95-1,'EV Forecast WRZ'!$F$124:$T$130,5,FALSE)))*C95/78,0)</f>
        <v>1486.2445769230771</v>
      </c>
      <c r="BY95" s="779">
        <f t="shared" ca="1" si="193"/>
        <v>8086036.9469023179</v>
      </c>
      <c r="BZ95" s="779">
        <v>338144.04</v>
      </c>
      <c r="CA95" s="779">
        <v>2529.6000000000004</v>
      </c>
      <c r="CB95" s="5">
        <v>162901.51999999999</v>
      </c>
      <c r="CC95" s="5">
        <v>62231.56</v>
      </c>
      <c r="CD95" s="5">
        <v>13668.91</v>
      </c>
      <c r="CE95" s="5">
        <v>803</v>
      </c>
      <c r="CF95" s="763">
        <f t="shared" si="239"/>
        <v>7.916666666666667</v>
      </c>
      <c r="CG95" s="785">
        <v>44321.833333333358</v>
      </c>
      <c r="CH95" s="785">
        <v>2401.6666666666652</v>
      </c>
      <c r="CI95" s="785">
        <v>381.66666666666686</v>
      </c>
      <c r="CJ95" s="785">
        <v>3</v>
      </c>
      <c r="CK95" s="785">
        <v>13412.333333333339</v>
      </c>
      <c r="CL95" s="785">
        <v>46.166666666666643</v>
      </c>
      <c r="CM95" s="785">
        <v>393.66666666666686</v>
      </c>
      <c r="CN95" s="46">
        <f>Weather!C107</f>
        <v>330.85561594202903</v>
      </c>
      <c r="CO95" s="46">
        <f>Weather!D107</f>
        <v>0</v>
      </c>
      <c r="CP95" s="46">
        <f>Weather!E107</f>
        <v>268.85561594202898</v>
      </c>
      <c r="CQ95" s="46">
        <f>Weather!F107</f>
        <v>0</v>
      </c>
      <c r="CR95" s="46">
        <f>Weather!G107</f>
        <v>206.85561594202895</v>
      </c>
      <c r="CS95" s="46">
        <f>Weather!H107</f>
        <v>0</v>
      </c>
      <c r="CT95" s="46">
        <f>Weather!I107</f>
        <v>147.2764492753623</v>
      </c>
      <c r="CU95" s="46">
        <f>Weather!J107</f>
        <v>2.4208333333333307</v>
      </c>
      <c r="CV95" s="46">
        <f>Weather!K107</f>
        <v>94.459782608695647</v>
      </c>
      <c r="CW95" s="46">
        <f>Weather!L107</f>
        <v>11.604166666666668</v>
      </c>
      <c r="CX95" s="46">
        <f>Weather!M107</f>
        <v>52.855615942028983</v>
      </c>
      <c r="CY95" s="46">
        <f>Weather!N107</f>
        <v>32</v>
      </c>
      <c r="CZ95" s="46">
        <f>Weather!O107</f>
        <v>23.659782608695654</v>
      </c>
      <c r="DA95" s="46">
        <f>Weather!P107</f>
        <v>64.804166666666674</v>
      </c>
      <c r="DB95" s="368">
        <f>'Economic Data'!D109</f>
        <v>7776.1</v>
      </c>
      <c r="DC95" s="368">
        <f>'Economic Data'!E109</f>
        <v>7778.7</v>
      </c>
      <c r="DD95" s="368">
        <f>'Economic Data'!F109</f>
        <v>234</v>
      </c>
      <c r="DE95" s="368">
        <f>'Economic Data'!G109</f>
        <v>231.3</v>
      </c>
      <c r="DF95" s="368">
        <f>'Economic Data'!H109</f>
        <v>64.7</v>
      </c>
      <c r="DG95" s="368">
        <f>'Economic Data'!I109</f>
        <v>64.7</v>
      </c>
      <c r="DH95" s="368">
        <f>'Economic Data'!J109</f>
        <v>850461.9</v>
      </c>
      <c r="DI95" s="368">
        <f>'Economic Data'!K109</f>
        <v>662856.4</v>
      </c>
      <c r="DJ95" s="368">
        <f>'Economic Data'!L109</f>
        <v>96870.8</v>
      </c>
      <c r="DK95" s="368">
        <f>'Economic Data'!M109</f>
        <v>30149.3</v>
      </c>
      <c r="DL95" s="368">
        <f>'Economic Data'!N109</f>
        <v>852029</v>
      </c>
      <c r="DM95" s="368">
        <f>'Economic Data'!O109</f>
        <v>95313</v>
      </c>
      <c r="DN95" s="368">
        <f>'Economic Data'!P109</f>
        <v>16737</v>
      </c>
      <c r="DO95" s="368">
        <f>'Economic Data'!Q109</f>
        <v>664944</v>
      </c>
      <c r="DP95" s="368">
        <f>'Economic Data'!R109</f>
        <v>31696</v>
      </c>
      <c r="DQ95">
        <v>31</v>
      </c>
      <c r="DR95">
        <v>20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1</v>
      </c>
      <c r="EC95">
        <v>0</v>
      </c>
      <c r="ED95">
        <v>0</v>
      </c>
      <c r="EE95">
        <v>0</v>
      </c>
      <c r="EF95">
        <v>1</v>
      </c>
      <c r="EG95">
        <v>1</v>
      </c>
      <c r="EH95">
        <f t="shared" si="189"/>
        <v>94</v>
      </c>
      <c r="EI95">
        <v>0.5</v>
      </c>
      <c r="EJ95">
        <v>0.25</v>
      </c>
      <c r="EK95">
        <v>0.5</v>
      </c>
      <c r="EL95">
        <v>0</v>
      </c>
      <c r="EM95" s="47">
        <f t="shared" si="194"/>
        <v>82.713903985507258</v>
      </c>
      <c r="EN95" s="47">
        <f t="shared" si="195"/>
        <v>0</v>
      </c>
      <c r="EO95" s="47">
        <f t="shared" si="196"/>
        <v>67.213903985507244</v>
      </c>
      <c r="EP95" s="47">
        <f t="shared" si="197"/>
        <v>0</v>
      </c>
      <c r="EQ95" s="47">
        <f t="shared" si="198"/>
        <v>51.713903985507237</v>
      </c>
      <c r="ER95" s="47">
        <f t="shared" si="199"/>
        <v>0</v>
      </c>
      <c r="ES95" s="47">
        <f t="shared" si="200"/>
        <v>36.819112318840574</v>
      </c>
      <c r="ET95" s="47">
        <f t="shared" si="201"/>
        <v>0.60520833333333268</v>
      </c>
      <c r="EU95" s="47">
        <f t="shared" si="202"/>
        <v>23.614945652173912</v>
      </c>
      <c r="EV95" s="47">
        <f t="shared" si="203"/>
        <v>2.901041666666667</v>
      </c>
      <c r="EW95" s="47">
        <f t="shared" si="204"/>
        <v>13.213903985507246</v>
      </c>
      <c r="EX95" s="47">
        <f t="shared" si="205"/>
        <v>8</v>
      </c>
      <c r="EY95" s="47">
        <f t="shared" si="206"/>
        <v>5.9149456521739134</v>
      </c>
      <c r="EZ95" s="47">
        <f t="shared" si="207"/>
        <v>16.201041666666669</v>
      </c>
      <c r="FA95" s="47">
        <f t="shared" si="208"/>
        <v>165.42780797101452</v>
      </c>
      <c r="FB95" s="47">
        <f t="shared" si="209"/>
        <v>0</v>
      </c>
      <c r="FC95" s="47">
        <f t="shared" si="210"/>
        <v>134.42780797101449</v>
      </c>
      <c r="FD95" s="47">
        <f t="shared" si="211"/>
        <v>0</v>
      </c>
      <c r="FE95" s="47">
        <f t="shared" si="212"/>
        <v>103.42780797101447</v>
      </c>
      <c r="FF95" s="47">
        <f t="shared" si="213"/>
        <v>0</v>
      </c>
      <c r="FG95" s="47">
        <f t="shared" si="214"/>
        <v>73.638224637681148</v>
      </c>
      <c r="FH95" s="47">
        <f t="shared" si="215"/>
        <v>1.2104166666666654</v>
      </c>
      <c r="FI95" s="47">
        <f t="shared" si="216"/>
        <v>47.229891304347824</v>
      </c>
      <c r="FJ95" s="47">
        <f t="shared" si="217"/>
        <v>5.8020833333333339</v>
      </c>
      <c r="FK95" s="47">
        <f t="shared" si="218"/>
        <v>26.427807971014492</v>
      </c>
      <c r="FL95" s="47">
        <f t="shared" si="219"/>
        <v>16</v>
      </c>
      <c r="FM95" s="47">
        <f t="shared" si="220"/>
        <v>11.829891304347827</v>
      </c>
      <c r="FN95" s="47">
        <f t="shared" si="221"/>
        <v>32.402083333333337</v>
      </c>
      <c r="FO95" s="765">
        <f t="shared" ca="1" si="222"/>
        <v>623.04935379406106</v>
      </c>
      <c r="FP95" s="765">
        <f t="shared" ca="1" si="223"/>
        <v>656.38326529219728</v>
      </c>
      <c r="FQ95" s="765">
        <f t="shared" ca="1" si="224"/>
        <v>2326.1261221182849</v>
      </c>
      <c r="FR95" s="765">
        <f t="shared" ca="1" si="225"/>
        <v>77889.812677856229</v>
      </c>
      <c r="FS95" s="765">
        <f t="shared" ca="1" si="226"/>
        <v>1736931.4136510703</v>
      </c>
      <c r="FT95" s="765">
        <f t="shared" ca="1" si="227"/>
        <v>6527190.9498672085</v>
      </c>
      <c r="FU95" s="765">
        <f t="shared" si="228"/>
        <v>34.120509213923278</v>
      </c>
      <c r="FV95" s="765">
        <f t="shared" si="229"/>
        <v>73.19788043478259</v>
      </c>
      <c r="FW95" s="765">
        <f t="shared" si="230"/>
        <v>497.5576156731974</v>
      </c>
      <c r="FX95" s="765">
        <f t="shared" ca="1" si="231"/>
        <v>641.39518126823975</v>
      </c>
      <c r="FY95" s="765">
        <f t="shared" ca="1" si="232"/>
        <v>2809.0200168782585</v>
      </c>
      <c r="FZ95" s="765">
        <f t="shared" ca="1" si="233"/>
        <v>73868.200027270243</v>
      </c>
      <c r="GA95" s="765">
        <f t="shared" si="234"/>
        <v>112714.68</v>
      </c>
      <c r="GB95" s="765">
        <f t="shared" si="235"/>
        <v>25.211425305067461</v>
      </c>
      <c r="GC95" s="765">
        <f t="shared" si="236"/>
        <v>54.792779783393534</v>
      </c>
      <c r="GD95" s="765">
        <f t="shared" si="237"/>
        <v>413.80572396274323</v>
      </c>
    </row>
    <row r="96" spans="1:186">
      <c r="A96" s="4">
        <v>44866</v>
      </c>
      <c r="B96" s="6">
        <v>2022</v>
      </c>
      <c r="C96" s="5">
        <v>11</v>
      </c>
      <c r="D96" s="7">
        <v>74754980.219990104</v>
      </c>
      <c r="E96" s="7">
        <f ca="1">IFERROR(VLOOKUP($B96-1,CDM!$V$4:$AJ$17,2,FALSE)/12,0)+IFERROR(VLOOKUP($B96,CDM!$V$41:$AJ$54,2,FALSE)/24,0)+IFERROR(VLOOKUP($B96,CDM!$V$41:$AJ$54,2,FALSE)/2*$C96/78,0)</f>
        <v>3849344.6241620425</v>
      </c>
      <c r="F96" s="7">
        <f t="shared" ca="1" si="169"/>
        <v>78604324.844152153</v>
      </c>
      <c r="G96" s="7">
        <f>IFERROR(HLOOKUP(B96-1,'EV Forecast VRZ'!$F$124:$T$130,2,FALSE)/12,0)+IFERROR(((HLOOKUP(B96,'EV Forecast VRZ'!$F$116:$T$122,2,FALSE)-HLOOKUP(B96-1,'EV Forecast VRZ'!$F$124:$T$130,2,FALSE)))*C96/78,0)</f>
        <v>614925.86700362316</v>
      </c>
      <c r="H96" s="7">
        <f ca="1">HLOOKUP(B96,Heating!$C$102:$O$106,2,FALSE)*INDEX(Weather!$BO$1:$CB$20,MATCH(B96,Weather!$BO$1:$BO$20,0),MATCH(C96,Weather!$BO$1:$CB$1,0))/VLOOKUP(B96,Weather!$BO$2:$CB$20,14,FALSE)*
VLOOKUP('Monthly Data'!$B96,Weather!$BO$3:$CB$20,14,FALSE)/Weather!$CB$14</f>
        <v>929056.65075319726</v>
      </c>
      <c r="I96" s="7">
        <f t="shared" ca="1" si="170"/>
        <v>77060342.326395333</v>
      </c>
      <c r="J96" s="7">
        <v>873353.06222000101</v>
      </c>
      <c r="K96" s="7">
        <f ca="1">IFERROR(VLOOKUP($B96-1,CDM!$V$4:$AJ$17,3,FALSE)/12,0)+IFERROR(VLOOKUP($B96,CDM!$V$41:$AJ$54,3,FALSE)/24,0)+IFERROR(VLOOKUP($B96,CDM!$V$41:$AJ$54,3,FALSE)/2*$C96/78,0)</f>
        <v>44089.637230667977</v>
      </c>
      <c r="L96" s="7">
        <f t="shared" ca="1" si="171"/>
        <v>917442.699450669</v>
      </c>
      <c r="M96" s="7">
        <f>IFERROR(HLOOKUP(B96-1,'EV Forecast VRZ'!$F$124:$T$130,3,FALSE)/12,0)+IFERROR(((HLOOKUP(B96,'EV Forecast VRZ'!$F$116:$T$122,3,FALSE)-HLOOKUP(B96-1,'EV Forecast VRZ'!$F$124:$T$130,3,FALSE)))*C96/78,0)</f>
        <v>8365.6988938126633</v>
      </c>
      <c r="N96" s="7">
        <f ca="1">HLOOKUP(B96,Heating!$C$102:$O$106,3,FALSE)*INDEX(Weather!$BO$1:$CB$20,MATCH(B96,Weather!$BO$1:$BO$20,0),MATCH(C96,Weather!$BO$1:$CB$1,0))/VLOOKUP(B96,Weather!$BO$2:$CB$20,14,FALSE)*
VLOOKUP('Monthly Data'!$B96,Weather!$BO$3:$CB$20,14,FALSE)/Weather!$CB$14</f>
        <v>11438.365437172808</v>
      </c>
      <c r="O96" s="7">
        <f t="shared" ca="1" si="172"/>
        <v>897638.63511968346</v>
      </c>
      <c r="P96" s="7">
        <v>22000931.42647</v>
      </c>
      <c r="Q96" s="7">
        <f ca="1">IFERROR(VLOOKUP($B96-1,CDM!$V$4:$AJ$17,4,FALSE)/12,0)+IFERROR(VLOOKUP($B96,CDM!$V$41:$AJ$54,4,FALSE)/24,0)+IFERROR(VLOOKUP($B96,CDM!$V$41:$AJ$54,4,FALSE)/2*$C96/78,0)</f>
        <v>1568034.4489082356</v>
      </c>
      <c r="R96" s="7">
        <f t="shared" ca="1" si="173"/>
        <v>23568965.875378236</v>
      </c>
      <c r="S96" s="7">
        <f>IFERROR(HLOOKUP(B96-1,'EV Forecast VRZ'!$F$124:$T$130,4,FALSE)/12,0)+IFERROR(((HLOOKUP(B96,'EV Forecast VRZ'!$F$116:$T$122,4,FALSE)-HLOOKUP(B96-1,'EV Forecast VRZ'!$F$124:$T$130,4,FALSE)))*C96/78,0)</f>
        <v>76013.600512820514</v>
      </c>
      <c r="T96" s="7">
        <f ca="1">HLOOKUP(B96,Heating!$C$102:$O$106,4,FALSE)*INDEX(Weather!$BO$1:$CB$20,MATCH(B96,Weather!$BO$1:$BO$20,0),MATCH(C96,Weather!$BO$1:$CB$1,0))/VLOOKUP(B96,Weather!$BO$2:$CB$20,14,FALSE)*
VLOOKUP('Monthly Data'!$B96,Weather!$BO$3:$CB$20,14,FALSE)/Weather!$CB$14</f>
        <v>227734.18425607885</v>
      </c>
      <c r="U96" s="7">
        <f t="shared" ca="1" si="174"/>
        <v>23265218.090609334</v>
      </c>
      <c r="V96" s="7">
        <v>75733237.459999993</v>
      </c>
      <c r="W96" s="7">
        <f ca="1">IFERROR(VLOOKUP($B96-1,CDM!$V$4:$AJ$17,5,FALSE)/12,0)+IFERROR(VLOOKUP($B96,CDM!$V$41:$AJ$54,5,FALSE)/24,0)+IFERROR(VLOOKUP($B96,CDM!$V$41:$AJ$54,5,FALSE)/2*$C96/78,0)</f>
        <v>6396003.1811657343</v>
      </c>
      <c r="X96" s="7">
        <f t="shared" ca="1" si="175"/>
        <v>82129240.641165733</v>
      </c>
      <c r="Y96" s="7">
        <f>IFERROR(HLOOKUP(B96-1,'EV Forecast VRZ'!$F$124:$T$130,5,FALSE)/12,0)+IFERROR(((HLOOKUP(B96,'EV Forecast VRZ'!$F$116:$T$122,5,FALSE)-HLOOKUP(B96-1,'EV Forecast VRZ'!$F$124:$T$130,5,FALSE)))*C96/78,0)</f>
        <v>34716.825358974362</v>
      </c>
      <c r="Z96" s="7">
        <f ca="1">HLOOKUP(B96,Heating!$C$102:$O$106,5,FALSE)*INDEX(Weather!$BO$1:$CB$20,MATCH(B96,Weather!$BO$1:$BO$20,0),MATCH(C96,Weather!$BO$1:$CB$1,0))/VLOOKUP(B96,Weather!$BO$2:$CB$20,14,FALSE)*
VLOOKUP('Monthly Data'!$B96,Weather!$BO$3:$CB$20,14,FALSE)/Weather!$CB$14</f>
        <v>121443.03435870902</v>
      </c>
      <c r="AA96" s="7">
        <f t="shared" ca="1" si="176"/>
        <v>81973080.781448051</v>
      </c>
      <c r="AB96" s="7">
        <v>8756241.3699999992</v>
      </c>
      <c r="AC96" s="7">
        <f ca="1">IFERROR(VLOOKUP($B96-1,CDM!$V$4:$AJ$17,6,FALSE)/12,0)+IFERROR(VLOOKUP($B96,CDM!$V$41:$AJ$54,6,FALSE)/24,0)+IFERROR(VLOOKUP($B96,CDM!$V$41:$AJ$54,6,FALSE)/2*$C96/78,0)</f>
        <v>284940.75499642978</v>
      </c>
      <c r="AD96" s="7">
        <f t="shared" ca="1" si="177"/>
        <v>9041182.1249964293</v>
      </c>
      <c r="AE96" s="7">
        <f>IFERROR(HLOOKUP(B96-1,'EV Forecast VRZ'!$F$124:$T$130,6,FALSE)/12,0)+IFERROR(((HLOOKUP(B96,'EV Forecast VRZ'!$F$116:$T$122,6,FALSE)-HLOOKUP(B96-1,'EV Forecast VRZ'!$F$124:$T$130,6,FALSE)))*C96/78,0)</f>
        <v>4510.8082307692312</v>
      </c>
      <c r="AF96" s="7">
        <f t="shared" ca="1" si="178"/>
        <v>9036671.3167656604</v>
      </c>
      <c r="AG96" s="7">
        <v>23528730.280000001</v>
      </c>
      <c r="AH96" s="7">
        <f ca="1">IFERROR(VLOOKUP($B96-1,CDM!$V$4:$AJ$17,7,FALSE)/12,0)+IFERROR(VLOOKUP($B96,CDM!$V$41:$AJ$54,7,FALSE)/24,0)+IFERROR(VLOOKUP($B96,CDM!$V$41:$AJ$54,7,FALSE)/2*$C96/78,0)</f>
        <v>1755743.3526103406</v>
      </c>
      <c r="AI96" s="7">
        <f t="shared" ca="1" si="179"/>
        <v>25284473.632610343</v>
      </c>
      <c r="AJ96" s="7">
        <f>IFERROR(HLOOKUP(B96-1,'EV Forecast VRZ'!$F$124:$T$130,7,FALSE)/12,0)+IFERROR(((HLOOKUP(B96,'EV Forecast VRZ'!$F$116:$T$122,7,FALSE)-HLOOKUP(B96-1,'EV Forecast VRZ'!$F$124:$T$130,7,FALSE)))*C96/78,0)</f>
        <v>148.07692307692307</v>
      </c>
      <c r="AK96" s="7">
        <f t="shared" ca="1" si="180"/>
        <v>25284325.555687267</v>
      </c>
      <c r="AL96" s="7">
        <v>1158703.6399999999</v>
      </c>
      <c r="AM96" s="7">
        <v>18176.579999999998</v>
      </c>
      <c r="AN96" s="7">
        <v>397442.04</v>
      </c>
      <c r="AO96" s="5">
        <v>182190.68</v>
      </c>
      <c r="AP96" s="5">
        <v>18325.34</v>
      </c>
      <c r="AQ96" s="5">
        <v>39112</v>
      </c>
      <c r="AR96" s="5">
        <v>2570.8200000000002</v>
      </c>
      <c r="AS96" s="763">
        <f t="shared" si="238"/>
        <v>50.083333333333336</v>
      </c>
      <c r="AT96" s="776">
        <v>114681.33333333339</v>
      </c>
      <c r="AU96" s="776">
        <v>1560.6666666666658</v>
      </c>
      <c r="AV96" s="776">
        <v>9464.5833333333267</v>
      </c>
      <c r="AW96" s="776">
        <v>1021.5</v>
      </c>
      <c r="AX96" s="776">
        <v>5.0833333333333366</v>
      </c>
      <c r="AY96" s="776">
        <v>4</v>
      </c>
      <c r="AZ96" s="776">
        <v>31835.916666666653</v>
      </c>
      <c r="BA96" s="776">
        <v>245.16666666666677</v>
      </c>
      <c r="BB96" s="776">
        <v>799.33333333333292</v>
      </c>
      <c r="BC96" s="779">
        <v>27840094.030280098</v>
      </c>
      <c r="BD96" s="779">
        <f ca="1">IFERROR(VLOOKUP($B96-1,CDM!$V$4:$AJ$17,11,FALSE)/12,0)+IFERROR(VLOOKUP($B96,CDM!$V$41:$AJ$54,11,FALSE)/24,0)+IFERROR(VLOOKUP($B96,CDM!$V$41:$AJ$54,11,FALSE)/2*$C96/78,0)</f>
        <v>1702800.286440348</v>
      </c>
      <c r="BE96" s="779">
        <f t="shared" ca="1" si="192"/>
        <v>29542894.316720445</v>
      </c>
      <c r="BF96" s="779">
        <f>IFERROR(HLOOKUP(B96-1,'EV Forecast WRZ'!$F$124:$T$130,2,FALSE)/12,0)+IFERROR(((HLOOKUP(B96,'EV Forecast WRZ'!$F$116:$T$122,2,FALSE)-HLOOKUP(B96-1,'EV Forecast WRZ'!$F$124:$T$130,2,FALSE)))*C96/78,0)</f>
        <v>193628.92692307691</v>
      </c>
      <c r="BG96" s="779">
        <f ca="1">HLOOKUP(B96,Heating!$R$102:$AD$106,2,FALSE)*INDEX(Weather!$BO$1:$CB$20,MATCH(B96,Weather!$BO$1:$BO$20,0),MATCH(C96,Weather!$BO$1:$CB$1,0))/VLOOKUP(B96,Weather!$BO$2:$CB$20,14,FALSE)*
VLOOKUP('Monthly Data'!$B96,Weather!$BO$3:$CB$20,14,FALSE)/Weather!$CB$14</f>
        <v>411212.25618270232</v>
      </c>
      <c r="BH96" s="779">
        <f t="shared" ca="1" si="181"/>
        <v>28938053.133614663</v>
      </c>
      <c r="BI96" s="779">
        <v>6929144.9506299803</v>
      </c>
      <c r="BJ96" s="779">
        <f ca="1">IFERROR(VLOOKUP($B96-1,CDM!$V$4:$AJ$17,12,FALSE)/12,0)+IFERROR(VLOOKUP($B96,CDM!$V$41:$AJ$54,12,FALSE)/24,0)+IFERROR(VLOOKUP($B96,CDM!$V$41:$AJ$54,12,FALSE)/2*$C96/78,0)</f>
        <v>274432.53610548278</v>
      </c>
      <c r="BK96" s="779">
        <f t="shared" ca="1" si="182"/>
        <v>7203577.4867354631</v>
      </c>
      <c r="BL96" s="779">
        <f>IFERROR(HLOOKUP(B96-1,'EV Forecast WRZ'!$F$124:$T$130,3,FALSE)/12,0)+IFERROR(((HLOOKUP(B96,'EV Forecast WRZ'!$F$116:$T$122,3,FALSE)-HLOOKUP(B96-1,'EV Forecast WRZ'!$F$124:$T$130,3,FALSE)))*C96/78,0)</f>
        <v>24074.330769230772</v>
      </c>
      <c r="BM96" s="779">
        <f ca="1">HLOOKUP(B96,Heating!$R$102:$AD$106,4,FALSE)*INDEX(Weather!$BO$1:$CB$20,MATCH(B96,Weather!$BO$1:$BO$20,0),MATCH(C96,Weather!$BO$1:$CB$1,0))/VLOOKUP(B96,Weather!$BO$2:$CB$20,14,FALSE)*
VLOOKUP('Monthly Data'!$B96,Weather!$BO$3:$CB$20,14,FALSE)/Weather!$CB$14</f>
        <v>63097.357760743107</v>
      </c>
      <c r="BN96" s="779">
        <f t="shared" ca="1" si="183"/>
        <v>7116405.7982054893</v>
      </c>
      <c r="BO96" s="779">
        <v>26558209.010000002</v>
      </c>
      <c r="BP96" s="779">
        <f ca="1">IFERROR(VLOOKUP($B96-1,CDM!$V$4:$AJ$17,13,FALSE)/12,0)+IFERROR(VLOOKUP($B96,CDM!$V$41:$AJ$54,13,FALSE)/24,0)+IFERROR(VLOOKUP($B96,CDM!$V$41:$AJ$54,13,FALSE)/2*$C96/78,0)</f>
        <v>2704472.7121953466</v>
      </c>
      <c r="BQ96" s="779">
        <f t="shared" ca="1" si="184"/>
        <v>29262681.72219535</v>
      </c>
      <c r="BR96" s="779">
        <f>IFERROR(HLOOKUP(B96-1,'EV Forecast WRZ'!$F$124:$T$130,4,FALSE)/12,0)+IFERROR(((HLOOKUP(B96,'EV Forecast WRZ'!$F$116:$T$122,4,FALSE)-HLOOKUP(B96-1,'EV Forecast WRZ'!$F$124:$T$130,4,FALSE)))*C96/78,0)</f>
        <v>10835.339871794871</v>
      </c>
      <c r="BS96" s="779">
        <f ca="1">HLOOKUP(B96,Heating!$R$102:$AD$106,5,FALSE)*INDEX(Weather!$BO$1:$CB$20,MATCH(B96,Weather!$BO$1:$BO$20,0),MATCH(C96,Weather!$BO$1:$CB$1,0))/VLOOKUP(B96,Weather!$BO$2:$CB$20,14,FALSE)*
VLOOKUP('Monthly Data'!$B96,Weather!$BO$3:$CB$20,14,FALSE)/Weather!$CB$14</f>
        <v>35853.179418444</v>
      </c>
      <c r="BT96" s="779">
        <f t="shared" ca="1" si="185"/>
        <v>29215993.202905111</v>
      </c>
      <c r="BU96" s="779">
        <v>7395489.4299999997</v>
      </c>
      <c r="BV96" s="779">
        <f ca="1">IFERROR(VLOOKUP($B96-1,CDM!$V$4:$AJ$17,14,FALSE)/12,0)+IFERROR(VLOOKUP($B96,CDM!$V$41:$AJ$54,14,FALSE)/24,0)+IFERROR(VLOOKUP($B96,CDM!$V$41:$AJ$54,14,FALSE)/2*$C96/78,0)</f>
        <v>608106.70075066853</v>
      </c>
      <c r="BW96" s="779">
        <f t="shared" ca="1" si="186"/>
        <v>8003596.1307506682</v>
      </c>
      <c r="BX96" s="779">
        <f>IFERROR(HLOOKUP(B96-1,'EV Forecast WRZ'!$F$124:$T$130,5,FALSE)/12,0)+IFERROR(((HLOOKUP(B96,'EV Forecast WRZ'!$F$116:$T$122,5,FALSE)-HLOOKUP(B96-1,'EV Forecast WRZ'!$F$124:$T$130,5,FALSE)))*C96/78,0)</f>
        <v>1544.4537179487181</v>
      </c>
      <c r="BY96" s="779">
        <f t="shared" ca="1" si="193"/>
        <v>8002051.6770327194</v>
      </c>
      <c r="BZ96" s="779">
        <v>361382.24</v>
      </c>
      <c r="CA96" s="779">
        <v>2463.3000000000002</v>
      </c>
      <c r="CB96" s="5">
        <v>162986.19</v>
      </c>
      <c r="CC96" s="5">
        <v>65439.96</v>
      </c>
      <c r="CD96" s="5">
        <v>15148.22</v>
      </c>
      <c r="CE96" s="5">
        <v>804</v>
      </c>
      <c r="CF96" s="763">
        <f t="shared" si="239"/>
        <v>7.916666666666667</v>
      </c>
      <c r="CG96" s="785">
        <v>44409.916666666693</v>
      </c>
      <c r="CH96" s="785">
        <v>2406.8333333333317</v>
      </c>
      <c r="CI96" s="785">
        <v>380.33333333333354</v>
      </c>
      <c r="CJ96" s="785">
        <v>3</v>
      </c>
      <c r="CK96" s="785">
        <v>13432.166666666673</v>
      </c>
      <c r="CL96" s="785">
        <v>46.083333333333307</v>
      </c>
      <c r="CM96" s="785">
        <v>393.83333333333354</v>
      </c>
      <c r="CN96" s="46">
        <f>Weather!C108</f>
        <v>471.83333333333348</v>
      </c>
      <c r="CO96" s="46">
        <f>Weather!D108</f>
        <v>0</v>
      </c>
      <c r="CP96" s="46">
        <f>Weather!E108</f>
        <v>411.83333333333348</v>
      </c>
      <c r="CQ96" s="46">
        <f>Weather!F108</f>
        <v>0</v>
      </c>
      <c r="CR96" s="46">
        <f>Weather!G108</f>
        <v>351.83333333333343</v>
      </c>
      <c r="CS96" s="46">
        <f>Weather!H108</f>
        <v>0</v>
      </c>
      <c r="CT96" s="46">
        <f>Weather!I108</f>
        <v>294.14166666666671</v>
      </c>
      <c r="CU96" s="46">
        <f>Weather!J108</f>
        <v>2.3083333333333318</v>
      </c>
      <c r="CV96" s="46">
        <f>Weather!K108</f>
        <v>238.41249999999999</v>
      </c>
      <c r="CW96" s="46">
        <f>Weather!L108</f>
        <v>6.5791666666666675</v>
      </c>
      <c r="CX96" s="46">
        <f>Weather!M108</f>
        <v>185.6583333333333</v>
      </c>
      <c r="CY96" s="46">
        <f>Weather!N108</f>
        <v>13.824999999999999</v>
      </c>
      <c r="CZ96" s="46">
        <f>Weather!O108</f>
        <v>138.80000000000001</v>
      </c>
      <c r="DA96" s="46">
        <f>Weather!P108</f>
        <v>26.966666666666669</v>
      </c>
      <c r="DB96" s="368">
        <f>'Economic Data'!D110</f>
        <v>7791.7</v>
      </c>
      <c r="DC96" s="368">
        <f>'Economic Data'!E110</f>
        <v>7783.8</v>
      </c>
      <c r="DD96" s="368">
        <f>'Economic Data'!F110</f>
        <v>234.2</v>
      </c>
      <c r="DE96" s="368">
        <f>'Economic Data'!G110</f>
        <v>232</v>
      </c>
      <c r="DF96" s="368">
        <f>'Economic Data'!H110</f>
        <v>59.2</v>
      </c>
      <c r="DG96" s="368">
        <f>'Economic Data'!I110</f>
        <v>59.2</v>
      </c>
      <c r="DH96" s="368">
        <f>'Economic Data'!J110</f>
        <v>850461.9</v>
      </c>
      <c r="DI96" s="368">
        <f>'Economic Data'!K110</f>
        <v>662856.4</v>
      </c>
      <c r="DJ96" s="368">
        <f>'Economic Data'!L110</f>
        <v>96870.8</v>
      </c>
      <c r="DK96" s="368">
        <f>'Economic Data'!M110</f>
        <v>30149.3</v>
      </c>
      <c r="DL96" s="368">
        <f>'Economic Data'!N110</f>
        <v>852029</v>
      </c>
      <c r="DM96" s="368">
        <f>'Economic Data'!O110</f>
        <v>95313</v>
      </c>
      <c r="DN96" s="368">
        <f>'Economic Data'!P110</f>
        <v>16737</v>
      </c>
      <c r="DO96" s="368">
        <f>'Economic Data'!Q110</f>
        <v>664944</v>
      </c>
      <c r="DP96" s="368">
        <f>'Economic Data'!R110</f>
        <v>31696</v>
      </c>
      <c r="DQ96">
        <v>30</v>
      </c>
      <c r="DR96">
        <v>22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1</v>
      </c>
      <c r="ED96">
        <v>0</v>
      </c>
      <c r="EE96">
        <v>0</v>
      </c>
      <c r="EF96">
        <v>1</v>
      </c>
      <c r="EG96">
        <v>1</v>
      </c>
      <c r="EH96">
        <f t="shared" si="189"/>
        <v>95</v>
      </c>
      <c r="EI96">
        <v>0.5</v>
      </c>
      <c r="EJ96">
        <v>0.25</v>
      </c>
      <c r="EK96">
        <v>0.5</v>
      </c>
      <c r="EL96">
        <v>0</v>
      </c>
      <c r="EM96" s="47">
        <f t="shared" si="194"/>
        <v>117.95833333333337</v>
      </c>
      <c r="EN96" s="47">
        <f t="shared" si="195"/>
        <v>0</v>
      </c>
      <c r="EO96" s="47">
        <f t="shared" si="196"/>
        <v>102.95833333333337</v>
      </c>
      <c r="EP96" s="47">
        <f t="shared" si="197"/>
        <v>0</v>
      </c>
      <c r="EQ96" s="47">
        <f t="shared" si="198"/>
        <v>87.958333333333357</v>
      </c>
      <c r="ER96" s="47">
        <f t="shared" si="199"/>
        <v>0</v>
      </c>
      <c r="ES96" s="47">
        <f t="shared" si="200"/>
        <v>73.535416666666677</v>
      </c>
      <c r="ET96" s="47">
        <f t="shared" si="201"/>
        <v>0.57708333333333295</v>
      </c>
      <c r="EU96" s="47">
        <f t="shared" si="202"/>
        <v>59.603124999999999</v>
      </c>
      <c r="EV96" s="47">
        <f t="shared" si="203"/>
        <v>1.6447916666666669</v>
      </c>
      <c r="EW96" s="47">
        <f t="shared" si="204"/>
        <v>46.414583333333326</v>
      </c>
      <c r="EX96" s="47">
        <f t="shared" si="205"/>
        <v>3.4562499999999998</v>
      </c>
      <c r="EY96" s="47">
        <f t="shared" si="206"/>
        <v>34.700000000000003</v>
      </c>
      <c r="EZ96" s="47">
        <f t="shared" si="207"/>
        <v>6.7416666666666671</v>
      </c>
      <c r="FA96" s="47">
        <f t="shared" si="208"/>
        <v>235.91666666666674</v>
      </c>
      <c r="FB96" s="47">
        <f t="shared" si="209"/>
        <v>0</v>
      </c>
      <c r="FC96" s="47">
        <f t="shared" si="210"/>
        <v>205.91666666666674</v>
      </c>
      <c r="FD96" s="47">
        <f t="shared" si="211"/>
        <v>0</v>
      </c>
      <c r="FE96" s="47">
        <f t="shared" si="212"/>
        <v>175.91666666666671</v>
      </c>
      <c r="FF96" s="47">
        <f t="shared" si="213"/>
        <v>0</v>
      </c>
      <c r="FG96" s="47">
        <f t="shared" si="214"/>
        <v>147.07083333333335</v>
      </c>
      <c r="FH96" s="47">
        <f t="shared" si="215"/>
        <v>1.1541666666666659</v>
      </c>
      <c r="FI96" s="47">
        <f t="shared" si="216"/>
        <v>119.20625</v>
      </c>
      <c r="FJ96" s="47">
        <f t="shared" si="217"/>
        <v>3.2895833333333337</v>
      </c>
      <c r="FK96" s="47">
        <f t="shared" si="218"/>
        <v>92.829166666666652</v>
      </c>
      <c r="FL96" s="47">
        <f t="shared" si="219"/>
        <v>6.9124999999999996</v>
      </c>
      <c r="FM96" s="47">
        <f t="shared" si="220"/>
        <v>69.400000000000006</v>
      </c>
      <c r="FN96" s="47">
        <f t="shared" si="221"/>
        <v>13.483333333333334</v>
      </c>
      <c r="FO96" s="765">
        <f t="shared" ca="1" si="222"/>
        <v>671.9519217867072</v>
      </c>
      <c r="FP96" s="765">
        <f t="shared" ca="1" si="223"/>
        <v>587.85307525672965</v>
      </c>
      <c r="FQ96" s="765">
        <f t="shared" ca="1" si="224"/>
        <v>2490.2275193003657</v>
      </c>
      <c r="FR96" s="765">
        <f t="shared" ca="1" si="225"/>
        <v>80400.627157284121</v>
      </c>
      <c r="FS96" s="765">
        <f t="shared" ca="1" si="226"/>
        <v>1778593.2049173291</v>
      </c>
      <c r="FT96" s="765">
        <f t="shared" ca="1" si="227"/>
        <v>6321118.4081525858</v>
      </c>
      <c r="FU96" s="765">
        <f t="shared" si="228"/>
        <v>36.396113613816695</v>
      </c>
      <c r="FV96" s="765">
        <f t="shared" si="229"/>
        <v>74.13968728755944</v>
      </c>
      <c r="FW96" s="765">
        <f t="shared" si="230"/>
        <v>497.21689741451235</v>
      </c>
      <c r="FX96" s="765">
        <f t="shared" ca="1" si="231"/>
        <v>665.2319241773049</v>
      </c>
      <c r="FY96" s="765">
        <f t="shared" ca="1" si="232"/>
        <v>2992.9689717064475</v>
      </c>
      <c r="FZ96" s="765">
        <f t="shared" ca="1" si="233"/>
        <v>76939.566316026292</v>
      </c>
      <c r="GA96" s="765">
        <f t="shared" si="234"/>
        <v>120460.74666666666</v>
      </c>
      <c r="GB96" s="765">
        <f t="shared" si="235"/>
        <v>26.904240318638081</v>
      </c>
      <c r="GC96" s="765">
        <f t="shared" si="236"/>
        <v>53.453164556962058</v>
      </c>
      <c r="GD96" s="765">
        <f t="shared" si="237"/>
        <v>413.84559458315681</v>
      </c>
    </row>
    <row r="97" spans="1:186">
      <c r="A97" s="4">
        <v>44896</v>
      </c>
      <c r="B97" s="6">
        <v>2022</v>
      </c>
      <c r="C97" s="5">
        <v>12</v>
      </c>
      <c r="D97" s="7">
        <v>91246327.644578993</v>
      </c>
      <c r="E97" s="7">
        <f ca="1">IFERROR(VLOOKUP($B97-1,CDM!$V$4:$AJ$17,2,FALSE)/12,0)+IFERROR(VLOOKUP($B97,CDM!$V$41:$AJ$54,2,FALSE)/24,0)+IFERROR(VLOOKUP($B97,CDM!$V$41:$AJ$54,2,FALSE)/2*$C97/78,0)</f>
        <v>3849666.5297239255</v>
      </c>
      <c r="F97" s="7">
        <f t="shared" ca="1" si="169"/>
        <v>95095994.174302921</v>
      </c>
      <c r="G97" s="7">
        <f>IFERROR(HLOOKUP(B97-1,'EV Forecast VRZ'!$F$124:$T$130,2,FALSE)/12,0)+IFERROR(((HLOOKUP(B97,'EV Forecast VRZ'!$F$116:$T$122,2,FALSE)-HLOOKUP(B97-1,'EV Forecast VRZ'!$F$124:$T$130,2,FALSE)))*C97/78,0)</f>
        <v>636183.88147345989</v>
      </c>
      <c r="H97" s="7">
        <f ca="1">HLOOKUP(B97,Heating!$C$102:$O$106,2,FALSE)*INDEX(Weather!$BO$1:$CB$20,MATCH(B97,Weather!$BO$1:$BO$20,0),MATCH(C97,Weather!$BO$1:$CB$1,0))/VLOOKUP(B97,Weather!$BO$2:$CB$20,14,FALSE)*
VLOOKUP('Monthly Data'!$B97,Weather!$BO$3:$CB$20,14,FALSE)/Weather!$CB$14</f>
        <v>1319976.6937335155</v>
      </c>
      <c r="I97" s="7">
        <f t="shared" ca="1" si="170"/>
        <v>93139833.599095941</v>
      </c>
      <c r="J97" s="7">
        <v>1158031.6059000001</v>
      </c>
      <c r="K97" s="7">
        <f ca="1">IFERROR(VLOOKUP($B97-1,CDM!$V$4:$AJ$17,3,FALSE)/12,0)+IFERROR(VLOOKUP($B97,CDM!$V$41:$AJ$54,3,FALSE)/24,0)+IFERROR(VLOOKUP($B97,CDM!$V$41:$AJ$54,3,FALSE)/2*$C97/78,0)</f>
        <v>44093.324273744576</v>
      </c>
      <c r="L97" s="7">
        <f t="shared" ca="1" si="171"/>
        <v>1202124.9301737447</v>
      </c>
      <c r="M97" s="7">
        <f>IFERROR(HLOOKUP(B97-1,'EV Forecast VRZ'!$F$124:$T$130,3,FALSE)/12,0)+IFERROR(((HLOOKUP(B97,'EV Forecast VRZ'!$F$116:$T$122,3,FALSE)-HLOOKUP(B97-1,'EV Forecast VRZ'!$F$124:$T$130,3,FALSE)))*C97/78,0)</f>
        <v>8654.9014752580115</v>
      </c>
      <c r="N97" s="7">
        <f ca="1">HLOOKUP(B97,Heating!$C$102:$O$106,3,FALSE)*INDEX(Weather!$BO$1:$CB$20,MATCH(B97,Weather!$BO$1:$BO$20,0),MATCH(C97,Weather!$BO$1:$CB$1,0))/VLOOKUP(B97,Weather!$BO$2:$CB$20,14,FALSE)*
VLOOKUP('Monthly Data'!$B97,Weather!$BO$3:$CB$20,14,FALSE)/Weather!$CB$14</f>
        <v>16251.297247842365</v>
      </c>
      <c r="O97" s="7">
        <f t="shared" ca="1" si="172"/>
        <v>1177218.7314506443</v>
      </c>
      <c r="P97" s="7">
        <v>24879390.791839998</v>
      </c>
      <c r="Q97" s="7">
        <f ca="1">IFERROR(VLOOKUP($B97-1,CDM!$V$4:$AJ$17,4,FALSE)/12,0)+IFERROR(VLOOKUP($B97,CDM!$V$41:$AJ$54,4,FALSE)/24,0)+IFERROR(VLOOKUP($B97,CDM!$V$41:$AJ$54,4,FALSE)/2*$C97/78,0)</f>
        <v>1577033.0526753168</v>
      </c>
      <c r="R97" s="7">
        <f t="shared" ca="1" si="173"/>
        <v>26456423.844515316</v>
      </c>
      <c r="S97" s="7">
        <f>IFERROR(HLOOKUP(B97-1,'EV Forecast VRZ'!$F$124:$T$130,4,FALSE)/12,0)+IFERROR(((HLOOKUP(B97,'EV Forecast VRZ'!$F$116:$T$122,4,FALSE)-HLOOKUP(B97-1,'EV Forecast VRZ'!$F$124:$T$130,4,FALSE)))*C97/78,0)</f>
        <v>78652.300256410264</v>
      </c>
      <c r="T97" s="7">
        <f ca="1">HLOOKUP(B97,Heating!$C$102:$O$106,4,FALSE)*INDEX(Weather!$BO$1:$CB$20,MATCH(B97,Weather!$BO$1:$BO$20,0),MATCH(C97,Weather!$BO$1:$CB$1,0))/VLOOKUP(B97,Weather!$BO$2:$CB$20,14,FALSE)*
VLOOKUP('Monthly Data'!$B97,Weather!$BO$3:$CB$20,14,FALSE)/Weather!$CB$14</f>
        <v>323558.11170474382</v>
      </c>
      <c r="U97" s="7">
        <f t="shared" ca="1" si="174"/>
        <v>26054213.432554163</v>
      </c>
      <c r="V97" s="7">
        <v>76862661.340000004</v>
      </c>
      <c r="W97" s="7">
        <f ca="1">IFERROR(VLOOKUP($B97-1,CDM!$V$4:$AJ$17,5,FALSE)/12,0)+IFERROR(VLOOKUP($B97,CDM!$V$41:$AJ$54,5,FALSE)/24,0)+IFERROR(VLOOKUP($B97,CDM!$V$41:$AJ$54,5,FALSE)/2*$C97/78,0)</f>
        <v>6457031.46752882</v>
      </c>
      <c r="X97" s="7">
        <f t="shared" ca="1" si="175"/>
        <v>83319692.807528824</v>
      </c>
      <c r="Y97" s="7">
        <f>IFERROR(HLOOKUP(B97-1,'EV Forecast VRZ'!$F$124:$T$130,5,FALSE)/12,0)+IFERROR(((HLOOKUP(B97,'EV Forecast VRZ'!$F$116:$T$122,5,FALSE)-HLOOKUP(B97-1,'EV Forecast VRZ'!$F$124:$T$130,5,FALSE)))*C97/78,0)</f>
        <v>35939.304346153847</v>
      </c>
      <c r="Z97" s="7">
        <f ca="1">HLOOKUP(B97,Heating!$C$102:$O$106,5,FALSE)*INDEX(Weather!$BO$1:$CB$20,MATCH(B97,Weather!$BO$1:$BO$20,0),MATCH(C97,Weather!$BO$1:$CB$1,0))/VLOOKUP(B97,Weather!$BO$2:$CB$20,14,FALSE)*
VLOOKUP('Monthly Data'!$B97,Weather!$BO$3:$CB$20,14,FALSE)/Weather!$CB$14</f>
        <v>172542.7344390848</v>
      </c>
      <c r="AA97" s="7">
        <f t="shared" ca="1" si="176"/>
        <v>83111210.768743575</v>
      </c>
      <c r="AB97" s="7">
        <v>8716896.1500000004</v>
      </c>
      <c r="AC97" s="7">
        <f ca="1">IFERROR(VLOOKUP($B97-1,CDM!$V$4:$AJ$17,6,FALSE)/12,0)+IFERROR(VLOOKUP($B97,CDM!$V$41:$AJ$54,6,FALSE)/24,0)+IFERROR(VLOOKUP($B97,CDM!$V$41:$AJ$54,6,FALSE)/2*$C97/78,0)</f>
        <v>287340.61279565777</v>
      </c>
      <c r="AD97" s="7">
        <f t="shared" ca="1" si="177"/>
        <v>9004236.7627956588</v>
      </c>
      <c r="AE97" s="7">
        <f>IFERROR(HLOOKUP(B97-1,'EV Forecast VRZ'!$F$124:$T$130,6,FALSE)/12,0)+IFERROR(((HLOOKUP(B97,'EV Forecast VRZ'!$F$116:$T$122,6,FALSE)-HLOOKUP(B97-1,'EV Forecast VRZ'!$F$124:$T$130,6,FALSE)))*C97/78,0)</f>
        <v>4661.8457820512831</v>
      </c>
      <c r="AF97" s="7">
        <f t="shared" ca="1" si="178"/>
        <v>8999574.9170136079</v>
      </c>
      <c r="AG97" s="7">
        <v>23975705.100000001</v>
      </c>
      <c r="AH97" s="7">
        <f ca="1">IFERROR(VLOOKUP($B97-1,CDM!$V$4:$AJ$17,7,FALSE)/12,0)+IFERROR(VLOOKUP($B97,CDM!$V$41:$AJ$54,7,FALSE)/24,0)+IFERROR(VLOOKUP($B97,CDM!$V$41:$AJ$54,7,FALSE)/2*$C97/78,0)</f>
        <v>1757595.9457518468</v>
      </c>
      <c r="AI97" s="7">
        <f t="shared" ca="1" si="179"/>
        <v>25733301.045751847</v>
      </c>
      <c r="AJ97" s="7">
        <f>IFERROR(HLOOKUP(B97-1,'EV Forecast VRZ'!$F$124:$T$130,7,FALSE)/12,0)+IFERROR(((HLOOKUP(B97,'EV Forecast VRZ'!$F$116:$T$122,7,FALSE)-HLOOKUP(B97-1,'EV Forecast VRZ'!$F$124:$T$130,7,FALSE)))*C97/78,0)</f>
        <v>161.53846153846155</v>
      </c>
      <c r="AK97" s="7">
        <f t="shared" ca="1" si="180"/>
        <v>25733139.507290307</v>
      </c>
      <c r="AL97" s="7">
        <v>1255788.0900000001</v>
      </c>
      <c r="AM97" s="7">
        <v>17380.68</v>
      </c>
      <c r="AN97" s="7">
        <v>396505.42</v>
      </c>
      <c r="AO97" s="5">
        <v>183122.55</v>
      </c>
      <c r="AP97" s="5">
        <v>19426.91</v>
      </c>
      <c r="AQ97" s="5">
        <v>38675</v>
      </c>
      <c r="AR97" s="5">
        <v>2576.5</v>
      </c>
      <c r="AS97" s="763">
        <f t="shared" si="238"/>
        <v>50.083333333333336</v>
      </c>
      <c r="AT97" s="776">
        <v>114797</v>
      </c>
      <c r="AU97" s="776">
        <v>1561</v>
      </c>
      <c r="AV97" s="776">
        <v>9476</v>
      </c>
      <c r="AW97" s="776">
        <v>1018</v>
      </c>
      <c r="AX97" s="776">
        <v>5</v>
      </c>
      <c r="AY97" s="776">
        <v>4</v>
      </c>
      <c r="AZ97" s="776">
        <v>31845</v>
      </c>
      <c r="BA97" s="776">
        <v>245</v>
      </c>
      <c r="BB97" s="776">
        <v>799</v>
      </c>
      <c r="BC97" s="779">
        <v>33225707.634610001</v>
      </c>
      <c r="BD97" s="779">
        <f ca="1">IFERROR(VLOOKUP($B97-1,CDM!$V$4:$AJ$17,11,FALSE)/12,0)+IFERROR(VLOOKUP($B97,CDM!$V$41:$AJ$54,11,FALSE)/24,0)+IFERROR(VLOOKUP($B97,CDM!$V$41:$AJ$54,11,FALSE)/2*$C97/78,0)</f>
        <v>1703091.3082864357</v>
      </c>
      <c r="BE97" s="779">
        <f t="shared" ca="1" si="192"/>
        <v>34928798.942896433</v>
      </c>
      <c r="BF97" s="779">
        <f>IFERROR(HLOOKUP(B97-1,'EV Forecast WRZ'!$F$124:$T$130,2,FALSE)/12,0)+IFERROR(((HLOOKUP(B97,'EV Forecast WRZ'!$F$116:$T$122,2,FALSE)-HLOOKUP(B97-1,'EV Forecast WRZ'!$F$124:$T$130,2,FALSE)))*C97/78,0)</f>
        <v>199934.41679487179</v>
      </c>
      <c r="BG97" s="779">
        <f ca="1">HLOOKUP(B97,Heating!$R$102:$AD$106,2,FALSE)*INDEX(Weather!$BO$1:$CB$20,MATCH(B97,Weather!$BO$1:$BO$20,0),MATCH(C97,Weather!$BO$1:$CB$1,0))/VLOOKUP(B97,Weather!$BO$2:$CB$20,14,FALSE)*
VLOOKUP('Monthly Data'!$B97,Weather!$BO$3:$CB$20,14,FALSE)/Weather!$CB$14</f>
        <v>584238.42496439372</v>
      </c>
      <c r="BH97" s="779">
        <f t="shared" ca="1" si="181"/>
        <v>34144626.101137169</v>
      </c>
      <c r="BI97" s="779">
        <v>7672820.5764100002</v>
      </c>
      <c r="BJ97" s="779">
        <f ca="1">IFERROR(VLOOKUP($B97-1,CDM!$V$4:$AJ$17,12,FALSE)/12,0)+IFERROR(VLOOKUP($B97,CDM!$V$41:$AJ$54,12,FALSE)/24,0)+IFERROR(VLOOKUP($B97,CDM!$V$41:$AJ$54,12,FALSE)/2*$C97/78,0)</f>
        <v>276862.07875500846</v>
      </c>
      <c r="BK97" s="779">
        <f t="shared" ca="1" si="182"/>
        <v>7949682.6551650083</v>
      </c>
      <c r="BL97" s="779">
        <f>IFERROR(HLOOKUP(B97-1,'EV Forecast WRZ'!$F$124:$T$130,3,FALSE)/12,0)+IFERROR(((HLOOKUP(B97,'EV Forecast WRZ'!$F$116:$T$122,3,FALSE)-HLOOKUP(B97-1,'EV Forecast WRZ'!$F$124:$T$130,3,FALSE)))*C97/78,0)</f>
        <v>24891.718717948719</v>
      </c>
      <c r="BM97" s="779">
        <f ca="1">HLOOKUP(B97,Heating!$R$102:$AD$106,4,FALSE)*INDEX(Weather!$BO$1:$CB$20,MATCH(B97,Weather!$BO$1:$BO$20,0),MATCH(C97,Weather!$BO$1:$CB$1,0))/VLOOKUP(B97,Weather!$BO$2:$CB$20,14,FALSE)*
VLOOKUP('Monthly Data'!$B97,Weather!$BO$3:$CB$20,14,FALSE)/Weather!$CB$14</f>
        <v>89646.892482632422</v>
      </c>
      <c r="BN97" s="779">
        <f t="shared" ca="1" si="183"/>
        <v>7835144.043964427</v>
      </c>
      <c r="BO97" s="779">
        <v>28380785.780000001</v>
      </c>
      <c r="BP97" s="779">
        <f ca="1">IFERROR(VLOOKUP($B97-1,CDM!$V$4:$AJ$17,13,FALSE)/12,0)+IFERROR(VLOOKUP($B97,CDM!$V$41:$AJ$54,13,FALSE)/24,0)+IFERROR(VLOOKUP($B97,CDM!$V$41:$AJ$54,13,FALSE)/2*$C97/78,0)</f>
        <v>2736684.9773158692</v>
      </c>
      <c r="BQ97" s="779">
        <f t="shared" ca="1" si="184"/>
        <v>31117470.75731587</v>
      </c>
      <c r="BR97" s="779">
        <f>IFERROR(HLOOKUP(B97-1,'EV Forecast WRZ'!$F$124:$T$130,4,FALSE)/12,0)+IFERROR(((HLOOKUP(B97,'EV Forecast WRZ'!$F$116:$T$122,4,FALSE)-HLOOKUP(B97-1,'EV Forecast WRZ'!$F$124:$T$130,4,FALSE)))*C97/78,0)</f>
        <v>11199.927269230768</v>
      </c>
      <c r="BS97" s="779">
        <f ca="1">HLOOKUP(B97,Heating!$R$102:$AD$106,5,FALSE)*INDEX(Weather!$BO$1:$CB$20,MATCH(B97,Weather!$BO$1:$BO$20,0),MATCH(C97,Weather!$BO$1:$CB$1,0))/VLOOKUP(B97,Weather!$BO$2:$CB$20,14,FALSE)*
VLOOKUP('Monthly Data'!$B97,Weather!$BO$3:$CB$20,14,FALSE)/Weather!$CB$14</f>
        <v>50939.155529670883</v>
      </c>
      <c r="BT97" s="779">
        <f t="shared" ca="1" si="185"/>
        <v>31055331.674516968</v>
      </c>
      <c r="BU97" s="779">
        <v>6987599.8899999997</v>
      </c>
      <c r="BV97" s="779">
        <f ca="1">IFERROR(VLOOKUP($B97-1,CDM!$V$4:$AJ$17,14,FALSE)/12,0)+IFERROR(VLOOKUP($B97,CDM!$V$41:$AJ$54,14,FALSE)/24,0)+IFERROR(VLOOKUP($B97,CDM!$V$41:$AJ$54,14,FALSE)/2*$C97/78,0)</f>
        <v>615352.32002209662</v>
      </c>
      <c r="BW97" s="779">
        <f t="shared" ca="1" si="186"/>
        <v>7602952.2100220965</v>
      </c>
      <c r="BX97" s="779">
        <f>IFERROR(HLOOKUP(B97-1,'EV Forecast WRZ'!$F$124:$T$130,5,FALSE)/12,0)+IFERROR(((HLOOKUP(B97,'EV Forecast WRZ'!$F$116:$T$122,5,FALSE)-HLOOKUP(B97-1,'EV Forecast WRZ'!$F$124:$T$130,5,FALSE)))*C97/78,0)</f>
        <v>1602.6628589743591</v>
      </c>
      <c r="BY97" s="779">
        <f t="shared" ca="1" si="193"/>
        <v>7601349.5471631223</v>
      </c>
      <c r="BZ97" s="779">
        <v>390999.46</v>
      </c>
      <c r="CA97" s="779">
        <v>3000.8999999999996</v>
      </c>
      <c r="CB97" s="5">
        <v>162829.39000000001</v>
      </c>
      <c r="CC97" s="5">
        <v>64419.96</v>
      </c>
      <c r="CD97" s="5">
        <v>12952.66</v>
      </c>
      <c r="CE97" s="5">
        <v>805</v>
      </c>
      <c r="CF97" s="763">
        <f t="shared" si="239"/>
        <v>7.916666666666667</v>
      </c>
      <c r="CG97" s="785">
        <v>44498</v>
      </c>
      <c r="CH97" s="785">
        <v>2412</v>
      </c>
      <c r="CI97" s="785">
        <v>379</v>
      </c>
      <c r="CJ97" s="785">
        <v>3</v>
      </c>
      <c r="CK97" s="785">
        <v>13452</v>
      </c>
      <c r="CL97" s="785">
        <v>46</v>
      </c>
      <c r="CM97" s="785">
        <v>394</v>
      </c>
      <c r="CN97" s="46">
        <f>Weather!C109</f>
        <v>647.12083333333328</v>
      </c>
      <c r="CO97" s="46">
        <f>Weather!D109</f>
        <v>0</v>
      </c>
      <c r="CP97" s="46">
        <f>Weather!E109</f>
        <v>585.12083333333328</v>
      </c>
      <c r="CQ97" s="46">
        <f>Weather!F109</f>
        <v>0</v>
      </c>
      <c r="CR97" s="46">
        <f>Weather!G109</f>
        <v>523.12083333333328</v>
      </c>
      <c r="CS97" s="46">
        <f>Weather!H109</f>
        <v>0</v>
      </c>
      <c r="CT97" s="46">
        <f>Weather!I109</f>
        <v>461.12083333333328</v>
      </c>
      <c r="CU97" s="46">
        <f>Weather!J109</f>
        <v>0</v>
      </c>
      <c r="CV97" s="46">
        <f>Weather!K109</f>
        <v>399.12083333333328</v>
      </c>
      <c r="CW97" s="46">
        <f>Weather!L109</f>
        <v>0</v>
      </c>
      <c r="CX97" s="46">
        <f>Weather!M109</f>
        <v>337.12083333333322</v>
      </c>
      <c r="CY97" s="46">
        <f>Weather!N109</f>
        <v>0</v>
      </c>
      <c r="CZ97" s="46">
        <f>Weather!O109</f>
        <v>275.12083333333322</v>
      </c>
      <c r="DA97" s="46">
        <f>Weather!P109</f>
        <v>0</v>
      </c>
      <c r="DB97" s="368">
        <f>'Economic Data'!D111</f>
        <v>7829.3</v>
      </c>
      <c r="DC97" s="368">
        <f>'Economic Data'!E111</f>
        <v>7828.5</v>
      </c>
      <c r="DD97" s="368">
        <f>'Economic Data'!F111</f>
        <v>236.7</v>
      </c>
      <c r="DE97" s="368">
        <f>'Economic Data'!G111</f>
        <v>235.8</v>
      </c>
      <c r="DF97" s="368">
        <f>'Economic Data'!H111</f>
        <v>58.9</v>
      </c>
      <c r="DG97" s="368">
        <f>'Economic Data'!I111</f>
        <v>58.9</v>
      </c>
      <c r="DH97" s="368">
        <f>'Economic Data'!J111</f>
        <v>850461.9</v>
      </c>
      <c r="DI97" s="368">
        <f>'Economic Data'!K111</f>
        <v>662856.4</v>
      </c>
      <c r="DJ97" s="368">
        <f>'Economic Data'!L111</f>
        <v>96870.8</v>
      </c>
      <c r="DK97" s="368">
        <f>'Economic Data'!M111</f>
        <v>30149.3</v>
      </c>
      <c r="DL97" s="368">
        <f>'Economic Data'!N111</f>
        <v>852029</v>
      </c>
      <c r="DM97" s="368">
        <f>'Economic Data'!O111</f>
        <v>95313</v>
      </c>
      <c r="DN97" s="368">
        <f>'Economic Data'!P111</f>
        <v>16737</v>
      </c>
      <c r="DO97" s="368">
        <f>'Economic Data'!Q111</f>
        <v>664944</v>
      </c>
      <c r="DP97" s="368">
        <f>'Economic Data'!R111</f>
        <v>31696</v>
      </c>
      <c r="DQ97">
        <v>31</v>
      </c>
      <c r="DR97">
        <v>20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1</v>
      </c>
      <c r="EE97">
        <v>0</v>
      </c>
      <c r="EF97">
        <v>0</v>
      </c>
      <c r="EG97">
        <v>0</v>
      </c>
      <c r="EH97">
        <f t="shared" si="189"/>
        <v>96</v>
      </c>
      <c r="EI97">
        <v>0.5</v>
      </c>
      <c r="EJ97">
        <v>0.25</v>
      </c>
      <c r="EK97">
        <v>0.5</v>
      </c>
      <c r="EL97">
        <v>0</v>
      </c>
      <c r="EM97" s="47">
        <f t="shared" si="194"/>
        <v>161.78020833333332</v>
      </c>
      <c r="EN97" s="47">
        <f t="shared" si="195"/>
        <v>0</v>
      </c>
      <c r="EO97" s="47">
        <f t="shared" si="196"/>
        <v>146.28020833333332</v>
      </c>
      <c r="EP97" s="47">
        <f t="shared" si="197"/>
        <v>0</v>
      </c>
      <c r="EQ97" s="47">
        <f t="shared" si="198"/>
        <v>130.78020833333332</v>
      </c>
      <c r="ER97" s="47">
        <f t="shared" si="199"/>
        <v>0</v>
      </c>
      <c r="ES97" s="47">
        <f t="shared" si="200"/>
        <v>115.28020833333332</v>
      </c>
      <c r="ET97" s="47">
        <f t="shared" si="201"/>
        <v>0</v>
      </c>
      <c r="EU97" s="47">
        <f t="shared" si="202"/>
        <v>99.78020833333332</v>
      </c>
      <c r="EV97" s="47">
        <f t="shared" si="203"/>
        <v>0</v>
      </c>
      <c r="EW97" s="47">
        <f t="shared" si="204"/>
        <v>84.280208333333306</v>
      </c>
      <c r="EX97" s="47">
        <f t="shared" si="205"/>
        <v>0</v>
      </c>
      <c r="EY97" s="47">
        <f t="shared" si="206"/>
        <v>68.780208333333306</v>
      </c>
      <c r="EZ97" s="47">
        <f t="shared" si="207"/>
        <v>0</v>
      </c>
      <c r="FA97" s="47">
        <f t="shared" si="208"/>
        <v>323.56041666666664</v>
      </c>
      <c r="FB97" s="47">
        <f t="shared" si="209"/>
        <v>0</v>
      </c>
      <c r="FC97" s="47">
        <f t="shared" si="210"/>
        <v>292.56041666666664</v>
      </c>
      <c r="FD97" s="47">
        <f t="shared" si="211"/>
        <v>0</v>
      </c>
      <c r="FE97" s="47">
        <f t="shared" si="212"/>
        <v>261.56041666666664</v>
      </c>
      <c r="FF97" s="47">
        <f t="shared" si="213"/>
        <v>0</v>
      </c>
      <c r="FG97" s="47">
        <f t="shared" si="214"/>
        <v>230.56041666666664</v>
      </c>
      <c r="FH97" s="47">
        <f t="shared" si="215"/>
        <v>0</v>
      </c>
      <c r="FI97" s="47">
        <f t="shared" si="216"/>
        <v>199.56041666666664</v>
      </c>
      <c r="FJ97" s="47">
        <f t="shared" si="217"/>
        <v>0</v>
      </c>
      <c r="FK97" s="47">
        <f t="shared" si="218"/>
        <v>168.56041666666661</v>
      </c>
      <c r="FL97" s="47">
        <f t="shared" si="219"/>
        <v>0</v>
      </c>
      <c r="FM97" s="47">
        <f t="shared" si="220"/>
        <v>137.56041666666661</v>
      </c>
      <c r="FN97" s="47">
        <f t="shared" si="221"/>
        <v>0</v>
      </c>
      <c r="FO97" s="765">
        <f t="shared" ca="1" si="222"/>
        <v>811.3437946905924</v>
      </c>
      <c r="FP97" s="765">
        <f t="shared" ca="1" si="223"/>
        <v>770.09925059176464</v>
      </c>
      <c r="FQ97" s="765">
        <f t="shared" ca="1" si="224"/>
        <v>2791.940042688404</v>
      </c>
      <c r="FR97" s="765">
        <f t="shared" ca="1" si="225"/>
        <v>81846.456588928122</v>
      </c>
      <c r="FS97" s="765">
        <f t="shared" ca="1" si="226"/>
        <v>1800847.3525591318</v>
      </c>
      <c r="FT97" s="765">
        <f t="shared" ca="1" si="227"/>
        <v>6433325.2614379618</v>
      </c>
      <c r="FU97" s="765">
        <f t="shared" si="228"/>
        <v>39.434388130004713</v>
      </c>
      <c r="FV97" s="765">
        <f t="shared" si="229"/>
        <v>70.94155102040817</v>
      </c>
      <c r="FW97" s="765">
        <f t="shared" si="230"/>
        <v>496.25209011264076</v>
      </c>
      <c r="FX97" s="765">
        <f t="shared" ca="1" si="231"/>
        <v>784.9521089239164</v>
      </c>
      <c r="FY97" s="765">
        <f t="shared" ca="1" si="232"/>
        <v>3295.8883313287761</v>
      </c>
      <c r="FZ97" s="765">
        <f t="shared" ca="1" si="233"/>
        <v>82104.144478405986</v>
      </c>
      <c r="GA97" s="765">
        <f t="shared" si="234"/>
        <v>130333.15333333334</v>
      </c>
      <c r="GB97" s="765">
        <f t="shared" si="235"/>
        <v>29.066269699672912</v>
      </c>
      <c r="GC97" s="765">
        <f t="shared" si="236"/>
        <v>65.236956521739117</v>
      </c>
      <c r="GD97" s="765">
        <f t="shared" si="237"/>
        <v>413.2725634517767</v>
      </c>
    </row>
    <row r="98" spans="1:186">
      <c r="A98" s="4">
        <v>44927</v>
      </c>
      <c r="B98" s="6">
        <v>2023</v>
      </c>
      <c r="C98" s="5">
        <v>1</v>
      </c>
      <c r="D98" s="7">
        <v>89730575.557299003</v>
      </c>
      <c r="E98" s="7">
        <f ca="1">IFERROR(VLOOKUP($B98-1,CDM!$V$4:$AJ$17,2,FALSE)/12,0)+IFERROR(VLOOKUP($B98,CDM!$V$41:$AJ$54,2,FALSE)/24,0)+IFERROR(VLOOKUP($B98,CDM!$V$41:$AJ$54,2,FALSE)/2*$C98/78,0)</f>
        <v>3848517.6474594884</v>
      </c>
      <c r="F98" s="7">
        <f t="shared" ca="1" si="169"/>
        <v>93579093.204758495</v>
      </c>
      <c r="G98" s="7">
        <f>IFERROR(HLOOKUP(B98-1,'EV Forecast VRZ'!$F$124:$T$130,2,FALSE)/12,0)+IFERROR(((HLOOKUP(B98,'EV Forecast VRZ'!$F$116:$T$122,2,FALSE)-HLOOKUP(B98-1,'EV Forecast VRZ'!$F$124:$T$130,2,FALSE)))*C98/78,0)</f>
        <v>683981.846926325</v>
      </c>
      <c r="H98" s="7">
        <f ca="1">HLOOKUP(B98,Heating!$C$102:$O$106,2,FALSE)*INDEX(Weather!$BO$1:$CB$20,MATCH(B98,Weather!$BO$1:$BO$20,0),MATCH(C98,Weather!$BO$1:$CB$1,0))/VLOOKUP(B98,Weather!$BO$2:$CB$20,14,FALSE)*
VLOOKUP('Monthly Data'!$B98,Weather!$BO$3:$CB$20,14,FALSE)/Weather!$CB$14</f>
        <v>1858511.5736116453</v>
      </c>
      <c r="I98" s="7">
        <f t="shared" ca="1" si="170"/>
        <v>91036599.784220517</v>
      </c>
      <c r="J98" s="7">
        <v>1240367.8409899999</v>
      </c>
      <c r="K98" s="7">
        <f ca="1">IFERROR(VLOOKUP($B98-1,CDM!$V$4:$AJ$17,3,FALSE)/12,0)+IFERROR(VLOOKUP($B98,CDM!$V$41:$AJ$54,3,FALSE)/24,0)+IFERROR(VLOOKUP($B98,CDM!$V$41:$AJ$54,3,FALSE)/2*$C98/78,0)</f>
        <v>44080.115100004194</v>
      </c>
      <c r="L98" s="7">
        <f t="shared" ca="1" si="171"/>
        <v>1284447.9560900042</v>
      </c>
      <c r="M98" s="7">
        <f>IFERROR(HLOOKUP(B98-1,'EV Forecast VRZ'!$F$124:$T$130,3,FALSE)/12,0)+IFERROR(((HLOOKUP(B98,'EV Forecast VRZ'!$F$116:$T$122,3,FALSE)-HLOOKUP(B98-1,'EV Forecast VRZ'!$F$124:$T$130,3,FALSE)))*C98/78,0)</f>
        <v>9305.1642275210797</v>
      </c>
      <c r="N98" s="7">
        <f ca="1">HLOOKUP(B98,Heating!$C$102:$O$106,3,FALSE)*INDEX(Weather!$BO$1:$CB$20,MATCH(B98,Weather!$BO$1:$BO$20,0),MATCH(C98,Weather!$BO$1:$CB$1,0))/VLOOKUP(B98,Weather!$BO$2:$CB$20,14,FALSE)*
VLOOKUP('Monthly Data'!$B98,Weather!$BO$3:$CB$20,14,FALSE)/Weather!$CB$14</f>
        <v>22459.880294683935</v>
      </c>
      <c r="O98" s="7">
        <f t="shared" ca="1" si="172"/>
        <v>1252682.9115677993</v>
      </c>
      <c r="P98" s="7">
        <v>25577236.485019799</v>
      </c>
      <c r="Q98" s="7">
        <f ca="1">IFERROR(VLOOKUP($B98-1,CDM!$V$4:$AJ$17,4,FALSE)/12,0)+IFERROR(VLOOKUP($B98,CDM!$V$41:$AJ$54,4,FALSE)/24,0)+IFERROR(VLOOKUP($B98,CDM!$V$41:$AJ$54,4,FALSE)/2*$C98/78,0)</f>
        <v>1559488.4398177387</v>
      </c>
      <c r="R98" s="7">
        <f t="shared" ca="1" si="173"/>
        <v>27136724.924837537</v>
      </c>
      <c r="S98" s="7">
        <f>IFERROR(HLOOKUP(B98-1,'EV Forecast VRZ'!$F$124:$T$130,4,FALSE)/12,0)+IFERROR(((HLOOKUP(B98,'EV Forecast VRZ'!$F$116:$T$122,4,FALSE)-HLOOKUP(B98-1,'EV Forecast VRZ'!$F$124:$T$130,4,FALSE)))*C98/78,0)</f>
        <v>84718.720769230771</v>
      </c>
      <c r="T98" s="7">
        <f ca="1">HLOOKUP(B98,Heating!$C$102:$O$106,4,FALSE)*INDEX(Weather!$BO$1:$CB$20,MATCH(B98,Weather!$BO$1:$BO$20,0),MATCH(C98,Weather!$BO$1:$CB$1,0))/VLOOKUP(B98,Weather!$BO$2:$CB$20,14,FALSE)*
VLOOKUP('Monthly Data'!$B98,Weather!$BO$3:$CB$20,14,FALSE)/Weather!$CB$14</f>
        <v>456577.27615296654</v>
      </c>
      <c r="U98" s="7">
        <f t="shared" ca="1" si="174"/>
        <v>26595428.927915342</v>
      </c>
      <c r="V98" s="7">
        <v>81005398</v>
      </c>
      <c r="W98" s="7">
        <f ca="1">IFERROR(VLOOKUP($B98-1,CDM!$V$4:$AJ$17,5,FALSE)/12,0)+IFERROR(VLOOKUP($B98,CDM!$V$41:$AJ$54,5,FALSE)/24,0)+IFERROR(VLOOKUP($B98,CDM!$V$41:$AJ$54,5,FALSE)/2*$C98/78,0)</f>
        <v>6345305.1389806876</v>
      </c>
      <c r="X98" s="7">
        <f t="shared" ca="1" si="175"/>
        <v>87350703.138980687</v>
      </c>
      <c r="Y98" s="7">
        <f>IFERROR(HLOOKUP(B98-1,'EV Forecast VRZ'!$F$124:$T$130,5,FALSE)/12,0)+IFERROR(((HLOOKUP(B98,'EV Forecast VRZ'!$F$116:$T$122,5,FALSE)-HLOOKUP(B98-1,'EV Forecast VRZ'!$F$124:$T$130,5,FALSE)))*C98/78,0)</f>
        <v>38805.539730769233</v>
      </c>
      <c r="Z98" s="7">
        <f ca="1">HLOOKUP(B98,Heating!$C$102:$O$106,5,FALSE)*INDEX(Weather!$BO$1:$CB$20,MATCH(B98,Weather!$BO$1:$BO$20,0),MATCH(C98,Weather!$BO$1:$CB$1,0))/VLOOKUP(B98,Weather!$BO$2:$CB$20,14,FALSE)*
VLOOKUP('Monthly Data'!$B98,Weather!$BO$3:$CB$20,14,FALSE)/Weather!$CB$14</f>
        <v>238528.22462243127</v>
      </c>
      <c r="AA98" s="7">
        <f t="shared" ca="1" si="176"/>
        <v>87073369.374627486</v>
      </c>
      <c r="AB98" s="7">
        <v>9792853.9600000009</v>
      </c>
      <c r="AC98" s="7">
        <f ca="1">IFERROR(VLOOKUP($B98-1,CDM!$V$4:$AJ$17,6,FALSE)/12,0)+IFERROR(VLOOKUP($B98,CDM!$V$41:$AJ$54,6,FALSE)/24,0)+IFERROR(VLOOKUP($B98,CDM!$V$41:$AJ$54,6,FALSE)/2*$C98/78,0)</f>
        <v>291077.65490991168</v>
      </c>
      <c r="AD98" s="7">
        <f t="shared" ca="1" si="177"/>
        <v>10083931.614909913</v>
      </c>
      <c r="AE98" s="7">
        <f>IFERROR(HLOOKUP(B98-1,'EV Forecast VRZ'!$F$124:$T$130,6,FALSE)/12,0)+IFERROR(((HLOOKUP(B98,'EV Forecast VRZ'!$F$116:$T$122,6,FALSE)-HLOOKUP(B98-1,'EV Forecast VRZ'!$F$124:$T$130,6,FALSE)))*C98/78,0)</f>
        <v>5025.9360384615384</v>
      </c>
      <c r="AF98" s="7">
        <f t="shared" ca="1" si="178"/>
        <v>10078905.678871451</v>
      </c>
      <c r="AG98" s="7">
        <v>25033186.609999999</v>
      </c>
      <c r="AH98" s="7">
        <f ca="1">IFERROR(VLOOKUP($B98-1,CDM!$V$4:$AJ$17,7,FALSE)/12,0)+IFERROR(VLOOKUP($B98,CDM!$V$41:$AJ$54,7,FALSE)/24,0)+IFERROR(VLOOKUP($B98,CDM!$V$41:$AJ$54,7,FALSE)/2*$C98/78,0)</f>
        <v>1815307.4709280888</v>
      </c>
      <c r="AI98" s="7">
        <f t="shared" ca="1" si="179"/>
        <v>26848494.080928087</v>
      </c>
      <c r="AJ98" s="7">
        <f>IFERROR(HLOOKUP(B98-1,'EV Forecast VRZ'!$F$124:$T$130,7,FALSE)/12,0)+IFERROR(((HLOOKUP(B98,'EV Forecast VRZ'!$F$116:$T$122,7,FALSE)-HLOOKUP(B98-1,'EV Forecast VRZ'!$F$124:$T$130,7,FALSE)))*C98/78,0)</f>
        <v>215.38461538461539</v>
      </c>
      <c r="AK98" s="7">
        <f t="shared" ca="1" si="180"/>
        <v>26848278.696312703</v>
      </c>
      <c r="AL98" s="7">
        <v>1227881.6299999999</v>
      </c>
      <c r="AM98" s="7">
        <v>18899.220000000005</v>
      </c>
      <c r="AN98" s="7">
        <v>396540.86</v>
      </c>
      <c r="AO98" s="5">
        <v>179158.7</v>
      </c>
      <c r="AP98" s="5">
        <v>19396.39</v>
      </c>
      <c r="AQ98" s="5">
        <v>40035</v>
      </c>
      <c r="AR98" s="5">
        <v>2576.5</v>
      </c>
      <c r="AS98" s="763">
        <f>608/12</f>
        <v>50.666666666666664</v>
      </c>
      <c r="AT98" s="776">
        <v>114934.25</v>
      </c>
      <c r="AU98" s="776">
        <v>1561.25</v>
      </c>
      <c r="AV98" s="776">
        <v>9477.75</v>
      </c>
      <c r="AW98" s="776">
        <v>1019.9166666666666</v>
      </c>
      <c r="AX98" s="776">
        <v>5</v>
      </c>
      <c r="AY98" s="776">
        <v>4.083333333333333</v>
      </c>
      <c r="AZ98" s="776">
        <v>31889.083333333332</v>
      </c>
      <c r="BA98" s="776">
        <v>244.66666666666666</v>
      </c>
      <c r="BB98" s="776">
        <v>798.83333333333337</v>
      </c>
      <c r="BC98" s="779">
        <v>32115647.812479898</v>
      </c>
      <c r="BD98" s="779">
        <f ca="1">IFERROR(VLOOKUP($B98-1,CDM!$V$4:$AJ$17,11,FALSE)/12,0)+IFERROR(VLOOKUP($B98,CDM!$V$41:$AJ$54,11,FALSE)/24,0)+IFERROR(VLOOKUP($B98,CDM!$V$41:$AJ$54,11,FALSE)/2*$C98/78,0)</f>
        <v>1704235.5612127623</v>
      </c>
      <c r="BE98" s="779">
        <f t="shared" ca="1" si="192"/>
        <v>33819883.373692662</v>
      </c>
      <c r="BF98" s="779">
        <f>IFERROR(HLOOKUP(B98-1,'EV Forecast WRZ'!$F$124:$T$130,2,FALSE)/12,0)+IFERROR(((HLOOKUP(B98,'EV Forecast WRZ'!$F$116:$T$122,2,FALSE)-HLOOKUP(B98-1,'EV Forecast WRZ'!$F$124:$T$130,2,FALSE)))*C98/78,0)</f>
        <v>215217.9769230769</v>
      </c>
      <c r="BG98" s="779">
        <f ca="1">HLOOKUP(B98,Heating!$R$102:$AD$106,2,FALSE)*INDEX(Weather!$BO$1:$CB$20,MATCH(B98,Weather!$BO$1:$BO$20,0),MATCH(C98,Weather!$BO$1:$CB$1,0))/VLOOKUP(B98,Weather!$BO$2:$CB$20,14,FALSE)*
VLOOKUP('Monthly Data'!$B98,Weather!$BO$3:$CB$20,14,FALSE)/Weather!$CB$14</f>
        <v>833158.00537070644</v>
      </c>
      <c r="BH98" s="779">
        <f t="shared" ca="1" si="181"/>
        <v>32771507.391398877</v>
      </c>
      <c r="BI98" s="779">
        <v>7794544.9458499895</v>
      </c>
      <c r="BJ98" s="779">
        <f ca="1">IFERROR(VLOOKUP($B98-1,CDM!$V$4:$AJ$17,12,FALSE)/12,0)+IFERROR(VLOOKUP($B98,CDM!$V$41:$AJ$54,12,FALSE)/24,0)+IFERROR(VLOOKUP($B98,CDM!$V$41:$AJ$54,12,FALSE)/2*$C98/78,0)</f>
        <v>275072.46550036198</v>
      </c>
      <c r="BK98" s="779">
        <f t="shared" ca="1" si="182"/>
        <v>8069617.4113503518</v>
      </c>
      <c r="BL98" s="779">
        <f>IFERROR(HLOOKUP(B98-1,'EV Forecast WRZ'!$F$124:$T$130,3,FALSE)/12,0)+IFERROR(((HLOOKUP(B98,'EV Forecast WRZ'!$F$116:$T$122,3,FALSE)-HLOOKUP(B98-1,'EV Forecast WRZ'!$F$124:$T$130,3,FALSE)))*C98/78,0)</f>
        <v>26889.784615384619</v>
      </c>
      <c r="BM98" s="779">
        <f ca="1">HLOOKUP(B98,Heating!$R$102:$AD$106,4,FALSE)*INDEX(Weather!$BO$1:$CB$20,MATCH(B98,Weather!$BO$1:$BO$20,0),MATCH(C98,Weather!$BO$1:$CB$1,0))/VLOOKUP(B98,Weather!$BO$2:$CB$20,14,FALSE)*
VLOOKUP('Monthly Data'!$B98,Weather!$BO$3:$CB$20,14,FALSE)/Weather!$CB$14</f>
        <v>130468.11007701055</v>
      </c>
      <c r="BN98" s="779">
        <f t="shared" ca="1" si="183"/>
        <v>7912259.5166579569</v>
      </c>
      <c r="BO98" s="779">
        <v>29107817.699999999</v>
      </c>
      <c r="BP98" s="779">
        <f ca="1">IFERROR(VLOOKUP($B98-1,CDM!$V$4:$AJ$17,13,FALSE)/12,0)+IFERROR(VLOOKUP($B98,CDM!$V$41:$AJ$54,13,FALSE)/24,0)+IFERROR(VLOOKUP($B98,CDM!$V$41:$AJ$54,13,FALSE)/2*$C98/78,0)</f>
        <v>2675875.3305995665</v>
      </c>
      <c r="BQ98" s="779">
        <f t="shared" ca="1" si="184"/>
        <v>31783693.030599564</v>
      </c>
      <c r="BR98" s="779">
        <f>IFERROR(HLOOKUP(B98-1,'EV Forecast WRZ'!$F$124:$T$130,4,FALSE)/12,0)+IFERROR(((HLOOKUP(B98,'EV Forecast WRZ'!$F$116:$T$122,4,FALSE)-HLOOKUP(B98-1,'EV Forecast WRZ'!$F$124:$T$130,4,FALSE)))*C98/78,0)</f>
        <v>12088.223589743591</v>
      </c>
      <c r="BS98" s="779">
        <f ca="1">HLOOKUP(B98,Heating!$R$102:$AD$106,5,FALSE)*INDEX(Weather!$BO$1:$CB$20,MATCH(B98,Weather!$BO$1:$BO$20,0),MATCH(C98,Weather!$BO$1:$CB$1,0))/VLOOKUP(B98,Weather!$BO$2:$CB$20,14,FALSE)*
VLOOKUP('Monthly Data'!$B98,Weather!$BO$3:$CB$20,14,FALSE)/Weather!$CB$14</f>
        <v>70479.586956978077</v>
      </c>
      <c r="BT98" s="779">
        <f t="shared" ca="1" si="185"/>
        <v>31701125.220052842</v>
      </c>
      <c r="BU98" s="779">
        <v>7681036.4100000001</v>
      </c>
      <c r="BV98" s="779">
        <f ca="1">IFERROR(VLOOKUP($B98-1,CDM!$V$4:$AJ$17,14,FALSE)/12,0)+IFERROR(VLOOKUP($B98,CDM!$V$41:$AJ$54,14,FALSE)/24,0)+IFERROR(VLOOKUP($B98,CDM!$V$41:$AJ$54,14,FALSE)/2*$C98/78,0)</f>
        <v>601687.50556895591</v>
      </c>
      <c r="BW98" s="779">
        <f t="shared" ca="1" si="186"/>
        <v>8282723.9155689562</v>
      </c>
      <c r="BX98" s="779">
        <f>IFERROR(HLOOKUP(B98-1,'EV Forecast WRZ'!$F$124:$T$130,5,FALSE)/12,0)+IFERROR(((HLOOKUP(B98,'EV Forecast WRZ'!$F$116:$T$122,5,FALSE)-HLOOKUP(B98-1,'EV Forecast WRZ'!$F$124:$T$130,5,FALSE)))*C98/78,0)</f>
        <v>1746.7328205128206</v>
      </c>
      <c r="BY98" s="779">
        <f t="shared" ca="1" si="193"/>
        <v>8280977.1827484434</v>
      </c>
      <c r="BZ98" s="779">
        <v>384130.14</v>
      </c>
      <c r="CA98" s="779">
        <v>2843.6999999999994</v>
      </c>
      <c r="CB98" s="5">
        <v>163042.68</v>
      </c>
      <c r="CC98" s="5">
        <v>64370.09</v>
      </c>
      <c r="CD98" s="5">
        <v>13752.39</v>
      </c>
      <c r="CE98" s="5">
        <v>809</v>
      </c>
      <c r="CF98" s="763">
        <f>92/12</f>
        <v>7.666666666666667</v>
      </c>
      <c r="CG98" s="785">
        <v>44566.833333333336</v>
      </c>
      <c r="CH98" s="785">
        <v>2415.5833333333335</v>
      </c>
      <c r="CI98" s="785">
        <v>379.66666666666669</v>
      </c>
      <c r="CJ98" s="785">
        <v>3</v>
      </c>
      <c r="CK98" s="785">
        <v>13467.916666666666</v>
      </c>
      <c r="CL98" s="785">
        <v>46</v>
      </c>
      <c r="CM98" s="785">
        <v>395</v>
      </c>
      <c r="CN98" s="46">
        <f>Weather!C110</f>
        <v>666.07083333333355</v>
      </c>
      <c r="CO98" s="46">
        <f>Weather!D110</f>
        <v>0</v>
      </c>
      <c r="CP98" s="46">
        <f>Weather!E110</f>
        <v>604.07083333333344</v>
      </c>
      <c r="CQ98" s="46">
        <f>Weather!F110</f>
        <v>0</v>
      </c>
      <c r="CR98" s="46">
        <f>Weather!G110</f>
        <v>542.07083333333333</v>
      </c>
      <c r="CS98" s="46">
        <f>Weather!H110</f>
        <v>0</v>
      </c>
      <c r="CT98" s="46">
        <f>Weather!I110</f>
        <v>480.07083333333327</v>
      </c>
      <c r="CU98" s="46">
        <f>Weather!J110</f>
        <v>0</v>
      </c>
      <c r="CV98" s="46">
        <f>Weather!K110</f>
        <v>418.07083333333327</v>
      </c>
      <c r="CW98" s="46">
        <f>Weather!L110</f>
        <v>0</v>
      </c>
      <c r="CX98" s="46">
        <f>Weather!M110</f>
        <v>356.07083333333321</v>
      </c>
      <c r="CY98" s="46">
        <f>Weather!N110</f>
        <v>0</v>
      </c>
      <c r="CZ98" s="46">
        <f>Weather!O110</f>
        <v>294.07083333333327</v>
      </c>
      <c r="DA98" s="46">
        <f>Weather!P110</f>
        <v>0</v>
      </c>
      <c r="DB98" s="368">
        <f>'Economic Data'!D112</f>
        <v>7864.6</v>
      </c>
      <c r="DC98" s="368">
        <f>'Economic Data'!E112</f>
        <v>7829.1</v>
      </c>
      <c r="DD98" s="368">
        <f>'Economic Data'!F112</f>
        <v>238.7</v>
      </c>
      <c r="DE98" s="368">
        <f>'Economic Data'!G112</f>
        <v>238.2</v>
      </c>
      <c r="DF98" s="368">
        <f>'Economic Data'!H112</f>
        <v>61.2</v>
      </c>
      <c r="DG98" s="368">
        <f>'Economic Data'!I112</f>
        <v>61.2</v>
      </c>
      <c r="DH98" s="368">
        <f>'Economic Data'!J112</f>
        <v>865859.6</v>
      </c>
      <c r="DI98" s="368">
        <f>'Economic Data'!K112</f>
        <v>679067</v>
      </c>
      <c r="DJ98" s="368">
        <f>'Economic Data'!L112</f>
        <v>96987.199999999997</v>
      </c>
      <c r="DK98" s="368">
        <f>'Economic Data'!M112</f>
        <v>32826.199999999997</v>
      </c>
      <c r="DL98" s="368">
        <f>'Economic Data'!N112</f>
        <v>860658</v>
      </c>
      <c r="DM98" s="368">
        <f>'Economic Data'!O112</f>
        <v>97288</v>
      </c>
      <c r="DN98" s="368">
        <f>'Economic Data'!P112</f>
        <v>18250</v>
      </c>
      <c r="DO98" s="368">
        <f>'Economic Data'!Q112</f>
        <v>671794</v>
      </c>
      <c r="DP98" s="368">
        <f>'Economic Data'!R112</f>
        <v>32304</v>
      </c>
      <c r="DQ98">
        <v>31</v>
      </c>
      <c r="DR98">
        <v>21</v>
      </c>
      <c r="DS98">
        <v>1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f t="shared" si="189"/>
        <v>97</v>
      </c>
      <c r="EI98">
        <v>0</v>
      </c>
      <c r="EJ98">
        <v>0</v>
      </c>
      <c r="EK98">
        <v>0.25</v>
      </c>
      <c r="EL98">
        <v>0</v>
      </c>
      <c r="EM98" s="47">
        <f t="shared" si="194"/>
        <v>0</v>
      </c>
      <c r="EN98" s="47">
        <f t="shared" si="195"/>
        <v>0</v>
      </c>
      <c r="EO98" s="47">
        <f t="shared" si="196"/>
        <v>0</v>
      </c>
      <c r="EP98" s="47">
        <f t="shared" si="197"/>
        <v>0</v>
      </c>
      <c r="EQ98" s="47">
        <f t="shared" si="198"/>
        <v>0</v>
      </c>
      <c r="ER98" s="47">
        <f t="shared" si="199"/>
        <v>0</v>
      </c>
      <c r="ES98" s="47">
        <f t="shared" si="200"/>
        <v>0</v>
      </c>
      <c r="ET98" s="47">
        <f t="shared" si="201"/>
        <v>0</v>
      </c>
      <c r="EU98" s="47">
        <f t="shared" si="202"/>
        <v>0</v>
      </c>
      <c r="EV98" s="47">
        <f t="shared" si="203"/>
        <v>0</v>
      </c>
      <c r="EW98" s="47">
        <f t="shared" si="204"/>
        <v>0</v>
      </c>
      <c r="EX98" s="47">
        <f t="shared" si="205"/>
        <v>0</v>
      </c>
      <c r="EY98" s="47">
        <f t="shared" si="206"/>
        <v>0</v>
      </c>
      <c r="EZ98" s="47">
        <f t="shared" si="207"/>
        <v>0</v>
      </c>
      <c r="FA98" s="47">
        <f t="shared" si="208"/>
        <v>166.51770833333339</v>
      </c>
      <c r="FB98" s="47">
        <f t="shared" si="209"/>
        <v>0</v>
      </c>
      <c r="FC98" s="47">
        <f t="shared" si="210"/>
        <v>151.01770833333336</v>
      </c>
      <c r="FD98" s="47">
        <f t="shared" si="211"/>
        <v>0</v>
      </c>
      <c r="FE98" s="47">
        <f t="shared" si="212"/>
        <v>135.51770833333333</v>
      </c>
      <c r="FF98" s="47">
        <f t="shared" si="213"/>
        <v>0</v>
      </c>
      <c r="FG98" s="47">
        <f t="shared" si="214"/>
        <v>120.01770833333332</v>
      </c>
      <c r="FH98" s="47">
        <f t="shared" si="215"/>
        <v>0</v>
      </c>
      <c r="FI98" s="47">
        <f t="shared" si="216"/>
        <v>104.51770833333332</v>
      </c>
      <c r="FJ98" s="47">
        <f t="shared" si="217"/>
        <v>0</v>
      </c>
      <c r="FK98" s="47">
        <f t="shared" si="218"/>
        <v>89.017708333333303</v>
      </c>
      <c r="FL98" s="47">
        <f t="shared" si="219"/>
        <v>0</v>
      </c>
      <c r="FM98" s="47">
        <f t="shared" si="220"/>
        <v>73.517708333333317</v>
      </c>
      <c r="FN98" s="47">
        <f t="shared" si="221"/>
        <v>0</v>
      </c>
      <c r="FO98" s="765">
        <f t="shared" ca="1" si="222"/>
        <v>792.07546735825497</v>
      </c>
      <c r="FP98" s="765">
        <f t="shared" ca="1" si="223"/>
        <v>822.70485578222849</v>
      </c>
      <c r="FQ98" s="765">
        <f t="shared" ca="1" si="224"/>
        <v>2863.2032839901385</v>
      </c>
      <c r="FR98" s="765">
        <f t="shared" ca="1" si="225"/>
        <v>85644.941389637082</v>
      </c>
      <c r="FS98" s="765">
        <f t="shared" ca="1" si="226"/>
        <v>2016786.3229819827</v>
      </c>
      <c r="FT98" s="765">
        <f t="shared" ca="1" si="227"/>
        <v>6575141.4075742261</v>
      </c>
      <c r="FU98" s="765">
        <f t="shared" si="228"/>
        <v>38.504764065027473</v>
      </c>
      <c r="FV98" s="765">
        <f t="shared" si="229"/>
        <v>77.244768392370588</v>
      </c>
      <c r="FW98" s="765">
        <f t="shared" si="230"/>
        <v>496.39999165449609</v>
      </c>
      <c r="FX98" s="765">
        <f t="shared" ca="1" si="231"/>
        <v>758.85767159493025</v>
      </c>
      <c r="FY98" s="765">
        <f t="shared" ca="1" si="232"/>
        <v>3340.6495648464556</v>
      </c>
      <c r="FZ98" s="765">
        <f t="shared" ca="1" si="233"/>
        <v>83714.73142387945</v>
      </c>
      <c r="GA98" s="765">
        <f t="shared" si="234"/>
        <v>128043.38</v>
      </c>
      <c r="GB98" s="765">
        <f t="shared" si="235"/>
        <v>28.521867895925503</v>
      </c>
      <c r="GC98" s="765">
        <f t="shared" si="236"/>
        <v>61.819565217391293</v>
      </c>
      <c r="GD98" s="765">
        <f t="shared" si="237"/>
        <v>412.76627848101265</v>
      </c>
    </row>
    <row r="99" spans="1:186">
      <c r="A99" s="4">
        <v>44958</v>
      </c>
      <c r="B99" s="6">
        <v>2023</v>
      </c>
      <c r="C99" s="5">
        <v>2</v>
      </c>
      <c r="D99" s="7">
        <v>81729218.794429809</v>
      </c>
      <c r="E99" s="7">
        <f ca="1">IFERROR(VLOOKUP($B99-1,CDM!$V$4:$AJ$17,2,FALSE)/12,0)+IFERROR(VLOOKUP($B99,CDM!$V$41:$AJ$54,2,FALSE)/24,0)+IFERROR(VLOOKUP($B99,CDM!$V$41:$AJ$54,2,FALSE)/2*$C99/78,0)</f>
        <v>3848600.5272362777</v>
      </c>
      <c r="F99" s="7">
        <f t="shared" ca="1" si="169"/>
        <v>85577819.321666092</v>
      </c>
      <c r="G99" s="7">
        <f>IFERROR(HLOOKUP(B99-1,'EV Forecast VRZ'!$F$124:$T$130,2,FALSE)/12,0)+IFERROR(((HLOOKUP(B99,'EV Forecast VRZ'!$F$116:$T$122,2,FALSE)-HLOOKUP(B99-1,'EV Forecast VRZ'!$F$124:$T$130,2,FALSE)))*C99/78,0)</f>
        <v>710521.79790935351</v>
      </c>
      <c r="H99" s="7">
        <f ca="1">HLOOKUP(B99,Heating!$C$102:$O$106,2,FALSE)*INDEX(Weather!$BO$1:$CB$20,MATCH(B99,Weather!$BO$1:$BO$20,0),MATCH(C99,Weather!$BO$1:$CB$1,0))/VLOOKUP(B99,Weather!$BO$2:$CB$20,14,FALSE)*
VLOOKUP('Monthly Data'!$B99,Weather!$BO$3:$CB$20,14,FALSE)/Weather!$CB$14</f>
        <v>1764250.8591482027</v>
      </c>
      <c r="I99" s="7">
        <f t="shared" ca="1" si="170"/>
        <v>83103046.664608538</v>
      </c>
      <c r="J99" s="7">
        <v>1193916.3701599999</v>
      </c>
      <c r="K99" s="7">
        <f ca="1">IFERROR(VLOOKUP($B99-1,CDM!$V$4:$AJ$17,3,FALSE)/12,0)+IFERROR(VLOOKUP($B99,CDM!$V$41:$AJ$54,3,FALSE)/24,0)+IFERROR(VLOOKUP($B99,CDM!$V$41:$AJ$54,3,FALSE)/2*$C99/78,0)</f>
        <v>44081.057708428314</v>
      </c>
      <c r="L99" s="7">
        <f t="shared" ca="1" si="171"/>
        <v>1237997.4278684282</v>
      </c>
      <c r="M99" s="7">
        <f>IFERROR(HLOOKUP(B99-1,'EV Forecast VRZ'!$F$124:$T$130,3,FALSE)/12,0)+IFERROR(((HLOOKUP(B99,'EV Forecast VRZ'!$F$116:$T$122,3,FALSE)-HLOOKUP(B99-1,'EV Forecast VRZ'!$F$124:$T$130,3,FALSE)))*C99/78,0)</f>
        <v>9666.2243983387998</v>
      </c>
      <c r="N99" s="7">
        <f ca="1">HLOOKUP(B99,Heating!$C$102:$O$106,3,FALSE)*INDEX(Weather!$BO$1:$CB$20,MATCH(B99,Weather!$BO$1:$BO$20,0),MATCH(C99,Weather!$BO$1:$CB$1,0))/VLOOKUP(B99,Weather!$BO$2:$CB$20,14,FALSE)*
VLOOKUP('Monthly Data'!$B99,Weather!$BO$3:$CB$20,14,FALSE)/Weather!$CB$14</f>
        <v>21320.751330732328</v>
      </c>
      <c r="O99" s="7">
        <f t="shared" ca="1" si="172"/>
        <v>1207010.4521393571</v>
      </c>
      <c r="P99" s="7">
        <v>23501621.016799901</v>
      </c>
      <c r="Q99" s="7">
        <f ca="1">IFERROR(VLOOKUP($B99-1,CDM!$V$4:$AJ$17,4,FALSE)/12,0)+IFERROR(VLOOKUP($B99,CDM!$V$41:$AJ$54,4,FALSE)/24,0)+IFERROR(VLOOKUP($B99,CDM!$V$41:$AJ$54,4,FALSE)/2*$C99/78,0)</f>
        <v>1563748.1341992542</v>
      </c>
      <c r="R99" s="7">
        <f t="shared" ca="1" si="173"/>
        <v>25065369.150999155</v>
      </c>
      <c r="S99" s="7">
        <f>IFERROR(HLOOKUP(B99-1,'EV Forecast VRZ'!$F$124:$T$130,4,FALSE)/12,0)+IFERROR(((HLOOKUP(B99,'EV Forecast VRZ'!$F$116:$T$122,4,FALSE)-HLOOKUP(B99-1,'EV Forecast VRZ'!$F$124:$T$130,4,FALSE)))*C99/78,0)</f>
        <v>88146.441538461542</v>
      </c>
      <c r="T99" s="7">
        <f ca="1">HLOOKUP(B99,Heating!$C$102:$O$106,4,FALSE)*INDEX(Weather!$BO$1:$CB$20,MATCH(B99,Weather!$BO$1:$BO$20,0),MATCH(C99,Weather!$BO$1:$CB$1,0))/VLOOKUP(B99,Weather!$BO$2:$CB$20,14,FALSE)*
VLOOKUP('Monthly Data'!$B99,Weather!$BO$3:$CB$20,14,FALSE)/Weather!$CB$14</f>
        <v>433420.41188102844</v>
      </c>
      <c r="U99" s="7">
        <f t="shared" ca="1" si="174"/>
        <v>24543802.297579665</v>
      </c>
      <c r="V99" s="7">
        <v>74346217.920000002</v>
      </c>
      <c r="W99" s="7">
        <f ca="1">IFERROR(VLOOKUP($B99-1,CDM!$V$4:$AJ$17,5,FALSE)/12,0)+IFERROR(VLOOKUP($B99,CDM!$V$41:$AJ$54,5,FALSE)/24,0)+IFERROR(VLOOKUP($B99,CDM!$V$41:$AJ$54,5,FALSE)/2*$C99/78,0)</f>
        <v>6375162.3718405338</v>
      </c>
      <c r="X99" s="7">
        <f t="shared" ca="1" si="175"/>
        <v>80721380.291840538</v>
      </c>
      <c r="Y99" s="7">
        <f>IFERROR(HLOOKUP(B99-1,'EV Forecast VRZ'!$F$124:$T$130,5,FALSE)/12,0)+IFERROR(((HLOOKUP(B99,'EV Forecast VRZ'!$F$116:$T$122,5,FALSE)-HLOOKUP(B99-1,'EV Forecast VRZ'!$F$124:$T$130,5,FALSE)))*C99/78,0)</f>
        <v>40449.296128205126</v>
      </c>
      <c r="Z99" s="7">
        <f ca="1">HLOOKUP(B99,Heating!$C$102:$O$106,5,FALSE)*INDEX(Weather!$BO$1:$CB$20,MATCH(B99,Weather!$BO$1:$BO$20,0),MATCH(C99,Weather!$BO$1:$CB$1,0))/VLOOKUP(B99,Weather!$BO$2:$CB$20,14,FALSE)*
VLOOKUP('Monthly Data'!$B99,Weather!$BO$3:$CB$20,14,FALSE)/Weather!$CB$14</f>
        <v>226430.45714449516</v>
      </c>
      <c r="AA99" s="7">
        <f t="shared" ca="1" si="176"/>
        <v>80454500.538567841</v>
      </c>
      <c r="AB99" s="7">
        <v>8968083.7400000002</v>
      </c>
      <c r="AC99" s="7">
        <f ca="1">IFERROR(VLOOKUP($B99-1,CDM!$V$4:$AJ$17,6,FALSE)/12,0)+IFERROR(VLOOKUP($B99,CDM!$V$41:$AJ$54,6,FALSE)/24,0)+IFERROR(VLOOKUP($B99,CDM!$V$41:$AJ$54,6,FALSE)/2*$C99/78,0)</f>
        <v>293335.8229112461</v>
      </c>
      <c r="AD99" s="7">
        <f t="shared" ca="1" si="177"/>
        <v>9261419.562911246</v>
      </c>
      <c r="AE99" s="7">
        <f>IFERROR(HLOOKUP(B99-1,'EV Forecast VRZ'!$F$124:$T$130,6,FALSE)/12,0)+IFERROR(((HLOOKUP(B99,'EV Forecast VRZ'!$F$116:$T$122,6,FALSE)-HLOOKUP(B99-1,'EV Forecast VRZ'!$F$124:$T$130,6,FALSE)))*C99/78,0)</f>
        <v>5238.9887435897435</v>
      </c>
      <c r="AF99" s="7">
        <f t="shared" ca="1" si="178"/>
        <v>9256180.5741676558</v>
      </c>
      <c r="AG99" s="7">
        <v>23147220.68</v>
      </c>
      <c r="AH99" s="7">
        <f ca="1">IFERROR(VLOOKUP($B99-1,CDM!$V$4:$AJ$17,7,FALSE)/12,0)+IFERROR(VLOOKUP($B99,CDM!$V$41:$AJ$54,7,FALSE)/24,0)+IFERROR(VLOOKUP($B99,CDM!$V$41:$AJ$54,7,FALSE)/2*$C99/78,0)</f>
        <v>1824360.9092553589</v>
      </c>
      <c r="AI99" s="7">
        <f t="shared" ca="1" si="179"/>
        <v>24971581.589255359</v>
      </c>
      <c r="AJ99" s="7">
        <f>IFERROR(HLOOKUP(B99-1,'EV Forecast VRZ'!$F$124:$T$130,7,FALSE)/12,0)+IFERROR(((HLOOKUP(B99,'EV Forecast VRZ'!$F$116:$T$122,7,FALSE)-HLOOKUP(B99-1,'EV Forecast VRZ'!$F$124:$T$130,7,FALSE)))*C99/78,0)</f>
        <v>255.76923076923077</v>
      </c>
      <c r="AK99" s="7">
        <f t="shared" ca="1" si="180"/>
        <v>24971325.820024591</v>
      </c>
      <c r="AL99" s="7">
        <v>1095375.96</v>
      </c>
      <c r="AM99" s="7">
        <v>17227.679999999993</v>
      </c>
      <c r="AN99" s="7">
        <v>396318.49</v>
      </c>
      <c r="AO99" s="5">
        <v>183962.15</v>
      </c>
      <c r="AP99" s="5">
        <v>19542.37</v>
      </c>
      <c r="AQ99" s="5">
        <v>40592</v>
      </c>
      <c r="AR99" s="5">
        <v>2764.63</v>
      </c>
      <c r="AS99" s="763">
        <f t="shared" ref="AS99:AS109" si="240">608/12</f>
        <v>50.666666666666664</v>
      </c>
      <c r="AT99" s="776">
        <v>115071.5</v>
      </c>
      <c r="AU99" s="776">
        <v>1561.5</v>
      </c>
      <c r="AV99" s="776">
        <v>9479.5</v>
      </c>
      <c r="AW99" s="776">
        <v>1021.8333333333333</v>
      </c>
      <c r="AX99" s="776">
        <v>5</v>
      </c>
      <c r="AY99" s="776">
        <v>4.1666666666666661</v>
      </c>
      <c r="AZ99" s="776">
        <v>31933.166666666664</v>
      </c>
      <c r="BA99" s="776">
        <v>244.33333333333331</v>
      </c>
      <c r="BB99" s="776">
        <v>798.66666666666674</v>
      </c>
      <c r="BC99" s="779">
        <v>28913306.741340101</v>
      </c>
      <c r="BD99" s="779">
        <f ca="1">IFERROR(VLOOKUP($B99-1,CDM!$V$4:$AJ$17,11,FALSE)/12,0)+IFERROR(VLOOKUP($B99,CDM!$V$41:$AJ$54,11,FALSE)/24,0)+IFERROR(VLOOKUP($B99,CDM!$V$41:$AJ$54,11,FALSE)/2*$C99/78,0)</f>
        <v>1704601.5442900702</v>
      </c>
      <c r="BE99" s="779">
        <f t="shared" ca="1" si="192"/>
        <v>30617908.28563017</v>
      </c>
      <c r="BF99" s="779">
        <f>IFERROR(HLOOKUP(B99-1,'EV Forecast WRZ'!$F$124:$T$130,2,FALSE)/12,0)+IFERROR(((HLOOKUP(B99,'EV Forecast WRZ'!$F$116:$T$122,2,FALSE)-HLOOKUP(B99-1,'EV Forecast WRZ'!$F$124:$T$130,2,FALSE)))*C99/78,0)</f>
        <v>224196.04717948716</v>
      </c>
      <c r="BG99" s="779">
        <f ca="1">HLOOKUP(B99,Heating!$R$102:$AD$106,2,FALSE)*INDEX(Weather!$BO$1:$CB$20,MATCH(B99,Weather!$BO$1:$BO$20,0),MATCH(C99,Weather!$BO$1:$CB$1,0))/VLOOKUP(B99,Weather!$BO$2:$CB$20,14,FALSE)*
VLOOKUP('Monthly Data'!$B99,Weather!$BO$3:$CB$20,14,FALSE)/Weather!$CB$14</f>
        <v>790901.57287802943</v>
      </c>
      <c r="BH99" s="779">
        <f t="shared" ca="1" si="181"/>
        <v>29602810.665572654</v>
      </c>
      <c r="BI99" s="779">
        <v>7181644.8783900002</v>
      </c>
      <c r="BJ99" s="779">
        <f ca="1">IFERROR(VLOOKUP($B99-1,CDM!$V$4:$AJ$17,12,FALSE)/12,0)+IFERROR(VLOOKUP($B99,CDM!$V$41:$AJ$54,12,FALSE)/24,0)+IFERROR(VLOOKUP($B99,CDM!$V$41:$AJ$54,12,FALSE)/2*$C99/78,0)</f>
        <v>276615.51500939461</v>
      </c>
      <c r="BK99" s="779">
        <f t="shared" ca="1" si="182"/>
        <v>7458260.393399395</v>
      </c>
      <c r="BL99" s="779">
        <f>IFERROR(HLOOKUP(B99-1,'EV Forecast WRZ'!$F$124:$T$130,3,FALSE)/12,0)+IFERROR(((HLOOKUP(B99,'EV Forecast WRZ'!$F$116:$T$122,3,FALSE)-HLOOKUP(B99-1,'EV Forecast WRZ'!$F$124:$T$130,3,FALSE)))*C99/78,0)</f>
        <v>28070.462564102567</v>
      </c>
      <c r="BM99" s="779">
        <f ca="1">HLOOKUP(B99,Heating!$R$102:$AD$106,4,FALSE)*INDEX(Weather!$BO$1:$CB$20,MATCH(B99,Weather!$BO$1:$BO$20,0),MATCH(C99,Weather!$BO$1:$CB$1,0))/VLOOKUP(B99,Weather!$BO$2:$CB$20,14,FALSE)*
VLOOKUP('Monthly Data'!$B99,Weather!$BO$3:$CB$20,14,FALSE)/Weather!$CB$14</f>
        <v>123850.97761188669</v>
      </c>
      <c r="BN99" s="779">
        <f t="shared" ca="1" si="183"/>
        <v>7306338.9532234063</v>
      </c>
      <c r="BO99" s="779">
        <v>27204210.59</v>
      </c>
      <c r="BP99" s="779">
        <f ca="1">IFERROR(VLOOKUP($B99-1,CDM!$V$4:$AJ$17,13,FALSE)/12,0)+IFERROR(VLOOKUP($B99,CDM!$V$41:$AJ$54,13,FALSE)/24,0)+IFERROR(VLOOKUP($B99,CDM!$V$41:$AJ$54,13,FALSE)/2*$C99/78,0)</f>
        <v>2691389.705459109</v>
      </c>
      <c r="BQ99" s="779">
        <f t="shared" ca="1" si="184"/>
        <v>29895600.29545911</v>
      </c>
      <c r="BR99" s="779">
        <f>IFERROR(HLOOKUP(B99-1,'EV Forecast WRZ'!$F$124:$T$130,4,FALSE)/12,0)+IFERROR(((HLOOKUP(B99,'EV Forecast WRZ'!$F$116:$T$122,4,FALSE)-HLOOKUP(B99-1,'EV Forecast WRZ'!$F$124:$T$130,4,FALSE)))*C99/78,0)</f>
        <v>12611.932512820515</v>
      </c>
      <c r="BS99" s="779">
        <f ca="1">HLOOKUP(B99,Heating!$R$102:$AD$106,5,FALSE)*INDEX(Weather!$BO$1:$CB$20,MATCH(B99,Weather!$BO$1:$BO$20,0),MATCH(C99,Weather!$BO$1:$CB$1,0))/VLOOKUP(B99,Weather!$BO$2:$CB$20,14,FALSE)*
VLOOKUP('Monthly Data'!$B99,Weather!$BO$3:$CB$20,14,FALSE)/Weather!$CB$14</f>
        <v>66904.975791795587</v>
      </c>
      <c r="BT99" s="779">
        <f t="shared" ca="1" si="185"/>
        <v>29816083.387154493</v>
      </c>
      <c r="BU99" s="779">
        <v>7150539.0700000003</v>
      </c>
      <c r="BV99" s="779">
        <f ca="1">IFERROR(VLOOKUP($B99-1,CDM!$V$4:$AJ$17,14,FALSE)/12,0)+IFERROR(VLOOKUP($B99,CDM!$V$41:$AJ$54,14,FALSE)/24,0)+IFERROR(VLOOKUP($B99,CDM!$V$41:$AJ$54,14,FALSE)/2*$C99/78,0)</f>
        <v>605178.98444091773</v>
      </c>
      <c r="BW99" s="779">
        <f t="shared" ca="1" si="186"/>
        <v>7755718.0544409184</v>
      </c>
      <c r="BX99" s="779">
        <f>IFERROR(HLOOKUP(B99-1,'EV Forecast WRZ'!$F$124:$T$130,5,FALSE)/12,0)+IFERROR(((HLOOKUP(B99,'EV Forecast WRZ'!$F$116:$T$122,5,FALSE)-HLOOKUP(B99-1,'EV Forecast WRZ'!$F$124:$T$130,5,FALSE)))*C99/78,0)</f>
        <v>1832.5936410256411</v>
      </c>
      <c r="BY99" s="779">
        <f t="shared" ca="1" si="193"/>
        <v>7753885.4607998924</v>
      </c>
      <c r="BZ99" s="779">
        <v>320005.3</v>
      </c>
      <c r="CA99" s="779">
        <v>3051.6000000000004</v>
      </c>
      <c r="CB99" s="5">
        <v>163158.69</v>
      </c>
      <c r="CC99" s="5">
        <v>67429.72</v>
      </c>
      <c r="CD99" s="5">
        <v>14826.11</v>
      </c>
      <c r="CE99" s="5">
        <v>810</v>
      </c>
      <c r="CF99" s="763">
        <f t="shared" ref="CF99:CF109" si="241">92/12</f>
        <v>7.666666666666667</v>
      </c>
      <c r="CG99" s="785">
        <v>44635.666666666672</v>
      </c>
      <c r="CH99" s="785">
        <v>2419.166666666667</v>
      </c>
      <c r="CI99" s="785">
        <v>380.33333333333337</v>
      </c>
      <c r="CJ99" s="785">
        <v>3</v>
      </c>
      <c r="CK99" s="785">
        <v>13483.833333333332</v>
      </c>
      <c r="CL99" s="785">
        <v>46</v>
      </c>
      <c r="CM99" s="785">
        <v>396</v>
      </c>
      <c r="CN99" s="46">
        <f>Weather!C111</f>
        <v>629.43333333333328</v>
      </c>
      <c r="CO99" s="46">
        <f>Weather!D111</f>
        <v>0</v>
      </c>
      <c r="CP99" s="46">
        <f>Weather!E111</f>
        <v>573.43333333333328</v>
      </c>
      <c r="CQ99" s="46">
        <f>Weather!F111</f>
        <v>0</v>
      </c>
      <c r="CR99" s="46">
        <f>Weather!G111</f>
        <v>517.43333333333328</v>
      </c>
      <c r="CS99" s="46">
        <f>Weather!H111</f>
        <v>0</v>
      </c>
      <c r="CT99" s="46">
        <f>Weather!I111</f>
        <v>461.43333333333328</v>
      </c>
      <c r="CU99" s="46">
        <f>Weather!J111</f>
        <v>0</v>
      </c>
      <c r="CV99" s="46">
        <f>Weather!K111</f>
        <v>405.43333333333328</v>
      </c>
      <c r="CW99" s="46">
        <f>Weather!L111</f>
        <v>0</v>
      </c>
      <c r="CX99" s="46">
        <f>Weather!M111</f>
        <v>349.43333333333328</v>
      </c>
      <c r="CY99" s="46">
        <f>Weather!N111</f>
        <v>0</v>
      </c>
      <c r="CZ99" s="46">
        <f>Weather!O111</f>
        <v>293.51666666666665</v>
      </c>
      <c r="DA99" s="46">
        <f>Weather!P111</f>
        <v>8.3333333333332149E-2</v>
      </c>
      <c r="DB99" s="368">
        <f>'Economic Data'!D113</f>
        <v>7904.4</v>
      </c>
      <c r="DC99" s="368">
        <f>'Economic Data'!E113</f>
        <v>7839</v>
      </c>
      <c r="DD99" s="368">
        <f>'Economic Data'!F113</f>
        <v>239.4</v>
      </c>
      <c r="DE99" s="368">
        <f>'Economic Data'!G113</f>
        <v>239</v>
      </c>
      <c r="DF99" s="368">
        <f>'Economic Data'!H113</f>
        <v>66.400000000000006</v>
      </c>
      <c r="DG99" s="368">
        <f>'Economic Data'!I113</f>
        <v>66.400000000000006</v>
      </c>
      <c r="DH99" s="368">
        <f>'Economic Data'!J113</f>
        <v>865859.6</v>
      </c>
      <c r="DI99" s="368">
        <f>'Economic Data'!K113</f>
        <v>679067</v>
      </c>
      <c r="DJ99" s="368">
        <f>'Economic Data'!L113</f>
        <v>96987.199999999997</v>
      </c>
      <c r="DK99" s="368">
        <f>'Economic Data'!M113</f>
        <v>32826.199999999997</v>
      </c>
      <c r="DL99" s="368">
        <f>'Economic Data'!N113</f>
        <v>860658</v>
      </c>
      <c r="DM99" s="368">
        <f>'Economic Data'!O113</f>
        <v>97288</v>
      </c>
      <c r="DN99" s="368">
        <f>'Economic Data'!P113</f>
        <v>18250</v>
      </c>
      <c r="DO99" s="368">
        <f>'Economic Data'!Q113</f>
        <v>671794</v>
      </c>
      <c r="DP99" s="368">
        <f>'Economic Data'!R113</f>
        <v>32304</v>
      </c>
      <c r="DQ99">
        <v>28</v>
      </c>
      <c r="DR99">
        <v>19</v>
      </c>
      <c r="DS99">
        <v>0</v>
      </c>
      <c r="DT99">
        <v>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f t="shared" si="189"/>
        <v>98</v>
      </c>
      <c r="EI99">
        <v>0</v>
      </c>
      <c r="EJ99">
        <v>0</v>
      </c>
      <c r="EK99">
        <v>0.25</v>
      </c>
      <c r="EL99">
        <v>0</v>
      </c>
      <c r="EM99" s="47">
        <f t="shared" si="194"/>
        <v>0</v>
      </c>
      <c r="EN99" s="47">
        <f t="shared" si="195"/>
        <v>0</v>
      </c>
      <c r="EO99" s="47">
        <f t="shared" si="196"/>
        <v>0</v>
      </c>
      <c r="EP99" s="47">
        <f t="shared" si="197"/>
        <v>0</v>
      </c>
      <c r="EQ99" s="47">
        <f t="shared" si="198"/>
        <v>0</v>
      </c>
      <c r="ER99" s="47">
        <f t="shared" si="199"/>
        <v>0</v>
      </c>
      <c r="ES99" s="47">
        <f t="shared" si="200"/>
        <v>0</v>
      </c>
      <c r="ET99" s="47">
        <f t="shared" si="201"/>
        <v>0</v>
      </c>
      <c r="EU99" s="47">
        <f t="shared" si="202"/>
        <v>0</v>
      </c>
      <c r="EV99" s="47">
        <f t="shared" si="203"/>
        <v>0</v>
      </c>
      <c r="EW99" s="47">
        <f t="shared" si="204"/>
        <v>0</v>
      </c>
      <c r="EX99" s="47">
        <f t="shared" si="205"/>
        <v>0</v>
      </c>
      <c r="EY99" s="47">
        <f t="shared" si="206"/>
        <v>0</v>
      </c>
      <c r="EZ99" s="47">
        <f t="shared" si="207"/>
        <v>0</v>
      </c>
      <c r="FA99" s="47">
        <f t="shared" si="208"/>
        <v>157.35833333333332</v>
      </c>
      <c r="FB99" s="47">
        <f t="shared" si="209"/>
        <v>0</v>
      </c>
      <c r="FC99" s="47">
        <f t="shared" si="210"/>
        <v>143.35833333333332</v>
      </c>
      <c r="FD99" s="47">
        <f t="shared" si="211"/>
        <v>0</v>
      </c>
      <c r="FE99" s="47">
        <f t="shared" si="212"/>
        <v>129.35833333333332</v>
      </c>
      <c r="FF99" s="47">
        <f t="shared" si="213"/>
        <v>0</v>
      </c>
      <c r="FG99" s="47">
        <f t="shared" si="214"/>
        <v>115.35833333333332</v>
      </c>
      <c r="FH99" s="47">
        <f t="shared" si="215"/>
        <v>0</v>
      </c>
      <c r="FI99" s="47">
        <f t="shared" si="216"/>
        <v>101.35833333333332</v>
      </c>
      <c r="FJ99" s="47">
        <f t="shared" si="217"/>
        <v>0</v>
      </c>
      <c r="FK99" s="47">
        <f t="shared" si="218"/>
        <v>87.35833333333332</v>
      </c>
      <c r="FL99" s="47">
        <f t="shared" si="219"/>
        <v>0</v>
      </c>
      <c r="FM99" s="47">
        <f t="shared" si="220"/>
        <v>73.379166666666663</v>
      </c>
      <c r="FN99" s="47">
        <f t="shared" si="221"/>
        <v>2.0833333333333037E-2</v>
      </c>
      <c r="FO99" s="765">
        <f t="shared" ca="1" si="222"/>
        <v>722.18617698221135</v>
      </c>
      <c r="FP99" s="765">
        <f t="shared" ca="1" si="223"/>
        <v>792.82576232368115</v>
      </c>
      <c r="FQ99" s="765">
        <f t="shared" ca="1" si="224"/>
        <v>2644.1657419694238</v>
      </c>
      <c r="FR99" s="765">
        <f t="shared" ca="1" si="225"/>
        <v>78996.620739038204</v>
      </c>
      <c r="FS99" s="765">
        <f t="shared" ca="1" si="226"/>
        <v>1852283.9125822491</v>
      </c>
      <c r="FT99" s="765">
        <f t="shared" ca="1" si="227"/>
        <v>5993179.5814212868</v>
      </c>
      <c r="FU99" s="765">
        <f t="shared" si="228"/>
        <v>34.302140199061583</v>
      </c>
      <c r="FV99" s="765">
        <f t="shared" si="229"/>
        <v>70.508922237380602</v>
      </c>
      <c r="FW99" s="765">
        <f t="shared" si="230"/>
        <v>496.22515442404</v>
      </c>
      <c r="FX99" s="765">
        <f t="shared" ca="1" si="231"/>
        <v>685.95162954058037</v>
      </c>
      <c r="FY99" s="765">
        <f t="shared" ca="1" si="232"/>
        <v>3082.9874171819747</v>
      </c>
      <c r="FZ99" s="765">
        <f t="shared" ca="1" si="233"/>
        <v>78603.681758437611</v>
      </c>
      <c r="GA99" s="765">
        <f t="shared" si="234"/>
        <v>106668.43333333333</v>
      </c>
      <c r="GB99" s="765">
        <f t="shared" si="235"/>
        <v>23.732516717550649</v>
      </c>
      <c r="GC99" s="765">
        <f t="shared" si="236"/>
        <v>66.339130434782618</v>
      </c>
      <c r="GD99" s="765">
        <f t="shared" si="237"/>
        <v>412.01689393939392</v>
      </c>
    </row>
    <row r="100" spans="1:186">
      <c r="A100" s="4">
        <v>44986</v>
      </c>
      <c r="B100" s="6">
        <v>2023</v>
      </c>
      <c r="C100" s="5">
        <v>3</v>
      </c>
      <c r="D100" s="7">
        <v>83825168.552348897</v>
      </c>
      <c r="E100" s="7">
        <f ca="1">IFERROR(VLOOKUP($B100-1,CDM!$V$4:$AJ$17,2,FALSE)/12,0)+IFERROR(VLOOKUP($B100,CDM!$V$41:$AJ$54,2,FALSE)/24,0)+IFERROR(VLOOKUP($B100,CDM!$V$41:$AJ$54,2,FALSE)/2*$C100/78,0)</f>
        <v>3848683.4070130666</v>
      </c>
      <c r="F100" s="7">
        <f t="shared" ca="1" si="169"/>
        <v>87673851.95936197</v>
      </c>
      <c r="G100" s="7">
        <f>IFERROR(HLOOKUP(B100-1,'EV Forecast VRZ'!$F$124:$T$130,2,FALSE)/12,0)+IFERROR(((HLOOKUP(B100,'EV Forecast VRZ'!$F$116:$T$122,2,FALSE)-HLOOKUP(B100-1,'EV Forecast VRZ'!$F$124:$T$130,2,FALSE)))*C100/78,0)</f>
        <v>737061.7488923819</v>
      </c>
      <c r="H100" s="7">
        <f ca="1">HLOOKUP(B100,Heating!$C$102:$O$106,2,FALSE)*INDEX(Weather!$BO$1:$CB$20,MATCH(B100,Weather!$BO$1:$BO$20,0),MATCH(C100,Weather!$BO$1:$CB$1,0))/VLOOKUP(B100,Weather!$BO$2:$CB$20,14,FALSE)*
VLOOKUP('Monthly Data'!$B100,Weather!$BO$3:$CB$20,14,FALSE)/Weather!$CB$14</f>
        <v>1695334.0087530629</v>
      </c>
      <c r="I100" s="7">
        <f t="shared" ca="1" si="170"/>
        <v>85241456.201716527</v>
      </c>
      <c r="J100" s="7">
        <v>1156779.74205</v>
      </c>
      <c r="K100" s="7">
        <f ca="1">IFERROR(VLOOKUP($B100-1,CDM!$V$4:$AJ$17,3,FALSE)/12,0)+IFERROR(VLOOKUP($B100,CDM!$V$41:$AJ$54,3,FALSE)/24,0)+IFERROR(VLOOKUP($B100,CDM!$V$41:$AJ$54,3,FALSE)/2*$C100/78,0)</f>
        <v>44082.000316852434</v>
      </c>
      <c r="L100" s="7">
        <f t="shared" ca="1" si="171"/>
        <v>1200861.7423668525</v>
      </c>
      <c r="M100" s="7">
        <f>IFERROR(HLOOKUP(B100-1,'EV Forecast VRZ'!$F$124:$T$130,3,FALSE)/12,0)+IFERROR(((HLOOKUP(B100,'EV Forecast VRZ'!$F$116:$T$122,3,FALSE)-HLOOKUP(B100-1,'EV Forecast VRZ'!$F$124:$T$130,3,FALSE)))*C100/78,0)</f>
        <v>10027.28456915652</v>
      </c>
      <c r="N100" s="7">
        <f ca="1">HLOOKUP(B100,Heating!$C$102:$O$106,3,FALSE)*INDEX(Weather!$BO$1:$CB$20,MATCH(B100,Weather!$BO$1:$BO$20,0),MATCH(C100,Weather!$BO$1:$CB$1,0))/VLOOKUP(B100,Weather!$BO$2:$CB$20,14,FALSE)*
VLOOKUP('Monthly Data'!$B100,Weather!$BO$3:$CB$20,14,FALSE)/Weather!$CB$14</f>
        <v>20487.89979935687</v>
      </c>
      <c r="O100" s="7">
        <f t="shared" ca="1" si="172"/>
        <v>1170346.5579983389</v>
      </c>
      <c r="P100" s="7">
        <v>25127831.671030097</v>
      </c>
      <c r="Q100" s="7">
        <f ca="1">IFERROR(VLOOKUP($B100-1,CDM!$V$4:$AJ$17,4,FALSE)/12,0)+IFERROR(VLOOKUP($B100,CDM!$V$41:$AJ$54,4,FALSE)/24,0)+IFERROR(VLOOKUP($B100,CDM!$V$41:$AJ$54,4,FALSE)/2*$C100/78,0)</f>
        <v>1568007.8285807699</v>
      </c>
      <c r="R100" s="7">
        <f t="shared" ca="1" si="173"/>
        <v>26695839.499610867</v>
      </c>
      <c r="S100" s="7">
        <f>IFERROR(HLOOKUP(B100-1,'EV Forecast VRZ'!$F$124:$T$130,4,FALSE)/12,0)+IFERROR(((HLOOKUP(B100,'EV Forecast VRZ'!$F$116:$T$122,4,FALSE)-HLOOKUP(B100-1,'EV Forecast VRZ'!$F$124:$T$130,4,FALSE)))*C100/78,0)</f>
        <v>91574.162307692313</v>
      </c>
      <c r="T100" s="7">
        <f ca="1">HLOOKUP(B100,Heating!$C$102:$O$106,4,FALSE)*INDEX(Weather!$BO$1:$CB$20,MATCH(B100,Weather!$BO$1:$BO$20,0),MATCH(C100,Weather!$BO$1:$CB$1,0))/VLOOKUP(B100,Weather!$BO$2:$CB$20,14,FALSE)*
VLOOKUP('Monthly Data'!$B100,Weather!$BO$3:$CB$20,14,FALSE)/Weather!$CB$14</f>
        <v>416489.7302101542</v>
      </c>
      <c r="U100" s="7">
        <f t="shared" ca="1" si="174"/>
        <v>26187775.607093021</v>
      </c>
      <c r="V100" s="7">
        <v>80315108.040000007</v>
      </c>
      <c r="W100" s="7">
        <f ca="1">IFERROR(VLOOKUP($B100-1,CDM!$V$4:$AJ$17,5,FALSE)/12,0)+IFERROR(VLOOKUP($B100,CDM!$V$41:$AJ$54,5,FALSE)/24,0)+IFERROR(VLOOKUP($B100,CDM!$V$41:$AJ$54,5,FALSE)/2*$C100/78,0)</f>
        <v>6405019.6047003791</v>
      </c>
      <c r="X100" s="7">
        <f t="shared" ca="1" si="175"/>
        <v>86720127.644700378</v>
      </c>
      <c r="Y100" s="7">
        <f>IFERROR(HLOOKUP(B100-1,'EV Forecast VRZ'!$F$124:$T$130,5,FALSE)/12,0)+IFERROR(((HLOOKUP(B100,'EV Forecast VRZ'!$F$116:$T$122,5,FALSE)-HLOOKUP(B100-1,'EV Forecast VRZ'!$F$124:$T$130,5,FALSE)))*C100/78,0)</f>
        <v>42093.052525641026</v>
      </c>
      <c r="Z100" s="7">
        <f ca="1">HLOOKUP(B100,Heating!$C$102:$O$106,5,FALSE)*INDEX(Weather!$BO$1:$CB$20,MATCH(B100,Weather!$BO$1:$BO$20,0),MATCH(C100,Weather!$BO$1:$CB$1,0))/VLOOKUP(B100,Weather!$BO$2:$CB$20,14,FALSE)*
VLOOKUP('Monthly Data'!$B100,Weather!$BO$3:$CB$20,14,FALSE)/Weather!$CB$14</f>
        <v>217585.41458208745</v>
      </c>
      <c r="AA100" s="7">
        <f t="shared" ca="1" si="176"/>
        <v>86460449.17759265</v>
      </c>
      <c r="AB100" s="7">
        <v>9909696.0299999993</v>
      </c>
      <c r="AC100" s="7">
        <f ca="1">IFERROR(VLOOKUP($B100-1,CDM!$V$4:$AJ$17,6,FALSE)/12,0)+IFERROR(VLOOKUP($B100,CDM!$V$41:$AJ$54,6,FALSE)/24,0)+IFERROR(VLOOKUP($B100,CDM!$V$41:$AJ$54,6,FALSE)/2*$C100/78,0)</f>
        <v>295593.99091258046</v>
      </c>
      <c r="AD100" s="7">
        <f t="shared" ca="1" si="177"/>
        <v>10205290.02091258</v>
      </c>
      <c r="AE100" s="7">
        <f>IFERROR(HLOOKUP(B100-1,'EV Forecast VRZ'!$F$124:$T$130,6,FALSE)/12,0)+IFERROR(((HLOOKUP(B100,'EV Forecast VRZ'!$F$116:$T$122,6,FALSE)-HLOOKUP(B100-1,'EV Forecast VRZ'!$F$124:$T$130,6,FALSE)))*C100/78,0)</f>
        <v>5452.0414487179487</v>
      </c>
      <c r="AF100" s="7">
        <f t="shared" ca="1" si="178"/>
        <v>10199837.979463862</v>
      </c>
      <c r="AG100" s="7">
        <v>26288669.43</v>
      </c>
      <c r="AH100" s="7">
        <f ca="1">IFERROR(VLOOKUP($B100-1,CDM!$V$4:$AJ$17,7,FALSE)/12,0)+IFERROR(VLOOKUP($B100,CDM!$V$41:$AJ$54,7,FALSE)/24,0)+IFERROR(VLOOKUP($B100,CDM!$V$41:$AJ$54,7,FALSE)/2*$C100/78,0)</f>
        <v>1833414.347582629</v>
      </c>
      <c r="AI100" s="7">
        <f t="shared" ca="1" si="179"/>
        <v>28122083.777582631</v>
      </c>
      <c r="AJ100" s="7">
        <f>IFERROR(HLOOKUP(B100-1,'EV Forecast VRZ'!$F$124:$T$130,7,FALSE)/12,0)+IFERROR(((HLOOKUP(B100,'EV Forecast VRZ'!$F$116:$T$122,7,FALSE)-HLOOKUP(B100-1,'EV Forecast VRZ'!$F$124:$T$130,7,FALSE)))*C100/78,0)</f>
        <v>296.15384615384619</v>
      </c>
      <c r="AK100" s="7">
        <f t="shared" ca="1" si="180"/>
        <v>28121787.623736478</v>
      </c>
      <c r="AL100" s="7">
        <v>1009977.93</v>
      </c>
      <c r="AM100" s="7">
        <v>16942.120000000003</v>
      </c>
      <c r="AN100" s="7">
        <v>396949.85</v>
      </c>
      <c r="AO100" s="5">
        <v>178603.1</v>
      </c>
      <c r="AP100" s="5">
        <v>19762.2</v>
      </c>
      <c r="AQ100" s="5">
        <v>40851</v>
      </c>
      <c r="AR100" s="5">
        <v>2590.21</v>
      </c>
      <c r="AS100" s="763">
        <f t="shared" si="240"/>
        <v>50.666666666666664</v>
      </c>
      <c r="AT100" s="776">
        <v>115208.75</v>
      </c>
      <c r="AU100" s="776">
        <v>1561.75</v>
      </c>
      <c r="AV100" s="776">
        <v>9481.25</v>
      </c>
      <c r="AW100" s="776">
        <v>1023.7499999999999</v>
      </c>
      <c r="AX100" s="776">
        <v>5</v>
      </c>
      <c r="AY100" s="776">
        <v>4.2499999999999991</v>
      </c>
      <c r="AZ100" s="776">
        <v>31977.249999999996</v>
      </c>
      <c r="BA100" s="776">
        <v>243.99999999999997</v>
      </c>
      <c r="BB100" s="776">
        <v>798.50000000000011</v>
      </c>
      <c r="BC100" s="779">
        <v>30021421.281169999</v>
      </c>
      <c r="BD100" s="779">
        <f ca="1">IFERROR(VLOOKUP($B100-1,CDM!$V$4:$AJ$17,11,FALSE)/12,0)+IFERROR(VLOOKUP($B100,CDM!$V$41:$AJ$54,11,FALSE)/24,0)+IFERROR(VLOOKUP($B100,CDM!$V$41:$AJ$54,11,FALSE)/2*$C100/78,0)</f>
        <v>1704967.5273673779</v>
      </c>
      <c r="BE100" s="779">
        <f t="shared" ca="1" si="192"/>
        <v>31726388.808537379</v>
      </c>
      <c r="BF100" s="779">
        <f>IFERROR(HLOOKUP(B100-1,'EV Forecast WRZ'!$F$124:$T$130,2,FALSE)/12,0)+IFERROR(((HLOOKUP(B100,'EV Forecast WRZ'!$F$116:$T$122,2,FALSE)-HLOOKUP(B100-1,'EV Forecast WRZ'!$F$124:$T$130,2,FALSE)))*C100/78,0)</f>
        <v>233174.11743589741</v>
      </c>
      <c r="BG100" s="779">
        <f ca="1">HLOOKUP(B100,Heating!$R$102:$AD$106,2,FALSE)*INDEX(Weather!$BO$1:$CB$20,MATCH(B100,Weather!$BO$1:$BO$20,0),MATCH(C100,Weather!$BO$1:$CB$1,0))/VLOOKUP(B100,Weather!$BO$2:$CB$20,14,FALSE)*
VLOOKUP('Monthly Data'!$B100,Weather!$BO$3:$CB$20,14,FALSE)/Weather!$CB$14</f>
        <v>760006.62101067882</v>
      </c>
      <c r="BH100" s="779">
        <f t="shared" ca="1" si="181"/>
        <v>30733208.070090801</v>
      </c>
      <c r="BI100" s="779">
        <v>7523124.4728100002</v>
      </c>
      <c r="BJ100" s="779">
        <f ca="1">IFERROR(VLOOKUP($B100-1,CDM!$V$4:$AJ$17,12,FALSE)/12,0)+IFERROR(VLOOKUP($B100,CDM!$V$41:$AJ$54,12,FALSE)/24,0)+IFERROR(VLOOKUP($B100,CDM!$V$41:$AJ$54,12,FALSE)/2*$C100/78,0)</f>
        <v>278158.56451842724</v>
      </c>
      <c r="BK100" s="779">
        <f t="shared" ca="1" si="182"/>
        <v>7801283.0373284277</v>
      </c>
      <c r="BL100" s="779">
        <f>IFERROR(HLOOKUP(B100-1,'EV Forecast WRZ'!$F$124:$T$130,3,FALSE)/12,0)+IFERROR(((HLOOKUP(B100,'EV Forecast WRZ'!$F$116:$T$122,3,FALSE)-HLOOKUP(B100-1,'EV Forecast WRZ'!$F$124:$T$130,3,FALSE)))*C100/78,0)</f>
        <v>29251.140512820515</v>
      </c>
      <c r="BM100" s="779">
        <f ca="1">HLOOKUP(B100,Heating!$R$102:$AD$106,4,FALSE)*INDEX(Weather!$BO$1:$CB$20,MATCH(B100,Weather!$BO$1:$BO$20,0),MATCH(C100,Weather!$BO$1:$CB$1,0))/VLOOKUP(B100,Weather!$BO$2:$CB$20,14,FALSE)*
VLOOKUP('Monthly Data'!$B100,Weather!$BO$3:$CB$20,14,FALSE)/Weather!$CB$14</f>
        <v>119012.99255374639</v>
      </c>
      <c r="BN100" s="779">
        <f t="shared" ca="1" si="183"/>
        <v>7653018.904261861</v>
      </c>
      <c r="BO100" s="779">
        <v>28602056.899999999</v>
      </c>
      <c r="BP100" s="779">
        <f ca="1">IFERROR(VLOOKUP($B100-1,CDM!$V$4:$AJ$17,13,FALSE)/12,0)+IFERROR(VLOOKUP($B100,CDM!$V$41:$AJ$54,13,FALSE)/24,0)+IFERROR(VLOOKUP($B100,CDM!$V$41:$AJ$54,13,FALSE)/2*$C100/78,0)</f>
        <v>2706904.0803186521</v>
      </c>
      <c r="BQ100" s="779">
        <f t="shared" ca="1" si="184"/>
        <v>31308960.980318651</v>
      </c>
      <c r="BR100" s="779">
        <f>IFERROR(HLOOKUP(B100-1,'EV Forecast WRZ'!$F$124:$T$130,4,FALSE)/12,0)+IFERROR(((HLOOKUP(B100,'EV Forecast WRZ'!$F$116:$T$122,4,FALSE)-HLOOKUP(B100-1,'EV Forecast WRZ'!$F$124:$T$130,4,FALSE)))*C100/78,0)</f>
        <v>13135.641435897436</v>
      </c>
      <c r="BS100" s="779">
        <f ca="1">HLOOKUP(B100,Heating!$R$102:$AD$106,5,FALSE)*INDEX(Weather!$BO$1:$CB$20,MATCH(B100,Weather!$BO$1:$BO$20,0),MATCH(C100,Weather!$BO$1:$CB$1,0))/VLOOKUP(B100,Weather!$BO$2:$CB$20,14,FALSE)*
VLOOKUP('Monthly Data'!$B100,Weather!$BO$3:$CB$20,14,FALSE)/Weather!$CB$14</f>
        <v>64291.469790976749</v>
      </c>
      <c r="BT100" s="779">
        <f t="shared" ca="1" si="185"/>
        <v>31231533.869091775</v>
      </c>
      <c r="BU100" s="779">
        <v>7582112.1600000001</v>
      </c>
      <c r="BV100" s="779">
        <f ca="1">IFERROR(VLOOKUP($B100-1,CDM!$V$4:$AJ$17,14,FALSE)/12,0)+IFERROR(VLOOKUP($B100,CDM!$V$41:$AJ$54,14,FALSE)/24,0)+IFERROR(VLOOKUP($B100,CDM!$V$41:$AJ$54,14,FALSE)/2*$C100/78,0)</f>
        <v>608670.46331287955</v>
      </c>
      <c r="BW100" s="779">
        <f t="shared" ca="1" si="186"/>
        <v>8190782.6233128794</v>
      </c>
      <c r="BX100" s="779">
        <f>IFERROR(HLOOKUP(B100-1,'EV Forecast WRZ'!$F$124:$T$130,5,FALSE)/12,0)+IFERROR(((HLOOKUP(B100,'EV Forecast WRZ'!$F$116:$T$122,5,FALSE)-HLOOKUP(B100-1,'EV Forecast WRZ'!$F$124:$T$130,5,FALSE)))*C100/78,0)</f>
        <v>1918.4544615384616</v>
      </c>
      <c r="BY100" s="779">
        <f t="shared" ca="1" si="193"/>
        <v>8188864.1688513411</v>
      </c>
      <c r="BZ100" s="779">
        <v>315429.59000000003</v>
      </c>
      <c r="CA100" s="779">
        <v>3300.9</v>
      </c>
      <c r="CB100" s="5">
        <v>162885.84</v>
      </c>
      <c r="CC100" s="5">
        <v>63618.7</v>
      </c>
      <c r="CD100" s="5">
        <v>13381.09</v>
      </c>
      <c r="CE100" s="5">
        <v>812</v>
      </c>
      <c r="CF100" s="763">
        <f t="shared" si="241"/>
        <v>7.666666666666667</v>
      </c>
      <c r="CG100" s="785">
        <v>44704.500000000007</v>
      </c>
      <c r="CH100" s="785">
        <v>2422.7500000000005</v>
      </c>
      <c r="CI100" s="785">
        <v>381.00000000000006</v>
      </c>
      <c r="CJ100" s="785">
        <v>3</v>
      </c>
      <c r="CK100" s="785">
        <v>13499.749999999998</v>
      </c>
      <c r="CL100" s="785">
        <v>46</v>
      </c>
      <c r="CM100" s="785">
        <v>397</v>
      </c>
      <c r="CN100" s="46">
        <f>Weather!C112</f>
        <v>613.0333333333333</v>
      </c>
      <c r="CO100" s="46">
        <f>Weather!D112</f>
        <v>0</v>
      </c>
      <c r="CP100" s="46">
        <f>Weather!E112</f>
        <v>551.03333333333342</v>
      </c>
      <c r="CQ100" s="46">
        <f>Weather!F112</f>
        <v>0</v>
      </c>
      <c r="CR100" s="46">
        <f>Weather!G112</f>
        <v>489.03333333333336</v>
      </c>
      <c r="CS100" s="46">
        <f>Weather!H112</f>
        <v>0</v>
      </c>
      <c r="CT100" s="46">
        <f>Weather!I112</f>
        <v>427.0333333333333</v>
      </c>
      <c r="CU100" s="46">
        <f>Weather!J112</f>
        <v>0</v>
      </c>
      <c r="CV100" s="46">
        <f>Weather!K112</f>
        <v>365.03333333333336</v>
      </c>
      <c r="CW100" s="46">
        <f>Weather!L112</f>
        <v>0</v>
      </c>
      <c r="CX100" s="46">
        <f>Weather!M112</f>
        <v>303.03333333333342</v>
      </c>
      <c r="CY100" s="46">
        <f>Weather!N112</f>
        <v>0</v>
      </c>
      <c r="CZ100" s="46">
        <f>Weather!O112</f>
        <v>241.03333333333333</v>
      </c>
      <c r="DA100" s="46">
        <f>Weather!P112</f>
        <v>0</v>
      </c>
      <c r="DB100" s="368">
        <f>'Economic Data'!D114</f>
        <v>7936.8</v>
      </c>
      <c r="DC100" s="368">
        <f>'Economic Data'!E114</f>
        <v>7848.5</v>
      </c>
      <c r="DD100" s="368">
        <f>'Economic Data'!F114</f>
        <v>236.5</v>
      </c>
      <c r="DE100" s="368">
        <f>'Economic Data'!G114</f>
        <v>235.6</v>
      </c>
      <c r="DF100" s="368">
        <f>'Economic Data'!H114</f>
        <v>67.7</v>
      </c>
      <c r="DG100" s="368">
        <f>'Economic Data'!I114</f>
        <v>67.7</v>
      </c>
      <c r="DH100" s="368">
        <f>'Economic Data'!J114</f>
        <v>865859.6</v>
      </c>
      <c r="DI100" s="368">
        <f>'Economic Data'!K114</f>
        <v>679067</v>
      </c>
      <c r="DJ100" s="368">
        <f>'Economic Data'!L114</f>
        <v>96987.199999999997</v>
      </c>
      <c r="DK100" s="368">
        <f>'Economic Data'!M114</f>
        <v>32826.199999999997</v>
      </c>
      <c r="DL100" s="368">
        <f>'Economic Data'!N114</f>
        <v>860658</v>
      </c>
      <c r="DM100" s="368">
        <f>'Economic Data'!O114</f>
        <v>97288</v>
      </c>
      <c r="DN100" s="368">
        <f>'Economic Data'!P114</f>
        <v>18250</v>
      </c>
      <c r="DO100" s="368">
        <f>'Economic Data'!Q114</f>
        <v>671794</v>
      </c>
      <c r="DP100" s="368">
        <f>'Economic Data'!R114</f>
        <v>32304</v>
      </c>
      <c r="DQ100">
        <v>31</v>
      </c>
      <c r="DR100">
        <v>23</v>
      </c>
      <c r="DS100">
        <v>0</v>
      </c>
      <c r="DT100">
        <v>0</v>
      </c>
      <c r="DU100">
        <v>1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1</v>
      </c>
      <c r="EF100">
        <v>0</v>
      </c>
      <c r="EG100">
        <v>1</v>
      </c>
      <c r="EH100">
        <f t="shared" si="189"/>
        <v>99</v>
      </c>
      <c r="EI100">
        <v>0</v>
      </c>
      <c r="EJ100">
        <v>0</v>
      </c>
      <c r="EK100">
        <v>0.25</v>
      </c>
      <c r="EL100">
        <v>0</v>
      </c>
      <c r="EM100" s="47">
        <f t="shared" si="194"/>
        <v>0</v>
      </c>
      <c r="EN100" s="47">
        <f t="shared" si="195"/>
        <v>0</v>
      </c>
      <c r="EO100" s="47">
        <f t="shared" si="196"/>
        <v>0</v>
      </c>
      <c r="EP100" s="47">
        <f t="shared" si="197"/>
        <v>0</v>
      </c>
      <c r="EQ100" s="47">
        <f t="shared" si="198"/>
        <v>0</v>
      </c>
      <c r="ER100" s="47">
        <f t="shared" si="199"/>
        <v>0</v>
      </c>
      <c r="ES100" s="47">
        <f t="shared" si="200"/>
        <v>0</v>
      </c>
      <c r="ET100" s="47">
        <f t="shared" si="201"/>
        <v>0</v>
      </c>
      <c r="EU100" s="47">
        <f t="shared" si="202"/>
        <v>0</v>
      </c>
      <c r="EV100" s="47">
        <f t="shared" si="203"/>
        <v>0</v>
      </c>
      <c r="EW100" s="47">
        <f t="shared" si="204"/>
        <v>0</v>
      </c>
      <c r="EX100" s="47">
        <f t="shared" si="205"/>
        <v>0</v>
      </c>
      <c r="EY100" s="47">
        <f t="shared" si="206"/>
        <v>0</v>
      </c>
      <c r="EZ100" s="47">
        <f t="shared" si="207"/>
        <v>0</v>
      </c>
      <c r="FA100" s="47">
        <f t="shared" si="208"/>
        <v>153.25833333333333</v>
      </c>
      <c r="FB100" s="47">
        <f t="shared" si="209"/>
        <v>0</v>
      </c>
      <c r="FC100" s="47">
        <f t="shared" si="210"/>
        <v>137.75833333333335</v>
      </c>
      <c r="FD100" s="47">
        <f t="shared" si="211"/>
        <v>0</v>
      </c>
      <c r="FE100" s="47">
        <f t="shared" si="212"/>
        <v>122.25833333333334</v>
      </c>
      <c r="FF100" s="47">
        <f t="shared" si="213"/>
        <v>0</v>
      </c>
      <c r="FG100" s="47">
        <f t="shared" si="214"/>
        <v>106.75833333333333</v>
      </c>
      <c r="FH100" s="47">
        <f t="shared" si="215"/>
        <v>0</v>
      </c>
      <c r="FI100" s="47">
        <f t="shared" si="216"/>
        <v>91.25833333333334</v>
      </c>
      <c r="FJ100" s="47">
        <f t="shared" si="217"/>
        <v>0</v>
      </c>
      <c r="FK100" s="47">
        <f t="shared" si="218"/>
        <v>75.758333333333354</v>
      </c>
      <c r="FL100" s="47">
        <f t="shared" si="219"/>
        <v>0</v>
      </c>
      <c r="FM100" s="47">
        <f t="shared" si="220"/>
        <v>60.258333333333333</v>
      </c>
      <c r="FN100" s="47">
        <f t="shared" si="221"/>
        <v>0</v>
      </c>
      <c r="FO100" s="765">
        <f t="shared" ca="1" si="222"/>
        <v>739.88699818127122</v>
      </c>
      <c r="FP100" s="765">
        <f t="shared" ca="1" si="223"/>
        <v>768.92059700134621</v>
      </c>
      <c r="FQ100" s="765">
        <f t="shared" ca="1" si="224"/>
        <v>2815.6455635713505</v>
      </c>
      <c r="FR100" s="765">
        <f t="shared" ca="1" si="225"/>
        <v>84708.305391648726</v>
      </c>
      <c r="FS100" s="765">
        <f t="shared" ca="1" si="226"/>
        <v>2041058.0041825161</v>
      </c>
      <c r="FT100" s="765">
        <f t="shared" ca="1" si="227"/>
        <v>6616960.8888429729</v>
      </c>
      <c r="FU100" s="765">
        <f t="shared" si="228"/>
        <v>31.584264750721221</v>
      </c>
      <c r="FV100" s="765">
        <f t="shared" si="229"/>
        <v>69.434918032786911</v>
      </c>
      <c r="FW100" s="765">
        <f t="shared" si="230"/>
        <v>497.11941139636809</v>
      </c>
      <c r="FX100" s="765">
        <f t="shared" ca="1" si="231"/>
        <v>709.69116774681243</v>
      </c>
      <c r="FY100" s="765">
        <f t="shared" ca="1" si="232"/>
        <v>3220.01157252231</v>
      </c>
      <c r="FZ100" s="765">
        <f t="shared" ca="1" si="233"/>
        <v>82175.750604510875</v>
      </c>
      <c r="GA100" s="765">
        <f t="shared" si="234"/>
        <v>105143.19666666667</v>
      </c>
      <c r="GB100" s="765">
        <f t="shared" si="235"/>
        <v>23.365587510879838</v>
      </c>
      <c r="GC100" s="765">
        <f t="shared" si="236"/>
        <v>71.758695652173913</v>
      </c>
      <c r="GD100" s="765">
        <f t="shared" si="237"/>
        <v>410.29178841309823</v>
      </c>
    </row>
    <row r="101" spans="1:186">
      <c r="A101" s="4">
        <v>45017</v>
      </c>
      <c r="B101" s="6">
        <v>2023</v>
      </c>
      <c r="C101" s="5">
        <v>4</v>
      </c>
      <c r="D101" s="7">
        <v>70735646.642241701</v>
      </c>
      <c r="E101" s="7">
        <f ca="1">IFERROR(VLOOKUP($B101-1,CDM!$V$4:$AJ$17,2,FALSE)/12,0)+IFERROR(VLOOKUP($B101,CDM!$V$41:$AJ$54,2,FALSE)/24,0)+IFERROR(VLOOKUP($B101,CDM!$V$41:$AJ$54,2,FALSE)/2*$C101/78,0)</f>
        <v>3848766.2867898559</v>
      </c>
      <c r="F101" s="7">
        <f t="shared" ca="1" si="169"/>
        <v>74584412.929031551</v>
      </c>
      <c r="G101" s="7">
        <f>IFERROR(HLOOKUP(B101-1,'EV Forecast VRZ'!$F$124:$T$130,2,FALSE)/12,0)+IFERROR(((HLOOKUP(B101,'EV Forecast VRZ'!$F$116:$T$122,2,FALSE)-HLOOKUP(B101-1,'EV Forecast VRZ'!$F$124:$T$130,2,FALSE)))*C101/78,0)</f>
        <v>763601.6998754103</v>
      </c>
      <c r="H101" s="7">
        <f ca="1">HLOOKUP(B101,Heating!$C$102:$O$106,2,FALSE)*INDEX(Weather!$BO$1:$CB$20,MATCH(B101,Weather!$BO$1:$BO$20,0),MATCH(C101,Weather!$BO$1:$CB$1,0))/VLOOKUP(B101,Weather!$BO$2:$CB$20,14,FALSE)*
VLOOKUP('Monthly Data'!$B101,Weather!$BO$3:$CB$20,14,FALSE)/Weather!$CB$14</f>
        <v>927300.83522746305</v>
      </c>
      <c r="I101" s="7">
        <f t="shared" ca="1" si="170"/>
        <v>72893510.393928677</v>
      </c>
      <c r="J101" s="7">
        <v>866422.849779999</v>
      </c>
      <c r="K101" s="7">
        <f ca="1">IFERROR(VLOOKUP($B101-1,CDM!$V$4:$AJ$17,3,FALSE)/12,0)+IFERROR(VLOOKUP($B101,CDM!$V$41:$AJ$54,3,FALSE)/24,0)+IFERROR(VLOOKUP($B101,CDM!$V$41:$AJ$54,3,FALSE)/2*$C101/78,0)</f>
        <v>44082.942925276562</v>
      </c>
      <c r="L101" s="7">
        <f t="shared" ca="1" si="171"/>
        <v>910505.79270527558</v>
      </c>
      <c r="M101" s="7">
        <f>IFERROR(HLOOKUP(B101-1,'EV Forecast VRZ'!$F$124:$T$130,3,FALSE)/12,0)+IFERROR(((HLOOKUP(B101,'EV Forecast VRZ'!$F$116:$T$122,3,FALSE)-HLOOKUP(B101-1,'EV Forecast VRZ'!$F$124:$T$130,3,FALSE)))*C101/78,0)</f>
        <v>10388.344739974242</v>
      </c>
      <c r="N101" s="7">
        <f ca="1">HLOOKUP(B101,Heating!$C$102:$O$106,3,FALSE)*INDEX(Weather!$BO$1:$CB$20,MATCH(B101,Weather!$BO$1:$BO$20,0),MATCH(C101,Weather!$BO$1:$CB$1,0))/VLOOKUP(B101,Weather!$BO$2:$CB$20,14,FALSE)*
VLOOKUP('Monthly Data'!$B101,Weather!$BO$3:$CB$20,14,FALSE)/Weather!$CB$14</f>
        <v>11206.314801632374</v>
      </c>
      <c r="O101" s="7">
        <f t="shared" ca="1" si="172"/>
        <v>888911.13316366891</v>
      </c>
      <c r="P101" s="7">
        <v>21260204.256179798</v>
      </c>
      <c r="Q101" s="7">
        <f ca="1">IFERROR(VLOOKUP($B101-1,CDM!$V$4:$AJ$17,4,FALSE)/12,0)+IFERROR(VLOOKUP($B101,CDM!$V$41:$AJ$54,4,FALSE)/24,0)+IFERROR(VLOOKUP($B101,CDM!$V$41:$AJ$54,4,FALSE)/2*$C101/78,0)</f>
        <v>1572267.5229622857</v>
      </c>
      <c r="R101" s="7">
        <f t="shared" ca="1" si="173"/>
        <v>22832471.779142085</v>
      </c>
      <c r="S101" s="7">
        <f>IFERROR(HLOOKUP(B101-1,'EV Forecast VRZ'!$F$124:$T$130,4,FALSE)/12,0)+IFERROR(((HLOOKUP(B101,'EV Forecast VRZ'!$F$116:$T$122,4,FALSE)-HLOOKUP(B101-1,'EV Forecast VRZ'!$F$124:$T$130,4,FALSE)))*C101/78,0)</f>
        <v>95001.88307692307</v>
      </c>
      <c r="T101" s="7">
        <f ca="1">HLOOKUP(B101,Heating!$C$102:$O$106,4,FALSE)*INDEX(Weather!$BO$1:$CB$20,MATCH(B101,Weather!$BO$1:$BO$20,0),MATCH(C101,Weather!$BO$1:$CB$1,0))/VLOOKUP(B101,Weather!$BO$2:$CB$20,14,FALSE)*
VLOOKUP('Monthly Data'!$B101,Weather!$BO$3:$CB$20,14,FALSE)/Weather!$CB$14</f>
        <v>227808.36855363942</v>
      </c>
      <c r="U101" s="7">
        <f t="shared" ca="1" si="174"/>
        <v>22509661.527511522</v>
      </c>
      <c r="V101" s="7">
        <v>71528747.340000004</v>
      </c>
      <c r="W101" s="7">
        <f ca="1">IFERROR(VLOOKUP($B101-1,CDM!$V$4:$AJ$17,5,FALSE)/12,0)+IFERROR(VLOOKUP($B101,CDM!$V$41:$AJ$54,5,FALSE)/24,0)+IFERROR(VLOOKUP($B101,CDM!$V$41:$AJ$54,5,FALSE)/2*$C101/78,0)</f>
        <v>6434876.8375602243</v>
      </c>
      <c r="X101" s="7">
        <f t="shared" ca="1" si="175"/>
        <v>77963624.177560225</v>
      </c>
      <c r="Y101" s="7">
        <f>IFERROR(HLOOKUP(B101-1,'EV Forecast VRZ'!$F$124:$T$130,5,FALSE)/12,0)+IFERROR(((HLOOKUP(B101,'EV Forecast VRZ'!$F$116:$T$122,5,FALSE)-HLOOKUP(B101-1,'EV Forecast VRZ'!$F$124:$T$130,5,FALSE)))*C101/78,0)</f>
        <v>43736.808923076918</v>
      </c>
      <c r="Z101" s="7">
        <f ca="1">HLOOKUP(B101,Heating!$C$102:$O$106,5,FALSE)*INDEX(Weather!$BO$1:$CB$20,MATCH(B101,Weather!$BO$1:$BO$20,0),MATCH(C101,Weather!$BO$1:$CB$1,0))/VLOOKUP(B101,Weather!$BO$2:$CB$20,14,FALSE)*
VLOOKUP('Monthly Data'!$B101,Weather!$BO$3:$CB$20,14,FALSE)/Weather!$CB$14</f>
        <v>119013.20662096875</v>
      </c>
      <c r="AA101" s="7">
        <f t="shared" ca="1" si="176"/>
        <v>77800874.162016183</v>
      </c>
      <c r="AB101" s="7">
        <v>8847117.5099999998</v>
      </c>
      <c r="AC101" s="7">
        <f ca="1">IFERROR(VLOOKUP($B101-1,CDM!$V$4:$AJ$17,6,FALSE)/12,0)+IFERROR(VLOOKUP($B101,CDM!$V$41:$AJ$54,6,FALSE)/24,0)+IFERROR(VLOOKUP($B101,CDM!$V$41:$AJ$54,6,FALSE)/2*$C101/78,0)</f>
        <v>297852.15891391481</v>
      </c>
      <c r="AD101" s="7">
        <f t="shared" ca="1" si="177"/>
        <v>9144969.6689139139</v>
      </c>
      <c r="AE101" s="7">
        <f>IFERROR(HLOOKUP(B101-1,'EV Forecast VRZ'!$F$124:$T$130,6,FALSE)/12,0)+IFERROR(((HLOOKUP(B101,'EV Forecast VRZ'!$F$116:$T$122,6,FALSE)-HLOOKUP(B101-1,'EV Forecast VRZ'!$F$124:$T$130,6,FALSE)))*C101/78,0)</f>
        <v>5665.0941538461539</v>
      </c>
      <c r="AF101" s="7">
        <f t="shared" ca="1" si="178"/>
        <v>9139304.5747600682</v>
      </c>
      <c r="AG101" s="7">
        <v>24443821.32</v>
      </c>
      <c r="AH101" s="7">
        <f ca="1">IFERROR(VLOOKUP($B101-1,CDM!$V$4:$AJ$17,7,FALSE)/12,0)+IFERROR(VLOOKUP($B101,CDM!$V$41:$AJ$54,7,FALSE)/24,0)+IFERROR(VLOOKUP($B101,CDM!$V$41:$AJ$54,7,FALSE)/2*$C101/78,0)</f>
        <v>1842467.7859098993</v>
      </c>
      <c r="AI101" s="7">
        <f t="shared" ca="1" si="179"/>
        <v>26286289.105909899</v>
      </c>
      <c r="AJ101" s="7">
        <f>IFERROR(HLOOKUP(B101-1,'EV Forecast VRZ'!$F$124:$T$130,7,FALSE)/12,0)+IFERROR(((HLOOKUP(B101,'EV Forecast VRZ'!$F$116:$T$122,7,FALSE)-HLOOKUP(B101-1,'EV Forecast VRZ'!$F$124:$T$130,7,FALSE)))*C101/78,0)</f>
        <v>336.53846153846155</v>
      </c>
      <c r="AK101" s="7">
        <f t="shared" ca="1" si="180"/>
        <v>26285952.567448359</v>
      </c>
      <c r="AL101" s="7">
        <v>855223.27</v>
      </c>
      <c r="AM101" s="7">
        <v>17112.420000000006</v>
      </c>
      <c r="AN101" s="7">
        <v>396504.95</v>
      </c>
      <c r="AO101" s="5">
        <v>180883.64</v>
      </c>
      <c r="AP101" s="5">
        <v>18818.77</v>
      </c>
      <c r="AQ101" s="5">
        <v>41039</v>
      </c>
      <c r="AR101" s="5">
        <v>2590.21</v>
      </c>
      <c r="AS101" s="763">
        <f t="shared" si="240"/>
        <v>50.666666666666664</v>
      </c>
      <c r="AT101" s="776">
        <v>115346</v>
      </c>
      <c r="AU101" s="776">
        <v>1562</v>
      </c>
      <c r="AV101" s="776">
        <v>9483</v>
      </c>
      <c r="AW101" s="776">
        <v>1025.6666666666665</v>
      </c>
      <c r="AX101" s="776">
        <v>5</v>
      </c>
      <c r="AY101" s="776">
        <v>4.3333333333333321</v>
      </c>
      <c r="AZ101" s="776">
        <v>32021.333333333328</v>
      </c>
      <c r="BA101" s="776">
        <v>243.66666666666663</v>
      </c>
      <c r="BB101" s="776">
        <v>798.33333333333348</v>
      </c>
      <c r="BC101" s="779">
        <v>26638350.0997799</v>
      </c>
      <c r="BD101" s="779">
        <f ca="1">IFERROR(VLOOKUP($B101-1,CDM!$V$4:$AJ$17,11,FALSE)/12,0)+IFERROR(VLOOKUP($B101,CDM!$V$41:$AJ$54,11,FALSE)/24,0)+IFERROR(VLOOKUP($B101,CDM!$V$41:$AJ$54,11,FALSE)/2*$C101/78,0)</f>
        <v>1705333.5104446856</v>
      </c>
      <c r="BE101" s="779">
        <f t="shared" ca="1" si="192"/>
        <v>28343683.610224586</v>
      </c>
      <c r="BF101" s="779">
        <f>IFERROR(HLOOKUP(B101-1,'EV Forecast WRZ'!$F$124:$T$130,2,FALSE)/12,0)+IFERROR(((HLOOKUP(B101,'EV Forecast WRZ'!$F$116:$T$122,2,FALSE)-HLOOKUP(B101-1,'EV Forecast WRZ'!$F$124:$T$130,2,FALSE)))*C101/78,0)</f>
        <v>242152.18769230766</v>
      </c>
      <c r="BG101" s="779">
        <f ca="1">HLOOKUP(B101,Heating!$R$102:$AD$106,2,FALSE)*INDEX(Weather!$BO$1:$CB$20,MATCH(B101,Weather!$BO$1:$BO$20,0),MATCH(C101,Weather!$BO$1:$CB$1,0))/VLOOKUP(B101,Weather!$BO$2:$CB$20,14,FALSE)*
VLOOKUP('Monthly Data'!$B101,Weather!$BO$3:$CB$20,14,FALSE)/Weather!$CB$14</f>
        <v>415702.61128658621</v>
      </c>
      <c r="BH101" s="779">
        <f t="shared" ca="1" si="181"/>
        <v>27685828.811245691</v>
      </c>
      <c r="BI101" s="779">
        <v>6435024.5605400093</v>
      </c>
      <c r="BJ101" s="779">
        <f ca="1">IFERROR(VLOOKUP($B101-1,CDM!$V$4:$AJ$17,12,FALSE)/12,0)+IFERROR(VLOOKUP($B101,CDM!$V$41:$AJ$54,12,FALSE)/24,0)+IFERROR(VLOOKUP($B101,CDM!$V$41:$AJ$54,12,FALSE)/2*$C101/78,0)</f>
        <v>279701.61402745993</v>
      </c>
      <c r="BK101" s="779">
        <f t="shared" ca="1" si="182"/>
        <v>6714726.1745674694</v>
      </c>
      <c r="BL101" s="779">
        <f>IFERROR(HLOOKUP(B101-1,'EV Forecast WRZ'!$F$124:$T$130,3,FALSE)/12,0)+IFERROR(((HLOOKUP(B101,'EV Forecast WRZ'!$F$116:$T$122,3,FALSE)-HLOOKUP(B101-1,'EV Forecast WRZ'!$F$124:$T$130,3,FALSE)))*C101/78,0)</f>
        <v>30431.818461538467</v>
      </c>
      <c r="BM101" s="779">
        <f ca="1">HLOOKUP(B101,Heating!$R$102:$AD$106,4,FALSE)*INDEX(Weather!$BO$1:$CB$20,MATCH(B101,Weather!$BO$1:$BO$20,0),MATCH(C101,Weather!$BO$1:$CB$1,0))/VLOOKUP(B101,Weather!$BO$2:$CB$20,14,FALSE)*
VLOOKUP('Monthly Data'!$B101,Weather!$BO$3:$CB$20,14,FALSE)/Weather!$CB$14</f>
        <v>65096.816809084426</v>
      </c>
      <c r="BN101" s="779">
        <f t="shared" ca="1" si="183"/>
        <v>6619197.5392968468</v>
      </c>
      <c r="BO101" s="779">
        <v>24845160.359999999</v>
      </c>
      <c r="BP101" s="779">
        <f ca="1">IFERROR(VLOOKUP($B101-1,CDM!$V$4:$AJ$17,13,FALSE)/12,0)+IFERROR(VLOOKUP($B101,CDM!$V$41:$AJ$54,13,FALSE)/24,0)+IFERROR(VLOOKUP($B101,CDM!$V$41:$AJ$54,13,FALSE)/2*$C101/78,0)</f>
        <v>2722418.4551781947</v>
      </c>
      <c r="BQ101" s="779">
        <f t="shared" ca="1" si="184"/>
        <v>27567578.815178193</v>
      </c>
      <c r="BR101" s="779">
        <f>IFERROR(HLOOKUP(B101-1,'EV Forecast WRZ'!$F$124:$T$130,4,FALSE)/12,0)+IFERROR(((HLOOKUP(B101,'EV Forecast WRZ'!$F$116:$T$122,4,FALSE)-HLOOKUP(B101-1,'EV Forecast WRZ'!$F$124:$T$130,4,FALSE)))*C101/78,0)</f>
        <v>13659.35035897436</v>
      </c>
      <c r="BS101" s="779">
        <f ca="1">HLOOKUP(B101,Heating!$R$102:$AD$106,5,FALSE)*INDEX(Weather!$BO$1:$CB$20,MATCH(B101,Weather!$BO$1:$BO$20,0),MATCH(C101,Weather!$BO$1:$CB$1,0))/VLOOKUP(B101,Weather!$BO$2:$CB$20,14,FALSE)*
VLOOKUP('Monthly Data'!$B101,Weather!$BO$3:$CB$20,14,FALSE)/Weather!$CB$14</f>
        <v>35165.656636017891</v>
      </c>
      <c r="BT101" s="779">
        <f t="shared" ca="1" si="185"/>
        <v>27518753.808183201</v>
      </c>
      <c r="BU101" s="779">
        <v>6825504.9199999999</v>
      </c>
      <c r="BV101" s="779">
        <f ca="1">IFERROR(VLOOKUP($B101-1,CDM!$V$4:$AJ$17,14,FALSE)/12,0)+IFERROR(VLOOKUP($B101,CDM!$V$41:$AJ$54,14,FALSE)/24,0)+IFERROR(VLOOKUP($B101,CDM!$V$41:$AJ$54,14,FALSE)/2*$C101/78,0)</f>
        <v>612161.94218484138</v>
      </c>
      <c r="BW101" s="779">
        <f t="shared" ca="1" si="186"/>
        <v>7437666.8621848412</v>
      </c>
      <c r="BX101" s="779">
        <f>IFERROR(HLOOKUP(B101-1,'EV Forecast WRZ'!$F$124:$T$130,5,FALSE)/12,0)+IFERROR(((HLOOKUP(B101,'EV Forecast WRZ'!$F$116:$T$122,5,FALSE)-HLOOKUP(B101-1,'EV Forecast WRZ'!$F$124:$T$130,5,FALSE)))*C101/78,0)</f>
        <v>2004.3152820512821</v>
      </c>
      <c r="BY101" s="779">
        <f t="shared" ca="1" si="193"/>
        <v>7435662.5469027897</v>
      </c>
      <c r="BZ101" s="779">
        <v>269238.59000000003</v>
      </c>
      <c r="CA101" s="779">
        <v>2025</v>
      </c>
      <c r="CB101" s="5">
        <v>162788.62</v>
      </c>
      <c r="CC101" s="5">
        <v>62378.54</v>
      </c>
      <c r="CD101" s="5">
        <v>13660.25</v>
      </c>
      <c r="CE101" s="5">
        <v>818</v>
      </c>
      <c r="CF101" s="763">
        <f t="shared" si="241"/>
        <v>7.666666666666667</v>
      </c>
      <c r="CG101" s="785">
        <v>44773.333333333343</v>
      </c>
      <c r="CH101" s="785">
        <v>2426.3333333333339</v>
      </c>
      <c r="CI101" s="785">
        <v>381.66666666666674</v>
      </c>
      <c r="CJ101" s="785">
        <v>3</v>
      </c>
      <c r="CK101" s="785">
        <v>13515.666666666664</v>
      </c>
      <c r="CL101" s="785">
        <v>46</v>
      </c>
      <c r="CM101" s="785">
        <v>398</v>
      </c>
      <c r="CN101" s="46">
        <f>Weather!C113</f>
        <v>361.4</v>
      </c>
      <c r="CO101" s="46">
        <f>Weather!D113</f>
        <v>0</v>
      </c>
      <c r="CP101" s="46">
        <f>Weather!E113</f>
        <v>301.39999999999998</v>
      </c>
      <c r="CQ101" s="46">
        <f>Weather!F113</f>
        <v>0</v>
      </c>
      <c r="CR101" s="46">
        <f>Weather!G113</f>
        <v>243.15833333333336</v>
      </c>
      <c r="CS101" s="46">
        <f>Weather!H113</f>
        <v>1.75833333333334</v>
      </c>
      <c r="CT101" s="46">
        <f>Weather!I113</f>
        <v>193.11666666666667</v>
      </c>
      <c r="CU101" s="46">
        <f>Weather!J113</f>
        <v>11.71666666666667</v>
      </c>
      <c r="CV101" s="46">
        <f>Weather!K113</f>
        <v>144.11666666666667</v>
      </c>
      <c r="CW101" s="46">
        <f>Weather!L113</f>
        <v>22.716666666666676</v>
      </c>
      <c r="CX101" s="46">
        <f>Weather!M113</f>
        <v>98.574999999999989</v>
      </c>
      <c r="CY101" s="46">
        <f>Weather!N113</f>
        <v>37.175000000000004</v>
      </c>
      <c r="CZ101" s="46">
        <f>Weather!O113</f>
        <v>58.116666666666674</v>
      </c>
      <c r="DA101" s="46">
        <f>Weather!P113</f>
        <v>56.716666666666676</v>
      </c>
      <c r="DB101" s="368">
        <f>'Economic Data'!D115</f>
        <v>7963.7</v>
      </c>
      <c r="DC101" s="368">
        <f>'Economic Data'!E115</f>
        <v>7899.3</v>
      </c>
      <c r="DD101" s="368">
        <f>'Economic Data'!F115</f>
        <v>233.1</v>
      </c>
      <c r="DE101" s="368">
        <f>'Economic Data'!G115</f>
        <v>234.2</v>
      </c>
      <c r="DF101" s="368">
        <f>'Economic Data'!H115</f>
        <v>67.400000000000006</v>
      </c>
      <c r="DG101" s="368">
        <f>'Economic Data'!I115</f>
        <v>67.400000000000006</v>
      </c>
      <c r="DH101" s="368">
        <f>'Economic Data'!J115</f>
        <v>865859.6</v>
      </c>
      <c r="DI101" s="368">
        <f>'Economic Data'!K115</f>
        <v>679067</v>
      </c>
      <c r="DJ101" s="368">
        <f>'Economic Data'!L115</f>
        <v>96987.199999999997</v>
      </c>
      <c r="DK101" s="368">
        <f>'Economic Data'!M115</f>
        <v>32826.199999999997</v>
      </c>
      <c r="DL101" s="368">
        <f>'Economic Data'!N115</f>
        <v>865503</v>
      </c>
      <c r="DM101" s="368">
        <f>'Economic Data'!O115</f>
        <v>99736</v>
      </c>
      <c r="DN101" s="368">
        <f>'Economic Data'!P115</f>
        <v>19421</v>
      </c>
      <c r="DO101" s="368">
        <f>'Economic Data'!Q115</f>
        <v>675983</v>
      </c>
      <c r="DP101" s="368">
        <f>'Economic Data'!R115</f>
        <v>32660</v>
      </c>
      <c r="DQ101">
        <v>30</v>
      </c>
      <c r="DR101">
        <v>19</v>
      </c>
      <c r="DS101">
        <v>0</v>
      </c>
      <c r="DT101">
        <v>0</v>
      </c>
      <c r="DU101">
        <v>0</v>
      </c>
      <c r="DV101">
        <v>1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1</v>
      </c>
      <c r="EF101">
        <v>0</v>
      </c>
      <c r="EG101">
        <v>1</v>
      </c>
      <c r="EH101">
        <f t="shared" si="189"/>
        <v>100</v>
      </c>
      <c r="EI101">
        <v>0</v>
      </c>
      <c r="EJ101">
        <v>0</v>
      </c>
      <c r="EK101">
        <v>0.25</v>
      </c>
      <c r="EL101">
        <v>0</v>
      </c>
      <c r="EM101" s="47">
        <f t="shared" si="194"/>
        <v>0</v>
      </c>
      <c r="EN101" s="47">
        <f t="shared" si="195"/>
        <v>0</v>
      </c>
      <c r="EO101" s="47">
        <f t="shared" si="196"/>
        <v>0</v>
      </c>
      <c r="EP101" s="47">
        <f t="shared" si="197"/>
        <v>0</v>
      </c>
      <c r="EQ101" s="47">
        <f t="shared" si="198"/>
        <v>0</v>
      </c>
      <c r="ER101" s="47">
        <f t="shared" si="199"/>
        <v>0</v>
      </c>
      <c r="ES101" s="47">
        <f t="shared" si="200"/>
        <v>0</v>
      </c>
      <c r="ET101" s="47">
        <f t="shared" si="201"/>
        <v>0</v>
      </c>
      <c r="EU101" s="47">
        <f t="shared" si="202"/>
        <v>0</v>
      </c>
      <c r="EV101" s="47">
        <f t="shared" si="203"/>
        <v>0</v>
      </c>
      <c r="EW101" s="47">
        <f t="shared" si="204"/>
        <v>0</v>
      </c>
      <c r="EX101" s="47">
        <f t="shared" si="205"/>
        <v>0</v>
      </c>
      <c r="EY101" s="47">
        <f t="shared" si="206"/>
        <v>0</v>
      </c>
      <c r="EZ101" s="47">
        <f t="shared" si="207"/>
        <v>0</v>
      </c>
      <c r="FA101" s="47">
        <f t="shared" si="208"/>
        <v>90.35</v>
      </c>
      <c r="FB101" s="47">
        <f t="shared" si="209"/>
        <v>0</v>
      </c>
      <c r="FC101" s="47">
        <f t="shared" si="210"/>
        <v>75.349999999999994</v>
      </c>
      <c r="FD101" s="47">
        <f t="shared" si="211"/>
        <v>0</v>
      </c>
      <c r="FE101" s="47">
        <f t="shared" si="212"/>
        <v>60.78958333333334</v>
      </c>
      <c r="FF101" s="47">
        <f t="shared" si="213"/>
        <v>0.43958333333333499</v>
      </c>
      <c r="FG101" s="47">
        <f t="shared" si="214"/>
        <v>48.279166666666669</v>
      </c>
      <c r="FH101" s="47">
        <f t="shared" si="215"/>
        <v>2.9291666666666676</v>
      </c>
      <c r="FI101" s="47">
        <f t="shared" si="216"/>
        <v>36.029166666666669</v>
      </c>
      <c r="FJ101" s="47">
        <f t="shared" si="217"/>
        <v>5.6791666666666689</v>
      </c>
      <c r="FK101" s="47">
        <f t="shared" si="218"/>
        <v>24.643749999999997</v>
      </c>
      <c r="FL101" s="47">
        <f t="shared" si="219"/>
        <v>9.2937500000000011</v>
      </c>
      <c r="FM101" s="47">
        <f t="shared" si="220"/>
        <v>14.529166666666669</v>
      </c>
      <c r="FN101" s="47">
        <f t="shared" si="221"/>
        <v>14.179166666666669</v>
      </c>
      <c r="FO101" s="765">
        <f t="shared" ca="1" si="222"/>
        <v>631.9552511047516</v>
      </c>
      <c r="FP101" s="765">
        <f t="shared" ca="1" si="223"/>
        <v>582.91023860773089</v>
      </c>
      <c r="FQ101" s="765">
        <f t="shared" ca="1" si="224"/>
        <v>2407.7266454858259</v>
      </c>
      <c r="FR101" s="765">
        <f t="shared" ca="1" si="225"/>
        <v>76012.633257289795</v>
      </c>
      <c r="FS101" s="765">
        <f t="shared" ca="1" si="226"/>
        <v>1828993.9337827829</v>
      </c>
      <c r="FT101" s="765">
        <f t="shared" ca="1" si="227"/>
        <v>6066066.7167484397</v>
      </c>
      <c r="FU101" s="765">
        <f t="shared" si="228"/>
        <v>26.707921906229185</v>
      </c>
      <c r="FV101" s="765">
        <f t="shared" si="229"/>
        <v>70.228809849521241</v>
      </c>
      <c r="FW101" s="765">
        <f t="shared" si="230"/>
        <v>496.66590814196235</v>
      </c>
      <c r="FX101" s="765">
        <f t="shared" ca="1" si="231"/>
        <v>633.04832363515288</v>
      </c>
      <c r="FY101" s="765">
        <f t="shared" ca="1" si="232"/>
        <v>2767.4376320514361</v>
      </c>
      <c r="FZ101" s="765">
        <f t="shared" ca="1" si="233"/>
        <v>72229.46414457167</v>
      </c>
      <c r="GA101" s="765">
        <f t="shared" si="234"/>
        <v>89746.19666666667</v>
      </c>
      <c r="GB101" s="765">
        <f t="shared" si="235"/>
        <v>19.920481663254993</v>
      </c>
      <c r="GC101" s="765">
        <f t="shared" si="236"/>
        <v>44.021739130434781</v>
      </c>
      <c r="GD101" s="765">
        <f t="shared" si="237"/>
        <v>409.01663316582915</v>
      </c>
    </row>
    <row r="102" spans="1:186">
      <c r="A102" s="4">
        <v>45047</v>
      </c>
      <c r="B102" s="6">
        <v>2023</v>
      </c>
      <c r="C102" s="5">
        <v>5</v>
      </c>
      <c r="D102" s="7">
        <v>69187439.516359895</v>
      </c>
      <c r="E102" s="7">
        <f ca="1">IFERROR(VLOOKUP($B102-1,CDM!$V$4:$AJ$17,2,FALSE)/12,0)+IFERROR(VLOOKUP($B102,CDM!$V$41:$AJ$54,2,FALSE)/24,0)+IFERROR(VLOOKUP($B102,CDM!$V$41:$AJ$54,2,FALSE)/2*$C102/78,0)</f>
        <v>3848849.1665666448</v>
      </c>
      <c r="F102" s="7">
        <f t="shared" ca="1" si="169"/>
        <v>73036288.682926536</v>
      </c>
      <c r="G102" s="7">
        <f>IFERROR(HLOOKUP(B102-1,'EV Forecast VRZ'!$F$124:$T$130,2,FALSE)/12,0)+IFERROR(((HLOOKUP(B102,'EV Forecast VRZ'!$F$116:$T$122,2,FALSE)-HLOOKUP(B102-1,'EV Forecast VRZ'!$F$124:$T$130,2,FALSE)))*C102/78,0)</f>
        <v>790141.65085843881</v>
      </c>
      <c r="H102" s="7">
        <f ca="1">HLOOKUP(B102,Heating!$C$102:$O$106,2,FALSE)*INDEX(Weather!$BO$1:$CB$20,MATCH(B102,Weather!$BO$1:$BO$20,0),MATCH(C102,Weather!$BO$1:$CB$1,0))/VLOOKUP(B102,Weather!$BO$2:$CB$20,14,FALSE)*
VLOOKUP('Monthly Data'!$B102,Weather!$BO$3:$CB$20,14,FALSE)/Weather!$CB$14</f>
        <v>503228.89304341079</v>
      </c>
      <c r="I102" s="7">
        <f t="shared" ca="1" si="170"/>
        <v>71742918.13902469</v>
      </c>
      <c r="J102" s="7">
        <v>880344.35894000006</v>
      </c>
      <c r="K102" s="7">
        <f ca="1">IFERROR(VLOOKUP($B102-1,CDM!$V$4:$AJ$17,3,FALSE)/12,0)+IFERROR(VLOOKUP($B102,CDM!$V$41:$AJ$54,3,FALSE)/24,0)+IFERROR(VLOOKUP($B102,CDM!$V$41:$AJ$54,3,FALSE)/2*$C102/78,0)</f>
        <v>44083.885533700683</v>
      </c>
      <c r="L102" s="7">
        <f t="shared" ca="1" si="171"/>
        <v>924428.24447370076</v>
      </c>
      <c r="M102" s="7">
        <f>IFERROR(HLOOKUP(B102-1,'EV Forecast VRZ'!$F$124:$T$130,3,FALSE)/12,0)+IFERROR(((HLOOKUP(B102,'EV Forecast VRZ'!$F$116:$T$122,3,FALSE)-HLOOKUP(B102-1,'EV Forecast VRZ'!$F$124:$T$130,3,FALSE)))*C102/78,0)</f>
        <v>10749.404910791964</v>
      </c>
      <c r="N102" s="7">
        <f ca="1">HLOOKUP(B102,Heating!$C$102:$O$106,3,FALSE)*INDEX(Weather!$BO$1:$CB$20,MATCH(B102,Weather!$BO$1:$BO$20,0),MATCH(C102,Weather!$BO$1:$CB$1,0))/VLOOKUP(B102,Weather!$BO$2:$CB$20,14,FALSE)*
VLOOKUP('Monthly Data'!$B102,Weather!$BO$3:$CB$20,14,FALSE)/Weather!$CB$14</f>
        <v>6081.4583342180886</v>
      </c>
      <c r="O102" s="7">
        <f t="shared" ca="1" si="172"/>
        <v>907597.38122869062</v>
      </c>
      <c r="P102" s="7">
        <v>21327740.14573</v>
      </c>
      <c r="Q102" s="7">
        <f ca="1">IFERROR(VLOOKUP($B102-1,CDM!$V$4:$AJ$17,4,FALSE)/12,0)+IFERROR(VLOOKUP($B102,CDM!$V$41:$AJ$54,4,FALSE)/24,0)+IFERROR(VLOOKUP($B102,CDM!$V$41:$AJ$54,4,FALSE)/2*$C102/78,0)</f>
        <v>1576527.2173438014</v>
      </c>
      <c r="R102" s="7">
        <f t="shared" ca="1" si="173"/>
        <v>22904267.3630738</v>
      </c>
      <c r="S102" s="7">
        <f>IFERROR(HLOOKUP(B102-1,'EV Forecast VRZ'!$F$124:$T$130,4,FALSE)/12,0)+IFERROR(((HLOOKUP(B102,'EV Forecast VRZ'!$F$116:$T$122,4,FALSE)-HLOOKUP(B102-1,'EV Forecast VRZ'!$F$124:$T$130,4,FALSE)))*C102/78,0)</f>
        <v>98429.603846153841</v>
      </c>
      <c r="T102" s="7">
        <f ca="1">HLOOKUP(B102,Heating!$C$102:$O$106,4,FALSE)*INDEX(Weather!$BO$1:$CB$20,MATCH(B102,Weather!$BO$1:$BO$20,0),MATCH(C102,Weather!$BO$1:$CB$1,0))/VLOOKUP(B102,Weather!$BO$2:$CB$20,14,FALSE)*
VLOOKUP('Monthly Data'!$B102,Weather!$BO$3:$CB$20,14,FALSE)/Weather!$CB$14</f>
        <v>123627.35886585574</v>
      </c>
      <c r="U102" s="7">
        <f t="shared" ca="1" si="174"/>
        <v>22682210.400361788</v>
      </c>
      <c r="V102" s="7">
        <v>74348242.730000004</v>
      </c>
      <c r="W102" s="7">
        <f ca="1">IFERROR(VLOOKUP($B102-1,CDM!$V$4:$AJ$17,5,FALSE)/12,0)+IFERROR(VLOOKUP($B102,CDM!$V$41:$AJ$54,5,FALSE)/24,0)+IFERROR(VLOOKUP($B102,CDM!$V$41:$AJ$54,5,FALSE)/2*$C102/78,0)</f>
        <v>6464734.0704200696</v>
      </c>
      <c r="X102" s="7">
        <f t="shared" ca="1" si="175"/>
        <v>80812976.800420076</v>
      </c>
      <c r="Y102" s="7">
        <f>IFERROR(HLOOKUP(B102-1,'EV Forecast VRZ'!$F$124:$T$130,5,FALSE)/12,0)+IFERROR(((HLOOKUP(B102,'EV Forecast VRZ'!$F$116:$T$122,5,FALSE)-HLOOKUP(B102-1,'EV Forecast VRZ'!$F$124:$T$130,5,FALSE)))*C102/78,0)</f>
        <v>45380.565320512818</v>
      </c>
      <c r="Z102" s="7">
        <f ca="1">HLOOKUP(B102,Heating!$C$102:$O$106,5,FALSE)*INDEX(Weather!$BO$1:$CB$20,MATCH(B102,Weather!$BO$1:$BO$20,0),MATCH(C102,Weather!$BO$1:$CB$1,0))/VLOOKUP(B102,Weather!$BO$2:$CB$20,14,FALSE)*
VLOOKUP('Monthly Data'!$B102,Weather!$BO$3:$CB$20,14,FALSE)/Weather!$CB$14</f>
        <v>64586.250707652864</v>
      </c>
      <c r="AA102" s="7">
        <f t="shared" ca="1" si="176"/>
        <v>80703009.984391913</v>
      </c>
      <c r="AB102" s="7">
        <v>9343115.9700000007</v>
      </c>
      <c r="AC102" s="7">
        <f ca="1">IFERROR(VLOOKUP($B102-1,CDM!$V$4:$AJ$17,6,FALSE)/12,0)+IFERROR(VLOOKUP($B102,CDM!$V$41:$AJ$54,6,FALSE)/24,0)+IFERROR(VLOOKUP($B102,CDM!$V$41:$AJ$54,6,FALSE)/2*$C102/78,0)</f>
        <v>300110.32691524923</v>
      </c>
      <c r="AD102" s="7">
        <f t="shared" ca="1" si="177"/>
        <v>9643226.2969152499</v>
      </c>
      <c r="AE102" s="7">
        <f>IFERROR(HLOOKUP(B102-1,'EV Forecast VRZ'!$F$124:$T$130,6,FALSE)/12,0)+IFERROR(((HLOOKUP(B102,'EV Forecast VRZ'!$F$116:$T$122,6,FALSE)-HLOOKUP(B102-1,'EV Forecast VRZ'!$F$124:$T$130,6,FALSE)))*C102/78,0)</f>
        <v>5878.1468589743599</v>
      </c>
      <c r="AF102" s="7">
        <f t="shared" ca="1" si="178"/>
        <v>9637348.1500562765</v>
      </c>
      <c r="AG102" s="7">
        <v>23355474</v>
      </c>
      <c r="AH102" s="7">
        <f ca="1">IFERROR(VLOOKUP($B102-1,CDM!$V$4:$AJ$17,7,FALSE)/12,0)+IFERROR(VLOOKUP($B102,CDM!$V$41:$AJ$54,7,FALSE)/24,0)+IFERROR(VLOOKUP($B102,CDM!$V$41:$AJ$54,7,FALSE)/2*$C102/78,0)</f>
        <v>1851521.2242371694</v>
      </c>
      <c r="AI102" s="7">
        <f t="shared" ca="1" si="179"/>
        <v>25206995.22423717</v>
      </c>
      <c r="AJ102" s="7">
        <f>IFERROR(HLOOKUP(B102-1,'EV Forecast VRZ'!$F$124:$T$130,7,FALSE)/12,0)+IFERROR(((HLOOKUP(B102,'EV Forecast VRZ'!$F$116:$T$122,7,FALSE)-HLOOKUP(B102-1,'EV Forecast VRZ'!$F$124:$T$130,7,FALSE)))*C102/78,0)</f>
        <v>376.92307692307691</v>
      </c>
      <c r="AK102" s="7">
        <f t="shared" ca="1" si="180"/>
        <v>25206618.301160246</v>
      </c>
      <c r="AL102" s="7">
        <v>778703.74</v>
      </c>
      <c r="AM102" s="7">
        <v>17301.48</v>
      </c>
      <c r="AN102" s="7">
        <v>396448.82</v>
      </c>
      <c r="AO102" s="5">
        <v>186224.89</v>
      </c>
      <c r="AP102" s="5">
        <v>19013.72</v>
      </c>
      <c r="AQ102" s="5">
        <v>47217</v>
      </c>
      <c r="AR102" s="5">
        <v>2590.7800000000002</v>
      </c>
      <c r="AS102" s="763">
        <f t="shared" si="240"/>
        <v>50.666666666666664</v>
      </c>
      <c r="AT102" s="776">
        <v>115483.25</v>
      </c>
      <c r="AU102" s="776">
        <v>1562.25</v>
      </c>
      <c r="AV102" s="776">
        <v>9484.75</v>
      </c>
      <c r="AW102" s="776">
        <v>1027.5833333333333</v>
      </c>
      <c r="AX102" s="776">
        <v>5</v>
      </c>
      <c r="AY102" s="776">
        <v>4.4166666666666652</v>
      </c>
      <c r="AZ102" s="776">
        <v>32065.416666666661</v>
      </c>
      <c r="BA102" s="776">
        <v>243.33333333333329</v>
      </c>
      <c r="BB102" s="776">
        <v>798.16666666666686</v>
      </c>
      <c r="BC102" s="779">
        <v>28171254.7515199</v>
      </c>
      <c r="BD102" s="779">
        <f ca="1">IFERROR(VLOOKUP($B102-1,CDM!$V$4:$AJ$17,11,FALSE)/12,0)+IFERROR(VLOOKUP($B102,CDM!$V$41:$AJ$54,11,FALSE)/24,0)+IFERROR(VLOOKUP($B102,CDM!$V$41:$AJ$54,11,FALSE)/2*$C102/78,0)</f>
        <v>1705699.4935219933</v>
      </c>
      <c r="BE102" s="779">
        <f t="shared" ca="1" si="192"/>
        <v>29876954.245041892</v>
      </c>
      <c r="BF102" s="779">
        <f>IFERROR(HLOOKUP(B102-1,'EV Forecast WRZ'!$F$124:$T$130,2,FALSE)/12,0)+IFERROR(((HLOOKUP(B102,'EV Forecast WRZ'!$F$116:$T$122,2,FALSE)-HLOOKUP(B102-1,'EV Forecast WRZ'!$F$124:$T$130,2,FALSE)))*C102/78,0)</f>
        <v>251130.25794871792</v>
      </c>
      <c r="BG102" s="779">
        <f ca="1">HLOOKUP(B102,Heating!$R$102:$AD$106,2,FALSE)*INDEX(Weather!$BO$1:$CB$20,MATCH(B102,Weather!$BO$1:$BO$20,0),MATCH(C102,Weather!$BO$1:$CB$1,0))/VLOOKUP(B102,Weather!$BO$2:$CB$20,14,FALSE)*
VLOOKUP('Monthly Data'!$B102,Weather!$BO$3:$CB$20,14,FALSE)/Weather!$CB$14</f>
        <v>225594.06501741125</v>
      </c>
      <c r="BH102" s="779">
        <f t="shared" ca="1" si="181"/>
        <v>29400229.922075763</v>
      </c>
      <c r="BI102" s="779">
        <v>6600638.7329799803</v>
      </c>
      <c r="BJ102" s="779">
        <f ca="1">IFERROR(VLOOKUP($B102-1,CDM!$V$4:$AJ$17,12,FALSE)/12,0)+IFERROR(VLOOKUP($B102,CDM!$V$41:$AJ$54,12,FALSE)/24,0)+IFERROR(VLOOKUP($B102,CDM!$V$41:$AJ$54,12,FALSE)/2*$C102/78,0)</f>
        <v>281244.66353649256</v>
      </c>
      <c r="BK102" s="779">
        <f t="shared" ca="1" si="182"/>
        <v>6881883.396516473</v>
      </c>
      <c r="BL102" s="779">
        <f>IFERROR(HLOOKUP(B102-1,'EV Forecast WRZ'!$F$124:$T$130,3,FALSE)/12,0)+IFERROR(((HLOOKUP(B102,'EV Forecast WRZ'!$F$116:$T$122,3,FALSE)-HLOOKUP(B102-1,'EV Forecast WRZ'!$F$124:$T$130,3,FALSE)))*C102/78,0)</f>
        <v>31612.496410256415</v>
      </c>
      <c r="BM102" s="779">
        <f ca="1">HLOOKUP(B102,Heating!$R$102:$AD$106,4,FALSE)*INDEX(Weather!$BO$1:$CB$20,MATCH(B102,Weather!$BO$1:$BO$20,0),MATCH(C102,Weather!$BO$1:$CB$1,0))/VLOOKUP(B102,Weather!$BO$2:$CB$20,14,FALSE)*
VLOOKUP('Monthly Data'!$B102,Weather!$BO$3:$CB$20,14,FALSE)/Weather!$CB$14</f>
        <v>35326.83010627258</v>
      </c>
      <c r="BN102" s="779">
        <f t="shared" ca="1" si="183"/>
        <v>6814944.0699999444</v>
      </c>
      <c r="BO102" s="779">
        <v>25540892.25</v>
      </c>
      <c r="BP102" s="779">
        <f ca="1">IFERROR(VLOOKUP($B102-1,CDM!$V$4:$AJ$17,13,FALSE)/12,0)+IFERROR(VLOOKUP($B102,CDM!$V$41:$AJ$54,13,FALSE)/24,0)+IFERROR(VLOOKUP($B102,CDM!$V$41:$AJ$54,13,FALSE)/2*$C102/78,0)</f>
        <v>2737932.8300377377</v>
      </c>
      <c r="BQ102" s="779">
        <f t="shared" ca="1" si="184"/>
        <v>28278825.080037739</v>
      </c>
      <c r="BR102" s="779">
        <f>IFERROR(HLOOKUP(B102-1,'EV Forecast WRZ'!$F$124:$T$130,4,FALSE)/12,0)+IFERROR(((HLOOKUP(B102,'EV Forecast WRZ'!$F$116:$T$122,4,FALSE)-HLOOKUP(B102-1,'EV Forecast WRZ'!$F$124:$T$130,4,FALSE)))*C102/78,0)</f>
        <v>14183.059282051283</v>
      </c>
      <c r="BS102" s="779">
        <f ca="1">HLOOKUP(B102,Heating!$R$102:$AD$106,5,FALSE)*INDEX(Weather!$BO$1:$CB$20,MATCH(B102,Weather!$BO$1:$BO$20,0),MATCH(C102,Weather!$BO$1:$CB$1,0))/VLOOKUP(B102,Weather!$BO$2:$CB$20,14,FALSE)*
VLOOKUP('Monthly Data'!$B102,Weather!$BO$3:$CB$20,14,FALSE)/Weather!$CB$14</f>
        <v>19083.746924208372</v>
      </c>
      <c r="BT102" s="779">
        <f t="shared" ca="1" si="185"/>
        <v>28245558.273831483</v>
      </c>
      <c r="BU102" s="779">
        <v>6987824.4699999997</v>
      </c>
      <c r="BV102" s="779">
        <f ca="1">IFERROR(VLOOKUP($B102-1,CDM!$V$4:$AJ$17,14,FALSE)/12,0)+IFERROR(VLOOKUP($B102,CDM!$V$41:$AJ$54,14,FALSE)/24,0)+IFERROR(VLOOKUP($B102,CDM!$V$41:$AJ$54,14,FALSE)/2*$C102/78,0)</f>
        <v>615653.4210568032</v>
      </c>
      <c r="BW102" s="779">
        <f t="shared" ca="1" si="186"/>
        <v>7603477.8910568031</v>
      </c>
      <c r="BX102" s="779">
        <f>IFERROR(HLOOKUP(B102-1,'EV Forecast WRZ'!$F$124:$T$130,5,FALSE)/12,0)+IFERROR(((HLOOKUP(B102,'EV Forecast WRZ'!$F$116:$T$122,5,FALSE)-HLOOKUP(B102-1,'EV Forecast WRZ'!$F$124:$T$130,5,FALSE)))*C102/78,0)</f>
        <v>2090.1761025641026</v>
      </c>
      <c r="BY102" s="779">
        <f t="shared" ca="1" si="193"/>
        <v>7601387.7149542393</v>
      </c>
      <c r="BZ102" s="779">
        <v>245092.98</v>
      </c>
      <c r="CA102" s="779">
        <v>2513.0999999999995</v>
      </c>
      <c r="CB102" s="5">
        <v>163042.65</v>
      </c>
      <c r="CC102" s="5">
        <v>64813.18</v>
      </c>
      <c r="CD102" s="5">
        <v>11987.27</v>
      </c>
      <c r="CE102" s="5">
        <v>818</v>
      </c>
      <c r="CF102" s="763">
        <f t="shared" si="241"/>
        <v>7.666666666666667</v>
      </c>
      <c r="CG102" s="785">
        <v>44842.166666666679</v>
      </c>
      <c r="CH102" s="785">
        <v>2429.9166666666674</v>
      </c>
      <c r="CI102" s="785">
        <v>382.33333333333343</v>
      </c>
      <c r="CJ102" s="785">
        <v>3</v>
      </c>
      <c r="CK102" s="785">
        <v>13531.58333333333</v>
      </c>
      <c r="CL102" s="785">
        <v>46</v>
      </c>
      <c r="CM102" s="785">
        <v>399</v>
      </c>
      <c r="CN102" s="46">
        <f>Weather!C114</f>
        <v>219.04750000000001</v>
      </c>
      <c r="CO102" s="46">
        <f>Weather!D114</f>
        <v>1.6166666666666636</v>
      </c>
      <c r="CP102" s="46">
        <f>Weather!E114</f>
        <v>163.56416666666669</v>
      </c>
      <c r="CQ102" s="46">
        <f>Weather!F114</f>
        <v>8.1333333333333258</v>
      </c>
      <c r="CR102" s="46">
        <f>Weather!G114</f>
        <v>113.00166666666665</v>
      </c>
      <c r="CS102" s="46">
        <f>Weather!H114</f>
        <v>19.570833333333329</v>
      </c>
      <c r="CT102" s="46">
        <f>Weather!I114</f>
        <v>68.776666666666671</v>
      </c>
      <c r="CU102" s="46">
        <f>Weather!J114</f>
        <v>37.345833333333331</v>
      </c>
      <c r="CV102" s="46">
        <f>Weather!K114</f>
        <v>37.480833333333329</v>
      </c>
      <c r="CW102" s="46">
        <f>Weather!L114</f>
        <v>68.049999999999983</v>
      </c>
      <c r="CX102" s="46">
        <f>Weather!M114</f>
        <v>20.284999999999989</v>
      </c>
      <c r="CY102" s="46">
        <f>Weather!N114</f>
        <v>112.85416666666666</v>
      </c>
      <c r="CZ102" s="46">
        <f>Weather!O114</f>
        <v>7.2058333333333309</v>
      </c>
      <c r="DA102" s="46">
        <f>Weather!P114</f>
        <v>161.77500000000001</v>
      </c>
      <c r="DB102" s="368">
        <f>'Economic Data'!D116</f>
        <v>7975.3</v>
      </c>
      <c r="DC102" s="368">
        <f>'Economic Data'!E116</f>
        <v>7966.2</v>
      </c>
      <c r="DD102" s="368">
        <f>'Economic Data'!F116</f>
        <v>230</v>
      </c>
      <c r="DE102" s="368">
        <f>'Economic Data'!G116</f>
        <v>232</v>
      </c>
      <c r="DF102" s="368">
        <f>'Economic Data'!H116</f>
        <v>68.2</v>
      </c>
      <c r="DG102" s="368">
        <f>'Economic Data'!I116</f>
        <v>68.2</v>
      </c>
      <c r="DH102" s="368">
        <f>'Economic Data'!J116</f>
        <v>865859.6</v>
      </c>
      <c r="DI102" s="368">
        <f>'Economic Data'!K116</f>
        <v>679067</v>
      </c>
      <c r="DJ102" s="368">
        <f>'Economic Data'!L116</f>
        <v>96987.199999999997</v>
      </c>
      <c r="DK102" s="368">
        <f>'Economic Data'!M116</f>
        <v>32826.199999999997</v>
      </c>
      <c r="DL102" s="368">
        <f>'Economic Data'!N116</f>
        <v>865503</v>
      </c>
      <c r="DM102" s="368">
        <f>'Economic Data'!O116</f>
        <v>99736</v>
      </c>
      <c r="DN102" s="368">
        <f>'Economic Data'!P116</f>
        <v>19421</v>
      </c>
      <c r="DO102" s="368">
        <f>'Economic Data'!Q116</f>
        <v>675983</v>
      </c>
      <c r="DP102" s="368">
        <f>'Economic Data'!R116</f>
        <v>32660</v>
      </c>
      <c r="DQ102">
        <v>31</v>
      </c>
      <c r="DR102">
        <v>22</v>
      </c>
      <c r="DS102">
        <v>0</v>
      </c>
      <c r="DT102">
        <v>0</v>
      </c>
      <c r="DU102">
        <v>0</v>
      </c>
      <c r="DV102">
        <v>0</v>
      </c>
      <c r="DW102">
        <v>1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1</v>
      </c>
      <c r="EF102">
        <v>0</v>
      </c>
      <c r="EG102">
        <v>1</v>
      </c>
      <c r="EH102">
        <f t="shared" si="189"/>
        <v>101</v>
      </c>
      <c r="EI102">
        <v>0</v>
      </c>
      <c r="EJ102">
        <v>0</v>
      </c>
      <c r="EK102">
        <v>0.25</v>
      </c>
      <c r="EL102">
        <v>0</v>
      </c>
      <c r="EM102" s="47">
        <f t="shared" si="194"/>
        <v>0</v>
      </c>
      <c r="EN102" s="47">
        <f t="shared" si="195"/>
        <v>0</v>
      </c>
      <c r="EO102" s="47">
        <f t="shared" si="196"/>
        <v>0</v>
      </c>
      <c r="EP102" s="47">
        <f t="shared" si="197"/>
        <v>0</v>
      </c>
      <c r="EQ102" s="47">
        <f t="shared" si="198"/>
        <v>0</v>
      </c>
      <c r="ER102" s="47">
        <f t="shared" si="199"/>
        <v>0</v>
      </c>
      <c r="ES102" s="47">
        <f t="shared" si="200"/>
        <v>0</v>
      </c>
      <c r="ET102" s="47">
        <f t="shared" si="201"/>
        <v>0</v>
      </c>
      <c r="EU102" s="47">
        <f t="shared" si="202"/>
        <v>0</v>
      </c>
      <c r="EV102" s="47">
        <f t="shared" si="203"/>
        <v>0</v>
      </c>
      <c r="EW102" s="47">
        <f t="shared" si="204"/>
        <v>0</v>
      </c>
      <c r="EX102" s="47">
        <f t="shared" si="205"/>
        <v>0</v>
      </c>
      <c r="EY102" s="47">
        <f t="shared" si="206"/>
        <v>0</v>
      </c>
      <c r="EZ102" s="47">
        <f t="shared" si="207"/>
        <v>0</v>
      </c>
      <c r="FA102" s="47">
        <f t="shared" si="208"/>
        <v>54.761875000000003</v>
      </c>
      <c r="FB102" s="47">
        <f t="shared" si="209"/>
        <v>0.4041666666666659</v>
      </c>
      <c r="FC102" s="47">
        <f t="shared" si="210"/>
        <v>40.891041666666673</v>
      </c>
      <c r="FD102" s="47">
        <f t="shared" si="211"/>
        <v>2.0333333333333314</v>
      </c>
      <c r="FE102" s="47">
        <f t="shared" si="212"/>
        <v>28.250416666666663</v>
      </c>
      <c r="FF102" s="47">
        <f t="shared" si="213"/>
        <v>4.8927083333333323</v>
      </c>
      <c r="FG102" s="47">
        <f t="shared" si="214"/>
        <v>17.194166666666668</v>
      </c>
      <c r="FH102" s="47">
        <f t="shared" si="215"/>
        <v>9.3364583333333329</v>
      </c>
      <c r="FI102" s="47">
        <f t="shared" si="216"/>
        <v>9.3702083333333324</v>
      </c>
      <c r="FJ102" s="47">
        <f t="shared" si="217"/>
        <v>17.012499999999996</v>
      </c>
      <c r="FK102" s="47">
        <f t="shared" si="218"/>
        <v>5.0712499999999974</v>
      </c>
      <c r="FL102" s="47">
        <f t="shared" si="219"/>
        <v>28.213541666666664</v>
      </c>
      <c r="FM102" s="47">
        <f t="shared" si="220"/>
        <v>1.8014583333333327</v>
      </c>
      <c r="FN102" s="47">
        <f t="shared" si="221"/>
        <v>40.443750000000001</v>
      </c>
      <c r="FO102" s="765">
        <f t="shared" ca="1" si="222"/>
        <v>621.24089977572237</v>
      </c>
      <c r="FP102" s="765">
        <f t="shared" ca="1" si="223"/>
        <v>591.7287530636587</v>
      </c>
      <c r="FQ102" s="765">
        <f t="shared" ca="1" si="224"/>
        <v>2414.8519848255146</v>
      </c>
      <c r="FR102" s="765">
        <f t="shared" ca="1" si="225"/>
        <v>78643.720834080043</v>
      </c>
      <c r="FS102" s="765">
        <f t="shared" ca="1" si="226"/>
        <v>1928645.25938305</v>
      </c>
      <c r="FT102" s="765">
        <f t="shared" ca="1" si="227"/>
        <v>5707244.201714078</v>
      </c>
      <c r="FU102" s="765">
        <f t="shared" si="228"/>
        <v>24.284847070441938</v>
      </c>
      <c r="FV102" s="765">
        <f t="shared" si="229"/>
        <v>71.101972602739735</v>
      </c>
      <c r="FW102" s="765">
        <f t="shared" si="230"/>
        <v>496.69929421591138</v>
      </c>
      <c r="FX102" s="765">
        <f t="shared" ca="1" si="231"/>
        <v>666.26919406307047</v>
      </c>
      <c r="FY102" s="765">
        <f t="shared" ca="1" si="232"/>
        <v>2832.1479048732003</v>
      </c>
      <c r="FZ102" s="765">
        <f t="shared" ca="1" si="233"/>
        <v>73963.797070717701</v>
      </c>
      <c r="GA102" s="765">
        <f t="shared" si="234"/>
        <v>81697.66</v>
      </c>
      <c r="GB102" s="765">
        <f t="shared" si="235"/>
        <v>18.112660873635143</v>
      </c>
      <c r="GC102" s="765">
        <f t="shared" si="236"/>
        <v>54.632608695652159</v>
      </c>
      <c r="GD102" s="765">
        <f t="shared" si="237"/>
        <v>408.62819548872181</v>
      </c>
    </row>
    <row r="103" spans="1:186">
      <c r="A103" s="4">
        <v>45078</v>
      </c>
      <c r="B103" s="6">
        <v>2023</v>
      </c>
      <c r="C103" s="5">
        <v>6</v>
      </c>
      <c r="D103" s="7">
        <v>84004642.685399607</v>
      </c>
      <c r="E103" s="7">
        <f ca="1">IFERROR(VLOOKUP($B103-1,CDM!$V$4:$AJ$17,2,FALSE)/12,0)+IFERROR(VLOOKUP($B103,CDM!$V$41:$AJ$54,2,FALSE)/24,0)+IFERROR(VLOOKUP($B103,CDM!$V$41:$AJ$54,2,FALSE)/2*$C103/78,0)</f>
        <v>3848932.0463434337</v>
      </c>
      <c r="F103" s="7">
        <f t="shared" ca="1" si="169"/>
        <v>87853574.731743038</v>
      </c>
      <c r="G103" s="7">
        <f>IFERROR(HLOOKUP(B103-1,'EV Forecast VRZ'!$F$124:$T$130,2,FALSE)/12,0)+IFERROR(((HLOOKUP(B103,'EV Forecast VRZ'!$F$116:$T$122,2,FALSE)-HLOOKUP(B103-1,'EV Forecast VRZ'!$F$124:$T$130,2,FALSE)))*C103/78,0)</f>
        <v>816681.6018414672</v>
      </c>
      <c r="H103" s="7">
        <f ca="1">HLOOKUP(B103,Heating!$C$102:$O$106,2,FALSE)*INDEX(Weather!$BO$1:$CB$20,MATCH(B103,Weather!$BO$1:$BO$20,0),MATCH(C103,Weather!$BO$1:$CB$1,0))/VLOOKUP(B103,Weather!$BO$2:$CB$20,14,FALSE)*
VLOOKUP('Monthly Data'!$B103,Weather!$BO$3:$CB$20,14,FALSE)/Weather!$CB$14</f>
        <v>65968.398834335938</v>
      </c>
      <c r="I103" s="7">
        <f t="shared" ca="1" si="170"/>
        <v>86970924.73106724</v>
      </c>
      <c r="J103" s="7">
        <v>781259.17608</v>
      </c>
      <c r="K103" s="7">
        <f ca="1">IFERROR(VLOOKUP($B103-1,CDM!$V$4:$AJ$17,3,FALSE)/12,0)+IFERROR(VLOOKUP($B103,CDM!$V$41:$AJ$54,3,FALSE)/24,0)+IFERROR(VLOOKUP($B103,CDM!$V$41:$AJ$54,3,FALSE)/2*$C103/78,0)</f>
        <v>44084.828142124803</v>
      </c>
      <c r="L103" s="7">
        <f t="shared" ca="1" si="171"/>
        <v>825344.00422212481</v>
      </c>
      <c r="M103" s="7">
        <f>IFERROR(HLOOKUP(B103-1,'EV Forecast VRZ'!$F$124:$T$130,3,FALSE)/12,0)+IFERROR(((HLOOKUP(B103,'EV Forecast VRZ'!$F$116:$T$122,3,FALSE)-HLOOKUP(B103-1,'EV Forecast VRZ'!$F$124:$T$130,3,FALSE)))*C103/78,0)</f>
        <v>11110.465081609684</v>
      </c>
      <c r="N103" s="7">
        <f ca="1">HLOOKUP(B103,Heating!$C$102:$O$106,3,FALSE)*INDEX(Weather!$BO$1:$CB$20,MATCH(B103,Weather!$BO$1:$BO$20,0),MATCH(C103,Weather!$BO$1:$CB$1,0))/VLOOKUP(B103,Weather!$BO$2:$CB$20,14,FALSE)*
VLOOKUP('Monthly Data'!$B103,Weather!$BO$3:$CB$20,14,FALSE)/Weather!$CB$14</f>
        <v>797.21986243641038</v>
      </c>
      <c r="O103" s="7">
        <f t="shared" ca="1" si="172"/>
        <v>813436.31927807874</v>
      </c>
      <c r="P103" s="7">
        <v>22572296.523479898</v>
      </c>
      <c r="Q103" s="7">
        <f ca="1">IFERROR(VLOOKUP($B103-1,CDM!$V$4:$AJ$17,4,FALSE)/12,0)+IFERROR(VLOOKUP($B103,CDM!$V$41:$AJ$54,4,FALSE)/24,0)+IFERROR(VLOOKUP($B103,CDM!$V$41:$AJ$54,4,FALSE)/2*$C103/78,0)</f>
        <v>1580786.9117253169</v>
      </c>
      <c r="R103" s="7">
        <f t="shared" ca="1" si="173"/>
        <v>24153083.435205214</v>
      </c>
      <c r="S103" s="7">
        <f>IFERROR(HLOOKUP(B103-1,'EV Forecast VRZ'!$F$124:$T$130,4,FALSE)/12,0)+IFERROR(((HLOOKUP(B103,'EV Forecast VRZ'!$F$116:$T$122,4,FALSE)-HLOOKUP(B103-1,'EV Forecast VRZ'!$F$124:$T$130,4,FALSE)))*C103/78,0)</f>
        <v>101857.32461538461</v>
      </c>
      <c r="T103" s="7">
        <f ca="1">HLOOKUP(B103,Heating!$C$102:$O$106,4,FALSE)*INDEX(Weather!$BO$1:$CB$20,MATCH(B103,Weather!$BO$1:$BO$20,0),MATCH(C103,Weather!$BO$1:$CB$1,0))/VLOOKUP(B103,Weather!$BO$2:$CB$20,14,FALSE)*
VLOOKUP('Monthly Data'!$B103,Weather!$BO$3:$CB$20,14,FALSE)/Weather!$CB$14</f>
        <v>16206.340751175463</v>
      </c>
      <c r="U103" s="7">
        <f t="shared" ca="1" si="174"/>
        <v>24035019.769838654</v>
      </c>
      <c r="V103" s="7">
        <v>77405552.790000007</v>
      </c>
      <c r="W103" s="7">
        <f ca="1">IFERROR(VLOOKUP($B103-1,CDM!$V$4:$AJ$17,5,FALSE)/12,0)+IFERROR(VLOOKUP($B103,CDM!$V$41:$AJ$54,5,FALSE)/24,0)+IFERROR(VLOOKUP($B103,CDM!$V$41:$AJ$54,5,FALSE)/2*$C103/78,0)</f>
        <v>6494591.3032799158</v>
      </c>
      <c r="X103" s="7">
        <f t="shared" ca="1" si="175"/>
        <v>83900144.093279928</v>
      </c>
      <c r="Y103" s="7">
        <f>IFERROR(HLOOKUP(B103-1,'EV Forecast VRZ'!$F$124:$T$130,5,FALSE)/12,0)+IFERROR(((HLOOKUP(B103,'EV Forecast VRZ'!$F$116:$T$122,5,FALSE)-HLOOKUP(B103-1,'EV Forecast VRZ'!$F$124:$T$130,5,FALSE)))*C103/78,0)</f>
        <v>47024.321717948711</v>
      </c>
      <c r="Z103" s="7">
        <f ca="1">HLOOKUP(B103,Heating!$C$102:$O$106,5,FALSE)*INDEX(Weather!$BO$1:$CB$20,MATCH(B103,Weather!$BO$1:$BO$20,0),MATCH(C103,Weather!$BO$1:$CB$1,0))/VLOOKUP(B103,Weather!$BO$2:$CB$20,14,FALSE)*
VLOOKUP('Monthly Data'!$B103,Weather!$BO$3:$CB$20,14,FALSE)/Weather!$CB$14</f>
        <v>8466.6274230190356</v>
      </c>
      <c r="AA103" s="7">
        <f t="shared" ca="1" si="176"/>
        <v>83844653.144138962</v>
      </c>
      <c r="AB103" s="7">
        <v>9627333.6300000008</v>
      </c>
      <c r="AC103" s="7">
        <f ca="1">IFERROR(VLOOKUP($B103-1,CDM!$V$4:$AJ$17,6,FALSE)/12,0)+IFERROR(VLOOKUP($B103,CDM!$V$41:$AJ$54,6,FALSE)/24,0)+IFERROR(VLOOKUP($B103,CDM!$V$41:$AJ$54,6,FALSE)/2*$C103/78,0)</f>
        <v>302368.49491658359</v>
      </c>
      <c r="AD103" s="7">
        <f t="shared" ca="1" si="177"/>
        <v>9929702.1249165852</v>
      </c>
      <c r="AE103" s="7">
        <f>IFERROR(HLOOKUP(B103-1,'EV Forecast VRZ'!$F$124:$T$130,6,FALSE)/12,0)+IFERROR(((HLOOKUP(B103,'EV Forecast VRZ'!$F$116:$T$122,6,FALSE)-HLOOKUP(B103-1,'EV Forecast VRZ'!$F$124:$T$130,6,FALSE)))*C103/78,0)</f>
        <v>6091.1995641025651</v>
      </c>
      <c r="AF103" s="7">
        <f t="shared" ca="1" si="178"/>
        <v>9923610.9253524821</v>
      </c>
      <c r="AG103" s="7">
        <v>25273589</v>
      </c>
      <c r="AH103" s="7">
        <f ca="1">IFERROR(VLOOKUP($B103-1,CDM!$V$4:$AJ$17,7,FALSE)/12,0)+IFERROR(VLOOKUP($B103,CDM!$V$41:$AJ$54,7,FALSE)/24,0)+IFERROR(VLOOKUP($B103,CDM!$V$41:$AJ$54,7,FALSE)/2*$C103/78,0)</f>
        <v>1860574.6625644395</v>
      </c>
      <c r="AI103" s="7">
        <f t="shared" ca="1" si="179"/>
        <v>27134163.662564438</v>
      </c>
      <c r="AJ103" s="7">
        <f>IFERROR(HLOOKUP(B103-1,'EV Forecast VRZ'!$F$124:$T$130,7,FALSE)/12,0)+IFERROR(((HLOOKUP(B103,'EV Forecast VRZ'!$F$116:$T$122,7,FALSE)-HLOOKUP(B103-1,'EV Forecast VRZ'!$F$124:$T$130,7,FALSE)))*C103/78,0)</f>
        <v>417.30769230769232</v>
      </c>
      <c r="AK103" s="7">
        <f t="shared" ca="1" si="180"/>
        <v>27133746.35487213</v>
      </c>
      <c r="AL103" s="7">
        <v>702364.95</v>
      </c>
      <c r="AM103" s="7">
        <v>17959.140000000003</v>
      </c>
      <c r="AN103" s="7">
        <v>396349.82</v>
      </c>
      <c r="AO103" s="5">
        <v>193394.53</v>
      </c>
      <c r="AP103" s="5">
        <v>20808.04</v>
      </c>
      <c r="AQ103" s="5">
        <v>46460</v>
      </c>
      <c r="AR103" s="5">
        <v>2602.25</v>
      </c>
      <c r="AS103" s="763">
        <f t="shared" si="240"/>
        <v>50.666666666666664</v>
      </c>
      <c r="AT103" s="776">
        <v>115620.5</v>
      </c>
      <c r="AU103" s="776">
        <v>1562.5</v>
      </c>
      <c r="AV103" s="776">
        <v>9486.5</v>
      </c>
      <c r="AW103" s="776">
        <v>1029.5</v>
      </c>
      <c r="AX103" s="776">
        <v>5</v>
      </c>
      <c r="AY103" s="776">
        <v>4.4999999999999982</v>
      </c>
      <c r="AZ103" s="776">
        <v>32109.499999999993</v>
      </c>
      <c r="BA103" s="776">
        <v>242.99999999999994</v>
      </c>
      <c r="BB103" s="776">
        <v>798.00000000000023</v>
      </c>
      <c r="BC103" s="779">
        <v>36338701.619670004</v>
      </c>
      <c r="BD103" s="779">
        <f ca="1">IFERROR(VLOOKUP($B103-1,CDM!$V$4:$AJ$17,11,FALSE)/12,0)+IFERROR(VLOOKUP($B103,CDM!$V$41:$AJ$54,11,FALSE)/24,0)+IFERROR(VLOOKUP($B103,CDM!$V$41:$AJ$54,11,FALSE)/2*$C103/78,0)</f>
        <v>1706065.4765993012</v>
      </c>
      <c r="BE103" s="779">
        <f t="shared" ca="1" si="192"/>
        <v>38044767.096269302</v>
      </c>
      <c r="BF103" s="779">
        <f>IFERROR(HLOOKUP(B103-1,'EV Forecast WRZ'!$F$124:$T$130,2,FALSE)/12,0)+IFERROR(((HLOOKUP(B103,'EV Forecast WRZ'!$F$116:$T$122,2,FALSE)-HLOOKUP(B103-1,'EV Forecast WRZ'!$F$124:$T$130,2,FALSE)))*C103/78,0)</f>
        <v>260108.3282051282</v>
      </c>
      <c r="BG103" s="779">
        <f ca="1">HLOOKUP(B103,Heating!$R$102:$AD$106,2,FALSE)*INDEX(Weather!$BO$1:$CB$20,MATCH(B103,Weather!$BO$1:$BO$20,0),MATCH(C103,Weather!$BO$1:$CB$1,0))/VLOOKUP(B103,Weather!$BO$2:$CB$20,14,FALSE)*
VLOOKUP('Monthly Data'!$B103,Weather!$BO$3:$CB$20,14,FALSE)/Weather!$CB$14</f>
        <v>29573.181233144936</v>
      </c>
      <c r="BH103" s="779">
        <f t="shared" ca="1" si="181"/>
        <v>37755085.586831026</v>
      </c>
      <c r="BI103" s="779">
        <v>6980825.6741900099</v>
      </c>
      <c r="BJ103" s="779">
        <f ca="1">IFERROR(VLOOKUP($B103-1,CDM!$V$4:$AJ$17,12,FALSE)/12,0)+IFERROR(VLOOKUP($B103,CDM!$V$41:$AJ$54,12,FALSE)/24,0)+IFERROR(VLOOKUP($B103,CDM!$V$41:$AJ$54,12,FALSE)/2*$C103/78,0)</f>
        <v>282787.71304552519</v>
      </c>
      <c r="BK103" s="779">
        <f t="shared" ca="1" si="182"/>
        <v>7263613.3872355353</v>
      </c>
      <c r="BL103" s="779">
        <f>IFERROR(HLOOKUP(B103-1,'EV Forecast WRZ'!$F$124:$T$130,3,FALSE)/12,0)+IFERROR(((HLOOKUP(B103,'EV Forecast WRZ'!$F$116:$T$122,3,FALSE)-HLOOKUP(B103-1,'EV Forecast WRZ'!$F$124:$T$130,3,FALSE)))*C103/78,0)</f>
        <v>32793.174358974364</v>
      </c>
      <c r="BM103" s="779">
        <f ca="1">HLOOKUP(B103,Heating!$R$102:$AD$106,4,FALSE)*INDEX(Weather!$BO$1:$CB$20,MATCH(B103,Weather!$BO$1:$BO$20,0),MATCH(C103,Weather!$BO$1:$CB$1,0))/VLOOKUP(B103,Weather!$BO$2:$CB$20,14,FALSE)*
VLOOKUP('Monthly Data'!$B103,Weather!$BO$3:$CB$20,14,FALSE)/Weather!$CB$14</f>
        <v>4631.0028104892226</v>
      </c>
      <c r="BN103" s="779">
        <f t="shared" ca="1" si="183"/>
        <v>7226189.2100660717</v>
      </c>
      <c r="BO103" s="779">
        <v>26913245.190000001</v>
      </c>
      <c r="BP103" s="779">
        <f ca="1">IFERROR(VLOOKUP($B103-1,CDM!$V$4:$AJ$17,13,FALSE)/12,0)+IFERROR(VLOOKUP($B103,CDM!$V$41:$AJ$54,13,FALSE)/24,0)+IFERROR(VLOOKUP($B103,CDM!$V$41:$AJ$54,13,FALSE)/2*$C103/78,0)</f>
        <v>2753447.2048972808</v>
      </c>
      <c r="BQ103" s="779">
        <f t="shared" ca="1" si="184"/>
        <v>29666692.394897282</v>
      </c>
      <c r="BR103" s="779">
        <f>IFERROR(HLOOKUP(B103-1,'EV Forecast WRZ'!$F$124:$T$130,4,FALSE)/12,0)+IFERROR(((HLOOKUP(B103,'EV Forecast WRZ'!$F$116:$T$122,4,FALSE)-HLOOKUP(B103-1,'EV Forecast WRZ'!$F$124:$T$130,4,FALSE)))*C103/78,0)</f>
        <v>14706.768205128206</v>
      </c>
      <c r="BS103" s="779">
        <f ca="1">HLOOKUP(B103,Heating!$R$102:$AD$106,5,FALSE)*INDEX(Weather!$BO$1:$CB$20,MATCH(B103,Weather!$BO$1:$BO$20,0),MATCH(C103,Weather!$BO$1:$CB$1,0))/VLOOKUP(B103,Weather!$BO$2:$CB$20,14,FALSE)*
VLOOKUP('Monthly Data'!$B103,Weather!$BO$3:$CB$20,14,FALSE)/Weather!$CB$14</f>
        <v>2501.6930580754811</v>
      </c>
      <c r="BT103" s="779">
        <f t="shared" ca="1" si="185"/>
        <v>29649483.933634076</v>
      </c>
      <c r="BU103" s="779">
        <v>6660864.1799999997</v>
      </c>
      <c r="BV103" s="779">
        <f ca="1">IFERROR(VLOOKUP($B103-1,CDM!$V$4:$AJ$17,14,FALSE)/12,0)+IFERROR(VLOOKUP($B103,CDM!$V$41:$AJ$54,14,FALSE)/24,0)+IFERROR(VLOOKUP($B103,CDM!$V$41:$AJ$54,14,FALSE)/2*$C103/78,0)</f>
        <v>619144.89992876502</v>
      </c>
      <c r="BW103" s="779">
        <f t="shared" ca="1" si="186"/>
        <v>7280009.0799287651</v>
      </c>
      <c r="BX103" s="779">
        <f>IFERROR(HLOOKUP(B103-1,'EV Forecast WRZ'!$F$124:$T$130,5,FALSE)/12,0)+IFERROR(((HLOOKUP(B103,'EV Forecast WRZ'!$F$116:$T$122,5,FALSE)-HLOOKUP(B103-1,'EV Forecast WRZ'!$F$124:$T$130,5,FALSE)))*C103/78,0)</f>
        <v>2176.0369230769229</v>
      </c>
      <c r="BY103" s="779">
        <f t="shared" ca="1" si="193"/>
        <v>7277833.0430056881</v>
      </c>
      <c r="BZ103" s="779">
        <v>220521.9</v>
      </c>
      <c r="CA103" s="779">
        <v>2836.5</v>
      </c>
      <c r="CB103" s="5">
        <v>163782.79</v>
      </c>
      <c r="CC103" s="5">
        <v>66105.919999999998</v>
      </c>
      <c r="CD103" s="5">
        <v>12440.16</v>
      </c>
      <c r="CE103" s="5">
        <v>820</v>
      </c>
      <c r="CF103" s="763">
        <f t="shared" si="241"/>
        <v>7.666666666666667</v>
      </c>
      <c r="CG103" s="785">
        <v>44911.000000000015</v>
      </c>
      <c r="CH103" s="785">
        <v>2433.5000000000009</v>
      </c>
      <c r="CI103" s="785">
        <v>383.00000000000011</v>
      </c>
      <c r="CJ103" s="785">
        <v>3</v>
      </c>
      <c r="CK103" s="785">
        <v>13547.499999999996</v>
      </c>
      <c r="CL103" s="785">
        <v>46</v>
      </c>
      <c r="CM103" s="785">
        <v>400</v>
      </c>
      <c r="CN103" s="46">
        <f>Weather!C115</f>
        <v>55.599999999999994</v>
      </c>
      <c r="CO103" s="46">
        <f>Weather!D115</f>
        <v>21.141666666666666</v>
      </c>
      <c r="CP103" s="46">
        <f>Weather!E115</f>
        <v>21.441666666666659</v>
      </c>
      <c r="CQ103" s="46">
        <f>Weather!F115</f>
        <v>46.983333333333334</v>
      </c>
      <c r="CR103" s="46">
        <f>Weather!G115</f>
        <v>4.2708333333333268</v>
      </c>
      <c r="CS103" s="46">
        <f>Weather!H115</f>
        <v>89.8125</v>
      </c>
      <c r="CT103" s="46">
        <f>Weather!I115</f>
        <v>0</v>
      </c>
      <c r="CU103" s="46">
        <f>Weather!J115</f>
        <v>145.54166666666666</v>
      </c>
      <c r="CV103" s="46">
        <f>Weather!K115</f>
        <v>0</v>
      </c>
      <c r="CW103" s="46">
        <f>Weather!L115</f>
        <v>205.54166666666669</v>
      </c>
      <c r="CX103" s="46">
        <f>Weather!M115</f>
        <v>0</v>
      </c>
      <c r="CY103" s="46">
        <f>Weather!N115</f>
        <v>265.54166666666669</v>
      </c>
      <c r="CZ103" s="46">
        <f>Weather!O115</f>
        <v>0</v>
      </c>
      <c r="DA103" s="46">
        <f>Weather!P115</f>
        <v>325.54166666666669</v>
      </c>
      <c r="DB103" s="368">
        <f>'Economic Data'!D117</f>
        <v>7998.9</v>
      </c>
      <c r="DC103" s="368">
        <f>'Economic Data'!E117</f>
        <v>8058.5</v>
      </c>
      <c r="DD103" s="368">
        <f>'Economic Data'!F117</f>
        <v>231</v>
      </c>
      <c r="DE103" s="368">
        <f>'Economic Data'!G117</f>
        <v>234</v>
      </c>
      <c r="DF103" s="368">
        <f>'Economic Data'!H117</f>
        <v>70.5</v>
      </c>
      <c r="DG103" s="368">
        <f>'Economic Data'!I117</f>
        <v>70.5</v>
      </c>
      <c r="DH103" s="368">
        <f>'Economic Data'!J117</f>
        <v>865859.6</v>
      </c>
      <c r="DI103" s="368">
        <f>'Economic Data'!K117</f>
        <v>679067</v>
      </c>
      <c r="DJ103" s="368">
        <f>'Economic Data'!L117</f>
        <v>96987.199999999997</v>
      </c>
      <c r="DK103" s="368">
        <f>'Economic Data'!M117</f>
        <v>32826.199999999997</v>
      </c>
      <c r="DL103" s="368">
        <f>'Economic Data'!N117</f>
        <v>865503</v>
      </c>
      <c r="DM103" s="368">
        <f>'Economic Data'!O117</f>
        <v>99736</v>
      </c>
      <c r="DN103" s="368">
        <f>'Economic Data'!P117</f>
        <v>19421</v>
      </c>
      <c r="DO103" s="368">
        <f>'Economic Data'!Q117</f>
        <v>675983</v>
      </c>
      <c r="DP103" s="368">
        <f>'Economic Data'!R117</f>
        <v>32660</v>
      </c>
      <c r="DQ103">
        <v>30</v>
      </c>
      <c r="DR103">
        <v>22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f t="shared" si="189"/>
        <v>102</v>
      </c>
      <c r="EI103">
        <v>0</v>
      </c>
      <c r="EJ103">
        <v>0</v>
      </c>
      <c r="EK103">
        <v>0.25</v>
      </c>
      <c r="EL103">
        <v>0</v>
      </c>
      <c r="EM103" s="47">
        <f t="shared" si="194"/>
        <v>0</v>
      </c>
      <c r="EN103" s="47">
        <f t="shared" si="195"/>
        <v>0</v>
      </c>
      <c r="EO103" s="47">
        <f t="shared" si="196"/>
        <v>0</v>
      </c>
      <c r="EP103" s="47">
        <f t="shared" si="197"/>
        <v>0</v>
      </c>
      <c r="EQ103" s="47">
        <f t="shared" si="198"/>
        <v>0</v>
      </c>
      <c r="ER103" s="47">
        <f t="shared" si="199"/>
        <v>0</v>
      </c>
      <c r="ES103" s="47">
        <f t="shared" si="200"/>
        <v>0</v>
      </c>
      <c r="ET103" s="47">
        <f t="shared" si="201"/>
        <v>0</v>
      </c>
      <c r="EU103" s="47">
        <f t="shared" si="202"/>
        <v>0</v>
      </c>
      <c r="EV103" s="47">
        <f t="shared" si="203"/>
        <v>0</v>
      </c>
      <c r="EW103" s="47">
        <f t="shared" si="204"/>
        <v>0</v>
      </c>
      <c r="EX103" s="47">
        <f t="shared" si="205"/>
        <v>0</v>
      </c>
      <c r="EY103" s="47">
        <f t="shared" si="206"/>
        <v>0</v>
      </c>
      <c r="EZ103" s="47">
        <f t="shared" si="207"/>
        <v>0</v>
      </c>
      <c r="FA103" s="47">
        <f t="shared" si="208"/>
        <v>13.899999999999999</v>
      </c>
      <c r="FB103" s="47">
        <f t="shared" si="209"/>
        <v>5.2854166666666664</v>
      </c>
      <c r="FC103" s="47">
        <f t="shared" si="210"/>
        <v>5.3604166666666648</v>
      </c>
      <c r="FD103" s="47">
        <f t="shared" si="211"/>
        <v>11.745833333333334</v>
      </c>
      <c r="FE103" s="47">
        <f t="shared" si="212"/>
        <v>1.0677083333333317</v>
      </c>
      <c r="FF103" s="47">
        <f t="shared" si="213"/>
        <v>22.453125</v>
      </c>
      <c r="FG103" s="47">
        <f t="shared" si="214"/>
        <v>0</v>
      </c>
      <c r="FH103" s="47">
        <f t="shared" si="215"/>
        <v>36.385416666666664</v>
      </c>
      <c r="FI103" s="47">
        <f t="shared" si="216"/>
        <v>0</v>
      </c>
      <c r="FJ103" s="47">
        <f t="shared" si="217"/>
        <v>51.385416666666671</v>
      </c>
      <c r="FK103" s="47">
        <f t="shared" si="218"/>
        <v>0</v>
      </c>
      <c r="FL103" s="47">
        <f t="shared" si="219"/>
        <v>66.385416666666671</v>
      </c>
      <c r="FM103" s="47">
        <f t="shared" si="220"/>
        <v>0</v>
      </c>
      <c r="FN103" s="47">
        <f t="shared" si="221"/>
        <v>81.385416666666671</v>
      </c>
      <c r="FO103" s="765">
        <f t="shared" ca="1" si="222"/>
        <v>752.21024585663645</v>
      </c>
      <c r="FP103" s="765">
        <f t="shared" ca="1" si="223"/>
        <v>528.22016270215988</v>
      </c>
      <c r="FQ103" s="765">
        <f t="shared" ca="1" si="224"/>
        <v>2546.0479033579522</v>
      </c>
      <c r="FR103" s="765">
        <f t="shared" ca="1" si="225"/>
        <v>81496.011746750781</v>
      </c>
      <c r="FS103" s="765">
        <f t="shared" ca="1" si="226"/>
        <v>1985940.424983317</v>
      </c>
      <c r="FT103" s="765">
        <f t="shared" ca="1" si="227"/>
        <v>6029814.1472365437</v>
      </c>
      <c r="FU103" s="765">
        <f t="shared" si="228"/>
        <v>21.874054407574086</v>
      </c>
      <c r="FV103" s="765">
        <f t="shared" si="229"/>
        <v>73.905925925925956</v>
      </c>
      <c r="FW103" s="765">
        <f t="shared" si="230"/>
        <v>496.67897243107757</v>
      </c>
      <c r="FX103" s="765">
        <f t="shared" ca="1" si="231"/>
        <v>847.11467338222906</v>
      </c>
      <c r="FY103" s="765">
        <f t="shared" ca="1" si="232"/>
        <v>2984.8421562504759</v>
      </c>
      <c r="FZ103" s="765">
        <f t="shared" ca="1" si="233"/>
        <v>77458.726879627342</v>
      </c>
      <c r="GA103" s="765">
        <f t="shared" si="234"/>
        <v>73507.3</v>
      </c>
      <c r="GB103" s="765">
        <f t="shared" si="235"/>
        <v>16.277682229193584</v>
      </c>
      <c r="GC103" s="765">
        <f t="shared" si="236"/>
        <v>61.663043478260867</v>
      </c>
      <c r="GD103" s="765">
        <f t="shared" si="237"/>
        <v>409.456975</v>
      </c>
    </row>
    <row r="104" spans="1:186">
      <c r="A104" s="4">
        <v>45108</v>
      </c>
      <c r="B104" s="6">
        <v>2023</v>
      </c>
      <c r="C104" s="5">
        <v>7</v>
      </c>
      <c r="D104" s="7">
        <v>107257787.27367</v>
      </c>
      <c r="E104" s="7">
        <f ca="1">IFERROR(VLOOKUP($B104-1,CDM!$V$4:$AJ$17,2,FALSE)/12,0)+IFERROR(VLOOKUP($B104,CDM!$V$41:$AJ$54,2,FALSE)/24,0)+IFERROR(VLOOKUP($B104,CDM!$V$41:$AJ$54,2,FALSE)/2*$C104/78,0)</f>
        <v>3849014.926120223</v>
      </c>
      <c r="F104" s="7">
        <f t="shared" ca="1" si="169"/>
        <v>111106802.19979022</v>
      </c>
      <c r="G104" s="7">
        <f>IFERROR(HLOOKUP(B104-1,'EV Forecast VRZ'!$F$124:$T$130,2,FALSE)/12,0)+IFERROR(((HLOOKUP(B104,'EV Forecast VRZ'!$F$116:$T$122,2,FALSE)-HLOOKUP(B104-1,'EV Forecast VRZ'!$F$124:$T$130,2,FALSE)))*C104/78,0)</f>
        <v>843221.55282449559</v>
      </c>
      <c r="H104" s="7">
        <f ca="1">HLOOKUP(B104,Heating!$C$102:$O$106,2,FALSE)*INDEX(Weather!$BO$1:$CB$20,MATCH(B104,Weather!$BO$1:$BO$20,0),MATCH(C104,Weather!$BO$1:$CB$1,0))/VLOOKUP(B104,Weather!$BO$2:$CB$20,14,FALSE)*
VLOOKUP('Monthly Data'!$B104,Weather!$BO$3:$CB$20,14,FALSE)/Weather!$CB$14</f>
        <v>384.58063836572529</v>
      </c>
      <c r="I104" s="7">
        <f t="shared" ca="1" si="170"/>
        <v>110263196.06632736</v>
      </c>
      <c r="J104" s="7">
        <v>1105642.77391</v>
      </c>
      <c r="K104" s="7">
        <f ca="1">IFERROR(VLOOKUP($B104-1,CDM!$V$4:$AJ$17,3,FALSE)/12,0)+IFERROR(VLOOKUP($B104,CDM!$V$41:$AJ$54,3,FALSE)/24,0)+IFERROR(VLOOKUP($B104,CDM!$V$41:$AJ$54,3,FALSE)/2*$C104/78,0)</f>
        <v>44085.770750548923</v>
      </c>
      <c r="L104" s="7">
        <f t="shared" ca="1" si="171"/>
        <v>1149728.5446605489</v>
      </c>
      <c r="M104" s="7">
        <f>IFERROR(HLOOKUP(B104-1,'EV Forecast VRZ'!$F$124:$T$130,3,FALSE)/12,0)+IFERROR(((HLOOKUP(B104,'EV Forecast VRZ'!$F$116:$T$122,3,FALSE)-HLOOKUP(B104-1,'EV Forecast VRZ'!$F$124:$T$130,3,FALSE)))*C104/78,0)</f>
        <v>11471.525252427404</v>
      </c>
      <c r="N104" s="7">
        <f ca="1">HLOOKUP(B104,Heating!$C$102:$O$106,3,FALSE)*INDEX(Weather!$BO$1:$CB$20,MATCH(B104,Weather!$BO$1:$BO$20,0),MATCH(C104,Weather!$BO$1:$CB$1,0))/VLOOKUP(B104,Weather!$BO$2:$CB$20,14,FALSE)*
VLOOKUP('Monthly Data'!$B104,Weather!$BO$3:$CB$20,14,FALSE)/Weather!$CB$14</f>
        <v>4.6476089920504542</v>
      </c>
      <c r="O104" s="7">
        <f t="shared" ca="1" si="172"/>
        <v>1138252.3717991295</v>
      </c>
      <c r="P104" s="7">
        <v>25539378.813110001</v>
      </c>
      <c r="Q104" s="7">
        <f ca="1">IFERROR(VLOOKUP($B104-1,CDM!$V$4:$AJ$17,4,FALSE)/12,0)+IFERROR(VLOOKUP($B104,CDM!$V$41:$AJ$54,4,FALSE)/24,0)+IFERROR(VLOOKUP($B104,CDM!$V$41:$AJ$54,4,FALSE)/2*$C104/78,0)</f>
        <v>1585046.6061068326</v>
      </c>
      <c r="R104" s="7">
        <f t="shared" ca="1" si="173"/>
        <v>27124425.419216834</v>
      </c>
      <c r="S104" s="7">
        <f>IFERROR(HLOOKUP(B104-1,'EV Forecast VRZ'!$F$124:$T$130,4,FALSE)/12,0)+IFERROR(((HLOOKUP(B104,'EV Forecast VRZ'!$F$116:$T$122,4,FALSE)-HLOOKUP(B104-1,'EV Forecast VRZ'!$F$124:$T$130,4,FALSE)))*C104/78,0)</f>
        <v>105285.04538461538</v>
      </c>
      <c r="T104" s="7">
        <f ca="1">HLOOKUP(B104,Heating!$C$102:$O$106,4,FALSE)*INDEX(Weather!$BO$1:$CB$20,MATCH(B104,Weather!$BO$1:$BO$20,0),MATCH(C104,Weather!$BO$1:$CB$1,0))/VLOOKUP(B104,Weather!$BO$2:$CB$20,14,FALSE)*
VLOOKUP('Monthly Data'!$B104,Weather!$BO$3:$CB$20,14,FALSE)/Weather!$CB$14</f>
        <v>94.479250395501396</v>
      </c>
      <c r="U104" s="7">
        <f t="shared" ca="1" si="174"/>
        <v>27019045.894581825</v>
      </c>
      <c r="V104" s="7">
        <v>82394395.980000004</v>
      </c>
      <c r="W104" s="7">
        <f ca="1">IFERROR(VLOOKUP($B104-1,CDM!$V$4:$AJ$17,5,FALSE)/12,0)+IFERROR(VLOOKUP($B104,CDM!$V$41:$AJ$54,5,FALSE)/24,0)+IFERROR(VLOOKUP($B104,CDM!$V$41:$AJ$54,5,FALSE)/2*$C104/78,0)</f>
        <v>6524448.5361397611</v>
      </c>
      <c r="X104" s="7">
        <f t="shared" ca="1" si="175"/>
        <v>88918844.516139761</v>
      </c>
      <c r="Y104" s="7">
        <f>IFERROR(HLOOKUP(B104-1,'EV Forecast VRZ'!$F$124:$T$130,5,FALSE)/12,0)+IFERROR(((HLOOKUP(B104,'EV Forecast VRZ'!$F$116:$T$122,5,FALSE)-HLOOKUP(B104-1,'EV Forecast VRZ'!$F$124:$T$130,5,FALSE)))*C104/78,0)</f>
        <v>48668.078115384611</v>
      </c>
      <c r="Z104" s="7">
        <f ca="1">HLOOKUP(B104,Heating!$C$102:$O$106,5,FALSE)*INDEX(Weather!$BO$1:$CB$20,MATCH(B104,Weather!$BO$1:$BO$20,0),MATCH(C104,Weather!$BO$1:$CB$1,0))/VLOOKUP(B104,Weather!$BO$2:$CB$20,14,FALSE)*
VLOOKUP('Monthly Data'!$B104,Weather!$BO$3:$CB$20,14,FALSE)/Weather!$CB$14</f>
        <v>49.358496442006206</v>
      </c>
      <c r="AA104" s="7">
        <f t="shared" ca="1" si="176"/>
        <v>88870127.079527929</v>
      </c>
      <c r="AB104" s="7">
        <v>9523003.5299999993</v>
      </c>
      <c r="AC104" s="7">
        <f ca="1">IFERROR(VLOOKUP($B104-1,CDM!$V$4:$AJ$17,6,FALSE)/12,0)+IFERROR(VLOOKUP($B104,CDM!$V$41:$AJ$54,6,FALSE)/24,0)+IFERROR(VLOOKUP($B104,CDM!$V$41:$AJ$54,6,FALSE)/2*$C104/78,0)</f>
        <v>304626.66291791794</v>
      </c>
      <c r="AD104" s="7">
        <f t="shared" ca="1" si="177"/>
        <v>9827630.1929179169</v>
      </c>
      <c r="AE104" s="7">
        <f>IFERROR(HLOOKUP(B104-1,'EV Forecast VRZ'!$F$124:$T$130,6,FALSE)/12,0)+IFERROR(((HLOOKUP(B104,'EV Forecast VRZ'!$F$116:$T$122,6,FALSE)-HLOOKUP(B104-1,'EV Forecast VRZ'!$F$124:$T$130,6,FALSE)))*C104/78,0)</f>
        <v>6304.2522692307703</v>
      </c>
      <c r="AF104" s="7">
        <f t="shared" ca="1" si="178"/>
        <v>9821325.9406486861</v>
      </c>
      <c r="AG104" s="7">
        <v>23680673</v>
      </c>
      <c r="AH104" s="7">
        <f ca="1">IFERROR(VLOOKUP($B104-1,CDM!$V$4:$AJ$17,7,FALSE)/12,0)+IFERROR(VLOOKUP($B104,CDM!$V$41:$AJ$54,7,FALSE)/24,0)+IFERROR(VLOOKUP($B104,CDM!$V$41:$AJ$54,7,FALSE)/2*$C104/78,0)</f>
        <v>1869628.1008917096</v>
      </c>
      <c r="AI104" s="7">
        <f t="shared" ca="1" si="179"/>
        <v>25550301.100891709</v>
      </c>
      <c r="AJ104" s="7">
        <f>IFERROR(HLOOKUP(B104-1,'EV Forecast VRZ'!$F$124:$T$130,7,FALSE)/12,0)+IFERROR(((HLOOKUP(B104,'EV Forecast VRZ'!$F$116:$T$122,7,FALSE)-HLOOKUP(B104-1,'EV Forecast VRZ'!$F$124:$T$130,7,FALSE)))*C104/78,0)</f>
        <v>457.69230769230768</v>
      </c>
      <c r="AK104" s="7">
        <f t="shared" ca="1" si="180"/>
        <v>25549843.408584017</v>
      </c>
      <c r="AL104" s="7">
        <v>753947.81</v>
      </c>
      <c r="AM104" s="7">
        <v>16895.400000000001</v>
      </c>
      <c r="AN104" s="7">
        <v>396313.59999999998</v>
      </c>
      <c r="AO104" s="5">
        <v>193998.4</v>
      </c>
      <c r="AP104" s="5">
        <v>19861.12</v>
      </c>
      <c r="AQ104" s="5">
        <v>44343</v>
      </c>
      <c r="AR104" s="5">
        <v>2602.21</v>
      </c>
      <c r="AS104" s="763">
        <f t="shared" si="240"/>
        <v>50.666666666666664</v>
      </c>
      <c r="AT104" s="776">
        <v>115757.75</v>
      </c>
      <c r="AU104" s="776">
        <v>1562.75</v>
      </c>
      <c r="AV104" s="776">
        <v>9488.25</v>
      </c>
      <c r="AW104" s="776">
        <v>1031.4166666666667</v>
      </c>
      <c r="AX104" s="776">
        <v>5</v>
      </c>
      <c r="AY104" s="776">
        <v>4.5833333333333313</v>
      </c>
      <c r="AZ104" s="776">
        <v>32153.583333333325</v>
      </c>
      <c r="BA104" s="776">
        <v>242.6666666666666</v>
      </c>
      <c r="BB104" s="776">
        <v>797.8333333333336</v>
      </c>
      <c r="BC104" s="779">
        <v>45559266.0797396</v>
      </c>
      <c r="BD104" s="779">
        <f ca="1">IFERROR(VLOOKUP($B104-1,CDM!$V$4:$AJ$17,11,FALSE)/12,0)+IFERROR(VLOOKUP($B104,CDM!$V$41:$AJ$54,11,FALSE)/24,0)+IFERROR(VLOOKUP($B104,CDM!$V$41:$AJ$54,11,FALSE)/2*$C104/78,0)</f>
        <v>1706431.4596766089</v>
      </c>
      <c r="BE104" s="779">
        <f t="shared" ca="1" si="192"/>
        <v>47265697.539416209</v>
      </c>
      <c r="BF104" s="779">
        <f>IFERROR(HLOOKUP(B104-1,'EV Forecast WRZ'!$F$124:$T$130,2,FALSE)/12,0)+IFERROR(((HLOOKUP(B104,'EV Forecast WRZ'!$F$116:$T$122,2,FALSE)-HLOOKUP(B104-1,'EV Forecast WRZ'!$F$124:$T$130,2,FALSE)))*C104/78,0)</f>
        <v>269086.39846153843</v>
      </c>
      <c r="BG104" s="779">
        <f ca="1">HLOOKUP(B104,Heating!$R$102:$AD$106,2,FALSE)*INDEX(Weather!$BO$1:$CB$20,MATCH(B104,Weather!$BO$1:$BO$20,0),MATCH(C104,Weather!$BO$1:$CB$1,0))/VLOOKUP(B104,Weather!$BO$2:$CB$20,14,FALSE)*
VLOOKUP('Monthly Data'!$B104,Weather!$BO$3:$CB$20,14,FALSE)/Weather!$CB$14</f>
        <v>172.40486533119378</v>
      </c>
      <c r="BH104" s="779">
        <f t="shared" ca="1" si="181"/>
        <v>46996438.736089341</v>
      </c>
      <c r="BI104" s="779">
        <v>7560067.7086700099</v>
      </c>
      <c r="BJ104" s="779">
        <f ca="1">IFERROR(VLOOKUP($B104-1,CDM!$V$4:$AJ$17,12,FALSE)/12,0)+IFERROR(VLOOKUP($B104,CDM!$V$41:$AJ$54,12,FALSE)/24,0)+IFERROR(VLOOKUP($B104,CDM!$V$41:$AJ$54,12,FALSE)/2*$C104/78,0)</f>
        <v>284330.76255455782</v>
      </c>
      <c r="BK104" s="779">
        <f t="shared" ca="1" si="182"/>
        <v>7844398.4712245679</v>
      </c>
      <c r="BL104" s="779">
        <f>IFERROR(HLOOKUP(B104-1,'EV Forecast WRZ'!$F$124:$T$130,3,FALSE)/12,0)+IFERROR(((HLOOKUP(B104,'EV Forecast WRZ'!$F$116:$T$122,3,FALSE)-HLOOKUP(B104-1,'EV Forecast WRZ'!$F$124:$T$130,3,FALSE)))*C104/78,0)</f>
        <v>33973.852307692316</v>
      </c>
      <c r="BM104" s="779">
        <f ca="1">HLOOKUP(B104,Heating!$R$102:$AD$106,4,FALSE)*INDEX(Weather!$BO$1:$CB$20,MATCH(B104,Weather!$BO$1:$BO$20,0),MATCH(C104,Weather!$BO$1:$CB$1,0))/VLOOKUP(B104,Weather!$BO$2:$CB$20,14,FALSE)*
VLOOKUP('Monthly Data'!$B104,Weather!$BO$3:$CB$20,14,FALSE)/Weather!$CB$14</f>
        <v>26.997684476228677</v>
      </c>
      <c r="BN104" s="779">
        <f t="shared" ca="1" si="183"/>
        <v>7810397.6212323997</v>
      </c>
      <c r="BO104" s="779">
        <v>28920135.449999999</v>
      </c>
      <c r="BP104" s="779">
        <f ca="1">IFERROR(VLOOKUP($B104-1,CDM!$V$4:$AJ$17,13,FALSE)/12,0)+IFERROR(VLOOKUP($B104,CDM!$V$41:$AJ$54,13,FALSE)/24,0)+IFERROR(VLOOKUP($B104,CDM!$V$41:$AJ$54,13,FALSE)/2*$C104/78,0)</f>
        <v>2768961.5797568234</v>
      </c>
      <c r="BQ104" s="779">
        <f t="shared" ca="1" si="184"/>
        <v>31689097.029756822</v>
      </c>
      <c r="BR104" s="779">
        <f>IFERROR(HLOOKUP(B104-1,'EV Forecast WRZ'!$F$124:$T$130,4,FALSE)/12,0)+IFERROR(((HLOOKUP(B104,'EV Forecast WRZ'!$F$116:$T$122,4,FALSE)-HLOOKUP(B104-1,'EV Forecast WRZ'!$F$124:$T$130,4,FALSE)))*C104/78,0)</f>
        <v>15230.47712820513</v>
      </c>
      <c r="BS104" s="779">
        <f ca="1">HLOOKUP(B104,Heating!$R$102:$AD$106,5,FALSE)*INDEX(Weather!$BO$1:$CB$20,MATCH(B104,Weather!$BO$1:$BO$20,0),MATCH(C104,Weather!$BO$1:$CB$1,0))/VLOOKUP(B104,Weather!$BO$2:$CB$20,14,FALSE)*
VLOOKUP('Monthly Data'!$B104,Weather!$BO$3:$CB$20,14,FALSE)/Weather!$CB$14</f>
        <v>14.584296879569049</v>
      </c>
      <c r="BT104" s="779">
        <f t="shared" ca="1" si="185"/>
        <v>31673851.968331739</v>
      </c>
      <c r="BU104" s="779">
        <v>6714847.6799999997</v>
      </c>
      <c r="BV104" s="779">
        <f ca="1">IFERROR(VLOOKUP($B104-1,CDM!$V$4:$AJ$17,14,FALSE)/12,0)+IFERROR(VLOOKUP($B104,CDM!$V$41:$AJ$54,14,FALSE)/24,0)+IFERROR(VLOOKUP($B104,CDM!$V$41:$AJ$54,14,FALSE)/2*$C104/78,0)</f>
        <v>622636.37880072684</v>
      </c>
      <c r="BW104" s="779">
        <f t="shared" ca="1" si="186"/>
        <v>7337484.0588007262</v>
      </c>
      <c r="BX104" s="779">
        <f>IFERROR(HLOOKUP(B104-1,'EV Forecast WRZ'!$F$124:$T$130,5,FALSE)/12,0)+IFERROR(((HLOOKUP(B104,'EV Forecast WRZ'!$F$116:$T$122,5,FALSE)-HLOOKUP(B104-1,'EV Forecast WRZ'!$F$124:$T$130,5,FALSE)))*C104/78,0)</f>
        <v>2261.8977435897436</v>
      </c>
      <c r="BY104" s="779">
        <f t="shared" ca="1" si="193"/>
        <v>7335222.161057136</v>
      </c>
      <c r="BZ104" s="779">
        <v>236825.96</v>
      </c>
      <c r="CA104" s="779">
        <v>2141.1</v>
      </c>
      <c r="CB104" s="5">
        <v>162732.17000000001</v>
      </c>
      <c r="CC104" s="5">
        <v>66051.259999999995</v>
      </c>
      <c r="CD104" s="5">
        <v>13088.99</v>
      </c>
      <c r="CE104" s="5">
        <v>820</v>
      </c>
      <c r="CF104" s="763">
        <f t="shared" si="241"/>
        <v>7.666666666666667</v>
      </c>
      <c r="CG104" s="785">
        <v>44979.83333333335</v>
      </c>
      <c r="CH104" s="785">
        <v>2437.0833333333344</v>
      </c>
      <c r="CI104" s="785">
        <v>383.6666666666668</v>
      </c>
      <c r="CJ104" s="785">
        <v>3</v>
      </c>
      <c r="CK104" s="785">
        <v>13563.416666666662</v>
      </c>
      <c r="CL104" s="785">
        <v>46</v>
      </c>
      <c r="CM104" s="785">
        <v>401</v>
      </c>
      <c r="CN104" s="46">
        <f>Weather!C116</f>
        <v>7.3166666666666593</v>
      </c>
      <c r="CO104" s="46">
        <f>Weather!D116</f>
        <v>45.099999999999966</v>
      </c>
      <c r="CP104" s="46">
        <f>Weather!E116</f>
        <v>0.12499999999999645</v>
      </c>
      <c r="CQ104" s="46">
        <f>Weather!F116</f>
        <v>99.908333333333317</v>
      </c>
      <c r="CR104" s="46">
        <f>Weather!G116</f>
        <v>0</v>
      </c>
      <c r="CS104" s="46">
        <f>Weather!H116</f>
        <v>161.78333333333336</v>
      </c>
      <c r="CT104" s="46">
        <f>Weather!I116</f>
        <v>0</v>
      </c>
      <c r="CU104" s="46">
        <f>Weather!J116</f>
        <v>223.78333333333336</v>
      </c>
      <c r="CV104" s="46">
        <f>Weather!K116</f>
        <v>0</v>
      </c>
      <c r="CW104" s="46">
        <f>Weather!L116</f>
        <v>285.78333333333342</v>
      </c>
      <c r="CX104" s="46">
        <f>Weather!M116</f>
        <v>0</v>
      </c>
      <c r="CY104" s="46">
        <f>Weather!N116</f>
        <v>347.78333333333342</v>
      </c>
      <c r="CZ104" s="46">
        <f>Weather!O116</f>
        <v>0</v>
      </c>
      <c r="DA104" s="46">
        <f>Weather!P116</f>
        <v>409.7833333333333</v>
      </c>
      <c r="DB104" s="368">
        <f>'Economic Data'!D118</f>
        <v>8014.7</v>
      </c>
      <c r="DC104" s="368">
        <f>'Economic Data'!E118</f>
        <v>8107</v>
      </c>
      <c r="DD104" s="368">
        <f>'Economic Data'!F118</f>
        <v>232.9</v>
      </c>
      <c r="DE104" s="368">
        <f>'Economic Data'!G118</f>
        <v>233.8</v>
      </c>
      <c r="DF104" s="368">
        <f>'Economic Data'!H118</f>
        <v>68.8</v>
      </c>
      <c r="DG104" s="368">
        <f>'Economic Data'!I118</f>
        <v>68.8</v>
      </c>
      <c r="DH104" s="368">
        <f>'Economic Data'!J118</f>
        <v>865859.6</v>
      </c>
      <c r="DI104" s="368">
        <f>'Economic Data'!K118</f>
        <v>679067</v>
      </c>
      <c r="DJ104" s="368">
        <f>'Economic Data'!L118</f>
        <v>96987.199999999997</v>
      </c>
      <c r="DK104" s="368">
        <f>'Economic Data'!M118</f>
        <v>32826.199999999997</v>
      </c>
      <c r="DL104" s="368">
        <f>'Economic Data'!N118</f>
        <v>867701</v>
      </c>
      <c r="DM104" s="368">
        <f>'Economic Data'!O118</f>
        <v>96601</v>
      </c>
      <c r="DN104" s="368">
        <f>'Economic Data'!P118</f>
        <v>19084</v>
      </c>
      <c r="DO104" s="368">
        <f>'Economic Data'!Q118</f>
        <v>682077</v>
      </c>
      <c r="DP104" s="368">
        <f>'Economic Data'!R118</f>
        <v>32844</v>
      </c>
      <c r="DQ104">
        <v>31</v>
      </c>
      <c r="DR104">
        <v>20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1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f t="shared" si="189"/>
        <v>103</v>
      </c>
      <c r="EI104">
        <v>0</v>
      </c>
      <c r="EJ104">
        <v>0</v>
      </c>
      <c r="EK104">
        <v>0.25</v>
      </c>
      <c r="EL104">
        <v>0</v>
      </c>
      <c r="EM104" s="47">
        <f t="shared" si="194"/>
        <v>0</v>
      </c>
      <c r="EN104" s="47">
        <f t="shared" si="195"/>
        <v>0</v>
      </c>
      <c r="EO104" s="47">
        <f t="shared" si="196"/>
        <v>0</v>
      </c>
      <c r="EP104" s="47">
        <f t="shared" si="197"/>
        <v>0</v>
      </c>
      <c r="EQ104" s="47">
        <f t="shared" si="198"/>
        <v>0</v>
      </c>
      <c r="ER104" s="47">
        <f t="shared" si="199"/>
        <v>0</v>
      </c>
      <c r="ES104" s="47">
        <f t="shared" si="200"/>
        <v>0</v>
      </c>
      <c r="ET104" s="47">
        <f t="shared" si="201"/>
        <v>0</v>
      </c>
      <c r="EU104" s="47">
        <f t="shared" si="202"/>
        <v>0</v>
      </c>
      <c r="EV104" s="47">
        <f t="shared" si="203"/>
        <v>0</v>
      </c>
      <c r="EW104" s="47">
        <f t="shared" si="204"/>
        <v>0</v>
      </c>
      <c r="EX104" s="47">
        <f t="shared" si="205"/>
        <v>0</v>
      </c>
      <c r="EY104" s="47">
        <f t="shared" si="206"/>
        <v>0</v>
      </c>
      <c r="EZ104" s="47">
        <f t="shared" si="207"/>
        <v>0</v>
      </c>
      <c r="FA104" s="47">
        <f t="shared" si="208"/>
        <v>1.8291666666666648</v>
      </c>
      <c r="FB104" s="47">
        <f t="shared" si="209"/>
        <v>11.274999999999991</v>
      </c>
      <c r="FC104" s="47">
        <f t="shared" si="210"/>
        <v>3.1249999999999112E-2</v>
      </c>
      <c r="FD104" s="47">
        <f t="shared" si="211"/>
        <v>24.977083333333329</v>
      </c>
      <c r="FE104" s="47">
        <f t="shared" si="212"/>
        <v>0</v>
      </c>
      <c r="FF104" s="47">
        <f t="shared" si="213"/>
        <v>40.44583333333334</v>
      </c>
      <c r="FG104" s="47">
        <f t="shared" si="214"/>
        <v>0</v>
      </c>
      <c r="FH104" s="47">
        <f t="shared" si="215"/>
        <v>55.94583333333334</v>
      </c>
      <c r="FI104" s="47">
        <f t="shared" si="216"/>
        <v>0</v>
      </c>
      <c r="FJ104" s="47">
        <f t="shared" si="217"/>
        <v>71.445833333333354</v>
      </c>
      <c r="FK104" s="47">
        <f t="shared" si="218"/>
        <v>0</v>
      </c>
      <c r="FL104" s="47">
        <f t="shared" si="219"/>
        <v>86.945833333333354</v>
      </c>
      <c r="FM104" s="47">
        <f t="shared" si="220"/>
        <v>0</v>
      </c>
      <c r="FN104" s="47">
        <f t="shared" si="221"/>
        <v>102.44583333333333</v>
      </c>
      <c r="FO104" s="765">
        <f t="shared" ca="1" si="222"/>
        <v>952.53402961207667</v>
      </c>
      <c r="FP104" s="765">
        <f t="shared" ca="1" si="223"/>
        <v>735.70855521391707</v>
      </c>
      <c r="FQ104" s="765">
        <f t="shared" ca="1" si="224"/>
        <v>2858.7384838317744</v>
      </c>
      <c r="FR104" s="765">
        <f t="shared" ca="1" si="225"/>
        <v>86210.401082142445</v>
      </c>
      <c r="FS104" s="765">
        <f t="shared" ca="1" si="226"/>
        <v>1965526.0385835834</v>
      </c>
      <c r="FT104" s="765">
        <f t="shared" ca="1" si="227"/>
        <v>5574611.1492854664</v>
      </c>
      <c r="FU104" s="765">
        <f t="shared" si="228"/>
        <v>23.448329294557638</v>
      </c>
      <c r="FV104" s="765">
        <f t="shared" si="229"/>
        <v>69.623901098901129</v>
      </c>
      <c r="FW104" s="765">
        <f t="shared" si="230"/>
        <v>496.73733026947963</v>
      </c>
      <c r="FX104" s="765">
        <f t="shared" ca="1" si="231"/>
        <v>1050.8197571374474</v>
      </c>
      <c r="FY104" s="765">
        <f t="shared" ca="1" si="232"/>
        <v>3218.7649736602762</v>
      </c>
      <c r="FZ104" s="765">
        <f t="shared" ca="1" si="233"/>
        <v>82595.387566698904</v>
      </c>
      <c r="GA104" s="765">
        <f t="shared" si="234"/>
        <v>78941.986666666664</v>
      </c>
      <c r="GB104" s="765">
        <f t="shared" si="235"/>
        <v>17.460641799939793</v>
      </c>
      <c r="GC104" s="765">
        <f t="shared" si="236"/>
        <v>46.545652173913041</v>
      </c>
      <c r="GD104" s="765">
        <f t="shared" si="237"/>
        <v>405.8158852867831</v>
      </c>
    </row>
    <row r="105" spans="1:186">
      <c r="A105" s="4">
        <v>45139</v>
      </c>
      <c r="B105" s="6">
        <v>2023</v>
      </c>
      <c r="C105" s="5">
        <v>8</v>
      </c>
      <c r="D105" s="7">
        <v>92215289.093660206</v>
      </c>
      <c r="E105" s="7">
        <f ca="1">IFERROR(VLOOKUP($B105-1,CDM!$V$4:$AJ$17,2,FALSE)/12,0)+IFERROR(VLOOKUP($B105,CDM!$V$41:$AJ$54,2,FALSE)/24,0)+IFERROR(VLOOKUP($B105,CDM!$V$41:$AJ$54,2,FALSE)/2*$C105/78,0)</f>
        <v>3849097.8058970119</v>
      </c>
      <c r="F105" s="7">
        <f t="shared" ca="1" si="169"/>
        <v>96064386.899557218</v>
      </c>
      <c r="G105" s="7">
        <f>IFERROR(HLOOKUP(B105-1,'EV Forecast VRZ'!$F$124:$T$130,2,FALSE)/12,0)+IFERROR(((HLOOKUP(B105,'EV Forecast VRZ'!$F$116:$T$122,2,FALSE)-HLOOKUP(B105-1,'EV Forecast VRZ'!$F$124:$T$130,2,FALSE)))*C105/78,0)</f>
        <v>869761.50380752399</v>
      </c>
      <c r="H105" s="7">
        <f ca="1">HLOOKUP(B105,Heating!$C$102:$O$106,2,FALSE)*INDEX(Weather!$BO$1:$CB$20,MATCH(B105,Weather!$BO$1:$BO$20,0),MATCH(C105,Weather!$BO$1:$CB$1,0))/VLOOKUP(B105,Weather!$BO$2:$CB$20,14,FALSE)*
VLOOKUP('Monthly Data'!$B105,Weather!$BO$3:$CB$20,14,FALSE)/Weather!$CB$14</f>
        <v>28535.883366737613</v>
      </c>
      <c r="I105" s="7">
        <f t="shared" ca="1" si="170"/>
        <v>95166089.512382954</v>
      </c>
      <c r="J105" s="7">
        <v>1050783.39384</v>
      </c>
      <c r="K105" s="7">
        <f ca="1">IFERROR(VLOOKUP($B105-1,CDM!$V$4:$AJ$17,3,FALSE)/12,0)+IFERROR(VLOOKUP($B105,CDM!$V$41:$AJ$54,3,FALSE)/24,0)+IFERROR(VLOOKUP($B105,CDM!$V$41:$AJ$54,3,FALSE)/2*$C105/78,0)</f>
        <v>44086.713358973044</v>
      </c>
      <c r="L105" s="7">
        <f t="shared" ca="1" si="171"/>
        <v>1094870.1071989732</v>
      </c>
      <c r="M105" s="7">
        <f>IFERROR(HLOOKUP(B105-1,'EV Forecast VRZ'!$F$124:$T$130,3,FALSE)/12,0)+IFERROR(((HLOOKUP(B105,'EV Forecast VRZ'!$F$116:$T$122,3,FALSE)-HLOOKUP(B105-1,'EV Forecast VRZ'!$F$124:$T$130,3,FALSE)))*C105/78,0)</f>
        <v>11832.585423245126</v>
      </c>
      <c r="N105" s="7">
        <f ca="1">HLOOKUP(B105,Heating!$C$102:$O$106,3,FALSE)*INDEX(Weather!$BO$1:$CB$20,MATCH(B105,Weather!$BO$1:$BO$20,0),MATCH(C105,Weather!$BO$1:$CB$1,0))/VLOOKUP(B105,Weather!$BO$2:$CB$20,14,FALSE)*
VLOOKUP('Monthly Data'!$B105,Weather!$BO$3:$CB$20,14,FALSE)/Weather!$CB$14</f>
        <v>344.85258721015333</v>
      </c>
      <c r="O105" s="7">
        <f t="shared" ca="1" si="172"/>
        <v>1082692.6691885178</v>
      </c>
      <c r="P105" s="7">
        <v>23074433.336349998</v>
      </c>
      <c r="Q105" s="7">
        <f ca="1">IFERROR(VLOOKUP($B105-1,CDM!$V$4:$AJ$17,4,FALSE)/12,0)+IFERROR(VLOOKUP($B105,CDM!$V$41:$AJ$54,4,FALSE)/24,0)+IFERROR(VLOOKUP($B105,CDM!$V$41:$AJ$54,4,FALSE)/2*$C105/78,0)</f>
        <v>1589306.3004883484</v>
      </c>
      <c r="R105" s="7">
        <f t="shared" ca="1" si="173"/>
        <v>24663739.636838347</v>
      </c>
      <c r="S105" s="7">
        <f>IFERROR(HLOOKUP(B105-1,'EV Forecast VRZ'!$F$124:$T$130,4,FALSE)/12,0)+IFERROR(((HLOOKUP(B105,'EV Forecast VRZ'!$F$116:$T$122,4,FALSE)-HLOOKUP(B105-1,'EV Forecast VRZ'!$F$124:$T$130,4,FALSE)))*C105/78,0)</f>
        <v>108712.76615384615</v>
      </c>
      <c r="T105" s="7">
        <f ca="1">HLOOKUP(B105,Heating!$C$102:$O$106,4,FALSE)*INDEX(Weather!$BO$1:$CB$20,MATCH(B105,Weather!$BO$1:$BO$20,0),MATCH(C105,Weather!$BO$1:$CB$1,0))/VLOOKUP(B105,Weather!$BO$2:$CB$20,14,FALSE)*
VLOOKUP('Monthly Data'!$B105,Weather!$BO$3:$CB$20,14,FALSE)/Weather!$CB$14</f>
        <v>7010.360379346399</v>
      </c>
      <c r="U105" s="7">
        <f t="shared" ca="1" si="174"/>
        <v>24548016.510305155</v>
      </c>
      <c r="V105" s="7">
        <v>81448871.760000005</v>
      </c>
      <c r="W105" s="7">
        <f ca="1">IFERROR(VLOOKUP($B105-1,CDM!$V$4:$AJ$17,5,FALSE)/12,0)+IFERROR(VLOOKUP($B105,CDM!$V$41:$AJ$54,5,FALSE)/24,0)+IFERROR(VLOOKUP($B105,CDM!$V$41:$AJ$54,5,FALSE)/2*$C105/78,0)</f>
        <v>6554305.7689996064</v>
      </c>
      <c r="X105" s="7">
        <f t="shared" ca="1" si="175"/>
        <v>88003177.528999612</v>
      </c>
      <c r="Y105" s="7">
        <f>IFERROR(HLOOKUP(B105-1,'EV Forecast VRZ'!$F$124:$T$130,5,FALSE)/12,0)+IFERROR(((HLOOKUP(B105,'EV Forecast VRZ'!$F$116:$T$122,5,FALSE)-HLOOKUP(B105-1,'EV Forecast VRZ'!$F$124:$T$130,5,FALSE)))*C105/78,0)</f>
        <v>50311.834512820511</v>
      </c>
      <c r="Z105" s="7">
        <f ca="1">HLOOKUP(B105,Heating!$C$102:$O$106,5,FALSE)*INDEX(Weather!$BO$1:$CB$20,MATCH(B105,Weather!$BO$1:$BO$20,0),MATCH(C105,Weather!$BO$1:$CB$1,0))/VLOOKUP(B105,Weather!$BO$2:$CB$20,14,FALSE)*
VLOOKUP('Monthly Data'!$B105,Weather!$BO$3:$CB$20,14,FALSE)/Weather!$CB$14</f>
        <v>3662.4004359969626</v>
      </c>
      <c r="AA105" s="7">
        <f t="shared" ca="1" si="176"/>
        <v>87949203.294050798</v>
      </c>
      <c r="AB105" s="7">
        <v>9733840.3100000005</v>
      </c>
      <c r="AC105" s="7">
        <f ca="1">IFERROR(VLOOKUP($B105-1,CDM!$V$4:$AJ$17,6,FALSE)/12,0)+IFERROR(VLOOKUP($B105,CDM!$V$41:$AJ$54,6,FALSE)/24,0)+IFERROR(VLOOKUP($B105,CDM!$V$41:$AJ$54,6,FALSE)/2*$C105/78,0)</f>
        <v>306884.83091925236</v>
      </c>
      <c r="AD105" s="7">
        <f t="shared" ca="1" si="177"/>
        <v>10040725.140919253</v>
      </c>
      <c r="AE105" s="7">
        <f>IFERROR(HLOOKUP(B105-1,'EV Forecast VRZ'!$F$124:$T$130,6,FALSE)/12,0)+IFERROR(((HLOOKUP(B105,'EV Forecast VRZ'!$F$116:$T$122,6,FALSE)-HLOOKUP(B105-1,'EV Forecast VRZ'!$F$124:$T$130,6,FALSE)))*C105/78,0)</f>
        <v>6517.3049743589754</v>
      </c>
      <c r="AF105" s="7">
        <f t="shared" ca="1" si="178"/>
        <v>10034207.835944895</v>
      </c>
      <c r="AG105" s="7">
        <v>25764198</v>
      </c>
      <c r="AH105" s="7">
        <f ca="1">IFERROR(VLOOKUP($B105-1,CDM!$V$4:$AJ$17,7,FALSE)/12,0)+IFERROR(VLOOKUP($B105,CDM!$V$41:$AJ$54,7,FALSE)/24,0)+IFERROR(VLOOKUP($B105,CDM!$V$41:$AJ$54,7,FALSE)/2*$C105/78,0)</f>
        <v>1878681.5392189797</v>
      </c>
      <c r="AI105" s="7">
        <f t="shared" ca="1" si="179"/>
        <v>27642879.539218981</v>
      </c>
      <c r="AJ105" s="7">
        <f>IFERROR(HLOOKUP(B105-1,'EV Forecast VRZ'!$F$124:$T$130,7,FALSE)/12,0)+IFERROR(((HLOOKUP(B105,'EV Forecast VRZ'!$F$116:$T$122,7,FALSE)-HLOOKUP(B105-1,'EV Forecast VRZ'!$F$124:$T$130,7,FALSE)))*C105/78,0)</f>
        <v>498.07692307692309</v>
      </c>
      <c r="AK105" s="7">
        <f t="shared" ca="1" si="180"/>
        <v>27642381.462295905</v>
      </c>
      <c r="AL105" s="7">
        <v>852622.68</v>
      </c>
      <c r="AM105" s="7">
        <v>21554.34</v>
      </c>
      <c r="AN105" s="7">
        <v>396258.04</v>
      </c>
      <c r="AO105" s="5">
        <v>186602.46</v>
      </c>
      <c r="AP105" s="5">
        <v>19735.54</v>
      </c>
      <c r="AQ105" s="5">
        <v>44095.85</v>
      </c>
      <c r="AR105" s="5">
        <v>2602.29</v>
      </c>
      <c r="AS105" s="763">
        <f t="shared" si="240"/>
        <v>50.666666666666664</v>
      </c>
      <c r="AT105" s="776">
        <v>115895</v>
      </c>
      <c r="AU105" s="776">
        <v>1563</v>
      </c>
      <c r="AV105" s="776">
        <v>9490</v>
      </c>
      <c r="AW105" s="776">
        <v>1033.3333333333335</v>
      </c>
      <c r="AX105" s="776">
        <v>5</v>
      </c>
      <c r="AY105" s="776">
        <v>4.6666666666666643</v>
      </c>
      <c r="AZ105" s="776">
        <v>32197.666666666657</v>
      </c>
      <c r="BA105" s="776">
        <v>242.33333333333326</v>
      </c>
      <c r="BB105" s="776">
        <v>797.66666666666697</v>
      </c>
      <c r="BC105" s="779">
        <v>39289722.990249805</v>
      </c>
      <c r="BD105" s="779">
        <f ca="1">IFERROR(VLOOKUP($B105-1,CDM!$V$4:$AJ$17,11,FALSE)/12,0)+IFERROR(VLOOKUP($B105,CDM!$V$41:$AJ$54,11,FALSE)/24,0)+IFERROR(VLOOKUP($B105,CDM!$V$41:$AJ$54,11,FALSE)/2*$C105/78,0)</f>
        <v>1706797.4427539166</v>
      </c>
      <c r="BE105" s="779">
        <f t="shared" ca="1" si="192"/>
        <v>40996520.433003724</v>
      </c>
      <c r="BF105" s="779">
        <f>IFERROR(HLOOKUP(B105-1,'EV Forecast WRZ'!$F$124:$T$130,2,FALSE)/12,0)+IFERROR(((HLOOKUP(B105,'EV Forecast WRZ'!$F$116:$T$122,2,FALSE)-HLOOKUP(B105-1,'EV Forecast WRZ'!$F$124:$T$130,2,FALSE)))*C105/78,0)</f>
        <v>278064.46871794871</v>
      </c>
      <c r="BG105" s="779">
        <f ca="1">HLOOKUP(B105,Heating!$R$102:$AD$106,2,FALSE)*INDEX(Weather!$BO$1:$CB$20,MATCH(B105,Weather!$BO$1:$BO$20,0),MATCH(C105,Weather!$BO$1:$CB$1,0))/VLOOKUP(B105,Weather!$BO$2:$CB$20,14,FALSE)*
VLOOKUP('Monthly Data'!$B105,Weather!$BO$3:$CB$20,14,FALSE)/Weather!$CB$14</f>
        <v>12792.441007574935</v>
      </c>
      <c r="BH105" s="779">
        <f t="shared" ca="1" si="181"/>
        <v>40705663.523278199</v>
      </c>
      <c r="BI105" s="779">
        <v>7282532.8857800001</v>
      </c>
      <c r="BJ105" s="779">
        <f ca="1">IFERROR(VLOOKUP($B105-1,CDM!$V$4:$AJ$17,12,FALSE)/12,0)+IFERROR(VLOOKUP($B105,CDM!$V$41:$AJ$54,12,FALSE)/24,0)+IFERROR(VLOOKUP($B105,CDM!$V$41:$AJ$54,12,FALSE)/2*$C105/78,0)</f>
        <v>285873.81206359045</v>
      </c>
      <c r="BK105" s="779">
        <f t="shared" ca="1" si="182"/>
        <v>7568406.6978435908</v>
      </c>
      <c r="BL105" s="779">
        <f>IFERROR(HLOOKUP(B105-1,'EV Forecast WRZ'!$F$124:$T$130,3,FALSE)/12,0)+IFERROR(((HLOOKUP(B105,'EV Forecast WRZ'!$F$116:$T$122,3,FALSE)-HLOOKUP(B105-1,'EV Forecast WRZ'!$F$124:$T$130,3,FALSE)))*C105/78,0)</f>
        <v>35154.53025641026</v>
      </c>
      <c r="BM105" s="779">
        <f ca="1">HLOOKUP(B105,Heating!$R$102:$AD$106,4,FALSE)*INDEX(Weather!$BO$1:$CB$20,MATCH(B105,Weather!$BO$1:$BO$20,0),MATCH(C105,Weather!$BO$1:$CB$1,0))/VLOOKUP(B105,Weather!$BO$2:$CB$20,14,FALSE)*
VLOOKUP('Monthly Data'!$B105,Weather!$BO$3:$CB$20,14,FALSE)/Weather!$CB$14</f>
        <v>2003.2281881362235</v>
      </c>
      <c r="BN105" s="779">
        <f t="shared" ca="1" si="183"/>
        <v>7531248.939399044</v>
      </c>
      <c r="BO105" s="779">
        <v>28574992.75</v>
      </c>
      <c r="BP105" s="779">
        <f ca="1">IFERROR(VLOOKUP($B105-1,CDM!$V$4:$AJ$17,13,FALSE)/12,0)+IFERROR(VLOOKUP($B105,CDM!$V$41:$AJ$54,13,FALSE)/24,0)+IFERROR(VLOOKUP($B105,CDM!$V$41:$AJ$54,13,FALSE)/2*$C105/78,0)</f>
        <v>2784475.9546163664</v>
      </c>
      <c r="BQ105" s="779">
        <f t="shared" ca="1" si="184"/>
        <v>31359468.704616368</v>
      </c>
      <c r="BR105" s="779">
        <f>IFERROR(HLOOKUP(B105-1,'EV Forecast WRZ'!$F$124:$T$130,4,FALSE)/12,0)+IFERROR(((HLOOKUP(B105,'EV Forecast WRZ'!$F$116:$T$122,4,FALSE)-HLOOKUP(B105-1,'EV Forecast WRZ'!$F$124:$T$130,4,FALSE)))*C105/78,0)</f>
        <v>15754.186051282053</v>
      </c>
      <c r="BS105" s="779">
        <f ca="1">HLOOKUP(B105,Heating!$R$102:$AD$106,5,FALSE)*INDEX(Weather!$BO$1:$CB$20,MATCH(B105,Weather!$BO$1:$BO$20,0),MATCH(C105,Weather!$BO$1:$CB$1,0))/VLOOKUP(B105,Weather!$BO$2:$CB$20,14,FALSE)*
VLOOKUP('Monthly Data'!$B105,Weather!$BO$3:$CB$20,14,FALSE)/Weather!$CB$14</f>
        <v>1082.1548284640535</v>
      </c>
      <c r="BT105" s="779">
        <f t="shared" ca="1" si="185"/>
        <v>31342632.363736622</v>
      </c>
      <c r="BU105" s="779">
        <v>7488055.1100000003</v>
      </c>
      <c r="BV105" s="779">
        <f ca="1">IFERROR(VLOOKUP($B105-1,CDM!$V$4:$AJ$17,14,FALSE)/12,0)+IFERROR(VLOOKUP($B105,CDM!$V$41:$AJ$54,14,FALSE)/24,0)+IFERROR(VLOOKUP($B105,CDM!$V$41:$AJ$54,14,FALSE)/2*$C105/78,0)</f>
        <v>626127.85767268867</v>
      </c>
      <c r="BW105" s="779">
        <f t="shared" ca="1" si="186"/>
        <v>8114182.9676726889</v>
      </c>
      <c r="BX105" s="779">
        <f>IFERROR(HLOOKUP(B105-1,'EV Forecast WRZ'!$F$124:$T$130,5,FALSE)/12,0)+IFERROR(((HLOOKUP(B105,'EV Forecast WRZ'!$F$116:$T$122,5,FALSE)-HLOOKUP(B105-1,'EV Forecast WRZ'!$F$124:$T$130,5,FALSE)))*C105/78,0)</f>
        <v>2347.7585641025644</v>
      </c>
      <c r="BY105" s="779">
        <f t="shared" ca="1" si="193"/>
        <v>8111835.2091085864</v>
      </c>
      <c r="BZ105" s="779">
        <v>267610.90000000002</v>
      </c>
      <c r="CA105" s="779">
        <v>2771.3999999999996</v>
      </c>
      <c r="CB105" s="5">
        <v>161866.57999999999</v>
      </c>
      <c r="CC105" s="5">
        <v>63877.3</v>
      </c>
      <c r="CD105" s="5">
        <v>13487.26</v>
      </c>
      <c r="CE105" s="5">
        <v>819</v>
      </c>
      <c r="CF105" s="763">
        <f t="shared" si="241"/>
        <v>7.666666666666667</v>
      </c>
      <c r="CG105" s="785">
        <v>45048.666666666686</v>
      </c>
      <c r="CH105" s="785">
        <v>2440.6666666666679</v>
      </c>
      <c r="CI105" s="785">
        <v>384.33333333333348</v>
      </c>
      <c r="CJ105" s="785">
        <v>3</v>
      </c>
      <c r="CK105" s="785">
        <v>13579.333333333328</v>
      </c>
      <c r="CL105" s="785">
        <v>46</v>
      </c>
      <c r="CM105" s="785">
        <v>402</v>
      </c>
      <c r="CN105" s="46">
        <f>Weather!C117</f>
        <v>32.211775362318839</v>
      </c>
      <c r="CO105" s="46">
        <f>Weather!D117</f>
        <v>12.016666666666676</v>
      </c>
      <c r="CP105" s="46">
        <f>Weather!E117</f>
        <v>9.274999999999995</v>
      </c>
      <c r="CQ105" s="46">
        <f>Weather!F117</f>
        <v>51.079891304347839</v>
      </c>
      <c r="CR105" s="46">
        <f>Weather!G117</f>
        <v>1.6125000000000007</v>
      </c>
      <c r="CS105" s="46">
        <f>Weather!H117</f>
        <v>105.41739130434784</v>
      </c>
      <c r="CT105" s="46">
        <f>Weather!I117</f>
        <v>0</v>
      </c>
      <c r="CU105" s="46">
        <f>Weather!J117</f>
        <v>165.80489130434788</v>
      </c>
      <c r="CV105" s="46">
        <f>Weather!K117</f>
        <v>0</v>
      </c>
      <c r="CW105" s="46">
        <f>Weather!L117</f>
        <v>227.80489130434788</v>
      </c>
      <c r="CX105" s="46">
        <f>Weather!M117</f>
        <v>0</v>
      </c>
      <c r="CY105" s="46">
        <f>Weather!N117</f>
        <v>289.8048913043479</v>
      </c>
      <c r="CZ105" s="46">
        <f>Weather!O117</f>
        <v>0</v>
      </c>
      <c r="DA105" s="46">
        <f>Weather!P117</f>
        <v>351.80489130434785</v>
      </c>
      <c r="DB105" s="368">
        <f>'Economic Data'!D119</f>
        <v>8038.9</v>
      </c>
      <c r="DC105" s="368">
        <f>'Economic Data'!E119</f>
        <v>8115.6</v>
      </c>
      <c r="DD105" s="368">
        <f>'Economic Data'!F119</f>
        <v>236.1</v>
      </c>
      <c r="DE105" s="368">
        <f>'Economic Data'!G119</f>
        <v>235.3</v>
      </c>
      <c r="DF105" s="368">
        <f>'Economic Data'!H119</f>
        <v>68.5</v>
      </c>
      <c r="DG105" s="368">
        <f>'Economic Data'!I119</f>
        <v>68.5</v>
      </c>
      <c r="DH105" s="368">
        <f>'Economic Data'!J119</f>
        <v>865859.6</v>
      </c>
      <c r="DI105" s="368">
        <f>'Economic Data'!K119</f>
        <v>679067</v>
      </c>
      <c r="DJ105" s="368">
        <f>'Economic Data'!L119</f>
        <v>96987.199999999997</v>
      </c>
      <c r="DK105" s="368">
        <f>'Economic Data'!M119</f>
        <v>32826.199999999997</v>
      </c>
      <c r="DL105" s="368">
        <f>'Economic Data'!N119</f>
        <v>867701</v>
      </c>
      <c r="DM105" s="368">
        <f>'Economic Data'!O119</f>
        <v>96601</v>
      </c>
      <c r="DN105" s="368">
        <f>'Economic Data'!P119</f>
        <v>19084</v>
      </c>
      <c r="DO105" s="368">
        <f>'Economic Data'!Q119</f>
        <v>682077</v>
      </c>
      <c r="DP105" s="368">
        <f>'Economic Data'!R119</f>
        <v>32844</v>
      </c>
      <c r="DQ105">
        <v>31</v>
      </c>
      <c r="DR105">
        <v>22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1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f t="shared" si="189"/>
        <v>104</v>
      </c>
      <c r="EI105">
        <v>0</v>
      </c>
      <c r="EJ105">
        <v>0</v>
      </c>
      <c r="EK105">
        <v>0.25</v>
      </c>
      <c r="EL105">
        <v>0</v>
      </c>
      <c r="EM105" s="47">
        <f t="shared" si="194"/>
        <v>0</v>
      </c>
      <c r="EN105" s="47">
        <f t="shared" si="195"/>
        <v>0</v>
      </c>
      <c r="EO105" s="47">
        <f t="shared" si="196"/>
        <v>0</v>
      </c>
      <c r="EP105" s="47">
        <f t="shared" si="197"/>
        <v>0</v>
      </c>
      <c r="EQ105" s="47">
        <f t="shared" si="198"/>
        <v>0</v>
      </c>
      <c r="ER105" s="47">
        <f t="shared" si="199"/>
        <v>0</v>
      </c>
      <c r="ES105" s="47">
        <f t="shared" si="200"/>
        <v>0</v>
      </c>
      <c r="ET105" s="47">
        <f t="shared" si="201"/>
        <v>0</v>
      </c>
      <c r="EU105" s="47">
        <f t="shared" si="202"/>
        <v>0</v>
      </c>
      <c r="EV105" s="47">
        <f t="shared" si="203"/>
        <v>0</v>
      </c>
      <c r="EW105" s="47">
        <f t="shared" si="204"/>
        <v>0</v>
      </c>
      <c r="EX105" s="47">
        <f t="shared" si="205"/>
        <v>0</v>
      </c>
      <c r="EY105" s="47">
        <f t="shared" si="206"/>
        <v>0</v>
      </c>
      <c r="EZ105" s="47">
        <f t="shared" si="207"/>
        <v>0</v>
      </c>
      <c r="FA105" s="47">
        <f t="shared" si="208"/>
        <v>8.0529438405797098</v>
      </c>
      <c r="FB105" s="47">
        <f t="shared" si="209"/>
        <v>3.0041666666666691</v>
      </c>
      <c r="FC105" s="47">
        <f t="shared" si="210"/>
        <v>2.3187499999999988</v>
      </c>
      <c r="FD105" s="47">
        <f t="shared" si="211"/>
        <v>12.76997282608696</v>
      </c>
      <c r="FE105" s="47">
        <f t="shared" si="212"/>
        <v>0.40312500000000018</v>
      </c>
      <c r="FF105" s="47">
        <f t="shared" si="213"/>
        <v>26.354347826086961</v>
      </c>
      <c r="FG105" s="47">
        <f t="shared" si="214"/>
        <v>0</v>
      </c>
      <c r="FH105" s="47">
        <f t="shared" si="215"/>
        <v>41.451222826086969</v>
      </c>
      <c r="FI105" s="47">
        <f t="shared" si="216"/>
        <v>0</v>
      </c>
      <c r="FJ105" s="47">
        <f t="shared" si="217"/>
        <v>56.951222826086969</v>
      </c>
      <c r="FK105" s="47">
        <f t="shared" si="218"/>
        <v>0</v>
      </c>
      <c r="FL105" s="47">
        <f t="shared" si="219"/>
        <v>72.451222826086976</v>
      </c>
      <c r="FM105" s="47">
        <f t="shared" si="220"/>
        <v>0</v>
      </c>
      <c r="FN105" s="47">
        <f t="shared" si="221"/>
        <v>87.951222826086962</v>
      </c>
      <c r="FO105" s="765">
        <f t="shared" ca="1" si="222"/>
        <v>821.14059719904185</v>
      </c>
      <c r="FP105" s="765">
        <f t="shared" ca="1" si="223"/>
        <v>700.49271093984214</v>
      </c>
      <c r="FQ105" s="765">
        <f t="shared" ca="1" si="224"/>
        <v>2598.9188236921336</v>
      </c>
      <c r="FR105" s="765">
        <f t="shared" ca="1" si="225"/>
        <v>85164.365350644774</v>
      </c>
      <c r="FS105" s="765">
        <f t="shared" ca="1" si="226"/>
        <v>2008145.0281838507</v>
      </c>
      <c r="FT105" s="765">
        <f t="shared" ca="1" si="227"/>
        <v>5923474.1869754987</v>
      </c>
      <c r="FU105" s="765">
        <f t="shared" si="228"/>
        <v>26.480884122037839</v>
      </c>
      <c r="FV105" s="765">
        <f t="shared" si="229"/>
        <v>88.945006877579118</v>
      </c>
      <c r="FW105" s="765">
        <f t="shared" si="230"/>
        <v>496.77146677810259</v>
      </c>
      <c r="FX105" s="765">
        <f t="shared" ca="1" si="231"/>
        <v>910.04958562599791</v>
      </c>
      <c r="FY105" s="765">
        <f t="shared" ca="1" si="232"/>
        <v>3100.958767212614</v>
      </c>
      <c r="FZ105" s="765">
        <f t="shared" ca="1" si="233"/>
        <v>81594.454565350447</v>
      </c>
      <c r="GA105" s="765">
        <f t="shared" si="234"/>
        <v>89203.633333333346</v>
      </c>
      <c r="GB105" s="765">
        <f t="shared" si="235"/>
        <v>19.707219303844084</v>
      </c>
      <c r="GC105" s="765">
        <f t="shared" si="236"/>
        <v>60.247826086956515</v>
      </c>
      <c r="GD105" s="765">
        <f t="shared" si="237"/>
        <v>402.65318407960194</v>
      </c>
    </row>
    <row r="106" spans="1:186">
      <c r="A106" s="4">
        <v>45170</v>
      </c>
      <c r="B106" s="6">
        <v>2023</v>
      </c>
      <c r="C106" s="5">
        <v>9</v>
      </c>
      <c r="D106" s="7">
        <v>80438758.020239592</v>
      </c>
      <c r="E106" s="7">
        <f ca="1">IFERROR(VLOOKUP($B106-1,CDM!$V$4:$AJ$17,2,FALSE)/12,0)+IFERROR(VLOOKUP($B106,CDM!$V$41:$AJ$54,2,FALSE)/24,0)+IFERROR(VLOOKUP($B106,CDM!$V$41:$AJ$54,2,FALSE)/2*$C106/78,0)</f>
        <v>3849180.6856738012</v>
      </c>
      <c r="F106" s="7">
        <f t="shared" ca="1" si="169"/>
        <v>84287938.705913395</v>
      </c>
      <c r="G106" s="7">
        <f>IFERROR(HLOOKUP(B106-1,'EV Forecast VRZ'!$F$124:$T$130,2,FALSE)/12,0)+IFERROR(((HLOOKUP(B106,'EV Forecast VRZ'!$F$116:$T$122,2,FALSE)-HLOOKUP(B106-1,'EV Forecast VRZ'!$F$124:$T$130,2,FALSE)))*C106/78,0)</f>
        <v>896301.4547905525</v>
      </c>
      <c r="H106" s="7">
        <f ca="1">HLOOKUP(B106,Heating!$C$102:$O$106,2,FALSE)*INDEX(Weather!$BO$1:$CB$20,MATCH(B106,Weather!$BO$1:$BO$20,0),MATCH(C106,Weather!$BO$1:$CB$1,0))/VLOOKUP(B106,Weather!$BO$2:$CB$20,14,FALSE)*
VLOOKUP('Monthly Data'!$B106,Weather!$BO$3:$CB$20,14,FALSE)/Weather!$CB$14</f>
        <v>146422.66838044798</v>
      </c>
      <c r="I106" s="7">
        <f t="shared" ca="1" si="170"/>
        <v>83245214.582742393</v>
      </c>
      <c r="J106" s="7">
        <v>807212.40429999994</v>
      </c>
      <c r="K106" s="7">
        <f ca="1">IFERROR(VLOOKUP($B106-1,CDM!$V$4:$AJ$17,3,FALSE)/12,0)+IFERROR(VLOOKUP($B106,CDM!$V$41:$AJ$54,3,FALSE)/24,0)+IFERROR(VLOOKUP($B106,CDM!$V$41:$AJ$54,3,FALSE)/2*$C106/78,0)</f>
        <v>44087.655967397164</v>
      </c>
      <c r="L106" s="7">
        <f t="shared" ca="1" si="171"/>
        <v>851300.06026739709</v>
      </c>
      <c r="M106" s="7">
        <f>IFERROR(HLOOKUP(B106-1,'EV Forecast VRZ'!$F$124:$T$130,3,FALSE)/12,0)+IFERROR(((HLOOKUP(B106,'EV Forecast VRZ'!$F$116:$T$122,3,FALSE)-HLOOKUP(B106-1,'EV Forecast VRZ'!$F$124:$T$130,3,FALSE)))*C106/78,0)</f>
        <v>12193.645594062848</v>
      </c>
      <c r="N106" s="7">
        <f ca="1">HLOOKUP(B106,Heating!$C$102:$O$106,3,FALSE)*INDEX(Weather!$BO$1:$CB$20,MATCH(B106,Weather!$BO$1:$BO$20,0),MATCH(C106,Weather!$BO$1:$CB$1,0))/VLOOKUP(B106,Weather!$BO$2:$CB$20,14,FALSE)*
VLOOKUP('Monthly Data'!$B106,Weather!$BO$3:$CB$20,14,FALSE)/Weather!$CB$14</f>
        <v>1769.4996635733937</v>
      </c>
      <c r="O106" s="7">
        <f t="shared" ca="1" si="172"/>
        <v>837336.91500976088</v>
      </c>
      <c r="P106" s="7">
        <v>22164386.609310001</v>
      </c>
      <c r="Q106" s="7">
        <f ca="1">IFERROR(VLOOKUP($B106-1,CDM!$V$4:$AJ$17,4,FALSE)/12,0)+IFERROR(VLOOKUP($B106,CDM!$V$41:$AJ$54,4,FALSE)/24,0)+IFERROR(VLOOKUP($B106,CDM!$V$41:$AJ$54,4,FALSE)/2*$C106/78,0)</f>
        <v>1593565.9948698638</v>
      </c>
      <c r="R106" s="7">
        <f t="shared" ca="1" si="173"/>
        <v>23757952.604179867</v>
      </c>
      <c r="S106" s="7">
        <f>IFERROR(HLOOKUP(B106-1,'EV Forecast VRZ'!$F$124:$T$130,4,FALSE)/12,0)+IFERROR(((HLOOKUP(B106,'EV Forecast VRZ'!$F$116:$T$122,4,FALSE)-HLOOKUP(B106-1,'EV Forecast VRZ'!$F$124:$T$130,4,FALSE)))*C106/78,0)</f>
        <v>112140.48692307691</v>
      </c>
      <c r="T106" s="7">
        <f ca="1">HLOOKUP(B106,Heating!$C$102:$O$106,4,FALSE)*INDEX(Weather!$BO$1:$CB$20,MATCH(B106,Weather!$BO$1:$BO$20,0),MATCH(C106,Weather!$BO$1:$CB$1,0))/VLOOKUP(B106,Weather!$BO$2:$CB$20,14,FALSE)*
VLOOKUP('Monthly Data'!$B106,Weather!$BO$3:$CB$20,14,FALSE)/Weather!$CB$14</f>
        <v>35971.39993391493</v>
      </c>
      <c r="U106" s="7">
        <f t="shared" ca="1" si="174"/>
        <v>23609840.717322875</v>
      </c>
      <c r="V106" s="7">
        <v>76755348.049999997</v>
      </c>
      <c r="W106" s="7">
        <f ca="1">IFERROR(VLOOKUP($B106-1,CDM!$V$4:$AJ$17,5,FALSE)/12,0)+IFERROR(VLOOKUP($B106,CDM!$V$41:$AJ$54,5,FALSE)/24,0)+IFERROR(VLOOKUP($B106,CDM!$V$41:$AJ$54,5,FALSE)/2*$C106/78,0)</f>
        <v>6584163.0018594526</v>
      </c>
      <c r="X106" s="7">
        <f t="shared" ca="1" si="175"/>
        <v>83339511.051859453</v>
      </c>
      <c r="Y106" s="7">
        <f>IFERROR(HLOOKUP(B106-1,'EV Forecast VRZ'!$F$124:$T$130,5,FALSE)/12,0)+IFERROR(((HLOOKUP(B106,'EV Forecast VRZ'!$F$116:$T$122,5,FALSE)-HLOOKUP(B106-1,'EV Forecast VRZ'!$F$124:$T$130,5,FALSE)))*C106/78,0)</f>
        <v>51955.590910256404</v>
      </c>
      <c r="Z106" s="7">
        <f ca="1">HLOOKUP(B106,Heating!$C$102:$O$106,5,FALSE)*INDEX(Weather!$BO$1:$CB$20,MATCH(B106,Weather!$BO$1:$BO$20,0),MATCH(C106,Weather!$BO$1:$CB$1,0))/VLOOKUP(B106,Weather!$BO$2:$CB$20,14,FALSE)*
VLOOKUP('Monthly Data'!$B106,Weather!$BO$3:$CB$20,14,FALSE)/Weather!$CB$14</f>
        <v>18792.424878687034</v>
      </c>
      <c r="AA106" s="7">
        <f t="shared" ca="1" si="176"/>
        <v>83268763.036070511</v>
      </c>
      <c r="AB106" s="7">
        <v>7677827.2999999998</v>
      </c>
      <c r="AC106" s="7">
        <f ca="1">IFERROR(VLOOKUP($B106-1,CDM!$V$4:$AJ$17,6,FALSE)/12,0)+IFERROR(VLOOKUP($B106,CDM!$V$41:$AJ$54,6,FALSE)/24,0)+IFERROR(VLOOKUP($B106,CDM!$V$41:$AJ$54,6,FALSE)/2*$C106/78,0)</f>
        <v>309142.99892058672</v>
      </c>
      <c r="AD106" s="7">
        <f t="shared" ca="1" si="177"/>
        <v>7986970.2989205867</v>
      </c>
      <c r="AE106" s="7">
        <f>IFERROR(HLOOKUP(B106-1,'EV Forecast VRZ'!$F$124:$T$130,6,FALSE)/12,0)+IFERROR(((HLOOKUP(B106,'EV Forecast VRZ'!$F$116:$T$122,6,FALSE)-HLOOKUP(B106-1,'EV Forecast VRZ'!$F$124:$T$130,6,FALSE)))*C106/78,0)</f>
        <v>6730.3576794871806</v>
      </c>
      <c r="AF106" s="7">
        <f t="shared" ca="1" si="178"/>
        <v>7980239.9412410995</v>
      </c>
      <c r="AG106" s="7">
        <v>26383893</v>
      </c>
      <c r="AH106" s="7">
        <f ca="1">IFERROR(VLOOKUP($B106-1,CDM!$V$4:$AJ$17,7,FALSE)/12,0)+IFERROR(VLOOKUP($B106,CDM!$V$41:$AJ$54,7,FALSE)/24,0)+IFERROR(VLOOKUP($B106,CDM!$V$41:$AJ$54,7,FALSE)/2*$C106/78,0)</f>
        <v>1887734.9775462497</v>
      </c>
      <c r="AI106" s="7">
        <f t="shared" ca="1" si="179"/>
        <v>28271627.977546249</v>
      </c>
      <c r="AJ106" s="7">
        <f>IFERROR(HLOOKUP(B106-1,'EV Forecast VRZ'!$F$124:$T$130,7,FALSE)/12,0)+IFERROR(((HLOOKUP(B106,'EV Forecast VRZ'!$F$116:$T$122,7,FALSE)-HLOOKUP(B106-1,'EV Forecast VRZ'!$F$124:$T$130,7,FALSE)))*C106/78,0)</f>
        <v>538.46153846153845</v>
      </c>
      <c r="AK106" s="7">
        <f t="shared" ca="1" si="180"/>
        <v>28271089.516007788</v>
      </c>
      <c r="AL106" s="7">
        <v>943900.01</v>
      </c>
      <c r="AM106" s="7">
        <v>17934.109999999997</v>
      </c>
      <c r="AN106" s="7">
        <v>396196.78</v>
      </c>
      <c r="AO106" s="5">
        <v>198092.09</v>
      </c>
      <c r="AP106" s="5">
        <v>19774.36</v>
      </c>
      <c r="AQ106" s="5">
        <v>44692.29</v>
      </c>
      <c r="AR106" s="5">
        <v>2610.19</v>
      </c>
      <c r="AS106" s="763">
        <f t="shared" si="240"/>
        <v>50.666666666666664</v>
      </c>
      <c r="AT106" s="776">
        <v>116032.25</v>
      </c>
      <c r="AU106" s="776">
        <v>1563.25</v>
      </c>
      <c r="AV106" s="776">
        <v>9491.75</v>
      </c>
      <c r="AW106" s="776">
        <v>1035.2500000000002</v>
      </c>
      <c r="AX106" s="776">
        <v>5</v>
      </c>
      <c r="AY106" s="776">
        <v>4.7499999999999973</v>
      </c>
      <c r="AZ106" s="776">
        <v>32241.749999999989</v>
      </c>
      <c r="BA106" s="776">
        <v>241.99999999999991</v>
      </c>
      <c r="BB106" s="776">
        <v>797.50000000000034</v>
      </c>
      <c r="BC106" s="779">
        <v>33918372.749609694</v>
      </c>
      <c r="BD106" s="779">
        <f ca="1">IFERROR(VLOOKUP($B106-1,CDM!$V$4:$AJ$17,11,FALSE)/12,0)+IFERROR(VLOOKUP($B106,CDM!$V$41:$AJ$54,11,FALSE)/24,0)+IFERROR(VLOOKUP($B106,CDM!$V$41:$AJ$54,11,FALSE)/2*$C106/78,0)</f>
        <v>1707163.4258312243</v>
      </c>
      <c r="BE106" s="779">
        <f t="shared" ca="1" si="192"/>
        <v>35625536.175440915</v>
      </c>
      <c r="BF106" s="779">
        <f>IFERROR(HLOOKUP(B106-1,'EV Forecast WRZ'!$F$124:$T$130,2,FALSE)/12,0)+IFERROR(((HLOOKUP(B106,'EV Forecast WRZ'!$F$116:$T$122,2,FALSE)-HLOOKUP(B106-1,'EV Forecast WRZ'!$F$124:$T$130,2,FALSE)))*C106/78,0)</f>
        <v>287042.53897435893</v>
      </c>
      <c r="BG106" s="779">
        <f ca="1">HLOOKUP(B106,Heating!$R$102:$AD$106,2,FALSE)*INDEX(Weather!$BO$1:$CB$20,MATCH(B106,Weather!$BO$1:$BO$20,0),MATCH(C106,Weather!$BO$1:$CB$1,0))/VLOOKUP(B106,Weather!$BO$2:$CB$20,14,FALSE)*
VLOOKUP('Monthly Data'!$B106,Weather!$BO$3:$CB$20,14,FALSE)/Weather!$CB$14</f>
        <v>65640.279060431712</v>
      </c>
      <c r="BH106" s="779">
        <f t="shared" ca="1" si="181"/>
        <v>35272853.357406124</v>
      </c>
      <c r="BI106" s="779">
        <v>8625394.2787499912</v>
      </c>
      <c r="BJ106" s="779">
        <f ca="1">IFERROR(VLOOKUP($B106-1,CDM!$V$4:$AJ$17,12,FALSE)/12,0)+IFERROR(VLOOKUP($B106,CDM!$V$41:$AJ$54,12,FALSE)/24,0)+IFERROR(VLOOKUP($B106,CDM!$V$41:$AJ$54,12,FALSE)/2*$C106/78,0)</f>
        <v>287416.86157262308</v>
      </c>
      <c r="BK106" s="779">
        <f t="shared" ca="1" si="182"/>
        <v>8912811.1403226145</v>
      </c>
      <c r="BL106" s="779">
        <f>IFERROR(HLOOKUP(B106-1,'EV Forecast WRZ'!$F$124:$T$130,3,FALSE)/12,0)+IFERROR(((HLOOKUP(B106,'EV Forecast WRZ'!$F$116:$T$122,3,FALSE)-HLOOKUP(B106-1,'EV Forecast WRZ'!$F$124:$T$130,3,FALSE)))*C106/78,0)</f>
        <v>36335.208205128205</v>
      </c>
      <c r="BM106" s="779">
        <f ca="1">HLOOKUP(B106,Heating!$R$102:$AD$106,4,FALSE)*INDEX(Weather!$BO$1:$CB$20,MATCH(B106,Weather!$BO$1:$BO$20,0),MATCH(C106,Weather!$BO$1:$CB$1,0))/VLOOKUP(B106,Weather!$BO$2:$CB$20,14,FALSE)*
VLOOKUP('Monthly Data'!$B106,Weather!$BO$3:$CB$20,14,FALSE)/Weather!$CB$14</f>
        <v>10278.918402916426</v>
      </c>
      <c r="BN106" s="779">
        <f t="shared" ca="1" si="183"/>
        <v>8866197.0137145706</v>
      </c>
      <c r="BO106" s="779">
        <v>27184107.140000001</v>
      </c>
      <c r="BP106" s="779">
        <f ca="1">IFERROR(VLOOKUP($B106-1,CDM!$V$4:$AJ$17,13,FALSE)/12,0)+IFERROR(VLOOKUP($B106,CDM!$V$41:$AJ$54,13,FALSE)/24,0)+IFERROR(VLOOKUP($B106,CDM!$V$41:$AJ$54,13,FALSE)/2*$C106/78,0)</f>
        <v>2799990.3294759095</v>
      </c>
      <c r="BQ106" s="779">
        <f t="shared" ca="1" si="184"/>
        <v>29984097.46947591</v>
      </c>
      <c r="BR106" s="779">
        <f>IFERROR(HLOOKUP(B106-1,'EV Forecast WRZ'!$F$124:$T$130,4,FALSE)/12,0)+IFERROR(((HLOOKUP(B106,'EV Forecast WRZ'!$F$116:$T$122,4,FALSE)-HLOOKUP(B106-1,'EV Forecast WRZ'!$F$124:$T$130,4,FALSE)))*C106/78,0)</f>
        <v>16277.894974358976</v>
      </c>
      <c r="BS106" s="779">
        <f ca="1">HLOOKUP(B106,Heating!$R$102:$AD$106,5,FALSE)*INDEX(Weather!$BO$1:$CB$20,MATCH(B106,Weather!$BO$1:$BO$20,0),MATCH(C106,Weather!$BO$1:$CB$1,0))/VLOOKUP(B106,Weather!$BO$2:$CB$20,14,FALSE)*
VLOOKUP('Monthly Data'!$B106,Weather!$BO$3:$CB$20,14,FALSE)/Weather!$CB$14</f>
        <v>5552.7279652814141</v>
      </c>
      <c r="BT106" s="779">
        <f t="shared" ca="1" si="185"/>
        <v>29962266.846536271</v>
      </c>
      <c r="BU106" s="779">
        <v>7120925.4000000004</v>
      </c>
      <c r="BV106" s="779">
        <f ca="1">IFERROR(VLOOKUP($B106-1,CDM!$V$4:$AJ$17,14,FALSE)/12,0)+IFERROR(VLOOKUP($B106,CDM!$V$41:$AJ$54,14,FALSE)/24,0)+IFERROR(VLOOKUP($B106,CDM!$V$41:$AJ$54,14,FALSE)/2*$C106/78,0)</f>
        <v>629619.33654465049</v>
      </c>
      <c r="BW106" s="779">
        <f t="shared" ca="1" si="186"/>
        <v>7750544.736544651</v>
      </c>
      <c r="BX106" s="779">
        <f>IFERROR(HLOOKUP(B106-1,'EV Forecast WRZ'!$F$124:$T$130,5,FALSE)/12,0)+IFERROR(((HLOOKUP(B106,'EV Forecast WRZ'!$F$116:$T$122,5,FALSE)-HLOOKUP(B106-1,'EV Forecast WRZ'!$F$124:$T$130,5,FALSE)))*C106/78,0)</f>
        <v>2433.6193846153847</v>
      </c>
      <c r="BY106" s="779">
        <f t="shared" ca="1" si="193"/>
        <v>7748111.1171600353</v>
      </c>
      <c r="BZ106" s="779">
        <v>295960.06</v>
      </c>
      <c r="CA106" s="779">
        <v>2157.6</v>
      </c>
      <c r="CB106" s="5">
        <v>162920.35</v>
      </c>
      <c r="CC106" s="5">
        <v>68196.69</v>
      </c>
      <c r="CD106" s="5">
        <v>13985.41</v>
      </c>
      <c r="CE106" s="5">
        <v>821</v>
      </c>
      <c r="CF106" s="763">
        <f t="shared" si="241"/>
        <v>7.666666666666667</v>
      </c>
      <c r="CG106" s="785">
        <v>45117.500000000022</v>
      </c>
      <c r="CH106" s="785">
        <v>2444.2500000000014</v>
      </c>
      <c r="CI106" s="785">
        <v>385.00000000000017</v>
      </c>
      <c r="CJ106" s="785">
        <v>3</v>
      </c>
      <c r="CK106" s="785">
        <v>13595.249999999995</v>
      </c>
      <c r="CL106" s="785">
        <v>46</v>
      </c>
      <c r="CM106" s="785">
        <v>403</v>
      </c>
      <c r="CN106" s="46">
        <f>Weather!C118</f>
        <v>95.22083333333336</v>
      </c>
      <c r="CO106" s="46">
        <f>Weather!D118</f>
        <v>18.212499999999995</v>
      </c>
      <c r="CP106" s="46">
        <f>Weather!E118</f>
        <v>47.591666666666676</v>
      </c>
      <c r="CQ106" s="46">
        <f>Weather!F118</f>
        <v>30.583333333333329</v>
      </c>
      <c r="CR106" s="46">
        <f>Weather!G118</f>
        <v>15.216666666666669</v>
      </c>
      <c r="CS106" s="46">
        <f>Weather!H118</f>
        <v>58.208333333333314</v>
      </c>
      <c r="CT106" s="46">
        <f>Weather!I118</f>
        <v>2.3583333333333378</v>
      </c>
      <c r="CU106" s="46">
        <f>Weather!J118</f>
        <v>105.35</v>
      </c>
      <c r="CV106" s="46">
        <f>Weather!K118</f>
        <v>0</v>
      </c>
      <c r="CW106" s="46">
        <f>Weather!L118</f>
        <v>162.99166666666662</v>
      </c>
      <c r="CX106" s="46">
        <f>Weather!M118</f>
        <v>0</v>
      </c>
      <c r="CY106" s="46">
        <f>Weather!N118</f>
        <v>222.99166666666656</v>
      </c>
      <c r="CZ106" s="46">
        <f>Weather!O118</f>
        <v>0</v>
      </c>
      <c r="DA106" s="46">
        <f>Weather!P118</f>
        <v>282.99166666666656</v>
      </c>
      <c r="DB106" s="368">
        <f>'Economic Data'!D120</f>
        <v>8049</v>
      </c>
      <c r="DC106" s="368">
        <f>'Economic Data'!E120</f>
        <v>8068.5</v>
      </c>
      <c r="DD106" s="368">
        <f>'Economic Data'!F120</f>
        <v>236.5</v>
      </c>
      <c r="DE106" s="368">
        <f>'Economic Data'!G120</f>
        <v>233.9</v>
      </c>
      <c r="DF106" s="368">
        <f>'Economic Data'!H120</f>
        <v>64.2</v>
      </c>
      <c r="DG106" s="368">
        <f>'Economic Data'!I120</f>
        <v>64.2</v>
      </c>
      <c r="DH106" s="368">
        <f>'Economic Data'!J120</f>
        <v>865859.6</v>
      </c>
      <c r="DI106" s="368">
        <f>'Economic Data'!K120</f>
        <v>679067</v>
      </c>
      <c r="DJ106" s="368">
        <f>'Economic Data'!L120</f>
        <v>96987.199999999997</v>
      </c>
      <c r="DK106" s="368">
        <f>'Economic Data'!M120</f>
        <v>32826.199999999997</v>
      </c>
      <c r="DL106" s="368">
        <f>'Economic Data'!N120</f>
        <v>867701</v>
      </c>
      <c r="DM106" s="368">
        <f>'Economic Data'!O120</f>
        <v>96601</v>
      </c>
      <c r="DN106" s="368">
        <f>'Economic Data'!P120</f>
        <v>19084</v>
      </c>
      <c r="DO106" s="368">
        <f>'Economic Data'!Q120</f>
        <v>682077</v>
      </c>
      <c r="DP106" s="368">
        <f>'Economic Data'!R120</f>
        <v>32844</v>
      </c>
      <c r="DQ106">
        <v>30</v>
      </c>
      <c r="DR106">
        <v>20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1</v>
      </c>
      <c r="EB106">
        <v>0</v>
      </c>
      <c r="EC106">
        <v>0</v>
      </c>
      <c r="ED106">
        <v>0</v>
      </c>
      <c r="EE106">
        <v>0</v>
      </c>
      <c r="EF106">
        <v>1</v>
      </c>
      <c r="EG106">
        <v>1</v>
      </c>
      <c r="EH106">
        <f t="shared" si="189"/>
        <v>105</v>
      </c>
      <c r="EI106">
        <v>0</v>
      </c>
      <c r="EJ106">
        <v>0</v>
      </c>
      <c r="EK106">
        <v>0.25</v>
      </c>
      <c r="EL106">
        <v>0</v>
      </c>
      <c r="EM106" s="47">
        <f t="shared" si="194"/>
        <v>0</v>
      </c>
      <c r="EN106" s="47">
        <f t="shared" si="195"/>
        <v>0</v>
      </c>
      <c r="EO106" s="47">
        <f t="shared" si="196"/>
        <v>0</v>
      </c>
      <c r="EP106" s="47">
        <f t="shared" si="197"/>
        <v>0</v>
      </c>
      <c r="EQ106" s="47">
        <f t="shared" si="198"/>
        <v>0</v>
      </c>
      <c r="ER106" s="47">
        <f t="shared" si="199"/>
        <v>0</v>
      </c>
      <c r="ES106" s="47">
        <f t="shared" si="200"/>
        <v>0</v>
      </c>
      <c r="ET106" s="47">
        <f t="shared" si="201"/>
        <v>0</v>
      </c>
      <c r="EU106" s="47">
        <f t="shared" si="202"/>
        <v>0</v>
      </c>
      <c r="EV106" s="47">
        <f t="shared" si="203"/>
        <v>0</v>
      </c>
      <c r="EW106" s="47">
        <f t="shared" si="204"/>
        <v>0</v>
      </c>
      <c r="EX106" s="47">
        <f t="shared" si="205"/>
        <v>0</v>
      </c>
      <c r="EY106" s="47">
        <f t="shared" si="206"/>
        <v>0</v>
      </c>
      <c r="EZ106" s="47">
        <f t="shared" si="207"/>
        <v>0</v>
      </c>
      <c r="FA106" s="47">
        <f t="shared" si="208"/>
        <v>23.80520833333334</v>
      </c>
      <c r="FB106" s="47">
        <f t="shared" si="209"/>
        <v>4.5531249999999988</v>
      </c>
      <c r="FC106" s="47">
        <f t="shared" si="210"/>
        <v>11.897916666666669</v>
      </c>
      <c r="FD106" s="47">
        <f t="shared" si="211"/>
        <v>7.6458333333333321</v>
      </c>
      <c r="FE106" s="47">
        <f t="shared" si="212"/>
        <v>3.8041666666666671</v>
      </c>
      <c r="FF106" s="47">
        <f t="shared" si="213"/>
        <v>14.552083333333329</v>
      </c>
      <c r="FG106" s="47">
        <f t="shared" si="214"/>
        <v>0.58958333333333446</v>
      </c>
      <c r="FH106" s="47">
        <f t="shared" si="215"/>
        <v>26.337499999999999</v>
      </c>
      <c r="FI106" s="47">
        <f t="shared" si="216"/>
        <v>0</v>
      </c>
      <c r="FJ106" s="47">
        <f t="shared" si="217"/>
        <v>40.747916666666654</v>
      </c>
      <c r="FK106" s="47">
        <f t="shared" si="218"/>
        <v>0</v>
      </c>
      <c r="FL106" s="47">
        <f t="shared" si="219"/>
        <v>55.74791666666664</v>
      </c>
      <c r="FM106" s="47">
        <f t="shared" si="220"/>
        <v>0</v>
      </c>
      <c r="FN106" s="47">
        <f t="shared" si="221"/>
        <v>70.74791666666664</v>
      </c>
      <c r="FO106" s="765">
        <f t="shared" ca="1" si="222"/>
        <v>717.43170181343885</v>
      </c>
      <c r="FP106" s="765">
        <f t="shared" ca="1" si="223"/>
        <v>544.57064466169652</v>
      </c>
      <c r="FQ106" s="765">
        <f t="shared" ca="1" si="224"/>
        <v>2503.0107834888054</v>
      </c>
      <c r="FR106" s="765">
        <f t="shared" ca="1" si="225"/>
        <v>80501.821832271846</v>
      </c>
      <c r="FS106" s="765">
        <f t="shared" ca="1" si="226"/>
        <v>1597394.0597841174</v>
      </c>
      <c r="FT106" s="765">
        <f t="shared" ca="1" si="227"/>
        <v>5951921.6794834239</v>
      </c>
      <c r="FU106" s="765">
        <f t="shared" si="228"/>
        <v>29.275706498561657</v>
      </c>
      <c r="FV106" s="765">
        <f t="shared" si="229"/>
        <v>74.107892561983491</v>
      </c>
      <c r="FW106" s="765">
        <f t="shared" si="230"/>
        <v>496.79847021943556</v>
      </c>
      <c r="FX106" s="765">
        <f t="shared" ca="1" si="231"/>
        <v>789.61680446480625</v>
      </c>
      <c r="FY106" s="765">
        <f t="shared" ca="1" si="232"/>
        <v>3646.4400696829739</v>
      </c>
      <c r="FZ106" s="765">
        <f t="shared" ca="1" si="233"/>
        <v>77880.772647989346</v>
      </c>
      <c r="GA106" s="765">
        <f t="shared" si="234"/>
        <v>98653.353333333333</v>
      </c>
      <c r="GB106" s="765">
        <f t="shared" si="235"/>
        <v>21.769372391092485</v>
      </c>
      <c r="GC106" s="765">
        <f t="shared" si="236"/>
        <v>46.904347826086955</v>
      </c>
      <c r="GD106" s="765">
        <f t="shared" si="237"/>
        <v>404.26885856079406</v>
      </c>
    </row>
    <row r="107" spans="1:186">
      <c r="A107" s="4">
        <v>45200</v>
      </c>
      <c r="B107" s="6">
        <v>2023</v>
      </c>
      <c r="C107" s="5">
        <v>10</v>
      </c>
      <c r="D107" s="7">
        <v>74930981.172800392</v>
      </c>
      <c r="E107" s="7">
        <f ca="1">IFERROR(VLOOKUP($B107-1,CDM!$V$4:$AJ$17,2,FALSE)/12,0)+IFERROR(VLOOKUP($B107,CDM!$V$41:$AJ$54,2,FALSE)/24,0)+IFERROR(VLOOKUP($B107,CDM!$V$41:$AJ$54,2,FALSE)/2*$C107/78,0)</f>
        <v>3849263.5654505901</v>
      </c>
      <c r="F107" s="7">
        <f t="shared" ca="1" si="169"/>
        <v>78780244.738250986</v>
      </c>
      <c r="G107" s="7">
        <f>IFERROR(HLOOKUP(B107-1,'EV Forecast VRZ'!$F$124:$T$130,2,FALSE)/12,0)+IFERROR(((HLOOKUP(B107,'EV Forecast VRZ'!$F$116:$T$122,2,FALSE)-HLOOKUP(B107-1,'EV Forecast VRZ'!$F$124:$T$130,2,FALSE)))*C107/78,0)</f>
        <v>922841.40577358089</v>
      </c>
      <c r="H107" s="7">
        <f ca="1">HLOOKUP(B107,Heating!$C$102:$O$106,2,FALSE)*INDEX(Weather!$BO$1:$CB$20,MATCH(B107,Weather!$BO$1:$BO$20,0),MATCH(C107,Weather!$BO$1:$CB$1,0))/VLOOKUP(B107,Weather!$BO$2:$CB$20,14,FALSE)*
VLOOKUP('Monthly Data'!$B107,Weather!$BO$3:$CB$20,14,FALSE)/Weather!$CB$14</f>
        <v>637339.8532543102</v>
      </c>
      <c r="I107" s="7">
        <f t="shared" ca="1" si="170"/>
        <v>77220063.479223102</v>
      </c>
      <c r="J107" s="7">
        <v>891544.68293000001</v>
      </c>
      <c r="K107" s="7">
        <f ca="1">IFERROR(VLOOKUP($B107-1,CDM!$V$4:$AJ$17,3,FALSE)/12,0)+IFERROR(VLOOKUP($B107,CDM!$V$41:$AJ$54,3,FALSE)/24,0)+IFERROR(VLOOKUP($B107,CDM!$V$41:$AJ$54,3,FALSE)/2*$C107/78,0)</f>
        <v>44088.598575821285</v>
      </c>
      <c r="L107" s="7">
        <f t="shared" ca="1" si="171"/>
        <v>935633.28150582127</v>
      </c>
      <c r="M107" s="7">
        <f>IFERROR(HLOOKUP(B107-1,'EV Forecast VRZ'!$F$124:$T$130,3,FALSE)/12,0)+IFERROR(((HLOOKUP(B107,'EV Forecast VRZ'!$F$116:$T$122,3,FALSE)-HLOOKUP(B107-1,'EV Forecast VRZ'!$F$124:$T$130,3,FALSE)))*C107/78,0)</f>
        <v>12554.705764880568</v>
      </c>
      <c r="N107" s="7">
        <f ca="1">HLOOKUP(B107,Heating!$C$102:$O$106,3,FALSE)*INDEX(Weather!$BO$1:$CB$20,MATCH(B107,Weather!$BO$1:$BO$20,0),MATCH(C107,Weather!$BO$1:$CB$1,0))/VLOOKUP(B107,Weather!$BO$2:$CB$20,14,FALSE)*
VLOOKUP('Monthly Data'!$B107,Weather!$BO$3:$CB$20,14,FALSE)/Weather!$CB$14</f>
        <v>7702.1725419259665</v>
      </c>
      <c r="O107" s="7">
        <f t="shared" ca="1" si="172"/>
        <v>915376.40319901484</v>
      </c>
      <c r="P107" s="7">
        <v>21236704.381489903</v>
      </c>
      <c r="Q107" s="7">
        <f ca="1">IFERROR(VLOOKUP($B107-1,CDM!$V$4:$AJ$17,4,FALSE)/12,0)+IFERROR(VLOOKUP($B107,CDM!$V$41:$AJ$54,4,FALSE)/24,0)+IFERROR(VLOOKUP($B107,CDM!$V$41:$AJ$54,4,FALSE)/2*$C107/78,0)</f>
        <v>1597825.6892513796</v>
      </c>
      <c r="R107" s="7">
        <f t="shared" ca="1" si="173"/>
        <v>22834530.070741281</v>
      </c>
      <c r="S107" s="7">
        <f>IFERROR(HLOOKUP(B107-1,'EV Forecast VRZ'!$F$124:$T$130,4,FALSE)/12,0)+IFERROR(((HLOOKUP(B107,'EV Forecast VRZ'!$F$116:$T$122,4,FALSE)-HLOOKUP(B107-1,'EV Forecast VRZ'!$F$124:$T$130,4,FALSE)))*C107/78,0)</f>
        <v>115568.20769230768</v>
      </c>
      <c r="T107" s="7">
        <f ca="1">HLOOKUP(B107,Heating!$C$102:$O$106,4,FALSE)*INDEX(Weather!$BO$1:$CB$20,MATCH(B107,Weather!$BO$1:$BO$20,0),MATCH(C107,Weather!$BO$1:$CB$1,0))/VLOOKUP(B107,Weather!$BO$2:$CB$20,14,FALSE)*
VLOOKUP('Monthly Data'!$B107,Weather!$BO$3:$CB$20,14,FALSE)/Weather!$CB$14</f>
        <v>156574.16306377586</v>
      </c>
      <c r="U107" s="7">
        <f t="shared" ca="1" si="174"/>
        <v>22562387.699985199</v>
      </c>
      <c r="V107" s="7">
        <v>75658925.340000004</v>
      </c>
      <c r="W107" s="7">
        <f ca="1">IFERROR(VLOOKUP($B107-1,CDM!$V$4:$AJ$17,5,FALSE)/12,0)+IFERROR(VLOOKUP($B107,CDM!$V$41:$AJ$54,5,FALSE)/24,0)+IFERROR(VLOOKUP($B107,CDM!$V$41:$AJ$54,5,FALSE)/2*$C107/78,0)</f>
        <v>6614020.2347192978</v>
      </c>
      <c r="X107" s="7">
        <f t="shared" ca="1" si="175"/>
        <v>82272945.574719295</v>
      </c>
      <c r="Y107" s="7">
        <f>IFERROR(HLOOKUP(B107-1,'EV Forecast VRZ'!$F$124:$T$130,5,FALSE)/12,0)+IFERROR(((HLOOKUP(B107,'EV Forecast VRZ'!$F$116:$T$122,5,FALSE)-HLOOKUP(B107-1,'EV Forecast VRZ'!$F$124:$T$130,5,FALSE)))*C107/78,0)</f>
        <v>53599.347307692296</v>
      </c>
      <c r="Z107" s="7">
        <f ca="1">HLOOKUP(B107,Heating!$C$102:$O$106,5,FALSE)*INDEX(Weather!$BO$1:$CB$20,MATCH(B107,Weather!$BO$1:$BO$20,0),MATCH(C107,Weather!$BO$1:$CB$1,0))/VLOOKUP(B107,Weather!$BO$2:$CB$20,14,FALSE)*
VLOOKUP('Monthly Data'!$B107,Weather!$BO$3:$CB$20,14,FALSE)/Weather!$CB$14</f>
        <v>81798.54558690975</v>
      </c>
      <c r="AA107" s="7">
        <f t="shared" ca="1" si="176"/>
        <v>82137547.681824684</v>
      </c>
      <c r="AB107" s="7">
        <v>8909302.6199999992</v>
      </c>
      <c r="AC107" s="7">
        <f ca="1">IFERROR(VLOOKUP($B107-1,CDM!$V$4:$AJ$17,6,FALSE)/12,0)+IFERROR(VLOOKUP($B107,CDM!$V$41:$AJ$54,6,FALSE)/24,0)+IFERROR(VLOOKUP($B107,CDM!$V$41:$AJ$54,6,FALSE)/2*$C107/78,0)</f>
        <v>311401.16692192107</v>
      </c>
      <c r="AD107" s="7">
        <f t="shared" ca="1" si="177"/>
        <v>9220703.7869219203</v>
      </c>
      <c r="AE107" s="7">
        <f>IFERROR(HLOOKUP(B107-1,'EV Forecast VRZ'!$F$124:$T$130,6,FALSE)/12,0)+IFERROR(((HLOOKUP(B107,'EV Forecast VRZ'!$F$116:$T$122,6,FALSE)-HLOOKUP(B107-1,'EV Forecast VRZ'!$F$124:$T$130,6,FALSE)))*C107/78,0)</f>
        <v>6943.4103846153857</v>
      </c>
      <c r="AF107" s="7">
        <f t="shared" ca="1" si="178"/>
        <v>9213760.3765373044</v>
      </c>
      <c r="AG107" s="7">
        <v>28152430</v>
      </c>
      <c r="AH107" s="7">
        <f ca="1">IFERROR(VLOOKUP($B107-1,CDM!$V$4:$AJ$17,7,FALSE)/12,0)+IFERROR(VLOOKUP($B107,CDM!$V$41:$AJ$54,7,FALSE)/24,0)+IFERROR(VLOOKUP($B107,CDM!$V$41:$AJ$54,7,FALSE)/2*$C107/78,0)</f>
        <v>1896788.4158735201</v>
      </c>
      <c r="AI107" s="7">
        <f t="shared" ca="1" si="179"/>
        <v>30049218.41587352</v>
      </c>
      <c r="AJ107" s="7">
        <f>IFERROR(HLOOKUP(B107-1,'EV Forecast VRZ'!$F$124:$T$130,7,FALSE)/12,0)+IFERROR(((HLOOKUP(B107,'EV Forecast VRZ'!$F$116:$T$122,7,FALSE)-HLOOKUP(B107-1,'EV Forecast VRZ'!$F$124:$T$130,7,FALSE)))*C107/78,0)</f>
        <v>578.84615384615381</v>
      </c>
      <c r="AK107" s="7">
        <f t="shared" ca="1" si="180"/>
        <v>30048639.569719672</v>
      </c>
      <c r="AL107" s="7">
        <v>1107018.23</v>
      </c>
      <c r="AM107" s="7">
        <v>17824.919999999995</v>
      </c>
      <c r="AN107" s="7">
        <v>395789.5</v>
      </c>
      <c r="AO107" s="5">
        <v>189197.01</v>
      </c>
      <c r="AP107" s="5">
        <v>19802.849999999999</v>
      </c>
      <c r="AQ107" s="5">
        <v>44574.62</v>
      </c>
      <c r="AR107" s="5">
        <v>2620.67</v>
      </c>
      <c r="AS107" s="763">
        <f t="shared" si="240"/>
        <v>50.666666666666664</v>
      </c>
      <c r="AT107" s="776">
        <v>116169.5</v>
      </c>
      <c r="AU107" s="776">
        <v>1563.5</v>
      </c>
      <c r="AV107" s="776">
        <v>9493.5</v>
      </c>
      <c r="AW107" s="776">
        <v>1037.166666666667</v>
      </c>
      <c r="AX107" s="776">
        <v>5</v>
      </c>
      <c r="AY107" s="776">
        <v>4.8333333333333304</v>
      </c>
      <c r="AZ107" s="776">
        <v>32285.833333333321</v>
      </c>
      <c r="BA107" s="776">
        <v>241.66666666666657</v>
      </c>
      <c r="BB107" s="776">
        <v>797.33333333333371</v>
      </c>
      <c r="BC107" s="779">
        <v>29177709.73928</v>
      </c>
      <c r="BD107" s="779">
        <f ca="1">IFERROR(VLOOKUP($B107-1,CDM!$V$4:$AJ$17,11,FALSE)/12,0)+IFERROR(VLOOKUP($B107,CDM!$V$41:$AJ$54,11,FALSE)/24,0)+IFERROR(VLOOKUP($B107,CDM!$V$41:$AJ$54,11,FALSE)/2*$C107/78,0)</f>
        <v>1707529.4089085322</v>
      </c>
      <c r="BE107" s="779">
        <f t="shared" ca="1" si="192"/>
        <v>30885239.148188531</v>
      </c>
      <c r="BF107" s="779">
        <f>IFERROR(HLOOKUP(B107-1,'EV Forecast WRZ'!$F$124:$T$130,2,FALSE)/12,0)+IFERROR(((HLOOKUP(B107,'EV Forecast WRZ'!$F$116:$T$122,2,FALSE)-HLOOKUP(B107-1,'EV Forecast WRZ'!$F$124:$T$130,2,FALSE)))*C107/78,0)</f>
        <v>296020.60923076922</v>
      </c>
      <c r="BG107" s="779">
        <f ca="1">HLOOKUP(B107,Heating!$R$102:$AD$106,2,FALSE)*INDEX(Weather!$BO$1:$CB$20,MATCH(B107,Weather!$BO$1:$BO$20,0),MATCH(C107,Weather!$BO$1:$CB$1,0))/VLOOKUP(B107,Weather!$BO$2:$CB$20,14,FALSE)*
VLOOKUP('Monthly Data'!$B107,Weather!$BO$3:$CB$20,14,FALSE)/Weather!$CB$14</f>
        <v>285715.08965570683</v>
      </c>
      <c r="BH107" s="779">
        <f t="shared" ca="1" si="181"/>
        <v>30303503.449302055</v>
      </c>
      <c r="BI107" s="779">
        <v>8469552.8560300097</v>
      </c>
      <c r="BJ107" s="779">
        <f ca="1">IFERROR(VLOOKUP($B107-1,CDM!$V$4:$AJ$17,12,FALSE)/12,0)+IFERROR(VLOOKUP($B107,CDM!$V$41:$AJ$54,12,FALSE)/24,0)+IFERROR(VLOOKUP($B107,CDM!$V$41:$AJ$54,12,FALSE)/2*$C107/78,0)</f>
        <v>288959.91108165577</v>
      </c>
      <c r="BK107" s="779">
        <f t="shared" ca="1" si="182"/>
        <v>8758512.7671116646</v>
      </c>
      <c r="BL107" s="779">
        <f>IFERROR(HLOOKUP(B107-1,'EV Forecast WRZ'!$F$124:$T$130,3,FALSE)/12,0)+IFERROR(((HLOOKUP(B107,'EV Forecast WRZ'!$F$116:$T$122,3,FALSE)-HLOOKUP(B107-1,'EV Forecast WRZ'!$F$124:$T$130,3,FALSE)))*C107/78,0)</f>
        <v>37515.886153846157</v>
      </c>
      <c r="BM107" s="779">
        <f ca="1">HLOOKUP(B107,Heating!$R$102:$AD$106,4,FALSE)*INDEX(Weather!$BO$1:$CB$20,MATCH(B107,Weather!$BO$1:$BO$20,0),MATCH(C107,Weather!$BO$1:$CB$1,0))/VLOOKUP(B107,Weather!$BO$2:$CB$20,14,FALSE)*
VLOOKUP('Monthly Data'!$B107,Weather!$BO$3:$CB$20,14,FALSE)/Weather!$CB$14</f>
        <v>44741.462636823308</v>
      </c>
      <c r="BN107" s="779">
        <f t="shared" ca="1" si="183"/>
        <v>8676255.4183209948</v>
      </c>
      <c r="BO107" s="779">
        <v>26514209.989999998</v>
      </c>
      <c r="BP107" s="779">
        <f ca="1">IFERROR(VLOOKUP($B107-1,CDM!$V$4:$AJ$17,13,FALSE)/12,0)+IFERROR(VLOOKUP($B107,CDM!$V$41:$AJ$54,13,FALSE)/24,0)+IFERROR(VLOOKUP($B107,CDM!$V$41:$AJ$54,13,FALSE)/2*$C107/78,0)</f>
        <v>2815504.7043354521</v>
      </c>
      <c r="BQ107" s="779">
        <f t="shared" ca="1" si="184"/>
        <v>29329714.694335449</v>
      </c>
      <c r="BR107" s="779">
        <f>IFERROR(HLOOKUP(B107-1,'EV Forecast WRZ'!$F$124:$T$130,4,FALSE)/12,0)+IFERROR(((HLOOKUP(B107,'EV Forecast WRZ'!$F$116:$T$122,4,FALSE)-HLOOKUP(B107-1,'EV Forecast WRZ'!$F$124:$T$130,4,FALSE)))*C107/78,0)</f>
        <v>16801.6038974359</v>
      </c>
      <c r="BS107" s="779">
        <f ca="1">HLOOKUP(B107,Heating!$R$102:$AD$106,5,FALSE)*INDEX(Weather!$BO$1:$CB$20,MATCH(B107,Weather!$BO$1:$BO$20,0),MATCH(C107,Weather!$BO$1:$CB$1,0))/VLOOKUP(B107,Weather!$BO$2:$CB$20,14,FALSE)*
VLOOKUP('Monthly Data'!$B107,Weather!$BO$3:$CB$20,14,FALSE)/Weather!$CB$14</f>
        <v>24169.582932051831</v>
      </c>
      <c r="BT107" s="779">
        <f t="shared" ca="1" si="185"/>
        <v>29288743.507505961</v>
      </c>
      <c r="BU107" s="779">
        <v>7299857.9699999997</v>
      </c>
      <c r="BV107" s="779">
        <f ca="1">IFERROR(VLOOKUP($B107-1,CDM!$V$4:$AJ$17,14,FALSE)/12,0)+IFERROR(VLOOKUP($B107,CDM!$V$41:$AJ$54,14,FALSE)/24,0)+IFERROR(VLOOKUP($B107,CDM!$V$41:$AJ$54,14,FALSE)/2*$C107/78,0)</f>
        <v>633110.8154166122</v>
      </c>
      <c r="BW107" s="779">
        <f t="shared" ca="1" si="186"/>
        <v>7932968.7854166124</v>
      </c>
      <c r="BX107" s="779">
        <f>IFERROR(HLOOKUP(B107-1,'EV Forecast WRZ'!$F$124:$T$130,5,FALSE)/12,0)+IFERROR(((HLOOKUP(B107,'EV Forecast WRZ'!$F$116:$T$122,5,FALSE)-HLOOKUP(B107-1,'EV Forecast WRZ'!$F$124:$T$130,5,FALSE)))*C107/78,0)</f>
        <v>2519.4802051282054</v>
      </c>
      <c r="BY107" s="779">
        <f t="shared" ca="1" si="193"/>
        <v>7930449.3052114844</v>
      </c>
      <c r="BZ107" s="779">
        <v>345715.87</v>
      </c>
      <c r="CA107" s="779">
        <v>2938.1999999999994</v>
      </c>
      <c r="CB107" s="5">
        <v>163974.10999999999</v>
      </c>
      <c r="CC107" s="5">
        <v>65238.96</v>
      </c>
      <c r="CD107" s="5">
        <v>13214.6</v>
      </c>
      <c r="CE107" s="5">
        <v>821</v>
      </c>
      <c r="CF107" s="763">
        <f t="shared" si="241"/>
        <v>7.666666666666667</v>
      </c>
      <c r="CG107" s="785">
        <v>45186.333333333358</v>
      </c>
      <c r="CH107" s="785">
        <v>2447.8333333333348</v>
      </c>
      <c r="CI107" s="785">
        <v>385.66666666666686</v>
      </c>
      <c r="CJ107" s="785">
        <v>3</v>
      </c>
      <c r="CK107" s="785">
        <v>13611.166666666661</v>
      </c>
      <c r="CL107" s="785">
        <v>46</v>
      </c>
      <c r="CM107" s="785">
        <v>404</v>
      </c>
      <c r="CN107" s="46">
        <f>Weather!C119</f>
        <v>261.85000000000002</v>
      </c>
      <c r="CO107" s="46">
        <f>Weather!D119</f>
        <v>0</v>
      </c>
      <c r="CP107" s="46">
        <f>Weather!E119</f>
        <v>207.15416666666667</v>
      </c>
      <c r="CQ107" s="46">
        <f>Weather!F119</f>
        <v>7.3041666666666707</v>
      </c>
      <c r="CR107" s="46">
        <f>Weather!G119</f>
        <v>157.42916666666665</v>
      </c>
      <c r="CS107" s="46">
        <f>Weather!H119</f>
        <v>19.579166666666676</v>
      </c>
      <c r="CT107" s="46">
        <f>Weather!I119</f>
        <v>111.18333333333332</v>
      </c>
      <c r="CU107" s="46">
        <f>Weather!J119</f>
        <v>35.333333333333343</v>
      </c>
      <c r="CV107" s="46">
        <f>Weather!K119</f>
        <v>68.475000000000009</v>
      </c>
      <c r="CW107" s="46">
        <f>Weather!L119</f>
        <v>54.625</v>
      </c>
      <c r="CX107" s="46">
        <f>Weather!M119</f>
        <v>37.779166666666669</v>
      </c>
      <c r="CY107" s="46">
        <f>Weather!N119</f>
        <v>85.929166666666674</v>
      </c>
      <c r="CZ107" s="46">
        <f>Weather!O119</f>
        <v>17.783333333333335</v>
      </c>
      <c r="DA107" s="46">
        <f>Weather!P119</f>
        <v>127.93333333333337</v>
      </c>
      <c r="DB107" s="368">
        <f>'Economic Data'!D121</f>
        <v>8054.4</v>
      </c>
      <c r="DC107" s="368">
        <f>'Economic Data'!E121</f>
        <v>8050.1</v>
      </c>
      <c r="DD107" s="368">
        <f>'Economic Data'!F121</f>
        <v>235.5</v>
      </c>
      <c r="DE107" s="368">
        <f>'Economic Data'!G121</f>
        <v>232.7</v>
      </c>
      <c r="DF107" s="368">
        <f>'Economic Data'!H121</f>
        <v>61.6</v>
      </c>
      <c r="DG107" s="368">
        <f>'Economic Data'!I121</f>
        <v>61.6</v>
      </c>
      <c r="DH107" s="368">
        <f>'Economic Data'!J121</f>
        <v>865859.6</v>
      </c>
      <c r="DI107" s="368">
        <f>'Economic Data'!K121</f>
        <v>679067</v>
      </c>
      <c r="DJ107" s="368">
        <f>'Economic Data'!L121</f>
        <v>96987.199999999997</v>
      </c>
      <c r="DK107" s="368">
        <f>'Economic Data'!M121</f>
        <v>32826.199999999997</v>
      </c>
      <c r="DL107" s="368">
        <f>'Economic Data'!N121</f>
        <v>869576</v>
      </c>
      <c r="DM107" s="368">
        <f>'Economic Data'!O121</f>
        <v>94324</v>
      </c>
      <c r="DN107" s="368">
        <f>'Economic Data'!P121</f>
        <v>17937</v>
      </c>
      <c r="DO107" s="368">
        <f>'Economic Data'!Q121</f>
        <v>686415</v>
      </c>
      <c r="DP107" s="368">
        <f>'Economic Data'!R121</f>
        <v>33497</v>
      </c>
      <c r="DQ107">
        <v>31</v>
      </c>
      <c r="DR107">
        <v>21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1</v>
      </c>
      <c r="EC107">
        <v>0</v>
      </c>
      <c r="ED107">
        <v>0</v>
      </c>
      <c r="EE107">
        <v>0</v>
      </c>
      <c r="EF107">
        <v>1</v>
      </c>
      <c r="EG107">
        <v>1</v>
      </c>
      <c r="EH107">
        <f t="shared" si="189"/>
        <v>106</v>
      </c>
      <c r="EI107">
        <v>0</v>
      </c>
      <c r="EJ107">
        <v>0</v>
      </c>
      <c r="EK107">
        <v>0.25</v>
      </c>
      <c r="EL107">
        <v>0</v>
      </c>
      <c r="EM107" s="47">
        <f t="shared" si="194"/>
        <v>0</v>
      </c>
      <c r="EN107" s="47">
        <f t="shared" si="195"/>
        <v>0</v>
      </c>
      <c r="EO107" s="47">
        <f t="shared" si="196"/>
        <v>0</v>
      </c>
      <c r="EP107" s="47">
        <f t="shared" si="197"/>
        <v>0</v>
      </c>
      <c r="EQ107" s="47">
        <f t="shared" si="198"/>
        <v>0</v>
      </c>
      <c r="ER107" s="47">
        <f t="shared" si="199"/>
        <v>0</v>
      </c>
      <c r="ES107" s="47">
        <f t="shared" si="200"/>
        <v>0</v>
      </c>
      <c r="ET107" s="47">
        <f t="shared" si="201"/>
        <v>0</v>
      </c>
      <c r="EU107" s="47">
        <f t="shared" si="202"/>
        <v>0</v>
      </c>
      <c r="EV107" s="47">
        <f t="shared" si="203"/>
        <v>0</v>
      </c>
      <c r="EW107" s="47">
        <f t="shared" si="204"/>
        <v>0</v>
      </c>
      <c r="EX107" s="47">
        <f t="shared" si="205"/>
        <v>0</v>
      </c>
      <c r="EY107" s="47">
        <f t="shared" si="206"/>
        <v>0</v>
      </c>
      <c r="EZ107" s="47">
        <f t="shared" si="207"/>
        <v>0</v>
      </c>
      <c r="FA107" s="47">
        <f t="shared" si="208"/>
        <v>65.462500000000006</v>
      </c>
      <c r="FB107" s="47">
        <f t="shared" si="209"/>
        <v>0</v>
      </c>
      <c r="FC107" s="47">
        <f t="shared" si="210"/>
        <v>51.788541666666667</v>
      </c>
      <c r="FD107" s="47">
        <f t="shared" si="211"/>
        <v>1.8260416666666677</v>
      </c>
      <c r="FE107" s="47">
        <f t="shared" si="212"/>
        <v>39.357291666666661</v>
      </c>
      <c r="FF107" s="47">
        <f t="shared" si="213"/>
        <v>4.8947916666666691</v>
      </c>
      <c r="FG107" s="47">
        <f t="shared" si="214"/>
        <v>27.795833333333331</v>
      </c>
      <c r="FH107" s="47">
        <f t="shared" si="215"/>
        <v>8.8333333333333357</v>
      </c>
      <c r="FI107" s="47">
        <f t="shared" si="216"/>
        <v>17.118750000000002</v>
      </c>
      <c r="FJ107" s="47">
        <f t="shared" si="217"/>
        <v>13.65625</v>
      </c>
      <c r="FK107" s="47">
        <f t="shared" si="218"/>
        <v>9.4447916666666671</v>
      </c>
      <c r="FL107" s="47">
        <f t="shared" si="219"/>
        <v>21.482291666666669</v>
      </c>
      <c r="FM107" s="47">
        <f t="shared" si="220"/>
        <v>4.4458333333333337</v>
      </c>
      <c r="FN107" s="47">
        <f t="shared" si="221"/>
        <v>31.983333333333341</v>
      </c>
      <c r="FO107" s="765">
        <f t="shared" ca="1" si="222"/>
        <v>664.71891055073058</v>
      </c>
      <c r="FP107" s="765">
        <f t="shared" ca="1" si="223"/>
        <v>598.42230988539893</v>
      </c>
      <c r="FQ107" s="765">
        <f t="shared" ca="1" si="224"/>
        <v>2405.2804624997398</v>
      </c>
      <c r="FR107" s="765">
        <f t="shared" ca="1" si="225"/>
        <v>79324.710501095236</v>
      </c>
      <c r="FS107" s="765">
        <f t="shared" ca="1" si="226"/>
        <v>1844140.7573843841</v>
      </c>
      <c r="FT107" s="765">
        <f t="shared" ca="1" si="227"/>
        <v>6217079.6722496981</v>
      </c>
      <c r="FU107" s="765">
        <f t="shared" si="228"/>
        <v>34.288048834628206</v>
      </c>
      <c r="FV107" s="765">
        <f t="shared" si="229"/>
        <v>73.758289655172419</v>
      </c>
      <c r="FW107" s="765">
        <f t="shared" si="230"/>
        <v>496.39151337792617</v>
      </c>
      <c r="FX107" s="765">
        <f t="shared" ca="1" si="231"/>
        <v>683.50841659030789</v>
      </c>
      <c r="FY107" s="765">
        <f t="shared" ca="1" si="232"/>
        <v>3578.0674475842552</v>
      </c>
      <c r="FZ107" s="765">
        <f t="shared" ca="1" si="233"/>
        <v>76049.389872952728</v>
      </c>
      <c r="GA107" s="765">
        <f t="shared" si="234"/>
        <v>115238.62333333334</v>
      </c>
      <c r="GB107" s="765">
        <f t="shared" si="235"/>
        <v>25.399429634981093</v>
      </c>
      <c r="GC107" s="765">
        <f t="shared" si="236"/>
        <v>63.873913043478247</v>
      </c>
      <c r="GD107" s="765">
        <f t="shared" si="237"/>
        <v>405.87650990099007</v>
      </c>
    </row>
    <row r="108" spans="1:186">
      <c r="A108" s="4">
        <v>45231</v>
      </c>
      <c r="B108" s="6">
        <v>2023</v>
      </c>
      <c r="C108" s="5">
        <v>11</v>
      </c>
      <c r="D108" s="7">
        <v>83452552.551058397</v>
      </c>
      <c r="E108" s="7">
        <f ca="1">IFERROR(VLOOKUP($B108-1,CDM!$V$4:$AJ$17,2,FALSE)/12,0)+IFERROR(VLOOKUP($B108,CDM!$V$41:$AJ$54,2,FALSE)/24,0)+IFERROR(VLOOKUP($B108,CDM!$V$41:$AJ$54,2,FALSE)/2*$C108/78,0)</f>
        <v>3849346.4452273794</v>
      </c>
      <c r="F108" s="7">
        <f t="shared" ca="1" si="169"/>
        <v>87301898.996285781</v>
      </c>
      <c r="G108" s="7">
        <f>IFERROR(HLOOKUP(B108-1,'EV Forecast VRZ'!$F$124:$T$130,2,FALSE)/12,0)+IFERROR(((HLOOKUP(B108,'EV Forecast VRZ'!$F$116:$T$122,2,FALSE)-HLOOKUP(B108-1,'EV Forecast VRZ'!$F$124:$T$130,2,FALSE)))*C108/78,0)</f>
        <v>949381.3567566094</v>
      </c>
      <c r="H108" s="7">
        <f ca="1">HLOOKUP(B108,Heating!$C$102:$O$106,2,FALSE)*INDEX(Weather!$BO$1:$CB$20,MATCH(B108,Weather!$BO$1:$BO$20,0),MATCH(C108,Weather!$BO$1:$CB$1,0))/VLOOKUP(B108,Weather!$BO$2:$CB$20,14,FALSE)*
VLOOKUP('Monthly Data'!$B108,Weather!$BO$3:$CB$20,14,FALSE)/Weather!$CB$14</f>
        <v>1386315.1053775337</v>
      </c>
      <c r="I108" s="7">
        <f t="shared" ca="1" si="170"/>
        <v>84966202.534151629</v>
      </c>
      <c r="J108" s="7">
        <v>1014412.78027</v>
      </c>
      <c r="K108" s="7">
        <f ca="1">IFERROR(VLOOKUP($B108-1,CDM!$V$4:$AJ$17,3,FALSE)/12,0)+IFERROR(VLOOKUP($B108,CDM!$V$41:$AJ$54,3,FALSE)/24,0)+IFERROR(VLOOKUP($B108,CDM!$V$41:$AJ$54,3,FALSE)/2*$C108/78,0)</f>
        <v>44089.541184245405</v>
      </c>
      <c r="L108" s="7">
        <f t="shared" ca="1" si="171"/>
        <v>1058502.3214542454</v>
      </c>
      <c r="M108" s="7">
        <f>IFERROR(HLOOKUP(B108-1,'EV Forecast VRZ'!$F$124:$T$130,3,FALSE)/12,0)+IFERROR(((HLOOKUP(B108,'EV Forecast VRZ'!$F$116:$T$122,3,FALSE)-HLOOKUP(B108-1,'EV Forecast VRZ'!$F$124:$T$130,3,FALSE)))*C108/78,0)</f>
        <v>12915.765935698289</v>
      </c>
      <c r="N108" s="7">
        <f ca="1">HLOOKUP(B108,Heating!$C$102:$O$106,3,FALSE)*INDEX(Weather!$BO$1:$CB$20,MATCH(B108,Weather!$BO$1:$BO$20,0),MATCH(C108,Weather!$BO$1:$CB$1,0))/VLOOKUP(B108,Weather!$BO$2:$CB$20,14,FALSE)*
VLOOKUP('Monthly Data'!$B108,Weather!$BO$3:$CB$20,14,FALSE)/Weather!$CB$14</f>
        <v>16753.44493926613</v>
      </c>
      <c r="O108" s="7">
        <f t="shared" ca="1" si="172"/>
        <v>1028833.110579281</v>
      </c>
      <c r="P108" s="7">
        <v>22629177.4111</v>
      </c>
      <c r="Q108" s="7">
        <f ca="1">IFERROR(VLOOKUP($B108-1,CDM!$V$4:$AJ$17,4,FALSE)/12,0)+IFERROR(VLOOKUP($B108,CDM!$V$41:$AJ$54,4,FALSE)/24,0)+IFERROR(VLOOKUP($B108,CDM!$V$41:$AJ$54,4,FALSE)/2*$C108/78,0)</f>
        <v>1602085.3836328953</v>
      </c>
      <c r="R108" s="7">
        <f t="shared" ca="1" si="173"/>
        <v>24231262.794732895</v>
      </c>
      <c r="S108" s="7">
        <f>IFERROR(HLOOKUP(B108-1,'EV Forecast VRZ'!$F$124:$T$130,4,FALSE)/12,0)+IFERROR(((HLOOKUP(B108,'EV Forecast VRZ'!$F$116:$T$122,4,FALSE)-HLOOKUP(B108-1,'EV Forecast VRZ'!$F$124:$T$130,4,FALSE)))*C108/78,0)</f>
        <v>118995.92846153845</v>
      </c>
      <c r="T108" s="7">
        <f ca="1">HLOOKUP(B108,Heating!$C$102:$O$106,4,FALSE)*INDEX(Weather!$BO$1:$CB$20,MATCH(B108,Weather!$BO$1:$BO$20,0),MATCH(C108,Weather!$BO$1:$CB$1,0))/VLOOKUP(B108,Weather!$BO$2:$CB$20,14,FALSE)*
VLOOKUP('Monthly Data'!$B108,Weather!$BO$3:$CB$20,14,FALSE)/Weather!$CB$14</f>
        <v>340573.59862061887</v>
      </c>
      <c r="U108" s="7">
        <f t="shared" ca="1" si="174"/>
        <v>23771693.267650738</v>
      </c>
      <c r="V108" s="7">
        <v>76401604.950000003</v>
      </c>
      <c r="W108" s="7">
        <f ca="1">IFERROR(VLOOKUP($B108-1,CDM!$V$4:$AJ$17,5,FALSE)/12,0)+IFERROR(VLOOKUP($B108,CDM!$V$41:$AJ$54,5,FALSE)/24,0)+IFERROR(VLOOKUP($B108,CDM!$V$41:$AJ$54,5,FALSE)/2*$C108/78,0)</f>
        <v>6643877.4675791431</v>
      </c>
      <c r="X108" s="7">
        <f t="shared" ca="1" si="175"/>
        <v>83045482.417579144</v>
      </c>
      <c r="Y108" s="7">
        <f>IFERROR(HLOOKUP(B108-1,'EV Forecast VRZ'!$F$124:$T$130,5,FALSE)/12,0)+IFERROR(((HLOOKUP(B108,'EV Forecast VRZ'!$F$116:$T$122,5,FALSE)-HLOOKUP(B108-1,'EV Forecast VRZ'!$F$124:$T$130,5,FALSE)))*C108/78,0)</f>
        <v>55243.103705128204</v>
      </c>
      <c r="Z108" s="7">
        <f ca="1">HLOOKUP(B108,Heating!$C$102:$O$106,5,FALSE)*INDEX(Weather!$BO$1:$CB$20,MATCH(B108,Weather!$BO$1:$BO$20,0),MATCH(C108,Weather!$BO$1:$CB$1,0))/VLOOKUP(B108,Weather!$BO$2:$CB$20,14,FALSE)*
VLOOKUP('Monthly Data'!$B108,Weather!$BO$3:$CB$20,14,FALSE)/Weather!$CB$14</f>
        <v>177924.7896801421</v>
      </c>
      <c r="AA108" s="7">
        <f t="shared" ca="1" si="176"/>
        <v>82812314.524193883</v>
      </c>
      <c r="AB108" s="7">
        <v>8738220.1099999994</v>
      </c>
      <c r="AC108" s="7">
        <f ca="1">IFERROR(VLOOKUP($B108-1,CDM!$V$4:$AJ$17,6,FALSE)/12,0)+IFERROR(VLOOKUP($B108,CDM!$V$41:$AJ$54,6,FALSE)/24,0)+IFERROR(VLOOKUP($B108,CDM!$V$41:$AJ$54,6,FALSE)/2*$C108/78,0)</f>
        <v>313659.33492325549</v>
      </c>
      <c r="AD108" s="7">
        <f t="shared" ca="1" si="177"/>
        <v>9051879.4449232556</v>
      </c>
      <c r="AE108" s="7">
        <f>IFERROR(HLOOKUP(B108-1,'EV Forecast VRZ'!$F$124:$T$130,6,FALSE)/12,0)+IFERROR(((HLOOKUP(B108,'EV Forecast VRZ'!$F$116:$T$122,6,FALSE)-HLOOKUP(B108-1,'EV Forecast VRZ'!$F$124:$T$130,6,FALSE)))*C108/78,0)</f>
        <v>7156.4630897435909</v>
      </c>
      <c r="AF108" s="7">
        <f t="shared" ca="1" si="178"/>
        <v>9044722.981833512</v>
      </c>
      <c r="AG108" s="7">
        <v>26531763</v>
      </c>
      <c r="AH108" s="7">
        <f ca="1">IFERROR(VLOOKUP($B108-1,CDM!$V$4:$AJ$17,7,FALSE)/12,0)+IFERROR(VLOOKUP($B108,CDM!$V$41:$AJ$54,7,FALSE)/24,0)+IFERROR(VLOOKUP($B108,CDM!$V$41:$AJ$54,7,FALSE)/2*$C108/78,0)</f>
        <v>1905841.8542007902</v>
      </c>
      <c r="AI108" s="7">
        <f t="shared" ca="1" si="179"/>
        <v>28437604.854200792</v>
      </c>
      <c r="AJ108" s="7">
        <f>IFERROR(HLOOKUP(B108-1,'EV Forecast VRZ'!$F$124:$T$130,7,FALSE)/12,0)+IFERROR(((HLOOKUP(B108,'EV Forecast VRZ'!$F$116:$T$122,7,FALSE)-HLOOKUP(B108-1,'EV Forecast VRZ'!$F$124:$T$130,7,FALSE)))*C108/78,0)</f>
        <v>619.23076923076928</v>
      </c>
      <c r="AK108" s="7">
        <f t="shared" ca="1" si="180"/>
        <v>28436985.62343156</v>
      </c>
      <c r="AL108" s="7">
        <v>1180392.1000000001</v>
      </c>
      <c r="AM108" s="7">
        <v>18299.39</v>
      </c>
      <c r="AN108" s="7">
        <v>395759.68</v>
      </c>
      <c r="AO108" s="5">
        <v>172902.92</v>
      </c>
      <c r="AP108" s="5">
        <v>18686.18</v>
      </c>
      <c r="AQ108" s="5">
        <v>42324.45</v>
      </c>
      <c r="AR108" s="5">
        <v>2618.92</v>
      </c>
      <c r="AS108" s="763">
        <f t="shared" si="240"/>
        <v>50.666666666666664</v>
      </c>
      <c r="AT108" s="776">
        <v>116306.75</v>
      </c>
      <c r="AU108" s="776">
        <v>1563.75</v>
      </c>
      <c r="AV108" s="776">
        <v>9495.25</v>
      </c>
      <c r="AW108" s="776">
        <v>1039.0833333333337</v>
      </c>
      <c r="AX108" s="776">
        <v>5</v>
      </c>
      <c r="AY108" s="776">
        <v>4.9166666666666634</v>
      </c>
      <c r="AZ108" s="776">
        <v>32329.916666666653</v>
      </c>
      <c r="BA108" s="776">
        <v>241.33333333333323</v>
      </c>
      <c r="BB108" s="776">
        <v>797.16666666666708</v>
      </c>
      <c r="BC108" s="779">
        <v>29315020.512149997</v>
      </c>
      <c r="BD108" s="779">
        <f ca="1">IFERROR(VLOOKUP($B108-1,CDM!$V$4:$AJ$17,11,FALSE)/12,0)+IFERROR(VLOOKUP($B108,CDM!$V$41:$AJ$54,11,FALSE)/24,0)+IFERROR(VLOOKUP($B108,CDM!$V$41:$AJ$54,11,FALSE)/2*$C108/78,0)</f>
        <v>1707895.3919858399</v>
      </c>
      <c r="BE108" s="779">
        <f t="shared" ca="1" si="192"/>
        <v>31022915.904135838</v>
      </c>
      <c r="BF108" s="779">
        <f>IFERROR(HLOOKUP(B108-1,'EV Forecast WRZ'!$F$124:$T$130,2,FALSE)/12,0)+IFERROR(((HLOOKUP(B108,'EV Forecast WRZ'!$F$116:$T$122,2,FALSE)-HLOOKUP(B108-1,'EV Forecast WRZ'!$F$124:$T$130,2,FALSE)))*C108/78,0)</f>
        <v>304998.67948717944</v>
      </c>
      <c r="BG108" s="779">
        <f ca="1">HLOOKUP(B108,Heating!$R$102:$AD$106,2,FALSE)*INDEX(Weather!$BO$1:$CB$20,MATCH(B108,Weather!$BO$1:$BO$20,0),MATCH(C108,Weather!$BO$1:$CB$1,0))/VLOOKUP(B108,Weather!$BO$2:$CB$20,14,FALSE)*
VLOOKUP('Monthly Data'!$B108,Weather!$BO$3:$CB$20,14,FALSE)/Weather!$CB$14</f>
        <v>621475.5637852056</v>
      </c>
      <c r="BH108" s="779">
        <f t="shared" ca="1" si="181"/>
        <v>30096441.660863452</v>
      </c>
      <c r="BI108" s="779">
        <v>6991604.8161899904</v>
      </c>
      <c r="BJ108" s="779">
        <f ca="1">IFERROR(VLOOKUP($B108-1,CDM!$V$4:$AJ$17,12,FALSE)/12,0)+IFERROR(VLOOKUP($B108,CDM!$V$41:$AJ$54,12,FALSE)/24,0)+IFERROR(VLOOKUP($B108,CDM!$V$41:$AJ$54,12,FALSE)/2*$C108/78,0)</f>
        <v>290502.9605906884</v>
      </c>
      <c r="BK108" s="779">
        <f t="shared" ca="1" si="182"/>
        <v>7282107.7767806789</v>
      </c>
      <c r="BL108" s="779">
        <f>IFERROR(HLOOKUP(B108-1,'EV Forecast WRZ'!$F$124:$T$130,3,FALSE)/12,0)+IFERROR(((HLOOKUP(B108,'EV Forecast WRZ'!$F$116:$T$122,3,FALSE)-HLOOKUP(B108-1,'EV Forecast WRZ'!$F$124:$T$130,3,FALSE)))*C108/78,0)</f>
        <v>38696.564102564109</v>
      </c>
      <c r="BM108" s="779">
        <f ca="1">HLOOKUP(B108,Heating!$R$102:$AD$106,4,FALSE)*INDEX(Weather!$BO$1:$CB$20,MATCH(B108,Weather!$BO$1:$BO$20,0),MATCH(C108,Weather!$BO$1:$CB$1,0))/VLOOKUP(B108,Weather!$BO$2:$CB$20,14,FALSE)*
VLOOKUP('Monthly Data'!$B108,Weather!$BO$3:$CB$20,14,FALSE)/Weather!$CB$14</f>
        <v>97319.766170911753</v>
      </c>
      <c r="BN108" s="779">
        <f t="shared" ca="1" si="183"/>
        <v>7146091.4465072034</v>
      </c>
      <c r="BO108" s="779">
        <v>27268389.629999999</v>
      </c>
      <c r="BP108" s="779">
        <f ca="1">IFERROR(VLOOKUP($B108-1,CDM!$V$4:$AJ$17,13,FALSE)/12,0)+IFERROR(VLOOKUP($B108,CDM!$V$41:$AJ$54,13,FALSE)/24,0)+IFERROR(VLOOKUP($B108,CDM!$V$41:$AJ$54,13,FALSE)/2*$C108/78,0)</f>
        <v>2831019.0791949951</v>
      </c>
      <c r="BQ108" s="779">
        <f t="shared" ca="1" si="184"/>
        <v>30099408.709194995</v>
      </c>
      <c r="BR108" s="779">
        <f>IFERROR(HLOOKUP(B108-1,'EV Forecast WRZ'!$F$124:$T$130,4,FALSE)/12,0)+IFERROR(((HLOOKUP(B108,'EV Forecast WRZ'!$F$116:$T$122,4,FALSE)-HLOOKUP(B108-1,'EV Forecast WRZ'!$F$124:$T$130,4,FALSE)))*C108/78,0)</f>
        <v>17325.312820512823</v>
      </c>
      <c r="BS108" s="779">
        <f ca="1">HLOOKUP(B108,Heating!$R$102:$AD$106,5,FALSE)*INDEX(Weather!$BO$1:$CB$20,MATCH(B108,Weather!$BO$1:$BO$20,0),MATCH(C108,Weather!$BO$1:$CB$1,0))/VLOOKUP(B108,Weather!$BO$2:$CB$20,14,FALSE)*
VLOOKUP('Monthly Data'!$B108,Weather!$BO$3:$CB$20,14,FALSE)/Weather!$CB$14</f>
        <v>52572.670198310516</v>
      </c>
      <c r="BT108" s="779">
        <f t="shared" ca="1" si="185"/>
        <v>30029510.726176172</v>
      </c>
      <c r="BU108" s="779">
        <v>7109503.6699999999</v>
      </c>
      <c r="BV108" s="779">
        <f ca="1">IFERROR(VLOOKUP($B108-1,CDM!$V$4:$AJ$17,14,FALSE)/12,0)+IFERROR(VLOOKUP($B108,CDM!$V$41:$AJ$54,14,FALSE)/24,0)+IFERROR(VLOOKUP($B108,CDM!$V$41:$AJ$54,14,FALSE)/2*$C108/78,0)</f>
        <v>636602.29428857402</v>
      </c>
      <c r="BW108" s="779">
        <f t="shared" ca="1" si="186"/>
        <v>7746105.9642885737</v>
      </c>
      <c r="BX108" s="779">
        <f>IFERROR(HLOOKUP(B108-1,'EV Forecast WRZ'!$F$124:$T$130,5,FALSE)/12,0)+IFERROR(((HLOOKUP(B108,'EV Forecast WRZ'!$F$116:$T$122,5,FALSE)-HLOOKUP(B108-1,'EV Forecast WRZ'!$F$124:$T$130,5,FALSE)))*C108/78,0)</f>
        <v>2605.3410256410257</v>
      </c>
      <c r="BY108" s="779">
        <f t="shared" ca="1" si="193"/>
        <v>7743500.6232629325</v>
      </c>
      <c r="BZ108" s="779">
        <v>368878.8</v>
      </c>
      <c r="CA108" s="779">
        <v>2104.5</v>
      </c>
      <c r="CB108" s="5">
        <v>165027.87</v>
      </c>
      <c r="CC108" s="5">
        <v>61210.29</v>
      </c>
      <c r="CD108" s="5">
        <v>13028.25</v>
      </c>
      <c r="CE108" s="5">
        <v>821</v>
      </c>
      <c r="CF108" s="763">
        <f t="shared" si="241"/>
        <v>7.666666666666667</v>
      </c>
      <c r="CG108" s="785">
        <v>45255.166666666693</v>
      </c>
      <c r="CH108" s="785">
        <v>2451.4166666666683</v>
      </c>
      <c r="CI108" s="785">
        <v>386.33333333333354</v>
      </c>
      <c r="CJ108" s="785">
        <v>3</v>
      </c>
      <c r="CK108" s="785">
        <v>13627.083333333327</v>
      </c>
      <c r="CL108" s="785">
        <v>46</v>
      </c>
      <c r="CM108" s="785">
        <v>405</v>
      </c>
      <c r="CN108" s="46">
        <f>Weather!C120</f>
        <v>510.59311594202899</v>
      </c>
      <c r="CO108" s="46">
        <f>Weather!D120</f>
        <v>0</v>
      </c>
      <c r="CP108" s="46">
        <f>Weather!E120</f>
        <v>450.59311594202899</v>
      </c>
      <c r="CQ108" s="46">
        <f>Weather!F120</f>
        <v>0</v>
      </c>
      <c r="CR108" s="46">
        <f>Weather!G120</f>
        <v>390.59311594202899</v>
      </c>
      <c r="CS108" s="46">
        <f>Weather!H120</f>
        <v>0</v>
      </c>
      <c r="CT108" s="46">
        <f>Weather!I120</f>
        <v>330.59311594202904</v>
      </c>
      <c r="CU108" s="46">
        <f>Weather!J120</f>
        <v>0</v>
      </c>
      <c r="CV108" s="46">
        <f>Weather!K120</f>
        <v>270.59311594202899</v>
      </c>
      <c r="CW108" s="46">
        <f>Weather!L120</f>
        <v>0</v>
      </c>
      <c r="CX108" s="46">
        <f>Weather!M120</f>
        <v>210.95561594202897</v>
      </c>
      <c r="CY108" s="46">
        <f>Weather!N120</f>
        <v>0.36249999999999893</v>
      </c>
      <c r="CZ108" s="46">
        <f>Weather!O120</f>
        <v>153.42644927536227</v>
      </c>
      <c r="DA108" s="46">
        <f>Weather!P120</f>
        <v>2.8333333333333304</v>
      </c>
      <c r="DB108" s="368">
        <f>'Economic Data'!D122</f>
        <v>8061.4</v>
      </c>
      <c r="DC108" s="368">
        <f>'Economic Data'!E122</f>
        <v>8046.2</v>
      </c>
      <c r="DD108" s="368">
        <f>'Economic Data'!F122</f>
        <v>237.3</v>
      </c>
      <c r="DE108" s="368">
        <f>'Economic Data'!G122</f>
        <v>235.3</v>
      </c>
      <c r="DF108" s="368">
        <f>'Economic Data'!H122</f>
        <v>56.9</v>
      </c>
      <c r="DG108" s="368">
        <f>'Economic Data'!I122</f>
        <v>56.9</v>
      </c>
      <c r="DH108" s="368">
        <f>'Economic Data'!J122</f>
        <v>865859.6</v>
      </c>
      <c r="DI108" s="368">
        <f>'Economic Data'!K122</f>
        <v>679067</v>
      </c>
      <c r="DJ108" s="368">
        <f>'Economic Data'!L122</f>
        <v>96987.199999999997</v>
      </c>
      <c r="DK108" s="368">
        <f>'Economic Data'!M122</f>
        <v>32826.199999999997</v>
      </c>
      <c r="DL108" s="368">
        <f>'Economic Data'!N122</f>
        <v>869576</v>
      </c>
      <c r="DM108" s="368">
        <f>'Economic Data'!O122</f>
        <v>94324</v>
      </c>
      <c r="DN108" s="368">
        <f>'Economic Data'!P122</f>
        <v>17937</v>
      </c>
      <c r="DO108" s="368">
        <f>'Economic Data'!Q122</f>
        <v>686415</v>
      </c>
      <c r="DP108" s="368">
        <f>'Economic Data'!R122</f>
        <v>33497</v>
      </c>
      <c r="DQ108">
        <v>30</v>
      </c>
      <c r="DR108">
        <v>22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1</v>
      </c>
      <c r="ED108">
        <v>0</v>
      </c>
      <c r="EE108">
        <v>0</v>
      </c>
      <c r="EF108">
        <v>1</v>
      </c>
      <c r="EG108">
        <v>1</v>
      </c>
      <c r="EH108">
        <f t="shared" si="189"/>
        <v>107</v>
      </c>
      <c r="EI108">
        <v>0</v>
      </c>
      <c r="EJ108">
        <v>0</v>
      </c>
      <c r="EK108">
        <v>0.25</v>
      </c>
      <c r="EL108">
        <v>0</v>
      </c>
      <c r="EM108" s="47">
        <f t="shared" si="194"/>
        <v>0</v>
      </c>
      <c r="EN108" s="47">
        <f t="shared" si="195"/>
        <v>0</v>
      </c>
      <c r="EO108" s="47">
        <f t="shared" si="196"/>
        <v>0</v>
      </c>
      <c r="EP108" s="47">
        <f t="shared" si="197"/>
        <v>0</v>
      </c>
      <c r="EQ108" s="47">
        <f t="shared" si="198"/>
        <v>0</v>
      </c>
      <c r="ER108" s="47">
        <f t="shared" si="199"/>
        <v>0</v>
      </c>
      <c r="ES108" s="47">
        <f t="shared" si="200"/>
        <v>0</v>
      </c>
      <c r="ET108" s="47">
        <f t="shared" si="201"/>
        <v>0</v>
      </c>
      <c r="EU108" s="47">
        <f t="shared" si="202"/>
        <v>0</v>
      </c>
      <c r="EV108" s="47">
        <f t="shared" si="203"/>
        <v>0</v>
      </c>
      <c r="EW108" s="47">
        <f t="shared" si="204"/>
        <v>0</v>
      </c>
      <c r="EX108" s="47">
        <f t="shared" si="205"/>
        <v>0</v>
      </c>
      <c r="EY108" s="47">
        <f t="shared" si="206"/>
        <v>0</v>
      </c>
      <c r="EZ108" s="47">
        <f t="shared" si="207"/>
        <v>0</v>
      </c>
      <c r="FA108" s="47">
        <f t="shared" si="208"/>
        <v>127.64827898550725</v>
      </c>
      <c r="FB108" s="47">
        <f t="shared" si="209"/>
        <v>0</v>
      </c>
      <c r="FC108" s="47">
        <f t="shared" si="210"/>
        <v>112.64827898550725</v>
      </c>
      <c r="FD108" s="47">
        <f t="shared" si="211"/>
        <v>0</v>
      </c>
      <c r="FE108" s="47">
        <f t="shared" si="212"/>
        <v>97.648278985507247</v>
      </c>
      <c r="FF108" s="47">
        <f t="shared" si="213"/>
        <v>0</v>
      </c>
      <c r="FG108" s="47">
        <f t="shared" si="214"/>
        <v>82.648278985507261</v>
      </c>
      <c r="FH108" s="47">
        <f t="shared" si="215"/>
        <v>0</v>
      </c>
      <c r="FI108" s="47">
        <f t="shared" si="216"/>
        <v>67.648278985507247</v>
      </c>
      <c r="FJ108" s="47">
        <f t="shared" si="217"/>
        <v>0</v>
      </c>
      <c r="FK108" s="47">
        <f t="shared" si="218"/>
        <v>52.738903985507243</v>
      </c>
      <c r="FL108" s="47">
        <f t="shared" si="219"/>
        <v>9.0624999999999734E-2</v>
      </c>
      <c r="FM108" s="47">
        <f t="shared" si="220"/>
        <v>38.356612318840568</v>
      </c>
      <c r="FN108" s="47">
        <f t="shared" si="221"/>
        <v>0.70833333333333259</v>
      </c>
      <c r="FO108" s="765">
        <f t="shared" ca="1" si="222"/>
        <v>730.53543783272789</v>
      </c>
      <c r="FP108" s="765">
        <f t="shared" ca="1" si="223"/>
        <v>676.89996575811051</v>
      </c>
      <c r="FQ108" s="765">
        <f t="shared" ca="1" si="224"/>
        <v>2551.9352091554088</v>
      </c>
      <c r="FR108" s="765">
        <f t="shared" ca="1" si="225"/>
        <v>79921.869356881012</v>
      </c>
      <c r="FS108" s="765">
        <f t="shared" ca="1" si="226"/>
        <v>1810375.8889846511</v>
      </c>
      <c r="FT108" s="765">
        <f t="shared" ca="1" si="227"/>
        <v>5783919.6313628769</v>
      </c>
      <c r="FU108" s="765">
        <f t="shared" si="228"/>
        <v>36.510830268146911</v>
      </c>
      <c r="FV108" s="765">
        <f t="shared" si="229"/>
        <v>75.826201657458597</v>
      </c>
      <c r="FW108" s="765">
        <f t="shared" si="230"/>
        <v>496.45788835458887</v>
      </c>
      <c r="FX108" s="765">
        <f t="shared" ca="1" si="231"/>
        <v>685.51102977124128</v>
      </c>
      <c r="FY108" s="765">
        <f t="shared" ca="1" si="232"/>
        <v>2970.5712112509123</v>
      </c>
      <c r="FZ108" s="765">
        <f t="shared" ca="1" si="233"/>
        <v>77910.46257772643</v>
      </c>
      <c r="GA108" s="765">
        <f t="shared" si="234"/>
        <v>122959.59999999999</v>
      </c>
      <c r="GB108" s="765">
        <f t="shared" si="235"/>
        <v>27.06953432196913</v>
      </c>
      <c r="GC108" s="765">
        <f t="shared" si="236"/>
        <v>45.75</v>
      </c>
      <c r="GD108" s="765">
        <f t="shared" si="237"/>
        <v>407.47622222222219</v>
      </c>
    </row>
    <row r="109" spans="1:186">
      <c r="A109" s="4">
        <v>45261</v>
      </c>
      <c r="B109" s="6">
        <v>2023</v>
      </c>
      <c r="C109" s="5">
        <v>12</v>
      </c>
      <c r="D109" s="7">
        <v>91116920.138020605</v>
      </c>
      <c r="E109" s="7">
        <f ca="1">IFERROR(VLOOKUP($B109-1,CDM!$V$4:$AJ$17,2,FALSE)/12,0)+IFERROR(VLOOKUP($B109,CDM!$V$41:$AJ$54,2,FALSE)/24,0)+IFERROR(VLOOKUP($B109,CDM!$V$41:$AJ$54,2,FALSE)/2*$C109/78,0)</f>
        <v>3849429.3250041683</v>
      </c>
      <c r="F109" s="7">
        <f t="shared" ca="1" si="169"/>
        <v>94966349.46302478</v>
      </c>
      <c r="G109" s="7">
        <f>IFERROR(HLOOKUP(B109-1,'EV Forecast VRZ'!$F$124:$T$130,2,FALSE)/12,0)+IFERROR(((HLOOKUP(B109,'EV Forecast VRZ'!$F$116:$T$122,2,FALSE)-HLOOKUP(B109-1,'EV Forecast VRZ'!$F$124:$T$130,2,FALSE)))*C109/78,0)</f>
        <v>975921.30773963779</v>
      </c>
      <c r="H109" s="7">
        <f ca="1">HLOOKUP(B109,Heating!$C$102:$O$106,2,FALSE)*INDEX(Weather!$BO$1:$CB$20,MATCH(B109,Weather!$BO$1:$BO$20,0),MATCH(C109,Weather!$BO$1:$CB$1,0))/VLOOKUP(B109,Weather!$BO$2:$CB$20,14,FALSE)*
VLOOKUP('Monthly Data'!$B109,Weather!$BO$3:$CB$20,14,FALSE)/Weather!$CB$14</f>
        <v>1506569.0120885472</v>
      </c>
      <c r="I109" s="7">
        <f t="shared" ca="1" si="170"/>
        <v>92483859.143196598</v>
      </c>
      <c r="J109" s="7">
        <v>1183927.5148</v>
      </c>
      <c r="K109" s="7">
        <f ca="1">IFERROR(VLOOKUP($B109-1,CDM!$V$4:$AJ$17,3,FALSE)/12,0)+IFERROR(VLOOKUP($B109,CDM!$V$41:$AJ$54,3,FALSE)/24,0)+IFERROR(VLOOKUP($B109,CDM!$V$41:$AJ$54,3,FALSE)/2*$C109/78,0)</f>
        <v>44090.483792669533</v>
      </c>
      <c r="L109" s="7">
        <f t="shared" ca="1" si="171"/>
        <v>1228017.9985926696</v>
      </c>
      <c r="M109" s="7">
        <f>IFERROR(HLOOKUP(B109-1,'EV Forecast VRZ'!$F$124:$T$130,3,FALSE)/12,0)+IFERROR(((HLOOKUP(B109,'EV Forecast VRZ'!$F$116:$T$122,3,FALSE)-HLOOKUP(B109-1,'EV Forecast VRZ'!$F$124:$T$130,3,FALSE)))*C109/78,0)</f>
        <v>13276.82610651601</v>
      </c>
      <c r="N109" s="7">
        <f ca="1">HLOOKUP(B109,Heating!$C$102:$O$106,3,FALSE)*INDEX(Weather!$BO$1:$CB$20,MATCH(B109,Weather!$BO$1:$BO$20,0),MATCH(C109,Weather!$BO$1:$CB$1,0))/VLOOKUP(B109,Weather!$BO$2:$CB$20,14,FALSE)*
VLOOKUP('Monthly Data'!$B109,Weather!$BO$3:$CB$20,14,FALSE)/Weather!$CB$14</f>
        <v>18206.698385758704</v>
      </c>
      <c r="O109" s="7">
        <f t="shared" ca="1" si="172"/>
        <v>1196534.4741003949</v>
      </c>
      <c r="P109" s="7">
        <v>22200516.608010001</v>
      </c>
      <c r="Q109" s="7">
        <f ca="1">IFERROR(VLOOKUP($B109-1,CDM!$V$4:$AJ$17,4,FALSE)/12,0)+IFERROR(VLOOKUP($B109,CDM!$V$41:$AJ$54,4,FALSE)/24,0)+IFERROR(VLOOKUP($B109,CDM!$V$41:$AJ$54,4,FALSE)/2*$C109/78,0)</f>
        <v>1606345.078014411</v>
      </c>
      <c r="R109" s="7">
        <f t="shared" ca="1" si="173"/>
        <v>23806861.686024413</v>
      </c>
      <c r="S109" s="7">
        <f>IFERROR(HLOOKUP(B109-1,'EV Forecast VRZ'!$F$124:$T$130,4,FALSE)/12,0)+IFERROR(((HLOOKUP(B109,'EV Forecast VRZ'!$F$116:$T$122,4,FALSE)-HLOOKUP(B109-1,'EV Forecast VRZ'!$F$124:$T$130,4,FALSE)))*C109/78,0)</f>
        <v>122423.64923076922</v>
      </c>
      <c r="T109" s="7">
        <f ca="1">HLOOKUP(B109,Heating!$C$102:$O$106,4,FALSE)*INDEX(Weather!$BO$1:$CB$20,MATCH(B109,Weather!$BO$1:$BO$20,0),MATCH(C109,Weather!$BO$1:$CB$1,0))/VLOOKUP(B109,Weather!$BO$2:$CB$20,14,FALSE)*
VLOOKUP('Monthly Data'!$B109,Weather!$BO$3:$CB$20,14,FALSE)/Weather!$CB$14</f>
        <v>370116.16480769421</v>
      </c>
      <c r="U109" s="7">
        <f t="shared" ca="1" si="174"/>
        <v>23314321.871985946</v>
      </c>
      <c r="V109" s="7">
        <v>76157896.150000006</v>
      </c>
      <c r="W109" s="7">
        <f ca="1">IFERROR(VLOOKUP($B109-1,CDM!$V$4:$AJ$17,5,FALSE)/12,0)+IFERROR(VLOOKUP($B109,CDM!$V$41:$AJ$54,5,FALSE)/24,0)+IFERROR(VLOOKUP($B109,CDM!$V$41:$AJ$54,5,FALSE)/2*$C109/78,0)</f>
        <v>6673734.7004389884</v>
      </c>
      <c r="X109" s="7">
        <f t="shared" ca="1" si="175"/>
        <v>82831630.850438997</v>
      </c>
      <c r="Y109" s="7">
        <f>IFERROR(HLOOKUP(B109-1,'EV Forecast VRZ'!$F$124:$T$130,5,FALSE)/12,0)+IFERROR(((HLOOKUP(B109,'EV Forecast VRZ'!$F$116:$T$122,5,FALSE)-HLOOKUP(B109-1,'EV Forecast VRZ'!$F$124:$T$130,5,FALSE)))*C109/78,0)</f>
        <v>56886.860102564096</v>
      </c>
      <c r="Z109" s="7">
        <f ca="1">HLOOKUP(B109,Heating!$C$102:$O$106,5,FALSE)*INDEX(Weather!$BO$1:$CB$20,MATCH(B109,Weather!$BO$1:$BO$20,0),MATCH(C109,Weather!$BO$1:$CB$1,0))/VLOOKUP(B109,Weather!$BO$2:$CB$20,14,FALSE)*
VLOOKUP('Monthly Data'!$B109,Weather!$BO$3:$CB$20,14,FALSE)/Weather!$CB$14</f>
        <v>193358.61924513534</v>
      </c>
      <c r="AA109" s="7">
        <f t="shared" ca="1" si="176"/>
        <v>82581385.371091291</v>
      </c>
      <c r="AB109" s="7">
        <v>8632906.7400000002</v>
      </c>
      <c r="AC109" s="7">
        <f ca="1">IFERROR(VLOOKUP($B109-1,CDM!$V$4:$AJ$17,6,FALSE)/12,0)+IFERROR(VLOOKUP($B109,CDM!$V$41:$AJ$54,6,FALSE)/24,0)+IFERROR(VLOOKUP($B109,CDM!$V$41:$AJ$54,6,FALSE)/2*$C109/78,0)</f>
        <v>315917.50292458985</v>
      </c>
      <c r="AD109" s="7">
        <f t="shared" ca="1" si="177"/>
        <v>8948824.2429245897</v>
      </c>
      <c r="AE109" s="7">
        <f>IFERROR(HLOOKUP(B109-1,'EV Forecast VRZ'!$F$124:$T$130,6,FALSE)/12,0)+IFERROR(((HLOOKUP(B109,'EV Forecast VRZ'!$F$116:$T$122,6,FALSE)-HLOOKUP(B109-1,'EV Forecast VRZ'!$F$124:$T$130,6,FALSE)))*C109/78,0)</f>
        <v>7369.515794871797</v>
      </c>
      <c r="AF109" s="7">
        <f t="shared" ca="1" si="178"/>
        <v>8941454.7271297183</v>
      </c>
      <c r="AG109" s="7">
        <v>25855840.906323999</v>
      </c>
      <c r="AH109" s="7">
        <f ca="1">IFERROR(VLOOKUP($B109-1,CDM!$V$4:$AJ$17,7,FALSE)/12,0)+IFERROR(VLOOKUP($B109,CDM!$V$41:$AJ$54,7,FALSE)/24,0)+IFERROR(VLOOKUP($B109,CDM!$V$41:$AJ$54,7,FALSE)/2*$C109/78,0)</f>
        <v>1914895.2925280603</v>
      </c>
      <c r="AI109" s="7">
        <f t="shared" ca="1" si="179"/>
        <v>27770736.198852059</v>
      </c>
      <c r="AJ109" s="7">
        <f>IFERROR(HLOOKUP(B109-1,'EV Forecast VRZ'!$F$124:$T$130,7,FALSE)/12,0)+IFERROR(((HLOOKUP(B109,'EV Forecast VRZ'!$F$116:$T$122,7,FALSE)-HLOOKUP(B109-1,'EV Forecast VRZ'!$F$124:$T$130,7,FALSE)))*C109/78,0)</f>
        <v>659.61538461538464</v>
      </c>
      <c r="AK109" s="7">
        <f t="shared" ca="1" si="180"/>
        <v>27770076.583467443</v>
      </c>
      <c r="AL109" s="7">
        <v>1361118.52</v>
      </c>
      <c r="AM109" s="7">
        <v>20860.810000000005</v>
      </c>
      <c r="AN109" s="7">
        <v>395602.92</v>
      </c>
      <c r="AO109" s="5">
        <v>174542.84</v>
      </c>
      <c r="AP109" s="5">
        <v>18846.810000000001</v>
      </c>
      <c r="AQ109" s="5">
        <v>42165.07</v>
      </c>
      <c r="AR109" s="5">
        <v>2792.61</v>
      </c>
      <c r="AS109" s="763">
        <f t="shared" si="240"/>
        <v>50.666666666666664</v>
      </c>
      <c r="AT109" s="776">
        <v>116444</v>
      </c>
      <c r="AU109" s="776">
        <v>1564</v>
      </c>
      <c r="AV109" s="776">
        <v>9497</v>
      </c>
      <c r="AW109" s="776">
        <v>1041</v>
      </c>
      <c r="AX109" s="776">
        <v>5</v>
      </c>
      <c r="AY109" s="776">
        <v>5</v>
      </c>
      <c r="AZ109" s="776">
        <v>32374</v>
      </c>
      <c r="BA109" s="776">
        <v>241</v>
      </c>
      <c r="BB109" s="776">
        <v>797</v>
      </c>
      <c r="BC109" s="779">
        <v>33045451.315950099</v>
      </c>
      <c r="BD109" s="779">
        <f ca="1">IFERROR(VLOOKUP($B109-1,CDM!$V$4:$AJ$17,11,FALSE)/12,0)+IFERROR(VLOOKUP($B109,CDM!$V$41:$AJ$54,11,FALSE)/24,0)+IFERROR(VLOOKUP($B109,CDM!$V$41:$AJ$54,11,FALSE)/2*$C109/78,0)</f>
        <v>1708261.3750631476</v>
      </c>
      <c r="BE109" s="779">
        <f t="shared" ca="1" si="192"/>
        <v>34753712.691013247</v>
      </c>
      <c r="BF109" s="779">
        <f>IFERROR(HLOOKUP(B109-1,'EV Forecast WRZ'!$F$124:$T$130,2,FALSE)/12,0)+IFERROR(((HLOOKUP(B109,'EV Forecast WRZ'!$F$116:$T$122,2,FALSE)-HLOOKUP(B109-1,'EV Forecast WRZ'!$F$124:$T$130,2,FALSE)))*C109/78,0)</f>
        <v>313976.74974358972</v>
      </c>
      <c r="BG109" s="779">
        <f ca="1">HLOOKUP(B109,Heating!$R$102:$AD$106,2,FALSE)*INDEX(Weather!$BO$1:$CB$20,MATCH(B109,Weather!$BO$1:$BO$20,0),MATCH(C109,Weather!$BO$1:$CB$1,0))/VLOOKUP(B109,Weather!$BO$2:$CB$20,14,FALSE)*
VLOOKUP('Monthly Data'!$B109,Weather!$BO$3:$CB$20,14,FALSE)/Weather!$CB$14</f>
        <v>675384.5662772822</v>
      </c>
      <c r="BH109" s="779">
        <f t="shared" ca="1" si="181"/>
        <v>33764351.374992378</v>
      </c>
      <c r="BI109" s="779">
        <v>7327206.9142400008</v>
      </c>
      <c r="BJ109" s="779">
        <f ca="1">IFERROR(VLOOKUP($B109-1,CDM!$V$4:$AJ$17,12,FALSE)/12,0)+IFERROR(VLOOKUP($B109,CDM!$V$41:$AJ$54,12,FALSE)/24,0)+IFERROR(VLOOKUP($B109,CDM!$V$41:$AJ$54,12,FALSE)/2*$C109/78,0)</f>
        <v>292046.01009972102</v>
      </c>
      <c r="BK109" s="779">
        <f t="shared" ca="1" si="182"/>
        <v>7619252.9243397219</v>
      </c>
      <c r="BL109" s="779">
        <f>IFERROR(HLOOKUP(B109-1,'EV Forecast WRZ'!$F$124:$T$130,3,FALSE)/12,0)+IFERROR(((HLOOKUP(B109,'EV Forecast WRZ'!$F$116:$T$122,3,FALSE)-HLOOKUP(B109-1,'EV Forecast WRZ'!$F$124:$T$130,3,FALSE)))*C109/78,0)</f>
        <v>39877.242051282054</v>
      </c>
      <c r="BM109" s="779">
        <f ca="1">HLOOKUP(B109,Heating!$R$102:$AD$106,4,FALSE)*INDEX(Weather!$BO$1:$CB$20,MATCH(B109,Weather!$BO$1:$BO$20,0),MATCH(C109,Weather!$BO$1:$CB$1,0))/VLOOKUP(B109,Weather!$BO$2:$CB$20,14,FALSE)*
VLOOKUP('Monthly Data'!$B109,Weather!$BO$3:$CB$20,14,FALSE)/Weather!$CB$14</f>
        <v>105761.62908999711</v>
      </c>
      <c r="BN109" s="779">
        <f t="shared" ca="1" si="183"/>
        <v>7473614.0531984428</v>
      </c>
      <c r="BO109" s="779">
        <v>27979044.84</v>
      </c>
      <c r="BP109" s="779">
        <f ca="1">IFERROR(VLOOKUP($B109-1,CDM!$V$4:$AJ$17,13,FALSE)/12,0)+IFERROR(VLOOKUP($B109,CDM!$V$41:$AJ$54,13,FALSE)/24,0)+IFERROR(VLOOKUP($B109,CDM!$V$41:$AJ$54,13,FALSE)/2*$C109/78,0)</f>
        <v>2846533.4540545377</v>
      </c>
      <c r="BQ109" s="779">
        <f t="shared" ca="1" si="184"/>
        <v>30825578.294054538</v>
      </c>
      <c r="BR109" s="779">
        <f>IFERROR(HLOOKUP(B109-1,'EV Forecast WRZ'!$F$124:$T$130,4,FALSE)/12,0)+IFERROR(((HLOOKUP(B109,'EV Forecast WRZ'!$F$116:$T$122,4,FALSE)-HLOOKUP(B109-1,'EV Forecast WRZ'!$F$124:$T$130,4,FALSE)))*C109/78,0)</f>
        <v>17849.021743589743</v>
      </c>
      <c r="BS109" s="779">
        <f ca="1">HLOOKUP(B109,Heating!$R$102:$AD$106,5,FALSE)*INDEX(Weather!$BO$1:$CB$20,MATCH(B109,Weather!$BO$1:$BO$20,0),MATCH(C109,Weather!$BO$1:$CB$1,0))/VLOOKUP(B109,Weather!$BO$2:$CB$20,14,FALSE)*
VLOOKUP('Monthly Data'!$B109,Weather!$BO$3:$CB$20,14,FALSE)/Weather!$CB$14</f>
        <v>57133.010739254736</v>
      </c>
      <c r="BT109" s="779">
        <f t="shared" ca="1" si="185"/>
        <v>30750596.261571694</v>
      </c>
      <c r="BU109" s="779">
        <v>7142147.2400000002</v>
      </c>
      <c r="BV109" s="779">
        <f ca="1">IFERROR(VLOOKUP($B109-1,CDM!$V$4:$AJ$17,14,FALSE)/12,0)+IFERROR(VLOOKUP($B109,CDM!$V$41:$AJ$54,14,FALSE)/24,0)+IFERROR(VLOOKUP($B109,CDM!$V$41:$AJ$54,14,FALSE)/2*$C109/78,0)</f>
        <v>640093.77316053584</v>
      </c>
      <c r="BW109" s="779">
        <f t="shared" ca="1" si="186"/>
        <v>7782241.0131605361</v>
      </c>
      <c r="BX109" s="779">
        <f>IFERROR(HLOOKUP(B109-1,'EV Forecast WRZ'!$F$124:$T$130,5,FALSE)/12,0)+IFERROR(((HLOOKUP(B109,'EV Forecast WRZ'!$F$116:$T$122,5,FALSE)-HLOOKUP(B109-1,'EV Forecast WRZ'!$F$124:$T$130,5,FALSE)))*C109/78,0)</f>
        <v>2691.2018461538464</v>
      </c>
      <c r="BY109" s="779">
        <f t="shared" ca="1" si="193"/>
        <v>7779549.8113143826</v>
      </c>
      <c r="BZ109" s="779">
        <v>399013.5</v>
      </c>
      <c r="CA109" s="779">
        <v>2513.0999999999995</v>
      </c>
      <c r="CB109" s="5">
        <v>166341.93</v>
      </c>
      <c r="CC109" s="5">
        <v>60133.71</v>
      </c>
      <c r="CD109" s="5">
        <v>13799.61</v>
      </c>
      <c r="CE109" s="5">
        <v>821</v>
      </c>
      <c r="CF109" s="763">
        <f t="shared" si="241"/>
        <v>7.666666666666667</v>
      </c>
      <c r="CG109" s="785">
        <v>45324</v>
      </c>
      <c r="CH109" s="785">
        <v>2455</v>
      </c>
      <c r="CI109" s="785">
        <v>387</v>
      </c>
      <c r="CJ109" s="785">
        <v>3</v>
      </c>
      <c r="CK109" s="785">
        <v>13643</v>
      </c>
      <c r="CL109" s="785">
        <v>46</v>
      </c>
      <c r="CM109" s="785">
        <v>406</v>
      </c>
      <c r="CN109" s="46">
        <f>Weather!C121</f>
        <v>551.67916666666667</v>
      </c>
      <c r="CO109" s="46">
        <f>Weather!D121</f>
        <v>0</v>
      </c>
      <c r="CP109" s="46">
        <f>Weather!E121</f>
        <v>489.67916666666667</v>
      </c>
      <c r="CQ109" s="46">
        <f>Weather!F121</f>
        <v>0</v>
      </c>
      <c r="CR109" s="46">
        <f>Weather!G121</f>
        <v>427.67916666666667</v>
      </c>
      <c r="CS109" s="46">
        <f>Weather!H121</f>
        <v>0</v>
      </c>
      <c r="CT109" s="46">
        <f>Weather!I121</f>
        <v>365.67916666666667</v>
      </c>
      <c r="CU109" s="46">
        <f>Weather!J121</f>
        <v>0</v>
      </c>
      <c r="CV109" s="46">
        <f>Weather!K121</f>
        <v>303.67916666666667</v>
      </c>
      <c r="CW109" s="46">
        <f>Weather!L121</f>
        <v>0</v>
      </c>
      <c r="CX109" s="46">
        <f>Weather!M121</f>
        <v>241.67916666666659</v>
      </c>
      <c r="CY109" s="46">
        <f>Weather!N121</f>
        <v>0</v>
      </c>
      <c r="CZ109" s="46">
        <f>Weather!O121</f>
        <v>180.36666666666662</v>
      </c>
      <c r="DA109" s="46">
        <f>Weather!P121</f>
        <v>0.68750000000000178</v>
      </c>
      <c r="DB109" s="368">
        <f>'Economic Data'!D123</f>
        <v>8052.9</v>
      </c>
      <c r="DC109" s="368">
        <f>'Economic Data'!E123</f>
        <v>8049</v>
      </c>
      <c r="DD109" s="368">
        <f>'Economic Data'!F123</f>
        <v>239.4</v>
      </c>
      <c r="DE109" s="368">
        <f>'Economic Data'!G123</f>
        <v>238.8</v>
      </c>
      <c r="DF109" s="368">
        <f>'Economic Data'!H123</f>
        <v>50</v>
      </c>
      <c r="DG109" s="368">
        <f>'Economic Data'!I123</f>
        <v>50</v>
      </c>
      <c r="DH109" s="368">
        <f>'Economic Data'!J123</f>
        <v>865859.6</v>
      </c>
      <c r="DI109" s="368">
        <f>'Economic Data'!K123</f>
        <v>679067</v>
      </c>
      <c r="DJ109" s="368">
        <f>'Economic Data'!L123</f>
        <v>96987.199999999997</v>
      </c>
      <c r="DK109" s="368">
        <f>'Economic Data'!M123</f>
        <v>32826.199999999997</v>
      </c>
      <c r="DL109" s="368">
        <f>'Economic Data'!N123</f>
        <v>869576</v>
      </c>
      <c r="DM109" s="368">
        <f>'Economic Data'!O123</f>
        <v>94324</v>
      </c>
      <c r="DN109" s="368">
        <f>'Economic Data'!P123</f>
        <v>17937</v>
      </c>
      <c r="DO109" s="368">
        <f>'Economic Data'!Q123</f>
        <v>686415</v>
      </c>
      <c r="DP109" s="368">
        <f>'Economic Data'!R123</f>
        <v>33497</v>
      </c>
      <c r="DQ109">
        <v>31</v>
      </c>
      <c r="DR109">
        <v>19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1</v>
      </c>
      <c r="EE109">
        <v>0</v>
      </c>
      <c r="EF109">
        <v>0</v>
      </c>
      <c r="EG109">
        <v>0</v>
      </c>
      <c r="EH109">
        <f t="shared" si="189"/>
        <v>108</v>
      </c>
      <c r="EI109">
        <v>0</v>
      </c>
      <c r="EJ109">
        <v>0</v>
      </c>
      <c r="EK109">
        <v>0.25</v>
      </c>
      <c r="EL109">
        <v>0</v>
      </c>
      <c r="EM109" s="47">
        <f t="shared" si="194"/>
        <v>0</v>
      </c>
      <c r="EN109" s="47">
        <f t="shared" si="195"/>
        <v>0</v>
      </c>
      <c r="EO109" s="47">
        <f t="shared" si="196"/>
        <v>0</v>
      </c>
      <c r="EP109" s="47">
        <f t="shared" si="197"/>
        <v>0</v>
      </c>
      <c r="EQ109" s="47">
        <f t="shared" si="198"/>
        <v>0</v>
      </c>
      <c r="ER109" s="47">
        <f t="shared" si="199"/>
        <v>0</v>
      </c>
      <c r="ES109" s="47">
        <f t="shared" si="200"/>
        <v>0</v>
      </c>
      <c r="ET109" s="47">
        <f t="shared" si="201"/>
        <v>0</v>
      </c>
      <c r="EU109" s="47">
        <f t="shared" si="202"/>
        <v>0</v>
      </c>
      <c r="EV109" s="47">
        <f t="shared" si="203"/>
        <v>0</v>
      </c>
      <c r="EW109" s="47">
        <f t="shared" si="204"/>
        <v>0</v>
      </c>
      <c r="EX109" s="47">
        <f t="shared" si="205"/>
        <v>0</v>
      </c>
      <c r="EY109" s="47">
        <f t="shared" si="206"/>
        <v>0</v>
      </c>
      <c r="EZ109" s="47">
        <f t="shared" si="207"/>
        <v>0</v>
      </c>
      <c r="FA109" s="47">
        <f t="shared" si="208"/>
        <v>137.91979166666667</v>
      </c>
      <c r="FB109" s="47">
        <f t="shared" si="209"/>
        <v>0</v>
      </c>
      <c r="FC109" s="47">
        <f t="shared" si="210"/>
        <v>122.41979166666667</v>
      </c>
      <c r="FD109" s="47">
        <f t="shared" si="211"/>
        <v>0</v>
      </c>
      <c r="FE109" s="47">
        <f t="shared" si="212"/>
        <v>106.91979166666667</v>
      </c>
      <c r="FF109" s="47">
        <f t="shared" si="213"/>
        <v>0</v>
      </c>
      <c r="FG109" s="47">
        <f t="shared" si="214"/>
        <v>91.419791666666669</v>
      </c>
      <c r="FH109" s="47">
        <f t="shared" si="215"/>
        <v>0</v>
      </c>
      <c r="FI109" s="47">
        <f t="shared" si="216"/>
        <v>75.919791666666669</v>
      </c>
      <c r="FJ109" s="47">
        <f t="shared" si="217"/>
        <v>0</v>
      </c>
      <c r="FK109" s="47">
        <f t="shared" si="218"/>
        <v>60.419791666666647</v>
      </c>
      <c r="FL109" s="47">
        <f t="shared" si="219"/>
        <v>0</v>
      </c>
      <c r="FM109" s="47">
        <f t="shared" si="220"/>
        <v>45.091666666666654</v>
      </c>
      <c r="FN109" s="47">
        <f t="shared" si="221"/>
        <v>0.17187500000000044</v>
      </c>
      <c r="FO109" s="765">
        <f t="shared" ca="1" si="222"/>
        <v>794.23464620930747</v>
      </c>
      <c r="FP109" s="765">
        <f t="shared" ca="1" si="223"/>
        <v>785.17774846078623</v>
      </c>
      <c r="FQ109" s="765">
        <f t="shared" ca="1" si="224"/>
        <v>2506.777054440814</v>
      </c>
      <c r="FR109" s="765">
        <f t="shared" ca="1" si="225"/>
        <v>79569.289961997114</v>
      </c>
      <c r="FS109" s="765">
        <f t="shared" ca="1" si="226"/>
        <v>1789764.8485849178</v>
      </c>
      <c r="FT109" s="765">
        <f t="shared" ca="1" si="227"/>
        <v>5554147.2397704115</v>
      </c>
      <c r="FU109" s="765">
        <f t="shared" si="228"/>
        <v>42.043569531105206</v>
      </c>
      <c r="FV109" s="765">
        <f t="shared" si="229"/>
        <v>86.55937759336102</v>
      </c>
      <c r="FW109" s="765">
        <f t="shared" si="230"/>
        <v>496.36501882057712</v>
      </c>
      <c r="FX109" s="765">
        <f t="shared" ca="1" si="231"/>
        <v>766.78388251286833</v>
      </c>
      <c r="FY109" s="765">
        <f t="shared" ca="1" si="232"/>
        <v>3103.5653459632267</v>
      </c>
      <c r="FZ109" s="765">
        <f t="shared" ca="1" si="233"/>
        <v>79652.657090580207</v>
      </c>
      <c r="GA109" s="765">
        <f t="shared" si="234"/>
        <v>133004.5</v>
      </c>
      <c r="GB109" s="765">
        <f t="shared" si="235"/>
        <v>29.246756578465146</v>
      </c>
      <c r="GC109" s="765">
        <f t="shared" si="236"/>
        <v>54.632608695652159</v>
      </c>
      <c r="GD109" s="765">
        <f t="shared" si="237"/>
        <v>409.70918719211824</v>
      </c>
    </row>
    <row r="110" spans="1:186">
      <c r="A110" s="4">
        <v>45292</v>
      </c>
      <c r="B110" s="6">
        <v>2024</v>
      </c>
      <c r="C110" s="5">
        <v>1</v>
      </c>
      <c r="D110" s="7">
        <v>97300828.217391953</v>
      </c>
      <c r="E110" s="7">
        <f ca="1">IFERROR(VLOOKUP($B110-1,CDM!$V$4:$AJ$17,2,FALSE)/12,0)+IFERROR(VLOOKUP($B110,CDM!$V$41:$AJ$54,2,FALSE)/24,0)+IFERROR(VLOOKUP($B110,CDM!$V$41:$AJ$54,2,FALSE)/2*$C110/78,0)</f>
        <v>3946216.8309870036</v>
      </c>
      <c r="F110" s="7">
        <f t="shared" ca="1" si="169"/>
        <v>101247045.04837896</v>
      </c>
      <c r="G110" s="7">
        <f>IFERROR(HLOOKUP(B110-1,'EV Forecast VRZ'!$F$124:$T$130,2,FALSE)/12,0)+IFERROR(((HLOOKUP(B110,'EV Forecast VRZ'!$F$116:$T$122,2,FALSE)-HLOOKUP(B110-1,'EV Forecast VRZ'!$F$124:$T$130,2,FALSE)))*C110/78,0)</f>
        <v>1034228.6873555832</v>
      </c>
      <c r="H110" s="7">
        <f ca="1">HLOOKUP(B110,Heating!$C$102:$O$106,2,FALSE)*INDEX(Weather!$BO$1:$CB$20,MATCH(B110,Weather!$BO$1:$BO$20,0),MATCH(C110,Weather!$BO$1:$CB$1,0))/VLOOKUP(B110,Weather!$BO$2:$CB$20,14,FALSE)*
VLOOKUP('Monthly Data'!$B110,Weather!$BO$3:$CB$20,14,FALSE)/Weather!$CB$14</f>
        <v>2539685.3709829156</v>
      </c>
      <c r="I110" s="7">
        <f t="shared" ca="1" si="170"/>
        <v>97673130.990040466</v>
      </c>
      <c r="J110" s="7">
        <v>1322104.1629415287</v>
      </c>
      <c r="K110" s="7">
        <f ca="1">IFERROR(VLOOKUP($B110-1,CDM!$V$4:$AJ$17,3,FALSE)/12,0)+IFERROR(VLOOKUP($B110,CDM!$V$41:$AJ$54,3,FALSE)/24,0)+IFERROR(VLOOKUP($B110,CDM!$V$41:$AJ$54,3,FALSE)/2*$C110/78,0)</f>
        <v>45198.838449495146</v>
      </c>
      <c r="L110" s="7">
        <f t="shared" ref="L110:L121" ca="1" si="242">J110+K110</f>
        <v>1367303.0013910239</v>
      </c>
      <c r="M110" s="7">
        <f>IFERROR(HLOOKUP(B110-1,'EV Forecast VRZ'!$F$124:$T$130,3,FALSE)/12,0)+IFERROR(((HLOOKUP(B110,'EV Forecast VRZ'!$F$116:$T$122,3,FALSE)-HLOOKUP(B110-1,'EV Forecast VRZ'!$F$124:$T$130,3,FALSE)))*C110/78,0)</f>
        <v>14070.063157237368</v>
      </c>
      <c r="N110" s="7">
        <f ca="1">HLOOKUP(B110,Heating!$C$102:$O$106,3,FALSE)*INDEX(Weather!$BO$1:$CB$20,MATCH(B110,Weather!$BO$1:$BO$20,0),MATCH(C110,Weather!$BO$1:$CB$1,0))/VLOOKUP(B110,Weather!$BO$2:$CB$20,14,FALSE)*
VLOOKUP('Monthly Data'!$B110,Weather!$BO$3:$CB$20,14,FALSE)/Weather!$CB$14</f>
        <v>30013.1940531617</v>
      </c>
      <c r="O110" s="7">
        <f t="shared" ca="1" si="172"/>
        <v>1323219.7441806248</v>
      </c>
      <c r="P110" s="7">
        <v>23988136.487497136</v>
      </c>
      <c r="Q110" s="7">
        <f ca="1">IFERROR(VLOOKUP($B110-1,CDM!$V$4:$AJ$17,4,FALSE)/12,0)+IFERROR(VLOOKUP($B110,CDM!$V$41:$AJ$54,4,FALSE)/24,0)+IFERROR(VLOOKUP($B110,CDM!$V$41:$AJ$54,4,FALSE)/2*$C110/78,0)</f>
        <v>1656918.0099048342</v>
      </c>
      <c r="R110" s="7">
        <f t="shared" ref="R110:R121" ca="1" si="243">P110+Q110</f>
        <v>25645054.497401971</v>
      </c>
      <c r="S110" s="7">
        <f>IFERROR(HLOOKUP(B110-1,'EV Forecast VRZ'!$F$124:$T$130,4,FALSE)/12,0)+IFERROR(((HLOOKUP(B110,'EV Forecast VRZ'!$F$116:$T$122,4,FALSE)-HLOOKUP(B110-1,'EV Forecast VRZ'!$F$124:$T$130,4,FALSE)))*C110/78,0)</f>
        <v>130137.86205128205</v>
      </c>
      <c r="T110" s="7">
        <f ca="1">HLOOKUP(B110,Heating!$C$102:$O$106,4,FALSE)*INDEX(Weather!$BO$1:$CB$20,MATCH(B110,Weather!$BO$1:$BO$20,0),MATCH(C110,Weather!$BO$1:$CB$1,0))/VLOOKUP(B110,Weather!$BO$2:$CB$20,14,FALSE)*
VLOOKUP('Monthly Data'!$B110,Weather!$BO$3:$CB$20,14,FALSE)/Weather!$CB$14</f>
        <v>608649.65563932725</v>
      </c>
      <c r="U110" s="7">
        <f t="shared" ca="1" si="174"/>
        <v>24906266.979711361</v>
      </c>
      <c r="V110" s="7">
        <v>85296633.844817996</v>
      </c>
      <c r="W110" s="7">
        <f ca="1">IFERROR(VLOOKUP($B110-1,CDM!$V$4:$AJ$17,5,FALSE)/12,0)+IFERROR(VLOOKUP($B110,CDM!$V$41:$AJ$54,5,FALSE)/24,0)+IFERROR(VLOOKUP($B110,CDM!$V$41:$AJ$54,5,FALSE)/2*$C110/78,0)</f>
        <v>6778104.1709544864</v>
      </c>
      <c r="X110" s="7">
        <f t="shared" ref="X110:X121" ca="1" si="244">V110+W110</f>
        <v>92074738.015772477</v>
      </c>
      <c r="Y110" s="7">
        <f>IFERROR(HLOOKUP(B110-1,'EV Forecast VRZ'!$F$124:$T$130,5,FALSE)/12,0)+IFERROR(((HLOOKUP(B110,'EV Forecast VRZ'!$F$116:$T$122,5,FALSE)-HLOOKUP(B110-1,'EV Forecast VRZ'!$F$124:$T$130,5,FALSE)))*C110/78,0)</f>
        <v>60675.11484615384</v>
      </c>
      <c r="Z110" s="7">
        <f ca="1">HLOOKUP(B110,Heating!$C$102:$O$106,5,FALSE)*INDEX(Weather!$BO$1:$CB$20,MATCH(B110,Weather!$BO$1:$BO$20,0),MATCH(C110,Weather!$BO$1:$CB$1,0))/VLOOKUP(B110,Weather!$BO$2:$CB$20,14,FALSE)*
VLOOKUP('Monthly Data'!$B110,Weather!$BO$3:$CB$20,14,FALSE)/Weather!$CB$14</f>
        <v>316980.25560162979</v>
      </c>
      <c r="AA110" s="7">
        <f t="shared" ca="1" si="176"/>
        <v>91697082.645324692</v>
      </c>
      <c r="AB110" s="7">
        <v>8686909.2400000002</v>
      </c>
      <c r="AC110" s="7">
        <f ca="1">IFERROR(VLOOKUP($B110-1,CDM!$V$4:$AJ$17,6,FALSE)/12,0)+IFERROR(VLOOKUP($B110,CDM!$V$41:$AJ$54,6,FALSE)/24,0)+IFERROR(VLOOKUP($B110,CDM!$V$41:$AJ$54,6,FALSE)/2*$C110/78,0)</f>
        <v>331203.6431079185</v>
      </c>
      <c r="AD110" s="7">
        <f t="shared" ref="AD110:AD121" ca="1" si="245">AB110+AC110</f>
        <v>9018112.8831079192</v>
      </c>
      <c r="AE110" s="7">
        <f>IFERROR(HLOOKUP(B110-1,'EV Forecast VRZ'!$F$124:$T$130,6,FALSE)/12,0)+IFERROR(((HLOOKUP(B110,'EV Forecast VRZ'!$F$116:$T$122,6,FALSE)-HLOOKUP(B110-1,'EV Forecast VRZ'!$F$124:$T$130,6,FALSE)))*C110/78,0)</f>
        <v>7863.0469487179498</v>
      </c>
      <c r="AF110" s="7">
        <f t="shared" ca="1" si="178"/>
        <v>9010249.8361592013</v>
      </c>
      <c r="AG110" s="7">
        <v>26723715.10444</v>
      </c>
      <c r="AH110" s="7">
        <f ca="1">IFERROR(VLOOKUP($B110-1,CDM!$V$4:$AJ$17,7,FALSE)/12,0)+IFERROR(VLOOKUP($B110,CDM!$V$41:$AJ$54,7,FALSE)/24,0)+IFERROR(VLOOKUP($B110,CDM!$V$41:$AJ$54,7,FALSE)/2*$C110/78,0)</f>
        <v>1979607.3905575518</v>
      </c>
      <c r="AI110" s="7">
        <f t="shared" ref="AI110:AI121" ca="1" si="246">AG110+AH110</f>
        <v>28703322.494997554</v>
      </c>
      <c r="AJ110" s="7">
        <f>IFERROR(HLOOKUP(B110-1,'EV Forecast VRZ'!$F$124:$T$130,7,FALSE)/12,0)+IFERROR(((HLOOKUP(B110,'EV Forecast VRZ'!$F$116:$T$122,7,FALSE)-HLOOKUP(B110-1,'EV Forecast VRZ'!$F$124:$T$130,7,FALSE)))*C110/78,0)</f>
        <v>788.46153846153845</v>
      </c>
      <c r="AK110" s="7">
        <f t="shared" ca="1" si="180"/>
        <v>28702534.033459093</v>
      </c>
      <c r="AL110" s="7">
        <v>1332459.99</v>
      </c>
      <c r="AM110" s="7">
        <v>18356.586588225342</v>
      </c>
      <c r="AN110" s="7">
        <v>395646.71999999997</v>
      </c>
      <c r="AO110" s="5">
        <v>180418.75</v>
      </c>
      <c r="AP110" s="5">
        <v>17414.82</v>
      </c>
      <c r="AQ110" s="5">
        <v>43245.49</v>
      </c>
      <c r="AR110" s="5">
        <v>2795.94</v>
      </c>
      <c r="AS110" s="763">
        <f>602/12</f>
        <v>50.166666666666664</v>
      </c>
      <c r="AT110" s="776">
        <v>116599.75</v>
      </c>
      <c r="AU110" s="776">
        <v>1563.6666666666667</v>
      </c>
      <c r="AV110" s="776">
        <v>9497.75</v>
      </c>
      <c r="AW110" s="776">
        <v>1043.8333333333333</v>
      </c>
      <c r="AX110" s="776">
        <v>5</v>
      </c>
      <c r="AY110" s="776">
        <v>5</v>
      </c>
      <c r="AZ110" s="776">
        <v>32426.833333333332</v>
      </c>
      <c r="BA110" s="776">
        <v>240.58333333333334</v>
      </c>
      <c r="BB110" s="776">
        <v>792.83333333333337</v>
      </c>
      <c r="BC110" s="779">
        <v>34091728.292207852</v>
      </c>
      <c r="BD110" s="779">
        <f ca="1">IFERROR(VLOOKUP($B110-1,CDM!$V$4:$AJ$17,11,FALSE)/12,0)+IFERROR(VLOOKUP($B110,CDM!$V$41:$AJ$54,11,FALSE)/24,0)+IFERROR(VLOOKUP($B110,CDM!$V$41:$AJ$54,11,FALSE)/2*$C110/78,0)</f>
        <v>1746004.5374928382</v>
      </c>
      <c r="BE110" s="779">
        <f t="shared" ca="1" si="192"/>
        <v>35837732.829700693</v>
      </c>
      <c r="BF110" s="779">
        <f>IFERROR(HLOOKUP(B110-1,'EV Forecast WRZ'!$F$124:$T$130,2,FALSE)/12,0)+IFERROR(((HLOOKUP(B110,'EV Forecast WRZ'!$F$116:$T$122,2,FALSE)-HLOOKUP(B110-1,'EV Forecast WRZ'!$F$124:$T$130,2,FALSE)))*C110/78,0)</f>
        <v>335438.17820512818</v>
      </c>
      <c r="BG110" s="779">
        <f ca="1">HLOOKUP(B110,Heating!$R$102:$AD$106,2,FALSE)*INDEX(Weather!$BO$1:$CB$20,MATCH(B110,Weather!$BO$1:$BO$20,0),MATCH(C110,Weather!$BO$1:$CB$1,0))/VLOOKUP(B110,Weather!$BO$2:$CB$20,14,FALSE)*
VLOOKUP('Monthly Data'!$B110,Weather!$BO$3:$CB$20,14,FALSE)/Weather!$CB$14</f>
        <v>1116842.9274364393</v>
      </c>
      <c r="BH110" s="779">
        <f t="shared" ca="1" si="181"/>
        <v>34385451.724059127</v>
      </c>
      <c r="BI110" s="779">
        <v>8389513.8674640618</v>
      </c>
      <c r="BJ110" s="779">
        <f ca="1">IFERROR(VLOOKUP($B110-1,CDM!$V$4:$AJ$17,12,FALSE)/12,0)+IFERROR(VLOOKUP($B110,CDM!$V$41:$AJ$54,12,FALSE)/24,0)+IFERROR(VLOOKUP($B110,CDM!$V$41:$AJ$54,12,FALSE)/2*$C110/78,0)</f>
        <v>306414.85278685688</v>
      </c>
      <c r="BK110" s="779">
        <f t="shared" ref="BK110:BK121" ca="1" si="247">BI110+BJ110</f>
        <v>8695928.7202509195</v>
      </c>
      <c r="BL110" s="779">
        <f>IFERROR(HLOOKUP(B110-1,'EV Forecast WRZ'!$F$124:$T$130,3,FALSE)/12,0)+IFERROR(((HLOOKUP(B110,'EV Forecast WRZ'!$F$116:$T$122,3,FALSE)-HLOOKUP(B110-1,'EV Forecast WRZ'!$F$124:$T$130,3,FALSE)))*C110/78,0)</f>
        <v>43015.351282051284</v>
      </c>
      <c r="BM110" s="779">
        <f ca="1">HLOOKUP(B110,Heating!$R$102:$AD$106,4,FALSE)*INDEX(Weather!$BO$1:$CB$20,MATCH(B110,Weather!$BO$1:$BO$20,0),MATCH(C110,Weather!$BO$1:$CB$1,0))/VLOOKUP(B110,Weather!$BO$2:$CB$20,14,FALSE)*
VLOOKUP('Monthly Data'!$B110,Weather!$BO$3:$CB$20,14,FALSE)/Weather!$CB$14</f>
        <v>177286.54144137504</v>
      </c>
      <c r="BN110" s="779">
        <f t="shared" ca="1" si="183"/>
        <v>8475626.8275274932</v>
      </c>
      <c r="BO110" s="779">
        <v>30235124.84</v>
      </c>
      <c r="BP110" s="779">
        <f ca="1">IFERROR(VLOOKUP($B110-1,CDM!$V$4:$AJ$17,13,FALSE)/12,0)+IFERROR(VLOOKUP($B110,CDM!$V$41:$AJ$54,13,FALSE)/24,0)+IFERROR(VLOOKUP($B110,CDM!$V$41:$AJ$54,13,FALSE)/2*$C110/78,0)</f>
        <v>2916066.6280449731</v>
      </c>
      <c r="BQ110" s="779">
        <f t="shared" ref="BQ110:BQ121" ca="1" si="248">BO110+BP110</f>
        <v>33151191.468044974</v>
      </c>
      <c r="BR110" s="779">
        <f>IFERROR(HLOOKUP(B110-1,'EV Forecast WRZ'!$F$124:$T$130,4,FALSE)/12,0)+IFERROR(((HLOOKUP(B110,'EV Forecast WRZ'!$F$116:$T$122,4,FALSE)-HLOOKUP(B110-1,'EV Forecast WRZ'!$F$124:$T$130,4,FALSE)))*C110/78,0)</f>
        <v>19221.427307692309</v>
      </c>
      <c r="BS110" s="779">
        <f ca="1">HLOOKUP(B110,Heating!$R$102:$AD$106,5,FALSE)*INDEX(Weather!$BO$1:$CB$20,MATCH(B110,Weather!$BO$1:$BO$20,0),MATCH(C110,Weather!$BO$1:$CB$1,0))/VLOOKUP(B110,Weather!$BO$2:$CB$20,14,FALSE)*
VLOOKUP('Monthly Data'!$B110,Weather!$BO$3:$CB$20,14,FALSE)/Weather!$CB$14</f>
        <v>93845.117591976319</v>
      </c>
      <c r="BT110" s="779">
        <f t="shared" ca="1" si="185"/>
        <v>33038124.923145305</v>
      </c>
      <c r="BU110" s="779">
        <v>7437270.3300000001</v>
      </c>
      <c r="BV110" s="779">
        <f ca="1">IFERROR(VLOOKUP($B110-1,CDM!$V$4:$AJ$17,14,FALSE)/12,0)+IFERROR(VLOOKUP($B110,CDM!$V$41:$AJ$54,14,FALSE)/24,0)+IFERROR(VLOOKUP($B110,CDM!$V$41:$AJ$54,14,FALSE)/2*$C110/78,0)</f>
        <v>655757.91027062526</v>
      </c>
      <c r="BW110" s="779">
        <f t="shared" ref="BW110:BW121" ca="1" si="249">BU110+BV110</f>
        <v>8093028.2402706258</v>
      </c>
      <c r="BX110" s="779">
        <f>IFERROR(HLOOKUP(B110-1,'EV Forecast WRZ'!$F$124:$T$130,5,FALSE)/12,0)+IFERROR(((HLOOKUP(B110,'EV Forecast WRZ'!$F$116:$T$122,5,FALSE)-HLOOKUP(B110-1,'EV Forecast WRZ'!$F$124:$T$130,5,FALSE)))*C110/78,0)</f>
        <v>2978.5560256410258</v>
      </c>
      <c r="BY110" s="779">
        <f t="shared" ca="1" si="193"/>
        <v>8090049.6842449848</v>
      </c>
      <c r="BZ110" s="779">
        <v>390146.42</v>
      </c>
      <c r="CA110" s="779">
        <v>2529.636206388579</v>
      </c>
      <c r="CB110" s="5">
        <v>166341.98000000001</v>
      </c>
      <c r="CC110" s="5">
        <v>63430.67</v>
      </c>
      <c r="CD110" s="5">
        <v>15299.73</v>
      </c>
      <c r="CE110" s="5">
        <v>821</v>
      </c>
      <c r="CF110" s="763">
        <f>83/12</f>
        <v>6.916666666666667</v>
      </c>
      <c r="CG110" s="785">
        <v>45354.25</v>
      </c>
      <c r="CH110" s="785">
        <v>2456.5</v>
      </c>
      <c r="CI110" s="785">
        <v>387.25</v>
      </c>
      <c r="CJ110" s="785">
        <v>3</v>
      </c>
      <c r="CK110" s="785">
        <v>13653</v>
      </c>
      <c r="CL110" s="785">
        <v>45.916666666666664</v>
      </c>
      <c r="CM110" s="785">
        <v>404.5</v>
      </c>
      <c r="CN110" s="46">
        <f>Weather!C122</f>
        <v>698.99583333333328</v>
      </c>
      <c r="CO110" s="46">
        <f>Weather!D122</f>
        <v>0</v>
      </c>
      <c r="CP110" s="46">
        <f>Weather!E122</f>
        <v>636.99583333333339</v>
      </c>
      <c r="CQ110" s="46">
        <f>Weather!F122</f>
        <v>0</v>
      </c>
      <c r="CR110" s="46">
        <f>Weather!G122</f>
        <v>574.99583333333339</v>
      </c>
      <c r="CS110" s="46">
        <f>Weather!H122</f>
        <v>0</v>
      </c>
      <c r="CT110" s="46">
        <f>Weather!I122</f>
        <v>512.99583333333328</v>
      </c>
      <c r="CU110" s="46">
        <f>Weather!J122</f>
        <v>0</v>
      </c>
      <c r="CV110" s="46">
        <f>Weather!K122</f>
        <v>450.99583333333322</v>
      </c>
      <c r="CW110" s="46">
        <f>Weather!L122</f>
        <v>0</v>
      </c>
      <c r="CX110" s="46">
        <f>Weather!M122</f>
        <v>388.99583333333317</v>
      </c>
      <c r="CY110" s="46">
        <f>Weather!N122</f>
        <v>0</v>
      </c>
      <c r="CZ110" s="46">
        <f>Weather!O122</f>
        <v>326.99583333333317</v>
      </c>
      <c r="DA110" s="46">
        <f>Weather!P122</f>
        <v>0</v>
      </c>
      <c r="DB110" s="368">
        <f>'Economic Data'!D124</f>
        <v>8056</v>
      </c>
      <c r="DC110" s="368">
        <f>'Economic Data'!E124</f>
        <v>8019.7</v>
      </c>
      <c r="DD110" s="368">
        <f>'Economic Data'!F124</f>
        <v>242.1</v>
      </c>
      <c r="DE110" s="368">
        <f>'Economic Data'!G124</f>
        <v>242.1</v>
      </c>
      <c r="DF110" s="368">
        <f>'Economic Data'!H124</f>
        <v>46.4</v>
      </c>
      <c r="DG110" s="368">
        <f>'Economic Data'!I124</f>
        <v>46.4</v>
      </c>
      <c r="DH110" s="368">
        <f>'Economic Data'!J124</f>
        <v>876619.7</v>
      </c>
      <c r="DI110" s="368">
        <f>'Economic Data'!K124</f>
        <v>694601.3</v>
      </c>
      <c r="DJ110" s="368">
        <f>'Economic Data'!L124</f>
        <v>92436.4</v>
      </c>
      <c r="DK110" s="368">
        <f>'Economic Data'!M124</f>
        <v>33851.4</v>
      </c>
      <c r="DL110" s="368">
        <f>'Economic Data'!N124</f>
        <v>873665</v>
      </c>
      <c r="DM110" s="368">
        <f>'Economic Data'!O124</f>
        <v>94007</v>
      </c>
      <c r="DN110" s="368">
        <f>'Economic Data'!P124</f>
        <v>17303</v>
      </c>
      <c r="DO110" s="368">
        <f>'Economic Data'!Q124</f>
        <v>690531</v>
      </c>
      <c r="DP110" s="368">
        <f>'Economic Data'!R124</f>
        <v>33782</v>
      </c>
      <c r="DQ110">
        <v>31</v>
      </c>
      <c r="DR110">
        <v>22</v>
      </c>
      <c r="DS110">
        <f>DS98</f>
        <v>1</v>
      </c>
      <c r="DT110">
        <f t="shared" ref="DT110:ED110" si="250">DT98</f>
        <v>0</v>
      </c>
      <c r="DU110">
        <f t="shared" si="250"/>
        <v>0</v>
      </c>
      <c r="DV110">
        <f t="shared" si="250"/>
        <v>0</v>
      </c>
      <c r="DW110">
        <f t="shared" si="250"/>
        <v>0</v>
      </c>
      <c r="DX110">
        <f t="shared" si="250"/>
        <v>0</v>
      </c>
      <c r="DY110">
        <f t="shared" si="250"/>
        <v>0</v>
      </c>
      <c r="DZ110">
        <f t="shared" si="250"/>
        <v>0</v>
      </c>
      <c r="EA110">
        <f t="shared" si="250"/>
        <v>0</v>
      </c>
      <c r="EB110">
        <f t="shared" si="250"/>
        <v>0</v>
      </c>
      <c r="EC110">
        <f t="shared" si="250"/>
        <v>0</v>
      </c>
      <c r="ED110">
        <f t="shared" si="250"/>
        <v>0</v>
      </c>
      <c r="EE110">
        <f t="shared" ref="EE110:EF110" si="251">EE98</f>
        <v>0</v>
      </c>
      <c r="EF110">
        <f t="shared" si="251"/>
        <v>0</v>
      </c>
      <c r="EG110">
        <f>EE110+EF110</f>
        <v>0</v>
      </c>
      <c r="EH110">
        <f t="shared" si="189"/>
        <v>109</v>
      </c>
      <c r="EI110">
        <v>0</v>
      </c>
      <c r="EJ110">
        <v>0</v>
      </c>
      <c r="EK110">
        <v>0.25</v>
      </c>
      <c r="EL110">
        <v>0</v>
      </c>
      <c r="EM110" s="47">
        <f t="shared" si="194"/>
        <v>0</v>
      </c>
      <c r="EN110" s="47">
        <f t="shared" si="195"/>
        <v>0</v>
      </c>
      <c r="EO110" s="47">
        <f t="shared" si="196"/>
        <v>0</v>
      </c>
      <c r="EP110" s="47">
        <f t="shared" si="197"/>
        <v>0</v>
      </c>
      <c r="EQ110" s="47">
        <f t="shared" si="198"/>
        <v>0</v>
      </c>
      <c r="ER110" s="47">
        <f t="shared" si="199"/>
        <v>0</v>
      </c>
      <c r="ES110" s="47">
        <f t="shared" si="200"/>
        <v>0</v>
      </c>
      <c r="ET110" s="47">
        <f t="shared" si="201"/>
        <v>0</v>
      </c>
      <c r="EU110" s="47">
        <f t="shared" si="202"/>
        <v>0</v>
      </c>
      <c r="EV110" s="47">
        <f t="shared" si="203"/>
        <v>0</v>
      </c>
      <c r="EW110" s="47">
        <f t="shared" si="204"/>
        <v>0</v>
      </c>
      <c r="EX110" s="47">
        <f t="shared" si="205"/>
        <v>0</v>
      </c>
      <c r="EY110" s="47">
        <f t="shared" si="206"/>
        <v>0</v>
      </c>
      <c r="EZ110" s="47">
        <f t="shared" si="207"/>
        <v>0</v>
      </c>
      <c r="FA110" s="47">
        <f t="shared" si="208"/>
        <v>174.74895833333332</v>
      </c>
      <c r="FB110" s="47">
        <f t="shared" si="209"/>
        <v>0</v>
      </c>
      <c r="FC110" s="47">
        <f t="shared" si="210"/>
        <v>159.24895833333335</v>
      </c>
      <c r="FD110" s="47">
        <f t="shared" si="211"/>
        <v>0</v>
      </c>
      <c r="FE110" s="47">
        <f t="shared" si="212"/>
        <v>143.74895833333335</v>
      </c>
      <c r="FF110" s="47">
        <f t="shared" si="213"/>
        <v>0</v>
      </c>
      <c r="FG110" s="47">
        <f t="shared" si="214"/>
        <v>128.24895833333332</v>
      </c>
      <c r="FH110" s="47">
        <f t="shared" si="215"/>
        <v>0</v>
      </c>
      <c r="FI110" s="47">
        <f t="shared" si="216"/>
        <v>112.74895833333331</v>
      </c>
      <c r="FJ110" s="47">
        <f t="shared" si="217"/>
        <v>0</v>
      </c>
      <c r="FK110" s="47">
        <f t="shared" si="218"/>
        <v>97.248958333333292</v>
      </c>
      <c r="FL110" s="47">
        <f t="shared" si="219"/>
        <v>0</v>
      </c>
      <c r="FM110" s="47">
        <f t="shared" si="220"/>
        <v>81.748958333333292</v>
      </c>
      <c r="FN110" s="47">
        <f t="shared" si="221"/>
        <v>0</v>
      </c>
      <c r="FO110" s="765">
        <f t="shared" ca="1" si="222"/>
        <v>837.67873421718718</v>
      </c>
      <c r="FP110" s="765">
        <f t="shared" ca="1" si="223"/>
        <v>874.4210198620915</v>
      </c>
      <c r="FQ110" s="765">
        <f t="shared" ca="1" si="224"/>
        <v>2700.1189226292513</v>
      </c>
      <c r="FR110" s="765">
        <f t="shared" ca="1" si="225"/>
        <v>88208.275282553877</v>
      </c>
      <c r="FS110" s="765">
        <f t="shared" ca="1" si="226"/>
        <v>1803622.5766215839</v>
      </c>
      <c r="FT110" s="765">
        <f t="shared" ca="1" si="227"/>
        <v>5740664.4989995109</v>
      </c>
      <c r="FU110" s="765">
        <f t="shared" si="228"/>
        <v>41.091276977400405</v>
      </c>
      <c r="FV110" s="765">
        <f t="shared" si="229"/>
        <v>76.300325271459684</v>
      </c>
      <c r="FW110" s="765">
        <f t="shared" si="230"/>
        <v>499.02886693294084</v>
      </c>
      <c r="FX110" s="765">
        <f t="shared" ca="1" si="231"/>
        <v>790.17364039093786</v>
      </c>
      <c r="FY110" s="765">
        <f t="shared" ca="1" si="232"/>
        <v>3539.9669123757049</v>
      </c>
      <c r="FZ110" s="765">
        <f t="shared" ca="1" si="233"/>
        <v>85606.691976875343</v>
      </c>
      <c r="GA110" s="765">
        <f t="shared" si="234"/>
        <v>130048.80666666666</v>
      </c>
      <c r="GB110" s="765">
        <f t="shared" si="235"/>
        <v>28.575874899289531</v>
      </c>
      <c r="GC110" s="765">
        <f t="shared" si="236"/>
        <v>55.091895601929131</v>
      </c>
      <c r="GD110" s="765">
        <f t="shared" si="237"/>
        <v>411.22862793572313</v>
      </c>
    </row>
    <row r="111" spans="1:186">
      <c r="A111" s="4">
        <v>45323</v>
      </c>
      <c r="B111" s="6">
        <v>2024</v>
      </c>
      <c r="C111" s="5">
        <v>2</v>
      </c>
      <c r="D111" s="7">
        <v>83956969.445356518</v>
      </c>
      <c r="E111" s="7">
        <f ca="1">IFERROR(VLOOKUP($B111-1,CDM!$V$4:$AJ$17,2,FALSE)/12,0)+IFERROR(VLOOKUP($B111,CDM!$V$41:$AJ$54,2,FALSE)/24,0)+IFERROR(VLOOKUP($B111,CDM!$V$41:$AJ$54,2,FALSE)/2*$C111/78,0)</f>
        <v>3959182.6102876933</v>
      </c>
      <c r="F111" s="7">
        <f t="shared" ca="1" si="169"/>
        <v>87916152.055644214</v>
      </c>
      <c r="G111" s="7">
        <f>IFERROR(HLOOKUP(B111-1,'EV Forecast VRZ'!$F$124:$T$130,2,FALSE)/12,0)+IFERROR(((HLOOKUP(B111,'EV Forecast VRZ'!$F$116:$T$122,2,FALSE)-HLOOKUP(B111-1,'EV Forecast VRZ'!$F$124:$T$130,2,FALSE)))*C111/78,0)</f>
        <v>1065996.1159885</v>
      </c>
      <c r="H111" s="7">
        <f ca="1">HLOOKUP(B111,Heating!$C$102:$O$106,2,FALSE)*INDEX(Weather!$BO$1:$CB$20,MATCH(B111,Weather!$BO$1:$BO$20,0),MATCH(C111,Weather!$BO$1:$CB$1,0))/VLOOKUP(B111,Weather!$BO$2:$CB$20,14,FALSE)*
VLOOKUP('Monthly Data'!$B111,Weather!$BO$3:$CB$20,14,FALSE)/Weather!$CB$14</f>
        <v>2164793.5953500848</v>
      </c>
      <c r="I111" s="7">
        <f t="shared" ca="1" si="170"/>
        <v>84685362.344305634</v>
      </c>
      <c r="J111" s="7">
        <v>1229880.4313028969</v>
      </c>
      <c r="K111" s="7">
        <f ca="1">IFERROR(VLOOKUP($B111-1,CDM!$V$4:$AJ$17,3,FALSE)/12,0)+IFERROR(VLOOKUP($B111,CDM!$V$41:$AJ$54,3,FALSE)/24,0)+IFERROR(VLOOKUP($B111,CDM!$V$41:$AJ$54,3,FALSE)/2*$C111/78,0)</f>
        <v>45347.310316582916</v>
      </c>
      <c r="L111" s="7">
        <f t="shared" ca="1" si="242"/>
        <v>1275227.7416194798</v>
      </c>
      <c r="M111" s="7">
        <f>IFERROR(HLOOKUP(B111-1,'EV Forecast VRZ'!$F$124:$T$130,3,FALSE)/12,0)+IFERROR(((HLOOKUP(B111,'EV Forecast VRZ'!$F$116:$T$122,3,FALSE)-HLOOKUP(B111-1,'EV Forecast VRZ'!$F$124:$T$130,3,FALSE)))*C111/78,0)</f>
        <v>14502.240037141006</v>
      </c>
      <c r="N111" s="7">
        <f ca="1">HLOOKUP(B111,Heating!$C$102:$O$106,3,FALSE)*INDEX(Weather!$BO$1:$CB$20,MATCH(B111,Weather!$BO$1:$BO$20,0),MATCH(C111,Weather!$BO$1:$CB$1,0))/VLOOKUP(B111,Weather!$BO$2:$CB$20,14,FALSE)*
VLOOKUP('Monthly Data'!$B111,Weather!$BO$3:$CB$20,14,FALSE)/Weather!$CB$14</f>
        <v>25582.842270394278</v>
      </c>
      <c r="O111" s="7">
        <f t="shared" ca="1" si="172"/>
        <v>1235142.6593119446</v>
      </c>
      <c r="P111" s="7">
        <v>21577650.30459094</v>
      </c>
      <c r="Q111" s="7">
        <f ca="1">IFERROR(VLOOKUP($B111-1,CDM!$V$4:$AJ$17,4,FALSE)/12,0)+IFERROR(VLOOKUP($B111,CDM!$V$41:$AJ$54,4,FALSE)/24,0)+IFERROR(VLOOKUP($B111,CDM!$V$41:$AJ$54,4,FALSE)/2*$C111/78,0)</f>
        <v>1666784.843370002</v>
      </c>
      <c r="R111" s="7">
        <f t="shared" ca="1" si="243"/>
        <v>23244435.147960942</v>
      </c>
      <c r="S111" s="7">
        <f>IFERROR(HLOOKUP(B111-1,'EV Forecast VRZ'!$F$124:$T$130,4,FALSE)/12,0)+IFERROR(((HLOOKUP(B111,'EV Forecast VRZ'!$F$116:$T$122,4,FALSE)-HLOOKUP(B111-1,'EV Forecast VRZ'!$F$124:$T$130,4,FALSE)))*C111/78,0)</f>
        <v>134424.3541025641</v>
      </c>
      <c r="T111" s="7">
        <f ca="1">HLOOKUP(B111,Heating!$C$102:$O$106,4,FALSE)*INDEX(Weather!$BO$1:$CB$20,MATCH(B111,Weather!$BO$1:$BO$20,0),MATCH(C111,Weather!$BO$1:$CB$1,0))/VLOOKUP(B111,Weather!$BO$2:$CB$20,14,FALSE)*
VLOOKUP('Monthly Data'!$B111,Weather!$BO$3:$CB$20,14,FALSE)/Weather!$CB$14</f>
        <v>518804.7666826183</v>
      </c>
      <c r="U111" s="7">
        <f t="shared" ca="1" si="174"/>
        <v>22591206.027175762</v>
      </c>
      <c r="V111" s="7">
        <v>78462678.962840006</v>
      </c>
      <c r="W111" s="7">
        <f ca="1">IFERROR(VLOOKUP($B111-1,CDM!$V$4:$AJ$17,5,FALSE)/12,0)+IFERROR(VLOOKUP($B111,CDM!$V$41:$AJ$54,5,FALSE)/24,0)+IFERROR(VLOOKUP($B111,CDM!$V$41:$AJ$54,5,FALSE)/2*$C111/78,0)</f>
        <v>6813915.4044537721</v>
      </c>
      <c r="X111" s="7">
        <f t="shared" ca="1" si="244"/>
        <v>85276594.367293775</v>
      </c>
      <c r="Y111" s="7">
        <f>IFERROR(HLOOKUP(B111-1,'EV Forecast VRZ'!$F$124:$T$130,5,FALSE)/12,0)+IFERROR(((HLOOKUP(B111,'EV Forecast VRZ'!$F$116:$T$122,5,FALSE)-HLOOKUP(B111-1,'EV Forecast VRZ'!$F$124:$T$130,5,FALSE)))*C111/78,0)</f>
        <v>62819.61319230769</v>
      </c>
      <c r="Z111" s="7">
        <f ca="1">HLOOKUP(B111,Heating!$C$102:$O$106,5,FALSE)*INDEX(Weather!$BO$1:$CB$20,MATCH(B111,Weather!$BO$1:$BO$20,0),MATCH(C111,Weather!$BO$1:$CB$1,0))/VLOOKUP(B111,Weather!$BO$2:$CB$20,14,FALSE)*
VLOOKUP('Monthly Data'!$B111,Weather!$BO$3:$CB$20,14,FALSE)/Weather!$CB$14</f>
        <v>270189.69948756573</v>
      </c>
      <c r="AA111" s="7">
        <f t="shared" ca="1" si="176"/>
        <v>84943585.054613903</v>
      </c>
      <c r="AB111" s="7">
        <v>8043704.5300000003</v>
      </c>
      <c r="AC111" s="7">
        <f ca="1">IFERROR(VLOOKUP($B111-1,CDM!$V$4:$AJ$17,6,FALSE)/12,0)+IFERROR(VLOOKUP($B111,CDM!$V$41:$AJ$54,6,FALSE)/24,0)+IFERROR(VLOOKUP($B111,CDM!$V$41:$AJ$54,6,FALSE)/2*$C111/78,0)</f>
        <v>334897.78500000748</v>
      </c>
      <c r="AD111" s="7">
        <f t="shared" ca="1" si="245"/>
        <v>8378602.3150000079</v>
      </c>
      <c r="AE111" s="7">
        <f>IFERROR(HLOOKUP(B111-1,'EV Forecast VRZ'!$F$124:$T$130,6,FALSE)/12,0)+IFERROR(((HLOOKUP(B111,'EV Forecast VRZ'!$F$116:$T$122,6,FALSE)-HLOOKUP(B111-1,'EV Forecast VRZ'!$F$124:$T$130,6,FALSE)))*C111/78,0)</f>
        <v>8143.5253974358984</v>
      </c>
      <c r="AF111" s="7">
        <f t="shared" ca="1" si="178"/>
        <v>8370458.7896025721</v>
      </c>
      <c r="AG111" s="7">
        <v>26826146.523446001</v>
      </c>
      <c r="AH111" s="7">
        <f ca="1">IFERROR(VLOOKUP($B111-1,CDM!$V$4:$AJ$17,7,FALSE)/12,0)+IFERROR(VLOOKUP($B111,CDM!$V$41:$AJ$54,7,FALSE)/24,0)+IFERROR(VLOOKUP($B111,CDM!$V$41:$AJ$54,7,FALSE)/2*$C111/78,0)</f>
        <v>1994874.8584014822</v>
      </c>
      <c r="AI111" s="7">
        <f t="shared" ca="1" si="246"/>
        <v>28821021.381847482</v>
      </c>
      <c r="AJ111" s="7">
        <f>IFERROR(HLOOKUP(B111-1,'EV Forecast VRZ'!$F$124:$T$130,7,FALSE)/12,0)+IFERROR(((HLOOKUP(B111,'EV Forecast VRZ'!$F$116:$T$122,7,FALSE)-HLOOKUP(B111-1,'EV Forecast VRZ'!$F$124:$T$130,7,FALSE)))*C111/78,0)</f>
        <v>876.92307692307691</v>
      </c>
      <c r="AK111" s="7">
        <f t="shared" ca="1" si="180"/>
        <v>28820144.458770558</v>
      </c>
      <c r="AL111" s="7">
        <v>1143888.8799999999</v>
      </c>
      <c r="AM111" s="7">
        <v>17172.336466923469</v>
      </c>
      <c r="AN111" s="7">
        <v>395494.01</v>
      </c>
      <c r="AO111" s="5">
        <v>175436.84</v>
      </c>
      <c r="AP111" s="5">
        <v>18279.34</v>
      </c>
      <c r="AQ111" s="5">
        <v>43475.89</v>
      </c>
      <c r="AR111" s="5">
        <v>2798.27</v>
      </c>
      <c r="AS111" s="763">
        <f>602/12</f>
        <v>50.166666666666664</v>
      </c>
      <c r="AT111" s="776">
        <v>116755.5</v>
      </c>
      <c r="AU111" s="776">
        <v>1563.3333333333335</v>
      </c>
      <c r="AV111" s="776">
        <v>9498.5</v>
      </c>
      <c r="AW111" s="776">
        <v>1046.6666666666665</v>
      </c>
      <c r="AX111" s="776">
        <v>5</v>
      </c>
      <c r="AY111" s="776">
        <v>5</v>
      </c>
      <c r="AZ111" s="776">
        <v>32479.666666666664</v>
      </c>
      <c r="BA111" s="776">
        <v>240.16666666666669</v>
      </c>
      <c r="BB111" s="776">
        <v>788.66666666666674</v>
      </c>
      <c r="BC111" s="779">
        <v>29922138.284269691</v>
      </c>
      <c r="BD111" s="779">
        <f ca="1">IFERROR(VLOOKUP($B111-1,CDM!$V$4:$AJ$17,11,FALSE)/12,0)+IFERROR(VLOOKUP($B111,CDM!$V$41:$AJ$54,11,FALSE)/24,0)+IFERROR(VLOOKUP($B111,CDM!$V$41:$AJ$54,11,FALSE)/2*$C111/78,0)</f>
        <v>1751305.3467401559</v>
      </c>
      <c r="BE111" s="779">
        <f t="shared" ca="1" si="192"/>
        <v>31673443.631009847</v>
      </c>
      <c r="BF111" s="779">
        <f>IFERROR(HLOOKUP(B111-1,'EV Forecast WRZ'!$F$124:$T$130,2,FALSE)/12,0)+IFERROR(((HLOOKUP(B111,'EV Forecast WRZ'!$F$116:$T$122,2,FALSE)-HLOOKUP(B111-1,'EV Forecast WRZ'!$F$124:$T$130,2,FALSE)))*C111/78,0)</f>
        <v>347921.53641025641</v>
      </c>
      <c r="BG111" s="779">
        <f ca="1">HLOOKUP(B111,Heating!$R$102:$AD$106,2,FALSE)*INDEX(Weather!$BO$1:$CB$20,MATCH(B111,Weather!$BO$1:$BO$20,0),MATCH(C111,Weather!$BO$1:$CB$1,0))/VLOOKUP(B111,Weather!$BO$2:$CB$20,14,FALSE)*
VLOOKUP('Monthly Data'!$B111,Weather!$BO$3:$CB$20,14,FALSE)/Weather!$CB$14</f>
        <v>951981.86513580836</v>
      </c>
      <c r="BH111" s="779">
        <f t="shared" ca="1" si="181"/>
        <v>30373540.229463782</v>
      </c>
      <c r="BI111" s="779">
        <v>7130124.9658190059</v>
      </c>
      <c r="BJ111" s="779">
        <f ca="1">IFERROR(VLOOKUP($B111-1,CDM!$V$4:$AJ$17,12,FALSE)/12,0)+IFERROR(VLOOKUP($B111,CDM!$V$41:$AJ$54,12,FALSE)/24,0)+IFERROR(VLOOKUP($B111,CDM!$V$41:$AJ$54,12,FALSE)/2*$C111/78,0)</f>
        <v>309462.26811843226</v>
      </c>
      <c r="BK111" s="779">
        <f t="shared" ca="1" si="247"/>
        <v>7439587.2339374386</v>
      </c>
      <c r="BL111" s="779">
        <f>IFERROR(HLOOKUP(B111-1,'EV Forecast WRZ'!$F$124:$T$130,3,FALSE)/12,0)+IFERROR(((HLOOKUP(B111,'EV Forecast WRZ'!$F$116:$T$122,3,FALSE)-HLOOKUP(B111-1,'EV Forecast WRZ'!$F$124:$T$130,3,FALSE)))*C111/78,0)</f>
        <v>44972.78256410257</v>
      </c>
      <c r="BM111" s="779">
        <f ca="1">HLOOKUP(B111,Heating!$R$102:$AD$106,4,FALSE)*INDEX(Weather!$BO$1:$CB$20,MATCH(B111,Weather!$BO$1:$BO$20,0),MATCH(C111,Weather!$BO$1:$CB$1,0))/VLOOKUP(B111,Weather!$BO$2:$CB$20,14,FALSE)*
VLOOKUP('Monthly Data'!$B111,Weather!$BO$3:$CB$20,14,FALSE)/Weather!$CB$14</f>
        <v>151116.6595039767</v>
      </c>
      <c r="BN111" s="779">
        <f t="shared" ca="1" si="183"/>
        <v>7243497.7918693591</v>
      </c>
      <c r="BO111" s="779">
        <v>27060249.84</v>
      </c>
      <c r="BP111" s="779">
        <f ca="1">IFERROR(VLOOKUP($B111-1,CDM!$V$4:$AJ$17,13,FALSE)/12,0)+IFERROR(VLOOKUP($B111,CDM!$V$41:$AJ$54,13,FALSE)/24,0)+IFERROR(VLOOKUP($B111,CDM!$V$41:$AJ$54,13,FALSE)/2*$C111/78,0)</f>
        <v>2936714.9261406963</v>
      </c>
      <c r="BQ111" s="779">
        <f t="shared" ca="1" si="248"/>
        <v>29996964.766140696</v>
      </c>
      <c r="BR111" s="779">
        <f>IFERROR(HLOOKUP(B111-1,'EV Forecast WRZ'!$F$124:$T$130,4,FALSE)/12,0)+IFERROR(((HLOOKUP(B111,'EV Forecast WRZ'!$F$116:$T$122,4,FALSE)-HLOOKUP(B111-1,'EV Forecast WRZ'!$F$124:$T$130,4,FALSE)))*C111/78,0)</f>
        <v>20070.123948717948</v>
      </c>
      <c r="BS111" s="779">
        <f ca="1">HLOOKUP(B111,Heating!$R$102:$AD$106,5,FALSE)*INDEX(Weather!$BO$1:$CB$20,MATCH(B111,Weather!$BO$1:$BO$20,0),MATCH(C111,Weather!$BO$1:$CB$1,0))/VLOOKUP(B111,Weather!$BO$2:$CB$20,14,FALSE)*
VLOOKUP('Monthly Data'!$B111,Weather!$BO$3:$CB$20,14,FALSE)/Weather!$CB$14</f>
        <v>79992.313945313712</v>
      </c>
      <c r="BT111" s="779">
        <f t="shared" ca="1" si="185"/>
        <v>29896902.328246664</v>
      </c>
      <c r="BU111" s="779">
        <v>6990499.9199999999</v>
      </c>
      <c r="BV111" s="779">
        <f ca="1">IFERROR(VLOOKUP($B111-1,CDM!$V$4:$AJ$17,14,FALSE)/12,0)+IFERROR(VLOOKUP($B111,CDM!$V$41:$AJ$54,14,FALSE)/24,0)+IFERROR(VLOOKUP($B111,CDM!$V$41:$AJ$54,14,FALSE)/2*$C111/78,0)</f>
        <v>660406.87972474261</v>
      </c>
      <c r="BW111" s="779">
        <f t="shared" ca="1" si="249"/>
        <v>7650906.7997247428</v>
      </c>
      <c r="BX111" s="779">
        <f>IFERROR(HLOOKUP(B111-1,'EV Forecast WRZ'!$F$124:$T$130,5,FALSE)/12,0)+IFERROR(((HLOOKUP(B111,'EV Forecast WRZ'!$F$116:$T$122,5,FALSE)-HLOOKUP(B111-1,'EV Forecast WRZ'!$F$124:$T$130,5,FALSE)))*C111/78,0)</f>
        <v>3180.0493846153845</v>
      </c>
      <c r="BY111" s="779">
        <f t="shared" ca="1" si="193"/>
        <v>7647726.7503401274</v>
      </c>
      <c r="BZ111" s="779">
        <v>335056.96999999997</v>
      </c>
      <c r="CA111" s="779">
        <v>2529.636206388579</v>
      </c>
      <c r="CB111" s="5">
        <v>163180.64000000001</v>
      </c>
      <c r="CC111" s="5">
        <v>60593.27</v>
      </c>
      <c r="CD111" s="5">
        <v>14531.16</v>
      </c>
      <c r="CE111" s="5">
        <v>822</v>
      </c>
      <c r="CF111" s="763">
        <f t="shared" ref="CF111:CF121" si="252">83/12</f>
        <v>6.916666666666667</v>
      </c>
      <c r="CG111" s="785">
        <v>45384.5</v>
      </c>
      <c r="CH111" s="785">
        <v>2458</v>
      </c>
      <c r="CI111" s="785">
        <v>387.5</v>
      </c>
      <c r="CJ111" s="785">
        <v>3</v>
      </c>
      <c r="CK111" s="785">
        <v>13663</v>
      </c>
      <c r="CL111" s="785">
        <v>45.833333333333329</v>
      </c>
      <c r="CM111" s="785">
        <v>403</v>
      </c>
      <c r="CN111" s="46">
        <f>Weather!C123</f>
        <v>600.96666666666647</v>
      </c>
      <c r="CO111" s="46">
        <f>Weather!D123</f>
        <v>0</v>
      </c>
      <c r="CP111" s="46">
        <f>Weather!E123</f>
        <v>542.96666666666658</v>
      </c>
      <c r="CQ111" s="46">
        <f>Weather!F123</f>
        <v>0</v>
      </c>
      <c r="CR111" s="46">
        <f>Weather!G123</f>
        <v>484.96666666666658</v>
      </c>
      <c r="CS111" s="46">
        <f>Weather!H123</f>
        <v>0</v>
      </c>
      <c r="CT111" s="46">
        <f>Weather!I123</f>
        <v>426.96666666666664</v>
      </c>
      <c r="CU111" s="46">
        <f>Weather!J123</f>
        <v>0</v>
      </c>
      <c r="CV111" s="46">
        <f>Weather!K123</f>
        <v>368.96666666666664</v>
      </c>
      <c r="CW111" s="46">
        <f>Weather!L123</f>
        <v>0</v>
      </c>
      <c r="CX111" s="46">
        <f>Weather!M123</f>
        <v>310.9666666666667</v>
      </c>
      <c r="CY111" s="46">
        <f>Weather!N123</f>
        <v>0</v>
      </c>
      <c r="CZ111" s="46">
        <f>Weather!O123</f>
        <v>252.9666666666667</v>
      </c>
      <c r="DA111" s="46">
        <f>Weather!P123</f>
        <v>0</v>
      </c>
      <c r="DB111" s="368">
        <f>'Economic Data'!D125</f>
        <v>8055.7</v>
      </c>
      <c r="DC111" s="368">
        <f>'Economic Data'!E125</f>
        <v>7991.4</v>
      </c>
      <c r="DD111" s="368">
        <f>'Economic Data'!F125</f>
        <v>243.2</v>
      </c>
      <c r="DE111" s="368">
        <f>'Economic Data'!G125</f>
        <v>243.5</v>
      </c>
      <c r="DF111" s="368">
        <f>'Economic Data'!H125</f>
        <v>41.6</v>
      </c>
      <c r="DG111" s="368">
        <f>'Economic Data'!I125</f>
        <v>41.6</v>
      </c>
      <c r="DH111" s="368">
        <f>'Economic Data'!J125</f>
        <v>876619.7</v>
      </c>
      <c r="DI111" s="368">
        <f>'Economic Data'!K125</f>
        <v>694601.3</v>
      </c>
      <c r="DJ111" s="368">
        <f>'Economic Data'!L125</f>
        <v>92436.4</v>
      </c>
      <c r="DK111" s="368">
        <f>'Economic Data'!M125</f>
        <v>33851.4</v>
      </c>
      <c r="DL111" s="368">
        <f>'Economic Data'!N125</f>
        <v>873665</v>
      </c>
      <c r="DM111" s="368">
        <f>'Economic Data'!O125</f>
        <v>94007</v>
      </c>
      <c r="DN111" s="368">
        <f>'Economic Data'!P125</f>
        <v>17303</v>
      </c>
      <c r="DO111" s="368">
        <f>'Economic Data'!Q125</f>
        <v>690531</v>
      </c>
      <c r="DP111" s="368">
        <f>'Economic Data'!R125</f>
        <v>33782</v>
      </c>
      <c r="DQ111">
        <v>29</v>
      </c>
      <c r="DR111">
        <v>20</v>
      </c>
      <c r="DS111">
        <f t="shared" ref="DS111:ED111" si="253">DS99</f>
        <v>0</v>
      </c>
      <c r="DT111">
        <f t="shared" si="253"/>
        <v>1</v>
      </c>
      <c r="DU111">
        <f t="shared" si="253"/>
        <v>0</v>
      </c>
      <c r="DV111">
        <f t="shared" si="253"/>
        <v>0</v>
      </c>
      <c r="DW111">
        <f t="shared" si="253"/>
        <v>0</v>
      </c>
      <c r="DX111">
        <f t="shared" si="253"/>
        <v>0</v>
      </c>
      <c r="DY111">
        <f t="shared" si="253"/>
        <v>0</v>
      </c>
      <c r="DZ111">
        <f t="shared" si="253"/>
        <v>0</v>
      </c>
      <c r="EA111">
        <f t="shared" si="253"/>
        <v>0</v>
      </c>
      <c r="EB111">
        <f t="shared" si="253"/>
        <v>0</v>
      </c>
      <c r="EC111">
        <f t="shared" si="253"/>
        <v>0</v>
      </c>
      <c r="ED111">
        <f t="shared" si="253"/>
        <v>0</v>
      </c>
      <c r="EE111">
        <f t="shared" ref="EE111:EF111" si="254">EE99</f>
        <v>0</v>
      </c>
      <c r="EF111">
        <f t="shared" si="254"/>
        <v>0</v>
      </c>
      <c r="EG111">
        <f t="shared" ref="EG111:EG121" si="255">EE111+EF111</f>
        <v>0</v>
      </c>
      <c r="EH111">
        <f t="shared" si="189"/>
        <v>110</v>
      </c>
      <c r="EI111">
        <v>0</v>
      </c>
      <c r="EJ111">
        <v>0</v>
      </c>
      <c r="EK111">
        <v>0.25</v>
      </c>
      <c r="EL111">
        <v>0</v>
      </c>
      <c r="EM111" s="47">
        <f t="shared" si="194"/>
        <v>0</v>
      </c>
      <c r="EN111" s="47">
        <f t="shared" si="195"/>
        <v>0</v>
      </c>
      <c r="EO111" s="47">
        <f t="shared" si="196"/>
        <v>0</v>
      </c>
      <c r="EP111" s="47">
        <f t="shared" si="197"/>
        <v>0</v>
      </c>
      <c r="EQ111" s="47">
        <f t="shared" si="198"/>
        <v>0</v>
      </c>
      <c r="ER111" s="47">
        <f t="shared" si="199"/>
        <v>0</v>
      </c>
      <c r="ES111" s="47">
        <f t="shared" si="200"/>
        <v>0</v>
      </c>
      <c r="ET111" s="47">
        <f t="shared" si="201"/>
        <v>0</v>
      </c>
      <c r="EU111" s="47">
        <f t="shared" si="202"/>
        <v>0</v>
      </c>
      <c r="EV111" s="47">
        <f t="shared" si="203"/>
        <v>0</v>
      </c>
      <c r="EW111" s="47">
        <f t="shared" si="204"/>
        <v>0</v>
      </c>
      <c r="EX111" s="47">
        <f t="shared" si="205"/>
        <v>0</v>
      </c>
      <c r="EY111" s="47">
        <f t="shared" si="206"/>
        <v>0</v>
      </c>
      <c r="EZ111" s="47">
        <f t="shared" si="207"/>
        <v>0</v>
      </c>
      <c r="FA111" s="47">
        <f t="shared" si="208"/>
        <v>150.24166666666662</v>
      </c>
      <c r="FB111" s="47">
        <f t="shared" si="209"/>
        <v>0</v>
      </c>
      <c r="FC111" s="47">
        <f t="shared" si="210"/>
        <v>135.74166666666665</v>
      </c>
      <c r="FD111" s="47">
        <f t="shared" si="211"/>
        <v>0</v>
      </c>
      <c r="FE111" s="47">
        <f t="shared" si="212"/>
        <v>121.24166666666665</v>
      </c>
      <c r="FF111" s="47">
        <f t="shared" si="213"/>
        <v>0</v>
      </c>
      <c r="FG111" s="47">
        <f t="shared" si="214"/>
        <v>106.74166666666666</v>
      </c>
      <c r="FH111" s="47">
        <f t="shared" si="215"/>
        <v>0</v>
      </c>
      <c r="FI111" s="47">
        <f t="shared" si="216"/>
        <v>92.24166666666666</v>
      </c>
      <c r="FJ111" s="47">
        <f t="shared" si="217"/>
        <v>0</v>
      </c>
      <c r="FK111" s="47">
        <f t="shared" si="218"/>
        <v>77.741666666666674</v>
      </c>
      <c r="FL111" s="47">
        <f t="shared" si="219"/>
        <v>0</v>
      </c>
      <c r="FM111" s="47">
        <f t="shared" si="220"/>
        <v>63.241666666666674</v>
      </c>
      <c r="FN111" s="47">
        <f t="shared" si="221"/>
        <v>0</v>
      </c>
      <c r="FO111" s="765">
        <f t="shared" ca="1" si="222"/>
        <v>725.32225329261269</v>
      </c>
      <c r="FP111" s="765">
        <f t="shared" ca="1" si="223"/>
        <v>815.71070892504031</v>
      </c>
      <c r="FQ111" s="765">
        <f t="shared" ca="1" si="224"/>
        <v>2447.1690422657202</v>
      </c>
      <c r="FR111" s="765">
        <f t="shared" ca="1" si="225"/>
        <v>81474.453217159666</v>
      </c>
      <c r="FS111" s="765">
        <f t="shared" ca="1" si="226"/>
        <v>1675720.4630000016</v>
      </c>
      <c r="FT111" s="765">
        <f t="shared" ca="1" si="227"/>
        <v>5764204.2763694962</v>
      </c>
      <c r="FU111" s="765">
        <f t="shared" si="228"/>
        <v>35.218615133570744</v>
      </c>
      <c r="FV111" s="765">
        <f t="shared" si="229"/>
        <v>71.501747953879814</v>
      </c>
      <c r="FW111" s="765">
        <f t="shared" si="230"/>
        <v>501.47169484361791</v>
      </c>
      <c r="FX111" s="765">
        <f t="shared" ca="1" si="231"/>
        <v>697.89121023719213</v>
      </c>
      <c r="FY111" s="765">
        <f t="shared" ca="1" si="232"/>
        <v>3026.6831708451746</v>
      </c>
      <c r="FZ111" s="765">
        <f t="shared" ca="1" si="233"/>
        <v>77411.521977137279</v>
      </c>
      <c r="GA111" s="765">
        <f t="shared" si="234"/>
        <v>111685.65666666666</v>
      </c>
      <c r="GB111" s="765">
        <f t="shared" si="235"/>
        <v>24.52294298470321</v>
      </c>
      <c r="GC111" s="765">
        <f t="shared" si="236"/>
        <v>55.19206268484173</v>
      </c>
      <c r="GD111" s="765">
        <f t="shared" si="237"/>
        <v>404.91473945409433</v>
      </c>
    </row>
    <row r="112" spans="1:186">
      <c r="A112" s="4">
        <v>45352</v>
      </c>
      <c r="B112" s="6">
        <v>2024</v>
      </c>
      <c r="C112" s="5">
        <v>3</v>
      </c>
      <c r="D112" s="7">
        <v>83197430.367285669</v>
      </c>
      <c r="E112" s="7">
        <f ca="1">IFERROR(VLOOKUP($B112-1,CDM!$V$4:$AJ$17,2,FALSE)/12,0)+IFERROR(VLOOKUP($B112,CDM!$V$41:$AJ$54,2,FALSE)/24,0)+IFERROR(VLOOKUP($B112,CDM!$V$41:$AJ$54,2,FALSE)/2*$C112/78,0)</f>
        <v>3972148.3895883835</v>
      </c>
      <c r="F112" s="7">
        <f t="shared" ca="1" si="169"/>
        <v>87169578.756874055</v>
      </c>
      <c r="G112" s="7">
        <f>IFERROR(HLOOKUP(B112-1,'EV Forecast VRZ'!$F$124:$T$130,2,FALSE)/12,0)+IFERROR(((HLOOKUP(B112,'EV Forecast VRZ'!$F$116:$T$122,2,FALSE)-HLOOKUP(B112-1,'EV Forecast VRZ'!$F$124:$T$130,2,FALSE)))*C112/78,0)</f>
        <v>1097763.5446214168</v>
      </c>
      <c r="H112" s="7">
        <f ca="1">HLOOKUP(B112,Heating!$C$102:$O$106,2,FALSE)*INDEX(Weather!$BO$1:$CB$20,MATCH(B112,Weather!$BO$1:$BO$20,0),MATCH(C112,Weather!$BO$1:$CB$1,0))/VLOOKUP(B112,Weather!$BO$2:$CB$20,14,FALSE)*
VLOOKUP('Monthly Data'!$B112,Weather!$BO$3:$CB$20,14,FALSE)/Weather!$CB$14</f>
        <v>1834456.2461916311</v>
      </c>
      <c r="I112" s="7">
        <f t="shared" ca="1" si="170"/>
        <v>84237358.966060996</v>
      </c>
      <c r="J112" s="7">
        <v>1149717.8565524095</v>
      </c>
      <c r="K112" s="7">
        <f ca="1">IFERROR(VLOOKUP($B112-1,CDM!$V$4:$AJ$17,3,FALSE)/12,0)+IFERROR(VLOOKUP($B112,CDM!$V$41:$AJ$54,3,FALSE)/24,0)+IFERROR(VLOOKUP($B112,CDM!$V$41:$AJ$54,3,FALSE)/2*$C112/78,0)</f>
        <v>45495.782183670686</v>
      </c>
      <c r="L112" s="7">
        <f t="shared" ca="1" si="242"/>
        <v>1195213.6387360801</v>
      </c>
      <c r="M112" s="7">
        <f>IFERROR(HLOOKUP(B112-1,'EV Forecast VRZ'!$F$124:$T$130,3,FALSE)/12,0)+IFERROR(((HLOOKUP(B112,'EV Forecast VRZ'!$F$116:$T$122,3,FALSE)-HLOOKUP(B112-1,'EV Forecast VRZ'!$F$124:$T$130,3,FALSE)))*C112/78,0)</f>
        <v>14934.416917044644</v>
      </c>
      <c r="N112" s="7">
        <f ca="1">HLOOKUP(B112,Heating!$C$102:$O$106,3,FALSE)*INDEX(Weather!$BO$1:$CB$20,MATCH(B112,Weather!$BO$1:$BO$20,0),MATCH(C112,Weather!$BO$1:$CB$1,0))/VLOOKUP(B112,Weather!$BO$2:$CB$20,14,FALSE)*
VLOOKUP('Monthly Data'!$B112,Weather!$BO$3:$CB$20,14,FALSE)/Weather!$CB$14</f>
        <v>21679.020530671234</v>
      </c>
      <c r="O112" s="7">
        <f t="shared" ca="1" si="172"/>
        <v>1158600.2012883641</v>
      </c>
      <c r="P112" s="7">
        <v>21526095.77050988</v>
      </c>
      <c r="Q112" s="7">
        <f ca="1">IFERROR(VLOOKUP($B112-1,CDM!$V$4:$AJ$17,4,FALSE)/12,0)+IFERROR(VLOOKUP($B112,CDM!$V$41:$AJ$54,4,FALSE)/24,0)+IFERROR(VLOOKUP($B112,CDM!$V$41:$AJ$54,4,FALSE)/2*$C112/78,0)</f>
        <v>1676651.67683517</v>
      </c>
      <c r="R112" s="7">
        <f t="shared" ca="1" si="243"/>
        <v>23202747.447345048</v>
      </c>
      <c r="S112" s="7">
        <f>IFERROR(HLOOKUP(B112-1,'EV Forecast VRZ'!$F$124:$T$130,4,FALSE)/12,0)+IFERROR(((HLOOKUP(B112,'EV Forecast VRZ'!$F$116:$T$122,4,FALSE)-HLOOKUP(B112-1,'EV Forecast VRZ'!$F$124:$T$130,4,FALSE)))*C112/78,0)</f>
        <v>138710.84615384616</v>
      </c>
      <c r="T112" s="7">
        <f ca="1">HLOOKUP(B112,Heating!$C$102:$O$106,4,FALSE)*INDEX(Weather!$BO$1:$CB$20,MATCH(B112,Weather!$BO$1:$BO$20,0),MATCH(C112,Weather!$BO$1:$CB$1,0))/VLOOKUP(B112,Weather!$BO$2:$CB$20,14,FALSE)*
VLOOKUP('Monthly Data'!$B112,Weather!$BO$3:$CB$20,14,FALSE)/Weather!$CB$14</f>
        <v>439637.59262739803</v>
      </c>
      <c r="U112" s="7">
        <f t="shared" ca="1" si="174"/>
        <v>22624399.008563802</v>
      </c>
      <c r="V112" s="7">
        <v>80171761.096588001</v>
      </c>
      <c r="W112" s="7">
        <f ca="1">IFERROR(VLOOKUP($B112-1,CDM!$V$4:$AJ$17,5,FALSE)/12,0)+IFERROR(VLOOKUP($B112,CDM!$V$41:$AJ$54,5,FALSE)/24,0)+IFERROR(VLOOKUP($B112,CDM!$V$41:$AJ$54,5,FALSE)/2*$C112/78,0)</f>
        <v>6849726.6379530588</v>
      </c>
      <c r="X112" s="7">
        <f t="shared" ca="1" si="244"/>
        <v>87021487.734541059</v>
      </c>
      <c r="Y112" s="7">
        <f>IFERROR(HLOOKUP(B112-1,'EV Forecast VRZ'!$F$124:$T$130,5,FALSE)/12,0)+IFERROR(((HLOOKUP(B112,'EV Forecast VRZ'!$F$116:$T$122,5,FALSE)-HLOOKUP(B112-1,'EV Forecast VRZ'!$F$124:$T$130,5,FALSE)))*C112/78,0)</f>
        <v>64964.11153846154</v>
      </c>
      <c r="Z112" s="7">
        <f ca="1">HLOOKUP(B112,Heating!$C$102:$O$106,5,FALSE)*INDEX(Weather!$BO$1:$CB$20,MATCH(B112,Weather!$BO$1:$BO$20,0),MATCH(C112,Weather!$BO$1:$CB$1,0))/VLOOKUP(B112,Weather!$BO$2:$CB$20,14,FALSE)*
VLOOKUP('Monthly Data'!$B112,Weather!$BO$3:$CB$20,14,FALSE)/Weather!$CB$14</f>
        <v>228960.01861158933</v>
      </c>
      <c r="AA112" s="7">
        <f t="shared" ca="1" si="176"/>
        <v>86727563.604391009</v>
      </c>
      <c r="AB112" s="7">
        <v>8644703</v>
      </c>
      <c r="AC112" s="7">
        <f ca="1">IFERROR(VLOOKUP($B112-1,CDM!$V$4:$AJ$17,6,FALSE)/12,0)+IFERROR(VLOOKUP($B112,CDM!$V$41:$AJ$54,6,FALSE)/24,0)+IFERROR(VLOOKUP($B112,CDM!$V$41:$AJ$54,6,FALSE)/2*$C112/78,0)</f>
        <v>338591.92689209653</v>
      </c>
      <c r="AD112" s="7">
        <f t="shared" ca="1" si="245"/>
        <v>8983294.9268920962</v>
      </c>
      <c r="AE112" s="7">
        <f>IFERROR(HLOOKUP(B112-1,'EV Forecast VRZ'!$F$124:$T$130,6,FALSE)/12,0)+IFERROR(((HLOOKUP(B112,'EV Forecast VRZ'!$F$116:$T$122,6,FALSE)-HLOOKUP(B112-1,'EV Forecast VRZ'!$F$124:$T$130,6,FALSE)))*C112/78,0)</f>
        <v>8424.0038461538461</v>
      </c>
      <c r="AF112" s="7">
        <f t="shared" ca="1" si="178"/>
        <v>8974870.9230459426</v>
      </c>
      <c r="AG112" s="7">
        <v>27579024.226606</v>
      </c>
      <c r="AH112" s="7">
        <f ca="1">IFERROR(VLOOKUP($B112-1,CDM!$V$4:$AJ$17,7,FALSE)/12,0)+IFERROR(VLOOKUP($B112,CDM!$V$41:$AJ$54,7,FALSE)/24,0)+IFERROR(VLOOKUP($B112,CDM!$V$41:$AJ$54,7,FALSE)/2*$C112/78,0)</f>
        <v>2010142.3262454125</v>
      </c>
      <c r="AI112" s="7">
        <f t="shared" ca="1" si="246"/>
        <v>29589166.552851412</v>
      </c>
      <c r="AJ112" s="7">
        <f>IFERROR(HLOOKUP(B112-1,'EV Forecast VRZ'!$F$124:$T$130,7,FALSE)/12,0)+IFERROR(((HLOOKUP(B112,'EV Forecast VRZ'!$F$116:$T$122,7,FALSE)-HLOOKUP(B112-1,'EV Forecast VRZ'!$F$124:$T$130,7,FALSE)))*C112/78,0)</f>
        <v>965.38461538461536</v>
      </c>
      <c r="AK112" s="7">
        <f t="shared" ca="1" si="180"/>
        <v>29588201.168236028</v>
      </c>
      <c r="AL112" s="7">
        <v>1019766.83</v>
      </c>
      <c r="AM112" s="7">
        <v>18356.562530325464</v>
      </c>
      <c r="AN112" s="7">
        <v>395653.22</v>
      </c>
      <c r="AO112" s="5">
        <v>174929.31</v>
      </c>
      <c r="AP112" s="5">
        <v>17996.8</v>
      </c>
      <c r="AQ112" s="5">
        <v>43763.49</v>
      </c>
      <c r="AR112" s="5">
        <v>2625.92</v>
      </c>
      <c r="AS112" s="763">
        <f t="shared" ref="AS112:AS121" si="256">602/12</f>
        <v>50.166666666666664</v>
      </c>
      <c r="AT112" s="776">
        <v>116911.25</v>
      </c>
      <c r="AU112" s="776">
        <v>1563.0000000000002</v>
      </c>
      <c r="AV112" s="776">
        <v>9499.25</v>
      </c>
      <c r="AW112" s="776">
        <v>1049.4999999999998</v>
      </c>
      <c r="AX112" s="776">
        <v>5</v>
      </c>
      <c r="AY112" s="776">
        <v>5</v>
      </c>
      <c r="AZ112" s="776">
        <v>32532.499999999996</v>
      </c>
      <c r="BA112" s="776">
        <v>239.75000000000003</v>
      </c>
      <c r="BB112" s="776">
        <v>784.50000000000011</v>
      </c>
      <c r="BC112" s="779">
        <v>30183198.926285144</v>
      </c>
      <c r="BD112" s="779">
        <f ca="1">IFERROR(VLOOKUP($B112-1,CDM!$V$4:$AJ$17,11,FALSE)/12,0)+IFERROR(VLOOKUP($B112,CDM!$V$41:$AJ$54,11,FALSE)/24,0)+IFERROR(VLOOKUP($B112,CDM!$V$41:$AJ$54,11,FALSE)/2*$C112/78,0)</f>
        <v>1756606.1559874739</v>
      </c>
      <c r="BE112" s="779">
        <f t="shared" ca="1" si="192"/>
        <v>31939805.082272619</v>
      </c>
      <c r="BF112" s="779">
        <f>IFERROR(HLOOKUP(B112-1,'EV Forecast WRZ'!$F$124:$T$130,2,FALSE)/12,0)+IFERROR(((HLOOKUP(B112,'EV Forecast WRZ'!$F$116:$T$122,2,FALSE)-HLOOKUP(B112-1,'EV Forecast WRZ'!$F$124:$T$130,2,FALSE)))*C112/78,0)</f>
        <v>360404.89461538463</v>
      </c>
      <c r="BG112" s="779">
        <f ca="1">HLOOKUP(B112,Heating!$R$102:$AD$106,2,FALSE)*INDEX(Weather!$BO$1:$CB$20,MATCH(B112,Weather!$BO$1:$BO$20,0),MATCH(C112,Weather!$BO$1:$CB$1,0))/VLOOKUP(B112,Weather!$BO$2:$CB$20,14,FALSE)*
VLOOKUP('Monthly Data'!$B112,Weather!$BO$3:$CB$20,14,FALSE)/Weather!$CB$14</f>
        <v>806713.89757928613</v>
      </c>
      <c r="BH112" s="779">
        <f t="shared" ca="1" si="181"/>
        <v>30772686.290077947</v>
      </c>
      <c r="BI112" s="779">
        <v>7113330.9634937607</v>
      </c>
      <c r="BJ112" s="779">
        <f ca="1">IFERROR(VLOOKUP($B112-1,CDM!$V$4:$AJ$17,12,FALSE)/12,0)+IFERROR(VLOOKUP($B112,CDM!$V$41:$AJ$54,12,FALSE)/24,0)+IFERROR(VLOOKUP($B112,CDM!$V$41:$AJ$54,12,FALSE)/2*$C112/78,0)</f>
        <v>312509.68345000764</v>
      </c>
      <c r="BK112" s="779">
        <f t="shared" ca="1" si="247"/>
        <v>7425840.6469437685</v>
      </c>
      <c r="BL112" s="779">
        <f>IFERROR(HLOOKUP(B112-1,'EV Forecast WRZ'!$F$124:$T$130,3,FALSE)/12,0)+IFERROR(((HLOOKUP(B112,'EV Forecast WRZ'!$F$116:$T$122,3,FALSE)-HLOOKUP(B112-1,'EV Forecast WRZ'!$F$124:$T$130,3,FALSE)))*C112/78,0)</f>
        <v>46930.213846153856</v>
      </c>
      <c r="BM112" s="779">
        <f ca="1">HLOOKUP(B112,Heating!$R$102:$AD$106,4,FALSE)*INDEX(Weather!$BO$1:$CB$20,MATCH(B112,Weather!$BO$1:$BO$20,0),MATCH(C112,Weather!$BO$1:$CB$1,0))/VLOOKUP(B112,Weather!$BO$2:$CB$20,14,FALSE)*
VLOOKUP('Monthly Data'!$B112,Weather!$BO$3:$CB$20,14,FALSE)/Weather!$CB$14</f>
        <v>128056.96604338542</v>
      </c>
      <c r="BN112" s="779">
        <f t="shared" ca="1" si="183"/>
        <v>7250853.4670542292</v>
      </c>
      <c r="BO112" s="779">
        <v>27405736</v>
      </c>
      <c r="BP112" s="779">
        <f ca="1">IFERROR(VLOOKUP($B112-1,CDM!$V$4:$AJ$17,13,FALSE)/12,0)+IFERROR(VLOOKUP($B112,CDM!$V$41:$AJ$54,13,FALSE)/24,0)+IFERROR(VLOOKUP($B112,CDM!$V$41:$AJ$54,13,FALSE)/2*$C112/78,0)</f>
        <v>2957363.224236419</v>
      </c>
      <c r="BQ112" s="779">
        <f t="shared" ca="1" si="248"/>
        <v>30363099.224236418</v>
      </c>
      <c r="BR112" s="779">
        <f>IFERROR(HLOOKUP(B112-1,'EV Forecast WRZ'!$F$124:$T$130,4,FALSE)/12,0)+IFERROR(((HLOOKUP(B112,'EV Forecast WRZ'!$F$116:$T$122,4,FALSE)-HLOOKUP(B112-1,'EV Forecast WRZ'!$F$124:$T$130,4,FALSE)))*C112/78,0)</f>
        <v>20918.820589743591</v>
      </c>
      <c r="BS112" s="779">
        <f ca="1">HLOOKUP(B112,Heating!$R$102:$AD$106,5,FALSE)*INDEX(Weather!$BO$1:$CB$20,MATCH(B112,Weather!$BO$1:$BO$20,0),MATCH(C112,Weather!$BO$1:$CB$1,0))/VLOOKUP(B112,Weather!$BO$2:$CB$20,14,FALSE)*
VLOOKUP('Monthly Data'!$B112,Weather!$BO$3:$CB$20,14,FALSE)/Weather!$CB$14</f>
        <v>67785.862023751906</v>
      </c>
      <c r="BT112" s="779">
        <f t="shared" ca="1" si="185"/>
        <v>30274394.541622922</v>
      </c>
      <c r="BU112" s="779">
        <v>7411013.4900000002</v>
      </c>
      <c r="BV112" s="779">
        <f ca="1">IFERROR(VLOOKUP($B112-1,CDM!$V$4:$AJ$17,14,FALSE)/12,0)+IFERROR(VLOOKUP($B112,CDM!$V$41:$AJ$54,14,FALSE)/24,0)+IFERROR(VLOOKUP($B112,CDM!$V$41:$AJ$54,14,FALSE)/2*$C112/78,0)</f>
        <v>665055.84917885985</v>
      </c>
      <c r="BW112" s="779">
        <f t="shared" ca="1" si="249"/>
        <v>8076069.3391788602</v>
      </c>
      <c r="BX112" s="779">
        <f>IFERROR(HLOOKUP(B112-1,'EV Forecast WRZ'!$F$124:$T$130,5,FALSE)/12,0)+IFERROR(((HLOOKUP(B112,'EV Forecast WRZ'!$F$116:$T$122,5,FALSE)-HLOOKUP(B112-1,'EV Forecast WRZ'!$F$124:$T$130,5,FALSE)))*C112/78,0)</f>
        <v>3381.5427435897436</v>
      </c>
      <c r="BY112" s="779">
        <f t="shared" ca="1" si="193"/>
        <v>8072687.7964352705</v>
      </c>
      <c r="BZ112" s="779">
        <v>318320.12</v>
      </c>
      <c r="CA112" s="779">
        <v>2366.4247141675928</v>
      </c>
      <c r="CB112" s="5">
        <v>163707.53</v>
      </c>
      <c r="CC112" s="5">
        <v>60427.44</v>
      </c>
      <c r="CD112" s="5">
        <v>13607.04</v>
      </c>
      <c r="CE112" s="5">
        <v>822</v>
      </c>
      <c r="CF112" s="763">
        <f t="shared" si="252"/>
        <v>6.916666666666667</v>
      </c>
      <c r="CG112" s="785">
        <v>45414.75</v>
      </c>
      <c r="CH112" s="785">
        <v>2459.5</v>
      </c>
      <c r="CI112" s="785">
        <v>387.75</v>
      </c>
      <c r="CJ112" s="785">
        <v>3</v>
      </c>
      <c r="CK112" s="785">
        <v>13673</v>
      </c>
      <c r="CL112" s="785">
        <v>45.749999999999993</v>
      </c>
      <c r="CM112" s="785">
        <v>401.5</v>
      </c>
      <c r="CN112" s="46">
        <f>Weather!C124</f>
        <v>522.11249999999995</v>
      </c>
      <c r="CO112" s="46">
        <f>Weather!D124</f>
        <v>0</v>
      </c>
      <c r="CP112" s="46">
        <f>Weather!E124</f>
        <v>460.11250000000001</v>
      </c>
      <c r="CQ112" s="46">
        <f>Weather!F124</f>
        <v>0</v>
      </c>
      <c r="CR112" s="46">
        <f>Weather!G124</f>
        <v>398.11250000000001</v>
      </c>
      <c r="CS112" s="46">
        <f>Weather!H124</f>
        <v>0</v>
      </c>
      <c r="CT112" s="46">
        <f>Weather!I124</f>
        <v>336.11249999999995</v>
      </c>
      <c r="CU112" s="46">
        <f>Weather!J124</f>
        <v>0</v>
      </c>
      <c r="CV112" s="46">
        <f>Weather!K124</f>
        <v>274.11250000000001</v>
      </c>
      <c r="CW112" s="46">
        <f>Weather!L124</f>
        <v>0</v>
      </c>
      <c r="CX112" s="46">
        <f>Weather!M124</f>
        <v>212.11250000000004</v>
      </c>
      <c r="CY112" s="46">
        <f>Weather!N124</f>
        <v>0</v>
      </c>
      <c r="CZ112" s="46">
        <f>Weather!O124</f>
        <v>154.69166666666669</v>
      </c>
      <c r="DA112" s="46">
        <f>Weather!P124</f>
        <v>4.5791666666666657</v>
      </c>
      <c r="DB112" s="368">
        <f>'Economic Data'!D126</f>
        <v>8075.3</v>
      </c>
      <c r="DC112" s="368">
        <f>'Economic Data'!E126</f>
        <v>7988.6</v>
      </c>
      <c r="DD112" s="368">
        <f>'Economic Data'!F126</f>
        <v>244.6</v>
      </c>
      <c r="DE112" s="368">
        <f>'Economic Data'!G126</f>
        <v>244</v>
      </c>
      <c r="DF112" s="368">
        <f>'Economic Data'!H126</f>
        <v>42.2</v>
      </c>
      <c r="DG112" s="368">
        <f>'Economic Data'!I126</f>
        <v>42.2</v>
      </c>
      <c r="DH112" s="368">
        <f>'Economic Data'!J126</f>
        <v>876619.7</v>
      </c>
      <c r="DI112" s="368">
        <f>'Economic Data'!K126</f>
        <v>694601.3</v>
      </c>
      <c r="DJ112" s="368">
        <f>'Economic Data'!L126</f>
        <v>92436.4</v>
      </c>
      <c r="DK112" s="368">
        <f>'Economic Data'!M126</f>
        <v>33851.4</v>
      </c>
      <c r="DL112" s="368">
        <f>'Economic Data'!N126</f>
        <v>873665</v>
      </c>
      <c r="DM112" s="368">
        <f>'Economic Data'!O126</f>
        <v>94007</v>
      </c>
      <c r="DN112" s="368">
        <f>'Economic Data'!P126</f>
        <v>17303</v>
      </c>
      <c r="DO112" s="368">
        <f>'Economic Data'!Q126</f>
        <v>690531</v>
      </c>
      <c r="DP112" s="368">
        <f>'Economic Data'!R126</f>
        <v>33782</v>
      </c>
      <c r="DQ112">
        <v>31</v>
      </c>
      <c r="DR112">
        <v>20</v>
      </c>
      <c r="DS112">
        <f t="shared" ref="DS112:ED112" si="257">DS100</f>
        <v>0</v>
      </c>
      <c r="DT112">
        <f t="shared" si="257"/>
        <v>0</v>
      </c>
      <c r="DU112">
        <f t="shared" si="257"/>
        <v>1</v>
      </c>
      <c r="DV112">
        <f t="shared" si="257"/>
        <v>0</v>
      </c>
      <c r="DW112">
        <f t="shared" si="257"/>
        <v>0</v>
      </c>
      <c r="DX112">
        <f t="shared" si="257"/>
        <v>0</v>
      </c>
      <c r="DY112">
        <f t="shared" si="257"/>
        <v>0</v>
      </c>
      <c r="DZ112">
        <f t="shared" si="257"/>
        <v>0</v>
      </c>
      <c r="EA112">
        <f t="shared" si="257"/>
        <v>0</v>
      </c>
      <c r="EB112">
        <f t="shared" si="257"/>
        <v>0</v>
      </c>
      <c r="EC112">
        <f t="shared" si="257"/>
        <v>0</v>
      </c>
      <c r="ED112">
        <f t="shared" si="257"/>
        <v>0</v>
      </c>
      <c r="EE112">
        <f t="shared" ref="EE112:EF112" si="258">EE100</f>
        <v>1</v>
      </c>
      <c r="EF112">
        <f t="shared" si="258"/>
        <v>0</v>
      </c>
      <c r="EG112">
        <f t="shared" si="255"/>
        <v>1</v>
      </c>
      <c r="EH112">
        <f t="shared" si="189"/>
        <v>111</v>
      </c>
      <c r="EI112">
        <v>0</v>
      </c>
      <c r="EJ112">
        <v>0</v>
      </c>
      <c r="EK112">
        <v>0.25</v>
      </c>
      <c r="EL112">
        <v>0</v>
      </c>
      <c r="EM112" s="47">
        <f t="shared" si="194"/>
        <v>0</v>
      </c>
      <c r="EN112" s="47">
        <f t="shared" si="195"/>
        <v>0</v>
      </c>
      <c r="EO112" s="47">
        <f t="shared" si="196"/>
        <v>0</v>
      </c>
      <c r="EP112" s="47">
        <f t="shared" si="197"/>
        <v>0</v>
      </c>
      <c r="EQ112" s="47">
        <f t="shared" si="198"/>
        <v>0</v>
      </c>
      <c r="ER112" s="47">
        <f t="shared" si="199"/>
        <v>0</v>
      </c>
      <c r="ES112" s="47">
        <f t="shared" si="200"/>
        <v>0</v>
      </c>
      <c r="ET112" s="47">
        <f t="shared" si="201"/>
        <v>0</v>
      </c>
      <c r="EU112" s="47">
        <f t="shared" si="202"/>
        <v>0</v>
      </c>
      <c r="EV112" s="47">
        <f t="shared" si="203"/>
        <v>0</v>
      </c>
      <c r="EW112" s="47">
        <f t="shared" si="204"/>
        <v>0</v>
      </c>
      <c r="EX112" s="47">
        <f t="shared" si="205"/>
        <v>0</v>
      </c>
      <c r="EY112" s="47">
        <f t="shared" si="206"/>
        <v>0</v>
      </c>
      <c r="EZ112" s="47">
        <f t="shared" si="207"/>
        <v>0</v>
      </c>
      <c r="FA112" s="47">
        <f t="shared" si="208"/>
        <v>130.52812499999999</v>
      </c>
      <c r="FB112" s="47">
        <f t="shared" si="209"/>
        <v>0</v>
      </c>
      <c r="FC112" s="47">
        <f t="shared" si="210"/>
        <v>115.028125</v>
      </c>
      <c r="FD112" s="47">
        <f t="shared" si="211"/>
        <v>0</v>
      </c>
      <c r="FE112" s="47">
        <f t="shared" si="212"/>
        <v>99.528125000000003</v>
      </c>
      <c r="FF112" s="47">
        <f t="shared" si="213"/>
        <v>0</v>
      </c>
      <c r="FG112" s="47">
        <f t="shared" si="214"/>
        <v>84.028124999999989</v>
      </c>
      <c r="FH112" s="47">
        <f t="shared" si="215"/>
        <v>0</v>
      </c>
      <c r="FI112" s="47">
        <f t="shared" si="216"/>
        <v>68.528125000000003</v>
      </c>
      <c r="FJ112" s="47">
        <f t="shared" si="217"/>
        <v>0</v>
      </c>
      <c r="FK112" s="47">
        <f t="shared" si="218"/>
        <v>53.02812500000001</v>
      </c>
      <c r="FL112" s="47">
        <f t="shared" si="219"/>
        <v>0</v>
      </c>
      <c r="FM112" s="47">
        <f t="shared" si="220"/>
        <v>38.672916666666673</v>
      </c>
      <c r="FN112" s="47">
        <f t="shared" si="221"/>
        <v>1.1447916666666664</v>
      </c>
      <c r="FO112" s="765">
        <f t="shared" ca="1" si="222"/>
        <v>720.52397836872842</v>
      </c>
      <c r="FP112" s="765">
        <f t="shared" ca="1" si="223"/>
        <v>764.69202734234159</v>
      </c>
      <c r="FQ112" s="765">
        <f t="shared" ca="1" si="224"/>
        <v>2442.5873039813719</v>
      </c>
      <c r="FR112" s="765">
        <f t="shared" ca="1" si="225"/>
        <v>82917.091695608455</v>
      </c>
      <c r="FS112" s="765">
        <f t="shared" ca="1" si="226"/>
        <v>1796658.9853784193</v>
      </c>
      <c r="FT112" s="765">
        <f t="shared" ca="1" si="227"/>
        <v>5917833.3105702829</v>
      </c>
      <c r="FU112" s="765">
        <f t="shared" si="228"/>
        <v>31.346094828248678</v>
      </c>
      <c r="FV112" s="765">
        <f t="shared" si="229"/>
        <v>76.565432868927886</v>
      </c>
      <c r="FW112" s="765">
        <f t="shared" si="230"/>
        <v>504.33807520713822</v>
      </c>
      <c r="FX112" s="765">
        <f t="shared" ca="1" si="231"/>
        <v>703.29144346875455</v>
      </c>
      <c r="FY112" s="765">
        <f t="shared" ca="1" si="232"/>
        <v>3019.2480776351977</v>
      </c>
      <c r="FZ112" s="765">
        <f t="shared" ca="1" si="233"/>
        <v>78305.865181783156</v>
      </c>
      <c r="GA112" s="765">
        <f t="shared" si="234"/>
        <v>106106.70666666667</v>
      </c>
      <c r="GB112" s="765">
        <f t="shared" si="235"/>
        <v>23.280927375118846</v>
      </c>
      <c r="GC112" s="765">
        <f t="shared" si="236"/>
        <v>51.725130364318979</v>
      </c>
      <c r="GD112" s="765">
        <f t="shared" si="237"/>
        <v>407.73980074719799</v>
      </c>
    </row>
    <row r="113" spans="1:186">
      <c r="A113" s="4">
        <v>45383</v>
      </c>
      <c r="B113" s="6">
        <v>2024</v>
      </c>
      <c r="C113" s="5">
        <v>4</v>
      </c>
      <c r="D113" s="7">
        <v>72744099.262740344</v>
      </c>
      <c r="E113" s="7">
        <f ca="1">IFERROR(VLOOKUP($B113-1,CDM!$V$4:$AJ$17,2,FALSE)/12,0)+IFERROR(VLOOKUP($B113,CDM!$V$41:$AJ$54,2,FALSE)/24,0)+IFERROR(VLOOKUP($B113,CDM!$V$41:$AJ$54,2,FALSE)/2*$C113/78,0)</f>
        <v>3985114.1688890737</v>
      </c>
      <c r="F113" s="7">
        <f t="shared" ca="1" si="169"/>
        <v>76729213.431629419</v>
      </c>
      <c r="G113" s="7">
        <f>IFERROR(HLOOKUP(B113-1,'EV Forecast VRZ'!$F$124:$T$130,2,FALSE)/12,0)+IFERROR(((HLOOKUP(B113,'EV Forecast VRZ'!$F$116:$T$122,2,FALSE)-HLOOKUP(B113-1,'EV Forecast VRZ'!$F$124:$T$130,2,FALSE)))*C113/78,0)</f>
        <v>1129530.9732543337</v>
      </c>
      <c r="H113" s="7">
        <f ca="1">HLOOKUP(B113,Heating!$C$102:$O$106,2,FALSE)*INDEX(Weather!$BO$1:$CB$20,MATCH(B113,Weather!$BO$1:$BO$20,0),MATCH(C113,Weather!$BO$1:$CB$1,0))/VLOOKUP(B113,Weather!$BO$2:$CB$20,14,FALSE)*
VLOOKUP('Monthly Data'!$B113,Weather!$BO$3:$CB$20,14,FALSE)/Weather!$CB$14</f>
        <v>1229175.5579712214</v>
      </c>
      <c r="I113" s="7">
        <f t="shared" ca="1" si="170"/>
        <v>74370506.900403857</v>
      </c>
      <c r="J113" s="7">
        <v>884702.4387373504</v>
      </c>
      <c r="K113" s="7">
        <f ca="1">IFERROR(VLOOKUP($B113-1,CDM!$V$4:$AJ$17,3,FALSE)/12,0)+IFERROR(VLOOKUP($B113,CDM!$V$41:$AJ$54,3,FALSE)/24,0)+IFERROR(VLOOKUP($B113,CDM!$V$41:$AJ$54,3,FALSE)/2*$C113/78,0)</f>
        <v>45644.254050758456</v>
      </c>
      <c r="L113" s="7">
        <f t="shared" ca="1" si="242"/>
        <v>930346.69278810883</v>
      </c>
      <c r="M113" s="7">
        <f>IFERROR(HLOOKUP(B113-1,'EV Forecast VRZ'!$F$124:$T$130,3,FALSE)/12,0)+IFERROR(((HLOOKUP(B113,'EV Forecast VRZ'!$F$116:$T$122,3,FALSE)-HLOOKUP(B113-1,'EV Forecast VRZ'!$F$124:$T$130,3,FALSE)))*C113/78,0)</f>
        <v>15366.593796948282</v>
      </c>
      <c r="N113" s="7">
        <f ca="1">HLOOKUP(B113,Heating!$C$102:$O$106,3,FALSE)*INDEX(Weather!$BO$1:$CB$20,MATCH(B113,Weather!$BO$1:$BO$20,0),MATCH(C113,Weather!$BO$1:$CB$1,0))/VLOOKUP(B113,Weather!$BO$2:$CB$20,14,FALSE)*
VLOOKUP('Monthly Data'!$B113,Weather!$BO$3:$CB$20,14,FALSE)/Weather!$CB$14</f>
        <v>14526.005846352435</v>
      </c>
      <c r="O113" s="7">
        <f t="shared" ca="1" si="172"/>
        <v>900454.09314480808</v>
      </c>
      <c r="P113" s="7">
        <v>19624330.972720526</v>
      </c>
      <c r="Q113" s="7">
        <f ca="1">IFERROR(VLOOKUP($B113-1,CDM!$V$4:$AJ$17,4,FALSE)/12,0)+IFERROR(VLOOKUP($B113,CDM!$V$41:$AJ$54,4,FALSE)/24,0)+IFERROR(VLOOKUP($B113,CDM!$V$41:$AJ$54,4,FALSE)/2*$C113/78,0)</f>
        <v>1686518.510300338</v>
      </c>
      <c r="R113" s="7">
        <f t="shared" ca="1" si="243"/>
        <v>21310849.483020864</v>
      </c>
      <c r="S113" s="7">
        <f>IFERROR(HLOOKUP(B113-1,'EV Forecast VRZ'!$F$124:$T$130,4,FALSE)/12,0)+IFERROR(((HLOOKUP(B113,'EV Forecast VRZ'!$F$116:$T$122,4,FALSE)-HLOOKUP(B113-1,'EV Forecast VRZ'!$F$124:$T$130,4,FALSE)))*C113/78,0)</f>
        <v>142997.33820512821</v>
      </c>
      <c r="T113" s="7">
        <f ca="1">HLOOKUP(B113,Heating!$C$102:$O$106,4,FALSE)*INDEX(Weather!$BO$1:$CB$20,MATCH(B113,Weather!$BO$1:$BO$20,0),MATCH(C113,Weather!$BO$1:$CB$1,0))/VLOOKUP(B113,Weather!$BO$2:$CB$20,14,FALSE)*
VLOOKUP('Monthly Data'!$B113,Weather!$BO$3:$CB$20,14,FALSE)/Weather!$CB$14</f>
        <v>294578.72562770086</v>
      </c>
      <c r="U113" s="7">
        <f t="shared" ca="1" si="174"/>
        <v>20873273.419188034</v>
      </c>
      <c r="V113" s="7">
        <v>76518544.463627994</v>
      </c>
      <c r="W113" s="7">
        <f ca="1">IFERROR(VLOOKUP($B113-1,CDM!$V$4:$AJ$17,5,FALSE)/12,0)+IFERROR(VLOOKUP($B113,CDM!$V$41:$AJ$54,5,FALSE)/24,0)+IFERROR(VLOOKUP($B113,CDM!$V$41:$AJ$54,5,FALSE)/2*$C113/78,0)</f>
        <v>6885537.8714523446</v>
      </c>
      <c r="X113" s="7">
        <f t="shared" ca="1" si="244"/>
        <v>83404082.335080341</v>
      </c>
      <c r="Y113" s="7">
        <f>IFERROR(HLOOKUP(B113-1,'EV Forecast VRZ'!$F$124:$T$130,5,FALSE)/12,0)+IFERROR(((HLOOKUP(B113,'EV Forecast VRZ'!$F$116:$T$122,5,FALSE)-HLOOKUP(B113-1,'EV Forecast VRZ'!$F$124:$T$130,5,FALSE)))*C113/78,0)</f>
        <v>67108.609884615376</v>
      </c>
      <c r="Z113" s="7">
        <f ca="1">HLOOKUP(B113,Heating!$C$102:$O$106,5,FALSE)*INDEX(Weather!$BO$1:$CB$20,MATCH(B113,Weather!$BO$1:$BO$20,0),MATCH(C113,Weather!$BO$1:$CB$1,0))/VLOOKUP(B113,Weather!$BO$2:$CB$20,14,FALSE)*
VLOOKUP('Monthly Data'!$B113,Weather!$BO$3:$CB$20,14,FALSE)/Weather!$CB$14</f>
        <v>153414.42959692297</v>
      </c>
      <c r="AA113" s="7">
        <f t="shared" ca="1" si="176"/>
        <v>83183559.295598805</v>
      </c>
      <c r="AB113" s="7">
        <v>8455543.9499999993</v>
      </c>
      <c r="AC113" s="7">
        <f ca="1">IFERROR(VLOOKUP($B113-1,CDM!$V$4:$AJ$17,6,FALSE)/12,0)+IFERROR(VLOOKUP($B113,CDM!$V$41:$AJ$54,6,FALSE)/24,0)+IFERROR(VLOOKUP($B113,CDM!$V$41:$AJ$54,6,FALSE)/2*$C113/78,0)</f>
        <v>342286.06878418557</v>
      </c>
      <c r="AD113" s="7">
        <f t="shared" ca="1" si="245"/>
        <v>8797830.018784184</v>
      </c>
      <c r="AE113" s="7">
        <f>IFERROR(HLOOKUP(B113-1,'EV Forecast VRZ'!$F$124:$T$130,6,FALSE)/12,0)+IFERROR(((HLOOKUP(B113,'EV Forecast VRZ'!$F$116:$T$122,6,FALSE)-HLOOKUP(B113-1,'EV Forecast VRZ'!$F$124:$T$130,6,FALSE)))*C113/78,0)</f>
        <v>8704.4822948717956</v>
      </c>
      <c r="AF113" s="7">
        <f t="shared" ca="1" si="178"/>
        <v>8789125.5364893116</v>
      </c>
      <c r="AG113" s="7">
        <v>22522379.847692002</v>
      </c>
      <c r="AH113" s="7">
        <f ca="1">IFERROR(VLOOKUP($B113-1,CDM!$V$4:$AJ$17,7,FALSE)/12,0)+IFERROR(VLOOKUP($B113,CDM!$V$41:$AJ$54,7,FALSE)/24,0)+IFERROR(VLOOKUP($B113,CDM!$V$41:$AJ$54,7,FALSE)/2*$C113/78,0)</f>
        <v>2025409.7940893427</v>
      </c>
      <c r="AI113" s="7">
        <f t="shared" ca="1" si="246"/>
        <v>24547789.641781345</v>
      </c>
      <c r="AJ113" s="7">
        <f>IFERROR(HLOOKUP(B113-1,'EV Forecast VRZ'!$F$124:$T$130,7,FALSE)/12,0)+IFERROR(((HLOOKUP(B113,'EV Forecast VRZ'!$F$116:$T$122,7,FALSE)-HLOOKUP(B113-1,'EV Forecast VRZ'!$F$124:$T$130,7,FALSE)))*C113/78,0)</f>
        <v>1053.8461538461538</v>
      </c>
      <c r="AK113" s="7">
        <f t="shared" ca="1" si="180"/>
        <v>24546735.795627497</v>
      </c>
      <c r="AL113" s="7">
        <v>870617.57</v>
      </c>
      <c r="AM113" s="7">
        <v>17764.42544072459</v>
      </c>
      <c r="AN113" s="7">
        <v>395295.31</v>
      </c>
      <c r="AO113" s="5">
        <v>173823.61</v>
      </c>
      <c r="AP113" s="5">
        <v>17493.3</v>
      </c>
      <c r="AQ113" s="5">
        <v>42085.08</v>
      </c>
      <c r="AR113" s="5">
        <v>2636.85</v>
      </c>
      <c r="AS113" s="763">
        <f t="shared" si="256"/>
        <v>50.166666666666664</v>
      </c>
      <c r="AT113" s="776">
        <v>117067</v>
      </c>
      <c r="AU113" s="776">
        <v>1562.666666666667</v>
      </c>
      <c r="AV113" s="776">
        <v>9500</v>
      </c>
      <c r="AW113" s="776">
        <v>1052.333333333333</v>
      </c>
      <c r="AX113" s="776">
        <v>5</v>
      </c>
      <c r="AY113" s="776">
        <v>5</v>
      </c>
      <c r="AZ113" s="776">
        <v>32585.333333333328</v>
      </c>
      <c r="BA113" s="776">
        <v>239.33333333333337</v>
      </c>
      <c r="BB113" s="776">
        <v>780.33333333333348</v>
      </c>
      <c r="BC113" s="779">
        <v>27306509.507999428</v>
      </c>
      <c r="BD113" s="779">
        <f ca="1">IFERROR(VLOOKUP($B113-1,CDM!$V$4:$AJ$17,11,FALSE)/12,0)+IFERROR(VLOOKUP($B113,CDM!$V$41:$AJ$54,11,FALSE)/24,0)+IFERROR(VLOOKUP($B113,CDM!$V$41:$AJ$54,11,FALSE)/2*$C113/78,0)</f>
        <v>1761906.9652347916</v>
      </c>
      <c r="BE113" s="779">
        <f t="shared" ca="1" si="192"/>
        <v>29068416.473234218</v>
      </c>
      <c r="BF113" s="779">
        <f>IFERROR(HLOOKUP(B113-1,'EV Forecast WRZ'!$F$124:$T$130,2,FALSE)/12,0)+IFERROR(((HLOOKUP(B113,'EV Forecast WRZ'!$F$116:$T$122,2,FALSE)-HLOOKUP(B113-1,'EV Forecast WRZ'!$F$124:$T$130,2,FALSE)))*C113/78,0)</f>
        <v>372888.2528205128</v>
      </c>
      <c r="BG113" s="779">
        <f ca="1">HLOOKUP(B113,Heating!$R$102:$AD$106,2,FALSE)*INDEX(Weather!$BO$1:$CB$20,MATCH(B113,Weather!$BO$1:$BO$20,0),MATCH(C113,Weather!$BO$1:$CB$1,0))/VLOOKUP(B113,Weather!$BO$2:$CB$20,14,FALSE)*
VLOOKUP('Monthly Data'!$B113,Weather!$BO$3:$CB$20,14,FALSE)/Weather!$CB$14</f>
        <v>540537.83361621469</v>
      </c>
      <c r="BH113" s="779">
        <f t="shared" ca="1" si="181"/>
        <v>28154990.386797488</v>
      </c>
      <c r="BI113" s="779">
        <v>6518960.176282322</v>
      </c>
      <c r="BJ113" s="779">
        <f ca="1">IFERROR(VLOOKUP($B113-1,CDM!$V$4:$AJ$17,12,FALSE)/12,0)+IFERROR(VLOOKUP($B113,CDM!$V$41:$AJ$54,12,FALSE)/24,0)+IFERROR(VLOOKUP($B113,CDM!$V$41:$AJ$54,12,FALSE)/2*$C113/78,0)</f>
        <v>315557.09878158302</v>
      </c>
      <c r="BK113" s="779">
        <f t="shared" ca="1" si="247"/>
        <v>6834517.2750639049</v>
      </c>
      <c r="BL113" s="779">
        <f>IFERROR(HLOOKUP(B113-1,'EV Forecast WRZ'!$F$124:$T$130,3,FALSE)/12,0)+IFERROR(((HLOOKUP(B113,'EV Forecast WRZ'!$F$116:$T$122,3,FALSE)-HLOOKUP(B113-1,'EV Forecast WRZ'!$F$124:$T$130,3,FALSE)))*C113/78,0)</f>
        <v>48887.645128205135</v>
      </c>
      <c r="BM113" s="779">
        <f ca="1">HLOOKUP(B113,Heating!$R$102:$AD$106,4,FALSE)*INDEX(Weather!$BO$1:$CB$20,MATCH(B113,Weather!$BO$1:$BO$20,0),MATCH(C113,Weather!$BO$1:$CB$1,0))/VLOOKUP(B113,Weather!$BO$2:$CB$20,14,FALSE)*
VLOOKUP('Monthly Data'!$B113,Weather!$BO$3:$CB$20,14,FALSE)/Weather!$CB$14</f>
        <v>85804.440970044932</v>
      </c>
      <c r="BN113" s="779">
        <f t="shared" ca="1" si="183"/>
        <v>6699825.1889656549</v>
      </c>
      <c r="BO113" s="779">
        <v>25571685.25</v>
      </c>
      <c r="BP113" s="779">
        <f ca="1">IFERROR(VLOOKUP($B113-1,CDM!$V$4:$AJ$17,13,FALSE)/12,0)+IFERROR(VLOOKUP($B113,CDM!$V$41:$AJ$54,13,FALSE)/24,0)+IFERROR(VLOOKUP($B113,CDM!$V$41:$AJ$54,13,FALSE)/2*$C113/78,0)</f>
        <v>2978011.5223321416</v>
      </c>
      <c r="BQ113" s="779">
        <f t="shared" ca="1" si="248"/>
        <v>28549696.772332143</v>
      </c>
      <c r="BR113" s="779">
        <f>IFERROR(HLOOKUP(B113-1,'EV Forecast WRZ'!$F$124:$T$130,4,FALSE)/12,0)+IFERROR(((HLOOKUP(B113,'EV Forecast WRZ'!$F$116:$T$122,4,FALSE)-HLOOKUP(B113-1,'EV Forecast WRZ'!$F$124:$T$130,4,FALSE)))*C113/78,0)</f>
        <v>21767.517230769234</v>
      </c>
      <c r="BS113" s="779">
        <f ca="1">HLOOKUP(B113,Heating!$R$102:$AD$106,5,FALSE)*INDEX(Weather!$BO$1:$CB$20,MATCH(B113,Weather!$BO$1:$BO$20,0),MATCH(C113,Weather!$BO$1:$CB$1,0))/VLOOKUP(B113,Weather!$BO$2:$CB$20,14,FALSE)*
VLOOKUP('Monthly Data'!$B113,Weather!$BO$3:$CB$20,14,FALSE)/Weather!$CB$14</f>
        <v>45419.848496567312</v>
      </c>
      <c r="BT113" s="779">
        <f t="shared" ca="1" si="185"/>
        <v>28482509.406604808</v>
      </c>
      <c r="BU113" s="779">
        <v>6467912.1900000004</v>
      </c>
      <c r="BV113" s="779">
        <f ca="1">IFERROR(VLOOKUP($B113-1,CDM!$V$4:$AJ$17,14,FALSE)/12,0)+IFERROR(VLOOKUP($B113,CDM!$V$41:$AJ$54,14,FALSE)/24,0)+IFERROR(VLOOKUP($B113,CDM!$V$41:$AJ$54,14,FALSE)/2*$C113/78,0)</f>
        <v>669704.81863297708</v>
      </c>
      <c r="BW113" s="779">
        <f t="shared" ca="1" si="249"/>
        <v>7137617.0086329775</v>
      </c>
      <c r="BX113" s="779">
        <f>IFERROR(HLOOKUP(B113-1,'EV Forecast WRZ'!$F$124:$T$130,5,FALSE)/12,0)+IFERROR(((HLOOKUP(B113,'EV Forecast WRZ'!$F$116:$T$122,5,FALSE)-HLOOKUP(B113-1,'EV Forecast WRZ'!$F$124:$T$130,5,FALSE)))*C113/78,0)</f>
        <v>3583.0361025641023</v>
      </c>
      <c r="BY113" s="779">
        <f t="shared" ca="1" si="193"/>
        <v>7134033.9725304134</v>
      </c>
      <c r="BZ113" s="779">
        <v>270637.33</v>
      </c>
      <c r="CA113" s="779">
        <v>2529.636206388579</v>
      </c>
      <c r="CB113" s="5">
        <v>163707.53</v>
      </c>
      <c r="CC113" s="5">
        <v>59149.2</v>
      </c>
      <c r="CD113" s="5">
        <v>13809.42</v>
      </c>
      <c r="CE113" s="5">
        <v>822</v>
      </c>
      <c r="CF113" s="763">
        <f t="shared" si="252"/>
        <v>6.916666666666667</v>
      </c>
      <c r="CG113" s="785">
        <v>45445</v>
      </c>
      <c r="CH113" s="785">
        <v>2461</v>
      </c>
      <c r="CI113" s="785">
        <v>388</v>
      </c>
      <c r="CJ113" s="785">
        <v>3</v>
      </c>
      <c r="CK113" s="785">
        <v>13683</v>
      </c>
      <c r="CL113" s="785">
        <v>45.666666666666657</v>
      </c>
      <c r="CM113" s="785">
        <v>400</v>
      </c>
      <c r="CN113" s="46">
        <f>Weather!C125</f>
        <v>368.29791666666671</v>
      </c>
      <c r="CO113" s="46">
        <f>Weather!D125</f>
        <v>0</v>
      </c>
      <c r="CP113" s="46">
        <f>Weather!E125</f>
        <v>308.29791666666665</v>
      </c>
      <c r="CQ113" s="46">
        <f>Weather!F125</f>
        <v>0</v>
      </c>
      <c r="CR113" s="46">
        <f>Weather!G125</f>
        <v>248.29791666666665</v>
      </c>
      <c r="CS113" s="46">
        <f>Weather!H125</f>
        <v>0</v>
      </c>
      <c r="CT113" s="46">
        <f>Weather!I125</f>
        <v>188.29791666666671</v>
      </c>
      <c r="CU113" s="46">
        <f>Weather!J125</f>
        <v>0</v>
      </c>
      <c r="CV113" s="46">
        <f>Weather!K125</f>
        <v>130.68125000000001</v>
      </c>
      <c r="CW113" s="46">
        <f>Weather!L125</f>
        <v>2.3833333333333346</v>
      </c>
      <c r="CX113" s="46">
        <f>Weather!M125</f>
        <v>78.922916666666652</v>
      </c>
      <c r="CY113" s="46">
        <f>Weather!N125</f>
        <v>10.625</v>
      </c>
      <c r="CZ113" s="46">
        <f>Weather!O125</f>
        <v>41.093749999999993</v>
      </c>
      <c r="DA113" s="46">
        <f>Weather!P125</f>
        <v>32.795833333333334</v>
      </c>
      <c r="DB113" s="368">
        <f>'Economic Data'!D127</f>
        <v>8093.4</v>
      </c>
      <c r="DC113" s="368">
        <f>'Economic Data'!E127</f>
        <v>8033.3</v>
      </c>
      <c r="DD113" s="368">
        <f>'Economic Data'!F127</f>
        <v>246.7</v>
      </c>
      <c r="DE113" s="368">
        <f>'Economic Data'!G127</f>
        <v>246.5</v>
      </c>
      <c r="DF113" s="368">
        <f>'Economic Data'!H127</f>
        <v>42.5</v>
      </c>
      <c r="DG113" s="368">
        <f>'Economic Data'!I127</f>
        <v>42.5</v>
      </c>
      <c r="DH113" s="368">
        <f>'Economic Data'!J127</f>
        <v>876619.7</v>
      </c>
      <c r="DI113" s="368">
        <f>'Economic Data'!K127</f>
        <v>694601.3</v>
      </c>
      <c r="DJ113" s="368">
        <f>'Economic Data'!L127</f>
        <v>92436.4</v>
      </c>
      <c r="DK113" s="368">
        <f>'Economic Data'!M127</f>
        <v>33851.4</v>
      </c>
      <c r="DL113" s="368">
        <f>'Economic Data'!N127</f>
        <v>875840</v>
      </c>
      <c r="DM113" s="368">
        <f>'Economic Data'!O127</f>
        <v>93171</v>
      </c>
      <c r="DN113" s="368">
        <f>'Economic Data'!P127</f>
        <v>16760</v>
      </c>
      <c r="DO113" s="368">
        <f>'Economic Data'!Q127</f>
        <v>693472</v>
      </c>
      <c r="DP113" s="368">
        <f>'Economic Data'!R127</f>
        <v>34037</v>
      </c>
      <c r="DQ113">
        <v>30</v>
      </c>
      <c r="DR113">
        <v>22</v>
      </c>
      <c r="DS113">
        <f t="shared" ref="DS113:ED113" si="259">DS101</f>
        <v>0</v>
      </c>
      <c r="DT113">
        <f t="shared" si="259"/>
        <v>0</v>
      </c>
      <c r="DU113">
        <f t="shared" si="259"/>
        <v>0</v>
      </c>
      <c r="DV113">
        <f t="shared" si="259"/>
        <v>1</v>
      </c>
      <c r="DW113">
        <f t="shared" si="259"/>
        <v>0</v>
      </c>
      <c r="DX113">
        <f t="shared" si="259"/>
        <v>0</v>
      </c>
      <c r="DY113">
        <f t="shared" si="259"/>
        <v>0</v>
      </c>
      <c r="DZ113">
        <f t="shared" si="259"/>
        <v>0</v>
      </c>
      <c r="EA113">
        <f t="shared" si="259"/>
        <v>0</v>
      </c>
      <c r="EB113">
        <f t="shared" si="259"/>
        <v>0</v>
      </c>
      <c r="EC113">
        <f t="shared" si="259"/>
        <v>0</v>
      </c>
      <c r="ED113">
        <f t="shared" si="259"/>
        <v>0</v>
      </c>
      <c r="EE113">
        <f t="shared" ref="EE113:EF113" si="260">EE101</f>
        <v>1</v>
      </c>
      <c r="EF113">
        <f t="shared" si="260"/>
        <v>0</v>
      </c>
      <c r="EG113">
        <f t="shared" si="255"/>
        <v>1</v>
      </c>
      <c r="EH113">
        <f t="shared" si="189"/>
        <v>112</v>
      </c>
      <c r="EI113">
        <v>0</v>
      </c>
      <c r="EJ113">
        <v>0</v>
      </c>
      <c r="EK113">
        <v>0.25</v>
      </c>
      <c r="EL113">
        <v>0</v>
      </c>
      <c r="EM113" s="47">
        <f t="shared" si="194"/>
        <v>0</v>
      </c>
      <c r="EN113" s="47">
        <f t="shared" si="195"/>
        <v>0</v>
      </c>
      <c r="EO113" s="47">
        <f t="shared" si="196"/>
        <v>0</v>
      </c>
      <c r="EP113" s="47">
        <f t="shared" si="197"/>
        <v>0</v>
      </c>
      <c r="EQ113" s="47">
        <f t="shared" si="198"/>
        <v>0</v>
      </c>
      <c r="ER113" s="47">
        <f t="shared" si="199"/>
        <v>0</v>
      </c>
      <c r="ES113" s="47">
        <f t="shared" si="200"/>
        <v>0</v>
      </c>
      <c r="ET113" s="47">
        <f t="shared" si="201"/>
        <v>0</v>
      </c>
      <c r="EU113" s="47">
        <f t="shared" si="202"/>
        <v>0</v>
      </c>
      <c r="EV113" s="47">
        <f t="shared" si="203"/>
        <v>0</v>
      </c>
      <c r="EW113" s="47">
        <f t="shared" si="204"/>
        <v>0</v>
      </c>
      <c r="EX113" s="47">
        <f t="shared" si="205"/>
        <v>0</v>
      </c>
      <c r="EY113" s="47">
        <f t="shared" si="206"/>
        <v>0</v>
      </c>
      <c r="EZ113" s="47">
        <f t="shared" si="207"/>
        <v>0</v>
      </c>
      <c r="FA113" s="47">
        <f t="shared" si="208"/>
        <v>92.074479166666677</v>
      </c>
      <c r="FB113" s="47">
        <f t="shared" si="209"/>
        <v>0</v>
      </c>
      <c r="FC113" s="47">
        <f t="shared" si="210"/>
        <v>77.074479166666663</v>
      </c>
      <c r="FD113" s="47">
        <f t="shared" si="211"/>
        <v>0</v>
      </c>
      <c r="FE113" s="47">
        <f t="shared" si="212"/>
        <v>62.074479166666663</v>
      </c>
      <c r="FF113" s="47">
        <f t="shared" si="213"/>
        <v>0</v>
      </c>
      <c r="FG113" s="47">
        <f t="shared" si="214"/>
        <v>47.074479166666677</v>
      </c>
      <c r="FH113" s="47">
        <f t="shared" si="215"/>
        <v>0</v>
      </c>
      <c r="FI113" s="47">
        <f t="shared" si="216"/>
        <v>32.670312500000001</v>
      </c>
      <c r="FJ113" s="47">
        <f t="shared" si="217"/>
        <v>0.59583333333333366</v>
      </c>
      <c r="FK113" s="47">
        <f t="shared" si="218"/>
        <v>19.730729166666663</v>
      </c>
      <c r="FL113" s="47">
        <f t="shared" si="219"/>
        <v>2.65625</v>
      </c>
      <c r="FM113" s="47">
        <f t="shared" si="220"/>
        <v>10.273437499999998</v>
      </c>
      <c r="FN113" s="47">
        <f t="shared" si="221"/>
        <v>8.1989583333333336</v>
      </c>
      <c r="FO113" s="765">
        <f t="shared" ca="1" si="222"/>
        <v>635.28156440674024</v>
      </c>
      <c r="FP113" s="765">
        <f t="shared" ca="1" si="223"/>
        <v>595.35837849068389</v>
      </c>
      <c r="FQ113" s="765">
        <f t="shared" ca="1" si="224"/>
        <v>2243.2473140021962</v>
      </c>
      <c r="FR113" s="765">
        <f t="shared" ca="1" si="225"/>
        <v>79256.334179677258</v>
      </c>
      <c r="FS113" s="765">
        <f t="shared" ca="1" si="226"/>
        <v>1759566.0037568368</v>
      </c>
      <c r="FT113" s="765">
        <f t="shared" ca="1" si="227"/>
        <v>4909557.9283562694</v>
      </c>
      <c r="FU113" s="765">
        <f t="shared" si="228"/>
        <v>26.71808083391301</v>
      </c>
      <c r="FV113" s="765">
        <f t="shared" si="229"/>
        <v>74.224618833111094</v>
      </c>
      <c r="FW113" s="765">
        <f t="shared" si="230"/>
        <v>506.57237505339589</v>
      </c>
      <c r="FX113" s="765">
        <f t="shared" ca="1" si="231"/>
        <v>639.63948670336049</v>
      </c>
      <c r="FY113" s="765">
        <f t="shared" ca="1" si="232"/>
        <v>2777.1301402128829</v>
      </c>
      <c r="FZ113" s="765">
        <f t="shared" ca="1" si="233"/>
        <v>73581.692712196251</v>
      </c>
      <c r="GA113" s="765">
        <f t="shared" si="234"/>
        <v>90212.443333333344</v>
      </c>
      <c r="GB113" s="765">
        <f t="shared" si="235"/>
        <v>19.77909303515311</v>
      </c>
      <c r="GC113" s="765">
        <f t="shared" si="236"/>
        <v>55.393493570552835</v>
      </c>
      <c r="GD113" s="765">
        <f t="shared" si="237"/>
        <v>409.26882499999999</v>
      </c>
    </row>
    <row r="114" spans="1:186">
      <c r="A114" s="4">
        <v>45413</v>
      </c>
      <c r="B114" s="6">
        <v>2024</v>
      </c>
      <c r="C114" s="5">
        <v>5</v>
      </c>
      <c r="D114" s="7">
        <v>73385195.572191358</v>
      </c>
      <c r="E114" s="7">
        <f ca="1">IFERROR(VLOOKUP($B114-1,CDM!$V$4:$AJ$17,2,FALSE)/12,0)+IFERROR(VLOOKUP($B114,CDM!$V$41:$AJ$54,2,FALSE)/24,0)+IFERROR(VLOOKUP($B114,CDM!$V$41:$AJ$54,2,FALSE)/2*$C114/78,0)</f>
        <v>3998079.9481897638</v>
      </c>
      <c r="F114" s="7">
        <f t="shared" ca="1" si="169"/>
        <v>77383275.520381123</v>
      </c>
      <c r="G114" s="7">
        <f>IFERROR(HLOOKUP(B114-1,'EV Forecast VRZ'!$F$124:$T$130,2,FALSE)/12,0)+IFERROR(((HLOOKUP(B114,'EV Forecast VRZ'!$F$116:$T$122,2,FALSE)-HLOOKUP(B114-1,'EV Forecast VRZ'!$F$124:$T$130,2,FALSE)))*C114/78,0)</f>
        <v>1161298.4018872506</v>
      </c>
      <c r="H114" s="7">
        <f ca="1">HLOOKUP(B114,Heating!$C$102:$O$106,2,FALSE)*INDEX(Weather!$BO$1:$CB$20,MATCH(B114,Weather!$BO$1:$BO$20,0),MATCH(C114,Weather!$BO$1:$CB$1,0))/VLOOKUP(B114,Weather!$BO$2:$CB$20,14,FALSE)*
VLOOKUP('Monthly Data'!$B114,Weather!$BO$3:$CB$20,14,FALSE)/Weather!$CB$14</f>
        <v>356950.39584449062</v>
      </c>
      <c r="I114" s="7">
        <f t="shared" ca="1" si="170"/>
        <v>75865026.722649381</v>
      </c>
      <c r="J114" s="7">
        <v>851724.308386483</v>
      </c>
      <c r="K114" s="7">
        <f ca="1">IFERROR(VLOOKUP($B114-1,CDM!$V$4:$AJ$17,3,FALSE)/12,0)+IFERROR(VLOOKUP($B114,CDM!$V$41:$AJ$54,3,FALSE)/24,0)+IFERROR(VLOOKUP($B114,CDM!$V$41:$AJ$54,3,FALSE)/2*$C114/78,0)</f>
        <v>45792.725917846226</v>
      </c>
      <c r="L114" s="7">
        <f t="shared" ca="1" si="242"/>
        <v>897517.03430432919</v>
      </c>
      <c r="M114" s="7">
        <f>IFERROR(HLOOKUP(B114-1,'EV Forecast VRZ'!$F$124:$T$130,3,FALSE)/12,0)+IFERROR(((HLOOKUP(B114,'EV Forecast VRZ'!$F$116:$T$122,3,FALSE)-HLOOKUP(B114-1,'EV Forecast VRZ'!$F$124:$T$130,3,FALSE)))*C114/78,0)</f>
        <v>15798.77067685192</v>
      </c>
      <c r="N114" s="7">
        <f ca="1">HLOOKUP(B114,Heating!$C$102:$O$106,3,FALSE)*INDEX(Weather!$BO$1:$CB$20,MATCH(B114,Weather!$BO$1:$BO$20,0),MATCH(C114,Weather!$BO$1:$CB$1,0))/VLOOKUP(B114,Weather!$BO$2:$CB$20,14,FALSE)*
VLOOKUP('Monthly Data'!$B114,Weather!$BO$3:$CB$20,14,FALSE)/Weather!$CB$14</f>
        <v>4218.3262620784099</v>
      </c>
      <c r="O114" s="7">
        <f t="shared" ca="1" si="172"/>
        <v>877499.93736539886</v>
      </c>
      <c r="P114" s="7">
        <v>19974195.963026971</v>
      </c>
      <c r="Q114" s="7">
        <f ca="1">IFERROR(VLOOKUP($B114-1,CDM!$V$4:$AJ$17,4,FALSE)/12,0)+IFERROR(VLOOKUP($B114,CDM!$V$41:$AJ$54,4,FALSE)/24,0)+IFERROR(VLOOKUP($B114,CDM!$V$41:$AJ$54,4,FALSE)/2*$C114/78,0)</f>
        <v>1696385.3437655058</v>
      </c>
      <c r="R114" s="7">
        <f t="shared" ca="1" si="243"/>
        <v>21670581.306792475</v>
      </c>
      <c r="S114" s="7">
        <f>IFERROR(HLOOKUP(B114-1,'EV Forecast VRZ'!$F$124:$T$130,4,FALSE)/12,0)+IFERROR(((HLOOKUP(B114,'EV Forecast VRZ'!$F$116:$T$122,4,FALSE)-HLOOKUP(B114-1,'EV Forecast VRZ'!$F$124:$T$130,4,FALSE)))*C114/78,0)</f>
        <v>147283.83025641026</v>
      </c>
      <c r="T114" s="7">
        <f ca="1">HLOOKUP(B114,Heating!$C$102:$O$106,4,FALSE)*INDEX(Weather!$BO$1:$CB$20,MATCH(B114,Weather!$BO$1:$BO$20,0),MATCH(C114,Weather!$BO$1:$CB$1,0))/VLOOKUP(B114,Weather!$BO$2:$CB$20,14,FALSE)*
VLOOKUP('Monthly Data'!$B114,Weather!$BO$3:$CB$20,14,FALSE)/Weather!$CB$14</f>
        <v>85545.137989666458</v>
      </c>
      <c r="U114" s="7">
        <f t="shared" ca="1" si="174"/>
        <v>21437752.338546399</v>
      </c>
      <c r="V114" s="7">
        <v>79420647.412497997</v>
      </c>
      <c r="W114" s="7">
        <f ca="1">IFERROR(VLOOKUP($B114-1,CDM!$V$4:$AJ$17,5,FALSE)/12,0)+IFERROR(VLOOKUP($B114,CDM!$V$41:$AJ$54,5,FALSE)/24,0)+IFERROR(VLOOKUP($B114,CDM!$V$41:$AJ$54,5,FALSE)/2*$C114/78,0)</f>
        <v>6921349.1049516313</v>
      </c>
      <c r="X114" s="7">
        <f t="shared" ca="1" si="244"/>
        <v>86341996.517449632</v>
      </c>
      <c r="Y114" s="7">
        <f>IFERROR(HLOOKUP(B114-1,'EV Forecast VRZ'!$F$124:$T$130,5,FALSE)/12,0)+IFERROR(((HLOOKUP(B114,'EV Forecast VRZ'!$F$116:$T$122,5,FALSE)-HLOOKUP(B114-1,'EV Forecast VRZ'!$F$124:$T$130,5,FALSE)))*C114/78,0)</f>
        <v>69253.108230769227</v>
      </c>
      <c r="Z114" s="7">
        <f ca="1">HLOOKUP(B114,Heating!$C$102:$O$106,5,FALSE)*INDEX(Weather!$BO$1:$CB$20,MATCH(B114,Weather!$BO$1:$BO$20,0),MATCH(C114,Weather!$BO$1:$CB$1,0))/VLOOKUP(B114,Weather!$BO$2:$CB$20,14,FALSE)*
VLOOKUP('Monthly Data'!$B114,Weather!$BO$3:$CB$20,14,FALSE)/Weather!$CB$14</f>
        <v>44551.277494699832</v>
      </c>
      <c r="AA114" s="7">
        <f t="shared" ca="1" si="176"/>
        <v>86228192.131724164</v>
      </c>
      <c r="AB114" s="7">
        <v>8411474.0500000007</v>
      </c>
      <c r="AC114" s="7">
        <f ca="1">IFERROR(VLOOKUP($B114-1,CDM!$V$4:$AJ$17,6,FALSE)/12,0)+IFERROR(VLOOKUP($B114,CDM!$V$41:$AJ$54,6,FALSE)/24,0)+IFERROR(VLOOKUP($B114,CDM!$V$41:$AJ$54,6,FALSE)/2*$C114/78,0)</f>
        <v>345980.21067627455</v>
      </c>
      <c r="AD114" s="7">
        <f t="shared" ca="1" si="245"/>
        <v>8757454.2606762759</v>
      </c>
      <c r="AE114" s="7">
        <f>IFERROR(HLOOKUP(B114-1,'EV Forecast VRZ'!$F$124:$T$130,6,FALSE)/12,0)+IFERROR(((HLOOKUP(B114,'EV Forecast VRZ'!$F$116:$T$122,6,FALSE)-HLOOKUP(B114-1,'EV Forecast VRZ'!$F$124:$T$130,6,FALSE)))*C114/78,0)</f>
        <v>8984.9607435897433</v>
      </c>
      <c r="AF114" s="7">
        <f t="shared" ca="1" si="178"/>
        <v>8748469.2999326866</v>
      </c>
      <c r="AG114" s="7">
        <v>27263354.987860002</v>
      </c>
      <c r="AH114" s="7">
        <f ca="1">IFERROR(VLOOKUP($B114-1,CDM!$V$4:$AJ$17,7,FALSE)/12,0)+IFERROR(VLOOKUP($B114,CDM!$V$41:$AJ$54,7,FALSE)/24,0)+IFERROR(VLOOKUP($B114,CDM!$V$41:$AJ$54,7,FALSE)/2*$C114/78,0)</f>
        <v>2040677.2619332732</v>
      </c>
      <c r="AI114" s="7">
        <f t="shared" ca="1" si="246"/>
        <v>29304032.249793276</v>
      </c>
      <c r="AJ114" s="7">
        <f>IFERROR(HLOOKUP(B114-1,'EV Forecast VRZ'!$F$124:$T$130,7,FALSE)/12,0)+IFERROR(((HLOOKUP(B114,'EV Forecast VRZ'!$F$116:$T$122,7,FALSE)-HLOOKUP(B114-1,'EV Forecast VRZ'!$F$124:$T$130,7,FALSE)))*C114/78,0)</f>
        <v>1142.3076923076924</v>
      </c>
      <c r="AK114" s="7">
        <f t="shared" ca="1" si="180"/>
        <v>29302889.942100968</v>
      </c>
      <c r="AL114" s="7">
        <v>792532.73</v>
      </c>
      <c r="AM114" s="7">
        <v>18356.562530325464</v>
      </c>
      <c r="AN114" s="7">
        <v>395325.13</v>
      </c>
      <c r="AO114" s="5">
        <v>185621.21</v>
      </c>
      <c r="AP114" s="5">
        <v>18004.939999999999</v>
      </c>
      <c r="AQ114" s="5">
        <v>45637.32</v>
      </c>
      <c r="AR114" s="5">
        <v>2636.83</v>
      </c>
      <c r="AS114" s="763">
        <f t="shared" si="256"/>
        <v>50.166666666666664</v>
      </c>
      <c r="AT114" s="776">
        <v>117222.75</v>
      </c>
      <c r="AU114" s="776">
        <v>1562.3333333333337</v>
      </c>
      <c r="AV114" s="776">
        <v>9500.75</v>
      </c>
      <c r="AW114" s="776">
        <v>1055.1666666666663</v>
      </c>
      <c r="AX114" s="776">
        <v>5</v>
      </c>
      <c r="AY114" s="776">
        <v>5</v>
      </c>
      <c r="AZ114" s="776">
        <v>32638.166666666661</v>
      </c>
      <c r="BA114" s="776">
        <v>238.91666666666671</v>
      </c>
      <c r="BB114" s="776">
        <v>776.16666666666686</v>
      </c>
      <c r="BC114" s="779">
        <v>30050456.301362485</v>
      </c>
      <c r="BD114" s="779">
        <f ca="1">IFERROR(VLOOKUP($B114-1,CDM!$V$4:$AJ$17,11,FALSE)/12,0)+IFERROR(VLOOKUP($B114,CDM!$V$41:$AJ$54,11,FALSE)/24,0)+IFERROR(VLOOKUP($B114,CDM!$V$41:$AJ$54,11,FALSE)/2*$C114/78,0)</f>
        <v>1767207.7744821094</v>
      </c>
      <c r="BE114" s="779">
        <f t="shared" ca="1" si="192"/>
        <v>31817664.075844593</v>
      </c>
      <c r="BF114" s="779">
        <f>IFERROR(HLOOKUP(B114-1,'EV Forecast WRZ'!$F$124:$T$130,2,FALSE)/12,0)+IFERROR(((HLOOKUP(B114,'EV Forecast WRZ'!$F$116:$T$122,2,FALSE)-HLOOKUP(B114-1,'EV Forecast WRZ'!$F$124:$T$130,2,FALSE)))*C114/78,0)</f>
        <v>385371.61102564097</v>
      </c>
      <c r="BG114" s="779">
        <f ca="1">HLOOKUP(B114,Heating!$R$102:$AD$106,2,FALSE)*INDEX(Weather!$BO$1:$CB$20,MATCH(B114,Weather!$BO$1:$BO$20,0),MATCH(C114,Weather!$BO$1:$CB$1,0))/VLOOKUP(B114,Weather!$BO$2:$CB$20,14,FALSE)*
VLOOKUP('Monthly Data'!$B114,Weather!$BO$3:$CB$20,14,FALSE)/Weather!$CB$14</f>
        <v>156971.22549092266</v>
      </c>
      <c r="BH114" s="779">
        <f t="shared" ca="1" si="181"/>
        <v>31275321.239328027</v>
      </c>
      <c r="BI114" s="779">
        <v>6952309.7293611402</v>
      </c>
      <c r="BJ114" s="779">
        <f ca="1">IFERROR(VLOOKUP($B114-1,CDM!$V$4:$AJ$17,12,FALSE)/12,0)+IFERROR(VLOOKUP($B114,CDM!$V$41:$AJ$54,12,FALSE)/24,0)+IFERROR(VLOOKUP($B114,CDM!$V$41:$AJ$54,12,FALSE)/2*$C114/78,0)</f>
        <v>318604.51411315845</v>
      </c>
      <c r="BK114" s="779">
        <f t="shared" ca="1" si="247"/>
        <v>7270914.2434742991</v>
      </c>
      <c r="BL114" s="779">
        <f>IFERROR(HLOOKUP(B114-1,'EV Forecast WRZ'!$F$124:$T$130,3,FALSE)/12,0)+IFERROR(((HLOOKUP(B114,'EV Forecast WRZ'!$F$116:$T$122,3,FALSE)-HLOOKUP(B114-1,'EV Forecast WRZ'!$F$124:$T$130,3,FALSE)))*C114/78,0)</f>
        <v>50845.076410256414</v>
      </c>
      <c r="BM114" s="779">
        <f ca="1">HLOOKUP(B114,Heating!$R$102:$AD$106,4,FALSE)*INDEX(Weather!$BO$1:$CB$20,MATCH(B114,Weather!$BO$1:$BO$20,0),MATCH(C114,Weather!$BO$1:$CB$1,0))/VLOOKUP(B114,Weather!$BO$2:$CB$20,14,FALSE)*
VLOOKUP('Monthly Data'!$B114,Weather!$BO$3:$CB$20,14,FALSE)/Weather!$CB$14</f>
        <v>24917.457047408891</v>
      </c>
      <c r="BN114" s="779">
        <f t="shared" ca="1" si="183"/>
        <v>7195151.7100166343</v>
      </c>
      <c r="BO114" s="779">
        <v>26265639.09</v>
      </c>
      <c r="BP114" s="779">
        <f ca="1">IFERROR(VLOOKUP($B114-1,CDM!$V$4:$AJ$17,13,FALSE)/12,0)+IFERROR(VLOOKUP($B114,CDM!$V$41:$AJ$54,13,FALSE)/24,0)+IFERROR(VLOOKUP($B114,CDM!$V$41:$AJ$54,13,FALSE)/2*$C114/78,0)</f>
        <v>2998659.8204278648</v>
      </c>
      <c r="BQ114" s="779">
        <f t="shared" ca="1" si="248"/>
        <v>29264298.910427865</v>
      </c>
      <c r="BR114" s="779">
        <f>IFERROR(HLOOKUP(B114-1,'EV Forecast WRZ'!$F$124:$T$130,4,FALSE)/12,0)+IFERROR(((HLOOKUP(B114,'EV Forecast WRZ'!$F$116:$T$122,4,FALSE)-HLOOKUP(B114-1,'EV Forecast WRZ'!$F$124:$T$130,4,FALSE)))*C114/78,0)</f>
        <v>22616.213871794876</v>
      </c>
      <c r="BS114" s="779">
        <f ca="1">HLOOKUP(B114,Heating!$R$102:$AD$106,5,FALSE)*INDEX(Weather!$BO$1:$CB$20,MATCH(B114,Weather!$BO$1:$BO$20,0),MATCH(C114,Weather!$BO$1:$CB$1,0))/VLOOKUP(B114,Weather!$BO$2:$CB$20,14,FALSE)*
VLOOKUP('Monthly Data'!$B114,Weather!$BO$3:$CB$20,14,FALSE)/Weather!$CB$14</f>
        <v>13189.843220447507</v>
      </c>
      <c r="BT114" s="779">
        <f t="shared" ca="1" si="185"/>
        <v>29228492.853335623</v>
      </c>
      <c r="BU114" s="779">
        <v>6883929.0999999996</v>
      </c>
      <c r="BV114" s="779">
        <f ca="1">IFERROR(VLOOKUP($B114-1,CDM!$V$4:$AJ$17,14,FALSE)/12,0)+IFERROR(VLOOKUP($B114,CDM!$V$41:$AJ$54,14,FALSE)/24,0)+IFERROR(VLOOKUP($B114,CDM!$V$41:$AJ$54,14,FALSE)/2*$C114/78,0)</f>
        <v>674353.78808709432</v>
      </c>
      <c r="BW114" s="779">
        <f t="shared" ca="1" si="249"/>
        <v>7558282.8880870938</v>
      </c>
      <c r="BX114" s="779">
        <f>IFERROR(HLOOKUP(B114-1,'EV Forecast WRZ'!$F$124:$T$130,5,FALSE)/12,0)+IFERROR(((HLOOKUP(B114,'EV Forecast WRZ'!$F$116:$T$122,5,FALSE)-HLOOKUP(B114-1,'EV Forecast WRZ'!$F$124:$T$130,5,FALSE)))*C114/78,0)</f>
        <v>3784.529461538461</v>
      </c>
      <c r="BY114" s="779">
        <f t="shared" ca="1" si="193"/>
        <v>7554498.3586255554</v>
      </c>
      <c r="BZ114" s="779">
        <v>246977.84</v>
      </c>
      <c r="CA114" s="779">
        <v>2448.0304602780861</v>
      </c>
      <c r="CB114" s="5">
        <v>163707.53</v>
      </c>
      <c r="CC114" s="5">
        <v>62047.88</v>
      </c>
      <c r="CD114" s="5">
        <v>12612.2</v>
      </c>
      <c r="CE114" s="5">
        <v>824</v>
      </c>
      <c r="CF114" s="763">
        <f t="shared" si="252"/>
        <v>6.916666666666667</v>
      </c>
      <c r="CG114" s="785">
        <v>45475.25</v>
      </c>
      <c r="CH114" s="785">
        <v>2462.5</v>
      </c>
      <c r="CI114" s="785">
        <v>388.25</v>
      </c>
      <c r="CJ114" s="785">
        <v>3</v>
      </c>
      <c r="CK114" s="785">
        <v>13693</v>
      </c>
      <c r="CL114" s="785">
        <v>45.583333333333321</v>
      </c>
      <c r="CM114" s="785">
        <v>398.5</v>
      </c>
      <c r="CN114" s="46">
        <f>Weather!C126</f>
        <v>143.5708333333333</v>
      </c>
      <c r="CO114" s="46">
        <f>Weather!D126</f>
        <v>2.6999999999999957</v>
      </c>
      <c r="CP114" s="46">
        <f>Weather!E126</f>
        <v>89.52916666666664</v>
      </c>
      <c r="CQ114" s="46">
        <f>Weather!F126</f>
        <v>10.658333333333328</v>
      </c>
      <c r="CR114" s="46">
        <f>Weather!G126</f>
        <v>44.158333333333317</v>
      </c>
      <c r="CS114" s="46">
        <f>Weather!H126</f>
        <v>27.287500000000005</v>
      </c>
      <c r="CT114" s="46">
        <f>Weather!I126</f>
        <v>15.562499999999984</v>
      </c>
      <c r="CU114" s="46">
        <f>Weather!J126</f>
        <v>60.691666666666663</v>
      </c>
      <c r="CV114" s="46">
        <f>Weather!K126</f>
        <v>2.9208333333333272</v>
      </c>
      <c r="CW114" s="46">
        <f>Weather!L126</f>
        <v>110.05000000000001</v>
      </c>
      <c r="CX114" s="46">
        <f>Weather!M126</f>
        <v>0</v>
      </c>
      <c r="CY114" s="46">
        <f>Weather!N126</f>
        <v>169.12916666666669</v>
      </c>
      <c r="CZ114" s="46">
        <f>Weather!O126</f>
        <v>0</v>
      </c>
      <c r="DA114" s="46">
        <f>Weather!P126</f>
        <v>231.12916666666669</v>
      </c>
      <c r="DB114" s="368">
        <f>'Economic Data'!D128</f>
        <v>8119.3</v>
      </c>
      <c r="DC114" s="368">
        <f>'Economic Data'!E128</f>
        <v>8113.6</v>
      </c>
      <c r="DD114" s="368">
        <f>'Economic Data'!F128</f>
        <v>247</v>
      </c>
      <c r="DE114" s="368">
        <f>'Economic Data'!G128</f>
        <v>247.1</v>
      </c>
      <c r="DF114" s="368">
        <f>'Economic Data'!H128</f>
        <v>45.7</v>
      </c>
      <c r="DG114" s="368">
        <f>'Economic Data'!I128</f>
        <v>45.7</v>
      </c>
      <c r="DH114" s="368">
        <f>'Economic Data'!J128</f>
        <v>876619.7</v>
      </c>
      <c r="DI114" s="368">
        <f>'Economic Data'!K128</f>
        <v>694601.3</v>
      </c>
      <c r="DJ114" s="368">
        <f>'Economic Data'!L128</f>
        <v>92436.4</v>
      </c>
      <c r="DK114" s="368">
        <f>'Economic Data'!M128</f>
        <v>33851.4</v>
      </c>
      <c r="DL114" s="368">
        <f>'Economic Data'!N128</f>
        <v>875840</v>
      </c>
      <c r="DM114" s="368">
        <f>'Economic Data'!O128</f>
        <v>93171</v>
      </c>
      <c r="DN114" s="368">
        <f>'Economic Data'!P128</f>
        <v>16760</v>
      </c>
      <c r="DO114" s="368">
        <f>'Economic Data'!Q128</f>
        <v>693472</v>
      </c>
      <c r="DP114" s="368">
        <f>'Economic Data'!R128</f>
        <v>34037</v>
      </c>
      <c r="DQ114">
        <v>31</v>
      </c>
      <c r="DR114">
        <v>22</v>
      </c>
      <c r="DS114">
        <f t="shared" ref="DS114:ED114" si="261">DS102</f>
        <v>0</v>
      </c>
      <c r="DT114">
        <f t="shared" si="261"/>
        <v>0</v>
      </c>
      <c r="DU114">
        <f t="shared" si="261"/>
        <v>0</v>
      </c>
      <c r="DV114">
        <f t="shared" si="261"/>
        <v>0</v>
      </c>
      <c r="DW114">
        <f t="shared" si="261"/>
        <v>1</v>
      </c>
      <c r="DX114">
        <f t="shared" si="261"/>
        <v>0</v>
      </c>
      <c r="DY114">
        <f t="shared" si="261"/>
        <v>0</v>
      </c>
      <c r="DZ114">
        <f t="shared" si="261"/>
        <v>0</v>
      </c>
      <c r="EA114">
        <f t="shared" si="261"/>
        <v>0</v>
      </c>
      <c r="EB114">
        <f t="shared" si="261"/>
        <v>0</v>
      </c>
      <c r="EC114">
        <f t="shared" si="261"/>
        <v>0</v>
      </c>
      <c r="ED114">
        <f t="shared" si="261"/>
        <v>0</v>
      </c>
      <c r="EE114">
        <f t="shared" ref="EE114:EF114" si="262">EE102</f>
        <v>1</v>
      </c>
      <c r="EF114">
        <f t="shared" si="262"/>
        <v>0</v>
      </c>
      <c r="EG114">
        <f t="shared" si="255"/>
        <v>1</v>
      </c>
      <c r="EH114">
        <f t="shared" si="189"/>
        <v>113</v>
      </c>
      <c r="EI114">
        <v>0</v>
      </c>
      <c r="EJ114">
        <v>0</v>
      </c>
      <c r="EK114">
        <v>0.25</v>
      </c>
      <c r="EL114">
        <v>0</v>
      </c>
      <c r="EM114" s="47">
        <f t="shared" si="194"/>
        <v>0</v>
      </c>
      <c r="EN114" s="47">
        <f t="shared" si="195"/>
        <v>0</v>
      </c>
      <c r="EO114" s="47">
        <f t="shared" si="196"/>
        <v>0</v>
      </c>
      <c r="EP114" s="47">
        <f t="shared" si="197"/>
        <v>0</v>
      </c>
      <c r="EQ114" s="47">
        <f t="shared" si="198"/>
        <v>0</v>
      </c>
      <c r="ER114" s="47">
        <f t="shared" si="199"/>
        <v>0</v>
      </c>
      <c r="ES114" s="47">
        <f t="shared" si="200"/>
        <v>0</v>
      </c>
      <c r="ET114" s="47">
        <f t="shared" si="201"/>
        <v>0</v>
      </c>
      <c r="EU114" s="47">
        <f t="shared" si="202"/>
        <v>0</v>
      </c>
      <c r="EV114" s="47">
        <f t="shared" si="203"/>
        <v>0</v>
      </c>
      <c r="EW114" s="47">
        <f t="shared" si="204"/>
        <v>0</v>
      </c>
      <c r="EX114" s="47">
        <f t="shared" si="205"/>
        <v>0</v>
      </c>
      <c r="EY114" s="47">
        <f t="shared" si="206"/>
        <v>0</v>
      </c>
      <c r="EZ114" s="47">
        <f t="shared" si="207"/>
        <v>0</v>
      </c>
      <c r="FA114" s="47">
        <f t="shared" si="208"/>
        <v>35.892708333333324</v>
      </c>
      <c r="FB114" s="47">
        <f t="shared" si="209"/>
        <v>0.67499999999999893</v>
      </c>
      <c r="FC114" s="47">
        <f t="shared" si="210"/>
        <v>22.38229166666666</v>
      </c>
      <c r="FD114" s="47">
        <f t="shared" si="211"/>
        <v>2.664583333333332</v>
      </c>
      <c r="FE114" s="47">
        <f t="shared" si="212"/>
        <v>11.039583333333329</v>
      </c>
      <c r="FF114" s="47">
        <f t="shared" si="213"/>
        <v>6.8218750000000012</v>
      </c>
      <c r="FG114" s="47">
        <f t="shared" si="214"/>
        <v>3.890624999999996</v>
      </c>
      <c r="FH114" s="47">
        <f t="shared" si="215"/>
        <v>15.172916666666666</v>
      </c>
      <c r="FI114" s="47">
        <f t="shared" si="216"/>
        <v>0.73020833333333179</v>
      </c>
      <c r="FJ114" s="47">
        <f t="shared" si="217"/>
        <v>27.512500000000003</v>
      </c>
      <c r="FK114" s="47">
        <f t="shared" si="218"/>
        <v>0</v>
      </c>
      <c r="FL114" s="47">
        <f t="shared" si="219"/>
        <v>42.282291666666673</v>
      </c>
      <c r="FM114" s="47">
        <f t="shared" si="220"/>
        <v>0</v>
      </c>
      <c r="FN114" s="47">
        <f t="shared" si="221"/>
        <v>57.782291666666673</v>
      </c>
      <c r="FO114" s="765">
        <f t="shared" ca="1" si="222"/>
        <v>647.18688755083281</v>
      </c>
      <c r="FP114" s="765">
        <f t="shared" ca="1" si="223"/>
        <v>574.47217898719589</v>
      </c>
      <c r="FQ114" s="765">
        <f t="shared" ca="1" si="224"/>
        <v>2280.9337480506774</v>
      </c>
      <c r="FR114" s="765">
        <f t="shared" ca="1" si="225"/>
        <v>81827.82800579656</v>
      </c>
      <c r="FS114" s="765">
        <f t="shared" ca="1" si="226"/>
        <v>1751490.8521352552</v>
      </c>
      <c r="FT114" s="765">
        <f t="shared" ca="1" si="227"/>
        <v>5860806.4499586551</v>
      </c>
      <c r="FU114" s="765">
        <f t="shared" si="228"/>
        <v>24.282391167804569</v>
      </c>
      <c r="FV114" s="765">
        <f t="shared" si="229"/>
        <v>76.832490535021108</v>
      </c>
      <c r="FW114" s="765">
        <f t="shared" si="230"/>
        <v>509.3302082885977</v>
      </c>
      <c r="FX114" s="765">
        <f t="shared" ca="1" si="231"/>
        <v>699.66991002456484</v>
      </c>
      <c r="FY114" s="765">
        <f t="shared" ca="1" si="232"/>
        <v>2952.6555303448931</v>
      </c>
      <c r="FZ114" s="765">
        <f t="shared" ca="1" si="233"/>
        <v>75374.88450850705</v>
      </c>
      <c r="GA114" s="765">
        <f t="shared" si="234"/>
        <v>82325.94666666667</v>
      </c>
      <c r="GB114" s="765">
        <f t="shared" si="235"/>
        <v>18.036795442927044</v>
      </c>
      <c r="GC114" s="765">
        <f t="shared" si="236"/>
        <v>53.704507355277954</v>
      </c>
      <c r="GD114" s="765">
        <f t="shared" si="237"/>
        <v>410.80936010037641</v>
      </c>
    </row>
    <row r="115" spans="1:186">
      <c r="A115" s="4">
        <v>45444</v>
      </c>
      <c r="B115" s="6">
        <v>2024</v>
      </c>
      <c r="C115" s="5">
        <v>6</v>
      </c>
      <c r="D115" s="7">
        <v>90228784.63827379</v>
      </c>
      <c r="E115" s="7">
        <f ca="1">IFERROR(VLOOKUP($B115-1,CDM!$V$4:$AJ$17,2,FALSE)/12,0)+IFERROR(VLOOKUP($B115,CDM!$V$41:$AJ$54,2,FALSE)/24,0)+IFERROR(VLOOKUP($B115,CDM!$V$41:$AJ$54,2,FALSE)/2*$C115/78,0)</f>
        <v>4011045.7274904535</v>
      </c>
      <c r="F115" s="7">
        <f t="shared" ca="1" si="169"/>
        <v>94239830.365764245</v>
      </c>
      <c r="G115" s="7">
        <f>IFERROR(HLOOKUP(B115-1,'EV Forecast VRZ'!$F$124:$T$130,2,FALSE)/12,0)+IFERROR(((HLOOKUP(B115,'EV Forecast VRZ'!$F$116:$T$122,2,FALSE)-HLOOKUP(B115-1,'EV Forecast VRZ'!$F$124:$T$130,2,FALSE)))*C115/78,0)</f>
        <v>1193065.8305201675</v>
      </c>
      <c r="H115" s="7">
        <f ca="1">HLOOKUP(B115,Heating!$C$102:$O$106,2,FALSE)*INDEX(Weather!$BO$1:$CB$20,MATCH(B115,Weather!$BO$1:$BO$20,0),MATCH(C115,Weather!$BO$1:$CB$1,0))/VLOOKUP(B115,Weather!$BO$2:$CB$20,14,FALSE)*
VLOOKUP('Monthly Data'!$B115,Weather!$BO$3:$CB$20,14,FALSE)/Weather!$CB$14</f>
        <v>125872.06912615558</v>
      </c>
      <c r="I115" s="7">
        <f t="shared" ca="1" si="170"/>
        <v>92920892.466117918</v>
      </c>
      <c r="J115" s="7">
        <v>777540.77557269775</v>
      </c>
      <c r="K115" s="7">
        <f ca="1">IFERROR(VLOOKUP($B115-1,CDM!$V$4:$AJ$17,3,FALSE)/12,0)+IFERROR(VLOOKUP($B115,CDM!$V$41:$AJ$54,3,FALSE)/24,0)+IFERROR(VLOOKUP($B115,CDM!$V$41:$AJ$54,3,FALSE)/2*$C115/78,0)</f>
        <v>45941.197784933996</v>
      </c>
      <c r="L115" s="7">
        <f t="shared" ca="1" si="242"/>
        <v>823481.97335763171</v>
      </c>
      <c r="M115" s="7">
        <f>IFERROR(HLOOKUP(B115-1,'EV Forecast VRZ'!$F$124:$T$130,3,FALSE)/12,0)+IFERROR(((HLOOKUP(B115,'EV Forecast VRZ'!$F$116:$T$122,3,FALSE)-HLOOKUP(B115-1,'EV Forecast VRZ'!$F$124:$T$130,3,FALSE)))*C115/78,0)</f>
        <v>16230.947556755558</v>
      </c>
      <c r="N115" s="7">
        <f ca="1">HLOOKUP(B115,Heating!$C$102:$O$106,3,FALSE)*INDEX(Weather!$BO$1:$CB$20,MATCH(B115,Weather!$BO$1:$BO$20,0),MATCH(C115,Weather!$BO$1:$CB$1,0))/VLOOKUP(B115,Weather!$BO$2:$CB$20,14,FALSE)*
VLOOKUP('Monthly Data'!$B115,Weather!$BO$3:$CB$20,14,FALSE)/Weather!$CB$14</f>
        <v>1487.5160835746317</v>
      </c>
      <c r="O115" s="7">
        <f t="shared" ca="1" si="172"/>
        <v>805763.50971730158</v>
      </c>
      <c r="P115" s="7">
        <v>20950547.106654827</v>
      </c>
      <c r="Q115" s="7">
        <f ca="1">IFERROR(VLOOKUP($B115-1,CDM!$V$4:$AJ$17,4,FALSE)/12,0)+IFERROR(VLOOKUP($B115,CDM!$V$41:$AJ$54,4,FALSE)/24,0)+IFERROR(VLOOKUP($B115,CDM!$V$41:$AJ$54,4,FALSE)/2*$C115/78,0)</f>
        <v>1706252.1772306738</v>
      </c>
      <c r="R115" s="7">
        <f t="shared" ca="1" si="243"/>
        <v>22656799.283885501</v>
      </c>
      <c r="S115" s="7">
        <f>IFERROR(HLOOKUP(B115-1,'EV Forecast VRZ'!$F$124:$T$130,4,FALSE)/12,0)+IFERROR(((HLOOKUP(B115,'EV Forecast VRZ'!$F$116:$T$122,4,FALSE)-HLOOKUP(B115-1,'EV Forecast VRZ'!$F$124:$T$130,4,FALSE)))*C115/78,0)</f>
        <v>151570.32230769232</v>
      </c>
      <c r="T115" s="7">
        <f ca="1">HLOOKUP(B115,Heating!$C$102:$O$106,4,FALSE)*INDEX(Weather!$BO$1:$CB$20,MATCH(B115,Weather!$BO$1:$BO$20,0),MATCH(C115,Weather!$BO$1:$CB$1,0))/VLOOKUP(B115,Weather!$BO$2:$CB$20,14,FALSE)*
VLOOKUP('Monthly Data'!$B115,Weather!$BO$3:$CB$20,14,FALSE)/Weather!$CB$14</f>
        <v>30165.938034518676</v>
      </c>
      <c r="U115" s="7">
        <f t="shared" ca="1" si="174"/>
        <v>22475063.023543291</v>
      </c>
      <c r="V115" s="7">
        <v>80580048.837870002</v>
      </c>
      <c r="W115" s="7">
        <f ca="1">IFERROR(VLOOKUP($B115-1,CDM!$V$4:$AJ$17,5,FALSE)/12,0)+IFERROR(VLOOKUP($B115,CDM!$V$41:$AJ$54,5,FALSE)/24,0)+IFERROR(VLOOKUP($B115,CDM!$V$41:$AJ$54,5,FALSE)/2*$C115/78,0)</f>
        <v>6957160.338450917</v>
      </c>
      <c r="X115" s="7">
        <f t="shared" ca="1" si="244"/>
        <v>87537209.176320925</v>
      </c>
      <c r="Y115" s="7">
        <f>IFERROR(HLOOKUP(B115-1,'EV Forecast VRZ'!$F$124:$T$130,5,FALSE)/12,0)+IFERROR(((HLOOKUP(B115,'EV Forecast VRZ'!$F$116:$T$122,5,FALSE)-HLOOKUP(B115-1,'EV Forecast VRZ'!$F$124:$T$130,5,FALSE)))*C115/78,0)</f>
        <v>71397.606576923077</v>
      </c>
      <c r="Z115" s="7">
        <f ca="1">HLOOKUP(B115,Heating!$C$102:$O$106,5,FALSE)*INDEX(Weather!$BO$1:$CB$20,MATCH(B115,Weather!$BO$1:$BO$20,0),MATCH(C115,Weather!$BO$1:$CB$1,0))/VLOOKUP(B115,Weather!$BO$2:$CB$20,14,FALSE)*
VLOOKUP('Monthly Data'!$B115,Weather!$BO$3:$CB$20,14,FALSE)/Weather!$CB$14</f>
        <v>15710.198239742194</v>
      </c>
      <c r="AA115" s="7">
        <f t="shared" ca="1" si="176"/>
        <v>87450101.371504262</v>
      </c>
      <c r="AB115" s="7">
        <v>8160406.4900000002</v>
      </c>
      <c r="AC115" s="7">
        <f ca="1">IFERROR(VLOOKUP($B115-1,CDM!$V$4:$AJ$17,6,FALSE)/12,0)+IFERROR(VLOOKUP($B115,CDM!$V$41:$AJ$54,6,FALSE)/24,0)+IFERROR(VLOOKUP($B115,CDM!$V$41:$AJ$54,6,FALSE)/2*$C115/78,0)</f>
        <v>349674.3525683636</v>
      </c>
      <c r="AD115" s="7">
        <f t="shared" ca="1" si="245"/>
        <v>8510080.842568364</v>
      </c>
      <c r="AE115" s="7">
        <f>IFERROR(HLOOKUP(B115-1,'EV Forecast VRZ'!$F$124:$T$130,6,FALSE)/12,0)+IFERROR(((HLOOKUP(B115,'EV Forecast VRZ'!$F$116:$T$122,6,FALSE)-HLOOKUP(B115-1,'EV Forecast VRZ'!$F$124:$T$130,6,FALSE)))*C115/78,0)</f>
        <v>9265.4391923076928</v>
      </c>
      <c r="AF115" s="7">
        <f t="shared" ca="1" si="178"/>
        <v>8500815.4033760559</v>
      </c>
      <c r="AG115" s="7">
        <v>27124452.394136</v>
      </c>
      <c r="AH115" s="7">
        <f ca="1">IFERROR(VLOOKUP($B115-1,CDM!$V$4:$AJ$17,7,FALSE)/12,0)+IFERROR(VLOOKUP($B115,CDM!$V$41:$AJ$54,7,FALSE)/24,0)+IFERROR(VLOOKUP($B115,CDM!$V$41:$AJ$54,7,FALSE)/2*$C115/78,0)</f>
        <v>2055944.7297772034</v>
      </c>
      <c r="AI115" s="7">
        <f t="shared" ca="1" si="246"/>
        <v>29180397.123913202</v>
      </c>
      <c r="AJ115" s="7">
        <f>IFERROR(HLOOKUP(B115-1,'EV Forecast VRZ'!$F$124:$T$130,7,FALSE)/12,0)+IFERROR(((HLOOKUP(B115,'EV Forecast VRZ'!$F$116:$T$122,7,FALSE)-HLOOKUP(B115-1,'EV Forecast VRZ'!$F$124:$T$130,7,FALSE)))*C115/78,0)</f>
        <v>1230.7692307692307</v>
      </c>
      <c r="AK115" s="7">
        <f t="shared" ca="1" si="180"/>
        <v>29179166.354682434</v>
      </c>
      <c r="AL115" s="7">
        <v>711733.37</v>
      </c>
      <c r="AM115" s="7">
        <v>17764.42544072459</v>
      </c>
      <c r="AN115" s="7">
        <v>395295.31</v>
      </c>
      <c r="AO115" s="5">
        <v>197056.58</v>
      </c>
      <c r="AP115" s="5">
        <v>18978.3</v>
      </c>
      <c r="AQ115" s="5">
        <v>46998.42</v>
      </c>
      <c r="AR115" s="5">
        <v>2636.98</v>
      </c>
      <c r="AS115" s="763">
        <f t="shared" si="256"/>
        <v>50.166666666666664</v>
      </c>
      <c r="AT115" s="776">
        <v>117378.5</v>
      </c>
      <c r="AU115" s="776">
        <v>1562.0000000000005</v>
      </c>
      <c r="AV115" s="776">
        <v>9501.5</v>
      </c>
      <c r="AW115" s="776">
        <v>1057.9999999999995</v>
      </c>
      <c r="AX115" s="776">
        <v>5</v>
      </c>
      <c r="AY115" s="776">
        <v>5</v>
      </c>
      <c r="AZ115" s="776">
        <v>32690.999999999993</v>
      </c>
      <c r="BA115" s="776">
        <v>238.50000000000006</v>
      </c>
      <c r="BB115" s="776">
        <v>772.00000000000023</v>
      </c>
      <c r="BC115" s="779">
        <v>38391066.662999503</v>
      </c>
      <c r="BD115" s="779">
        <f ca="1">IFERROR(VLOOKUP($B115-1,CDM!$V$4:$AJ$17,11,FALSE)/12,0)+IFERROR(VLOOKUP($B115,CDM!$V$41:$AJ$54,11,FALSE)/24,0)+IFERROR(VLOOKUP($B115,CDM!$V$41:$AJ$54,11,FALSE)/2*$C115/78,0)</f>
        <v>1772508.5837294271</v>
      </c>
      <c r="BE115" s="779">
        <f t="shared" ca="1" si="192"/>
        <v>40163575.246728927</v>
      </c>
      <c r="BF115" s="779">
        <f>IFERROR(HLOOKUP(B115-1,'EV Forecast WRZ'!$F$124:$T$130,2,FALSE)/12,0)+IFERROR(((HLOOKUP(B115,'EV Forecast WRZ'!$F$116:$T$122,2,FALSE)-HLOOKUP(B115-1,'EV Forecast WRZ'!$F$124:$T$130,2,FALSE)))*C115/78,0)</f>
        <v>397854.9692307692</v>
      </c>
      <c r="BG115" s="779">
        <f ca="1">HLOOKUP(B115,Heating!$R$102:$AD$106,2,FALSE)*INDEX(Weather!$BO$1:$CB$20,MATCH(B115,Weather!$BO$1:$BO$20,0),MATCH(C115,Weather!$BO$1:$CB$1,0))/VLOOKUP(B115,Weather!$BO$2:$CB$20,14,FALSE)*
VLOOKUP('Monthly Data'!$B115,Weather!$BO$3:$CB$20,14,FALSE)/Weather!$CB$14</f>
        <v>55353.04954366458</v>
      </c>
      <c r="BH115" s="779">
        <f t="shared" ca="1" si="181"/>
        <v>39710367.227954492</v>
      </c>
      <c r="BI115" s="779">
        <v>7428387.7571524689</v>
      </c>
      <c r="BJ115" s="779">
        <f ca="1">IFERROR(VLOOKUP($B115-1,CDM!$V$4:$AJ$17,12,FALSE)/12,0)+IFERROR(VLOOKUP($B115,CDM!$V$41:$AJ$54,12,FALSE)/24,0)+IFERROR(VLOOKUP($B115,CDM!$V$41:$AJ$54,12,FALSE)/2*$C115/78,0)</f>
        <v>321651.92944473383</v>
      </c>
      <c r="BK115" s="779">
        <f t="shared" ca="1" si="247"/>
        <v>7750039.6865972029</v>
      </c>
      <c r="BL115" s="779">
        <f>IFERROR(HLOOKUP(B115-1,'EV Forecast WRZ'!$F$124:$T$130,3,FALSE)/12,0)+IFERROR(((HLOOKUP(B115,'EV Forecast WRZ'!$F$116:$T$122,3,FALSE)-HLOOKUP(B115-1,'EV Forecast WRZ'!$F$124:$T$130,3,FALSE)))*C115/78,0)</f>
        <v>52802.507692307699</v>
      </c>
      <c r="BM115" s="779">
        <f ca="1">HLOOKUP(B115,Heating!$R$102:$AD$106,4,FALSE)*INDEX(Weather!$BO$1:$CB$20,MATCH(B115,Weather!$BO$1:$BO$20,0),MATCH(C115,Weather!$BO$1:$CB$1,0))/VLOOKUP(B115,Weather!$BO$2:$CB$20,14,FALSE)*
VLOOKUP('Monthly Data'!$B115,Weather!$BO$3:$CB$20,14,FALSE)/Weather!$CB$14</f>
        <v>8786.6883254161639</v>
      </c>
      <c r="BN115" s="779">
        <f t="shared" ca="1" si="183"/>
        <v>7688450.4905794784</v>
      </c>
      <c r="BO115" s="779">
        <v>27368038.239999998</v>
      </c>
      <c r="BP115" s="779">
        <f ca="1">IFERROR(VLOOKUP($B115-1,CDM!$V$4:$AJ$17,13,FALSE)/12,0)+IFERROR(VLOOKUP($B115,CDM!$V$41:$AJ$54,13,FALSE)/24,0)+IFERROR(VLOOKUP($B115,CDM!$V$41:$AJ$54,13,FALSE)/2*$C115/78,0)</f>
        <v>3019308.1185235875</v>
      </c>
      <c r="BQ115" s="779">
        <f t="shared" ca="1" si="248"/>
        <v>30387346.358523585</v>
      </c>
      <c r="BR115" s="779">
        <f>IFERROR(HLOOKUP(B115-1,'EV Forecast WRZ'!$F$124:$T$130,4,FALSE)/12,0)+IFERROR(((HLOOKUP(B115,'EV Forecast WRZ'!$F$116:$T$122,4,FALSE)-HLOOKUP(B115-1,'EV Forecast WRZ'!$F$124:$T$130,4,FALSE)))*C115/78,0)</f>
        <v>23464.910512820516</v>
      </c>
      <c r="BS115" s="779">
        <f ca="1">HLOOKUP(B115,Heating!$R$102:$AD$106,5,FALSE)*INDEX(Weather!$BO$1:$CB$20,MATCH(B115,Weather!$BO$1:$BO$20,0),MATCH(C115,Weather!$BO$1:$CB$1,0))/VLOOKUP(B115,Weather!$BO$2:$CB$20,14,FALSE)*
VLOOKUP('Monthly Data'!$B115,Weather!$BO$3:$CB$20,14,FALSE)/Weather!$CB$14</f>
        <v>4651.1584716959433</v>
      </c>
      <c r="BT115" s="779">
        <f t="shared" ca="1" si="185"/>
        <v>30359230.289539069</v>
      </c>
      <c r="BU115" s="779">
        <v>6903523.6299999999</v>
      </c>
      <c r="BV115" s="779">
        <f ca="1">IFERROR(VLOOKUP($B115-1,CDM!$V$4:$AJ$17,14,FALSE)/12,0)+IFERROR(VLOOKUP($B115,CDM!$V$41:$AJ$54,14,FALSE)/24,0)+IFERROR(VLOOKUP($B115,CDM!$V$41:$AJ$54,14,FALSE)/2*$C115/78,0)</f>
        <v>679002.75754121167</v>
      </c>
      <c r="BW115" s="779">
        <f t="shared" ca="1" si="249"/>
        <v>7582526.3875412112</v>
      </c>
      <c r="BX115" s="779">
        <f>IFERROR(HLOOKUP(B115-1,'EV Forecast WRZ'!$F$124:$T$130,5,FALSE)/12,0)+IFERROR(((HLOOKUP(B115,'EV Forecast WRZ'!$F$116:$T$122,5,FALSE)-HLOOKUP(B115-1,'EV Forecast WRZ'!$F$124:$T$130,5,FALSE)))*C115/78,0)</f>
        <v>3986.0228205128205</v>
      </c>
      <c r="BY115" s="779">
        <f t="shared" ca="1" si="193"/>
        <v>7578540.3647206984</v>
      </c>
      <c r="BZ115" s="779">
        <v>221784.75</v>
      </c>
      <c r="CA115" s="779">
        <v>2529.636206388579</v>
      </c>
      <c r="CB115" s="5">
        <v>163775.48000000001</v>
      </c>
      <c r="CC115" s="5">
        <v>68758.509999999995</v>
      </c>
      <c r="CD115" s="5">
        <v>13609.59</v>
      </c>
      <c r="CE115" s="5">
        <v>824</v>
      </c>
      <c r="CF115" s="763">
        <f t="shared" si="252"/>
        <v>6.916666666666667</v>
      </c>
      <c r="CG115" s="785">
        <v>45505.5</v>
      </c>
      <c r="CH115" s="785">
        <v>2464</v>
      </c>
      <c r="CI115" s="785">
        <v>388.5</v>
      </c>
      <c r="CJ115" s="785">
        <v>3</v>
      </c>
      <c r="CK115" s="785">
        <v>13703</v>
      </c>
      <c r="CL115" s="785">
        <v>45.499999999999986</v>
      </c>
      <c r="CM115" s="785">
        <v>397</v>
      </c>
      <c r="CN115" s="46">
        <f>Weather!C127</f>
        <v>60.86249999999999</v>
      </c>
      <c r="CO115" s="46">
        <f>Weather!D127</f>
        <v>25.01666666666668</v>
      </c>
      <c r="CP115" s="46">
        <f>Weather!E127</f>
        <v>31.570833333333319</v>
      </c>
      <c r="CQ115" s="46">
        <f>Weather!F127</f>
        <v>55.725000000000009</v>
      </c>
      <c r="CR115" s="46">
        <f>Weather!G127</f>
        <v>10.312499999999995</v>
      </c>
      <c r="CS115" s="46">
        <f>Weather!H127</f>
        <v>94.466666666666669</v>
      </c>
      <c r="CT115" s="46">
        <f>Weather!I127</f>
        <v>2.4583333333333321</v>
      </c>
      <c r="CU115" s="46">
        <f>Weather!J127</f>
        <v>146.61250000000007</v>
      </c>
      <c r="CV115" s="46">
        <f>Weather!K127</f>
        <v>0</v>
      </c>
      <c r="CW115" s="46">
        <f>Weather!L127</f>
        <v>204.15416666666667</v>
      </c>
      <c r="CX115" s="46">
        <f>Weather!M127</f>
        <v>0</v>
      </c>
      <c r="CY115" s="46">
        <f>Weather!N127</f>
        <v>264.15416666666664</v>
      </c>
      <c r="CZ115" s="46">
        <f>Weather!O127</f>
        <v>0</v>
      </c>
      <c r="DA115" s="46">
        <f>Weather!P127</f>
        <v>324.1541666666667</v>
      </c>
      <c r="DB115" s="368">
        <f>'Economic Data'!D129</f>
        <v>8139.9</v>
      </c>
      <c r="DC115" s="368">
        <f>'Economic Data'!E129</f>
        <v>8202.2000000000007</v>
      </c>
      <c r="DD115" s="368">
        <f>'Economic Data'!F129</f>
        <v>244.4</v>
      </c>
      <c r="DE115" s="368">
        <f>'Economic Data'!G129</f>
        <v>245.9</v>
      </c>
      <c r="DF115" s="368">
        <f>'Economic Data'!H129</f>
        <v>50.4</v>
      </c>
      <c r="DG115" s="368">
        <f>'Economic Data'!I129</f>
        <v>50.4</v>
      </c>
      <c r="DH115" s="368">
        <f>'Economic Data'!J129</f>
        <v>876619.7</v>
      </c>
      <c r="DI115" s="368">
        <f>'Economic Data'!K129</f>
        <v>694601.3</v>
      </c>
      <c r="DJ115" s="368">
        <f>'Economic Data'!L129</f>
        <v>92436.4</v>
      </c>
      <c r="DK115" s="368">
        <f>'Economic Data'!M129</f>
        <v>33851.4</v>
      </c>
      <c r="DL115" s="368">
        <f>'Economic Data'!N129</f>
        <v>875840</v>
      </c>
      <c r="DM115" s="368">
        <f>'Economic Data'!O129</f>
        <v>93171</v>
      </c>
      <c r="DN115" s="368">
        <f>'Economic Data'!P129</f>
        <v>16760</v>
      </c>
      <c r="DO115" s="368">
        <f>'Economic Data'!Q129</f>
        <v>693472</v>
      </c>
      <c r="DP115" s="368">
        <f>'Economic Data'!R129</f>
        <v>34037</v>
      </c>
      <c r="DQ115">
        <v>30</v>
      </c>
      <c r="DR115">
        <v>20</v>
      </c>
      <c r="DS115">
        <f t="shared" ref="DS115:ED115" si="263">DS103</f>
        <v>0</v>
      </c>
      <c r="DT115">
        <f t="shared" si="263"/>
        <v>0</v>
      </c>
      <c r="DU115">
        <f t="shared" si="263"/>
        <v>0</v>
      </c>
      <c r="DV115">
        <f t="shared" si="263"/>
        <v>0</v>
      </c>
      <c r="DW115">
        <f t="shared" si="263"/>
        <v>0</v>
      </c>
      <c r="DX115">
        <f t="shared" si="263"/>
        <v>1</v>
      </c>
      <c r="DY115">
        <f t="shared" si="263"/>
        <v>0</v>
      </c>
      <c r="DZ115">
        <f t="shared" si="263"/>
        <v>0</v>
      </c>
      <c r="EA115">
        <f t="shared" si="263"/>
        <v>0</v>
      </c>
      <c r="EB115">
        <f t="shared" si="263"/>
        <v>0</v>
      </c>
      <c r="EC115">
        <f t="shared" si="263"/>
        <v>0</v>
      </c>
      <c r="ED115">
        <f t="shared" si="263"/>
        <v>0</v>
      </c>
      <c r="EE115">
        <f t="shared" ref="EE115:EF115" si="264">EE103</f>
        <v>0</v>
      </c>
      <c r="EF115">
        <f t="shared" si="264"/>
        <v>0</v>
      </c>
      <c r="EG115">
        <f t="shared" si="255"/>
        <v>0</v>
      </c>
      <c r="EH115">
        <f t="shared" si="189"/>
        <v>114</v>
      </c>
      <c r="EI115">
        <v>0</v>
      </c>
      <c r="EJ115">
        <v>0</v>
      </c>
      <c r="EK115">
        <v>0.25</v>
      </c>
      <c r="EL115">
        <v>0</v>
      </c>
      <c r="EM115" s="47">
        <f t="shared" si="194"/>
        <v>0</v>
      </c>
      <c r="EN115" s="47">
        <f t="shared" si="195"/>
        <v>0</v>
      </c>
      <c r="EO115" s="47">
        <f t="shared" si="196"/>
        <v>0</v>
      </c>
      <c r="EP115" s="47">
        <f t="shared" si="197"/>
        <v>0</v>
      </c>
      <c r="EQ115" s="47">
        <f t="shared" si="198"/>
        <v>0</v>
      </c>
      <c r="ER115" s="47">
        <f t="shared" si="199"/>
        <v>0</v>
      </c>
      <c r="ES115" s="47">
        <f t="shared" si="200"/>
        <v>0</v>
      </c>
      <c r="ET115" s="47">
        <f t="shared" si="201"/>
        <v>0</v>
      </c>
      <c r="EU115" s="47">
        <f t="shared" si="202"/>
        <v>0</v>
      </c>
      <c r="EV115" s="47">
        <f t="shared" si="203"/>
        <v>0</v>
      </c>
      <c r="EW115" s="47">
        <f t="shared" si="204"/>
        <v>0</v>
      </c>
      <c r="EX115" s="47">
        <f t="shared" si="205"/>
        <v>0</v>
      </c>
      <c r="EY115" s="47">
        <f t="shared" si="206"/>
        <v>0</v>
      </c>
      <c r="EZ115" s="47">
        <f t="shared" si="207"/>
        <v>0</v>
      </c>
      <c r="FA115" s="47">
        <f t="shared" si="208"/>
        <v>15.215624999999998</v>
      </c>
      <c r="FB115" s="47">
        <f t="shared" si="209"/>
        <v>6.25416666666667</v>
      </c>
      <c r="FC115" s="47">
        <f t="shared" si="210"/>
        <v>7.8927083333333297</v>
      </c>
      <c r="FD115" s="47">
        <f t="shared" si="211"/>
        <v>13.931250000000002</v>
      </c>
      <c r="FE115" s="47">
        <f t="shared" si="212"/>
        <v>2.5781249999999987</v>
      </c>
      <c r="FF115" s="47">
        <f t="shared" si="213"/>
        <v>23.616666666666667</v>
      </c>
      <c r="FG115" s="47">
        <f t="shared" si="214"/>
        <v>0.61458333333333304</v>
      </c>
      <c r="FH115" s="47">
        <f t="shared" si="215"/>
        <v>36.653125000000017</v>
      </c>
      <c r="FI115" s="47">
        <f t="shared" si="216"/>
        <v>0</v>
      </c>
      <c r="FJ115" s="47">
        <f t="shared" si="217"/>
        <v>51.038541666666667</v>
      </c>
      <c r="FK115" s="47">
        <f t="shared" si="218"/>
        <v>0</v>
      </c>
      <c r="FL115" s="47">
        <f t="shared" si="219"/>
        <v>66.03854166666666</v>
      </c>
      <c r="FM115" s="47">
        <f t="shared" si="220"/>
        <v>0</v>
      </c>
      <c r="FN115" s="47">
        <f t="shared" si="221"/>
        <v>81.038541666666674</v>
      </c>
      <c r="FO115" s="765">
        <f t="shared" ca="1" si="222"/>
        <v>791.63469005071556</v>
      </c>
      <c r="FP115" s="765">
        <f t="shared" ca="1" si="223"/>
        <v>527.19716604201756</v>
      </c>
      <c r="FQ115" s="765">
        <f t="shared" ca="1" si="224"/>
        <v>2384.5497325564911</v>
      </c>
      <c r="FR115" s="765">
        <f t="shared" ca="1" si="225"/>
        <v>82738.382964386547</v>
      </c>
      <c r="FS115" s="765">
        <f t="shared" ca="1" si="226"/>
        <v>1702016.1685136729</v>
      </c>
      <c r="FT115" s="765">
        <f t="shared" ca="1" si="227"/>
        <v>5836079.4247826403</v>
      </c>
      <c r="FU115" s="765">
        <f t="shared" si="228"/>
        <v>21.771538649781291</v>
      </c>
      <c r="FV115" s="765">
        <f t="shared" si="229"/>
        <v>74.483964112052774</v>
      </c>
      <c r="FW115" s="765">
        <f t="shared" si="230"/>
        <v>512.04055699481853</v>
      </c>
      <c r="FX115" s="765">
        <f t="shared" ca="1" si="231"/>
        <v>882.60925045827264</v>
      </c>
      <c r="FY115" s="765">
        <f t="shared" ca="1" si="232"/>
        <v>3145.3083143657477</v>
      </c>
      <c r="FZ115" s="765">
        <f t="shared" ca="1" si="233"/>
        <v>78217.107743947447</v>
      </c>
      <c r="GA115" s="765">
        <f t="shared" si="234"/>
        <v>73928.25</v>
      </c>
      <c r="GB115" s="765">
        <f t="shared" si="235"/>
        <v>16.185123695541122</v>
      </c>
      <c r="GC115" s="765">
        <f t="shared" si="236"/>
        <v>55.596400140408349</v>
      </c>
      <c r="GD115" s="765">
        <f t="shared" si="237"/>
        <v>412.53269521410584</v>
      </c>
    </row>
    <row r="116" spans="1:186">
      <c r="A116" s="4">
        <v>45474</v>
      </c>
      <c r="B116" s="6">
        <v>2024</v>
      </c>
      <c r="C116" s="5">
        <v>7</v>
      </c>
      <c r="D116" s="7">
        <v>115596722.94164799</v>
      </c>
      <c r="E116" s="7">
        <f ca="1">IFERROR(VLOOKUP($B116-1,CDM!$V$4:$AJ$17,2,FALSE)/12,0)+IFERROR(VLOOKUP($B116,CDM!$V$41:$AJ$54,2,FALSE)/24,0)+IFERROR(VLOOKUP($B116,CDM!$V$41:$AJ$54,2,FALSE)/2*$C116/78,0)</f>
        <v>4024011.5067911437</v>
      </c>
      <c r="F116" s="7">
        <f t="shared" ca="1" si="169"/>
        <v>119620734.44843914</v>
      </c>
      <c r="G116" s="7">
        <f>IFERROR(HLOOKUP(B116-1,'EV Forecast VRZ'!$F$124:$T$130,2,FALSE)/12,0)+IFERROR(((HLOOKUP(B116,'EV Forecast VRZ'!$F$116:$T$122,2,FALSE)-HLOOKUP(B116-1,'EV Forecast VRZ'!$F$124:$T$130,2,FALSE)))*C116/78,0)</f>
        <v>1224833.2591530844</v>
      </c>
      <c r="H116" s="7">
        <f ca="1">HLOOKUP(B116,Heating!$C$102:$O$106,2,FALSE)*INDEX(Weather!$BO$1:$CB$20,MATCH(B116,Weather!$BO$1:$BO$20,0),MATCH(C116,Weather!$BO$1:$CB$1,0))/VLOOKUP(B116,Weather!$BO$2:$CB$20,14,FALSE)*
VLOOKUP('Monthly Data'!$B116,Weather!$BO$3:$CB$20,14,FALSE)/Weather!$CB$14</f>
        <v>1312.3787067396561</v>
      </c>
      <c r="I116" s="7">
        <f t="shared" ca="1" si="170"/>
        <v>118394588.81057931</v>
      </c>
      <c r="J116" s="7">
        <v>1098266.7064823271</v>
      </c>
      <c r="K116" s="7">
        <f ca="1">IFERROR(VLOOKUP($B116-1,CDM!$V$4:$AJ$17,3,FALSE)/12,0)+IFERROR(VLOOKUP($B116,CDM!$V$41:$AJ$54,3,FALSE)/24,0)+IFERROR(VLOOKUP($B116,CDM!$V$41:$AJ$54,3,FALSE)/2*$C116/78,0)</f>
        <v>46089.669652021767</v>
      </c>
      <c r="L116" s="7">
        <f t="shared" ca="1" si="242"/>
        <v>1144356.3761343488</v>
      </c>
      <c r="M116" s="7">
        <f>IFERROR(HLOOKUP(B116-1,'EV Forecast VRZ'!$F$124:$T$130,3,FALSE)/12,0)+IFERROR(((HLOOKUP(B116,'EV Forecast VRZ'!$F$116:$T$122,3,FALSE)-HLOOKUP(B116-1,'EV Forecast VRZ'!$F$124:$T$130,3,FALSE)))*C116/78,0)</f>
        <v>16663.124436659196</v>
      </c>
      <c r="N116" s="7">
        <f ca="1">HLOOKUP(B116,Heating!$C$102:$O$106,3,FALSE)*INDEX(Weather!$BO$1:$CB$20,MATCH(B116,Weather!$BO$1:$BO$20,0),MATCH(C116,Weather!$BO$1:$CB$1,0))/VLOOKUP(B116,Weather!$BO$2:$CB$20,14,FALSE)*
VLOOKUP('Monthly Data'!$B116,Weather!$BO$3:$CB$20,14,FALSE)/Weather!$CB$14</f>
        <v>15.509274198547827</v>
      </c>
      <c r="O116" s="7">
        <f t="shared" ca="1" si="172"/>
        <v>1127677.7424234911</v>
      </c>
      <c r="P116" s="7">
        <v>24132098.406970821</v>
      </c>
      <c r="Q116" s="7">
        <f ca="1">IFERROR(VLOOKUP($B116-1,CDM!$V$4:$AJ$17,4,FALSE)/12,0)+IFERROR(VLOOKUP($B116,CDM!$V$41:$AJ$54,4,FALSE)/24,0)+IFERROR(VLOOKUP($B116,CDM!$V$41:$AJ$54,4,FALSE)/2*$C116/78,0)</f>
        <v>1716119.0106958419</v>
      </c>
      <c r="R116" s="7">
        <f t="shared" ca="1" si="243"/>
        <v>25848217.417666662</v>
      </c>
      <c r="S116" s="7">
        <f>IFERROR(HLOOKUP(B116-1,'EV Forecast VRZ'!$F$124:$T$130,4,FALSE)/12,0)+IFERROR(((HLOOKUP(B116,'EV Forecast VRZ'!$F$116:$T$122,4,FALSE)-HLOOKUP(B116-1,'EV Forecast VRZ'!$F$124:$T$130,4,FALSE)))*C116/78,0)</f>
        <v>155856.81435897437</v>
      </c>
      <c r="T116" s="7">
        <f ca="1">HLOOKUP(B116,Heating!$C$102:$O$106,4,FALSE)*INDEX(Weather!$BO$1:$CB$20,MATCH(B116,Weather!$BO$1:$BO$20,0),MATCH(C116,Weather!$BO$1:$CB$1,0))/VLOOKUP(B116,Weather!$BO$2:$CB$20,14,FALSE)*
VLOOKUP('Monthly Data'!$B116,Weather!$BO$3:$CB$20,14,FALSE)/Weather!$CB$14</f>
        <v>314.51882073736243</v>
      </c>
      <c r="U116" s="7">
        <f t="shared" ca="1" si="174"/>
        <v>25692046.08448695</v>
      </c>
      <c r="V116" s="7">
        <v>88290752.179879993</v>
      </c>
      <c r="W116" s="7">
        <f ca="1">IFERROR(VLOOKUP($B116-1,CDM!$V$4:$AJ$17,5,FALSE)/12,0)+IFERROR(VLOOKUP($B116,CDM!$V$41:$AJ$54,5,FALSE)/24,0)+IFERROR(VLOOKUP($B116,CDM!$V$41:$AJ$54,5,FALSE)/2*$C116/78,0)</f>
        <v>6992971.5719502037</v>
      </c>
      <c r="X116" s="7">
        <f t="shared" ca="1" si="244"/>
        <v>95283723.75183019</v>
      </c>
      <c r="Y116" s="7">
        <f>IFERROR(HLOOKUP(B116-1,'EV Forecast VRZ'!$F$124:$T$130,5,FALSE)/12,0)+IFERROR(((HLOOKUP(B116,'EV Forecast VRZ'!$F$116:$T$122,5,FALSE)-HLOOKUP(B116-1,'EV Forecast VRZ'!$F$124:$T$130,5,FALSE)))*C116/78,0)</f>
        <v>73542.104923076928</v>
      </c>
      <c r="Z116" s="7">
        <f ca="1">HLOOKUP(B116,Heating!$C$102:$O$106,5,FALSE)*INDEX(Weather!$BO$1:$CB$20,MATCH(B116,Weather!$BO$1:$BO$20,0),MATCH(C116,Weather!$BO$1:$CB$1,0))/VLOOKUP(B116,Weather!$BO$2:$CB$20,14,FALSE)*
VLOOKUP('Monthly Data'!$B116,Weather!$BO$3:$CB$20,14,FALSE)/Weather!$CB$14</f>
        <v>163.79908419422514</v>
      </c>
      <c r="AA116" s="7">
        <f t="shared" ca="1" si="176"/>
        <v>95210017.847822919</v>
      </c>
      <c r="AB116" s="7">
        <v>8178344.5599999996</v>
      </c>
      <c r="AC116" s="7">
        <f ca="1">IFERROR(VLOOKUP($B116-1,CDM!$V$4:$AJ$17,6,FALSE)/12,0)+IFERROR(VLOOKUP($B116,CDM!$V$41:$AJ$54,6,FALSE)/24,0)+IFERROR(VLOOKUP($B116,CDM!$V$41:$AJ$54,6,FALSE)/2*$C116/78,0)</f>
        <v>353368.49446045258</v>
      </c>
      <c r="AD116" s="7">
        <f t="shared" ca="1" si="245"/>
        <v>8531713.0544604529</v>
      </c>
      <c r="AE116" s="7">
        <f>IFERROR(HLOOKUP(B116-1,'EV Forecast VRZ'!$F$124:$T$130,6,FALSE)/12,0)+IFERROR(((HLOOKUP(B116,'EV Forecast VRZ'!$F$116:$T$122,6,FALSE)-HLOOKUP(B116-1,'EV Forecast VRZ'!$F$124:$T$130,6,FALSE)))*C116/78,0)</f>
        <v>9545.9176410256405</v>
      </c>
      <c r="AF116" s="7">
        <f t="shared" ca="1" si="178"/>
        <v>8522167.1368194278</v>
      </c>
      <c r="AG116" s="7">
        <v>28255686.430792</v>
      </c>
      <c r="AH116" s="7">
        <f ca="1">IFERROR(VLOOKUP($B116-1,CDM!$V$4:$AJ$17,7,FALSE)/12,0)+IFERROR(VLOOKUP($B116,CDM!$V$41:$AJ$54,7,FALSE)/24,0)+IFERROR(VLOOKUP($B116,CDM!$V$41:$AJ$54,7,FALSE)/2*$C116/78,0)</f>
        <v>2071212.1976211336</v>
      </c>
      <c r="AI116" s="7">
        <f t="shared" ca="1" si="246"/>
        <v>30326898.628413133</v>
      </c>
      <c r="AJ116" s="7">
        <f>IFERROR(HLOOKUP(B116-1,'EV Forecast VRZ'!$F$124:$T$130,7,FALSE)/12,0)+IFERROR(((HLOOKUP(B116,'EV Forecast VRZ'!$F$116:$T$122,7,FALSE)-HLOOKUP(B116-1,'EV Forecast VRZ'!$F$124:$T$130,7,FALSE)))*C116/78,0)</f>
        <v>1319.2307692307693</v>
      </c>
      <c r="AK116" s="7">
        <f t="shared" ca="1" si="180"/>
        <v>30325579.397643901</v>
      </c>
      <c r="AL116" s="7">
        <v>765053.72</v>
      </c>
      <c r="AM116" s="7">
        <v>18356.562530325464</v>
      </c>
      <c r="AN116" s="7">
        <v>395325.13</v>
      </c>
      <c r="AO116" s="5">
        <v>202975.04</v>
      </c>
      <c r="AP116" s="5">
        <v>17943.46</v>
      </c>
      <c r="AQ116" s="5">
        <v>45731.49</v>
      </c>
      <c r="AR116" s="5">
        <v>2640.57</v>
      </c>
      <c r="AS116" s="763">
        <f t="shared" si="256"/>
        <v>50.166666666666664</v>
      </c>
      <c r="AT116" s="776">
        <v>117534.25</v>
      </c>
      <c r="AU116" s="776">
        <v>1561.6666666666672</v>
      </c>
      <c r="AV116" s="776">
        <v>9502.25</v>
      </c>
      <c r="AW116" s="776">
        <v>1060.8333333333328</v>
      </c>
      <c r="AX116" s="776">
        <v>5</v>
      </c>
      <c r="AY116" s="776">
        <v>5</v>
      </c>
      <c r="AZ116" s="776">
        <v>32743.833333333325</v>
      </c>
      <c r="BA116" s="776">
        <v>238.0833333333334</v>
      </c>
      <c r="BB116" s="776">
        <v>767.8333333333336</v>
      </c>
      <c r="BC116" s="779">
        <v>48788346.324340433</v>
      </c>
      <c r="BD116" s="779">
        <f ca="1">IFERROR(VLOOKUP($B116-1,CDM!$V$4:$AJ$17,11,FALSE)/12,0)+IFERROR(VLOOKUP($B116,CDM!$V$41:$AJ$54,11,FALSE)/24,0)+IFERROR(VLOOKUP($B116,CDM!$V$41:$AJ$54,11,FALSE)/2*$C116/78,0)</f>
        <v>1777809.3929767448</v>
      </c>
      <c r="BE116" s="779">
        <f t="shared" ca="1" si="192"/>
        <v>50566155.717317179</v>
      </c>
      <c r="BF116" s="779">
        <f>IFERROR(HLOOKUP(B116-1,'EV Forecast WRZ'!$F$124:$T$130,2,FALSE)/12,0)+IFERROR(((HLOOKUP(B116,'EV Forecast WRZ'!$F$116:$T$122,2,FALSE)-HLOOKUP(B116-1,'EV Forecast WRZ'!$F$124:$T$130,2,FALSE)))*C116/78,0)</f>
        <v>410338.32743589743</v>
      </c>
      <c r="BG116" s="779">
        <f ca="1">HLOOKUP(B116,Heating!$R$102:$AD$106,2,FALSE)*INDEX(Weather!$BO$1:$CB$20,MATCH(B116,Weather!$BO$1:$BO$20,0),MATCH(C116,Weather!$BO$1:$CB$1,0))/VLOOKUP(B116,Weather!$BO$2:$CB$20,14,FALSE)*
VLOOKUP('Monthly Data'!$B116,Weather!$BO$3:$CB$20,14,FALSE)/Weather!$CB$14</f>
        <v>577.12695182124037</v>
      </c>
      <c r="BH116" s="779">
        <f t="shared" ca="1" si="181"/>
        <v>50155240.262929462</v>
      </c>
      <c r="BI116" s="779">
        <v>9169559.4624667745</v>
      </c>
      <c r="BJ116" s="779">
        <f ca="1">IFERROR(VLOOKUP($B116-1,CDM!$V$4:$AJ$17,12,FALSE)/12,0)+IFERROR(VLOOKUP($B116,CDM!$V$41:$AJ$54,12,FALSE)/24,0)+IFERROR(VLOOKUP($B116,CDM!$V$41:$AJ$54,12,FALSE)/2*$C116/78,0)</f>
        <v>324699.34477630921</v>
      </c>
      <c r="BK116" s="779">
        <f t="shared" ca="1" si="247"/>
        <v>9494258.8072430845</v>
      </c>
      <c r="BL116" s="779">
        <f>IFERROR(HLOOKUP(B116-1,'EV Forecast WRZ'!$F$124:$T$130,3,FALSE)/12,0)+IFERROR(((HLOOKUP(B116,'EV Forecast WRZ'!$F$116:$T$122,3,FALSE)-HLOOKUP(B116-1,'EV Forecast WRZ'!$F$124:$T$130,3,FALSE)))*C116/78,0)</f>
        <v>54759.938974358978</v>
      </c>
      <c r="BM116" s="779">
        <f ca="1">HLOOKUP(B116,Heating!$R$102:$AD$106,4,FALSE)*INDEX(Weather!$BO$1:$CB$20,MATCH(B116,Weather!$BO$1:$BO$20,0),MATCH(C116,Weather!$BO$1:$CB$1,0))/VLOOKUP(B116,Weather!$BO$2:$CB$20,14,FALSE)*
VLOOKUP('Monthly Data'!$B116,Weather!$BO$3:$CB$20,14,FALSE)/Weather!$CB$14</f>
        <v>91.612561397371366</v>
      </c>
      <c r="BN116" s="779">
        <f t="shared" ca="1" si="183"/>
        <v>9439407.2557073291</v>
      </c>
      <c r="BO116" s="779">
        <v>30205168.489999998</v>
      </c>
      <c r="BP116" s="779">
        <f ca="1">IFERROR(VLOOKUP($B116-1,CDM!$V$4:$AJ$17,13,FALSE)/12,0)+IFERROR(VLOOKUP($B116,CDM!$V$41:$AJ$54,13,FALSE)/24,0)+IFERROR(VLOOKUP($B116,CDM!$V$41:$AJ$54,13,FALSE)/2*$C116/78,0)</f>
        <v>3039956.4166193102</v>
      </c>
      <c r="BQ116" s="779">
        <f t="shared" ca="1" si="248"/>
        <v>33245124.90661931</v>
      </c>
      <c r="BR116" s="779">
        <f>IFERROR(HLOOKUP(B116-1,'EV Forecast WRZ'!$F$124:$T$130,4,FALSE)/12,0)+IFERROR(((HLOOKUP(B116,'EV Forecast WRZ'!$F$116:$T$122,4,FALSE)-HLOOKUP(B116-1,'EV Forecast WRZ'!$F$124:$T$130,4,FALSE)))*C116/78,0)</f>
        <v>24313.607153846158</v>
      </c>
      <c r="BS116" s="779">
        <f ca="1">HLOOKUP(B116,Heating!$R$102:$AD$106,5,FALSE)*INDEX(Weather!$BO$1:$CB$20,MATCH(B116,Weather!$BO$1:$BO$20,0),MATCH(C116,Weather!$BO$1:$CB$1,0))/VLOOKUP(B116,Weather!$BO$2:$CB$20,14,FALSE)*
VLOOKUP('Monthly Data'!$B116,Weather!$BO$3:$CB$20,14,FALSE)/Weather!$CB$14</f>
        <v>48.49432747314011</v>
      </c>
      <c r="BT116" s="779">
        <f t="shared" ca="1" si="185"/>
        <v>33220762.805137988</v>
      </c>
      <c r="BU116" s="779">
        <v>7294365.2199999997</v>
      </c>
      <c r="BV116" s="779">
        <f ca="1">IFERROR(VLOOKUP($B116-1,CDM!$V$4:$AJ$17,14,FALSE)/12,0)+IFERROR(VLOOKUP($B116,CDM!$V$41:$AJ$54,14,FALSE)/24,0)+IFERROR(VLOOKUP($B116,CDM!$V$41:$AJ$54,14,FALSE)/2*$C116/78,0)</f>
        <v>683651.72699532891</v>
      </c>
      <c r="BW116" s="779">
        <f t="shared" ca="1" si="249"/>
        <v>7978016.9469953291</v>
      </c>
      <c r="BX116" s="779">
        <f>IFERROR(HLOOKUP(B116-1,'EV Forecast WRZ'!$F$124:$T$130,5,FALSE)/12,0)+IFERROR(((HLOOKUP(B116,'EV Forecast WRZ'!$F$116:$T$122,5,FALSE)-HLOOKUP(B116-1,'EV Forecast WRZ'!$F$124:$T$130,5,FALSE)))*C116/78,0)</f>
        <v>4187.5161794871792</v>
      </c>
      <c r="BY116" s="779">
        <f t="shared" ca="1" si="193"/>
        <v>7973829.430815842</v>
      </c>
      <c r="BZ116" s="779">
        <v>238077.31</v>
      </c>
      <c r="CA116" s="779">
        <v>2448.0304602780861</v>
      </c>
      <c r="CB116" s="5">
        <v>163570.57</v>
      </c>
      <c r="CC116" s="5">
        <v>68525.399999999994</v>
      </c>
      <c r="CD116" s="5">
        <v>13002.33</v>
      </c>
      <c r="CE116" s="5">
        <v>824</v>
      </c>
      <c r="CF116" s="763">
        <f t="shared" si="252"/>
        <v>6.916666666666667</v>
      </c>
      <c r="CG116" s="785">
        <v>45535.75</v>
      </c>
      <c r="CH116" s="785">
        <v>2465.5</v>
      </c>
      <c r="CI116" s="785">
        <v>388.75</v>
      </c>
      <c r="CJ116" s="785">
        <v>3</v>
      </c>
      <c r="CK116" s="785">
        <v>13713</v>
      </c>
      <c r="CL116" s="785">
        <v>45.41666666666665</v>
      </c>
      <c r="CM116" s="785">
        <v>395.5</v>
      </c>
      <c r="CN116" s="46">
        <f>Weather!C128</f>
        <v>5.5666666666666629</v>
      </c>
      <c r="CO116" s="46">
        <f>Weather!D128</f>
        <v>60.708333333333343</v>
      </c>
      <c r="CP116" s="46">
        <f>Weather!E128</f>
        <v>0.32916666666666927</v>
      </c>
      <c r="CQ116" s="46">
        <f>Weather!F128</f>
        <v>117.47083333333335</v>
      </c>
      <c r="CR116" s="46">
        <f>Weather!G128</f>
        <v>0</v>
      </c>
      <c r="CS116" s="46">
        <f>Weather!H128</f>
        <v>179.14166666666668</v>
      </c>
      <c r="CT116" s="46">
        <f>Weather!I128</f>
        <v>0</v>
      </c>
      <c r="CU116" s="46">
        <f>Weather!J128</f>
        <v>241.14166666666668</v>
      </c>
      <c r="CV116" s="46">
        <f>Weather!K128</f>
        <v>0</v>
      </c>
      <c r="CW116" s="46">
        <f>Weather!L128</f>
        <v>303.14166666666665</v>
      </c>
      <c r="CX116" s="46">
        <f>Weather!M128</f>
        <v>0</v>
      </c>
      <c r="CY116" s="46">
        <f>Weather!N128</f>
        <v>365.14166666666671</v>
      </c>
      <c r="CZ116" s="46">
        <f>Weather!O128</f>
        <v>0</v>
      </c>
      <c r="DA116" s="46">
        <f>Weather!P128</f>
        <v>427.14166666666677</v>
      </c>
      <c r="DB116" s="368">
        <f>'Economic Data'!D130</f>
        <v>8157.9</v>
      </c>
      <c r="DC116" s="368">
        <f>'Economic Data'!E130</f>
        <v>8253.1</v>
      </c>
      <c r="DD116" s="368">
        <f>'Economic Data'!F130</f>
        <v>240.9</v>
      </c>
      <c r="DE116" s="368">
        <f>'Economic Data'!G130</f>
        <v>243</v>
      </c>
      <c r="DF116" s="368">
        <f>'Economic Data'!H130</f>
        <v>52.8</v>
      </c>
      <c r="DG116" s="368">
        <f>'Economic Data'!I130</f>
        <v>52.8</v>
      </c>
      <c r="DH116" s="368">
        <f>'Economic Data'!J130</f>
        <v>876619.7</v>
      </c>
      <c r="DI116" s="368">
        <f>'Economic Data'!K130</f>
        <v>694601.3</v>
      </c>
      <c r="DJ116" s="368">
        <f>'Economic Data'!L130</f>
        <v>92436.4</v>
      </c>
      <c r="DK116" s="368">
        <f>'Economic Data'!M130</f>
        <v>33851.4</v>
      </c>
      <c r="DL116" s="368">
        <f>'Economic Data'!N130</f>
        <v>876752</v>
      </c>
      <c r="DM116" s="368">
        <f>'Economic Data'!O130</f>
        <v>91498</v>
      </c>
      <c r="DN116" s="368">
        <f>'Economic Data'!P130</f>
        <v>16373</v>
      </c>
      <c r="DO116" s="368">
        <f>'Economic Data'!Q130</f>
        <v>695809</v>
      </c>
      <c r="DP116" s="368">
        <f>'Economic Data'!R130</f>
        <v>33820</v>
      </c>
      <c r="DQ116">
        <v>31</v>
      </c>
      <c r="DR116">
        <v>22</v>
      </c>
      <c r="DS116">
        <f t="shared" ref="DS116:ED116" si="265">DS104</f>
        <v>0</v>
      </c>
      <c r="DT116">
        <f t="shared" si="265"/>
        <v>0</v>
      </c>
      <c r="DU116">
        <f t="shared" si="265"/>
        <v>0</v>
      </c>
      <c r="DV116">
        <f t="shared" si="265"/>
        <v>0</v>
      </c>
      <c r="DW116">
        <f t="shared" si="265"/>
        <v>0</v>
      </c>
      <c r="DX116">
        <f t="shared" si="265"/>
        <v>0</v>
      </c>
      <c r="DY116">
        <f t="shared" si="265"/>
        <v>1</v>
      </c>
      <c r="DZ116">
        <f t="shared" si="265"/>
        <v>0</v>
      </c>
      <c r="EA116">
        <f t="shared" si="265"/>
        <v>0</v>
      </c>
      <c r="EB116">
        <f t="shared" si="265"/>
        <v>0</v>
      </c>
      <c r="EC116">
        <f t="shared" si="265"/>
        <v>0</v>
      </c>
      <c r="ED116">
        <f t="shared" si="265"/>
        <v>0</v>
      </c>
      <c r="EE116">
        <f t="shared" ref="EE116:EF116" si="266">EE104</f>
        <v>0</v>
      </c>
      <c r="EF116">
        <f t="shared" si="266"/>
        <v>0</v>
      </c>
      <c r="EG116">
        <f t="shared" si="255"/>
        <v>0</v>
      </c>
      <c r="EH116">
        <f t="shared" si="189"/>
        <v>115</v>
      </c>
      <c r="EI116">
        <v>0</v>
      </c>
      <c r="EJ116">
        <v>0</v>
      </c>
      <c r="EK116">
        <v>0.25</v>
      </c>
      <c r="EL116">
        <v>0</v>
      </c>
      <c r="EM116" s="47">
        <f t="shared" si="194"/>
        <v>0</v>
      </c>
      <c r="EN116" s="47">
        <f t="shared" si="195"/>
        <v>0</v>
      </c>
      <c r="EO116" s="47">
        <f t="shared" si="196"/>
        <v>0</v>
      </c>
      <c r="EP116" s="47">
        <f t="shared" si="197"/>
        <v>0</v>
      </c>
      <c r="EQ116" s="47">
        <f t="shared" si="198"/>
        <v>0</v>
      </c>
      <c r="ER116" s="47">
        <f t="shared" si="199"/>
        <v>0</v>
      </c>
      <c r="ES116" s="47">
        <f t="shared" si="200"/>
        <v>0</v>
      </c>
      <c r="ET116" s="47">
        <f t="shared" si="201"/>
        <v>0</v>
      </c>
      <c r="EU116" s="47">
        <f t="shared" si="202"/>
        <v>0</v>
      </c>
      <c r="EV116" s="47">
        <f t="shared" si="203"/>
        <v>0</v>
      </c>
      <c r="EW116" s="47">
        <f t="shared" si="204"/>
        <v>0</v>
      </c>
      <c r="EX116" s="47">
        <f t="shared" si="205"/>
        <v>0</v>
      </c>
      <c r="EY116" s="47">
        <f t="shared" si="206"/>
        <v>0</v>
      </c>
      <c r="EZ116" s="47">
        <f t="shared" si="207"/>
        <v>0</v>
      </c>
      <c r="FA116" s="47">
        <f t="shared" si="208"/>
        <v>1.3916666666666657</v>
      </c>
      <c r="FB116" s="47">
        <f t="shared" si="209"/>
        <v>15.177083333333336</v>
      </c>
      <c r="FC116" s="47">
        <f t="shared" si="210"/>
        <v>8.2291666666667318E-2</v>
      </c>
      <c r="FD116" s="47">
        <f t="shared" si="211"/>
        <v>29.367708333333336</v>
      </c>
      <c r="FE116" s="47">
        <f t="shared" si="212"/>
        <v>0</v>
      </c>
      <c r="FF116" s="47">
        <f t="shared" si="213"/>
        <v>44.78541666666667</v>
      </c>
      <c r="FG116" s="47">
        <f t="shared" si="214"/>
        <v>0</v>
      </c>
      <c r="FH116" s="47">
        <f t="shared" si="215"/>
        <v>60.28541666666667</v>
      </c>
      <c r="FI116" s="47">
        <f t="shared" si="216"/>
        <v>0</v>
      </c>
      <c r="FJ116" s="47">
        <f t="shared" si="217"/>
        <v>75.785416666666663</v>
      </c>
      <c r="FK116" s="47">
        <f t="shared" si="218"/>
        <v>0</v>
      </c>
      <c r="FL116" s="47">
        <f t="shared" si="219"/>
        <v>91.285416666666677</v>
      </c>
      <c r="FM116" s="47">
        <f t="shared" si="220"/>
        <v>0</v>
      </c>
      <c r="FN116" s="47">
        <f t="shared" si="221"/>
        <v>106.78541666666669</v>
      </c>
      <c r="FO116" s="765">
        <f t="shared" ca="1" si="222"/>
        <v>1007.3198987578456</v>
      </c>
      <c r="FP116" s="765">
        <f t="shared" ca="1" si="223"/>
        <v>732.7788961372562</v>
      </c>
      <c r="FQ116" s="765">
        <f t="shared" ca="1" si="224"/>
        <v>2720.2207285292075</v>
      </c>
      <c r="FR116" s="765">
        <f t="shared" ca="1" si="225"/>
        <v>89819.692460484119</v>
      </c>
      <c r="FS116" s="765">
        <f t="shared" ca="1" si="226"/>
        <v>1706342.6108920905</v>
      </c>
      <c r="FT116" s="765">
        <f t="shared" ca="1" si="227"/>
        <v>6065379.7256826265</v>
      </c>
      <c r="FU116" s="765">
        <f t="shared" si="228"/>
        <v>23.364818413645324</v>
      </c>
      <c r="FV116" s="765">
        <f t="shared" si="229"/>
        <v>77.101417698251836</v>
      </c>
      <c r="FW116" s="765">
        <f t="shared" si="230"/>
        <v>514.857994356414</v>
      </c>
      <c r="FX116" s="765">
        <f t="shared" ca="1" si="231"/>
        <v>1110.4715683241668</v>
      </c>
      <c r="FY116" s="765">
        <f t="shared" ca="1" si="232"/>
        <v>3850.8451864705271</v>
      </c>
      <c r="FZ116" s="765">
        <f t="shared" ca="1" si="233"/>
        <v>85518.006190660599</v>
      </c>
      <c r="GA116" s="765">
        <f t="shared" si="234"/>
        <v>79359.103333333333</v>
      </c>
      <c r="GB116" s="765">
        <f t="shared" si="235"/>
        <v>17.361431488368702</v>
      </c>
      <c r="GC116" s="765">
        <f t="shared" si="236"/>
        <v>53.901588116214761</v>
      </c>
      <c r="GD116" s="765">
        <f t="shared" si="237"/>
        <v>413.57919089759798</v>
      </c>
    </row>
    <row r="117" spans="1:186">
      <c r="A117" s="4">
        <v>45505</v>
      </c>
      <c r="B117" s="6">
        <v>2024</v>
      </c>
      <c r="C117" s="5">
        <v>8</v>
      </c>
      <c r="D117" s="7">
        <v>106004929.9763329</v>
      </c>
      <c r="E117" s="7">
        <f ca="1">IFERROR(VLOOKUP($B117-1,CDM!$V$4:$AJ$17,2,FALSE)/12,0)+IFERROR(VLOOKUP($B117,CDM!$V$41:$AJ$54,2,FALSE)/24,0)+IFERROR(VLOOKUP($B117,CDM!$V$41:$AJ$54,2,FALSE)/2*$C117/78,0)</f>
        <v>4036977.2860918338</v>
      </c>
      <c r="F117" s="7">
        <f t="shared" ca="1" si="169"/>
        <v>110041907.26242474</v>
      </c>
      <c r="G117" s="7">
        <f>IFERROR(HLOOKUP(B117-1,'EV Forecast VRZ'!$F$124:$T$130,2,FALSE)/12,0)+IFERROR(((HLOOKUP(B117,'EV Forecast VRZ'!$F$116:$T$122,2,FALSE)-HLOOKUP(B117-1,'EV Forecast VRZ'!$F$124:$T$130,2,FALSE)))*C117/78,0)</f>
        <v>1256600.6877860012</v>
      </c>
      <c r="H117" s="7">
        <f ca="1">HLOOKUP(B117,Heating!$C$102:$O$106,2,FALSE)*INDEX(Weather!$BO$1:$CB$20,MATCH(B117,Weather!$BO$1:$BO$20,0),MATCH(C117,Weather!$BO$1:$CB$1,0))/VLOOKUP(B117,Weather!$BO$2:$CB$20,14,FALSE)*
VLOOKUP('Monthly Data'!$B117,Weather!$BO$3:$CB$20,14,FALSE)/Weather!$CB$14</f>
        <v>32826.080057184088</v>
      </c>
      <c r="I117" s="7">
        <f t="shared" ca="1" si="170"/>
        <v>108752480.49458155</v>
      </c>
      <c r="J117" s="7">
        <v>1126772.5365435292</v>
      </c>
      <c r="K117" s="7">
        <f ca="1">IFERROR(VLOOKUP($B117-1,CDM!$V$4:$AJ$17,3,FALSE)/12,0)+IFERROR(VLOOKUP($B117,CDM!$V$41:$AJ$54,3,FALSE)/24,0)+IFERROR(VLOOKUP($B117,CDM!$V$41:$AJ$54,3,FALSE)/2*$C117/78,0)</f>
        <v>46238.141519109537</v>
      </c>
      <c r="L117" s="7">
        <f t="shared" ca="1" si="242"/>
        <v>1173010.6780626387</v>
      </c>
      <c r="M117" s="7">
        <f>IFERROR(HLOOKUP(B117-1,'EV Forecast VRZ'!$F$124:$T$130,3,FALSE)/12,0)+IFERROR(((HLOOKUP(B117,'EV Forecast VRZ'!$F$116:$T$122,3,FALSE)-HLOOKUP(B117-1,'EV Forecast VRZ'!$F$124:$T$130,3,FALSE)))*C117/78,0)</f>
        <v>17095.301316562836</v>
      </c>
      <c r="N117" s="7">
        <f ca="1">HLOOKUP(B117,Heating!$C$102:$O$106,3,FALSE)*INDEX(Weather!$BO$1:$CB$20,MATCH(B117,Weather!$BO$1:$BO$20,0),MATCH(C117,Weather!$BO$1:$CB$1,0))/VLOOKUP(B117,Weather!$BO$2:$CB$20,14,FALSE)*
VLOOKUP('Monthly Data'!$B117,Weather!$BO$3:$CB$20,14,FALSE)/Weather!$CB$14</f>
        <v>387.92817489025697</v>
      </c>
      <c r="O117" s="7">
        <f t="shared" ca="1" si="172"/>
        <v>1155527.4485711856</v>
      </c>
      <c r="P117" s="7">
        <v>22900300.742820028</v>
      </c>
      <c r="Q117" s="7">
        <f ca="1">IFERROR(VLOOKUP($B117-1,CDM!$V$4:$AJ$17,4,FALSE)/12,0)+IFERROR(VLOOKUP($B117,CDM!$V$41:$AJ$54,4,FALSE)/24,0)+IFERROR(VLOOKUP($B117,CDM!$V$41:$AJ$54,4,FALSE)/2*$C117/78,0)</f>
        <v>1725985.8441610096</v>
      </c>
      <c r="R117" s="7">
        <f t="shared" ca="1" si="243"/>
        <v>24626286.586981039</v>
      </c>
      <c r="S117" s="7">
        <f>IFERROR(HLOOKUP(B117-1,'EV Forecast VRZ'!$F$124:$T$130,4,FALSE)/12,0)+IFERROR(((HLOOKUP(B117,'EV Forecast VRZ'!$F$116:$T$122,4,FALSE)-HLOOKUP(B117-1,'EV Forecast VRZ'!$F$124:$T$130,4,FALSE)))*C117/78,0)</f>
        <v>160143.30641025642</v>
      </c>
      <c r="T117" s="7">
        <f ca="1">HLOOKUP(B117,Heating!$C$102:$O$106,4,FALSE)*INDEX(Weather!$BO$1:$CB$20,MATCH(B117,Weather!$BO$1:$BO$20,0),MATCH(C117,Weather!$BO$1:$CB$1,0))/VLOOKUP(B117,Weather!$BO$2:$CB$20,14,FALSE)*
VLOOKUP('Monthly Data'!$B117,Weather!$BO$3:$CB$20,14,FALSE)/Weather!$CB$14</f>
        <v>7866.9517693294174</v>
      </c>
      <c r="U117" s="7">
        <f t="shared" ca="1" si="174"/>
        <v>24458276.328801453</v>
      </c>
      <c r="V117" s="7">
        <v>85433825.222527996</v>
      </c>
      <c r="W117" s="7">
        <f ca="1">IFERROR(VLOOKUP($B117-1,CDM!$V$4:$AJ$17,5,FALSE)/12,0)+IFERROR(VLOOKUP($B117,CDM!$V$41:$AJ$54,5,FALSE)/24,0)+IFERROR(VLOOKUP($B117,CDM!$V$41:$AJ$54,5,FALSE)/2*$C117/78,0)</f>
        <v>7028782.8054494895</v>
      </c>
      <c r="X117" s="7">
        <f t="shared" ca="1" si="244"/>
        <v>92462608.027977481</v>
      </c>
      <c r="Y117" s="7">
        <f>IFERROR(HLOOKUP(B117-1,'EV Forecast VRZ'!$F$124:$T$130,5,FALSE)/12,0)+IFERROR(((HLOOKUP(B117,'EV Forecast VRZ'!$F$116:$T$122,5,FALSE)-HLOOKUP(B117-1,'EV Forecast VRZ'!$F$124:$T$130,5,FALSE)))*C117/78,0)</f>
        <v>75686.603269230778</v>
      </c>
      <c r="Z117" s="7">
        <f ca="1">HLOOKUP(B117,Heating!$C$102:$O$106,5,FALSE)*INDEX(Weather!$BO$1:$CB$20,MATCH(B117,Weather!$BO$1:$BO$20,0),MATCH(C117,Weather!$BO$1:$CB$1,0))/VLOOKUP(B117,Weather!$BO$2:$CB$20,14,FALSE)*
VLOOKUP('Monthly Data'!$B117,Weather!$BO$3:$CB$20,14,FALSE)/Weather!$CB$14</f>
        <v>4097.0505109846417</v>
      </c>
      <c r="AA117" s="7">
        <f t="shared" ca="1" si="176"/>
        <v>92382824.37419726</v>
      </c>
      <c r="AB117" s="7">
        <v>7544852.6600000001</v>
      </c>
      <c r="AC117" s="7">
        <f ca="1">IFERROR(VLOOKUP($B117-1,CDM!$V$4:$AJ$17,6,FALSE)/12,0)+IFERROR(VLOOKUP($B117,CDM!$V$41:$AJ$54,6,FALSE)/24,0)+IFERROR(VLOOKUP($B117,CDM!$V$41:$AJ$54,6,FALSE)/2*$C117/78,0)</f>
        <v>357062.63635254162</v>
      </c>
      <c r="AD117" s="7">
        <f t="shared" ca="1" si="245"/>
        <v>7901915.296352542</v>
      </c>
      <c r="AE117" s="7">
        <f>IFERROR(HLOOKUP(B117-1,'EV Forecast VRZ'!$F$124:$T$130,6,FALSE)/12,0)+IFERROR(((HLOOKUP(B117,'EV Forecast VRZ'!$F$116:$T$122,6,FALSE)-HLOOKUP(B117-1,'EV Forecast VRZ'!$F$124:$T$130,6,FALSE)))*C117/78,0)</f>
        <v>9826.39608974359</v>
      </c>
      <c r="AF117" s="7">
        <f t="shared" ca="1" si="178"/>
        <v>7892088.9002627982</v>
      </c>
      <c r="AG117" s="7">
        <v>27451687.519016001</v>
      </c>
      <c r="AH117" s="7">
        <f ca="1">IFERROR(VLOOKUP($B117-1,CDM!$V$4:$AJ$17,7,FALSE)/12,0)+IFERROR(VLOOKUP($B117,CDM!$V$41:$AJ$54,7,FALSE)/24,0)+IFERROR(VLOOKUP($B117,CDM!$V$41:$AJ$54,7,FALSE)/2*$C117/78,0)</f>
        <v>2086479.6654650639</v>
      </c>
      <c r="AI117" s="7">
        <f t="shared" ca="1" si="246"/>
        <v>29538167.184481066</v>
      </c>
      <c r="AJ117" s="7">
        <f>IFERROR(HLOOKUP(B117-1,'EV Forecast VRZ'!$F$124:$T$130,7,FALSE)/12,0)+IFERROR(((HLOOKUP(B117,'EV Forecast VRZ'!$F$116:$T$122,7,FALSE)-HLOOKUP(B117-1,'EV Forecast VRZ'!$F$124:$T$130,7,FALSE)))*C117/78,0)</f>
        <v>1407.6923076923076</v>
      </c>
      <c r="AK117" s="7">
        <f t="shared" ca="1" si="180"/>
        <v>29536759.492173374</v>
      </c>
      <c r="AL117" s="7">
        <v>866680.36</v>
      </c>
      <c r="AM117" s="7">
        <v>18356.562530325464</v>
      </c>
      <c r="AN117" s="7">
        <v>395325.13</v>
      </c>
      <c r="AO117" s="5">
        <v>195085.47</v>
      </c>
      <c r="AP117" s="5">
        <v>16877.849999999999</v>
      </c>
      <c r="AQ117" s="5">
        <v>45522.49</v>
      </c>
      <c r="AR117" s="5">
        <v>2645.23</v>
      </c>
      <c r="AS117" s="763">
        <f t="shared" si="256"/>
        <v>50.166666666666664</v>
      </c>
      <c r="AT117" s="776">
        <v>117690</v>
      </c>
      <c r="AU117" s="776">
        <v>1561.3333333333339</v>
      </c>
      <c r="AV117" s="776">
        <v>9503</v>
      </c>
      <c r="AW117" s="776">
        <v>1063.6666666666661</v>
      </c>
      <c r="AX117" s="776">
        <v>5</v>
      </c>
      <c r="AY117" s="776">
        <v>5</v>
      </c>
      <c r="AZ117" s="776">
        <v>32796.666666666657</v>
      </c>
      <c r="BA117" s="776">
        <v>237.66666666666674</v>
      </c>
      <c r="BB117" s="776">
        <v>763.66666666666697</v>
      </c>
      <c r="BC117" s="779">
        <v>44156917.195840098</v>
      </c>
      <c r="BD117" s="779">
        <f ca="1">IFERROR(VLOOKUP($B117-1,CDM!$V$4:$AJ$17,11,FALSE)/12,0)+IFERROR(VLOOKUP($B117,CDM!$V$41:$AJ$54,11,FALSE)/24,0)+IFERROR(VLOOKUP($B117,CDM!$V$41:$AJ$54,11,FALSE)/2*$C117/78,0)</f>
        <v>1783110.2022240628</v>
      </c>
      <c r="BE117" s="779">
        <f t="shared" ca="1" si="192"/>
        <v>45940027.398064159</v>
      </c>
      <c r="BF117" s="779">
        <f>IFERROR(HLOOKUP(B117-1,'EV Forecast WRZ'!$F$124:$T$130,2,FALSE)/12,0)+IFERROR(((HLOOKUP(B117,'EV Forecast WRZ'!$F$116:$T$122,2,FALSE)-HLOOKUP(B117-1,'EV Forecast WRZ'!$F$124:$T$130,2,FALSE)))*C117/78,0)</f>
        <v>422821.6856410256</v>
      </c>
      <c r="BG117" s="779">
        <f ca="1">HLOOKUP(B117,Heating!$R$102:$AD$106,2,FALSE)*INDEX(Weather!$BO$1:$CB$20,MATCH(B117,Weather!$BO$1:$BO$20,0),MATCH(C117,Weather!$BO$1:$CB$1,0))/VLOOKUP(B117,Weather!$BO$2:$CB$20,14,FALSE)*
VLOOKUP('Monthly Data'!$B117,Weather!$BO$3:$CB$20,14,FALSE)/Weather!$CB$14</f>
        <v>14435.479199984346</v>
      </c>
      <c r="BH117" s="779">
        <f t="shared" ca="1" si="181"/>
        <v>45502770.233223148</v>
      </c>
      <c r="BI117" s="779">
        <v>7765936.299508539</v>
      </c>
      <c r="BJ117" s="779">
        <f ca="1">IFERROR(VLOOKUP($B117-1,CDM!$V$4:$AJ$17,12,FALSE)/12,0)+IFERROR(VLOOKUP($B117,CDM!$V$41:$AJ$54,12,FALSE)/24,0)+IFERROR(VLOOKUP($B117,CDM!$V$41:$AJ$54,12,FALSE)/2*$C117/78,0)</f>
        <v>327746.76010788459</v>
      </c>
      <c r="BK117" s="779">
        <f t="shared" ca="1" si="247"/>
        <v>8093683.0596164232</v>
      </c>
      <c r="BL117" s="779">
        <f>IFERROR(HLOOKUP(B117-1,'EV Forecast WRZ'!$F$124:$T$130,3,FALSE)/12,0)+IFERROR(((HLOOKUP(B117,'EV Forecast WRZ'!$F$116:$T$122,3,FALSE)-HLOOKUP(B117-1,'EV Forecast WRZ'!$F$124:$T$130,3,FALSE)))*C117/78,0)</f>
        <v>56717.370256410264</v>
      </c>
      <c r="BM117" s="779">
        <f ca="1">HLOOKUP(B117,Heating!$R$102:$AD$106,4,FALSE)*INDEX(Weather!$BO$1:$CB$20,MATCH(B117,Weather!$BO$1:$BO$20,0),MATCH(C117,Weather!$BO$1:$CB$1,0))/VLOOKUP(B117,Weather!$BO$2:$CB$20,14,FALSE)*
VLOOKUP('Monthly Data'!$B117,Weather!$BO$3:$CB$20,14,FALSE)/Weather!$CB$14</f>
        <v>2291.4736876101847</v>
      </c>
      <c r="BN117" s="779">
        <f t="shared" ca="1" si="183"/>
        <v>8034674.2156724026</v>
      </c>
      <c r="BO117" s="779">
        <v>29899992.52</v>
      </c>
      <c r="BP117" s="779">
        <f ca="1">IFERROR(VLOOKUP($B117-1,CDM!$V$4:$AJ$17,13,FALSE)/12,0)+IFERROR(VLOOKUP($B117,CDM!$V$41:$AJ$54,13,FALSE)/24,0)+IFERROR(VLOOKUP($B117,CDM!$V$41:$AJ$54,13,FALSE)/2*$C117/78,0)</f>
        <v>3060604.7147150333</v>
      </c>
      <c r="BQ117" s="779">
        <f t="shared" ca="1" si="248"/>
        <v>32960597.234715033</v>
      </c>
      <c r="BR117" s="779">
        <f>IFERROR(HLOOKUP(B117-1,'EV Forecast WRZ'!$F$124:$T$130,4,FALSE)/12,0)+IFERROR(((HLOOKUP(B117,'EV Forecast WRZ'!$F$116:$T$122,4,FALSE)-HLOOKUP(B117-1,'EV Forecast WRZ'!$F$124:$T$130,4,FALSE)))*C117/78,0)</f>
        <v>25162.303794871797</v>
      </c>
      <c r="BS117" s="779">
        <f ca="1">HLOOKUP(B117,Heating!$R$102:$AD$106,5,FALSE)*INDEX(Weather!$BO$1:$CB$20,MATCH(B117,Weather!$BO$1:$BO$20,0),MATCH(C117,Weather!$BO$1:$CB$1,0))/VLOOKUP(B117,Weather!$BO$2:$CB$20,14,FALSE)*
VLOOKUP('Monthly Data'!$B117,Weather!$BO$3:$CB$20,14,FALSE)/Weather!$CB$14</f>
        <v>1212.9720390749899</v>
      </c>
      <c r="BT117" s="779">
        <f t="shared" ca="1" si="185"/>
        <v>32934221.958881088</v>
      </c>
      <c r="BU117" s="779">
        <v>7083138.71</v>
      </c>
      <c r="BV117" s="779">
        <f ca="1">IFERROR(VLOOKUP($B117-1,CDM!$V$4:$AJ$17,14,FALSE)/12,0)+IFERROR(VLOOKUP($B117,CDM!$V$41:$AJ$54,14,FALSE)/24,0)+IFERROR(VLOOKUP($B117,CDM!$V$41:$AJ$54,14,FALSE)/2*$C117/78,0)</f>
        <v>688300.69644944614</v>
      </c>
      <c r="BW117" s="779">
        <f t="shared" ca="1" si="249"/>
        <v>7771439.4064494465</v>
      </c>
      <c r="BX117" s="779">
        <f>IFERROR(HLOOKUP(B117-1,'EV Forecast WRZ'!$F$124:$T$130,5,FALSE)/12,0)+IFERROR(((HLOOKUP(B117,'EV Forecast WRZ'!$F$116:$T$122,5,FALSE)-HLOOKUP(B117-1,'EV Forecast WRZ'!$F$124:$T$130,5,FALSE)))*C117/78,0)</f>
        <v>4389.0095384615379</v>
      </c>
      <c r="BY117" s="779">
        <f t="shared" ca="1" si="193"/>
        <v>7767050.396910985</v>
      </c>
      <c r="BZ117" s="779">
        <v>268839.25</v>
      </c>
      <c r="CA117" s="779">
        <v>2529.636206388579</v>
      </c>
      <c r="CB117" s="5">
        <v>163619.70000000001</v>
      </c>
      <c r="CC117" s="5">
        <v>68808.41</v>
      </c>
      <c r="CD117" s="5">
        <v>13304.84</v>
      </c>
      <c r="CE117" s="5">
        <v>823</v>
      </c>
      <c r="CF117" s="763">
        <f t="shared" si="252"/>
        <v>6.916666666666667</v>
      </c>
      <c r="CG117" s="785">
        <v>45566</v>
      </c>
      <c r="CH117" s="785">
        <v>2467</v>
      </c>
      <c r="CI117" s="785">
        <v>389</v>
      </c>
      <c r="CJ117" s="785">
        <v>3</v>
      </c>
      <c r="CK117" s="785">
        <v>13723</v>
      </c>
      <c r="CL117" s="785">
        <v>45.333333333333314</v>
      </c>
      <c r="CM117" s="785">
        <v>394</v>
      </c>
      <c r="CN117" s="46">
        <f>Weather!C129</f>
        <v>26.975000000000016</v>
      </c>
      <c r="CO117" s="46">
        <f>Weather!D129</f>
        <v>41.841666666666654</v>
      </c>
      <c r="CP117" s="46">
        <f>Weather!E129</f>
        <v>8.2333333333333432</v>
      </c>
      <c r="CQ117" s="46">
        <f>Weather!F129</f>
        <v>85.09999999999998</v>
      </c>
      <c r="CR117" s="46">
        <f>Weather!G129</f>
        <v>1.7583333333333346</v>
      </c>
      <c r="CS117" s="46">
        <f>Weather!H129</f>
        <v>140.625</v>
      </c>
      <c r="CT117" s="46">
        <f>Weather!I129</f>
        <v>0</v>
      </c>
      <c r="CU117" s="46">
        <f>Weather!J129</f>
        <v>200.86666666666665</v>
      </c>
      <c r="CV117" s="46">
        <f>Weather!K129</f>
        <v>0</v>
      </c>
      <c r="CW117" s="46">
        <f>Weather!L129</f>
        <v>262.86666666666667</v>
      </c>
      <c r="CX117" s="46">
        <f>Weather!M129</f>
        <v>0</v>
      </c>
      <c r="CY117" s="46">
        <f>Weather!N129</f>
        <v>324.86666666666667</v>
      </c>
      <c r="CZ117" s="46">
        <f>Weather!O129</f>
        <v>0</v>
      </c>
      <c r="DA117" s="46">
        <f>Weather!P129</f>
        <v>386.86666666666656</v>
      </c>
      <c r="DB117" s="368">
        <f>'Economic Data'!D131</f>
        <v>8164.1</v>
      </c>
      <c r="DC117" s="368">
        <f>'Economic Data'!E131</f>
        <v>8245.1</v>
      </c>
      <c r="DD117" s="368">
        <f>'Economic Data'!F131</f>
        <v>238.3</v>
      </c>
      <c r="DE117" s="368">
        <f>'Economic Data'!G131</f>
        <v>239.1</v>
      </c>
      <c r="DF117" s="368">
        <f>'Economic Data'!H131</f>
        <v>53.7</v>
      </c>
      <c r="DG117" s="368">
        <f>'Economic Data'!I131</f>
        <v>53.7</v>
      </c>
      <c r="DH117" s="368">
        <f>'Economic Data'!J131</f>
        <v>876619.7</v>
      </c>
      <c r="DI117" s="368">
        <f>'Economic Data'!K131</f>
        <v>694601.3</v>
      </c>
      <c r="DJ117" s="368">
        <f>'Economic Data'!L131</f>
        <v>92436.4</v>
      </c>
      <c r="DK117" s="368">
        <f>'Economic Data'!M131</f>
        <v>33851.4</v>
      </c>
      <c r="DL117" s="368">
        <f>'Economic Data'!N131</f>
        <v>876752</v>
      </c>
      <c r="DM117" s="368">
        <f>'Economic Data'!O131</f>
        <v>91498</v>
      </c>
      <c r="DN117" s="368">
        <f>'Economic Data'!P131</f>
        <v>16373</v>
      </c>
      <c r="DO117" s="368">
        <f>'Economic Data'!Q131</f>
        <v>695809</v>
      </c>
      <c r="DP117" s="368">
        <f>'Economic Data'!R131</f>
        <v>33820</v>
      </c>
      <c r="DQ117">
        <v>31</v>
      </c>
      <c r="DR117">
        <v>21</v>
      </c>
      <c r="DS117">
        <f t="shared" ref="DS117:ED117" si="267">DS105</f>
        <v>0</v>
      </c>
      <c r="DT117">
        <f t="shared" si="267"/>
        <v>0</v>
      </c>
      <c r="DU117">
        <f t="shared" si="267"/>
        <v>0</v>
      </c>
      <c r="DV117">
        <f t="shared" si="267"/>
        <v>0</v>
      </c>
      <c r="DW117">
        <f t="shared" si="267"/>
        <v>0</v>
      </c>
      <c r="DX117">
        <f t="shared" si="267"/>
        <v>0</v>
      </c>
      <c r="DY117">
        <f t="shared" si="267"/>
        <v>0</v>
      </c>
      <c r="DZ117">
        <f t="shared" si="267"/>
        <v>1</v>
      </c>
      <c r="EA117">
        <f t="shared" si="267"/>
        <v>0</v>
      </c>
      <c r="EB117">
        <f t="shared" si="267"/>
        <v>0</v>
      </c>
      <c r="EC117">
        <f t="shared" si="267"/>
        <v>0</v>
      </c>
      <c r="ED117">
        <f t="shared" si="267"/>
        <v>0</v>
      </c>
      <c r="EE117">
        <f t="shared" ref="EE117:EF117" si="268">EE105</f>
        <v>0</v>
      </c>
      <c r="EF117">
        <f t="shared" si="268"/>
        <v>0</v>
      </c>
      <c r="EG117">
        <f t="shared" si="255"/>
        <v>0</v>
      </c>
      <c r="EH117">
        <f t="shared" si="189"/>
        <v>116</v>
      </c>
      <c r="EI117">
        <v>0</v>
      </c>
      <c r="EJ117">
        <v>0</v>
      </c>
      <c r="EK117">
        <v>0.25</v>
      </c>
      <c r="EL117">
        <v>0</v>
      </c>
      <c r="EM117" s="47">
        <f t="shared" si="194"/>
        <v>0</v>
      </c>
      <c r="EN117" s="47">
        <f t="shared" si="195"/>
        <v>0</v>
      </c>
      <c r="EO117" s="47">
        <f t="shared" si="196"/>
        <v>0</v>
      </c>
      <c r="EP117" s="47">
        <f t="shared" si="197"/>
        <v>0</v>
      </c>
      <c r="EQ117" s="47">
        <f t="shared" si="198"/>
        <v>0</v>
      </c>
      <c r="ER117" s="47">
        <f t="shared" si="199"/>
        <v>0</v>
      </c>
      <c r="ES117" s="47">
        <f t="shared" si="200"/>
        <v>0</v>
      </c>
      <c r="ET117" s="47">
        <f t="shared" si="201"/>
        <v>0</v>
      </c>
      <c r="EU117" s="47">
        <f t="shared" si="202"/>
        <v>0</v>
      </c>
      <c r="EV117" s="47">
        <f t="shared" si="203"/>
        <v>0</v>
      </c>
      <c r="EW117" s="47">
        <f t="shared" si="204"/>
        <v>0</v>
      </c>
      <c r="EX117" s="47">
        <f t="shared" si="205"/>
        <v>0</v>
      </c>
      <c r="EY117" s="47">
        <f t="shared" si="206"/>
        <v>0</v>
      </c>
      <c r="EZ117" s="47">
        <f t="shared" si="207"/>
        <v>0</v>
      </c>
      <c r="FA117" s="47">
        <f t="shared" si="208"/>
        <v>6.7437500000000039</v>
      </c>
      <c r="FB117" s="47">
        <f t="shared" si="209"/>
        <v>10.460416666666664</v>
      </c>
      <c r="FC117" s="47">
        <f t="shared" si="210"/>
        <v>2.0583333333333358</v>
      </c>
      <c r="FD117" s="47">
        <f t="shared" si="211"/>
        <v>21.274999999999995</v>
      </c>
      <c r="FE117" s="47">
        <f t="shared" si="212"/>
        <v>0.43958333333333366</v>
      </c>
      <c r="FF117" s="47">
        <f t="shared" si="213"/>
        <v>35.15625</v>
      </c>
      <c r="FG117" s="47">
        <f t="shared" si="214"/>
        <v>0</v>
      </c>
      <c r="FH117" s="47">
        <f t="shared" si="215"/>
        <v>50.216666666666661</v>
      </c>
      <c r="FI117" s="47">
        <f t="shared" si="216"/>
        <v>0</v>
      </c>
      <c r="FJ117" s="47">
        <f t="shared" si="217"/>
        <v>65.716666666666669</v>
      </c>
      <c r="FK117" s="47">
        <f t="shared" si="218"/>
        <v>0</v>
      </c>
      <c r="FL117" s="47">
        <f t="shared" si="219"/>
        <v>81.216666666666669</v>
      </c>
      <c r="FM117" s="47">
        <f t="shared" si="220"/>
        <v>0</v>
      </c>
      <c r="FN117" s="47">
        <f t="shared" si="221"/>
        <v>96.71666666666664</v>
      </c>
      <c r="FO117" s="765">
        <f t="shared" ca="1" si="222"/>
        <v>924.05880274094272</v>
      </c>
      <c r="FP117" s="765">
        <f t="shared" ca="1" si="223"/>
        <v>751.28779551407229</v>
      </c>
      <c r="FQ117" s="765">
        <f t="shared" ca="1" si="224"/>
        <v>2591.4223494665935</v>
      </c>
      <c r="FR117" s="765">
        <f t="shared" ca="1" si="225"/>
        <v>86928.180533980762</v>
      </c>
      <c r="FS117" s="765">
        <f t="shared" ca="1" si="226"/>
        <v>1580383.0592705084</v>
      </c>
      <c r="FT117" s="765">
        <f t="shared" ca="1" si="227"/>
        <v>5907633.4368962133</v>
      </c>
      <c r="FU117" s="765">
        <f t="shared" si="228"/>
        <v>26.425867262933231</v>
      </c>
      <c r="FV117" s="765">
        <f t="shared" si="229"/>
        <v>77.236588486642887</v>
      </c>
      <c r="FW117" s="765">
        <f t="shared" si="230"/>
        <v>517.66712789175017</v>
      </c>
      <c r="FX117" s="765">
        <f t="shared" ca="1" si="231"/>
        <v>1008.2084755753009</v>
      </c>
      <c r="FY117" s="765">
        <f t="shared" ca="1" si="232"/>
        <v>3280.7795134237631</v>
      </c>
      <c r="FZ117" s="765">
        <f t="shared" ca="1" si="233"/>
        <v>84731.612428573353</v>
      </c>
      <c r="GA117" s="765">
        <f t="shared" si="234"/>
        <v>89613.083333333328</v>
      </c>
      <c r="GB117" s="765">
        <f t="shared" si="235"/>
        <v>19.590413903665379</v>
      </c>
      <c r="GC117" s="765">
        <f t="shared" si="236"/>
        <v>55.800798670336327</v>
      </c>
      <c r="GD117" s="765">
        <f t="shared" si="237"/>
        <v>415.27842639593911</v>
      </c>
    </row>
    <row r="118" spans="1:186">
      <c r="A118" s="4">
        <v>45536</v>
      </c>
      <c r="B118" s="6">
        <v>2024</v>
      </c>
      <c r="C118" s="5">
        <v>9</v>
      </c>
      <c r="D118" s="7">
        <v>82633298.018076941</v>
      </c>
      <c r="E118" s="7">
        <f ca="1">IFERROR(VLOOKUP($B118-1,CDM!$V$4:$AJ$17,2,FALSE)/12,0)+IFERROR(VLOOKUP($B118,CDM!$V$41:$AJ$54,2,FALSE)/24,0)+IFERROR(VLOOKUP($B118,CDM!$V$41:$AJ$54,2,FALSE)/2*$C118/78,0)</f>
        <v>4049943.0653925235</v>
      </c>
      <c r="F118" s="7">
        <f t="shared" ca="1" si="169"/>
        <v>86683241.083469465</v>
      </c>
      <c r="G118" s="7">
        <f>IFERROR(HLOOKUP(B118-1,'EV Forecast VRZ'!$F$124:$T$130,2,FALSE)/12,0)+IFERROR(((HLOOKUP(B118,'EV Forecast VRZ'!$F$116:$T$122,2,FALSE)-HLOOKUP(B118-1,'EV Forecast VRZ'!$F$124:$T$130,2,FALSE)))*C118/78,0)</f>
        <v>1288368.1164189181</v>
      </c>
      <c r="H118" s="7">
        <f ca="1">HLOOKUP(B118,Heating!$C$102:$O$106,2,FALSE)*INDEX(Weather!$BO$1:$CB$20,MATCH(B118,Weather!$BO$1:$BO$20,0),MATCH(C118,Weather!$BO$1:$CB$1,0))/VLOOKUP(B118,Weather!$BO$2:$CB$20,14,FALSE)*
VLOOKUP('Monthly Data'!$B118,Weather!$BO$3:$CB$20,14,FALSE)/Weather!$CB$14</f>
        <v>117084.11550760784</v>
      </c>
      <c r="I118" s="7">
        <f t="shared" ca="1" si="170"/>
        <v>85277788.85154295</v>
      </c>
      <c r="J118" s="7">
        <v>818287.47120855993</v>
      </c>
      <c r="K118" s="7">
        <f ca="1">IFERROR(VLOOKUP($B118-1,CDM!$V$4:$AJ$17,3,FALSE)/12,0)+IFERROR(VLOOKUP($B118,CDM!$V$41:$AJ$54,3,FALSE)/24,0)+IFERROR(VLOOKUP($B118,CDM!$V$41:$AJ$54,3,FALSE)/2*$C118/78,0)</f>
        <v>46386.613386197307</v>
      </c>
      <c r="L118" s="7">
        <f t="shared" ca="1" si="242"/>
        <v>864674.0845947573</v>
      </c>
      <c r="M118" s="7">
        <f>IFERROR(HLOOKUP(B118-1,'EV Forecast VRZ'!$F$124:$T$130,3,FALSE)/12,0)+IFERROR(((HLOOKUP(B118,'EV Forecast VRZ'!$F$116:$T$122,3,FALSE)-HLOOKUP(B118-1,'EV Forecast VRZ'!$F$124:$T$130,3,FALSE)))*C118/78,0)</f>
        <v>17527.478196466473</v>
      </c>
      <c r="N118" s="7">
        <f ca="1">HLOOKUP(B118,Heating!$C$102:$O$106,3,FALSE)*INDEX(Weather!$BO$1:$CB$20,MATCH(B118,Weather!$BO$1:$BO$20,0),MATCH(C118,Weather!$BO$1:$CB$1,0))/VLOOKUP(B118,Weather!$BO$2:$CB$20,14,FALSE)*
VLOOKUP('Monthly Data'!$B118,Weather!$BO$3:$CB$20,14,FALSE)/Weather!$CB$14</f>
        <v>1383.6628424223316</v>
      </c>
      <c r="O118" s="7">
        <f t="shared" ca="1" si="172"/>
        <v>845762.94355586846</v>
      </c>
      <c r="P118" s="7">
        <v>20255998.744241707</v>
      </c>
      <c r="Q118" s="7">
        <f ca="1">IFERROR(VLOOKUP($B118-1,CDM!$V$4:$AJ$17,4,FALSE)/12,0)+IFERROR(VLOOKUP($B118,CDM!$V$41:$AJ$54,4,FALSE)/24,0)+IFERROR(VLOOKUP($B118,CDM!$V$41:$AJ$54,4,FALSE)/2*$C118/78,0)</f>
        <v>1735852.6776261777</v>
      </c>
      <c r="R118" s="7">
        <f t="shared" ca="1" si="243"/>
        <v>21991851.421867885</v>
      </c>
      <c r="S118" s="7">
        <f>IFERROR(HLOOKUP(B118-1,'EV Forecast VRZ'!$F$124:$T$130,4,FALSE)/12,0)+IFERROR(((HLOOKUP(B118,'EV Forecast VRZ'!$F$116:$T$122,4,FALSE)-HLOOKUP(B118-1,'EV Forecast VRZ'!$F$124:$T$130,4,FALSE)))*C118/78,0)</f>
        <v>164429.79846153848</v>
      </c>
      <c r="T118" s="7">
        <f ca="1">HLOOKUP(B118,Heating!$C$102:$O$106,4,FALSE)*INDEX(Weather!$BO$1:$CB$20,MATCH(B118,Weather!$BO$1:$BO$20,0),MATCH(C118,Weather!$BO$1:$CB$1,0))/VLOOKUP(B118,Weather!$BO$2:$CB$20,14,FALSE)*
VLOOKUP('Monthly Data'!$B118,Weather!$BO$3:$CB$20,14,FALSE)/Weather!$CB$14</f>
        <v>28059.856310846993</v>
      </c>
      <c r="U118" s="7">
        <f t="shared" ca="1" si="174"/>
        <v>21799361.767095499</v>
      </c>
      <c r="V118" s="7">
        <v>80205046.317248002</v>
      </c>
      <c r="W118" s="7">
        <f ca="1">IFERROR(VLOOKUP($B118-1,CDM!$V$4:$AJ$17,5,FALSE)/12,0)+IFERROR(VLOOKUP($B118,CDM!$V$41:$AJ$54,5,FALSE)/24,0)+IFERROR(VLOOKUP($B118,CDM!$V$41:$AJ$54,5,FALSE)/2*$C118/78,0)</f>
        <v>7064594.0389487762</v>
      </c>
      <c r="X118" s="7">
        <f t="shared" ca="1" si="244"/>
        <v>87269640.356196776</v>
      </c>
      <c r="Y118" s="7">
        <f>IFERROR(HLOOKUP(B118-1,'EV Forecast VRZ'!$F$124:$T$130,5,FALSE)/12,0)+IFERROR(((HLOOKUP(B118,'EV Forecast VRZ'!$F$116:$T$122,5,FALSE)-HLOOKUP(B118-1,'EV Forecast VRZ'!$F$124:$T$130,5,FALSE)))*C118/78,0)</f>
        <v>77831.101615384614</v>
      </c>
      <c r="Z118" s="7">
        <f ca="1">HLOOKUP(B118,Heating!$C$102:$O$106,5,FALSE)*INDEX(Weather!$BO$1:$CB$20,MATCH(B118,Weather!$BO$1:$BO$20,0),MATCH(C118,Weather!$BO$1:$CB$1,0))/VLOOKUP(B118,Weather!$BO$2:$CB$20,14,FALSE)*
VLOOKUP('Monthly Data'!$B118,Weather!$BO$3:$CB$20,14,FALSE)/Weather!$CB$14</f>
        <v>14613.366397479613</v>
      </c>
      <c r="AA118" s="7">
        <f t="shared" ca="1" si="176"/>
        <v>87177195.888183907</v>
      </c>
      <c r="AB118" s="7">
        <v>7686100.8399999999</v>
      </c>
      <c r="AC118" s="7">
        <f ca="1">IFERROR(VLOOKUP($B118-1,CDM!$V$4:$AJ$17,6,FALSE)/12,0)+IFERROR(VLOOKUP($B118,CDM!$V$41:$AJ$54,6,FALSE)/24,0)+IFERROR(VLOOKUP($B118,CDM!$V$41:$AJ$54,6,FALSE)/2*$C118/78,0)</f>
        <v>360756.77824463067</v>
      </c>
      <c r="AD118" s="7">
        <f t="shared" ca="1" si="245"/>
        <v>8046857.6182446303</v>
      </c>
      <c r="AE118" s="7">
        <f>IFERROR(HLOOKUP(B118-1,'EV Forecast VRZ'!$F$124:$T$130,6,FALSE)/12,0)+IFERROR(((HLOOKUP(B118,'EV Forecast VRZ'!$F$116:$T$122,6,FALSE)-HLOOKUP(B118-1,'EV Forecast VRZ'!$F$124:$T$130,6,FALSE)))*C118/78,0)</f>
        <v>10106.874538461539</v>
      </c>
      <c r="AF118" s="7">
        <f t="shared" ca="1" si="178"/>
        <v>8036750.7437061686</v>
      </c>
      <c r="AG118" s="7">
        <v>27475494.365572002</v>
      </c>
      <c r="AH118" s="7">
        <f ca="1">IFERROR(VLOOKUP($B118-1,CDM!$V$4:$AJ$17,7,FALSE)/12,0)+IFERROR(VLOOKUP($B118,CDM!$V$41:$AJ$54,7,FALSE)/24,0)+IFERROR(VLOOKUP($B118,CDM!$V$41:$AJ$54,7,FALSE)/2*$C118/78,0)</f>
        <v>2101747.1333089941</v>
      </c>
      <c r="AI118" s="7">
        <f t="shared" ca="1" si="246"/>
        <v>29577241.498880997</v>
      </c>
      <c r="AJ118" s="7">
        <f>IFERROR(HLOOKUP(B118-1,'EV Forecast VRZ'!$F$124:$T$130,7,FALSE)/12,0)+IFERROR(((HLOOKUP(B118,'EV Forecast VRZ'!$F$116:$T$122,7,FALSE)-HLOOKUP(B118-1,'EV Forecast VRZ'!$F$124:$T$130,7,FALSE)))*C118/78,0)</f>
        <v>1496.1538461538462</v>
      </c>
      <c r="AK118" s="7">
        <f t="shared" ca="1" si="180"/>
        <v>29575745.345034845</v>
      </c>
      <c r="AL118" s="7">
        <v>956102.62</v>
      </c>
      <c r="AM118" s="7">
        <v>17764.42544072459</v>
      </c>
      <c r="AN118" s="7">
        <v>395295.31</v>
      </c>
      <c r="AO118" s="5">
        <v>187610.8</v>
      </c>
      <c r="AP118" s="5">
        <v>18573.919999999998</v>
      </c>
      <c r="AQ118" s="5">
        <v>45353.26</v>
      </c>
      <c r="AR118" s="5">
        <v>2643.95</v>
      </c>
      <c r="AS118" s="763">
        <f t="shared" si="256"/>
        <v>50.166666666666664</v>
      </c>
      <c r="AT118" s="776">
        <v>117845.75</v>
      </c>
      <c r="AU118" s="776">
        <v>1561.0000000000007</v>
      </c>
      <c r="AV118" s="776">
        <v>9503.75</v>
      </c>
      <c r="AW118" s="776">
        <v>1066.4999999999993</v>
      </c>
      <c r="AX118" s="776">
        <v>5</v>
      </c>
      <c r="AY118" s="776">
        <v>5</v>
      </c>
      <c r="AZ118" s="776">
        <v>32849.499999999993</v>
      </c>
      <c r="BA118" s="776">
        <v>237.25000000000009</v>
      </c>
      <c r="BB118" s="776">
        <v>759.50000000000034</v>
      </c>
      <c r="BC118" s="779">
        <v>35075115.564343274</v>
      </c>
      <c r="BD118" s="779">
        <f ca="1">IFERROR(VLOOKUP($B118-1,CDM!$V$4:$AJ$17,11,FALSE)/12,0)+IFERROR(VLOOKUP($B118,CDM!$V$41:$AJ$54,11,FALSE)/24,0)+IFERROR(VLOOKUP($B118,CDM!$V$41:$AJ$54,11,FALSE)/2*$C118/78,0)</f>
        <v>1788411.0114713805</v>
      </c>
      <c r="BE118" s="779">
        <f t="shared" ref="BE118:BE121" ca="1" si="269">BC118+BD118</f>
        <v>36863526.575814657</v>
      </c>
      <c r="BF118" s="779">
        <f>IFERROR(HLOOKUP(B118-1,'EV Forecast WRZ'!$F$124:$T$130,2,FALSE)/12,0)+IFERROR(((HLOOKUP(B118,'EV Forecast WRZ'!$F$116:$T$122,2,FALSE)-HLOOKUP(B118-1,'EV Forecast WRZ'!$F$124:$T$130,2,FALSE)))*C118/78,0)</f>
        <v>435305.04384615377</v>
      </c>
      <c r="BG118" s="779">
        <f ca="1">HLOOKUP(B118,Heating!$R$102:$AD$106,2,FALSE)*INDEX(Weather!$BO$1:$CB$20,MATCH(B118,Weather!$BO$1:$BO$20,0),MATCH(C118,Weather!$BO$1:$CB$1,0))/VLOOKUP(B118,Weather!$BO$2:$CB$20,14,FALSE)*
VLOOKUP('Monthly Data'!$B118,Weather!$BO$3:$CB$20,14,FALSE)/Weather!$CB$14</f>
        <v>51488.49058779834</v>
      </c>
      <c r="BH118" s="779">
        <f t="shared" ca="1" si="181"/>
        <v>36376733.041380703</v>
      </c>
      <c r="BI118" s="779">
        <v>6948343.0878897365</v>
      </c>
      <c r="BJ118" s="779">
        <f ca="1">IFERROR(VLOOKUP($B118-1,CDM!$V$4:$AJ$17,12,FALSE)/12,0)+IFERROR(VLOOKUP($B118,CDM!$V$41:$AJ$54,12,FALSE)/24,0)+IFERROR(VLOOKUP($B118,CDM!$V$41:$AJ$54,12,FALSE)/2*$C118/78,0)</f>
        <v>330794.17543945997</v>
      </c>
      <c r="BK118" s="779">
        <f t="shared" ca="1" si="247"/>
        <v>7279137.2633291967</v>
      </c>
      <c r="BL118" s="779">
        <f>IFERROR(HLOOKUP(B118-1,'EV Forecast WRZ'!$F$124:$T$130,3,FALSE)/12,0)+IFERROR(((HLOOKUP(B118,'EV Forecast WRZ'!$F$116:$T$122,3,FALSE)-HLOOKUP(B118-1,'EV Forecast WRZ'!$F$124:$T$130,3,FALSE)))*C118/78,0)</f>
        <v>58674.801538461543</v>
      </c>
      <c r="BM118" s="779">
        <f ca="1">HLOOKUP(B118,Heating!$R$102:$AD$106,4,FALSE)*INDEX(Weather!$BO$1:$CB$20,MATCH(B118,Weather!$BO$1:$BO$20,0),MATCH(C118,Weather!$BO$1:$CB$1,0))/VLOOKUP(B118,Weather!$BO$2:$CB$20,14,FALSE)*
VLOOKUP('Monthly Data'!$B118,Weather!$BO$3:$CB$20,14,FALSE)/Weather!$CB$14</f>
        <v>8173.2320598565584</v>
      </c>
      <c r="BN118" s="779">
        <f t="shared" ca="1" si="183"/>
        <v>7212289.229730878</v>
      </c>
      <c r="BO118" s="779">
        <v>27862082.350000001</v>
      </c>
      <c r="BP118" s="779">
        <f ca="1">IFERROR(VLOOKUP($B118-1,CDM!$V$4:$AJ$17,13,FALSE)/12,0)+IFERROR(VLOOKUP($B118,CDM!$V$41:$AJ$54,13,FALSE)/24,0)+IFERROR(VLOOKUP($B118,CDM!$V$41:$AJ$54,13,FALSE)/2*$C118/78,0)</f>
        <v>3081253.012810756</v>
      </c>
      <c r="BQ118" s="779">
        <f t="shared" ca="1" si="248"/>
        <v>30943335.362810757</v>
      </c>
      <c r="BR118" s="779">
        <f>IFERROR(HLOOKUP(B118-1,'EV Forecast WRZ'!$F$124:$T$130,4,FALSE)/12,0)+IFERROR(((HLOOKUP(B118,'EV Forecast WRZ'!$F$116:$T$122,4,FALSE)-HLOOKUP(B118-1,'EV Forecast WRZ'!$F$124:$T$130,4,FALSE)))*C118/78,0)</f>
        <v>26011.00043589744</v>
      </c>
      <c r="BS118" s="779">
        <f ca="1">HLOOKUP(B118,Heating!$R$102:$AD$106,5,FALSE)*INDEX(Weather!$BO$1:$CB$20,MATCH(B118,Weather!$BO$1:$BO$20,0),MATCH(C118,Weather!$BO$1:$CB$1,0))/VLOOKUP(B118,Weather!$BO$2:$CB$20,14,FALSE)*
VLOOKUP('Monthly Data'!$B118,Weather!$BO$3:$CB$20,14,FALSE)/Weather!$CB$14</f>
        <v>4326.4306332998576</v>
      </c>
      <c r="BT118" s="779">
        <f t="shared" ca="1" si="185"/>
        <v>30912997.931741562</v>
      </c>
      <c r="BU118" s="779">
        <v>6642315.3300000001</v>
      </c>
      <c r="BV118" s="779">
        <f ca="1">IFERROR(VLOOKUP($B118-1,CDM!$V$4:$AJ$17,14,FALSE)/12,0)+IFERROR(VLOOKUP($B118,CDM!$V$41:$AJ$54,14,FALSE)/24,0)+IFERROR(VLOOKUP($B118,CDM!$V$41:$AJ$54,14,FALSE)/2*$C118/78,0)</f>
        <v>692949.66590356349</v>
      </c>
      <c r="BW118" s="779">
        <f t="shared" ca="1" si="249"/>
        <v>7335264.9959035637</v>
      </c>
      <c r="BX118" s="779">
        <f>IFERROR(HLOOKUP(B118-1,'EV Forecast WRZ'!$F$124:$T$130,5,FALSE)/12,0)+IFERROR(((HLOOKUP(B118,'EV Forecast WRZ'!$F$116:$T$122,5,FALSE)-HLOOKUP(B118-1,'EV Forecast WRZ'!$F$124:$T$130,5,FALSE)))*C118/78,0)</f>
        <v>4590.5028974358975</v>
      </c>
      <c r="BY118" s="779">
        <f t="shared" ref="BY118:BY121" ca="1" si="270">BW118-BX118</f>
        <v>7330674.4930061279</v>
      </c>
      <c r="BZ118" s="779">
        <v>296760.83</v>
      </c>
      <c r="CA118" s="779">
        <v>2529.636206388579</v>
      </c>
      <c r="CB118" s="5">
        <v>163092.82</v>
      </c>
      <c r="CC118" s="5">
        <v>65390.09</v>
      </c>
      <c r="CD118" s="5">
        <v>12014.52</v>
      </c>
      <c r="CE118" s="5">
        <v>823</v>
      </c>
      <c r="CF118" s="763">
        <f t="shared" si="252"/>
        <v>6.916666666666667</v>
      </c>
      <c r="CG118" s="785">
        <v>45596.25</v>
      </c>
      <c r="CH118" s="785">
        <v>2468.5</v>
      </c>
      <c r="CI118" s="785">
        <v>389.25</v>
      </c>
      <c r="CJ118" s="785">
        <v>3</v>
      </c>
      <c r="CK118" s="785">
        <v>13733</v>
      </c>
      <c r="CL118" s="785">
        <v>45.249999999999979</v>
      </c>
      <c r="CM118" s="785">
        <v>392.5</v>
      </c>
      <c r="CN118" s="46">
        <f>Weather!C130</f>
        <v>69.33750000000002</v>
      </c>
      <c r="CO118" s="46">
        <f>Weather!D130</f>
        <v>0.63750000000000284</v>
      </c>
      <c r="CP118" s="46">
        <f>Weather!E130</f>
        <v>29.36666666666666</v>
      </c>
      <c r="CQ118" s="46">
        <f>Weather!F130</f>
        <v>20.666666666666679</v>
      </c>
      <c r="CR118" s="46">
        <f>Weather!G130</f>
        <v>10.920833333333333</v>
      </c>
      <c r="CS118" s="46">
        <f>Weather!H130</f>
        <v>62.220833333333331</v>
      </c>
      <c r="CT118" s="46">
        <f>Weather!I130</f>
        <v>2.5625000000000036</v>
      </c>
      <c r="CU118" s="46">
        <f>Weather!J130</f>
        <v>113.86250000000001</v>
      </c>
      <c r="CV118" s="46">
        <f>Weather!K130</f>
        <v>0</v>
      </c>
      <c r="CW118" s="46">
        <f>Weather!L130</f>
        <v>171.29999999999998</v>
      </c>
      <c r="CX118" s="46">
        <f>Weather!M130</f>
        <v>0</v>
      </c>
      <c r="CY118" s="46">
        <f>Weather!N130</f>
        <v>231.3</v>
      </c>
      <c r="CZ118" s="46">
        <f>Weather!O130</f>
        <v>0</v>
      </c>
      <c r="DA118" s="46">
        <f>Weather!P130</f>
        <v>291.30000000000007</v>
      </c>
      <c r="DB118" s="368">
        <f>'Economic Data'!D132</f>
        <v>8177.5</v>
      </c>
      <c r="DC118" s="368">
        <f>'Economic Data'!E132</f>
        <v>8217.2000000000007</v>
      </c>
      <c r="DD118" s="368">
        <f>'Economic Data'!F132</f>
        <v>240.5</v>
      </c>
      <c r="DE118" s="368">
        <f>'Economic Data'!G132</f>
        <v>239.6</v>
      </c>
      <c r="DF118" s="368">
        <f>'Economic Data'!H132</f>
        <v>51.7</v>
      </c>
      <c r="DG118" s="368">
        <f>'Economic Data'!I132</f>
        <v>51.7</v>
      </c>
      <c r="DH118" s="368">
        <f>'Economic Data'!J132</f>
        <v>876619.7</v>
      </c>
      <c r="DI118" s="368">
        <f>'Economic Data'!K132</f>
        <v>694601.3</v>
      </c>
      <c r="DJ118" s="368">
        <f>'Economic Data'!L132</f>
        <v>92436.4</v>
      </c>
      <c r="DK118" s="368">
        <f>'Economic Data'!M132</f>
        <v>33851.4</v>
      </c>
      <c r="DL118" s="368">
        <f>'Economic Data'!N132</f>
        <v>876752</v>
      </c>
      <c r="DM118" s="368">
        <f>'Economic Data'!O132</f>
        <v>91498</v>
      </c>
      <c r="DN118" s="368">
        <f>'Economic Data'!P132</f>
        <v>16373</v>
      </c>
      <c r="DO118" s="368">
        <f>'Economic Data'!Q132</f>
        <v>695809</v>
      </c>
      <c r="DP118" s="368">
        <f>'Economic Data'!R132</f>
        <v>33820</v>
      </c>
      <c r="DQ118">
        <v>30</v>
      </c>
      <c r="DR118">
        <v>20</v>
      </c>
      <c r="DS118">
        <f t="shared" ref="DS118:ED118" si="271">DS106</f>
        <v>0</v>
      </c>
      <c r="DT118">
        <f t="shared" si="271"/>
        <v>0</v>
      </c>
      <c r="DU118">
        <f t="shared" si="271"/>
        <v>0</v>
      </c>
      <c r="DV118">
        <f t="shared" si="271"/>
        <v>0</v>
      </c>
      <c r="DW118">
        <f t="shared" si="271"/>
        <v>0</v>
      </c>
      <c r="DX118">
        <f t="shared" si="271"/>
        <v>0</v>
      </c>
      <c r="DY118">
        <f t="shared" si="271"/>
        <v>0</v>
      </c>
      <c r="DZ118">
        <f t="shared" si="271"/>
        <v>0</v>
      </c>
      <c r="EA118">
        <f t="shared" si="271"/>
        <v>1</v>
      </c>
      <c r="EB118">
        <f t="shared" si="271"/>
        <v>0</v>
      </c>
      <c r="EC118">
        <f t="shared" si="271"/>
        <v>0</v>
      </c>
      <c r="ED118">
        <f t="shared" si="271"/>
        <v>0</v>
      </c>
      <c r="EE118">
        <f t="shared" ref="EE118:EF118" si="272">EE106</f>
        <v>0</v>
      </c>
      <c r="EF118">
        <f t="shared" si="272"/>
        <v>1</v>
      </c>
      <c r="EG118">
        <f t="shared" si="255"/>
        <v>1</v>
      </c>
      <c r="EH118">
        <f t="shared" si="189"/>
        <v>117</v>
      </c>
      <c r="EI118">
        <v>0</v>
      </c>
      <c r="EJ118">
        <v>0</v>
      </c>
      <c r="EK118">
        <v>0.25</v>
      </c>
      <c r="EL118">
        <v>0</v>
      </c>
      <c r="EM118" s="47">
        <f t="shared" si="194"/>
        <v>0</v>
      </c>
      <c r="EN118" s="47">
        <f t="shared" si="195"/>
        <v>0</v>
      </c>
      <c r="EO118" s="47">
        <f t="shared" si="196"/>
        <v>0</v>
      </c>
      <c r="EP118" s="47">
        <f t="shared" si="197"/>
        <v>0</v>
      </c>
      <c r="EQ118" s="47">
        <f t="shared" si="198"/>
        <v>0</v>
      </c>
      <c r="ER118" s="47">
        <f t="shared" si="199"/>
        <v>0</v>
      </c>
      <c r="ES118" s="47">
        <f t="shared" si="200"/>
        <v>0</v>
      </c>
      <c r="ET118" s="47">
        <f t="shared" si="201"/>
        <v>0</v>
      </c>
      <c r="EU118" s="47">
        <f t="shared" si="202"/>
        <v>0</v>
      </c>
      <c r="EV118" s="47">
        <f t="shared" si="203"/>
        <v>0</v>
      </c>
      <c r="EW118" s="47">
        <f t="shared" si="204"/>
        <v>0</v>
      </c>
      <c r="EX118" s="47">
        <f t="shared" si="205"/>
        <v>0</v>
      </c>
      <c r="EY118" s="47">
        <f t="shared" si="206"/>
        <v>0</v>
      </c>
      <c r="EZ118" s="47">
        <f t="shared" si="207"/>
        <v>0</v>
      </c>
      <c r="FA118" s="47">
        <f t="shared" si="208"/>
        <v>17.334375000000005</v>
      </c>
      <c r="FB118" s="47">
        <f t="shared" si="209"/>
        <v>0.15937500000000071</v>
      </c>
      <c r="FC118" s="47">
        <f t="shared" si="210"/>
        <v>7.341666666666665</v>
      </c>
      <c r="FD118" s="47">
        <f t="shared" si="211"/>
        <v>5.1666666666666696</v>
      </c>
      <c r="FE118" s="47">
        <f t="shared" si="212"/>
        <v>2.7302083333333331</v>
      </c>
      <c r="FF118" s="47">
        <f t="shared" si="213"/>
        <v>15.555208333333333</v>
      </c>
      <c r="FG118" s="47">
        <f t="shared" si="214"/>
        <v>0.64062500000000089</v>
      </c>
      <c r="FH118" s="47">
        <f t="shared" si="215"/>
        <v>28.465625000000003</v>
      </c>
      <c r="FI118" s="47">
        <f t="shared" si="216"/>
        <v>0</v>
      </c>
      <c r="FJ118" s="47">
        <f t="shared" si="217"/>
        <v>42.824999999999996</v>
      </c>
      <c r="FK118" s="47">
        <f t="shared" si="218"/>
        <v>0</v>
      </c>
      <c r="FL118" s="47">
        <f t="shared" si="219"/>
        <v>57.825000000000003</v>
      </c>
      <c r="FM118" s="47">
        <f t="shared" si="220"/>
        <v>0</v>
      </c>
      <c r="FN118" s="47">
        <f t="shared" si="221"/>
        <v>72.825000000000017</v>
      </c>
      <c r="FO118" s="765">
        <f t="shared" ca="1" si="222"/>
        <v>723.63906930494272</v>
      </c>
      <c r="FP118" s="765">
        <f t="shared" ca="1" si="223"/>
        <v>553.92318039382246</v>
      </c>
      <c r="FQ118" s="765">
        <f t="shared" ca="1" si="224"/>
        <v>2314.0183003412217</v>
      </c>
      <c r="FR118" s="765">
        <f t="shared" ca="1" si="225"/>
        <v>81828.073470414281</v>
      </c>
      <c r="FS118" s="765">
        <f t="shared" ca="1" si="226"/>
        <v>1609371.5236489261</v>
      </c>
      <c r="FT118" s="765">
        <f t="shared" ca="1" si="227"/>
        <v>5915448.2997761993</v>
      </c>
      <c r="FU118" s="765">
        <f t="shared" si="228"/>
        <v>29.10554559430129</v>
      </c>
      <c r="FV118" s="765">
        <f t="shared" si="229"/>
        <v>74.876398064171056</v>
      </c>
      <c r="FW118" s="765">
        <f t="shared" si="230"/>
        <v>520.46782093482534</v>
      </c>
      <c r="FX118" s="765">
        <f t="shared" ca="1" si="231"/>
        <v>808.47715713056789</v>
      </c>
      <c r="FY118" s="765">
        <f t="shared" ca="1" si="232"/>
        <v>2948.8099102002011</v>
      </c>
      <c r="FZ118" s="765">
        <f t="shared" ca="1" si="233"/>
        <v>79494.76008429224</v>
      </c>
      <c r="GA118" s="765">
        <f t="shared" si="234"/>
        <v>98920.276666666672</v>
      </c>
      <c r="GB118" s="765">
        <f t="shared" si="235"/>
        <v>21.609322799097068</v>
      </c>
      <c r="GC118" s="765">
        <f t="shared" si="236"/>
        <v>55.90356257212332</v>
      </c>
      <c r="GD118" s="765">
        <f t="shared" si="237"/>
        <v>415.5231082802548</v>
      </c>
    </row>
    <row r="119" spans="1:186">
      <c r="A119" s="4">
        <v>45566</v>
      </c>
      <c r="B119" s="6">
        <v>2024</v>
      </c>
      <c r="C119" s="5">
        <v>10</v>
      </c>
      <c r="D119" s="7">
        <v>72908134.109043688</v>
      </c>
      <c r="E119" s="7">
        <f ca="1">IFERROR(VLOOKUP($B119-1,CDM!$V$4:$AJ$17,2,FALSE)/12,0)+IFERROR(VLOOKUP($B119,CDM!$V$41:$AJ$54,2,FALSE)/24,0)+IFERROR(VLOOKUP($B119,CDM!$V$41:$AJ$54,2,FALSE)/2*$C119/78,0)</f>
        <v>4062908.8446932137</v>
      </c>
      <c r="F119" s="7">
        <f t="shared" ref="F119:F121" ca="1" si="273">D119+E119</f>
        <v>76971042.953736901</v>
      </c>
      <c r="G119" s="7">
        <f>IFERROR(HLOOKUP(B119-1,'EV Forecast VRZ'!$F$124:$T$130,2,FALSE)/12,0)+IFERROR(((HLOOKUP(B119,'EV Forecast VRZ'!$F$116:$T$122,2,FALSE)-HLOOKUP(B119-1,'EV Forecast VRZ'!$F$124:$T$130,2,FALSE)))*C119/78,0)</f>
        <v>1320135.545051835</v>
      </c>
      <c r="H119" s="7">
        <f ca="1">HLOOKUP(B119,Heating!$C$102:$O$106,2,FALSE)*INDEX(Weather!$BO$1:$CB$20,MATCH(B119,Weather!$BO$1:$BO$20,0),MATCH(C119,Weather!$BO$1:$CB$1,0))/VLOOKUP(B119,Weather!$BO$2:$CB$20,14,FALSE)*
VLOOKUP('Monthly Data'!$B119,Weather!$BO$3:$CB$20,14,FALSE)/Weather!$CB$14</f>
        <v>932719.17555195082</v>
      </c>
      <c r="I119" s="7">
        <f t="shared" ref="I119:I121" ca="1" si="274">F119-G119-H119</f>
        <v>74718188.233133122</v>
      </c>
      <c r="J119" s="7">
        <v>929395.92331918713</v>
      </c>
      <c r="K119" s="7">
        <f ca="1">IFERROR(VLOOKUP($B119-1,CDM!$V$4:$AJ$17,3,FALSE)/12,0)+IFERROR(VLOOKUP($B119,CDM!$V$41:$AJ$54,3,FALSE)/24,0)+IFERROR(VLOOKUP($B119,CDM!$V$41:$AJ$54,3,FALSE)/2*$C119/78,0)</f>
        <v>46535.085253285077</v>
      </c>
      <c r="L119" s="7">
        <f t="shared" ca="1" si="242"/>
        <v>975931.00857247226</v>
      </c>
      <c r="M119" s="7">
        <f>IFERROR(HLOOKUP(B119-1,'EV Forecast VRZ'!$F$124:$T$130,3,FALSE)/12,0)+IFERROR(((HLOOKUP(B119,'EV Forecast VRZ'!$F$116:$T$122,3,FALSE)-HLOOKUP(B119-1,'EV Forecast VRZ'!$F$124:$T$130,3,FALSE)))*C119/78,0)</f>
        <v>17959.655076370113</v>
      </c>
      <c r="N119" s="7">
        <f ca="1">HLOOKUP(B119,Heating!$C$102:$O$106,3,FALSE)*INDEX(Weather!$BO$1:$CB$20,MATCH(B119,Weather!$BO$1:$BO$20,0),MATCH(C119,Weather!$BO$1:$CB$1,0))/VLOOKUP(B119,Weather!$BO$2:$CB$20,14,FALSE)*
VLOOKUP('Monthly Data'!$B119,Weather!$BO$3:$CB$20,14,FALSE)/Weather!$CB$14</f>
        <v>11022.578596856443</v>
      </c>
      <c r="O119" s="7">
        <f t="shared" ref="O119:O121" ca="1" si="275">L119-M119-N119</f>
        <v>946948.77489924571</v>
      </c>
      <c r="P119" s="7">
        <v>19438285.949555848</v>
      </c>
      <c r="Q119" s="7">
        <f ca="1">IFERROR(VLOOKUP($B119-1,CDM!$V$4:$AJ$17,4,FALSE)/12,0)+IFERROR(VLOOKUP($B119,CDM!$V$41:$AJ$54,4,FALSE)/24,0)+IFERROR(VLOOKUP($B119,CDM!$V$41:$AJ$54,4,FALSE)/2*$C119/78,0)</f>
        <v>1745719.5110913457</v>
      </c>
      <c r="R119" s="7">
        <f t="shared" ca="1" si="243"/>
        <v>21184005.460647192</v>
      </c>
      <c r="S119" s="7">
        <f>IFERROR(HLOOKUP(B119-1,'EV Forecast VRZ'!$F$124:$T$130,4,FALSE)/12,0)+IFERROR(((HLOOKUP(B119,'EV Forecast VRZ'!$F$116:$T$122,4,FALSE)-HLOOKUP(B119-1,'EV Forecast VRZ'!$F$124:$T$130,4,FALSE)))*C119/78,0)</f>
        <v>168716.29051282053</v>
      </c>
      <c r="T119" s="7">
        <f ca="1">HLOOKUP(B119,Heating!$C$102:$O$106,4,FALSE)*INDEX(Weather!$BO$1:$CB$20,MATCH(B119,Weather!$BO$1:$BO$20,0),MATCH(C119,Weather!$BO$1:$CB$1,0))/VLOOKUP(B119,Weather!$BO$2:$CB$20,14,FALSE)*
VLOOKUP('Monthly Data'!$B119,Weather!$BO$3:$CB$20,14,FALSE)/Weather!$CB$14</f>
        <v>223531.31277366838</v>
      </c>
      <c r="U119" s="7">
        <f t="shared" ref="U119:U121" ca="1" si="276">R119-S119-T119</f>
        <v>20791757.857360706</v>
      </c>
      <c r="V119" s="7">
        <v>77252086.307630002</v>
      </c>
      <c r="W119" s="7">
        <f ca="1">IFERROR(VLOOKUP($B119-1,CDM!$V$4:$AJ$17,5,FALSE)/12,0)+IFERROR(VLOOKUP($B119,CDM!$V$41:$AJ$54,5,FALSE)/24,0)+IFERROR(VLOOKUP($B119,CDM!$V$41:$AJ$54,5,FALSE)/2*$C119/78,0)</f>
        <v>7100405.272448062</v>
      </c>
      <c r="X119" s="7">
        <f t="shared" ca="1" si="244"/>
        <v>84352491.580078065</v>
      </c>
      <c r="Y119" s="7">
        <f>IFERROR(HLOOKUP(B119-1,'EV Forecast VRZ'!$F$124:$T$130,5,FALSE)/12,0)+IFERROR(((HLOOKUP(B119,'EV Forecast VRZ'!$F$116:$T$122,5,FALSE)-HLOOKUP(B119-1,'EV Forecast VRZ'!$F$124:$T$130,5,FALSE)))*C119/78,0)</f>
        <v>79975.599961538464</v>
      </c>
      <c r="Z119" s="7">
        <f ca="1">HLOOKUP(B119,Heating!$C$102:$O$106,5,FALSE)*INDEX(Weather!$BO$1:$CB$20,MATCH(B119,Weather!$BO$1:$BO$20,0),MATCH(C119,Weather!$BO$1:$CB$1,0))/VLOOKUP(B119,Weather!$BO$2:$CB$20,14,FALSE)*
VLOOKUP('Monthly Data'!$B119,Weather!$BO$3:$CB$20,14,FALSE)/Weather!$CB$14</f>
        <v>116413.46052112516</v>
      </c>
      <c r="AA119" s="7">
        <f t="shared" ref="AA119:AA121" ca="1" si="277">X119-Y119-Z119</f>
        <v>84156102.519595399</v>
      </c>
      <c r="AB119" s="7">
        <v>8174840.4900000002</v>
      </c>
      <c r="AC119" s="7">
        <f ca="1">IFERROR(VLOOKUP($B119-1,CDM!$V$4:$AJ$17,6,FALSE)/12,0)+IFERROR(VLOOKUP($B119,CDM!$V$41:$AJ$54,6,FALSE)/24,0)+IFERROR(VLOOKUP($B119,CDM!$V$41:$AJ$54,6,FALSE)/2*$C119/78,0)</f>
        <v>364450.92013671965</v>
      </c>
      <c r="AD119" s="7">
        <f t="shared" ca="1" si="245"/>
        <v>8539291.4101367202</v>
      </c>
      <c r="AE119" s="7">
        <f>IFERROR(HLOOKUP(B119-1,'EV Forecast VRZ'!$F$124:$T$130,6,FALSE)/12,0)+IFERROR(((HLOOKUP(B119,'EV Forecast VRZ'!$F$116:$T$122,6,FALSE)-HLOOKUP(B119-1,'EV Forecast VRZ'!$F$124:$T$130,6,FALSE)))*C119/78,0)</f>
        <v>10387.352987179487</v>
      </c>
      <c r="AF119" s="7">
        <f t="shared" ref="AF119:AF121" ca="1" si="278">AD119-AE119</f>
        <v>8528904.0571495406</v>
      </c>
      <c r="AG119" s="7">
        <v>27216137.946850002</v>
      </c>
      <c r="AH119" s="7">
        <f ca="1">IFERROR(VLOOKUP($B119-1,CDM!$V$4:$AJ$17,7,FALSE)/12,0)+IFERROR(VLOOKUP($B119,CDM!$V$41:$AJ$54,7,FALSE)/24,0)+IFERROR(VLOOKUP($B119,CDM!$V$41:$AJ$54,7,FALSE)/2*$C119/78,0)</f>
        <v>2117014.6011529248</v>
      </c>
      <c r="AI119" s="7">
        <f t="shared" ca="1" si="246"/>
        <v>29333152.548002928</v>
      </c>
      <c r="AJ119" s="7">
        <f>IFERROR(HLOOKUP(B119-1,'EV Forecast VRZ'!$F$124:$T$130,7,FALSE)/12,0)+IFERROR(((HLOOKUP(B119,'EV Forecast VRZ'!$F$116:$T$122,7,FALSE)-HLOOKUP(B119-1,'EV Forecast VRZ'!$F$124:$T$130,7,FALSE)))*C119/78,0)</f>
        <v>1584.6153846153848</v>
      </c>
      <c r="AK119" s="7">
        <f t="shared" ref="AK119:AK121" ca="1" si="279">AI119-AJ119</f>
        <v>29331567.932618313</v>
      </c>
      <c r="AL119" s="7">
        <v>1116838.68</v>
      </c>
      <c r="AM119" s="7">
        <v>18356.562530325464</v>
      </c>
      <c r="AN119" s="7">
        <v>395325.13</v>
      </c>
      <c r="AO119" s="5">
        <v>180281.22</v>
      </c>
      <c r="AP119" s="5">
        <v>17525.32</v>
      </c>
      <c r="AQ119" s="5">
        <v>44208.15</v>
      </c>
      <c r="AR119" s="5">
        <v>2643.95</v>
      </c>
      <c r="AS119" s="763">
        <f t="shared" si="256"/>
        <v>50.166666666666664</v>
      </c>
      <c r="AT119" s="776">
        <v>118001.5</v>
      </c>
      <c r="AU119" s="776">
        <v>1560.6666666666674</v>
      </c>
      <c r="AV119" s="776">
        <v>9504.5</v>
      </c>
      <c r="AW119" s="776">
        <v>1069.3333333333326</v>
      </c>
      <c r="AX119" s="776">
        <v>5</v>
      </c>
      <c r="AY119" s="776">
        <v>5</v>
      </c>
      <c r="AZ119" s="776">
        <v>32902.333333333328</v>
      </c>
      <c r="BA119" s="776">
        <v>236.83333333333343</v>
      </c>
      <c r="BB119" s="776">
        <v>755.33333333333371</v>
      </c>
      <c r="BC119" s="779">
        <v>28309900.056605309</v>
      </c>
      <c r="BD119" s="779">
        <f ca="1">IFERROR(VLOOKUP($B119-1,CDM!$V$4:$AJ$17,11,FALSE)/12,0)+IFERROR(VLOOKUP($B119,CDM!$V$41:$AJ$54,11,FALSE)/24,0)+IFERROR(VLOOKUP($B119,CDM!$V$41:$AJ$54,11,FALSE)/2*$C119/78,0)</f>
        <v>1793711.8207186982</v>
      </c>
      <c r="BE119" s="779">
        <f t="shared" ca="1" si="269"/>
        <v>30103611.877324007</v>
      </c>
      <c r="BF119" s="779">
        <f>IFERROR(HLOOKUP(B119-1,'EV Forecast WRZ'!$F$124:$T$130,2,FALSE)/12,0)+IFERROR(((HLOOKUP(B119,'EV Forecast WRZ'!$F$116:$T$122,2,FALSE)-HLOOKUP(B119-1,'EV Forecast WRZ'!$F$124:$T$130,2,FALSE)))*C119/78,0)</f>
        <v>447788.402051282</v>
      </c>
      <c r="BG119" s="779">
        <f ca="1">HLOOKUP(B119,Heating!$R$102:$AD$106,2,FALSE)*INDEX(Weather!$BO$1:$CB$20,MATCH(B119,Weather!$BO$1:$BO$20,0),MATCH(C119,Weather!$BO$1:$CB$1,0))/VLOOKUP(B119,Weather!$BO$2:$CB$20,14,FALSE)*
VLOOKUP('Monthly Data'!$B119,Weather!$BO$3:$CB$20,14,FALSE)/Weather!$CB$14</f>
        <v>410169.23844246956</v>
      </c>
      <c r="BH119" s="779">
        <f t="shared" ref="BH119:BH121" ca="1" si="280">BE119-BF119-BG119</f>
        <v>29245654.236830257</v>
      </c>
      <c r="BI119" s="779">
        <v>6625263.0535753397</v>
      </c>
      <c r="BJ119" s="779">
        <f ca="1">IFERROR(VLOOKUP($B119-1,CDM!$V$4:$AJ$17,12,FALSE)/12,0)+IFERROR(VLOOKUP($B119,CDM!$V$41:$AJ$54,12,FALSE)/24,0)+IFERROR(VLOOKUP($B119,CDM!$V$41:$AJ$54,12,FALSE)/2*$C119/78,0)</f>
        <v>333841.59077103535</v>
      </c>
      <c r="BK119" s="779">
        <f t="shared" ca="1" si="247"/>
        <v>6959104.644346375</v>
      </c>
      <c r="BL119" s="779">
        <f>IFERROR(HLOOKUP(B119-1,'EV Forecast WRZ'!$F$124:$T$130,3,FALSE)/12,0)+IFERROR(((HLOOKUP(B119,'EV Forecast WRZ'!$F$116:$T$122,3,FALSE)-HLOOKUP(B119-1,'EV Forecast WRZ'!$F$124:$T$130,3,FALSE)))*C119/78,0)</f>
        <v>60632.232820512829</v>
      </c>
      <c r="BM119" s="779">
        <f ca="1">HLOOKUP(B119,Heating!$R$102:$AD$106,4,FALSE)*INDEX(Weather!$BO$1:$CB$20,MATCH(B119,Weather!$BO$1:$BO$20,0),MATCH(C119,Weather!$BO$1:$CB$1,0))/VLOOKUP(B119,Weather!$BO$2:$CB$20,14,FALSE)*
VLOOKUP('Monthly Data'!$B119,Weather!$BO$3:$CB$20,14,FALSE)/Weather!$CB$14</f>
        <v>65109.859141984431</v>
      </c>
      <c r="BN119" s="779">
        <f t="shared" ref="BN119:BN121" ca="1" si="281">BK119-BL119-BM119</f>
        <v>6833362.5523838783</v>
      </c>
      <c r="BO119" s="779">
        <v>27277779.640000001</v>
      </c>
      <c r="BP119" s="779">
        <f ca="1">IFERROR(VLOOKUP($B119-1,CDM!$V$4:$AJ$17,13,FALSE)/12,0)+IFERROR(VLOOKUP($B119,CDM!$V$41:$AJ$54,13,FALSE)/24,0)+IFERROR(VLOOKUP($B119,CDM!$V$41:$AJ$54,13,FALSE)/2*$C119/78,0)</f>
        <v>3101901.3109064791</v>
      </c>
      <c r="BQ119" s="779">
        <f t="shared" ca="1" si="248"/>
        <v>30379680.950906478</v>
      </c>
      <c r="BR119" s="779">
        <f>IFERROR(HLOOKUP(B119-1,'EV Forecast WRZ'!$F$124:$T$130,4,FALSE)/12,0)+IFERROR(((HLOOKUP(B119,'EV Forecast WRZ'!$F$116:$T$122,4,FALSE)-HLOOKUP(B119-1,'EV Forecast WRZ'!$F$124:$T$130,4,FALSE)))*C119/78,0)</f>
        <v>26859.697076923083</v>
      </c>
      <c r="BS119" s="779">
        <f ca="1">HLOOKUP(B119,Heating!$R$102:$AD$106,5,FALSE)*INDEX(Weather!$BO$1:$CB$20,MATCH(B119,Weather!$BO$1:$BO$20,0),MATCH(C119,Weather!$BO$1:$CB$1,0))/VLOOKUP(B119,Weather!$BO$2:$CB$20,14,FALSE)*
VLOOKUP('Monthly Data'!$B119,Weather!$BO$3:$CB$20,14,FALSE)/Weather!$CB$14</f>
        <v>34465.34823173294</v>
      </c>
      <c r="BT119" s="779">
        <f t="shared" ref="BT119:BT121" ca="1" si="282">BQ119-BR119-BS119</f>
        <v>30318355.905597821</v>
      </c>
      <c r="BU119" s="779">
        <v>6311924.96</v>
      </c>
      <c r="BV119" s="779">
        <f ca="1">IFERROR(VLOOKUP($B119-1,CDM!$V$4:$AJ$17,14,FALSE)/12,0)+IFERROR(VLOOKUP($B119,CDM!$V$41:$AJ$54,14,FALSE)/24,0)+IFERROR(VLOOKUP($B119,CDM!$V$41:$AJ$54,14,FALSE)/2*$C119/78,0)</f>
        <v>697598.63535768073</v>
      </c>
      <c r="BW119" s="779">
        <f t="shared" ca="1" si="249"/>
        <v>7009523.5953576807</v>
      </c>
      <c r="BX119" s="779">
        <f>IFERROR(HLOOKUP(B119-1,'EV Forecast WRZ'!$F$124:$T$130,5,FALSE)/12,0)+IFERROR(((HLOOKUP(B119,'EV Forecast WRZ'!$F$116:$T$122,5,FALSE)-HLOOKUP(B119-1,'EV Forecast WRZ'!$F$124:$T$130,5,FALSE)))*C119/78,0)</f>
        <v>4791.9962564102552</v>
      </c>
      <c r="BY119" s="779">
        <f t="shared" ca="1" si="270"/>
        <v>7004731.5991012705</v>
      </c>
      <c r="BZ119" s="779">
        <v>347016.35</v>
      </c>
      <c r="CA119" s="779">
        <v>2448.0304602780861</v>
      </c>
      <c r="CB119" s="5">
        <v>162565.94</v>
      </c>
      <c r="CC119" s="5">
        <v>62355.4</v>
      </c>
      <c r="CD119" s="5">
        <v>11923.16</v>
      </c>
      <c r="CE119" s="5">
        <v>824</v>
      </c>
      <c r="CF119" s="763">
        <f t="shared" si="252"/>
        <v>6.916666666666667</v>
      </c>
      <c r="CG119" s="785">
        <v>45626.5</v>
      </c>
      <c r="CH119" s="785">
        <v>2470</v>
      </c>
      <c r="CI119" s="785">
        <v>389.5</v>
      </c>
      <c r="CJ119" s="785">
        <v>3</v>
      </c>
      <c r="CK119" s="785">
        <v>13743</v>
      </c>
      <c r="CL119" s="785">
        <v>45.166666666666643</v>
      </c>
      <c r="CM119" s="785">
        <v>391</v>
      </c>
      <c r="CN119" s="46">
        <f>Weather!C131</f>
        <v>295.94166666666661</v>
      </c>
      <c r="CO119" s="46">
        <f>Weather!D131</f>
        <v>0</v>
      </c>
      <c r="CP119" s="46">
        <f>Weather!E131</f>
        <v>233.94166666666658</v>
      </c>
      <c r="CQ119" s="46">
        <f>Weather!F131</f>
        <v>0</v>
      </c>
      <c r="CR119" s="46">
        <f>Weather!G131</f>
        <v>174.98749999999998</v>
      </c>
      <c r="CS119" s="46">
        <f>Weather!H131</f>
        <v>3.0458333333333378</v>
      </c>
      <c r="CT119" s="46">
        <f>Weather!I131</f>
        <v>122.06250000000001</v>
      </c>
      <c r="CU119" s="46">
        <f>Weather!J131</f>
        <v>12.120833333333337</v>
      </c>
      <c r="CV119" s="46">
        <f>Weather!K131</f>
        <v>79.04583333333332</v>
      </c>
      <c r="CW119" s="46">
        <f>Weather!L131</f>
        <v>31.104166666666679</v>
      </c>
      <c r="CX119" s="46">
        <f>Weather!M131</f>
        <v>46.029166666666669</v>
      </c>
      <c r="CY119" s="46">
        <f>Weather!N131</f>
        <v>60.087500000000006</v>
      </c>
      <c r="CZ119" s="46">
        <f>Weather!O131</f>
        <v>18.616666666666671</v>
      </c>
      <c r="DA119" s="46">
        <f>Weather!P131</f>
        <v>94.675000000000011</v>
      </c>
      <c r="DB119" s="368">
        <f>'Economic Data'!D133</f>
        <v>8179.8</v>
      </c>
      <c r="DC119" s="368">
        <f>'Economic Data'!E133</f>
        <v>8197.6</v>
      </c>
      <c r="DD119" s="368">
        <f>'Economic Data'!F133</f>
        <v>242.1</v>
      </c>
      <c r="DE119" s="368">
        <f>'Economic Data'!G133</f>
        <v>239.7</v>
      </c>
      <c r="DF119" s="368">
        <f>'Economic Data'!H133</f>
        <v>46.4</v>
      </c>
      <c r="DG119" s="368">
        <f>'Economic Data'!I133</f>
        <v>46.4</v>
      </c>
      <c r="DH119" s="368">
        <f>'Economic Data'!J133</f>
        <v>876619.7</v>
      </c>
      <c r="DI119" s="368">
        <f>'Economic Data'!K133</f>
        <v>694601.3</v>
      </c>
      <c r="DJ119" s="368">
        <f>'Economic Data'!L133</f>
        <v>92436.4</v>
      </c>
      <c r="DK119" s="368">
        <f>'Economic Data'!M133</f>
        <v>33851.4</v>
      </c>
      <c r="DL119" s="368">
        <f>'Economic Data'!N133</f>
        <v>880222</v>
      </c>
      <c r="DM119" s="368">
        <f>'Economic Data'!O133</f>
        <v>91070</v>
      </c>
      <c r="DN119" s="368">
        <f>'Economic Data'!P133</f>
        <v>16405</v>
      </c>
      <c r="DO119" s="368">
        <f>'Economic Data'!Q133</f>
        <v>698594</v>
      </c>
      <c r="DP119" s="368">
        <f>'Economic Data'!R133</f>
        <v>33766</v>
      </c>
      <c r="DQ119">
        <v>31</v>
      </c>
      <c r="DR119">
        <v>22</v>
      </c>
      <c r="DS119">
        <f t="shared" ref="DS119:ED119" si="283">DS107</f>
        <v>0</v>
      </c>
      <c r="DT119">
        <f t="shared" si="283"/>
        <v>0</v>
      </c>
      <c r="DU119">
        <f t="shared" si="283"/>
        <v>0</v>
      </c>
      <c r="DV119">
        <f t="shared" si="283"/>
        <v>0</v>
      </c>
      <c r="DW119">
        <f t="shared" si="283"/>
        <v>0</v>
      </c>
      <c r="DX119">
        <f t="shared" si="283"/>
        <v>0</v>
      </c>
      <c r="DY119">
        <f t="shared" si="283"/>
        <v>0</v>
      </c>
      <c r="DZ119">
        <f t="shared" si="283"/>
        <v>0</v>
      </c>
      <c r="EA119">
        <f t="shared" si="283"/>
        <v>0</v>
      </c>
      <c r="EB119">
        <f t="shared" si="283"/>
        <v>1</v>
      </c>
      <c r="EC119">
        <f t="shared" si="283"/>
        <v>0</v>
      </c>
      <c r="ED119">
        <f t="shared" si="283"/>
        <v>0</v>
      </c>
      <c r="EE119">
        <f t="shared" ref="EE119:EF119" si="284">EE107</f>
        <v>0</v>
      </c>
      <c r="EF119">
        <f t="shared" si="284"/>
        <v>1</v>
      </c>
      <c r="EG119">
        <f t="shared" si="255"/>
        <v>1</v>
      </c>
      <c r="EH119">
        <f t="shared" si="189"/>
        <v>118</v>
      </c>
      <c r="EI119">
        <v>0</v>
      </c>
      <c r="EJ119">
        <v>0</v>
      </c>
      <c r="EK119">
        <v>0.25</v>
      </c>
      <c r="EL119">
        <v>0</v>
      </c>
      <c r="EM119" s="47">
        <f t="shared" si="194"/>
        <v>0</v>
      </c>
      <c r="EN119" s="47">
        <f t="shared" si="195"/>
        <v>0</v>
      </c>
      <c r="EO119" s="47">
        <f t="shared" si="196"/>
        <v>0</v>
      </c>
      <c r="EP119" s="47">
        <f t="shared" si="197"/>
        <v>0</v>
      </c>
      <c r="EQ119" s="47">
        <f t="shared" si="198"/>
        <v>0</v>
      </c>
      <c r="ER119" s="47">
        <f t="shared" si="199"/>
        <v>0</v>
      </c>
      <c r="ES119" s="47">
        <f t="shared" si="200"/>
        <v>0</v>
      </c>
      <c r="ET119" s="47">
        <f t="shared" si="201"/>
        <v>0</v>
      </c>
      <c r="EU119" s="47">
        <f t="shared" si="202"/>
        <v>0</v>
      </c>
      <c r="EV119" s="47">
        <f t="shared" si="203"/>
        <v>0</v>
      </c>
      <c r="EW119" s="47">
        <f t="shared" si="204"/>
        <v>0</v>
      </c>
      <c r="EX119" s="47">
        <f t="shared" si="205"/>
        <v>0</v>
      </c>
      <c r="EY119" s="47">
        <f t="shared" si="206"/>
        <v>0</v>
      </c>
      <c r="EZ119" s="47">
        <f t="shared" si="207"/>
        <v>0</v>
      </c>
      <c r="FA119" s="47">
        <f t="shared" si="208"/>
        <v>73.985416666666652</v>
      </c>
      <c r="FB119" s="47">
        <f t="shared" si="209"/>
        <v>0</v>
      </c>
      <c r="FC119" s="47">
        <f t="shared" si="210"/>
        <v>58.485416666666644</v>
      </c>
      <c r="FD119" s="47">
        <f t="shared" si="211"/>
        <v>0</v>
      </c>
      <c r="FE119" s="47">
        <f t="shared" si="212"/>
        <v>43.746874999999996</v>
      </c>
      <c r="FF119" s="47">
        <f t="shared" si="213"/>
        <v>0.76145833333333446</v>
      </c>
      <c r="FG119" s="47">
        <f t="shared" si="214"/>
        <v>30.515625000000004</v>
      </c>
      <c r="FH119" s="47">
        <f t="shared" si="215"/>
        <v>3.0302083333333343</v>
      </c>
      <c r="FI119" s="47">
        <f t="shared" si="216"/>
        <v>19.76145833333333</v>
      </c>
      <c r="FJ119" s="47">
        <f t="shared" si="217"/>
        <v>7.7760416666666696</v>
      </c>
      <c r="FK119" s="47">
        <f t="shared" si="218"/>
        <v>11.507291666666667</v>
      </c>
      <c r="FL119" s="47">
        <f t="shared" si="219"/>
        <v>15.021875000000001</v>
      </c>
      <c r="FM119" s="47">
        <f t="shared" si="220"/>
        <v>4.6541666666666677</v>
      </c>
      <c r="FN119" s="47">
        <f t="shared" si="221"/>
        <v>23.668750000000003</v>
      </c>
      <c r="FO119" s="765">
        <f t="shared" ca="1" si="222"/>
        <v>633.19693591295982</v>
      </c>
      <c r="FP119" s="765">
        <f t="shared" ca="1" si="223"/>
        <v>625.32956550991355</v>
      </c>
      <c r="FQ119" s="765">
        <f t="shared" ca="1" si="224"/>
        <v>2228.8395455465507</v>
      </c>
      <c r="FR119" s="765">
        <f t="shared" ca="1" si="225"/>
        <v>78883.252724511956</v>
      </c>
      <c r="FS119" s="765">
        <f t="shared" ca="1" si="226"/>
        <v>1707858.282027344</v>
      </c>
      <c r="FT119" s="765">
        <f t="shared" ca="1" si="227"/>
        <v>5866630.5096005853</v>
      </c>
      <c r="FU119" s="765">
        <f t="shared" si="228"/>
        <v>33.944057057756801</v>
      </c>
      <c r="FV119" s="765">
        <f t="shared" si="229"/>
        <v>77.508356919037823</v>
      </c>
      <c r="FW119" s="765">
        <f t="shared" si="230"/>
        <v>523.37837157987622</v>
      </c>
      <c r="FX119" s="765">
        <f t="shared" ca="1" si="231"/>
        <v>659.78350031941977</v>
      </c>
      <c r="FY119" s="765">
        <f t="shared" ca="1" si="232"/>
        <v>2817.4512730147267</v>
      </c>
      <c r="FZ119" s="765">
        <f t="shared" ca="1" si="233"/>
        <v>77996.613481146283</v>
      </c>
      <c r="GA119" s="765">
        <f t="shared" si="234"/>
        <v>115672.11666666665</v>
      </c>
      <c r="GB119" s="765">
        <f t="shared" si="235"/>
        <v>25.250407480171724</v>
      </c>
      <c r="GC119" s="765">
        <f t="shared" si="236"/>
        <v>54.199936389920758</v>
      </c>
      <c r="GD119" s="765">
        <f t="shared" si="237"/>
        <v>415.76966751918161</v>
      </c>
    </row>
    <row r="120" spans="1:186">
      <c r="A120" s="4">
        <v>45597</v>
      </c>
      <c r="B120" s="6">
        <v>2024</v>
      </c>
      <c r="C120" s="5">
        <v>11</v>
      </c>
      <c r="D120" s="7">
        <v>77429583.459883168</v>
      </c>
      <c r="E120" s="7">
        <f ca="1">IFERROR(VLOOKUP($B120-1,CDM!$V$4:$AJ$17,2,FALSE)/12,0)+IFERROR(VLOOKUP($B120,CDM!$V$41:$AJ$54,2,FALSE)/24,0)+IFERROR(VLOOKUP($B120,CDM!$V$41:$AJ$54,2,FALSE)/2*$C120/78,0)</f>
        <v>4075874.6239939039</v>
      </c>
      <c r="F120" s="7">
        <f t="shared" ca="1" si="273"/>
        <v>81505458.083877072</v>
      </c>
      <c r="G120" s="7">
        <f>IFERROR(HLOOKUP(B120-1,'EV Forecast VRZ'!$F$124:$T$130,2,FALSE)/12,0)+IFERROR(((HLOOKUP(B120,'EV Forecast VRZ'!$F$116:$T$122,2,FALSE)-HLOOKUP(B120-1,'EV Forecast VRZ'!$F$124:$T$130,2,FALSE)))*C120/78,0)</f>
        <v>1351902.9736847519</v>
      </c>
      <c r="H120" s="7">
        <f ca="1">HLOOKUP(B120,Heating!$C$102:$O$106,2,FALSE)*INDEX(Weather!$BO$1:$CB$20,MATCH(B120,Weather!$BO$1:$BO$20,0),MATCH(C120,Weather!$BO$1:$CB$1,0))/VLOOKUP(B120,Weather!$BO$2:$CB$20,14,FALSE)*
VLOOKUP('Monthly Data'!$B120,Weather!$BO$3:$CB$20,14,FALSE)/Weather!$CB$14</f>
        <v>1460395.0899934459</v>
      </c>
      <c r="I120" s="7">
        <f t="shared" ca="1" si="274"/>
        <v>78693160.020198867</v>
      </c>
      <c r="J120" s="7">
        <v>907669.40523422451</v>
      </c>
      <c r="K120" s="7">
        <f ca="1">IFERROR(VLOOKUP($B120-1,CDM!$V$4:$AJ$17,3,FALSE)/12,0)+IFERROR(VLOOKUP($B120,CDM!$V$41:$AJ$54,3,FALSE)/24,0)+IFERROR(VLOOKUP($B120,CDM!$V$41:$AJ$54,3,FALSE)/2*$C120/78,0)</f>
        <v>46683.557120372847</v>
      </c>
      <c r="L120" s="7">
        <f t="shared" ca="1" si="242"/>
        <v>954352.9623545974</v>
      </c>
      <c r="M120" s="7">
        <f>IFERROR(HLOOKUP(B120-1,'EV Forecast VRZ'!$F$124:$T$130,3,FALSE)/12,0)+IFERROR(((HLOOKUP(B120,'EV Forecast VRZ'!$F$116:$T$122,3,FALSE)-HLOOKUP(B120-1,'EV Forecast VRZ'!$F$124:$T$130,3,FALSE)))*C120/78,0)</f>
        <v>18391.831956273749</v>
      </c>
      <c r="N120" s="7">
        <f ca="1">HLOOKUP(B120,Heating!$C$102:$O$106,3,FALSE)*INDEX(Weather!$BO$1:$CB$20,MATCH(B120,Weather!$BO$1:$BO$20,0),MATCH(C120,Weather!$BO$1:$CB$1,0))/VLOOKUP(B120,Weather!$BO$2:$CB$20,14,FALSE)*
VLOOKUP('Monthly Data'!$B120,Weather!$BO$3:$CB$20,14,FALSE)/Weather!$CB$14</f>
        <v>17258.484744232006</v>
      </c>
      <c r="O120" s="7">
        <f t="shared" ca="1" si="275"/>
        <v>918702.64565409161</v>
      </c>
      <c r="P120" s="7">
        <v>19991632.431527995</v>
      </c>
      <c r="Q120" s="7">
        <f ca="1">IFERROR(VLOOKUP($B120-1,CDM!$V$4:$AJ$17,4,FALSE)/12,0)+IFERROR(VLOOKUP($B120,CDM!$V$41:$AJ$54,4,FALSE)/24,0)+IFERROR(VLOOKUP($B120,CDM!$V$41:$AJ$54,4,FALSE)/2*$C120/78,0)</f>
        <v>1755586.3445565135</v>
      </c>
      <c r="R120" s="7">
        <f t="shared" ca="1" si="243"/>
        <v>21747218.776084509</v>
      </c>
      <c r="S120" s="7">
        <f>IFERROR(HLOOKUP(B120-1,'EV Forecast VRZ'!$F$124:$T$130,4,FALSE)/12,0)+IFERROR(((HLOOKUP(B120,'EV Forecast VRZ'!$F$116:$T$122,4,FALSE)-HLOOKUP(B120-1,'EV Forecast VRZ'!$F$124:$T$130,4,FALSE)))*C120/78,0)</f>
        <v>173002.78256410258</v>
      </c>
      <c r="T120" s="7">
        <f ca="1">HLOOKUP(B120,Heating!$C$102:$O$106,4,FALSE)*INDEX(Weather!$BO$1:$CB$20,MATCH(B120,Weather!$BO$1:$BO$20,0),MATCH(C120,Weather!$BO$1:$CB$1,0))/VLOOKUP(B120,Weather!$BO$2:$CB$20,14,FALSE)*
VLOOKUP('Monthly Data'!$B120,Weather!$BO$3:$CB$20,14,FALSE)/Weather!$CB$14</f>
        <v>349991.76621545956</v>
      </c>
      <c r="U120" s="7">
        <f t="shared" ca="1" si="276"/>
        <v>21224224.227304947</v>
      </c>
      <c r="V120" s="7">
        <v>75260775.116096005</v>
      </c>
      <c r="W120" s="7">
        <f ca="1">IFERROR(VLOOKUP($B120-1,CDM!$V$4:$AJ$17,5,FALSE)/12,0)+IFERROR(VLOOKUP($B120,CDM!$V$41:$AJ$54,5,FALSE)/24,0)+IFERROR(VLOOKUP($B120,CDM!$V$41:$AJ$54,5,FALSE)/2*$C120/78,0)</f>
        <v>7136216.5059473487</v>
      </c>
      <c r="X120" s="7">
        <f t="shared" ca="1" si="244"/>
        <v>82396991.622043356</v>
      </c>
      <c r="Y120" s="7">
        <f>IFERROR(HLOOKUP(B120-1,'EV Forecast VRZ'!$F$124:$T$130,5,FALSE)/12,0)+IFERROR(((HLOOKUP(B120,'EV Forecast VRZ'!$F$116:$T$122,5,FALSE)-HLOOKUP(B120-1,'EV Forecast VRZ'!$F$124:$T$130,5,FALSE)))*C120/78,0)</f>
        <v>82120.098307692315</v>
      </c>
      <c r="Z120" s="7">
        <f ca="1">HLOOKUP(B120,Heating!$C$102:$O$106,5,FALSE)*INDEX(Weather!$BO$1:$CB$20,MATCH(B120,Weather!$BO$1:$BO$20,0),MATCH(C120,Weather!$BO$1:$CB$1,0))/VLOOKUP(B120,Weather!$BO$2:$CB$20,14,FALSE)*
VLOOKUP('Monthly Data'!$B120,Weather!$BO$3:$CB$20,14,FALSE)/Weather!$CB$14</f>
        <v>182273.13280397741</v>
      </c>
      <c r="AA120" s="7">
        <f t="shared" ca="1" si="277"/>
        <v>82132598.390931681</v>
      </c>
      <c r="AB120" s="7">
        <v>8069438.29</v>
      </c>
      <c r="AC120" s="7">
        <f ca="1">IFERROR(VLOOKUP($B120-1,CDM!$V$4:$AJ$17,6,FALSE)/12,0)+IFERROR(VLOOKUP($B120,CDM!$V$41:$AJ$54,6,FALSE)/24,0)+IFERROR(VLOOKUP($B120,CDM!$V$41:$AJ$54,6,FALSE)/2*$C120/78,0)</f>
        <v>368145.06202880869</v>
      </c>
      <c r="AD120" s="7">
        <f t="shared" ca="1" si="245"/>
        <v>8437583.3520288095</v>
      </c>
      <c r="AE120" s="7">
        <f>IFERROR(HLOOKUP(B120-1,'EV Forecast VRZ'!$F$124:$T$130,6,FALSE)/12,0)+IFERROR(((HLOOKUP(B120,'EV Forecast VRZ'!$F$116:$T$122,6,FALSE)-HLOOKUP(B120-1,'EV Forecast VRZ'!$F$124:$T$130,6,FALSE)))*C120/78,0)</f>
        <v>10667.831435897435</v>
      </c>
      <c r="AF120" s="7">
        <f t="shared" ca="1" si="278"/>
        <v>8426915.5205929112</v>
      </c>
      <c r="AG120" s="7">
        <v>26972176.637614001</v>
      </c>
      <c r="AH120" s="7">
        <f ca="1">IFERROR(VLOOKUP($B120-1,CDM!$V$4:$AJ$17,7,FALSE)/12,0)+IFERROR(VLOOKUP($B120,CDM!$V$41:$AJ$54,7,FALSE)/24,0)+IFERROR(VLOOKUP($B120,CDM!$V$41:$AJ$54,7,FALSE)/2*$C120/78,0)</f>
        <v>2132282.0689968551</v>
      </c>
      <c r="AI120" s="7">
        <f t="shared" ca="1" si="246"/>
        <v>29104458.706610855</v>
      </c>
      <c r="AJ120" s="7">
        <f>IFERROR(HLOOKUP(B120-1,'EV Forecast VRZ'!$F$124:$T$130,7,FALSE)/12,0)+IFERROR(((HLOOKUP(B120,'EV Forecast VRZ'!$F$116:$T$122,7,FALSE)-HLOOKUP(B120-1,'EV Forecast VRZ'!$F$124:$T$130,7,FALSE)))*C120/78,0)</f>
        <v>1673.0769230769231</v>
      </c>
      <c r="AK120" s="7">
        <f t="shared" ca="1" si="279"/>
        <v>29102785.629687779</v>
      </c>
      <c r="AL120" s="7">
        <v>1192042.67</v>
      </c>
      <c r="AM120" s="7">
        <v>17764.42544072459</v>
      </c>
      <c r="AN120" s="7">
        <v>394764.92</v>
      </c>
      <c r="AO120" s="5">
        <v>173300.67</v>
      </c>
      <c r="AP120" s="5">
        <v>18097.650000000001</v>
      </c>
      <c r="AQ120" s="5">
        <v>44209</v>
      </c>
      <c r="AR120" s="5">
        <v>2644.8</v>
      </c>
      <c r="AS120" s="763">
        <f t="shared" si="256"/>
        <v>50.166666666666664</v>
      </c>
      <c r="AT120" s="776">
        <v>118157.25</v>
      </c>
      <c r="AU120" s="776">
        <v>1560.3333333333342</v>
      </c>
      <c r="AV120" s="776">
        <v>9505.25</v>
      </c>
      <c r="AW120" s="776">
        <v>1072.1666666666658</v>
      </c>
      <c r="AX120" s="776">
        <v>5</v>
      </c>
      <c r="AY120" s="776">
        <v>5</v>
      </c>
      <c r="AZ120" s="776">
        <v>32955.166666666664</v>
      </c>
      <c r="BA120" s="776">
        <v>236.41666666666677</v>
      </c>
      <c r="BB120" s="776">
        <v>751.16666666666708</v>
      </c>
      <c r="BC120" s="779">
        <v>29080383.421047464</v>
      </c>
      <c r="BD120" s="779">
        <f ca="1">IFERROR(VLOOKUP($B120-1,CDM!$V$4:$AJ$17,11,FALSE)/12,0)+IFERROR(VLOOKUP($B120,CDM!$V$41:$AJ$54,11,FALSE)/24,0)+IFERROR(VLOOKUP($B120,CDM!$V$41:$AJ$54,11,FALSE)/2*$C120/78,0)</f>
        <v>1799012.6299660159</v>
      </c>
      <c r="BE120" s="779">
        <f t="shared" ca="1" si="269"/>
        <v>30879396.051013481</v>
      </c>
      <c r="BF120" s="779">
        <f>IFERROR(HLOOKUP(B120-1,'EV Forecast WRZ'!$F$124:$T$130,2,FALSE)/12,0)+IFERROR(((HLOOKUP(B120,'EV Forecast WRZ'!$F$116:$T$122,2,FALSE)-HLOOKUP(B120-1,'EV Forecast WRZ'!$F$124:$T$130,2,FALSE)))*C120/78,0)</f>
        <v>460271.76025641023</v>
      </c>
      <c r="BG120" s="779">
        <f ca="1">HLOOKUP(B120,Heating!$R$102:$AD$106,2,FALSE)*INDEX(Weather!$BO$1:$CB$20,MATCH(B120,Weather!$BO$1:$BO$20,0),MATCH(C120,Weather!$BO$1:$CB$1,0))/VLOOKUP(B120,Weather!$BO$2:$CB$20,14,FALSE)*
VLOOKUP('Monthly Data'!$B120,Weather!$BO$3:$CB$20,14,FALSE)/Weather!$CB$14</f>
        <v>642218.10550132697</v>
      </c>
      <c r="BH120" s="779">
        <f t="shared" ca="1" si="280"/>
        <v>29776906.185255744</v>
      </c>
      <c r="BI120" s="779">
        <v>6685310.0269476473</v>
      </c>
      <c r="BJ120" s="779">
        <f ca="1">IFERROR(VLOOKUP($B120-1,CDM!$V$4:$AJ$17,12,FALSE)/12,0)+IFERROR(VLOOKUP($B120,CDM!$V$41:$AJ$54,12,FALSE)/24,0)+IFERROR(VLOOKUP($B120,CDM!$V$41:$AJ$54,12,FALSE)/2*$C120/78,0)</f>
        <v>336889.00610261073</v>
      </c>
      <c r="BK120" s="779">
        <f t="shared" ca="1" si="247"/>
        <v>7022199.0330502577</v>
      </c>
      <c r="BL120" s="779">
        <f>IFERROR(HLOOKUP(B120-1,'EV Forecast WRZ'!$F$124:$T$130,3,FALSE)/12,0)+IFERROR(((HLOOKUP(B120,'EV Forecast WRZ'!$F$116:$T$122,3,FALSE)-HLOOKUP(B120-1,'EV Forecast WRZ'!$F$124:$T$130,3,FALSE)))*C120/78,0)</f>
        <v>62589.664102564107</v>
      </c>
      <c r="BM120" s="779">
        <f ca="1">HLOOKUP(B120,Heating!$R$102:$AD$106,4,FALSE)*INDEX(Weather!$BO$1:$CB$20,MATCH(B120,Weather!$BO$1:$BO$20,0),MATCH(C120,Weather!$BO$1:$CB$1,0))/VLOOKUP(B120,Weather!$BO$2:$CB$20,14,FALSE)*
VLOOKUP('Monthly Data'!$B120,Weather!$BO$3:$CB$20,14,FALSE)/Weather!$CB$14</f>
        <v>101945.06673978292</v>
      </c>
      <c r="BN120" s="779">
        <f t="shared" ca="1" si="281"/>
        <v>6857664.3022079105</v>
      </c>
      <c r="BO120" s="779">
        <v>27362194.800000001</v>
      </c>
      <c r="BP120" s="779">
        <f ca="1">IFERROR(VLOOKUP($B120-1,CDM!$V$4:$AJ$17,13,FALSE)/12,0)+IFERROR(VLOOKUP($B120,CDM!$V$41:$AJ$54,13,FALSE)/24,0)+IFERROR(VLOOKUP($B120,CDM!$V$41:$AJ$54,13,FALSE)/2*$C120/78,0)</f>
        <v>3122549.6090022018</v>
      </c>
      <c r="BQ120" s="779">
        <f t="shared" ca="1" si="248"/>
        <v>30484744.409002203</v>
      </c>
      <c r="BR120" s="779">
        <f>IFERROR(HLOOKUP(B120-1,'EV Forecast WRZ'!$F$124:$T$130,4,FALSE)/12,0)+IFERROR(((HLOOKUP(B120,'EV Forecast WRZ'!$F$116:$T$122,4,FALSE)-HLOOKUP(B120-1,'EV Forecast WRZ'!$F$124:$T$130,4,FALSE)))*C120/78,0)</f>
        <v>27708.393717948726</v>
      </c>
      <c r="BS120" s="779">
        <f ca="1">HLOOKUP(B120,Heating!$R$102:$AD$106,5,FALSE)*INDEX(Weather!$BO$1:$CB$20,MATCH(B120,Weather!$BO$1:$BO$20,0),MATCH(C120,Weather!$BO$1:$CB$1,0))/VLOOKUP(B120,Weather!$BO$2:$CB$20,14,FALSE)*
VLOOKUP('Monthly Data'!$B120,Weather!$BO$3:$CB$20,14,FALSE)/Weather!$CB$14</f>
        <v>53963.750989414089</v>
      </c>
      <c r="BT120" s="779">
        <f t="shared" ca="1" si="282"/>
        <v>30403072.26429484</v>
      </c>
      <c r="BU120" s="779">
        <v>5948705.3099999996</v>
      </c>
      <c r="BV120" s="779">
        <f ca="1">IFERROR(VLOOKUP($B120-1,CDM!$V$4:$AJ$17,14,FALSE)/12,0)+IFERROR(VLOOKUP($B120,CDM!$V$41:$AJ$54,14,FALSE)/24,0)+IFERROR(VLOOKUP($B120,CDM!$V$41:$AJ$54,14,FALSE)/2*$C120/78,0)</f>
        <v>702247.60481179797</v>
      </c>
      <c r="BW120" s="779">
        <f t="shared" ca="1" si="249"/>
        <v>6650952.9148117974</v>
      </c>
      <c r="BX120" s="779">
        <f>IFERROR(HLOOKUP(B120-1,'EV Forecast WRZ'!$F$124:$T$130,5,FALSE)/12,0)+IFERROR(((HLOOKUP(B120,'EV Forecast WRZ'!$F$116:$T$122,5,FALSE)-HLOOKUP(B120-1,'EV Forecast WRZ'!$F$124:$T$130,5,FALSE)))*C120/78,0)</f>
        <v>4993.4896153846148</v>
      </c>
      <c r="BY120" s="779">
        <f t="shared" ca="1" si="270"/>
        <v>6645959.425196413</v>
      </c>
      <c r="BZ120" s="779">
        <v>371475.57</v>
      </c>
      <c r="CA120" s="779">
        <v>2529.636206388579</v>
      </c>
      <c r="CB120" s="5">
        <v>162039.06</v>
      </c>
      <c r="CC120" s="5">
        <v>61348.87</v>
      </c>
      <c r="CD120" s="5">
        <v>12281.29</v>
      </c>
      <c r="CE120" s="5">
        <v>827</v>
      </c>
      <c r="CF120" s="763">
        <f t="shared" si="252"/>
        <v>6.916666666666667</v>
      </c>
      <c r="CG120" s="785">
        <v>45656.75</v>
      </c>
      <c r="CH120" s="785">
        <v>2471.5</v>
      </c>
      <c r="CI120" s="785">
        <v>389.75</v>
      </c>
      <c r="CJ120" s="785">
        <v>3</v>
      </c>
      <c r="CK120" s="785">
        <v>13753</v>
      </c>
      <c r="CL120" s="785">
        <v>45.083333333333307</v>
      </c>
      <c r="CM120" s="785">
        <v>389.5</v>
      </c>
      <c r="CN120" s="46">
        <f>Weather!C132</f>
        <v>426.29166666666663</v>
      </c>
      <c r="CO120" s="46">
        <f>Weather!D132</f>
        <v>0</v>
      </c>
      <c r="CP120" s="46">
        <f>Weather!E132</f>
        <v>366.29166666666663</v>
      </c>
      <c r="CQ120" s="46">
        <f>Weather!F132</f>
        <v>0</v>
      </c>
      <c r="CR120" s="46">
        <f>Weather!G132</f>
        <v>307.79583333333329</v>
      </c>
      <c r="CS120" s="46">
        <f>Weather!H132</f>
        <v>1.5041666666666629</v>
      </c>
      <c r="CT120" s="46">
        <f>Weather!I132</f>
        <v>251.79583333333335</v>
      </c>
      <c r="CU120" s="46">
        <f>Weather!J132</f>
        <v>5.5041666666666629</v>
      </c>
      <c r="CV120" s="46">
        <f>Weather!K132</f>
        <v>195.79583333333335</v>
      </c>
      <c r="CW120" s="46">
        <f>Weather!L132</f>
        <v>9.5041666666666629</v>
      </c>
      <c r="CX120" s="46">
        <f>Weather!M132</f>
        <v>141.32083333333335</v>
      </c>
      <c r="CY120" s="46">
        <f>Weather!N132</f>
        <v>15.029166666666661</v>
      </c>
      <c r="CZ120" s="46">
        <f>Weather!O132</f>
        <v>93.433333333333351</v>
      </c>
      <c r="DA120" s="46">
        <f>Weather!P132</f>
        <v>27.141666666666666</v>
      </c>
      <c r="DB120" s="368">
        <f>'Economic Data'!D134</f>
        <v>8182</v>
      </c>
      <c r="DC120" s="368">
        <f>'Economic Data'!E134</f>
        <v>8185.1</v>
      </c>
      <c r="DD120" s="368">
        <f>'Economic Data'!F134</f>
        <v>241.6</v>
      </c>
      <c r="DE120" s="368">
        <f>'Economic Data'!G134</f>
        <v>239.7</v>
      </c>
      <c r="DF120" s="368">
        <f>'Economic Data'!H134</f>
        <v>41.7</v>
      </c>
      <c r="DG120" s="368">
        <f>'Economic Data'!I134</f>
        <v>41.7</v>
      </c>
      <c r="DH120" s="368">
        <f>'Economic Data'!J134</f>
        <v>876619.7</v>
      </c>
      <c r="DI120" s="368">
        <f>'Economic Data'!K134</f>
        <v>694601.3</v>
      </c>
      <c r="DJ120" s="368">
        <f>'Economic Data'!L134</f>
        <v>92436.4</v>
      </c>
      <c r="DK120" s="368">
        <f>'Economic Data'!M134</f>
        <v>33851.4</v>
      </c>
      <c r="DL120" s="368">
        <f>'Economic Data'!N134</f>
        <v>880222</v>
      </c>
      <c r="DM120" s="368">
        <f>'Economic Data'!O134</f>
        <v>91070</v>
      </c>
      <c r="DN120" s="368">
        <f>'Economic Data'!P134</f>
        <v>16405</v>
      </c>
      <c r="DO120" s="368">
        <f>'Economic Data'!Q134</f>
        <v>698594</v>
      </c>
      <c r="DP120" s="368">
        <f>'Economic Data'!R134</f>
        <v>33766</v>
      </c>
      <c r="DQ120">
        <v>30</v>
      </c>
      <c r="DR120">
        <v>21</v>
      </c>
      <c r="DS120">
        <f t="shared" ref="DS120:ED120" si="285">DS108</f>
        <v>0</v>
      </c>
      <c r="DT120">
        <f t="shared" si="285"/>
        <v>0</v>
      </c>
      <c r="DU120">
        <f t="shared" si="285"/>
        <v>0</v>
      </c>
      <c r="DV120">
        <f t="shared" si="285"/>
        <v>0</v>
      </c>
      <c r="DW120">
        <f t="shared" si="285"/>
        <v>0</v>
      </c>
      <c r="DX120">
        <f t="shared" si="285"/>
        <v>0</v>
      </c>
      <c r="DY120">
        <f t="shared" si="285"/>
        <v>0</v>
      </c>
      <c r="DZ120">
        <f t="shared" si="285"/>
        <v>0</v>
      </c>
      <c r="EA120">
        <f t="shared" si="285"/>
        <v>0</v>
      </c>
      <c r="EB120">
        <f t="shared" si="285"/>
        <v>0</v>
      </c>
      <c r="EC120">
        <f t="shared" si="285"/>
        <v>1</v>
      </c>
      <c r="ED120">
        <f t="shared" si="285"/>
        <v>0</v>
      </c>
      <c r="EE120">
        <f t="shared" ref="EE120:EF120" si="286">EE108</f>
        <v>0</v>
      </c>
      <c r="EF120">
        <f t="shared" si="286"/>
        <v>1</v>
      </c>
      <c r="EG120">
        <f t="shared" si="255"/>
        <v>1</v>
      </c>
      <c r="EH120">
        <f t="shared" si="189"/>
        <v>119</v>
      </c>
      <c r="EI120">
        <v>0</v>
      </c>
      <c r="EJ120">
        <v>0</v>
      </c>
      <c r="EK120">
        <v>0.25</v>
      </c>
      <c r="EL120">
        <v>0</v>
      </c>
      <c r="EM120" s="47">
        <f t="shared" si="194"/>
        <v>0</v>
      </c>
      <c r="EN120" s="47">
        <f t="shared" si="195"/>
        <v>0</v>
      </c>
      <c r="EO120" s="47">
        <f t="shared" si="196"/>
        <v>0</v>
      </c>
      <c r="EP120" s="47">
        <f t="shared" si="197"/>
        <v>0</v>
      </c>
      <c r="EQ120" s="47">
        <f t="shared" si="198"/>
        <v>0</v>
      </c>
      <c r="ER120" s="47">
        <f t="shared" si="199"/>
        <v>0</v>
      </c>
      <c r="ES120" s="47">
        <f t="shared" si="200"/>
        <v>0</v>
      </c>
      <c r="ET120" s="47">
        <f t="shared" si="201"/>
        <v>0</v>
      </c>
      <c r="EU120" s="47">
        <f t="shared" si="202"/>
        <v>0</v>
      </c>
      <c r="EV120" s="47">
        <f t="shared" si="203"/>
        <v>0</v>
      </c>
      <c r="EW120" s="47">
        <f t="shared" si="204"/>
        <v>0</v>
      </c>
      <c r="EX120" s="47">
        <f t="shared" si="205"/>
        <v>0</v>
      </c>
      <c r="EY120" s="47">
        <f t="shared" si="206"/>
        <v>0</v>
      </c>
      <c r="EZ120" s="47">
        <f t="shared" si="207"/>
        <v>0</v>
      </c>
      <c r="FA120" s="47">
        <f t="shared" si="208"/>
        <v>106.57291666666666</v>
      </c>
      <c r="FB120" s="47">
        <f t="shared" si="209"/>
        <v>0</v>
      </c>
      <c r="FC120" s="47">
        <f t="shared" si="210"/>
        <v>91.572916666666657</v>
      </c>
      <c r="FD120" s="47">
        <f t="shared" si="211"/>
        <v>0</v>
      </c>
      <c r="FE120" s="47">
        <f t="shared" si="212"/>
        <v>76.948958333333323</v>
      </c>
      <c r="FF120" s="47">
        <f t="shared" si="213"/>
        <v>0.37604166666666572</v>
      </c>
      <c r="FG120" s="47">
        <f t="shared" si="214"/>
        <v>62.948958333333337</v>
      </c>
      <c r="FH120" s="47">
        <f t="shared" si="215"/>
        <v>1.3760416666666657</v>
      </c>
      <c r="FI120" s="47">
        <f t="shared" si="216"/>
        <v>48.948958333333337</v>
      </c>
      <c r="FJ120" s="47">
        <f t="shared" si="217"/>
        <v>2.3760416666666657</v>
      </c>
      <c r="FK120" s="47">
        <f t="shared" si="218"/>
        <v>35.330208333333339</v>
      </c>
      <c r="FL120" s="47">
        <f t="shared" si="219"/>
        <v>3.7572916666666654</v>
      </c>
      <c r="FM120" s="47">
        <f t="shared" si="220"/>
        <v>23.358333333333338</v>
      </c>
      <c r="FN120" s="47">
        <f t="shared" si="221"/>
        <v>6.7854166666666664</v>
      </c>
      <c r="FO120" s="765">
        <f t="shared" ca="1" si="222"/>
        <v>666.0036520839717</v>
      </c>
      <c r="FP120" s="765">
        <f t="shared" ca="1" si="223"/>
        <v>611.63402842635992</v>
      </c>
      <c r="FQ120" s="765">
        <f t="shared" ca="1" si="224"/>
        <v>2287.9165488634712</v>
      </c>
      <c r="FR120" s="765">
        <f t="shared" ca="1" si="225"/>
        <v>76850.917104346416</v>
      </c>
      <c r="FS120" s="765">
        <f t="shared" ca="1" si="226"/>
        <v>1687516.6704057618</v>
      </c>
      <c r="FT120" s="765">
        <f t="shared" ca="1" si="227"/>
        <v>5820891.7413221709</v>
      </c>
      <c r="FU120" s="765">
        <f t="shared" si="228"/>
        <v>36.171647440209171</v>
      </c>
      <c r="FV120" s="765">
        <f t="shared" si="229"/>
        <v>75.140326150403595</v>
      </c>
      <c r="FW120" s="765">
        <f t="shared" si="230"/>
        <v>525.53572664743706</v>
      </c>
      <c r="FX120" s="765">
        <f t="shared" ca="1" si="231"/>
        <v>676.33802342509011</v>
      </c>
      <c r="FY120" s="765">
        <f t="shared" ca="1" si="232"/>
        <v>2841.2700922720041</v>
      </c>
      <c r="FZ120" s="765">
        <f t="shared" ca="1" si="233"/>
        <v>78216.149862738181</v>
      </c>
      <c r="GA120" s="765">
        <f t="shared" si="234"/>
        <v>123825.19</v>
      </c>
      <c r="GB120" s="765">
        <f t="shared" si="235"/>
        <v>27.010511888315278</v>
      </c>
      <c r="GC120" s="765">
        <f t="shared" si="236"/>
        <v>56.110230086253175</v>
      </c>
      <c r="GD120" s="765">
        <f t="shared" si="237"/>
        <v>416.01812580231064</v>
      </c>
    </row>
    <row r="121" spans="1:186">
      <c r="A121" s="4">
        <v>45627</v>
      </c>
      <c r="B121" s="6">
        <v>2024</v>
      </c>
      <c r="C121" s="5">
        <v>12</v>
      </c>
      <c r="D121" s="7">
        <v>97582800.254233494</v>
      </c>
      <c r="E121" s="7">
        <f ca="1">IFERROR(VLOOKUP($B121-1,CDM!$V$4:$AJ$17,2,FALSE)/12,0)+IFERROR(VLOOKUP($B121,CDM!$V$41:$AJ$54,2,FALSE)/24,0)+IFERROR(VLOOKUP($B121,CDM!$V$41:$AJ$54,2,FALSE)/2*$C121/78,0)</f>
        <v>4088840.403294594</v>
      </c>
      <c r="F121" s="7">
        <f t="shared" ca="1" si="273"/>
        <v>101671640.65752809</v>
      </c>
      <c r="G121" s="7">
        <f>IFERROR(HLOOKUP(B121-1,'EV Forecast VRZ'!$F$124:$T$130,2,FALSE)/12,0)+IFERROR(((HLOOKUP(B121,'EV Forecast VRZ'!$F$116:$T$122,2,FALSE)-HLOOKUP(B121-1,'EV Forecast VRZ'!$F$124:$T$130,2,FALSE)))*C121/78,0)</f>
        <v>1383670.4023176685</v>
      </c>
      <c r="H121" s="7">
        <f ca="1">HLOOKUP(B121,Heating!$C$102:$O$106,2,FALSE)*INDEX(Weather!$BO$1:$CB$20,MATCH(B121,Weather!$BO$1:$BO$20,0),MATCH(C121,Weather!$BO$1:$CB$1,0))/VLOOKUP(B121,Weather!$BO$2:$CB$20,14,FALSE)*
VLOOKUP('Monthly Data'!$B121,Weather!$BO$3:$CB$20,14,FALSE)/Weather!$CB$14</f>
        <v>2386502.5348456199</v>
      </c>
      <c r="I121" s="7">
        <f t="shared" ca="1" si="274"/>
        <v>97901467.720364794</v>
      </c>
      <c r="J121" s="7">
        <v>1134651.586581738</v>
      </c>
      <c r="K121" s="7">
        <f ca="1">IFERROR(VLOOKUP($B121-1,CDM!$V$4:$AJ$17,3,FALSE)/12,0)+IFERROR(VLOOKUP($B121,CDM!$V$41:$AJ$54,3,FALSE)/24,0)+IFERROR(VLOOKUP($B121,CDM!$V$41:$AJ$54,3,FALSE)/2*$C121/78,0)</f>
        <v>46832.028987460617</v>
      </c>
      <c r="L121" s="7">
        <f t="shared" ca="1" si="242"/>
        <v>1181483.6155691985</v>
      </c>
      <c r="M121" s="7">
        <f>IFERROR(HLOOKUP(B121-1,'EV Forecast VRZ'!$F$124:$T$130,3,FALSE)/12,0)+IFERROR(((HLOOKUP(B121,'EV Forecast VRZ'!$F$116:$T$122,3,FALSE)-HLOOKUP(B121-1,'EV Forecast VRZ'!$F$124:$T$130,3,FALSE)))*C121/78,0)</f>
        <v>18824.008836177389</v>
      </c>
      <c r="N121" s="7">
        <f ca="1">HLOOKUP(B121,Heating!$C$102:$O$106,3,FALSE)*INDEX(Weather!$BO$1:$CB$20,MATCH(B121,Weather!$BO$1:$BO$20,0),MATCH(C121,Weather!$BO$1:$CB$1,0))/VLOOKUP(B121,Weather!$BO$2:$CB$20,14,FALSE)*
VLOOKUP('Monthly Data'!$B121,Weather!$BO$3:$CB$20,14,FALSE)/Weather!$CB$14</f>
        <v>28202.928010316024</v>
      </c>
      <c r="O121" s="7">
        <f t="shared" ca="1" si="275"/>
        <v>1134456.678722705</v>
      </c>
      <c r="P121" s="7">
        <v>23171427.641835168</v>
      </c>
      <c r="Q121" s="7">
        <f ca="1">IFERROR(VLOOKUP($B121-1,CDM!$V$4:$AJ$17,4,FALSE)/12,0)+IFERROR(VLOOKUP($B121,CDM!$V$41:$AJ$54,4,FALSE)/24,0)+IFERROR(VLOOKUP($B121,CDM!$V$41:$AJ$54,4,FALSE)/2*$C121/78,0)</f>
        <v>1765453.1780216815</v>
      </c>
      <c r="R121" s="7">
        <f t="shared" ca="1" si="243"/>
        <v>24936880.819856849</v>
      </c>
      <c r="S121" s="7">
        <f>IFERROR(HLOOKUP(B121-1,'EV Forecast VRZ'!$F$124:$T$130,4,FALSE)/12,0)+IFERROR(((HLOOKUP(B121,'EV Forecast VRZ'!$F$116:$T$122,4,FALSE)-HLOOKUP(B121-1,'EV Forecast VRZ'!$F$124:$T$130,4,FALSE)))*C121/78,0)</f>
        <v>177289.27461538464</v>
      </c>
      <c r="T121" s="7">
        <f ca="1">HLOOKUP(B121,Heating!$C$102:$O$106,4,FALSE)*INDEX(Weather!$BO$1:$CB$20,MATCH(B121,Weather!$BO$1:$BO$20,0),MATCH(C121,Weather!$BO$1:$CB$1,0))/VLOOKUP(B121,Weather!$BO$2:$CB$20,14,FALSE)*
VLOOKUP('Monthly Data'!$B121,Weather!$BO$3:$CB$20,14,FALSE)/Weather!$CB$14</f>
        <v>571938.541132755</v>
      </c>
      <c r="U121" s="7">
        <f t="shared" ca="1" si="276"/>
        <v>24187653.004108708</v>
      </c>
      <c r="V121" s="7">
        <v>79038554.621171996</v>
      </c>
      <c r="W121" s="7">
        <f ca="1">IFERROR(VLOOKUP($B121-1,CDM!$V$4:$AJ$17,5,FALSE)/12,0)+IFERROR(VLOOKUP($B121,CDM!$V$41:$AJ$54,5,FALSE)/24,0)+IFERROR(VLOOKUP($B121,CDM!$V$41:$AJ$54,5,FALSE)/2*$C121/78,0)</f>
        <v>7172027.7394466344</v>
      </c>
      <c r="X121" s="7">
        <f t="shared" ca="1" si="244"/>
        <v>86210582.360618636</v>
      </c>
      <c r="Y121" s="7">
        <f>IFERROR(HLOOKUP(B121-1,'EV Forecast VRZ'!$F$124:$T$130,5,FALSE)/12,0)+IFERROR(((HLOOKUP(B121,'EV Forecast VRZ'!$F$116:$T$122,5,FALSE)-HLOOKUP(B121-1,'EV Forecast VRZ'!$F$124:$T$130,5,FALSE)))*C121/78,0)</f>
        <v>84264.596653846151</v>
      </c>
      <c r="Z121" s="7">
        <f ca="1">HLOOKUP(B121,Heating!$C$102:$O$106,5,FALSE)*INDEX(Weather!$BO$1:$CB$20,MATCH(B121,Weather!$BO$1:$BO$20,0),MATCH(C121,Weather!$BO$1:$CB$1,0))/VLOOKUP(B121,Weather!$BO$2:$CB$20,14,FALSE)*
VLOOKUP('Monthly Data'!$B121,Weather!$BO$3:$CB$20,14,FALSE)/Weather!$CB$14</f>
        <v>297861.37768574443</v>
      </c>
      <c r="AA121" s="7">
        <f t="shared" ca="1" si="277"/>
        <v>85828456.386279047</v>
      </c>
      <c r="AB121" s="7">
        <v>8141909.3300000001</v>
      </c>
      <c r="AC121" s="7">
        <f ca="1">IFERROR(VLOOKUP($B121-1,CDM!$V$4:$AJ$17,6,FALSE)/12,0)+IFERROR(VLOOKUP($B121,CDM!$V$41:$AJ$54,6,FALSE)/24,0)+IFERROR(VLOOKUP($B121,CDM!$V$41:$AJ$54,6,FALSE)/2*$C121/78,0)</f>
        <v>371839.20392089774</v>
      </c>
      <c r="AD121" s="7">
        <f t="shared" ca="1" si="245"/>
        <v>8513748.5339208972</v>
      </c>
      <c r="AE121" s="7">
        <f>IFERROR(HLOOKUP(B121-1,'EV Forecast VRZ'!$F$124:$T$130,6,FALSE)/12,0)+IFERROR(((HLOOKUP(B121,'EV Forecast VRZ'!$F$116:$T$122,6,FALSE)-HLOOKUP(B121-1,'EV Forecast VRZ'!$F$124:$T$130,6,FALSE)))*C121/78,0)</f>
        <v>10948.309884615384</v>
      </c>
      <c r="AF121" s="7">
        <f t="shared" ca="1" si="278"/>
        <v>8502800.2240362819</v>
      </c>
      <c r="AG121" s="7">
        <v>26482785.545357998</v>
      </c>
      <c r="AH121" s="7">
        <f ca="1">IFERROR(VLOOKUP($B121-1,CDM!$V$4:$AJ$17,7,FALSE)/12,0)+IFERROR(VLOOKUP($B121,CDM!$V$41:$AJ$54,7,FALSE)/24,0)+IFERROR(VLOOKUP($B121,CDM!$V$41:$AJ$54,7,FALSE)/2*$C121/78,0)</f>
        <v>2147549.5368407853</v>
      </c>
      <c r="AI121" s="7">
        <f t="shared" ca="1" si="246"/>
        <v>28630335.082198784</v>
      </c>
      <c r="AJ121" s="7">
        <f>IFERROR(HLOOKUP(B121-1,'EV Forecast VRZ'!$F$124:$T$130,7,FALSE)/12,0)+IFERROR(((HLOOKUP(B121,'EV Forecast VRZ'!$F$116:$T$122,7,FALSE)-HLOOKUP(B121-1,'EV Forecast VRZ'!$F$124:$T$130,7,FALSE)))*C121/78,0)</f>
        <v>1761.5384615384614</v>
      </c>
      <c r="AK121" s="7">
        <f t="shared" ca="1" si="279"/>
        <v>28628573.543737244</v>
      </c>
      <c r="AL121" s="7">
        <v>1376677.11</v>
      </c>
      <c r="AM121" s="7">
        <v>18356.562530325464</v>
      </c>
      <c r="AN121" s="7">
        <v>395369.15</v>
      </c>
      <c r="AO121" s="5">
        <v>176053.89</v>
      </c>
      <c r="AP121" s="5">
        <v>18474.150000000001</v>
      </c>
      <c r="AQ121" s="5">
        <v>42280.01</v>
      </c>
      <c r="AR121" s="5">
        <v>2824.56</v>
      </c>
      <c r="AS121" s="763">
        <f t="shared" si="256"/>
        <v>50.166666666666664</v>
      </c>
      <c r="AT121" s="776">
        <v>118313</v>
      </c>
      <c r="AU121" s="776">
        <v>1560</v>
      </c>
      <c r="AV121" s="776">
        <v>9506</v>
      </c>
      <c r="AW121" s="776">
        <v>1075</v>
      </c>
      <c r="AX121" s="776">
        <v>5</v>
      </c>
      <c r="AY121" s="776">
        <v>5</v>
      </c>
      <c r="AZ121" s="776">
        <v>33008</v>
      </c>
      <c r="BA121" s="776">
        <v>236</v>
      </c>
      <c r="BB121" s="776">
        <v>747</v>
      </c>
      <c r="BC121" s="779">
        <v>35397606.196876086</v>
      </c>
      <c r="BD121" s="779">
        <f ca="1">IFERROR(VLOOKUP($B121-1,CDM!$V$4:$AJ$17,11,FALSE)/12,0)+IFERROR(VLOOKUP($B121,CDM!$V$41:$AJ$54,11,FALSE)/24,0)+IFERROR(VLOOKUP($B121,CDM!$V$41:$AJ$54,11,FALSE)/2*$C121/78,0)</f>
        <v>1804313.4392133337</v>
      </c>
      <c r="BE121" s="779">
        <f t="shared" ca="1" si="269"/>
        <v>37201919.636089422</v>
      </c>
      <c r="BF121" s="779">
        <f>IFERROR(HLOOKUP(B121-1,'EV Forecast WRZ'!$F$124:$T$130,2,FALSE)/12,0)+IFERROR(((HLOOKUP(B121,'EV Forecast WRZ'!$F$116:$T$122,2,FALSE)-HLOOKUP(B121-1,'EV Forecast WRZ'!$F$124:$T$130,2,FALSE)))*C121/78,0)</f>
        <v>472755.1184615384</v>
      </c>
      <c r="BG121" s="779">
        <f ca="1">HLOOKUP(B121,Heating!$R$102:$AD$106,2,FALSE)*INDEX(Weather!$BO$1:$CB$20,MATCH(B121,Weather!$BO$1:$BO$20,0),MATCH(C121,Weather!$BO$1:$CB$1,0))/VLOOKUP(B121,Weather!$BO$2:$CB$20,14,FALSE)*
VLOOKUP('Monthly Data'!$B121,Weather!$BO$3:$CB$20,14,FALSE)/Weather!$CB$14</f>
        <v>1049479.79297133</v>
      </c>
      <c r="BH121" s="779">
        <f t="shared" ca="1" si="280"/>
        <v>35679684.724656552</v>
      </c>
      <c r="BI121" s="779">
        <v>7681678.5207804423</v>
      </c>
      <c r="BJ121" s="779">
        <f ca="1">IFERROR(VLOOKUP($B121-1,CDM!$V$4:$AJ$17,12,FALSE)/12,0)+IFERROR(VLOOKUP($B121,CDM!$V$41:$AJ$54,12,FALSE)/24,0)+IFERROR(VLOOKUP($B121,CDM!$V$41:$AJ$54,12,FALSE)/2*$C121/78,0)</f>
        <v>339936.42143418617</v>
      </c>
      <c r="BK121" s="779">
        <f t="shared" ca="1" si="247"/>
        <v>8021614.9422146287</v>
      </c>
      <c r="BL121" s="779">
        <f>IFERROR(HLOOKUP(B121-1,'EV Forecast WRZ'!$F$124:$T$130,3,FALSE)/12,0)+IFERROR(((HLOOKUP(B121,'EV Forecast WRZ'!$F$116:$T$122,3,FALSE)-HLOOKUP(B121-1,'EV Forecast WRZ'!$F$124:$T$130,3,FALSE)))*C121/78,0)</f>
        <v>64547.095384615393</v>
      </c>
      <c r="BM121" s="779">
        <f ca="1">HLOOKUP(B121,Heating!$R$102:$AD$106,4,FALSE)*INDEX(Weather!$BO$1:$CB$20,MATCH(B121,Weather!$BO$1:$BO$20,0),MATCH(C121,Weather!$BO$1:$CB$1,0))/VLOOKUP(B121,Weather!$BO$2:$CB$20,14,FALSE)*
VLOOKUP('Monthly Data'!$B121,Weather!$BO$3:$CB$20,14,FALSE)/Weather!$CB$14</f>
        <v>166593.3841167528</v>
      </c>
      <c r="BN121" s="779">
        <f t="shared" ca="1" si="281"/>
        <v>7790474.4627132602</v>
      </c>
      <c r="BO121" s="779">
        <v>30184848.870000001</v>
      </c>
      <c r="BP121" s="779">
        <f ca="1">IFERROR(VLOOKUP($B121-1,CDM!$V$4:$AJ$17,13,FALSE)/12,0)+IFERROR(VLOOKUP($B121,CDM!$V$41:$AJ$54,13,FALSE)/24,0)+IFERROR(VLOOKUP($B121,CDM!$V$41:$AJ$54,13,FALSE)/2*$C121/78,0)</f>
        <v>3143197.9070979245</v>
      </c>
      <c r="BQ121" s="779">
        <f t="shared" ca="1" si="248"/>
        <v>33328046.777097926</v>
      </c>
      <c r="BR121" s="779">
        <f>IFERROR(HLOOKUP(B121-1,'EV Forecast WRZ'!$F$124:$T$130,4,FALSE)/12,0)+IFERROR(((HLOOKUP(B121,'EV Forecast WRZ'!$F$116:$T$122,4,FALSE)-HLOOKUP(B121-1,'EV Forecast WRZ'!$F$124:$T$130,4,FALSE)))*C121/78,0)</f>
        <v>28557.090358974368</v>
      </c>
      <c r="BS121" s="779">
        <f ca="1">HLOOKUP(B121,Heating!$R$102:$AD$106,5,FALSE)*INDEX(Weather!$BO$1:$CB$20,MATCH(B121,Weather!$BO$1:$BO$20,0),MATCH(C121,Weather!$BO$1:$CB$1,0))/VLOOKUP(B121,Weather!$BO$2:$CB$20,14,FALSE)*
VLOOKUP('Monthly Data'!$B121,Weather!$BO$3:$CB$20,14,FALSE)/Weather!$CB$14</f>
        <v>88184.786027041846</v>
      </c>
      <c r="BT121" s="779">
        <f t="shared" ca="1" si="282"/>
        <v>33211304.900711913</v>
      </c>
      <c r="BU121" s="779">
        <v>7058594.9900000002</v>
      </c>
      <c r="BV121" s="779">
        <f ca="1">IFERROR(VLOOKUP($B121-1,CDM!$V$4:$AJ$17,14,FALSE)/12,0)+IFERROR(VLOOKUP($B121,CDM!$V$41:$AJ$54,14,FALSE)/24,0)+IFERROR(VLOOKUP($B121,CDM!$V$41:$AJ$54,14,FALSE)/2*$C121/78,0)</f>
        <v>706896.5742659152</v>
      </c>
      <c r="BW121" s="779">
        <f t="shared" ca="1" si="249"/>
        <v>7765491.5642659152</v>
      </c>
      <c r="BX121" s="779">
        <f>IFERROR(HLOOKUP(B121-1,'EV Forecast WRZ'!$F$124:$T$130,5,FALSE)/12,0)+IFERROR(((HLOOKUP(B121,'EV Forecast WRZ'!$F$116:$T$122,5,FALSE)-HLOOKUP(B121-1,'EV Forecast WRZ'!$F$124:$T$130,5,FALSE)))*C121/78,0)</f>
        <v>5194.9829743589744</v>
      </c>
      <c r="BY121" s="779">
        <f t="shared" ca="1" si="270"/>
        <v>7760296.5812915564</v>
      </c>
      <c r="BZ121" s="779">
        <v>403010.06</v>
      </c>
      <c r="CA121" s="779">
        <v>2448.0304602780861</v>
      </c>
      <c r="CB121" s="5">
        <v>162565.94</v>
      </c>
      <c r="CC121" s="5">
        <v>65101.88</v>
      </c>
      <c r="CD121" s="5">
        <v>14382.65</v>
      </c>
      <c r="CE121" s="5">
        <v>830</v>
      </c>
      <c r="CF121" s="763">
        <f t="shared" si="252"/>
        <v>6.916666666666667</v>
      </c>
      <c r="CG121" s="785">
        <v>45687</v>
      </c>
      <c r="CH121" s="785">
        <v>2473</v>
      </c>
      <c r="CI121" s="785">
        <v>390</v>
      </c>
      <c r="CJ121" s="785">
        <v>3</v>
      </c>
      <c r="CK121" s="785">
        <v>13763</v>
      </c>
      <c r="CL121" s="785">
        <v>45</v>
      </c>
      <c r="CM121" s="785">
        <v>388</v>
      </c>
      <c r="CN121" s="46">
        <f>Weather!C133</f>
        <v>660.57500000000016</v>
      </c>
      <c r="CO121" s="46">
        <f>Weather!D133</f>
        <v>0</v>
      </c>
      <c r="CP121" s="46">
        <f>Weather!E133</f>
        <v>598.57499999999993</v>
      </c>
      <c r="CQ121" s="46">
        <f>Weather!F133</f>
        <v>0</v>
      </c>
      <c r="CR121" s="46">
        <f>Weather!G133</f>
        <v>536.57500000000005</v>
      </c>
      <c r="CS121" s="46">
        <f>Weather!H133</f>
        <v>0</v>
      </c>
      <c r="CT121" s="46">
        <f>Weather!I133</f>
        <v>474.57499999999999</v>
      </c>
      <c r="CU121" s="46">
        <f>Weather!J133</f>
        <v>0</v>
      </c>
      <c r="CV121" s="46">
        <f>Weather!K133</f>
        <v>412.57499999999999</v>
      </c>
      <c r="CW121" s="46">
        <f>Weather!L133</f>
        <v>0</v>
      </c>
      <c r="CX121" s="46">
        <f>Weather!M133</f>
        <v>350.57499999999993</v>
      </c>
      <c r="CY121" s="46">
        <f>Weather!N133</f>
        <v>0</v>
      </c>
      <c r="CZ121" s="46">
        <f>Weather!O133</f>
        <v>288.57499999999993</v>
      </c>
      <c r="DA121" s="46">
        <f>Weather!P133</f>
        <v>0</v>
      </c>
      <c r="DB121" s="368">
        <f>'Economic Data'!D135</f>
        <v>8183.3</v>
      </c>
      <c r="DC121" s="368">
        <f>'Economic Data'!E135</f>
        <v>8176.6</v>
      </c>
      <c r="DD121" s="368">
        <f>'Economic Data'!F135</f>
        <v>239.5</v>
      </c>
      <c r="DE121" s="368">
        <f>'Economic Data'!G135</f>
        <v>239.7</v>
      </c>
      <c r="DF121" s="368">
        <f>'Economic Data'!H135</f>
        <v>35.1</v>
      </c>
      <c r="DG121" s="368">
        <f>'Economic Data'!I135</f>
        <v>35.1</v>
      </c>
      <c r="DH121" s="368">
        <f>'Economic Data'!J135</f>
        <v>876619.7</v>
      </c>
      <c r="DI121" s="368">
        <f>'Economic Data'!K135</f>
        <v>694601.3</v>
      </c>
      <c r="DJ121" s="368">
        <f>'Economic Data'!L135</f>
        <v>92436.4</v>
      </c>
      <c r="DK121" s="368">
        <f>'Economic Data'!M135</f>
        <v>33851.4</v>
      </c>
      <c r="DL121" s="368">
        <f>'Economic Data'!N135</f>
        <v>880222</v>
      </c>
      <c r="DM121" s="368">
        <f>'Economic Data'!O135</f>
        <v>91070</v>
      </c>
      <c r="DN121" s="368">
        <f>'Economic Data'!P135</f>
        <v>16405</v>
      </c>
      <c r="DO121" s="368">
        <f>'Economic Data'!Q135</f>
        <v>698594</v>
      </c>
      <c r="DP121" s="368">
        <f>'Economic Data'!R135</f>
        <v>33766</v>
      </c>
      <c r="DQ121">
        <v>31</v>
      </c>
      <c r="DR121">
        <v>20</v>
      </c>
      <c r="DS121">
        <f t="shared" ref="DS121:ED121" si="287">DS109</f>
        <v>0</v>
      </c>
      <c r="DT121">
        <f t="shared" si="287"/>
        <v>0</v>
      </c>
      <c r="DU121">
        <f t="shared" si="287"/>
        <v>0</v>
      </c>
      <c r="DV121">
        <f t="shared" si="287"/>
        <v>0</v>
      </c>
      <c r="DW121">
        <f t="shared" si="287"/>
        <v>0</v>
      </c>
      <c r="DX121">
        <f t="shared" si="287"/>
        <v>0</v>
      </c>
      <c r="DY121">
        <f t="shared" si="287"/>
        <v>0</v>
      </c>
      <c r="DZ121">
        <f t="shared" si="287"/>
        <v>0</v>
      </c>
      <c r="EA121">
        <f t="shared" si="287"/>
        <v>0</v>
      </c>
      <c r="EB121">
        <f t="shared" si="287"/>
        <v>0</v>
      </c>
      <c r="EC121">
        <f t="shared" si="287"/>
        <v>0</v>
      </c>
      <c r="ED121">
        <f t="shared" si="287"/>
        <v>1</v>
      </c>
      <c r="EE121">
        <f t="shared" ref="EE121:EF121" si="288">EE109</f>
        <v>0</v>
      </c>
      <c r="EF121">
        <f t="shared" si="288"/>
        <v>0</v>
      </c>
      <c r="EG121">
        <f t="shared" si="255"/>
        <v>0</v>
      </c>
      <c r="EH121">
        <f t="shared" si="189"/>
        <v>120</v>
      </c>
      <c r="EI121">
        <v>0</v>
      </c>
      <c r="EJ121">
        <v>0</v>
      </c>
      <c r="EK121">
        <v>0.25</v>
      </c>
      <c r="EL121">
        <v>0</v>
      </c>
      <c r="EM121" s="47">
        <f t="shared" si="194"/>
        <v>0</v>
      </c>
      <c r="EN121" s="47">
        <f t="shared" si="195"/>
        <v>0</v>
      </c>
      <c r="EO121" s="47">
        <f t="shared" si="196"/>
        <v>0</v>
      </c>
      <c r="EP121" s="47">
        <f t="shared" si="197"/>
        <v>0</v>
      </c>
      <c r="EQ121" s="47">
        <f t="shared" si="198"/>
        <v>0</v>
      </c>
      <c r="ER121" s="47">
        <f t="shared" si="199"/>
        <v>0</v>
      </c>
      <c r="ES121" s="47">
        <f t="shared" si="200"/>
        <v>0</v>
      </c>
      <c r="ET121" s="47">
        <f t="shared" si="201"/>
        <v>0</v>
      </c>
      <c r="EU121" s="47">
        <f t="shared" si="202"/>
        <v>0</v>
      </c>
      <c r="EV121" s="47">
        <f t="shared" si="203"/>
        <v>0</v>
      </c>
      <c r="EW121" s="47">
        <f t="shared" si="204"/>
        <v>0</v>
      </c>
      <c r="EX121" s="47">
        <f t="shared" si="205"/>
        <v>0</v>
      </c>
      <c r="EY121" s="47">
        <f t="shared" si="206"/>
        <v>0</v>
      </c>
      <c r="EZ121" s="47">
        <f t="shared" si="207"/>
        <v>0</v>
      </c>
      <c r="FA121" s="47">
        <f t="shared" si="208"/>
        <v>165.14375000000004</v>
      </c>
      <c r="FB121" s="47">
        <f t="shared" si="209"/>
        <v>0</v>
      </c>
      <c r="FC121" s="47">
        <f t="shared" si="210"/>
        <v>149.64374999999998</v>
      </c>
      <c r="FD121" s="47">
        <f t="shared" si="211"/>
        <v>0</v>
      </c>
      <c r="FE121" s="47">
        <f t="shared" si="212"/>
        <v>134.14375000000001</v>
      </c>
      <c r="FF121" s="47">
        <f t="shared" si="213"/>
        <v>0</v>
      </c>
      <c r="FG121" s="47">
        <f t="shared" si="214"/>
        <v>118.64375</v>
      </c>
      <c r="FH121" s="47">
        <f t="shared" si="215"/>
        <v>0</v>
      </c>
      <c r="FI121" s="47">
        <f t="shared" si="216"/>
        <v>103.14375</v>
      </c>
      <c r="FJ121" s="47">
        <f t="shared" si="217"/>
        <v>0</v>
      </c>
      <c r="FK121" s="47">
        <f t="shared" si="218"/>
        <v>87.643749999999983</v>
      </c>
      <c r="FL121" s="47">
        <f t="shared" si="219"/>
        <v>0</v>
      </c>
      <c r="FM121" s="47">
        <f t="shared" si="220"/>
        <v>72.143749999999983</v>
      </c>
      <c r="FN121" s="47">
        <f t="shared" si="221"/>
        <v>0</v>
      </c>
      <c r="FO121" s="765">
        <f t="shared" ca="1" si="222"/>
        <v>827.47853338487562</v>
      </c>
      <c r="FP121" s="765">
        <f t="shared" ca="1" si="223"/>
        <v>757.36129203153746</v>
      </c>
      <c r="FQ121" s="765">
        <f t="shared" ca="1" si="224"/>
        <v>2623.2780159748422</v>
      </c>
      <c r="FR121" s="765">
        <f t="shared" ca="1" si="225"/>
        <v>80195.890568017334</v>
      </c>
      <c r="FS121" s="765">
        <f t="shared" ca="1" si="226"/>
        <v>1702749.7067841794</v>
      </c>
      <c r="FT121" s="765">
        <f t="shared" ca="1" si="227"/>
        <v>5726067.0164397564</v>
      </c>
      <c r="FU121" s="765">
        <f t="shared" si="228"/>
        <v>41.707377302472132</v>
      </c>
      <c r="FV121" s="765">
        <f t="shared" si="229"/>
        <v>77.782044620023157</v>
      </c>
      <c r="FW121" s="765">
        <f t="shared" si="230"/>
        <v>529.27597054886212</v>
      </c>
      <c r="FX121" s="765">
        <f t="shared" ca="1" si="231"/>
        <v>814.27801422919913</v>
      </c>
      <c r="FY121" s="765">
        <f t="shared" ca="1" si="232"/>
        <v>3243.6776960026805</v>
      </c>
      <c r="FZ121" s="765">
        <f t="shared" ca="1" si="233"/>
        <v>85456.530197686981</v>
      </c>
      <c r="GA121" s="765">
        <f t="shared" si="234"/>
        <v>134336.68666666668</v>
      </c>
      <c r="GB121" s="765">
        <f t="shared" si="235"/>
        <v>29.282137615345491</v>
      </c>
      <c r="GC121" s="765">
        <f t="shared" si="236"/>
        <v>54.400676895068578</v>
      </c>
      <c r="GD121" s="765">
        <f t="shared" si="237"/>
        <v>418.98438144329896</v>
      </c>
    </row>
    <row r="122" spans="1:186">
      <c r="G122" s="7"/>
    </row>
    <row r="123" spans="1:186">
      <c r="H123" s="771"/>
      <c r="CB123" s="381"/>
      <c r="CD123" s="381"/>
      <c r="CE123" s="5"/>
    </row>
    <row r="124" spans="1:186">
      <c r="G124" s="772"/>
      <c r="H124" s="772"/>
      <c r="BT124" s="781"/>
      <c r="BU124" s="781"/>
      <c r="BV124" s="781"/>
      <c r="BW124" s="781"/>
      <c r="BX124" s="781"/>
      <c r="BY124" s="781"/>
      <c r="BZ124" s="781"/>
      <c r="CA124" s="781"/>
      <c r="CB124" s="381"/>
      <c r="CD124" s="381"/>
    </row>
    <row r="125" spans="1:186">
      <c r="G125" s="771"/>
      <c r="H125" s="772"/>
      <c r="L125" s="771"/>
      <c r="M125" s="771"/>
      <c r="N125" s="771"/>
      <c r="O125" s="771"/>
      <c r="P125" s="771"/>
    </row>
    <row r="126" spans="1:186">
      <c r="H126" s="771"/>
      <c r="I126" s="773"/>
      <c r="L126" s="771"/>
      <c r="M126" s="771"/>
      <c r="N126" s="771"/>
      <c r="O126" s="771"/>
      <c r="P126" s="771"/>
    </row>
    <row r="127" spans="1:186">
      <c r="C127" s="47"/>
      <c r="G127" s="771"/>
      <c r="H127" s="771"/>
      <c r="I127" s="771"/>
      <c r="J127" s="771"/>
      <c r="L127" s="771"/>
      <c r="M127" s="771"/>
      <c r="N127" s="771"/>
      <c r="O127" s="771"/>
      <c r="P127" s="771"/>
      <c r="R127" s="771"/>
      <c r="S127" s="771"/>
      <c r="T127" s="771"/>
      <c r="U127" s="771"/>
      <c r="V127" s="771"/>
      <c r="W127" s="771"/>
      <c r="X127" s="772"/>
      <c r="Y127" s="772"/>
      <c r="Z127" s="772"/>
      <c r="AA127" s="772"/>
      <c r="AB127" s="773"/>
    </row>
    <row r="128" spans="1:186">
      <c r="C128" s="47"/>
      <c r="G128" s="771"/>
      <c r="H128" s="771"/>
      <c r="I128" s="771"/>
      <c r="J128" s="771"/>
      <c r="L128" s="771"/>
      <c r="M128" s="771"/>
      <c r="N128" s="771"/>
      <c r="O128" s="771"/>
      <c r="P128" s="771"/>
      <c r="R128" s="771"/>
      <c r="S128" s="771"/>
      <c r="T128" s="771"/>
      <c r="U128" s="771"/>
      <c r="V128" s="771"/>
      <c r="W128" s="771"/>
      <c r="X128" s="772"/>
      <c r="Y128" s="772"/>
      <c r="Z128" s="772"/>
      <c r="AA128" s="772"/>
      <c r="AB128" s="773"/>
      <c r="CA128" s="782"/>
    </row>
    <row r="129" spans="3:80">
      <c r="C129" s="47"/>
      <c r="G129" s="771"/>
      <c r="H129" s="771"/>
      <c r="I129" s="771"/>
      <c r="J129" s="771"/>
      <c r="L129" s="771"/>
      <c r="M129" s="771"/>
      <c r="N129" s="771"/>
      <c r="O129" s="771"/>
      <c r="P129" s="771"/>
      <c r="R129" s="771"/>
      <c r="S129" s="771"/>
      <c r="T129" s="771"/>
      <c r="U129" s="771"/>
      <c r="V129" s="771"/>
      <c r="W129" s="771"/>
      <c r="X129" s="772"/>
      <c r="Y129" s="772"/>
      <c r="Z129" s="772"/>
      <c r="AA129" s="772"/>
      <c r="AB129" s="773"/>
      <c r="CA129" s="782"/>
    </row>
    <row r="130" spans="3:80">
      <c r="C130" s="47"/>
      <c r="G130" s="771"/>
      <c r="H130" s="771"/>
      <c r="I130" s="771"/>
      <c r="J130" s="771"/>
      <c r="L130" s="771"/>
      <c r="M130" s="771"/>
      <c r="N130" s="771"/>
      <c r="O130" s="771"/>
      <c r="P130" s="771"/>
      <c r="R130" s="771"/>
      <c r="S130" s="771"/>
      <c r="T130" s="771"/>
      <c r="U130" s="771"/>
      <c r="V130" s="771"/>
      <c r="W130" s="771"/>
      <c r="X130" s="772"/>
      <c r="Y130" s="772"/>
      <c r="Z130" s="772"/>
      <c r="AA130" s="772"/>
      <c r="AB130" s="773"/>
      <c r="CA130" s="782"/>
    </row>
    <row r="131" spans="3:80">
      <c r="C131" s="47"/>
      <c r="G131" s="771"/>
      <c r="H131" s="771"/>
      <c r="I131" s="771"/>
      <c r="J131" s="771"/>
      <c r="L131" s="771"/>
      <c r="M131" s="771"/>
      <c r="N131" s="771"/>
      <c r="O131" s="771"/>
      <c r="P131" s="771"/>
      <c r="R131" s="771"/>
      <c r="S131" s="771"/>
      <c r="T131" s="771"/>
      <c r="U131" s="771"/>
      <c r="V131" s="771"/>
      <c r="W131" s="771"/>
      <c r="X131" s="772"/>
      <c r="Y131" s="772"/>
      <c r="Z131" s="772"/>
      <c r="AA131" s="772"/>
      <c r="AB131" s="773"/>
      <c r="CA131" s="782"/>
    </row>
    <row r="132" spans="3:80">
      <c r="C132" s="47"/>
      <c r="G132" s="771"/>
      <c r="H132" s="771"/>
      <c r="I132" s="771"/>
      <c r="J132" s="771"/>
      <c r="L132" s="771"/>
      <c r="M132" s="771"/>
      <c r="N132" s="771"/>
      <c r="O132" s="771"/>
      <c r="P132" s="771"/>
      <c r="R132" s="771"/>
      <c r="S132" s="771"/>
      <c r="T132" s="771"/>
      <c r="U132" s="771"/>
      <c r="V132" s="771"/>
      <c r="W132" s="771"/>
      <c r="X132" s="772"/>
      <c r="Y132" s="772"/>
      <c r="Z132" s="772"/>
      <c r="AA132" s="772"/>
      <c r="AB132" s="773"/>
      <c r="CA132" s="782"/>
    </row>
    <row r="133" spans="3:80">
      <c r="C133" s="47"/>
      <c r="G133" s="771"/>
      <c r="H133" s="771"/>
      <c r="I133" s="771"/>
      <c r="J133" s="771"/>
      <c r="L133" s="771"/>
      <c r="M133" s="771"/>
      <c r="N133" s="771"/>
      <c r="O133" s="771"/>
      <c r="P133" s="771"/>
      <c r="R133" s="771"/>
      <c r="S133" s="771"/>
      <c r="T133" s="771"/>
      <c r="U133" s="771"/>
      <c r="V133" s="771"/>
      <c r="W133" s="771"/>
      <c r="X133" s="772"/>
      <c r="Y133" s="772"/>
      <c r="Z133" s="772"/>
      <c r="AA133" s="772"/>
      <c r="AB133" s="773"/>
      <c r="CA133" s="782"/>
    </row>
    <row r="134" spans="3:80">
      <c r="C134" s="47"/>
      <c r="G134" s="771"/>
      <c r="H134" s="771"/>
      <c r="I134" s="771"/>
      <c r="J134" s="771"/>
      <c r="L134" s="771"/>
      <c r="M134" s="771"/>
      <c r="N134" s="771"/>
      <c r="O134" s="771"/>
      <c r="P134" s="771"/>
      <c r="R134" s="771"/>
      <c r="S134" s="771"/>
      <c r="T134" s="771"/>
      <c r="U134" s="771"/>
      <c r="V134" s="771"/>
      <c r="W134" s="771"/>
      <c r="X134" s="772"/>
      <c r="Y134" s="772"/>
      <c r="Z134" s="772"/>
      <c r="AA134" s="772"/>
      <c r="AB134" s="773"/>
      <c r="CA134" s="782"/>
    </row>
    <row r="135" spans="3:80">
      <c r="C135" s="47"/>
      <c r="G135" s="771"/>
      <c r="H135" s="771"/>
      <c r="I135" s="771"/>
      <c r="J135" s="771"/>
      <c r="L135" s="771"/>
      <c r="M135" s="771"/>
      <c r="N135" s="771"/>
      <c r="O135" s="771"/>
      <c r="P135" s="771"/>
      <c r="R135" s="771"/>
      <c r="S135" s="771"/>
      <c r="T135" s="771"/>
      <c r="U135" s="771"/>
      <c r="V135" s="771"/>
      <c r="W135" s="771"/>
      <c r="X135" s="772"/>
      <c r="Y135" s="772"/>
      <c r="Z135" s="772"/>
      <c r="AA135" s="772"/>
      <c r="AB135" s="773"/>
      <c r="CA135" s="782"/>
    </row>
    <row r="136" spans="3:80">
      <c r="C136" s="47"/>
      <c r="G136" s="771"/>
      <c r="H136" s="771"/>
      <c r="I136" s="771"/>
      <c r="J136" s="771"/>
      <c r="L136" s="771"/>
      <c r="M136" s="771"/>
      <c r="N136" s="771"/>
      <c r="O136" s="771"/>
      <c r="P136" s="771"/>
      <c r="R136" s="771"/>
      <c r="S136" s="771"/>
      <c r="T136" s="771"/>
      <c r="U136" s="771"/>
      <c r="V136" s="771"/>
      <c r="W136" s="771"/>
      <c r="X136" s="772"/>
      <c r="Y136" s="772"/>
      <c r="Z136" s="772"/>
      <c r="AA136" s="772"/>
      <c r="AB136" s="773"/>
      <c r="CA136" s="783"/>
      <c r="CB136" s="381"/>
    </row>
    <row r="137" spans="3:80">
      <c r="C137" s="47"/>
      <c r="G137" s="771"/>
      <c r="H137" s="771"/>
      <c r="I137" s="771"/>
      <c r="J137" s="771"/>
      <c r="L137" s="771"/>
      <c r="M137" s="771"/>
      <c r="N137" s="771"/>
      <c r="O137" s="771"/>
      <c r="P137" s="771"/>
      <c r="R137" s="771"/>
      <c r="S137" s="771"/>
      <c r="T137" s="771"/>
      <c r="U137" s="771"/>
      <c r="V137" s="771"/>
      <c r="W137" s="771"/>
      <c r="X137" s="772"/>
      <c r="Y137" s="772"/>
      <c r="Z137" s="772"/>
      <c r="AA137" s="772"/>
      <c r="AB137" s="773"/>
    </row>
    <row r="138" spans="3:80">
      <c r="C138" s="47"/>
      <c r="G138" s="771"/>
      <c r="H138" s="771"/>
      <c r="I138" s="771"/>
      <c r="J138" s="771"/>
      <c r="L138" s="771"/>
      <c r="M138" s="771"/>
      <c r="N138" s="771"/>
      <c r="O138" s="771"/>
      <c r="P138" s="771"/>
      <c r="R138" s="771"/>
      <c r="S138" s="771"/>
      <c r="T138" s="771"/>
      <c r="U138" s="771"/>
      <c r="V138" s="771"/>
      <c r="W138" s="771"/>
      <c r="X138" s="772"/>
      <c r="Y138" s="772"/>
      <c r="Z138" s="772"/>
      <c r="AA138" s="772"/>
      <c r="AB138" s="773"/>
    </row>
    <row r="139" spans="3:80">
      <c r="G139" s="772"/>
      <c r="H139" s="771"/>
      <c r="I139" s="771"/>
      <c r="J139" s="771"/>
      <c r="L139" s="771"/>
      <c r="M139" s="771"/>
      <c r="N139" s="771"/>
      <c r="O139" s="771"/>
      <c r="P139" s="771"/>
    </row>
    <row r="140" spans="3:80">
      <c r="G140" s="772"/>
      <c r="H140" s="771"/>
      <c r="I140" s="771"/>
      <c r="J140" s="771"/>
    </row>
    <row r="141" spans="3:80">
      <c r="H141" s="771"/>
      <c r="I141" s="771"/>
      <c r="J141" s="771"/>
    </row>
    <row r="142" spans="3:80">
      <c r="H142" s="771"/>
      <c r="I142" s="771"/>
      <c r="J142" s="771"/>
    </row>
    <row r="143" spans="3:80">
      <c r="H143" s="771"/>
      <c r="I143" s="771"/>
      <c r="J143" s="771"/>
    </row>
    <row r="144" spans="3:80">
      <c r="G144" s="771"/>
      <c r="H144" s="771"/>
      <c r="I144" s="771"/>
      <c r="J144" s="771"/>
    </row>
    <row r="145" spans="7:10">
      <c r="G145" s="774"/>
      <c r="H145" s="771"/>
      <c r="I145" s="771"/>
      <c r="J145" s="77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2F3C7-F7BF-412B-992A-CE43EAB4DC5C}">
  <sheetPr codeName="Sheet23">
    <tabColor theme="3" tint="0.499984740745262"/>
  </sheetPr>
  <dimension ref="B1:AD106"/>
  <sheetViews>
    <sheetView workbookViewId="0"/>
  </sheetViews>
  <sheetFormatPr defaultColWidth="8.5703125" defaultRowHeight="15"/>
  <cols>
    <col min="1" max="1" width="8.5703125" style="248"/>
    <col min="2" max="5" width="24.5703125" style="248" customWidth="1"/>
    <col min="6" max="6" width="12.5703125" style="248" bestFit="1" customWidth="1"/>
    <col min="7" max="7" width="17.42578125" style="248" customWidth="1"/>
    <col min="8" max="8" width="12.42578125" style="248" customWidth="1"/>
    <col min="9" max="9" width="13.42578125" style="248" bestFit="1" customWidth="1"/>
    <col min="10" max="10" width="12.42578125" style="248" customWidth="1"/>
    <col min="11" max="11" width="13.42578125" style="248" customWidth="1"/>
    <col min="12" max="12" width="13.42578125" style="248" bestFit="1" customWidth="1"/>
    <col min="13" max="13" width="12" style="248" customWidth="1"/>
    <col min="14" max="14" width="14.42578125" style="248" customWidth="1"/>
    <col min="15" max="15" width="13" style="248" customWidth="1"/>
    <col min="16" max="16" width="10.5703125" style="248" customWidth="1"/>
    <col min="17" max="17" width="24.42578125" style="248" customWidth="1"/>
    <col min="18" max="18" width="12.42578125" style="248" customWidth="1"/>
    <col min="19" max="19" width="11.5703125" style="248" customWidth="1"/>
    <col min="20" max="22" width="11.42578125" style="248" bestFit="1" customWidth="1"/>
    <col min="23" max="23" width="12" style="248" bestFit="1" customWidth="1"/>
    <col min="24" max="24" width="13.85546875" style="248" bestFit="1" customWidth="1"/>
    <col min="25" max="25" width="12" style="248" bestFit="1" customWidth="1"/>
    <col min="26" max="28" width="11.42578125" style="248" bestFit="1" customWidth="1"/>
    <col min="29" max="29" width="10.42578125" style="248" bestFit="1" customWidth="1"/>
    <col min="30" max="30" width="10.5703125" style="248" customWidth="1"/>
    <col min="31" max="16384" width="8.5703125" style="248"/>
  </cols>
  <sheetData>
    <row r="1" spans="3:25">
      <c r="D1" s="292" t="s">
        <v>63</v>
      </c>
      <c r="E1" s="292" t="s">
        <v>278</v>
      </c>
      <c r="V1" s="248" t="s">
        <v>63</v>
      </c>
      <c r="X1" s="248" t="s">
        <v>149</v>
      </c>
    </row>
    <row r="2" spans="3:25">
      <c r="C2" s="248" t="s">
        <v>303</v>
      </c>
      <c r="D2" s="606">
        <v>2263</v>
      </c>
      <c r="E2" s="214">
        <f>Y15</f>
        <v>6955</v>
      </c>
      <c r="F2" s="248" t="s">
        <v>304</v>
      </c>
      <c r="G2" s="248" t="s">
        <v>305</v>
      </c>
      <c r="Q2" s="855" t="s">
        <v>306</v>
      </c>
      <c r="R2" s="855"/>
      <c r="S2" s="855"/>
      <c r="V2" s="605" t="s">
        <v>307</v>
      </c>
      <c r="W2" s="248" t="s">
        <v>308</v>
      </c>
      <c r="X2" s="605" t="s">
        <v>307</v>
      </c>
      <c r="Y2" s="248" t="s">
        <v>308</v>
      </c>
    </row>
    <row r="3" spans="3:25">
      <c r="C3" s="248" t="s">
        <v>309</v>
      </c>
      <c r="D3" s="248">
        <v>3.4299999999999997E-2</v>
      </c>
      <c r="E3" s="248">
        <f>D3</f>
        <v>3.4299999999999997E-2</v>
      </c>
      <c r="F3" s="248" t="s">
        <v>310</v>
      </c>
      <c r="G3" s="248" t="s">
        <v>311</v>
      </c>
      <c r="Q3" s="248" t="s">
        <v>312</v>
      </c>
      <c r="R3" s="614">
        <f ca="1">Weather!BU46</f>
        <v>697.33418478260876</v>
      </c>
      <c r="S3" s="617">
        <f t="shared" ref="S3:S14" ca="1" si="0">R3/$R$15</f>
        <v>0.18808865274214304</v>
      </c>
      <c r="T3" s="861">
        <f ca="1">SUM(S3:S9)</f>
        <v>0.64853066116518754</v>
      </c>
      <c r="V3" s="604">
        <v>419</v>
      </c>
      <c r="W3" s="214">
        <f t="shared" ref="W3:W14" si="1">MAX(V3-$V$9,0)</f>
        <v>368</v>
      </c>
      <c r="X3" s="606">
        <v>1640</v>
      </c>
      <c r="Y3" s="214">
        <f t="shared" ref="Y3:Y14" si="2">MAX(X3-$X$9,0)</f>
        <v>1491</v>
      </c>
    </row>
    <row r="4" spans="3:25">
      <c r="C4" s="248" t="s">
        <v>313</v>
      </c>
      <c r="D4" s="248">
        <v>277</v>
      </c>
      <c r="E4" s="248">
        <f>D4</f>
        <v>277</v>
      </c>
      <c r="F4" s="248" t="s">
        <v>314</v>
      </c>
      <c r="G4" s="248" t="s">
        <v>311</v>
      </c>
      <c r="Q4" s="248" t="s">
        <v>315</v>
      </c>
      <c r="R4" s="614">
        <f ca="1">Weather!BU47</f>
        <v>624.25501811594188</v>
      </c>
      <c r="S4" s="617">
        <f t="shared" ca="1" si="0"/>
        <v>0.16837735462739914</v>
      </c>
      <c r="T4" s="861"/>
      <c r="V4" s="604">
        <v>404</v>
      </c>
      <c r="W4" s="214">
        <f t="shared" si="1"/>
        <v>353</v>
      </c>
      <c r="X4" s="606">
        <v>1463</v>
      </c>
      <c r="Y4" s="214">
        <f t="shared" si="2"/>
        <v>1314</v>
      </c>
    </row>
    <row r="5" spans="3:25">
      <c r="C5" s="248" t="s">
        <v>316</v>
      </c>
      <c r="D5" s="248">
        <f>D3*D4</f>
        <v>9.5010999999999992</v>
      </c>
      <c r="E5" s="248">
        <f>E3*E4</f>
        <v>9.5010999999999992</v>
      </c>
      <c r="F5" s="248" t="s">
        <v>317</v>
      </c>
      <c r="Q5" s="248" t="s">
        <v>318</v>
      </c>
      <c r="R5" s="614">
        <f ca="1">Weather!BU48</f>
        <v>546.13298913043491</v>
      </c>
      <c r="S5" s="617">
        <f t="shared" ca="1" si="0"/>
        <v>0.14730586910149249</v>
      </c>
      <c r="T5" s="861"/>
      <c r="V5" s="604">
        <v>354</v>
      </c>
      <c r="W5" s="214">
        <f t="shared" si="1"/>
        <v>303</v>
      </c>
      <c r="X5" s="606">
        <v>1262</v>
      </c>
      <c r="Y5" s="214">
        <f t="shared" si="2"/>
        <v>1113</v>
      </c>
    </row>
    <row r="6" spans="3:25">
      <c r="C6" s="248" t="s">
        <v>319</v>
      </c>
      <c r="D6" s="602">
        <f>D2*D5</f>
        <v>21500.989299999997</v>
      </c>
      <c r="E6" s="602">
        <f>E2*E5</f>
        <v>66080.150499999989</v>
      </c>
      <c r="F6" s="248" t="s">
        <v>320</v>
      </c>
      <c r="H6" s="214"/>
      <c r="Q6" s="248" t="s">
        <v>321</v>
      </c>
      <c r="R6" s="614">
        <f ca="1">Weather!BU49</f>
        <v>352.41399621212122</v>
      </c>
      <c r="S6" s="617">
        <f t="shared" ca="1" si="0"/>
        <v>9.5054961023711596E-2</v>
      </c>
      <c r="T6" s="861"/>
      <c r="V6" s="604">
        <v>252</v>
      </c>
      <c r="W6" s="214">
        <f t="shared" si="1"/>
        <v>201</v>
      </c>
      <c r="X6" s="606">
        <v>679</v>
      </c>
      <c r="Y6" s="214">
        <f t="shared" si="2"/>
        <v>530</v>
      </c>
    </row>
    <row r="7" spans="3:25">
      <c r="C7" s="248" t="s">
        <v>322</v>
      </c>
      <c r="D7" s="248">
        <v>2.5499999999999998</v>
      </c>
      <c r="E7" s="248">
        <v>2.5499999999999998</v>
      </c>
      <c r="F7" s="248" t="s">
        <v>323</v>
      </c>
      <c r="G7" s="607" t="s">
        <v>324</v>
      </c>
      <c r="Q7" s="248" t="s">
        <v>108</v>
      </c>
      <c r="R7" s="614">
        <f ca="1">Weather!BU50</f>
        <v>150.136897859768</v>
      </c>
      <c r="S7" s="617">
        <f t="shared" ca="1" si="0"/>
        <v>4.0495715628987718E-2</v>
      </c>
      <c r="T7" s="861"/>
      <c r="V7" s="604">
        <v>158</v>
      </c>
      <c r="W7" s="214">
        <f>MAX(V7-$V$9,0)</f>
        <v>107</v>
      </c>
      <c r="X7" s="606">
        <v>331</v>
      </c>
      <c r="Y7" s="214">
        <f t="shared" si="2"/>
        <v>182</v>
      </c>
    </row>
    <row r="8" spans="3:25">
      <c r="C8" s="248" t="s">
        <v>676</v>
      </c>
      <c r="D8" s="308">
        <v>0.5</v>
      </c>
      <c r="E8" s="308">
        <f>D8</f>
        <v>0.5</v>
      </c>
      <c r="F8" s="248" t="s">
        <v>677</v>
      </c>
      <c r="Q8" s="248" t="s">
        <v>326</v>
      </c>
      <c r="R8" s="614">
        <f ca="1">Weather!BU51</f>
        <v>32.520923826173821</v>
      </c>
      <c r="S8" s="617">
        <f t="shared" ca="1" si="0"/>
        <v>8.7717150282855955E-3</v>
      </c>
      <c r="T8" s="861"/>
      <c r="V8" s="604">
        <v>69</v>
      </c>
      <c r="W8" s="214">
        <f t="shared" si="1"/>
        <v>18</v>
      </c>
      <c r="X8" s="606">
        <v>82</v>
      </c>
      <c r="Y8" s="214">
        <f t="shared" si="2"/>
        <v>0</v>
      </c>
    </row>
    <row r="9" spans="3:25">
      <c r="C9" s="248" t="s">
        <v>325</v>
      </c>
      <c r="D9" s="279">
        <f>D6/D7*D8</f>
        <v>4215.8802549019601</v>
      </c>
      <c r="E9" s="279">
        <f>E6/E7*E8</f>
        <v>12956.892254901959</v>
      </c>
      <c r="F9" s="248" t="s">
        <v>320</v>
      </c>
      <c r="Q9" s="248" t="s">
        <v>327</v>
      </c>
      <c r="R9" s="614">
        <f ca="1">Weather!BU52</f>
        <v>1.6179166666666653</v>
      </c>
      <c r="S9" s="617">
        <f t="shared" ca="1" si="0"/>
        <v>4.3639301316808385E-4</v>
      </c>
      <c r="T9" s="861"/>
      <c r="V9" s="604">
        <v>51</v>
      </c>
      <c r="W9" s="214">
        <f t="shared" si="1"/>
        <v>0</v>
      </c>
      <c r="X9" s="606">
        <v>149</v>
      </c>
      <c r="Y9" s="214">
        <f t="shared" si="2"/>
        <v>0</v>
      </c>
    </row>
    <row r="10" spans="3:25">
      <c r="Q10" s="248" t="s">
        <v>328</v>
      </c>
      <c r="R10" s="614">
        <f ca="1">Weather!BU53</f>
        <v>5.6499999999999977</v>
      </c>
      <c r="S10" s="617">
        <f t="shared" ca="1" si="0"/>
        <v>1.5239477874218954E-3</v>
      </c>
      <c r="T10" s="861">
        <f ca="1">SUM(S10:S14)</f>
        <v>0.35146933883481224</v>
      </c>
      <c r="V10" s="604">
        <v>54</v>
      </c>
      <c r="W10" s="214">
        <f t="shared" si="1"/>
        <v>3</v>
      </c>
      <c r="X10" s="606">
        <v>166</v>
      </c>
      <c r="Y10" s="214">
        <f t="shared" si="2"/>
        <v>17</v>
      </c>
    </row>
    <row r="11" spans="3:25">
      <c r="Q11" s="248" t="s">
        <v>329</v>
      </c>
      <c r="R11" s="614">
        <f ca="1">Weather!BU54</f>
        <v>54.959440993788824</v>
      </c>
      <c r="S11" s="617">
        <f t="shared" ca="1" si="0"/>
        <v>1.482395017706703E-2</v>
      </c>
      <c r="T11" s="861"/>
      <c r="V11" s="604">
        <v>58</v>
      </c>
      <c r="W11" s="214">
        <f t="shared" si="1"/>
        <v>7</v>
      </c>
      <c r="X11" s="606">
        <v>193</v>
      </c>
      <c r="Y11" s="214">
        <f t="shared" si="2"/>
        <v>44</v>
      </c>
    </row>
    <row r="12" spans="3:25">
      <c r="Q12" s="248" t="s">
        <v>330</v>
      </c>
      <c r="R12" s="614">
        <f ca="1">Weather!BU55</f>
        <v>237.89681159420289</v>
      </c>
      <c r="S12" s="617">
        <f t="shared" ca="1" si="0"/>
        <v>6.4166782241364448E-2</v>
      </c>
      <c r="T12" s="861"/>
      <c r="V12" s="604">
        <v>91</v>
      </c>
      <c r="W12" s="214">
        <f t="shared" si="1"/>
        <v>40</v>
      </c>
      <c r="X12" s="606">
        <v>407</v>
      </c>
      <c r="Y12" s="214">
        <f t="shared" si="2"/>
        <v>258</v>
      </c>
    </row>
    <row r="13" spans="3:25">
      <c r="Q13" s="248" t="s">
        <v>331</v>
      </c>
      <c r="R13" s="614">
        <f ca="1">Weather!BU56</f>
        <v>426.62991389045737</v>
      </c>
      <c r="S13" s="617">
        <f t="shared" ca="1" si="0"/>
        <v>0.11507286961439937</v>
      </c>
      <c r="T13" s="861"/>
      <c r="V13" s="604">
        <v>174</v>
      </c>
      <c r="W13" s="214">
        <f t="shared" si="1"/>
        <v>123</v>
      </c>
      <c r="X13" s="606">
        <v>919</v>
      </c>
      <c r="Y13" s="214">
        <f t="shared" si="2"/>
        <v>770</v>
      </c>
    </row>
    <row r="14" spans="3:25">
      <c r="Q14" s="248" t="s">
        <v>332</v>
      </c>
      <c r="R14" s="614">
        <f ca="1">Weather!BU57</f>
        <v>577.92800724637686</v>
      </c>
      <c r="S14" s="617">
        <f t="shared" ca="1" si="0"/>
        <v>0.15588178901455954</v>
      </c>
      <c r="T14" s="861"/>
      <c r="V14" s="604">
        <v>316</v>
      </c>
      <c r="W14" s="214">
        <f t="shared" si="1"/>
        <v>265</v>
      </c>
      <c r="X14" s="606">
        <v>1385</v>
      </c>
      <c r="Y14" s="214">
        <f t="shared" si="2"/>
        <v>1236</v>
      </c>
    </row>
    <row r="15" spans="3:25">
      <c r="Q15" s="248" t="s">
        <v>65</v>
      </c>
      <c r="R15" s="612">
        <f ca="1">SUM(R3:R14)</f>
        <v>3707.4761003185413</v>
      </c>
      <c r="S15" s="611">
        <f ca="1">SUM(S3:S14)</f>
        <v>0.99999999999999978</v>
      </c>
      <c r="T15" s="613"/>
      <c r="V15" s="606">
        <f>SUM(V3:V14)</f>
        <v>2400</v>
      </c>
      <c r="W15" s="606">
        <f>SUM(W3:W14)</f>
        <v>1788</v>
      </c>
      <c r="X15" s="606">
        <f>SUM(X3:X14)</f>
        <v>8676</v>
      </c>
      <c r="Y15" s="606">
        <f>SUM(Y3:Y14)</f>
        <v>6955</v>
      </c>
    </row>
    <row r="16" spans="3:25">
      <c r="R16" s="612"/>
      <c r="S16" s="611"/>
      <c r="T16" s="613"/>
      <c r="V16" s="606"/>
      <c r="W16" s="606"/>
      <c r="X16" s="606"/>
      <c r="Y16" s="606"/>
    </row>
    <row r="17" spans="2:30" ht="15.75">
      <c r="B17" s="862" t="s">
        <v>390</v>
      </c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Q17" s="862" t="s">
        <v>391</v>
      </c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</row>
    <row r="18" spans="2:30" ht="18.75">
      <c r="B18" s="622"/>
      <c r="C18" s="622"/>
      <c r="D18" s="622"/>
      <c r="E18" s="622"/>
      <c r="F18" s="622"/>
      <c r="G18" s="622"/>
      <c r="H18" s="622"/>
      <c r="I18" s="622"/>
      <c r="J18" s="622"/>
      <c r="K18" s="622"/>
      <c r="L18" s="622"/>
      <c r="T18" s="613"/>
    </row>
    <row r="19" spans="2:30" s="241" customFormat="1">
      <c r="B19" s="241" t="s">
        <v>63</v>
      </c>
      <c r="C19" s="241">
        <v>2019</v>
      </c>
      <c r="D19" s="241">
        <v>2020</v>
      </c>
      <c r="E19" s="241">
        <v>2021</v>
      </c>
      <c r="F19" s="241">
        <v>2022</v>
      </c>
      <c r="G19" s="241">
        <v>2023</v>
      </c>
      <c r="H19" s="241">
        <v>2024</v>
      </c>
      <c r="I19" s="241">
        <v>2025</v>
      </c>
      <c r="J19" s="241">
        <v>2026</v>
      </c>
      <c r="K19" s="241">
        <v>2027</v>
      </c>
      <c r="L19" s="241">
        <v>2028</v>
      </c>
      <c r="M19" s="241">
        <v>2029</v>
      </c>
      <c r="N19" s="241">
        <v>2030</v>
      </c>
      <c r="O19" s="241">
        <v>2031</v>
      </c>
      <c r="Q19" s="241" t="s">
        <v>63</v>
      </c>
      <c r="R19" s="241">
        <v>2019</v>
      </c>
      <c r="S19" s="241">
        <v>2020</v>
      </c>
      <c r="T19" s="241">
        <v>2021</v>
      </c>
      <c r="U19" s="241">
        <v>2022</v>
      </c>
      <c r="V19" s="241">
        <v>2023</v>
      </c>
      <c r="W19" s="241">
        <v>2024</v>
      </c>
      <c r="X19" s="241">
        <v>2025</v>
      </c>
      <c r="Y19" s="241">
        <v>2026</v>
      </c>
      <c r="Z19" s="241">
        <v>2027</v>
      </c>
      <c r="AA19" s="241">
        <v>2028</v>
      </c>
      <c r="AB19" s="241">
        <v>2029</v>
      </c>
      <c r="AC19" s="241">
        <v>2030</v>
      </c>
      <c r="AD19" s="241">
        <v>2031</v>
      </c>
    </row>
    <row r="20" spans="2:30">
      <c r="B20" s="248" t="s">
        <v>333</v>
      </c>
      <c r="C20" s="276">
        <f ca="1">OFFSET('Customer Count'!$C$11,COLUMN()-COLUMN(Heating!$E$20),0)</f>
        <v>110960.875</v>
      </c>
      <c r="D20" s="276">
        <f ca="1">OFFSET('Customer Count'!$C$11,COLUMN()-COLUMN(Heating!$E$20),0)</f>
        <v>112218.375</v>
      </c>
      <c r="E20" s="276">
        <f ca="1">OFFSET('Customer Count'!$C$11,COLUMN()-COLUMN(Heating!$E$20),0)</f>
        <v>113059.29166666664</v>
      </c>
      <c r="F20" s="276">
        <f ca="1">OFFSET('Customer Count'!$C$11,COLUMN()-COLUMN(Heating!$E$20),0)</f>
        <v>114160.83333333336</v>
      </c>
      <c r="G20" s="276">
        <f ca="1">OFFSET('Customer Count'!$C$11,COLUMN()-COLUMN(Heating!$E$20),0)</f>
        <v>115689.125</v>
      </c>
      <c r="H20" s="276">
        <f ca="1">OFFSET('Customer Count'!$C$11,COLUMN()-COLUMN(Heating!$E$20),0)</f>
        <v>117456.375</v>
      </c>
      <c r="I20" s="276">
        <f ca="1">OFFSET('Customer Count'!$C$11,COLUMN()-COLUMN(Heating!$E$20),0)</f>
        <v>119658.08251290793</v>
      </c>
      <c r="J20" s="276">
        <f ca="1">OFFSET('Customer Count'!$C$11,COLUMN()-COLUMN(Heating!$E$20),0)</f>
        <v>122101.82410195106</v>
      </c>
      <c r="K20" s="276">
        <f ca="1">OFFSET('Customer Count'!$C$11,COLUMN()-COLUMN(Heating!$E$20),0)</f>
        <v>124619.26455933102</v>
      </c>
      <c r="L20" s="276">
        <f ca="1">OFFSET('Customer Count'!$C$11,COLUMN()-COLUMN(Heating!$E$20),0)</f>
        <v>127084.20705650066</v>
      </c>
      <c r="M20" s="276">
        <f ca="1">OFFSET('Customer Count'!$C$11,COLUMN()-COLUMN(Heating!$E$20),0)</f>
        <v>129594.08740725768</v>
      </c>
      <c r="N20" s="276">
        <f ca="1">OFFSET('Customer Count'!$C$11,COLUMN()-COLUMN(Heating!$E$20),0)</f>
        <v>132210.11590597217</v>
      </c>
      <c r="O20" s="276">
        <f ca="1">OFFSET('Customer Count'!$C$11,COLUMN()-COLUMN(Heating!$E$20),0)</f>
        <v>134871.14313253391</v>
      </c>
      <c r="Q20" s="248" t="s">
        <v>333</v>
      </c>
      <c r="R20" s="276">
        <f ca="1">OFFSET('Customer Count'!$AT$11,COLUMN()-COLUMN(Heating!$T$20),0)</f>
        <v>40903.041666666679</v>
      </c>
      <c r="S20" s="276">
        <f ca="1">OFFSET('Customer Count'!$AT$11,COLUMN()-COLUMN(Heating!$T$20),0)</f>
        <v>41880.625</v>
      </c>
      <c r="T20" s="276">
        <f ca="1">OFFSET('Customer Count'!$AT$11,COLUMN()-COLUMN(Heating!$T$20),0)</f>
        <v>42897.875</v>
      </c>
      <c r="U20" s="276">
        <f ca="1">OFFSET('Customer Count'!$AT$11,COLUMN()-COLUMN(Heating!$T$20),0)</f>
        <v>44013.541666666686</v>
      </c>
      <c r="V20" s="276">
        <f ca="1">OFFSET('Customer Count'!$AT$11,COLUMN()-COLUMN(Heating!$T$20),0)</f>
        <v>44945.416666666686</v>
      </c>
      <c r="W20" s="276">
        <f ca="1">OFFSET('Customer Count'!$AT$11,COLUMN()-COLUMN(Heating!$T$20),0)</f>
        <v>45520.625</v>
      </c>
      <c r="X20" s="276">
        <f ca="1">OFFSET('Customer Count'!$AT$11,COLUMN()-COLUMN(Heating!$T$20),0)</f>
        <v>46436.563069453616</v>
      </c>
      <c r="Y20" s="276">
        <f ca="1">OFFSET('Customer Count'!$AT$11,COLUMN()-COLUMN(Heating!$T$20),0)</f>
        <v>47323.86823971742</v>
      </c>
      <c r="Z20" s="276">
        <f ca="1">OFFSET('Customer Count'!$AT$11,COLUMN()-COLUMN(Heating!$T$20),0)</f>
        <v>48234.426518722685</v>
      </c>
      <c r="AA20" s="276">
        <f ca="1">OFFSET('Customer Count'!$AT$11,COLUMN()-COLUMN(Heating!$T$20),0)</f>
        <v>49135.011201534966</v>
      </c>
      <c r="AB20" s="276">
        <f ca="1">OFFSET('Customer Count'!$AT$11,COLUMN()-COLUMN(Heating!$T$20),0)</f>
        <v>50076.849655134763</v>
      </c>
      <c r="AC20" s="276">
        <f ca="1">OFFSET('Customer Count'!$AT$11,COLUMN()-COLUMN(Heating!$T$20),0)</f>
        <v>51033.453561093025</v>
      </c>
      <c r="AD20" s="276">
        <f ca="1">OFFSET('Customer Count'!$AT$11,COLUMN()-COLUMN(Heating!$T$20),0)</f>
        <v>52005.475034746378</v>
      </c>
    </row>
    <row r="21" spans="2:30">
      <c r="B21" s="248" t="s">
        <v>334</v>
      </c>
      <c r="C21" s="606"/>
      <c r="D21" s="606">
        <f t="shared" ref="D21:E21" ca="1" si="3">D20-C20</f>
        <v>1257.5</v>
      </c>
      <c r="E21" s="606">
        <f t="shared" ca="1" si="3"/>
        <v>840.91666666664241</v>
      </c>
      <c r="F21" s="606">
        <f ca="1">F20-E20</f>
        <v>1101.5416666667152</v>
      </c>
      <c r="G21" s="606">
        <f t="shared" ref="G21:J21" ca="1" si="4">G20-F20</f>
        <v>1528.2916666666424</v>
      </c>
      <c r="H21" s="606">
        <f t="shared" ca="1" si="4"/>
        <v>1767.25</v>
      </c>
      <c r="I21" s="606">
        <f t="shared" ca="1" si="4"/>
        <v>2201.7075129079312</v>
      </c>
      <c r="J21" s="606">
        <f t="shared" ca="1" si="4"/>
        <v>2443.7415890431294</v>
      </c>
      <c r="K21" s="606">
        <f t="shared" ref="K21" ca="1" si="5">K20-J20</f>
        <v>2517.4404573799548</v>
      </c>
      <c r="L21" s="606">
        <f t="shared" ref="L21" ca="1" si="6">L20-K20</f>
        <v>2464.9424971696426</v>
      </c>
      <c r="M21" s="606">
        <f t="shared" ref="M21" ca="1" si="7">M20-L20</f>
        <v>2509.8803507570265</v>
      </c>
      <c r="N21" s="606">
        <f t="shared" ref="N21" ca="1" si="8">N20-M20</f>
        <v>2616.0284987144842</v>
      </c>
      <c r="O21" s="606">
        <f t="shared" ref="O21" ca="1" si="9">O20-N20</f>
        <v>2661.0272265617386</v>
      </c>
      <c r="Q21" s="248" t="s">
        <v>334</v>
      </c>
      <c r="R21" s="606"/>
      <c r="S21" s="606">
        <f t="shared" ref="S21:T21" ca="1" si="10">S20-R20</f>
        <v>977.58333333332121</v>
      </c>
      <c r="T21" s="606">
        <f t="shared" ca="1" si="10"/>
        <v>1017.25</v>
      </c>
      <c r="U21" s="606">
        <f ca="1">U20-T20</f>
        <v>1115.6666666666861</v>
      </c>
      <c r="V21" s="606">
        <f t="shared" ref="V21" ca="1" si="11">V20-U20</f>
        <v>931.875</v>
      </c>
      <c r="W21" s="606">
        <f t="shared" ref="W21" ca="1" si="12">W20-V20</f>
        <v>575.20833333331393</v>
      </c>
      <c r="X21" s="606">
        <f t="shared" ref="X21" ca="1" si="13">X20-W20</f>
        <v>915.93806945361575</v>
      </c>
      <c r="Y21" s="606">
        <f t="shared" ref="Y21" ca="1" si="14">Y20-X20</f>
        <v>887.30517026380403</v>
      </c>
      <c r="Z21" s="606">
        <f t="shared" ref="Z21" ca="1" si="15">Z20-Y20</f>
        <v>910.55827900526492</v>
      </c>
      <c r="AA21" s="606">
        <f t="shared" ref="AA21" ca="1" si="16">AA20-Z20</f>
        <v>900.58468281228124</v>
      </c>
      <c r="AB21" s="606">
        <f t="shared" ref="AB21" ca="1" si="17">AB20-AA20</f>
        <v>941.8384535997975</v>
      </c>
      <c r="AC21" s="606">
        <f t="shared" ref="AC21" ca="1" si="18">AC20-AB20</f>
        <v>956.60390595826175</v>
      </c>
      <c r="AD21" s="606">
        <f t="shared" ref="AD21" ca="1" si="19">AD20-AC20</f>
        <v>972.02147365335259</v>
      </c>
    </row>
    <row r="22" spans="2:30">
      <c r="B22" s="248" t="s">
        <v>335</v>
      </c>
      <c r="C22" s="275">
        <f>C23/20</f>
        <v>4.2444739702862545E-3</v>
      </c>
      <c r="D22" s="275">
        <f t="shared" ref="D22:F22" si="20">D23/20</f>
        <v>4.8653300412871839E-3</v>
      </c>
      <c r="E22" s="275">
        <f t="shared" si="20"/>
        <v>4.7057362801092625E-3</v>
      </c>
      <c r="F22" s="275">
        <f t="shared" si="20"/>
        <v>5.1274469820554768E-3</v>
      </c>
      <c r="G22" s="453">
        <f t="shared" ref="G22:I22" si="21">G23/20</f>
        <v>5.3580781369669591E-3</v>
      </c>
      <c r="H22" s="453">
        <f t="shared" si="21"/>
        <v>5.6070106643799633E-3</v>
      </c>
      <c r="I22" s="453">
        <f t="shared" si="21"/>
        <v>5.8559431917929675E-3</v>
      </c>
      <c r="J22" s="453">
        <f>J23/20</f>
        <v>6.1048757192058824E-3</v>
      </c>
      <c r="K22" s="453">
        <f t="shared" ref="K22:O22" si="22">K23/20</f>
        <v>6.3538082466188858E-3</v>
      </c>
      <c r="L22" s="453">
        <f t="shared" si="22"/>
        <v>6.60274077403189E-3</v>
      </c>
      <c r="M22" s="453">
        <f t="shared" si="22"/>
        <v>6.8516733014448048E-3</v>
      </c>
      <c r="N22" s="453">
        <f t="shared" si="22"/>
        <v>7.1006058288578091E-3</v>
      </c>
      <c r="O22" s="453">
        <f t="shared" si="22"/>
        <v>7.3495383562708124E-3</v>
      </c>
      <c r="P22" s="615"/>
      <c r="Q22" s="248" t="s">
        <v>335</v>
      </c>
      <c r="R22" s="617">
        <f>C22</f>
        <v>4.2444739702862545E-3</v>
      </c>
      <c r="S22" s="617">
        <f t="shared" ref="S22:U23" si="23">D22</f>
        <v>4.8653300412871839E-3</v>
      </c>
      <c r="T22" s="617">
        <f t="shared" si="23"/>
        <v>4.7057362801092625E-3</v>
      </c>
      <c r="U22" s="617">
        <f t="shared" si="23"/>
        <v>5.1274469820554768E-3</v>
      </c>
      <c r="V22" s="617">
        <f>V23/20</f>
        <v>5.3580781369669591E-3</v>
      </c>
      <c r="W22" s="617">
        <f t="shared" ref="W22" si="24">W23/20</f>
        <v>5.6070106643799633E-3</v>
      </c>
      <c r="X22" s="617">
        <f t="shared" ref="X22" si="25">X23/20</f>
        <v>5.8559431917929675E-3</v>
      </c>
      <c r="Y22" s="617">
        <f>Y23/20</f>
        <v>6.1048757192058824E-3</v>
      </c>
      <c r="Z22" s="617">
        <f t="shared" ref="Z22" si="26">Z23/20</f>
        <v>6.3538082466188858E-3</v>
      </c>
      <c r="AA22" s="617">
        <f t="shared" ref="AA22" si="27">AA23/20</f>
        <v>6.60274077403189E-3</v>
      </c>
      <c r="AB22" s="617">
        <f t="shared" ref="AB22" si="28">AB23/20</f>
        <v>6.8516733014448048E-3</v>
      </c>
      <c r="AC22" s="617">
        <f t="shared" ref="AC22" si="29">AC23/20</f>
        <v>7.1006058288578091E-3</v>
      </c>
      <c r="AD22" s="617">
        <f t="shared" ref="AD22" si="30">AD23/20</f>
        <v>7.3495383562708124E-3</v>
      </c>
    </row>
    <row r="23" spans="2:30">
      <c r="B23" s="248" t="s">
        <v>336</v>
      </c>
      <c r="C23" s="274">
        <f>'Heating (data)'!U79</f>
        <v>8.4889479405725096E-2</v>
      </c>
      <c r="D23" s="274">
        <f>'Heating (data)'!V79</f>
        <v>9.7306600825743675E-2</v>
      </c>
      <c r="E23" s="274">
        <f>'Heating (data)'!W79</f>
        <v>9.4114725602185242E-2</v>
      </c>
      <c r="F23" s="274">
        <f>'Heating (data)'!X79</f>
        <v>0.10254893964110953</v>
      </c>
      <c r="G23" s="453" cm="1">
        <f t="array" ref="G23">TREND($C$23:$F$23,$C$19:$F$19,G19)</f>
        <v>0.10716156273933919</v>
      </c>
      <c r="H23" s="453" cm="1">
        <f t="array" ref="H23">TREND($C$23:$F$23,$C$19:$F$19,H19)</f>
        <v>0.11214021328759927</v>
      </c>
      <c r="I23" s="453" cm="1">
        <f t="array" ref="I23">TREND($C$23:$F$23,$C$19:$F$19,I19)</f>
        <v>0.11711886383585934</v>
      </c>
      <c r="J23" s="453" cm="1">
        <f t="array" ref="J23">TREND($C$23:$F$23,$C$19:$F$19,J19)</f>
        <v>0.12209751438411764</v>
      </c>
      <c r="K23" s="453" cm="1">
        <f t="array" ref="K23">TREND($C$23:$F$23,$C$19:$F$19,K19)</f>
        <v>0.12707616493237772</v>
      </c>
      <c r="L23" s="453" cm="1">
        <f t="array" ref="L23">TREND($C$23:$F$23,$C$19:$F$19,L19)</f>
        <v>0.1320548154806378</v>
      </c>
      <c r="M23" s="453" cm="1">
        <f t="array" ref="M23">TREND($C$23:$F$23,$C$19:$F$19,M19)</f>
        <v>0.1370334660288961</v>
      </c>
      <c r="N23" s="453" cm="1">
        <f t="array" ref="N23">TREND($C$23:$F$23,$C$19:$F$19,N19)</f>
        <v>0.14201211657715618</v>
      </c>
      <c r="O23" s="453" cm="1">
        <f t="array" ref="O23">TREND($C$23:$F$23,$C$19:$F$19,O19)</f>
        <v>0.14699076712541626</v>
      </c>
      <c r="Q23" s="248" t="s">
        <v>336</v>
      </c>
      <c r="R23" s="623">
        <f>C23</f>
        <v>8.4889479405725096E-2</v>
      </c>
      <c r="S23" s="623">
        <f t="shared" si="23"/>
        <v>9.7306600825743675E-2</v>
      </c>
      <c r="T23" s="623">
        <f t="shared" si="23"/>
        <v>9.4114725602185242E-2</v>
      </c>
      <c r="U23" s="623">
        <f t="shared" si="23"/>
        <v>0.10254893964110953</v>
      </c>
      <c r="V23" s="623">
        <f t="shared" ref="V23:AD23" si="31">G23</f>
        <v>0.10716156273933919</v>
      </c>
      <c r="W23" s="623">
        <f t="shared" si="31"/>
        <v>0.11214021328759927</v>
      </c>
      <c r="X23" s="623">
        <f t="shared" si="31"/>
        <v>0.11711886383585934</v>
      </c>
      <c r="Y23" s="623">
        <f t="shared" si="31"/>
        <v>0.12209751438411764</v>
      </c>
      <c r="Z23" s="623">
        <f t="shared" si="31"/>
        <v>0.12707616493237772</v>
      </c>
      <c r="AA23" s="623">
        <f t="shared" si="31"/>
        <v>0.1320548154806378</v>
      </c>
      <c r="AB23" s="623">
        <f t="shared" si="31"/>
        <v>0.1370334660288961</v>
      </c>
      <c r="AC23" s="623">
        <f t="shared" si="31"/>
        <v>0.14201211657715618</v>
      </c>
      <c r="AD23" s="623">
        <f t="shared" si="31"/>
        <v>0.14699076712541626</v>
      </c>
    </row>
    <row r="24" spans="2:30">
      <c r="B24" s="248" t="s">
        <v>337</v>
      </c>
      <c r="C24" s="606">
        <f t="shared" ref="C24:E24" ca="1" si="32">C22*(C20-C21)</f>
        <v>470.97054565768678</v>
      </c>
      <c r="D24" s="606">
        <f t="shared" ca="1" si="32"/>
        <v>539.86127854501206</v>
      </c>
      <c r="E24" s="606">
        <f t="shared" ca="1" si="32"/>
        <v>528.07007853240623</v>
      </c>
      <c r="F24" s="606">
        <f ca="1">F22*(F20-F21)</f>
        <v>579.70552384957978</v>
      </c>
      <c r="G24" s="606">
        <f ca="1">G22*(G20-G21)</f>
        <v>611.68266518126234</v>
      </c>
      <c r="H24" s="606">
        <f t="shared" ref="H24:J24" ca="1" si="33">H22*(H20-H21)</f>
        <v>648.67015762778658</v>
      </c>
      <c r="I24" s="606">
        <f t="shared" ca="1" si="33"/>
        <v>687.81785951393169</v>
      </c>
      <c r="J24" s="606">
        <f t="shared" ca="1" si="33"/>
        <v>730.49772253978563</v>
      </c>
      <c r="K24" s="606">
        <f t="shared" ref="K24:O24" ca="1" si="34">K22*(K20-K21)</f>
        <v>775.81157690618522</v>
      </c>
      <c r="L24" s="606">
        <f t="shared" ca="1" si="34"/>
        <v>822.82869933576217</v>
      </c>
      <c r="M24" s="606">
        <f t="shared" ca="1" si="34"/>
        <v>870.73946852430902</v>
      </c>
      <c r="N24" s="606">
        <f t="shared" ca="1" si="34"/>
        <v>920.19653242948232</v>
      </c>
      <c r="O24" s="606">
        <f t="shared" ca="1" si="34"/>
        <v>971.68331793795232</v>
      </c>
      <c r="Q24" s="248" t="s">
        <v>337</v>
      </c>
      <c r="R24" s="606">
        <f t="shared" ref="R24:T24" ca="1" si="35">R22*(R20-R21)</f>
        <v>173.61189565970082</v>
      </c>
      <c r="S24" s="606">
        <f t="shared" ca="1" si="35"/>
        <v>199.00679740085479</v>
      </c>
      <c r="T24" s="606">
        <f t="shared" ca="1" si="35"/>
        <v>197.07917649615098</v>
      </c>
      <c r="U24" s="606">
        <f ca="1">U22*(U20-U21)</f>
        <v>219.95657970534307</v>
      </c>
      <c r="V24" s="606">
        <f ca="1">V22*(V20-V21)</f>
        <v>235.82799533465106</v>
      </c>
      <c r="W24" s="606">
        <f t="shared" ref="W24:AD24" ca="1" si="36">W22*(W20-W21)</f>
        <v>252.00943056500105</v>
      </c>
      <c r="X24" s="606">
        <f t="shared" ca="1" si="36"/>
        <v>266.56619405491074</v>
      </c>
      <c r="Y24" s="606">
        <f t="shared" ca="1" si="36"/>
        <v>283.48944636607996</v>
      </c>
      <c r="Z24" s="606">
        <f t="shared" ca="1" si="36"/>
        <v>300.68678428342213</v>
      </c>
      <c r="AA24" s="606">
        <f t="shared" ca="1" si="36"/>
        <v>318.47941468721535</v>
      </c>
      <c r="AB24" s="606">
        <f t="shared" ca="1" si="36"/>
        <v>336.65704441574854</v>
      </c>
      <c r="AC24" s="606">
        <f t="shared" ca="1" si="36"/>
        <v>355.57597055208606</v>
      </c>
      <c r="AD24" s="606">
        <f t="shared" ca="1" si="36"/>
        <v>375.07232440021846</v>
      </c>
    </row>
    <row r="25" spans="2:30">
      <c r="B25" s="248" t="s">
        <v>338</v>
      </c>
      <c r="C25" s="606">
        <f t="shared" ref="C25:E25" si="37">C23*C21</f>
        <v>0</v>
      </c>
      <c r="D25" s="606">
        <f t="shared" ca="1" si="37"/>
        <v>122.36305053837268</v>
      </c>
      <c r="E25" s="606">
        <f t="shared" ca="1" si="37"/>
        <v>79.142641337635325</v>
      </c>
      <c r="F25" s="606">
        <f ca="1">F23*F21</f>
        <v>112.96192988717218</v>
      </c>
      <c r="G25" s="606">
        <f ca="1">G23*G21</f>
        <v>163.77412332150666</v>
      </c>
      <c r="H25" s="606">
        <f t="shared" ref="H25:I25" ca="1" si="38">H23*H21</f>
        <v>198.1797919325098</v>
      </c>
      <c r="I25" s="606">
        <f t="shared" ca="1" si="38"/>
        <v>257.86148241065251</v>
      </c>
      <c r="J25" s="606">
        <f ca="1">J23*J21</f>
        <v>298.37477381925999</v>
      </c>
      <c r="K25" s="606">
        <f t="shared" ref="K25:O25" ca="1" si="39">K23*K21</f>
        <v>319.90667876945554</v>
      </c>
      <c r="L25" s="606">
        <f t="shared" ca="1" si="39"/>
        <v>325.5075266341197</v>
      </c>
      <c r="M25" s="606">
        <f t="shared" ca="1" si="39"/>
        <v>343.93760378205684</v>
      </c>
      <c r="N25" s="606">
        <f t="shared" ca="1" si="39"/>
        <v>371.5077441286042</v>
      </c>
      <c r="O25" s="606">
        <f t="shared" ca="1" si="39"/>
        <v>391.1464333739288</v>
      </c>
      <c r="Q25" s="248" t="s">
        <v>338</v>
      </c>
      <c r="R25" s="606">
        <f t="shared" ref="R25:T25" si="40">R23*R21</f>
        <v>0</v>
      </c>
      <c r="S25" s="606">
        <f t="shared" ca="1" si="40"/>
        <v>95.125311190565412</v>
      </c>
      <c r="T25" s="606">
        <f t="shared" ca="1" si="40"/>
        <v>95.738204618822934</v>
      </c>
      <c r="U25" s="606">
        <f ca="1">U23*U21</f>
        <v>114.41043365959986</v>
      </c>
      <c r="V25" s="606">
        <f ca="1">V23*V21</f>
        <v>99.861181277721712</v>
      </c>
      <c r="W25" s="606">
        <f t="shared" ref="W25:X25" ca="1" si="41">W23*W21</f>
        <v>64.503985184802318</v>
      </c>
      <c r="X25" s="606">
        <f t="shared" ca="1" si="41"/>
        <v>107.2736260384179</v>
      </c>
      <c r="Y25" s="606">
        <f ca="1">Y23*Y21</f>
        <v>108.33775578938676</v>
      </c>
      <c r="Z25" s="606">
        <f t="shared" ref="Z25:AD25" ca="1" si="42">Z23*Z21</f>
        <v>115.71025404341506</v>
      </c>
      <c r="AA25" s="606">
        <f t="shared" ca="1" si="42"/>
        <v>118.92654411346452</v>
      </c>
      <c r="AB25" s="606">
        <f t="shared" ca="1" si="42"/>
        <v>129.0633877360759</v>
      </c>
      <c r="AC25" s="606">
        <f t="shared" ca="1" si="42"/>
        <v>135.84934541110761</v>
      </c>
      <c r="AD25" s="606">
        <f t="shared" ca="1" si="42"/>
        <v>142.87818207468388</v>
      </c>
    </row>
    <row r="26" spans="2:30">
      <c r="B26" s="248" t="s">
        <v>339</v>
      </c>
      <c r="C26" s="606">
        <f t="shared" ref="C26:E26" ca="1" si="43">C24+C25</f>
        <v>470.97054565768678</v>
      </c>
      <c r="D26" s="606">
        <f t="shared" ca="1" si="43"/>
        <v>662.22432908338476</v>
      </c>
      <c r="E26" s="606">
        <f t="shared" ca="1" si="43"/>
        <v>607.21271987004161</v>
      </c>
      <c r="F26" s="606">
        <f t="shared" ref="F26:J26" ca="1" si="44">F24+F25</f>
        <v>692.6674537367519</v>
      </c>
      <c r="G26" s="606">
        <f t="shared" ca="1" si="44"/>
        <v>775.45678850276897</v>
      </c>
      <c r="H26" s="606">
        <f t="shared" ca="1" si="44"/>
        <v>846.84994956029641</v>
      </c>
      <c r="I26" s="606">
        <f t="shared" ca="1" si="44"/>
        <v>945.67934192458415</v>
      </c>
      <c r="J26" s="606">
        <f t="shared" ca="1" si="44"/>
        <v>1028.8724963590457</v>
      </c>
      <c r="K26" s="606">
        <f t="shared" ref="K26:O26" ca="1" si="45">K24+K25</f>
        <v>1095.7182556756406</v>
      </c>
      <c r="L26" s="606">
        <f t="shared" ca="1" si="45"/>
        <v>1148.336225969882</v>
      </c>
      <c r="M26" s="606">
        <f t="shared" ca="1" si="45"/>
        <v>1214.677072306366</v>
      </c>
      <c r="N26" s="606">
        <f t="shared" ca="1" si="45"/>
        <v>1291.7042765580866</v>
      </c>
      <c r="O26" s="606">
        <f t="shared" ca="1" si="45"/>
        <v>1362.8297513118812</v>
      </c>
      <c r="Q26" s="248" t="s">
        <v>339</v>
      </c>
      <c r="R26" s="606">
        <f t="shared" ref="R26:T26" ca="1" si="46">R24+R25</f>
        <v>173.61189565970082</v>
      </c>
      <c r="S26" s="606">
        <f t="shared" ca="1" si="46"/>
        <v>294.13210859142021</v>
      </c>
      <c r="T26" s="606">
        <f t="shared" ca="1" si="46"/>
        <v>292.8173811149739</v>
      </c>
      <c r="U26" s="606">
        <f t="shared" ref="U26:AD26" ca="1" si="47">U24+U25</f>
        <v>334.36701336494292</v>
      </c>
      <c r="V26" s="606">
        <f t="shared" ca="1" si="47"/>
        <v>335.68917661237276</v>
      </c>
      <c r="W26" s="606">
        <f t="shared" ca="1" si="47"/>
        <v>316.51341574980336</v>
      </c>
      <c r="X26" s="606">
        <f t="shared" ca="1" si="47"/>
        <v>373.83982009332863</v>
      </c>
      <c r="Y26" s="606">
        <f t="shared" ca="1" si="47"/>
        <v>391.82720215546669</v>
      </c>
      <c r="Z26" s="606">
        <f t="shared" ca="1" si="47"/>
        <v>416.39703832683722</v>
      </c>
      <c r="AA26" s="606">
        <f t="shared" ca="1" si="47"/>
        <v>437.40595880067985</v>
      </c>
      <c r="AB26" s="606">
        <f t="shared" ca="1" si="47"/>
        <v>465.72043215182441</v>
      </c>
      <c r="AC26" s="606">
        <f t="shared" ca="1" si="47"/>
        <v>491.42531596319367</v>
      </c>
      <c r="AD26" s="606">
        <f t="shared" ca="1" si="47"/>
        <v>517.95050647490234</v>
      </c>
    </row>
    <row r="27" spans="2:30">
      <c r="B27" s="248" t="s">
        <v>320</v>
      </c>
      <c r="C27" s="606">
        <f t="shared" ref="C27:O27" si="48">$D$9</f>
        <v>4215.8802549019601</v>
      </c>
      <c r="D27" s="606">
        <f t="shared" si="48"/>
        <v>4215.8802549019601</v>
      </c>
      <c r="E27" s="606">
        <f t="shared" si="48"/>
        <v>4215.8802549019601</v>
      </c>
      <c r="F27" s="606">
        <f t="shared" si="48"/>
        <v>4215.8802549019601</v>
      </c>
      <c r="G27" s="606">
        <f t="shared" si="48"/>
        <v>4215.8802549019601</v>
      </c>
      <c r="H27" s="606">
        <f t="shared" si="48"/>
        <v>4215.8802549019601</v>
      </c>
      <c r="I27" s="606">
        <f t="shared" si="48"/>
        <v>4215.8802549019601</v>
      </c>
      <c r="J27" s="606">
        <f t="shared" si="48"/>
        <v>4215.8802549019601</v>
      </c>
      <c r="K27" s="606">
        <f t="shared" si="48"/>
        <v>4215.8802549019601</v>
      </c>
      <c r="L27" s="606">
        <f t="shared" si="48"/>
        <v>4215.8802549019601</v>
      </c>
      <c r="M27" s="606">
        <f t="shared" si="48"/>
        <v>4215.8802549019601</v>
      </c>
      <c r="N27" s="606">
        <f t="shared" si="48"/>
        <v>4215.8802549019601</v>
      </c>
      <c r="O27" s="606">
        <f t="shared" si="48"/>
        <v>4215.8802549019601</v>
      </c>
      <c r="Q27" s="248" t="s">
        <v>320</v>
      </c>
      <c r="R27" s="606">
        <f t="shared" ref="R27:AD27" si="49">$D$9</f>
        <v>4215.8802549019601</v>
      </c>
      <c r="S27" s="606">
        <f t="shared" si="49"/>
        <v>4215.8802549019601</v>
      </c>
      <c r="T27" s="606">
        <f t="shared" si="49"/>
        <v>4215.8802549019601</v>
      </c>
      <c r="U27" s="606">
        <f t="shared" si="49"/>
        <v>4215.8802549019601</v>
      </c>
      <c r="V27" s="606">
        <f t="shared" si="49"/>
        <v>4215.8802549019601</v>
      </c>
      <c r="W27" s="606">
        <f t="shared" si="49"/>
        <v>4215.8802549019601</v>
      </c>
      <c r="X27" s="606">
        <f t="shared" si="49"/>
        <v>4215.8802549019601</v>
      </c>
      <c r="Y27" s="606">
        <f t="shared" si="49"/>
        <v>4215.8802549019601</v>
      </c>
      <c r="Z27" s="606">
        <f t="shared" si="49"/>
        <v>4215.8802549019601</v>
      </c>
      <c r="AA27" s="606">
        <f t="shared" si="49"/>
        <v>4215.8802549019601</v>
      </c>
      <c r="AB27" s="606">
        <f t="shared" si="49"/>
        <v>4215.8802549019601</v>
      </c>
      <c r="AC27" s="606">
        <f t="shared" si="49"/>
        <v>4215.8802549019601</v>
      </c>
      <c r="AD27" s="606">
        <f t="shared" si="49"/>
        <v>4215.8802549019601</v>
      </c>
    </row>
    <row r="28" spans="2:30">
      <c r="B28" s="241" t="s">
        <v>162</v>
      </c>
      <c r="C28" s="621">
        <f t="shared" ref="C28:E28" ca="1" si="50">C26*C27</f>
        <v>1985555.4240786438</v>
      </c>
      <c r="D28" s="621">
        <f t="shared" ca="1" si="50"/>
        <v>2791858.4732983396</v>
      </c>
      <c r="E28" s="621">
        <f t="shared" ca="1" si="50"/>
        <v>2559936.1162254238</v>
      </c>
      <c r="F28" s="621">
        <f t="shared" ref="F28:I28" ca="1" si="51">F26*F27</f>
        <v>2920203.0414219894</v>
      </c>
      <c r="G28" s="621">
        <f t="shared" ca="1" si="51"/>
        <v>3269232.9631785089</v>
      </c>
      <c r="H28" s="621">
        <f t="shared" ca="1" si="51"/>
        <v>3570217.9812159743</v>
      </c>
      <c r="I28" s="621">
        <f t="shared" ca="1" si="51"/>
        <v>3986870.8650885336</v>
      </c>
      <c r="J28" s="621">
        <f ca="1">J26*J27</f>
        <v>4337603.2422117898</v>
      </c>
      <c r="K28" s="621">
        <f t="shared" ref="K28:O28" ca="1" si="52">K26*K27</f>
        <v>4619416.959038551</v>
      </c>
      <c r="L28" s="621">
        <f t="shared" ca="1" si="52"/>
        <v>4841248.0210550614</v>
      </c>
      <c r="M28" s="621">
        <f t="shared" ca="1" si="52"/>
        <v>5120933.0852185292</v>
      </c>
      <c r="N28" s="621">
        <f t="shared" ca="1" si="52"/>
        <v>5445670.5547136581</v>
      </c>
      <c r="O28" s="621">
        <f t="shared" ca="1" si="52"/>
        <v>5745527.0393487085</v>
      </c>
      <c r="Q28" s="241" t="s">
        <v>162</v>
      </c>
      <c r="R28" s="621">
        <f t="shared" ref="R28:T28" ca="1" si="53">R26*R27</f>
        <v>731926.96292783204</v>
      </c>
      <c r="S28" s="621">
        <f t="shared" ca="1" si="53"/>
        <v>1240025.7489432476</v>
      </c>
      <c r="T28" s="621">
        <f t="shared" ca="1" si="53"/>
        <v>1234483.0153347205</v>
      </c>
      <c r="U28" s="621">
        <f t="shared" ref="U28:AD28" ca="1" si="54">U26*U27</f>
        <v>1409651.2895358028</v>
      </c>
      <c r="V28" s="621">
        <f t="shared" ca="1" si="54"/>
        <v>1415225.3714643992</v>
      </c>
      <c r="W28" s="621">
        <f t="shared" ca="1" si="54"/>
        <v>1334382.659871171</v>
      </c>
      <c r="X28" s="621">
        <f t="shared" ca="1" si="54"/>
        <v>1576063.9160275653</v>
      </c>
      <c r="Y28" s="621">
        <f t="shared" ca="1" si="54"/>
        <v>1651896.5649007107</v>
      </c>
      <c r="Z28" s="621">
        <f t="shared" ca="1" si="54"/>
        <v>1755480.0520817677</v>
      </c>
      <c r="AA28" s="621">
        <f t="shared" ca="1" si="54"/>
        <v>1844051.1450842465</v>
      </c>
      <c r="AB28" s="621">
        <f t="shared" ca="1" si="54"/>
        <v>1963421.5742132845</v>
      </c>
      <c r="AC28" s="621">
        <f t="shared" ca="1" si="54"/>
        <v>2071790.2863281851</v>
      </c>
      <c r="AD28" s="621">
        <f t="shared" ca="1" si="54"/>
        <v>2183617.3132640105</v>
      </c>
    </row>
    <row r="29" spans="2:30">
      <c r="F29" s="606"/>
      <c r="G29" s="606"/>
      <c r="H29" s="606"/>
      <c r="I29" s="606"/>
      <c r="J29" s="606"/>
      <c r="K29" s="606"/>
      <c r="L29" s="606"/>
      <c r="U29" s="606"/>
      <c r="V29" s="606"/>
      <c r="W29" s="606"/>
      <c r="X29" s="606"/>
      <c r="Y29" s="606"/>
      <c r="Z29" s="606"/>
      <c r="AA29" s="606"/>
    </row>
    <row r="30" spans="2:30">
      <c r="B30" s="241" t="s">
        <v>211</v>
      </c>
      <c r="C30" s="248">
        <v>2019</v>
      </c>
      <c r="D30" s="248">
        <v>2020</v>
      </c>
      <c r="E30" s="248">
        <v>2021</v>
      </c>
      <c r="F30" s="248">
        <v>2022</v>
      </c>
      <c r="G30" s="248">
        <v>2023</v>
      </c>
      <c r="H30" s="248">
        <v>2024</v>
      </c>
      <c r="I30" s="248">
        <v>2025</v>
      </c>
      <c r="J30" s="248">
        <v>2026</v>
      </c>
      <c r="K30" s="248">
        <v>2027</v>
      </c>
      <c r="L30" s="248">
        <v>2028</v>
      </c>
      <c r="M30" s="248">
        <v>2029</v>
      </c>
      <c r="N30" s="248">
        <v>2030</v>
      </c>
      <c r="O30" s="248">
        <v>2031</v>
      </c>
      <c r="Q30" s="241"/>
      <c r="T30" s="241"/>
    </row>
    <row r="31" spans="2:30">
      <c r="B31" s="248" t="s">
        <v>333</v>
      </c>
      <c r="C31" s="276">
        <f ca="1">OFFSET('Customer Count'!$G$11,COLUMN()-COLUMN(Heating!$E$20),0)</f>
        <v>1565.125</v>
      </c>
      <c r="D31" s="276">
        <f ca="1">OFFSET('Customer Count'!$G$11,COLUMN()-COLUMN(Heating!$E$20),0)</f>
        <v>1561</v>
      </c>
      <c r="E31" s="276">
        <f ca="1">OFFSET('Customer Count'!$G$11,COLUMN()-COLUMN(Heating!$E$20),0)</f>
        <v>1558.8333333333339</v>
      </c>
      <c r="F31" s="276">
        <f ca="1">OFFSET('Customer Count'!$G$11,COLUMN()-COLUMN(Heating!$E$20),0)</f>
        <v>1559.1666666666661</v>
      </c>
      <c r="G31" s="276">
        <f ca="1">OFFSET('Customer Count'!$G$11,COLUMN()-COLUMN(Heating!$E$20),0)</f>
        <v>1562.625</v>
      </c>
      <c r="H31" s="276">
        <f ca="1">OFFSET('Customer Count'!$G$11,COLUMN()-COLUMN(Heating!$E$20),0)</f>
        <v>1561.8333333333339</v>
      </c>
      <c r="I31" s="276">
        <f ca="1">OFFSET('Customer Count'!$G$11,COLUMN()-COLUMN(Heating!$E$20),0)</f>
        <v>1558.5157008672784</v>
      </c>
      <c r="J31" s="276">
        <f ca="1">OFFSET('Customer Count'!$G$11,COLUMN()-COLUMN(Heating!$E$20),0)</f>
        <v>1555.2051156865798</v>
      </c>
      <c r="K31" s="276">
        <f ca="1">OFFSET('Customer Count'!$G$11,COLUMN()-COLUMN(Heating!$E$20),0)</f>
        <v>1551.9015628214572</v>
      </c>
      <c r="L31" s="276">
        <f ca="1">OFFSET('Customer Count'!$G$11,COLUMN()-COLUMN(Heating!$E$20),0)</f>
        <v>1548.6050273339283</v>
      </c>
      <c r="M31" s="276">
        <f ca="1">OFFSET('Customer Count'!$G$11,COLUMN()-COLUMN(Heating!$E$20),0)</f>
        <v>1545.3154943177424</v>
      </c>
      <c r="N31" s="276">
        <f ca="1">OFFSET('Customer Count'!$G$11,COLUMN()-COLUMN(Heating!$E$20),0)</f>
        <v>1542.0329488983118</v>
      </c>
      <c r="O31" s="276">
        <f ca="1">OFFSET('Customer Count'!$G$11,COLUMN()-COLUMN(Heating!$E$20),0)</f>
        <v>1538.757376232646</v>
      </c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</row>
    <row r="32" spans="2:30">
      <c r="B32" s="248" t="s">
        <v>334</v>
      </c>
      <c r="C32" s="606"/>
      <c r="D32" s="606">
        <f ca="1">D31-C31</f>
        <v>-4.125</v>
      </c>
      <c r="E32" s="606">
        <f t="shared" ref="E32" ca="1" si="55">E31-D31</f>
        <v>-2.1666666666660603</v>
      </c>
      <c r="F32" s="606">
        <f ca="1">F31-E31</f>
        <v>0.33333333333212067</v>
      </c>
      <c r="G32" s="606">
        <f t="shared" ref="G32" ca="1" si="56">G31-F31</f>
        <v>3.4583333333339397</v>
      </c>
      <c r="H32" s="606">
        <f t="shared" ref="H32" ca="1" si="57">H31-G31</f>
        <v>-0.79166666666606034</v>
      </c>
      <c r="I32" s="606">
        <f t="shared" ref="I32" ca="1" si="58">I31-H31</f>
        <v>-3.3176324660555565</v>
      </c>
      <c r="J32" s="606">
        <f t="shared" ref="J32" ca="1" si="59">J31-I31</f>
        <v>-3.3105851806985811</v>
      </c>
      <c r="K32" s="606">
        <f t="shared" ref="K32" ca="1" si="60">K31-J31</f>
        <v>-3.3035528651225832</v>
      </c>
      <c r="L32" s="606">
        <f t="shared" ref="L32" ca="1" si="61">L31-K31</f>
        <v>-3.2965354875288995</v>
      </c>
      <c r="M32" s="606">
        <f t="shared" ref="M32" ca="1" si="62">M31-L31</f>
        <v>-3.289533016185942</v>
      </c>
      <c r="N32" s="606">
        <f t="shared" ref="N32" ca="1" si="63">N31-M31</f>
        <v>-3.2825454194305621</v>
      </c>
      <c r="O32" s="606">
        <f t="shared" ref="O32" ca="1" si="64">O31-N31</f>
        <v>-3.2755726656657771</v>
      </c>
      <c r="W32" s="606"/>
      <c r="X32" s="606"/>
      <c r="Y32" s="606"/>
      <c r="Z32" s="606"/>
      <c r="AA32" s="606"/>
      <c r="AB32" s="606"/>
      <c r="AC32" s="606"/>
      <c r="AD32" s="606"/>
    </row>
    <row r="33" spans="2:30">
      <c r="B33" s="248" t="s">
        <v>335</v>
      </c>
      <c r="C33" s="227">
        <f>C34/20</f>
        <v>4.2444739702862545E-3</v>
      </c>
      <c r="D33" s="227">
        <f t="shared" ref="D33" si="65">D34/20</f>
        <v>4.8653300412871839E-3</v>
      </c>
      <c r="E33" s="227">
        <f t="shared" ref="E33" si="66">E34/20</f>
        <v>4.7057362801092625E-3</v>
      </c>
      <c r="F33" s="227">
        <f t="shared" ref="F33:I33" si="67">F34/20</f>
        <v>5.1274469820554768E-3</v>
      </c>
      <c r="G33" s="617">
        <f t="shared" si="67"/>
        <v>5.3580781369669591E-3</v>
      </c>
      <c r="H33" s="617">
        <f t="shared" si="67"/>
        <v>5.6070106643799633E-3</v>
      </c>
      <c r="I33" s="617">
        <f t="shared" si="67"/>
        <v>5.8559431917929675E-3</v>
      </c>
      <c r="J33" s="617">
        <f>J34/20</f>
        <v>6.1048757192058824E-3</v>
      </c>
      <c r="K33" s="617">
        <f t="shared" ref="K33:O33" si="68">K34/20</f>
        <v>6.3538082466188858E-3</v>
      </c>
      <c r="L33" s="617">
        <f t="shared" si="68"/>
        <v>6.60274077403189E-3</v>
      </c>
      <c r="M33" s="617">
        <f t="shared" si="68"/>
        <v>6.8516733014448048E-3</v>
      </c>
      <c r="N33" s="617">
        <f t="shared" si="68"/>
        <v>7.1006058288578091E-3</v>
      </c>
      <c r="O33" s="617">
        <f t="shared" si="68"/>
        <v>7.3495383562708124E-3</v>
      </c>
      <c r="W33" s="227"/>
      <c r="X33" s="227"/>
      <c r="Y33" s="227"/>
      <c r="Z33" s="227"/>
      <c r="AA33" s="227"/>
      <c r="AB33" s="227"/>
      <c r="AC33" s="227"/>
      <c r="AD33" s="227"/>
    </row>
    <row r="34" spans="2:30">
      <c r="B34" s="248" t="s">
        <v>336</v>
      </c>
      <c r="C34" s="608">
        <f>C23</f>
        <v>8.4889479405725096E-2</v>
      </c>
      <c r="D34" s="608">
        <f t="shared" ref="D34:O34" si="69">D23</f>
        <v>9.7306600825743675E-2</v>
      </c>
      <c r="E34" s="608">
        <f t="shared" si="69"/>
        <v>9.4114725602185242E-2</v>
      </c>
      <c r="F34" s="608">
        <f t="shared" si="69"/>
        <v>0.10254893964110953</v>
      </c>
      <c r="G34" s="608">
        <f t="shared" si="69"/>
        <v>0.10716156273933919</v>
      </c>
      <c r="H34" s="608">
        <f t="shared" si="69"/>
        <v>0.11214021328759927</v>
      </c>
      <c r="I34" s="608">
        <f t="shared" si="69"/>
        <v>0.11711886383585934</v>
      </c>
      <c r="J34" s="608">
        <f t="shared" si="69"/>
        <v>0.12209751438411764</v>
      </c>
      <c r="K34" s="608">
        <f t="shared" si="69"/>
        <v>0.12707616493237772</v>
      </c>
      <c r="L34" s="608">
        <f t="shared" si="69"/>
        <v>0.1320548154806378</v>
      </c>
      <c r="M34" s="608">
        <f t="shared" si="69"/>
        <v>0.1370334660288961</v>
      </c>
      <c r="N34" s="608">
        <f t="shared" si="69"/>
        <v>0.14201211657715618</v>
      </c>
      <c r="O34" s="608">
        <f t="shared" si="69"/>
        <v>0.14699076712541626</v>
      </c>
      <c r="W34" s="608"/>
      <c r="X34" s="608"/>
      <c r="Y34" s="608"/>
      <c r="Z34" s="608"/>
      <c r="AA34" s="608"/>
      <c r="AB34" s="608"/>
      <c r="AC34" s="608"/>
      <c r="AD34" s="608"/>
    </row>
    <row r="35" spans="2:30">
      <c r="B35" s="248" t="s">
        <v>337</v>
      </c>
      <c r="C35" s="606">
        <f t="shared" ref="C35:E35" ca="1" si="70">C33*(C31-C32)</f>
        <v>6.6431323227442745</v>
      </c>
      <c r="D35" s="606">
        <f ca="1">D33*(D31-D32)</f>
        <v>7.6148496808696038</v>
      </c>
      <c r="E35" s="606">
        <f t="shared" ca="1" si="70"/>
        <v>7.3456543332505584</v>
      </c>
      <c r="F35" s="606">
        <f ca="1">F33*(F31-F32)</f>
        <v>7.9928352705274825</v>
      </c>
      <c r="G35" s="606">
        <f ca="1">G33*(G31-G32)</f>
        <v>8.3541368285543136</v>
      </c>
      <c r="H35" s="606">
        <f t="shared" ref="H35:O35" ca="1" si="71">H33*(H31-H32)</f>
        <v>8.7616550394267403</v>
      </c>
      <c r="I35" s="606">
        <f t="shared" ca="1" si="71"/>
        <v>9.1460072750486532</v>
      </c>
      <c r="J35" s="606">
        <f ca="1">J33*(J31-J32)</f>
        <v>9.5145446602257859</v>
      </c>
      <c r="K35" s="606">
        <f t="shared" ca="1" si="71"/>
        <v>9.8814750892332697</v>
      </c>
      <c r="L35" s="606">
        <f t="shared" ca="1" si="71"/>
        <v>10.246803726125048</v>
      </c>
      <c r="M35" s="606">
        <f t="shared" ca="1" si="71"/>
        <v>10.610535720267078</v>
      </c>
      <c r="N35" s="606">
        <f t="shared" ca="1" si="71"/>
        <v>10.972676206376848</v>
      </c>
      <c r="O35" s="606">
        <f t="shared" ca="1" si="71"/>
        <v>11.333230304561532</v>
      </c>
      <c r="W35" s="606"/>
      <c r="X35" s="606"/>
      <c r="Y35" s="606"/>
      <c r="Z35" s="606"/>
      <c r="AA35" s="606"/>
      <c r="AB35" s="606"/>
      <c r="AC35" s="606"/>
      <c r="AD35" s="606"/>
    </row>
    <row r="36" spans="2:30">
      <c r="B36" s="248" t="s">
        <v>338</v>
      </c>
      <c r="C36" s="606">
        <f t="shared" ref="C36" si="72">MAX(C34*C32,0)</f>
        <v>0</v>
      </c>
      <c r="D36" s="606">
        <f ca="1">MAX(D34*D32,0)</f>
        <v>0</v>
      </c>
      <c r="E36" s="606">
        <f ca="1">MAX(E34*E32,0)</f>
        <v>0</v>
      </c>
      <c r="F36" s="606">
        <f ca="1">MAX(F34*F32,0)</f>
        <v>3.418297988024549E-2</v>
      </c>
      <c r="G36" s="606">
        <f ca="1">MAX(G34*G32,0)</f>
        <v>0.37060040447361298</v>
      </c>
      <c r="H36" s="606">
        <f t="shared" ref="H36:O36" ca="1" si="73">MAX(H34*H32,0)</f>
        <v>0</v>
      </c>
      <c r="I36" s="606">
        <f t="shared" ca="1" si="73"/>
        <v>0</v>
      </c>
      <c r="J36" s="606">
        <f t="shared" ca="1" si="73"/>
        <v>0</v>
      </c>
      <c r="K36" s="606">
        <f t="shared" ca="1" si="73"/>
        <v>0</v>
      </c>
      <c r="L36" s="606">
        <f t="shared" ca="1" si="73"/>
        <v>0</v>
      </c>
      <c r="M36" s="606">
        <f t="shared" ca="1" si="73"/>
        <v>0</v>
      </c>
      <c r="N36" s="606">
        <f t="shared" ca="1" si="73"/>
        <v>0</v>
      </c>
      <c r="O36" s="606">
        <f t="shared" ca="1" si="73"/>
        <v>0</v>
      </c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</row>
    <row r="37" spans="2:30">
      <c r="B37" s="248" t="s">
        <v>339</v>
      </c>
      <c r="C37" s="606">
        <f t="shared" ref="C37:E37" ca="1" si="74">C35+C36</f>
        <v>6.6431323227442745</v>
      </c>
      <c r="D37" s="606">
        <f t="shared" ca="1" si="74"/>
        <v>7.6148496808696038</v>
      </c>
      <c r="E37" s="606">
        <f t="shared" ca="1" si="74"/>
        <v>7.3456543332505584</v>
      </c>
      <c r="F37" s="606">
        <f t="shared" ref="F37:O37" ca="1" si="75">F35+F36</f>
        <v>8.0270182504077283</v>
      </c>
      <c r="G37" s="606">
        <f t="shared" ca="1" si="75"/>
        <v>8.7247372330279269</v>
      </c>
      <c r="H37" s="606">
        <f t="shared" ca="1" si="75"/>
        <v>8.7616550394267403</v>
      </c>
      <c r="I37" s="606">
        <f t="shared" ca="1" si="75"/>
        <v>9.1460072750486532</v>
      </c>
      <c r="J37" s="606">
        <f t="shared" ca="1" si="75"/>
        <v>9.5145446602257859</v>
      </c>
      <c r="K37" s="606">
        <f t="shared" ca="1" si="75"/>
        <v>9.8814750892332697</v>
      </c>
      <c r="L37" s="606">
        <f t="shared" ca="1" si="75"/>
        <v>10.246803726125048</v>
      </c>
      <c r="M37" s="606">
        <f t="shared" ca="1" si="75"/>
        <v>10.610535720267078</v>
      </c>
      <c r="N37" s="606">
        <f t="shared" ca="1" si="75"/>
        <v>10.972676206376848</v>
      </c>
      <c r="O37" s="606">
        <f t="shared" ca="1" si="75"/>
        <v>11.333230304561532</v>
      </c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</row>
    <row r="38" spans="2:30">
      <c r="B38" s="248" t="s">
        <v>320</v>
      </c>
      <c r="C38" s="606">
        <f t="shared" ref="C38:O38" si="76">$D$9</f>
        <v>4215.8802549019601</v>
      </c>
      <c r="D38" s="606">
        <f t="shared" si="76"/>
        <v>4215.8802549019601</v>
      </c>
      <c r="E38" s="606">
        <f t="shared" si="76"/>
        <v>4215.8802549019601</v>
      </c>
      <c r="F38" s="606">
        <f t="shared" si="76"/>
        <v>4215.8802549019601</v>
      </c>
      <c r="G38" s="606">
        <f t="shared" si="76"/>
        <v>4215.8802549019601</v>
      </c>
      <c r="H38" s="606">
        <f t="shared" si="76"/>
        <v>4215.8802549019601</v>
      </c>
      <c r="I38" s="606">
        <f t="shared" si="76"/>
        <v>4215.8802549019601</v>
      </c>
      <c r="J38" s="606">
        <f t="shared" si="76"/>
        <v>4215.8802549019601</v>
      </c>
      <c r="K38" s="606">
        <f t="shared" si="76"/>
        <v>4215.8802549019601</v>
      </c>
      <c r="L38" s="606">
        <f t="shared" si="76"/>
        <v>4215.8802549019601</v>
      </c>
      <c r="M38" s="606">
        <f t="shared" si="76"/>
        <v>4215.8802549019601</v>
      </c>
      <c r="N38" s="606">
        <f t="shared" si="76"/>
        <v>4215.8802549019601</v>
      </c>
      <c r="O38" s="606">
        <f t="shared" si="76"/>
        <v>4215.8802549019601</v>
      </c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</row>
    <row r="39" spans="2:30">
      <c r="B39" s="241" t="s">
        <v>162</v>
      </c>
      <c r="C39" s="621">
        <f t="shared" ref="C39:E39" ca="1" si="77">C37*C38</f>
        <v>28006.650390158582</v>
      </c>
      <c r="D39" s="621">
        <f t="shared" ca="1" si="77"/>
        <v>32103.294413624655</v>
      </c>
      <c r="E39" s="621">
        <f t="shared" ca="1" si="77"/>
        <v>30968.399062886052</v>
      </c>
      <c r="F39" s="621">
        <f t="shared" ref="F39:O39" ca="1" si="78">F37*F38</f>
        <v>33840.947747631617</v>
      </c>
      <c r="G39" s="621">
        <f t="shared" ca="1" si="78"/>
        <v>36782.447429930398</v>
      </c>
      <c r="H39" s="621">
        <f t="shared" ca="1" si="78"/>
        <v>36938.088480981452</v>
      </c>
      <c r="I39" s="621">
        <f t="shared" ca="1" si="78"/>
        <v>38558.471482067296</v>
      </c>
      <c r="J39" s="621">
        <f t="shared" ca="1" si="78"/>
        <v>40112.180967428772</v>
      </c>
      <c r="K39" s="621">
        <f t="shared" ca="1" si="78"/>
        <v>41659.115718004126</v>
      </c>
      <c r="L39" s="621">
        <f t="shared" ca="1" si="78"/>
        <v>43199.29750482642</v>
      </c>
      <c r="M39" s="621">
        <f t="shared" ca="1" si="78"/>
        <v>44732.748037005927</v>
      </c>
      <c r="N39" s="621">
        <f t="shared" ca="1" si="78"/>
        <v>46259.488961896699</v>
      </c>
      <c r="O39" s="621">
        <f t="shared" ca="1" si="78"/>
        <v>47779.541865257488</v>
      </c>
      <c r="Q39" s="241"/>
      <c r="T39" s="241"/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</row>
    <row r="40" spans="2:30">
      <c r="F40" s="606"/>
      <c r="G40" s="606"/>
      <c r="H40" s="606"/>
      <c r="I40" s="606"/>
      <c r="J40" s="606"/>
      <c r="K40" s="606"/>
      <c r="L40" s="606"/>
      <c r="U40" s="606"/>
      <c r="V40" s="606"/>
      <c r="W40" s="606"/>
      <c r="X40" s="606"/>
      <c r="Y40" s="606"/>
      <c r="Z40" s="606"/>
      <c r="AA40" s="606"/>
    </row>
    <row r="41" spans="2:30">
      <c r="B41" s="241" t="s">
        <v>278</v>
      </c>
      <c r="C41" s="241"/>
      <c r="D41" s="241"/>
      <c r="E41" s="241"/>
      <c r="F41" s="606"/>
      <c r="G41" s="606"/>
      <c r="H41" s="606"/>
      <c r="I41" s="606"/>
      <c r="J41" s="606"/>
      <c r="K41" s="606"/>
      <c r="L41" s="606"/>
      <c r="Q41" s="241" t="s">
        <v>278</v>
      </c>
      <c r="T41" s="241"/>
      <c r="U41" s="606"/>
      <c r="V41" s="606"/>
      <c r="W41" s="606"/>
      <c r="X41" s="606"/>
      <c r="Y41" s="606"/>
      <c r="Z41" s="606"/>
      <c r="AA41" s="606"/>
    </row>
    <row r="42" spans="2:30">
      <c r="B42" s="248" t="s">
        <v>333</v>
      </c>
      <c r="C42" s="276">
        <f ca="1">OFFSET('Customer Count'!$K$11,COLUMN()-COLUMN(Heating!$E$20),0)</f>
        <v>9207.0416666666697</v>
      </c>
      <c r="D42" s="276">
        <f ca="1">OFFSET('Customer Count'!$K$11,COLUMN()-COLUMN(Heating!$E$20),0)</f>
        <v>9277.75</v>
      </c>
      <c r="E42" s="276">
        <f ca="1">OFFSET('Customer Count'!$K$11,COLUMN()-COLUMN(Heating!$E$20),0)</f>
        <v>9314.7083333333303</v>
      </c>
      <c r="F42" s="276">
        <f ca="1">OFFSET('Customer Count'!$K$11,COLUMN()-COLUMN(Heating!$E$20),0)</f>
        <v>9413.2083333333303</v>
      </c>
      <c r="G42" s="276">
        <f ca="1">OFFSET('Customer Count'!$K$11,COLUMN()-COLUMN(Heating!$E$20),0)</f>
        <v>9487.375</v>
      </c>
      <c r="H42" s="276">
        <f ca="1">OFFSET('Customer Count'!$K$11,COLUMN()-COLUMN(Heating!$E$20),0)</f>
        <v>9501.875</v>
      </c>
      <c r="I42" s="276">
        <f ca="1">OFFSET('Customer Count'!$K$11,COLUMN()-COLUMN(Heating!$E$20),0)</f>
        <v>9543.9881818488975</v>
      </c>
      <c r="J42" s="276">
        <f ca="1">OFFSET('Customer Count'!$K$11,COLUMN()-COLUMN(Heating!$E$20),0)</f>
        <v>9614.4797247823481</v>
      </c>
      <c r="K42" s="276">
        <f ca="1">OFFSET('Customer Count'!$K$11,COLUMN()-COLUMN(Heating!$E$20),0)</f>
        <v>9685.4919156389169</v>
      </c>
      <c r="L42" s="276">
        <f ca="1">OFFSET('Customer Count'!$K$11,COLUMN()-COLUMN(Heating!$E$20),0)</f>
        <v>9757.0285999048647</v>
      </c>
      <c r="M42" s="276">
        <f ca="1">OFFSET('Customer Count'!$K$11,COLUMN()-COLUMN(Heating!$E$20),0)</f>
        <v>9829.0936514690693</v>
      </c>
      <c r="N42" s="276">
        <f ca="1">OFFSET('Customer Count'!$K$11,COLUMN()-COLUMN(Heating!$E$20),0)</f>
        <v>9901.6909728328119</v>
      </c>
      <c r="O42" s="276">
        <f ca="1">OFFSET('Customer Count'!$K$11,COLUMN()-COLUMN(Heating!$E$20),0)</f>
        <v>9974.8244953211015</v>
      </c>
      <c r="Q42" s="248" t="s">
        <v>333</v>
      </c>
      <c r="R42" s="276">
        <f ca="1">OFFSET('Customer Count'!$AX$11,COLUMN()-COLUMN(Heating!$T$20),0)</f>
        <v>2261.0416666666674</v>
      </c>
      <c r="S42" s="276">
        <f ca="1">OFFSET('Customer Count'!$AX$11,COLUMN()-COLUMN(Heating!$T$20),0)</f>
        <v>2284.3333333333326</v>
      </c>
      <c r="T42" s="276">
        <f ca="1">OFFSET('Customer Count'!$AX$11,COLUMN()-COLUMN(Heating!$T$20),0)</f>
        <v>2326.625</v>
      </c>
      <c r="U42" s="276">
        <f ca="1">OFFSET('Customer Count'!$AX$11,COLUMN()-COLUMN(Heating!$T$20),0)</f>
        <v>2383.5833333333326</v>
      </c>
      <c r="V42" s="276">
        <f ca="1">OFFSET('Customer Count'!$AX$11,COLUMN()-COLUMN(Heating!$T$20),0)</f>
        <v>2435.2916666666674</v>
      </c>
      <c r="W42" s="276">
        <f ca="1">OFFSET('Customer Count'!$AX$11,COLUMN()-COLUMN(Heating!$T$20),0)</f>
        <v>2464.75</v>
      </c>
      <c r="X42" s="276">
        <f ca="1">OFFSET('Customer Count'!$AX$11,COLUMN()-COLUMN(Heating!$T$20),0)</f>
        <v>2499.8378600249093</v>
      </c>
      <c r="Y42" s="276">
        <f ca="1">OFFSET('Customer Count'!$AX$11,COLUMN()-COLUMN(Heating!$T$20),0)</f>
        <v>2535.4252262557734</v>
      </c>
      <c r="Z42" s="276">
        <f ca="1">OFFSET('Customer Count'!$AX$11,COLUMN()-COLUMN(Heating!$T$20),0)</f>
        <v>2571.5192095978919</v>
      </c>
      <c r="AA42" s="276">
        <f ca="1">OFFSET('Customer Count'!$AX$11,COLUMN()-COLUMN(Heating!$T$20),0)</f>
        <v>2608.1270221864852</v>
      </c>
      <c r="AB42" s="276">
        <f ca="1">OFFSET('Customer Count'!$AX$11,COLUMN()-COLUMN(Heating!$T$20),0)</f>
        <v>2645.2559788277927</v>
      </c>
      <c r="AC42" s="276">
        <f ca="1">OFFSET('Customer Count'!$AX$11,COLUMN()-COLUMN(Heating!$T$20),0)</f>
        <v>2682.9134984606817</v>
      </c>
      <c r="AD42" s="276">
        <f ca="1">OFFSET('Customer Count'!$AX$11,COLUMN()-COLUMN(Heating!$T$20),0)</f>
        <v>2721.1071056390679</v>
      </c>
    </row>
    <row r="43" spans="2:30">
      <c r="B43" s="248" t="s">
        <v>334</v>
      </c>
      <c r="C43" s="606"/>
      <c r="D43" s="606">
        <f t="shared" ref="D43:E43" ca="1" si="79">D42-C42</f>
        <v>70.708333333330302</v>
      </c>
      <c r="E43" s="606">
        <f t="shared" ca="1" si="79"/>
        <v>36.958333333330302</v>
      </c>
      <c r="F43" s="606">
        <f ca="1">F42-E42</f>
        <v>98.5</v>
      </c>
      <c r="G43" s="606">
        <f t="shared" ref="G43:J43" ca="1" si="80">G42-F42</f>
        <v>74.166666666669698</v>
      </c>
      <c r="H43" s="606">
        <f t="shared" ca="1" si="80"/>
        <v>14.5</v>
      </c>
      <c r="I43" s="606">
        <f t="shared" ca="1" si="80"/>
        <v>42.113181848897511</v>
      </c>
      <c r="J43" s="606">
        <f t="shared" ca="1" si="80"/>
        <v>70.491542933450546</v>
      </c>
      <c r="K43" s="606">
        <f t="shared" ref="K43" ca="1" si="81">K42-J42</f>
        <v>71.01219085656885</v>
      </c>
      <c r="L43" s="606">
        <f t="shared" ref="L43" ca="1" si="82">L42-K42</f>
        <v>71.53668426594777</v>
      </c>
      <c r="M43" s="606">
        <f t="shared" ref="M43" ca="1" si="83">M42-L42</f>
        <v>72.065051564204623</v>
      </c>
      <c r="N43" s="606">
        <f t="shared" ref="N43" ca="1" si="84">N42-M42</f>
        <v>72.597321363742594</v>
      </c>
      <c r="O43" s="606">
        <f t="shared" ref="O43" ca="1" si="85">O42-N42</f>
        <v>73.1335224882896</v>
      </c>
      <c r="Q43" s="248" t="s">
        <v>334</v>
      </c>
      <c r="R43" s="606"/>
      <c r="S43" s="606">
        <f t="shared" ref="S43:T43" ca="1" si="86">S42-R42</f>
        <v>23.291666666665151</v>
      </c>
      <c r="T43" s="606">
        <f t="shared" ca="1" si="86"/>
        <v>42.291666666667425</v>
      </c>
      <c r="U43" s="606">
        <f ca="1">U42-T42</f>
        <v>56.958333333332575</v>
      </c>
      <c r="V43" s="606">
        <f t="shared" ref="V43" ca="1" si="87">V42-U42</f>
        <v>51.708333333334849</v>
      </c>
      <c r="W43" s="606">
        <f t="shared" ref="W43" ca="1" si="88">W42-V42</f>
        <v>29.458333333332575</v>
      </c>
      <c r="X43" s="606">
        <f t="shared" ref="X43" ca="1" si="89">X42-W42</f>
        <v>35.087860024909332</v>
      </c>
      <c r="Y43" s="606">
        <f t="shared" ref="Y43" ca="1" si="90">Y42-X42</f>
        <v>35.587366230864063</v>
      </c>
      <c r="Z43" s="606">
        <f t="shared" ref="Z43" ca="1" si="91">Z42-Y42</f>
        <v>36.093983342118463</v>
      </c>
      <c r="AA43" s="606">
        <f t="shared" ref="AA43" ca="1" si="92">AA42-Z42</f>
        <v>36.607812588593333</v>
      </c>
      <c r="AB43" s="606">
        <f t="shared" ref="AB43" ca="1" si="93">AB42-AA42</f>
        <v>37.128956641307468</v>
      </c>
      <c r="AC43" s="606">
        <f t="shared" ref="AC43" ca="1" si="94">AC42-AB42</f>
        <v>37.657519632889034</v>
      </c>
      <c r="AD43" s="606">
        <f t="shared" ref="AD43" ca="1" si="95">AD42-AC42</f>
        <v>38.193607178386173</v>
      </c>
    </row>
    <row r="44" spans="2:30">
      <c r="B44" s="248" t="s">
        <v>335</v>
      </c>
      <c r="C44" s="227">
        <f>C45/20</f>
        <v>4.2444739702862545E-3</v>
      </c>
      <c r="D44" s="227">
        <f t="shared" ref="D44" si="96">D45/20</f>
        <v>4.8653300412871839E-3</v>
      </c>
      <c r="E44" s="227">
        <f t="shared" ref="E44" si="97">E45/20</f>
        <v>4.7057362801092625E-3</v>
      </c>
      <c r="F44" s="227">
        <f>F45/20</f>
        <v>5.1274469820554768E-3</v>
      </c>
      <c r="G44" s="617">
        <f>G45/20</f>
        <v>5.3580781369669591E-3</v>
      </c>
      <c r="H44" s="617">
        <f t="shared" ref="H44:I44" si="98">H45/20</f>
        <v>5.6070106643799633E-3</v>
      </c>
      <c r="I44" s="617">
        <f t="shared" si="98"/>
        <v>5.8559431917929675E-3</v>
      </c>
      <c r="J44" s="617">
        <f>J45/20</f>
        <v>6.1048757192058824E-3</v>
      </c>
      <c r="K44" s="617">
        <f t="shared" ref="K44:O44" si="99">K45/20</f>
        <v>6.3538082466188858E-3</v>
      </c>
      <c r="L44" s="617">
        <f t="shared" si="99"/>
        <v>6.60274077403189E-3</v>
      </c>
      <c r="M44" s="617">
        <f t="shared" si="99"/>
        <v>6.8516733014448048E-3</v>
      </c>
      <c r="N44" s="617">
        <f t="shared" si="99"/>
        <v>7.1006058288578091E-3</v>
      </c>
      <c r="O44" s="617">
        <f t="shared" si="99"/>
        <v>7.3495383562708124E-3</v>
      </c>
      <c r="Q44" s="248" t="s">
        <v>335</v>
      </c>
      <c r="R44" s="227">
        <f t="shared" ref="R44:T44" si="100">R22</f>
        <v>4.2444739702862545E-3</v>
      </c>
      <c r="S44" s="227">
        <f t="shared" si="100"/>
        <v>4.8653300412871839E-3</v>
      </c>
      <c r="T44" s="227">
        <f t="shared" si="100"/>
        <v>4.7057362801092625E-3</v>
      </c>
      <c r="U44" s="227">
        <f>U22</f>
        <v>5.1274469820554768E-3</v>
      </c>
      <c r="V44" s="617">
        <f t="shared" ref="V44" si="101">V45/20</f>
        <v>5.3580781369669591E-3</v>
      </c>
      <c r="W44" s="617">
        <f t="shared" ref="W44" si="102">W45/20</f>
        <v>5.6070106643799633E-3</v>
      </c>
      <c r="X44" s="617">
        <f t="shared" ref="X44" si="103">X45/20</f>
        <v>5.8559431917929675E-3</v>
      </c>
      <c r="Y44" s="617">
        <f>Y45/20</f>
        <v>6.1048757192058824E-3</v>
      </c>
      <c r="Z44" s="617">
        <f t="shared" ref="Z44" si="104">Z45/20</f>
        <v>6.3538082466188858E-3</v>
      </c>
      <c r="AA44" s="617">
        <f t="shared" ref="AA44" si="105">AA45/20</f>
        <v>6.60274077403189E-3</v>
      </c>
      <c r="AB44" s="617">
        <f t="shared" ref="AB44" si="106">AB45/20</f>
        <v>6.8516733014448048E-3</v>
      </c>
      <c r="AC44" s="617">
        <f t="shared" ref="AC44" si="107">AC45/20</f>
        <v>7.1006058288578091E-3</v>
      </c>
      <c r="AD44" s="617">
        <f t="shared" ref="AD44" si="108">AD45/20</f>
        <v>7.3495383562708124E-3</v>
      </c>
    </row>
    <row r="45" spans="2:30">
      <c r="B45" s="248" t="s">
        <v>336</v>
      </c>
      <c r="C45" s="623">
        <f>C34</f>
        <v>8.4889479405725096E-2</v>
      </c>
      <c r="D45" s="623">
        <f t="shared" ref="D45:O45" si="109">D34</f>
        <v>9.7306600825743675E-2</v>
      </c>
      <c r="E45" s="623">
        <f t="shared" si="109"/>
        <v>9.4114725602185242E-2</v>
      </c>
      <c r="F45" s="623">
        <f t="shared" si="109"/>
        <v>0.10254893964110953</v>
      </c>
      <c r="G45" s="623">
        <f t="shared" si="109"/>
        <v>0.10716156273933919</v>
      </c>
      <c r="H45" s="623">
        <f t="shared" si="109"/>
        <v>0.11214021328759927</v>
      </c>
      <c r="I45" s="623">
        <f t="shared" si="109"/>
        <v>0.11711886383585934</v>
      </c>
      <c r="J45" s="623">
        <f t="shared" si="109"/>
        <v>0.12209751438411764</v>
      </c>
      <c r="K45" s="623">
        <f t="shared" si="109"/>
        <v>0.12707616493237772</v>
      </c>
      <c r="L45" s="623">
        <f t="shared" si="109"/>
        <v>0.1320548154806378</v>
      </c>
      <c r="M45" s="623">
        <f t="shared" si="109"/>
        <v>0.1370334660288961</v>
      </c>
      <c r="N45" s="623">
        <f t="shared" si="109"/>
        <v>0.14201211657715618</v>
      </c>
      <c r="O45" s="623">
        <f t="shared" si="109"/>
        <v>0.14699076712541626</v>
      </c>
      <c r="Q45" s="248" t="s">
        <v>336</v>
      </c>
      <c r="R45" s="623">
        <f>C45</f>
        <v>8.4889479405725096E-2</v>
      </c>
      <c r="S45" s="623">
        <f t="shared" ref="S45:AD45" si="110">D45</f>
        <v>9.7306600825743675E-2</v>
      </c>
      <c r="T45" s="623">
        <f t="shared" si="110"/>
        <v>9.4114725602185242E-2</v>
      </c>
      <c r="U45" s="623">
        <f t="shared" si="110"/>
        <v>0.10254893964110953</v>
      </c>
      <c r="V45" s="623">
        <f t="shared" si="110"/>
        <v>0.10716156273933919</v>
      </c>
      <c r="W45" s="623">
        <f t="shared" si="110"/>
        <v>0.11214021328759927</v>
      </c>
      <c r="X45" s="623">
        <f t="shared" si="110"/>
        <v>0.11711886383585934</v>
      </c>
      <c r="Y45" s="623">
        <f t="shared" si="110"/>
        <v>0.12209751438411764</v>
      </c>
      <c r="Z45" s="623">
        <f t="shared" si="110"/>
        <v>0.12707616493237772</v>
      </c>
      <c r="AA45" s="623">
        <f t="shared" si="110"/>
        <v>0.1320548154806378</v>
      </c>
      <c r="AB45" s="623">
        <f t="shared" si="110"/>
        <v>0.1370334660288961</v>
      </c>
      <c r="AC45" s="623">
        <f t="shared" si="110"/>
        <v>0.14201211657715618</v>
      </c>
      <c r="AD45" s="623">
        <f t="shared" si="110"/>
        <v>0.14699076712541626</v>
      </c>
    </row>
    <row r="46" spans="2:30">
      <c r="B46" s="248" t="s">
        <v>337</v>
      </c>
      <c r="C46" s="606">
        <f t="shared" ref="C46:E46" ca="1" si="111">C44*(C42-C43)</f>
        <v>39.079048697507652</v>
      </c>
      <c r="D46" s="606">
        <f t="shared" ca="1" si="111"/>
        <v>44.795296412216167</v>
      </c>
      <c r="E46" s="606">
        <f t="shared" ca="1" si="111"/>
        <v>43.65864477278371</v>
      </c>
      <c r="F46" s="606">
        <f ca="1">F44*(F42-F43)</f>
        <v>47.760673132476981</v>
      </c>
      <c r="G46" s="606">
        <f t="shared" ref="G46:J46" ca="1" si="112">G44*(G42-G43)</f>
        <v>50.436705769548503</v>
      </c>
      <c r="H46" s="606">
        <f t="shared" ca="1" si="112"/>
        <v>53.195812801971854</v>
      </c>
      <c r="I46" s="606">
        <f t="shared" ca="1" si="112"/>
        <v>55.642440215517802</v>
      </c>
      <c r="J46" s="606">
        <f t="shared" ca="1" si="112"/>
        <v>58.264861715757228</v>
      </c>
      <c r="K46" s="606">
        <f t="shared" ref="K46:O46" ca="1" si="113">K44*(K42-K43)</f>
        <v>61.088560562272157</v>
      </c>
      <c r="L46" s="606">
        <f t="shared" ca="1" si="113"/>
        <v>63.950792387945313</v>
      </c>
      <c r="M46" s="606">
        <f t="shared" ca="1" si="113"/>
        <v>66.851972359401543</v>
      </c>
      <c r="N46" s="606">
        <f t="shared" ca="1" si="113"/>
        <v>69.792519674010563</v>
      </c>
      <c r="O46" s="606">
        <f t="shared" ca="1" si="113"/>
        <v>72.772857596775211</v>
      </c>
      <c r="Q46" s="248" t="s">
        <v>337</v>
      </c>
      <c r="R46" s="606">
        <f t="shared" ref="R46:T46" ca="1" si="114">R44*(R42-R43)</f>
        <v>9.5969324998993191</v>
      </c>
      <c r="S46" s="606">
        <f t="shared" ca="1" si="114"/>
        <v>11.000713945435381</v>
      </c>
      <c r="T46" s="606">
        <f t="shared" ca="1" si="114"/>
        <v>10.749470242529588</v>
      </c>
      <c r="U46" s="606">
        <f ca="1">U44*(U42-U43)</f>
        <v>11.929646334624824</v>
      </c>
      <c r="V46" s="606">
        <f t="shared" ref="V46:AD46" ca="1" si="115">V44*(V42-V43)</f>
        <v>12.771425745972158</v>
      </c>
      <c r="W46" s="606">
        <f t="shared" ca="1" si="115"/>
        <v>13.65470634587566</v>
      </c>
      <c r="X46" s="606">
        <f t="shared" ca="1" si="115"/>
        <v>14.433435981971718</v>
      </c>
      <c r="Y46" s="606">
        <f t="shared" ca="1" si="115"/>
        <v>15.261199453617662</v>
      </c>
      <c r="Z46" s="606">
        <f t="shared" ca="1" si="115"/>
        <v>16.109605711269488</v>
      </c>
      <c r="AA46" s="606">
        <f t="shared" ca="1" si="115"/>
        <v>16.979074736418259</v>
      </c>
      <c r="AB46" s="606">
        <f t="shared" ca="1" si="115"/>
        <v>17.870034284691883</v>
      </c>
      <c r="AC46" s="606">
        <f t="shared" ca="1" si="115"/>
        <v>18.782920022085595</v>
      </c>
      <c r="AD46" s="606">
        <f t="shared" ca="1" si="115"/>
        <v>19.718175663493493</v>
      </c>
    </row>
    <row r="47" spans="2:30">
      <c r="B47" s="248" t="s">
        <v>338</v>
      </c>
      <c r="C47" s="606">
        <f t="shared" ref="C47:E47" si="116">MAX(C45*C43,0)</f>
        <v>0</v>
      </c>
      <c r="D47" s="606">
        <f t="shared" ca="1" si="116"/>
        <v>6.880387566719997</v>
      </c>
      <c r="E47" s="606">
        <f t="shared" ca="1" si="116"/>
        <v>3.4783234003804777</v>
      </c>
      <c r="F47" s="606">
        <f ca="1">MAX(F45*F43,0)</f>
        <v>10.101070554649288</v>
      </c>
      <c r="G47" s="606">
        <f t="shared" ref="G47:O47" ca="1" si="117">MAX(G45*G43,0)</f>
        <v>7.9478159031679816</v>
      </c>
      <c r="H47" s="606">
        <f t="shared" ca="1" si="117"/>
        <v>1.6260330926701894</v>
      </c>
      <c r="I47" s="606">
        <f t="shared" ca="1" si="117"/>
        <v>4.9322480106558109</v>
      </c>
      <c r="J47" s="606">
        <f t="shared" ca="1" si="117"/>
        <v>8.6068421772756238</v>
      </c>
      <c r="K47" s="606">
        <f t="shared" ca="1" si="117"/>
        <v>9.0239568774988292</v>
      </c>
      <c r="L47" s="606">
        <f t="shared" ca="1" si="117"/>
        <v>9.4467636408363784</v>
      </c>
      <c r="M47" s="606">
        <f t="shared" ca="1" si="117"/>
        <v>9.8753237953940793</v>
      </c>
      <c r="N47" s="606">
        <f t="shared" ca="1" si="117"/>
        <v>10.309699264697084</v>
      </c>
      <c r="O47" s="606">
        <f t="shared" ca="1" si="117"/>
        <v>10.74995257313757</v>
      </c>
      <c r="Q47" s="248" t="s">
        <v>338</v>
      </c>
      <c r="R47" s="606">
        <f t="shared" ref="R47:T47" si="118">MAX(R45*R43,0)</f>
        <v>0</v>
      </c>
      <c r="S47" s="606">
        <f t="shared" ca="1" si="118"/>
        <v>2.2664329108994656</v>
      </c>
      <c r="T47" s="606">
        <f t="shared" ca="1" si="118"/>
        <v>3.980268603592489</v>
      </c>
      <c r="U47" s="606">
        <f ca="1">MAX(U45*U43,0)</f>
        <v>5.8410166870581195</v>
      </c>
      <c r="V47" s="606">
        <f t="shared" ref="V47:AD47" ca="1" si="119">MAX(V45*V43,0)</f>
        <v>5.541145806646826</v>
      </c>
      <c r="W47" s="606">
        <f t="shared" ca="1" si="119"/>
        <v>3.3034637830971101</v>
      </c>
      <c r="X47" s="606">
        <f t="shared" ca="1" si="119"/>
        <v>4.1094503005490486</v>
      </c>
      <c r="Y47" s="606">
        <f t="shared" ca="1" si="119"/>
        <v>4.3451289602657877</v>
      </c>
      <c r="Z47" s="606">
        <f t="shared" ca="1" si="119"/>
        <v>4.5866849802495402</v>
      </c>
      <c r="AA47" s="606">
        <f t="shared" ca="1" si="119"/>
        <v>4.8342379365364625</v>
      </c>
      <c r="AB47" s="606">
        <f t="shared" ca="1" si="119"/>
        <v>5.0879096185949635</v>
      </c>
      <c r="AC47" s="606">
        <f t="shared" ca="1" si="119"/>
        <v>5.3478240681123852</v>
      </c>
      <c r="AD47" s="606">
        <f t="shared" ca="1" si="119"/>
        <v>5.6141076184377887</v>
      </c>
    </row>
    <row r="48" spans="2:30">
      <c r="B48" s="248" t="s">
        <v>339</v>
      </c>
      <c r="C48" s="606">
        <f t="shared" ref="C48:E48" ca="1" si="120">C46+C47</f>
        <v>39.079048697507652</v>
      </c>
      <c r="D48" s="606">
        <f t="shared" ca="1" si="120"/>
        <v>51.675683978936163</v>
      </c>
      <c r="E48" s="606">
        <f t="shared" ca="1" si="120"/>
        <v>47.136968173164185</v>
      </c>
      <c r="F48" s="606">
        <f t="shared" ref="F48:J48" ca="1" si="121">F46+F47</f>
        <v>57.861743687126271</v>
      </c>
      <c r="G48" s="606">
        <f t="shared" ca="1" si="121"/>
        <v>58.384521672716488</v>
      </c>
      <c r="H48" s="606">
        <f t="shared" ca="1" si="121"/>
        <v>54.821845894642045</v>
      </c>
      <c r="I48" s="606">
        <f t="shared" ca="1" si="121"/>
        <v>60.574688226173613</v>
      </c>
      <c r="J48" s="606">
        <f t="shared" ca="1" si="121"/>
        <v>66.871703893032844</v>
      </c>
      <c r="K48" s="606">
        <f t="shared" ref="K48:O48" ca="1" si="122">K46+K47</f>
        <v>70.112517439770983</v>
      </c>
      <c r="L48" s="606">
        <f t="shared" ca="1" si="122"/>
        <v>73.397556028781693</v>
      </c>
      <c r="M48" s="606">
        <f t="shared" ca="1" si="122"/>
        <v>76.727296154795624</v>
      </c>
      <c r="N48" s="606">
        <f t="shared" ca="1" si="122"/>
        <v>80.102218938707651</v>
      </c>
      <c r="O48" s="606">
        <f t="shared" ca="1" si="122"/>
        <v>83.522810169912788</v>
      </c>
      <c r="Q48" s="248" t="s">
        <v>339</v>
      </c>
      <c r="R48" s="606">
        <f t="shared" ref="R48:T48" ca="1" si="123">R46+R47</f>
        <v>9.5969324998993191</v>
      </c>
      <c r="S48" s="606">
        <f t="shared" ca="1" si="123"/>
        <v>13.267146856334847</v>
      </c>
      <c r="T48" s="606">
        <f t="shared" ca="1" si="123"/>
        <v>14.729738846122077</v>
      </c>
      <c r="U48" s="606">
        <f t="shared" ref="U48:AD48" ca="1" si="124">U46+U47</f>
        <v>17.770663021682942</v>
      </c>
      <c r="V48" s="606">
        <f t="shared" ca="1" si="124"/>
        <v>18.312571552618984</v>
      </c>
      <c r="W48" s="606">
        <f t="shared" ca="1" si="124"/>
        <v>16.958170128972771</v>
      </c>
      <c r="X48" s="606">
        <f t="shared" ca="1" si="124"/>
        <v>18.542886282520765</v>
      </c>
      <c r="Y48" s="606">
        <f t="shared" ca="1" si="124"/>
        <v>19.60632841388345</v>
      </c>
      <c r="Z48" s="606">
        <f t="shared" ca="1" si="124"/>
        <v>20.696290691519028</v>
      </c>
      <c r="AA48" s="606">
        <f t="shared" ca="1" si="124"/>
        <v>21.813312672954723</v>
      </c>
      <c r="AB48" s="606">
        <f t="shared" ca="1" si="124"/>
        <v>22.957943903286846</v>
      </c>
      <c r="AC48" s="606">
        <f t="shared" ca="1" si="124"/>
        <v>24.130744090197979</v>
      </c>
      <c r="AD48" s="606">
        <f t="shared" ca="1" si="124"/>
        <v>25.332283281931282</v>
      </c>
    </row>
    <row r="49" spans="2:30">
      <c r="B49" s="248" t="s">
        <v>320</v>
      </c>
      <c r="C49" s="606">
        <f t="shared" ref="C49:D49" si="125">D49</f>
        <v>12956.892254901959</v>
      </c>
      <c r="D49" s="606">
        <f t="shared" si="125"/>
        <v>12956.892254901959</v>
      </c>
      <c r="E49" s="606">
        <f>F49</f>
        <v>12956.892254901959</v>
      </c>
      <c r="F49" s="606">
        <f>E9</f>
        <v>12956.892254901959</v>
      </c>
      <c r="G49" s="606">
        <f>F49</f>
        <v>12956.892254901959</v>
      </c>
      <c r="H49" s="606">
        <f>G49</f>
        <v>12956.892254901959</v>
      </c>
      <c r="I49" s="606">
        <f>H49</f>
        <v>12956.892254901959</v>
      </c>
      <c r="J49" s="606">
        <f t="shared" ref="J49:K49" si="126">I49</f>
        <v>12956.892254901959</v>
      </c>
      <c r="K49" s="606">
        <f t="shared" si="126"/>
        <v>12956.892254901959</v>
      </c>
      <c r="L49" s="606">
        <f t="shared" ref="L49:M49" si="127">K49</f>
        <v>12956.892254901959</v>
      </c>
      <c r="M49" s="606">
        <f t="shared" si="127"/>
        <v>12956.892254901959</v>
      </c>
      <c r="N49" s="606">
        <f t="shared" ref="N49:O49" si="128">M49</f>
        <v>12956.892254901959</v>
      </c>
      <c r="O49" s="606">
        <f t="shared" si="128"/>
        <v>12956.892254901959</v>
      </c>
      <c r="Q49" s="248" t="s">
        <v>320</v>
      </c>
      <c r="R49" s="606">
        <f>S49</f>
        <v>12956.892254901959</v>
      </c>
      <c r="S49" s="606">
        <f>T49</f>
        <v>12956.892254901959</v>
      </c>
      <c r="T49" s="606">
        <f>U49</f>
        <v>12956.892254901959</v>
      </c>
      <c r="U49" s="606">
        <f>E9</f>
        <v>12956.892254901959</v>
      </c>
      <c r="V49" s="606">
        <f>U49</f>
        <v>12956.892254901959</v>
      </c>
      <c r="W49" s="606">
        <f>V49</f>
        <v>12956.892254901959</v>
      </c>
      <c r="X49" s="606">
        <f>W49</f>
        <v>12956.892254901959</v>
      </c>
      <c r="Y49" s="606">
        <f t="shared" ref="Y49" si="129">X49</f>
        <v>12956.892254901959</v>
      </c>
      <c r="Z49" s="606">
        <f t="shared" ref="Z49" si="130">Y49</f>
        <v>12956.892254901959</v>
      </c>
      <c r="AA49" s="606">
        <f t="shared" ref="AA49" si="131">Z49</f>
        <v>12956.892254901959</v>
      </c>
      <c r="AB49" s="606">
        <f t="shared" ref="AB49" si="132">AA49</f>
        <v>12956.892254901959</v>
      </c>
      <c r="AC49" s="606">
        <f t="shared" ref="AC49" si="133">AB49</f>
        <v>12956.892254901959</v>
      </c>
      <c r="AD49" s="606">
        <f t="shared" ref="AD49" si="134">AC49</f>
        <v>12956.892254901959</v>
      </c>
    </row>
    <row r="50" spans="2:30">
      <c r="B50" s="241" t="s">
        <v>162</v>
      </c>
      <c r="C50" s="621">
        <f t="shared" ref="C50:E50" ca="1" si="135">C48*C49</f>
        <v>506343.02339767339</v>
      </c>
      <c r="D50" s="621">
        <f t="shared" ca="1" si="135"/>
        <v>669556.26951343927</v>
      </c>
      <c r="E50" s="621">
        <f t="shared" ca="1" si="135"/>
        <v>610748.61784243118</v>
      </c>
      <c r="F50" s="621">
        <f t="shared" ref="F50:J50" ca="1" si="136">F48*F49</f>
        <v>749708.37863484875</v>
      </c>
      <c r="G50" s="621">
        <f t="shared" ca="1" si="136"/>
        <v>756481.95666737587</v>
      </c>
      <c r="H50" s="621">
        <f t="shared" ca="1" si="136"/>
        <v>710320.75047171628</v>
      </c>
      <c r="I50" s="621">
        <f t="shared" ca="1" si="136"/>
        <v>784859.70872080978</v>
      </c>
      <c r="J50" s="621">
        <f t="shared" ca="1" si="136"/>
        <v>866449.46224373439</v>
      </c>
      <c r="K50" s="621">
        <f t="shared" ref="K50:O50" ca="1" si="137">K48*K49</f>
        <v>908440.33418704721</v>
      </c>
      <c r="L50" s="621">
        <f t="shared" ca="1" si="137"/>
        <v>951004.22523805406</v>
      </c>
      <c r="M50" s="621">
        <f t="shared" ca="1" si="137"/>
        <v>994147.30928764027</v>
      </c>
      <c r="N50" s="621">
        <f t="shared" ca="1" si="137"/>
        <v>1037875.8201674022</v>
      </c>
      <c r="O50" s="621">
        <f t="shared" ca="1" si="137"/>
        <v>1082196.0521981895</v>
      </c>
      <c r="Q50" s="241" t="s">
        <v>162</v>
      </c>
      <c r="R50" s="621">
        <f t="shared" ref="R50:T50" ca="1" si="138">R48*R49</f>
        <v>124346.42037876238</v>
      </c>
      <c r="S50" s="621">
        <f t="shared" ca="1" si="138"/>
        <v>171900.99234749185</v>
      </c>
      <c r="T50" s="621">
        <f t="shared" ca="1" si="138"/>
        <v>190851.63917204764</v>
      </c>
      <c r="U50" s="621">
        <f ca="1">U48*U49</f>
        <v>230252.56607011636</v>
      </c>
      <c r="V50" s="621">
        <f t="shared" ref="V50:AD50" ca="1" si="139">V48*V49</f>
        <v>237274.01651746684</v>
      </c>
      <c r="W50" s="621">
        <f t="shared" ca="1" si="139"/>
        <v>219725.18320139704</v>
      </c>
      <c r="X50" s="621">
        <f t="shared" ca="1" si="139"/>
        <v>240258.17965752108</v>
      </c>
      <c r="Y50" s="621">
        <f t="shared" ca="1" si="139"/>
        <v>254037.08477291069</v>
      </c>
      <c r="Z50" s="621">
        <f t="shared" ca="1" si="139"/>
        <v>268159.60856614239</v>
      </c>
      <c r="AA50" s="621">
        <f t="shared" ca="1" si="139"/>
        <v>282632.74202596181</v>
      </c>
      <c r="AB50" s="621">
        <f t="shared" ca="1" si="139"/>
        <v>297463.60554897098</v>
      </c>
      <c r="AC50" s="621">
        <f t="shared" ca="1" si="139"/>
        <v>312659.4512073074</v>
      </c>
      <c r="AD50" s="621">
        <f t="shared" ca="1" si="139"/>
        <v>328227.66505463782</v>
      </c>
    </row>
    <row r="51" spans="2:30">
      <c r="F51" s="606"/>
      <c r="G51" s="608"/>
      <c r="H51" s="608"/>
      <c r="I51" s="608"/>
      <c r="U51" s="606"/>
      <c r="V51" s="608"/>
      <c r="W51" s="608"/>
      <c r="X51" s="608"/>
    </row>
    <row r="52" spans="2:30">
      <c r="B52" s="241" t="s">
        <v>559</v>
      </c>
      <c r="C52" s="241"/>
      <c r="D52" s="241"/>
      <c r="F52" s="606"/>
      <c r="G52" s="608"/>
      <c r="H52" s="608"/>
      <c r="I52" s="608"/>
      <c r="Q52" s="241" t="s">
        <v>560</v>
      </c>
      <c r="U52" s="606"/>
      <c r="V52" s="608"/>
      <c r="W52" s="608"/>
      <c r="X52" s="608"/>
    </row>
    <row r="53" spans="2:30">
      <c r="B53" s="248" t="s">
        <v>333</v>
      </c>
      <c r="C53" s="619">
        <f ca="1">OFFSET('Customer Count'!$O$11,COLUMN()-COLUMN(Heating!$E$20),0)</f>
        <v>1029.0833333333337</v>
      </c>
      <c r="D53" s="619">
        <f ca="1">OFFSET('Customer Count'!$O$11,COLUMN()-COLUMN(Heating!$E$20),0)</f>
        <v>1032</v>
      </c>
      <c r="E53" s="619">
        <f ca="1">OFFSET('Customer Count'!$O$11,COLUMN()-COLUMN(Heating!$E$20),0)</f>
        <v>1052.2083333333337</v>
      </c>
      <c r="F53" s="619">
        <f ca="1">OFFSET('Customer Count'!$O$11,COLUMN()-COLUMN(Heating!$E$20),0)</f>
        <v>1037.25</v>
      </c>
      <c r="G53" s="619">
        <f ca="1">OFFSET('Customer Count'!$O$11,COLUMN()-COLUMN(Heating!$E$20),0)</f>
        <v>1030.4583333333335</v>
      </c>
      <c r="H53" s="619">
        <f ca="1">OFFSET('Customer Count'!$O$11,COLUMN()-COLUMN(Heating!$E$20),0)</f>
        <v>1059.4166666666663</v>
      </c>
      <c r="I53" s="619">
        <f ca="1">OFFSET('Customer Count'!$O$11,COLUMN()-COLUMN(Heating!$E$20),0)</f>
        <v>1075.3470666497312</v>
      </c>
      <c r="J53" s="619">
        <f ca="1">OFFSET('Customer Count'!$O$11,COLUMN()-COLUMN(Heating!$E$20),0)</f>
        <v>1075.9880703025033</v>
      </c>
      <c r="K53" s="619">
        <f ca="1">OFFSET('Customer Count'!$O$11,COLUMN()-COLUMN(Heating!$E$20),0)</f>
        <v>1076.6294560511544</v>
      </c>
      <c r="L53" s="619">
        <f ca="1">OFFSET('Customer Count'!$O$11,COLUMN()-COLUMN(Heating!$E$20),0)</f>
        <v>1077.2712241234483</v>
      </c>
      <c r="M53" s="619">
        <f ca="1">OFFSET('Customer Count'!$O$11,COLUMN()-COLUMN(Heating!$E$20),0)</f>
        <v>1077.9133747472843</v>
      </c>
      <c r="N53" s="619">
        <f ca="1">OFFSET('Customer Count'!$O$11,COLUMN()-COLUMN(Heating!$E$20),0)</f>
        <v>1078.5559081506974</v>
      </c>
      <c r="O53" s="619">
        <f ca="1">OFFSET('Customer Count'!$O$11,COLUMN()-COLUMN(Heating!$E$20),0)</f>
        <v>1079.1988245618588</v>
      </c>
      <c r="Q53" s="248" t="s">
        <v>333</v>
      </c>
      <c r="R53" s="619">
        <f ca="1">OFFSET('Customer Count'!$BB$11,COLUMN()-COLUMN(Heating!$T$20),0)</f>
        <v>377</v>
      </c>
      <c r="S53" s="619">
        <f ca="1">OFFSET('Customer Count'!$BB$11,COLUMN()-COLUMN(Heating!$T$20),0)</f>
        <v>381.875</v>
      </c>
      <c r="T53" s="619">
        <f ca="1">OFFSET('Customer Count'!$BB$11,COLUMN()-COLUMN(Heating!$T$20),0)</f>
        <v>390.875</v>
      </c>
      <c r="U53" s="619">
        <f ca="1">OFFSET('Customer Count'!$BB$11,COLUMN()-COLUMN(Heating!$T$20),0)</f>
        <v>386.33333333333348</v>
      </c>
      <c r="V53" s="619">
        <f ca="1">OFFSET('Customer Count'!$BB$11,COLUMN()-COLUMN(Heating!$T$20),0)</f>
        <v>383.33333333333348</v>
      </c>
      <c r="W53" s="619">
        <f ca="1">OFFSET('Customer Count'!$BB$11,COLUMN()-COLUMN(Heating!$T$20),0)</f>
        <v>388.625</v>
      </c>
      <c r="X53" s="619">
        <f ca="1">OFFSET('Customer Count'!$BB$11,COLUMN()-COLUMN(Heating!$T$20),0)</f>
        <v>391.16928824658078</v>
      </c>
      <c r="Y53" s="619">
        <f ca="1">OFFSET('Customer Count'!$BB$11,COLUMN()-COLUMN(Heating!$T$20),0)</f>
        <v>393.73023368886868</v>
      </c>
      <c r="Z53" s="619">
        <f ca="1">OFFSET('Customer Count'!$BB$11,COLUMN()-COLUMN(Heating!$T$20),0)</f>
        <v>396.30794537982553</v>
      </c>
      <c r="AA53" s="619">
        <f ca="1">OFFSET('Customer Count'!$BB$11,COLUMN()-COLUMN(Heating!$T$20),0)</f>
        <v>398.90253308637159</v>
      </c>
      <c r="AB53" s="619">
        <f ca="1">OFFSET('Customer Count'!$BB$11,COLUMN()-COLUMN(Heating!$T$20),0)</f>
        <v>401.51410729406012</v>
      </c>
      <c r="AC53" s="619">
        <f ca="1">OFFSET('Customer Count'!$BB$11,COLUMN()-COLUMN(Heating!$T$20),0)</f>
        <v>404.142779211782</v>
      </c>
      <c r="AD53" s="619">
        <f ca="1">OFFSET('Customer Count'!$BB$11,COLUMN()-COLUMN(Heating!$T$20),0)</f>
        <v>406.78866077650127</v>
      </c>
    </row>
    <row r="54" spans="2:30">
      <c r="B54" s="248" t="s">
        <v>334</v>
      </c>
      <c r="C54" s="606"/>
      <c r="D54" s="606">
        <f t="shared" ref="D54:E54" ca="1" si="140">D53-C53</f>
        <v>2.9166666666662877</v>
      </c>
      <c r="E54" s="606">
        <f t="shared" ca="1" si="140"/>
        <v>20.208333333333712</v>
      </c>
      <c r="F54" s="606">
        <f ca="1">F53-E53</f>
        <v>-14.958333333333712</v>
      </c>
      <c r="G54" s="606">
        <f t="shared" ref="G54" ca="1" si="141">G53-F53</f>
        <v>-6.7916666666665151</v>
      </c>
      <c r="H54" s="606">
        <f t="shared" ref="H54" ca="1" si="142">H53-G53</f>
        <v>28.958333333332803</v>
      </c>
      <c r="I54" s="606">
        <f t="shared" ref="I54" ca="1" si="143">I53-H53</f>
        <v>15.930399983064945</v>
      </c>
      <c r="J54" s="606">
        <f t="shared" ref="J54" ca="1" si="144">J53-I53</f>
        <v>0.64100365277204219</v>
      </c>
      <c r="K54" s="606">
        <f t="shared" ref="K54" ca="1" si="145">K53-J53</f>
        <v>0.64138574865114606</v>
      </c>
      <c r="L54" s="606">
        <f t="shared" ref="L54" ca="1" si="146">L53-K53</f>
        <v>0.64176807229387123</v>
      </c>
      <c r="M54" s="606">
        <f t="shared" ref="M54" ca="1" si="147">M53-L53</f>
        <v>0.64215062383595978</v>
      </c>
      <c r="N54" s="606">
        <f t="shared" ref="N54" ca="1" si="148">N53-M53</f>
        <v>0.64253340341315379</v>
      </c>
      <c r="O54" s="606">
        <f t="shared" ref="O54" ca="1" si="149">O53-N53</f>
        <v>0.64291641116142273</v>
      </c>
      <c r="Q54" s="248" t="s">
        <v>334</v>
      </c>
      <c r="R54" s="606"/>
      <c r="S54" s="606">
        <f t="shared" ref="S54:T54" ca="1" si="150">S53-R53</f>
        <v>4.875</v>
      </c>
      <c r="T54" s="606">
        <f t="shared" ca="1" si="150"/>
        <v>9</v>
      </c>
      <c r="U54" s="606">
        <f ca="1">U53-T53</f>
        <v>-4.5416666666665151</v>
      </c>
      <c r="V54" s="606">
        <f t="shared" ref="V54" ca="1" si="151">V53-U53</f>
        <v>-3</v>
      </c>
      <c r="W54" s="606">
        <f t="shared" ref="W54" ca="1" si="152">W53-V53</f>
        <v>5.2916666666665151</v>
      </c>
      <c r="X54" s="606">
        <f t="shared" ref="X54" ca="1" si="153">X53-W53</f>
        <v>2.544288246580777</v>
      </c>
      <c r="Y54" s="606">
        <f t="shared" ref="Y54" ca="1" si="154">Y53-X53</f>
        <v>2.5609454422879026</v>
      </c>
      <c r="Z54" s="606">
        <f t="shared" ref="Z54" ca="1" si="155">Z53-Y53</f>
        <v>2.5777116909568463</v>
      </c>
      <c r="AA54" s="606">
        <f t="shared" ref="AA54" ca="1" si="156">AA53-Z53</f>
        <v>2.594587706546065</v>
      </c>
      <c r="AB54" s="606">
        <f t="shared" ref="AB54" ca="1" si="157">AB53-AA53</f>
        <v>2.611574207688534</v>
      </c>
      <c r="AC54" s="606">
        <f t="shared" ref="AC54" ca="1" si="158">AC53-AB53</f>
        <v>2.6286719177218743</v>
      </c>
      <c r="AD54" s="606">
        <f t="shared" ref="AD54" ca="1" si="159">AD53-AC53</f>
        <v>2.645881564719275</v>
      </c>
    </row>
    <row r="55" spans="2:30">
      <c r="B55" s="248" t="s">
        <v>335</v>
      </c>
      <c r="C55" s="571">
        <f>C44</f>
        <v>4.2444739702862545E-3</v>
      </c>
      <c r="D55" s="571">
        <f t="shared" ref="D55:E55" si="160">D44</f>
        <v>4.8653300412871839E-3</v>
      </c>
      <c r="E55" s="571">
        <f t="shared" si="160"/>
        <v>4.7057362801092625E-3</v>
      </c>
      <c r="F55" s="571">
        <f>F44</f>
        <v>5.1274469820554768E-3</v>
      </c>
      <c r="G55" s="571">
        <f t="shared" ref="G55:O55" si="161">G44</f>
        <v>5.3580781369669591E-3</v>
      </c>
      <c r="H55" s="571">
        <f t="shared" si="161"/>
        <v>5.6070106643799633E-3</v>
      </c>
      <c r="I55" s="571">
        <f t="shared" si="161"/>
        <v>5.8559431917929675E-3</v>
      </c>
      <c r="J55" s="571">
        <f t="shared" si="161"/>
        <v>6.1048757192058824E-3</v>
      </c>
      <c r="K55" s="571">
        <f t="shared" si="161"/>
        <v>6.3538082466188858E-3</v>
      </c>
      <c r="L55" s="571">
        <f t="shared" si="161"/>
        <v>6.60274077403189E-3</v>
      </c>
      <c r="M55" s="571">
        <f t="shared" si="161"/>
        <v>6.8516733014448048E-3</v>
      </c>
      <c r="N55" s="571">
        <f t="shared" si="161"/>
        <v>7.1006058288578091E-3</v>
      </c>
      <c r="O55" s="571">
        <f t="shared" si="161"/>
        <v>7.3495383562708124E-3</v>
      </c>
      <c r="Q55" s="248" t="s">
        <v>335</v>
      </c>
      <c r="R55" s="571">
        <f t="shared" ref="R55:T55" si="162">R44</f>
        <v>4.2444739702862545E-3</v>
      </c>
      <c r="S55" s="571">
        <f t="shared" si="162"/>
        <v>4.8653300412871839E-3</v>
      </c>
      <c r="T55" s="571">
        <f t="shared" si="162"/>
        <v>4.7057362801092625E-3</v>
      </c>
      <c r="U55" s="571">
        <f>U44</f>
        <v>5.1274469820554768E-3</v>
      </c>
      <c r="V55" s="571">
        <f t="shared" ref="V55:AD55" si="163">V44</f>
        <v>5.3580781369669591E-3</v>
      </c>
      <c r="W55" s="571">
        <f t="shared" si="163"/>
        <v>5.6070106643799633E-3</v>
      </c>
      <c r="X55" s="571">
        <f t="shared" si="163"/>
        <v>5.8559431917929675E-3</v>
      </c>
      <c r="Y55" s="571">
        <f t="shared" si="163"/>
        <v>6.1048757192058824E-3</v>
      </c>
      <c r="Z55" s="571">
        <f t="shared" si="163"/>
        <v>6.3538082466188858E-3</v>
      </c>
      <c r="AA55" s="571">
        <f t="shared" si="163"/>
        <v>6.60274077403189E-3</v>
      </c>
      <c r="AB55" s="571">
        <f t="shared" si="163"/>
        <v>6.8516733014448048E-3</v>
      </c>
      <c r="AC55" s="571">
        <f t="shared" si="163"/>
        <v>7.1006058288578091E-3</v>
      </c>
      <c r="AD55" s="571">
        <f t="shared" si="163"/>
        <v>7.3495383562708124E-3</v>
      </c>
    </row>
    <row r="56" spans="2:30">
      <c r="B56" s="248" t="s">
        <v>336</v>
      </c>
      <c r="C56" s="606"/>
      <c r="D56" s="606"/>
      <c r="E56" s="606"/>
      <c r="F56" s="606"/>
      <c r="G56" s="608"/>
      <c r="H56" s="608"/>
      <c r="I56" s="608"/>
      <c r="Q56" s="248" t="s">
        <v>336</v>
      </c>
      <c r="R56" s="606"/>
      <c r="S56" s="606"/>
      <c r="T56" s="606"/>
      <c r="U56" s="606"/>
      <c r="V56" s="608"/>
      <c r="W56" s="608"/>
      <c r="X56" s="608"/>
    </row>
    <row r="57" spans="2:30">
      <c r="B57" s="248" t="s">
        <v>337</v>
      </c>
      <c r="C57" s="606">
        <f t="shared" ref="C57:E57" ca="1" si="164">C55*(C53-C54)</f>
        <v>4.3679174215887482</v>
      </c>
      <c r="D57" s="606">
        <f t="shared" ca="1" si="164"/>
        <v>5.0068300566546213</v>
      </c>
      <c r="E57" s="606">
        <f t="shared" ca="1" si="164"/>
        <v>4.856319841072759</v>
      </c>
      <c r="F57" s="606">
        <f ca="1">F55*(F53-F54)</f>
        <v>5.3951424432436248</v>
      </c>
      <c r="G57" s="606">
        <f t="shared" ref="G57:O57" ca="1" si="165">G55*(G53-G54)</f>
        <v>5.5576665475689779</v>
      </c>
      <c r="H57" s="606">
        <f t="shared" ca="1" si="165"/>
        <v>5.7777908641992042</v>
      </c>
      <c r="I57" s="606">
        <f t="shared" ca="1" si="165"/>
        <v>6.2038838164386645</v>
      </c>
      <c r="J57" s="606">
        <f t="shared" ca="1" si="165"/>
        <v>6.5648601969092137</v>
      </c>
      <c r="K57" s="606">
        <f t="shared" ca="1" si="165"/>
        <v>6.8366218743515867</v>
      </c>
      <c r="L57" s="606">
        <f t="shared" ca="1" si="165"/>
        <v>7.108705207992732</v>
      </c>
      <c r="M57" s="606">
        <f t="shared" ca="1" si="165"/>
        <v>7.3811104847413933</v>
      </c>
      <c r="N57" s="606">
        <f t="shared" ca="1" si="165"/>
        <v>7.6538379917343589</v>
      </c>
      <c r="O57" s="606">
        <f t="shared" ca="1" si="165"/>
        <v>7.9268880163360498</v>
      </c>
      <c r="Q57" s="248" t="s">
        <v>337</v>
      </c>
      <c r="R57" s="606">
        <f t="shared" ref="R57:T57" ca="1" si="166">R55*(R53-R54)</f>
        <v>1.6001666867979178</v>
      </c>
      <c r="S57" s="606">
        <f t="shared" ca="1" si="166"/>
        <v>1.8342294255652682</v>
      </c>
      <c r="T57" s="606">
        <f t="shared" ca="1" si="166"/>
        <v>1.7970030419667247</v>
      </c>
      <c r="U57" s="606">
        <f ca="1">U55*(U53-U54)</f>
        <v>2.0041908391109344</v>
      </c>
      <c r="V57" s="606">
        <f t="shared" ref="V57:AD57" ca="1" si="167">V55*(V53-V54)</f>
        <v>2.0700041869149026</v>
      </c>
      <c r="W57" s="606">
        <f t="shared" ca="1" si="167"/>
        <v>2.1493540880123203</v>
      </c>
      <c r="X57" s="606">
        <f t="shared" ca="1" si="167"/>
        <v>2.275765922910542</v>
      </c>
      <c r="Y57" s="606">
        <f t="shared" ca="1" si="167"/>
        <v>2.3880398899155981</v>
      </c>
      <c r="Z57" s="606">
        <f t="shared" ca="1" si="167"/>
        <v>2.5016864057555148</v>
      </c>
      <c r="AA57" s="606">
        <f t="shared" ca="1" si="167"/>
        <v>2.6167186300321772</v>
      </c>
      <c r="AB57" s="606">
        <f t="shared" ca="1" si="167"/>
        <v>2.7331498358265951</v>
      </c>
      <c r="AC57" s="606">
        <f t="shared" ca="1" si="167"/>
        <v>2.850993410620843</v>
      </c>
      <c r="AD57" s="606">
        <f t="shared" ca="1" si="167"/>
        <v>2.9702628572268783</v>
      </c>
    </row>
    <row r="58" spans="2:30">
      <c r="B58" s="248" t="s">
        <v>338</v>
      </c>
      <c r="C58" s="606"/>
      <c r="D58" s="606"/>
      <c r="E58" s="606"/>
      <c r="F58" s="606"/>
      <c r="G58" s="608"/>
      <c r="H58" s="608"/>
      <c r="I58" s="608"/>
      <c r="Q58" s="248" t="s">
        <v>338</v>
      </c>
      <c r="R58" s="606"/>
      <c r="S58" s="606"/>
      <c r="T58" s="606"/>
      <c r="U58" s="606"/>
      <c r="V58" s="608"/>
      <c r="W58" s="608"/>
      <c r="X58" s="608"/>
    </row>
    <row r="59" spans="2:30">
      <c r="B59" s="248" t="s">
        <v>339</v>
      </c>
      <c r="C59" s="606">
        <f t="shared" ref="C59:E59" ca="1" si="168">C57</f>
        <v>4.3679174215887482</v>
      </c>
      <c r="D59" s="606">
        <f t="shared" ca="1" si="168"/>
        <v>5.0068300566546213</v>
      </c>
      <c r="E59" s="606">
        <f t="shared" ca="1" si="168"/>
        <v>4.856319841072759</v>
      </c>
      <c r="F59" s="606">
        <f ca="1">F57</f>
        <v>5.3951424432436248</v>
      </c>
      <c r="G59" s="606">
        <f t="shared" ref="G59:O59" ca="1" si="169">G57</f>
        <v>5.5576665475689779</v>
      </c>
      <c r="H59" s="606">
        <f t="shared" ca="1" si="169"/>
        <v>5.7777908641992042</v>
      </c>
      <c r="I59" s="606">
        <f t="shared" ca="1" si="169"/>
        <v>6.2038838164386645</v>
      </c>
      <c r="J59" s="606">
        <f t="shared" ca="1" si="169"/>
        <v>6.5648601969092137</v>
      </c>
      <c r="K59" s="606">
        <f t="shared" ca="1" si="169"/>
        <v>6.8366218743515867</v>
      </c>
      <c r="L59" s="606">
        <f t="shared" ca="1" si="169"/>
        <v>7.108705207992732</v>
      </c>
      <c r="M59" s="606">
        <f t="shared" ca="1" si="169"/>
        <v>7.3811104847413933</v>
      </c>
      <c r="N59" s="606">
        <f t="shared" ca="1" si="169"/>
        <v>7.6538379917343589</v>
      </c>
      <c r="O59" s="606">
        <f t="shared" ca="1" si="169"/>
        <v>7.9268880163360498</v>
      </c>
      <c r="Q59" s="248" t="s">
        <v>339</v>
      </c>
      <c r="R59" s="606">
        <f t="shared" ref="R59:T59" ca="1" si="170">R57</f>
        <v>1.6001666867979178</v>
      </c>
      <c r="S59" s="606">
        <f t="shared" ca="1" si="170"/>
        <v>1.8342294255652682</v>
      </c>
      <c r="T59" s="606">
        <f t="shared" ca="1" si="170"/>
        <v>1.7970030419667247</v>
      </c>
      <c r="U59" s="606">
        <f ca="1">U57</f>
        <v>2.0041908391109344</v>
      </c>
      <c r="V59" s="606">
        <f t="shared" ref="V59:AD59" ca="1" si="171">V57</f>
        <v>2.0700041869149026</v>
      </c>
      <c r="W59" s="606">
        <f t="shared" ca="1" si="171"/>
        <v>2.1493540880123203</v>
      </c>
      <c r="X59" s="606">
        <f t="shared" ca="1" si="171"/>
        <v>2.275765922910542</v>
      </c>
      <c r="Y59" s="606">
        <f t="shared" ca="1" si="171"/>
        <v>2.3880398899155981</v>
      </c>
      <c r="Z59" s="606">
        <f t="shared" ca="1" si="171"/>
        <v>2.5016864057555148</v>
      </c>
      <c r="AA59" s="606">
        <f t="shared" ca="1" si="171"/>
        <v>2.6167186300321772</v>
      </c>
      <c r="AB59" s="606">
        <f t="shared" ca="1" si="171"/>
        <v>2.7331498358265951</v>
      </c>
      <c r="AC59" s="606">
        <f t="shared" ca="1" si="171"/>
        <v>2.850993410620843</v>
      </c>
      <c r="AD59" s="606">
        <f t="shared" ca="1" si="171"/>
        <v>2.9702628572268783</v>
      </c>
    </row>
    <row r="60" spans="2:30">
      <c r="B60" s="248" t="s">
        <v>320</v>
      </c>
      <c r="C60" s="610">
        <v>68366.08396233058</v>
      </c>
      <c r="D60" s="610">
        <v>68172.865863276864</v>
      </c>
      <c r="E60" s="610">
        <v>66863.562416411543</v>
      </c>
      <c r="F60" s="610">
        <v>67827.811589203877</v>
      </c>
      <c r="G60" s="610">
        <v>68274.859152547055</v>
      </c>
      <c r="H60" s="610">
        <v>66408.61880365145</v>
      </c>
      <c r="I60" s="610">
        <v>65424.828646338785</v>
      </c>
      <c r="J60" s="610">
        <v>65385.852792143211</v>
      </c>
      <c r="K60" s="610">
        <v>65346.900157224511</v>
      </c>
      <c r="L60" s="610">
        <v>65307.970727750137</v>
      </c>
      <c r="M60" s="610">
        <v>65269.064489895805</v>
      </c>
      <c r="N60" s="610">
        <v>65230.181429845456</v>
      </c>
      <c r="O60" s="610">
        <v>65191.321533791255</v>
      </c>
      <c r="Q60" s="248" t="s">
        <v>320</v>
      </c>
      <c r="R60" s="610">
        <v>55347.455157993892</v>
      </c>
      <c r="S60" s="610">
        <v>54640.8919006578</v>
      </c>
      <c r="T60" s="610">
        <v>53382.770948675912</v>
      </c>
      <c r="U60" s="610">
        <v>54010.329407843885</v>
      </c>
      <c r="V60" s="610">
        <v>54433.018942340059</v>
      </c>
      <c r="W60" s="610">
        <v>53691.838133325691</v>
      </c>
      <c r="X60" s="610">
        <v>53342.609508265981</v>
      </c>
      <c r="Y60" s="610">
        <v>52995.65237617059</v>
      </c>
      <c r="Z60" s="610">
        <v>52650.951962533887</v>
      </c>
      <c r="AA60" s="610">
        <v>52308.49358894828</v>
      </c>
      <c r="AB60" s="610">
        <v>51968.262672479155</v>
      </c>
      <c r="AC60" s="610">
        <v>51630.244725043922</v>
      </c>
      <c r="AD60" s="610">
        <v>51294.425352795013</v>
      </c>
    </row>
    <row r="61" spans="2:30">
      <c r="B61" s="241" t="s">
        <v>162</v>
      </c>
      <c r="C61" s="621">
        <f t="shared" ref="C61:E61" ca="1" si="172">C59*C60</f>
        <v>298617.40918486286</v>
      </c>
      <c r="D61" s="621">
        <f t="shared" ca="1" si="172"/>
        <v>341329.95385253843</v>
      </c>
      <c r="E61" s="621">
        <f t="shared" ca="1" si="172"/>
        <v>324710.84480762621</v>
      </c>
      <c r="F61" s="621">
        <f t="shared" ref="F61:O61" ca="1" si="173">F59*F60</f>
        <v>365940.70513724565</v>
      </c>
      <c r="G61" s="621">
        <f t="shared" ca="1" si="173"/>
        <v>379448.9007520944</v>
      </c>
      <c r="H61" s="621">
        <f t="shared" ca="1" si="173"/>
        <v>383695.11102782481</v>
      </c>
      <c r="I61" s="621">
        <f t="shared" ca="1" si="173"/>
        <v>405888.0356322939</v>
      </c>
      <c r="J61" s="621">
        <f t="shared" ca="1" si="173"/>
        <v>429248.98243610613</v>
      </c>
      <c r="K61" s="621">
        <f t="shared" ca="1" si="173"/>
        <v>446752.04703595024</v>
      </c>
      <c r="L61" s="621">
        <f t="shared" ca="1" si="173"/>
        <v>464255.11163579428</v>
      </c>
      <c r="M61" s="621">
        <f t="shared" ca="1" si="173"/>
        <v>481758.1762356321</v>
      </c>
      <c r="N61" s="621">
        <f t="shared" ca="1" si="173"/>
        <v>499261.2408354762</v>
      </c>
      <c r="O61" s="621">
        <f t="shared" ca="1" si="173"/>
        <v>516764.30543532019</v>
      </c>
      <c r="Q61" s="241" t="s">
        <v>162</v>
      </c>
      <c r="R61" s="621">
        <f t="shared" ref="R61:T61" ca="1" si="174">R59*R60</f>
        <v>88565.153942863413</v>
      </c>
      <c r="S61" s="621">
        <f t="shared" ca="1" si="174"/>
        <v>100223.93176331748</v>
      </c>
      <c r="T61" s="621">
        <f t="shared" ca="1" si="174"/>
        <v>95929.001783383515</v>
      </c>
      <c r="U61" s="621">
        <f t="shared" ref="U61:AD61" ca="1" si="175">U59*U60</f>
        <v>108247.00741656461</v>
      </c>
      <c r="V61" s="621">
        <f t="shared" ca="1" si="175"/>
        <v>112676.57711706213</v>
      </c>
      <c r="W61" s="621">
        <f t="shared" ca="1" si="175"/>
        <v>115402.77178475936</v>
      </c>
      <c r="X61" s="621">
        <f t="shared" ca="1" si="175"/>
        <v>121395.29295803558</v>
      </c>
      <c r="Y61" s="621">
        <f t="shared" ca="1" si="175"/>
        <v>126555.73186639573</v>
      </c>
      <c r="Z61" s="621">
        <f t="shared" ca="1" si="175"/>
        <v>131716.17077475766</v>
      </c>
      <c r="AA61" s="621">
        <f t="shared" ca="1" si="175"/>
        <v>136876.60968311966</v>
      </c>
      <c r="AB61" s="621">
        <f t="shared" ca="1" si="175"/>
        <v>142037.04859147978</v>
      </c>
      <c r="AC61" s="621">
        <f t="shared" ca="1" si="175"/>
        <v>147197.48749984175</v>
      </c>
      <c r="AD61" s="621">
        <f t="shared" ca="1" si="175"/>
        <v>152357.92640820376</v>
      </c>
    </row>
    <row r="62" spans="2:30">
      <c r="C62" s="606"/>
      <c r="D62" s="606"/>
      <c r="E62" s="606"/>
      <c r="F62" s="606"/>
      <c r="G62" s="608"/>
      <c r="H62" s="608"/>
      <c r="I62" s="608"/>
      <c r="U62" s="606"/>
      <c r="V62" s="608"/>
      <c r="W62" s="608"/>
      <c r="X62" s="608"/>
    </row>
    <row r="64" spans="2:30">
      <c r="N64" s="236"/>
      <c r="O64" s="609"/>
      <c r="AC64" s="236"/>
      <c r="AD64" s="609"/>
    </row>
    <row r="65" spans="2:30">
      <c r="C65" s="248">
        <v>2019</v>
      </c>
      <c r="D65" s="248">
        <v>2020</v>
      </c>
      <c r="E65" s="248">
        <v>2021</v>
      </c>
      <c r="F65" s="248">
        <v>2022</v>
      </c>
      <c r="G65" s="248">
        <v>2023</v>
      </c>
      <c r="H65" s="248">
        <v>2024</v>
      </c>
      <c r="I65" s="248">
        <v>2025</v>
      </c>
      <c r="J65" s="248">
        <v>2026</v>
      </c>
      <c r="K65" s="248">
        <v>2027</v>
      </c>
      <c r="L65" s="248">
        <v>2028</v>
      </c>
      <c r="M65" s="248">
        <v>2029</v>
      </c>
      <c r="N65" s="248">
        <v>2030</v>
      </c>
      <c r="O65" s="248">
        <v>2031</v>
      </c>
      <c r="R65" s="248">
        <v>2019</v>
      </c>
      <c r="S65" s="248">
        <v>2020</v>
      </c>
      <c r="T65" s="248">
        <v>2021</v>
      </c>
      <c r="U65" s="248">
        <v>2022</v>
      </c>
      <c r="V65" s="248">
        <v>2023</v>
      </c>
      <c r="W65" s="248">
        <v>2024</v>
      </c>
      <c r="X65" s="248">
        <v>2025</v>
      </c>
      <c r="Y65" s="248">
        <v>2026</v>
      </c>
      <c r="Z65" s="248">
        <v>2027</v>
      </c>
      <c r="AA65" s="248">
        <v>2028</v>
      </c>
      <c r="AB65" s="248">
        <v>2029</v>
      </c>
      <c r="AC65" s="248">
        <v>2030</v>
      </c>
      <c r="AD65" s="248">
        <v>2031</v>
      </c>
    </row>
    <row r="66" spans="2:30">
      <c r="B66" s="248" t="s">
        <v>340</v>
      </c>
      <c r="C66" s="214">
        <f t="shared" ref="C66:E66" ca="1" si="176">C28</f>
        <v>1985555.4240786438</v>
      </c>
      <c r="D66" s="214">
        <f t="shared" ca="1" si="176"/>
        <v>2791858.4732983396</v>
      </c>
      <c r="E66" s="214">
        <f t="shared" ca="1" si="176"/>
        <v>2559936.1162254238</v>
      </c>
      <c r="F66" s="214">
        <f ca="1">F28</f>
        <v>2920203.0414219894</v>
      </c>
      <c r="G66" s="214">
        <f ca="1">G28</f>
        <v>3269232.9631785089</v>
      </c>
      <c r="H66" s="214">
        <f t="shared" ref="H66:K66" ca="1" si="177">H28</f>
        <v>3570217.9812159743</v>
      </c>
      <c r="I66" s="214">
        <f t="shared" ca="1" si="177"/>
        <v>3986870.8650885336</v>
      </c>
      <c r="J66" s="214">
        <f t="shared" ca="1" si="177"/>
        <v>4337603.2422117898</v>
      </c>
      <c r="K66" s="214">
        <f t="shared" ca="1" si="177"/>
        <v>4619416.959038551</v>
      </c>
      <c r="L66" s="214">
        <f t="shared" ref="L66:O66" ca="1" si="178">L28</f>
        <v>4841248.0210550614</v>
      </c>
      <c r="M66" s="214">
        <f t="shared" ca="1" si="178"/>
        <v>5120933.0852185292</v>
      </c>
      <c r="N66" s="214">
        <f t="shared" ca="1" si="178"/>
        <v>5445670.5547136581</v>
      </c>
      <c r="O66" s="214">
        <f t="shared" ca="1" si="178"/>
        <v>5745527.0393487085</v>
      </c>
      <c r="P66" s="214"/>
      <c r="Q66" s="248" t="s">
        <v>340</v>
      </c>
      <c r="R66" s="214">
        <f t="shared" ref="R66:T66" ca="1" si="179">R28</f>
        <v>731926.96292783204</v>
      </c>
      <c r="S66" s="214">
        <f t="shared" ca="1" si="179"/>
        <v>1240025.7489432476</v>
      </c>
      <c r="T66" s="214">
        <f t="shared" ca="1" si="179"/>
        <v>1234483.0153347205</v>
      </c>
      <c r="U66" s="214">
        <f ca="1">U28</f>
        <v>1409651.2895358028</v>
      </c>
      <c r="V66" s="214">
        <f ca="1">V28</f>
        <v>1415225.3714643992</v>
      </c>
      <c r="W66" s="214">
        <f t="shared" ref="W66:AD66" ca="1" si="180">W28</f>
        <v>1334382.659871171</v>
      </c>
      <c r="X66" s="214">
        <f t="shared" ca="1" si="180"/>
        <v>1576063.9160275653</v>
      </c>
      <c r="Y66" s="214">
        <f t="shared" ca="1" si="180"/>
        <v>1651896.5649007107</v>
      </c>
      <c r="Z66" s="214">
        <f t="shared" ca="1" si="180"/>
        <v>1755480.0520817677</v>
      </c>
      <c r="AA66" s="214">
        <f t="shared" ca="1" si="180"/>
        <v>1844051.1450842465</v>
      </c>
      <c r="AB66" s="214">
        <f t="shared" ca="1" si="180"/>
        <v>1963421.5742132845</v>
      </c>
      <c r="AC66" s="214">
        <f t="shared" ca="1" si="180"/>
        <v>2071790.2863281851</v>
      </c>
      <c r="AD66" s="214">
        <f t="shared" ca="1" si="180"/>
        <v>2183617.3132640105</v>
      </c>
    </row>
    <row r="67" spans="2:30">
      <c r="B67" s="248" t="s">
        <v>341</v>
      </c>
      <c r="C67" s="606"/>
      <c r="D67" s="606">
        <f t="shared" ref="D67:E67" ca="1" si="181">C66*$T$3</f>
        <v>1287693.5719578471</v>
      </c>
      <c r="E67" s="606">
        <f t="shared" ca="1" si="181"/>
        <v>1810605.8215678034</v>
      </c>
      <c r="F67" s="606">
        <f ca="1">E66*$T$3</f>
        <v>1660197.0619963165</v>
      </c>
      <c r="G67" s="606">
        <f ca="1">F66*$T$3</f>
        <v>1893841.2091899943</v>
      </c>
      <c r="H67" s="606">
        <f ca="1">G66*$T$3</f>
        <v>2120197.8151131836</v>
      </c>
      <c r="I67" s="606">
        <f ca="1">H66*$T$3</f>
        <v>2315395.8278618371</v>
      </c>
      <c r="J67" s="606">
        <f t="shared" ref="J67:K67" ca="1" si="182">I66*$T$3</f>
        <v>2585607.99811609</v>
      </c>
      <c r="K67" s="606">
        <f t="shared" ca="1" si="182"/>
        <v>2813068.6985438731</v>
      </c>
      <c r="L67" s="606">
        <f t="shared" ref="L67" ca="1" si="183">K66*$T$3</f>
        <v>2995833.5346429516</v>
      </c>
      <c r="M67" s="606">
        <f t="shared" ref="M67" ca="1" si="184">L66*$T$3</f>
        <v>3139697.7799594947</v>
      </c>
      <c r="N67" s="606">
        <f t="shared" ref="N67" ca="1" si="185">M66*$T$3</f>
        <v>3321082.1195394564</v>
      </c>
      <c r="O67" s="606">
        <f t="shared" ref="O67" ca="1" si="186">N66*$T$3</f>
        <v>3531684.3253362421</v>
      </c>
      <c r="P67" s="606"/>
      <c r="Q67" s="248" t="s">
        <v>341</v>
      </c>
      <c r="R67" s="606"/>
      <c r="S67" s="606">
        <f t="shared" ref="S67:T67" ca="1" si="187">R66*$T$3</f>
        <v>474677.07719221461</v>
      </c>
      <c r="T67" s="606">
        <f t="shared" ca="1" si="187"/>
        <v>804194.71882402117</v>
      </c>
      <c r="U67" s="606">
        <f ca="1">T66*$T$3</f>
        <v>800600.08613222057</v>
      </c>
      <c r="V67" s="606">
        <f ca="1">U66*$T$3</f>
        <v>914202.08281501336</v>
      </c>
      <c r="W67" s="606">
        <f ca="1">V66*$T$3</f>
        <v>917817.04585355497</v>
      </c>
      <c r="X67" s="606">
        <f ca="1">W66*$T$3</f>
        <v>865388.06865361205</v>
      </c>
      <c r="Y67" s="606">
        <f t="shared" ref="Y67" ca="1" si="188">X66*$T$3</f>
        <v>1022125.7734999515</v>
      </c>
      <c r="Z67" s="606">
        <f t="shared" ref="Z67" ca="1" si="189">Y66*$T$3</f>
        <v>1071305.5714115601</v>
      </c>
      <c r="AA67" s="606">
        <f t="shared" ref="AA67" ca="1" si="190">Z66*$T$3</f>
        <v>1138482.6388388867</v>
      </c>
      <c r="AB67" s="606">
        <f t="shared" ref="AB67" ca="1" si="191">AA66*$T$3</f>
        <v>1195923.7083439075</v>
      </c>
      <c r="AC67" s="606">
        <f t="shared" ref="AC67" ca="1" si="192">AB66*$T$3</f>
        <v>1273339.0916705348</v>
      </c>
      <c r="AD67" s="606">
        <f t="shared" ref="AD67" ca="1" si="193">AC66*$T$3</f>
        <v>1343619.5241880312</v>
      </c>
    </row>
    <row r="68" spans="2:30">
      <c r="B68" s="248" t="s">
        <v>342</v>
      </c>
      <c r="C68" s="606">
        <f t="shared" ref="C68:E68" ca="1" si="194">C66*$T$10</f>
        <v>697861.85212079622</v>
      </c>
      <c r="D68" s="606">
        <f t="shared" ca="1" si="194"/>
        <v>981252.65173053578</v>
      </c>
      <c r="E68" s="606">
        <f t="shared" ca="1" si="194"/>
        <v>899739.05422910675</v>
      </c>
      <c r="F68" s="606">
        <f t="shared" ref="F68:K68" ca="1" si="195">F66*$T$10</f>
        <v>1026361.8322319945</v>
      </c>
      <c r="G68" s="606">
        <f t="shared" ca="1" si="195"/>
        <v>1149035.1480653246</v>
      </c>
      <c r="H68" s="606">
        <f t="shared" ca="1" si="195"/>
        <v>1254822.1533541365</v>
      </c>
      <c r="I68" s="606">
        <f t="shared" ca="1" si="195"/>
        <v>1401262.8669724427</v>
      </c>
      <c r="J68" s="606">
        <f t="shared" ca="1" si="195"/>
        <v>1524534.5436679157</v>
      </c>
      <c r="K68" s="606">
        <f t="shared" ca="1" si="195"/>
        <v>1623583.4243955985</v>
      </c>
      <c r="L68" s="606">
        <f t="shared" ref="L68:O68" ca="1" si="196">L66*$T$10</f>
        <v>1701550.2410955655</v>
      </c>
      <c r="M68" s="606">
        <f t="shared" ca="1" si="196"/>
        <v>1799850.9656790716</v>
      </c>
      <c r="N68" s="606">
        <f t="shared" ca="1" si="196"/>
        <v>1913986.2293774146</v>
      </c>
      <c r="O68" s="606">
        <f t="shared" ca="1" si="196"/>
        <v>2019376.5897774268</v>
      </c>
      <c r="P68" s="606"/>
      <c r="Q68" s="248" t="s">
        <v>342</v>
      </c>
      <c r="R68" s="606">
        <f t="shared" ref="R68:T68" ca="1" si="197">R66*$T$10</f>
        <v>257249.88573561725</v>
      </c>
      <c r="S68" s="606">
        <f t="shared" ca="1" si="197"/>
        <v>435831.03011922608</v>
      </c>
      <c r="T68" s="606">
        <f t="shared" ca="1" si="197"/>
        <v>433882.92920249957</v>
      </c>
      <c r="U68" s="606">
        <f t="shared" ref="U68:AD68" ca="1" si="198">U66*$T$10</f>
        <v>495449.20672078908</v>
      </c>
      <c r="V68" s="606">
        <f t="shared" ca="1" si="198"/>
        <v>497408.32561084389</v>
      </c>
      <c r="W68" s="606">
        <f t="shared" ca="1" si="198"/>
        <v>468994.5912175586</v>
      </c>
      <c r="X68" s="606">
        <f t="shared" ca="1" si="198"/>
        <v>553938.14252761344</v>
      </c>
      <c r="Y68" s="606">
        <f t="shared" ca="1" si="198"/>
        <v>580590.99348915031</v>
      </c>
      <c r="Z68" s="606">
        <f t="shared" ca="1" si="198"/>
        <v>616997.4132428806</v>
      </c>
      <c r="AA68" s="606">
        <f t="shared" ca="1" si="198"/>
        <v>648127.43674033857</v>
      </c>
      <c r="AB68" s="606">
        <f t="shared" ca="1" si="198"/>
        <v>690082.48254274938</v>
      </c>
      <c r="AC68" s="606">
        <f t="shared" ca="1" si="198"/>
        <v>728170.76214015356</v>
      </c>
      <c r="AD68" s="606">
        <f t="shared" ca="1" si="198"/>
        <v>767474.53336115088</v>
      </c>
    </row>
    <row r="69" spans="2:30">
      <c r="B69" s="241" t="s">
        <v>343</v>
      </c>
      <c r="C69" s="291">
        <f t="shared" ref="C69:E69" ca="1" si="199">C67+C68</f>
        <v>697861.85212079622</v>
      </c>
      <c r="D69" s="291">
        <f t="shared" ca="1" si="199"/>
        <v>2268946.2236883827</v>
      </c>
      <c r="E69" s="291">
        <f t="shared" ca="1" si="199"/>
        <v>2710344.8757969104</v>
      </c>
      <c r="F69" s="291">
        <f t="shared" ref="F69:G69" ca="1" si="200">F67+F68</f>
        <v>2686558.8942283113</v>
      </c>
      <c r="G69" s="291">
        <f t="shared" ca="1" si="200"/>
        <v>3042876.3572553191</v>
      </c>
      <c r="H69" s="291">
        <f ca="1">H67+H68</f>
        <v>3375019.9684673203</v>
      </c>
      <c r="I69" s="291">
        <f ca="1">I67+I68</f>
        <v>3716658.6948342798</v>
      </c>
      <c r="J69" s="291">
        <f t="shared" ref="J69:K69" ca="1" si="201">J67+J68</f>
        <v>4110142.5417840057</v>
      </c>
      <c r="K69" s="291">
        <f t="shared" ca="1" si="201"/>
        <v>4436652.1229394712</v>
      </c>
      <c r="L69" s="291">
        <f t="shared" ref="L69:O69" ca="1" si="202">L67+L68</f>
        <v>4697383.7757385168</v>
      </c>
      <c r="M69" s="291">
        <f t="shared" ca="1" si="202"/>
        <v>4939548.7456385661</v>
      </c>
      <c r="N69" s="291">
        <f t="shared" ca="1" si="202"/>
        <v>5235068.3489168715</v>
      </c>
      <c r="O69" s="291">
        <f t="shared" ca="1" si="202"/>
        <v>5551060.9151136689</v>
      </c>
      <c r="P69" s="291"/>
      <c r="Q69" s="241" t="s">
        <v>343</v>
      </c>
      <c r="R69" s="291">
        <f t="shared" ref="R69:T69" ca="1" si="203">R67+R68</f>
        <v>257249.88573561725</v>
      </c>
      <c r="S69" s="291">
        <f t="shared" ca="1" si="203"/>
        <v>910508.10731144063</v>
      </c>
      <c r="T69" s="291">
        <f t="shared" ca="1" si="203"/>
        <v>1238077.6480265209</v>
      </c>
      <c r="U69" s="291">
        <f t="shared" ref="U69:V69" ca="1" si="204">U67+U68</f>
        <v>1296049.2928530097</v>
      </c>
      <c r="V69" s="291">
        <f t="shared" ca="1" si="204"/>
        <v>1411610.4084258573</v>
      </c>
      <c r="W69" s="291">
        <f ca="1">W67+W68</f>
        <v>1386811.6370711136</v>
      </c>
      <c r="X69" s="291">
        <f ca="1">X67+X68</f>
        <v>1419326.2111812255</v>
      </c>
      <c r="Y69" s="291">
        <f t="shared" ref="Y69:AD69" ca="1" si="205">Y67+Y68</f>
        <v>1602716.7669891017</v>
      </c>
      <c r="Z69" s="291">
        <f t="shared" ca="1" si="205"/>
        <v>1688302.9846544405</v>
      </c>
      <c r="AA69" s="291">
        <f t="shared" ca="1" si="205"/>
        <v>1786610.0755792253</v>
      </c>
      <c r="AB69" s="291">
        <f t="shared" ca="1" si="205"/>
        <v>1886006.1908866568</v>
      </c>
      <c r="AC69" s="291">
        <f t="shared" ca="1" si="205"/>
        <v>2001509.8538106885</v>
      </c>
      <c r="AD69" s="291">
        <f t="shared" ca="1" si="205"/>
        <v>2111094.0575491823</v>
      </c>
    </row>
    <row r="70" spans="2:30">
      <c r="B70" s="248" t="s">
        <v>388</v>
      </c>
      <c r="C70" s="214">
        <f t="shared" ref="C70:E70" ca="1" si="206">C39</f>
        <v>28006.650390158582</v>
      </c>
      <c r="D70" s="214">
        <f t="shared" ca="1" si="206"/>
        <v>32103.294413624655</v>
      </c>
      <c r="E70" s="214">
        <f t="shared" ca="1" si="206"/>
        <v>30968.399062886052</v>
      </c>
      <c r="F70" s="214">
        <f ca="1">F39</f>
        <v>33840.947747631617</v>
      </c>
      <c r="G70" s="214">
        <f t="shared" ref="G70:K70" ca="1" si="207">G39</f>
        <v>36782.447429930398</v>
      </c>
      <c r="H70" s="214">
        <f t="shared" ca="1" si="207"/>
        <v>36938.088480981452</v>
      </c>
      <c r="I70" s="214">
        <f t="shared" ca="1" si="207"/>
        <v>38558.471482067296</v>
      </c>
      <c r="J70" s="214">
        <f t="shared" ca="1" si="207"/>
        <v>40112.180967428772</v>
      </c>
      <c r="K70" s="214">
        <f t="shared" ca="1" si="207"/>
        <v>41659.115718004126</v>
      </c>
      <c r="L70" s="214">
        <f t="shared" ref="L70:O70" ca="1" si="208">L39</f>
        <v>43199.29750482642</v>
      </c>
      <c r="M70" s="214">
        <f t="shared" ca="1" si="208"/>
        <v>44732.748037005927</v>
      </c>
      <c r="N70" s="214">
        <f t="shared" ca="1" si="208"/>
        <v>46259.488961896699</v>
      </c>
      <c r="O70" s="214">
        <f t="shared" ca="1" si="208"/>
        <v>47779.541865257488</v>
      </c>
      <c r="P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</row>
    <row r="71" spans="2:30">
      <c r="B71" s="248" t="s">
        <v>341</v>
      </c>
      <c r="C71" s="606"/>
      <c r="D71" s="606">
        <f t="shared" ref="D71:E71" ca="1" si="209">C70*$T$3</f>
        <v>18163.171494551803</v>
      </c>
      <c r="E71" s="606">
        <f t="shared" ca="1" si="209"/>
        <v>20819.970751648671</v>
      </c>
      <c r="F71" s="606">
        <f ca="1">E70*$T$3</f>
        <v>20083.956319480865</v>
      </c>
      <c r="G71" s="606">
        <f t="shared" ref="G71:O71" ca="1" si="210">F70*$T$3</f>
        <v>21946.892217228098</v>
      </c>
      <c r="H71" s="606">
        <f t="shared" ca="1" si="210"/>
        <v>23854.544951006515</v>
      </c>
      <c r="I71" s="606">
        <f t="shared" ca="1" si="210"/>
        <v>23955.482944749099</v>
      </c>
      <c r="J71" s="606">
        <f t="shared" ca="1" si="210"/>
        <v>25006.351003784133</v>
      </c>
      <c r="K71" s="606">
        <f t="shared" ca="1" si="210"/>
        <v>26013.979243584232</v>
      </c>
      <c r="L71" s="606">
        <f t="shared" ca="1" si="210"/>
        <v>27017.213860154272</v>
      </c>
      <c r="M71" s="606">
        <f t="shared" ca="1" si="210"/>
        <v>28016.068972676716</v>
      </c>
      <c r="N71" s="606">
        <f t="shared" ca="1" si="210"/>
        <v>29010.5586601752</v>
      </c>
      <c r="O71" s="606">
        <f t="shared" ca="1" si="210"/>
        <v>30000.696961622562</v>
      </c>
      <c r="P71" s="606"/>
      <c r="R71" s="606"/>
      <c r="S71" s="606"/>
      <c r="T71" s="606"/>
      <c r="U71" s="606"/>
      <c r="V71" s="606"/>
      <c r="W71" s="606"/>
      <c r="X71" s="606"/>
      <c r="Y71" s="606"/>
      <c r="Z71" s="606"/>
      <c r="AA71" s="606"/>
      <c r="AB71" s="606"/>
      <c r="AC71" s="606"/>
      <c r="AD71" s="606"/>
    </row>
    <row r="72" spans="2:30">
      <c r="B72" s="248" t="s">
        <v>342</v>
      </c>
      <c r="C72" s="606">
        <f t="shared" ref="C72:E72" ca="1" si="211">C70*$T$10</f>
        <v>9843.4788956067732</v>
      </c>
      <c r="D72" s="606">
        <f t="shared" ca="1" si="211"/>
        <v>11283.323661975979</v>
      </c>
      <c r="E72" s="606">
        <f t="shared" ca="1" si="211"/>
        <v>10884.442743405179</v>
      </c>
      <c r="F72" s="606">
        <f t="shared" ref="F72:K72" ca="1" si="212">F70*$T$10</f>
        <v>11894.055530403513</v>
      </c>
      <c r="G72" s="606">
        <f t="shared" ca="1" si="212"/>
        <v>12927.902478923876</v>
      </c>
      <c r="H72" s="606">
        <f t="shared" ca="1" si="212"/>
        <v>12982.605536232346</v>
      </c>
      <c r="I72" s="606">
        <f t="shared" ca="1" si="212"/>
        <v>13552.120478283156</v>
      </c>
      <c r="J72" s="606">
        <f t="shared" ca="1" si="212"/>
        <v>14098.20172384453</v>
      </c>
      <c r="K72" s="606">
        <f t="shared" ca="1" si="212"/>
        <v>14641.901857849845</v>
      </c>
      <c r="L72" s="606">
        <f t="shared" ref="L72:O72" ca="1" si="213">L70*$T$10</f>
        <v>15183.228532149697</v>
      </c>
      <c r="M72" s="606">
        <f t="shared" ca="1" si="213"/>
        <v>15722.189376830718</v>
      </c>
      <c r="N72" s="606">
        <f t="shared" ca="1" si="213"/>
        <v>16258.792000274128</v>
      </c>
      <c r="O72" s="606">
        <f t="shared" ca="1" si="213"/>
        <v>16793.043989212281</v>
      </c>
      <c r="P72" s="606"/>
      <c r="R72" s="606"/>
      <c r="S72" s="606"/>
      <c r="T72" s="606"/>
      <c r="U72" s="606"/>
      <c r="V72" s="606"/>
      <c r="W72" s="606"/>
      <c r="X72" s="606"/>
      <c r="Y72" s="606"/>
      <c r="Z72" s="606"/>
      <c r="AA72" s="606"/>
      <c r="AB72" s="606"/>
      <c r="AC72" s="606"/>
      <c r="AD72" s="606"/>
    </row>
    <row r="73" spans="2:30">
      <c r="B73" s="241" t="s">
        <v>343</v>
      </c>
      <c r="C73" s="291">
        <f t="shared" ref="C73:E73" ca="1" si="214">C71+C72</f>
        <v>9843.4788956067732</v>
      </c>
      <c r="D73" s="291">
        <f t="shared" ca="1" si="214"/>
        <v>29446.495156527781</v>
      </c>
      <c r="E73" s="291">
        <f t="shared" ca="1" si="214"/>
        <v>31704.41349505385</v>
      </c>
      <c r="F73" s="291">
        <f t="shared" ref="F73:K73" ca="1" si="215">F71+F72</f>
        <v>31978.01184988438</v>
      </c>
      <c r="G73" s="291">
        <f t="shared" ca="1" si="215"/>
        <v>34874.794696151977</v>
      </c>
      <c r="H73" s="291">
        <f ca="1">H71+H72</f>
        <v>36837.150487238861</v>
      </c>
      <c r="I73" s="291">
        <f t="shared" ca="1" si="215"/>
        <v>37507.603423032255</v>
      </c>
      <c r="J73" s="291">
        <f t="shared" ca="1" si="215"/>
        <v>39104.552727628659</v>
      </c>
      <c r="K73" s="291">
        <f t="shared" ca="1" si="215"/>
        <v>40655.881101434075</v>
      </c>
      <c r="L73" s="291">
        <f t="shared" ref="L73:O73" ca="1" si="216">L71+L72</f>
        <v>42200.442392303972</v>
      </c>
      <c r="M73" s="291">
        <f t="shared" ca="1" si="216"/>
        <v>43738.258349507436</v>
      </c>
      <c r="N73" s="291">
        <f t="shared" ca="1" si="216"/>
        <v>45269.35066044933</v>
      </c>
      <c r="O73" s="291">
        <f t="shared" ca="1" si="216"/>
        <v>46793.740950834843</v>
      </c>
      <c r="P73" s="291"/>
      <c r="Q73" s="24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</row>
    <row r="74" spans="2:30">
      <c r="B74" s="248" t="s">
        <v>344</v>
      </c>
      <c r="C74" s="214">
        <f t="shared" ref="C74:E74" ca="1" si="217">C50</f>
        <v>506343.02339767339</v>
      </c>
      <c r="D74" s="214">
        <f t="shared" ca="1" si="217"/>
        <v>669556.26951343927</v>
      </c>
      <c r="E74" s="214">
        <f t="shared" ca="1" si="217"/>
        <v>610748.61784243118</v>
      </c>
      <c r="F74" s="214">
        <f t="shared" ref="F74:K74" ca="1" si="218">F50</f>
        <v>749708.37863484875</v>
      </c>
      <c r="G74" s="214">
        <f t="shared" ca="1" si="218"/>
        <v>756481.95666737587</v>
      </c>
      <c r="H74" s="214">
        <f t="shared" ca="1" si="218"/>
        <v>710320.75047171628</v>
      </c>
      <c r="I74" s="214">
        <f t="shared" ca="1" si="218"/>
        <v>784859.70872080978</v>
      </c>
      <c r="J74" s="214">
        <f t="shared" ca="1" si="218"/>
        <v>866449.46224373439</v>
      </c>
      <c r="K74" s="214">
        <f t="shared" ca="1" si="218"/>
        <v>908440.33418704721</v>
      </c>
      <c r="L74" s="214">
        <f t="shared" ref="L74:O74" ca="1" si="219">L50</f>
        <v>951004.22523805406</v>
      </c>
      <c r="M74" s="214">
        <f t="shared" ca="1" si="219"/>
        <v>994147.30928764027</v>
      </c>
      <c r="N74" s="214">
        <f t="shared" ca="1" si="219"/>
        <v>1037875.8201674022</v>
      </c>
      <c r="O74" s="214">
        <f t="shared" ca="1" si="219"/>
        <v>1082196.0521981895</v>
      </c>
      <c r="P74" s="214"/>
      <c r="Q74" s="248" t="s">
        <v>344</v>
      </c>
      <c r="R74" s="214">
        <f t="shared" ref="R74:T74" ca="1" si="220">R50</f>
        <v>124346.42037876238</v>
      </c>
      <c r="S74" s="214">
        <f t="shared" ca="1" si="220"/>
        <v>171900.99234749185</v>
      </c>
      <c r="T74" s="214">
        <f t="shared" ca="1" si="220"/>
        <v>190851.63917204764</v>
      </c>
      <c r="U74" s="214">
        <f ca="1">U50</f>
        <v>230252.56607011636</v>
      </c>
      <c r="V74" s="214">
        <f t="shared" ref="V74:AD74" ca="1" si="221">V50</f>
        <v>237274.01651746684</v>
      </c>
      <c r="W74" s="214">
        <f t="shared" ca="1" si="221"/>
        <v>219725.18320139704</v>
      </c>
      <c r="X74" s="214">
        <f t="shared" ca="1" si="221"/>
        <v>240258.17965752108</v>
      </c>
      <c r="Y74" s="214">
        <f t="shared" ca="1" si="221"/>
        <v>254037.08477291069</v>
      </c>
      <c r="Z74" s="214">
        <f t="shared" ca="1" si="221"/>
        <v>268159.60856614239</v>
      </c>
      <c r="AA74" s="214">
        <f t="shared" ca="1" si="221"/>
        <v>282632.74202596181</v>
      </c>
      <c r="AB74" s="214">
        <f t="shared" ca="1" si="221"/>
        <v>297463.60554897098</v>
      </c>
      <c r="AC74" s="214">
        <f t="shared" ca="1" si="221"/>
        <v>312659.4512073074</v>
      </c>
      <c r="AD74" s="214">
        <f t="shared" ca="1" si="221"/>
        <v>328227.66505463782</v>
      </c>
    </row>
    <row r="75" spans="2:30">
      <c r="B75" s="248" t="s">
        <v>341</v>
      </c>
      <c r="C75" s="606"/>
      <c r="D75" s="606">
        <f t="shared" ref="D75:E75" ca="1" si="222">C74*$T$3</f>
        <v>328378.97574047314</v>
      </c>
      <c r="E75" s="606">
        <f t="shared" ca="1" si="222"/>
        <v>434227.7701548473</v>
      </c>
      <c r="F75" s="606">
        <f ca="1">E74*$T$3</f>
        <v>396089.20493507636</v>
      </c>
      <c r="G75" s="606">
        <f ca="1">F74*$T$3</f>
        <v>486208.87047713919</v>
      </c>
      <c r="H75" s="606">
        <f ca="1">G74*$T$3</f>
        <v>490601.74351702799</v>
      </c>
      <c r="I75" s="606">
        <f ca="1">H74*$T$3</f>
        <v>460664.78594277438</v>
      </c>
      <c r="J75" s="606">
        <f t="shared" ref="J75:K75" ca="1" si="223">I74*$T$3</f>
        <v>509005.58581862325</v>
      </c>
      <c r="K75" s="606">
        <f t="shared" ca="1" si="223"/>
        <v>561919.04261515022</v>
      </c>
      <c r="L75" s="606">
        <f t="shared" ref="L75" ca="1" si="224">K74*$T$3</f>
        <v>589151.41055944969</v>
      </c>
      <c r="M75" s="606">
        <f t="shared" ref="M75" ca="1" si="225">L74*$T$3</f>
        <v>616755.39896452217</v>
      </c>
      <c r="N75" s="606">
        <f t="shared" ref="N75" ca="1" si="226">M74*$T$3</f>
        <v>644735.01178790547</v>
      </c>
      <c r="O75" s="606">
        <f t="shared" ref="O75" ca="1" si="227">N74*$T$3</f>
        <v>673094.29186052654</v>
      </c>
      <c r="P75" s="606"/>
      <c r="Q75" s="248" t="s">
        <v>341</v>
      </c>
      <c r="R75" s="606"/>
      <c r="S75" s="606">
        <f t="shared" ref="S75:T75" ca="1" si="228">R74*$T$3</f>
        <v>80642.466221763112</v>
      </c>
      <c r="T75" s="606">
        <f t="shared" ca="1" si="228"/>
        <v>111483.06422207074</v>
      </c>
      <c r="U75" s="606">
        <f ca="1">T74*$T$3</f>
        <v>123773.13973670786</v>
      </c>
      <c r="V75" s="606">
        <f ca="1">U74*$T$3</f>
        <v>149325.84890843357</v>
      </c>
      <c r="W75" s="606">
        <f ca="1">V74*$T$3</f>
        <v>153879.47480939238</v>
      </c>
      <c r="X75" s="606">
        <f ca="1">W74*$T$3</f>
        <v>142498.51833624399</v>
      </c>
      <c r="Y75" s="606">
        <f t="shared" ref="Y75" ca="1" si="229">X74*$T$3</f>
        <v>155814.79610363656</v>
      </c>
      <c r="Z75" s="606">
        <f t="shared" ref="Z75" ca="1" si="230">Y74*$T$3</f>
        <v>164750.83854825256</v>
      </c>
      <c r="AA75" s="606">
        <f t="shared" ref="AA75" ca="1" si="231">Z74*$T$3</f>
        <v>173909.7282411982</v>
      </c>
      <c r="AB75" s="606">
        <f t="shared" ref="AB75" ca="1" si="232">AA74*$T$3</f>
        <v>183295.9990530269</v>
      </c>
      <c r="AC75" s="606">
        <f t="shared" ref="AC75" ca="1" si="233">AB74*$T$3</f>
        <v>192914.26877925469</v>
      </c>
      <c r="AD75" s="606">
        <f t="shared" ref="AD75" ca="1" si="234">AC74*$T$3</f>
        <v>202769.24061101975</v>
      </c>
    </row>
    <row r="76" spans="2:30">
      <c r="B76" s="248" t="s">
        <v>342</v>
      </c>
      <c r="C76" s="606">
        <f t="shared" ref="C76:E76" ca="1" si="235">C74*$T$10</f>
        <v>177964.04765720014</v>
      </c>
      <c r="D76" s="606">
        <f t="shared" ca="1" si="235"/>
        <v>235328.49935859186</v>
      </c>
      <c r="E76" s="606">
        <f t="shared" ca="1" si="235"/>
        <v>214659.41290735471</v>
      </c>
      <c r="F76" s="606">
        <f t="shared" ref="F76:K76" ca="1" si="236">F74*$T$10</f>
        <v>263499.50815770938</v>
      </c>
      <c r="G76" s="606">
        <f t="shared" ca="1" si="236"/>
        <v>265880.2131503477</v>
      </c>
      <c r="H76" s="606">
        <f t="shared" ca="1" si="236"/>
        <v>249655.96452894175</v>
      </c>
      <c r="I76" s="606">
        <f t="shared" ca="1" si="236"/>
        <v>275854.12290218635</v>
      </c>
      <c r="J76" s="606">
        <f t="shared" ca="1" si="236"/>
        <v>304530.41962858394</v>
      </c>
      <c r="K76" s="606">
        <f t="shared" ca="1" si="236"/>
        <v>319288.92362759734</v>
      </c>
      <c r="L76" s="606">
        <f t="shared" ref="L76:O76" ca="1" si="237">L74*$T$10</f>
        <v>334248.82627353171</v>
      </c>
      <c r="M76" s="606">
        <f t="shared" ca="1" si="237"/>
        <v>349412.2974997345</v>
      </c>
      <c r="N76" s="606">
        <f t="shared" ca="1" si="237"/>
        <v>364781.52830687532</v>
      </c>
      <c r="O76" s="606">
        <f t="shared" ca="1" si="237"/>
        <v>380358.73095574166</v>
      </c>
      <c r="P76" s="606"/>
      <c r="Q76" s="248" t="s">
        <v>342</v>
      </c>
      <c r="R76" s="606">
        <f t="shared" ref="R76:T76" ca="1" si="238">R74*$T$10</f>
        <v>43703.954156999236</v>
      </c>
      <c r="S76" s="606">
        <f t="shared" ca="1" si="238"/>
        <v>60417.92812542108</v>
      </c>
      <c r="T76" s="606">
        <f t="shared" ca="1" si="238"/>
        <v>67078.499435339734</v>
      </c>
      <c r="U76" s="606">
        <f t="shared" ref="U76:AD76" ca="1" si="239">U74*$T$10</f>
        <v>80926.717161682725</v>
      </c>
      <c r="V76" s="606">
        <f t="shared" ca="1" si="239"/>
        <v>83394.541708074394</v>
      </c>
      <c r="W76" s="606">
        <f t="shared" ca="1" si="239"/>
        <v>77226.664865153012</v>
      </c>
      <c r="X76" s="606">
        <f t="shared" ca="1" si="239"/>
        <v>84443.383553884472</v>
      </c>
      <c r="Y76" s="606">
        <f t="shared" ca="1" si="239"/>
        <v>89286.246224658069</v>
      </c>
      <c r="Z76" s="606">
        <f t="shared" ca="1" si="239"/>
        <v>94249.880324944112</v>
      </c>
      <c r="AA76" s="606">
        <f t="shared" ca="1" si="239"/>
        <v>99336.742972934851</v>
      </c>
      <c r="AB76" s="606">
        <f t="shared" ca="1" si="239"/>
        <v>104549.33676971622</v>
      </c>
      <c r="AC76" s="606">
        <f t="shared" ca="1" si="239"/>
        <v>109890.21059628756</v>
      </c>
      <c r="AD76" s="606">
        <f t="shared" ca="1" si="239"/>
        <v>115361.96042404776</v>
      </c>
    </row>
    <row r="77" spans="2:30">
      <c r="B77" s="241" t="s">
        <v>343</v>
      </c>
      <c r="C77" s="291">
        <f t="shared" ref="C77:E77" ca="1" si="240">C75+C76</f>
        <v>177964.04765720014</v>
      </c>
      <c r="D77" s="291">
        <f t="shared" ca="1" si="240"/>
        <v>563707.47509906499</v>
      </c>
      <c r="E77" s="291">
        <f t="shared" ca="1" si="240"/>
        <v>648887.18306220206</v>
      </c>
      <c r="F77" s="291">
        <f t="shared" ref="F77:G77" ca="1" si="241">F75+F76</f>
        <v>659588.71309278579</v>
      </c>
      <c r="G77" s="291">
        <f t="shared" ca="1" si="241"/>
        <v>752089.08362748683</v>
      </c>
      <c r="H77" s="291">
        <f ca="1">H75+H76</f>
        <v>740257.70804596972</v>
      </c>
      <c r="I77" s="291">
        <f ca="1">I75+I76</f>
        <v>736518.90884496074</v>
      </c>
      <c r="J77" s="291">
        <f t="shared" ref="J77:K77" ca="1" si="242">J75+J76</f>
        <v>813536.00544720725</v>
      </c>
      <c r="K77" s="291">
        <f t="shared" ca="1" si="242"/>
        <v>881207.96624274761</v>
      </c>
      <c r="L77" s="291">
        <f t="shared" ref="L77:O77" ca="1" si="243">L75+L76</f>
        <v>923400.23683298146</v>
      </c>
      <c r="M77" s="291">
        <f t="shared" ca="1" si="243"/>
        <v>966167.69646425662</v>
      </c>
      <c r="N77" s="291">
        <f t="shared" ca="1" si="243"/>
        <v>1009516.5400947807</v>
      </c>
      <c r="O77" s="291">
        <f t="shared" ca="1" si="243"/>
        <v>1053453.0228162683</v>
      </c>
      <c r="P77" s="291"/>
      <c r="Q77" s="241" t="s">
        <v>343</v>
      </c>
      <c r="R77" s="291">
        <f t="shared" ref="R77:T77" ca="1" si="244">R75+R76</f>
        <v>43703.954156999236</v>
      </c>
      <c r="S77" s="291">
        <f t="shared" ca="1" si="244"/>
        <v>141060.39434718419</v>
      </c>
      <c r="T77" s="291">
        <f t="shared" ca="1" si="244"/>
        <v>178561.56365741047</v>
      </c>
      <c r="U77" s="291">
        <f t="shared" ref="U77:V77" ca="1" si="245">U75+U76</f>
        <v>204699.85689839057</v>
      </c>
      <c r="V77" s="291">
        <f t="shared" ca="1" si="245"/>
        <v>232720.39061650797</v>
      </c>
      <c r="W77" s="291">
        <f ca="1">W75+W76</f>
        <v>231106.13967454538</v>
      </c>
      <c r="X77" s="291">
        <f ca="1">X75+X76</f>
        <v>226941.90189012844</v>
      </c>
      <c r="Y77" s="291">
        <f t="shared" ref="Y77:AD77" ca="1" si="246">Y75+Y76</f>
        <v>245101.04232829463</v>
      </c>
      <c r="Z77" s="291">
        <f t="shared" ca="1" si="246"/>
        <v>259000.71887319669</v>
      </c>
      <c r="AA77" s="291">
        <f t="shared" ca="1" si="246"/>
        <v>273246.47121413308</v>
      </c>
      <c r="AB77" s="291">
        <f t="shared" ca="1" si="246"/>
        <v>287845.33582274313</v>
      </c>
      <c r="AC77" s="291">
        <f t="shared" ca="1" si="246"/>
        <v>302804.47937554226</v>
      </c>
      <c r="AD77" s="291">
        <f t="shared" ca="1" si="246"/>
        <v>318131.2010350675</v>
      </c>
    </row>
    <row r="78" spans="2:30">
      <c r="B78" s="248" t="s">
        <v>438</v>
      </c>
      <c r="C78" s="291">
        <f t="shared" ref="C78:E78" ca="1" si="247">C61</f>
        <v>298617.40918486286</v>
      </c>
      <c r="D78" s="291">
        <f t="shared" ca="1" si="247"/>
        <v>341329.95385253843</v>
      </c>
      <c r="E78" s="291">
        <f t="shared" ca="1" si="247"/>
        <v>324710.84480762621</v>
      </c>
      <c r="F78" s="291">
        <f ca="1">F61</f>
        <v>365940.70513724565</v>
      </c>
      <c r="G78" s="291">
        <f t="shared" ref="G78:O78" ca="1" si="248">G61</f>
        <v>379448.9007520944</v>
      </c>
      <c r="H78" s="291">
        <f t="shared" ca="1" si="248"/>
        <v>383695.11102782481</v>
      </c>
      <c r="I78" s="291">
        <f t="shared" ca="1" si="248"/>
        <v>405888.0356322939</v>
      </c>
      <c r="J78" s="291">
        <f t="shared" ca="1" si="248"/>
        <v>429248.98243610613</v>
      </c>
      <c r="K78" s="291">
        <f t="shared" ca="1" si="248"/>
        <v>446752.04703595024</v>
      </c>
      <c r="L78" s="291">
        <f t="shared" ca="1" si="248"/>
        <v>464255.11163579428</v>
      </c>
      <c r="M78" s="291">
        <f t="shared" ca="1" si="248"/>
        <v>481758.1762356321</v>
      </c>
      <c r="N78" s="291">
        <f t="shared" ca="1" si="248"/>
        <v>499261.2408354762</v>
      </c>
      <c r="O78" s="291">
        <f t="shared" ca="1" si="248"/>
        <v>516764.30543532019</v>
      </c>
      <c r="P78" s="291"/>
      <c r="Q78" s="248" t="s">
        <v>438</v>
      </c>
      <c r="R78" s="291">
        <f t="shared" ref="R78:T78" ca="1" si="249">R61</f>
        <v>88565.153942863413</v>
      </c>
      <c r="S78" s="291">
        <f t="shared" ca="1" si="249"/>
        <v>100223.93176331748</v>
      </c>
      <c r="T78" s="291">
        <f t="shared" ca="1" si="249"/>
        <v>95929.001783383515</v>
      </c>
      <c r="U78" s="291">
        <f ca="1">U61</f>
        <v>108247.00741656461</v>
      </c>
      <c r="V78" s="291">
        <f t="shared" ref="V78:AD78" ca="1" si="250">V61</f>
        <v>112676.57711706213</v>
      </c>
      <c r="W78" s="291">
        <f t="shared" ca="1" si="250"/>
        <v>115402.77178475936</v>
      </c>
      <c r="X78" s="291">
        <f t="shared" ca="1" si="250"/>
        <v>121395.29295803558</v>
      </c>
      <c r="Y78" s="291">
        <f t="shared" ca="1" si="250"/>
        <v>126555.73186639573</v>
      </c>
      <c r="Z78" s="291">
        <f t="shared" ca="1" si="250"/>
        <v>131716.17077475766</v>
      </c>
      <c r="AA78" s="291">
        <f t="shared" ca="1" si="250"/>
        <v>136876.60968311966</v>
      </c>
      <c r="AB78" s="291">
        <f t="shared" ca="1" si="250"/>
        <v>142037.04859147978</v>
      </c>
      <c r="AC78" s="291">
        <f t="shared" ca="1" si="250"/>
        <v>147197.48749984175</v>
      </c>
      <c r="AD78" s="291">
        <f t="shared" ca="1" si="250"/>
        <v>152357.92640820376</v>
      </c>
    </row>
    <row r="79" spans="2:30">
      <c r="B79" s="248" t="s">
        <v>341</v>
      </c>
      <c r="C79" s="606"/>
      <c r="D79" s="606">
        <f t="shared" ref="D79:E79" ca="1" si="251">C78*$T$3</f>
        <v>193662.54581409445</v>
      </c>
      <c r="E79" s="606">
        <f t="shared" ca="1" si="251"/>
        <v>221362.94064746969</v>
      </c>
      <c r="F79" s="606">
        <f ca="1">E78*$T$3</f>
        <v>210584.93887059644</v>
      </c>
      <c r="G79" s="606">
        <f ca="1">F78*$T$3</f>
        <v>237323.76744991285</v>
      </c>
      <c r="H79" s="606">
        <f ca="1">G78*$T$3</f>
        <v>246084.2464831594</v>
      </c>
      <c r="I79" s="606">
        <f ca="1">H78*$T$3</f>
        <v>248838.04404072528</v>
      </c>
      <c r="J79" s="606">
        <f t="shared" ref="J79" ca="1" si="252">I78*$T$3</f>
        <v>263230.83610765077</v>
      </c>
      <c r="K79" s="606">
        <f t="shared" ref="K79" ca="1" si="253">J78*$T$3</f>
        <v>278381.12638377189</v>
      </c>
      <c r="L79" s="606">
        <f t="shared" ref="L79" ca="1" si="254">K78*$T$3</f>
        <v>289732.40044112579</v>
      </c>
      <c r="M79" s="606">
        <f t="shared" ref="M79" ca="1" si="255">L78*$T$3</f>
        <v>301083.67449847964</v>
      </c>
      <c r="N79" s="606">
        <f t="shared" ref="N79" ca="1" si="256">M78*$T$3</f>
        <v>312434.94855582941</v>
      </c>
      <c r="O79" s="606">
        <f t="shared" ref="O79" ca="1" si="257">N78*$T$3</f>
        <v>323786.22261318332</v>
      </c>
      <c r="P79" s="291"/>
      <c r="Q79" s="248" t="s">
        <v>341</v>
      </c>
      <c r="R79" s="606"/>
      <c r="S79" s="606">
        <f t="shared" ref="S79:T79" ca="1" si="258">R78*$T$3</f>
        <v>57437.217842761827</v>
      </c>
      <c r="T79" s="606">
        <f t="shared" ca="1" si="258"/>
        <v>64998.292731038928</v>
      </c>
      <c r="U79" s="606">
        <f ca="1">T78*$T$3</f>
        <v>62212.898951494164</v>
      </c>
      <c r="V79" s="606">
        <f ca="1">U78*$T$3</f>
        <v>70201.503289017608</v>
      </c>
      <c r="W79" s="606">
        <f ca="1">V78*$T$3</f>
        <v>73074.215055558539</v>
      </c>
      <c r="X79" s="606">
        <f ca="1">W78*$T$3</f>
        <v>74842.23588586523</v>
      </c>
      <c r="Y79" s="606">
        <f t="shared" ref="Y79" ca="1" si="259">X78*$T$3</f>
        <v>78728.569604416451</v>
      </c>
      <c r="Z79" s="606">
        <f t="shared" ref="Z79" ca="1" si="260">Y78*$T$3</f>
        <v>82075.272461557819</v>
      </c>
      <c r="AA79" s="606">
        <f t="shared" ref="AA79" ca="1" si="261">Z78*$T$3</f>
        <v>85421.975318700337</v>
      </c>
      <c r="AB79" s="606">
        <f t="shared" ref="AB79" ca="1" si="262">AA78*$T$3</f>
        <v>88768.678175842899</v>
      </c>
      <c r="AC79" s="606">
        <f t="shared" ref="AC79" ca="1" si="263">AB78*$T$3</f>
        <v>92115.381032984253</v>
      </c>
      <c r="AD79" s="606">
        <f t="shared" ref="AD79" ca="1" si="264">AC78*$T$3</f>
        <v>95462.0838901268</v>
      </c>
    </row>
    <row r="80" spans="2:30">
      <c r="B80" s="248" t="s">
        <v>342</v>
      </c>
      <c r="C80" s="606">
        <f t="shared" ref="C80:E80" ca="1" si="265">C78*$T$10</f>
        <v>104954.86337076833</v>
      </c>
      <c r="D80" s="606">
        <f t="shared" ca="1" si="265"/>
        <v>119967.01320506865</v>
      </c>
      <c r="E80" s="606">
        <f t="shared" ca="1" si="265"/>
        <v>114125.9059370297</v>
      </c>
      <c r="F80" s="606">
        <f t="shared" ref="F80:O80" ca="1" si="266">F78*$T$10</f>
        <v>128616.93768733271</v>
      </c>
      <c r="G80" s="606">
        <f t="shared" ca="1" si="266"/>
        <v>133364.65426893492</v>
      </c>
      <c r="H80" s="606">
        <f t="shared" ca="1" si="266"/>
        <v>134857.06698709945</v>
      </c>
      <c r="I80" s="606">
        <f t="shared" ca="1" si="266"/>
        <v>142657.19952464305</v>
      </c>
      <c r="J80" s="606">
        <f t="shared" ca="1" si="266"/>
        <v>150867.85605233416</v>
      </c>
      <c r="K80" s="606">
        <f t="shared" ca="1" si="266"/>
        <v>157019.64659482436</v>
      </c>
      <c r="L80" s="606">
        <f t="shared" ca="1" si="266"/>
        <v>163171.43713731456</v>
      </c>
      <c r="M80" s="606">
        <f t="shared" ca="1" si="266"/>
        <v>169323.22767980257</v>
      </c>
      <c r="N80" s="606">
        <f t="shared" ca="1" si="266"/>
        <v>175475.01822229277</v>
      </c>
      <c r="O80" s="606">
        <f t="shared" ca="1" si="266"/>
        <v>181626.80876478297</v>
      </c>
      <c r="P80" s="291"/>
      <c r="Q80" s="248" t="s">
        <v>342</v>
      </c>
      <c r="R80" s="606">
        <f t="shared" ref="R80:T80" ca="1" si="267">R78*$T$10</f>
        <v>31127.936100101568</v>
      </c>
      <c r="S80" s="606">
        <f t="shared" ca="1" si="267"/>
        <v>35225.63903227853</v>
      </c>
      <c r="T80" s="606">
        <f t="shared" ca="1" si="267"/>
        <v>33716.10283188933</v>
      </c>
      <c r="U80" s="606">
        <f t="shared" ref="U80:AD80" ca="1" si="268">U78*$T$10</f>
        <v>38045.504127546978</v>
      </c>
      <c r="V80" s="606">
        <f t="shared" ca="1" si="268"/>
        <v>39602.362061503562</v>
      </c>
      <c r="W80" s="606">
        <f t="shared" ca="1" si="268"/>
        <v>40560.535898894093</v>
      </c>
      <c r="X80" s="606">
        <f t="shared" ca="1" si="268"/>
        <v>42666.723353619105</v>
      </c>
      <c r="Y80" s="606">
        <f t="shared" ca="1" si="268"/>
        <v>44480.459404837886</v>
      </c>
      <c r="Z80" s="606">
        <f t="shared" ca="1" si="268"/>
        <v>46294.195456057292</v>
      </c>
      <c r="AA80" s="606">
        <f t="shared" ca="1" si="268"/>
        <v>48107.931507276728</v>
      </c>
      <c r="AB80" s="606">
        <f t="shared" ca="1" si="268"/>
        <v>49921.667558495494</v>
      </c>
      <c r="AC80" s="606">
        <f t="shared" ca="1" si="268"/>
        <v>51735.403609714922</v>
      </c>
      <c r="AD80" s="606">
        <f t="shared" ca="1" si="268"/>
        <v>53549.13966093435</v>
      </c>
    </row>
    <row r="81" spans="2:30">
      <c r="B81" s="241" t="s">
        <v>343</v>
      </c>
      <c r="C81" s="291">
        <f t="shared" ref="C81:E81" ca="1" si="269">C79+C80</f>
        <v>104954.86337076833</v>
      </c>
      <c r="D81" s="291">
        <f t="shared" ca="1" si="269"/>
        <v>313629.55901916313</v>
      </c>
      <c r="E81" s="291">
        <f t="shared" ca="1" si="269"/>
        <v>335488.84658449941</v>
      </c>
      <c r="F81" s="291">
        <f t="shared" ref="F81:G81" ca="1" si="270">F79+F80</f>
        <v>339201.87655792915</v>
      </c>
      <c r="G81" s="291">
        <f t="shared" ca="1" si="270"/>
        <v>370688.42171884776</v>
      </c>
      <c r="H81" s="291">
        <f ca="1">H79+H80</f>
        <v>380941.31347025884</v>
      </c>
      <c r="I81" s="291">
        <f ca="1">I79+I80</f>
        <v>391495.24356536835</v>
      </c>
      <c r="J81" s="291">
        <f t="shared" ref="J81:O81" ca="1" si="271">J79+J80</f>
        <v>414098.69215998496</v>
      </c>
      <c r="K81" s="291">
        <f t="shared" ca="1" si="271"/>
        <v>435400.77297859627</v>
      </c>
      <c r="L81" s="291">
        <f t="shared" ca="1" si="271"/>
        <v>452903.83757844032</v>
      </c>
      <c r="M81" s="291">
        <f t="shared" ca="1" si="271"/>
        <v>470406.90217828221</v>
      </c>
      <c r="N81" s="291">
        <f t="shared" ca="1" si="271"/>
        <v>487909.96677812218</v>
      </c>
      <c r="O81" s="291">
        <f t="shared" ca="1" si="271"/>
        <v>505413.03137796628</v>
      </c>
      <c r="P81" s="291"/>
      <c r="Q81" s="241" t="s">
        <v>343</v>
      </c>
      <c r="R81" s="291">
        <f t="shared" ref="R81:T81" ca="1" si="272">R79+R80</f>
        <v>31127.936100101568</v>
      </c>
      <c r="S81" s="291">
        <f t="shared" ca="1" si="272"/>
        <v>92662.856875040365</v>
      </c>
      <c r="T81" s="291">
        <f t="shared" ca="1" si="272"/>
        <v>98714.395562928257</v>
      </c>
      <c r="U81" s="291">
        <f t="shared" ref="U81:V81" ca="1" si="273">U79+U80</f>
        <v>100258.40307904113</v>
      </c>
      <c r="V81" s="291">
        <f t="shared" ca="1" si="273"/>
        <v>109803.86535052117</v>
      </c>
      <c r="W81" s="291">
        <f ca="1">W79+W80</f>
        <v>113634.75095445264</v>
      </c>
      <c r="X81" s="291">
        <f ca="1">X79+X80</f>
        <v>117508.95923948433</v>
      </c>
      <c r="Y81" s="291">
        <f t="shared" ref="Y81:AD81" ca="1" si="274">Y79+Y80</f>
        <v>123209.02900925433</v>
      </c>
      <c r="Z81" s="291">
        <f t="shared" ca="1" si="274"/>
        <v>128369.46791761511</v>
      </c>
      <c r="AA81" s="291">
        <f t="shared" ca="1" si="274"/>
        <v>133529.90682597706</v>
      </c>
      <c r="AB81" s="291">
        <f t="shared" ca="1" si="274"/>
        <v>138690.34573433839</v>
      </c>
      <c r="AC81" s="291">
        <f t="shared" ca="1" si="274"/>
        <v>143850.78464269917</v>
      </c>
      <c r="AD81" s="291">
        <f t="shared" ca="1" si="274"/>
        <v>149011.22355106115</v>
      </c>
    </row>
    <row r="85" spans="2:30" ht="45">
      <c r="F85" s="620" t="s">
        <v>297</v>
      </c>
      <c r="G85" s="620" t="s">
        <v>298</v>
      </c>
      <c r="H85" s="620" t="s">
        <v>299</v>
      </c>
      <c r="I85" s="620" t="s">
        <v>345</v>
      </c>
      <c r="J85" s="620" t="s">
        <v>367</v>
      </c>
      <c r="K85" s="620" t="s">
        <v>368</v>
      </c>
      <c r="L85" s="620" t="s">
        <v>369</v>
      </c>
      <c r="M85" s="620" t="s">
        <v>370</v>
      </c>
      <c r="U85" s="620" t="s">
        <v>297</v>
      </c>
      <c r="V85" s="620" t="s">
        <v>298</v>
      </c>
      <c r="W85" s="620" t="s">
        <v>299</v>
      </c>
      <c r="X85" s="620" t="s">
        <v>345</v>
      </c>
      <c r="Y85" s="620" t="s">
        <v>367</v>
      </c>
      <c r="Z85" s="620" t="s">
        <v>368</v>
      </c>
      <c r="AA85" s="620" t="s">
        <v>369</v>
      </c>
      <c r="AB85" s="620" t="s">
        <v>370</v>
      </c>
    </row>
    <row r="86" spans="2:30">
      <c r="E86" s="248" t="s">
        <v>63</v>
      </c>
      <c r="F86" s="279">
        <f ca="1">H67</f>
        <v>2120197.8151131836</v>
      </c>
      <c r="G86" s="279">
        <f ca="1">I69</f>
        <v>3716658.6948342798</v>
      </c>
      <c r="H86" s="279">
        <f t="shared" ref="H86:I86" ca="1" si="275">J69</f>
        <v>4110142.5417840057</v>
      </c>
      <c r="I86" s="279">
        <f t="shared" ca="1" si="275"/>
        <v>4436652.1229394712</v>
      </c>
      <c r="J86" s="279">
        <f t="shared" ref="J86" ca="1" si="276">L69</f>
        <v>4697383.7757385168</v>
      </c>
      <c r="K86" s="279">
        <f t="shared" ref="K86" ca="1" si="277">M69</f>
        <v>4939548.7456385661</v>
      </c>
      <c r="L86" s="279">
        <f t="shared" ref="L86" ca="1" si="278">N69</f>
        <v>5235068.3489168715</v>
      </c>
      <c r="M86" s="279">
        <f ca="1">O69</f>
        <v>5551060.9151136689</v>
      </c>
      <c r="T86" s="248" t="s">
        <v>63</v>
      </c>
      <c r="U86" s="279">
        <f ca="1">W67</f>
        <v>917817.04585355497</v>
      </c>
      <c r="V86" s="279">
        <f ca="1">X69</f>
        <v>1419326.2111812255</v>
      </c>
      <c r="W86" s="279">
        <f t="shared" ref="W86" ca="1" si="279">Y69</f>
        <v>1602716.7669891017</v>
      </c>
      <c r="X86" s="279">
        <f t="shared" ref="X86" ca="1" si="280">Z69</f>
        <v>1688302.9846544405</v>
      </c>
      <c r="Y86" s="279">
        <f t="shared" ref="Y86" ca="1" si="281">AA69</f>
        <v>1786610.0755792253</v>
      </c>
      <c r="Z86" s="279">
        <f t="shared" ref="Z86" ca="1" si="282">AB69</f>
        <v>1886006.1908866568</v>
      </c>
      <c r="AA86" s="279">
        <f t="shared" ref="AA86" ca="1" si="283">AC69</f>
        <v>2001509.8538106885</v>
      </c>
      <c r="AB86" s="279">
        <f t="shared" ref="AB86" ca="1" si="284">AD69</f>
        <v>2111094.0575491823</v>
      </c>
    </row>
    <row r="87" spans="2:30">
      <c r="E87" s="248" t="s">
        <v>211</v>
      </c>
      <c r="F87" s="279">
        <f t="shared" ref="F87:L87" ca="1" si="285">H73</f>
        <v>36837.150487238861</v>
      </c>
      <c r="G87" s="279">
        <f t="shared" ca="1" si="285"/>
        <v>37507.603423032255</v>
      </c>
      <c r="H87" s="279">
        <f t="shared" ca="1" si="285"/>
        <v>39104.552727628659</v>
      </c>
      <c r="I87" s="279">
        <f t="shared" ca="1" si="285"/>
        <v>40655.881101434075</v>
      </c>
      <c r="J87" s="279">
        <f t="shared" ca="1" si="285"/>
        <v>42200.442392303972</v>
      </c>
      <c r="K87" s="279">
        <f t="shared" ca="1" si="285"/>
        <v>43738.258349507436</v>
      </c>
      <c r="L87" s="279">
        <f t="shared" ca="1" si="285"/>
        <v>45269.35066044933</v>
      </c>
      <c r="M87" s="279">
        <f ca="1">O73</f>
        <v>46793.740950834843</v>
      </c>
      <c r="U87" s="279"/>
      <c r="V87" s="279"/>
      <c r="W87" s="279"/>
      <c r="X87" s="279"/>
      <c r="Y87" s="279"/>
      <c r="Z87" s="279"/>
      <c r="AA87" s="279"/>
      <c r="AB87" s="279"/>
    </row>
    <row r="88" spans="2:30">
      <c r="E88" s="248" t="s">
        <v>170</v>
      </c>
      <c r="F88" s="279">
        <f ca="1">H75</f>
        <v>490601.74351702799</v>
      </c>
      <c r="G88" s="279">
        <f ca="1">I77</f>
        <v>736518.90884496074</v>
      </c>
      <c r="H88" s="279">
        <f t="shared" ref="H88:I88" ca="1" si="286">J77</f>
        <v>813536.00544720725</v>
      </c>
      <c r="I88" s="279">
        <f t="shared" ca="1" si="286"/>
        <v>881207.96624274761</v>
      </c>
      <c r="J88" s="279">
        <f t="shared" ref="J88" ca="1" si="287">L77</f>
        <v>923400.23683298146</v>
      </c>
      <c r="K88" s="279">
        <f t="shared" ref="K88" ca="1" si="288">M77</f>
        <v>966167.69646425662</v>
      </c>
      <c r="L88" s="279">
        <f t="shared" ref="L88" ca="1" si="289">N77</f>
        <v>1009516.5400947807</v>
      </c>
      <c r="M88" s="279">
        <f ca="1">O77</f>
        <v>1053453.0228162683</v>
      </c>
      <c r="T88" s="248" t="s">
        <v>170</v>
      </c>
      <c r="U88" s="279">
        <f ca="1">W75</f>
        <v>153879.47480939238</v>
      </c>
      <c r="V88" s="279">
        <f ca="1">X77</f>
        <v>226941.90189012844</v>
      </c>
      <c r="W88" s="279">
        <f t="shared" ref="W88" ca="1" si="290">Y77</f>
        <v>245101.04232829463</v>
      </c>
      <c r="X88" s="279">
        <f t="shared" ref="X88" ca="1" si="291">Z77</f>
        <v>259000.71887319669</v>
      </c>
      <c r="Y88" s="279">
        <f t="shared" ref="Y88" ca="1" si="292">AA77</f>
        <v>273246.47121413308</v>
      </c>
      <c r="Z88" s="279">
        <f t="shared" ref="Z88" ca="1" si="293">AB77</f>
        <v>287845.33582274313</v>
      </c>
      <c r="AA88" s="279">
        <f t="shared" ref="AA88" ca="1" si="294">AC77</f>
        <v>302804.47937554226</v>
      </c>
      <c r="AB88" s="279">
        <f ca="1">AD77</f>
        <v>318131.2010350675</v>
      </c>
    </row>
    <row r="89" spans="2:30">
      <c r="E89" s="248" t="s">
        <v>667</v>
      </c>
      <c r="F89" s="279">
        <f t="shared" ref="F89:L89" ca="1" si="295">H81</f>
        <v>380941.31347025884</v>
      </c>
      <c r="G89" s="279">
        <f t="shared" ca="1" si="295"/>
        <v>391495.24356536835</v>
      </c>
      <c r="H89" s="279">
        <f t="shared" ca="1" si="295"/>
        <v>414098.69215998496</v>
      </c>
      <c r="I89" s="279">
        <f t="shared" ca="1" si="295"/>
        <v>435400.77297859627</v>
      </c>
      <c r="J89" s="279">
        <f t="shared" ca="1" si="295"/>
        <v>452903.83757844032</v>
      </c>
      <c r="K89" s="279">
        <f t="shared" ca="1" si="295"/>
        <v>470406.90217828221</v>
      </c>
      <c r="L89" s="279">
        <f t="shared" ca="1" si="295"/>
        <v>487909.96677812218</v>
      </c>
      <c r="M89" s="279">
        <f ca="1">O81</f>
        <v>505413.03137796628</v>
      </c>
      <c r="T89" s="248" t="s">
        <v>667</v>
      </c>
      <c r="U89" s="279">
        <f t="shared" ref="U89:AA89" ca="1" si="296">W81</f>
        <v>113634.75095445264</v>
      </c>
      <c r="V89" s="279">
        <f t="shared" ca="1" si="296"/>
        <v>117508.95923948433</v>
      </c>
      <c r="W89" s="279">
        <f t="shared" ca="1" si="296"/>
        <v>123209.02900925433</v>
      </c>
      <c r="X89" s="279">
        <f t="shared" ca="1" si="296"/>
        <v>128369.46791761511</v>
      </c>
      <c r="Y89" s="279">
        <f t="shared" ca="1" si="296"/>
        <v>133529.90682597706</v>
      </c>
      <c r="Z89" s="279">
        <f t="shared" ca="1" si="296"/>
        <v>138690.34573433839</v>
      </c>
      <c r="AA89" s="279">
        <f t="shared" ca="1" si="296"/>
        <v>143850.78464269917</v>
      </c>
      <c r="AB89" s="279">
        <f ca="1">AD81</f>
        <v>149011.22355106115</v>
      </c>
    </row>
    <row r="90" spans="2:30">
      <c r="E90" s="248" t="s">
        <v>65</v>
      </c>
      <c r="F90" s="277">
        <f ca="1">SUM(F86:F88)</f>
        <v>2647636.7091174508</v>
      </c>
      <c r="G90" s="277">
        <f ca="1">SUM(G86:G88)</f>
        <v>4490685.2071022727</v>
      </c>
      <c r="H90" s="277">
        <f t="shared" ref="H90:I90" ca="1" si="297">SUM(H86:H88)</f>
        <v>4962783.0999588417</v>
      </c>
      <c r="I90" s="277">
        <f t="shared" ca="1" si="297"/>
        <v>5358515.9702836527</v>
      </c>
      <c r="J90" s="277">
        <f t="shared" ref="J90:K90" ca="1" si="298">SUM(J86:J88)</f>
        <v>5662984.4549638014</v>
      </c>
      <c r="K90" s="277">
        <f t="shared" ca="1" si="298"/>
        <v>5949454.7004523296</v>
      </c>
      <c r="L90" s="277">
        <f t="shared" ref="L90" ca="1" si="299">SUM(L86:L88)</f>
        <v>6289854.2396721011</v>
      </c>
      <c r="M90" s="277">
        <f ca="1">SUM(M86:M89)</f>
        <v>7156720.7102587381</v>
      </c>
      <c r="T90" s="248" t="s">
        <v>65</v>
      </c>
      <c r="U90" s="277">
        <f ca="1">SUM(U86:U88)</f>
        <v>1071696.5206629473</v>
      </c>
      <c r="V90" s="277">
        <f ca="1">SUM(V86:V88)</f>
        <v>1646268.1130713539</v>
      </c>
      <c r="W90" s="277">
        <f t="shared" ref="W90:AB90" ca="1" si="300">SUM(W86:W88)</f>
        <v>1847817.8093173963</v>
      </c>
      <c r="X90" s="277">
        <f t="shared" ca="1" si="300"/>
        <v>1947303.7035276373</v>
      </c>
      <c r="Y90" s="277">
        <f t="shared" ca="1" si="300"/>
        <v>2059856.5467933584</v>
      </c>
      <c r="Z90" s="277">
        <f t="shared" ca="1" si="300"/>
        <v>2173851.5267094001</v>
      </c>
      <c r="AA90" s="277">
        <f t="shared" ca="1" si="300"/>
        <v>2304314.3331862306</v>
      </c>
      <c r="AB90" s="277">
        <f t="shared" ca="1" si="300"/>
        <v>2429225.2585842498</v>
      </c>
    </row>
    <row r="93" spans="2:30">
      <c r="F93" s="292">
        <v>2024</v>
      </c>
      <c r="G93" s="292">
        <v>2025</v>
      </c>
      <c r="H93" s="292">
        <v>2026</v>
      </c>
      <c r="I93" s="292">
        <v>2027</v>
      </c>
      <c r="J93" s="292">
        <v>2028</v>
      </c>
      <c r="K93" s="292">
        <v>2029</v>
      </c>
      <c r="L93" s="292">
        <v>2030</v>
      </c>
      <c r="M93" s="292">
        <v>2031</v>
      </c>
      <c r="U93" s="248">
        <v>2024</v>
      </c>
      <c r="V93" s="292">
        <v>2025</v>
      </c>
      <c r="W93" s="248">
        <v>2026</v>
      </c>
      <c r="X93" s="248">
        <v>2027</v>
      </c>
      <c r="Y93" s="248">
        <v>2028</v>
      </c>
      <c r="Z93" s="248">
        <v>2029</v>
      </c>
      <c r="AA93" s="248">
        <v>2030</v>
      </c>
      <c r="AB93" s="248">
        <v>2031</v>
      </c>
    </row>
    <row r="94" spans="2:30">
      <c r="E94" s="248" t="str">
        <f>E86</f>
        <v>Residential</v>
      </c>
      <c r="F94" s="279">
        <f ca="1">SUM($F86:F86)</f>
        <v>2120197.8151131836</v>
      </c>
      <c r="G94" s="279">
        <f ca="1">SUM($F86:G86)</f>
        <v>5836856.5099474639</v>
      </c>
      <c r="H94" s="279">
        <f ca="1">SUM($F86:H86)</f>
        <v>9946999.0517314691</v>
      </c>
      <c r="I94" s="279">
        <f ca="1">SUM($F86:I86)</f>
        <v>14383651.17467094</v>
      </c>
      <c r="J94" s="279">
        <f ca="1">SUM($F86:J86)</f>
        <v>19081034.950409457</v>
      </c>
      <c r="K94" s="279">
        <f ca="1">SUM($F86:K86)</f>
        <v>24020583.696048021</v>
      </c>
      <c r="L94" s="279">
        <f ca="1">SUM($F86:L86)</f>
        <v>29255652.044964895</v>
      </c>
      <c r="M94" s="279">
        <f ca="1">SUM($F86:M86)</f>
        <v>34806712.960078567</v>
      </c>
      <c r="T94" s="248" t="str">
        <f>T86</f>
        <v>Residential</v>
      </c>
      <c r="U94" s="279">
        <f ca="1">SUM($U86:U86)</f>
        <v>917817.04585355497</v>
      </c>
      <c r="V94" s="279">
        <f ca="1">SUM($U86:V86)</f>
        <v>2337143.2570347805</v>
      </c>
      <c r="W94" s="279">
        <f ca="1">SUM($U86:W86)</f>
        <v>3939860.0240238821</v>
      </c>
      <c r="X94" s="279">
        <f ca="1">SUM($U86:X86)</f>
        <v>5628163.0086783227</v>
      </c>
      <c r="Y94" s="279">
        <f ca="1">SUM($U86:Y86)</f>
        <v>7414773.0842575477</v>
      </c>
      <c r="Z94" s="279">
        <f ca="1">SUM($U86:Z86)</f>
        <v>9300779.2751442045</v>
      </c>
      <c r="AA94" s="279">
        <f ca="1">SUM($U86:AA86)</f>
        <v>11302289.128954893</v>
      </c>
      <c r="AB94" s="279">
        <f ca="1">SUM($U86:AB86)</f>
        <v>13413383.186504075</v>
      </c>
    </row>
    <row r="95" spans="2:30">
      <c r="E95" s="248" t="str">
        <f>E87</f>
        <v>Residential Seasonal</v>
      </c>
      <c r="F95" s="279">
        <f ca="1">SUM($F87:F87)</f>
        <v>36837.150487238861</v>
      </c>
      <c r="G95" s="279">
        <f ca="1">SUM($F87:G87)</f>
        <v>74344.753910271116</v>
      </c>
      <c r="H95" s="279">
        <f ca="1">SUM($F87:H87)</f>
        <v>113449.30663789978</v>
      </c>
      <c r="I95" s="279">
        <f ca="1">SUM($F87:I87)</f>
        <v>154105.18773933384</v>
      </c>
      <c r="J95" s="279">
        <f ca="1">SUM($F87:J87)</f>
        <v>196305.63013163779</v>
      </c>
      <c r="K95" s="279">
        <f ca="1">SUM($F87:K87)</f>
        <v>240043.88848114523</v>
      </c>
      <c r="L95" s="279">
        <f ca="1">SUM($F87:L87)</f>
        <v>285313.23914159456</v>
      </c>
      <c r="M95" s="279">
        <f ca="1">SUM($F87:M87)</f>
        <v>332106.98009242938</v>
      </c>
      <c r="U95" s="279"/>
      <c r="V95" s="279"/>
      <c r="W95" s="279"/>
      <c r="X95" s="279"/>
      <c r="Y95" s="279"/>
      <c r="Z95" s="279"/>
      <c r="AA95" s="279"/>
      <c r="AB95" s="279"/>
    </row>
    <row r="96" spans="2:30">
      <c r="E96" s="248" t="str">
        <f>E88</f>
        <v>GS &lt; 50</v>
      </c>
      <c r="F96" s="279">
        <f ca="1">SUM($F88:F88)</f>
        <v>490601.74351702799</v>
      </c>
      <c r="G96" s="279">
        <f ca="1">SUM($F88:G88)</f>
        <v>1227120.6523619888</v>
      </c>
      <c r="H96" s="279">
        <f ca="1">SUM($F88:H88)</f>
        <v>2040656.657809196</v>
      </c>
      <c r="I96" s="279">
        <f ca="1">SUM($F88:I88)</f>
        <v>2921864.6240519434</v>
      </c>
      <c r="J96" s="279">
        <f ca="1">SUM($F88:J88)</f>
        <v>3845264.8608849249</v>
      </c>
      <c r="K96" s="279">
        <f ca="1">SUM($F88:K88)</f>
        <v>4811432.5573491817</v>
      </c>
      <c r="L96" s="279">
        <f ca="1">SUM($F88:L88)</f>
        <v>5820949.0974439625</v>
      </c>
      <c r="M96" s="279">
        <f ca="1">SUM($F88:M88)</f>
        <v>6874402.1202602312</v>
      </c>
      <c r="T96" s="248" t="str">
        <f>T88</f>
        <v>GS &lt; 50</v>
      </c>
      <c r="U96" s="279">
        <f ca="1">SUM($U88:U88)</f>
        <v>153879.47480939238</v>
      </c>
      <c r="V96" s="279">
        <f ca="1">SUM($U88:V88)</f>
        <v>380821.37669952086</v>
      </c>
      <c r="W96" s="279">
        <f ca="1">SUM($U88:W88)</f>
        <v>625922.41902781546</v>
      </c>
      <c r="X96" s="279">
        <f ca="1">SUM($U88:X88)</f>
        <v>884923.13790101209</v>
      </c>
      <c r="Y96" s="279">
        <f ca="1">SUM($U88:Y88)</f>
        <v>1158169.6091151452</v>
      </c>
      <c r="Z96" s="279">
        <f ca="1">SUM($U88:Z88)</f>
        <v>1446014.9449378883</v>
      </c>
      <c r="AA96" s="279">
        <f ca="1">SUM($U88:AA88)</f>
        <v>1748819.4243134307</v>
      </c>
      <c r="AB96" s="279">
        <f ca="1">SUM($U88:AB88)</f>
        <v>2066950.6253484981</v>
      </c>
    </row>
    <row r="97" spans="2:30">
      <c r="E97" s="248" t="str">
        <f>E89</f>
        <v xml:space="preserve">GS 50-2,999 </v>
      </c>
      <c r="F97" s="279">
        <f ca="1">SUM($F89:F89)</f>
        <v>380941.31347025884</v>
      </c>
      <c r="G97" s="279">
        <f ca="1">SUM($F89:G89)</f>
        <v>772436.55703562719</v>
      </c>
      <c r="H97" s="279">
        <f ca="1">SUM($F89:H89)</f>
        <v>1186535.249195612</v>
      </c>
      <c r="I97" s="279">
        <f ca="1">SUM($F89:I89)</f>
        <v>1621936.0221742084</v>
      </c>
      <c r="J97" s="279">
        <f ca="1">SUM($F89:J89)</f>
        <v>2074839.8597526487</v>
      </c>
      <c r="K97" s="279">
        <f ca="1">SUM($F89:K89)</f>
        <v>2545246.7619309309</v>
      </c>
      <c r="L97" s="279">
        <f ca="1">SUM($F89:L89)</f>
        <v>3033156.7287090532</v>
      </c>
      <c r="M97" s="279">
        <f ca="1">SUM($F89:M89)</f>
        <v>3538569.7600870198</v>
      </c>
      <c r="T97" s="248" t="str">
        <f>T89</f>
        <v xml:space="preserve">GS 50-2,999 </v>
      </c>
      <c r="U97" s="279">
        <f ca="1">SUM($U89:U89)</f>
        <v>113634.75095445264</v>
      </c>
      <c r="V97" s="279">
        <f ca="1">SUM($U89:V89)</f>
        <v>231143.71019393697</v>
      </c>
      <c r="W97" s="279">
        <f ca="1">SUM($U89:W89)</f>
        <v>354352.7392031913</v>
      </c>
      <c r="X97" s="279">
        <f ca="1">SUM($U89:X89)</f>
        <v>482722.20712080644</v>
      </c>
      <c r="Y97" s="279">
        <f ca="1">SUM($U89:Y89)</f>
        <v>616252.11394678347</v>
      </c>
      <c r="Z97" s="279">
        <f ca="1">SUM($U89:Z89)</f>
        <v>754942.45968112187</v>
      </c>
      <c r="AA97" s="279">
        <f ca="1">SUM($U89:AA89)</f>
        <v>898793.24432382104</v>
      </c>
      <c r="AB97" s="279">
        <f ca="1">SUM($U89:AB89)</f>
        <v>1047804.4678748822</v>
      </c>
    </row>
    <row r="98" spans="2:30">
      <c r="E98" s="241" t="s">
        <v>65</v>
      </c>
      <c r="F98" s="277">
        <f ca="1">F94+F96</f>
        <v>2610799.5586302117</v>
      </c>
      <c r="G98" s="277">
        <f t="shared" ref="G98:I98" ca="1" si="301">G94+G96</f>
        <v>7063977.1623094529</v>
      </c>
      <c r="H98" s="277">
        <f t="shared" ca="1" si="301"/>
        <v>11987655.709540665</v>
      </c>
      <c r="I98" s="277">
        <f t="shared" ca="1" si="301"/>
        <v>17305515.798722886</v>
      </c>
      <c r="J98" s="277">
        <f t="shared" ref="J98:K98" ca="1" si="302">J94+J96</f>
        <v>22926299.811294381</v>
      </c>
      <c r="K98" s="277">
        <f t="shared" ca="1" si="302"/>
        <v>28832016.253397204</v>
      </c>
      <c r="L98" s="277">
        <f t="shared" ref="L98:M98" ca="1" si="303">L94+L96</f>
        <v>35076601.142408855</v>
      </c>
      <c r="M98" s="277">
        <f t="shared" ca="1" si="303"/>
        <v>41681115.080338798</v>
      </c>
      <c r="T98" s="241" t="s">
        <v>65</v>
      </c>
      <c r="U98" s="277">
        <f ca="1">U94+U96</f>
        <v>1071696.5206629473</v>
      </c>
      <c r="V98" s="277">
        <f t="shared" ref="V98:AB98" ca="1" si="304">V94+V96</f>
        <v>2717964.6337343012</v>
      </c>
      <c r="W98" s="277">
        <f t="shared" ca="1" si="304"/>
        <v>4565782.4430516977</v>
      </c>
      <c r="X98" s="277">
        <f t="shared" ca="1" si="304"/>
        <v>6513086.1465793345</v>
      </c>
      <c r="Y98" s="277">
        <f t="shared" ca="1" si="304"/>
        <v>8572942.6933726929</v>
      </c>
      <c r="Z98" s="277">
        <f t="shared" ca="1" si="304"/>
        <v>10746794.220082093</v>
      </c>
      <c r="AA98" s="277">
        <f t="shared" ca="1" si="304"/>
        <v>13051108.553268325</v>
      </c>
      <c r="AB98" s="277">
        <f t="shared" ca="1" si="304"/>
        <v>15480333.811852574</v>
      </c>
    </row>
    <row r="102" spans="2:30">
      <c r="B102" s="248" t="s">
        <v>218</v>
      </c>
      <c r="C102" s="512">
        <f>C19</f>
        <v>2019</v>
      </c>
      <c r="D102" s="512">
        <f t="shared" ref="D102:O102" si="305">D19</f>
        <v>2020</v>
      </c>
      <c r="E102" s="512">
        <f t="shared" si="305"/>
        <v>2021</v>
      </c>
      <c r="F102" s="512">
        <f t="shared" si="305"/>
        <v>2022</v>
      </c>
      <c r="G102" s="512">
        <f t="shared" si="305"/>
        <v>2023</v>
      </c>
      <c r="H102" s="512">
        <f t="shared" si="305"/>
        <v>2024</v>
      </c>
      <c r="I102" s="512">
        <f t="shared" si="305"/>
        <v>2025</v>
      </c>
      <c r="J102" s="512">
        <f t="shared" si="305"/>
        <v>2026</v>
      </c>
      <c r="K102" s="512">
        <f t="shared" si="305"/>
        <v>2027</v>
      </c>
      <c r="L102" s="512">
        <f t="shared" si="305"/>
        <v>2028</v>
      </c>
      <c r="M102" s="512">
        <f t="shared" si="305"/>
        <v>2029</v>
      </c>
      <c r="N102" s="512">
        <f t="shared" si="305"/>
        <v>2030</v>
      </c>
      <c r="O102" s="512">
        <f t="shared" si="305"/>
        <v>2031</v>
      </c>
      <c r="Q102" s="248" t="s">
        <v>218</v>
      </c>
      <c r="R102" s="512">
        <f>R19</f>
        <v>2019</v>
      </c>
      <c r="S102" s="512">
        <f t="shared" ref="S102:AD102" si="306">S19</f>
        <v>2020</v>
      </c>
      <c r="T102" s="512">
        <f t="shared" si="306"/>
        <v>2021</v>
      </c>
      <c r="U102" s="512">
        <f t="shared" si="306"/>
        <v>2022</v>
      </c>
      <c r="V102" s="512">
        <f t="shared" si="306"/>
        <v>2023</v>
      </c>
      <c r="W102" s="512">
        <f t="shared" si="306"/>
        <v>2024</v>
      </c>
      <c r="X102" s="512">
        <f t="shared" si="306"/>
        <v>2025</v>
      </c>
      <c r="Y102" s="512">
        <f t="shared" si="306"/>
        <v>2026</v>
      </c>
      <c r="Z102" s="512">
        <f t="shared" si="306"/>
        <v>2027</v>
      </c>
      <c r="AA102" s="512">
        <f t="shared" si="306"/>
        <v>2028</v>
      </c>
      <c r="AB102" s="512">
        <f t="shared" si="306"/>
        <v>2029</v>
      </c>
      <c r="AC102" s="512">
        <f t="shared" si="306"/>
        <v>2030</v>
      </c>
      <c r="AD102" s="512">
        <f t="shared" si="306"/>
        <v>2031</v>
      </c>
    </row>
    <row r="103" spans="2:30">
      <c r="B103" s="248" t="str">
        <f>B66</f>
        <v>Residential kWh</v>
      </c>
      <c r="C103" s="214">
        <f ca="1">SUM($C69:C69)</f>
        <v>697861.85212079622</v>
      </c>
      <c r="D103" s="214">
        <f ca="1">SUM($C69:D69)</f>
        <v>2966808.0758091789</v>
      </c>
      <c r="E103" s="214">
        <f ca="1">SUM($C69:E69)</f>
        <v>5677152.9516060892</v>
      </c>
      <c r="F103" s="214">
        <f ca="1">SUM($C69:F69)</f>
        <v>8363711.8458344005</v>
      </c>
      <c r="G103" s="214">
        <f ca="1">SUM($C69:G69)</f>
        <v>11406588.20308972</v>
      </c>
      <c r="H103" s="214">
        <f ca="1">SUM($C69:H69)</f>
        <v>14781608.171557039</v>
      </c>
      <c r="I103" s="214">
        <f ca="1">SUM($C69:I69)</f>
        <v>18498266.86639132</v>
      </c>
      <c r="J103" s="214">
        <f ca="1">SUM($C69:J69)</f>
        <v>22608409.408175327</v>
      </c>
      <c r="K103" s="214">
        <f ca="1">SUM($C69:K69)</f>
        <v>27045061.531114798</v>
      </c>
      <c r="L103" s="214">
        <f ca="1">SUM($C69:L69)</f>
        <v>31742445.306853317</v>
      </c>
      <c r="M103" s="214">
        <f ca="1">SUM($C69:M69)</f>
        <v>36681994.052491881</v>
      </c>
      <c r="N103" s="214">
        <f ca="1">SUM($C69:N69)</f>
        <v>41917062.401408754</v>
      </c>
      <c r="O103" s="214">
        <f ca="1">SUM($C69:O69)</f>
        <v>47468123.316522419</v>
      </c>
      <c r="Q103" s="248" t="str">
        <f>Q66</f>
        <v>Residential kWh</v>
      </c>
      <c r="R103" s="214">
        <f ca="1">SUM($R69:R69)</f>
        <v>257249.88573561725</v>
      </c>
      <c r="S103" s="214">
        <f ca="1">SUM($R69:S69)</f>
        <v>1167757.9930470579</v>
      </c>
      <c r="T103" s="214">
        <f ca="1">SUM($R69:T69)</f>
        <v>2405835.641073579</v>
      </c>
      <c r="U103" s="214">
        <f ca="1">SUM($R69:U69)</f>
        <v>3701884.9339265889</v>
      </c>
      <c r="V103" s="214">
        <f ca="1">SUM($R69:V69)</f>
        <v>5113495.3423524462</v>
      </c>
      <c r="W103" s="214">
        <f ca="1">SUM($R69:W69)</f>
        <v>6500306.9794235602</v>
      </c>
      <c r="X103" s="214">
        <f ca="1">SUM($R69:X69)</f>
        <v>7919633.1906047855</v>
      </c>
      <c r="Y103" s="214">
        <f ca="1">SUM($R69:Y69)</f>
        <v>9522349.957593888</v>
      </c>
      <c r="Z103" s="214">
        <f ca="1">SUM($R69:Z69)</f>
        <v>11210652.94224833</v>
      </c>
      <c r="AA103" s="214">
        <f ca="1">SUM($R69:AA69)</f>
        <v>12997263.017827556</v>
      </c>
      <c r="AB103" s="214">
        <f ca="1">SUM($R69:AB69)</f>
        <v>14883269.208714213</v>
      </c>
      <c r="AC103" s="214">
        <f ca="1">SUM($R69:AC69)</f>
        <v>16884779.0625249</v>
      </c>
      <c r="AD103" s="214">
        <f ca="1">SUM($R69:AD69)</f>
        <v>18995873.120074082</v>
      </c>
    </row>
    <row r="104" spans="2:30">
      <c r="B104" s="248" t="str">
        <f>B70</f>
        <v>Residential Seasonal kWh</v>
      </c>
      <c r="C104" s="214">
        <f ca="1">SUM($C73:C73)</f>
        <v>9843.4788956067732</v>
      </c>
      <c r="D104" s="214">
        <f ca="1">SUM($C73:D73)</f>
        <v>39289.974052134552</v>
      </c>
      <c r="E104" s="214">
        <f ca="1">SUM($C73:E73)</f>
        <v>70994.387547188409</v>
      </c>
      <c r="F104" s="214">
        <f ca="1">SUM($C73:F73)</f>
        <v>102972.39939707279</v>
      </c>
      <c r="G104" s="214">
        <f ca="1">SUM($C73:G73)</f>
        <v>137847.19409322477</v>
      </c>
      <c r="H104" s="214">
        <f ca="1">SUM($C73:H73)</f>
        <v>174684.34458046363</v>
      </c>
      <c r="I104" s="214">
        <f ca="1">SUM($C73:I73)</f>
        <v>212191.94800349587</v>
      </c>
      <c r="J104" s="214">
        <f ca="1">SUM($C73:J73)</f>
        <v>251296.50073112454</v>
      </c>
      <c r="K104" s="214">
        <f ca="1">SUM($C73:K73)</f>
        <v>291952.3818325586</v>
      </c>
      <c r="L104" s="214">
        <f ca="1">SUM($C73:L73)</f>
        <v>334152.82422486256</v>
      </c>
      <c r="M104" s="214">
        <f ca="1">SUM($C73:M73)</f>
        <v>377891.08257436997</v>
      </c>
      <c r="N104" s="214">
        <f ca="1">SUM($C73:N73)</f>
        <v>423160.43323481933</v>
      </c>
      <c r="O104" s="214">
        <f ca="1">SUM($C73:O73)</f>
        <v>469954.17418565415</v>
      </c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</row>
    <row r="105" spans="2:30">
      <c r="B105" s="248" t="str">
        <f>B74</f>
        <v>GS &lt; 50 kWh</v>
      </c>
      <c r="C105" s="214">
        <f ca="1">SUM($C77:C77)</f>
        <v>177964.04765720014</v>
      </c>
      <c r="D105" s="214">
        <f ca="1">SUM($C77:D77)</f>
        <v>741671.52275626513</v>
      </c>
      <c r="E105" s="214">
        <f ca="1">SUM($C77:E77)</f>
        <v>1390558.7058184673</v>
      </c>
      <c r="F105" s="214">
        <f ca="1">SUM($C77:F77)</f>
        <v>2050147.4189112531</v>
      </c>
      <c r="G105" s="214">
        <f ca="1">SUM($C77:G77)</f>
        <v>2802236.5025387397</v>
      </c>
      <c r="H105" s="214">
        <f ca="1">SUM($C77:H77)</f>
        <v>3542494.2105847094</v>
      </c>
      <c r="I105" s="214">
        <f ca="1">SUM($C77:I77)</f>
        <v>4279013.1194296703</v>
      </c>
      <c r="J105" s="214">
        <f ca="1">SUM($C77:J77)</f>
        <v>5092549.1248768773</v>
      </c>
      <c r="K105" s="214">
        <f ca="1">SUM($C77:K77)</f>
        <v>5973757.0911196247</v>
      </c>
      <c r="L105" s="214">
        <f ca="1">SUM($C77:L77)</f>
        <v>6897157.3279526066</v>
      </c>
      <c r="M105" s="214">
        <f ca="1">SUM($C77:M77)</f>
        <v>7863325.024416863</v>
      </c>
      <c r="N105" s="214">
        <f ca="1">SUM($C77:N77)</f>
        <v>8872841.5645116437</v>
      </c>
      <c r="O105" s="214">
        <f ca="1">SUM($C77:O77)</f>
        <v>9926294.5873279124</v>
      </c>
      <c r="Q105" s="248" t="str">
        <f>Q74</f>
        <v>GS &lt; 50 kWh</v>
      </c>
      <c r="R105" s="214">
        <f ca="1">SUM($R77:R77)</f>
        <v>43703.954156999236</v>
      </c>
      <c r="S105" s="214">
        <f ca="1">SUM($R77:S77)</f>
        <v>184764.34850418344</v>
      </c>
      <c r="T105" s="214">
        <f ca="1">SUM($R77:T77)</f>
        <v>363325.91216159391</v>
      </c>
      <c r="U105" s="214">
        <f ca="1">SUM($R77:U77)</f>
        <v>568025.76905998448</v>
      </c>
      <c r="V105" s="214">
        <f ca="1">SUM($R77:V77)</f>
        <v>800746.15967649245</v>
      </c>
      <c r="W105" s="214">
        <f ca="1">SUM($R77:W77)</f>
        <v>1031852.2993510378</v>
      </c>
      <c r="X105" s="214">
        <f ca="1">SUM($R77:X77)</f>
        <v>1258794.2012411663</v>
      </c>
      <c r="Y105" s="214">
        <f ca="1">SUM($R77:Y77)</f>
        <v>1503895.2435694609</v>
      </c>
      <c r="Z105" s="214">
        <f ca="1">SUM($R77:Z77)</f>
        <v>1762895.9624426577</v>
      </c>
      <c r="AA105" s="214">
        <f ca="1">SUM($R77:AA77)</f>
        <v>2036142.4336567908</v>
      </c>
      <c r="AB105" s="214">
        <f ca="1">SUM($R77:AB77)</f>
        <v>2323987.7694795337</v>
      </c>
      <c r="AC105" s="214">
        <f ca="1">SUM($R77:AC77)</f>
        <v>2626792.2488550758</v>
      </c>
      <c r="AD105" s="214">
        <f ca="1">SUM($R77:AD77)</f>
        <v>2944923.4498901432</v>
      </c>
    </row>
    <row r="106" spans="2:30">
      <c r="B106" s="248" t="str">
        <f>B78</f>
        <v>GS 50-2,999 kWh</v>
      </c>
      <c r="C106" s="214">
        <f ca="1">SUM($C81:C81)</f>
        <v>104954.86337076833</v>
      </c>
      <c r="D106" s="214">
        <f ca="1">SUM($C81:D81)</f>
        <v>418584.42238993145</v>
      </c>
      <c r="E106" s="214">
        <f ca="1">SUM($C81:E81)</f>
        <v>754073.26897443086</v>
      </c>
      <c r="F106" s="214">
        <f ca="1">SUM($C81:F81)</f>
        <v>1093275.1455323601</v>
      </c>
      <c r="G106" s="214">
        <f ca="1">SUM($C81:G81)</f>
        <v>1463963.5672512078</v>
      </c>
      <c r="H106" s="214">
        <f ca="1">SUM($C81:H81)</f>
        <v>1844904.8807214666</v>
      </c>
      <c r="I106" s="214">
        <f ca="1">SUM($C81:I81)</f>
        <v>2236400.1242868351</v>
      </c>
      <c r="J106" s="214">
        <f ca="1">SUM($C81:J81)</f>
        <v>2650498.8164468203</v>
      </c>
      <c r="K106" s="214">
        <f ca="1">SUM($C81:K81)</f>
        <v>3085899.5894254167</v>
      </c>
      <c r="L106" s="214">
        <f ca="1">SUM($C81:L81)</f>
        <v>3538803.4270038567</v>
      </c>
      <c r="M106" s="214">
        <f ca="1">SUM($C81:M81)</f>
        <v>4009210.3291821391</v>
      </c>
      <c r="N106" s="214">
        <f ca="1">SUM($C81:N81)</f>
        <v>4497120.2959602615</v>
      </c>
      <c r="O106" s="214">
        <f ca="1">SUM($C81:O81)</f>
        <v>5002533.327338228</v>
      </c>
      <c r="Q106" s="248" t="str">
        <f>Q78</f>
        <v>GS 50-2,999 kWh</v>
      </c>
      <c r="R106" s="214">
        <f ca="1">SUM($R81:R81)</f>
        <v>31127.936100101568</v>
      </c>
      <c r="S106" s="214">
        <f ca="1">SUM($R81:S81)</f>
        <v>123790.79297514193</v>
      </c>
      <c r="T106" s="214">
        <f ca="1">SUM($R81:T81)</f>
        <v>222505.18853807019</v>
      </c>
      <c r="U106" s="214">
        <f ca="1">SUM($R81:U81)</f>
        <v>322763.59161711135</v>
      </c>
      <c r="V106" s="214">
        <f ca="1">SUM($R81:V81)</f>
        <v>432567.45696763252</v>
      </c>
      <c r="W106" s="214">
        <f ca="1">SUM($R81:W81)</f>
        <v>546202.20792208519</v>
      </c>
      <c r="X106" s="214">
        <f ca="1">SUM($R81:X81)</f>
        <v>663711.16716156946</v>
      </c>
      <c r="Y106" s="214">
        <f ca="1">SUM($R81:Y81)</f>
        <v>786920.19617082376</v>
      </c>
      <c r="Z106" s="214">
        <f ca="1">SUM($R81:Z81)</f>
        <v>915289.66408843885</v>
      </c>
      <c r="AA106" s="214">
        <f ca="1">SUM($R81:AA81)</f>
        <v>1048819.5709144159</v>
      </c>
      <c r="AB106" s="214">
        <f ca="1">SUM($R81:AB81)</f>
        <v>1187509.9166487544</v>
      </c>
      <c r="AC106" s="214">
        <f ca="1">SUM($R81:AC81)</f>
        <v>1331360.7012914536</v>
      </c>
      <c r="AD106" s="214">
        <f ca="1">SUM($R81:AD81)</f>
        <v>1480371.9248425148</v>
      </c>
    </row>
  </sheetData>
  <mergeCells count="5">
    <mergeCell ref="Q2:S2"/>
    <mergeCell ref="T3:T9"/>
    <mergeCell ref="T10:T14"/>
    <mergeCell ref="B17:O17"/>
    <mergeCell ref="Q17:AB17"/>
  </mergeCells>
  <phoneticPr fontId="191" type="noConversion"/>
  <hyperlinks>
    <hyperlink ref="G7" r:id="rId1" xr:uid="{89F55069-8187-4D70-83BE-C5763C75DE86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104-5798-4690-9AE7-8583CF5C98EF}">
  <sheetPr codeName="Sheet55">
    <tabColor theme="3" tint="0.499984740745262"/>
  </sheetPr>
  <dimension ref="A1:AX144"/>
  <sheetViews>
    <sheetView workbookViewId="0"/>
  </sheetViews>
  <sheetFormatPr defaultRowHeight="15"/>
  <cols>
    <col min="1" max="1" width="36.140625" customWidth="1"/>
    <col min="2" max="2" width="14.42578125" customWidth="1"/>
    <col min="18" max="24" width="9.42578125" bestFit="1" customWidth="1"/>
    <col min="27" max="27" width="33.42578125" customWidth="1"/>
  </cols>
  <sheetData>
    <row r="1" spans="1:50">
      <c r="A1" s="477"/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</row>
    <row r="2" spans="1:50">
      <c r="A2" s="477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</row>
    <row r="3" spans="1:50" ht="15.75">
      <c r="A3" s="468"/>
      <c r="B3" s="466"/>
      <c r="C3" s="467"/>
      <c r="D3" s="467"/>
      <c r="E3" s="467"/>
    </row>
    <row r="4" spans="1:50" ht="15.75">
      <c r="A4" s="468"/>
      <c r="B4" s="466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469"/>
      <c r="W4" s="469"/>
      <c r="X4" s="469"/>
      <c r="Y4" s="469"/>
    </row>
    <row r="5" spans="1:50" ht="18">
      <c r="A5" s="477"/>
      <c r="B5" s="477"/>
      <c r="C5" s="477"/>
      <c r="D5" s="477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7"/>
      <c r="P5" s="477"/>
      <c r="Q5" s="477"/>
      <c r="R5" s="477"/>
      <c r="S5" s="477"/>
      <c r="T5" s="477"/>
      <c r="U5" s="477"/>
      <c r="V5" s="477"/>
      <c r="W5" s="477"/>
      <c r="X5" s="477"/>
      <c r="Z5" s="494" t="s">
        <v>576</v>
      </c>
      <c r="AA5" s="492"/>
      <c r="AB5" s="492"/>
      <c r="AC5" s="492"/>
      <c r="AD5" s="492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2"/>
      <c r="AP5" s="492"/>
      <c r="AQ5" s="492"/>
      <c r="AR5" s="492"/>
      <c r="AS5" s="492"/>
      <c r="AT5" s="492"/>
      <c r="AU5" s="492"/>
      <c r="AV5" s="492"/>
      <c r="AW5" s="492"/>
      <c r="AX5" s="492"/>
    </row>
    <row r="6" spans="1:50" ht="18">
      <c r="A6" s="477"/>
      <c r="B6" s="477"/>
      <c r="C6" s="477"/>
      <c r="D6" s="477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7"/>
      <c r="P6" s="477"/>
      <c r="Q6" s="477"/>
      <c r="R6" s="477"/>
      <c r="S6" s="477"/>
      <c r="T6" s="477"/>
      <c r="U6" s="477"/>
      <c r="V6" s="477"/>
      <c r="W6" s="477"/>
      <c r="X6" s="477"/>
      <c r="Z6" s="494"/>
      <c r="AA6" s="492"/>
      <c r="AB6" s="492"/>
      <c r="AC6" s="492"/>
      <c r="AD6" s="492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492"/>
      <c r="AP6" s="492"/>
      <c r="AQ6" s="492"/>
      <c r="AR6" s="492"/>
      <c r="AS6" s="492"/>
      <c r="AT6" s="492"/>
      <c r="AU6" s="492"/>
      <c r="AV6" s="492"/>
      <c r="AW6" s="492"/>
      <c r="AX6" s="492"/>
    </row>
    <row r="7" spans="1:50" ht="16.5" thickBot="1">
      <c r="A7" s="511" t="s">
        <v>73</v>
      </c>
      <c r="B7" s="479"/>
      <c r="C7" s="479"/>
      <c r="D7" s="479"/>
      <c r="E7" s="477"/>
      <c r="F7" s="477"/>
      <c r="G7" s="477"/>
      <c r="H7" s="477"/>
      <c r="I7" s="477"/>
      <c r="J7" s="477"/>
      <c r="K7" s="477"/>
      <c r="L7" s="477"/>
      <c r="M7" s="477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1"/>
      <c r="Z7" s="496" t="s">
        <v>73</v>
      </c>
      <c r="AA7" s="492"/>
      <c r="AB7" s="495"/>
      <c r="AC7" s="495"/>
      <c r="AD7" s="495"/>
      <c r="AE7" s="492"/>
      <c r="AF7" s="492"/>
      <c r="AG7" s="492"/>
      <c r="AH7" s="492"/>
      <c r="AI7" s="492"/>
      <c r="AJ7" s="492"/>
      <c r="AK7" s="492"/>
      <c r="AL7" s="492"/>
      <c r="AM7" s="492"/>
      <c r="AN7" s="492"/>
      <c r="AO7" s="492"/>
      <c r="AP7" s="492"/>
      <c r="AQ7" s="492"/>
      <c r="AR7" s="492"/>
      <c r="AS7" s="492"/>
      <c r="AT7" s="492"/>
      <c r="AU7" s="492"/>
      <c r="AV7" s="492"/>
      <c r="AW7" s="492"/>
      <c r="AX7" s="492"/>
    </row>
    <row r="8" spans="1:50" ht="15.75">
      <c r="A8" s="511" t="s">
        <v>610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Z8" s="496" t="s">
        <v>602</v>
      </c>
      <c r="AA8" s="493"/>
      <c r="AB8" s="497"/>
      <c r="AC8" s="497"/>
      <c r="AD8" s="497"/>
      <c r="AE8" s="497"/>
      <c r="AF8" s="497"/>
      <c r="AG8" s="497"/>
      <c r="AH8" s="497"/>
      <c r="AI8" s="497"/>
      <c r="AJ8" s="497"/>
      <c r="AK8" s="497"/>
      <c r="AL8" s="497"/>
      <c r="AM8" s="497"/>
      <c r="AN8" s="497"/>
      <c r="AO8" s="497"/>
      <c r="AP8" s="497"/>
      <c r="AQ8" s="497"/>
      <c r="AR8" s="497"/>
      <c r="AS8" s="497"/>
      <c r="AT8" s="497"/>
      <c r="AU8" s="497"/>
      <c r="AV8" s="497"/>
      <c r="AW8" s="497"/>
      <c r="AX8" s="497"/>
    </row>
    <row r="9" spans="1:50" ht="15.75">
      <c r="A9" s="477"/>
      <c r="B9" s="481"/>
      <c r="C9" s="481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477"/>
      <c r="V9" s="477"/>
      <c r="W9" s="477"/>
      <c r="X9" s="477"/>
      <c r="Y9" s="474"/>
      <c r="Z9" s="492"/>
      <c r="AA9" s="492"/>
      <c r="AB9" s="498"/>
      <c r="AC9" s="498"/>
      <c r="AD9" s="492"/>
      <c r="AE9" s="492"/>
      <c r="AF9" s="492"/>
      <c r="AG9" s="492"/>
      <c r="AH9" s="492"/>
      <c r="AI9" s="492"/>
      <c r="AJ9" s="492"/>
      <c r="AK9" s="492"/>
      <c r="AL9" s="492"/>
      <c r="AM9" s="492"/>
      <c r="AN9" s="492"/>
      <c r="AO9" s="492"/>
      <c r="AP9" s="492"/>
      <c r="AQ9" s="492"/>
      <c r="AR9" s="492"/>
      <c r="AS9" s="492"/>
      <c r="AT9" s="492"/>
      <c r="AU9" s="492"/>
      <c r="AV9" s="492"/>
      <c r="AW9" s="492"/>
      <c r="AX9" s="492"/>
    </row>
    <row r="10" spans="1:50">
      <c r="A10" s="477"/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5"/>
      <c r="Z10" s="492"/>
      <c r="AA10" s="492"/>
      <c r="AB10" s="492"/>
      <c r="AC10" s="492"/>
      <c r="AD10" s="492"/>
      <c r="AE10" s="492"/>
      <c r="AF10" s="492"/>
      <c r="AG10" s="492"/>
      <c r="AH10" s="492"/>
      <c r="AI10" s="492"/>
      <c r="AJ10" s="492"/>
      <c r="AK10" s="492"/>
      <c r="AL10" s="492"/>
      <c r="AM10" s="492"/>
      <c r="AN10" s="492"/>
      <c r="AO10" s="492"/>
      <c r="AP10" s="492"/>
      <c r="AQ10" s="492"/>
      <c r="AR10" s="492"/>
      <c r="AS10" s="492"/>
      <c r="AT10" s="492"/>
      <c r="AU10" s="492"/>
      <c r="AV10" s="492"/>
      <c r="AW10" s="492"/>
      <c r="AX10" s="492"/>
    </row>
    <row r="11" spans="1:50" ht="15.75" thickBot="1">
      <c r="A11" s="477"/>
      <c r="B11" s="482">
        <v>2000</v>
      </c>
      <c r="C11" s="482">
        <v>2001</v>
      </c>
      <c r="D11" s="482">
        <v>2002</v>
      </c>
      <c r="E11" s="482">
        <v>2003</v>
      </c>
      <c r="F11" s="482">
        <v>2004</v>
      </c>
      <c r="G11" s="482">
        <v>2005</v>
      </c>
      <c r="H11" s="482">
        <v>2006</v>
      </c>
      <c r="I11" s="482">
        <v>2007</v>
      </c>
      <c r="J11" s="482">
        <v>2008</v>
      </c>
      <c r="K11" s="482">
        <v>2009</v>
      </c>
      <c r="L11" s="482">
        <v>2010</v>
      </c>
      <c r="M11" s="482">
        <v>2011</v>
      </c>
      <c r="N11" s="482">
        <v>2012</v>
      </c>
      <c r="O11" s="482">
        <v>2013</v>
      </c>
      <c r="P11" s="482">
        <v>2014</v>
      </c>
      <c r="Q11" s="482">
        <v>2015</v>
      </c>
      <c r="R11" s="482">
        <v>2016</v>
      </c>
      <c r="S11" s="482">
        <v>2017</v>
      </c>
      <c r="T11" s="482">
        <v>2018</v>
      </c>
      <c r="U11" s="482">
        <v>2019</v>
      </c>
      <c r="V11" s="482">
        <v>2020</v>
      </c>
      <c r="W11" s="482">
        <v>2021</v>
      </c>
      <c r="X11" s="482">
        <v>2022</v>
      </c>
      <c r="Y11" s="475"/>
      <c r="Z11" s="492"/>
      <c r="AA11" s="492"/>
      <c r="AB11" s="499">
        <v>2000</v>
      </c>
      <c r="AC11" s="499">
        <v>2001</v>
      </c>
      <c r="AD11" s="499">
        <v>2002</v>
      </c>
      <c r="AE11" s="499">
        <v>2003</v>
      </c>
      <c r="AF11" s="499">
        <v>2004</v>
      </c>
      <c r="AG11" s="499">
        <v>2005</v>
      </c>
      <c r="AH11" s="499">
        <v>2006</v>
      </c>
      <c r="AI11" s="499">
        <v>2007</v>
      </c>
      <c r="AJ11" s="499">
        <v>2008</v>
      </c>
      <c r="AK11" s="499">
        <v>2009</v>
      </c>
      <c r="AL11" s="499">
        <v>2010</v>
      </c>
      <c r="AM11" s="499">
        <v>2011</v>
      </c>
      <c r="AN11" s="499">
        <v>2012</v>
      </c>
      <c r="AO11" s="499">
        <v>2013</v>
      </c>
      <c r="AP11" s="499">
        <v>2014</v>
      </c>
      <c r="AQ11" s="499">
        <v>2015</v>
      </c>
      <c r="AR11" s="499">
        <v>2016</v>
      </c>
      <c r="AS11" s="499">
        <v>2017</v>
      </c>
      <c r="AT11" s="499">
        <v>2018</v>
      </c>
      <c r="AU11" s="499">
        <v>2019</v>
      </c>
      <c r="AV11" s="499">
        <v>2020</v>
      </c>
      <c r="AW11" s="499">
        <v>2021</v>
      </c>
      <c r="AX11" s="499">
        <v>2022</v>
      </c>
    </row>
    <row r="12" spans="1:50">
      <c r="A12" s="477"/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5"/>
      <c r="Z12" s="492"/>
      <c r="AA12" s="492"/>
      <c r="AB12" s="492"/>
      <c r="AC12" s="492"/>
      <c r="AD12" s="492"/>
      <c r="AE12" s="492"/>
      <c r="AF12" s="492"/>
      <c r="AG12" s="492"/>
      <c r="AH12" s="492"/>
      <c r="AI12" s="492"/>
      <c r="AJ12" s="492"/>
      <c r="AK12" s="492"/>
      <c r="AL12" s="492"/>
      <c r="AM12" s="492"/>
      <c r="AN12" s="492"/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</row>
    <row r="13" spans="1:50">
      <c r="A13" s="483" t="s">
        <v>586</v>
      </c>
      <c r="B13" s="484">
        <v>4467.2939999999999</v>
      </c>
      <c r="C13" s="484">
        <v>4534.0559999999996</v>
      </c>
      <c r="D13" s="484">
        <v>4612.9399999999996</v>
      </c>
      <c r="E13" s="484">
        <v>4686.9399999999996</v>
      </c>
      <c r="F13" s="484">
        <v>4769.5309999999999</v>
      </c>
      <c r="G13" s="484">
        <v>4848.1959999999999</v>
      </c>
      <c r="H13" s="484">
        <v>4919.777</v>
      </c>
      <c r="I13" s="484">
        <v>4982.0910000000003</v>
      </c>
      <c r="J13" s="484">
        <v>5047.1670000000004</v>
      </c>
      <c r="K13" s="484">
        <v>5100.1130000000003</v>
      </c>
      <c r="L13" s="484">
        <v>5158.7560000000003</v>
      </c>
      <c r="M13" s="484">
        <v>5216.2709999999997</v>
      </c>
      <c r="N13" s="484">
        <v>5271.4549999999999</v>
      </c>
      <c r="O13" s="484">
        <v>5326.8689999999997</v>
      </c>
      <c r="P13" s="484">
        <v>5379.9949999999999</v>
      </c>
      <c r="Q13" s="484">
        <v>5449.1880000000001</v>
      </c>
      <c r="R13" s="484">
        <v>5509.35</v>
      </c>
      <c r="S13" s="484">
        <v>5574.9070000000002</v>
      </c>
      <c r="T13" s="484">
        <v>5651.0529999999999</v>
      </c>
      <c r="U13" s="484">
        <v>5733.8459999999995</v>
      </c>
      <c r="V13" s="484">
        <v>5831.4520000000002</v>
      </c>
      <c r="W13" s="484">
        <v>5936.1570000000002</v>
      </c>
      <c r="X13" s="484">
        <v>6034.2359999999999</v>
      </c>
      <c r="Y13" s="475"/>
      <c r="Z13" s="500"/>
      <c r="AA13" s="501" t="s">
        <v>603</v>
      </c>
      <c r="AB13" s="502">
        <v>345.828734</v>
      </c>
      <c r="AC13" s="502">
        <v>317.54042800000002</v>
      </c>
      <c r="AD13" s="502">
        <v>333.99524600000001</v>
      </c>
      <c r="AE13" s="502">
        <v>367.09275300000002</v>
      </c>
      <c r="AF13" s="502">
        <v>353.83854500000001</v>
      </c>
      <c r="AG13" s="502">
        <v>361.13932999999997</v>
      </c>
      <c r="AH13" s="502">
        <v>327.19678900000002</v>
      </c>
      <c r="AI13" s="502">
        <v>369.84122400000001</v>
      </c>
      <c r="AJ13" s="502">
        <v>379.481426</v>
      </c>
      <c r="AK13" s="502">
        <v>360.72497399999997</v>
      </c>
      <c r="AL13" s="502">
        <v>339.53877399999999</v>
      </c>
      <c r="AM13" s="502">
        <v>368.48313000000002</v>
      </c>
      <c r="AN13" s="502">
        <v>325.95219800000001</v>
      </c>
      <c r="AO13" s="502">
        <v>377.92504300000002</v>
      </c>
      <c r="AP13" s="502">
        <v>389.421492</v>
      </c>
      <c r="AQ13" s="502">
        <v>381.45646299999999</v>
      </c>
      <c r="AR13" s="502">
        <v>328.78009500000002</v>
      </c>
      <c r="AS13" s="502">
        <v>335.43244700000002</v>
      </c>
      <c r="AT13" s="502">
        <v>345.93352800000002</v>
      </c>
      <c r="AU13" s="502">
        <v>354.90658500000001</v>
      </c>
      <c r="AV13" s="502">
        <v>319.50675100000001</v>
      </c>
      <c r="AW13" s="502">
        <v>308.09489100000002</v>
      </c>
      <c r="AX13" s="502">
        <v>325.35679099999999</v>
      </c>
    </row>
    <row r="14" spans="1:50">
      <c r="A14" s="489" t="s">
        <v>587</v>
      </c>
      <c r="B14" s="485"/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75"/>
      <c r="Z14" s="492"/>
      <c r="AA14" s="503" t="s">
        <v>604</v>
      </c>
      <c r="AB14" s="504"/>
      <c r="AC14" s="504"/>
      <c r="AD14" s="504"/>
      <c r="AE14" s="504"/>
      <c r="AF14" s="504"/>
      <c r="AG14" s="504"/>
      <c r="AH14" s="504"/>
      <c r="AI14" s="504"/>
      <c r="AJ14" s="504"/>
      <c r="AK14" s="504"/>
      <c r="AL14" s="504"/>
      <c r="AM14" s="504"/>
      <c r="AN14" s="504"/>
      <c r="AO14" s="504"/>
      <c r="AP14" s="504"/>
      <c r="AQ14" s="504"/>
      <c r="AR14" s="504"/>
      <c r="AS14" s="504"/>
      <c r="AT14" s="504"/>
      <c r="AU14" s="504"/>
      <c r="AV14" s="504"/>
      <c r="AW14" s="504"/>
      <c r="AX14" s="504"/>
    </row>
    <row r="15" spans="1:50">
      <c r="A15" s="478" t="s">
        <v>577</v>
      </c>
      <c r="B15" s="485">
        <v>2516.4389999999999</v>
      </c>
      <c r="C15" s="485">
        <v>2555.9949999999999</v>
      </c>
      <c r="D15" s="485">
        <v>2600.8069999999998</v>
      </c>
      <c r="E15" s="485">
        <v>2644.8969999999999</v>
      </c>
      <c r="F15" s="485">
        <v>2690.4740000000002</v>
      </c>
      <c r="G15" s="485">
        <v>2730.9110000000001</v>
      </c>
      <c r="H15" s="485">
        <v>2767.9259999999999</v>
      </c>
      <c r="I15" s="485">
        <v>2801.4560000000001</v>
      </c>
      <c r="J15" s="485">
        <v>2833.085</v>
      </c>
      <c r="K15" s="485">
        <v>2855.1190000000001</v>
      </c>
      <c r="L15" s="485">
        <v>2879.7539999999999</v>
      </c>
      <c r="M15" s="485">
        <v>2901.6260000000002</v>
      </c>
      <c r="N15" s="485">
        <v>2925.0169999999998</v>
      </c>
      <c r="O15" s="485">
        <v>2945.2109999999998</v>
      </c>
      <c r="P15" s="485">
        <v>2965.1379999999999</v>
      </c>
      <c r="Q15" s="485">
        <v>2982.3820000000001</v>
      </c>
      <c r="R15" s="485">
        <v>3002.9760000000001</v>
      </c>
      <c r="S15" s="485">
        <v>3028.4189999999999</v>
      </c>
      <c r="T15" s="485">
        <v>3057.6860000000001</v>
      </c>
      <c r="U15" s="485">
        <v>3104.8220000000001</v>
      </c>
      <c r="V15" s="485">
        <v>3155.598</v>
      </c>
      <c r="W15" s="485">
        <v>3206.3629999999998</v>
      </c>
      <c r="X15" s="485">
        <v>3257.8780000000002</v>
      </c>
      <c r="Y15" s="475"/>
      <c r="Z15" s="492"/>
      <c r="AA15" s="505" t="s">
        <v>589</v>
      </c>
      <c r="AB15" s="504">
        <v>12.840814</v>
      </c>
      <c r="AC15" s="504">
        <v>9.7472080000000005</v>
      </c>
      <c r="AD15" s="504">
        <v>8.6933620000000005</v>
      </c>
      <c r="AE15" s="504">
        <v>6.6265710000000002</v>
      </c>
      <c r="AF15" s="504">
        <v>4.3880189999999999</v>
      </c>
      <c r="AG15" s="504">
        <v>3.1334680000000001</v>
      </c>
      <c r="AH15" s="504">
        <v>1.7511589999999999</v>
      </c>
      <c r="AI15" s="504">
        <v>1.075861</v>
      </c>
      <c r="AJ15" s="504">
        <v>0.60162800000000005</v>
      </c>
      <c r="AK15" s="504">
        <v>0.36391499999999999</v>
      </c>
      <c r="AL15" s="504">
        <v>0</v>
      </c>
      <c r="AM15" s="504">
        <v>0</v>
      </c>
      <c r="AN15" s="504">
        <v>0</v>
      </c>
      <c r="AO15" s="504">
        <v>0</v>
      </c>
      <c r="AP15" s="504">
        <v>0</v>
      </c>
      <c r="AQ15" s="504">
        <v>0</v>
      </c>
      <c r="AR15" s="504">
        <v>0</v>
      </c>
      <c r="AS15" s="504">
        <v>0</v>
      </c>
      <c r="AT15" s="504">
        <v>0</v>
      </c>
      <c r="AU15" s="504">
        <v>0</v>
      </c>
      <c r="AV15" s="504">
        <v>0</v>
      </c>
      <c r="AW15" s="504">
        <v>0</v>
      </c>
      <c r="AX15" s="504">
        <v>0</v>
      </c>
    </row>
    <row r="16" spans="1:50">
      <c r="A16" s="478" t="s">
        <v>578</v>
      </c>
      <c r="B16" s="485">
        <v>630.89400000000001</v>
      </c>
      <c r="C16" s="485">
        <v>650.73599999999999</v>
      </c>
      <c r="D16" s="485">
        <v>668.93899999999996</v>
      </c>
      <c r="E16" s="485">
        <v>685.43</v>
      </c>
      <c r="F16" s="485">
        <v>703.90800000000002</v>
      </c>
      <c r="G16" s="485">
        <v>720.53</v>
      </c>
      <c r="H16" s="485">
        <v>736.71</v>
      </c>
      <c r="I16" s="485">
        <v>751.39800000000002</v>
      </c>
      <c r="J16" s="485">
        <v>765.21600000000001</v>
      </c>
      <c r="K16" s="485">
        <v>777.64099999999996</v>
      </c>
      <c r="L16" s="485">
        <v>789.70799999999997</v>
      </c>
      <c r="M16" s="485">
        <v>801.75199999999995</v>
      </c>
      <c r="N16" s="485">
        <v>813.81899999999996</v>
      </c>
      <c r="O16" s="485">
        <v>827.08500000000004</v>
      </c>
      <c r="P16" s="485">
        <v>839.46400000000006</v>
      </c>
      <c r="Q16" s="485">
        <v>849.99699999999996</v>
      </c>
      <c r="R16" s="485">
        <v>861.89499999999998</v>
      </c>
      <c r="S16" s="485">
        <v>876.274</v>
      </c>
      <c r="T16" s="485">
        <v>893.43100000000004</v>
      </c>
      <c r="U16" s="485">
        <v>906.68499999999995</v>
      </c>
      <c r="V16" s="485">
        <v>921.88300000000004</v>
      </c>
      <c r="W16" s="485">
        <v>937.09100000000001</v>
      </c>
      <c r="X16" s="485">
        <v>950.84400000000005</v>
      </c>
      <c r="Y16" s="475"/>
      <c r="Z16" s="492"/>
      <c r="AA16" s="505" t="s">
        <v>590</v>
      </c>
      <c r="AB16" s="504">
        <v>12.746309</v>
      </c>
      <c r="AC16" s="504">
        <v>12.773652999999999</v>
      </c>
      <c r="AD16" s="504">
        <v>15.267744</v>
      </c>
      <c r="AE16" s="504">
        <v>15.594333000000001</v>
      </c>
      <c r="AF16" s="504">
        <v>15.594003000000001</v>
      </c>
      <c r="AG16" s="504">
        <v>19.796581</v>
      </c>
      <c r="AH16" s="504">
        <v>17.907692999999998</v>
      </c>
      <c r="AI16" s="504">
        <v>17.903884999999999</v>
      </c>
      <c r="AJ16" s="504">
        <v>15.938632999999999</v>
      </c>
      <c r="AK16" s="504">
        <v>16.931581000000001</v>
      </c>
      <c r="AL16" s="504">
        <v>16.811568999999999</v>
      </c>
      <c r="AM16" s="504">
        <v>13.845713</v>
      </c>
      <c r="AN16" s="504">
        <v>11.518276999999999</v>
      </c>
      <c r="AO16" s="504">
        <v>12.555542000000001</v>
      </c>
      <c r="AP16" s="504">
        <v>11.188264999999999</v>
      </c>
      <c r="AQ16" s="504">
        <v>10.072514999999999</v>
      </c>
      <c r="AR16" s="504">
        <v>7.3003600000000004</v>
      </c>
      <c r="AS16" s="504">
        <v>6.1538399999999998</v>
      </c>
      <c r="AT16" s="504">
        <v>5.9196059999999999</v>
      </c>
      <c r="AU16" s="504">
        <v>4.7742199999999997</v>
      </c>
      <c r="AV16" s="504">
        <v>3.7040860000000002</v>
      </c>
      <c r="AW16" s="504">
        <v>3.2173639999999999</v>
      </c>
      <c r="AX16" s="504">
        <v>3.2230379999999998</v>
      </c>
    </row>
    <row r="17" spans="1:50">
      <c r="A17" s="478" t="s">
        <v>579</v>
      </c>
      <c r="B17" s="485">
        <v>1294.7070000000001</v>
      </c>
      <c r="C17" s="485">
        <v>1302.1310000000001</v>
      </c>
      <c r="D17" s="485">
        <v>1317.8989999999999</v>
      </c>
      <c r="E17" s="485">
        <v>1331.1669999999999</v>
      </c>
      <c r="F17" s="485">
        <v>1349.5129999999999</v>
      </c>
      <c r="G17" s="485">
        <v>1370.953</v>
      </c>
      <c r="H17" s="485">
        <v>1389.1890000000001</v>
      </c>
      <c r="I17" s="485">
        <v>1403.153</v>
      </c>
      <c r="J17" s="485">
        <v>1422.6610000000001</v>
      </c>
      <c r="K17" s="485">
        <v>1441.0930000000001</v>
      </c>
      <c r="L17" s="485">
        <v>1462.9570000000001</v>
      </c>
      <c r="M17" s="485">
        <v>1486.4390000000001</v>
      </c>
      <c r="N17" s="485">
        <v>1506.02</v>
      </c>
      <c r="O17" s="485">
        <v>1527.8520000000001</v>
      </c>
      <c r="P17" s="485">
        <v>1548.556</v>
      </c>
      <c r="Q17" s="485">
        <v>1589.876</v>
      </c>
      <c r="R17" s="485">
        <v>1617.434</v>
      </c>
      <c r="S17" s="485">
        <v>1643.037</v>
      </c>
      <c r="T17" s="485">
        <v>1672.646</v>
      </c>
      <c r="U17" s="485">
        <v>1694.962</v>
      </c>
      <c r="V17" s="485">
        <v>1726.518</v>
      </c>
      <c r="W17" s="485">
        <v>1765.15</v>
      </c>
      <c r="X17" s="485">
        <v>1797.8689999999999</v>
      </c>
      <c r="Y17" s="475"/>
      <c r="Z17" s="492"/>
      <c r="AA17" s="505" t="s">
        <v>591</v>
      </c>
      <c r="AB17" s="504">
        <v>0</v>
      </c>
      <c r="AC17" s="504">
        <v>0</v>
      </c>
      <c r="AD17" s="504">
        <v>0</v>
      </c>
      <c r="AE17" s="504">
        <v>0</v>
      </c>
      <c r="AF17" s="504">
        <v>0</v>
      </c>
      <c r="AG17" s="504">
        <v>0</v>
      </c>
      <c r="AH17" s="504">
        <v>0</v>
      </c>
      <c r="AI17" s="504">
        <v>0</v>
      </c>
      <c r="AJ17" s="504">
        <v>0</v>
      </c>
      <c r="AK17" s="504">
        <v>0</v>
      </c>
      <c r="AL17" s="504">
        <v>0</v>
      </c>
      <c r="AM17" s="504">
        <v>0</v>
      </c>
      <c r="AN17" s="504">
        <v>0</v>
      </c>
      <c r="AO17" s="504">
        <v>0</v>
      </c>
      <c r="AP17" s="504">
        <v>0</v>
      </c>
      <c r="AQ17" s="504">
        <v>0</v>
      </c>
      <c r="AR17" s="504">
        <v>0</v>
      </c>
      <c r="AS17" s="504">
        <v>0</v>
      </c>
      <c r="AT17" s="504">
        <v>0</v>
      </c>
      <c r="AU17" s="504">
        <v>0</v>
      </c>
      <c r="AV17" s="504">
        <v>0</v>
      </c>
      <c r="AW17" s="504">
        <v>0</v>
      </c>
      <c r="AX17" s="504">
        <v>0</v>
      </c>
    </row>
    <row r="18" spans="1:50">
      <c r="A18" s="478" t="s">
        <v>580</v>
      </c>
      <c r="B18" s="485">
        <v>25.254000000000001</v>
      </c>
      <c r="C18" s="485">
        <v>25.195</v>
      </c>
      <c r="D18" s="485">
        <v>25.295999999999999</v>
      </c>
      <c r="E18" s="485">
        <v>25.445</v>
      </c>
      <c r="F18" s="485">
        <v>25.635999999999999</v>
      </c>
      <c r="G18" s="485">
        <v>25.803000000000001</v>
      </c>
      <c r="H18" s="485">
        <v>25.952999999999999</v>
      </c>
      <c r="I18" s="485">
        <v>26.084</v>
      </c>
      <c r="J18" s="485">
        <v>26.204999999999998</v>
      </c>
      <c r="K18" s="485">
        <v>26.259</v>
      </c>
      <c r="L18" s="485">
        <v>26.337</v>
      </c>
      <c r="M18" s="485">
        <v>26.452999999999999</v>
      </c>
      <c r="N18" s="485">
        <v>26.599</v>
      </c>
      <c r="O18" s="485">
        <v>26.721</v>
      </c>
      <c r="P18" s="485">
        <v>26.837</v>
      </c>
      <c r="Q18" s="485">
        <v>26.933</v>
      </c>
      <c r="R18" s="485">
        <v>27.045000000000002</v>
      </c>
      <c r="S18" s="485">
        <v>27.177</v>
      </c>
      <c r="T18" s="485">
        <v>27.29</v>
      </c>
      <c r="U18" s="485">
        <v>27.376000000000001</v>
      </c>
      <c r="V18" s="485">
        <v>27.454000000000001</v>
      </c>
      <c r="W18" s="485">
        <v>27.553000000000001</v>
      </c>
      <c r="X18" s="485">
        <v>27.645</v>
      </c>
      <c r="Y18" s="475"/>
      <c r="Z18" s="492"/>
      <c r="AA18" s="505" t="s">
        <v>592</v>
      </c>
      <c r="AB18" s="504">
        <v>135.39663400000001</v>
      </c>
      <c r="AC18" s="504">
        <v>117.74520800000001</v>
      </c>
      <c r="AD18" s="504">
        <v>115.32059099999999</v>
      </c>
      <c r="AE18" s="504">
        <v>118.870547</v>
      </c>
      <c r="AF18" s="504">
        <v>102.66807799999999</v>
      </c>
      <c r="AG18" s="504">
        <v>93.243594000000002</v>
      </c>
      <c r="AH18" s="504">
        <v>73.962457999999998</v>
      </c>
      <c r="AI18" s="504">
        <v>74.078830999999994</v>
      </c>
      <c r="AJ18" s="504">
        <v>65.612737999999993</v>
      </c>
      <c r="AK18" s="504">
        <v>50.769674000000002</v>
      </c>
      <c r="AL18" s="504">
        <v>38.905523000000002</v>
      </c>
      <c r="AM18" s="504">
        <v>34.965696000000001</v>
      </c>
      <c r="AN18" s="504">
        <v>22.913575000000002</v>
      </c>
      <c r="AO18" s="504">
        <v>19.405626000000002</v>
      </c>
      <c r="AP18" s="504">
        <v>12.845027999999999</v>
      </c>
      <c r="AQ18" s="504">
        <v>6.640466</v>
      </c>
      <c r="AR18" s="504">
        <v>1.5194350000000001</v>
      </c>
      <c r="AS18" s="504">
        <v>0.73156299999999996</v>
      </c>
      <c r="AT18" s="504">
        <v>0.24324200000000001</v>
      </c>
      <c r="AU18" s="504">
        <v>1.5980999999999999E-2</v>
      </c>
      <c r="AV18" s="504">
        <v>0</v>
      </c>
      <c r="AW18" s="504">
        <v>0</v>
      </c>
      <c r="AX18" s="504">
        <v>0</v>
      </c>
    </row>
    <row r="19" spans="1:50"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  <c r="W19" s="485"/>
      <c r="X19" s="485"/>
      <c r="Y19" s="475"/>
      <c r="Z19" s="492"/>
      <c r="AA19" s="505" t="s">
        <v>593</v>
      </c>
      <c r="AB19" s="504">
        <v>64.966541000000007</v>
      </c>
      <c r="AC19" s="504">
        <v>63.259751000000001</v>
      </c>
      <c r="AD19" s="504">
        <v>70.820719999999994</v>
      </c>
      <c r="AE19" s="504">
        <v>83.311751000000001</v>
      </c>
      <c r="AF19" s="504">
        <v>82.907929999999993</v>
      </c>
      <c r="AG19" s="504">
        <v>86.939098999999999</v>
      </c>
      <c r="AH19" s="504">
        <v>80.464951999999997</v>
      </c>
      <c r="AI19" s="504">
        <v>95.074313000000004</v>
      </c>
      <c r="AJ19" s="504">
        <v>99.318485999999993</v>
      </c>
      <c r="AK19" s="504">
        <v>92.498146000000006</v>
      </c>
      <c r="AL19" s="504">
        <v>85.841931000000002</v>
      </c>
      <c r="AM19" s="504">
        <v>95.851887000000005</v>
      </c>
      <c r="AN19" s="504">
        <v>82.010548</v>
      </c>
      <c r="AO19" s="504">
        <v>94.903122999999994</v>
      </c>
      <c r="AP19" s="504">
        <v>95.383077</v>
      </c>
      <c r="AQ19" s="504">
        <v>91.135075000000001</v>
      </c>
      <c r="AR19" s="504">
        <v>72.582854999999995</v>
      </c>
      <c r="AS19" s="504">
        <v>68.204930000000004</v>
      </c>
      <c r="AT19" s="504">
        <v>66.869562999999999</v>
      </c>
      <c r="AU19" s="504">
        <v>63.499648000000001</v>
      </c>
      <c r="AV19" s="504">
        <v>51.269939999999998</v>
      </c>
      <c r="AW19" s="504">
        <v>43.912953000000002</v>
      </c>
      <c r="AX19" s="504">
        <v>41.412241000000002</v>
      </c>
    </row>
    <row r="20" spans="1:50">
      <c r="A20" s="489" t="s">
        <v>581</v>
      </c>
      <c r="B20" s="485"/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75"/>
      <c r="Z20" s="492"/>
      <c r="AA20" s="505" t="s">
        <v>594</v>
      </c>
      <c r="AB20" s="504">
        <v>46.016390999999999</v>
      </c>
      <c r="AC20" s="504">
        <v>47.512551000000002</v>
      </c>
      <c r="AD20" s="504">
        <v>56.351543999999997</v>
      </c>
      <c r="AE20" s="504">
        <v>70.156392999999994</v>
      </c>
      <c r="AF20" s="504">
        <v>74.391396</v>
      </c>
      <c r="AG20" s="504">
        <v>82.947552000000002</v>
      </c>
      <c r="AH20" s="504">
        <v>82.166027</v>
      </c>
      <c r="AI20" s="504">
        <v>102.698117</v>
      </c>
      <c r="AJ20" s="504">
        <v>114.64100000000001</v>
      </c>
      <c r="AK20" s="504">
        <v>113.749358</v>
      </c>
      <c r="AL20" s="504">
        <v>114.05541100000001</v>
      </c>
      <c r="AM20" s="504">
        <v>136.97308699999999</v>
      </c>
      <c r="AN20" s="504">
        <v>126.159761</v>
      </c>
      <c r="AO20" s="504">
        <v>158.29558</v>
      </c>
      <c r="AP20" s="504">
        <v>173.39553000000001</v>
      </c>
      <c r="AQ20" s="504">
        <v>182.29415700000001</v>
      </c>
      <c r="AR20" s="504">
        <v>161.020172</v>
      </c>
      <c r="AS20" s="504">
        <v>169.545716</v>
      </c>
      <c r="AT20" s="504">
        <v>187.68649099999999</v>
      </c>
      <c r="AU20" s="504">
        <v>202.398055</v>
      </c>
      <c r="AV20" s="504">
        <v>187.15285399999999</v>
      </c>
      <c r="AW20" s="504">
        <v>183.924386</v>
      </c>
      <c r="AX20" s="504">
        <v>199.40167199999999</v>
      </c>
    </row>
    <row r="21" spans="1:50">
      <c r="A21" s="478" t="s">
        <v>577</v>
      </c>
      <c r="B21" s="485">
        <v>56.330275999999998</v>
      </c>
      <c r="C21" s="485">
        <v>56.373241999999998</v>
      </c>
      <c r="D21" s="485">
        <v>56.380668999999997</v>
      </c>
      <c r="E21" s="485">
        <v>56.431226000000002</v>
      </c>
      <c r="F21" s="485">
        <v>56.409618000000002</v>
      </c>
      <c r="G21" s="485">
        <v>56.328381999999998</v>
      </c>
      <c r="H21" s="485">
        <v>56.261194000000003</v>
      </c>
      <c r="I21" s="485">
        <v>56.230522999999998</v>
      </c>
      <c r="J21" s="485">
        <v>56.132193000000001</v>
      </c>
      <c r="K21" s="485">
        <v>55.981487999999999</v>
      </c>
      <c r="L21" s="485">
        <v>55.822637999999998</v>
      </c>
      <c r="M21" s="485">
        <v>55.626449000000001</v>
      </c>
      <c r="N21" s="485">
        <v>55.487839999999998</v>
      </c>
      <c r="O21" s="485">
        <v>55.289720000000003</v>
      </c>
      <c r="P21" s="485">
        <v>55.114142999999999</v>
      </c>
      <c r="Q21" s="485">
        <v>54.73075</v>
      </c>
      <c r="R21" s="485">
        <v>54.506903999999999</v>
      </c>
      <c r="S21" s="485">
        <v>54.322313999999999</v>
      </c>
      <c r="T21" s="485">
        <v>54.108244999999997</v>
      </c>
      <c r="U21" s="485">
        <v>54.149042000000001</v>
      </c>
      <c r="V21" s="485">
        <v>54.113405999999998</v>
      </c>
      <c r="W21" s="485">
        <v>54.014113999999999</v>
      </c>
      <c r="X21" s="485">
        <v>53.989896999999999</v>
      </c>
      <c r="Y21" s="475"/>
      <c r="Z21" s="492"/>
      <c r="AA21" s="505" t="s">
        <v>595</v>
      </c>
      <c r="AB21" s="504">
        <v>36.591341999999997</v>
      </c>
      <c r="AC21" s="504">
        <v>34.028616</v>
      </c>
      <c r="AD21" s="504">
        <v>34.440798999999998</v>
      </c>
      <c r="AE21" s="504">
        <v>38.767947999999997</v>
      </c>
      <c r="AF21" s="504">
        <v>39.992429999999999</v>
      </c>
      <c r="AG21" s="504">
        <v>37.279423000000001</v>
      </c>
      <c r="AH21" s="504">
        <v>34.407780000000002</v>
      </c>
      <c r="AI21" s="504">
        <v>37.993859999999998</v>
      </c>
      <c r="AJ21" s="504">
        <v>40.799646000000003</v>
      </c>
      <c r="AK21" s="504">
        <v>43.372664999999998</v>
      </c>
      <c r="AL21" s="504">
        <v>41.753506000000002</v>
      </c>
      <c r="AM21" s="504">
        <v>42.543052000000003</v>
      </c>
      <c r="AN21" s="504">
        <v>40.407133000000002</v>
      </c>
      <c r="AO21" s="504">
        <v>47.931671000000001</v>
      </c>
      <c r="AP21" s="504">
        <v>51.487955999999997</v>
      </c>
      <c r="AQ21" s="504">
        <v>48.494557999999998</v>
      </c>
      <c r="AR21" s="504">
        <v>42.775139000000003</v>
      </c>
      <c r="AS21" s="504">
        <v>45.150902000000002</v>
      </c>
      <c r="AT21" s="504">
        <v>43.549480000000003</v>
      </c>
      <c r="AU21" s="504">
        <v>46.155273999999999</v>
      </c>
      <c r="AV21" s="504">
        <v>42.069766000000001</v>
      </c>
      <c r="AW21" s="504">
        <v>41.207534000000003</v>
      </c>
      <c r="AX21" s="504">
        <v>42.214314000000002</v>
      </c>
    </row>
    <row r="22" spans="1:50">
      <c r="A22" s="478" t="s">
        <v>578</v>
      </c>
      <c r="B22" s="485">
        <v>14.122507000000001</v>
      </c>
      <c r="C22" s="485">
        <v>14.352179</v>
      </c>
      <c r="D22" s="485">
        <v>14.501355999999999</v>
      </c>
      <c r="E22" s="485">
        <v>14.624253</v>
      </c>
      <c r="F22" s="485">
        <v>14.758431</v>
      </c>
      <c r="G22" s="485">
        <v>14.861814000000001</v>
      </c>
      <c r="H22" s="485">
        <v>14.974456</v>
      </c>
      <c r="I22" s="485">
        <v>15.08198</v>
      </c>
      <c r="J22" s="485">
        <v>15.161296</v>
      </c>
      <c r="K22" s="485">
        <v>15.247522999999999</v>
      </c>
      <c r="L22" s="485">
        <v>15.308108000000001</v>
      </c>
      <c r="M22" s="485">
        <v>15.370210999999999</v>
      </c>
      <c r="N22" s="485">
        <v>15.438221</v>
      </c>
      <c r="O22" s="485">
        <v>15.526661000000001</v>
      </c>
      <c r="P22" s="485">
        <v>15.603432</v>
      </c>
      <c r="Q22" s="485">
        <v>15.598597</v>
      </c>
      <c r="R22" s="485">
        <v>15.644221</v>
      </c>
      <c r="S22" s="485">
        <v>15.718178999999999</v>
      </c>
      <c r="T22" s="485">
        <v>15.809989</v>
      </c>
      <c r="U22" s="485">
        <v>15.812859</v>
      </c>
      <c r="V22" s="485">
        <v>15.808804</v>
      </c>
      <c r="W22" s="485">
        <v>15.786155000000001</v>
      </c>
      <c r="X22" s="485">
        <v>15.757486</v>
      </c>
      <c r="Y22" s="475"/>
      <c r="Z22" s="492"/>
      <c r="AA22" s="505" t="s">
        <v>596</v>
      </c>
      <c r="AB22" s="504">
        <v>1.7700629999999999</v>
      </c>
      <c r="AC22" s="504">
        <v>1.654226</v>
      </c>
      <c r="AD22" s="504">
        <v>1.637853</v>
      </c>
      <c r="AE22" s="504">
        <v>1.8311789999999999</v>
      </c>
      <c r="AF22" s="504">
        <v>1.9288689999999999</v>
      </c>
      <c r="AG22" s="504">
        <v>1.773798</v>
      </c>
      <c r="AH22" s="504">
        <v>1.6296139999999999</v>
      </c>
      <c r="AI22" s="504">
        <v>1.790583</v>
      </c>
      <c r="AJ22" s="504">
        <v>1.817706</v>
      </c>
      <c r="AK22" s="504">
        <v>1.8942300000000001</v>
      </c>
      <c r="AL22" s="504">
        <v>1.843243</v>
      </c>
      <c r="AM22" s="504">
        <v>1.7680279999999999</v>
      </c>
      <c r="AN22" s="504">
        <v>1.7415909999999999</v>
      </c>
      <c r="AO22" s="504">
        <v>1.890733</v>
      </c>
      <c r="AP22" s="504">
        <v>2.0847359999999999</v>
      </c>
      <c r="AQ22" s="504">
        <v>1.9444349999999999</v>
      </c>
      <c r="AR22" s="504">
        <v>1.7646059999999999</v>
      </c>
      <c r="AS22" s="504">
        <v>2.0276190000000001</v>
      </c>
      <c r="AT22" s="504">
        <v>2.0768559999999998</v>
      </c>
      <c r="AU22" s="504">
        <v>2.3119040000000002</v>
      </c>
      <c r="AV22" s="504">
        <v>2.2790849999999998</v>
      </c>
      <c r="AW22" s="504">
        <v>2.4023850000000002</v>
      </c>
      <c r="AX22" s="504">
        <v>2.6340050000000002</v>
      </c>
    </row>
    <row r="23" spans="1:50">
      <c r="A23" s="478" t="s">
        <v>579</v>
      </c>
      <c r="B23" s="485">
        <v>28.981914</v>
      </c>
      <c r="C23" s="485">
        <v>28.718903999999998</v>
      </c>
      <c r="D23" s="485">
        <v>28.569614999999999</v>
      </c>
      <c r="E23" s="485">
        <v>28.401633</v>
      </c>
      <c r="F23" s="485">
        <v>28.294454000000002</v>
      </c>
      <c r="G23" s="485">
        <v>28.277585999999999</v>
      </c>
      <c r="H23" s="485">
        <v>28.236823999999999</v>
      </c>
      <c r="I23" s="485">
        <v>28.163948000000001</v>
      </c>
      <c r="J23" s="485">
        <v>28.187314000000001</v>
      </c>
      <c r="K23" s="485">
        <v>28.256108000000001</v>
      </c>
      <c r="L23" s="485">
        <v>28.358726000000001</v>
      </c>
      <c r="M23" s="485">
        <v>28.496206999999998</v>
      </c>
      <c r="N23" s="485">
        <v>28.569348999999999</v>
      </c>
      <c r="O23" s="485">
        <v>28.681996999999999</v>
      </c>
      <c r="P23" s="485">
        <v>28.783602999999999</v>
      </c>
      <c r="Q23" s="485">
        <v>29.176390999999999</v>
      </c>
      <c r="R23" s="485">
        <v>29.357990000000001</v>
      </c>
      <c r="S23" s="485">
        <v>29.472014000000001</v>
      </c>
      <c r="T23" s="485">
        <v>29.598842999999999</v>
      </c>
      <c r="U23" s="485">
        <v>29.560658</v>
      </c>
      <c r="V23" s="485">
        <v>29.607005000000001</v>
      </c>
      <c r="W23" s="485">
        <v>29.735575999999998</v>
      </c>
      <c r="X23" s="485">
        <v>29.794483</v>
      </c>
      <c r="Y23" s="475"/>
      <c r="Z23" s="492"/>
      <c r="AA23" s="505" t="s">
        <v>584</v>
      </c>
      <c r="AB23" s="504">
        <v>4.761393</v>
      </c>
      <c r="AC23" s="504">
        <v>4.4197139999999999</v>
      </c>
      <c r="AD23" s="504">
        <v>4.327839</v>
      </c>
      <c r="AE23" s="504">
        <v>4.9125889999999997</v>
      </c>
      <c r="AF23" s="504">
        <v>4.8947770000000004</v>
      </c>
      <c r="AG23" s="504">
        <v>6.424919</v>
      </c>
      <c r="AH23" s="504">
        <v>7.4087100000000001</v>
      </c>
      <c r="AI23" s="504">
        <v>8.3963669999999997</v>
      </c>
      <c r="AJ23" s="504">
        <v>9.1543849999999996</v>
      </c>
      <c r="AK23" s="504">
        <v>8.2323509999999995</v>
      </c>
      <c r="AL23" s="504">
        <v>8.7335840000000005</v>
      </c>
      <c r="AM23" s="504">
        <v>10.425242000000001</v>
      </c>
      <c r="AN23" s="504">
        <v>12.032135</v>
      </c>
      <c r="AO23" s="504">
        <v>8.5112509999999997</v>
      </c>
      <c r="AP23" s="504">
        <v>7.7245629999999998</v>
      </c>
      <c r="AQ23" s="504">
        <v>7.5827</v>
      </c>
      <c r="AR23" s="504">
        <v>10.468502000000001</v>
      </c>
      <c r="AS23" s="504">
        <v>10.826319</v>
      </c>
      <c r="AT23" s="504">
        <v>8.0661129999999996</v>
      </c>
      <c r="AU23" s="504">
        <v>8.242661</v>
      </c>
      <c r="AV23" s="504">
        <v>8.2407710000000005</v>
      </c>
      <c r="AW23" s="504">
        <v>9.4562069999999991</v>
      </c>
      <c r="AX23" s="504">
        <v>10.165279</v>
      </c>
    </row>
    <row r="24" spans="1:50">
      <c r="A24" s="478" t="s">
        <v>580</v>
      </c>
      <c r="B24" s="485">
        <v>0.565303</v>
      </c>
      <c r="C24" s="485">
        <v>0.55567500000000003</v>
      </c>
      <c r="D24" s="485">
        <v>0.54835999999999996</v>
      </c>
      <c r="E24" s="485">
        <v>0.54288800000000004</v>
      </c>
      <c r="F24" s="485">
        <v>0.53749800000000003</v>
      </c>
      <c r="G24" s="485">
        <v>0.532219</v>
      </c>
      <c r="H24" s="485">
        <v>0.52752699999999997</v>
      </c>
      <c r="I24" s="485">
        <v>0.52354999999999996</v>
      </c>
      <c r="J24" s="485">
        <v>0.51919800000000005</v>
      </c>
      <c r="K24" s="485">
        <v>0.51488100000000003</v>
      </c>
      <c r="L24" s="485">
        <v>0.51052799999999998</v>
      </c>
      <c r="M24" s="485">
        <v>0.50713200000000003</v>
      </c>
      <c r="N24" s="485">
        <v>0.50458899999999995</v>
      </c>
      <c r="O24" s="485">
        <v>0.50162300000000004</v>
      </c>
      <c r="P24" s="485">
        <v>0.49882199999999999</v>
      </c>
      <c r="Q24" s="485">
        <v>0.49426199999999998</v>
      </c>
      <c r="R24" s="485">
        <v>0.49088599999999999</v>
      </c>
      <c r="S24" s="485">
        <v>0.48749300000000001</v>
      </c>
      <c r="T24" s="485">
        <v>0.48292299999999999</v>
      </c>
      <c r="U24" s="485">
        <v>0.47744199999999998</v>
      </c>
      <c r="V24" s="485">
        <v>0.47078500000000001</v>
      </c>
      <c r="W24" s="485">
        <v>0.46415499999999998</v>
      </c>
      <c r="X24" s="485">
        <v>0.45813300000000001</v>
      </c>
      <c r="Y24" s="475"/>
      <c r="Z24" s="492"/>
      <c r="AA24" s="505" t="s">
        <v>585</v>
      </c>
      <c r="AB24" s="504">
        <v>3.170963</v>
      </c>
      <c r="AC24" s="504">
        <v>2.5160429999999998</v>
      </c>
      <c r="AD24" s="504">
        <v>2.4678420000000001</v>
      </c>
      <c r="AE24" s="504">
        <v>2.5248919999999999</v>
      </c>
      <c r="AF24" s="504">
        <v>2.5500020000000001</v>
      </c>
      <c r="AG24" s="504">
        <v>2.7553070000000002</v>
      </c>
      <c r="AH24" s="504">
        <v>2.5116149999999999</v>
      </c>
      <c r="AI24" s="504">
        <v>3.083825</v>
      </c>
      <c r="AJ24" s="504">
        <v>3.2666520000000001</v>
      </c>
      <c r="AK24" s="504">
        <v>3.2614350000000001</v>
      </c>
      <c r="AL24" s="504">
        <v>2.9367930000000002</v>
      </c>
      <c r="AM24" s="504">
        <v>3.0228670000000002</v>
      </c>
      <c r="AN24" s="504">
        <v>2.6794159999999998</v>
      </c>
      <c r="AO24" s="504">
        <v>3.0323289999999998</v>
      </c>
      <c r="AP24" s="504">
        <v>2.991034</v>
      </c>
      <c r="AQ24" s="504">
        <v>2.6056879999999998</v>
      </c>
      <c r="AR24" s="504">
        <v>2.3830429999999998</v>
      </c>
      <c r="AS24" s="504">
        <v>2.3423780000000001</v>
      </c>
      <c r="AT24" s="504">
        <v>1.983328</v>
      </c>
      <c r="AU24" s="504">
        <v>1.502623</v>
      </c>
      <c r="AV24" s="504">
        <v>1.2884599999999999</v>
      </c>
      <c r="AW24" s="504">
        <v>1.170372</v>
      </c>
      <c r="AX24" s="504">
        <v>1.2108570000000001</v>
      </c>
    </row>
    <row r="25" spans="1:50">
      <c r="A25" s="478"/>
      <c r="B25" s="485"/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485"/>
      <c r="R25" s="485"/>
      <c r="S25" s="485"/>
      <c r="T25" s="485"/>
      <c r="U25" s="485"/>
      <c r="V25" s="485"/>
      <c r="W25" s="485"/>
      <c r="X25" s="485"/>
      <c r="Y25" s="475"/>
      <c r="Z25" s="492"/>
      <c r="AA25" s="503" t="s">
        <v>597</v>
      </c>
      <c r="AB25" s="504"/>
      <c r="AC25" s="504"/>
      <c r="AD25" s="504"/>
      <c r="AE25" s="504"/>
      <c r="AF25" s="504"/>
      <c r="AG25" s="504"/>
      <c r="AH25" s="504"/>
      <c r="AI25" s="504"/>
      <c r="AJ25" s="504"/>
      <c r="AK25" s="504"/>
      <c r="AL25" s="504"/>
      <c r="AM25" s="504"/>
      <c r="AN25" s="504"/>
      <c r="AO25" s="504"/>
      <c r="AP25" s="504"/>
      <c r="AQ25" s="504"/>
      <c r="AR25" s="504"/>
      <c r="AS25" s="504"/>
      <c r="AT25" s="504"/>
      <c r="AU25" s="504"/>
      <c r="AV25" s="504"/>
      <c r="AW25" s="504"/>
      <c r="AX25" s="504"/>
    </row>
    <row r="26" spans="1:50">
      <c r="A26" s="486"/>
      <c r="B26" s="485"/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75"/>
      <c r="Z26" s="492"/>
      <c r="AA26" s="506" t="s">
        <v>598</v>
      </c>
      <c r="AB26" s="504">
        <v>16.439945000000002</v>
      </c>
      <c r="AC26" s="504">
        <v>13.696706000000001</v>
      </c>
      <c r="AD26" s="504">
        <v>13.152473000000001</v>
      </c>
      <c r="AE26" s="504">
        <v>12.694981</v>
      </c>
      <c r="AF26" s="504">
        <v>12.915241</v>
      </c>
      <c r="AG26" s="504">
        <v>13.096674999999999</v>
      </c>
      <c r="AH26" s="504">
        <v>12.291886</v>
      </c>
      <c r="AI26" s="504">
        <v>14.245537000000001</v>
      </c>
      <c r="AJ26" s="504">
        <v>15.350094</v>
      </c>
      <c r="AK26" s="504">
        <v>15.960623999999999</v>
      </c>
      <c r="AL26" s="504">
        <v>15.070176</v>
      </c>
      <c r="AM26" s="504">
        <v>16.361391999999999</v>
      </c>
      <c r="AN26" s="504">
        <v>15.278661</v>
      </c>
      <c r="AO26" s="504">
        <v>18.351533</v>
      </c>
      <c r="AP26" s="504">
        <v>19.40804</v>
      </c>
      <c r="AQ26" s="504">
        <v>18.231943000000001</v>
      </c>
      <c r="AR26" s="504">
        <v>18.297999000000001</v>
      </c>
      <c r="AS26" s="504">
        <v>19.852253999999999</v>
      </c>
      <c r="AT26" s="504">
        <v>18.65202</v>
      </c>
      <c r="AU26" s="504">
        <v>15.917406</v>
      </c>
      <c r="AV26" s="504">
        <v>14.433206</v>
      </c>
      <c r="AW26" s="504">
        <v>13.847243000000001</v>
      </c>
      <c r="AX26" s="504">
        <v>15.106559000000001</v>
      </c>
    </row>
    <row r="27" spans="1:50">
      <c r="A27" s="489" t="s">
        <v>588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75"/>
      <c r="Z27" s="492"/>
      <c r="AA27" s="506" t="s">
        <v>599</v>
      </c>
      <c r="AB27" s="504">
        <v>8.5556160000000006</v>
      </c>
      <c r="AC27" s="504">
        <v>7.7479509999999996</v>
      </c>
      <c r="AD27" s="504">
        <v>8.7904070000000001</v>
      </c>
      <c r="AE27" s="504">
        <v>8.7758350000000007</v>
      </c>
      <c r="AF27" s="504">
        <v>8.6168800000000001</v>
      </c>
      <c r="AG27" s="504">
        <v>10.458575</v>
      </c>
      <c r="AH27" s="504">
        <v>9.6553120000000003</v>
      </c>
      <c r="AI27" s="504">
        <v>10.104253</v>
      </c>
      <c r="AJ27" s="504">
        <v>9.5425400000000007</v>
      </c>
      <c r="AK27" s="504">
        <v>10.232784000000001</v>
      </c>
      <c r="AL27" s="504">
        <v>10.205185999999999</v>
      </c>
      <c r="AM27" s="504">
        <v>9.2253240000000005</v>
      </c>
      <c r="AN27" s="504">
        <v>8.1046689999999995</v>
      </c>
      <c r="AO27" s="504">
        <v>9.3570840000000004</v>
      </c>
      <c r="AP27" s="504">
        <v>9.1070489999999999</v>
      </c>
      <c r="AQ27" s="504">
        <v>8.6622470000000007</v>
      </c>
      <c r="AR27" s="504">
        <v>7.4571040000000002</v>
      </c>
      <c r="AS27" s="504">
        <v>7.3582910000000004</v>
      </c>
      <c r="AT27" s="504">
        <v>7.4333559999999999</v>
      </c>
      <c r="AU27" s="504">
        <v>6.5369890000000002</v>
      </c>
      <c r="AV27" s="504">
        <v>5.8607779999999998</v>
      </c>
      <c r="AW27" s="504">
        <v>5.8268800000000001</v>
      </c>
      <c r="AX27" s="504">
        <v>6.6111880000000003</v>
      </c>
    </row>
    <row r="28" spans="1:50">
      <c r="A28" s="478" t="s">
        <v>589</v>
      </c>
      <c r="B28" s="485">
        <v>175.94</v>
      </c>
      <c r="C28" s="485">
        <v>147.08099999999999</v>
      </c>
      <c r="D28" s="485">
        <v>115.075</v>
      </c>
      <c r="E28" s="485">
        <v>91.933000000000007</v>
      </c>
      <c r="F28" s="485">
        <v>69.040000000000006</v>
      </c>
      <c r="G28" s="485">
        <v>47.238</v>
      </c>
      <c r="H28" s="485">
        <v>31.797999999999998</v>
      </c>
      <c r="I28" s="485">
        <v>19.146999999999998</v>
      </c>
      <c r="J28" s="485">
        <v>11.75</v>
      </c>
      <c r="K28" s="485">
        <v>6.367</v>
      </c>
      <c r="L28" s="485">
        <v>0</v>
      </c>
      <c r="M28" s="485">
        <v>0</v>
      </c>
      <c r="N28" s="485">
        <v>0</v>
      </c>
      <c r="O28" s="485">
        <v>0</v>
      </c>
      <c r="P28" s="485">
        <v>0</v>
      </c>
      <c r="Q28" s="485">
        <v>0</v>
      </c>
      <c r="R28" s="485">
        <v>0</v>
      </c>
      <c r="S28" s="485">
        <v>0</v>
      </c>
      <c r="T28" s="485">
        <v>0</v>
      </c>
      <c r="U28" s="485">
        <v>0</v>
      </c>
      <c r="V28" s="485">
        <v>0</v>
      </c>
      <c r="W28" s="485">
        <v>0</v>
      </c>
      <c r="X28" s="485">
        <v>0</v>
      </c>
      <c r="Y28" s="313"/>
      <c r="Z28" s="492"/>
      <c r="AA28" s="506" t="s">
        <v>600</v>
      </c>
      <c r="AB28" s="504">
        <v>1.6702699999999999</v>
      </c>
      <c r="AC28" s="504">
        <v>1.575237</v>
      </c>
      <c r="AD28" s="504">
        <v>1.6941550000000001</v>
      </c>
      <c r="AE28" s="504">
        <v>1.9499789999999999</v>
      </c>
      <c r="AF28" s="504">
        <v>1.9212629999999999</v>
      </c>
      <c r="AG28" s="504">
        <v>1.972828</v>
      </c>
      <c r="AH28" s="504">
        <v>1.815599</v>
      </c>
      <c r="AI28" s="504">
        <v>2.1269550000000002</v>
      </c>
      <c r="AJ28" s="504">
        <v>2.2533799999999999</v>
      </c>
      <c r="AK28" s="504">
        <v>2.1688079999999998</v>
      </c>
      <c r="AL28" s="504">
        <v>2.0741770000000002</v>
      </c>
      <c r="AM28" s="504">
        <v>2.3606769999999999</v>
      </c>
      <c r="AN28" s="504">
        <v>2.1089340000000001</v>
      </c>
      <c r="AO28" s="504">
        <v>2.5473370000000002</v>
      </c>
      <c r="AP28" s="504">
        <v>2.7073390000000002</v>
      </c>
      <c r="AQ28" s="504">
        <v>2.7398920000000002</v>
      </c>
      <c r="AR28" s="504">
        <v>2.3672740000000001</v>
      </c>
      <c r="AS28" s="504">
        <v>2.4390049999999999</v>
      </c>
      <c r="AT28" s="504">
        <v>2.6139920000000001</v>
      </c>
      <c r="AU28" s="504">
        <v>2.7634110000000001</v>
      </c>
      <c r="AV28" s="504">
        <v>2.4995530000000001</v>
      </c>
      <c r="AW28" s="504">
        <v>2.41133</v>
      </c>
      <c r="AX28" s="504">
        <v>2.5625110000000002</v>
      </c>
    </row>
    <row r="29" spans="1:50">
      <c r="A29" s="478" t="s">
        <v>590</v>
      </c>
      <c r="B29" s="485">
        <v>207.92</v>
      </c>
      <c r="C29" s="485">
        <v>225.12200000000001</v>
      </c>
      <c r="D29" s="485">
        <v>228.179</v>
      </c>
      <c r="E29" s="485">
        <v>234.095</v>
      </c>
      <c r="F29" s="485">
        <v>244.7</v>
      </c>
      <c r="G29" s="485">
        <v>249.87899999999999</v>
      </c>
      <c r="H29" s="485">
        <v>249.351</v>
      </c>
      <c r="I29" s="485">
        <v>248.58500000000001</v>
      </c>
      <c r="J29" s="485">
        <v>247.774</v>
      </c>
      <c r="K29" s="485">
        <v>246.64099999999999</v>
      </c>
      <c r="L29" s="485">
        <v>244.40600000000001</v>
      </c>
      <c r="M29" s="485">
        <v>241.059</v>
      </c>
      <c r="N29" s="485">
        <v>236.43700000000001</v>
      </c>
      <c r="O29" s="485">
        <v>230.22399999999999</v>
      </c>
      <c r="P29" s="485">
        <v>222.05699999999999</v>
      </c>
      <c r="Q29" s="485">
        <v>211.85400000000001</v>
      </c>
      <c r="R29" s="485">
        <v>199.61199999999999</v>
      </c>
      <c r="S29" s="485">
        <v>184.87799999999999</v>
      </c>
      <c r="T29" s="485">
        <v>168.86099999999999</v>
      </c>
      <c r="U29" s="485">
        <v>151.74700000000001</v>
      </c>
      <c r="V29" s="485">
        <v>134.09800000000001</v>
      </c>
      <c r="W29" s="485">
        <v>116.04600000000001</v>
      </c>
      <c r="X29" s="485">
        <v>101.863</v>
      </c>
      <c r="Y29" s="313"/>
      <c r="Z29" s="492"/>
      <c r="AA29" s="506" t="s">
        <v>601</v>
      </c>
      <c r="AB29" s="504">
        <v>0.90245399999999998</v>
      </c>
      <c r="AC29" s="504">
        <v>0.86356500000000003</v>
      </c>
      <c r="AD29" s="504">
        <v>1.029917</v>
      </c>
      <c r="AE29" s="504">
        <v>1.0757559999999999</v>
      </c>
      <c r="AF29" s="504">
        <v>1.069655</v>
      </c>
      <c r="AG29" s="504">
        <v>1.3175110000000001</v>
      </c>
      <c r="AH29" s="504">
        <v>1.223984</v>
      </c>
      <c r="AI29" s="504">
        <v>1.2688360000000001</v>
      </c>
      <c r="AJ29" s="504">
        <v>1.184537</v>
      </c>
      <c r="AK29" s="504">
        <v>1.2894030000000001</v>
      </c>
      <c r="AL29" s="504">
        <v>1.3076749999999999</v>
      </c>
      <c r="AM29" s="504">
        <v>1.140166</v>
      </c>
      <c r="AN29" s="504">
        <v>0.997498</v>
      </c>
      <c r="AO29" s="504">
        <v>1.143235</v>
      </c>
      <c r="AP29" s="504">
        <v>1.0988739999999999</v>
      </c>
      <c r="AQ29" s="504">
        <v>1.0527869999999999</v>
      </c>
      <c r="AR29" s="504">
        <v>0.84360800000000002</v>
      </c>
      <c r="AS29" s="504">
        <v>0.79962999999999995</v>
      </c>
      <c r="AT29" s="504">
        <v>0.83947899999999998</v>
      </c>
      <c r="AU29" s="504">
        <v>0.78841300000000003</v>
      </c>
      <c r="AV29" s="504">
        <v>0.70825199999999999</v>
      </c>
      <c r="AW29" s="504">
        <v>0.71823800000000004</v>
      </c>
      <c r="AX29" s="504">
        <v>0.81512799999999996</v>
      </c>
    </row>
    <row r="30" spans="1:50">
      <c r="A30" s="478" t="s">
        <v>591</v>
      </c>
      <c r="B30" s="485">
        <v>0</v>
      </c>
      <c r="C30" s="485">
        <v>0</v>
      </c>
      <c r="D30" s="485">
        <v>0</v>
      </c>
      <c r="E30" s="485">
        <v>0</v>
      </c>
      <c r="F30" s="485">
        <v>0</v>
      </c>
      <c r="G30" s="485">
        <v>0</v>
      </c>
      <c r="H30" s="485">
        <v>0</v>
      </c>
      <c r="I30" s="485">
        <v>0</v>
      </c>
      <c r="J30" s="485">
        <v>0</v>
      </c>
      <c r="K30" s="485">
        <v>0</v>
      </c>
      <c r="L30" s="485">
        <v>0</v>
      </c>
      <c r="M30" s="485">
        <v>0</v>
      </c>
      <c r="N30" s="485">
        <v>0</v>
      </c>
      <c r="O30" s="485">
        <v>0</v>
      </c>
      <c r="P30" s="485">
        <v>0</v>
      </c>
      <c r="Q30" s="485">
        <v>0</v>
      </c>
      <c r="R30" s="485">
        <v>0</v>
      </c>
      <c r="S30" s="485">
        <v>0</v>
      </c>
      <c r="T30" s="485">
        <v>0</v>
      </c>
      <c r="U30" s="485">
        <v>0</v>
      </c>
      <c r="V30" s="485">
        <v>0</v>
      </c>
      <c r="W30" s="485">
        <v>0</v>
      </c>
      <c r="X30" s="485">
        <v>0</v>
      </c>
      <c r="Y30" s="313"/>
      <c r="Z30" s="492"/>
      <c r="AA30" s="507"/>
      <c r="AB30" s="504"/>
      <c r="AC30" s="504"/>
      <c r="AD30" s="504"/>
      <c r="AE30" s="504"/>
      <c r="AF30" s="504"/>
      <c r="AG30" s="504"/>
      <c r="AH30" s="504"/>
      <c r="AI30" s="504"/>
      <c r="AJ30" s="504"/>
      <c r="AK30" s="504"/>
      <c r="AL30" s="504"/>
      <c r="AM30" s="504"/>
      <c r="AN30" s="504"/>
      <c r="AO30" s="504"/>
      <c r="AP30" s="504"/>
      <c r="AQ30" s="504"/>
      <c r="AR30" s="504"/>
      <c r="AS30" s="504"/>
      <c r="AT30" s="504"/>
      <c r="AU30" s="504"/>
      <c r="AV30" s="504"/>
      <c r="AW30" s="504"/>
      <c r="AX30" s="504"/>
    </row>
    <row r="31" spans="1:50">
      <c r="A31" s="478" t="s">
        <v>592</v>
      </c>
      <c r="B31" s="485">
        <v>1423.404</v>
      </c>
      <c r="C31" s="485">
        <v>1347.3989999999999</v>
      </c>
      <c r="D31" s="485">
        <v>1264.72</v>
      </c>
      <c r="E31" s="485">
        <v>1173.181</v>
      </c>
      <c r="F31" s="485">
        <v>1073.037</v>
      </c>
      <c r="G31" s="485">
        <v>969.23299999999995</v>
      </c>
      <c r="H31" s="485">
        <v>859.71699999999998</v>
      </c>
      <c r="I31" s="485">
        <v>750.05399999999997</v>
      </c>
      <c r="J31" s="485">
        <v>646</v>
      </c>
      <c r="K31" s="485">
        <v>542.274</v>
      </c>
      <c r="L31" s="485">
        <v>447.07600000000002</v>
      </c>
      <c r="M31" s="485">
        <v>357.78500000000003</v>
      </c>
      <c r="N31" s="485">
        <v>273.17899999999997</v>
      </c>
      <c r="O31" s="485">
        <v>198.11799999999999</v>
      </c>
      <c r="P31" s="485">
        <v>131.001</v>
      </c>
      <c r="Q31" s="485">
        <v>74.667000000000002</v>
      </c>
      <c r="R31" s="485">
        <v>29.882999999999999</v>
      </c>
      <c r="S31" s="485">
        <v>14.983000000000001</v>
      </c>
      <c r="T31" s="485">
        <v>5.3929999999999998</v>
      </c>
      <c r="U31" s="485">
        <v>0.28699999999999998</v>
      </c>
      <c r="V31" s="485">
        <v>0</v>
      </c>
      <c r="W31" s="485">
        <v>0</v>
      </c>
      <c r="X31" s="485">
        <v>0</v>
      </c>
      <c r="Y31" s="313"/>
      <c r="Z31" s="492"/>
      <c r="AA31" s="503" t="s">
        <v>581</v>
      </c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  <c r="AO31" s="504"/>
      <c r="AP31" s="504"/>
      <c r="AQ31" s="504"/>
      <c r="AR31" s="504"/>
      <c r="AS31" s="504"/>
      <c r="AT31" s="504"/>
      <c r="AU31" s="504"/>
      <c r="AV31" s="504"/>
      <c r="AW31" s="504"/>
      <c r="AX31" s="504"/>
    </row>
    <row r="32" spans="1:50">
      <c r="A32" s="478" t="s">
        <v>593</v>
      </c>
      <c r="B32" s="485">
        <v>863.05100000000004</v>
      </c>
      <c r="C32" s="485">
        <v>924.99300000000005</v>
      </c>
      <c r="D32" s="485">
        <v>992.39</v>
      </c>
      <c r="E32" s="485">
        <v>1050.068</v>
      </c>
      <c r="F32" s="485">
        <v>1105.2270000000001</v>
      </c>
      <c r="G32" s="485">
        <v>1152.67</v>
      </c>
      <c r="H32" s="485">
        <v>1191.383</v>
      </c>
      <c r="I32" s="485">
        <v>1223.8150000000001</v>
      </c>
      <c r="J32" s="485">
        <v>1239.691</v>
      </c>
      <c r="K32" s="485">
        <v>1245.8409999999999</v>
      </c>
      <c r="L32" s="485">
        <v>1235.1579999999999</v>
      </c>
      <c r="M32" s="485">
        <v>1219.5640000000001</v>
      </c>
      <c r="N32" s="485">
        <v>1198.4849999999999</v>
      </c>
      <c r="O32" s="485">
        <v>1167.077</v>
      </c>
      <c r="P32" s="485">
        <v>1126.3409999999999</v>
      </c>
      <c r="Q32" s="485">
        <v>1075.7</v>
      </c>
      <c r="R32" s="485">
        <v>1015.235</v>
      </c>
      <c r="S32" s="485">
        <v>943.75699999999995</v>
      </c>
      <c r="T32" s="485">
        <v>869.28599999999994</v>
      </c>
      <c r="U32" s="485">
        <v>795.85299999999995</v>
      </c>
      <c r="V32" s="485">
        <v>725.524</v>
      </c>
      <c r="W32" s="485">
        <v>658.43700000000001</v>
      </c>
      <c r="X32" s="485">
        <v>593.78300000000002</v>
      </c>
      <c r="Y32" s="313"/>
      <c r="Z32" s="492"/>
      <c r="AA32" s="505" t="s">
        <v>589</v>
      </c>
      <c r="AB32" s="504">
        <v>3.7130559999999999</v>
      </c>
      <c r="AC32" s="504">
        <v>3.0695960000000002</v>
      </c>
      <c r="AD32" s="504">
        <v>2.60284</v>
      </c>
      <c r="AE32" s="504">
        <v>1.8051489999999999</v>
      </c>
      <c r="AF32" s="504">
        <v>1.240119</v>
      </c>
      <c r="AG32" s="504">
        <v>0.86766200000000004</v>
      </c>
      <c r="AH32" s="504">
        <v>0.53520100000000004</v>
      </c>
      <c r="AI32" s="504">
        <v>0.29089799999999999</v>
      </c>
      <c r="AJ32" s="504">
        <v>0.15853900000000001</v>
      </c>
      <c r="AK32" s="504">
        <v>0.100884</v>
      </c>
      <c r="AL32" s="504">
        <v>0</v>
      </c>
      <c r="AM32" s="504">
        <v>0</v>
      </c>
      <c r="AN32" s="504">
        <v>0</v>
      </c>
      <c r="AO32" s="504">
        <v>0</v>
      </c>
      <c r="AP32" s="504">
        <v>0</v>
      </c>
      <c r="AQ32" s="504">
        <v>0</v>
      </c>
      <c r="AR32" s="504">
        <v>0</v>
      </c>
      <c r="AS32" s="504">
        <v>0</v>
      </c>
      <c r="AT32" s="504">
        <v>0</v>
      </c>
      <c r="AU32" s="504">
        <v>0</v>
      </c>
      <c r="AV32" s="504">
        <v>0</v>
      </c>
      <c r="AW32" s="504">
        <v>0</v>
      </c>
      <c r="AX32" s="504">
        <v>0</v>
      </c>
    </row>
    <row r="33" spans="1:50">
      <c r="A33" s="478" t="s">
        <v>594</v>
      </c>
      <c r="B33" s="485">
        <v>690.13699999999994</v>
      </c>
      <c r="C33" s="485">
        <v>774.53899999999999</v>
      </c>
      <c r="D33" s="485">
        <v>880.63300000000004</v>
      </c>
      <c r="E33" s="485">
        <v>985.97299999999996</v>
      </c>
      <c r="F33" s="485">
        <v>1105.7660000000001</v>
      </c>
      <c r="G33" s="485">
        <v>1227.7</v>
      </c>
      <c r="H33" s="485">
        <v>1358.7080000000001</v>
      </c>
      <c r="I33" s="485">
        <v>1476.63</v>
      </c>
      <c r="J33" s="485">
        <v>1599.3119999999999</v>
      </c>
      <c r="K33" s="485">
        <v>1713.691</v>
      </c>
      <c r="L33" s="485">
        <v>1838.8109999999999</v>
      </c>
      <c r="M33" s="485">
        <v>1957.8440000000001</v>
      </c>
      <c r="N33" s="485">
        <v>2073.7379999999998</v>
      </c>
      <c r="O33" s="485">
        <v>2194.7289999999998</v>
      </c>
      <c r="P33" s="485">
        <v>2313.4540000000002</v>
      </c>
      <c r="Q33" s="485">
        <v>2444.8739999999998</v>
      </c>
      <c r="R33" s="485">
        <v>2567.5050000000001</v>
      </c>
      <c r="S33" s="485">
        <v>2681.4589999999998</v>
      </c>
      <c r="T33" s="485">
        <v>2798.107</v>
      </c>
      <c r="U33" s="485">
        <v>2911.1930000000002</v>
      </c>
      <c r="V33" s="485">
        <v>3042.723</v>
      </c>
      <c r="W33" s="485">
        <v>3174.096</v>
      </c>
      <c r="X33" s="485">
        <v>3294.18</v>
      </c>
      <c r="Y33" s="313"/>
      <c r="Z33" s="492"/>
      <c r="AA33" s="505" t="s">
        <v>590</v>
      </c>
      <c r="AB33" s="504">
        <v>3.6857289999999998</v>
      </c>
      <c r="AC33" s="504">
        <v>4.0226860000000002</v>
      </c>
      <c r="AD33" s="504">
        <v>4.5712460000000004</v>
      </c>
      <c r="AE33" s="504">
        <v>4.2480630000000001</v>
      </c>
      <c r="AF33" s="504">
        <v>4.4070960000000001</v>
      </c>
      <c r="AG33" s="504">
        <v>5.4817020000000003</v>
      </c>
      <c r="AH33" s="504">
        <v>5.4730650000000001</v>
      </c>
      <c r="AI33" s="504">
        <v>4.8409649999999997</v>
      </c>
      <c r="AJ33" s="504">
        <v>4.2001090000000003</v>
      </c>
      <c r="AK33" s="504">
        <v>4.693765</v>
      </c>
      <c r="AL33" s="504">
        <v>4.9512960000000001</v>
      </c>
      <c r="AM33" s="504">
        <v>3.7574890000000001</v>
      </c>
      <c r="AN33" s="504">
        <v>3.5337320000000001</v>
      </c>
      <c r="AO33" s="504">
        <v>3.3222309999999999</v>
      </c>
      <c r="AP33" s="504">
        <v>2.8730479999999998</v>
      </c>
      <c r="AQ33" s="504">
        <v>2.6405409999999998</v>
      </c>
      <c r="AR33" s="504">
        <v>2.2204389999999998</v>
      </c>
      <c r="AS33" s="504">
        <v>1.8345990000000001</v>
      </c>
      <c r="AT33" s="504">
        <v>1.711198</v>
      </c>
      <c r="AU33" s="504">
        <v>1.345205</v>
      </c>
      <c r="AV33" s="504">
        <v>1.159314</v>
      </c>
      <c r="AW33" s="504">
        <v>1.0442769999999999</v>
      </c>
      <c r="AX33" s="504">
        <v>0.99061600000000005</v>
      </c>
    </row>
    <row r="34" spans="1:50">
      <c r="A34" s="478" t="s">
        <v>595</v>
      </c>
      <c r="B34" s="485">
        <v>729.67200000000003</v>
      </c>
      <c r="C34" s="485">
        <v>733.76</v>
      </c>
      <c r="D34" s="485">
        <v>744.005</v>
      </c>
      <c r="E34" s="485">
        <v>754.02700000000004</v>
      </c>
      <c r="F34" s="485">
        <v>765.94299999999998</v>
      </c>
      <c r="G34" s="485">
        <v>784.21199999999999</v>
      </c>
      <c r="H34" s="485">
        <v>804.62</v>
      </c>
      <c r="I34" s="485">
        <v>827.12900000000002</v>
      </c>
      <c r="J34" s="485">
        <v>857.15300000000002</v>
      </c>
      <c r="K34" s="485">
        <v>888.80600000000004</v>
      </c>
      <c r="L34" s="485">
        <v>923.78099999999995</v>
      </c>
      <c r="M34" s="485">
        <v>960.03899999999999</v>
      </c>
      <c r="N34" s="485">
        <v>993.99400000000003</v>
      </c>
      <c r="O34" s="485">
        <v>1031.277</v>
      </c>
      <c r="P34" s="485">
        <v>1065.4880000000001</v>
      </c>
      <c r="Q34" s="485">
        <v>1104.6279999999999</v>
      </c>
      <c r="R34" s="485">
        <v>1140.5740000000001</v>
      </c>
      <c r="S34" s="485">
        <v>1172.412</v>
      </c>
      <c r="T34" s="485">
        <v>1208.932</v>
      </c>
      <c r="U34" s="485">
        <v>1248.643</v>
      </c>
      <c r="V34" s="485">
        <v>1279.558</v>
      </c>
      <c r="W34" s="485">
        <v>1313.05</v>
      </c>
      <c r="X34" s="485">
        <v>1344.5889999999999</v>
      </c>
      <c r="Y34" s="313"/>
      <c r="Z34" s="492"/>
      <c r="AA34" s="505" t="s">
        <v>591</v>
      </c>
      <c r="AB34" s="504">
        <v>0</v>
      </c>
      <c r="AC34" s="504">
        <v>0</v>
      </c>
      <c r="AD34" s="504">
        <v>0</v>
      </c>
      <c r="AE34" s="504">
        <v>0</v>
      </c>
      <c r="AF34" s="504">
        <v>0</v>
      </c>
      <c r="AG34" s="504">
        <v>0</v>
      </c>
      <c r="AH34" s="504">
        <v>0</v>
      </c>
      <c r="AI34" s="504">
        <v>0</v>
      </c>
      <c r="AJ34" s="504">
        <v>0</v>
      </c>
      <c r="AK34" s="504">
        <v>0</v>
      </c>
      <c r="AL34" s="504">
        <v>0</v>
      </c>
      <c r="AM34" s="504">
        <v>0</v>
      </c>
      <c r="AN34" s="504">
        <v>0</v>
      </c>
      <c r="AO34" s="504">
        <v>0</v>
      </c>
      <c r="AP34" s="504">
        <v>0</v>
      </c>
      <c r="AQ34" s="504">
        <v>0</v>
      </c>
      <c r="AR34" s="504">
        <v>0</v>
      </c>
      <c r="AS34" s="504">
        <v>0</v>
      </c>
      <c r="AT34" s="504">
        <v>0</v>
      </c>
      <c r="AU34" s="504">
        <v>0</v>
      </c>
      <c r="AV34" s="504">
        <v>0</v>
      </c>
      <c r="AW34" s="504">
        <v>0</v>
      </c>
      <c r="AX34" s="504">
        <v>0</v>
      </c>
    </row>
    <row r="35" spans="1:50">
      <c r="A35" s="478" t="s">
        <v>596</v>
      </c>
      <c r="B35" s="485">
        <v>53.073</v>
      </c>
      <c r="C35" s="485">
        <v>53.738</v>
      </c>
      <c r="D35" s="485">
        <v>53.576000000000001</v>
      </c>
      <c r="E35" s="485">
        <v>54.103999999999999</v>
      </c>
      <c r="F35" s="485">
        <v>56.101999999999997</v>
      </c>
      <c r="G35" s="485">
        <v>56.514000000000003</v>
      </c>
      <c r="H35" s="485">
        <v>57.764000000000003</v>
      </c>
      <c r="I35" s="485">
        <v>58.988</v>
      </c>
      <c r="J35" s="485">
        <v>58.1</v>
      </c>
      <c r="K35" s="485">
        <v>58.963999999999999</v>
      </c>
      <c r="L35" s="485">
        <v>61.265999999999998</v>
      </c>
      <c r="M35" s="485">
        <v>60.389000000000003</v>
      </c>
      <c r="N35" s="485">
        <v>64.305000000000007</v>
      </c>
      <c r="O35" s="485">
        <v>61.564</v>
      </c>
      <c r="P35" s="485">
        <v>64.757999999999996</v>
      </c>
      <c r="Q35" s="485">
        <v>66.009</v>
      </c>
      <c r="R35" s="485">
        <v>70.278999999999996</v>
      </c>
      <c r="S35" s="485">
        <v>77.867000000000004</v>
      </c>
      <c r="T35" s="485">
        <v>84.881</v>
      </c>
      <c r="U35" s="485">
        <v>91.909000000000006</v>
      </c>
      <c r="V35" s="485">
        <v>101.407</v>
      </c>
      <c r="W35" s="485">
        <v>111.261</v>
      </c>
      <c r="X35" s="485">
        <v>121.319</v>
      </c>
      <c r="Z35" s="492"/>
      <c r="AA35" s="505" t="s">
        <v>592</v>
      </c>
      <c r="AB35" s="504">
        <v>39.151355000000002</v>
      </c>
      <c r="AC35" s="504">
        <v>37.080382999999998</v>
      </c>
      <c r="AD35" s="504">
        <v>34.527614</v>
      </c>
      <c r="AE35" s="504">
        <v>32.381610999999999</v>
      </c>
      <c r="AF35" s="504">
        <v>29.015515000000001</v>
      </c>
      <c r="AG35" s="504">
        <v>25.819285000000001</v>
      </c>
      <c r="AH35" s="504">
        <v>22.604884999999999</v>
      </c>
      <c r="AI35" s="504">
        <v>20.029900999999999</v>
      </c>
      <c r="AJ35" s="504">
        <v>17.290105000000001</v>
      </c>
      <c r="AK35" s="504">
        <v>14.074344</v>
      </c>
      <c r="AL35" s="504">
        <v>11.458345</v>
      </c>
      <c r="AM35" s="504">
        <v>9.4890899999999991</v>
      </c>
      <c r="AN35" s="504">
        <v>7.0297349999999996</v>
      </c>
      <c r="AO35" s="504">
        <v>5.1347820000000004</v>
      </c>
      <c r="AP35" s="504">
        <v>3.2984900000000001</v>
      </c>
      <c r="AQ35" s="504">
        <v>1.7408189999999999</v>
      </c>
      <c r="AR35" s="504">
        <v>0.46214300000000003</v>
      </c>
      <c r="AS35" s="504">
        <v>0.21809600000000001</v>
      </c>
      <c r="AT35" s="504">
        <v>7.0315000000000003E-2</v>
      </c>
      <c r="AU35" s="504">
        <v>4.5030000000000001E-3</v>
      </c>
      <c r="AV35" s="504">
        <v>0</v>
      </c>
      <c r="AW35" s="504">
        <v>0</v>
      </c>
      <c r="AX35" s="504">
        <v>0</v>
      </c>
    </row>
    <row r="36" spans="1:50">
      <c r="A36" s="478" t="s">
        <v>584</v>
      </c>
      <c r="B36" s="485">
        <v>56.47</v>
      </c>
      <c r="C36" s="485">
        <v>56.269000000000005</v>
      </c>
      <c r="D36" s="485">
        <v>56.472999999999999</v>
      </c>
      <c r="E36" s="485">
        <v>56.675999999999995</v>
      </c>
      <c r="F36" s="485">
        <v>57.617000000000004</v>
      </c>
      <c r="G36" s="485">
        <v>59.746000000000002</v>
      </c>
      <c r="H36" s="485">
        <v>62.954000000000001</v>
      </c>
      <c r="I36" s="485">
        <v>67.352000000000004</v>
      </c>
      <c r="J36" s="485">
        <v>73.453999999999994</v>
      </c>
      <c r="K36" s="485">
        <v>81.116</v>
      </c>
      <c r="L36" s="485">
        <v>90.603999999999999</v>
      </c>
      <c r="M36" s="485">
        <v>100.706</v>
      </c>
      <c r="N36" s="485">
        <v>111.42400000000001</v>
      </c>
      <c r="O36" s="485">
        <v>122.84699999999999</v>
      </c>
      <c r="P36" s="485">
        <v>134.792</v>
      </c>
      <c r="Q36" s="485">
        <v>147.90899999999999</v>
      </c>
      <c r="R36" s="485">
        <v>161.495</v>
      </c>
      <c r="S36" s="485">
        <v>175.321</v>
      </c>
      <c r="T36" s="485">
        <v>190.905</v>
      </c>
      <c r="U36" s="485">
        <v>208.23</v>
      </c>
      <c r="V36" s="485">
        <v>218.839</v>
      </c>
      <c r="W36" s="485">
        <v>230.386</v>
      </c>
      <c r="X36" s="485">
        <v>242.20100000000002</v>
      </c>
      <c r="Z36" s="492"/>
      <c r="AA36" s="505" t="s">
        <v>593</v>
      </c>
      <c r="AB36" s="504">
        <v>18.785755999999999</v>
      </c>
      <c r="AC36" s="504">
        <v>19.921793999999998</v>
      </c>
      <c r="AD36" s="504">
        <v>21.20411</v>
      </c>
      <c r="AE36" s="504">
        <v>22.695014</v>
      </c>
      <c r="AF36" s="504">
        <v>23.431006</v>
      </c>
      <c r="AG36" s="504">
        <v>24.073561999999999</v>
      </c>
      <c r="AH36" s="504">
        <v>24.592219</v>
      </c>
      <c r="AI36" s="504">
        <v>25.706792</v>
      </c>
      <c r="AJ36" s="504">
        <v>26.172160000000002</v>
      </c>
      <c r="AK36" s="504">
        <v>25.642291</v>
      </c>
      <c r="AL36" s="504">
        <v>25.281922999999999</v>
      </c>
      <c r="AM36" s="504">
        <v>26.012557999999999</v>
      </c>
      <c r="AN36" s="504">
        <v>25.160298999999998</v>
      </c>
      <c r="AO36" s="504">
        <v>25.111626000000001</v>
      </c>
      <c r="AP36" s="504">
        <v>24.493531999999998</v>
      </c>
      <c r="AQ36" s="504">
        <v>23.891344</v>
      </c>
      <c r="AR36" s="504">
        <v>22.076414</v>
      </c>
      <c r="AS36" s="504">
        <v>20.333431999999998</v>
      </c>
      <c r="AT36" s="504">
        <v>19.330176999999999</v>
      </c>
      <c r="AU36" s="504">
        <v>17.891933000000002</v>
      </c>
      <c r="AV36" s="504">
        <v>16.046589999999998</v>
      </c>
      <c r="AW36" s="504">
        <v>14.253061000000001</v>
      </c>
      <c r="AX36" s="504">
        <v>12.728255000000001</v>
      </c>
    </row>
    <row r="37" spans="1:50">
      <c r="A37" s="478" t="s">
        <v>585</v>
      </c>
      <c r="B37" s="485">
        <v>42.101999999999997</v>
      </c>
      <c r="C37" s="485">
        <v>40.96</v>
      </c>
      <c r="D37" s="485">
        <v>42.707000000000001</v>
      </c>
      <c r="E37" s="485">
        <v>46.47</v>
      </c>
      <c r="F37" s="485">
        <v>46.838999999999999</v>
      </c>
      <c r="G37" s="485">
        <v>50.548000000000002</v>
      </c>
      <c r="H37" s="485">
        <v>49.512999999999998</v>
      </c>
      <c r="I37" s="485">
        <v>52.805</v>
      </c>
      <c r="J37" s="485">
        <v>52.551000000000002</v>
      </c>
      <c r="K37" s="485">
        <v>51.232999999999997</v>
      </c>
      <c r="L37" s="485">
        <v>49.311</v>
      </c>
      <c r="M37" s="485">
        <v>47.241999999999997</v>
      </c>
      <c r="N37" s="485">
        <v>44.866999999999997</v>
      </c>
      <c r="O37" s="485">
        <v>42.381</v>
      </c>
      <c r="P37" s="485">
        <v>39.732999999999997</v>
      </c>
      <c r="Q37" s="485">
        <v>37.277999999999999</v>
      </c>
      <c r="R37" s="485">
        <v>34.463999999999999</v>
      </c>
      <c r="S37" s="485">
        <v>31.565999999999999</v>
      </c>
      <c r="T37" s="485">
        <v>28.949000000000002</v>
      </c>
      <c r="U37" s="485">
        <v>26.364999999999998</v>
      </c>
      <c r="V37" s="485">
        <v>25.356999999999999</v>
      </c>
      <c r="W37" s="485">
        <v>24.475000000000001</v>
      </c>
      <c r="X37" s="485">
        <v>23.53</v>
      </c>
      <c r="Y37" s="475"/>
      <c r="Z37" s="492"/>
      <c r="AA37" s="505" t="s">
        <v>594</v>
      </c>
      <c r="AB37" s="504">
        <v>13.306120999999999</v>
      </c>
      <c r="AC37" s="504">
        <v>14.962678</v>
      </c>
      <c r="AD37" s="504">
        <v>16.871960000000001</v>
      </c>
      <c r="AE37" s="504">
        <v>19.111353000000001</v>
      </c>
      <c r="AF37" s="504">
        <v>21.024107999999998</v>
      </c>
      <c r="AG37" s="504">
        <v>22.968295999999999</v>
      </c>
      <c r="AH37" s="504">
        <v>25.112113000000001</v>
      </c>
      <c r="AI37" s="504">
        <v>27.768163999999999</v>
      </c>
      <c r="AJ37" s="504">
        <v>30.209911000000002</v>
      </c>
      <c r="AK37" s="504">
        <v>31.533541</v>
      </c>
      <c r="AL37" s="504">
        <v>33.591276999999998</v>
      </c>
      <c r="AM37" s="504">
        <v>37.172145999999998</v>
      </c>
      <c r="AN37" s="504">
        <v>38.704988999999998</v>
      </c>
      <c r="AO37" s="504">
        <v>41.885443000000002</v>
      </c>
      <c r="AP37" s="504">
        <v>44.526440999999998</v>
      </c>
      <c r="AQ37" s="504">
        <v>47.788981</v>
      </c>
      <c r="AR37" s="504">
        <v>48.975037</v>
      </c>
      <c r="AS37" s="504">
        <v>50.545413000000003</v>
      </c>
      <c r="AT37" s="504">
        <v>54.255074</v>
      </c>
      <c r="AU37" s="504">
        <v>57.028542999999999</v>
      </c>
      <c r="AV37" s="504">
        <v>58.575555999999999</v>
      </c>
      <c r="AW37" s="504">
        <v>59.697318000000003</v>
      </c>
      <c r="AX37" s="504">
        <v>61.287078000000001</v>
      </c>
    </row>
    <row r="38" spans="1:50">
      <c r="A38" s="489" t="s">
        <v>597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7"/>
      <c r="R38" s="487"/>
      <c r="S38" s="487"/>
      <c r="T38" s="487"/>
      <c r="U38" s="487"/>
      <c r="V38" s="487"/>
      <c r="W38" s="487"/>
      <c r="X38" s="487"/>
      <c r="Y38" s="475"/>
      <c r="Z38" s="492"/>
      <c r="AA38" s="505" t="s">
        <v>595</v>
      </c>
      <c r="AB38" s="504">
        <v>10.580769999999999</v>
      </c>
      <c r="AC38" s="504">
        <v>10.71631</v>
      </c>
      <c r="AD38" s="504">
        <v>10.311762999999999</v>
      </c>
      <c r="AE38" s="504">
        <v>10.560805</v>
      </c>
      <c r="AF38" s="504">
        <v>11.302452000000001</v>
      </c>
      <c r="AG38" s="504">
        <v>10.322725999999999</v>
      </c>
      <c r="AH38" s="504">
        <v>10.515928000000001</v>
      </c>
      <c r="AI38" s="504">
        <v>10.273019</v>
      </c>
      <c r="AJ38" s="504">
        <v>10.751421000000001</v>
      </c>
      <c r="AK38" s="504">
        <v>12.023749</v>
      </c>
      <c r="AL38" s="504">
        <v>12.297124999999999</v>
      </c>
      <c r="AM38" s="504">
        <v>11.545453999999999</v>
      </c>
      <c r="AN38" s="504">
        <v>12.396644</v>
      </c>
      <c r="AO38" s="504">
        <v>12.682850999999999</v>
      </c>
      <c r="AP38" s="504">
        <v>13.221652000000001</v>
      </c>
      <c r="AQ38" s="504">
        <v>12.712999</v>
      </c>
      <c r="AR38" s="504">
        <v>13.010258</v>
      </c>
      <c r="AS38" s="504">
        <v>13.460504999999999</v>
      </c>
      <c r="AT38" s="504">
        <v>12.588972999999999</v>
      </c>
      <c r="AU38" s="504">
        <v>13.004908</v>
      </c>
      <c r="AV38" s="504">
        <v>13.167097999999999</v>
      </c>
      <c r="AW38" s="504">
        <v>13.374949000000001</v>
      </c>
      <c r="AX38" s="504">
        <v>12.974776</v>
      </c>
    </row>
    <row r="39" spans="1:50">
      <c r="A39" s="486" t="s">
        <v>598</v>
      </c>
      <c r="B39" s="485">
        <v>100.306</v>
      </c>
      <c r="C39" s="485">
        <v>102.105</v>
      </c>
      <c r="D39" s="485">
        <v>104.047</v>
      </c>
      <c r="E39" s="485">
        <v>106.1</v>
      </c>
      <c r="F39" s="485">
        <v>107.977</v>
      </c>
      <c r="G39" s="485">
        <v>110.012</v>
      </c>
      <c r="H39" s="485">
        <v>111.28400000000001</v>
      </c>
      <c r="I39" s="485">
        <v>112.60299999999999</v>
      </c>
      <c r="J39" s="485">
        <v>114.004</v>
      </c>
      <c r="K39" s="485">
        <v>115.41</v>
      </c>
      <c r="L39" s="485">
        <v>116.538</v>
      </c>
      <c r="M39" s="485">
        <v>117.74</v>
      </c>
      <c r="N39" s="485">
        <v>118.979</v>
      </c>
      <c r="O39" s="485">
        <v>120.324</v>
      </c>
      <c r="P39" s="485">
        <v>121.709</v>
      </c>
      <c r="Q39" s="485">
        <v>123.172</v>
      </c>
      <c r="R39" s="485">
        <v>124.693</v>
      </c>
      <c r="S39" s="485">
        <v>125.462</v>
      </c>
      <c r="T39" s="485">
        <v>126.551</v>
      </c>
      <c r="U39" s="485">
        <v>128.001</v>
      </c>
      <c r="V39" s="485">
        <v>129.65</v>
      </c>
      <c r="W39" s="485">
        <v>131.35400000000001</v>
      </c>
      <c r="X39" s="485">
        <v>133.02000000000001</v>
      </c>
      <c r="Y39" s="475"/>
      <c r="Z39" s="492"/>
      <c r="AA39" s="505" t="s">
        <v>596</v>
      </c>
      <c r="AB39" s="504">
        <v>0.51183199999999995</v>
      </c>
      <c r="AC39" s="504">
        <v>0.52095000000000002</v>
      </c>
      <c r="AD39" s="504">
        <v>0.49038199999999998</v>
      </c>
      <c r="AE39" s="504">
        <v>0.49883300000000003</v>
      </c>
      <c r="AF39" s="504">
        <v>0.54512700000000003</v>
      </c>
      <c r="AG39" s="504">
        <v>0.49116700000000002</v>
      </c>
      <c r="AH39" s="504">
        <v>0.49805300000000002</v>
      </c>
      <c r="AI39" s="504">
        <v>0.484149</v>
      </c>
      <c r="AJ39" s="504">
        <v>0.47899700000000001</v>
      </c>
      <c r="AK39" s="504">
        <v>0.52511799999999997</v>
      </c>
      <c r="AL39" s="504">
        <v>0.54286699999999999</v>
      </c>
      <c r="AM39" s="504">
        <v>0.47981200000000002</v>
      </c>
      <c r="AN39" s="504">
        <v>0.53430900000000003</v>
      </c>
      <c r="AO39" s="504">
        <v>0.50029299999999999</v>
      </c>
      <c r="AP39" s="504">
        <v>0.53534199999999998</v>
      </c>
      <c r="AQ39" s="504">
        <v>0.50973999999999997</v>
      </c>
      <c r="AR39" s="504">
        <v>0.536713</v>
      </c>
      <c r="AS39" s="504">
        <v>0.60447899999999999</v>
      </c>
      <c r="AT39" s="504">
        <v>0.60036299999999998</v>
      </c>
      <c r="AU39" s="504">
        <v>0.65141199999999999</v>
      </c>
      <c r="AV39" s="504">
        <v>0.713314</v>
      </c>
      <c r="AW39" s="504">
        <v>0.77975499999999998</v>
      </c>
      <c r="AX39" s="504">
        <v>0.80957400000000002</v>
      </c>
    </row>
    <row r="40" spans="1:50">
      <c r="A40" s="486" t="s">
        <v>599</v>
      </c>
      <c r="B40" s="485">
        <v>91.421000000000006</v>
      </c>
      <c r="C40" s="485">
        <v>93.078999999999994</v>
      </c>
      <c r="D40" s="485">
        <v>94.866</v>
      </c>
      <c r="E40" s="485">
        <v>96.757999999999996</v>
      </c>
      <c r="F40" s="485">
        <v>98.492000000000004</v>
      </c>
      <c r="G40" s="485">
        <v>100.36799999999999</v>
      </c>
      <c r="H40" s="485">
        <v>101.55500000000001</v>
      </c>
      <c r="I40" s="485">
        <v>102.78700000000001</v>
      </c>
      <c r="J40" s="485">
        <v>104.095</v>
      </c>
      <c r="K40" s="485">
        <v>105.40300000000001</v>
      </c>
      <c r="L40" s="485">
        <v>106.46</v>
      </c>
      <c r="M40" s="485">
        <v>107.58199999999999</v>
      </c>
      <c r="N40" s="485">
        <v>108.738</v>
      </c>
      <c r="O40" s="485">
        <v>109.994</v>
      </c>
      <c r="P40" s="485">
        <v>111.28400000000001</v>
      </c>
      <c r="Q40" s="485">
        <v>112.645</v>
      </c>
      <c r="R40" s="485">
        <v>114.06</v>
      </c>
      <c r="S40" s="485">
        <v>114.801</v>
      </c>
      <c r="T40" s="485">
        <v>115.83</v>
      </c>
      <c r="U40" s="485">
        <v>117.185</v>
      </c>
      <c r="V40" s="485">
        <v>118.72</v>
      </c>
      <c r="W40" s="485">
        <v>120.303</v>
      </c>
      <c r="X40" s="485">
        <v>121.85299999999999</v>
      </c>
      <c r="Y40" s="475"/>
      <c r="Z40" s="492"/>
      <c r="AA40" s="505" t="s">
        <v>584</v>
      </c>
      <c r="AB40" s="504">
        <v>1.3768069999999999</v>
      </c>
      <c r="AC40" s="504">
        <v>1.391859</v>
      </c>
      <c r="AD40" s="504">
        <v>1.295779</v>
      </c>
      <c r="AE40" s="504">
        <v>1.3382419999999999</v>
      </c>
      <c r="AF40" s="504">
        <v>1.3833359999999999</v>
      </c>
      <c r="AG40" s="504">
        <v>1.779069</v>
      </c>
      <c r="AH40" s="504">
        <v>2.2642980000000001</v>
      </c>
      <c r="AI40" s="504">
        <v>2.2702629999999999</v>
      </c>
      <c r="AJ40" s="504">
        <v>2.4123410000000001</v>
      </c>
      <c r="AK40" s="504">
        <v>2.282168</v>
      </c>
      <c r="AL40" s="504">
        <v>2.57219</v>
      </c>
      <c r="AM40" s="504">
        <v>2.8292320000000002</v>
      </c>
      <c r="AN40" s="504">
        <v>3.6913800000000001</v>
      </c>
      <c r="AO40" s="504">
        <v>2.2521</v>
      </c>
      <c r="AP40" s="504">
        <v>1.9835989999999999</v>
      </c>
      <c r="AQ40" s="504">
        <v>1.9878279999999999</v>
      </c>
      <c r="AR40" s="504">
        <v>3.1840440000000001</v>
      </c>
      <c r="AS40" s="504">
        <v>3.2275710000000002</v>
      </c>
      <c r="AT40" s="504">
        <v>2.3316949999999999</v>
      </c>
      <c r="AU40" s="504">
        <v>2.3224870000000002</v>
      </c>
      <c r="AV40" s="504">
        <v>2.5792160000000002</v>
      </c>
      <c r="AW40" s="504">
        <v>3.069251</v>
      </c>
      <c r="AX40" s="504">
        <v>3.1243479999999999</v>
      </c>
    </row>
    <row r="41" spans="1:50">
      <c r="A41" s="486" t="s">
        <v>600</v>
      </c>
      <c r="B41" s="485">
        <v>20.454000000000001</v>
      </c>
      <c r="C41" s="485">
        <v>21.227</v>
      </c>
      <c r="D41" s="485">
        <v>22.024000000000001</v>
      </c>
      <c r="E41" s="485">
        <v>22.84</v>
      </c>
      <c r="F41" s="485">
        <v>23.626000000000001</v>
      </c>
      <c r="G41" s="485">
        <v>24.44</v>
      </c>
      <c r="H41" s="485">
        <v>25.114999999999998</v>
      </c>
      <c r="I41" s="485">
        <v>25.795000000000002</v>
      </c>
      <c r="J41" s="485">
        <v>26.488</v>
      </c>
      <c r="K41" s="485">
        <v>27.18</v>
      </c>
      <c r="L41" s="485">
        <v>27.806999999999999</v>
      </c>
      <c r="M41" s="485">
        <v>28.431999999999999</v>
      </c>
      <c r="N41" s="485">
        <v>29.065000000000001</v>
      </c>
      <c r="O41" s="485">
        <v>29.719000000000001</v>
      </c>
      <c r="P41" s="485">
        <v>30.384</v>
      </c>
      <c r="Q41" s="485">
        <v>31.07</v>
      </c>
      <c r="R41" s="485">
        <v>31.768000000000001</v>
      </c>
      <c r="S41" s="485">
        <v>32.314</v>
      </c>
      <c r="T41" s="485">
        <v>32.926000000000002</v>
      </c>
      <c r="U41" s="485">
        <v>33.606999999999999</v>
      </c>
      <c r="V41" s="485">
        <v>34.335000000000001</v>
      </c>
      <c r="W41" s="485">
        <v>35.078000000000003</v>
      </c>
      <c r="X41" s="485">
        <v>35.808999999999997</v>
      </c>
      <c r="Y41" s="475"/>
      <c r="Z41" s="492"/>
      <c r="AA41" s="505" t="s">
        <v>585</v>
      </c>
      <c r="AB41" s="504">
        <v>0.91691699999999998</v>
      </c>
      <c r="AC41" s="504">
        <v>0.79235299999999997</v>
      </c>
      <c r="AD41" s="504">
        <v>0.73888500000000001</v>
      </c>
      <c r="AE41" s="504">
        <v>0.68780799999999997</v>
      </c>
      <c r="AF41" s="504">
        <v>0.72066799999999998</v>
      </c>
      <c r="AG41" s="504">
        <v>0.76294799999999996</v>
      </c>
      <c r="AH41" s="504">
        <v>0.76761599999999997</v>
      </c>
      <c r="AI41" s="504">
        <v>0.83382400000000001</v>
      </c>
      <c r="AJ41" s="504">
        <v>0.86082000000000003</v>
      </c>
      <c r="AK41" s="504">
        <v>0.90413299999999996</v>
      </c>
      <c r="AL41" s="504">
        <v>0.86493600000000004</v>
      </c>
      <c r="AM41" s="504">
        <v>0.82035400000000003</v>
      </c>
      <c r="AN41" s="504">
        <v>0.82202699999999995</v>
      </c>
      <c r="AO41" s="504">
        <v>0.80236300000000005</v>
      </c>
      <c r="AP41" s="504">
        <v>0.76807099999999995</v>
      </c>
      <c r="AQ41" s="504">
        <v>0.68308899999999995</v>
      </c>
      <c r="AR41" s="504">
        <v>0.72481399999999996</v>
      </c>
      <c r="AS41" s="504">
        <v>0.69831600000000005</v>
      </c>
      <c r="AT41" s="504">
        <v>0.573326</v>
      </c>
      <c r="AU41" s="504">
        <v>0.42338599999999998</v>
      </c>
      <c r="AV41" s="504">
        <v>0.40326499999999998</v>
      </c>
      <c r="AW41" s="504">
        <v>0.37987399999999999</v>
      </c>
      <c r="AX41" s="504">
        <v>0.37216300000000002</v>
      </c>
    </row>
    <row r="42" spans="1:50">
      <c r="A42" s="486" t="s">
        <v>601</v>
      </c>
      <c r="B42" s="485">
        <v>13.345000000000001</v>
      </c>
      <c r="C42" s="485">
        <v>13.787000000000001</v>
      </c>
      <c r="D42" s="485">
        <v>14.244</v>
      </c>
      <c r="E42" s="485">
        <v>14.715</v>
      </c>
      <c r="F42" s="485">
        <v>15.166</v>
      </c>
      <c r="G42" s="485">
        <v>15.635</v>
      </c>
      <c r="H42" s="485">
        <v>16.015999999999998</v>
      </c>
      <c r="I42" s="485">
        <v>16.401</v>
      </c>
      <c r="J42" s="485">
        <v>16.794</v>
      </c>
      <c r="K42" s="485">
        <v>17.187000000000001</v>
      </c>
      <c r="L42" s="485">
        <v>17.536999999999999</v>
      </c>
      <c r="M42" s="485">
        <v>17.888000000000002</v>
      </c>
      <c r="N42" s="485">
        <v>18.245000000000001</v>
      </c>
      <c r="O42" s="485">
        <v>18.614999999999998</v>
      </c>
      <c r="P42" s="485">
        <v>18.992999999999999</v>
      </c>
      <c r="Q42" s="485">
        <v>19.382999999999999</v>
      </c>
      <c r="R42" s="485">
        <v>19.782</v>
      </c>
      <c r="S42" s="485">
        <v>20.087</v>
      </c>
      <c r="T42" s="485">
        <v>20.433</v>
      </c>
      <c r="U42" s="485">
        <v>20.824000000000002</v>
      </c>
      <c r="V42" s="485">
        <v>21.242000000000001</v>
      </c>
      <c r="W42" s="485">
        <v>21.669</v>
      </c>
      <c r="X42" s="485">
        <v>22.088000000000001</v>
      </c>
      <c r="Y42" s="475"/>
      <c r="Z42" s="492"/>
      <c r="AA42" s="503" t="s">
        <v>597</v>
      </c>
      <c r="AB42" s="504"/>
      <c r="AC42" s="504"/>
      <c r="AD42" s="504"/>
      <c r="AE42" s="504"/>
      <c r="AF42" s="504"/>
      <c r="AG42" s="504"/>
      <c r="AH42" s="504"/>
      <c r="AI42" s="504"/>
      <c r="AJ42" s="504"/>
      <c r="AK42" s="504"/>
      <c r="AL42" s="504"/>
      <c r="AM42" s="504"/>
      <c r="AN42" s="504"/>
      <c r="AO42" s="504"/>
      <c r="AP42" s="504"/>
      <c r="AQ42" s="504"/>
      <c r="AR42" s="504"/>
      <c r="AS42" s="504"/>
      <c r="AT42" s="504"/>
      <c r="AU42" s="504"/>
      <c r="AV42" s="504"/>
      <c r="AW42" s="504"/>
      <c r="AX42" s="504"/>
    </row>
    <row r="43" spans="1:50">
      <c r="B43" s="488"/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Z43" s="492"/>
      <c r="AA43" s="506" t="s">
        <v>598</v>
      </c>
      <c r="AB43" s="504">
        <v>4.7537820000000002</v>
      </c>
      <c r="AC43" s="504">
        <v>4.3133739999999996</v>
      </c>
      <c r="AD43" s="504">
        <v>3.9379219999999999</v>
      </c>
      <c r="AE43" s="504">
        <v>3.4582489999999999</v>
      </c>
      <c r="AF43" s="504">
        <v>3.6500379999999999</v>
      </c>
      <c r="AG43" s="504">
        <v>3.6264880000000002</v>
      </c>
      <c r="AH43" s="504">
        <v>3.756726</v>
      </c>
      <c r="AI43" s="504">
        <v>3.8517980000000001</v>
      </c>
      <c r="AJ43" s="504">
        <v>4.0450179999999998</v>
      </c>
      <c r="AK43" s="504">
        <v>4.4245960000000002</v>
      </c>
      <c r="AL43" s="504">
        <v>4.4384259999999998</v>
      </c>
      <c r="AM43" s="504">
        <v>4.4402010000000001</v>
      </c>
      <c r="AN43" s="504">
        <v>4.6873930000000001</v>
      </c>
      <c r="AO43" s="504">
        <v>4.8558659999999998</v>
      </c>
      <c r="AP43" s="504">
        <v>4.9838129999999996</v>
      </c>
      <c r="AQ43" s="504">
        <v>4.7795610000000002</v>
      </c>
      <c r="AR43" s="504">
        <v>5.5654219999999999</v>
      </c>
      <c r="AS43" s="504">
        <v>5.9184060000000001</v>
      </c>
      <c r="AT43" s="504">
        <v>5.3917929999999998</v>
      </c>
      <c r="AU43" s="504">
        <v>4.4849569999999996</v>
      </c>
      <c r="AV43" s="504">
        <v>4.5173399999999999</v>
      </c>
      <c r="AW43" s="504">
        <v>4.4944730000000002</v>
      </c>
      <c r="AX43" s="504">
        <v>4.6430749999999996</v>
      </c>
    </row>
    <row r="44" spans="1:50">
      <c r="A44" s="489" t="s">
        <v>581</v>
      </c>
      <c r="B44" s="488"/>
      <c r="C44" s="488"/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8"/>
      <c r="O44" s="488"/>
      <c r="P44" s="488"/>
      <c r="Q44" s="488"/>
      <c r="R44" s="488"/>
      <c r="S44" s="488"/>
      <c r="T44" s="488"/>
      <c r="U44" s="488"/>
      <c r="V44" s="488"/>
      <c r="W44" s="488"/>
      <c r="X44" s="488"/>
      <c r="Z44" s="492"/>
      <c r="AA44" s="506" t="s">
        <v>599</v>
      </c>
      <c r="AB44" s="504">
        <v>2.4739460000000002</v>
      </c>
      <c r="AC44" s="504">
        <v>2.4399890000000002</v>
      </c>
      <c r="AD44" s="504">
        <v>2.6318959999999998</v>
      </c>
      <c r="AE44" s="504">
        <v>2.390631</v>
      </c>
      <c r="AF44" s="504">
        <v>2.4352580000000001</v>
      </c>
      <c r="AG44" s="504">
        <v>2.895994</v>
      </c>
      <c r="AH44" s="504">
        <v>2.9509189999999998</v>
      </c>
      <c r="AI44" s="504">
        <v>2.7320509999999998</v>
      </c>
      <c r="AJ44" s="504">
        <v>2.5146259999999998</v>
      </c>
      <c r="AK44" s="504">
        <v>2.8367270000000002</v>
      </c>
      <c r="AL44" s="504">
        <v>3.0056029999999998</v>
      </c>
      <c r="AM44" s="504">
        <v>2.5035949999999998</v>
      </c>
      <c r="AN44" s="504">
        <v>2.486459</v>
      </c>
      <c r="AO44" s="504">
        <v>2.4759099999999998</v>
      </c>
      <c r="AP44" s="504">
        <v>2.3386100000000001</v>
      </c>
      <c r="AQ44" s="504">
        <v>2.2708349999999999</v>
      </c>
      <c r="AR44" s="504">
        <v>2.268113</v>
      </c>
      <c r="AS44" s="504">
        <v>2.193673</v>
      </c>
      <c r="AT44" s="504">
        <v>2.1487820000000002</v>
      </c>
      <c r="AU44" s="504">
        <v>1.84189</v>
      </c>
      <c r="AV44" s="504">
        <v>1.8343210000000001</v>
      </c>
      <c r="AW44" s="504">
        <v>1.8912610000000001</v>
      </c>
      <c r="AX44" s="504">
        <v>2.031981</v>
      </c>
    </row>
    <row r="45" spans="1:50">
      <c r="A45" s="478" t="s">
        <v>589</v>
      </c>
      <c r="B45" s="488">
        <v>3.9384009999999998</v>
      </c>
      <c r="C45" s="488">
        <v>3.2439209999999998</v>
      </c>
      <c r="D45" s="488">
        <v>2.494618</v>
      </c>
      <c r="E45" s="488">
        <v>1.9614640000000001</v>
      </c>
      <c r="F45" s="488">
        <v>1.447522</v>
      </c>
      <c r="G45" s="488">
        <v>0.97434399999999999</v>
      </c>
      <c r="H45" s="488">
        <v>0.64632999999999996</v>
      </c>
      <c r="I45" s="488">
        <v>0.384322</v>
      </c>
      <c r="J45" s="488">
        <v>0.23281099999999999</v>
      </c>
      <c r="K45" s="488">
        <v>0.124836</v>
      </c>
      <c r="L45" s="488">
        <v>0</v>
      </c>
      <c r="M45" s="488">
        <v>0</v>
      </c>
      <c r="N45" s="488">
        <v>0</v>
      </c>
      <c r="O45" s="488">
        <v>0</v>
      </c>
      <c r="P45" s="488">
        <v>0</v>
      </c>
      <c r="Q45" s="488">
        <v>0</v>
      </c>
      <c r="R45" s="488">
        <v>0</v>
      </c>
      <c r="S45" s="488">
        <v>0</v>
      </c>
      <c r="T45" s="488">
        <v>0</v>
      </c>
      <c r="U45" s="488">
        <v>0</v>
      </c>
      <c r="V45" s="488">
        <v>0</v>
      </c>
      <c r="W45" s="488">
        <v>0</v>
      </c>
      <c r="X45" s="488">
        <v>0</v>
      </c>
      <c r="Z45" s="492"/>
      <c r="AA45" s="506" t="s">
        <v>600</v>
      </c>
      <c r="AB45" s="504">
        <v>0.48297600000000002</v>
      </c>
      <c r="AC45" s="504">
        <v>0.49607400000000001</v>
      </c>
      <c r="AD45" s="504">
        <v>0.507239</v>
      </c>
      <c r="AE45" s="504">
        <v>0.53119499999999997</v>
      </c>
      <c r="AF45" s="504">
        <v>0.54297700000000004</v>
      </c>
      <c r="AG45" s="504">
        <v>0.54627899999999996</v>
      </c>
      <c r="AH45" s="504">
        <v>0.55489500000000003</v>
      </c>
      <c r="AI45" s="504">
        <v>0.57509900000000003</v>
      </c>
      <c r="AJ45" s="504">
        <v>0.59380500000000003</v>
      </c>
      <c r="AK45" s="504">
        <v>0.60123599999999999</v>
      </c>
      <c r="AL45" s="504">
        <v>0.61088100000000001</v>
      </c>
      <c r="AM45" s="504">
        <v>0.64064699999999997</v>
      </c>
      <c r="AN45" s="504">
        <v>0.647007</v>
      </c>
      <c r="AO45" s="504">
        <v>0.67403199999999996</v>
      </c>
      <c r="AP45" s="504">
        <v>0.69522099999999998</v>
      </c>
      <c r="AQ45" s="504">
        <v>0.71827099999999999</v>
      </c>
      <c r="AR45" s="504">
        <v>0.72001800000000005</v>
      </c>
      <c r="AS45" s="504">
        <v>0.72712299999999996</v>
      </c>
      <c r="AT45" s="504">
        <v>0.75563400000000003</v>
      </c>
      <c r="AU45" s="504">
        <v>0.77863099999999996</v>
      </c>
      <c r="AV45" s="504">
        <v>0.78231600000000001</v>
      </c>
      <c r="AW45" s="504">
        <v>0.78265799999999996</v>
      </c>
      <c r="AX45" s="504">
        <v>0.78759999999999997</v>
      </c>
    </row>
    <row r="46" spans="1:50">
      <c r="A46" s="478" t="s">
        <v>590</v>
      </c>
      <c r="B46" s="488">
        <v>4.6542640000000004</v>
      </c>
      <c r="C46" s="488">
        <v>4.9651350000000001</v>
      </c>
      <c r="D46" s="488">
        <v>4.9465019999999997</v>
      </c>
      <c r="E46" s="488">
        <v>4.9946229999999998</v>
      </c>
      <c r="F46" s="488">
        <v>5.1304879999999997</v>
      </c>
      <c r="G46" s="488">
        <v>5.1540699999999999</v>
      </c>
      <c r="H46" s="488">
        <v>5.0683360000000004</v>
      </c>
      <c r="I46" s="488">
        <v>4.9895800000000001</v>
      </c>
      <c r="J46" s="488">
        <v>4.9091769999999997</v>
      </c>
      <c r="K46" s="488">
        <v>4.8359909999999999</v>
      </c>
      <c r="L46" s="488">
        <v>4.7376969999999998</v>
      </c>
      <c r="M46" s="488">
        <v>4.621289</v>
      </c>
      <c r="N46" s="488">
        <v>4.4852359999999996</v>
      </c>
      <c r="O46" s="488">
        <v>4.3219399999999997</v>
      </c>
      <c r="P46" s="488">
        <v>4.1274550000000003</v>
      </c>
      <c r="Q46" s="488">
        <v>3.887813</v>
      </c>
      <c r="R46" s="488">
        <v>3.6231439999999999</v>
      </c>
      <c r="S46" s="488">
        <v>3.3162440000000002</v>
      </c>
      <c r="T46" s="488">
        <v>2.9881319999999998</v>
      </c>
      <c r="U46" s="488">
        <v>2.646509</v>
      </c>
      <c r="V46" s="488">
        <v>2.2995709999999998</v>
      </c>
      <c r="W46" s="488">
        <v>1.954907</v>
      </c>
      <c r="X46" s="488">
        <v>1.6880900000000001</v>
      </c>
      <c r="Z46" s="492"/>
      <c r="AA46" s="506" t="s">
        <v>601</v>
      </c>
      <c r="AB46" s="504">
        <v>0.26095400000000002</v>
      </c>
      <c r="AC46" s="504">
        <v>0.27195399999999997</v>
      </c>
      <c r="AD46" s="504">
        <v>0.308363</v>
      </c>
      <c r="AE46" s="504">
        <v>0.293047</v>
      </c>
      <c r="AF46" s="504">
        <v>0.30230000000000001</v>
      </c>
      <c r="AG46" s="504">
        <v>0.36482100000000001</v>
      </c>
      <c r="AH46" s="504">
        <v>0.37408200000000003</v>
      </c>
      <c r="AI46" s="504">
        <v>0.34307599999999999</v>
      </c>
      <c r="AJ46" s="504">
        <v>0.31214599999999998</v>
      </c>
      <c r="AK46" s="504">
        <v>0.35744799999999999</v>
      </c>
      <c r="AL46" s="504">
        <v>0.385133</v>
      </c>
      <c r="AM46" s="504">
        <v>0.309421</v>
      </c>
      <c r="AN46" s="504">
        <v>0.30602600000000002</v>
      </c>
      <c r="AO46" s="504">
        <v>0.30250300000000002</v>
      </c>
      <c r="AP46" s="504">
        <v>0.28218100000000002</v>
      </c>
      <c r="AQ46" s="504">
        <v>0.27599099999999999</v>
      </c>
      <c r="AR46" s="504">
        <v>0.25658700000000001</v>
      </c>
      <c r="AS46" s="504">
        <v>0.23838799999999999</v>
      </c>
      <c r="AT46" s="504">
        <v>0.242671</v>
      </c>
      <c r="AU46" s="504">
        <v>0.22214700000000001</v>
      </c>
      <c r="AV46" s="504">
        <v>0.22167000000000001</v>
      </c>
      <c r="AW46" s="504">
        <v>0.233122</v>
      </c>
      <c r="AX46" s="504">
        <v>0.25053399999999998</v>
      </c>
    </row>
    <row r="47" spans="1:50">
      <c r="A47" s="478" t="s">
        <v>591</v>
      </c>
      <c r="B47" s="488">
        <v>0</v>
      </c>
      <c r="C47" s="488">
        <v>0</v>
      </c>
      <c r="D47" s="488">
        <v>0</v>
      </c>
      <c r="E47" s="488">
        <v>0</v>
      </c>
      <c r="F47" s="488">
        <v>0</v>
      </c>
      <c r="G47" s="488">
        <v>0</v>
      </c>
      <c r="H47" s="488">
        <v>0</v>
      </c>
      <c r="I47" s="488">
        <v>0</v>
      </c>
      <c r="J47" s="488">
        <v>0</v>
      </c>
      <c r="K47" s="488">
        <v>0</v>
      </c>
      <c r="L47" s="488">
        <v>0</v>
      </c>
      <c r="M47" s="488">
        <v>0</v>
      </c>
      <c r="N47" s="488">
        <v>0</v>
      </c>
      <c r="O47" s="488">
        <v>0</v>
      </c>
      <c r="P47" s="488">
        <v>0</v>
      </c>
      <c r="Q47" s="488">
        <v>0</v>
      </c>
      <c r="R47" s="488">
        <v>0</v>
      </c>
      <c r="S47" s="488">
        <v>0</v>
      </c>
      <c r="T47" s="488">
        <v>0</v>
      </c>
      <c r="U47" s="488">
        <v>0</v>
      </c>
      <c r="V47" s="488">
        <v>0</v>
      </c>
      <c r="W47" s="488">
        <v>0</v>
      </c>
      <c r="X47" s="488">
        <v>0</v>
      </c>
      <c r="Z47" s="492"/>
      <c r="AA47" s="507"/>
      <c r="AB47" s="504"/>
      <c r="AC47" s="504"/>
      <c r="AD47" s="504"/>
      <c r="AE47" s="504"/>
      <c r="AF47" s="504"/>
      <c r="AG47" s="504"/>
      <c r="AH47" s="504"/>
      <c r="AI47" s="504"/>
      <c r="AJ47" s="504"/>
      <c r="AK47" s="504"/>
      <c r="AL47" s="504"/>
      <c r="AM47" s="504"/>
      <c r="AN47" s="504"/>
      <c r="AO47" s="504"/>
      <c r="AP47" s="504"/>
      <c r="AQ47" s="504"/>
      <c r="AR47" s="504"/>
      <c r="AS47" s="504"/>
      <c r="AT47" s="504"/>
      <c r="AU47" s="504"/>
      <c r="AV47" s="504"/>
      <c r="AW47" s="504"/>
      <c r="AX47" s="504"/>
    </row>
    <row r="48" spans="1:50">
      <c r="A48" s="478" t="s">
        <v>592</v>
      </c>
      <c r="B48" s="488">
        <v>31.862779</v>
      </c>
      <c r="C48" s="488">
        <v>29.717299000000001</v>
      </c>
      <c r="D48" s="488">
        <v>27.416791</v>
      </c>
      <c r="E48" s="488">
        <v>25.030850999999998</v>
      </c>
      <c r="F48" s="488">
        <v>22.497741000000001</v>
      </c>
      <c r="G48" s="488">
        <v>19.991613000000001</v>
      </c>
      <c r="H48" s="488">
        <v>17.474723000000001</v>
      </c>
      <c r="I48" s="488">
        <v>15.054995999999999</v>
      </c>
      <c r="J48" s="488">
        <v>12.799262000000001</v>
      </c>
      <c r="K48" s="488">
        <v>10.632588</v>
      </c>
      <c r="L48" s="488">
        <v>8.6663610000000002</v>
      </c>
      <c r="M48" s="488">
        <v>6.8590260000000001</v>
      </c>
      <c r="N48" s="488">
        <v>5.1822220000000003</v>
      </c>
      <c r="O48" s="488">
        <v>3.7192189999999998</v>
      </c>
      <c r="P48" s="488">
        <v>2.434971</v>
      </c>
      <c r="Q48" s="488">
        <v>1.3702449999999999</v>
      </c>
      <c r="R48" s="488">
        <v>0.54240600000000005</v>
      </c>
      <c r="S48" s="488">
        <v>0.26875700000000002</v>
      </c>
      <c r="T48" s="488">
        <v>9.5439999999999997E-2</v>
      </c>
      <c r="U48" s="488">
        <v>5.0080000000000003E-3</v>
      </c>
      <c r="V48" s="488">
        <v>0</v>
      </c>
      <c r="W48" s="488">
        <v>0</v>
      </c>
      <c r="X48" s="488">
        <v>0</v>
      </c>
      <c r="Z48" s="492"/>
      <c r="AA48" s="508" t="s">
        <v>605</v>
      </c>
      <c r="AB48" s="504"/>
      <c r="AC48" s="504"/>
      <c r="AD48" s="504"/>
      <c r="AE48" s="504"/>
      <c r="AF48" s="504"/>
      <c r="AG48" s="504"/>
      <c r="AH48" s="504"/>
      <c r="AI48" s="504"/>
      <c r="AJ48" s="504"/>
      <c r="AK48" s="504"/>
      <c r="AL48" s="504"/>
      <c r="AM48" s="504"/>
      <c r="AN48" s="504"/>
      <c r="AO48" s="504"/>
      <c r="AP48" s="504"/>
      <c r="AQ48" s="504"/>
      <c r="AR48" s="504"/>
      <c r="AS48" s="504"/>
      <c r="AT48" s="504"/>
      <c r="AU48" s="504"/>
      <c r="AV48" s="504"/>
      <c r="AW48" s="504"/>
      <c r="AX48" s="504"/>
    </row>
    <row r="49" spans="1:50">
      <c r="A49" s="478" t="s">
        <v>593</v>
      </c>
      <c r="B49" s="488">
        <v>19.319317000000002</v>
      </c>
      <c r="C49" s="488">
        <v>20.400993</v>
      </c>
      <c r="D49" s="488">
        <v>21.513176000000001</v>
      </c>
      <c r="E49" s="488">
        <v>22.404129000000001</v>
      </c>
      <c r="F49" s="488">
        <v>23.172649</v>
      </c>
      <c r="G49" s="488">
        <v>23.775241999999999</v>
      </c>
      <c r="H49" s="488">
        <v>24.216187000000001</v>
      </c>
      <c r="I49" s="488">
        <v>24.564295000000001</v>
      </c>
      <c r="J49" s="488">
        <v>24.562124000000001</v>
      </c>
      <c r="K49" s="488">
        <v>24.427720999999998</v>
      </c>
      <c r="L49" s="488">
        <v>23.942944000000001</v>
      </c>
      <c r="M49" s="488">
        <v>23.379992000000001</v>
      </c>
      <c r="N49" s="488">
        <v>22.735371000000001</v>
      </c>
      <c r="O49" s="488">
        <v>21.909251999999999</v>
      </c>
      <c r="P49" s="488">
        <v>20.935722999999999</v>
      </c>
      <c r="Q49" s="488">
        <v>19.740549999999999</v>
      </c>
      <c r="R49" s="488">
        <v>18.427496999999999</v>
      </c>
      <c r="S49" s="488">
        <v>16.928659</v>
      </c>
      <c r="T49" s="488">
        <v>15.382720000000001</v>
      </c>
      <c r="U49" s="488">
        <v>13.879922000000001</v>
      </c>
      <c r="V49" s="488">
        <v>12.441559</v>
      </c>
      <c r="W49" s="488">
        <v>11.091977</v>
      </c>
      <c r="X49" s="488">
        <v>9.8402390000000004</v>
      </c>
      <c r="Z49" s="492"/>
      <c r="AA49" s="509" t="s">
        <v>606</v>
      </c>
      <c r="AB49" s="504">
        <v>597.25400000000002</v>
      </c>
      <c r="AC49" s="504">
        <v>610.02099999999996</v>
      </c>
      <c r="AD49" s="504">
        <v>624.34500000000003</v>
      </c>
      <c r="AE49" s="504">
        <v>638.04399999999998</v>
      </c>
      <c r="AF49" s="504">
        <v>652.423</v>
      </c>
      <c r="AG49" s="504">
        <v>665.85400000000004</v>
      </c>
      <c r="AH49" s="504">
        <v>679.221</v>
      </c>
      <c r="AI49" s="504">
        <v>691.20899999999995</v>
      </c>
      <c r="AJ49" s="504">
        <v>703.41800000000001</v>
      </c>
      <c r="AK49" s="504">
        <v>713.34500000000003</v>
      </c>
      <c r="AL49" s="504">
        <v>724.07799999999997</v>
      </c>
      <c r="AM49" s="504">
        <v>735.20399999999995</v>
      </c>
      <c r="AN49" s="504">
        <v>747.06500000000005</v>
      </c>
      <c r="AO49" s="504">
        <v>758.62199999999996</v>
      </c>
      <c r="AP49" s="504">
        <v>769.82600000000002</v>
      </c>
      <c r="AQ49" s="504">
        <v>782.39</v>
      </c>
      <c r="AR49" s="504">
        <v>794.19299999999998</v>
      </c>
      <c r="AS49" s="504">
        <v>807.28200000000004</v>
      </c>
      <c r="AT49" s="504">
        <v>822.12199999999996</v>
      </c>
      <c r="AU49" s="504">
        <v>839.49</v>
      </c>
      <c r="AV49" s="504">
        <v>858.25</v>
      </c>
      <c r="AW49" s="504">
        <v>877.85799999999995</v>
      </c>
      <c r="AX49" s="504">
        <v>896.697</v>
      </c>
    </row>
    <row r="50" spans="1:50">
      <c r="A50" s="478" t="s">
        <v>594</v>
      </c>
      <c r="B50" s="488">
        <v>15.448661</v>
      </c>
      <c r="C50" s="488">
        <v>17.082684</v>
      </c>
      <c r="D50" s="488">
        <v>19.090485999999999</v>
      </c>
      <c r="E50" s="488">
        <v>21.036614</v>
      </c>
      <c r="F50" s="488">
        <v>23.183965000000001</v>
      </c>
      <c r="G50" s="488">
        <v>25.322821999999999</v>
      </c>
      <c r="H50" s="488">
        <v>27.617265</v>
      </c>
      <c r="I50" s="488">
        <v>29.638767999999999</v>
      </c>
      <c r="J50" s="488">
        <v>31.687314000000001</v>
      </c>
      <c r="K50" s="488">
        <v>33.601041000000002</v>
      </c>
      <c r="L50" s="488">
        <v>35.644466000000001</v>
      </c>
      <c r="M50" s="488">
        <v>37.533403999999997</v>
      </c>
      <c r="N50" s="488">
        <v>39.338999999999999</v>
      </c>
      <c r="O50" s="488">
        <v>41.201101999999999</v>
      </c>
      <c r="P50" s="488">
        <v>43.001044</v>
      </c>
      <c r="Q50" s="488">
        <v>44.866764000000003</v>
      </c>
      <c r="R50" s="488">
        <v>46.602679999999999</v>
      </c>
      <c r="S50" s="488">
        <v>48.098728999999999</v>
      </c>
      <c r="T50" s="488">
        <v>49.514780000000002</v>
      </c>
      <c r="U50" s="488">
        <v>50.772089999999999</v>
      </c>
      <c r="V50" s="488">
        <v>52.177788</v>
      </c>
      <c r="W50" s="488">
        <v>53.470556000000002</v>
      </c>
      <c r="X50" s="488">
        <v>54.591504999999998</v>
      </c>
      <c r="Z50" s="492"/>
      <c r="AA50" s="507"/>
      <c r="AB50" s="504"/>
      <c r="AC50" s="504"/>
      <c r="AD50" s="504"/>
      <c r="AE50" s="504"/>
      <c r="AF50" s="504"/>
      <c r="AG50" s="504"/>
      <c r="AH50" s="504"/>
      <c r="AI50" s="504"/>
      <c r="AJ50" s="504"/>
      <c r="AK50" s="504"/>
      <c r="AL50" s="504"/>
      <c r="AM50" s="504"/>
      <c r="AN50" s="504"/>
      <c r="AO50" s="504"/>
      <c r="AP50" s="504"/>
      <c r="AQ50" s="504"/>
      <c r="AR50" s="504"/>
      <c r="AS50" s="504"/>
      <c r="AT50" s="504"/>
      <c r="AU50" s="504"/>
      <c r="AV50" s="504"/>
      <c r="AW50" s="504"/>
      <c r="AX50" s="504"/>
    </row>
    <row r="51" spans="1:50">
      <c r="A51" s="478" t="s">
        <v>595</v>
      </c>
      <c r="B51" s="488">
        <v>16.333639000000002</v>
      </c>
      <c r="C51" s="488">
        <v>16.183298000000001</v>
      </c>
      <c r="D51" s="488">
        <v>16.128648999999999</v>
      </c>
      <c r="E51" s="488">
        <v>16.087824000000001</v>
      </c>
      <c r="F51" s="488">
        <v>16.059076999999998</v>
      </c>
      <c r="G51" s="488">
        <v>16.175341</v>
      </c>
      <c r="H51" s="488">
        <v>16.354813</v>
      </c>
      <c r="I51" s="488">
        <v>16.602042999999998</v>
      </c>
      <c r="J51" s="488">
        <v>16.982849999999999</v>
      </c>
      <c r="K51" s="488">
        <v>17.427185999999999</v>
      </c>
      <c r="L51" s="488">
        <v>17.907053000000001</v>
      </c>
      <c r="M51" s="488">
        <v>18.404700999999999</v>
      </c>
      <c r="N51" s="488">
        <v>18.856164</v>
      </c>
      <c r="O51" s="488">
        <v>19.359901000000001</v>
      </c>
      <c r="P51" s="488">
        <v>19.804634</v>
      </c>
      <c r="Q51" s="488">
        <v>20.271419999999999</v>
      </c>
      <c r="R51" s="488">
        <v>20.702521000000001</v>
      </c>
      <c r="S51" s="488">
        <v>21.030162000000001</v>
      </c>
      <c r="T51" s="488">
        <v>21.393034</v>
      </c>
      <c r="U51" s="488">
        <v>21.776712</v>
      </c>
      <c r="V51" s="488">
        <v>21.942356</v>
      </c>
      <c r="W51" s="488">
        <v>22.119536</v>
      </c>
      <c r="X51" s="488">
        <v>22.282672999999999</v>
      </c>
      <c r="Z51" s="500"/>
      <c r="AA51" s="508" t="s">
        <v>607</v>
      </c>
      <c r="AB51" s="510">
        <v>0.57903099999999996</v>
      </c>
      <c r="AC51" s="510">
        <v>0.52054</v>
      </c>
      <c r="AD51" s="510">
        <v>0.53495300000000001</v>
      </c>
      <c r="AE51" s="510">
        <v>0.57534099999999999</v>
      </c>
      <c r="AF51" s="510">
        <v>0.54234499999999997</v>
      </c>
      <c r="AG51" s="510">
        <v>0.54237000000000002</v>
      </c>
      <c r="AH51" s="510">
        <v>0.48172399999999999</v>
      </c>
      <c r="AI51" s="510">
        <v>0.53506399999999998</v>
      </c>
      <c r="AJ51" s="510">
        <v>0.53948200000000002</v>
      </c>
      <c r="AK51" s="510">
        <v>0.50568100000000005</v>
      </c>
      <c r="AL51" s="510">
        <v>0.46892600000000001</v>
      </c>
      <c r="AM51" s="510">
        <v>0.50119800000000003</v>
      </c>
      <c r="AN51" s="510">
        <v>0.43630999999999998</v>
      </c>
      <c r="AO51" s="510">
        <v>0.49817299999999998</v>
      </c>
      <c r="AP51" s="510">
        <v>0.50585599999999997</v>
      </c>
      <c r="AQ51" s="510">
        <v>0.48755300000000001</v>
      </c>
      <c r="AR51" s="510">
        <v>0.41398000000000001</v>
      </c>
      <c r="AS51" s="510">
        <v>0.41550900000000002</v>
      </c>
      <c r="AT51" s="510">
        <v>0.42078100000000002</v>
      </c>
      <c r="AU51" s="510">
        <v>0.422765</v>
      </c>
      <c r="AV51" s="510">
        <v>0.37227700000000002</v>
      </c>
      <c r="AW51" s="510">
        <v>0.350962</v>
      </c>
      <c r="AX51" s="510">
        <v>0.36283900000000002</v>
      </c>
    </row>
    <row r="52" spans="1:50">
      <c r="A52" s="478" t="s">
        <v>596</v>
      </c>
      <c r="B52" s="488">
        <v>1.1880329999999999</v>
      </c>
      <c r="C52" s="488">
        <v>1.1852100000000001</v>
      </c>
      <c r="D52" s="488">
        <v>1.161435</v>
      </c>
      <c r="E52" s="488">
        <v>1.154363</v>
      </c>
      <c r="F52" s="488">
        <v>1.1762619999999999</v>
      </c>
      <c r="G52" s="488">
        <v>1.1656740000000001</v>
      </c>
      <c r="H52" s="488">
        <v>1.1741109999999999</v>
      </c>
      <c r="I52" s="488">
        <v>1.183996</v>
      </c>
      <c r="J52" s="488">
        <v>1.151143</v>
      </c>
      <c r="K52" s="488">
        <v>1.156129</v>
      </c>
      <c r="L52" s="488">
        <v>1.1876180000000001</v>
      </c>
      <c r="M52" s="488">
        <v>1.1576960000000001</v>
      </c>
      <c r="N52" s="488">
        <v>1.219873</v>
      </c>
      <c r="O52" s="488">
        <v>1.1557249999999999</v>
      </c>
      <c r="P52" s="488">
        <v>1.203676</v>
      </c>
      <c r="Q52" s="488">
        <v>1.211357</v>
      </c>
      <c r="R52" s="488">
        <v>1.2756400000000001</v>
      </c>
      <c r="S52" s="488">
        <v>1.3967430000000001</v>
      </c>
      <c r="T52" s="488">
        <v>1.5020359999999999</v>
      </c>
      <c r="U52" s="488">
        <v>1.6029260000000001</v>
      </c>
      <c r="V52" s="488">
        <v>1.7389619999999999</v>
      </c>
      <c r="W52" s="488">
        <v>1.8742859999999999</v>
      </c>
      <c r="X52" s="488">
        <v>2.0105089999999999</v>
      </c>
      <c r="Z52" s="500"/>
      <c r="AA52" s="501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</row>
    <row r="53" spans="1:50">
      <c r="A53" s="478" t="s">
        <v>584</v>
      </c>
      <c r="B53" s="488">
        <v>1.2640880000000001</v>
      </c>
      <c r="C53" s="488">
        <v>1.241023</v>
      </c>
      <c r="D53" s="488">
        <v>1.2242310000000001</v>
      </c>
      <c r="E53" s="488">
        <v>1.209222</v>
      </c>
      <c r="F53" s="488">
        <v>1.2080230000000001</v>
      </c>
      <c r="G53" s="488">
        <v>1.232345</v>
      </c>
      <c r="H53" s="488">
        <v>1.2796139999999998</v>
      </c>
      <c r="I53" s="488">
        <v>1.3518810000000001</v>
      </c>
      <c r="J53" s="488">
        <v>1.4553609999999999</v>
      </c>
      <c r="K53" s="488">
        <v>1.5904850000000001</v>
      </c>
      <c r="L53" s="488">
        <v>1.7563</v>
      </c>
      <c r="M53" s="488">
        <v>1.9306300000000001</v>
      </c>
      <c r="N53" s="488">
        <v>2.113721</v>
      </c>
      <c r="O53" s="488">
        <v>2.3061739999999999</v>
      </c>
      <c r="P53" s="488">
        <v>2.5054370000000001</v>
      </c>
      <c r="Q53" s="488">
        <v>2.7143230000000003</v>
      </c>
      <c r="R53" s="488">
        <v>2.9312930000000001</v>
      </c>
      <c r="S53" s="488">
        <v>3.1448309999999999</v>
      </c>
      <c r="T53" s="488">
        <v>3.378212</v>
      </c>
      <c r="U53" s="488">
        <v>3.6315840000000001</v>
      </c>
      <c r="V53" s="488">
        <v>3.7527359999999996</v>
      </c>
      <c r="W53" s="488">
        <v>3.881062</v>
      </c>
      <c r="X53" s="488">
        <v>4.013795</v>
      </c>
      <c r="Z53" s="500"/>
      <c r="AA53" s="501"/>
      <c r="AB53" s="502"/>
      <c r="AC53" s="502"/>
      <c r="AD53" s="502"/>
      <c r="AE53" s="502"/>
      <c r="AF53" s="502"/>
      <c r="AG53" s="502"/>
      <c r="AH53" s="502"/>
      <c r="AI53" s="502"/>
      <c r="AJ53" s="502"/>
      <c r="AK53" s="502"/>
      <c r="AL53" s="502"/>
      <c r="AM53" s="502"/>
      <c r="AN53" s="502"/>
      <c r="AO53" s="502"/>
      <c r="AP53" s="502"/>
      <c r="AQ53" s="502"/>
      <c r="AR53" s="502"/>
      <c r="AS53" s="502"/>
      <c r="AT53" s="502"/>
      <c r="AU53" s="502"/>
      <c r="AV53" s="502"/>
      <c r="AW53" s="502"/>
      <c r="AX53" s="502"/>
    </row>
    <row r="54" spans="1:50">
      <c r="A54" s="478" t="s">
        <v>585</v>
      </c>
      <c r="B54" s="488">
        <v>0.94244000000000006</v>
      </c>
      <c r="C54" s="488">
        <v>0.90338399999999996</v>
      </c>
      <c r="D54" s="488">
        <v>0.925813</v>
      </c>
      <c r="E54" s="488">
        <v>0.99147700000000005</v>
      </c>
      <c r="F54" s="488">
        <v>0.982043</v>
      </c>
      <c r="G54" s="488">
        <v>1.042608</v>
      </c>
      <c r="H54" s="488">
        <v>1.0064090000000001</v>
      </c>
      <c r="I54" s="488">
        <v>1.0598920000000001</v>
      </c>
      <c r="J54" s="488">
        <v>1.0411900000000001</v>
      </c>
      <c r="K54" s="488">
        <v>1.004537</v>
      </c>
      <c r="L54" s="488">
        <v>0.95587299999999997</v>
      </c>
      <c r="M54" s="488">
        <v>0.905663</v>
      </c>
      <c r="N54" s="488">
        <v>0.85113099999999997</v>
      </c>
      <c r="O54" s="488">
        <v>0.79561199999999999</v>
      </c>
      <c r="P54" s="488">
        <v>0.738537</v>
      </c>
      <c r="Q54" s="488">
        <v>0.68409600000000004</v>
      </c>
      <c r="R54" s="488">
        <v>0.625556</v>
      </c>
      <c r="S54" s="488">
        <v>0.56621200000000005</v>
      </c>
      <c r="T54" s="488">
        <v>0.51227800000000001</v>
      </c>
      <c r="U54" s="488">
        <v>0.45982000000000001</v>
      </c>
      <c r="V54" s="488">
        <v>0.43483300000000003</v>
      </c>
      <c r="W54" s="488">
        <v>0.41230600000000001</v>
      </c>
      <c r="X54" s="488">
        <v>0.38994099999999998</v>
      </c>
      <c r="Z54" s="492"/>
      <c r="AA54" s="500" t="s">
        <v>608</v>
      </c>
      <c r="AB54" s="502">
        <v>32.530194000000002</v>
      </c>
      <c r="AC54" s="502">
        <v>30.373819000000001</v>
      </c>
      <c r="AD54" s="502">
        <v>30.737109</v>
      </c>
      <c r="AE54" s="502">
        <v>34.238486000000002</v>
      </c>
      <c r="AF54" s="502">
        <v>34.251553999999999</v>
      </c>
      <c r="AG54" s="502">
        <v>31.768395000000002</v>
      </c>
      <c r="AH54" s="502">
        <v>28.500568999999999</v>
      </c>
      <c r="AI54" s="502">
        <v>30.953598</v>
      </c>
      <c r="AJ54" s="502">
        <v>32.431722000000001</v>
      </c>
      <c r="AK54" s="502">
        <v>33.406863000000001</v>
      </c>
      <c r="AL54" s="502">
        <v>30.680671</v>
      </c>
      <c r="AM54" s="502">
        <v>31.337277</v>
      </c>
      <c r="AN54" s="502">
        <v>28.796544000000001</v>
      </c>
      <c r="AO54" s="502">
        <v>33.664247000000003</v>
      </c>
      <c r="AP54" s="502">
        <v>35.746985000000002</v>
      </c>
      <c r="AQ54" s="502">
        <v>33.963441000000003</v>
      </c>
      <c r="AR54" s="502">
        <v>30.098921000000001</v>
      </c>
      <c r="AS54" s="502">
        <v>31.944057999999998</v>
      </c>
      <c r="AT54" s="502">
        <v>31.954768999999999</v>
      </c>
      <c r="AU54" s="502">
        <v>34.465533999999998</v>
      </c>
      <c r="AV54" s="502">
        <v>31.398477</v>
      </c>
      <c r="AW54" s="502">
        <v>30.72308</v>
      </c>
      <c r="AX54" s="502">
        <v>31.703327000000002</v>
      </c>
    </row>
    <row r="55" spans="1:50">
      <c r="A55" s="489" t="s">
        <v>597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Z55" s="500"/>
      <c r="AA55" s="501"/>
      <c r="AB55" s="502"/>
      <c r="AC55" s="502"/>
      <c r="AD55" s="502"/>
      <c r="AE55" s="502"/>
      <c r="AF55" s="502"/>
      <c r="AG55" s="502"/>
      <c r="AH55" s="502"/>
      <c r="AI55" s="502"/>
      <c r="AJ55" s="502"/>
      <c r="AK55" s="502"/>
      <c r="AL55" s="502"/>
      <c r="AM55" s="502"/>
      <c r="AN55" s="502"/>
      <c r="AO55" s="502"/>
      <c r="AP55" s="502"/>
      <c r="AQ55" s="502"/>
      <c r="AR55" s="502"/>
      <c r="AS55" s="502"/>
      <c r="AT55" s="502"/>
      <c r="AU55" s="502"/>
      <c r="AV55" s="502"/>
      <c r="AW55" s="502"/>
      <c r="AX55" s="502"/>
    </row>
    <row r="56" spans="1:50">
      <c r="A56" s="486" t="s">
        <v>598</v>
      </c>
      <c r="B56" s="488">
        <v>2.2453500000000002</v>
      </c>
      <c r="C56" s="488">
        <v>2.2519499999999999</v>
      </c>
      <c r="D56" s="488">
        <v>2.2555559999999999</v>
      </c>
      <c r="E56" s="488">
        <v>2.2637450000000001</v>
      </c>
      <c r="F56" s="488">
        <v>2.2638859999999998</v>
      </c>
      <c r="G56" s="488">
        <v>2.2691330000000001</v>
      </c>
      <c r="H56" s="488">
        <v>2.2619720000000001</v>
      </c>
      <c r="I56" s="488">
        <v>2.2601550000000001</v>
      </c>
      <c r="J56" s="488">
        <v>2.2587760000000001</v>
      </c>
      <c r="K56" s="488">
        <v>2.2628979999999999</v>
      </c>
      <c r="L56" s="488">
        <v>2.2590330000000001</v>
      </c>
      <c r="M56" s="488">
        <v>2.2571629999999998</v>
      </c>
      <c r="N56" s="488">
        <v>2.257047</v>
      </c>
      <c r="O56" s="488">
        <v>2.2588119999999998</v>
      </c>
      <c r="P56" s="488">
        <v>2.2622550000000001</v>
      </c>
      <c r="Q56" s="488">
        <v>2.2603689999999999</v>
      </c>
      <c r="R56" s="488">
        <v>2.26329</v>
      </c>
      <c r="S56" s="488">
        <v>2.25047</v>
      </c>
      <c r="T56" s="488">
        <v>2.2394240000000001</v>
      </c>
      <c r="U56" s="488">
        <v>2.232383</v>
      </c>
      <c r="V56" s="488">
        <v>2.2232880000000002</v>
      </c>
      <c r="W56" s="488">
        <v>2.2127849999999998</v>
      </c>
      <c r="X56" s="488">
        <v>2.2044250000000001</v>
      </c>
      <c r="Z56" s="500"/>
      <c r="AA56" s="501" t="s">
        <v>609</v>
      </c>
      <c r="AB56" s="510">
        <v>0.93614200000000003</v>
      </c>
      <c r="AC56" s="510">
        <v>0.84164399999999995</v>
      </c>
      <c r="AD56" s="510">
        <v>0.89355700000000005</v>
      </c>
      <c r="AE56" s="510">
        <v>0.96407200000000004</v>
      </c>
      <c r="AF56" s="510">
        <v>0.930566</v>
      </c>
      <c r="AG56" s="510">
        <v>0.92401800000000001</v>
      </c>
      <c r="AH56" s="510">
        <v>0.82673300000000005</v>
      </c>
      <c r="AI56" s="510">
        <v>0.90995499999999996</v>
      </c>
      <c r="AJ56" s="510">
        <v>0.93591800000000003</v>
      </c>
      <c r="AK56" s="510">
        <v>0.93668399999999996</v>
      </c>
      <c r="AL56" s="510">
        <v>0.84901700000000002</v>
      </c>
      <c r="AM56" s="510">
        <v>0.870448</v>
      </c>
      <c r="AN56" s="510">
        <v>0.78945799999999999</v>
      </c>
      <c r="AO56" s="510">
        <v>0.91546000000000005</v>
      </c>
      <c r="AP56" s="510">
        <v>0.99540499999999998</v>
      </c>
      <c r="AQ56" s="510">
        <v>0.91982799999999998</v>
      </c>
      <c r="AR56" s="510">
        <v>0.88200100000000003</v>
      </c>
      <c r="AS56" s="510">
        <v>0.91991000000000001</v>
      </c>
      <c r="AT56" s="510">
        <v>0.92142900000000005</v>
      </c>
      <c r="AU56" s="510">
        <v>0.95598499999999997</v>
      </c>
      <c r="AV56" s="510">
        <v>0.84004599999999996</v>
      </c>
      <c r="AW56" s="510">
        <v>0.78918600000000005</v>
      </c>
      <c r="AX56" s="510">
        <v>0.87178699999999998</v>
      </c>
    </row>
    <row r="57" spans="1:50">
      <c r="A57" s="486" t="s">
        <v>599</v>
      </c>
      <c r="B57" s="488">
        <v>2.0464540000000002</v>
      </c>
      <c r="C57" s="488">
        <v>2.0528770000000001</v>
      </c>
      <c r="D57" s="488">
        <v>2.0565180000000001</v>
      </c>
      <c r="E57" s="488">
        <v>2.0644200000000001</v>
      </c>
      <c r="F57" s="488">
        <v>2.0650270000000002</v>
      </c>
      <c r="G57" s="488">
        <v>2.0702189999999998</v>
      </c>
      <c r="H57" s="488">
        <v>2.0642160000000001</v>
      </c>
      <c r="I57" s="488">
        <v>2.0631219999999999</v>
      </c>
      <c r="J57" s="488">
        <v>2.0624370000000001</v>
      </c>
      <c r="K57" s="488">
        <v>2.0666720000000001</v>
      </c>
      <c r="L57" s="488">
        <v>2.063672</v>
      </c>
      <c r="M57" s="488">
        <v>2.0624349999999998</v>
      </c>
      <c r="N57" s="488">
        <v>2.0627749999999998</v>
      </c>
      <c r="O57" s="488">
        <v>2.0648970000000002</v>
      </c>
      <c r="P57" s="488">
        <v>2.0684849999999999</v>
      </c>
      <c r="Q57" s="488">
        <v>2.0671819999999999</v>
      </c>
      <c r="R57" s="488">
        <v>2.0702910000000001</v>
      </c>
      <c r="S57" s="488">
        <v>2.05924</v>
      </c>
      <c r="T57" s="488">
        <v>2.049715</v>
      </c>
      <c r="U57" s="488">
        <v>2.043739</v>
      </c>
      <c r="V57" s="488">
        <v>2.0358499999999999</v>
      </c>
      <c r="W57" s="488">
        <v>2.0266199999999999</v>
      </c>
      <c r="X57" s="488">
        <v>2.019355</v>
      </c>
    </row>
    <row r="58" spans="1:50">
      <c r="A58" s="486" t="s">
        <v>600</v>
      </c>
      <c r="B58" s="488">
        <v>0.45785500000000001</v>
      </c>
      <c r="C58" s="488">
        <v>0.46815899999999999</v>
      </c>
      <c r="D58" s="488">
        <v>0.477439</v>
      </c>
      <c r="E58" s="488">
        <v>0.48731600000000003</v>
      </c>
      <c r="F58" s="488">
        <v>0.49534400000000001</v>
      </c>
      <c r="G58" s="488">
        <v>0.50409999999999999</v>
      </c>
      <c r="H58" s="488">
        <v>0.51048400000000005</v>
      </c>
      <c r="I58" s="488">
        <v>0.51775400000000005</v>
      </c>
      <c r="J58" s="488">
        <v>0.52480400000000005</v>
      </c>
      <c r="K58" s="488">
        <v>0.53293000000000001</v>
      </c>
      <c r="L58" s="488">
        <v>0.53903100000000004</v>
      </c>
      <c r="M58" s="488">
        <v>0.54506500000000002</v>
      </c>
      <c r="N58" s="488">
        <v>0.55135900000000004</v>
      </c>
      <c r="O58" s="488">
        <v>0.55790300000000004</v>
      </c>
      <c r="P58" s="488">
        <v>0.56475799999999998</v>
      </c>
      <c r="Q58" s="488">
        <v>0.57017099999999998</v>
      </c>
      <c r="R58" s="488">
        <v>0.57661700000000005</v>
      </c>
      <c r="S58" s="488">
        <v>0.57963900000000002</v>
      </c>
      <c r="T58" s="488">
        <v>0.58265</v>
      </c>
      <c r="U58" s="488">
        <v>0.58612399999999998</v>
      </c>
      <c r="V58" s="488">
        <v>0.58878600000000003</v>
      </c>
      <c r="W58" s="488">
        <v>0.590924</v>
      </c>
      <c r="X58" s="488">
        <v>0.59342799999999996</v>
      </c>
    </row>
    <row r="59" spans="1:50">
      <c r="A59" s="486" t="s">
        <v>601</v>
      </c>
      <c r="B59" s="488">
        <v>0.29871900000000001</v>
      </c>
      <c r="C59" s="488">
        <v>0.30407000000000001</v>
      </c>
      <c r="D59" s="488">
        <v>0.308786</v>
      </c>
      <c r="E59" s="488">
        <v>0.31395000000000001</v>
      </c>
      <c r="F59" s="488">
        <v>0.31797300000000001</v>
      </c>
      <c r="G59" s="488">
        <v>0.32248900000000003</v>
      </c>
      <c r="H59" s="488">
        <v>0.32553900000000002</v>
      </c>
      <c r="I59" s="488">
        <v>0.32919599999999999</v>
      </c>
      <c r="J59" s="488">
        <v>0.33274999999999999</v>
      </c>
      <c r="K59" s="488">
        <v>0.33698800000000001</v>
      </c>
      <c r="L59" s="488">
        <v>0.33995300000000001</v>
      </c>
      <c r="M59" s="488">
        <v>0.34293600000000002</v>
      </c>
      <c r="N59" s="488">
        <v>0.34610000000000002</v>
      </c>
      <c r="O59" s="488">
        <v>0.34946300000000002</v>
      </c>
      <c r="P59" s="488">
        <v>0.35302499999999998</v>
      </c>
      <c r="Q59" s="488">
        <v>0.35571000000000003</v>
      </c>
      <c r="R59" s="488">
        <v>0.35906399999999999</v>
      </c>
      <c r="S59" s="488">
        <v>0.36031200000000002</v>
      </c>
      <c r="T59" s="488">
        <v>0.36158000000000001</v>
      </c>
      <c r="U59" s="488">
        <v>0.36318299999999998</v>
      </c>
      <c r="V59" s="488">
        <v>0.36427100000000001</v>
      </c>
      <c r="W59" s="488">
        <v>0.36503999999999998</v>
      </c>
      <c r="X59" s="488">
        <v>0.36604100000000001</v>
      </c>
    </row>
    <row r="60" spans="1:50">
      <c r="A60" s="477"/>
      <c r="B60" s="488"/>
      <c r="C60" s="488"/>
      <c r="D60" s="488"/>
      <c r="E60" s="488"/>
      <c r="F60" s="488"/>
      <c r="G60" s="488"/>
      <c r="H60" s="488"/>
      <c r="I60" s="488"/>
      <c r="J60" s="488"/>
      <c r="K60" s="488"/>
      <c r="L60" s="488"/>
      <c r="M60" s="488"/>
      <c r="N60" s="488"/>
      <c r="O60" s="477"/>
      <c r="P60" s="477"/>
      <c r="Q60" s="477"/>
      <c r="R60" s="477"/>
      <c r="S60" s="477"/>
      <c r="T60" s="477"/>
      <c r="U60" s="477"/>
      <c r="V60" s="477"/>
      <c r="W60" s="477"/>
      <c r="X60" s="477"/>
    </row>
    <row r="61" spans="1:50">
      <c r="A61" s="477" t="str">
        <f>A28</f>
        <v>Heating Oil – Normal Efficiency</v>
      </c>
      <c r="B61" s="488"/>
      <c r="C61" s="485">
        <f t="shared" ref="C61:W69" si="0">C28-B28</f>
        <v>-28.859000000000009</v>
      </c>
      <c r="D61" s="485">
        <f t="shared" si="0"/>
        <v>-32.005999999999986</v>
      </c>
      <c r="E61" s="485">
        <f t="shared" si="0"/>
        <v>-23.141999999999996</v>
      </c>
      <c r="F61" s="485">
        <f t="shared" si="0"/>
        <v>-22.893000000000001</v>
      </c>
      <c r="G61" s="485">
        <f t="shared" si="0"/>
        <v>-21.802000000000007</v>
      </c>
      <c r="H61" s="485">
        <f t="shared" si="0"/>
        <v>-15.440000000000001</v>
      </c>
      <c r="I61" s="485">
        <f t="shared" si="0"/>
        <v>-12.651</v>
      </c>
      <c r="J61" s="485">
        <f t="shared" si="0"/>
        <v>-7.3969999999999985</v>
      </c>
      <c r="K61" s="485">
        <f t="shared" si="0"/>
        <v>-5.383</v>
      </c>
      <c r="L61" s="485">
        <f t="shared" si="0"/>
        <v>-6.367</v>
      </c>
      <c r="M61" s="485">
        <f t="shared" si="0"/>
        <v>0</v>
      </c>
      <c r="N61" s="485">
        <f t="shared" si="0"/>
        <v>0</v>
      </c>
      <c r="O61" s="485">
        <f t="shared" si="0"/>
        <v>0</v>
      </c>
      <c r="P61" s="485">
        <f t="shared" si="0"/>
        <v>0</v>
      </c>
      <c r="Q61" s="485">
        <f t="shared" si="0"/>
        <v>0</v>
      </c>
      <c r="R61" s="485">
        <f t="shared" si="0"/>
        <v>0</v>
      </c>
      <c r="S61" s="485">
        <f>S28-R28</f>
        <v>0</v>
      </c>
      <c r="T61" s="485">
        <f t="shared" si="0"/>
        <v>0</v>
      </c>
      <c r="U61" s="485">
        <f t="shared" si="0"/>
        <v>0</v>
      </c>
      <c r="V61" s="485">
        <f t="shared" si="0"/>
        <v>0</v>
      </c>
      <c r="W61" s="485">
        <f t="shared" si="0"/>
        <v>0</v>
      </c>
      <c r="X61" s="485">
        <f>X28-W28</f>
        <v>0</v>
      </c>
      <c r="AA61" s="477" t="str">
        <f>AA15</f>
        <v>Heating Oil – Normal Efficiency</v>
      </c>
      <c r="AB61" s="488"/>
      <c r="AC61" s="485">
        <f>AC15-AB15</f>
        <v>-3.0936059999999994</v>
      </c>
      <c r="AD61" s="485">
        <f t="shared" ref="AD61:AX73" si="1">AD15-AC15</f>
        <v>-1.0538460000000001</v>
      </c>
      <c r="AE61" s="485">
        <f t="shared" si="1"/>
        <v>-2.0667910000000003</v>
      </c>
      <c r="AF61" s="485">
        <f t="shared" si="1"/>
        <v>-2.2385520000000003</v>
      </c>
      <c r="AG61" s="485">
        <f t="shared" si="1"/>
        <v>-1.2545509999999997</v>
      </c>
      <c r="AH61" s="485">
        <f t="shared" si="1"/>
        <v>-1.3823090000000002</v>
      </c>
      <c r="AI61" s="485">
        <f t="shared" si="1"/>
        <v>-0.67529799999999995</v>
      </c>
      <c r="AJ61" s="485">
        <f t="shared" si="1"/>
        <v>-0.4742329999999999</v>
      </c>
      <c r="AK61" s="485">
        <f t="shared" si="1"/>
        <v>-0.23771300000000006</v>
      </c>
      <c r="AL61" s="485">
        <f t="shared" si="1"/>
        <v>-0.36391499999999999</v>
      </c>
      <c r="AM61" s="485">
        <f t="shared" si="1"/>
        <v>0</v>
      </c>
      <c r="AN61" s="485">
        <f t="shared" si="1"/>
        <v>0</v>
      </c>
      <c r="AO61" s="485">
        <f t="shared" si="1"/>
        <v>0</v>
      </c>
      <c r="AP61" s="485">
        <f t="shared" si="1"/>
        <v>0</v>
      </c>
      <c r="AQ61" s="485">
        <f t="shared" si="1"/>
        <v>0</v>
      </c>
      <c r="AR61" s="485">
        <f t="shared" si="1"/>
        <v>0</v>
      </c>
      <c r="AS61" s="485">
        <f t="shared" si="1"/>
        <v>0</v>
      </c>
      <c r="AT61" s="485">
        <f t="shared" si="1"/>
        <v>0</v>
      </c>
      <c r="AU61" s="485">
        <f t="shared" si="1"/>
        <v>0</v>
      </c>
      <c r="AV61" s="485">
        <f t="shared" si="1"/>
        <v>0</v>
      </c>
      <c r="AW61" s="485">
        <f t="shared" si="1"/>
        <v>0</v>
      </c>
      <c r="AX61" s="485">
        <f t="shared" si="1"/>
        <v>0</v>
      </c>
    </row>
    <row r="62" spans="1:50">
      <c r="A62" s="477" t="str">
        <f t="shared" ref="A62:A75" si="2">A29</f>
        <v>Heating Oil – Medium Efficiency</v>
      </c>
      <c r="C62" s="485">
        <f t="shared" si="0"/>
        <v>17.202000000000027</v>
      </c>
      <c r="D62" s="485">
        <f t="shared" si="0"/>
        <v>3.0569999999999879</v>
      </c>
      <c r="E62" s="485">
        <f t="shared" si="0"/>
        <v>5.9159999999999968</v>
      </c>
      <c r="F62" s="485">
        <f t="shared" si="0"/>
        <v>10.60499999999999</v>
      </c>
      <c r="G62" s="485">
        <f t="shared" si="0"/>
        <v>5.179000000000002</v>
      </c>
      <c r="H62" s="485">
        <f t="shared" si="0"/>
        <v>-0.52799999999999159</v>
      </c>
      <c r="I62" s="485">
        <f t="shared" si="0"/>
        <v>-0.76599999999999113</v>
      </c>
      <c r="J62" s="485">
        <f t="shared" si="0"/>
        <v>-0.81100000000000705</v>
      </c>
      <c r="K62" s="485">
        <f t="shared" si="0"/>
        <v>-1.1330000000000098</v>
      </c>
      <c r="L62" s="485">
        <f t="shared" si="0"/>
        <v>-2.2349999999999852</v>
      </c>
      <c r="M62" s="485">
        <f t="shared" si="0"/>
        <v>-3.3470000000000084</v>
      </c>
      <c r="N62" s="485">
        <f t="shared" si="0"/>
        <v>-4.6219999999999857</v>
      </c>
      <c r="O62" s="485">
        <f t="shared" si="0"/>
        <v>-6.2130000000000223</v>
      </c>
      <c r="P62" s="485">
        <f t="shared" si="0"/>
        <v>-8.1670000000000016</v>
      </c>
      <c r="Q62" s="485">
        <f t="shared" si="0"/>
        <v>-10.202999999999975</v>
      </c>
      <c r="R62" s="485">
        <f t="shared" si="0"/>
        <v>-12.242000000000019</v>
      </c>
      <c r="S62" s="485">
        <f t="shared" si="0"/>
        <v>-14.734000000000009</v>
      </c>
      <c r="T62" s="485">
        <f t="shared" si="0"/>
        <v>-16.016999999999996</v>
      </c>
      <c r="U62" s="485">
        <f t="shared" si="0"/>
        <v>-17.113999999999976</v>
      </c>
      <c r="V62" s="485">
        <f t="shared" si="0"/>
        <v>-17.649000000000001</v>
      </c>
      <c r="W62" s="485">
        <f t="shared" si="0"/>
        <v>-18.052000000000007</v>
      </c>
      <c r="X62" s="485">
        <f t="shared" ref="X62:X69" si="3">X29-W29</f>
        <v>-14.183000000000007</v>
      </c>
      <c r="AA62" s="477" t="str">
        <f t="shared" ref="AA62:AA75" si="4">AA16</f>
        <v>Heating Oil – Medium Efficiency</v>
      </c>
      <c r="AC62" s="485">
        <f t="shared" ref="AC62:AR75" si="5">AC16-AB16</f>
        <v>2.7343999999999369E-2</v>
      </c>
      <c r="AD62" s="485">
        <f t="shared" si="5"/>
        <v>2.4940910000000009</v>
      </c>
      <c r="AE62" s="485">
        <f t="shared" si="5"/>
        <v>0.32658900000000024</v>
      </c>
      <c r="AF62" s="485">
        <f t="shared" si="5"/>
        <v>-3.2999999999994145E-4</v>
      </c>
      <c r="AG62" s="485">
        <f t="shared" si="5"/>
        <v>4.202577999999999</v>
      </c>
      <c r="AH62" s="485">
        <f t="shared" si="5"/>
        <v>-1.8888880000000015</v>
      </c>
      <c r="AI62" s="485">
        <f t="shared" si="5"/>
        <v>-3.8079999999993674E-3</v>
      </c>
      <c r="AJ62" s="485">
        <f t="shared" si="5"/>
        <v>-1.9652519999999996</v>
      </c>
      <c r="AK62" s="485">
        <f t="shared" si="5"/>
        <v>0.99294800000000194</v>
      </c>
      <c r="AL62" s="485">
        <f t="shared" si="5"/>
        <v>-0.12001200000000267</v>
      </c>
      <c r="AM62" s="485">
        <f t="shared" si="5"/>
        <v>-2.9658559999999987</v>
      </c>
      <c r="AN62" s="485">
        <f t="shared" si="5"/>
        <v>-2.3274360000000005</v>
      </c>
      <c r="AO62" s="485">
        <f t="shared" si="5"/>
        <v>1.0372650000000014</v>
      </c>
      <c r="AP62" s="485">
        <f t="shared" si="5"/>
        <v>-1.3672770000000014</v>
      </c>
      <c r="AQ62" s="485">
        <f t="shared" si="5"/>
        <v>-1.1157500000000002</v>
      </c>
      <c r="AR62" s="485">
        <f t="shared" si="5"/>
        <v>-2.7721549999999988</v>
      </c>
      <c r="AS62" s="485">
        <f t="shared" si="1"/>
        <v>-1.1465200000000006</v>
      </c>
      <c r="AT62" s="485">
        <f t="shared" si="1"/>
        <v>-0.23423399999999983</v>
      </c>
      <c r="AU62" s="485">
        <f t="shared" si="1"/>
        <v>-1.1453860000000002</v>
      </c>
      <c r="AV62" s="485">
        <f t="shared" si="1"/>
        <v>-1.0701339999999995</v>
      </c>
      <c r="AW62" s="485">
        <f t="shared" si="1"/>
        <v>-0.48672200000000032</v>
      </c>
      <c r="AX62" s="485">
        <f>AX16-AW16</f>
        <v>5.6739999999999569E-3</v>
      </c>
    </row>
    <row r="63" spans="1:50">
      <c r="A63" s="477" t="str">
        <f t="shared" si="2"/>
        <v>Heating Oil – High Efficiency</v>
      </c>
      <c r="C63" s="485">
        <f t="shared" si="0"/>
        <v>0</v>
      </c>
      <c r="D63" s="485">
        <f t="shared" si="0"/>
        <v>0</v>
      </c>
      <c r="E63" s="485">
        <f t="shared" si="0"/>
        <v>0</v>
      </c>
      <c r="F63" s="485">
        <f t="shared" si="0"/>
        <v>0</v>
      </c>
      <c r="G63" s="485">
        <f t="shared" si="0"/>
        <v>0</v>
      </c>
      <c r="H63" s="485">
        <f t="shared" si="0"/>
        <v>0</v>
      </c>
      <c r="I63" s="485">
        <f t="shared" si="0"/>
        <v>0</v>
      </c>
      <c r="J63" s="485">
        <f t="shared" si="0"/>
        <v>0</v>
      </c>
      <c r="K63" s="485">
        <f t="shared" si="0"/>
        <v>0</v>
      </c>
      <c r="L63" s="485">
        <f t="shared" si="0"/>
        <v>0</v>
      </c>
      <c r="M63" s="485">
        <f t="shared" si="0"/>
        <v>0</v>
      </c>
      <c r="N63" s="485">
        <f t="shared" si="0"/>
        <v>0</v>
      </c>
      <c r="O63" s="485">
        <f t="shared" si="0"/>
        <v>0</v>
      </c>
      <c r="P63" s="485">
        <f t="shared" si="0"/>
        <v>0</v>
      </c>
      <c r="Q63" s="485">
        <f t="shared" si="0"/>
        <v>0</v>
      </c>
      <c r="R63" s="485">
        <f t="shared" si="0"/>
        <v>0</v>
      </c>
      <c r="S63" s="485">
        <f t="shared" si="0"/>
        <v>0</v>
      </c>
      <c r="T63" s="485">
        <f t="shared" si="0"/>
        <v>0</v>
      </c>
      <c r="U63" s="485">
        <f t="shared" si="0"/>
        <v>0</v>
      </c>
      <c r="V63" s="485">
        <f t="shared" si="0"/>
        <v>0</v>
      </c>
      <c r="W63" s="485">
        <f t="shared" si="0"/>
        <v>0</v>
      </c>
      <c r="X63" s="485">
        <f t="shared" si="3"/>
        <v>0</v>
      </c>
      <c r="AA63" s="477" t="str">
        <f t="shared" si="4"/>
        <v>Heating Oil – High Efficiency</v>
      </c>
      <c r="AC63" s="485">
        <f t="shared" si="5"/>
        <v>0</v>
      </c>
      <c r="AD63" s="485">
        <f t="shared" si="1"/>
        <v>0</v>
      </c>
      <c r="AE63" s="485">
        <f t="shared" si="1"/>
        <v>0</v>
      </c>
      <c r="AF63" s="485">
        <f t="shared" si="1"/>
        <v>0</v>
      </c>
      <c r="AG63" s="485">
        <f t="shared" si="1"/>
        <v>0</v>
      </c>
      <c r="AH63" s="485">
        <f t="shared" si="1"/>
        <v>0</v>
      </c>
      <c r="AI63" s="485">
        <f t="shared" si="1"/>
        <v>0</v>
      </c>
      <c r="AJ63" s="485">
        <f t="shared" si="1"/>
        <v>0</v>
      </c>
      <c r="AK63" s="485">
        <f t="shared" si="1"/>
        <v>0</v>
      </c>
      <c r="AL63" s="485">
        <f t="shared" si="1"/>
        <v>0</v>
      </c>
      <c r="AM63" s="485">
        <f t="shared" si="1"/>
        <v>0</v>
      </c>
      <c r="AN63" s="485">
        <f t="shared" si="1"/>
        <v>0</v>
      </c>
      <c r="AO63" s="485">
        <f t="shared" si="1"/>
        <v>0</v>
      </c>
      <c r="AP63" s="485">
        <f t="shared" si="1"/>
        <v>0</v>
      </c>
      <c r="AQ63" s="485">
        <f t="shared" si="1"/>
        <v>0</v>
      </c>
      <c r="AR63" s="485">
        <f t="shared" si="1"/>
        <v>0</v>
      </c>
      <c r="AS63" s="485">
        <f t="shared" si="1"/>
        <v>0</v>
      </c>
      <c r="AT63" s="485">
        <f t="shared" si="1"/>
        <v>0</v>
      </c>
      <c r="AU63" s="485">
        <f t="shared" si="1"/>
        <v>0</v>
      </c>
      <c r="AV63" s="485">
        <f t="shared" si="1"/>
        <v>0</v>
      </c>
      <c r="AW63" s="485">
        <f t="shared" si="1"/>
        <v>0</v>
      </c>
      <c r="AX63" s="485">
        <f t="shared" si="1"/>
        <v>0</v>
      </c>
    </row>
    <row r="64" spans="1:50">
      <c r="A64" s="477" t="str">
        <f t="shared" si="2"/>
        <v>Natural Gas – Normal Efficiency</v>
      </c>
      <c r="C64" s="485">
        <f t="shared" si="0"/>
        <v>-76.005000000000109</v>
      </c>
      <c r="D64" s="485">
        <f t="shared" si="0"/>
        <v>-82.67899999999986</v>
      </c>
      <c r="E64" s="485">
        <f t="shared" si="0"/>
        <v>-91.538999999999987</v>
      </c>
      <c r="F64" s="485">
        <f t="shared" si="0"/>
        <v>-100.14400000000001</v>
      </c>
      <c r="G64" s="485">
        <f t="shared" si="0"/>
        <v>-103.80400000000009</v>
      </c>
      <c r="H64" s="485">
        <f t="shared" si="0"/>
        <v>-109.51599999999996</v>
      </c>
      <c r="I64" s="485">
        <f t="shared" si="0"/>
        <v>-109.66300000000001</v>
      </c>
      <c r="J64" s="485">
        <f t="shared" si="0"/>
        <v>-104.05399999999997</v>
      </c>
      <c r="K64" s="485">
        <f t="shared" si="0"/>
        <v>-103.726</v>
      </c>
      <c r="L64" s="485">
        <f t="shared" si="0"/>
        <v>-95.197999999999979</v>
      </c>
      <c r="M64" s="485">
        <f t="shared" si="0"/>
        <v>-89.290999999999997</v>
      </c>
      <c r="N64" s="485">
        <f t="shared" si="0"/>
        <v>-84.606000000000051</v>
      </c>
      <c r="O64" s="485">
        <f t="shared" si="0"/>
        <v>-75.060999999999979</v>
      </c>
      <c r="P64" s="485">
        <f t="shared" si="0"/>
        <v>-67.11699999999999</v>
      </c>
      <c r="Q64" s="485">
        <f t="shared" si="0"/>
        <v>-56.334000000000003</v>
      </c>
      <c r="R64" s="485">
        <f t="shared" si="0"/>
        <v>-44.784000000000006</v>
      </c>
      <c r="S64" s="485">
        <f t="shared" si="0"/>
        <v>-14.899999999999999</v>
      </c>
      <c r="T64" s="485">
        <f t="shared" si="0"/>
        <v>-9.59</v>
      </c>
      <c r="U64" s="485">
        <f t="shared" si="0"/>
        <v>-5.1059999999999999</v>
      </c>
      <c r="V64" s="485">
        <f t="shared" si="0"/>
        <v>-0.28699999999999998</v>
      </c>
      <c r="W64" s="485">
        <f t="shared" si="0"/>
        <v>0</v>
      </c>
      <c r="X64" s="485">
        <f t="shared" si="3"/>
        <v>0</v>
      </c>
      <c r="AA64" s="477" t="str">
        <f t="shared" si="4"/>
        <v>Natural Gas – Normal Efficiency</v>
      </c>
      <c r="AC64" s="485">
        <f t="shared" si="5"/>
        <v>-17.651426000000001</v>
      </c>
      <c r="AD64" s="485">
        <f t="shared" si="1"/>
        <v>-2.424617000000012</v>
      </c>
      <c r="AE64" s="485">
        <f t="shared" si="1"/>
        <v>3.5499560000000088</v>
      </c>
      <c r="AF64" s="485">
        <f t="shared" si="1"/>
        <v>-16.202469000000008</v>
      </c>
      <c r="AG64" s="485">
        <f t="shared" si="1"/>
        <v>-9.4244839999999925</v>
      </c>
      <c r="AH64" s="485">
        <f t="shared" si="1"/>
        <v>-19.281136000000004</v>
      </c>
      <c r="AI64" s="485">
        <f t="shared" si="1"/>
        <v>0.11637299999999584</v>
      </c>
      <c r="AJ64" s="485">
        <f t="shared" si="1"/>
        <v>-8.4660930000000008</v>
      </c>
      <c r="AK64" s="485">
        <f t="shared" si="1"/>
        <v>-14.843063999999991</v>
      </c>
      <c r="AL64" s="485">
        <f t="shared" si="1"/>
        <v>-11.864151</v>
      </c>
      <c r="AM64" s="485">
        <f t="shared" si="1"/>
        <v>-3.9398270000000011</v>
      </c>
      <c r="AN64" s="485">
        <f t="shared" si="1"/>
        <v>-12.052121</v>
      </c>
      <c r="AO64" s="485">
        <f t="shared" si="1"/>
        <v>-3.507949</v>
      </c>
      <c r="AP64" s="485">
        <f t="shared" si="1"/>
        <v>-6.5605980000000024</v>
      </c>
      <c r="AQ64" s="485">
        <f t="shared" si="1"/>
        <v>-6.2045619999999992</v>
      </c>
      <c r="AR64" s="485">
        <f t="shared" si="1"/>
        <v>-5.1210310000000003</v>
      </c>
      <c r="AS64" s="485">
        <f t="shared" si="1"/>
        <v>-0.78787200000000013</v>
      </c>
      <c r="AT64" s="485">
        <f t="shared" si="1"/>
        <v>-0.48832099999999995</v>
      </c>
      <c r="AU64" s="485">
        <f t="shared" si="1"/>
        <v>-0.22726100000000002</v>
      </c>
      <c r="AV64" s="485">
        <f t="shared" si="1"/>
        <v>-1.5980999999999999E-2</v>
      </c>
      <c r="AW64" s="485">
        <f t="shared" si="1"/>
        <v>0</v>
      </c>
      <c r="AX64" s="485">
        <f t="shared" si="1"/>
        <v>0</v>
      </c>
    </row>
    <row r="65" spans="1:50">
      <c r="A65" s="477" t="str">
        <f t="shared" si="2"/>
        <v>Natural Gas – Medium Efficiency</v>
      </c>
      <c r="C65" s="485">
        <f t="shared" si="0"/>
        <v>61.942000000000007</v>
      </c>
      <c r="D65" s="485">
        <f t="shared" si="0"/>
        <v>67.396999999999935</v>
      </c>
      <c r="E65" s="485">
        <f t="shared" si="0"/>
        <v>57.677999999999997</v>
      </c>
      <c r="F65" s="485">
        <f t="shared" si="0"/>
        <v>55.159000000000106</v>
      </c>
      <c r="G65" s="485">
        <f t="shared" si="0"/>
        <v>47.442999999999984</v>
      </c>
      <c r="H65" s="485">
        <f t="shared" si="0"/>
        <v>38.712999999999965</v>
      </c>
      <c r="I65" s="485">
        <f t="shared" si="0"/>
        <v>32.432000000000016</v>
      </c>
      <c r="J65" s="485">
        <f t="shared" si="0"/>
        <v>15.875999999999976</v>
      </c>
      <c r="K65" s="485">
        <f t="shared" si="0"/>
        <v>6.1499999999998636</v>
      </c>
      <c r="L65" s="485">
        <f t="shared" si="0"/>
        <v>-10.682999999999993</v>
      </c>
      <c r="M65" s="485">
        <f t="shared" si="0"/>
        <v>-15.593999999999824</v>
      </c>
      <c r="N65" s="485">
        <f t="shared" si="0"/>
        <v>-21.079000000000178</v>
      </c>
      <c r="O65" s="485">
        <f t="shared" si="0"/>
        <v>-31.407999999999902</v>
      </c>
      <c r="P65" s="485">
        <f t="shared" si="0"/>
        <v>-40.736000000000104</v>
      </c>
      <c r="Q65" s="485">
        <f t="shared" si="0"/>
        <v>-50.640999999999849</v>
      </c>
      <c r="R65" s="485">
        <f t="shared" si="0"/>
        <v>-60.465000000000032</v>
      </c>
      <c r="S65" s="485">
        <f t="shared" si="0"/>
        <v>-71.478000000000065</v>
      </c>
      <c r="T65" s="485">
        <f t="shared" si="0"/>
        <v>-74.471000000000004</v>
      </c>
      <c r="U65" s="485">
        <f t="shared" si="0"/>
        <v>-73.432999999999993</v>
      </c>
      <c r="V65" s="485">
        <f t="shared" si="0"/>
        <v>-70.328999999999951</v>
      </c>
      <c r="W65" s="485">
        <f t="shared" si="0"/>
        <v>-67.086999999999989</v>
      </c>
      <c r="X65" s="485">
        <f t="shared" si="3"/>
        <v>-64.653999999999996</v>
      </c>
      <c r="AA65" s="477" t="str">
        <f t="shared" si="4"/>
        <v>Natural Gas – Medium Efficiency</v>
      </c>
      <c r="AC65" s="485">
        <f t="shared" si="5"/>
        <v>-1.7067900000000051</v>
      </c>
      <c r="AD65" s="485">
        <f t="shared" si="1"/>
        <v>7.5609689999999929</v>
      </c>
      <c r="AE65" s="485">
        <f t="shared" si="1"/>
        <v>12.491031000000007</v>
      </c>
      <c r="AF65" s="485">
        <f t="shared" si="1"/>
        <v>-0.40382100000000776</v>
      </c>
      <c r="AG65" s="485">
        <f t="shared" si="1"/>
        <v>4.0311690000000056</v>
      </c>
      <c r="AH65" s="485">
        <f t="shared" si="1"/>
        <v>-6.4741470000000021</v>
      </c>
      <c r="AI65" s="485">
        <f t="shared" si="1"/>
        <v>14.609361000000007</v>
      </c>
      <c r="AJ65" s="485">
        <f t="shared" si="1"/>
        <v>4.2441729999999893</v>
      </c>
      <c r="AK65" s="485">
        <f t="shared" si="1"/>
        <v>-6.8203399999999874</v>
      </c>
      <c r="AL65" s="485">
        <f t="shared" si="1"/>
        <v>-6.6562150000000031</v>
      </c>
      <c r="AM65" s="485">
        <f t="shared" si="1"/>
        <v>10.009956000000003</v>
      </c>
      <c r="AN65" s="485">
        <f t="shared" si="1"/>
        <v>-13.841339000000005</v>
      </c>
      <c r="AO65" s="485">
        <f t="shared" si="1"/>
        <v>12.892574999999994</v>
      </c>
      <c r="AP65" s="485">
        <f t="shared" si="1"/>
        <v>0.47995400000000643</v>
      </c>
      <c r="AQ65" s="485">
        <f t="shared" si="1"/>
        <v>-4.2480019999999996</v>
      </c>
      <c r="AR65" s="485">
        <f t="shared" si="1"/>
        <v>-18.552220000000005</v>
      </c>
      <c r="AS65" s="485">
        <f t="shared" si="1"/>
        <v>-4.3779249999999905</v>
      </c>
      <c r="AT65" s="485">
        <f t="shared" si="1"/>
        <v>-1.3353670000000051</v>
      </c>
      <c r="AU65" s="485">
        <f t="shared" si="1"/>
        <v>-3.3699149999999989</v>
      </c>
      <c r="AV65" s="485">
        <f t="shared" si="1"/>
        <v>-12.229708000000002</v>
      </c>
      <c r="AW65" s="485">
        <f t="shared" si="1"/>
        <v>-7.3569869999999966</v>
      </c>
      <c r="AX65" s="485">
        <f t="shared" si="1"/>
        <v>-2.500712</v>
      </c>
    </row>
    <row r="66" spans="1:50">
      <c r="A66" s="477" t="str">
        <f t="shared" si="2"/>
        <v>Natural Gas – High Efficiency</v>
      </c>
      <c r="C66" s="485">
        <f t="shared" si="0"/>
        <v>84.402000000000044</v>
      </c>
      <c r="D66" s="485">
        <f t="shared" si="0"/>
        <v>106.09400000000005</v>
      </c>
      <c r="E66" s="485">
        <f t="shared" si="0"/>
        <v>105.33999999999992</v>
      </c>
      <c r="F66" s="485">
        <f t="shared" si="0"/>
        <v>119.79300000000012</v>
      </c>
      <c r="G66" s="485">
        <f t="shared" si="0"/>
        <v>121.93399999999997</v>
      </c>
      <c r="H66" s="485">
        <f t="shared" si="0"/>
        <v>131.00800000000004</v>
      </c>
      <c r="I66" s="485">
        <f t="shared" si="0"/>
        <v>117.92200000000003</v>
      </c>
      <c r="J66" s="485">
        <f t="shared" si="0"/>
        <v>122.68199999999979</v>
      </c>
      <c r="K66" s="485">
        <f t="shared" si="0"/>
        <v>114.37900000000013</v>
      </c>
      <c r="L66" s="485">
        <f t="shared" si="0"/>
        <v>125.11999999999989</v>
      </c>
      <c r="M66" s="485">
        <f t="shared" si="0"/>
        <v>119.03300000000013</v>
      </c>
      <c r="N66" s="485">
        <f t="shared" si="0"/>
        <v>115.89399999999978</v>
      </c>
      <c r="O66" s="485">
        <f t="shared" si="0"/>
        <v>120.99099999999999</v>
      </c>
      <c r="P66" s="485">
        <f t="shared" si="0"/>
        <v>118.72500000000036</v>
      </c>
      <c r="Q66" s="485">
        <f t="shared" si="0"/>
        <v>131.41999999999962</v>
      </c>
      <c r="R66" s="485">
        <f t="shared" si="0"/>
        <v>122.63100000000031</v>
      </c>
      <c r="S66" s="485">
        <f t="shared" si="0"/>
        <v>113.95399999999972</v>
      </c>
      <c r="T66" s="485">
        <f t="shared" si="0"/>
        <v>116.64800000000014</v>
      </c>
      <c r="U66" s="485">
        <f t="shared" si="0"/>
        <v>113.08600000000024</v>
      </c>
      <c r="V66" s="485">
        <f t="shared" si="0"/>
        <v>131.52999999999975</v>
      </c>
      <c r="W66" s="485">
        <f t="shared" si="0"/>
        <v>131.37300000000005</v>
      </c>
      <c r="X66" s="485">
        <f>X33-W33</f>
        <v>120.08399999999983</v>
      </c>
      <c r="AA66" s="477" t="str">
        <f t="shared" si="4"/>
        <v>Natural Gas – High Efficiency</v>
      </c>
      <c r="AC66" s="485">
        <f t="shared" si="5"/>
        <v>1.4961600000000033</v>
      </c>
      <c r="AD66" s="485">
        <f t="shared" si="1"/>
        <v>8.838992999999995</v>
      </c>
      <c r="AE66" s="485">
        <f t="shared" si="1"/>
        <v>13.804848999999997</v>
      </c>
      <c r="AF66" s="485">
        <f t="shared" si="1"/>
        <v>4.2350030000000061</v>
      </c>
      <c r="AG66" s="485">
        <f t="shared" si="1"/>
        <v>8.5561560000000014</v>
      </c>
      <c r="AH66" s="485">
        <f t="shared" si="1"/>
        <v>-0.78152500000000202</v>
      </c>
      <c r="AI66" s="485">
        <f t="shared" si="1"/>
        <v>20.532089999999997</v>
      </c>
      <c r="AJ66" s="485">
        <f t="shared" si="1"/>
        <v>11.942883000000009</v>
      </c>
      <c r="AK66" s="485">
        <f t="shared" si="1"/>
        <v>-0.89164200000000449</v>
      </c>
      <c r="AL66" s="485">
        <f t="shared" si="1"/>
        <v>0.30605300000000568</v>
      </c>
      <c r="AM66" s="485">
        <f t="shared" si="1"/>
        <v>22.917675999999986</v>
      </c>
      <c r="AN66" s="485">
        <f t="shared" si="1"/>
        <v>-10.813325999999989</v>
      </c>
      <c r="AO66" s="485">
        <f t="shared" si="1"/>
        <v>32.135818999999998</v>
      </c>
      <c r="AP66" s="485">
        <f t="shared" si="1"/>
        <v>15.099950000000007</v>
      </c>
      <c r="AQ66" s="485">
        <f t="shared" si="1"/>
        <v>8.8986270000000047</v>
      </c>
      <c r="AR66" s="485">
        <f t="shared" si="1"/>
        <v>-21.27398500000001</v>
      </c>
      <c r="AS66" s="485">
        <f t="shared" si="1"/>
        <v>8.5255439999999965</v>
      </c>
      <c r="AT66" s="485">
        <f t="shared" si="1"/>
        <v>18.140774999999991</v>
      </c>
      <c r="AU66" s="485">
        <f t="shared" si="1"/>
        <v>14.71156400000001</v>
      </c>
      <c r="AV66" s="485">
        <f t="shared" si="1"/>
        <v>-15.245201000000009</v>
      </c>
      <c r="AW66" s="485">
        <f t="shared" si="1"/>
        <v>-3.2284679999999923</v>
      </c>
      <c r="AX66" s="485">
        <f t="shared" si="1"/>
        <v>15.477285999999992</v>
      </c>
    </row>
    <row r="67" spans="1:50">
      <c r="A67" s="477" t="str">
        <f t="shared" si="2"/>
        <v>Electric</v>
      </c>
      <c r="C67" s="485">
        <f t="shared" si="0"/>
        <v>4.0879999999999654</v>
      </c>
      <c r="D67" s="485">
        <f t="shared" si="0"/>
        <v>10.245000000000005</v>
      </c>
      <c r="E67" s="485">
        <f t="shared" si="0"/>
        <v>10.022000000000048</v>
      </c>
      <c r="F67" s="485">
        <f t="shared" si="0"/>
        <v>11.91599999999994</v>
      </c>
      <c r="G67" s="485">
        <f t="shared" si="0"/>
        <v>18.269000000000005</v>
      </c>
      <c r="H67" s="485">
        <f t="shared" si="0"/>
        <v>20.408000000000015</v>
      </c>
      <c r="I67" s="485">
        <f t="shared" si="0"/>
        <v>22.509000000000015</v>
      </c>
      <c r="J67" s="485">
        <f t="shared" si="0"/>
        <v>30.024000000000001</v>
      </c>
      <c r="K67" s="485">
        <f t="shared" si="0"/>
        <v>31.65300000000002</v>
      </c>
      <c r="L67" s="485">
        <f t="shared" si="0"/>
        <v>34.974999999999909</v>
      </c>
      <c r="M67" s="485">
        <f t="shared" si="0"/>
        <v>36.258000000000038</v>
      </c>
      <c r="N67" s="485">
        <f t="shared" si="0"/>
        <v>33.955000000000041</v>
      </c>
      <c r="O67" s="485">
        <f t="shared" si="0"/>
        <v>37.283000000000015</v>
      </c>
      <c r="P67" s="485">
        <f t="shared" si="0"/>
        <v>34.211000000000013</v>
      </c>
      <c r="Q67" s="485">
        <f t="shared" si="0"/>
        <v>39.139999999999873</v>
      </c>
      <c r="R67" s="485">
        <f t="shared" si="0"/>
        <v>35.94600000000014</v>
      </c>
      <c r="S67" s="485">
        <f t="shared" si="0"/>
        <v>31.837999999999965</v>
      </c>
      <c r="T67" s="485">
        <f t="shared" si="0"/>
        <v>36.519999999999982</v>
      </c>
      <c r="U67" s="485">
        <f t="shared" si="0"/>
        <v>39.711000000000013</v>
      </c>
      <c r="V67" s="485">
        <f t="shared" si="0"/>
        <v>30.914999999999964</v>
      </c>
      <c r="W67" s="485">
        <f t="shared" si="0"/>
        <v>33.491999999999962</v>
      </c>
      <c r="X67" s="485">
        <f t="shared" si="3"/>
        <v>31.538999999999987</v>
      </c>
      <c r="AA67" s="477" t="str">
        <f t="shared" si="4"/>
        <v>Electric</v>
      </c>
      <c r="AC67" s="485">
        <f t="shared" si="5"/>
        <v>-2.5627259999999978</v>
      </c>
      <c r="AD67" s="485">
        <f t="shared" si="1"/>
        <v>0.41218299999999886</v>
      </c>
      <c r="AE67" s="485">
        <f t="shared" si="1"/>
        <v>4.3271489999999986</v>
      </c>
      <c r="AF67" s="485">
        <f t="shared" si="1"/>
        <v>1.2244820000000018</v>
      </c>
      <c r="AG67" s="485">
        <f t="shared" si="1"/>
        <v>-2.7130069999999975</v>
      </c>
      <c r="AH67" s="485">
        <f t="shared" si="1"/>
        <v>-2.8716429999999988</v>
      </c>
      <c r="AI67" s="485">
        <f t="shared" si="1"/>
        <v>3.5860799999999955</v>
      </c>
      <c r="AJ67" s="485">
        <f t="shared" si="1"/>
        <v>2.8057860000000048</v>
      </c>
      <c r="AK67" s="485">
        <f t="shared" si="1"/>
        <v>2.5730189999999951</v>
      </c>
      <c r="AL67" s="485">
        <f t="shared" si="1"/>
        <v>-1.6191589999999962</v>
      </c>
      <c r="AM67" s="485">
        <f t="shared" si="1"/>
        <v>0.78954600000000141</v>
      </c>
      <c r="AN67" s="485">
        <f t="shared" si="1"/>
        <v>-2.1359190000000012</v>
      </c>
      <c r="AO67" s="485">
        <f t="shared" si="1"/>
        <v>7.5245379999999997</v>
      </c>
      <c r="AP67" s="485">
        <f t="shared" si="1"/>
        <v>3.5562849999999955</v>
      </c>
      <c r="AQ67" s="485">
        <f t="shared" si="1"/>
        <v>-2.9933979999999991</v>
      </c>
      <c r="AR67" s="485">
        <f t="shared" si="1"/>
        <v>-5.7194189999999949</v>
      </c>
      <c r="AS67" s="485">
        <f t="shared" si="1"/>
        <v>2.3757629999999992</v>
      </c>
      <c r="AT67" s="485">
        <f t="shared" si="1"/>
        <v>-1.6014219999999995</v>
      </c>
      <c r="AU67" s="485">
        <f t="shared" si="1"/>
        <v>2.6057939999999959</v>
      </c>
      <c r="AV67" s="485">
        <f t="shared" si="1"/>
        <v>-4.0855079999999973</v>
      </c>
      <c r="AW67" s="485">
        <f t="shared" si="1"/>
        <v>-0.86223199999999878</v>
      </c>
      <c r="AX67" s="485">
        <f t="shared" si="1"/>
        <v>1.0067799999999991</v>
      </c>
    </row>
    <row r="68" spans="1:50">
      <c r="A68" s="477" t="str">
        <f t="shared" si="2"/>
        <v>Heat Pump</v>
      </c>
      <c r="C68" s="485">
        <f t="shared" si="0"/>
        <v>0.66499999999999915</v>
      </c>
      <c r="D68" s="485">
        <f t="shared" si="0"/>
        <v>-0.16199999999999903</v>
      </c>
      <c r="E68" s="485">
        <f t="shared" si="0"/>
        <v>0.52799999999999869</v>
      </c>
      <c r="F68" s="485">
        <f t="shared" si="0"/>
        <v>1.9979999999999976</v>
      </c>
      <c r="G68" s="485">
        <f t="shared" si="0"/>
        <v>0.41200000000000614</v>
      </c>
      <c r="H68" s="485">
        <f t="shared" si="0"/>
        <v>1.25</v>
      </c>
      <c r="I68" s="485">
        <f t="shared" si="0"/>
        <v>1.2239999999999966</v>
      </c>
      <c r="J68" s="485">
        <f t="shared" si="0"/>
        <v>-0.88799999999999812</v>
      </c>
      <c r="K68" s="485">
        <f t="shared" si="0"/>
        <v>0.86399999999999721</v>
      </c>
      <c r="L68" s="485">
        <f t="shared" si="0"/>
        <v>2.3019999999999996</v>
      </c>
      <c r="M68" s="485">
        <f t="shared" si="0"/>
        <v>-0.87699999999999534</v>
      </c>
      <c r="N68" s="485">
        <f t="shared" si="0"/>
        <v>3.9160000000000039</v>
      </c>
      <c r="O68" s="485">
        <f t="shared" si="0"/>
        <v>-2.7410000000000068</v>
      </c>
      <c r="P68" s="485">
        <f t="shared" si="0"/>
        <v>3.1939999999999955</v>
      </c>
      <c r="Q68" s="485">
        <f t="shared" si="0"/>
        <v>1.2510000000000048</v>
      </c>
      <c r="R68" s="485">
        <f t="shared" si="0"/>
        <v>4.269999999999996</v>
      </c>
      <c r="S68" s="485">
        <f t="shared" si="0"/>
        <v>7.5880000000000081</v>
      </c>
      <c r="T68" s="485">
        <f t="shared" si="0"/>
        <v>7.0139999999999958</v>
      </c>
      <c r="U68" s="485">
        <f t="shared" si="0"/>
        <v>7.0280000000000058</v>
      </c>
      <c r="V68" s="485">
        <f t="shared" si="0"/>
        <v>9.4979999999999905</v>
      </c>
      <c r="W68" s="485">
        <f t="shared" si="0"/>
        <v>9.8539999999999992</v>
      </c>
      <c r="X68" s="485">
        <f t="shared" si="3"/>
        <v>10.058000000000007</v>
      </c>
      <c r="AA68" s="477" t="str">
        <f t="shared" si="4"/>
        <v>Heat Pump</v>
      </c>
      <c r="AC68" s="485">
        <f t="shared" si="5"/>
        <v>-0.11583699999999997</v>
      </c>
      <c r="AD68" s="485">
        <f t="shared" si="1"/>
        <v>-1.6372999999999971E-2</v>
      </c>
      <c r="AE68" s="485">
        <f t="shared" si="1"/>
        <v>0.19332599999999989</v>
      </c>
      <c r="AF68" s="485">
        <f t="shared" si="1"/>
        <v>9.7690000000000055E-2</v>
      </c>
      <c r="AG68" s="485">
        <f t="shared" si="1"/>
        <v>-0.15507099999999996</v>
      </c>
      <c r="AH68" s="485">
        <f t="shared" si="1"/>
        <v>-0.14418400000000009</v>
      </c>
      <c r="AI68" s="485">
        <f t="shared" si="1"/>
        <v>0.16096900000000014</v>
      </c>
      <c r="AJ68" s="485">
        <f t="shared" si="1"/>
        <v>2.7123000000000008E-2</v>
      </c>
      <c r="AK68" s="485">
        <f t="shared" si="1"/>
        <v>7.6524000000000036E-2</v>
      </c>
      <c r="AL68" s="485">
        <f t="shared" si="1"/>
        <v>-5.0987000000000116E-2</v>
      </c>
      <c r="AM68" s="485">
        <f t="shared" si="1"/>
        <v>-7.5215000000000032E-2</v>
      </c>
      <c r="AN68" s="485">
        <f t="shared" si="1"/>
        <v>-2.6437000000000044E-2</v>
      </c>
      <c r="AO68" s="485">
        <f t="shared" si="1"/>
        <v>0.14914200000000011</v>
      </c>
      <c r="AP68" s="485">
        <f t="shared" si="1"/>
        <v>0.19400299999999993</v>
      </c>
      <c r="AQ68" s="485">
        <f t="shared" si="1"/>
        <v>-0.14030100000000001</v>
      </c>
      <c r="AR68" s="485">
        <f t="shared" si="1"/>
        <v>-0.17982900000000002</v>
      </c>
      <c r="AS68" s="485">
        <f t="shared" si="1"/>
        <v>0.26301300000000016</v>
      </c>
      <c r="AT68" s="485">
        <f t="shared" si="1"/>
        <v>4.9236999999999753E-2</v>
      </c>
      <c r="AU68" s="485">
        <f t="shared" si="1"/>
        <v>0.23504800000000037</v>
      </c>
      <c r="AV68" s="485">
        <f t="shared" si="1"/>
        <v>-3.2819000000000376E-2</v>
      </c>
      <c r="AW68" s="485">
        <f t="shared" si="1"/>
        <v>0.12330000000000041</v>
      </c>
      <c r="AX68" s="485">
        <f t="shared" si="1"/>
        <v>0.23161999999999994</v>
      </c>
    </row>
    <row r="69" spans="1:50">
      <c r="A69" s="477" t="str">
        <f t="shared" si="2"/>
        <v>Other1</v>
      </c>
      <c r="C69" s="485">
        <f t="shared" si="0"/>
        <v>-0.20099999999999341</v>
      </c>
      <c r="D69" s="485">
        <f t="shared" si="0"/>
        <v>0.20399999999999352</v>
      </c>
      <c r="E69" s="485">
        <f t="shared" si="0"/>
        <v>0.20299999999999585</v>
      </c>
      <c r="F69" s="485">
        <f t="shared" si="0"/>
        <v>0.94100000000000961</v>
      </c>
      <c r="G69" s="485">
        <f t="shared" si="0"/>
        <v>2.1289999999999978</v>
      </c>
      <c r="H69" s="485">
        <f t="shared" si="0"/>
        <v>3.2079999999999984</v>
      </c>
      <c r="I69" s="485">
        <f t="shared" si="0"/>
        <v>4.3980000000000032</v>
      </c>
      <c r="J69" s="485">
        <f t="shared" si="0"/>
        <v>6.1019999999999897</v>
      </c>
      <c r="K69" s="485">
        <f t="shared" si="0"/>
        <v>7.6620000000000061</v>
      </c>
      <c r="L69" s="485">
        <f t="shared" si="0"/>
        <v>9.4879999999999995</v>
      </c>
      <c r="M69" s="485">
        <f t="shared" si="0"/>
        <v>10.102000000000004</v>
      </c>
      <c r="N69" s="485">
        <f t="shared" si="0"/>
        <v>10.718000000000004</v>
      </c>
      <c r="O69" s="485">
        <f t="shared" si="0"/>
        <v>11.422999999999988</v>
      </c>
      <c r="P69" s="485">
        <f t="shared" si="0"/>
        <v>11.945000000000007</v>
      </c>
      <c r="Q69" s="485">
        <f t="shared" si="0"/>
        <v>13.11699999999999</v>
      </c>
      <c r="R69" s="485">
        <f t="shared" si="0"/>
        <v>13.586000000000013</v>
      </c>
      <c r="S69" s="485">
        <f t="shared" si="0"/>
        <v>13.825999999999993</v>
      </c>
      <c r="T69" s="485">
        <f t="shared" si="0"/>
        <v>15.584000000000003</v>
      </c>
      <c r="U69" s="485">
        <f t="shared" si="0"/>
        <v>17.324999999999989</v>
      </c>
      <c r="V69" s="485">
        <f t="shared" si="0"/>
        <v>10.609000000000009</v>
      </c>
      <c r="W69" s="485">
        <f t="shared" si="0"/>
        <v>11.546999999999997</v>
      </c>
      <c r="X69" s="485">
        <f t="shared" si="3"/>
        <v>11.815000000000026</v>
      </c>
      <c r="AA69" s="477" t="str">
        <f t="shared" si="4"/>
        <v>Other1</v>
      </c>
      <c r="AC69" s="485">
        <f t="shared" si="5"/>
        <v>-0.34167900000000007</v>
      </c>
      <c r="AD69" s="485">
        <f t="shared" si="1"/>
        <v>-9.1874999999999929E-2</v>
      </c>
      <c r="AE69" s="485">
        <f t="shared" si="1"/>
        <v>0.58474999999999966</v>
      </c>
      <c r="AF69" s="485">
        <f t="shared" si="1"/>
        <v>-1.7811999999999273E-2</v>
      </c>
      <c r="AG69" s="485">
        <f t="shared" si="1"/>
        <v>1.5301419999999997</v>
      </c>
      <c r="AH69" s="485">
        <f t="shared" si="1"/>
        <v>0.98379100000000008</v>
      </c>
      <c r="AI69" s="485">
        <f t="shared" si="1"/>
        <v>0.98765699999999956</v>
      </c>
      <c r="AJ69" s="485">
        <f t="shared" si="1"/>
        <v>0.75801799999999986</v>
      </c>
      <c r="AK69" s="485">
        <f t="shared" si="1"/>
        <v>-0.92203400000000002</v>
      </c>
      <c r="AL69" s="485">
        <f t="shared" si="1"/>
        <v>0.50123300000000093</v>
      </c>
      <c r="AM69" s="485">
        <f t="shared" si="1"/>
        <v>1.6916580000000003</v>
      </c>
      <c r="AN69" s="485">
        <f t="shared" si="1"/>
        <v>1.6068929999999995</v>
      </c>
      <c r="AO69" s="485">
        <f t="shared" si="1"/>
        <v>-3.5208840000000006</v>
      </c>
      <c r="AP69" s="485">
        <f t="shared" si="1"/>
        <v>-0.78668799999999983</v>
      </c>
      <c r="AQ69" s="485">
        <f t="shared" si="1"/>
        <v>-0.14186299999999985</v>
      </c>
      <c r="AR69" s="485">
        <f t="shared" si="1"/>
        <v>2.8858020000000009</v>
      </c>
      <c r="AS69" s="485">
        <f t="shared" si="1"/>
        <v>0.35781699999999894</v>
      </c>
      <c r="AT69" s="485">
        <f t="shared" si="1"/>
        <v>-2.7602060000000002</v>
      </c>
      <c r="AU69" s="485">
        <f t="shared" si="1"/>
        <v>0.17654800000000037</v>
      </c>
      <c r="AV69" s="485">
        <f t="shared" si="1"/>
        <v>-1.8899999999995032E-3</v>
      </c>
      <c r="AW69" s="485">
        <f t="shared" si="1"/>
        <v>1.2154359999999986</v>
      </c>
      <c r="AX69" s="485">
        <f t="shared" si="1"/>
        <v>0.70907200000000081</v>
      </c>
    </row>
    <row r="70" spans="1:50">
      <c r="A70" s="477" t="str">
        <f t="shared" si="2"/>
        <v>Wood</v>
      </c>
      <c r="C70" s="485">
        <f t="shared" ref="C70:W70" si="6">C37-B37</f>
        <v>-1.1419999999999959</v>
      </c>
      <c r="D70" s="485">
        <f t="shared" si="6"/>
        <v>1.7469999999999999</v>
      </c>
      <c r="E70" s="485">
        <f t="shared" si="6"/>
        <v>3.7629999999999981</v>
      </c>
      <c r="F70" s="485">
        <f t="shared" si="6"/>
        <v>0.36899999999999977</v>
      </c>
      <c r="G70" s="485">
        <f t="shared" si="6"/>
        <v>3.7090000000000032</v>
      </c>
      <c r="H70" s="485">
        <f t="shared" si="6"/>
        <v>-1.0350000000000037</v>
      </c>
      <c r="I70" s="485">
        <f t="shared" si="6"/>
        <v>3.2920000000000016</v>
      </c>
      <c r="J70" s="485">
        <f t="shared" si="6"/>
        <v>-0.25399999999999778</v>
      </c>
      <c r="K70" s="485">
        <f t="shared" si="6"/>
        <v>-1.3180000000000049</v>
      </c>
      <c r="L70" s="485">
        <f t="shared" si="6"/>
        <v>-1.921999999999997</v>
      </c>
      <c r="M70" s="485">
        <f t="shared" si="6"/>
        <v>-2.0690000000000026</v>
      </c>
      <c r="N70" s="485">
        <f t="shared" si="6"/>
        <v>-2.375</v>
      </c>
      <c r="O70" s="485">
        <f t="shared" si="6"/>
        <v>-2.4859999999999971</v>
      </c>
      <c r="P70" s="485">
        <f t="shared" si="6"/>
        <v>-2.6480000000000032</v>
      </c>
      <c r="Q70" s="485">
        <f t="shared" si="6"/>
        <v>-2.4549999999999983</v>
      </c>
      <c r="R70" s="485">
        <f t="shared" si="6"/>
        <v>-2.8140000000000001</v>
      </c>
      <c r="S70" s="485">
        <f t="shared" si="6"/>
        <v>-2.8979999999999997</v>
      </c>
      <c r="T70" s="485">
        <f t="shared" si="6"/>
        <v>-2.6169999999999973</v>
      </c>
      <c r="U70" s="485">
        <f t="shared" si="6"/>
        <v>-2.5840000000000032</v>
      </c>
      <c r="V70" s="485">
        <f t="shared" si="6"/>
        <v>-1.0079999999999991</v>
      </c>
      <c r="W70" s="485">
        <f t="shared" si="6"/>
        <v>-0.8819999999999979</v>
      </c>
      <c r="X70" s="485">
        <f>X37-W37</f>
        <v>-0.94500000000000028</v>
      </c>
      <c r="AA70" s="477" t="str">
        <f t="shared" si="4"/>
        <v>Wood</v>
      </c>
      <c r="AC70" s="485">
        <f t="shared" si="5"/>
        <v>-0.65492000000000017</v>
      </c>
      <c r="AD70" s="485">
        <f t="shared" si="1"/>
        <v>-4.8200999999999716E-2</v>
      </c>
      <c r="AE70" s="485">
        <f t="shared" si="1"/>
        <v>5.7049999999999823E-2</v>
      </c>
      <c r="AF70" s="485">
        <f t="shared" si="1"/>
        <v>2.5110000000000188E-2</v>
      </c>
      <c r="AG70" s="485">
        <f t="shared" si="1"/>
        <v>0.20530500000000007</v>
      </c>
      <c r="AH70" s="485">
        <f t="shared" si="1"/>
        <v>-0.24369200000000024</v>
      </c>
      <c r="AI70" s="485">
        <f t="shared" si="1"/>
        <v>0.57221000000000011</v>
      </c>
      <c r="AJ70" s="485">
        <f t="shared" si="1"/>
        <v>0.18282700000000007</v>
      </c>
      <c r="AK70" s="485">
        <f t="shared" si="1"/>
        <v>-5.2170000000000272E-3</v>
      </c>
      <c r="AL70" s="485">
        <f t="shared" si="1"/>
        <v>-0.32464199999999988</v>
      </c>
      <c r="AM70" s="485">
        <f t="shared" si="1"/>
        <v>8.6073999999999984E-2</v>
      </c>
      <c r="AN70" s="485">
        <f t="shared" si="1"/>
        <v>-0.34345100000000039</v>
      </c>
      <c r="AO70" s="485">
        <f t="shared" si="1"/>
        <v>0.35291300000000003</v>
      </c>
      <c r="AP70" s="485">
        <f t="shared" si="1"/>
        <v>-4.129499999999986E-2</v>
      </c>
      <c r="AQ70" s="485">
        <f t="shared" si="1"/>
        <v>-0.38534600000000019</v>
      </c>
      <c r="AR70" s="485">
        <f t="shared" si="1"/>
        <v>-0.22264499999999998</v>
      </c>
      <c r="AS70" s="485">
        <f t="shared" si="1"/>
        <v>-4.0664999999999729E-2</v>
      </c>
      <c r="AT70" s="485">
        <f t="shared" si="1"/>
        <v>-0.35905000000000009</v>
      </c>
      <c r="AU70" s="485">
        <f t="shared" si="1"/>
        <v>-0.48070499999999994</v>
      </c>
      <c r="AV70" s="485">
        <f t="shared" si="1"/>
        <v>-0.2141630000000001</v>
      </c>
      <c r="AW70" s="485">
        <f t="shared" si="1"/>
        <v>-0.11808799999999997</v>
      </c>
      <c r="AX70" s="485">
        <f t="shared" si="1"/>
        <v>4.0485000000000104E-2</v>
      </c>
    </row>
    <row r="71" spans="1:50">
      <c r="A71" s="477" t="str">
        <f t="shared" si="2"/>
        <v>Dual Systems</v>
      </c>
      <c r="C71" s="485"/>
      <c r="D71" s="485"/>
      <c r="E71" s="485"/>
      <c r="F71" s="485"/>
      <c r="G71" s="485"/>
      <c r="H71" s="485"/>
      <c r="I71" s="485"/>
      <c r="J71" s="485"/>
      <c r="K71" s="485"/>
      <c r="L71" s="485"/>
      <c r="M71" s="485"/>
      <c r="N71" s="485"/>
      <c r="O71" s="485"/>
      <c r="P71" s="485"/>
      <c r="Q71" s="485"/>
      <c r="R71" s="485"/>
      <c r="S71" s="485"/>
      <c r="T71" s="485"/>
      <c r="U71" s="485"/>
      <c r="V71" s="485"/>
      <c r="W71" s="485"/>
      <c r="X71" s="485"/>
      <c r="AA71" s="477" t="str">
        <f t="shared" si="4"/>
        <v>Dual Systems</v>
      </c>
      <c r="AC71" s="485">
        <f t="shared" si="5"/>
        <v>0</v>
      </c>
      <c r="AD71" s="485">
        <f t="shared" si="1"/>
        <v>0</v>
      </c>
      <c r="AE71" s="485">
        <f t="shared" si="1"/>
        <v>0</v>
      </c>
      <c r="AF71" s="485">
        <f t="shared" si="1"/>
        <v>0</v>
      </c>
      <c r="AG71" s="485">
        <f t="shared" si="1"/>
        <v>0</v>
      </c>
      <c r="AH71" s="485">
        <f t="shared" si="1"/>
        <v>0</v>
      </c>
      <c r="AI71" s="485">
        <f t="shared" si="1"/>
        <v>0</v>
      </c>
      <c r="AJ71" s="485">
        <f t="shared" si="1"/>
        <v>0</v>
      </c>
      <c r="AK71" s="485">
        <f t="shared" si="1"/>
        <v>0</v>
      </c>
      <c r="AL71" s="485">
        <f t="shared" si="1"/>
        <v>0</v>
      </c>
      <c r="AM71" s="485">
        <f t="shared" si="1"/>
        <v>0</v>
      </c>
      <c r="AN71" s="485">
        <f t="shared" si="1"/>
        <v>0</v>
      </c>
      <c r="AO71" s="485">
        <f t="shared" si="1"/>
        <v>0</v>
      </c>
      <c r="AP71" s="485">
        <f t="shared" si="1"/>
        <v>0</v>
      </c>
      <c r="AQ71" s="485">
        <f t="shared" si="1"/>
        <v>0</v>
      </c>
      <c r="AR71" s="485">
        <f t="shared" si="1"/>
        <v>0</v>
      </c>
      <c r="AS71" s="485">
        <f t="shared" si="1"/>
        <v>0</v>
      </c>
      <c r="AT71" s="485">
        <f t="shared" si="1"/>
        <v>0</v>
      </c>
      <c r="AU71" s="485">
        <f t="shared" si="1"/>
        <v>0</v>
      </c>
      <c r="AV71" s="485">
        <f t="shared" si="1"/>
        <v>0</v>
      </c>
      <c r="AW71" s="485">
        <f t="shared" si="1"/>
        <v>0</v>
      </c>
      <c r="AX71" s="485">
        <f t="shared" si="1"/>
        <v>0</v>
      </c>
    </row>
    <row r="72" spans="1:50">
      <c r="A72" s="477" t="str">
        <f t="shared" si="2"/>
        <v>Wood/Electric</v>
      </c>
      <c r="C72" s="485">
        <f t="shared" ref="C72:X72" si="7">C39-B39</f>
        <v>1.7990000000000066</v>
      </c>
      <c r="D72" s="485">
        <f t="shared" si="7"/>
        <v>1.9419999999999931</v>
      </c>
      <c r="E72" s="485">
        <f t="shared" si="7"/>
        <v>2.0529999999999973</v>
      </c>
      <c r="F72" s="485">
        <f t="shared" si="7"/>
        <v>1.8770000000000095</v>
      </c>
      <c r="G72" s="485">
        <f t="shared" si="7"/>
        <v>2.0349999999999966</v>
      </c>
      <c r="H72" s="485">
        <f t="shared" si="7"/>
        <v>1.2720000000000056</v>
      </c>
      <c r="I72" s="485">
        <f t="shared" si="7"/>
        <v>1.3189999999999884</v>
      </c>
      <c r="J72" s="485">
        <f t="shared" si="7"/>
        <v>1.4010000000000105</v>
      </c>
      <c r="K72" s="485">
        <f t="shared" si="7"/>
        <v>1.4059999999999917</v>
      </c>
      <c r="L72" s="485">
        <f t="shared" si="7"/>
        <v>1.1280000000000001</v>
      </c>
      <c r="M72" s="485">
        <f t="shared" si="7"/>
        <v>1.2019999999999982</v>
      </c>
      <c r="N72" s="485">
        <f t="shared" si="7"/>
        <v>1.2390000000000043</v>
      </c>
      <c r="O72" s="485">
        <f t="shared" si="7"/>
        <v>1.3449999999999989</v>
      </c>
      <c r="P72" s="485">
        <f t="shared" si="7"/>
        <v>1.3850000000000051</v>
      </c>
      <c r="Q72" s="485">
        <f t="shared" si="7"/>
        <v>1.4629999999999939</v>
      </c>
      <c r="R72" s="485">
        <f t="shared" si="7"/>
        <v>1.5210000000000008</v>
      </c>
      <c r="S72" s="485">
        <f t="shared" si="7"/>
        <v>0.76900000000000546</v>
      </c>
      <c r="T72" s="485">
        <f t="shared" si="7"/>
        <v>1.0889999999999986</v>
      </c>
      <c r="U72" s="485">
        <f t="shared" si="7"/>
        <v>1.4500000000000028</v>
      </c>
      <c r="V72" s="485">
        <f t="shared" si="7"/>
        <v>1.6490000000000009</v>
      </c>
      <c r="W72" s="485">
        <f t="shared" si="7"/>
        <v>1.7040000000000077</v>
      </c>
      <c r="X72" s="485">
        <f t="shared" si="7"/>
        <v>1.6659999999999968</v>
      </c>
      <c r="AA72" s="477" t="str">
        <f t="shared" si="4"/>
        <v>Wood/Electric</v>
      </c>
      <c r="AC72" s="485">
        <f t="shared" si="5"/>
        <v>-2.7432390000000009</v>
      </c>
      <c r="AD72" s="485">
        <f t="shared" si="1"/>
        <v>-0.54423300000000019</v>
      </c>
      <c r="AE72" s="485">
        <f t="shared" si="1"/>
        <v>-0.45749200000000023</v>
      </c>
      <c r="AF72" s="485">
        <f t="shared" si="1"/>
        <v>0.22025999999999968</v>
      </c>
      <c r="AG72" s="485">
        <f t="shared" si="1"/>
        <v>0.18143399999999943</v>
      </c>
      <c r="AH72" s="485">
        <f t="shared" si="1"/>
        <v>-0.80478899999999953</v>
      </c>
      <c r="AI72" s="485">
        <f t="shared" si="1"/>
        <v>1.9536510000000007</v>
      </c>
      <c r="AJ72" s="485">
        <f t="shared" si="1"/>
        <v>1.1045569999999998</v>
      </c>
      <c r="AK72" s="485">
        <f t="shared" si="1"/>
        <v>0.61052999999999891</v>
      </c>
      <c r="AL72" s="485">
        <f t="shared" si="1"/>
        <v>-0.89044799999999924</v>
      </c>
      <c r="AM72" s="485">
        <f t="shared" si="1"/>
        <v>1.2912159999999986</v>
      </c>
      <c r="AN72" s="485">
        <f t="shared" si="1"/>
        <v>-1.082730999999999</v>
      </c>
      <c r="AO72" s="485">
        <f t="shared" si="1"/>
        <v>3.0728720000000003</v>
      </c>
      <c r="AP72" s="485">
        <f t="shared" si="1"/>
        <v>1.0565069999999999</v>
      </c>
      <c r="AQ72" s="485">
        <f t="shared" si="1"/>
        <v>-1.1760969999999986</v>
      </c>
      <c r="AR72" s="485">
        <f t="shared" si="1"/>
        <v>6.6055999999999671E-2</v>
      </c>
      <c r="AS72" s="485">
        <f t="shared" si="1"/>
        <v>1.5542549999999977</v>
      </c>
      <c r="AT72" s="485">
        <f t="shared" si="1"/>
        <v>-1.2002339999999982</v>
      </c>
      <c r="AU72" s="485">
        <f t="shared" si="1"/>
        <v>-2.7346140000000005</v>
      </c>
      <c r="AV72" s="485">
        <f t="shared" si="1"/>
        <v>-1.4841999999999995</v>
      </c>
      <c r="AW72" s="485">
        <f t="shared" si="1"/>
        <v>-0.58596299999999957</v>
      </c>
      <c r="AX72" s="485">
        <f t="shared" si="1"/>
        <v>1.2593160000000001</v>
      </c>
    </row>
    <row r="73" spans="1:50">
      <c r="A73" s="477" t="str">
        <f t="shared" si="2"/>
        <v>Wood/Heating Oil</v>
      </c>
      <c r="C73" s="485">
        <f t="shared" ref="C73:X73" si="8">C40-B40</f>
        <v>1.657999999999987</v>
      </c>
      <c r="D73" s="485">
        <f t="shared" si="8"/>
        <v>1.7870000000000061</v>
      </c>
      <c r="E73" s="485">
        <f t="shared" si="8"/>
        <v>1.8919999999999959</v>
      </c>
      <c r="F73" s="485">
        <f t="shared" si="8"/>
        <v>1.7340000000000089</v>
      </c>
      <c r="G73" s="485">
        <f t="shared" si="8"/>
        <v>1.8759999999999906</v>
      </c>
      <c r="H73" s="485">
        <f t="shared" si="8"/>
        <v>1.1870000000000118</v>
      </c>
      <c r="I73" s="485">
        <f t="shared" si="8"/>
        <v>1.2319999999999993</v>
      </c>
      <c r="J73" s="485">
        <f t="shared" si="8"/>
        <v>1.3079999999999927</v>
      </c>
      <c r="K73" s="485">
        <f t="shared" si="8"/>
        <v>1.3080000000000069</v>
      </c>
      <c r="L73" s="485">
        <f t="shared" si="8"/>
        <v>1.0569999999999879</v>
      </c>
      <c r="M73" s="485">
        <f t="shared" si="8"/>
        <v>1.1219999999999999</v>
      </c>
      <c r="N73" s="485">
        <f t="shared" si="8"/>
        <v>1.1560000000000059</v>
      </c>
      <c r="O73" s="485">
        <f t="shared" si="8"/>
        <v>1.2560000000000002</v>
      </c>
      <c r="P73" s="485">
        <f t="shared" si="8"/>
        <v>1.2900000000000063</v>
      </c>
      <c r="Q73" s="485">
        <f t="shared" si="8"/>
        <v>1.36099999999999</v>
      </c>
      <c r="R73" s="485">
        <f t="shared" si="8"/>
        <v>1.4150000000000063</v>
      </c>
      <c r="S73" s="485">
        <f t="shared" si="8"/>
        <v>0.74099999999999966</v>
      </c>
      <c r="T73" s="485">
        <f t="shared" si="8"/>
        <v>1.0289999999999964</v>
      </c>
      <c r="U73" s="485">
        <f t="shared" si="8"/>
        <v>1.355000000000004</v>
      </c>
      <c r="V73" s="485">
        <f t="shared" si="8"/>
        <v>1.5349999999999966</v>
      </c>
      <c r="W73" s="485">
        <f t="shared" si="8"/>
        <v>1.5829999999999984</v>
      </c>
      <c r="X73" s="485">
        <f t="shared" si="8"/>
        <v>1.5499999999999972</v>
      </c>
      <c r="AA73" s="477" t="str">
        <f t="shared" si="4"/>
        <v>Wood/Heating Oil</v>
      </c>
      <c r="AC73" s="485">
        <f t="shared" si="5"/>
        <v>-0.80766500000000097</v>
      </c>
      <c r="AD73" s="485">
        <f t="shared" si="1"/>
        <v>1.0424560000000005</v>
      </c>
      <c r="AE73" s="485">
        <f t="shared" si="1"/>
        <v>-1.4571999999999363E-2</v>
      </c>
      <c r="AF73" s="485">
        <f t="shared" si="1"/>
        <v>-0.15895500000000062</v>
      </c>
      <c r="AG73" s="485">
        <f t="shared" si="1"/>
        <v>1.8416949999999996</v>
      </c>
      <c r="AH73" s="485">
        <f t="shared" si="1"/>
        <v>-0.80326299999999939</v>
      </c>
      <c r="AI73" s="485">
        <f t="shared" si="1"/>
        <v>0.44894099999999959</v>
      </c>
      <c r="AJ73" s="485">
        <f t="shared" si="1"/>
        <v>-0.56171299999999924</v>
      </c>
      <c r="AK73" s="485">
        <f t="shared" si="1"/>
        <v>0.69024399999999986</v>
      </c>
      <c r="AL73" s="485">
        <f t="shared" si="1"/>
        <v>-2.7598000000001122E-2</v>
      </c>
      <c r="AM73" s="485">
        <f t="shared" si="1"/>
        <v>-0.9798619999999989</v>
      </c>
      <c r="AN73" s="485">
        <f t="shared" si="1"/>
        <v>-1.1206550000000011</v>
      </c>
      <c r="AO73" s="485">
        <f t="shared" si="1"/>
        <v>1.2524150000000009</v>
      </c>
      <c r="AP73" s="485">
        <f t="shared" si="1"/>
        <v>-0.25003500000000045</v>
      </c>
      <c r="AQ73" s="485">
        <f t="shared" si="1"/>
        <v>-0.44480199999999925</v>
      </c>
      <c r="AR73" s="485">
        <f t="shared" si="1"/>
        <v>-1.2051430000000005</v>
      </c>
      <c r="AS73" s="485">
        <f t="shared" si="1"/>
        <v>-9.8812999999999818E-2</v>
      </c>
      <c r="AT73" s="485">
        <f t="shared" si="1"/>
        <v>7.5064999999999493E-2</v>
      </c>
      <c r="AU73" s="485">
        <f t="shared" si="1"/>
        <v>-0.89636699999999969</v>
      </c>
      <c r="AV73" s="485">
        <f t="shared" ref="AD73:AX75" si="9">AV27-AU27</f>
        <v>-0.67621100000000034</v>
      </c>
      <c r="AW73" s="485">
        <f t="shared" si="9"/>
        <v>-3.3897999999999762E-2</v>
      </c>
      <c r="AX73" s="485">
        <f t="shared" si="9"/>
        <v>0.78430800000000023</v>
      </c>
    </row>
    <row r="74" spans="1:50">
      <c r="A74" s="477" t="str">
        <f t="shared" si="2"/>
        <v>Natural Gas/Electric</v>
      </c>
      <c r="C74" s="485">
        <f t="shared" ref="C74:X74" si="10">C41-B41</f>
        <v>0.77299999999999969</v>
      </c>
      <c r="D74" s="485">
        <f t="shared" si="10"/>
        <v>0.7970000000000006</v>
      </c>
      <c r="E74" s="485">
        <f t="shared" si="10"/>
        <v>0.81599999999999895</v>
      </c>
      <c r="F74" s="485">
        <f t="shared" si="10"/>
        <v>0.78600000000000136</v>
      </c>
      <c r="G74" s="485">
        <f t="shared" si="10"/>
        <v>0.81400000000000006</v>
      </c>
      <c r="H74" s="485">
        <f t="shared" si="10"/>
        <v>0.67499999999999716</v>
      </c>
      <c r="I74" s="485">
        <f t="shared" si="10"/>
        <v>0.68000000000000327</v>
      </c>
      <c r="J74" s="485">
        <f t="shared" si="10"/>
        <v>0.69299999999999784</v>
      </c>
      <c r="K74" s="485">
        <f t="shared" si="10"/>
        <v>0.69200000000000017</v>
      </c>
      <c r="L74" s="485">
        <f t="shared" si="10"/>
        <v>0.62699999999999889</v>
      </c>
      <c r="M74" s="485">
        <f t="shared" si="10"/>
        <v>0.625</v>
      </c>
      <c r="N74" s="485">
        <f t="shared" si="10"/>
        <v>0.63300000000000267</v>
      </c>
      <c r="O74" s="485">
        <f t="shared" si="10"/>
        <v>0.65399999999999991</v>
      </c>
      <c r="P74" s="485">
        <f t="shared" si="10"/>
        <v>0.66499999999999915</v>
      </c>
      <c r="Q74" s="485">
        <f t="shared" si="10"/>
        <v>0.68599999999999994</v>
      </c>
      <c r="R74" s="485">
        <f t="shared" si="10"/>
        <v>0.6980000000000004</v>
      </c>
      <c r="S74" s="485">
        <f t="shared" si="10"/>
        <v>0.54599999999999937</v>
      </c>
      <c r="T74" s="485">
        <f t="shared" si="10"/>
        <v>0.61200000000000188</v>
      </c>
      <c r="U74" s="485">
        <f t="shared" si="10"/>
        <v>0.68099999999999739</v>
      </c>
      <c r="V74" s="485">
        <f t="shared" si="10"/>
        <v>0.72800000000000153</v>
      </c>
      <c r="W74" s="485">
        <f t="shared" si="10"/>
        <v>0.7430000000000021</v>
      </c>
      <c r="X74" s="485">
        <f t="shared" si="10"/>
        <v>0.73099999999999454</v>
      </c>
      <c r="AA74" s="477" t="str">
        <f t="shared" si="4"/>
        <v>Natural Gas/Electric</v>
      </c>
      <c r="AC74" s="485">
        <f t="shared" si="5"/>
        <v>-9.5032999999999923E-2</v>
      </c>
      <c r="AD74" s="485">
        <f t="shared" si="9"/>
        <v>0.11891800000000008</v>
      </c>
      <c r="AE74" s="485">
        <f t="shared" si="9"/>
        <v>0.25582399999999983</v>
      </c>
      <c r="AF74" s="485">
        <f t="shared" si="9"/>
        <v>-2.8715999999999964E-2</v>
      </c>
      <c r="AG74" s="485">
        <f t="shared" si="9"/>
        <v>5.1565000000000083E-2</v>
      </c>
      <c r="AH74" s="485">
        <f t="shared" si="9"/>
        <v>-0.15722900000000006</v>
      </c>
      <c r="AI74" s="485">
        <f t="shared" si="9"/>
        <v>0.31135600000000019</v>
      </c>
      <c r="AJ74" s="485">
        <f t="shared" si="9"/>
        <v>0.12642499999999979</v>
      </c>
      <c r="AK74" s="485">
        <f t="shared" si="9"/>
        <v>-8.4572000000000092E-2</v>
      </c>
      <c r="AL74" s="485">
        <f t="shared" si="9"/>
        <v>-9.4630999999999688E-2</v>
      </c>
      <c r="AM74" s="485">
        <f t="shared" si="9"/>
        <v>0.28649999999999975</v>
      </c>
      <c r="AN74" s="485">
        <f t="shared" si="9"/>
        <v>-0.25174299999999983</v>
      </c>
      <c r="AO74" s="485">
        <f t="shared" si="9"/>
        <v>0.4384030000000001</v>
      </c>
      <c r="AP74" s="485">
        <f t="shared" si="9"/>
        <v>0.16000199999999998</v>
      </c>
      <c r="AQ74" s="485">
        <f t="shared" si="9"/>
        <v>3.2553000000000054E-2</v>
      </c>
      <c r="AR74" s="485">
        <f t="shared" si="9"/>
        <v>-0.37261800000000012</v>
      </c>
      <c r="AS74" s="485">
        <f t="shared" si="9"/>
        <v>7.1730999999999767E-2</v>
      </c>
      <c r="AT74" s="485">
        <f t="shared" si="9"/>
        <v>0.17498700000000023</v>
      </c>
      <c r="AU74" s="485">
        <f t="shared" si="9"/>
        <v>0.14941899999999997</v>
      </c>
      <c r="AV74" s="485">
        <f t="shared" si="9"/>
        <v>-0.26385799999999993</v>
      </c>
      <c r="AW74" s="485">
        <f t="shared" si="9"/>
        <v>-8.8223000000000162E-2</v>
      </c>
      <c r="AX74" s="485">
        <f t="shared" si="9"/>
        <v>0.15118100000000023</v>
      </c>
    </row>
    <row r="75" spans="1:50">
      <c r="A75" s="477" t="str">
        <f t="shared" si="2"/>
        <v>Heating Oil/Electric</v>
      </c>
      <c r="C75" s="485">
        <f t="shared" ref="C75:X75" si="11">C42-B42</f>
        <v>0.44200000000000017</v>
      </c>
      <c r="D75" s="485">
        <f t="shared" si="11"/>
        <v>0.45699999999999896</v>
      </c>
      <c r="E75" s="485">
        <f t="shared" si="11"/>
        <v>0.47100000000000009</v>
      </c>
      <c r="F75" s="485">
        <f t="shared" si="11"/>
        <v>0.45100000000000051</v>
      </c>
      <c r="G75" s="485">
        <f t="shared" si="11"/>
        <v>0.46899999999999942</v>
      </c>
      <c r="H75" s="485">
        <f t="shared" si="11"/>
        <v>0.38099999999999845</v>
      </c>
      <c r="I75" s="485">
        <f t="shared" si="11"/>
        <v>0.38500000000000156</v>
      </c>
      <c r="J75" s="485">
        <f t="shared" si="11"/>
        <v>0.39300000000000068</v>
      </c>
      <c r="K75" s="485">
        <f t="shared" si="11"/>
        <v>0.39300000000000068</v>
      </c>
      <c r="L75" s="485">
        <f t="shared" si="11"/>
        <v>0.34999999999999787</v>
      </c>
      <c r="M75" s="485">
        <f t="shared" si="11"/>
        <v>0.35100000000000264</v>
      </c>
      <c r="N75" s="485">
        <f t="shared" si="11"/>
        <v>0.35699999999999932</v>
      </c>
      <c r="O75" s="485">
        <f t="shared" si="11"/>
        <v>0.36999999999999744</v>
      </c>
      <c r="P75" s="485">
        <f t="shared" si="11"/>
        <v>0.37800000000000011</v>
      </c>
      <c r="Q75" s="485">
        <f t="shared" si="11"/>
        <v>0.39000000000000057</v>
      </c>
      <c r="R75" s="485">
        <f t="shared" si="11"/>
        <v>0.39900000000000091</v>
      </c>
      <c r="S75" s="485">
        <f t="shared" si="11"/>
        <v>0.30499999999999972</v>
      </c>
      <c r="T75" s="485">
        <f t="shared" si="11"/>
        <v>0.34600000000000009</v>
      </c>
      <c r="U75" s="485">
        <f t="shared" si="11"/>
        <v>0.39100000000000179</v>
      </c>
      <c r="V75" s="485">
        <f t="shared" si="11"/>
        <v>0.41799999999999926</v>
      </c>
      <c r="W75" s="485">
        <f t="shared" si="11"/>
        <v>0.4269999999999996</v>
      </c>
      <c r="X75" s="485">
        <f t="shared" si="11"/>
        <v>0.41900000000000048</v>
      </c>
      <c r="AA75" s="477" t="str">
        <f t="shared" si="4"/>
        <v>Heating Oil/Electric</v>
      </c>
      <c r="AC75" s="485">
        <f t="shared" si="5"/>
        <v>-3.8888999999999951E-2</v>
      </c>
      <c r="AD75" s="485">
        <f t="shared" si="9"/>
        <v>0.16635199999999994</v>
      </c>
      <c r="AE75" s="485">
        <f t="shared" si="9"/>
        <v>4.5838999999999963E-2</v>
      </c>
      <c r="AF75" s="485">
        <f t="shared" si="9"/>
        <v>-6.100999999999912E-3</v>
      </c>
      <c r="AG75" s="485">
        <f t="shared" si="9"/>
        <v>0.24785600000000008</v>
      </c>
      <c r="AH75" s="485">
        <f t="shared" si="9"/>
        <v>-9.3527000000000138E-2</v>
      </c>
      <c r="AI75" s="485">
        <f t="shared" si="9"/>
        <v>4.4852000000000114E-2</v>
      </c>
      <c r="AJ75" s="485">
        <f t="shared" si="9"/>
        <v>-8.4299000000000124E-2</v>
      </c>
      <c r="AK75" s="485">
        <f t="shared" si="9"/>
        <v>0.10486600000000013</v>
      </c>
      <c r="AL75" s="485">
        <f t="shared" si="9"/>
        <v>1.8271999999999844E-2</v>
      </c>
      <c r="AM75" s="485">
        <f t="shared" si="9"/>
        <v>-0.16750899999999991</v>
      </c>
      <c r="AN75" s="485">
        <f t="shared" si="9"/>
        <v>-0.14266800000000002</v>
      </c>
      <c r="AO75" s="485">
        <f t="shared" si="9"/>
        <v>0.14573700000000001</v>
      </c>
      <c r="AP75" s="485">
        <f t="shared" si="9"/>
        <v>-4.4361000000000095E-2</v>
      </c>
      <c r="AQ75" s="485">
        <f t="shared" si="9"/>
        <v>-4.6086999999999989E-2</v>
      </c>
      <c r="AR75" s="485">
        <f t="shared" si="9"/>
        <v>-0.20917899999999989</v>
      </c>
      <c r="AS75" s="485">
        <f t="shared" si="9"/>
        <v>-4.3978000000000073E-2</v>
      </c>
      <c r="AT75" s="485">
        <f t="shared" si="9"/>
        <v>3.9849000000000023E-2</v>
      </c>
      <c r="AU75" s="485">
        <f t="shared" si="9"/>
        <v>-5.1065999999999945E-2</v>
      </c>
      <c r="AV75" s="485">
        <f t="shared" si="9"/>
        <v>-8.0161000000000038E-2</v>
      </c>
      <c r="AW75" s="485">
        <f t="shared" si="9"/>
        <v>9.9860000000000504E-3</v>
      </c>
      <c r="AX75" s="485">
        <f t="shared" si="9"/>
        <v>9.6889999999999921E-2</v>
      </c>
    </row>
    <row r="76" spans="1:50">
      <c r="A76" s="477"/>
      <c r="AA76" s="477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</row>
    <row r="77" spans="1:50">
      <c r="A77" s="431" t="s">
        <v>65</v>
      </c>
      <c r="B77" s="431"/>
      <c r="C77" s="491">
        <f t="shared" ref="C77:W77" si="12">SUM(C61:C75)</f>
        <v>66.763999999999925</v>
      </c>
      <c r="D77" s="491">
        <f t="shared" si="12"/>
        <v>78.880000000000123</v>
      </c>
      <c r="E77" s="491">
        <f t="shared" si="12"/>
        <v>74.000999999999976</v>
      </c>
      <c r="F77" s="491">
        <f t="shared" si="12"/>
        <v>82.592000000000155</v>
      </c>
      <c r="G77" s="491">
        <f t="shared" si="12"/>
        <v>78.662999999999869</v>
      </c>
      <c r="H77" s="491">
        <f t="shared" si="12"/>
        <v>71.583000000000084</v>
      </c>
      <c r="I77" s="491">
        <f t="shared" si="12"/>
        <v>62.313000000000059</v>
      </c>
      <c r="J77" s="491">
        <f t="shared" si="12"/>
        <v>65.07499999999979</v>
      </c>
      <c r="K77" s="491">
        <f t="shared" si="12"/>
        <v>52.94700000000001</v>
      </c>
      <c r="L77" s="491">
        <f t="shared" si="12"/>
        <v>58.641999999999825</v>
      </c>
      <c r="M77" s="491">
        <f t="shared" si="12"/>
        <v>57.515000000000342</v>
      </c>
      <c r="N77" s="491">
        <f t="shared" si="12"/>
        <v>55.185999999999623</v>
      </c>
      <c r="O77" s="491">
        <f t="shared" si="12"/>
        <v>55.413000000000075</v>
      </c>
      <c r="P77" s="491">
        <f t="shared" si="12"/>
        <v>53.125000000000291</v>
      </c>
      <c r="Q77" s="491">
        <f t="shared" si="12"/>
        <v>69.194999999999638</v>
      </c>
      <c r="R77" s="491">
        <f t="shared" si="12"/>
        <v>60.161000000000413</v>
      </c>
      <c r="S77" s="491">
        <f>SUM(S61:S75)</f>
        <v>65.556999999999618</v>
      </c>
      <c r="T77" s="491">
        <f t="shared" si="12"/>
        <v>76.147000000000105</v>
      </c>
      <c r="U77" s="491">
        <f t="shared" si="12"/>
        <v>82.79000000000029</v>
      </c>
      <c r="V77" s="491">
        <f t="shared" si="12"/>
        <v>97.608999999999753</v>
      </c>
      <c r="W77" s="491">
        <f t="shared" si="12"/>
        <v>104.702</v>
      </c>
      <c r="X77" s="491">
        <f>SUM(X61:X75)</f>
        <v>98.079999999999842</v>
      </c>
      <c r="AA77" s="431" t="s">
        <v>65</v>
      </c>
      <c r="AB77" s="431"/>
      <c r="AC77" s="491">
        <f t="shared" ref="AC77:AW77" si="13">SUM(AC61:AC75)</f>
        <v>-28.288306000000002</v>
      </c>
      <c r="AD77" s="491">
        <f t="shared" si="13"/>
        <v>16.454816999999977</v>
      </c>
      <c r="AE77" s="491">
        <f t="shared" si="13"/>
        <v>33.097508000000005</v>
      </c>
      <c r="AF77" s="491">
        <f t="shared" si="13"/>
        <v>-13.254211000000007</v>
      </c>
      <c r="AG77" s="491">
        <f t="shared" si="13"/>
        <v>7.3007870000000157</v>
      </c>
      <c r="AH77" s="491">
        <f t="shared" si="13"/>
        <v>-33.942541000000013</v>
      </c>
      <c r="AI77" s="491">
        <f t="shared" si="13"/>
        <v>42.644433999999997</v>
      </c>
      <c r="AJ77" s="491">
        <f t="shared" si="13"/>
        <v>9.6402020000000022</v>
      </c>
      <c r="AK77" s="491">
        <f t="shared" si="13"/>
        <v>-18.756450999999991</v>
      </c>
      <c r="AL77" s="491">
        <f t="shared" si="13"/>
        <v>-21.186199999999996</v>
      </c>
      <c r="AM77" s="491">
        <f t="shared" si="13"/>
        <v>28.944356999999989</v>
      </c>
      <c r="AN77" s="491">
        <f t="shared" si="13"/>
        <v>-42.530932999999997</v>
      </c>
      <c r="AO77" s="491">
        <f t="shared" si="13"/>
        <v>51.972845999999983</v>
      </c>
      <c r="AP77" s="491">
        <f t="shared" si="13"/>
        <v>11.496447000000005</v>
      </c>
      <c r="AQ77" s="491">
        <f t="shared" si="13"/>
        <v>-7.9650279999999913</v>
      </c>
      <c r="AR77" s="491">
        <f t="shared" si="13"/>
        <v>-52.676366000000016</v>
      </c>
      <c r="AS77" s="491">
        <f t="shared" si="13"/>
        <v>6.6523500000000011</v>
      </c>
      <c r="AT77" s="491">
        <f>SUM(AT61:AT75)</f>
        <v>10.501078999999988</v>
      </c>
      <c r="AU77" s="491">
        <f t="shared" si="13"/>
        <v>8.9730590000000063</v>
      </c>
      <c r="AV77" s="491">
        <f t="shared" si="13"/>
        <v>-35.399834000000013</v>
      </c>
      <c r="AW77" s="491">
        <f t="shared" si="13"/>
        <v>-11.411858999999987</v>
      </c>
      <c r="AX77" s="491">
        <f>SUM(AX61:AX75)</f>
        <v>17.26189999999999</v>
      </c>
    </row>
    <row r="78" spans="1:50">
      <c r="A78" t="str">
        <f>A67</f>
        <v>Electric</v>
      </c>
      <c r="D78" s="18">
        <f t="shared" ref="D78:W79" si="14">D67/D$77</f>
        <v>0.12988083164300188</v>
      </c>
      <c r="E78" s="18">
        <f t="shared" si="14"/>
        <v>0.13543060228915896</v>
      </c>
      <c r="F78" s="18">
        <f t="shared" si="14"/>
        <v>0.14427547462223844</v>
      </c>
      <c r="G78" s="18">
        <f t="shared" si="14"/>
        <v>0.23224387577387126</v>
      </c>
      <c r="H78" s="18">
        <f t="shared" si="14"/>
        <v>0.28509562326250637</v>
      </c>
      <c r="I78" s="18">
        <f t="shared" si="14"/>
        <v>0.36122478455538959</v>
      </c>
      <c r="J78" s="18">
        <f t="shared" si="14"/>
        <v>0.46137533615059695</v>
      </c>
      <c r="K78" s="18">
        <f t="shared" si="14"/>
        <v>0.59782423933367357</v>
      </c>
      <c r="L78" s="18">
        <f t="shared" si="14"/>
        <v>0.59641553835135253</v>
      </c>
      <c r="M78" s="18">
        <f t="shared" si="14"/>
        <v>0.6304094584021529</v>
      </c>
      <c r="N78" s="18">
        <f t="shared" si="14"/>
        <v>0.61528286159533707</v>
      </c>
      <c r="O78" s="18">
        <f t="shared" si="14"/>
        <v>0.67282045729341422</v>
      </c>
      <c r="P78" s="18">
        <f t="shared" si="14"/>
        <v>0.64397176470587902</v>
      </c>
      <c r="Q78" s="18">
        <f t="shared" si="14"/>
        <v>0.56564780692246663</v>
      </c>
      <c r="R78" s="18">
        <f t="shared" si="14"/>
        <v>0.59749671714233299</v>
      </c>
      <c r="S78" s="18">
        <f t="shared" si="14"/>
        <v>0.48565370593529528</v>
      </c>
      <c r="T78" s="18">
        <f t="shared" si="14"/>
        <v>0.47959867099163372</v>
      </c>
      <c r="U78" s="18">
        <f t="shared" si="14"/>
        <v>0.47965937915206996</v>
      </c>
      <c r="V78" s="18">
        <f t="shared" si="14"/>
        <v>0.31672284318044486</v>
      </c>
      <c r="W78" s="18">
        <f t="shared" si="14"/>
        <v>0.31987927642260855</v>
      </c>
      <c r="X78" s="18">
        <f>X67/X$77</f>
        <v>0.32156402936378503</v>
      </c>
      <c r="AA78" t="str">
        <f>AA67</f>
        <v>Electric</v>
      </c>
      <c r="AD78" s="18">
        <f t="shared" ref="AD78:AW78" si="15">AD67/AD$77</f>
        <v>2.5049382196107039E-2</v>
      </c>
      <c r="AE78" s="18">
        <f t="shared" si="15"/>
        <v>0.1307394200191748</v>
      </c>
      <c r="AF78" s="18">
        <f t="shared" si="15"/>
        <v>-9.2384375048805339E-2</v>
      </c>
      <c r="AG78" s="18">
        <f t="shared" si="15"/>
        <v>-0.37160473247610043</v>
      </c>
      <c r="AH78" s="18">
        <f t="shared" si="15"/>
        <v>8.4603064926694727E-2</v>
      </c>
      <c r="AI78" s="18">
        <f t="shared" si="15"/>
        <v>8.409256879807564E-2</v>
      </c>
      <c r="AJ78" s="18">
        <f t="shared" si="15"/>
        <v>0.29105054022726951</v>
      </c>
      <c r="AK78" s="18">
        <f t="shared" si="15"/>
        <v>-0.13718048259769378</v>
      </c>
      <c r="AL78" s="18">
        <f t="shared" si="15"/>
        <v>7.6425172989964998E-2</v>
      </c>
      <c r="AM78" s="18">
        <f t="shared" si="15"/>
        <v>2.727806321626014E-2</v>
      </c>
      <c r="AN78" s="18">
        <f t="shared" si="15"/>
        <v>5.0220365492569877E-2</v>
      </c>
      <c r="AO78" s="18">
        <f t="shared" si="15"/>
        <v>0.14477825593772567</v>
      </c>
      <c r="AP78" s="18">
        <f t="shared" si="15"/>
        <v>0.30933774582703627</v>
      </c>
      <c r="AQ78" s="18">
        <f t="shared" si="15"/>
        <v>0.37581763679926827</v>
      </c>
      <c r="AR78" s="18">
        <f t="shared" si="15"/>
        <v>0.10857656733571927</v>
      </c>
      <c r="AS78" s="18">
        <f t="shared" si="15"/>
        <v>0.35713138965929314</v>
      </c>
      <c r="AT78" s="18">
        <f t="shared" si="15"/>
        <v>-0.15250070968897589</v>
      </c>
      <c r="AU78" s="18">
        <f t="shared" si="15"/>
        <v>0.29040196882690666</v>
      </c>
      <c r="AV78" s="18">
        <f t="shared" si="15"/>
        <v>0.11541037169835304</v>
      </c>
      <c r="AW78" s="18">
        <f t="shared" si="15"/>
        <v>7.5555788062225418E-2</v>
      </c>
      <c r="AX78" s="18">
        <f>AX67/AX$77</f>
        <v>5.8323822985882186E-2</v>
      </c>
    </row>
    <row r="79" spans="1:50">
      <c r="A79" t="str">
        <f>A68</f>
        <v>Heat Pump</v>
      </c>
      <c r="D79" s="567">
        <f t="shared" si="14"/>
        <v>-2.0537525354969418E-3</v>
      </c>
      <c r="E79" s="567">
        <f t="shared" si="14"/>
        <v>7.1350387156930159E-3</v>
      </c>
      <c r="F79" s="567">
        <f t="shared" si="14"/>
        <v>2.4191204959318018E-2</v>
      </c>
      <c r="G79" s="567">
        <f t="shared" si="14"/>
        <v>5.2375322578595632E-3</v>
      </c>
      <c r="H79" s="567">
        <f t="shared" si="14"/>
        <v>1.7462246622801481E-2</v>
      </c>
      <c r="I79" s="567">
        <f t="shared" si="14"/>
        <v>1.9642771171344591E-2</v>
      </c>
      <c r="J79" s="567">
        <f t="shared" si="14"/>
        <v>-1.3645793315405316E-2</v>
      </c>
      <c r="K79" s="567">
        <f t="shared" si="14"/>
        <v>1.6318204997450226E-2</v>
      </c>
      <c r="L79" s="567">
        <f t="shared" si="14"/>
        <v>3.925514136625638E-2</v>
      </c>
      <c r="M79" s="567">
        <f t="shared" si="14"/>
        <v>-1.5248196122750416E-2</v>
      </c>
      <c r="N79" s="567">
        <f t="shared" si="14"/>
        <v>7.0960026093575018E-2</v>
      </c>
      <c r="O79" s="567">
        <f t="shared" si="14"/>
        <v>-4.9464927002688952E-2</v>
      </c>
      <c r="P79" s="567">
        <f t="shared" si="14"/>
        <v>6.0122352941176058E-2</v>
      </c>
      <c r="Q79" s="567">
        <f t="shared" si="14"/>
        <v>1.8079340992846468E-2</v>
      </c>
      <c r="R79" s="567">
        <f t="shared" si="14"/>
        <v>7.0976213826232384E-2</v>
      </c>
      <c r="S79" s="567">
        <f t="shared" si="14"/>
        <v>0.11574660219351179</v>
      </c>
      <c r="T79" s="567">
        <f t="shared" si="14"/>
        <v>9.2111311016848801E-2</v>
      </c>
      <c r="U79" s="567">
        <f t="shared" si="14"/>
        <v>8.4889479405725096E-2</v>
      </c>
      <c r="V79" s="567">
        <f t="shared" si="14"/>
        <v>9.7306600825743675E-2</v>
      </c>
      <c r="W79" s="567">
        <f t="shared" si="14"/>
        <v>9.4114725602185242E-2</v>
      </c>
      <c r="X79" s="567">
        <f t="shared" ref="X79" si="16">X68/X$77</f>
        <v>0.10254893964110953</v>
      </c>
      <c r="AA79" t="str">
        <f>AA68</f>
        <v>Heat Pump</v>
      </c>
      <c r="AD79" s="567">
        <f t="shared" ref="AD79:AR79" si="17">AD68/AD$77</f>
        <v>-9.9502777818799158E-4</v>
      </c>
      <c r="AE79" s="567">
        <f t="shared" si="17"/>
        <v>5.8411044118487666E-3</v>
      </c>
      <c r="AF79" s="567">
        <f t="shared" si="17"/>
        <v>-7.3704877642282894E-3</v>
      </c>
      <c r="AG79" s="567">
        <f t="shared" si="17"/>
        <v>-2.1240312859421816E-2</v>
      </c>
      <c r="AH79" s="567">
        <f t="shared" si="17"/>
        <v>4.2478846825286312E-3</v>
      </c>
      <c r="AI79" s="567">
        <f t="shared" si="17"/>
        <v>3.7746778395511158E-3</v>
      </c>
      <c r="AJ79" s="567">
        <f t="shared" si="17"/>
        <v>2.813530255901277E-3</v>
      </c>
      <c r="AK79" s="567">
        <f t="shared" si="17"/>
        <v>-4.079876304957695E-3</v>
      </c>
      <c r="AL79" s="567">
        <f t="shared" si="17"/>
        <v>2.4066137391320825E-3</v>
      </c>
      <c r="AM79" s="567">
        <f t="shared" si="17"/>
        <v>-2.5986066990536382E-3</v>
      </c>
      <c r="AN79" s="567">
        <f t="shared" si="17"/>
        <v>6.2159464030568168E-4</v>
      </c>
      <c r="AO79" s="567">
        <f t="shared" si="17"/>
        <v>2.8696138749069113E-3</v>
      </c>
      <c r="AP79" s="567">
        <f t="shared" si="17"/>
        <v>1.6875039740538954E-2</v>
      </c>
      <c r="AQ79" s="567">
        <f t="shared" si="17"/>
        <v>1.7614627343431832E-2</v>
      </c>
      <c r="AR79" s="567">
        <f t="shared" si="17"/>
        <v>3.4138459741129439E-3</v>
      </c>
      <c r="AS79" s="567">
        <f>AS68/AS$77</f>
        <v>3.9536855396964998E-2</v>
      </c>
      <c r="AT79" s="567">
        <f>AT68/AT$77</f>
        <v>4.6887562697128368E-3</v>
      </c>
      <c r="AU79" s="567">
        <f>AU68/AU$77</f>
        <v>2.619485729448566E-2</v>
      </c>
      <c r="AV79" s="567">
        <f>AV68/AV$77</f>
        <v>9.2709474287366335E-4</v>
      </c>
      <c r="AW79" s="567">
        <f>AW68/AW$77</f>
        <v>-1.0804549898487227E-2</v>
      </c>
      <c r="AX79" s="567">
        <f>AX68/AX$77</f>
        <v>1.3417989908411013E-2</v>
      </c>
    </row>
    <row r="80" spans="1:50">
      <c r="A80" t="str">
        <f>A72</f>
        <v>Wood/Electric</v>
      </c>
      <c r="D80" s="18">
        <f t="shared" ref="D80:W80" si="18">D73/D$77</f>
        <v>2.2654665314401665E-2</v>
      </c>
      <c r="E80" s="18">
        <f t="shared" si="18"/>
        <v>2.5567222064566648E-2</v>
      </c>
      <c r="F80" s="18">
        <f t="shared" si="18"/>
        <v>2.0994769469198052E-2</v>
      </c>
      <c r="G80" s="18">
        <f t="shared" si="18"/>
        <v>2.384856921297171E-2</v>
      </c>
      <c r="H80" s="18">
        <f t="shared" si="18"/>
        <v>1.6582149393012453E-2</v>
      </c>
      <c r="I80" s="18">
        <f t="shared" si="18"/>
        <v>1.9771155296647538E-2</v>
      </c>
      <c r="J80" s="18">
        <f t="shared" si="18"/>
        <v>2.0099884748367221E-2</v>
      </c>
      <c r="K80" s="18">
        <f t="shared" si="18"/>
        <v>2.4703949232251245E-2</v>
      </c>
      <c r="L80" s="18">
        <f t="shared" si="18"/>
        <v>1.8024623989631852E-2</v>
      </c>
      <c r="M80" s="18">
        <f t="shared" si="18"/>
        <v>1.9507954446665969E-2</v>
      </c>
      <c r="N80" s="18">
        <f t="shared" si="18"/>
        <v>2.0947341717102413E-2</v>
      </c>
      <c r="O80" s="18">
        <f t="shared" si="18"/>
        <v>2.2666161370075589E-2</v>
      </c>
      <c r="P80" s="18">
        <f t="shared" si="18"/>
        <v>2.4282352941176456E-2</v>
      </c>
      <c r="Q80" s="18">
        <f t="shared" si="18"/>
        <v>1.9669051232025395E-2</v>
      </c>
      <c r="R80" s="18">
        <f t="shared" si="18"/>
        <v>2.3520220741011563E-2</v>
      </c>
      <c r="S80" s="18">
        <f t="shared" si="18"/>
        <v>1.13031407782541E-2</v>
      </c>
      <c r="T80" s="18">
        <f t="shared" si="18"/>
        <v>1.3513336047381971E-2</v>
      </c>
      <c r="U80" s="18">
        <f t="shared" si="18"/>
        <v>1.6366710955429391E-2</v>
      </c>
      <c r="V80" s="18">
        <f t="shared" si="18"/>
        <v>1.5726008872132699E-2</v>
      </c>
      <c r="W80" s="18">
        <f t="shared" si="18"/>
        <v>1.5119099921682474E-2</v>
      </c>
      <c r="X80" s="18">
        <f>X73/X$77</f>
        <v>1.5803425774877648E-2</v>
      </c>
      <c r="AA80" t="str">
        <f>AA72</f>
        <v>Wood/Electric</v>
      </c>
      <c r="AD80" s="18">
        <f t="shared" ref="AD80:AW80" si="19">AD73/AD$77</f>
        <v>6.3352634064541821E-2</v>
      </c>
      <c r="AE80" s="18">
        <f t="shared" si="19"/>
        <v>-4.4027483881866155E-4</v>
      </c>
      <c r="AF80" s="18">
        <f t="shared" si="19"/>
        <v>1.1992792328415516E-2</v>
      </c>
      <c r="AG80" s="18">
        <f t="shared" si="19"/>
        <v>0.25225979062257203</v>
      </c>
      <c r="AH80" s="18">
        <f t="shared" si="19"/>
        <v>2.3665376142581639E-2</v>
      </c>
      <c r="AI80" s="18">
        <f t="shared" si="19"/>
        <v>1.0527540358490855E-2</v>
      </c>
      <c r="AJ80" s="18">
        <f t="shared" si="19"/>
        <v>-5.8267762439002745E-2</v>
      </c>
      <c r="AK80" s="18">
        <f t="shared" si="19"/>
        <v>-3.6800352049542857E-2</v>
      </c>
      <c r="AL80" s="18">
        <f t="shared" si="19"/>
        <v>1.3026403979949743E-3</v>
      </c>
      <c r="AM80" s="18">
        <f t="shared" si="19"/>
        <v>-3.3853299971389909E-2</v>
      </c>
      <c r="AN80" s="18">
        <f t="shared" si="19"/>
        <v>2.6349175081581237E-2</v>
      </c>
      <c r="AO80" s="18">
        <f t="shared" si="19"/>
        <v>2.4097487368692515E-2</v>
      </c>
      <c r="AP80" s="18">
        <f t="shared" si="19"/>
        <v>-2.1748893375492476E-2</v>
      </c>
      <c r="AQ80" s="18">
        <f t="shared" si="19"/>
        <v>5.584437367954008E-2</v>
      </c>
      <c r="AR80" s="18">
        <f t="shared" si="19"/>
        <v>2.2878248662787409E-2</v>
      </c>
      <c r="AS80" s="18">
        <f t="shared" si="19"/>
        <v>-1.4853848639954271E-2</v>
      </c>
      <c r="AT80" s="18">
        <f t="shared" si="19"/>
        <v>7.1483130447832621E-3</v>
      </c>
      <c r="AU80" s="18">
        <f t="shared" si="19"/>
        <v>-9.9895364557393312E-2</v>
      </c>
      <c r="AV80" s="18">
        <f t="shared" si="19"/>
        <v>1.9102095224514334E-2</v>
      </c>
      <c r="AW80" s="18">
        <f t="shared" si="19"/>
        <v>2.970418754735736E-3</v>
      </c>
      <c r="AX80" s="18">
        <f>AX73/AX$77</f>
        <v>4.5435786327113509E-2</v>
      </c>
    </row>
    <row r="81" spans="1:50">
      <c r="A81" t="str">
        <f>A74</f>
        <v>Natural Gas/Electric</v>
      </c>
      <c r="D81" s="18">
        <f t="shared" ref="D81:W81" si="20">D74/D$77</f>
        <v>1.0103955375253541E-2</v>
      </c>
      <c r="E81" s="18">
        <f t="shared" si="20"/>
        <v>1.1026878015161947E-2</v>
      </c>
      <c r="F81" s="18">
        <f t="shared" si="20"/>
        <v>9.5166602092212303E-3</v>
      </c>
      <c r="G81" s="18">
        <f t="shared" si="20"/>
        <v>1.0347939946353449E-2</v>
      </c>
      <c r="H81" s="18">
        <f t="shared" si="20"/>
        <v>9.4296131763127611E-3</v>
      </c>
      <c r="I81" s="18">
        <f t="shared" si="20"/>
        <v>1.0912650650747077E-2</v>
      </c>
      <c r="J81" s="18">
        <f t="shared" si="20"/>
        <v>1.0649250864387247E-2</v>
      </c>
      <c r="K81" s="18">
        <f t="shared" si="20"/>
        <v>1.3069673447031938E-2</v>
      </c>
      <c r="L81" s="18">
        <f t="shared" si="20"/>
        <v>1.0691995498107171E-2</v>
      </c>
      <c r="M81" s="18">
        <f t="shared" si="20"/>
        <v>1.0866730418151721E-2</v>
      </c>
      <c r="N81" s="18">
        <f t="shared" si="20"/>
        <v>1.1470300438517142E-2</v>
      </c>
      <c r="O81" s="18">
        <f t="shared" si="20"/>
        <v>1.1802284662443813E-2</v>
      </c>
      <c r="P81" s="18">
        <f t="shared" si="20"/>
        <v>1.2517647058823444E-2</v>
      </c>
      <c r="Q81" s="18">
        <f t="shared" si="20"/>
        <v>9.9140111279717256E-3</v>
      </c>
      <c r="R81" s="18">
        <f t="shared" si="20"/>
        <v>1.1602200761290465E-2</v>
      </c>
      <c r="S81" s="18">
        <f t="shared" si="20"/>
        <v>8.3286300471345932E-3</v>
      </c>
      <c r="T81" s="18">
        <f t="shared" si="20"/>
        <v>8.0370861622913719E-3</v>
      </c>
      <c r="U81" s="18">
        <f t="shared" si="20"/>
        <v>8.2256311148688858E-3</v>
      </c>
      <c r="V81" s="18">
        <f t="shared" si="20"/>
        <v>7.4583286377281127E-3</v>
      </c>
      <c r="W81" s="18">
        <f t="shared" si="20"/>
        <v>7.0963305380986235E-3</v>
      </c>
      <c r="X81" s="18">
        <f>X74/X$77</f>
        <v>7.453099510603545E-3</v>
      </c>
      <c r="AA81" t="str">
        <f>AA74</f>
        <v>Natural Gas/Electric</v>
      </c>
      <c r="AD81" s="18">
        <f t="shared" ref="AD81:AW81" si="21">AD74/AD$77</f>
        <v>7.2269415089818529E-3</v>
      </c>
      <c r="AE81" s="18">
        <f t="shared" si="21"/>
        <v>7.7294036759504607E-3</v>
      </c>
      <c r="AF81" s="18">
        <f t="shared" si="21"/>
        <v>2.1665567267640413E-3</v>
      </c>
      <c r="AG81" s="18">
        <f t="shared" si="21"/>
        <v>7.0629371874566362E-3</v>
      </c>
      <c r="AH81" s="18">
        <f t="shared" si="21"/>
        <v>4.6322106527027541E-3</v>
      </c>
      <c r="AI81" s="18">
        <f t="shared" si="21"/>
        <v>7.3012107512084746E-3</v>
      </c>
      <c r="AJ81" s="18">
        <f t="shared" si="21"/>
        <v>1.3114351753210126E-2</v>
      </c>
      <c r="AK81" s="18">
        <f t="shared" si="21"/>
        <v>4.5089553455501859E-3</v>
      </c>
      <c r="AL81" s="18">
        <f t="shared" si="21"/>
        <v>4.4666339409615554E-3</v>
      </c>
      <c r="AM81" s="18">
        <f t="shared" si="21"/>
        <v>9.898302456675747E-3</v>
      </c>
      <c r="AN81" s="18">
        <f t="shared" si="21"/>
        <v>5.9190566075754758E-3</v>
      </c>
      <c r="AO81" s="18">
        <f t="shared" si="21"/>
        <v>8.4352317362031744E-3</v>
      </c>
      <c r="AP81" s="18">
        <f t="shared" si="21"/>
        <v>1.3917517299040295E-2</v>
      </c>
      <c r="AQ81" s="18">
        <f t="shared" si="21"/>
        <v>-4.0869912823909837E-3</v>
      </c>
      <c r="AR81" s="18">
        <f t="shared" si="21"/>
        <v>7.0737225874693025E-3</v>
      </c>
      <c r="AS81" s="18">
        <f t="shared" si="21"/>
        <v>1.0782806076048278E-2</v>
      </c>
      <c r="AT81" s="18">
        <f t="shared" si="21"/>
        <v>1.6663716176213931E-2</v>
      </c>
      <c r="AU81" s="18">
        <f t="shared" si="21"/>
        <v>1.6651957821741711E-2</v>
      </c>
      <c r="AV81" s="18">
        <f t="shared" si="21"/>
        <v>7.4536507713567198E-3</v>
      </c>
      <c r="AW81" s="18">
        <f t="shared" si="21"/>
        <v>7.7308175644301477E-3</v>
      </c>
      <c r="AX81" s="18">
        <f>AX74/AX$77</f>
        <v>8.7580741401584016E-3</v>
      </c>
    </row>
    <row r="82" spans="1:50">
      <c r="A82" t="str">
        <f>A75</f>
        <v>Heating Oil/Electric</v>
      </c>
      <c r="D82" s="18">
        <f t="shared" ref="D82:W82" si="22">D75/D$77</f>
        <v>5.7936105476673206E-3</v>
      </c>
      <c r="E82" s="18">
        <f t="shared" si="22"/>
        <v>6.3647788543398096E-3</v>
      </c>
      <c r="F82" s="18">
        <f t="shared" si="22"/>
        <v>5.4605772956218476E-3</v>
      </c>
      <c r="G82" s="18">
        <f t="shared" si="22"/>
        <v>5.96214230324295E-3</v>
      </c>
      <c r="H82" s="18">
        <f t="shared" si="22"/>
        <v>5.3224927706298705E-3</v>
      </c>
      <c r="I82" s="18">
        <f t="shared" si="22"/>
        <v>6.1784860302023844E-3</v>
      </c>
      <c r="J82" s="18">
        <f t="shared" si="22"/>
        <v>6.0391855551287276E-3</v>
      </c>
      <c r="K82" s="18">
        <f t="shared" si="22"/>
        <v>7.4225168564791321E-3</v>
      </c>
      <c r="L82" s="18">
        <f t="shared" si="22"/>
        <v>5.9684185396132279E-3</v>
      </c>
      <c r="M82" s="18">
        <f t="shared" si="22"/>
        <v>6.1027558028340532E-3</v>
      </c>
      <c r="N82" s="18">
        <f t="shared" si="22"/>
        <v>6.4690320008698177E-3</v>
      </c>
      <c r="O82" s="18">
        <f t="shared" si="22"/>
        <v>6.6771335246241306E-3</v>
      </c>
      <c r="P82" s="18">
        <f t="shared" si="22"/>
        <v>7.1152941176470218E-3</v>
      </c>
      <c r="Q82" s="18">
        <f t="shared" si="22"/>
        <v>5.6362453934533218E-3</v>
      </c>
      <c r="R82" s="18">
        <f t="shared" si="22"/>
        <v>6.6322035870414082E-3</v>
      </c>
      <c r="S82" s="18">
        <f t="shared" si="22"/>
        <v>4.6524398614946E-3</v>
      </c>
      <c r="T82" s="18">
        <f t="shared" si="22"/>
        <v>4.5438428303150435E-3</v>
      </c>
      <c r="U82" s="18">
        <f t="shared" si="22"/>
        <v>4.72279260780288E-3</v>
      </c>
      <c r="V82" s="18">
        <f t="shared" si="22"/>
        <v>4.2823919925416747E-3</v>
      </c>
      <c r="W82" s="18">
        <f t="shared" si="22"/>
        <v>4.0782411033218049E-3</v>
      </c>
      <c r="X82" s="18">
        <f>X75/X$77</f>
        <v>4.2720228384991957E-3</v>
      </c>
      <c r="AA82" t="str">
        <f>AA75</f>
        <v>Heating Oil/Electric</v>
      </c>
      <c r="AD82" s="18">
        <f t="shared" ref="AD82:AW82" si="23">AD75/AD$77</f>
        <v>1.0109623218538387E-2</v>
      </c>
      <c r="AE82" s="18">
        <f t="shared" si="23"/>
        <v>1.3849683184607119E-3</v>
      </c>
      <c r="AF82" s="18">
        <f t="shared" si="23"/>
        <v>4.6030653955938297E-4</v>
      </c>
      <c r="AG82" s="18">
        <f t="shared" si="23"/>
        <v>3.3949216707732953E-2</v>
      </c>
      <c r="AH82" s="18">
        <f t="shared" si="23"/>
        <v>2.7554507483691366E-3</v>
      </c>
      <c r="AI82" s="18">
        <f t="shared" si="23"/>
        <v>1.0517668026734771E-3</v>
      </c>
      <c r="AJ82" s="18">
        <f t="shared" si="23"/>
        <v>-8.7445263076437723E-3</v>
      </c>
      <c r="AK82" s="18">
        <f t="shared" si="23"/>
        <v>-5.5909297553145944E-3</v>
      </c>
      <c r="AL82" s="18">
        <f t="shared" si="23"/>
        <v>-8.6244819741151545E-4</v>
      </c>
      <c r="AM82" s="18">
        <f t="shared" si="23"/>
        <v>-5.7872766011005175E-3</v>
      </c>
      <c r="AN82" s="18">
        <f t="shared" si="23"/>
        <v>3.3544526286314958E-3</v>
      </c>
      <c r="AO82" s="18">
        <f t="shared" si="23"/>
        <v>2.8040988942572061E-3</v>
      </c>
      <c r="AP82" s="18">
        <f t="shared" si="23"/>
        <v>-3.8586704222617714E-3</v>
      </c>
      <c r="AQ82" s="18">
        <f t="shared" si="23"/>
        <v>5.7861692388275392E-3</v>
      </c>
      <c r="AR82" s="18">
        <f t="shared" si="23"/>
        <v>3.9710218430785418E-3</v>
      </c>
      <c r="AS82" s="18">
        <f t="shared" si="23"/>
        <v>-6.6108969010951115E-3</v>
      </c>
      <c r="AT82" s="18">
        <f t="shared" si="23"/>
        <v>3.7947529011066452E-3</v>
      </c>
      <c r="AU82" s="18">
        <f t="shared" si="23"/>
        <v>-5.6910357994971288E-3</v>
      </c>
      <c r="AV82" s="18">
        <f t="shared" si="23"/>
        <v>2.2644456468355195E-3</v>
      </c>
      <c r="AW82" s="18">
        <f t="shared" si="23"/>
        <v>-8.7505462519297356E-4</v>
      </c>
      <c r="AX82" s="18">
        <f>AX75/AX$77</f>
        <v>5.6129394794315795E-3</v>
      </c>
    </row>
    <row r="89" spans="1:50" ht="18">
      <c r="A89" s="465" t="s">
        <v>641</v>
      </c>
      <c r="B89" s="519"/>
      <c r="C89" s="467"/>
      <c r="D89" s="467"/>
      <c r="E89" s="467"/>
      <c r="F89" s="467"/>
      <c r="G89" s="467"/>
      <c r="H89" s="467"/>
      <c r="M89" s="467"/>
    </row>
    <row r="90" spans="1:50">
      <c r="A90" s="472"/>
      <c r="B90" s="519"/>
      <c r="C90" s="467"/>
      <c r="D90" s="467"/>
      <c r="E90" s="467"/>
    </row>
    <row r="91" spans="1:50" ht="18">
      <c r="A91" s="520" t="s">
        <v>642</v>
      </c>
      <c r="B91" s="472"/>
      <c r="C91" s="411"/>
      <c r="D91" s="411"/>
      <c r="E91" s="411"/>
      <c r="F91" s="472"/>
      <c r="G91" s="472"/>
      <c r="H91" s="472"/>
      <c r="I91" s="472"/>
      <c r="J91" s="472"/>
      <c r="K91" s="472"/>
      <c r="L91" s="472"/>
      <c r="M91" s="472"/>
      <c r="N91" s="472"/>
      <c r="O91" s="472"/>
      <c r="P91" s="472"/>
      <c r="Q91" s="472"/>
      <c r="R91" s="472"/>
      <c r="S91" s="472"/>
      <c r="T91" s="472"/>
      <c r="U91" s="472"/>
      <c r="V91" s="472"/>
      <c r="W91" s="472"/>
      <c r="X91" s="472"/>
      <c r="Y91" s="472"/>
    </row>
    <row r="92" spans="1:50" ht="15.75">
      <c r="A92" s="468" t="s">
        <v>643</v>
      </c>
      <c r="B92" s="472"/>
      <c r="C92" s="411"/>
      <c r="D92" s="411"/>
      <c r="E92" s="411"/>
      <c r="F92" s="472"/>
      <c r="G92" s="472"/>
      <c r="H92" s="472"/>
      <c r="I92" s="472"/>
      <c r="J92" s="472"/>
      <c r="K92" s="472"/>
      <c r="L92" s="472"/>
      <c r="M92" s="472"/>
      <c r="N92" s="472"/>
      <c r="O92" s="472"/>
      <c r="P92" s="472"/>
      <c r="Q92" s="472"/>
      <c r="R92" s="472"/>
      <c r="S92" s="472"/>
      <c r="T92" s="472"/>
      <c r="U92" s="472"/>
      <c r="V92" s="472"/>
      <c r="W92" s="472"/>
      <c r="X92" s="472"/>
      <c r="Y92" s="472"/>
    </row>
    <row r="93" spans="1:50" ht="15.75">
      <c r="B93" s="519"/>
      <c r="C93" s="470"/>
      <c r="D93" s="470"/>
      <c r="E93" s="470"/>
    </row>
    <row r="94" spans="1:50">
      <c r="B94" s="519"/>
      <c r="C94" s="467"/>
      <c r="D94" s="467"/>
      <c r="E94" s="467"/>
    </row>
    <row r="95" spans="1:50" ht="15.75" thickBot="1">
      <c r="A95" s="519"/>
      <c r="B95" s="521">
        <v>2000</v>
      </c>
      <c r="C95" s="521">
        <v>2001</v>
      </c>
      <c r="D95" s="521">
        <v>2002</v>
      </c>
      <c r="E95" s="521">
        <v>2003</v>
      </c>
      <c r="F95" s="521">
        <v>2004</v>
      </c>
      <c r="G95" s="521">
        <v>2005</v>
      </c>
      <c r="H95" s="521">
        <v>2006</v>
      </c>
      <c r="I95" s="521">
        <v>2007</v>
      </c>
      <c r="J95" s="521">
        <v>2008</v>
      </c>
      <c r="K95" s="521">
        <v>2009</v>
      </c>
      <c r="L95" s="521">
        <v>2010</v>
      </c>
      <c r="M95" s="521">
        <v>2011</v>
      </c>
      <c r="N95" s="521">
        <v>2012</v>
      </c>
      <c r="O95" s="521">
        <v>2013</v>
      </c>
      <c r="P95" s="521">
        <v>2014</v>
      </c>
      <c r="Q95" s="521">
        <v>2015</v>
      </c>
      <c r="R95" s="521">
        <v>2016</v>
      </c>
      <c r="S95" s="521">
        <v>2017</v>
      </c>
      <c r="T95" s="521">
        <v>2018</v>
      </c>
      <c r="U95" s="521">
        <v>2019</v>
      </c>
      <c r="V95" s="521">
        <v>2020</v>
      </c>
      <c r="W95" s="521">
        <v>2021</v>
      </c>
      <c r="X95" s="521">
        <v>2022</v>
      </c>
    </row>
    <row r="96" spans="1:50">
      <c r="A96" s="519"/>
      <c r="B96" s="467"/>
      <c r="C96" s="467"/>
      <c r="D96" s="467"/>
      <c r="E96" s="467"/>
      <c r="F96" s="467"/>
      <c r="G96" s="467"/>
      <c r="H96" s="467"/>
      <c r="I96" s="467"/>
      <c r="J96" s="467"/>
      <c r="K96" s="467"/>
      <c r="M96" s="467"/>
      <c r="N96" s="467"/>
      <c r="O96" s="467"/>
    </row>
    <row r="97" spans="1:24">
      <c r="A97" s="472" t="s">
        <v>603</v>
      </c>
      <c r="B97" s="522">
        <v>232.096151418483</v>
      </c>
      <c r="C97" s="522">
        <v>231.53419595152999</v>
      </c>
      <c r="D97" s="522">
        <v>225.691762721652</v>
      </c>
      <c r="E97" s="522">
        <v>239.21995747167</v>
      </c>
      <c r="F97" s="522">
        <v>233.18548081555099</v>
      </c>
      <c r="G97" s="522">
        <v>226.458287322654</v>
      </c>
      <c r="H97" s="522">
        <v>199.33222962449599</v>
      </c>
      <c r="I97" s="522">
        <v>213.31203115442099</v>
      </c>
      <c r="J97" s="522">
        <v>215.74946173196099</v>
      </c>
      <c r="K97" s="522">
        <v>202.798138875201</v>
      </c>
      <c r="L97" s="522">
        <v>196.84940487985099</v>
      </c>
      <c r="M97" s="522">
        <v>217.020479914357</v>
      </c>
      <c r="N97" s="522">
        <v>192.30130683658601</v>
      </c>
      <c r="O97" s="522">
        <v>225.99434207956901</v>
      </c>
      <c r="P97" s="522">
        <v>255.98640305451801</v>
      </c>
      <c r="Q97" s="522">
        <v>245.23301963997699</v>
      </c>
      <c r="R97" s="522">
        <v>301.679091539284</v>
      </c>
      <c r="S97" s="522">
        <v>303.27074453076102</v>
      </c>
      <c r="T97" s="522">
        <v>313.64947495765603</v>
      </c>
      <c r="U97" s="522">
        <v>317.60165690699398</v>
      </c>
      <c r="V97" s="522">
        <v>282.24483347385802</v>
      </c>
      <c r="W97" s="522">
        <v>254.859207061841</v>
      </c>
      <c r="X97" s="522">
        <v>265.045950738263</v>
      </c>
    </row>
    <row r="98" spans="1:24">
      <c r="A98" s="476" t="s">
        <v>644</v>
      </c>
      <c r="B98" s="523"/>
      <c r="C98" s="523"/>
      <c r="D98" s="523"/>
      <c r="E98" s="523"/>
      <c r="F98" s="523"/>
      <c r="G98" s="523"/>
      <c r="H98" s="523"/>
      <c r="I98" s="523"/>
      <c r="J98" s="523"/>
      <c r="K98" s="523"/>
      <c r="L98" s="523"/>
      <c r="M98" s="523"/>
      <c r="N98" s="523"/>
      <c r="O98" s="523"/>
      <c r="P98" s="523"/>
      <c r="Q98" s="523"/>
      <c r="R98" s="523"/>
      <c r="S98" s="523"/>
      <c r="T98" s="523"/>
      <c r="U98" s="523"/>
      <c r="V98" s="523"/>
      <c r="W98" s="523"/>
      <c r="X98" s="523"/>
    </row>
    <row r="99" spans="1:24">
      <c r="A99" s="466" t="s">
        <v>582</v>
      </c>
      <c r="B99" s="523">
        <v>11.8340103791156</v>
      </c>
      <c r="C99" s="523">
        <v>2.7796886301469099</v>
      </c>
      <c r="D99" s="523">
        <v>10.7113158248331</v>
      </c>
      <c r="E99" s="523">
        <v>9.7167319455203902</v>
      </c>
      <c r="F99" s="523">
        <v>10.174698784057</v>
      </c>
      <c r="G99" s="523">
        <v>6.0071591016562902</v>
      </c>
      <c r="H99" s="523">
        <v>4.47570482820056</v>
      </c>
      <c r="I99" s="523">
        <v>3.1663114283405802</v>
      </c>
      <c r="J99" s="523">
        <v>6.7020312330006799</v>
      </c>
      <c r="K99" s="523">
        <v>7.4698982290191704</v>
      </c>
      <c r="L99" s="523">
        <v>11.875972393883099</v>
      </c>
      <c r="M99" s="523">
        <v>17.737940008700399</v>
      </c>
      <c r="N99" s="523">
        <v>8.6867183307098692</v>
      </c>
      <c r="O99" s="523">
        <v>22.1665316236367</v>
      </c>
      <c r="P99" s="523">
        <v>28.528736217110101</v>
      </c>
      <c r="Q99" s="523">
        <v>27.002200152358501</v>
      </c>
      <c r="R99" s="523">
        <v>29.6162426520462</v>
      </c>
      <c r="S99" s="523">
        <v>30.255773689457399</v>
      </c>
      <c r="T99" s="523">
        <v>27.045412296657702</v>
      </c>
      <c r="U99" s="523">
        <v>22.294581537495301</v>
      </c>
      <c r="V99" s="523">
        <v>21.180597319621899</v>
      </c>
      <c r="W99" s="523">
        <v>28.856596415775002</v>
      </c>
      <c r="X99" s="523">
        <v>30.825322164449201</v>
      </c>
    </row>
    <row r="100" spans="1:24">
      <c r="A100" s="466" t="s">
        <v>583</v>
      </c>
      <c r="B100" s="523">
        <v>197.538476550626</v>
      </c>
      <c r="C100" s="523">
        <v>204.76444772029299</v>
      </c>
      <c r="D100" s="523">
        <v>192.98739313139501</v>
      </c>
      <c r="E100" s="523">
        <v>205.00774118866201</v>
      </c>
      <c r="F100" s="523">
        <v>197.22933116474101</v>
      </c>
      <c r="G100" s="523">
        <v>200.14523555543801</v>
      </c>
      <c r="H100" s="523">
        <v>178.33393996025501</v>
      </c>
      <c r="I100" s="523">
        <v>191.850977425878</v>
      </c>
      <c r="J100" s="523">
        <v>193.567424892394</v>
      </c>
      <c r="K100" s="523">
        <v>184.84865549232401</v>
      </c>
      <c r="L100" s="523">
        <v>174.074431866113</v>
      </c>
      <c r="M100" s="523">
        <v>186.322127510896</v>
      </c>
      <c r="N100" s="523">
        <v>168.786059220738</v>
      </c>
      <c r="O100" s="523">
        <v>191.226177585735</v>
      </c>
      <c r="P100" s="523">
        <v>213.44482108875599</v>
      </c>
      <c r="Q100" s="523">
        <v>203.71609920211199</v>
      </c>
      <c r="R100" s="523">
        <v>253.77745102464399</v>
      </c>
      <c r="S100" s="523">
        <v>256.72992289667798</v>
      </c>
      <c r="T100" s="523">
        <v>274.40127326371299</v>
      </c>
      <c r="U100" s="523">
        <v>284.58579332730397</v>
      </c>
      <c r="V100" s="523">
        <v>251.07490905216599</v>
      </c>
      <c r="W100" s="523">
        <v>212.98754455347901</v>
      </c>
      <c r="X100" s="523">
        <v>221.68944532445701</v>
      </c>
    </row>
    <row r="101" spans="1:24">
      <c r="A101" s="466" t="s">
        <v>645</v>
      </c>
      <c r="B101" s="523">
        <v>15.555441243710201</v>
      </c>
      <c r="C101" s="523">
        <v>13.213050361982299</v>
      </c>
      <c r="D101" s="523">
        <v>12.463478199293901</v>
      </c>
      <c r="E101" s="523">
        <v>11.720978623171099</v>
      </c>
      <c r="F101" s="523">
        <v>14.1444162984524</v>
      </c>
      <c r="G101" s="523">
        <v>9.9426605466437703</v>
      </c>
      <c r="H101" s="523">
        <v>6.2296611261985904</v>
      </c>
      <c r="I101" s="523">
        <v>7.2944978708945998</v>
      </c>
      <c r="J101" s="523">
        <v>4.5929555665589703</v>
      </c>
      <c r="K101" s="523">
        <v>1.9154680710145799</v>
      </c>
      <c r="L101" s="523">
        <v>2.21494397368865</v>
      </c>
      <c r="M101" s="523">
        <v>2.1567074997410001</v>
      </c>
      <c r="N101" s="523">
        <v>1.7074496375366399</v>
      </c>
      <c r="O101" s="523">
        <v>1.8663341686154</v>
      </c>
      <c r="P101" s="523">
        <v>4.2501134974860104</v>
      </c>
      <c r="Q101" s="523">
        <v>3.3621551986551399</v>
      </c>
      <c r="R101" s="523">
        <v>3.1243977228342801</v>
      </c>
      <c r="S101" s="523">
        <v>2.5950328171547401</v>
      </c>
      <c r="T101" s="523">
        <v>2.9255981082604401</v>
      </c>
      <c r="U101" s="523">
        <v>2.4776993761841801</v>
      </c>
      <c r="V101" s="523">
        <v>2.17156243753865</v>
      </c>
      <c r="W101" s="523">
        <v>0.57359695658071197</v>
      </c>
      <c r="X101" s="523">
        <v>0.55440489970289197</v>
      </c>
    </row>
    <row r="102" spans="1:24">
      <c r="A102" s="466" t="s">
        <v>646</v>
      </c>
      <c r="B102" s="523">
        <v>2.8966416442156802</v>
      </c>
      <c r="C102" s="523">
        <v>5.5239542551652496</v>
      </c>
      <c r="D102" s="523">
        <v>3.8126252178506501</v>
      </c>
      <c r="E102" s="523">
        <v>6.1905729519188899</v>
      </c>
      <c r="F102" s="523">
        <v>4.2979604905607101</v>
      </c>
      <c r="G102" s="523">
        <v>3.4650190081538601</v>
      </c>
      <c r="H102" s="523">
        <v>2.2440540614612301</v>
      </c>
      <c r="I102" s="523">
        <v>1.55176130213924</v>
      </c>
      <c r="J102" s="523">
        <v>0.99470376962486196</v>
      </c>
      <c r="K102" s="523">
        <v>0.66040696883100802</v>
      </c>
      <c r="L102" s="523">
        <v>0.43999999666912998</v>
      </c>
      <c r="M102" s="523">
        <v>0.51198934135228102</v>
      </c>
      <c r="N102" s="523">
        <v>0.39739170975643701</v>
      </c>
      <c r="O102" s="523">
        <v>0.43917098023831203</v>
      </c>
      <c r="P102" s="523">
        <v>0.44129464620471498</v>
      </c>
      <c r="Q102" s="523">
        <v>0.374003889116581</v>
      </c>
      <c r="R102" s="523">
        <v>5.4016502171931997E-2</v>
      </c>
      <c r="S102" s="523">
        <v>4.3729895031458001E-2</v>
      </c>
      <c r="T102" s="523">
        <v>5.8279882145686003E-2</v>
      </c>
      <c r="U102" s="523">
        <v>6.5742804171003005E-2</v>
      </c>
      <c r="V102" s="523">
        <v>2.8446301677460002E-3</v>
      </c>
      <c r="W102" s="523">
        <v>0</v>
      </c>
      <c r="X102" s="523">
        <v>6.0000000000000001E-3</v>
      </c>
    </row>
    <row r="103" spans="1:24">
      <c r="A103" s="466" t="s">
        <v>647</v>
      </c>
      <c r="B103" s="523">
        <v>0.30299999999999999</v>
      </c>
      <c r="C103" s="523">
        <v>0.314</v>
      </c>
      <c r="D103" s="523">
        <v>0.307</v>
      </c>
      <c r="E103" s="523">
        <v>0.33700000000000002</v>
      </c>
      <c r="F103" s="523">
        <v>0.49899999988888999</v>
      </c>
      <c r="G103" s="523">
        <v>0.48499999999999999</v>
      </c>
      <c r="H103" s="523">
        <v>0.34100000000000003</v>
      </c>
      <c r="I103" s="523">
        <v>0.51</v>
      </c>
      <c r="J103" s="523">
        <v>0.47699999999999998</v>
      </c>
      <c r="K103" s="523">
        <v>0</v>
      </c>
      <c r="L103" s="523">
        <v>0</v>
      </c>
      <c r="M103" s="523">
        <v>0</v>
      </c>
      <c r="N103" s="523">
        <v>0</v>
      </c>
      <c r="O103" s="523">
        <v>0.26800000000000002</v>
      </c>
      <c r="P103" s="523">
        <v>0.52900000000000003</v>
      </c>
      <c r="Q103" s="523">
        <v>2.2599999999999998</v>
      </c>
      <c r="R103" s="523">
        <v>1.954</v>
      </c>
      <c r="S103" s="523">
        <v>1.444</v>
      </c>
      <c r="T103" s="523">
        <v>1.304</v>
      </c>
      <c r="U103" s="523">
        <v>0.29199999999999998</v>
      </c>
      <c r="V103" s="523">
        <v>0.42499999999999999</v>
      </c>
      <c r="W103" s="523">
        <v>0.44700000000000001</v>
      </c>
      <c r="X103" s="523">
        <v>0.47900000000000298</v>
      </c>
    </row>
    <row r="104" spans="1:24">
      <c r="A104" s="466" t="s">
        <v>648</v>
      </c>
      <c r="B104" s="523">
        <v>3.9685816008147898</v>
      </c>
      <c r="C104" s="523">
        <v>4.9390549839423503</v>
      </c>
      <c r="D104" s="523">
        <v>5.40995034827941</v>
      </c>
      <c r="E104" s="523">
        <v>6.2469327623978304</v>
      </c>
      <c r="F104" s="523">
        <v>6.8400740778509697</v>
      </c>
      <c r="G104" s="523">
        <v>6.4132131107621602</v>
      </c>
      <c r="H104" s="523">
        <v>7.7078696483811502</v>
      </c>
      <c r="I104" s="523">
        <v>8.9384831271684</v>
      </c>
      <c r="J104" s="523">
        <v>9.4153462703820097</v>
      </c>
      <c r="K104" s="523">
        <v>7.9037101140128803</v>
      </c>
      <c r="L104" s="523">
        <v>8.2440566494971996</v>
      </c>
      <c r="M104" s="523">
        <v>10.2917155536674</v>
      </c>
      <c r="N104" s="523">
        <v>12.7236879378443</v>
      </c>
      <c r="O104" s="523">
        <v>10.0281277213432</v>
      </c>
      <c r="P104" s="523">
        <v>8.7924376049615702</v>
      </c>
      <c r="Q104" s="523">
        <v>8.5185611977345701</v>
      </c>
      <c r="R104" s="523">
        <v>13.152983637587599</v>
      </c>
      <c r="S104" s="523">
        <v>12.2022852324393</v>
      </c>
      <c r="T104" s="523">
        <v>7.9149114068790096</v>
      </c>
      <c r="U104" s="523">
        <v>7.8858398618398802</v>
      </c>
      <c r="V104" s="523">
        <v>7.38992003436356</v>
      </c>
      <c r="W104" s="523">
        <v>11.994469136005799</v>
      </c>
      <c r="X104" s="523">
        <v>11.4917783496544</v>
      </c>
    </row>
    <row r="105" spans="1:24">
      <c r="A105" s="519"/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</row>
    <row r="106" spans="1:24">
      <c r="A106" s="476" t="s">
        <v>581</v>
      </c>
      <c r="B106" s="523"/>
      <c r="C106" s="523"/>
      <c r="D106" s="523"/>
      <c r="E106" s="523"/>
      <c r="F106" s="523"/>
      <c r="G106" s="523"/>
      <c r="H106" s="523"/>
      <c r="I106" s="523"/>
      <c r="J106" s="523"/>
      <c r="K106" s="523"/>
      <c r="L106" s="523"/>
      <c r="M106" s="523"/>
      <c r="N106" s="523"/>
      <c r="O106" s="523"/>
      <c r="P106" s="523"/>
      <c r="Q106" s="523"/>
      <c r="R106" s="523"/>
      <c r="S106" s="523"/>
      <c r="T106" s="523"/>
      <c r="U106" s="523"/>
      <c r="V106" s="523"/>
      <c r="W106" s="523"/>
      <c r="X106" s="523"/>
    </row>
    <row r="107" spans="1:24">
      <c r="A107" s="466" t="s">
        <v>582</v>
      </c>
      <c r="B107" s="523">
        <v>5.0987533859526</v>
      </c>
      <c r="C107" s="523">
        <v>1.20055209068505</v>
      </c>
      <c r="D107" s="523">
        <v>4.7459932501141102</v>
      </c>
      <c r="E107" s="523">
        <v>4.06184001043101</v>
      </c>
      <c r="F107" s="523">
        <v>4.3633500458397796</v>
      </c>
      <c r="G107" s="523">
        <v>2.6526558920307299</v>
      </c>
      <c r="H107" s="523">
        <v>2.2453493028357299</v>
      </c>
      <c r="I107" s="523">
        <v>1.4843567009347001</v>
      </c>
      <c r="J107" s="523">
        <v>3.1063953435615099</v>
      </c>
      <c r="K107" s="523">
        <v>3.6834155729683502</v>
      </c>
      <c r="L107" s="523">
        <v>6.0330242812426604</v>
      </c>
      <c r="M107" s="523">
        <v>8.1733945182041499</v>
      </c>
      <c r="N107" s="523">
        <v>4.5172435245547602</v>
      </c>
      <c r="O107" s="523">
        <v>9.8084453883505596</v>
      </c>
      <c r="P107" s="523">
        <v>11.1446295102768</v>
      </c>
      <c r="Q107" s="523">
        <v>11.0108337743424</v>
      </c>
      <c r="R107" s="523">
        <v>9.8171346582000698</v>
      </c>
      <c r="S107" s="523">
        <v>9.9764894026527209</v>
      </c>
      <c r="T107" s="523">
        <v>8.6228144651952494</v>
      </c>
      <c r="U107" s="523">
        <v>7.0196678929871004</v>
      </c>
      <c r="V107" s="523">
        <v>7.5043348212727103</v>
      </c>
      <c r="W107" s="523">
        <v>11.322563837677199</v>
      </c>
      <c r="X107" s="523">
        <v>11.630180381397199</v>
      </c>
    </row>
    <row r="108" spans="1:24">
      <c r="A108" s="466" t="s">
        <v>583</v>
      </c>
      <c r="B108" s="523">
        <v>85.110621327991396</v>
      </c>
      <c r="C108" s="523">
        <v>88.438101714858107</v>
      </c>
      <c r="D108" s="523">
        <v>85.509276370625898</v>
      </c>
      <c r="E108" s="523">
        <v>85.698427236339597</v>
      </c>
      <c r="F108" s="523">
        <v>84.580450924707705</v>
      </c>
      <c r="G108" s="523">
        <v>88.380618753984606</v>
      </c>
      <c r="H108" s="523">
        <v>89.4656826425921</v>
      </c>
      <c r="I108" s="523">
        <v>89.9391264466434</v>
      </c>
      <c r="J108" s="523">
        <v>89.718613125846502</v>
      </c>
      <c r="K108" s="523">
        <v>91.149088703460194</v>
      </c>
      <c r="L108" s="523">
        <v>88.430255591761096</v>
      </c>
      <c r="M108" s="523">
        <v>85.854628827852693</v>
      </c>
      <c r="N108" s="523">
        <v>87.771665204631105</v>
      </c>
      <c r="O108" s="523">
        <v>84.615471266270703</v>
      </c>
      <c r="P108" s="523">
        <v>83.381311875106803</v>
      </c>
      <c r="Q108" s="523">
        <v>83.070419921911295</v>
      </c>
      <c r="R108" s="523">
        <v>84.121657132343103</v>
      </c>
      <c r="S108" s="523">
        <v>84.653705484815603</v>
      </c>
      <c r="T108" s="523">
        <v>87.486603732003204</v>
      </c>
      <c r="U108" s="523">
        <v>89.604631190775294</v>
      </c>
      <c r="V108" s="523">
        <v>88.956423386726399</v>
      </c>
      <c r="W108" s="523">
        <v>83.570669079967104</v>
      </c>
      <c r="X108" s="523">
        <v>83.641891040764506</v>
      </c>
    </row>
    <row r="109" spans="1:24">
      <c r="A109" s="466" t="s">
        <v>645</v>
      </c>
      <c r="B109" s="523">
        <v>6.7021538912391598</v>
      </c>
      <c r="C109" s="523">
        <v>5.7067381808034696</v>
      </c>
      <c r="D109" s="523">
        <v>5.5223451884086998</v>
      </c>
      <c r="E109" s="523">
        <v>4.8996658753102302</v>
      </c>
      <c r="F109" s="523">
        <v>6.0657362752531698</v>
      </c>
      <c r="G109" s="523">
        <v>4.3905041693076097</v>
      </c>
      <c r="H109" s="523">
        <v>3.1252653612183301</v>
      </c>
      <c r="I109" s="523">
        <v>3.4196373413246102</v>
      </c>
      <c r="J109" s="523">
        <v>2.1288375552311098</v>
      </c>
      <c r="K109" s="523">
        <v>0.94451955113519404</v>
      </c>
      <c r="L109" s="523">
        <v>1.1251971907360101</v>
      </c>
      <c r="M109" s="523">
        <v>0.99378063332644995</v>
      </c>
      <c r="N109" s="523">
        <v>0.88790329385935995</v>
      </c>
      <c r="O109" s="523">
        <v>0.82583225378195202</v>
      </c>
      <c r="P109" s="523">
        <v>1.66028876798618</v>
      </c>
      <c r="Q109" s="523">
        <v>1.3710042813937</v>
      </c>
      <c r="R109" s="523">
        <v>1.03566929577133</v>
      </c>
      <c r="S109" s="523">
        <v>0.85568188292277403</v>
      </c>
      <c r="T109" s="523">
        <v>0.93276040352224798</v>
      </c>
      <c r="U109" s="523">
        <v>0.78012797550037505</v>
      </c>
      <c r="V109" s="523">
        <v>0.76938961497050296</v>
      </c>
      <c r="W109" s="523">
        <v>0.225064247508833</v>
      </c>
      <c r="X109" s="523">
        <v>0.20917312570089999</v>
      </c>
    </row>
    <row r="110" spans="1:24">
      <c r="A110" s="466" t="s">
        <v>646</v>
      </c>
      <c r="B110" s="523">
        <v>1.24803518994714</v>
      </c>
      <c r="C110" s="523">
        <v>2.3858049272003199</v>
      </c>
      <c r="D110" s="523">
        <v>1.68930632286868</v>
      </c>
      <c r="E110" s="523">
        <v>2.5878162580360802</v>
      </c>
      <c r="F110" s="523">
        <v>1.8431509867290501</v>
      </c>
      <c r="G110" s="523">
        <v>1.53009150122951</v>
      </c>
      <c r="H110" s="523">
        <v>1.1257858629728801</v>
      </c>
      <c r="I110" s="523">
        <v>0.72746075021707801</v>
      </c>
      <c r="J110" s="523">
        <v>0.46104577116425999</v>
      </c>
      <c r="K110" s="523">
        <v>0.32564745046176702</v>
      </c>
      <c r="L110" s="523">
        <v>0.223521121101528</v>
      </c>
      <c r="M110" s="523">
        <v>0.23591752333896199</v>
      </c>
      <c r="N110" s="523">
        <v>0.206650550791177</v>
      </c>
      <c r="O110" s="523">
        <v>0.19432830760147399</v>
      </c>
      <c r="P110" s="523">
        <v>0.17238987732904301</v>
      </c>
      <c r="Q110" s="523">
        <v>0.15250959665450101</v>
      </c>
      <c r="R110" s="523">
        <v>1.7905285346863E-2</v>
      </c>
      <c r="S110" s="523">
        <v>1.4419424168038E-2</v>
      </c>
      <c r="T110" s="523">
        <v>1.8581214635719E-2</v>
      </c>
      <c r="U110" s="523">
        <v>2.0699767378812999E-2</v>
      </c>
      <c r="V110" s="523">
        <v>1.0078590749510001E-3</v>
      </c>
      <c r="W110" s="523">
        <v>0</v>
      </c>
      <c r="X110" s="523">
        <v>2.263758409924E-3</v>
      </c>
    </row>
    <row r="111" spans="1:24">
      <c r="A111" s="466" t="s">
        <v>647</v>
      </c>
      <c r="B111" s="523">
        <v>0.13054934265311099</v>
      </c>
      <c r="C111" s="523">
        <v>0.135617116387306</v>
      </c>
      <c r="D111" s="523">
        <v>0.13602623166120001</v>
      </c>
      <c r="E111" s="523">
        <v>0.14087453386488799</v>
      </c>
      <c r="F111" s="523">
        <v>0.21399274008985</v>
      </c>
      <c r="G111" s="523">
        <v>0.214167476816151</v>
      </c>
      <c r="H111" s="523">
        <v>0.171071181334989</v>
      </c>
      <c r="I111" s="523">
        <v>0.23908637372207101</v>
      </c>
      <c r="J111" s="523">
        <v>0.22108977522855</v>
      </c>
      <c r="K111" s="523">
        <v>0</v>
      </c>
      <c r="L111" s="523">
        <v>0</v>
      </c>
      <c r="M111" s="523">
        <v>0</v>
      </c>
      <c r="N111" s="523">
        <v>0</v>
      </c>
      <c r="O111" s="523">
        <v>0.118587039628471</v>
      </c>
      <c r="P111" s="523">
        <v>0.20665160090059001</v>
      </c>
      <c r="Q111" s="523">
        <v>0.92157247148767896</v>
      </c>
      <c r="R111" s="523">
        <v>0.64770812920110898</v>
      </c>
      <c r="S111" s="523">
        <v>0.47614220166018301</v>
      </c>
      <c r="T111" s="523">
        <v>0.41575073580979</v>
      </c>
      <c r="U111" s="523">
        <v>9.1939066956917004E-2</v>
      </c>
      <c r="V111" s="523">
        <v>0.15057848704230201</v>
      </c>
      <c r="W111" s="523">
        <v>0.17539095610995001</v>
      </c>
      <c r="X111" s="523">
        <v>0.180723379725587</v>
      </c>
    </row>
    <row r="112" spans="1:24">
      <c r="A112" s="466" t="s">
        <v>648</v>
      </c>
      <c r="B112" s="523">
        <v>1.70988686221651</v>
      </c>
      <c r="C112" s="523">
        <v>2.1331859700656501</v>
      </c>
      <c r="D112" s="523">
        <v>2.3970526363213098</v>
      </c>
      <c r="E112" s="523">
        <v>2.6113760860180699</v>
      </c>
      <c r="F112" s="523">
        <v>2.93331902738037</v>
      </c>
      <c r="G112" s="523">
        <v>2.8319622066313199</v>
      </c>
      <c r="H112" s="523">
        <v>3.86684564904595</v>
      </c>
      <c r="I112" s="523">
        <v>4.1903323871580502</v>
      </c>
      <c r="J112" s="523">
        <v>4.36401842896798</v>
      </c>
      <c r="K112" s="523">
        <v>3.8973287219744499</v>
      </c>
      <c r="L112" s="523">
        <v>4.1880018151586702</v>
      </c>
      <c r="M112" s="523">
        <v>4.7422784972777201</v>
      </c>
      <c r="N112" s="523">
        <v>6.6165374261635499</v>
      </c>
      <c r="O112" s="523">
        <v>4.4373357443667603</v>
      </c>
      <c r="P112" s="523">
        <v>3.4347283684004899</v>
      </c>
      <c r="Q112" s="523">
        <v>3.4736599542103002</v>
      </c>
      <c r="R112" s="523">
        <v>4.3599254991374901</v>
      </c>
      <c r="S112" s="523">
        <v>4.0235616037806103</v>
      </c>
      <c r="T112" s="523">
        <v>2.52348944883378</v>
      </c>
      <c r="U112" s="523">
        <v>2.4829341064014399</v>
      </c>
      <c r="V112" s="523">
        <v>2.6182658309130802</v>
      </c>
      <c r="W112" s="523">
        <v>4.7063118787368001</v>
      </c>
      <c r="X112" s="523">
        <v>4.3357683140018004</v>
      </c>
    </row>
    <row r="113" spans="1:24">
      <c r="A113" s="466"/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</row>
    <row r="114" spans="1:24">
      <c r="A114" s="472" t="s">
        <v>649</v>
      </c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</row>
    <row r="115" spans="1:24">
      <c r="A115" s="466" t="s">
        <v>650</v>
      </c>
      <c r="B115" s="525">
        <v>227.20659999999901</v>
      </c>
      <c r="C115" s="525">
        <v>230.68289999999899</v>
      </c>
      <c r="D115" s="525">
        <v>235.01739999999899</v>
      </c>
      <c r="E115" s="525">
        <v>239.498199999999</v>
      </c>
      <c r="F115" s="525">
        <v>244.32479999999899</v>
      </c>
      <c r="G115" s="525">
        <v>249.3588</v>
      </c>
      <c r="H115" s="525">
        <v>254.63629999999901</v>
      </c>
      <c r="I115" s="525">
        <v>259.8811</v>
      </c>
      <c r="J115" s="525">
        <v>265.68229999999897</v>
      </c>
      <c r="K115" s="525">
        <v>268.91379999999901</v>
      </c>
      <c r="L115" s="525">
        <v>272.31839999999897</v>
      </c>
      <c r="M115" s="525">
        <v>275.90579999999898</v>
      </c>
      <c r="N115" s="525">
        <v>280.18889999999902</v>
      </c>
      <c r="O115" s="525">
        <v>283.2201</v>
      </c>
      <c r="P115" s="525">
        <v>285.143699999999</v>
      </c>
      <c r="Q115" s="525">
        <v>287.35039999999901</v>
      </c>
      <c r="R115" s="525">
        <v>288.78640000000001</v>
      </c>
      <c r="S115" s="525">
        <v>291.35910000000001</v>
      </c>
      <c r="T115" s="525">
        <v>293.37659999999897</v>
      </c>
      <c r="U115" s="525">
        <v>295.54879999999901</v>
      </c>
      <c r="V115" s="525">
        <v>297.80919999999901</v>
      </c>
      <c r="W115" s="525">
        <v>298.7509</v>
      </c>
      <c r="X115" s="525">
        <v>301.860399999999</v>
      </c>
    </row>
    <row r="116" spans="1:24">
      <c r="A116" s="466"/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</row>
    <row r="117" spans="1:24">
      <c r="A117" s="472" t="s">
        <v>651</v>
      </c>
      <c r="B117" s="526">
        <v>1.02152028778426</v>
      </c>
      <c r="C117" s="526">
        <v>1.0036903296756201</v>
      </c>
      <c r="D117" s="526">
        <v>0.96031937516818899</v>
      </c>
      <c r="E117" s="526">
        <v>0.99883822705837</v>
      </c>
      <c r="F117" s="526">
        <v>0.95440774254415095</v>
      </c>
      <c r="G117" s="526">
        <v>0.90816240422497596</v>
      </c>
      <c r="H117" s="526">
        <v>0.78281152225545603</v>
      </c>
      <c r="I117" s="526">
        <v>0.82080625006751695</v>
      </c>
      <c r="J117" s="526">
        <v>0.81205809243581994</v>
      </c>
      <c r="K117" s="526">
        <v>0.75413808765188595</v>
      </c>
      <c r="L117" s="526">
        <v>0.72286487023958401</v>
      </c>
      <c r="M117" s="526">
        <v>0.78657454795933002</v>
      </c>
      <c r="N117" s="526">
        <v>0.68632735571104397</v>
      </c>
      <c r="O117" s="526">
        <v>0.79794598645918602</v>
      </c>
      <c r="P117" s="526">
        <v>0.89774525284801499</v>
      </c>
      <c r="Q117" s="526">
        <v>0.85342849580156199</v>
      </c>
      <c r="R117" s="526">
        <v>1.0446443860904899</v>
      </c>
      <c r="S117" s="526">
        <v>1.0408830358508101</v>
      </c>
      <c r="T117" s="526">
        <v>1.0691018811918001</v>
      </c>
      <c r="U117" s="526">
        <v>1.07461663490765</v>
      </c>
      <c r="V117" s="526">
        <v>0.947737119853444</v>
      </c>
      <c r="W117" s="526">
        <v>0.85308264196640604</v>
      </c>
      <c r="X117" s="526">
        <v>0.87804147459641502</v>
      </c>
    </row>
    <row r="118" spans="1:24">
      <c r="A118" s="519"/>
      <c r="B118" s="467"/>
      <c r="C118" s="467"/>
      <c r="D118" s="467"/>
      <c r="E118" s="467"/>
      <c r="F118" s="467"/>
      <c r="G118" s="467"/>
      <c r="H118" s="467"/>
      <c r="I118" s="467"/>
      <c r="J118" s="467"/>
      <c r="K118" s="467"/>
      <c r="L118" s="467"/>
      <c r="M118" s="467"/>
      <c r="N118" s="467"/>
      <c r="O118" s="467"/>
      <c r="P118" s="467"/>
      <c r="Q118" s="467"/>
      <c r="R118" s="467"/>
      <c r="S118" s="467"/>
      <c r="T118" s="467"/>
      <c r="U118" s="467"/>
      <c r="V118" s="467"/>
      <c r="W118" s="467"/>
      <c r="X118" s="467"/>
    </row>
    <row r="119" spans="1:24">
      <c r="A119" s="519"/>
      <c r="B119" s="467"/>
      <c r="C119" s="467"/>
      <c r="D119" s="467"/>
      <c r="E119" s="467"/>
      <c r="F119" s="467"/>
      <c r="G119" s="467"/>
      <c r="H119" s="467"/>
      <c r="I119" s="467"/>
      <c r="J119" s="467"/>
      <c r="K119" s="467"/>
      <c r="L119" s="467"/>
      <c r="M119" s="467"/>
      <c r="N119" s="467"/>
      <c r="O119" s="467"/>
      <c r="P119" s="467"/>
      <c r="Q119" s="467"/>
      <c r="R119" s="467"/>
      <c r="S119" s="467"/>
      <c r="T119" s="467"/>
      <c r="U119" s="467"/>
      <c r="V119" s="467"/>
      <c r="W119" s="467"/>
      <c r="X119" s="467"/>
    </row>
    <row r="120" spans="1:24">
      <c r="A120" s="472" t="s">
        <v>652</v>
      </c>
      <c r="B120" s="522">
        <v>11.386548556798401</v>
      </c>
      <c r="C120" s="522">
        <v>11.817930952797999</v>
      </c>
      <c r="D120" s="522">
        <v>11.0568757966203</v>
      </c>
      <c r="E120" s="522">
        <v>11.7812593972405</v>
      </c>
      <c r="F120" s="522">
        <v>11.4321158012281</v>
      </c>
      <c r="G120" s="522">
        <v>11.168865197064999</v>
      </c>
      <c r="H120" s="522">
        <v>9.78094785709653</v>
      </c>
      <c r="I120" s="522">
        <v>10.5423969120195</v>
      </c>
      <c r="J120" s="522">
        <v>10.4322376772248</v>
      </c>
      <c r="K120" s="522">
        <v>9.6853631793488493</v>
      </c>
      <c r="L120" s="522">
        <v>9.1924559230329397</v>
      </c>
      <c r="M120" s="522">
        <v>9.9173538472824099</v>
      </c>
      <c r="N120" s="522">
        <v>9.2032808950321296</v>
      </c>
      <c r="O120" s="522">
        <v>10.1646731682852</v>
      </c>
      <c r="P120" s="522">
        <v>11.3071337281464</v>
      </c>
      <c r="Q120" s="522">
        <v>10.791540711558</v>
      </c>
      <c r="R120" s="522">
        <v>13.551545655397</v>
      </c>
      <c r="S120" s="522">
        <v>13.6093177299836</v>
      </c>
      <c r="T120" s="522">
        <v>14.1885195831807</v>
      </c>
      <c r="U120" s="522">
        <v>14.6572935761602</v>
      </c>
      <c r="V120" s="522">
        <v>12.9525523324905</v>
      </c>
      <c r="W120" s="522">
        <v>11.2284652835281</v>
      </c>
      <c r="X120" s="522">
        <v>11.626832770516399</v>
      </c>
    </row>
    <row r="121" spans="1:24">
      <c r="A121" s="476" t="s">
        <v>653</v>
      </c>
      <c r="B121" s="523"/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523"/>
      <c r="X121" s="523"/>
    </row>
    <row r="122" spans="1:24">
      <c r="A122" s="466" t="s">
        <v>582</v>
      </c>
      <c r="B122" s="523" t="s">
        <v>654</v>
      </c>
      <c r="C122" s="523" t="s">
        <v>654</v>
      </c>
      <c r="D122" s="523" t="s">
        <v>654</v>
      </c>
      <c r="E122" s="523" t="s">
        <v>654</v>
      </c>
      <c r="F122" s="523" t="s">
        <v>654</v>
      </c>
      <c r="G122" s="523" t="s">
        <v>654</v>
      </c>
      <c r="H122" s="523" t="s">
        <v>654</v>
      </c>
      <c r="I122" s="523" t="s">
        <v>654</v>
      </c>
      <c r="J122" s="523" t="s">
        <v>654</v>
      </c>
      <c r="K122" s="523" t="s">
        <v>654</v>
      </c>
      <c r="L122" s="523" t="s">
        <v>654</v>
      </c>
      <c r="M122" s="523" t="s">
        <v>654</v>
      </c>
      <c r="N122" s="523" t="s">
        <v>654</v>
      </c>
      <c r="O122" s="523" t="s">
        <v>654</v>
      </c>
      <c r="P122" s="523" t="s">
        <v>654</v>
      </c>
      <c r="Q122" s="523" t="s">
        <v>654</v>
      </c>
      <c r="R122" s="523" t="s">
        <v>654</v>
      </c>
      <c r="S122" s="523" t="s">
        <v>654</v>
      </c>
      <c r="T122" s="523" t="s">
        <v>654</v>
      </c>
      <c r="U122" s="523" t="s">
        <v>654</v>
      </c>
      <c r="V122" s="523" t="s">
        <v>654</v>
      </c>
      <c r="W122" s="523" t="s">
        <v>654</v>
      </c>
      <c r="X122" s="523" t="s">
        <v>654</v>
      </c>
    </row>
    <row r="123" spans="1:24">
      <c r="A123" s="466" t="s">
        <v>583</v>
      </c>
      <c r="B123" s="523">
        <v>9.8240310031734204</v>
      </c>
      <c r="C123" s="523">
        <v>10.165786129145999</v>
      </c>
      <c r="D123" s="523">
        <v>9.5569700319200503</v>
      </c>
      <c r="E123" s="523">
        <v>10.1054331656999</v>
      </c>
      <c r="F123" s="523">
        <v>9.6898943086959193</v>
      </c>
      <c r="G123" s="523">
        <v>9.8132479961807793</v>
      </c>
      <c r="H123" s="523">
        <v>8.7003850568922196</v>
      </c>
      <c r="I123" s="523">
        <v>9.3640100849405492</v>
      </c>
      <c r="J123" s="523">
        <v>9.4578023599370198</v>
      </c>
      <c r="K123" s="523">
        <v>9.0180221746706906</v>
      </c>
      <c r="L123" s="523">
        <v>8.4990716028638893</v>
      </c>
      <c r="M123" s="523">
        <v>9.0975406471614306</v>
      </c>
      <c r="N123" s="523">
        <v>8.2754013771359105</v>
      </c>
      <c r="O123" s="523">
        <v>9.3886496425485699</v>
      </c>
      <c r="P123" s="523">
        <v>10.441239588955</v>
      </c>
      <c r="Q123" s="523">
        <v>10.008649244016199</v>
      </c>
      <c r="R123" s="523">
        <v>12.5264569799354</v>
      </c>
      <c r="S123" s="523">
        <v>12.6800181626112</v>
      </c>
      <c r="T123" s="523">
        <v>13.4974627635986</v>
      </c>
      <c r="U123" s="523">
        <v>13.998426839633799</v>
      </c>
      <c r="V123" s="523">
        <v>12.3500674595946</v>
      </c>
      <c r="W123" s="523">
        <v>10.4553027234219</v>
      </c>
      <c r="X123" s="523">
        <v>10.885234137078401</v>
      </c>
    </row>
    <row r="124" spans="1:24">
      <c r="A124" s="466" t="s">
        <v>645</v>
      </c>
      <c r="B124" s="523">
        <v>1.10332843678898</v>
      </c>
      <c r="C124" s="523">
        <v>0.93724003768901498</v>
      </c>
      <c r="D124" s="523">
        <v>0.88411091011031795</v>
      </c>
      <c r="E124" s="523">
        <v>0.83111689600808203</v>
      </c>
      <c r="F124" s="523">
        <v>1.0026956977321</v>
      </c>
      <c r="G124" s="523">
        <v>0.70445022884544095</v>
      </c>
      <c r="H124" s="523">
        <v>0.441479886954316</v>
      </c>
      <c r="I124" s="523">
        <v>0.515790857824729</v>
      </c>
      <c r="J124" s="523">
        <v>0.32431280267273199</v>
      </c>
      <c r="K124" s="523">
        <v>0.13464538234307699</v>
      </c>
      <c r="L124" s="523">
        <v>0.15634892587448801</v>
      </c>
      <c r="M124" s="523">
        <v>0.15217663053886701</v>
      </c>
      <c r="N124" s="523">
        <v>0.120085543885997</v>
      </c>
      <c r="O124" s="523">
        <v>0.129948684063798</v>
      </c>
      <c r="P124" s="523">
        <v>0.29522680675451302</v>
      </c>
      <c r="Q124" s="523">
        <v>0.23400190163575399</v>
      </c>
      <c r="R124" s="523">
        <v>0.21670619763591101</v>
      </c>
      <c r="S124" s="523">
        <v>0.17982404051456499</v>
      </c>
      <c r="T124" s="523">
        <v>0.202679848242622</v>
      </c>
      <c r="U124" s="523">
        <v>0.17170979213954299</v>
      </c>
      <c r="V124" s="523">
        <v>0.150356023581736</v>
      </c>
      <c r="W124" s="523">
        <v>3.9664044607244001E-2</v>
      </c>
      <c r="X124" s="523">
        <v>3.8392752160358E-2</v>
      </c>
    </row>
    <row r="125" spans="1:24">
      <c r="A125" s="466" t="s">
        <v>646</v>
      </c>
      <c r="B125" s="523">
        <v>0.21649819989534899</v>
      </c>
      <c r="C125" s="523">
        <v>0.41286644999241801</v>
      </c>
      <c r="D125" s="523">
        <v>0.28495982517843599</v>
      </c>
      <c r="E125" s="523">
        <v>0.46269026860385898</v>
      </c>
      <c r="F125" s="523">
        <v>0.32123432019485298</v>
      </c>
      <c r="G125" s="523">
        <v>0.25897935264671001</v>
      </c>
      <c r="H125" s="523">
        <v>0.167723082261269</v>
      </c>
      <c r="I125" s="523">
        <v>0.115980355820429</v>
      </c>
      <c r="J125" s="523">
        <v>7.4345259788326998E-2</v>
      </c>
      <c r="K125" s="523">
        <v>4.9359547196929997E-2</v>
      </c>
      <c r="L125" s="523">
        <v>3.2886086348668998E-2</v>
      </c>
      <c r="M125" s="523">
        <v>3.8266649583568998E-2</v>
      </c>
      <c r="N125" s="523">
        <v>2.9701495864152001E-2</v>
      </c>
      <c r="O125" s="523">
        <v>3.2824124743816997E-2</v>
      </c>
      <c r="P125" s="523">
        <v>3.2982849886716001E-2</v>
      </c>
      <c r="Q125" s="523">
        <v>2.7953464284853E-2</v>
      </c>
      <c r="R125" s="523">
        <v>4.037253109379E-3</v>
      </c>
      <c r="S125" s="523">
        <v>3.2684207157030001E-3</v>
      </c>
      <c r="T125" s="523">
        <v>4.3559028435050003E-3</v>
      </c>
      <c r="U125" s="523">
        <v>4.9136898889500001E-3</v>
      </c>
      <c r="V125" s="523">
        <v>2.1261080462400001E-4</v>
      </c>
      <c r="W125" s="523">
        <v>0</v>
      </c>
      <c r="X125" s="523">
        <v>4.4844663542199998E-4</v>
      </c>
    </row>
    <row r="126" spans="1:24">
      <c r="A126" s="466" t="s">
        <v>647</v>
      </c>
      <c r="B126" s="523">
        <v>0</v>
      </c>
      <c r="C126" s="523">
        <v>0</v>
      </c>
      <c r="D126" s="523">
        <v>0</v>
      </c>
      <c r="E126" s="523">
        <v>0</v>
      </c>
      <c r="F126" s="523">
        <v>0</v>
      </c>
      <c r="G126" s="523">
        <v>0</v>
      </c>
      <c r="H126" s="523">
        <v>0</v>
      </c>
      <c r="I126" s="523">
        <v>0</v>
      </c>
      <c r="J126" s="523">
        <v>0</v>
      </c>
      <c r="K126" s="523">
        <v>0</v>
      </c>
      <c r="L126" s="523">
        <v>0</v>
      </c>
      <c r="M126" s="523">
        <v>0</v>
      </c>
      <c r="N126" s="523">
        <v>0</v>
      </c>
      <c r="O126" s="523">
        <v>0</v>
      </c>
      <c r="P126" s="523">
        <v>0</v>
      </c>
      <c r="Q126" s="523">
        <v>0</v>
      </c>
      <c r="R126" s="523">
        <v>0</v>
      </c>
      <c r="S126" s="523">
        <v>0</v>
      </c>
      <c r="T126" s="523">
        <v>0</v>
      </c>
      <c r="U126" s="523">
        <v>0</v>
      </c>
      <c r="V126" s="523">
        <v>0</v>
      </c>
      <c r="W126" s="523">
        <v>0</v>
      </c>
      <c r="X126" s="523">
        <v>0</v>
      </c>
    </row>
    <row r="127" spans="1:24">
      <c r="A127" s="466" t="s">
        <v>648</v>
      </c>
      <c r="B127" s="523">
        <v>0.24269091694070699</v>
      </c>
      <c r="C127" s="523">
        <v>0.302038335970574</v>
      </c>
      <c r="D127" s="523">
        <v>0.33083502941153198</v>
      </c>
      <c r="E127" s="523">
        <v>0.38201906692859799</v>
      </c>
      <c r="F127" s="523">
        <v>0.41829147460523097</v>
      </c>
      <c r="G127" s="523">
        <v>0.39218761939214702</v>
      </c>
      <c r="H127" s="523">
        <v>0.47135983098873502</v>
      </c>
      <c r="I127" s="523">
        <v>0.54661561343381604</v>
      </c>
      <c r="J127" s="523">
        <v>0.57577725482679598</v>
      </c>
      <c r="K127" s="523">
        <v>0.48333607513815602</v>
      </c>
      <c r="L127" s="523">
        <v>0.50414930794589896</v>
      </c>
      <c r="M127" s="523">
        <v>0.62936991999854197</v>
      </c>
      <c r="N127" s="523">
        <v>0.77809247814606297</v>
      </c>
      <c r="O127" s="523">
        <v>0.61325071692909905</v>
      </c>
      <c r="P127" s="523">
        <v>0.53768448255013102</v>
      </c>
      <c r="Q127" s="523">
        <v>0.52093610162111104</v>
      </c>
      <c r="R127" s="523">
        <v>0.80434522471627601</v>
      </c>
      <c r="S127" s="523">
        <v>0.74620710614208996</v>
      </c>
      <c r="T127" s="523">
        <v>0.48402106849599602</v>
      </c>
      <c r="U127" s="523">
        <v>0.48224325449792099</v>
      </c>
      <c r="V127" s="523">
        <v>0.45191623850948998</v>
      </c>
      <c r="W127" s="523">
        <v>0.73349851549899403</v>
      </c>
      <c r="X127" s="523">
        <v>0.70275743464224105</v>
      </c>
    </row>
    <row r="128" spans="1:24">
      <c r="A128" s="519"/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</row>
    <row r="129" spans="1:24">
      <c r="A129" s="472" t="s">
        <v>655</v>
      </c>
      <c r="B129" s="522">
        <v>49.059618124678998</v>
      </c>
      <c r="C129" s="522">
        <v>51.041838136393601</v>
      </c>
      <c r="D129" s="522">
        <v>48.991047184370998</v>
      </c>
      <c r="E129" s="522">
        <v>49.248647653637697</v>
      </c>
      <c r="F129" s="522">
        <v>49.0258474123046</v>
      </c>
      <c r="G129" s="522">
        <v>49.319745941343299</v>
      </c>
      <c r="H129" s="522">
        <v>49.0685719791623</v>
      </c>
      <c r="I129" s="522">
        <v>49.422420549676502</v>
      </c>
      <c r="J129" s="522">
        <v>48.353481827850302</v>
      </c>
      <c r="K129" s="522">
        <v>47.7586393695114</v>
      </c>
      <c r="L129" s="522">
        <v>46.697910662435802</v>
      </c>
      <c r="M129" s="522">
        <v>45.697778620690897</v>
      </c>
      <c r="N129" s="522">
        <v>47.858649774298598</v>
      </c>
      <c r="O129" s="522">
        <v>44.977555963354398</v>
      </c>
      <c r="P129" s="522">
        <v>44.170837174262999</v>
      </c>
      <c r="Q129" s="522">
        <v>44.005251525267298</v>
      </c>
      <c r="R129" s="522">
        <v>44.920400635827001</v>
      </c>
      <c r="S129" s="522">
        <v>44.875142015563398</v>
      </c>
      <c r="T129" s="522">
        <v>45.236866999685702</v>
      </c>
      <c r="U129" s="522">
        <v>46.149927928280398</v>
      </c>
      <c r="V129" s="522">
        <v>45.891193730886002</v>
      </c>
      <c r="W129" s="522">
        <v>44.0575226336775</v>
      </c>
      <c r="X129" s="522">
        <v>43.867234108390797</v>
      </c>
    </row>
    <row r="130" spans="1:24">
      <c r="A130" s="472"/>
      <c r="B130" s="522"/>
      <c r="C130" s="522"/>
      <c r="D130" s="522"/>
      <c r="E130" s="522"/>
      <c r="F130" s="522"/>
      <c r="G130" s="522"/>
      <c r="H130" s="522"/>
      <c r="I130" s="522"/>
      <c r="J130" s="522"/>
      <c r="K130" s="522"/>
      <c r="L130" s="522"/>
      <c r="M130" s="522"/>
      <c r="N130" s="522"/>
      <c r="O130" s="522"/>
      <c r="P130" s="522"/>
      <c r="Q130" s="522"/>
      <c r="R130" s="522"/>
      <c r="S130" s="522"/>
      <c r="T130" s="522"/>
      <c r="U130" s="522"/>
      <c r="V130" s="522"/>
      <c r="W130" s="522"/>
      <c r="X130" s="522"/>
    </row>
    <row r="131" spans="1:24">
      <c r="A131" s="527"/>
      <c r="B131" s="467"/>
      <c r="C131" s="467"/>
      <c r="D131" s="467"/>
      <c r="E131" s="467"/>
      <c r="F131" s="467"/>
      <c r="G131" s="467"/>
      <c r="H131" s="467"/>
      <c r="I131" s="467"/>
      <c r="J131" s="467"/>
      <c r="K131" s="467"/>
      <c r="L131" s="467"/>
      <c r="M131" s="467"/>
      <c r="N131" s="467"/>
      <c r="O131" s="467"/>
      <c r="P131" s="467"/>
      <c r="Q131" s="467"/>
      <c r="R131" s="467"/>
      <c r="S131" s="467"/>
      <c r="T131" s="467"/>
      <c r="U131" s="467"/>
      <c r="V131" s="467"/>
      <c r="W131" s="467"/>
      <c r="X131" s="467"/>
    </row>
    <row r="132" spans="1:24">
      <c r="A132" s="473" t="s">
        <v>656</v>
      </c>
      <c r="B132" s="528">
        <v>0.93614159904600003</v>
      </c>
      <c r="C132" s="528">
        <v>0.84164411261700001</v>
      </c>
      <c r="D132" s="528">
        <v>0.89355728245300003</v>
      </c>
      <c r="E132" s="528">
        <v>0.96407157086499995</v>
      </c>
      <c r="F132" s="528">
        <v>0.93056650673600005</v>
      </c>
      <c r="G132" s="528">
        <v>0.92401754013199999</v>
      </c>
      <c r="H132" s="528">
        <v>0.82673250026400003</v>
      </c>
      <c r="I132" s="528">
        <v>0.90995492315000004</v>
      </c>
      <c r="J132" s="528">
        <v>0.935918463122</v>
      </c>
      <c r="K132" s="528">
        <v>0.93668432654</v>
      </c>
      <c r="L132" s="528">
        <v>0.84901738905099999</v>
      </c>
      <c r="M132" s="528">
        <v>0.87044829614999997</v>
      </c>
      <c r="N132" s="528">
        <v>0.78945821369500002</v>
      </c>
      <c r="O132" s="528">
        <v>0.91545983195500003</v>
      </c>
      <c r="P132" s="528">
        <v>0.99540484420499997</v>
      </c>
      <c r="Q132" s="528">
        <v>0.91982801633199995</v>
      </c>
      <c r="R132" s="528">
        <v>0.882001406687</v>
      </c>
      <c r="S132" s="528">
        <v>0.91991012850999998</v>
      </c>
      <c r="T132" s="528">
        <v>0.92142871415500005</v>
      </c>
      <c r="U132" s="528">
        <v>0.95598471587199996</v>
      </c>
      <c r="V132" s="528">
        <v>0.84004560897799996</v>
      </c>
      <c r="W132" s="528">
        <v>0.78918556256200001</v>
      </c>
      <c r="X132" s="528">
        <v>0.87178697124299998</v>
      </c>
    </row>
    <row r="133" spans="1:24">
      <c r="A133" s="473"/>
      <c r="B133" s="528"/>
      <c r="C133" s="528"/>
      <c r="D133" s="528"/>
      <c r="E133" s="528"/>
      <c r="F133" s="528"/>
      <c r="G133" s="528"/>
      <c r="H133" s="528"/>
      <c r="I133" s="528"/>
      <c r="J133" s="528"/>
      <c r="K133" s="528"/>
      <c r="L133" s="528"/>
      <c r="M133" s="528"/>
      <c r="N133" s="528"/>
      <c r="O133" s="528"/>
      <c r="P133" s="528"/>
      <c r="Q133" s="528"/>
      <c r="R133" s="528"/>
      <c r="S133" s="528"/>
      <c r="T133" s="528"/>
      <c r="U133" s="528"/>
      <c r="V133" s="528"/>
      <c r="W133" s="528"/>
      <c r="X133" s="528"/>
    </row>
    <row r="134" spans="1:24">
      <c r="A134" s="467"/>
      <c r="B134" s="527"/>
      <c r="C134" s="527"/>
      <c r="D134" s="527"/>
      <c r="E134" s="527"/>
      <c r="F134" s="527"/>
      <c r="G134" s="527"/>
      <c r="H134" s="527"/>
      <c r="I134" s="527"/>
      <c r="J134" s="527"/>
      <c r="K134" s="527"/>
      <c r="L134" s="527"/>
      <c r="M134" s="527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</row>
    <row r="135" spans="1:24">
      <c r="A135" s="519"/>
      <c r="B135" s="475">
        <f t="shared" ref="B135:W135" si="24">SUM(B99:B104)</f>
        <v>232.09615141848226</v>
      </c>
      <c r="C135" s="475">
        <f t="shared" si="24"/>
        <v>231.53419595152982</v>
      </c>
      <c r="D135" s="475">
        <f t="shared" si="24"/>
        <v>225.69176272165203</v>
      </c>
      <c r="E135" s="475">
        <f t="shared" si="24"/>
        <v>239.2199574716702</v>
      </c>
      <c r="F135" s="475">
        <f t="shared" si="24"/>
        <v>233.18548081555099</v>
      </c>
      <c r="G135" s="475">
        <f t="shared" si="24"/>
        <v>226.45828732265412</v>
      </c>
      <c r="H135" s="475">
        <f t="shared" si="24"/>
        <v>199.33222962449653</v>
      </c>
      <c r="I135" s="475">
        <f t="shared" si="24"/>
        <v>213.31203115442079</v>
      </c>
      <c r="J135" s="475">
        <f t="shared" si="24"/>
        <v>215.74946173196051</v>
      </c>
      <c r="K135" s="475">
        <f t="shared" si="24"/>
        <v>202.79813887520166</v>
      </c>
      <c r="L135" s="475">
        <f t="shared" si="24"/>
        <v>196.84940487985111</v>
      </c>
      <c r="M135" s="475">
        <f t="shared" si="24"/>
        <v>217.02047991435708</v>
      </c>
      <c r="N135" s="475">
        <f t="shared" si="24"/>
        <v>192.30130683658524</v>
      </c>
      <c r="O135" s="475">
        <f t="shared" si="24"/>
        <v>225.99434207956861</v>
      </c>
      <c r="P135" s="475">
        <f t="shared" si="24"/>
        <v>255.98640305451838</v>
      </c>
      <c r="Q135" s="475">
        <f t="shared" si="24"/>
        <v>245.23301963997676</v>
      </c>
      <c r="R135" s="475">
        <f t="shared" si="24"/>
        <v>301.679091539284</v>
      </c>
      <c r="S135" s="475">
        <f t="shared" si="24"/>
        <v>303.27074453076085</v>
      </c>
      <c r="T135" s="475">
        <f t="shared" si="24"/>
        <v>313.64947495765585</v>
      </c>
      <c r="U135" s="475">
        <f t="shared" si="24"/>
        <v>317.60165690699432</v>
      </c>
      <c r="V135" s="475">
        <f t="shared" si="24"/>
        <v>282.24483347385785</v>
      </c>
      <c r="W135" s="475">
        <f t="shared" si="24"/>
        <v>254.85920706184049</v>
      </c>
      <c r="X135" s="475">
        <f>SUM(X99:X104)</f>
        <v>265.04595073826351</v>
      </c>
    </row>
    <row r="136" spans="1:24">
      <c r="A136" t="str">
        <f>A99</f>
        <v>Electricity</v>
      </c>
      <c r="B136" s="475"/>
      <c r="C136" s="475">
        <f t="shared" ref="C136:W141" si="25">C99-B99</f>
        <v>-9.0543217489686896</v>
      </c>
      <c r="D136" s="475">
        <f t="shared" si="25"/>
        <v>7.9316271946861905</v>
      </c>
      <c r="E136" s="475">
        <f t="shared" si="25"/>
        <v>-0.9945838793127102</v>
      </c>
      <c r="F136" s="475">
        <f t="shared" si="25"/>
        <v>0.4579668385366098</v>
      </c>
      <c r="G136" s="475">
        <f t="shared" si="25"/>
        <v>-4.1675396824007098</v>
      </c>
      <c r="H136" s="475">
        <f t="shared" si="25"/>
        <v>-1.5314542734557302</v>
      </c>
      <c r="I136" s="475">
        <f t="shared" si="25"/>
        <v>-1.3093933998599798</v>
      </c>
      <c r="J136" s="475">
        <f t="shared" si="25"/>
        <v>3.5357198046600997</v>
      </c>
      <c r="K136" s="475">
        <f t="shared" si="25"/>
        <v>0.76786699601849051</v>
      </c>
      <c r="L136" s="475">
        <f t="shared" si="25"/>
        <v>4.406074164863929</v>
      </c>
      <c r="M136" s="475">
        <f t="shared" si="25"/>
        <v>5.8619676148172992</v>
      </c>
      <c r="N136" s="475">
        <f t="shared" si="25"/>
        <v>-9.0512216779905295</v>
      </c>
      <c r="O136" s="475">
        <f t="shared" si="25"/>
        <v>13.479813292926831</v>
      </c>
      <c r="P136" s="475">
        <f t="shared" si="25"/>
        <v>6.3622045934734004</v>
      </c>
      <c r="Q136" s="475">
        <f t="shared" si="25"/>
        <v>-1.5265360647515998</v>
      </c>
      <c r="R136" s="475">
        <f>R99-Q99</f>
        <v>2.6140424996876988</v>
      </c>
      <c r="S136" s="475">
        <f t="shared" si="25"/>
        <v>0.63953103741119932</v>
      </c>
      <c r="T136" s="475">
        <f t="shared" si="25"/>
        <v>-3.2103613927996975</v>
      </c>
      <c r="U136" s="475">
        <f t="shared" si="25"/>
        <v>-4.7508307591624011</v>
      </c>
      <c r="V136" s="475">
        <f t="shared" si="25"/>
        <v>-1.1139842178734014</v>
      </c>
      <c r="W136" s="475">
        <f t="shared" si="25"/>
        <v>7.6759990961531024</v>
      </c>
      <c r="X136" s="475">
        <f>X99-W99</f>
        <v>1.9687257486741991</v>
      </c>
    </row>
    <row r="137" spans="1:24">
      <c r="A137" t="str">
        <f t="shared" ref="A137:A140" si="26">A100</f>
        <v>Natural Gas</v>
      </c>
      <c r="B137" s="475"/>
      <c r="C137" s="475">
        <f t="shared" si="25"/>
        <v>7.225971169666991</v>
      </c>
      <c r="D137" s="475">
        <f t="shared" si="25"/>
        <v>-11.777054588897983</v>
      </c>
      <c r="E137" s="475">
        <f t="shared" si="25"/>
        <v>12.020348057267</v>
      </c>
      <c r="F137" s="475">
        <f t="shared" si="25"/>
        <v>-7.7784100239209977</v>
      </c>
      <c r="G137" s="475">
        <f t="shared" si="25"/>
        <v>2.9159043906969941</v>
      </c>
      <c r="H137" s="475">
        <f t="shared" si="25"/>
        <v>-21.811295595182997</v>
      </c>
      <c r="I137" s="475">
        <f t="shared" si="25"/>
        <v>13.517037465622991</v>
      </c>
      <c r="J137" s="475">
        <f t="shared" si="25"/>
        <v>1.7164474665160014</v>
      </c>
      <c r="K137" s="475">
        <f t="shared" si="25"/>
        <v>-8.7187694000699878</v>
      </c>
      <c r="L137" s="475">
        <f t="shared" si="25"/>
        <v>-10.774223626211011</v>
      </c>
      <c r="M137" s="475">
        <f t="shared" si="25"/>
        <v>12.247695644782993</v>
      </c>
      <c r="N137" s="475">
        <f t="shared" si="25"/>
        <v>-17.536068290157999</v>
      </c>
      <c r="O137" s="475">
        <f t="shared" si="25"/>
        <v>22.440118364997005</v>
      </c>
      <c r="P137" s="475">
        <f t="shared" si="25"/>
        <v>22.218643503020985</v>
      </c>
      <c r="Q137" s="475">
        <f t="shared" si="25"/>
        <v>-9.7287218866439957</v>
      </c>
      <c r="R137" s="475">
        <f t="shared" si="25"/>
        <v>50.061351822532004</v>
      </c>
      <c r="S137" s="475">
        <f t="shared" si="25"/>
        <v>2.952471872033982</v>
      </c>
      <c r="T137" s="475">
        <f t="shared" si="25"/>
        <v>17.671350367035018</v>
      </c>
      <c r="U137" s="475">
        <f t="shared" si="25"/>
        <v>10.18452006359098</v>
      </c>
      <c r="V137" s="475">
        <f t="shared" si="25"/>
        <v>-33.510884275137983</v>
      </c>
      <c r="W137" s="475">
        <f t="shared" si="25"/>
        <v>-38.087364498686981</v>
      </c>
      <c r="X137" s="475">
        <f t="shared" ref="X137:X141" si="27">X100-W100</f>
        <v>8.7019007709779999</v>
      </c>
    </row>
    <row r="138" spans="1:24">
      <c r="A138" t="str">
        <f t="shared" si="26"/>
        <v>Light Fuel Oil and Kerosene</v>
      </c>
      <c r="B138" s="475"/>
      <c r="C138" s="475">
        <f t="shared" si="25"/>
        <v>-2.3423908817279013</v>
      </c>
      <c r="D138" s="475">
        <f t="shared" si="25"/>
        <v>-0.74957216268839844</v>
      </c>
      <c r="E138" s="475">
        <f t="shared" si="25"/>
        <v>-0.74249957612280149</v>
      </c>
      <c r="F138" s="475">
        <f t="shared" si="25"/>
        <v>2.4234376752813009</v>
      </c>
      <c r="G138" s="475">
        <f t="shared" si="25"/>
        <v>-4.2017557518086299</v>
      </c>
      <c r="H138" s="475">
        <f t="shared" si="25"/>
        <v>-3.7129994204451799</v>
      </c>
      <c r="I138" s="475">
        <f t="shared" si="25"/>
        <v>1.0648367446960094</v>
      </c>
      <c r="J138" s="475">
        <f t="shared" si="25"/>
        <v>-2.7015423043356295</v>
      </c>
      <c r="K138" s="475">
        <f t="shared" si="25"/>
        <v>-2.6774874955443906</v>
      </c>
      <c r="L138" s="475">
        <f t="shared" si="25"/>
        <v>0.29947590267407009</v>
      </c>
      <c r="M138" s="475">
        <f t="shared" si="25"/>
        <v>-5.8236473947649969E-2</v>
      </c>
      <c r="N138" s="475">
        <f t="shared" si="25"/>
        <v>-0.44925786220436015</v>
      </c>
      <c r="O138" s="475">
        <f t="shared" si="25"/>
        <v>0.15888453107876011</v>
      </c>
      <c r="P138" s="475">
        <f t="shared" si="25"/>
        <v>2.3837793288706104</v>
      </c>
      <c r="Q138" s="475">
        <f>Q101-P101</f>
        <v>-0.88795829883087052</v>
      </c>
      <c r="R138" s="475">
        <f t="shared" si="25"/>
        <v>-0.23775747582085982</v>
      </c>
      <c r="S138" s="475">
        <f t="shared" si="25"/>
        <v>-0.52936490567953998</v>
      </c>
      <c r="T138" s="475">
        <f t="shared" si="25"/>
        <v>0.33056529110569999</v>
      </c>
      <c r="U138" s="475">
        <f t="shared" si="25"/>
        <v>-0.44789873207625996</v>
      </c>
      <c r="V138" s="475">
        <f t="shared" si="25"/>
        <v>-0.30613693864553015</v>
      </c>
      <c r="W138" s="475">
        <f t="shared" si="25"/>
        <v>-1.597965480957938</v>
      </c>
      <c r="X138" s="475">
        <f t="shared" si="27"/>
        <v>-1.9192056877819996E-2</v>
      </c>
    </row>
    <row r="139" spans="1:24">
      <c r="A139" t="str">
        <f t="shared" si="26"/>
        <v>Heavy Fuel Oil</v>
      </c>
      <c r="B139" s="475"/>
      <c r="C139" s="475">
        <f t="shared" si="25"/>
        <v>2.6273126109495695</v>
      </c>
      <c r="D139" s="475">
        <f t="shared" si="25"/>
        <v>-1.7113290373145995</v>
      </c>
      <c r="E139" s="475">
        <f t="shared" si="25"/>
        <v>2.3779477340682398</v>
      </c>
      <c r="F139" s="475">
        <f t="shared" si="25"/>
        <v>-1.8926124613581798</v>
      </c>
      <c r="G139" s="475">
        <f t="shared" si="25"/>
        <v>-0.83294148240684995</v>
      </c>
      <c r="H139" s="475">
        <f t="shared" si="25"/>
        <v>-1.22096494669263</v>
      </c>
      <c r="I139" s="475">
        <f t="shared" si="25"/>
        <v>-0.69229275932199008</v>
      </c>
      <c r="J139" s="475">
        <f t="shared" si="25"/>
        <v>-0.55705753251437806</v>
      </c>
      <c r="K139" s="475">
        <f t="shared" si="25"/>
        <v>-0.33429680079385393</v>
      </c>
      <c r="L139" s="475">
        <f t="shared" si="25"/>
        <v>-0.22040697216187805</v>
      </c>
      <c r="M139" s="475">
        <f t="shared" si="25"/>
        <v>7.1989344683151046E-2</v>
      </c>
      <c r="N139" s="475">
        <f t="shared" si="25"/>
        <v>-0.11459763159584402</v>
      </c>
      <c r="O139" s="475">
        <f t="shared" si="25"/>
        <v>4.1779270481875019E-2</v>
      </c>
      <c r="P139" s="475">
        <f t="shared" si="25"/>
        <v>2.1236659664029545E-3</v>
      </c>
      <c r="Q139" s="475">
        <f t="shared" si="25"/>
        <v>-6.7290757088133979E-2</v>
      </c>
      <c r="R139" s="475">
        <f t="shared" si="25"/>
        <v>-0.31998738694464901</v>
      </c>
      <c r="S139" s="475">
        <f t="shared" si="25"/>
        <v>-1.0286607140473997E-2</v>
      </c>
      <c r="T139" s="475">
        <f t="shared" si="25"/>
        <v>1.4549987114228002E-2</v>
      </c>
      <c r="U139" s="475">
        <f t="shared" si="25"/>
        <v>7.4629220253170023E-3</v>
      </c>
      <c r="V139" s="475">
        <f t="shared" si="25"/>
        <v>-6.2898174003257007E-2</v>
      </c>
      <c r="W139" s="475">
        <f t="shared" si="25"/>
        <v>-2.8446301677460002E-3</v>
      </c>
      <c r="X139" s="475">
        <f t="shared" si="27"/>
        <v>6.0000000000000001E-3</v>
      </c>
    </row>
    <row r="140" spans="1:24">
      <c r="A140" t="str">
        <f t="shared" si="26"/>
        <v>Steam</v>
      </c>
      <c r="B140" s="475"/>
      <c r="C140" s="475">
        <f t="shared" si="25"/>
        <v>1.100000000000001E-2</v>
      </c>
      <c r="D140" s="475">
        <f t="shared" si="25"/>
        <v>-7.0000000000000062E-3</v>
      </c>
      <c r="E140" s="475">
        <f t="shared" si="25"/>
        <v>3.0000000000000027E-2</v>
      </c>
      <c r="F140" s="475">
        <f t="shared" si="25"/>
        <v>0.16199999988888997</v>
      </c>
      <c r="G140" s="475">
        <f t="shared" si="25"/>
        <v>-1.3999999888890002E-2</v>
      </c>
      <c r="H140" s="475">
        <f t="shared" si="25"/>
        <v>-0.14399999999999996</v>
      </c>
      <c r="I140" s="475">
        <f t="shared" si="25"/>
        <v>0.16899999999999998</v>
      </c>
      <c r="J140" s="475">
        <f t="shared" si="25"/>
        <v>-3.3000000000000029E-2</v>
      </c>
      <c r="K140" s="475">
        <f t="shared" si="25"/>
        <v>-0.47699999999999998</v>
      </c>
      <c r="L140" s="475">
        <f t="shared" si="25"/>
        <v>0</v>
      </c>
      <c r="M140" s="475">
        <f t="shared" si="25"/>
        <v>0</v>
      </c>
      <c r="N140" s="475">
        <f t="shared" si="25"/>
        <v>0</v>
      </c>
      <c r="O140" s="475">
        <f t="shared" si="25"/>
        <v>0.26800000000000002</v>
      </c>
      <c r="P140" s="475">
        <f t="shared" si="25"/>
        <v>0.26100000000000001</v>
      </c>
      <c r="Q140" s="475">
        <f t="shared" si="25"/>
        <v>1.7309999999999999</v>
      </c>
      <c r="R140" s="475">
        <f t="shared" si="25"/>
        <v>-0.30599999999999983</v>
      </c>
      <c r="S140" s="475">
        <f t="shared" si="25"/>
        <v>-0.51</v>
      </c>
      <c r="T140" s="475">
        <f t="shared" si="25"/>
        <v>-0.1399999999999999</v>
      </c>
      <c r="U140" s="475">
        <f t="shared" si="25"/>
        <v>-1.012</v>
      </c>
      <c r="V140" s="475">
        <f t="shared" si="25"/>
        <v>0.13300000000000001</v>
      </c>
      <c r="W140" s="475">
        <f t="shared" si="25"/>
        <v>2.200000000000002E-2</v>
      </c>
      <c r="X140" s="475">
        <f t="shared" si="27"/>
        <v>3.2000000000002971E-2</v>
      </c>
    </row>
    <row r="141" spans="1:24">
      <c r="A141" t="str">
        <f>A104</f>
        <v>Other2</v>
      </c>
      <c r="B141" s="475"/>
      <c r="C141" s="475">
        <f t="shared" si="25"/>
        <v>0.97047338312756048</v>
      </c>
      <c r="D141" s="475">
        <f t="shared" si="25"/>
        <v>0.4708953643370597</v>
      </c>
      <c r="E141" s="475">
        <f t="shared" si="25"/>
        <v>0.83698241411842034</v>
      </c>
      <c r="F141" s="475">
        <f t="shared" si="25"/>
        <v>0.59314131545313931</v>
      </c>
      <c r="G141" s="475">
        <f t="shared" si="25"/>
        <v>-0.4268609670888095</v>
      </c>
      <c r="H141" s="475">
        <f t="shared" si="25"/>
        <v>1.29465653761899</v>
      </c>
      <c r="I141" s="475">
        <f t="shared" si="25"/>
        <v>1.2306134787872498</v>
      </c>
      <c r="J141" s="475">
        <f t="shared" si="25"/>
        <v>0.47686314321360967</v>
      </c>
      <c r="K141" s="475">
        <f t="shared" si="25"/>
        <v>-1.5116361563691294</v>
      </c>
      <c r="L141" s="475">
        <f t="shared" si="25"/>
        <v>0.34034653548431937</v>
      </c>
      <c r="M141" s="475">
        <f t="shared" si="25"/>
        <v>2.0476589041702002</v>
      </c>
      <c r="N141" s="475">
        <f t="shared" si="25"/>
        <v>2.4319723841769001</v>
      </c>
      <c r="O141" s="475">
        <f t="shared" si="25"/>
        <v>-2.6955602165011001</v>
      </c>
      <c r="P141" s="475">
        <f t="shared" si="25"/>
        <v>-1.2356901163816296</v>
      </c>
      <c r="Q141" s="475">
        <f t="shared" si="25"/>
        <v>-0.27387640722700013</v>
      </c>
      <c r="R141" s="475">
        <f t="shared" si="25"/>
        <v>4.6344224398530294</v>
      </c>
      <c r="S141" s="475">
        <f t="shared" si="25"/>
        <v>-0.95069840514829984</v>
      </c>
      <c r="T141" s="475">
        <f t="shared" si="25"/>
        <v>-4.28737382556029</v>
      </c>
      <c r="U141" s="475">
        <f t="shared" si="25"/>
        <v>-2.9071545039129454E-2</v>
      </c>
      <c r="V141" s="475">
        <f t="shared" si="25"/>
        <v>-0.49591982747632013</v>
      </c>
      <c r="W141" s="475">
        <f t="shared" si="25"/>
        <v>4.6045491016422391</v>
      </c>
      <c r="X141" s="475">
        <f t="shared" si="27"/>
        <v>-0.50269078635139941</v>
      </c>
    </row>
    <row r="142" spans="1:24">
      <c r="C142" s="475">
        <f t="shared" ref="C142:W142" si="28">C135-B135</f>
        <v>-0.56195546695244047</v>
      </c>
      <c r="D142" s="475">
        <f t="shared" si="28"/>
        <v>-5.8424332298777983</v>
      </c>
      <c r="E142" s="475">
        <f t="shared" si="28"/>
        <v>13.528194750018173</v>
      </c>
      <c r="F142" s="475">
        <f t="shared" si="28"/>
        <v>-6.0344766561192102</v>
      </c>
      <c r="G142" s="475">
        <f t="shared" si="28"/>
        <v>-6.7271934928968733</v>
      </c>
      <c r="H142" s="475">
        <f t="shared" si="28"/>
        <v>-27.126057698157581</v>
      </c>
      <c r="I142" s="475">
        <f t="shared" si="28"/>
        <v>13.979801529924259</v>
      </c>
      <c r="J142" s="475">
        <f t="shared" si="28"/>
        <v>2.4374305775397147</v>
      </c>
      <c r="K142" s="475">
        <f t="shared" si="28"/>
        <v>-12.95132285675885</v>
      </c>
      <c r="L142" s="475">
        <f t="shared" si="28"/>
        <v>-5.9487339953505511</v>
      </c>
      <c r="M142" s="475">
        <f t="shared" si="28"/>
        <v>20.171075034505975</v>
      </c>
      <c r="N142" s="475">
        <f t="shared" si="28"/>
        <v>-24.719173077771842</v>
      </c>
      <c r="O142" s="475">
        <f t="shared" si="28"/>
        <v>33.69303524298337</v>
      </c>
      <c r="P142" s="475">
        <f t="shared" si="28"/>
        <v>29.992060974949766</v>
      </c>
      <c r="Q142" s="475">
        <f t="shared" si="28"/>
        <v>-10.753383414541617</v>
      </c>
      <c r="R142" s="475">
        <f t="shared" si="28"/>
        <v>56.446071899307242</v>
      </c>
      <c r="S142" s="475">
        <f t="shared" si="28"/>
        <v>1.5916529914768489</v>
      </c>
      <c r="T142" s="475">
        <f t="shared" si="28"/>
        <v>10.378730426895004</v>
      </c>
      <c r="U142" s="475">
        <f t="shared" si="28"/>
        <v>3.9521819493384669</v>
      </c>
      <c r="V142" s="475">
        <f t="shared" si="28"/>
        <v>-35.356823433136469</v>
      </c>
      <c r="W142" s="475">
        <f t="shared" si="28"/>
        <v>-27.385626412017359</v>
      </c>
      <c r="X142" s="475">
        <f>X135-W135</f>
        <v>10.186743676423021</v>
      </c>
    </row>
    <row r="144" spans="1:24">
      <c r="A144" t="s">
        <v>666</v>
      </c>
      <c r="C144" s="490">
        <f t="shared" ref="C144:P144" si="29">C136/C142</f>
        <v>16.112169524876208</v>
      </c>
      <c r="D144" s="490">
        <f t="shared" si="29"/>
        <v>-1.3575897032291955</v>
      </c>
      <c r="E144" s="490">
        <f t="shared" si="29"/>
        <v>-7.3519334818222815E-2</v>
      </c>
      <c r="F144" s="490">
        <f t="shared" si="29"/>
        <v>-7.5891724276074934E-2</v>
      </c>
      <c r="G144" s="490">
        <f t="shared" si="29"/>
        <v>0.61950643857667276</v>
      </c>
      <c r="H144" s="490">
        <f t="shared" si="29"/>
        <v>5.6456942269194815E-2</v>
      </c>
      <c r="I144" s="490">
        <f t="shared" si="29"/>
        <v>-9.3663232418369963E-2</v>
      </c>
      <c r="J144" s="490">
        <f t="shared" si="29"/>
        <v>1.4505930290859699</v>
      </c>
      <c r="K144" s="490">
        <f t="shared" si="29"/>
        <v>-5.9288692322094889E-2</v>
      </c>
      <c r="L144" s="490">
        <f t="shared" si="29"/>
        <v>-0.74067426250823387</v>
      </c>
      <c r="M144" s="490">
        <f t="shared" si="29"/>
        <v>0.29061255311327877</v>
      </c>
      <c r="N144" s="490">
        <f t="shared" si="29"/>
        <v>0.36616199294019408</v>
      </c>
      <c r="O144" s="490">
        <f t="shared" si="29"/>
        <v>0.40007714341301515</v>
      </c>
      <c r="P144" s="490">
        <f t="shared" si="29"/>
        <v>0.21212962319552822</v>
      </c>
      <c r="Q144" s="490">
        <f t="shared" ref="Q144:W144" si="30">Q136/Q142</f>
        <v>0.14195867532141476</v>
      </c>
      <c r="R144" s="490">
        <f t="shared" si="30"/>
        <v>4.6310441306718825E-2</v>
      </c>
      <c r="S144" s="490">
        <f t="shared" si="30"/>
        <v>0.40180305684456818</v>
      </c>
      <c r="T144" s="490">
        <f t="shared" si="30"/>
        <v>-0.30932120411187314</v>
      </c>
      <c r="U144" s="490">
        <f t="shared" si="30"/>
        <v>-1.2020779458186674</v>
      </c>
      <c r="V144" s="490">
        <f t="shared" si="30"/>
        <v>3.1506908984062568E-2</v>
      </c>
      <c r="W144" s="490">
        <f t="shared" si="30"/>
        <v>-0.28029298949264569</v>
      </c>
      <c r="X144" s="490">
        <f>X136/X142</f>
        <v>0.19326350119427946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B3E2A-D288-4003-84A4-37C27DA039AB}">
  <sheetPr codeName="Sheet25">
    <tabColor theme="3" tint="0.499984740745262"/>
  </sheetPr>
  <dimension ref="A1:L23"/>
  <sheetViews>
    <sheetView workbookViewId="0"/>
  </sheetViews>
  <sheetFormatPr defaultRowHeight="15"/>
  <cols>
    <col min="1" max="1" width="8.42578125" bestFit="1" customWidth="1"/>
    <col min="2" max="2" width="13.5703125" bestFit="1" customWidth="1"/>
    <col min="3" max="3" width="10.140625" bestFit="1" customWidth="1"/>
    <col min="4" max="5" width="13.85546875" bestFit="1" customWidth="1"/>
    <col min="6" max="6" width="13.5703125" bestFit="1" customWidth="1"/>
    <col min="7" max="8" width="12.85546875" bestFit="1" customWidth="1"/>
    <col min="9" max="9" width="15.140625" bestFit="1" customWidth="1"/>
    <col min="10" max="11" width="12.5703125" bestFit="1" customWidth="1"/>
    <col min="12" max="12" width="15.140625" bestFit="1" customWidth="1"/>
    <col min="13" max="13" width="13.5703125" customWidth="1"/>
    <col min="14" max="14" width="11.85546875" customWidth="1"/>
    <col min="15" max="15" width="13.85546875" customWidth="1"/>
    <col min="16" max="16" width="13.5703125" customWidth="1"/>
    <col min="17" max="17" width="11.42578125" bestFit="1" customWidth="1"/>
    <col min="18" max="18" width="9" bestFit="1" customWidth="1"/>
  </cols>
  <sheetData>
    <row r="1" spans="1:12" ht="15.75" thickBot="1">
      <c r="B1" s="863" t="s">
        <v>744</v>
      </c>
      <c r="C1" s="863"/>
      <c r="D1" s="863"/>
      <c r="E1" s="863"/>
      <c r="F1" s="863"/>
      <c r="G1" s="863"/>
      <c r="H1" s="863"/>
      <c r="I1" s="863"/>
      <c r="J1" s="863"/>
    </row>
    <row r="2" spans="1:12">
      <c r="B2" s="628"/>
      <c r="C2" s="788"/>
      <c r="D2" s="789">
        <v>2025</v>
      </c>
      <c r="E2" s="790">
        <v>2026</v>
      </c>
      <c r="F2" s="790">
        <v>2027</v>
      </c>
      <c r="G2" s="790">
        <v>2028</v>
      </c>
      <c r="H2" s="790">
        <v>2029</v>
      </c>
      <c r="I2" s="790">
        <v>2030</v>
      </c>
      <c r="J2" s="631">
        <v>2031</v>
      </c>
    </row>
    <row r="3" spans="1:12">
      <c r="B3" s="373" t="s">
        <v>204</v>
      </c>
      <c r="C3" t="s">
        <v>178</v>
      </c>
      <c r="D3" s="791">
        <v>11937883.472228866</v>
      </c>
      <c r="E3" s="47">
        <v>31288962.566759847</v>
      </c>
      <c r="F3" s="47">
        <v>43922554.135554776</v>
      </c>
      <c r="G3" s="47">
        <v>53555995.286292247</v>
      </c>
      <c r="H3" s="47">
        <v>63151747.083923563</v>
      </c>
      <c r="I3" s="47">
        <v>70744819.282936454</v>
      </c>
      <c r="J3" s="375">
        <v>74231637.789058805</v>
      </c>
      <c r="L3" s="47"/>
    </row>
    <row r="4" spans="1:12">
      <c r="B4" s="373"/>
      <c r="C4" t="s">
        <v>199</v>
      </c>
      <c r="D4" s="791">
        <v>28315.98</v>
      </c>
      <c r="E4" s="47">
        <v>74215.638000000006</v>
      </c>
      <c r="F4" s="47">
        <v>104181.798</v>
      </c>
      <c r="G4" s="47">
        <v>127031.77199999998</v>
      </c>
      <c r="H4" s="47">
        <v>149792.34899999999</v>
      </c>
      <c r="I4" s="47">
        <v>167802.68400000001</v>
      </c>
      <c r="J4" s="375">
        <v>176073.21900000001</v>
      </c>
    </row>
    <row r="5" spans="1:12">
      <c r="B5" s="373"/>
      <c r="C5" t="s">
        <v>381</v>
      </c>
      <c r="D5" s="791">
        <v>2.8649999999999993</v>
      </c>
      <c r="E5" s="47">
        <v>7.6074999999999982</v>
      </c>
      <c r="F5" s="47">
        <v>10.879999999999999</v>
      </c>
      <c r="G5" s="47">
        <v>13.124999999999998</v>
      </c>
      <c r="H5" s="47">
        <v>14.324999999999998</v>
      </c>
      <c r="I5" s="47">
        <v>15.037499999999998</v>
      </c>
      <c r="J5" s="375">
        <v>15.724999999999996</v>
      </c>
    </row>
    <row r="6" spans="1:12">
      <c r="B6" s="373" t="s">
        <v>205</v>
      </c>
      <c r="C6" t="s">
        <v>178</v>
      </c>
      <c r="D6" s="791">
        <v>10497452.998833166</v>
      </c>
      <c r="E6" s="47">
        <v>30392668.658289995</v>
      </c>
      <c r="F6" s="47">
        <v>43431079.806463368</v>
      </c>
      <c r="G6" s="47">
        <v>49394270.598075524</v>
      </c>
      <c r="H6" s="47">
        <v>54513896.496231042</v>
      </c>
      <c r="I6" s="47">
        <v>64274570.806848966</v>
      </c>
      <c r="J6" s="375">
        <v>74697757.80549264</v>
      </c>
    </row>
    <row r="7" spans="1:12">
      <c r="B7" s="373"/>
      <c r="C7" t="s">
        <v>199</v>
      </c>
      <c r="D7" s="791">
        <v>19116.09</v>
      </c>
      <c r="E7" s="47">
        <v>55345.71</v>
      </c>
      <c r="F7" s="47">
        <v>79088.939999999988</v>
      </c>
      <c r="G7" s="47">
        <v>89948.039999999979</v>
      </c>
      <c r="H7" s="47">
        <v>99270.989999999991</v>
      </c>
      <c r="I7" s="47">
        <v>117045.38999999998</v>
      </c>
      <c r="J7" s="375">
        <v>136026.23999999999</v>
      </c>
      <c r="L7" s="47"/>
    </row>
    <row r="8" spans="1:12">
      <c r="A8" t="s">
        <v>352</v>
      </c>
      <c r="B8" s="373"/>
      <c r="C8" t="s">
        <v>381</v>
      </c>
      <c r="D8" s="791">
        <v>0.92999999999999994</v>
      </c>
      <c r="E8" s="47">
        <v>2.5449999999999999</v>
      </c>
      <c r="F8" s="47">
        <v>3.355</v>
      </c>
      <c r="G8" s="47">
        <v>3.48</v>
      </c>
      <c r="H8" s="47">
        <v>3.48</v>
      </c>
      <c r="I8" s="47">
        <v>3.7800000000000002</v>
      </c>
      <c r="J8" s="375">
        <v>4.18</v>
      </c>
    </row>
    <row r="9" spans="1:12">
      <c r="B9" s="373" t="s">
        <v>206</v>
      </c>
      <c r="C9" t="s">
        <v>178</v>
      </c>
      <c r="D9" s="676"/>
      <c r="J9" s="374"/>
    </row>
    <row r="10" spans="1:12">
      <c r="B10" s="373"/>
      <c r="C10" t="s">
        <v>199</v>
      </c>
      <c r="D10" s="676"/>
      <c r="J10" s="374"/>
    </row>
    <row r="11" spans="1:12">
      <c r="B11" s="373"/>
      <c r="C11" t="s">
        <v>381</v>
      </c>
      <c r="D11" s="676"/>
      <c r="J11" s="374"/>
    </row>
    <row r="12" spans="1:12">
      <c r="B12" s="373"/>
      <c r="D12" s="676"/>
      <c r="J12" s="374"/>
    </row>
    <row r="13" spans="1:12">
      <c r="B13" s="373"/>
      <c r="D13" s="676"/>
      <c r="J13" s="374"/>
    </row>
    <row r="14" spans="1:12">
      <c r="B14" s="792"/>
      <c r="C14" s="793"/>
      <c r="D14" s="794">
        <v>2025</v>
      </c>
      <c r="E14" s="795">
        <v>2026</v>
      </c>
      <c r="F14" s="795">
        <v>2027</v>
      </c>
      <c r="G14" s="795">
        <v>2028</v>
      </c>
      <c r="H14" s="795">
        <v>2029</v>
      </c>
      <c r="I14" s="795">
        <v>2030</v>
      </c>
      <c r="J14" s="796">
        <v>2031</v>
      </c>
    </row>
    <row r="15" spans="1:12">
      <c r="B15" s="373" t="s">
        <v>204</v>
      </c>
      <c r="C15" t="s">
        <v>178</v>
      </c>
      <c r="D15" s="791">
        <v>19650768.933455087</v>
      </c>
      <c r="E15" s="47">
        <v>68270016.542859137</v>
      </c>
      <c r="F15" s="47">
        <v>110997669.38088377</v>
      </c>
      <c r="G15" s="47">
        <v>130123374.4617451</v>
      </c>
      <c r="H15" s="47">
        <v>137454982.27387628</v>
      </c>
      <c r="I15" s="47">
        <v>139743251.04785353</v>
      </c>
      <c r="J15" s="375">
        <v>140830616.07841814</v>
      </c>
    </row>
    <row r="16" spans="1:12">
      <c r="B16" s="373"/>
      <c r="C16" t="s">
        <v>199</v>
      </c>
      <c r="D16" s="791">
        <v>46987.92</v>
      </c>
      <c r="E16" s="47">
        <v>163243.79399999999</v>
      </c>
      <c r="F16" s="47">
        <v>265411.98599999998</v>
      </c>
      <c r="G16" s="47">
        <v>311144.39999999997</v>
      </c>
      <c r="H16" s="47">
        <v>328675.36800000002</v>
      </c>
      <c r="I16" s="47">
        <v>334146.95999999996</v>
      </c>
      <c r="J16" s="375">
        <v>336747.01199999993</v>
      </c>
    </row>
    <row r="17" spans="1:10">
      <c r="B17" s="373"/>
      <c r="C17" t="s">
        <v>381</v>
      </c>
      <c r="D17" s="791">
        <v>2.5050000000000008</v>
      </c>
      <c r="E17" s="47">
        <v>9.2950000000000017</v>
      </c>
      <c r="F17" s="47">
        <v>15.630000000000003</v>
      </c>
      <c r="G17" s="47">
        <v>18.175000000000001</v>
      </c>
      <c r="H17" s="47">
        <v>18.824999999999999</v>
      </c>
      <c r="I17" s="47">
        <v>19.009999999999998</v>
      </c>
      <c r="J17" s="375">
        <v>19.144999999999996</v>
      </c>
    </row>
    <row r="18" spans="1:10">
      <c r="B18" s="373" t="s">
        <v>205</v>
      </c>
      <c r="C18" t="s">
        <v>178</v>
      </c>
      <c r="D18" s="791">
        <v>21674772.198770355</v>
      </c>
      <c r="E18" s="47">
        <v>63151966.577685975</v>
      </c>
      <c r="F18" s="47">
        <v>87281169.546116427</v>
      </c>
      <c r="G18" s="47">
        <v>93713638.641388759</v>
      </c>
      <c r="H18" s="47">
        <v>96944177.079095483</v>
      </c>
      <c r="I18" s="47">
        <v>99586991.054038703</v>
      </c>
      <c r="J18" s="375">
        <v>101562290.15902203</v>
      </c>
    </row>
    <row r="19" spans="1:10">
      <c r="B19" s="373"/>
      <c r="C19" t="s">
        <v>199</v>
      </c>
      <c r="D19" s="791">
        <v>46777.5</v>
      </c>
      <c r="E19" s="47">
        <v>136291.68</v>
      </c>
      <c r="F19" s="47">
        <v>188366.21999999997</v>
      </c>
      <c r="G19" s="47">
        <v>202248.47999999998</v>
      </c>
      <c r="H19" s="47">
        <v>209220.47999999998</v>
      </c>
      <c r="I19" s="47">
        <v>214924.08</v>
      </c>
      <c r="J19" s="375">
        <v>219187.08</v>
      </c>
    </row>
    <row r="20" spans="1:10">
      <c r="A20" t="s">
        <v>376</v>
      </c>
      <c r="B20" s="373"/>
      <c r="C20" t="s">
        <v>381</v>
      </c>
      <c r="D20" s="791">
        <v>1.7999999999999998</v>
      </c>
      <c r="E20" s="47">
        <v>5.2349999999999994</v>
      </c>
      <c r="F20" s="47">
        <v>7.05</v>
      </c>
      <c r="G20" s="47">
        <v>7.1750000000000007</v>
      </c>
      <c r="H20" s="47">
        <v>7.12</v>
      </c>
      <c r="I20" s="47">
        <v>7.12</v>
      </c>
      <c r="J20" s="375">
        <v>7.12</v>
      </c>
    </row>
    <row r="21" spans="1:10">
      <c r="B21" s="373" t="s">
        <v>206</v>
      </c>
      <c r="C21" t="s">
        <v>178</v>
      </c>
      <c r="D21" s="791">
        <v>19570666.894211665</v>
      </c>
      <c r="E21" s="47">
        <v>53851781.743112437</v>
      </c>
      <c r="F21" s="47">
        <v>106673547.97863017</v>
      </c>
      <c r="G21" s="47">
        <v>191849663.51649636</v>
      </c>
      <c r="H21" s="47">
        <v>255361702.73615021</v>
      </c>
      <c r="I21" s="47">
        <v>275605893.80518705</v>
      </c>
      <c r="J21" s="375">
        <v>280147342.73639601</v>
      </c>
    </row>
    <row r="22" spans="1:10">
      <c r="B22" s="373"/>
      <c r="C22" t="s">
        <v>199</v>
      </c>
      <c r="D22" s="791">
        <v>33121.619999999995</v>
      </c>
      <c r="E22" s="47">
        <v>91139.37</v>
      </c>
      <c r="F22" s="47">
        <v>180535.52999999997</v>
      </c>
      <c r="G22" s="47">
        <v>324688.55999999994</v>
      </c>
      <c r="H22" s="47">
        <v>432177.05999999994</v>
      </c>
      <c r="I22" s="47">
        <v>466438.55999999994</v>
      </c>
      <c r="J22" s="375">
        <v>474124.55999999994</v>
      </c>
    </row>
    <row r="23" spans="1:10" ht="15.75" thickBot="1">
      <c r="B23" s="378"/>
      <c r="C23" s="434" t="s">
        <v>381</v>
      </c>
      <c r="D23" s="797">
        <v>0.41250000000000003</v>
      </c>
      <c r="E23" s="386">
        <v>1.0975000000000001</v>
      </c>
      <c r="F23" s="386">
        <v>2.1274999999999999</v>
      </c>
      <c r="G23" s="386">
        <v>3.3024999999999998</v>
      </c>
      <c r="H23" s="386">
        <v>3.78</v>
      </c>
      <c r="I23" s="386">
        <v>3.8849999999999998</v>
      </c>
      <c r="J23" s="387">
        <v>3.9449999999999998</v>
      </c>
    </row>
  </sheetData>
  <mergeCells count="1">
    <mergeCell ref="B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04579-72EF-4E99-BB9A-1C603FB2DA1A}">
  <sheetPr codeName="Sheet26">
    <tabColor theme="3" tint="0.499984740745262"/>
  </sheetPr>
  <dimension ref="A1:V54"/>
  <sheetViews>
    <sheetView workbookViewId="0"/>
  </sheetViews>
  <sheetFormatPr defaultColWidth="9.42578125" defaultRowHeight="14.25"/>
  <cols>
    <col min="1" max="1" width="11.85546875" style="91" customWidth="1"/>
    <col min="2" max="2" width="11.42578125" style="91" bestFit="1" customWidth="1"/>
    <col min="3" max="3" width="20.85546875" style="91" customWidth="1"/>
    <col min="4" max="4" width="13.85546875" style="91" bestFit="1" customWidth="1"/>
    <col min="5" max="5" width="14.42578125" style="91" bestFit="1" customWidth="1"/>
    <col min="6" max="11" width="14.42578125" style="91" customWidth="1"/>
    <col min="12" max="12" width="1.42578125" style="91" customWidth="1"/>
    <col min="13" max="13" width="9.42578125" style="91" customWidth="1"/>
    <col min="14" max="14" width="10.5703125" style="91" bestFit="1" customWidth="1"/>
    <col min="15" max="15" width="13.42578125" style="91" bestFit="1" customWidth="1"/>
    <col min="16" max="21" width="13.42578125" style="91" customWidth="1"/>
    <col min="22" max="23" width="9.42578125" style="91"/>
    <col min="24" max="24" width="9.85546875" style="91" bestFit="1" customWidth="1"/>
    <col min="25" max="25" width="9.5703125" style="91" bestFit="1" customWidth="1"/>
    <col min="26" max="16384" width="9.42578125" style="91"/>
  </cols>
  <sheetData>
    <row r="1" spans="1:21">
      <c r="K1" s="371"/>
    </row>
    <row r="2" spans="1:21">
      <c r="D2" s="867" t="s">
        <v>178</v>
      </c>
      <c r="E2" s="868"/>
      <c r="F2" s="868"/>
      <c r="G2" s="868"/>
      <c r="H2" s="868"/>
      <c r="I2" s="868"/>
      <c r="J2" s="868"/>
      <c r="K2" s="869"/>
      <c r="N2" s="864" t="s">
        <v>199</v>
      </c>
      <c r="O2" s="865"/>
      <c r="P2" s="865"/>
      <c r="Q2" s="865"/>
      <c r="R2" s="865"/>
      <c r="S2" s="865"/>
      <c r="T2" s="865"/>
      <c r="U2" s="866"/>
    </row>
    <row r="3" spans="1:21">
      <c r="D3" s="224">
        <v>2024</v>
      </c>
      <c r="E3" s="223">
        <v>2025</v>
      </c>
      <c r="F3" s="223">
        <v>2026</v>
      </c>
      <c r="G3" s="223">
        <v>2027</v>
      </c>
      <c r="H3" s="223">
        <v>2028</v>
      </c>
      <c r="I3" s="223">
        <v>2029</v>
      </c>
      <c r="J3" s="223">
        <v>2030</v>
      </c>
      <c r="K3" s="222">
        <v>2031</v>
      </c>
      <c r="N3" s="273">
        <v>2024</v>
      </c>
      <c r="O3" s="272">
        <v>2025</v>
      </c>
      <c r="P3" s="272">
        <v>2026</v>
      </c>
      <c r="Q3" s="272">
        <v>2027</v>
      </c>
      <c r="R3" s="272">
        <v>2028</v>
      </c>
      <c r="S3" s="272">
        <v>2029</v>
      </c>
      <c r="T3" s="272">
        <v>2030</v>
      </c>
      <c r="U3" s="271">
        <v>2031</v>
      </c>
    </row>
    <row r="4" spans="1:21">
      <c r="B4" s="270"/>
      <c r="C4" s="269" t="str">
        <f>'EV Forecast VRZ'!E194</f>
        <v>Residential</v>
      </c>
      <c r="D4" s="268">
        <f>'EV Forecast VRZ'!F194</f>
        <v>4547975.6100437343</v>
      </c>
      <c r="E4" s="267">
        <f>'EV Forecast VRZ'!G194</f>
        <v>9932547.3706311509</v>
      </c>
      <c r="F4" s="267">
        <f>'EV Forecast VRZ'!H194</f>
        <v>6386466.038608999</v>
      </c>
      <c r="G4" s="267">
        <f>'EV Forecast VRZ'!I194</f>
        <v>23383578.325540625</v>
      </c>
      <c r="H4" s="267">
        <f>'EV Forecast VRZ'!J194</f>
        <v>7538736.7407377912</v>
      </c>
      <c r="I4" s="267">
        <f>'EV Forecast VRZ'!K194</f>
        <v>40302113.218480311</v>
      </c>
      <c r="J4" s="267">
        <f>'EV Forecast VRZ'!L194</f>
        <v>10583565.643424237</v>
      </c>
      <c r="K4" s="266">
        <f>'EV Forecast VRZ'!M194</f>
        <v>62098793.937151641</v>
      </c>
      <c r="L4" s="265"/>
      <c r="M4" s="265"/>
      <c r="N4" s="268"/>
      <c r="O4" s="267"/>
      <c r="P4" s="267"/>
      <c r="Q4" s="267"/>
      <c r="R4" s="267"/>
      <c r="S4" s="267"/>
      <c r="T4" s="267"/>
      <c r="U4" s="266"/>
    </row>
    <row r="5" spans="1:21">
      <c r="B5" s="264"/>
      <c r="C5" s="91" t="str">
        <f>'EV Forecast VRZ'!E195</f>
        <v>Residential Seasonal</v>
      </c>
      <c r="D5" s="263">
        <f>'EV Forecast VRZ'!F195</f>
        <v>61872.489956265992</v>
      </c>
      <c r="E5" s="265">
        <f>'EV Forecast VRZ'!G195</f>
        <v>135126.37052677653</v>
      </c>
      <c r="F5" s="265">
        <f>'EV Forecast VRZ'!H195</f>
        <v>86884.053414277092</v>
      </c>
      <c r="G5" s="265">
        <f>'EV Forecast VRZ'!I195</f>
        <v>318119.60730252438</v>
      </c>
      <c r="H5" s="265">
        <f>'EV Forecast VRZ'!J195</f>
        <v>102560.00763155962</v>
      </c>
      <c r="I5" s="265">
        <f>'EV Forecast VRZ'!K195</f>
        <v>548286.16270937724</v>
      </c>
      <c r="J5" s="265">
        <f>'EV Forecast VRZ'!L195</f>
        <v>143983.08502977021</v>
      </c>
      <c r="K5" s="262">
        <f>'EV Forecast VRZ'!M195</f>
        <v>844816.97652193415</v>
      </c>
      <c r="L5" s="265"/>
      <c r="M5" s="265"/>
      <c r="N5" s="263"/>
      <c r="O5" s="265"/>
      <c r="P5" s="265"/>
      <c r="Q5" s="265"/>
      <c r="R5" s="265"/>
      <c r="S5" s="265"/>
      <c r="T5" s="265"/>
      <c r="U5" s="262"/>
    </row>
    <row r="6" spans="1:21">
      <c r="B6" s="264" t="s">
        <v>268</v>
      </c>
      <c r="C6" s="91" t="str">
        <f>'EV Forecast VRZ'!E196</f>
        <v>GS&lt;50</v>
      </c>
      <c r="D6" s="263">
        <f>'EV Forecast VRZ'!F196</f>
        <v>601708.60000000009</v>
      </c>
      <c r="E6" s="265">
        <f>'EV Forecast VRZ'!G196</f>
        <v>1308926.1518369478</v>
      </c>
      <c r="F6" s="265">
        <f>'EV Forecast VRZ'!H196</f>
        <v>819251.72072002268</v>
      </c>
      <c r="G6" s="265">
        <f>'EV Forecast VRZ'!I196</f>
        <v>3034762.4539823579</v>
      </c>
      <c r="H6" s="265">
        <f>'EV Forecast VRZ'!J196</f>
        <v>967774.94067067909</v>
      </c>
      <c r="I6" s="265">
        <f>'EV Forecast VRZ'!K196</f>
        <v>5211217.417058249</v>
      </c>
      <c r="J6" s="265">
        <f>'EV Forecast VRZ'!L196</f>
        <v>1363635.4912568601</v>
      </c>
      <c r="K6" s="262">
        <f>'EV Forecast VRZ'!M196</f>
        <v>8023551.7902087178</v>
      </c>
      <c r="L6" s="265"/>
      <c r="M6" s="265"/>
      <c r="N6" s="263"/>
      <c r="O6" s="265"/>
      <c r="P6" s="265"/>
      <c r="Q6" s="265"/>
      <c r="R6" s="265"/>
      <c r="S6" s="265"/>
      <c r="T6" s="265"/>
      <c r="U6" s="262"/>
    </row>
    <row r="7" spans="1:21">
      <c r="B7" s="264"/>
      <c r="C7" s="91" t="str">
        <f>'EV Forecast VRZ'!E197</f>
        <v>GS 50 - 2,999</v>
      </c>
      <c r="D7" s="263">
        <f>'EV Forecast VRZ'!F197</f>
        <v>295483.87</v>
      </c>
      <c r="E7" s="265">
        <f>'EV Forecast VRZ'!G197</f>
        <v>640205.70345380972</v>
      </c>
      <c r="F7" s="265">
        <f>'EV Forecast VRZ'!H197</f>
        <v>389885.34731046326</v>
      </c>
      <c r="G7" s="265">
        <f>'EV Forecast VRZ'!I197</f>
        <v>1462826.895391556</v>
      </c>
      <c r="H7" s="265">
        <f>'EV Forecast VRZ'!J197</f>
        <v>463788.95585785119</v>
      </c>
      <c r="I7" s="265">
        <f>'EV Forecast VRZ'!K197</f>
        <v>2503800.6003275984</v>
      </c>
      <c r="J7" s="265">
        <f>'EV Forecast VRZ'!L197</f>
        <v>651218.70466580288</v>
      </c>
      <c r="K7" s="262">
        <f>'EV Forecast VRZ'!M197</f>
        <v>3848830.5663386872</v>
      </c>
      <c r="L7" s="265"/>
      <c r="M7" s="265"/>
      <c r="N7" s="263">
        <f>SUM('EV Forecast VRZ'!F103:$F103)</f>
        <v>93.396739726027391</v>
      </c>
      <c r="O7" s="265">
        <f>SUM('EV Forecast VRZ'!$F103:G103)</f>
        <v>401.4407260273972</v>
      </c>
      <c r="P7" s="265">
        <f>SUM('EV Forecast VRZ'!$F103:H103)</f>
        <v>661.61276712328754</v>
      </c>
      <c r="Q7" s="265">
        <f>SUM('EV Forecast VRZ'!$F103:I103)</f>
        <v>742.29715068493135</v>
      </c>
      <c r="R7" s="265">
        <f>SUM('EV Forecast VRZ'!$F103:J103)</f>
        <v>869.03609589041082</v>
      </c>
      <c r="S7" s="265">
        <f>SUM('EV Forecast VRZ'!$F103:K103)</f>
        <v>1086.9251917808217</v>
      </c>
      <c r="T7" s="265">
        <f>SUM('EV Forecast VRZ'!$F103:L103)</f>
        <v>1460.0736164383559</v>
      </c>
      <c r="U7" s="262">
        <f>SUM('EV Forecast VRZ'!$F103:M103)</f>
        <v>1986.4628630136986</v>
      </c>
    </row>
    <row r="8" spans="1:21">
      <c r="B8" s="264"/>
      <c r="C8" s="91" t="str">
        <f>'EV Forecast VRZ'!E198</f>
        <v>GS 3,000 - 4,999</v>
      </c>
      <c r="D8" s="263">
        <f>'EV Forecast VRZ'!F198</f>
        <v>38495.43</v>
      </c>
      <c r="E8" s="265">
        <f>'EV Forecast VRZ'!G198</f>
        <v>83424.37141748883</v>
      </c>
      <c r="F8" s="265">
        <f>'EV Forecast VRZ'!H198</f>
        <v>50647.737763900419</v>
      </c>
      <c r="G8" s="265">
        <f>'EV Forecast VRZ'!I198</f>
        <v>189537.53587132506</v>
      </c>
      <c r="H8" s="265">
        <f>'EV Forecast VRZ'!J198</f>
        <v>58322.958317907091</v>
      </c>
      <c r="I8" s="265">
        <f>'EV Forecast VRZ'!K198</f>
        <v>323375.65832715342</v>
      </c>
      <c r="J8" s="265">
        <f>'EV Forecast VRZ'!L198</f>
        <v>85120.849698608887</v>
      </c>
      <c r="K8" s="262">
        <f>'EV Forecast VRZ'!M198</f>
        <v>499201.47539383091</v>
      </c>
      <c r="L8" s="265"/>
      <c r="M8" s="265"/>
      <c r="N8" s="263">
        <f>SUM('EV Forecast VRZ'!F104:$F104)</f>
        <v>19.167369863013697</v>
      </c>
      <c r="O8" s="265">
        <f>SUM('EV Forecast VRZ'!$F104:G104)</f>
        <v>84.558863013698613</v>
      </c>
      <c r="P8" s="265">
        <f>SUM('EV Forecast VRZ'!$F104:H104)</f>
        <v>136.6403835616438</v>
      </c>
      <c r="Q8" s="265">
        <f>SUM('EV Forecast VRZ'!$F104:I104)</f>
        <v>148.00257534246572</v>
      </c>
      <c r="R8" s="265">
        <f>SUM('EV Forecast VRZ'!$F104:J104)</f>
        <v>170.07554794520544</v>
      </c>
      <c r="S8" s="265">
        <f>SUM('EV Forecast VRZ'!$F104:K104)</f>
        <v>209.46809589041092</v>
      </c>
      <c r="T8" s="265">
        <f>SUM('EV Forecast VRZ'!$F104:L104)</f>
        <v>276.49980821917802</v>
      </c>
      <c r="U8" s="262">
        <f>SUM('EV Forecast VRZ'!$F104:M104)</f>
        <v>357.36193150684926</v>
      </c>
    </row>
    <row r="9" spans="1:21">
      <c r="B9" s="264"/>
      <c r="C9" s="91" t="str">
        <f>'EV Forecast VRZ'!E199</f>
        <v>Large Use</v>
      </c>
      <c r="D9" s="263">
        <f>'EV Forecast VRZ'!F199</f>
        <v>10050</v>
      </c>
      <c r="E9" s="265">
        <f>'EV Forecast VRZ'!G199</f>
        <v>20753.075187010189</v>
      </c>
      <c r="F9" s="265">
        <f>'EV Forecast VRZ'!H199</f>
        <v>8355.9044686569887</v>
      </c>
      <c r="G9" s="265">
        <f>'EV Forecast VRZ'!I199</f>
        <v>38992.86124730805</v>
      </c>
      <c r="H9" s="265">
        <f>'EV Forecast VRZ'!J199</f>
        <v>11469.635437756639</v>
      </c>
      <c r="I9" s="265">
        <f>'EV Forecast VRZ'!K199</f>
        <v>63577.362570145087</v>
      </c>
      <c r="J9" s="265">
        <f>'EV Forecast VRZ'!L199</f>
        <v>14821.317696122011</v>
      </c>
      <c r="K9" s="262">
        <f>'EV Forecast VRZ'!M199</f>
        <v>94989.461899518312</v>
      </c>
      <c r="L9" s="265"/>
      <c r="M9" s="265"/>
      <c r="N9" s="263">
        <f>SUM('EV Forecast VRZ'!F105:$F105)</f>
        <v>0</v>
      </c>
      <c r="O9" s="265">
        <f>SUM('EV Forecast VRZ'!$F105:G105)</f>
        <v>0</v>
      </c>
      <c r="P9" s="265">
        <f>SUM('EV Forecast VRZ'!$F105:H105)</f>
        <v>0</v>
      </c>
      <c r="Q9" s="265">
        <f>SUM('EV Forecast VRZ'!$F105:I105)</f>
        <v>0</v>
      </c>
      <c r="R9" s="265">
        <f>SUM('EV Forecast VRZ'!$F105:J105)</f>
        <v>0</v>
      </c>
      <c r="S9" s="265">
        <f>SUM('EV Forecast VRZ'!$F105:K105)</f>
        <v>0</v>
      </c>
      <c r="T9" s="265">
        <f>SUM('EV Forecast VRZ'!$F105:L105)</f>
        <v>0</v>
      </c>
      <c r="U9" s="262">
        <f>SUM('EV Forecast VRZ'!$F105:M105)</f>
        <v>0</v>
      </c>
    </row>
    <row r="10" spans="1:21" ht="15">
      <c r="B10" s="261"/>
      <c r="C10" s="260" t="s">
        <v>65</v>
      </c>
      <c r="D10" s="259">
        <f>SUM(D4:D9)</f>
        <v>5555586.0000000009</v>
      </c>
      <c r="E10" s="258">
        <f>SUM(E4:E9)</f>
        <v>12120983.043053184</v>
      </c>
      <c r="F10" s="258">
        <f t="shared" ref="F10:J10" si="0">SUM(F4:F9)</f>
        <v>7741490.8022863194</v>
      </c>
      <c r="G10" s="258">
        <f t="shared" si="0"/>
        <v>28427817.679335698</v>
      </c>
      <c r="H10" s="258">
        <f t="shared" si="0"/>
        <v>9142653.2386535443</v>
      </c>
      <c r="I10" s="258">
        <f t="shared" si="0"/>
        <v>48952370.419472836</v>
      </c>
      <c r="J10" s="258">
        <f t="shared" si="0"/>
        <v>12842345.091771401</v>
      </c>
      <c r="K10" s="257">
        <f>SUM(K4:K9)</f>
        <v>75410184.207514331</v>
      </c>
      <c r="L10" s="256"/>
      <c r="M10" s="256"/>
      <c r="N10" s="259">
        <f>SUM(N4:N9)</f>
        <v>112.5641095890411</v>
      </c>
      <c r="O10" s="258">
        <f>SUM(O4:O9)</f>
        <v>485.99958904109582</v>
      </c>
      <c r="P10" s="258">
        <f t="shared" ref="P10" si="1">SUM(P4:P9)</f>
        <v>798.25315068493137</v>
      </c>
      <c r="Q10" s="258">
        <f t="shared" ref="Q10" si="2">SUM(Q4:Q9)</f>
        <v>890.29972602739713</v>
      </c>
      <c r="R10" s="258">
        <f t="shared" ref="R10" si="3">SUM(R4:R9)</f>
        <v>1039.1116438356162</v>
      </c>
      <c r="S10" s="258">
        <f t="shared" ref="S10" si="4">SUM(S4:S9)</f>
        <v>1296.3932876712327</v>
      </c>
      <c r="T10" s="258">
        <f t="shared" ref="T10" si="5">SUM(T4:T9)</f>
        <v>1736.5734246575339</v>
      </c>
      <c r="U10" s="257">
        <f>SUM(U4:U9)</f>
        <v>2343.8247945205476</v>
      </c>
    </row>
    <row r="11" spans="1:21">
      <c r="A11" s="91" t="s">
        <v>376</v>
      </c>
      <c r="B11" s="270"/>
      <c r="C11" s="269" t="s">
        <v>63</v>
      </c>
      <c r="D11" s="268">
        <f ca="1">Heating!F94</f>
        <v>2120197.8151131836</v>
      </c>
      <c r="E11" s="267">
        <f ca="1">Heating!G94</f>
        <v>5836856.5099474639</v>
      </c>
      <c r="F11" s="267">
        <f ca="1">Heating!H94</f>
        <v>9946999.0517314691</v>
      </c>
      <c r="G11" s="267">
        <f ca="1">Heating!I94</f>
        <v>14383651.17467094</v>
      </c>
      <c r="H11" s="267">
        <f ca="1">Heating!J94</f>
        <v>19081034.950409457</v>
      </c>
      <c r="I11" s="267">
        <f ca="1">Heating!K94</f>
        <v>24020583.696048021</v>
      </c>
      <c r="J11" s="267">
        <f ca="1">Heating!L94</f>
        <v>29255652.044964895</v>
      </c>
      <c r="K11" s="266">
        <f ca="1">Heating!M94</f>
        <v>34806712.960078567</v>
      </c>
      <c r="L11" s="265"/>
      <c r="M11" s="265"/>
      <c r="N11" s="268"/>
      <c r="O11" s="267"/>
      <c r="P11" s="267"/>
      <c r="Q11" s="267"/>
      <c r="R11" s="267"/>
      <c r="S11" s="267"/>
      <c r="T11" s="267"/>
      <c r="U11" s="266"/>
    </row>
    <row r="12" spans="1:21">
      <c r="B12" s="264"/>
      <c r="C12" s="91" t="str">
        <f t="shared" ref="C12:C13" si="6">C5</f>
        <v>Residential Seasonal</v>
      </c>
      <c r="D12" s="263">
        <f ca="1">Heating!F95</f>
        <v>36837.150487238861</v>
      </c>
      <c r="E12" s="265">
        <f ca="1">Heating!G95</f>
        <v>74344.753910271116</v>
      </c>
      <c r="F12" s="265">
        <f ca="1">Heating!H95</f>
        <v>113449.30663789978</v>
      </c>
      <c r="G12" s="265">
        <f ca="1">Heating!I95</f>
        <v>154105.18773933384</v>
      </c>
      <c r="H12" s="265">
        <f ca="1">Heating!J95</f>
        <v>196305.63013163779</v>
      </c>
      <c r="I12" s="265">
        <f ca="1">Heating!K95</f>
        <v>240043.88848114523</v>
      </c>
      <c r="J12" s="265">
        <f ca="1">Heating!L95</f>
        <v>285313.23914159456</v>
      </c>
      <c r="K12" s="262">
        <f ca="1">Heating!M95</f>
        <v>332106.98009242938</v>
      </c>
      <c r="L12" s="265"/>
      <c r="M12" s="265"/>
      <c r="N12" s="263"/>
      <c r="O12" s="265"/>
      <c r="P12" s="265"/>
      <c r="Q12" s="265"/>
      <c r="R12" s="265"/>
      <c r="S12" s="265"/>
      <c r="T12" s="265"/>
      <c r="U12" s="262"/>
    </row>
    <row r="13" spans="1:21">
      <c r="A13" s="91" t="s">
        <v>346</v>
      </c>
      <c r="B13" s="264" t="s">
        <v>347</v>
      </c>
      <c r="C13" s="91" t="str">
        <f t="shared" si="6"/>
        <v>GS&lt;50</v>
      </c>
      <c r="D13" s="263">
        <f ca="1">Heating!F96</f>
        <v>490601.74351702799</v>
      </c>
      <c r="E13" s="265">
        <f ca="1">Heating!G96</f>
        <v>1227120.6523619888</v>
      </c>
      <c r="F13" s="265">
        <f ca="1">Heating!H96</f>
        <v>2040656.657809196</v>
      </c>
      <c r="G13" s="265">
        <f ca="1">Heating!I96</f>
        <v>2921864.6240519434</v>
      </c>
      <c r="H13" s="265">
        <f ca="1">Heating!J96</f>
        <v>3845264.8608849249</v>
      </c>
      <c r="I13" s="265">
        <f ca="1">Heating!K96</f>
        <v>4811432.5573491817</v>
      </c>
      <c r="J13" s="265">
        <f ca="1">Heating!L96</f>
        <v>5820949.0974439625</v>
      </c>
      <c r="K13" s="262">
        <f ca="1">Heating!M96</f>
        <v>6874402.1202602312</v>
      </c>
      <c r="L13" s="265"/>
      <c r="M13" s="265"/>
      <c r="N13" s="263"/>
      <c r="O13" s="265"/>
      <c r="P13" s="265"/>
      <c r="Q13" s="265"/>
      <c r="R13" s="265"/>
      <c r="S13" s="265"/>
      <c r="T13" s="265"/>
      <c r="U13" s="262"/>
    </row>
    <row r="14" spans="1:21">
      <c r="A14" s="91" t="s">
        <v>378</v>
      </c>
      <c r="B14" s="264"/>
      <c r="C14" s="91" t="str">
        <f>C7</f>
        <v>GS 50 - 2,999</v>
      </c>
      <c r="D14" s="263">
        <f ca="1">Heating!F97</f>
        <v>380941.31347025884</v>
      </c>
      <c r="E14" s="265">
        <f ca="1">Heating!G97</f>
        <v>772436.55703562719</v>
      </c>
      <c r="F14" s="265">
        <f ca="1">Heating!H97</f>
        <v>1186535.249195612</v>
      </c>
      <c r="G14" s="265">
        <f ca="1">Heating!I97</f>
        <v>1621936.0221742084</v>
      </c>
      <c r="H14" s="265">
        <f ca="1">Heating!J97</f>
        <v>2074839.8597526487</v>
      </c>
      <c r="I14" s="265">
        <f ca="1">Heating!K97</f>
        <v>2545246.7619309309</v>
      </c>
      <c r="J14" s="265">
        <f ca="1">Heating!L97</f>
        <v>3033156.7287090532</v>
      </c>
      <c r="K14" s="262">
        <f ca="1">Heating!M97</f>
        <v>3538569.7600870198</v>
      </c>
      <c r="L14" s="265"/>
      <c r="M14" s="265"/>
      <c r="N14" s="263"/>
      <c r="O14" s="265">
        <f ca="1">E14*'kW Forecast'!$E$20</f>
        <v>1847.0110391086821</v>
      </c>
      <c r="P14" s="265">
        <f ca="1">F14*'kW Forecast'!$E$20</f>
        <v>2837.1827868509149</v>
      </c>
      <c r="Q14" s="265">
        <f ca="1">G14*'kW Forecast'!$E$20</f>
        <v>3878.2909876514486</v>
      </c>
      <c r="R14" s="265">
        <f ca="1">H14*'kW Forecast'!$E$20</f>
        <v>4961.251626998147</v>
      </c>
      <c r="S14" s="265">
        <f ca="1">I14*'kW Forecast'!$E$20</f>
        <v>6086.0647048910032</v>
      </c>
      <c r="T14" s="265">
        <f ca="1">J14*'kW Forecast'!$E$20</f>
        <v>7252.7302213300154</v>
      </c>
      <c r="U14" s="262">
        <f ca="1">K14*'kW Forecast'!$E$20</f>
        <v>8461.2481763151918</v>
      </c>
    </row>
    <row r="15" spans="1:21">
      <c r="B15" s="264"/>
      <c r="C15" s="91" t="str">
        <f>C8</f>
        <v>GS 3,000 - 4,999</v>
      </c>
      <c r="D15" s="263"/>
      <c r="E15" s="265"/>
      <c r="F15" s="265"/>
      <c r="G15" s="265"/>
      <c r="H15" s="265"/>
      <c r="I15" s="265"/>
      <c r="J15" s="265"/>
      <c r="K15" s="262"/>
      <c r="L15" s="265"/>
      <c r="M15" s="265"/>
      <c r="N15" s="263"/>
      <c r="O15" s="265"/>
      <c r="P15" s="265"/>
      <c r="Q15" s="265"/>
      <c r="R15" s="265"/>
      <c r="S15" s="265"/>
      <c r="T15" s="265"/>
      <c r="U15" s="262"/>
    </row>
    <row r="16" spans="1:21">
      <c r="B16" s="264"/>
      <c r="C16" s="91" t="str">
        <f>C9</f>
        <v>Large Use</v>
      </c>
      <c r="D16" s="263"/>
      <c r="E16" s="265"/>
      <c r="F16" s="265"/>
      <c r="G16" s="265"/>
      <c r="H16" s="265"/>
      <c r="I16" s="265"/>
      <c r="J16" s="265"/>
      <c r="K16" s="262"/>
      <c r="L16" s="265"/>
      <c r="M16" s="265"/>
      <c r="N16" s="263"/>
      <c r="O16" s="265"/>
      <c r="P16" s="265"/>
      <c r="Q16" s="265"/>
      <c r="R16" s="265"/>
      <c r="S16" s="265"/>
      <c r="T16" s="265"/>
      <c r="U16" s="262"/>
    </row>
    <row r="17" spans="2:22" ht="15">
      <c r="B17" s="261"/>
      <c r="C17" s="260" t="s">
        <v>65</v>
      </c>
      <c r="D17" s="259">
        <f ca="1">SUM(D11:D16)</f>
        <v>3028578.0225877096</v>
      </c>
      <c r="E17" s="258">
        <f ca="1">SUM(E11:E16)</f>
        <v>7910758.4732553512</v>
      </c>
      <c r="F17" s="258">
        <f t="shared" ref="F17:J17" ca="1" si="7">SUM(F11:F16)</f>
        <v>13287640.265374176</v>
      </c>
      <c r="G17" s="258">
        <f t="shared" ca="1" si="7"/>
        <v>19081557.008636426</v>
      </c>
      <c r="H17" s="258">
        <f t="shared" ca="1" si="7"/>
        <v>25197445.301178668</v>
      </c>
      <c r="I17" s="258">
        <f t="shared" ca="1" si="7"/>
        <v>31617306.903809279</v>
      </c>
      <c r="J17" s="258">
        <f t="shared" ca="1" si="7"/>
        <v>38395071.110259503</v>
      </c>
      <c r="K17" s="257">
        <f ca="1">SUM(K11:K16)</f>
        <v>45551791.820518248</v>
      </c>
      <c r="L17" s="256"/>
      <c r="M17" s="256"/>
      <c r="N17" s="259">
        <f>SUM(N11:N16)</f>
        <v>0</v>
      </c>
      <c r="O17" s="258">
        <f ca="1">SUM(O11:O16)</f>
        <v>1847.0110391086821</v>
      </c>
      <c r="P17" s="258">
        <f t="shared" ref="P17" ca="1" si="8">SUM(P11:P16)</f>
        <v>2837.1827868509149</v>
      </c>
      <c r="Q17" s="258">
        <f t="shared" ref="Q17" ca="1" si="9">SUM(Q11:Q16)</f>
        <v>3878.2909876514486</v>
      </c>
      <c r="R17" s="258">
        <f t="shared" ref="R17" ca="1" si="10">SUM(R11:R16)</f>
        <v>4961.251626998147</v>
      </c>
      <c r="S17" s="258">
        <f t="shared" ref="S17" ca="1" si="11">SUM(S11:S16)</f>
        <v>6086.0647048910032</v>
      </c>
      <c r="T17" s="258">
        <f t="shared" ref="T17" ca="1" si="12">SUM(T11:T16)</f>
        <v>7252.7302213300154</v>
      </c>
      <c r="U17" s="257">
        <f ca="1">SUM(U11:U16)</f>
        <v>8461.2481763151918</v>
      </c>
    </row>
    <row r="18" spans="2:22">
      <c r="B18" s="270"/>
      <c r="C18" s="269" t="str">
        <f>C11</f>
        <v>Residential</v>
      </c>
      <c r="D18" s="268"/>
      <c r="E18" s="267"/>
      <c r="F18" s="267"/>
      <c r="G18" s="267"/>
      <c r="H18" s="267"/>
      <c r="I18" s="267"/>
      <c r="J18" s="267"/>
      <c r="K18" s="266"/>
      <c r="L18" s="265"/>
      <c r="M18" s="265"/>
      <c r="N18" s="268"/>
      <c r="O18" s="267"/>
      <c r="P18" s="267"/>
      <c r="Q18" s="267"/>
      <c r="R18" s="267"/>
      <c r="S18" s="267"/>
      <c r="T18" s="267"/>
      <c r="U18" s="266"/>
    </row>
    <row r="19" spans="2:22">
      <c r="B19" s="264"/>
      <c r="C19" s="91" t="str">
        <f t="shared" ref="C19:C23" si="13">C12</f>
        <v>Residential Seasonal</v>
      </c>
      <c r="D19" s="263"/>
      <c r="E19" s="265"/>
      <c r="F19" s="265"/>
      <c r="G19" s="265"/>
      <c r="H19" s="265"/>
      <c r="I19" s="265"/>
      <c r="J19" s="265"/>
      <c r="K19" s="262"/>
      <c r="L19" s="265"/>
      <c r="M19" s="265"/>
      <c r="N19" s="263"/>
      <c r="O19" s="265"/>
      <c r="P19" s="265"/>
      <c r="Q19" s="265"/>
      <c r="R19" s="265"/>
      <c r="S19" s="265"/>
      <c r="T19" s="265"/>
      <c r="U19" s="262"/>
    </row>
    <row r="20" spans="2:22">
      <c r="B20" s="264" t="s">
        <v>348</v>
      </c>
      <c r="C20" s="91" t="str">
        <f t="shared" si="13"/>
        <v>GS&lt;50</v>
      </c>
      <c r="D20" s="263"/>
      <c r="E20" s="265"/>
      <c r="F20" s="265"/>
      <c r="G20" s="265"/>
      <c r="H20" s="265"/>
      <c r="I20" s="265"/>
      <c r="J20" s="265"/>
      <c r="K20" s="262"/>
      <c r="L20" s="265"/>
      <c r="M20" s="265"/>
      <c r="N20" s="263"/>
      <c r="O20" s="265"/>
      <c r="P20" s="265"/>
      <c r="Q20" s="265"/>
      <c r="R20" s="265"/>
      <c r="S20" s="265"/>
      <c r="T20" s="265"/>
      <c r="U20" s="262"/>
    </row>
    <row r="21" spans="2:22">
      <c r="B21" s="264" t="s">
        <v>349</v>
      </c>
      <c r="C21" s="91" t="str">
        <f t="shared" si="13"/>
        <v>GS 50 - 2,999</v>
      </c>
      <c r="D21" s="263"/>
      <c r="E21" s="265">
        <f>'New Known Customers'!D15</f>
        <v>19650768.933455087</v>
      </c>
      <c r="F21" s="265">
        <f>'New Known Customers'!E15</f>
        <v>68270016.542859137</v>
      </c>
      <c r="G21" s="265">
        <f>'New Known Customers'!F15</f>
        <v>110997669.38088377</v>
      </c>
      <c r="H21" s="265">
        <f>'New Known Customers'!G15</f>
        <v>130123374.4617451</v>
      </c>
      <c r="I21" s="265">
        <f>'New Known Customers'!H15</f>
        <v>137454982.27387628</v>
      </c>
      <c r="J21" s="265">
        <f>'New Known Customers'!I15</f>
        <v>139743251.04785353</v>
      </c>
      <c r="K21" s="262">
        <f>'New Known Customers'!J15</f>
        <v>140830616.07841814</v>
      </c>
      <c r="L21" s="265"/>
      <c r="M21" s="265"/>
      <c r="N21" s="263"/>
      <c r="O21" s="265">
        <f>'New Known Customers'!D16</f>
        <v>46987.92</v>
      </c>
      <c r="P21" s="265">
        <f>'New Known Customers'!E16</f>
        <v>163243.79399999999</v>
      </c>
      <c r="Q21" s="265">
        <f>'New Known Customers'!F16</f>
        <v>265411.98599999998</v>
      </c>
      <c r="R21" s="265">
        <f>'New Known Customers'!G16</f>
        <v>311144.39999999997</v>
      </c>
      <c r="S21" s="265">
        <f>'New Known Customers'!H16</f>
        <v>328675.36800000002</v>
      </c>
      <c r="T21" s="265">
        <f>'New Known Customers'!I16</f>
        <v>334146.95999999996</v>
      </c>
      <c r="U21" s="262">
        <f>'New Known Customers'!J16</f>
        <v>336747.01199999993</v>
      </c>
      <c r="V21" s="255"/>
    </row>
    <row r="22" spans="2:22">
      <c r="B22" s="264"/>
      <c r="C22" s="91" t="str">
        <f t="shared" si="13"/>
        <v>GS 3,000 - 4,999</v>
      </c>
      <c r="D22" s="263"/>
      <c r="E22" s="265">
        <f>'New Known Customers'!D18</f>
        <v>21674772.198770355</v>
      </c>
      <c r="F22" s="265">
        <f>'New Known Customers'!E18</f>
        <v>63151966.577685975</v>
      </c>
      <c r="G22" s="265">
        <f>'New Known Customers'!F18</f>
        <v>87281169.546116427</v>
      </c>
      <c r="H22" s="265">
        <f>'New Known Customers'!G18</f>
        <v>93713638.641388759</v>
      </c>
      <c r="I22" s="265">
        <f>'New Known Customers'!H18</f>
        <v>96944177.079095483</v>
      </c>
      <c r="J22" s="265">
        <f>'New Known Customers'!I18</f>
        <v>99586991.054038703</v>
      </c>
      <c r="K22" s="262">
        <f>'New Known Customers'!J18</f>
        <v>101562290.15902203</v>
      </c>
      <c r="L22" s="265"/>
      <c r="M22" s="265"/>
      <c r="N22" s="263"/>
      <c r="O22" s="265">
        <f>'New Known Customers'!D19</f>
        <v>46777.5</v>
      </c>
      <c r="P22" s="265">
        <f>'New Known Customers'!E19</f>
        <v>136291.68</v>
      </c>
      <c r="Q22" s="265">
        <f>'New Known Customers'!F19</f>
        <v>188366.21999999997</v>
      </c>
      <c r="R22" s="265">
        <f>'New Known Customers'!G19</f>
        <v>202248.47999999998</v>
      </c>
      <c r="S22" s="265">
        <f>'New Known Customers'!H19</f>
        <v>209220.47999999998</v>
      </c>
      <c r="T22" s="265">
        <f>'New Known Customers'!I19</f>
        <v>214924.08</v>
      </c>
      <c r="U22" s="262">
        <f>'New Known Customers'!J19</f>
        <v>219187.08</v>
      </c>
      <c r="V22" s="255"/>
    </row>
    <row r="23" spans="2:22">
      <c r="B23" s="264"/>
      <c r="C23" s="91" t="str">
        <f t="shared" si="13"/>
        <v>Large Use</v>
      </c>
      <c r="D23" s="263"/>
      <c r="E23" s="265">
        <f>'New Known Customers'!D21</f>
        <v>19570666.894211665</v>
      </c>
      <c r="F23" s="265">
        <f>'New Known Customers'!E21</f>
        <v>53851781.743112437</v>
      </c>
      <c r="G23" s="265">
        <f>'New Known Customers'!F21</f>
        <v>106673547.97863017</v>
      </c>
      <c r="H23" s="265">
        <f>'New Known Customers'!G21</f>
        <v>191849663.51649636</v>
      </c>
      <c r="I23" s="265">
        <f>'New Known Customers'!H21</f>
        <v>255361702.73615021</v>
      </c>
      <c r="J23" s="265">
        <f>'New Known Customers'!I21</f>
        <v>275605893.80518705</v>
      </c>
      <c r="K23" s="262">
        <f>'New Known Customers'!J21</f>
        <v>280147342.73639601</v>
      </c>
      <c r="L23" s="265"/>
      <c r="M23" s="265"/>
      <c r="N23" s="263"/>
      <c r="O23" s="265">
        <f>'New Known Customers'!D22</f>
        <v>33121.619999999995</v>
      </c>
      <c r="P23" s="265">
        <f>'New Known Customers'!E22</f>
        <v>91139.37</v>
      </c>
      <c r="Q23" s="265">
        <f>'New Known Customers'!F22</f>
        <v>180535.52999999997</v>
      </c>
      <c r="R23" s="265">
        <f>'New Known Customers'!G22</f>
        <v>324688.55999999994</v>
      </c>
      <c r="S23" s="265">
        <f>'New Known Customers'!H22</f>
        <v>432177.05999999994</v>
      </c>
      <c r="T23" s="265">
        <f>'New Known Customers'!I22</f>
        <v>466438.55999999994</v>
      </c>
      <c r="U23" s="262">
        <f>'New Known Customers'!J22</f>
        <v>474124.55999999994</v>
      </c>
      <c r="V23" s="255"/>
    </row>
    <row r="24" spans="2:22" ht="15">
      <c r="B24" s="261"/>
      <c r="C24" s="260" t="s">
        <v>65</v>
      </c>
      <c r="D24" s="259">
        <f>SUM(D18:D23)</f>
        <v>0</v>
      </c>
      <c r="E24" s="258">
        <f>SUM(E18:E23)</f>
        <v>60896208.026437104</v>
      </c>
      <c r="F24" s="258">
        <f t="shared" ref="F24:J24" si="14">SUM(F18:F23)</f>
        <v>185273764.86365756</v>
      </c>
      <c r="G24" s="258">
        <f t="shared" si="14"/>
        <v>304952386.90563035</v>
      </c>
      <c r="H24" s="258">
        <f t="shared" si="14"/>
        <v>415686676.61963022</v>
      </c>
      <c r="I24" s="258">
        <f t="shared" si="14"/>
        <v>489760862.08912194</v>
      </c>
      <c r="J24" s="258">
        <f t="shared" si="14"/>
        <v>514936135.90707928</v>
      </c>
      <c r="K24" s="257">
        <f>SUM(K18:K23)</f>
        <v>522540248.97383618</v>
      </c>
      <c r="L24" s="256"/>
      <c r="M24" s="256"/>
      <c r="N24" s="259">
        <f>SUM(N18:N23)</f>
        <v>0</v>
      </c>
      <c r="O24" s="258">
        <f>SUM(O18:O23)</f>
        <v>126887.03999999999</v>
      </c>
      <c r="P24" s="258">
        <f t="shared" ref="P24" si="15">SUM(P18:P23)</f>
        <v>390674.84399999998</v>
      </c>
      <c r="Q24" s="258">
        <f t="shared" ref="Q24" si="16">SUM(Q18:Q23)</f>
        <v>634313.73599999992</v>
      </c>
      <c r="R24" s="258">
        <f t="shared" ref="R24" si="17">SUM(R18:R23)</f>
        <v>838081.44</v>
      </c>
      <c r="S24" s="258">
        <f t="shared" ref="S24" si="18">SUM(S18:S23)</f>
        <v>970072.90799999994</v>
      </c>
      <c r="T24" s="258">
        <f t="shared" ref="T24" si="19">SUM(T18:T23)</f>
        <v>1015509.5999999999</v>
      </c>
      <c r="U24" s="257">
        <f>SUM(U18:U23)</f>
        <v>1030058.6519999999</v>
      </c>
    </row>
    <row r="25" spans="2:22">
      <c r="B25" s="270"/>
      <c r="C25" s="269" t="str">
        <f>C18</f>
        <v>Residential</v>
      </c>
      <c r="D25" s="268">
        <f ca="1">D4+D11+D18</f>
        <v>6668173.4251569174</v>
      </c>
      <c r="E25" s="267">
        <f t="shared" ref="E25:K25" ca="1" si="20">E4+E11+E18</f>
        <v>15769403.880578615</v>
      </c>
      <c r="F25" s="267">
        <f t="shared" ca="1" si="20"/>
        <v>16333465.090340469</v>
      </c>
      <c r="G25" s="267">
        <f t="shared" ca="1" si="20"/>
        <v>37767229.500211567</v>
      </c>
      <c r="H25" s="267">
        <f t="shared" ca="1" si="20"/>
        <v>26619771.691147249</v>
      </c>
      <c r="I25" s="267">
        <f t="shared" ca="1" si="20"/>
        <v>64322696.914528333</v>
      </c>
      <c r="J25" s="267">
        <f t="shared" ca="1" si="20"/>
        <v>39839217.68838913</v>
      </c>
      <c r="K25" s="266">
        <f t="shared" ca="1" si="20"/>
        <v>96905506.897230208</v>
      </c>
      <c r="L25" s="265"/>
      <c r="M25" s="265"/>
      <c r="N25" s="268"/>
      <c r="O25" s="267"/>
      <c r="P25" s="267"/>
      <c r="Q25" s="267"/>
      <c r="R25" s="267"/>
      <c r="S25" s="267"/>
      <c r="T25" s="267"/>
      <c r="U25" s="266"/>
    </row>
    <row r="26" spans="2:22">
      <c r="B26" s="264"/>
      <c r="C26" s="91" t="str">
        <f t="shared" ref="C26:C30" si="21">C19</f>
        <v>Residential Seasonal</v>
      </c>
      <c r="D26" s="263">
        <f t="shared" ref="D26:K30" ca="1" si="22">D5+D12+D19</f>
        <v>98709.640443504846</v>
      </c>
      <c r="E26" s="265">
        <f t="shared" ca="1" si="22"/>
        <v>209471.12443704763</v>
      </c>
      <c r="F26" s="265">
        <f t="shared" ca="1" si="22"/>
        <v>200333.36005217687</v>
      </c>
      <c r="G26" s="265">
        <f t="shared" ca="1" si="22"/>
        <v>472224.79504185822</v>
      </c>
      <c r="H26" s="265">
        <f t="shared" ca="1" si="22"/>
        <v>298865.63776319742</v>
      </c>
      <c r="I26" s="265">
        <f t="shared" ca="1" si="22"/>
        <v>788330.0511905225</v>
      </c>
      <c r="J26" s="265">
        <f t="shared" ca="1" si="22"/>
        <v>429296.32417136477</v>
      </c>
      <c r="K26" s="262">
        <f t="shared" ca="1" si="22"/>
        <v>1176923.9566143635</v>
      </c>
      <c r="L26" s="265"/>
      <c r="M26" s="265"/>
      <c r="N26" s="263"/>
      <c r="O26" s="265"/>
      <c r="P26" s="265"/>
      <c r="Q26" s="265"/>
      <c r="R26" s="265"/>
      <c r="S26" s="265"/>
      <c r="T26" s="265"/>
      <c r="U26" s="262"/>
    </row>
    <row r="27" spans="2:22" ht="15">
      <c r="B27" s="254" t="s">
        <v>65</v>
      </c>
      <c r="C27" s="91" t="str">
        <f t="shared" si="21"/>
        <v>GS&lt;50</v>
      </c>
      <c r="D27" s="263">
        <f t="shared" ca="1" si="22"/>
        <v>1092310.343517028</v>
      </c>
      <c r="E27" s="265">
        <f t="shared" ca="1" si="22"/>
        <v>2536046.8041989366</v>
      </c>
      <c r="F27" s="265">
        <f t="shared" ca="1" si="22"/>
        <v>2859908.378529219</v>
      </c>
      <c r="G27" s="265">
        <f t="shared" ca="1" si="22"/>
        <v>5956627.0780343013</v>
      </c>
      <c r="H27" s="265">
        <f t="shared" ca="1" si="22"/>
        <v>4813039.8015556037</v>
      </c>
      <c r="I27" s="265">
        <f t="shared" ca="1" si="22"/>
        <v>10022649.974407431</v>
      </c>
      <c r="J27" s="265">
        <f t="shared" ca="1" si="22"/>
        <v>7184584.5887008226</v>
      </c>
      <c r="K27" s="262">
        <f t="shared" ca="1" si="22"/>
        <v>14897953.910468949</v>
      </c>
      <c r="L27" s="265"/>
      <c r="M27" s="265"/>
      <c r="N27" s="263"/>
      <c r="O27" s="265"/>
      <c r="P27" s="265"/>
      <c r="Q27" s="265"/>
      <c r="R27" s="265"/>
      <c r="S27" s="265"/>
      <c r="T27" s="265"/>
      <c r="U27" s="262"/>
    </row>
    <row r="28" spans="2:22">
      <c r="B28" s="264"/>
      <c r="C28" s="91" t="str">
        <f t="shared" si="21"/>
        <v>GS 50 - 2,999</v>
      </c>
      <c r="D28" s="263">
        <f t="shared" ca="1" si="22"/>
        <v>676425.18347025884</v>
      </c>
      <c r="E28" s="265">
        <f t="shared" ca="1" si="22"/>
        <v>21063411.193944525</v>
      </c>
      <c r="F28" s="265">
        <f t="shared" ca="1" si="22"/>
        <v>69846437.139365211</v>
      </c>
      <c r="G28" s="265">
        <f t="shared" ca="1" si="22"/>
        <v>114082432.29844953</v>
      </c>
      <c r="H28" s="265">
        <f t="shared" ca="1" si="22"/>
        <v>132662003.2773556</v>
      </c>
      <c r="I28" s="265">
        <f t="shared" ca="1" si="22"/>
        <v>142504029.6361348</v>
      </c>
      <c r="J28" s="265">
        <f t="shared" ca="1" si="22"/>
        <v>143427626.48122838</v>
      </c>
      <c r="K28" s="262">
        <f t="shared" ca="1" si="22"/>
        <v>148218016.40484384</v>
      </c>
      <c r="L28" s="265"/>
      <c r="M28" s="265"/>
      <c r="N28" s="263">
        <f t="shared" ref="N28:U28" si="23">N7+N14+N21</f>
        <v>93.396739726027391</v>
      </c>
      <c r="O28" s="265">
        <f t="shared" ca="1" si="23"/>
        <v>49236.371765136078</v>
      </c>
      <c r="P28" s="265">
        <f t="shared" ca="1" si="23"/>
        <v>166742.58955397419</v>
      </c>
      <c r="Q28" s="265">
        <f t="shared" ca="1" si="23"/>
        <v>270032.57413833635</v>
      </c>
      <c r="R28" s="265">
        <f t="shared" ca="1" si="23"/>
        <v>316974.68772288854</v>
      </c>
      <c r="S28" s="265">
        <f t="shared" ca="1" si="23"/>
        <v>335848.35789667186</v>
      </c>
      <c r="T28" s="265">
        <f t="shared" ca="1" si="23"/>
        <v>342859.76383776835</v>
      </c>
      <c r="U28" s="262">
        <f t="shared" ca="1" si="23"/>
        <v>347194.72303932882</v>
      </c>
    </row>
    <row r="29" spans="2:22">
      <c r="B29" s="264"/>
      <c r="C29" s="91" t="str">
        <f t="shared" si="21"/>
        <v>GS 3,000 - 4,999</v>
      </c>
      <c r="D29" s="263">
        <f t="shared" si="22"/>
        <v>38495.43</v>
      </c>
      <c r="E29" s="265">
        <f t="shared" si="22"/>
        <v>21758196.570187844</v>
      </c>
      <c r="F29" s="265">
        <f t="shared" si="22"/>
        <v>63202614.315449879</v>
      </c>
      <c r="G29" s="265">
        <f t="shared" si="22"/>
        <v>87470707.081987754</v>
      </c>
      <c r="H29" s="265">
        <f t="shared" si="22"/>
        <v>93771961.599706665</v>
      </c>
      <c r="I29" s="265">
        <f t="shared" si="22"/>
        <v>97267552.73742263</v>
      </c>
      <c r="J29" s="265">
        <f t="shared" si="22"/>
        <v>99672111.903737307</v>
      </c>
      <c r="K29" s="262">
        <f t="shared" si="22"/>
        <v>102061491.63441586</v>
      </c>
      <c r="L29" s="265"/>
      <c r="M29" s="265"/>
      <c r="N29" s="263">
        <f t="shared" ref="N29:U29" si="24">N8+N15+N22</f>
        <v>19.167369863013697</v>
      </c>
      <c r="O29" s="265">
        <f>O8+O15+O22</f>
        <v>46862.058863013699</v>
      </c>
      <c r="P29" s="265">
        <f t="shared" si="24"/>
        <v>136428.32038356163</v>
      </c>
      <c r="Q29" s="265">
        <f t="shared" si="24"/>
        <v>188514.22257534243</v>
      </c>
      <c r="R29" s="265">
        <f t="shared" si="24"/>
        <v>202418.55554794517</v>
      </c>
      <c r="S29" s="265">
        <f t="shared" si="24"/>
        <v>209429.9480958904</v>
      </c>
      <c r="T29" s="265">
        <f t="shared" si="24"/>
        <v>215200.57980821916</v>
      </c>
      <c r="U29" s="262">
        <f t="shared" si="24"/>
        <v>219544.44193150682</v>
      </c>
    </row>
    <row r="30" spans="2:22">
      <c r="B30" s="264"/>
      <c r="C30" s="91" t="str">
        <f t="shared" si="21"/>
        <v>Large Use</v>
      </c>
      <c r="D30" s="263">
        <f t="shared" si="22"/>
        <v>10050</v>
      </c>
      <c r="E30" s="265">
        <f t="shared" si="22"/>
        <v>19591419.969398674</v>
      </c>
      <c r="F30" s="265">
        <f t="shared" si="22"/>
        <v>53860137.647581093</v>
      </c>
      <c r="G30" s="265">
        <f t="shared" si="22"/>
        <v>106712540.83987747</v>
      </c>
      <c r="H30" s="265">
        <f t="shared" si="22"/>
        <v>191861133.15193412</v>
      </c>
      <c r="I30" s="265">
        <f t="shared" si="22"/>
        <v>255425280.09872034</v>
      </c>
      <c r="J30" s="265">
        <f t="shared" si="22"/>
        <v>275620715.12288314</v>
      </c>
      <c r="K30" s="262">
        <f t="shared" si="22"/>
        <v>280242332.19829553</v>
      </c>
      <c r="L30" s="265"/>
      <c r="M30" s="265"/>
      <c r="N30" s="263">
        <f t="shared" ref="N30:U30" si="25">N9+N16+N23</f>
        <v>0</v>
      </c>
      <c r="O30" s="265">
        <f t="shared" si="25"/>
        <v>33121.619999999995</v>
      </c>
      <c r="P30" s="265">
        <f t="shared" si="25"/>
        <v>91139.37</v>
      </c>
      <c r="Q30" s="265">
        <f t="shared" si="25"/>
        <v>180535.52999999997</v>
      </c>
      <c r="R30" s="265">
        <f t="shared" si="25"/>
        <v>324688.55999999994</v>
      </c>
      <c r="S30" s="265">
        <f t="shared" si="25"/>
        <v>432177.05999999994</v>
      </c>
      <c r="T30" s="265">
        <f t="shared" si="25"/>
        <v>466438.55999999994</v>
      </c>
      <c r="U30" s="262">
        <f t="shared" si="25"/>
        <v>474124.55999999994</v>
      </c>
    </row>
    <row r="31" spans="2:22" ht="15">
      <c r="B31" s="261"/>
      <c r="C31" s="260" t="s">
        <v>65</v>
      </c>
      <c r="D31" s="259">
        <f ca="1">SUM(D25:D30)</f>
        <v>8584164.0225877091</v>
      </c>
      <c r="E31" s="258">
        <f ca="1">SUM(E25:E30)</f>
        <v>80927949.542745635</v>
      </c>
      <c r="F31" s="258">
        <f t="shared" ref="F31" ca="1" si="26">SUM(F25:F30)</f>
        <v>206302895.93131804</v>
      </c>
      <c r="G31" s="258">
        <f t="shared" ref="G31" ca="1" si="27">SUM(G25:G30)</f>
        <v>352461761.59360248</v>
      </c>
      <c r="H31" s="258">
        <f t="shared" ref="H31" ca="1" si="28">SUM(H25:H30)</f>
        <v>450026775.15946245</v>
      </c>
      <c r="I31" s="258">
        <f t="shared" ref="I31" ca="1" si="29">SUM(I25:I30)</f>
        <v>570330539.41240406</v>
      </c>
      <c r="J31" s="258">
        <f t="shared" ref="J31" ca="1" si="30">SUM(J25:J30)</f>
        <v>566173552.10911012</v>
      </c>
      <c r="K31" s="257">
        <f ca="1">SUM(K25:K30)</f>
        <v>643502225.00186872</v>
      </c>
      <c r="L31" s="256"/>
      <c r="M31" s="256"/>
      <c r="N31" s="259">
        <f>SUM(N25:N30)</f>
        <v>112.5641095890411</v>
      </c>
      <c r="O31" s="258">
        <f ca="1">SUM(O25:O30)</f>
        <v>129220.05062814977</v>
      </c>
      <c r="P31" s="258">
        <f t="shared" ref="P31" ca="1" si="31">SUM(P25:P30)</f>
        <v>394310.27993753582</v>
      </c>
      <c r="Q31" s="258">
        <f t="shared" ref="Q31" ca="1" si="32">SUM(Q25:Q30)</f>
        <v>639082.32671367866</v>
      </c>
      <c r="R31" s="258">
        <f t="shared" ref="R31" ca="1" si="33">SUM(R25:R30)</f>
        <v>844081.80327083368</v>
      </c>
      <c r="S31" s="258">
        <f t="shared" ref="S31" ca="1" si="34">SUM(S25:S30)</f>
        <v>977455.36599256226</v>
      </c>
      <c r="T31" s="258">
        <f t="shared" ref="T31" ca="1" si="35">SUM(T25:T30)</f>
        <v>1024498.9036459875</v>
      </c>
      <c r="U31" s="257">
        <f ca="1">SUM(U25:U30)</f>
        <v>1040863.7249708356</v>
      </c>
      <c r="V31" s="371"/>
    </row>
    <row r="33" spans="1:22">
      <c r="D33" s="867" t="s">
        <v>178</v>
      </c>
      <c r="E33" s="868"/>
      <c r="F33" s="868"/>
      <c r="G33" s="868"/>
      <c r="H33" s="868"/>
      <c r="I33" s="868"/>
      <c r="J33" s="868"/>
      <c r="K33" s="869"/>
      <c r="N33" s="864" t="s">
        <v>199</v>
      </c>
      <c r="O33" s="865"/>
      <c r="P33" s="865"/>
      <c r="Q33" s="865"/>
      <c r="R33" s="865"/>
      <c r="S33" s="865"/>
      <c r="T33" s="865"/>
      <c r="U33" s="866"/>
    </row>
    <row r="34" spans="1:22">
      <c r="D34" s="224">
        <v>2024</v>
      </c>
      <c r="E34" s="223">
        <v>2025</v>
      </c>
      <c r="F34" s="223">
        <v>2026</v>
      </c>
      <c r="G34" s="223">
        <v>2027</v>
      </c>
      <c r="H34" s="223">
        <v>2028</v>
      </c>
      <c r="I34" s="223">
        <v>2029</v>
      </c>
      <c r="J34" s="223">
        <v>2030</v>
      </c>
      <c r="K34" s="222">
        <v>2031</v>
      </c>
      <c r="N34" s="515">
        <v>2024</v>
      </c>
      <c r="O34" s="272">
        <v>2025</v>
      </c>
      <c r="P34" s="272">
        <v>2026</v>
      </c>
      <c r="Q34" s="272">
        <v>2027</v>
      </c>
      <c r="R34" s="272">
        <v>2028</v>
      </c>
      <c r="S34" s="272">
        <v>2029</v>
      </c>
      <c r="T34" s="272">
        <v>2030</v>
      </c>
      <c r="U34" s="516">
        <v>2031</v>
      </c>
    </row>
    <row r="35" spans="1:22">
      <c r="B35" s="270"/>
      <c r="C35" s="269" t="str">
        <f>'EV Forecast WRZ'!E189</f>
        <v>Residential</v>
      </c>
      <c r="D35" s="268">
        <f>'EV Forecast WRZ'!F189</f>
        <v>1673991.4199999997</v>
      </c>
      <c r="E35" s="267">
        <f>'EV Forecast WRZ'!G189</f>
        <v>3654999.0692265686</v>
      </c>
      <c r="F35" s="267">
        <f>'EV Forecast WRZ'!H189</f>
        <v>5869731.9651843095</v>
      </c>
      <c r="G35" s="267">
        <f>'EV Forecast WRZ'!I189</f>
        <v>8332992.4078851743</v>
      </c>
      <c r="H35" s="267">
        <f>'EV Forecast WRZ'!J189</f>
        <v>11049821.463357911</v>
      </c>
      <c r="I35" s="267">
        <f>'EV Forecast WRZ'!K189</f>
        <v>14293879.866512312</v>
      </c>
      <c r="J35" s="267">
        <f>'EV Forecast WRZ'!L189</f>
        <v>17966378.089737464</v>
      </c>
      <c r="K35" s="266">
        <f>'EV Forecast WRZ'!M189</f>
        <v>21850257.382234927</v>
      </c>
      <c r="L35" s="265"/>
      <c r="M35" s="265"/>
      <c r="N35" s="268"/>
      <c r="O35" s="267"/>
      <c r="P35" s="267"/>
      <c r="Q35" s="267"/>
      <c r="R35" s="267"/>
      <c r="S35" s="267"/>
      <c r="T35" s="267"/>
      <c r="U35" s="266"/>
    </row>
    <row r="36" spans="1:22">
      <c r="B36" s="264" t="s">
        <v>268</v>
      </c>
      <c r="C36" s="91" t="str">
        <f>'EV Forecast WRZ'!E190</f>
        <v>GS&lt;50</v>
      </c>
      <c r="D36" s="263">
        <f>'EV Forecast WRZ'!F190</f>
        <v>244772.52</v>
      </c>
      <c r="E36" s="265">
        <f>'EV Forecast WRZ'!G190</f>
        <v>534759.57790256524</v>
      </c>
      <c r="F36" s="265">
        <f>'EV Forecast WRZ'!H190</f>
        <v>837224.88751040504</v>
      </c>
      <c r="G36" s="265">
        <f>'EV Forecast WRZ'!I190</f>
        <v>1173850.0366273755</v>
      </c>
      <c r="H36" s="265">
        <f>'EV Forecast WRZ'!J190</f>
        <v>1550578.7230287613</v>
      </c>
      <c r="I36" s="265">
        <f>'EV Forecast WRZ'!K190</f>
        <v>1998796.4328022921</v>
      </c>
      <c r="J36" s="265">
        <f>'EV Forecast WRZ'!L190</f>
        <v>2504968.0648322939</v>
      </c>
      <c r="K36" s="262">
        <f>'EV Forecast WRZ'!M190</f>
        <v>3046100.6394851157</v>
      </c>
      <c r="L36" s="265"/>
      <c r="M36" s="265"/>
      <c r="N36" s="263"/>
      <c r="O36" s="265"/>
      <c r="P36" s="265"/>
      <c r="Q36" s="265"/>
      <c r="R36" s="265"/>
      <c r="S36" s="265"/>
      <c r="T36" s="265"/>
      <c r="U36" s="262"/>
    </row>
    <row r="37" spans="1:22">
      <c r="B37" s="264"/>
      <c r="C37" s="91" t="str">
        <f>'EV Forecast WRZ'!E191</f>
        <v>GS 50 - 2,999</v>
      </c>
      <c r="D37" s="263">
        <f>'EV Forecast WRZ'!F191</f>
        <v>107047.63399999999</v>
      </c>
      <c r="E37" s="265">
        <f>'EV Forecast WRZ'!G191</f>
        <v>234075.59223120898</v>
      </c>
      <c r="F37" s="265">
        <f>'EV Forecast WRZ'!H191</f>
        <v>367982.97366572573</v>
      </c>
      <c r="G37" s="265">
        <f>'EV Forecast WRZ'!I191</f>
        <v>516495.19290698937</v>
      </c>
      <c r="H37" s="265">
        <f>'EV Forecast WRZ'!J191</f>
        <v>682800.96506645274</v>
      </c>
      <c r="I37" s="265">
        <f>'EV Forecast WRZ'!K191</f>
        <v>880917.51696834737</v>
      </c>
      <c r="J37" s="265">
        <f>'EV Forecast WRZ'!L191</f>
        <v>1104557.3347343071</v>
      </c>
      <c r="K37" s="262">
        <f>'EV Forecast WRZ'!M191</f>
        <v>1343536.3701301333</v>
      </c>
      <c r="L37" s="265"/>
      <c r="M37" s="265"/>
      <c r="N37" s="263">
        <f>SUM('EV Forecast WRZ'!$F103:F103)</f>
        <v>38.365150684931507</v>
      </c>
      <c r="O37" s="265">
        <f>SUM('EV Forecast WRZ'!$F103:G103)</f>
        <v>122.01768493150685</v>
      </c>
      <c r="P37" s="265">
        <f>SUM('EV Forecast WRZ'!$F103:H103)</f>
        <v>179.72506849315067</v>
      </c>
      <c r="Q37" s="265">
        <f>SUM('EV Forecast WRZ'!$F103:I103)</f>
        <v>207.00345205479448</v>
      </c>
      <c r="R37" s="265">
        <f>SUM('EV Forecast WRZ'!$F103:J103)</f>
        <v>248.5648356164383</v>
      </c>
      <c r="S37" s="265">
        <f>SUM('EV Forecast WRZ'!$F103:K103)</f>
        <v>326.3360136986301</v>
      </c>
      <c r="T37" s="265">
        <f>SUM('EV Forecast WRZ'!$F103:L103)</f>
        <v>462.43557534246565</v>
      </c>
      <c r="U37" s="262">
        <f>SUM('EV Forecast WRZ'!$F103:M103)</f>
        <v>679.50254794520538</v>
      </c>
    </row>
    <row r="38" spans="1:22">
      <c r="B38" s="264"/>
      <c r="C38" s="91" t="str">
        <f>'EV Forecast WRZ'!E192</f>
        <v>GS 3,000 - 4,999</v>
      </c>
      <c r="D38" s="263">
        <f>'EV Forecast WRZ'!F192</f>
        <v>22413.625999999997</v>
      </c>
      <c r="E38" s="265">
        <f>'EV Forecast WRZ'!G192</f>
        <v>49192.80584182914</v>
      </c>
      <c r="F38" s="265">
        <f>'EV Forecast WRZ'!H192</f>
        <v>73622.715750253526</v>
      </c>
      <c r="G38" s="265">
        <f>'EV Forecast WRZ'!I192</f>
        <v>100465.95269304542</v>
      </c>
      <c r="H38" s="265">
        <f>'EV Forecast WRZ'!J192</f>
        <v>131813.94560259744</v>
      </c>
      <c r="I38" s="265">
        <f>'EV Forecast WRZ'!K192</f>
        <v>168942.7151556029</v>
      </c>
      <c r="J38" s="265">
        <f>'EV Forecast WRZ'!L192</f>
        <v>210524.21069183614</v>
      </c>
      <c r="K38" s="262">
        <f>'EV Forecast WRZ'!M192</f>
        <v>256199.49727080506</v>
      </c>
      <c r="L38" s="265"/>
      <c r="M38" s="265"/>
      <c r="N38" s="263">
        <f>SUM('EV Forecast WRZ'!$F104:F104)</f>
        <v>11.454575342465752</v>
      </c>
      <c r="O38" s="265">
        <f>SUM('EV Forecast WRZ'!$F104:G104)</f>
        <v>30.338342465753421</v>
      </c>
      <c r="P38" s="265">
        <f>SUM('EV Forecast WRZ'!$F104:H104)</f>
        <v>39.147534246575333</v>
      </c>
      <c r="Q38" s="265">
        <f>SUM('EV Forecast WRZ'!$F104:I104)</f>
        <v>44.575726027397252</v>
      </c>
      <c r="R38" s="265">
        <f>SUM('EV Forecast WRZ'!$F104:J104)</f>
        <v>51.590917808219167</v>
      </c>
      <c r="S38" s="265">
        <f>SUM('EV Forecast WRZ'!$F104:K104)</f>
        <v>63.428506849315063</v>
      </c>
      <c r="T38" s="265">
        <f>SUM('EV Forecast WRZ'!$F104:L104)</f>
        <v>84.144287671232874</v>
      </c>
      <c r="U38" s="262">
        <f>SUM('EV Forecast WRZ'!$F104:M104)</f>
        <v>112.25827397260274</v>
      </c>
    </row>
    <row r="39" spans="1:22" ht="15">
      <c r="B39" s="261"/>
      <c r="C39" s="260" t="s">
        <v>65</v>
      </c>
      <c r="D39" s="517">
        <f t="shared" ref="D39:K39" si="36">SUM(D35:D38)</f>
        <v>2048225.1999999997</v>
      </c>
      <c r="E39" s="258">
        <f t="shared" si="36"/>
        <v>4473027.0452021714</v>
      </c>
      <c r="F39" s="258">
        <f t="shared" si="36"/>
        <v>7148562.5421106936</v>
      </c>
      <c r="G39" s="258">
        <f t="shared" si="36"/>
        <v>10123803.590112584</v>
      </c>
      <c r="H39" s="258">
        <f t="shared" si="36"/>
        <v>13415015.097055722</v>
      </c>
      <c r="I39" s="258">
        <f t="shared" si="36"/>
        <v>17342536.531438552</v>
      </c>
      <c r="J39" s="258">
        <f t="shared" si="36"/>
        <v>21786427.699995898</v>
      </c>
      <c r="K39" s="518">
        <f t="shared" si="36"/>
        <v>26496093.889120981</v>
      </c>
      <c r="L39" s="256"/>
      <c r="M39" s="256"/>
      <c r="N39" s="517">
        <f t="shared" ref="N39:U39" si="37">SUM(N35:N38)</f>
        <v>49.819726027397259</v>
      </c>
      <c r="O39" s="258">
        <f t="shared" si="37"/>
        <v>152.35602739726028</v>
      </c>
      <c r="P39" s="258">
        <f t="shared" si="37"/>
        <v>218.87260273972601</v>
      </c>
      <c r="Q39" s="258">
        <f t="shared" si="37"/>
        <v>251.57917808219173</v>
      </c>
      <c r="R39" s="258">
        <f t="shared" si="37"/>
        <v>300.15575342465746</v>
      </c>
      <c r="S39" s="258">
        <f t="shared" si="37"/>
        <v>389.76452054794515</v>
      </c>
      <c r="T39" s="258">
        <f t="shared" si="37"/>
        <v>546.57986301369851</v>
      </c>
      <c r="U39" s="518">
        <f t="shared" si="37"/>
        <v>791.76082191780813</v>
      </c>
    </row>
    <row r="40" spans="1:22">
      <c r="A40" s="91" t="s">
        <v>352</v>
      </c>
      <c r="B40" s="270"/>
      <c r="C40" s="269" t="s">
        <v>63</v>
      </c>
      <c r="D40" s="268">
        <f ca="1">Heating!U94</f>
        <v>917817.04585355497</v>
      </c>
      <c r="E40" s="267">
        <f ca="1">Heating!V94</f>
        <v>2337143.2570347805</v>
      </c>
      <c r="F40" s="267">
        <f ca="1">Heating!W94</f>
        <v>3939860.0240238821</v>
      </c>
      <c r="G40" s="267">
        <f ca="1">Heating!X94</f>
        <v>5628163.0086783227</v>
      </c>
      <c r="H40" s="267">
        <f ca="1">Heating!Y94</f>
        <v>7414773.0842575477</v>
      </c>
      <c r="I40" s="267">
        <f ca="1">Heating!Z94</f>
        <v>9300779.2751442045</v>
      </c>
      <c r="J40" s="267">
        <f ca="1">Heating!AA94</f>
        <v>11302289.128954893</v>
      </c>
      <c r="K40" s="266">
        <f ca="1">Heating!AB94</f>
        <v>13413383.186504075</v>
      </c>
      <c r="L40" s="265"/>
      <c r="M40" s="265"/>
      <c r="N40" s="268"/>
      <c r="O40" s="267"/>
      <c r="P40" s="267"/>
      <c r="Q40" s="267"/>
      <c r="R40" s="267"/>
      <c r="S40" s="267"/>
      <c r="T40" s="267"/>
      <c r="U40" s="266"/>
    </row>
    <row r="41" spans="1:22">
      <c r="A41" s="91" t="s">
        <v>346</v>
      </c>
      <c r="B41" s="264" t="s">
        <v>347</v>
      </c>
      <c r="C41" s="91" t="s">
        <v>278</v>
      </c>
      <c r="D41" s="263">
        <f ca="1">Heating!U96</f>
        <v>153879.47480939238</v>
      </c>
      <c r="E41" s="265">
        <f ca="1">Heating!V96</f>
        <v>380821.37669952086</v>
      </c>
      <c r="F41" s="265">
        <f ca="1">Heating!W96</f>
        <v>625922.41902781546</v>
      </c>
      <c r="G41" s="265">
        <f ca="1">Heating!X96</f>
        <v>884923.13790101209</v>
      </c>
      <c r="H41" s="265">
        <f ca="1">Heating!Y96</f>
        <v>1158169.6091151452</v>
      </c>
      <c r="I41" s="265">
        <f ca="1">Heating!Z96</f>
        <v>1446014.9449378883</v>
      </c>
      <c r="J41" s="265">
        <f ca="1">Heating!AA96</f>
        <v>1748819.4243134307</v>
      </c>
      <c r="K41" s="262">
        <f ca="1">Heating!AB96</f>
        <v>2066950.6253484981</v>
      </c>
      <c r="L41" s="265"/>
      <c r="M41" s="265"/>
      <c r="N41" s="263"/>
      <c r="O41" s="265"/>
      <c r="P41" s="265"/>
      <c r="Q41" s="265"/>
      <c r="R41" s="265"/>
      <c r="S41" s="265"/>
      <c r="T41" s="265"/>
      <c r="U41" s="262"/>
    </row>
    <row r="42" spans="1:22">
      <c r="A42" s="91" t="s">
        <v>378</v>
      </c>
      <c r="B42" s="264"/>
      <c r="C42" s="91" t="str">
        <f>C37</f>
        <v>GS 50 - 2,999</v>
      </c>
      <c r="D42" s="263">
        <f ca="1">Heating!U97</f>
        <v>113634.75095445264</v>
      </c>
      <c r="E42" s="265">
        <f ca="1">Heating!V97</f>
        <v>231143.71019393697</v>
      </c>
      <c r="F42" s="265">
        <f ca="1">Heating!W97</f>
        <v>354352.7392031913</v>
      </c>
      <c r="G42" s="265">
        <f ca="1">Heating!X97</f>
        <v>482722.20712080644</v>
      </c>
      <c r="H42" s="265">
        <f ca="1">Heating!Y97</f>
        <v>616252.11394678347</v>
      </c>
      <c r="I42" s="265">
        <f ca="1">Heating!Z97</f>
        <v>754942.45968112187</v>
      </c>
      <c r="J42" s="265">
        <f ca="1">Heating!AA97</f>
        <v>898793.24432382104</v>
      </c>
      <c r="K42" s="262">
        <f ca="1">Heating!AB97</f>
        <v>1047804.4678748822</v>
      </c>
      <c r="L42" s="265"/>
      <c r="M42" s="265"/>
      <c r="N42" s="263"/>
      <c r="O42" s="265">
        <f ca="1">E42*'kW Forecast'!$AR$19</f>
        <v>548.25972210259124</v>
      </c>
      <c r="P42" s="265">
        <f ca="1">F42*'kW Forecast'!$AR$19</f>
        <v>840.50452490716168</v>
      </c>
      <c r="Q42" s="265">
        <f ca="1">G42*'kW Forecast'!$AR$19</f>
        <v>1144.9895950304988</v>
      </c>
      <c r="R42" s="265">
        <f ca="1">H42*'kW Forecast'!$AR$19</f>
        <v>1461.7149324726047</v>
      </c>
      <c r="S42" s="265">
        <f ca="1">I42*'kW Forecast'!$AR$19</f>
        <v>1790.6805372334788</v>
      </c>
      <c r="T42" s="265">
        <f ca="1">J42*'kW Forecast'!$AR$19</f>
        <v>2131.8864093131192</v>
      </c>
      <c r="U42" s="262">
        <f ca="1">K42*'kW Forecast'!$AR$19</f>
        <v>2485.3325487115289</v>
      </c>
    </row>
    <row r="43" spans="1:22">
      <c r="B43" s="264"/>
      <c r="C43" s="91" t="str">
        <f>C38</f>
        <v>GS 3,000 - 4,999</v>
      </c>
      <c r="D43" s="263"/>
      <c r="E43" s="265"/>
      <c r="F43" s="265"/>
      <c r="G43" s="265"/>
      <c r="H43" s="265"/>
      <c r="I43" s="265"/>
      <c r="J43" s="265"/>
      <c r="K43" s="262"/>
      <c r="L43" s="265"/>
      <c r="M43" s="265"/>
      <c r="N43" s="263"/>
      <c r="O43" s="265"/>
      <c r="P43" s="265"/>
      <c r="Q43" s="265"/>
      <c r="R43" s="265"/>
      <c r="S43" s="265"/>
      <c r="T43" s="265"/>
      <c r="U43" s="262"/>
    </row>
    <row r="44" spans="1:22" ht="15">
      <c r="B44" s="261"/>
      <c r="C44" s="260" t="s">
        <v>65</v>
      </c>
      <c r="D44" s="517">
        <f t="shared" ref="D44:K44" ca="1" si="38">SUM(D40:D43)</f>
        <v>1185331.2716174</v>
      </c>
      <c r="E44" s="258">
        <f t="shared" ca="1" si="38"/>
        <v>2949108.3439282384</v>
      </c>
      <c r="F44" s="258">
        <f t="shared" ca="1" si="38"/>
        <v>4920135.182254889</v>
      </c>
      <c r="G44" s="258">
        <f t="shared" ca="1" si="38"/>
        <v>6995808.3537001405</v>
      </c>
      <c r="H44" s="258">
        <f t="shared" ca="1" si="38"/>
        <v>9189194.8073194772</v>
      </c>
      <c r="I44" s="258">
        <f t="shared" ca="1" si="38"/>
        <v>11501736.679763215</v>
      </c>
      <c r="J44" s="258">
        <f t="shared" ca="1" si="38"/>
        <v>13949901.797592146</v>
      </c>
      <c r="K44" s="518">
        <f t="shared" ca="1" si="38"/>
        <v>16528138.279727457</v>
      </c>
      <c r="L44" s="256"/>
      <c r="M44" s="256"/>
      <c r="N44" s="517">
        <f t="shared" ref="N44:U44" si="39">SUM(N40:N43)</f>
        <v>0</v>
      </c>
      <c r="O44" s="258">
        <f t="shared" ca="1" si="39"/>
        <v>548.25972210259124</v>
      </c>
      <c r="P44" s="258">
        <f t="shared" ca="1" si="39"/>
        <v>840.50452490716168</v>
      </c>
      <c r="Q44" s="258">
        <f t="shared" ca="1" si="39"/>
        <v>1144.9895950304988</v>
      </c>
      <c r="R44" s="258">
        <f t="shared" ca="1" si="39"/>
        <v>1461.7149324726047</v>
      </c>
      <c r="S44" s="258">
        <f t="shared" ca="1" si="39"/>
        <v>1790.6805372334788</v>
      </c>
      <c r="T44" s="258">
        <f t="shared" ca="1" si="39"/>
        <v>2131.8864093131192</v>
      </c>
      <c r="U44" s="518">
        <f t="shared" ca="1" si="39"/>
        <v>2485.3325487115289</v>
      </c>
    </row>
    <row r="45" spans="1:22">
      <c r="B45" s="270"/>
      <c r="C45" s="269" t="s">
        <v>63</v>
      </c>
      <c r="D45" s="268"/>
      <c r="E45" s="267"/>
      <c r="F45" s="267"/>
      <c r="G45" s="267"/>
      <c r="H45" s="267"/>
      <c r="I45" s="267"/>
      <c r="J45" s="267"/>
      <c r="K45" s="266"/>
      <c r="L45" s="265"/>
      <c r="M45" s="265"/>
      <c r="N45" s="268"/>
      <c r="O45" s="267"/>
      <c r="P45" s="267"/>
      <c r="Q45" s="267"/>
      <c r="R45" s="267"/>
      <c r="S45" s="267"/>
      <c r="T45" s="267"/>
      <c r="U45" s="266"/>
    </row>
    <row r="46" spans="1:22">
      <c r="B46" s="264" t="s">
        <v>348</v>
      </c>
      <c r="C46" s="91" t="s">
        <v>278</v>
      </c>
      <c r="D46" s="263"/>
      <c r="E46" s="265"/>
      <c r="F46" s="265"/>
      <c r="G46" s="265"/>
      <c r="H46" s="265"/>
      <c r="I46" s="265"/>
      <c r="J46" s="265"/>
      <c r="K46" s="262"/>
      <c r="L46" s="265"/>
      <c r="M46" s="265"/>
      <c r="N46" s="263"/>
      <c r="O46" s="265"/>
      <c r="P46" s="265"/>
      <c r="Q46" s="265"/>
      <c r="R46" s="265"/>
      <c r="S46" s="265"/>
      <c r="T46" s="265"/>
      <c r="U46" s="262"/>
    </row>
    <row r="47" spans="1:22">
      <c r="B47" s="264" t="s">
        <v>349</v>
      </c>
      <c r="C47" s="91" t="str">
        <f>C42</f>
        <v>GS 50 - 2,999</v>
      </c>
      <c r="D47" s="263"/>
      <c r="E47" s="265">
        <f>'New Known Customers'!D3</f>
        <v>11937883.472228866</v>
      </c>
      <c r="F47" s="265">
        <f>'New Known Customers'!E3</f>
        <v>31288962.566759847</v>
      </c>
      <c r="G47" s="265">
        <f>'New Known Customers'!F3</f>
        <v>43922554.135554776</v>
      </c>
      <c r="H47" s="265">
        <f>'New Known Customers'!G3</f>
        <v>53555995.286292247</v>
      </c>
      <c r="I47" s="265">
        <f>'New Known Customers'!H3</f>
        <v>63151747.083923563</v>
      </c>
      <c r="J47" s="265">
        <f>'New Known Customers'!I3</f>
        <v>70744819.282936454</v>
      </c>
      <c r="K47" s="262">
        <f>'New Known Customers'!J3</f>
        <v>74231637.789058805</v>
      </c>
      <c r="L47" s="265"/>
      <c r="M47" s="265"/>
      <c r="N47" s="263"/>
      <c r="O47" s="265">
        <f>'New Known Customers'!D4</f>
        <v>28315.98</v>
      </c>
      <c r="P47" s="265">
        <f>'New Known Customers'!E4</f>
        <v>74215.638000000006</v>
      </c>
      <c r="Q47" s="265">
        <f>'New Known Customers'!F4</f>
        <v>104181.798</v>
      </c>
      <c r="R47" s="265">
        <f>'New Known Customers'!G4</f>
        <v>127031.77199999998</v>
      </c>
      <c r="S47" s="265">
        <f>'New Known Customers'!H4</f>
        <v>149792.34899999999</v>
      </c>
      <c r="T47" s="265">
        <f>'New Known Customers'!I4</f>
        <v>167802.68400000001</v>
      </c>
      <c r="U47" s="262">
        <f>'New Known Customers'!J4</f>
        <v>176073.21900000001</v>
      </c>
      <c r="V47" s="255"/>
    </row>
    <row r="48" spans="1:22">
      <c r="B48" s="264"/>
      <c r="C48" s="91" t="str">
        <f>C43</f>
        <v>GS 3,000 - 4,999</v>
      </c>
      <c r="D48" s="263"/>
      <c r="E48" s="265">
        <f>'New Known Customers'!D6</f>
        <v>10497452.998833166</v>
      </c>
      <c r="F48" s="265">
        <f>'New Known Customers'!E6</f>
        <v>30392668.658289995</v>
      </c>
      <c r="G48" s="265">
        <f>'New Known Customers'!F6</f>
        <v>43431079.806463368</v>
      </c>
      <c r="H48" s="265">
        <f>'New Known Customers'!G6</f>
        <v>49394270.598075524</v>
      </c>
      <c r="I48" s="265">
        <f>'New Known Customers'!H6</f>
        <v>54513896.496231042</v>
      </c>
      <c r="J48" s="265">
        <f>'New Known Customers'!I6</f>
        <v>64274570.806848966</v>
      </c>
      <c r="K48" s="262">
        <f>'New Known Customers'!J6</f>
        <v>74697757.80549264</v>
      </c>
      <c r="L48" s="265"/>
      <c r="M48" s="265"/>
      <c r="N48" s="263"/>
      <c r="O48" s="265">
        <f>'New Known Customers'!D7</f>
        <v>19116.09</v>
      </c>
      <c r="P48" s="265">
        <f>'New Known Customers'!E7</f>
        <v>55345.71</v>
      </c>
      <c r="Q48" s="265">
        <f>'New Known Customers'!F7</f>
        <v>79088.939999999988</v>
      </c>
      <c r="R48" s="265">
        <f>'New Known Customers'!G7</f>
        <v>89948.039999999979</v>
      </c>
      <c r="S48" s="265">
        <f>'New Known Customers'!H7</f>
        <v>99270.989999999991</v>
      </c>
      <c r="T48" s="265">
        <f>'New Known Customers'!I7</f>
        <v>117045.38999999998</v>
      </c>
      <c r="U48" s="262">
        <f>'New Known Customers'!J7</f>
        <v>136026.23999999999</v>
      </c>
      <c r="V48" s="255"/>
    </row>
    <row r="49" spans="2:21" ht="15">
      <c r="B49" s="261"/>
      <c r="C49" s="260" t="s">
        <v>65</v>
      </c>
      <c r="D49" s="517">
        <f t="shared" ref="D49:K49" si="40">SUM(D45:D48)</f>
        <v>0</v>
      </c>
      <c r="E49" s="258">
        <f t="shared" si="40"/>
        <v>22435336.471062034</v>
      </c>
      <c r="F49" s="258">
        <f t="shared" si="40"/>
        <v>61681631.225049838</v>
      </c>
      <c r="G49" s="258">
        <f t="shared" si="40"/>
        <v>87353633.942018151</v>
      </c>
      <c r="H49" s="258">
        <f t="shared" si="40"/>
        <v>102950265.88436776</v>
      </c>
      <c r="I49" s="258">
        <f t="shared" si="40"/>
        <v>117665643.5801546</v>
      </c>
      <c r="J49" s="258">
        <f t="shared" si="40"/>
        <v>135019390.08978543</v>
      </c>
      <c r="K49" s="518">
        <f t="shared" si="40"/>
        <v>148929395.59455144</v>
      </c>
      <c r="L49" s="256"/>
      <c r="M49" s="256"/>
      <c r="N49" s="517">
        <f t="shared" ref="N49:U49" si="41">SUM(N45:N48)</f>
        <v>0</v>
      </c>
      <c r="O49" s="258">
        <f t="shared" si="41"/>
        <v>47432.07</v>
      </c>
      <c r="P49" s="258">
        <f t="shared" si="41"/>
        <v>129561.348</v>
      </c>
      <c r="Q49" s="258">
        <f t="shared" si="41"/>
        <v>183270.73799999998</v>
      </c>
      <c r="R49" s="258">
        <f t="shared" si="41"/>
        <v>216979.81199999998</v>
      </c>
      <c r="S49" s="258">
        <f t="shared" si="41"/>
        <v>249063.33899999998</v>
      </c>
      <c r="T49" s="258">
        <f t="shared" si="41"/>
        <v>284848.07400000002</v>
      </c>
      <c r="U49" s="518">
        <f t="shared" si="41"/>
        <v>312099.45900000003</v>
      </c>
    </row>
    <row r="50" spans="2:21">
      <c r="B50" s="270"/>
      <c r="C50" s="269" t="s">
        <v>63</v>
      </c>
      <c r="D50" s="268">
        <f t="shared" ref="D50:K53" ca="1" si="42">D35+D40+D45</f>
        <v>2591808.4658535547</v>
      </c>
      <c r="E50" s="267">
        <f t="shared" ca="1" si="42"/>
        <v>5992142.326261349</v>
      </c>
      <c r="F50" s="267">
        <f t="shared" ca="1" si="42"/>
        <v>9809591.9892081916</v>
      </c>
      <c r="G50" s="267">
        <f t="shared" ca="1" si="42"/>
        <v>13961155.416563496</v>
      </c>
      <c r="H50" s="267">
        <f t="shared" ca="1" si="42"/>
        <v>18464594.547615457</v>
      </c>
      <c r="I50" s="267">
        <f t="shared" ca="1" si="42"/>
        <v>23594659.141656518</v>
      </c>
      <c r="J50" s="267">
        <f t="shared" ca="1" si="42"/>
        <v>29268667.218692355</v>
      </c>
      <c r="K50" s="266">
        <f t="shared" ca="1" si="42"/>
        <v>35263640.568739004</v>
      </c>
      <c r="L50" s="265"/>
      <c r="M50" s="265"/>
      <c r="N50" s="268"/>
      <c r="O50" s="267"/>
      <c r="P50" s="267"/>
      <c r="Q50" s="267"/>
      <c r="R50" s="267"/>
      <c r="S50" s="267"/>
      <c r="T50" s="267"/>
      <c r="U50" s="266"/>
    </row>
    <row r="51" spans="2:21" ht="15">
      <c r="B51" s="254" t="s">
        <v>65</v>
      </c>
      <c r="C51" s="91" t="s">
        <v>278</v>
      </c>
      <c r="D51" s="263">
        <f t="shared" ca="1" si="42"/>
        <v>398651.99480939237</v>
      </c>
      <c r="E51" s="265">
        <f t="shared" ca="1" si="42"/>
        <v>915580.9546020861</v>
      </c>
      <c r="F51" s="265">
        <f t="shared" ca="1" si="42"/>
        <v>1463147.3065382205</v>
      </c>
      <c r="G51" s="265">
        <f t="shared" ca="1" si="42"/>
        <v>2058773.1745283876</v>
      </c>
      <c r="H51" s="265">
        <f t="shared" ca="1" si="42"/>
        <v>2708748.3321439065</v>
      </c>
      <c r="I51" s="265">
        <f t="shared" ca="1" si="42"/>
        <v>3444811.3777401801</v>
      </c>
      <c r="J51" s="265">
        <f t="shared" ca="1" si="42"/>
        <v>4253787.4891457241</v>
      </c>
      <c r="K51" s="262">
        <f t="shared" ca="1" si="42"/>
        <v>5113051.2648336142</v>
      </c>
      <c r="L51" s="265"/>
      <c r="M51" s="265"/>
      <c r="N51" s="263"/>
      <c r="O51" s="265"/>
      <c r="P51" s="265"/>
      <c r="Q51" s="265"/>
      <c r="R51" s="265"/>
      <c r="S51" s="265"/>
      <c r="T51" s="265"/>
      <c r="U51" s="262"/>
    </row>
    <row r="52" spans="2:21">
      <c r="B52" s="264"/>
      <c r="C52" s="91" t="str">
        <f>C47</f>
        <v>GS 50 - 2,999</v>
      </c>
      <c r="D52" s="263">
        <f t="shared" ca="1" si="42"/>
        <v>220682.38495445263</v>
      </c>
      <c r="E52" s="265">
        <f t="shared" ca="1" si="42"/>
        <v>12403102.774654012</v>
      </c>
      <c r="F52" s="265">
        <f t="shared" ca="1" si="42"/>
        <v>32011298.279628765</v>
      </c>
      <c r="G52" s="265">
        <f t="shared" ca="1" si="42"/>
        <v>44921771.535582572</v>
      </c>
      <c r="H52" s="265">
        <f t="shared" ca="1" si="42"/>
        <v>54855048.365305483</v>
      </c>
      <c r="I52" s="265">
        <f t="shared" ca="1" si="42"/>
        <v>64787607.060573034</v>
      </c>
      <c r="J52" s="265">
        <f t="shared" ca="1" si="42"/>
        <v>72748169.861994579</v>
      </c>
      <c r="K52" s="262">
        <f t="shared" ca="1" si="42"/>
        <v>76622978.627063826</v>
      </c>
      <c r="L52" s="265"/>
      <c r="M52" s="265"/>
      <c r="N52" s="263">
        <f>N37+N42+N47</f>
        <v>38.365150684931507</v>
      </c>
      <c r="O52" s="265">
        <f t="shared" ref="N52:U53" ca="1" si="43">O37+O42+O47</f>
        <v>28986.257407034096</v>
      </c>
      <c r="P52" s="265">
        <f t="shared" ca="1" si="43"/>
        <v>75235.867593400326</v>
      </c>
      <c r="Q52" s="265">
        <f t="shared" ca="1" si="43"/>
        <v>105533.79104708529</v>
      </c>
      <c r="R52" s="265">
        <f t="shared" ca="1" si="43"/>
        <v>128742.05176808902</v>
      </c>
      <c r="S52" s="265">
        <f t="shared" ca="1" si="43"/>
        <v>151909.3655509321</v>
      </c>
      <c r="T52" s="265">
        <f t="shared" ca="1" si="43"/>
        <v>170397.00598465558</v>
      </c>
      <c r="U52" s="262">
        <f t="shared" ca="1" si="43"/>
        <v>179238.05409665674</v>
      </c>
    </row>
    <row r="53" spans="2:21">
      <c r="B53" s="264"/>
      <c r="C53" s="91" t="str">
        <f>C48</f>
        <v>GS 3,000 - 4,999</v>
      </c>
      <c r="D53" s="263">
        <f t="shared" si="42"/>
        <v>22413.625999999997</v>
      </c>
      <c r="E53" s="265">
        <f t="shared" si="42"/>
        <v>10546645.804674996</v>
      </c>
      <c r="F53" s="265">
        <f t="shared" si="42"/>
        <v>30466291.37404025</v>
      </c>
      <c r="G53" s="265">
        <f t="shared" si="42"/>
        <v>43531545.759156413</v>
      </c>
      <c r="H53" s="265">
        <f t="shared" si="42"/>
        <v>49526084.54367812</v>
      </c>
      <c r="I53" s="265">
        <f t="shared" si="42"/>
        <v>54682839.211386643</v>
      </c>
      <c r="J53" s="265">
        <f t="shared" si="42"/>
        <v>64485095.017540805</v>
      </c>
      <c r="K53" s="262">
        <f t="shared" si="42"/>
        <v>74953957.302763447</v>
      </c>
      <c r="L53" s="265"/>
      <c r="M53" s="265"/>
      <c r="N53" s="263">
        <f t="shared" si="43"/>
        <v>11.454575342465752</v>
      </c>
      <c r="O53" s="265">
        <f t="shared" si="43"/>
        <v>19146.428342465755</v>
      </c>
      <c r="P53" s="265">
        <f t="shared" si="43"/>
        <v>55384.857534246577</v>
      </c>
      <c r="Q53" s="265">
        <f t="shared" si="43"/>
        <v>79133.515726027385</v>
      </c>
      <c r="R53" s="265">
        <f t="shared" si="43"/>
        <v>89999.630917808201</v>
      </c>
      <c r="S53" s="265">
        <f t="shared" si="43"/>
        <v>99334.41850684931</v>
      </c>
      <c r="T53" s="265">
        <f t="shared" si="43"/>
        <v>117129.53428767122</v>
      </c>
      <c r="U53" s="262">
        <f t="shared" si="43"/>
        <v>136138.4982739726</v>
      </c>
    </row>
    <row r="54" spans="2:21" ht="15">
      <c r="B54" s="261"/>
      <c r="C54" s="260" t="s">
        <v>65</v>
      </c>
      <c r="D54" s="517">
        <f t="shared" ref="D54:K54" ca="1" si="44">SUM(D50:D53)</f>
        <v>3233556.4716173997</v>
      </c>
      <c r="E54" s="258">
        <f t="shared" ca="1" si="44"/>
        <v>29857471.86019244</v>
      </c>
      <c r="F54" s="258">
        <f t="shared" ca="1" si="44"/>
        <v>73750328.94941543</v>
      </c>
      <c r="G54" s="258">
        <f t="shared" ca="1" si="44"/>
        <v>104473245.88583088</v>
      </c>
      <c r="H54" s="258">
        <f t="shared" ca="1" si="44"/>
        <v>125554475.78874297</v>
      </c>
      <c r="I54" s="258">
        <f t="shared" ca="1" si="44"/>
        <v>146509916.79135638</v>
      </c>
      <c r="J54" s="258">
        <f t="shared" ca="1" si="44"/>
        <v>170755719.58737347</v>
      </c>
      <c r="K54" s="518">
        <f t="shared" ca="1" si="44"/>
        <v>191953627.7633999</v>
      </c>
      <c r="L54" s="256"/>
      <c r="M54" s="256"/>
      <c r="N54" s="517">
        <f t="shared" ref="N54:U54" si="45">SUM(N50:N53)</f>
        <v>49.819726027397259</v>
      </c>
      <c r="O54" s="258">
        <f t="shared" ca="1" si="45"/>
        <v>48132.685749499855</v>
      </c>
      <c r="P54" s="258">
        <f t="shared" ca="1" si="45"/>
        <v>130620.7251276469</v>
      </c>
      <c r="Q54" s="258">
        <f t="shared" ca="1" si="45"/>
        <v>184667.30677311268</v>
      </c>
      <c r="R54" s="258">
        <f t="shared" ca="1" si="45"/>
        <v>218741.68268589722</v>
      </c>
      <c r="S54" s="258">
        <f t="shared" ca="1" si="45"/>
        <v>251243.78405778139</v>
      </c>
      <c r="T54" s="258">
        <f t="shared" ca="1" si="45"/>
        <v>287526.54027232679</v>
      </c>
      <c r="U54" s="518">
        <f t="shared" ca="1" si="45"/>
        <v>315376.55237062933</v>
      </c>
    </row>
  </sheetData>
  <mergeCells count="4">
    <mergeCell ref="N2:U2"/>
    <mergeCell ref="D2:K2"/>
    <mergeCell ref="D33:K33"/>
    <mergeCell ref="N33:U3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473F-1F89-4385-BB81-348D0B037B53}">
  <sheetPr codeName="Sheet27">
    <tabColor theme="7" tint="0.79998168889431442"/>
  </sheetPr>
  <dimension ref="A1:AE241"/>
  <sheetViews>
    <sheetView zoomScaleNormal="100" workbookViewId="0"/>
  </sheetViews>
  <sheetFormatPr defaultRowHeight="15"/>
  <cols>
    <col min="2" max="2" width="9.42578125" bestFit="1" customWidth="1"/>
    <col min="3" max="3" width="8.5703125" bestFit="1" customWidth="1"/>
    <col min="4" max="4" width="16" customWidth="1"/>
    <col min="13" max="13" width="11.5703125" style="618" customWidth="1"/>
    <col min="14" max="15" width="11.42578125" bestFit="1" customWidth="1"/>
    <col min="16" max="18" width="10.42578125" bestFit="1" customWidth="1"/>
    <col min="19" max="20" width="11.42578125" bestFit="1" customWidth="1"/>
    <col min="21" max="24" width="12.5703125" customWidth="1"/>
    <col min="27" max="27" width="11.5703125" customWidth="1"/>
    <col min="28" max="28" width="13.5703125" bestFit="1" customWidth="1"/>
    <col min="29" max="29" width="12.5703125" bestFit="1" customWidth="1"/>
    <col min="30" max="30" width="13.5703125" bestFit="1" customWidth="1"/>
    <col min="31" max="31" width="8.5703125" bestFit="1" customWidth="1"/>
  </cols>
  <sheetData>
    <row r="1" spans="1:31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Data'!I1</f>
        <v>VRZ_ResidentialkWh_No_CDM_AL</v>
      </c>
      <c r="E1" s="760" t="str">
        <f>'Monthly Data'!CN1</f>
        <v>HDD20</v>
      </c>
      <c r="F1" s="760" t="str">
        <f>'Monthly Data'!CS1</f>
        <v>CDD16</v>
      </c>
      <c r="G1" s="760" t="str">
        <f>'Monthly Data'!EM1</f>
        <v>CovHDD20</v>
      </c>
      <c r="H1" s="760" t="str">
        <f>'Monthly Data'!ER1</f>
        <v>CovCDD16</v>
      </c>
      <c r="I1" s="760" t="str">
        <f>'Monthly Data'!EG1</f>
        <v>Shoulder</v>
      </c>
      <c r="J1" s="760" t="str">
        <f>'Monthly Data'!DQ1</f>
        <v>Month Days</v>
      </c>
      <c r="K1" s="760" t="str">
        <f>'Monthly Data'!EH1</f>
        <v>Trend</v>
      </c>
      <c r="L1" s="760"/>
      <c r="M1" s="760" t="str">
        <f>AA8</f>
        <v>const</v>
      </c>
      <c r="N1" s="760" t="str">
        <f>E1</f>
        <v>HDD20</v>
      </c>
      <c r="O1" s="760" t="str">
        <f t="shared" ref="O1:T1" si="0">F1</f>
        <v>CDD16</v>
      </c>
      <c r="P1" s="760" t="str">
        <f t="shared" si="0"/>
        <v>CovHDD20</v>
      </c>
      <c r="Q1" s="760" t="str">
        <f t="shared" si="0"/>
        <v>CovCDD16</v>
      </c>
      <c r="R1" s="760" t="str">
        <f t="shared" si="0"/>
        <v>Shoulder</v>
      </c>
      <c r="S1" s="760" t="str">
        <f t="shared" si="0"/>
        <v>Month Days</v>
      </c>
      <c r="T1" s="760" t="str">
        <f t="shared" si="0"/>
        <v>Trend</v>
      </c>
      <c r="U1" s="760" t="s">
        <v>439</v>
      </c>
      <c r="V1" s="760" t="s">
        <v>632</v>
      </c>
      <c r="W1" s="760" t="s">
        <v>347</v>
      </c>
      <c r="X1" s="760" t="s">
        <v>634</v>
      </c>
    </row>
    <row r="2" spans="1:31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Data'!I2</f>
        <v>89085710.173255071</v>
      </c>
      <c r="E2" s="98">
        <f ca="1">Weather!BG46</f>
        <v>759.33418478260865</v>
      </c>
      <c r="F2" s="98">
        <f ca="1">Weather!CJ46</f>
        <v>0</v>
      </c>
      <c r="G2" s="3">
        <f>'Monthly Data'!EM2</f>
        <v>0</v>
      </c>
      <c r="H2" s="3">
        <f>'Monthly Data'!ER2</f>
        <v>0</v>
      </c>
      <c r="I2" s="3">
        <f>'Monthly Data'!EG2</f>
        <v>0</v>
      </c>
      <c r="J2" s="3">
        <f>'Monthly Data'!DQ2</f>
        <v>31</v>
      </c>
      <c r="K2">
        <f>'Monthly Data'!EH2</f>
        <v>1</v>
      </c>
      <c r="M2" s="616">
        <f t="shared" ref="M2:M65" si="1">$AB$8</f>
        <v>-11000000</v>
      </c>
      <c r="N2" s="3">
        <f t="shared" ref="N2:N65" ca="1" si="2">E2*$AB$9</f>
        <v>35666579.686638042</v>
      </c>
      <c r="O2" s="3">
        <f t="shared" ref="O2:O65" ca="1" si="3">F2*$AB$10</f>
        <v>0</v>
      </c>
      <c r="P2" s="3">
        <f t="shared" ref="P2:P65" si="4">G2*$AB$11</f>
        <v>0</v>
      </c>
      <c r="Q2" s="3">
        <f t="shared" ref="Q2:Q65" si="5">H2*$AB$12</f>
        <v>0</v>
      </c>
      <c r="R2" s="3">
        <f t="shared" ref="R2:R65" si="6">I2*$AB$13</f>
        <v>0</v>
      </c>
      <c r="S2" s="3">
        <f t="shared" ref="S2:S65" si="7">J2*$AB$14</f>
        <v>60785761</v>
      </c>
      <c r="T2" s="3">
        <f t="shared" ref="T2:T65" si="8">K2*$AB$15</f>
        <v>133957.29999999999</v>
      </c>
      <c r="U2" s="47">
        <f t="shared" ref="U2:U54" ca="1" si="9">SUM(M2:T2)</f>
        <v>85586297.986638039</v>
      </c>
      <c r="V2" s="47">
        <f>'Monthly Data'!G2</f>
        <v>0</v>
      </c>
      <c r="W2" s="47">
        <f>+'Monthly Data'!H2</f>
        <v>0</v>
      </c>
      <c r="X2" s="47">
        <f t="shared" ref="X2:X54" ca="1" si="10">U2+V2+W2</f>
        <v>85586297.986638039</v>
      </c>
    </row>
    <row r="3" spans="1:31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Data'!I3</f>
        <v>83761157.109440491</v>
      </c>
      <c r="E3" s="98">
        <f ca="1">Weather!BG47</f>
        <v>680.85501811594202</v>
      </c>
      <c r="F3" s="98">
        <f ca="1">Weather!CJ47</f>
        <v>0</v>
      </c>
      <c r="G3" s="3">
        <f>'Monthly Data'!EM3</f>
        <v>0</v>
      </c>
      <c r="H3" s="3">
        <f>'Monthly Data'!ER3</f>
        <v>0</v>
      </c>
      <c r="I3" s="3">
        <f>'Monthly Data'!EG3</f>
        <v>0</v>
      </c>
      <c r="J3" s="3">
        <f>'Monthly Data'!DQ3</f>
        <v>28</v>
      </c>
      <c r="K3">
        <f>'Monthly Data'!EH3</f>
        <v>2</v>
      </c>
      <c r="M3" s="616">
        <f t="shared" si="1"/>
        <v>-11000000</v>
      </c>
      <c r="N3" s="3">
        <f t="shared" ca="1" si="2"/>
        <v>31980345.736221377</v>
      </c>
      <c r="O3" s="3">
        <f t="shared" ca="1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54903268</v>
      </c>
      <c r="T3" s="3">
        <f t="shared" si="8"/>
        <v>267914.59999999998</v>
      </c>
      <c r="U3" s="47">
        <f t="shared" ca="1" si="9"/>
        <v>76151528.336221367</v>
      </c>
      <c r="V3" s="47">
        <f>'Monthly Data'!G3</f>
        <v>0</v>
      </c>
      <c r="W3" s="47">
        <f>+'Monthly Data'!H3</f>
        <v>0</v>
      </c>
      <c r="X3" s="47">
        <f t="shared" ca="1" si="10"/>
        <v>76151528.336221367</v>
      </c>
      <c r="AA3" t="s">
        <v>542</v>
      </c>
    </row>
    <row r="4" spans="1:31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Data'!I4</f>
        <v>76997089.746835828</v>
      </c>
      <c r="E4" s="98">
        <f ca="1">Weather!BG48</f>
        <v>608.13298913043479</v>
      </c>
      <c r="F4" s="98">
        <f ca="1">Weather!CJ48</f>
        <v>0</v>
      </c>
      <c r="G4" s="3">
        <f>'Monthly Data'!EM4</f>
        <v>0</v>
      </c>
      <c r="H4" s="3">
        <f>'Monthly Data'!ER4</f>
        <v>0</v>
      </c>
      <c r="I4" s="3">
        <f>'Monthly Data'!EG4</f>
        <v>1</v>
      </c>
      <c r="J4" s="3">
        <f>'Monthly Data'!DQ4</f>
        <v>31</v>
      </c>
      <c r="K4">
        <f>'Monthly Data'!EH4</f>
        <v>3</v>
      </c>
      <c r="M4" s="616">
        <f t="shared" si="1"/>
        <v>-11000000</v>
      </c>
      <c r="N4" s="3">
        <f t="shared" ca="1" si="2"/>
        <v>28564529.493827175</v>
      </c>
      <c r="O4" s="3">
        <f t="shared" ca="1" si="3"/>
        <v>0</v>
      </c>
      <c r="P4" s="3">
        <f t="shared" si="4"/>
        <v>0</v>
      </c>
      <c r="Q4" s="3">
        <f t="shared" si="5"/>
        <v>0</v>
      </c>
      <c r="R4" s="3">
        <f t="shared" si="6"/>
        <v>-3105221</v>
      </c>
      <c r="S4" s="3">
        <f t="shared" si="7"/>
        <v>60785761</v>
      </c>
      <c r="T4" s="3">
        <f t="shared" si="8"/>
        <v>401871.89999999997</v>
      </c>
      <c r="U4" s="47">
        <f t="shared" ca="1" si="9"/>
        <v>75646941.393827185</v>
      </c>
      <c r="V4" s="47">
        <f>'Monthly Data'!G4</f>
        <v>0</v>
      </c>
      <c r="W4" s="47">
        <f>+'Monthly Data'!H4</f>
        <v>0</v>
      </c>
      <c r="X4" s="47">
        <f t="shared" ca="1" si="10"/>
        <v>75646941.393827185</v>
      </c>
      <c r="AA4" t="s">
        <v>636</v>
      </c>
    </row>
    <row r="5" spans="1:31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Data'!I5</f>
        <v>62629126.228042737</v>
      </c>
      <c r="E5" s="98">
        <f ca="1">Weather!BG49</f>
        <v>412.37941287878795</v>
      </c>
      <c r="F5" s="98">
        <f ca="1">Weather!CJ49</f>
        <v>0.4316666666666677</v>
      </c>
      <c r="G5" s="3">
        <f>'Monthly Data'!EM5</f>
        <v>0</v>
      </c>
      <c r="H5" s="3">
        <f>'Monthly Data'!ER5</f>
        <v>0</v>
      </c>
      <c r="I5" s="3">
        <f>'Monthly Data'!EG5</f>
        <v>1</v>
      </c>
      <c r="J5" s="3">
        <f>'Monthly Data'!DQ5</f>
        <v>30</v>
      </c>
      <c r="K5">
        <f>'Monthly Data'!EH5</f>
        <v>4</v>
      </c>
      <c r="M5" s="616">
        <f t="shared" si="1"/>
        <v>-11000000</v>
      </c>
      <c r="N5" s="3">
        <f t="shared" ca="1" si="2"/>
        <v>19369815.669211745</v>
      </c>
      <c r="O5" s="3">
        <f t="shared" ca="1" si="3"/>
        <v>118849.74733333361</v>
      </c>
      <c r="P5" s="3">
        <f t="shared" si="4"/>
        <v>0</v>
      </c>
      <c r="Q5" s="3">
        <f t="shared" si="5"/>
        <v>0</v>
      </c>
      <c r="R5" s="3">
        <f t="shared" si="6"/>
        <v>-3105221</v>
      </c>
      <c r="S5" s="3">
        <f t="shared" si="7"/>
        <v>58824930</v>
      </c>
      <c r="T5" s="3">
        <f t="shared" si="8"/>
        <v>535829.19999999995</v>
      </c>
      <c r="U5" s="47">
        <f t="shared" ca="1" si="9"/>
        <v>64744203.616545081</v>
      </c>
      <c r="V5" s="47">
        <f>'Monthly Data'!G5</f>
        <v>0</v>
      </c>
      <c r="W5" s="47">
        <f>+'Monthly Data'!H5</f>
        <v>0</v>
      </c>
      <c r="X5" s="47">
        <f t="shared" ca="1" si="10"/>
        <v>64744203.616545081</v>
      </c>
      <c r="AA5" t="s">
        <v>637</v>
      </c>
    </row>
    <row r="6" spans="1:31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Data'!I6</f>
        <v>60212975.927167453</v>
      </c>
      <c r="E6" s="98">
        <f ca="1">Weather!BG50</f>
        <v>202.70273119310133</v>
      </c>
      <c r="F6" s="98">
        <f ca="1">Weather!CJ50</f>
        <v>29.4520183982684</v>
      </c>
      <c r="G6" s="3">
        <f>'Monthly Data'!EM6</f>
        <v>0</v>
      </c>
      <c r="H6" s="3">
        <f>'Monthly Data'!ER6</f>
        <v>0</v>
      </c>
      <c r="I6" s="3">
        <f>'Monthly Data'!EG6</f>
        <v>1</v>
      </c>
      <c r="J6" s="3">
        <f>'Monthly Data'!DQ6</f>
        <v>31</v>
      </c>
      <c r="K6">
        <f>'Monthly Data'!EH6</f>
        <v>5</v>
      </c>
      <c r="M6" s="616">
        <f t="shared" si="1"/>
        <v>-11000000</v>
      </c>
      <c r="N6" s="3">
        <f t="shared" ca="1" si="2"/>
        <v>9521121.6084887963</v>
      </c>
      <c r="O6" s="3">
        <f t="shared" ca="1" si="3"/>
        <v>8108953.5407510819</v>
      </c>
      <c r="P6" s="3">
        <f t="shared" si="4"/>
        <v>0</v>
      </c>
      <c r="Q6" s="3">
        <f t="shared" si="5"/>
        <v>0</v>
      </c>
      <c r="R6" s="3">
        <f t="shared" si="6"/>
        <v>-3105221</v>
      </c>
      <c r="S6" s="3">
        <f t="shared" si="7"/>
        <v>60785761</v>
      </c>
      <c r="T6" s="3">
        <f t="shared" si="8"/>
        <v>669786.5</v>
      </c>
      <c r="U6" s="47">
        <f t="shared" ca="1" si="9"/>
        <v>64980401.649239875</v>
      </c>
      <c r="V6" s="47">
        <f>'Monthly Data'!G6</f>
        <v>0</v>
      </c>
      <c r="W6" s="47">
        <f>+'Monthly Data'!H6</f>
        <v>0</v>
      </c>
      <c r="X6" s="47">
        <f t="shared" ca="1" si="10"/>
        <v>64980401.649239875</v>
      </c>
    </row>
    <row r="7" spans="1:31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Data'!I7</f>
        <v>63337869.780153669</v>
      </c>
      <c r="E7" s="98">
        <f ca="1">Weather!BG51</f>
        <v>66.09717382617383</v>
      </c>
      <c r="F7" s="98">
        <f ca="1">Weather!CJ51</f>
        <v>86.311049595332207</v>
      </c>
      <c r="G7" s="3">
        <f>'Monthly Data'!EM7</f>
        <v>0</v>
      </c>
      <c r="H7" s="3">
        <f>'Monthly Data'!ER7</f>
        <v>0</v>
      </c>
      <c r="I7" s="3">
        <f>'Monthly Data'!EG7</f>
        <v>0</v>
      </c>
      <c r="J7" s="3">
        <f>'Monthly Data'!DQ7</f>
        <v>30</v>
      </c>
      <c r="K7">
        <f>'Monthly Data'!EH7</f>
        <v>6</v>
      </c>
      <c r="M7" s="616">
        <f t="shared" si="1"/>
        <v>-11000000</v>
      </c>
      <c r="N7" s="3">
        <f t="shared" ca="1" si="2"/>
        <v>3104641.0981848752</v>
      </c>
      <c r="O7" s="3">
        <f t="shared" ca="1" si="3"/>
        <v>23763814.138563786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58824930</v>
      </c>
      <c r="T7" s="3">
        <f t="shared" si="8"/>
        <v>803743.79999999993</v>
      </c>
      <c r="U7" s="47">
        <f t="shared" ca="1" si="9"/>
        <v>75497129.036748663</v>
      </c>
      <c r="V7" s="47">
        <f>'Monthly Data'!G7</f>
        <v>0</v>
      </c>
      <c r="W7" s="47">
        <f>+'Monthly Data'!H7</f>
        <v>0</v>
      </c>
      <c r="X7" s="47">
        <f t="shared" ca="1" si="10"/>
        <v>75497129.036748663</v>
      </c>
      <c r="AB7" t="s">
        <v>409</v>
      </c>
      <c r="AC7" t="s">
        <v>410</v>
      </c>
      <c r="AD7" t="s">
        <v>411</v>
      </c>
      <c r="AE7" t="s">
        <v>412</v>
      </c>
    </row>
    <row r="8" spans="1:31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Data'!I8</f>
        <v>85840421.551369086</v>
      </c>
      <c r="E8" s="98">
        <f ca="1">Weather!BG52</f>
        <v>10.249063146997932</v>
      </c>
      <c r="F8" s="98">
        <f ca="1">Weather!CJ52</f>
        <v>174.0219619206118</v>
      </c>
      <c r="G8" s="3">
        <f>'Monthly Data'!EM8</f>
        <v>0</v>
      </c>
      <c r="H8" s="3">
        <f>'Monthly Data'!ER8</f>
        <v>0</v>
      </c>
      <c r="I8" s="3">
        <f>'Monthly Data'!EG8</f>
        <v>0</v>
      </c>
      <c r="J8" s="3">
        <f>'Monthly Data'!DQ8</f>
        <v>31</v>
      </c>
      <c r="K8">
        <f>'Monthly Data'!EH8</f>
        <v>7</v>
      </c>
      <c r="M8" s="616">
        <f t="shared" si="1"/>
        <v>-11000000</v>
      </c>
      <c r="N8" s="3">
        <f t="shared" ca="1" si="2"/>
        <v>481407.31020879926</v>
      </c>
      <c r="O8" s="3">
        <f t="shared" ca="1" si="3"/>
        <v>47913049.12289343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60785761</v>
      </c>
      <c r="T8" s="3">
        <f t="shared" si="8"/>
        <v>937701.09999999986</v>
      </c>
      <c r="U8" s="47">
        <f t="shared" ca="1" si="9"/>
        <v>99117918.533102214</v>
      </c>
      <c r="V8" s="47">
        <f>'Monthly Data'!G8</f>
        <v>0</v>
      </c>
      <c r="W8" s="47">
        <f>+'Monthly Data'!H8</f>
        <v>0</v>
      </c>
      <c r="X8" s="47">
        <f t="shared" ca="1" si="10"/>
        <v>99117918.533102214</v>
      </c>
      <c r="AA8" t="s">
        <v>413</v>
      </c>
      <c r="AB8" s="616">
        <f>'VRZ Residential'!AC8</f>
        <v>-11000000</v>
      </c>
      <c r="AC8" s="3">
        <f>'VRZ Residential'!AD8</f>
        <v>5843237</v>
      </c>
      <c r="AD8" s="360">
        <f>'VRZ Residential'!AE8</f>
        <v>-1.89883</v>
      </c>
      <c r="AE8" s="370">
        <f>'VRZ Residential'!AF8</f>
        <v>6.0158999999999997E-2</v>
      </c>
    </row>
    <row r="9" spans="1:31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Data'!I9</f>
        <v>79382005.814455315</v>
      </c>
      <c r="E9" s="98">
        <f ca="1">Weather!BG53</f>
        <v>21.194927536231887</v>
      </c>
      <c r="F9" s="98">
        <f ca="1">Weather!CJ53</f>
        <v>149.7160046113307</v>
      </c>
      <c r="G9" s="3">
        <f>'Monthly Data'!EM9</f>
        <v>0</v>
      </c>
      <c r="H9" s="3">
        <f>'Monthly Data'!ER9</f>
        <v>0</v>
      </c>
      <c r="I9" s="3">
        <f>'Monthly Data'!EG9</f>
        <v>0</v>
      </c>
      <c r="J9" s="3">
        <f>'Monthly Data'!DQ9</f>
        <v>31</v>
      </c>
      <c r="K9">
        <f>'Monthly Data'!EH9</f>
        <v>8</v>
      </c>
      <c r="M9" s="616">
        <f t="shared" si="1"/>
        <v>-11000000</v>
      </c>
      <c r="N9" s="3">
        <f t="shared" ca="1" si="2"/>
        <v>995543.97401449294</v>
      </c>
      <c r="O9" s="3">
        <f t="shared" ca="1" si="3"/>
        <v>41220948.231226608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60785761</v>
      </c>
      <c r="T9" s="3">
        <f t="shared" si="8"/>
        <v>1071658.3999999999</v>
      </c>
      <c r="U9" s="47">
        <f t="shared" ca="1" si="9"/>
        <v>93073911.605241105</v>
      </c>
      <c r="V9" s="47">
        <f>'Monthly Data'!G9</f>
        <v>0</v>
      </c>
      <c r="W9" s="47">
        <f>+'Monthly Data'!H9</f>
        <v>0</v>
      </c>
      <c r="X9" s="47">
        <f t="shared" ca="1" si="10"/>
        <v>93073911.605241105</v>
      </c>
      <c r="AA9" t="s">
        <v>40</v>
      </c>
      <c r="AB9" s="3">
        <f>'VRZ Residential'!AC9</f>
        <v>46970.86</v>
      </c>
      <c r="AC9" s="3">
        <f>'VRZ Residential'!AD9</f>
        <v>1579.876</v>
      </c>
      <c r="AD9" s="360">
        <f>'VRZ Residential'!AE9</f>
        <v>29.730730000000001</v>
      </c>
      <c r="AE9" s="370">
        <f>'VRZ Residential'!AF9</f>
        <v>5.72E-55</v>
      </c>
    </row>
    <row r="10" spans="1:31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Data'!I10</f>
        <v>73737868.814600527</v>
      </c>
      <c r="E10" s="98">
        <f ca="1">Weather!BG54</f>
        <v>96.735690993788822</v>
      </c>
      <c r="F10" s="98">
        <f ca="1">Weather!CJ54</f>
        <v>62.345178571428576</v>
      </c>
      <c r="G10" s="3">
        <f>'Monthly Data'!EM10</f>
        <v>0</v>
      </c>
      <c r="H10" s="3">
        <f>'Monthly Data'!ER10</f>
        <v>0</v>
      </c>
      <c r="I10" s="3">
        <f>'Monthly Data'!EG10</f>
        <v>1</v>
      </c>
      <c r="J10" s="3">
        <f>'Monthly Data'!DQ10</f>
        <v>30</v>
      </c>
      <c r="K10">
        <f>'Monthly Data'!EH10</f>
        <v>9</v>
      </c>
      <c r="M10" s="616">
        <f t="shared" si="1"/>
        <v>-11000000</v>
      </c>
      <c r="N10" s="3">
        <f t="shared" ca="1" si="2"/>
        <v>4543758.5986725157</v>
      </c>
      <c r="O10" s="3">
        <f t="shared" ca="1" si="3"/>
        <v>17165348.387642857</v>
      </c>
      <c r="P10" s="3">
        <f t="shared" si="4"/>
        <v>0</v>
      </c>
      <c r="Q10" s="3">
        <f t="shared" si="5"/>
        <v>0</v>
      </c>
      <c r="R10" s="3">
        <f t="shared" si="6"/>
        <v>-3105221</v>
      </c>
      <c r="S10" s="3">
        <f t="shared" si="7"/>
        <v>58824930</v>
      </c>
      <c r="T10" s="3">
        <f t="shared" si="8"/>
        <v>1205615.7</v>
      </c>
      <c r="U10" s="47">
        <f t="shared" ca="1" si="9"/>
        <v>67634431.686315373</v>
      </c>
      <c r="V10" s="47">
        <f>'Monthly Data'!G10</f>
        <v>0</v>
      </c>
      <c r="W10" s="47">
        <f>+'Monthly Data'!H10</f>
        <v>0</v>
      </c>
      <c r="X10" s="47">
        <f t="shared" ca="1" si="10"/>
        <v>67634431.686315373</v>
      </c>
      <c r="AA10" t="s">
        <v>45</v>
      </c>
      <c r="AB10" s="3">
        <f>'VRZ Residential'!AC10</f>
        <v>275327.59999999998</v>
      </c>
      <c r="AC10" s="3">
        <f>'VRZ Residential'!AD10</f>
        <v>7403.8059999999996</v>
      </c>
      <c r="AD10" s="360">
        <f>'VRZ Residential'!AE10</f>
        <v>37.187309999999997</v>
      </c>
      <c r="AE10" s="370">
        <f>'VRZ Residential'!AF10</f>
        <v>7.4300000000000004E-65</v>
      </c>
    </row>
    <row r="11" spans="1:31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Data'!I11</f>
        <v>62701818.978226148</v>
      </c>
      <c r="E11" s="98">
        <f ca="1">Weather!BG55</f>
        <v>298.21097826086958</v>
      </c>
      <c r="F11" s="98">
        <f ca="1">Weather!CJ55</f>
        <v>7.1541666666666703</v>
      </c>
      <c r="G11" s="3">
        <f>'Monthly Data'!EM11</f>
        <v>0</v>
      </c>
      <c r="H11" s="3">
        <f>'Monthly Data'!ER11</f>
        <v>0</v>
      </c>
      <c r="I11" s="3">
        <f>'Monthly Data'!EG11</f>
        <v>1</v>
      </c>
      <c r="J11" s="3">
        <f>'Monthly Data'!DQ11</f>
        <v>31</v>
      </c>
      <c r="K11">
        <f>'Monthly Data'!EH11</f>
        <v>10</v>
      </c>
      <c r="M11" s="616">
        <f t="shared" si="1"/>
        <v>-11000000</v>
      </c>
      <c r="N11" s="3">
        <f t="shared" ca="1" si="2"/>
        <v>14007226.110354349</v>
      </c>
      <c r="O11" s="3">
        <f t="shared" ca="1" si="3"/>
        <v>1969739.5383333343</v>
      </c>
      <c r="P11" s="3">
        <f t="shared" si="4"/>
        <v>0</v>
      </c>
      <c r="Q11" s="3">
        <f t="shared" si="5"/>
        <v>0</v>
      </c>
      <c r="R11" s="3">
        <f t="shared" si="6"/>
        <v>-3105221</v>
      </c>
      <c r="S11" s="3">
        <f t="shared" si="7"/>
        <v>60785761</v>
      </c>
      <c r="T11" s="3">
        <f t="shared" si="8"/>
        <v>1339573</v>
      </c>
      <c r="U11" s="47">
        <f t="shared" ca="1" si="9"/>
        <v>63997078.648687683</v>
      </c>
      <c r="V11" s="47">
        <f>'Monthly Data'!G11</f>
        <v>0</v>
      </c>
      <c r="W11" s="47">
        <f>+'Monthly Data'!H11</f>
        <v>0</v>
      </c>
      <c r="X11" s="47">
        <f t="shared" ca="1" si="10"/>
        <v>63997078.648687683</v>
      </c>
      <c r="AA11" t="s">
        <v>216</v>
      </c>
      <c r="AB11" s="3">
        <f>'VRZ Residential'!AC11</f>
        <v>8276.8109999999997</v>
      </c>
      <c r="AC11" s="3">
        <f>'VRZ Residential'!AD11</f>
        <v>3288.2939999999999</v>
      </c>
      <c r="AD11" s="360">
        <f>'VRZ Residential'!AE11</f>
        <v>2.5170530000000002</v>
      </c>
      <c r="AE11" s="370">
        <f>'VRZ Residential'!AF11</f>
        <v>1.3249E-2</v>
      </c>
    </row>
    <row r="12" spans="1:31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Data'!I12</f>
        <v>65118517.23753316</v>
      </c>
      <c r="E12" s="98">
        <f ca="1">Weather!BG56</f>
        <v>486.62991389045737</v>
      </c>
      <c r="F12" s="98">
        <f ca="1">Weather!CJ56</f>
        <v>0.15041666666666628</v>
      </c>
      <c r="G12" s="3">
        <f>'Monthly Data'!EM12</f>
        <v>0</v>
      </c>
      <c r="H12" s="3">
        <f>'Monthly Data'!ER12</f>
        <v>0</v>
      </c>
      <c r="I12" s="3">
        <f>'Monthly Data'!EG12</f>
        <v>1</v>
      </c>
      <c r="J12" s="3">
        <f>'Monthly Data'!DQ12</f>
        <v>30</v>
      </c>
      <c r="K12">
        <f>'Monthly Data'!EH12</f>
        <v>11</v>
      </c>
      <c r="M12" s="616">
        <f t="shared" si="1"/>
        <v>-11000000</v>
      </c>
      <c r="N12" s="3">
        <f t="shared" ca="1" si="2"/>
        <v>22857425.557160728</v>
      </c>
      <c r="O12" s="3">
        <f t="shared" ca="1" si="3"/>
        <v>41413.859833333227</v>
      </c>
      <c r="P12" s="3">
        <f t="shared" si="4"/>
        <v>0</v>
      </c>
      <c r="Q12" s="3">
        <f t="shared" si="5"/>
        <v>0</v>
      </c>
      <c r="R12" s="3">
        <f t="shared" si="6"/>
        <v>-3105221</v>
      </c>
      <c r="S12" s="3">
        <f t="shared" si="7"/>
        <v>58824930</v>
      </c>
      <c r="T12" s="3">
        <f t="shared" si="8"/>
        <v>1473530.2999999998</v>
      </c>
      <c r="U12" s="47">
        <f t="shared" ca="1" si="9"/>
        <v>69092078.716994062</v>
      </c>
      <c r="V12" s="47">
        <f>'Monthly Data'!G12</f>
        <v>0</v>
      </c>
      <c r="W12" s="47">
        <f>+'Monthly Data'!H12</f>
        <v>0</v>
      </c>
      <c r="X12" s="47">
        <f t="shared" ca="1" si="10"/>
        <v>69092078.716994062</v>
      </c>
      <c r="AA12" t="s">
        <v>399</v>
      </c>
      <c r="AB12" s="3">
        <f>'VRZ Residential'!AC12</f>
        <v>41146.019999999997</v>
      </c>
      <c r="AC12" s="3">
        <f>'VRZ Residential'!AD12</f>
        <v>16483.740000000002</v>
      </c>
      <c r="AD12" s="360">
        <f>'VRZ Residential'!AE12</f>
        <v>2.4961579999999999</v>
      </c>
      <c r="AE12" s="370">
        <f>'VRZ Residential'!AF12</f>
        <v>1.4010999999999999E-2</v>
      </c>
    </row>
    <row r="13" spans="1:31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Data'!I13</f>
        <v>75289570.107017979</v>
      </c>
      <c r="E13" s="98">
        <f ca="1">Weather!BG57</f>
        <v>639.92800724637686</v>
      </c>
      <c r="F13" s="98">
        <f ca="1">Weather!CJ57</f>
        <v>0</v>
      </c>
      <c r="G13" s="3">
        <f>'Monthly Data'!EM13</f>
        <v>0</v>
      </c>
      <c r="H13" s="3">
        <f>'Monthly Data'!ER13</f>
        <v>0</v>
      </c>
      <c r="I13" s="3">
        <f>'Monthly Data'!EG13</f>
        <v>0</v>
      </c>
      <c r="J13" s="3">
        <f>'Monthly Data'!DQ13</f>
        <v>31</v>
      </c>
      <c r="K13">
        <f>'Monthly Data'!EH13</f>
        <v>12</v>
      </c>
      <c r="M13" s="616">
        <f t="shared" si="1"/>
        <v>-11000000</v>
      </c>
      <c r="N13" s="3">
        <f t="shared" ca="1" si="2"/>
        <v>30057968.838448554</v>
      </c>
      <c r="O13" s="3">
        <f t="shared" ca="1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60785761</v>
      </c>
      <c r="T13" s="3">
        <f t="shared" si="8"/>
        <v>1607487.5999999999</v>
      </c>
      <c r="U13" s="47">
        <f t="shared" ca="1" si="9"/>
        <v>81451217.438448548</v>
      </c>
      <c r="V13" s="47">
        <f>'Monthly Data'!G13</f>
        <v>0</v>
      </c>
      <c r="W13" s="47">
        <f>+'Monthly Data'!H13</f>
        <v>0</v>
      </c>
      <c r="X13" s="47">
        <f t="shared" ca="1" si="10"/>
        <v>81451217.438448548</v>
      </c>
      <c r="AA13" t="s">
        <v>118</v>
      </c>
      <c r="AB13" s="3">
        <f>'VRZ Residential'!AC13</f>
        <v>-3105221</v>
      </c>
      <c r="AC13" s="3">
        <f>'VRZ Residential'!AD13</f>
        <v>507335.5</v>
      </c>
      <c r="AD13" s="360">
        <f>'VRZ Residential'!AE13</f>
        <v>-6.1206500000000004</v>
      </c>
      <c r="AE13" s="370">
        <f>'VRZ Residential'!AF13</f>
        <v>1.4100000000000001E-8</v>
      </c>
    </row>
    <row r="14" spans="1:31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Data'!I14</f>
        <v>89442152.753839836</v>
      </c>
      <c r="E14" s="3">
        <f ca="1">E2</f>
        <v>759.33418478260865</v>
      </c>
      <c r="F14" s="3">
        <f ca="1">F2</f>
        <v>0</v>
      </c>
      <c r="G14" s="3">
        <f>'Monthly Data'!EM14</f>
        <v>0</v>
      </c>
      <c r="H14" s="3">
        <f>'Monthly Data'!ER14</f>
        <v>0</v>
      </c>
      <c r="I14" s="3">
        <f>'Monthly Data'!EG14</f>
        <v>0</v>
      </c>
      <c r="J14" s="3">
        <f>'Monthly Data'!DQ14</f>
        <v>31</v>
      </c>
      <c r="K14">
        <f>'Monthly Data'!EH14</f>
        <v>13</v>
      </c>
      <c r="M14" s="616">
        <f t="shared" si="1"/>
        <v>-11000000</v>
      </c>
      <c r="N14" s="3">
        <f t="shared" ca="1" si="2"/>
        <v>35666579.686638042</v>
      </c>
      <c r="O14" s="3">
        <f t="shared" ca="1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60785761</v>
      </c>
      <c r="T14" s="3">
        <f t="shared" si="8"/>
        <v>1741444.9</v>
      </c>
      <c r="U14" s="47">
        <f t="shared" ca="1" si="9"/>
        <v>87193785.586638048</v>
      </c>
      <c r="V14" s="47">
        <f>'Monthly Data'!G14</f>
        <v>0</v>
      </c>
      <c r="W14" s="47">
        <f>+'Monthly Data'!H14</f>
        <v>0</v>
      </c>
      <c r="X14" s="47">
        <f t="shared" ca="1" si="10"/>
        <v>87193785.586638048</v>
      </c>
      <c r="AA14" t="s">
        <v>414</v>
      </c>
      <c r="AB14" s="3">
        <f>'VRZ Residential'!AC14</f>
        <v>1960831</v>
      </c>
      <c r="AC14" s="3">
        <f>'VRZ Residential'!AD14</f>
        <v>197275.9</v>
      </c>
      <c r="AD14" s="360">
        <f>'VRZ Residential'!AE14</f>
        <v>9.9395380000000007</v>
      </c>
      <c r="AE14" s="370">
        <f>'VRZ Residential'!AF14</f>
        <v>4.5400000000000002E-17</v>
      </c>
    </row>
    <row r="15" spans="1:31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Data'!I15</f>
        <v>81059215.66888456</v>
      </c>
      <c r="E15" s="3">
        <f t="shared" ref="E15:F15" ca="1" si="11">E3</f>
        <v>680.85501811594202</v>
      </c>
      <c r="F15" s="3">
        <f t="shared" ca="1" si="11"/>
        <v>0</v>
      </c>
      <c r="G15" s="3">
        <f>'Monthly Data'!EM15</f>
        <v>0</v>
      </c>
      <c r="H15" s="3">
        <f>'Monthly Data'!ER15</f>
        <v>0</v>
      </c>
      <c r="I15" s="3">
        <f>'Monthly Data'!EG15</f>
        <v>0</v>
      </c>
      <c r="J15" s="3">
        <f>'Monthly Data'!DQ15</f>
        <v>29</v>
      </c>
      <c r="K15">
        <f>'Monthly Data'!EH15</f>
        <v>14</v>
      </c>
      <c r="M15" s="616">
        <f t="shared" si="1"/>
        <v>-11000000</v>
      </c>
      <c r="N15" s="3">
        <f t="shared" ca="1" si="2"/>
        <v>31980345.736221377</v>
      </c>
      <c r="O15" s="3">
        <f t="shared" ca="1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56864099</v>
      </c>
      <c r="T15" s="3">
        <f t="shared" si="8"/>
        <v>1875402.1999999997</v>
      </c>
      <c r="U15" s="47">
        <f t="shared" ca="1" si="9"/>
        <v>79719846.936221376</v>
      </c>
      <c r="V15" s="47">
        <f>'Monthly Data'!G15</f>
        <v>0</v>
      </c>
      <c r="W15" s="47">
        <f>+'Monthly Data'!H15</f>
        <v>0</v>
      </c>
      <c r="X15" s="47">
        <f t="shared" ca="1" si="10"/>
        <v>79719846.936221376</v>
      </c>
      <c r="AA15" t="s">
        <v>119</v>
      </c>
      <c r="AB15" s="3">
        <f>'VRZ Residential'!AC15</f>
        <v>133957.29999999999</v>
      </c>
      <c r="AC15" s="3">
        <f>'VRZ Residential'!AD15</f>
        <v>10143.91</v>
      </c>
      <c r="AD15" s="360">
        <f>'VRZ Residential'!AE15</f>
        <v>13.205690000000001</v>
      </c>
      <c r="AE15" s="370">
        <f>'VRZ Residential'!AF15</f>
        <v>1.41E-24</v>
      </c>
    </row>
    <row r="16" spans="1:31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Data'!I16</f>
        <v>77482986.059256971</v>
      </c>
      <c r="E16" s="3">
        <f t="shared" ref="E16:F16" ca="1" si="12">E4</f>
        <v>608.13298913043479</v>
      </c>
      <c r="F16" s="3">
        <f t="shared" ca="1" si="12"/>
        <v>0</v>
      </c>
      <c r="G16" s="3">
        <f>'Monthly Data'!EM16</f>
        <v>0</v>
      </c>
      <c r="H16" s="3">
        <f>'Monthly Data'!ER16</f>
        <v>0</v>
      </c>
      <c r="I16" s="3">
        <f>'Monthly Data'!EG16</f>
        <v>1</v>
      </c>
      <c r="J16" s="3">
        <f>'Monthly Data'!DQ16</f>
        <v>31</v>
      </c>
      <c r="K16">
        <f>'Monthly Data'!EH16</f>
        <v>15</v>
      </c>
      <c r="M16" s="616">
        <f t="shared" si="1"/>
        <v>-11000000</v>
      </c>
      <c r="N16" s="3">
        <f t="shared" ca="1" si="2"/>
        <v>28564529.493827175</v>
      </c>
      <c r="O16" s="3">
        <f t="shared" ca="1" si="3"/>
        <v>0</v>
      </c>
      <c r="P16" s="3">
        <f t="shared" si="4"/>
        <v>0</v>
      </c>
      <c r="Q16" s="3">
        <f t="shared" si="5"/>
        <v>0</v>
      </c>
      <c r="R16" s="3">
        <f t="shared" si="6"/>
        <v>-3105221</v>
      </c>
      <c r="S16" s="3">
        <f t="shared" si="7"/>
        <v>60785761</v>
      </c>
      <c r="T16" s="3">
        <f t="shared" si="8"/>
        <v>2009359.4999999998</v>
      </c>
      <c r="U16" s="47">
        <f t="shared" ca="1" si="9"/>
        <v>77254428.993827179</v>
      </c>
      <c r="V16" s="47">
        <f>'Monthly Data'!G16</f>
        <v>0</v>
      </c>
      <c r="W16" s="47">
        <f>+'Monthly Data'!H16</f>
        <v>0</v>
      </c>
      <c r="X16" s="47">
        <f t="shared" ca="1" si="10"/>
        <v>77254428.993827179</v>
      </c>
    </row>
    <row r="17" spans="1:30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Data'!I17</f>
        <v>68514282.597392097</v>
      </c>
      <c r="E17" s="3">
        <f t="shared" ref="E17:F17" ca="1" si="13">E5</f>
        <v>412.37941287878795</v>
      </c>
      <c r="F17" s="3">
        <f t="shared" ca="1" si="13"/>
        <v>0.4316666666666677</v>
      </c>
      <c r="G17" s="3">
        <f>'Monthly Data'!EM17</f>
        <v>0</v>
      </c>
      <c r="H17" s="3">
        <f>'Monthly Data'!ER17</f>
        <v>0</v>
      </c>
      <c r="I17" s="3">
        <f>'Monthly Data'!EG17</f>
        <v>1</v>
      </c>
      <c r="J17" s="3">
        <f>'Monthly Data'!DQ17</f>
        <v>30</v>
      </c>
      <c r="K17">
        <f>'Monthly Data'!EH17</f>
        <v>16</v>
      </c>
      <c r="M17" s="616">
        <f t="shared" si="1"/>
        <v>-11000000</v>
      </c>
      <c r="N17" s="3">
        <f t="shared" ca="1" si="2"/>
        <v>19369815.669211745</v>
      </c>
      <c r="O17" s="3">
        <f t="shared" ca="1" si="3"/>
        <v>118849.74733333361</v>
      </c>
      <c r="P17" s="3">
        <f t="shared" si="4"/>
        <v>0</v>
      </c>
      <c r="Q17" s="3">
        <f t="shared" si="5"/>
        <v>0</v>
      </c>
      <c r="R17" s="3">
        <f t="shared" si="6"/>
        <v>-3105221</v>
      </c>
      <c r="S17" s="3">
        <f t="shared" si="7"/>
        <v>58824930</v>
      </c>
      <c r="T17" s="3">
        <f t="shared" si="8"/>
        <v>2143316.7999999998</v>
      </c>
      <c r="U17" s="47">
        <f t="shared" ca="1" si="9"/>
        <v>66351691.216545075</v>
      </c>
      <c r="V17" s="47">
        <f>'Monthly Data'!G17</f>
        <v>0</v>
      </c>
      <c r="W17" s="47">
        <f>+'Monthly Data'!H17</f>
        <v>0</v>
      </c>
      <c r="X17" s="47">
        <f t="shared" ca="1" si="10"/>
        <v>66351691.216545075</v>
      </c>
      <c r="AA17" t="s">
        <v>407</v>
      </c>
    </row>
    <row r="18" spans="1:30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Data'!I18</f>
        <v>68269965.69856523</v>
      </c>
      <c r="E18" s="3">
        <f t="shared" ref="E18:F18" ca="1" si="14">E6</f>
        <v>202.70273119310133</v>
      </c>
      <c r="F18" s="3">
        <f t="shared" ca="1" si="14"/>
        <v>29.4520183982684</v>
      </c>
      <c r="G18" s="3">
        <f>'Monthly Data'!EM18</f>
        <v>0</v>
      </c>
      <c r="H18" s="3">
        <f>'Monthly Data'!ER18</f>
        <v>0</v>
      </c>
      <c r="I18" s="3">
        <f>'Monthly Data'!EG18</f>
        <v>1</v>
      </c>
      <c r="J18" s="3">
        <f>'Monthly Data'!DQ18</f>
        <v>31</v>
      </c>
      <c r="K18">
        <f>'Monthly Data'!EH18</f>
        <v>17</v>
      </c>
      <c r="M18" s="616">
        <f t="shared" si="1"/>
        <v>-11000000</v>
      </c>
      <c r="N18" s="3">
        <f t="shared" ca="1" si="2"/>
        <v>9521121.6084887963</v>
      </c>
      <c r="O18" s="3">
        <f t="shared" ca="1" si="3"/>
        <v>8108953.5407510819</v>
      </c>
      <c r="P18" s="3">
        <f t="shared" si="4"/>
        <v>0</v>
      </c>
      <c r="Q18" s="3">
        <f t="shared" si="5"/>
        <v>0</v>
      </c>
      <c r="R18" s="3">
        <f t="shared" si="6"/>
        <v>-3105221</v>
      </c>
      <c r="S18" s="3">
        <f t="shared" si="7"/>
        <v>60785761</v>
      </c>
      <c r="T18" s="3">
        <f t="shared" si="8"/>
        <v>2277274.0999999996</v>
      </c>
      <c r="U18" s="47">
        <f t="shared" ca="1" si="9"/>
        <v>66587889.249239877</v>
      </c>
      <c r="V18" s="47">
        <f>'Monthly Data'!G18</f>
        <v>0</v>
      </c>
      <c r="W18" s="47">
        <f>+'Monthly Data'!H18</f>
        <v>0</v>
      </c>
      <c r="X18" s="47">
        <f t="shared" ca="1" si="10"/>
        <v>66587889.249239877</v>
      </c>
      <c r="AA18" t="s">
        <v>415</v>
      </c>
      <c r="AB18">
        <v>529226868330752</v>
      </c>
      <c r="AC18" t="s">
        <v>416</v>
      </c>
      <c r="AD18" s="3">
        <v>2173761.69250686</v>
      </c>
    </row>
    <row r="19" spans="1:30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Data'!I19</f>
        <v>78208721.173178941</v>
      </c>
      <c r="E19" s="3">
        <f t="shared" ref="E19:F19" ca="1" si="15">E7</f>
        <v>66.09717382617383</v>
      </c>
      <c r="F19" s="3">
        <f t="shared" ca="1" si="15"/>
        <v>86.311049595332207</v>
      </c>
      <c r="G19" s="3">
        <f>'Monthly Data'!EM19</f>
        <v>0</v>
      </c>
      <c r="H19" s="3">
        <f>'Monthly Data'!ER19</f>
        <v>0</v>
      </c>
      <c r="I19" s="3">
        <f>'Monthly Data'!EG19</f>
        <v>0</v>
      </c>
      <c r="J19" s="3">
        <f>'Monthly Data'!DQ19</f>
        <v>30</v>
      </c>
      <c r="K19">
        <f>'Monthly Data'!EH19</f>
        <v>18</v>
      </c>
      <c r="M19" s="616">
        <f t="shared" si="1"/>
        <v>-11000000</v>
      </c>
      <c r="N19" s="3">
        <f t="shared" ca="1" si="2"/>
        <v>3104641.0981848752</v>
      </c>
      <c r="O19" s="3">
        <f t="shared" ca="1" si="3"/>
        <v>23763814.138563786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58824930</v>
      </c>
      <c r="T19" s="3">
        <f t="shared" si="8"/>
        <v>2411231.4</v>
      </c>
      <c r="U19" s="47">
        <f t="shared" ca="1" si="9"/>
        <v>77104616.636748672</v>
      </c>
      <c r="V19" s="47">
        <f>'Monthly Data'!G19</f>
        <v>0</v>
      </c>
      <c r="W19" s="47">
        <f>+'Monthly Data'!H19</f>
        <v>0</v>
      </c>
      <c r="X19" s="47">
        <f t="shared" ca="1" si="10"/>
        <v>77104616.636748672</v>
      </c>
      <c r="AA19" t="s">
        <v>417</v>
      </c>
      <c r="AB19" s="107">
        <v>0.97634238082814295</v>
      </c>
      <c r="AC19" t="s">
        <v>418</v>
      </c>
      <c r="AD19" s="107">
        <v>0.97486377962990201</v>
      </c>
    </row>
    <row r="20" spans="1:30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Data'!I20</f>
        <v>102570182.69668086</v>
      </c>
      <c r="E20" s="3">
        <f t="shared" ref="E20:F20" ca="1" si="16">E8</f>
        <v>10.249063146997932</v>
      </c>
      <c r="F20" s="3">
        <f t="shared" ca="1" si="16"/>
        <v>174.0219619206118</v>
      </c>
      <c r="G20" s="3">
        <f>'Monthly Data'!EM20</f>
        <v>0</v>
      </c>
      <c r="H20" s="3">
        <f>'Monthly Data'!ER20</f>
        <v>0</v>
      </c>
      <c r="I20" s="3">
        <f>'Monthly Data'!EG20</f>
        <v>0</v>
      </c>
      <c r="J20" s="3">
        <f>'Monthly Data'!DQ20</f>
        <v>31</v>
      </c>
      <c r="K20">
        <f>'Monthly Data'!EH20</f>
        <v>19</v>
      </c>
      <c r="M20" s="616">
        <f t="shared" si="1"/>
        <v>-11000000</v>
      </c>
      <c r="N20" s="3">
        <f t="shared" ca="1" si="2"/>
        <v>481407.31020879926</v>
      </c>
      <c r="O20" s="3">
        <f t="shared" ca="1" si="3"/>
        <v>47913049.12289343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60785761</v>
      </c>
      <c r="T20" s="3">
        <f t="shared" si="8"/>
        <v>2545188.6999999997</v>
      </c>
      <c r="U20" s="47">
        <f t="shared" ca="1" si="9"/>
        <v>100725406.13310222</v>
      </c>
      <c r="V20" s="47">
        <f>'Monthly Data'!G20</f>
        <v>0</v>
      </c>
      <c r="W20" s="47">
        <f>+'Monthly Data'!H20</f>
        <v>0</v>
      </c>
      <c r="X20" s="47">
        <f t="shared" ca="1" si="10"/>
        <v>100725406.13310222</v>
      </c>
      <c r="AA20" t="s">
        <v>543</v>
      </c>
      <c r="AB20" s="360">
        <v>541.34591073777005</v>
      </c>
      <c r="AC20" t="s">
        <v>419</v>
      </c>
      <c r="AD20" s="107">
        <v>3.15427719079808E-83</v>
      </c>
    </row>
    <row r="21" spans="1:30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Data'!I21</f>
        <v>109059318.26472567</v>
      </c>
      <c r="E21" s="3">
        <f t="shared" ref="E21:F21" ca="1" si="17">E9</f>
        <v>21.194927536231887</v>
      </c>
      <c r="F21" s="3">
        <f t="shared" ca="1" si="17"/>
        <v>149.7160046113307</v>
      </c>
      <c r="G21" s="3">
        <f>'Monthly Data'!EM21</f>
        <v>0</v>
      </c>
      <c r="H21" s="3">
        <f>'Monthly Data'!ER21</f>
        <v>0</v>
      </c>
      <c r="I21" s="3">
        <f>'Monthly Data'!EG21</f>
        <v>0</v>
      </c>
      <c r="J21" s="3">
        <f>'Monthly Data'!DQ21</f>
        <v>31</v>
      </c>
      <c r="K21">
        <f>'Monthly Data'!EH21</f>
        <v>20</v>
      </c>
      <c r="M21" s="616">
        <f t="shared" si="1"/>
        <v>-11000000</v>
      </c>
      <c r="N21" s="3">
        <f t="shared" ca="1" si="2"/>
        <v>995543.97401449294</v>
      </c>
      <c r="O21" s="3">
        <f t="shared" ca="1" si="3"/>
        <v>41220948.231226608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60785761</v>
      </c>
      <c r="T21" s="3">
        <f t="shared" si="8"/>
        <v>2679146</v>
      </c>
      <c r="U21" s="47">
        <f t="shared" ca="1" si="9"/>
        <v>94681399.205241099</v>
      </c>
      <c r="V21" s="47">
        <f>'Monthly Data'!G21</f>
        <v>0</v>
      </c>
      <c r="W21" s="47">
        <f>+'Monthly Data'!H21</f>
        <v>0</v>
      </c>
      <c r="X21" s="47">
        <f t="shared" ca="1" si="10"/>
        <v>94681399.205241099</v>
      </c>
      <c r="AA21" t="s">
        <v>420</v>
      </c>
      <c r="AB21" s="107">
        <v>-1.50701472261247E-2</v>
      </c>
      <c r="AC21" t="s">
        <v>421</v>
      </c>
      <c r="AD21" s="107">
        <v>2.0249920169723201</v>
      </c>
    </row>
    <row r="22" spans="1:30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Data'!I22</f>
        <v>76313540.785070717</v>
      </c>
      <c r="E22" s="3">
        <f t="shared" ref="E22:F22" ca="1" si="18">E10</f>
        <v>96.735690993788822</v>
      </c>
      <c r="F22" s="3">
        <f t="shared" ca="1" si="18"/>
        <v>62.345178571428576</v>
      </c>
      <c r="G22" s="3">
        <f>'Monthly Data'!EM22</f>
        <v>0</v>
      </c>
      <c r="H22" s="3">
        <f>'Monthly Data'!ER22</f>
        <v>0</v>
      </c>
      <c r="I22" s="3">
        <f>'Monthly Data'!EG22</f>
        <v>1</v>
      </c>
      <c r="J22" s="3">
        <f>'Monthly Data'!DQ22</f>
        <v>30</v>
      </c>
      <c r="K22">
        <f>'Monthly Data'!EH22</f>
        <v>21</v>
      </c>
      <c r="M22" s="616">
        <f t="shared" si="1"/>
        <v>-11000000</v>
      </c>
      <c r="N22" s="3">
        <f t="shared" ca="1" si="2"/>
        <v>4543758.5986725157</v>
      </c>
      <c r="O22" s="3">
        <f t="shared" ca="1" si="3"/>
        <v>17165348.387642857</v>
      </c>
      <c r="P22" s="3">
        <f t="shared" si="4"/>
        <v>0</v>
      </c>
      <c r="Q22" s="3">
        <f t="shared" si="5"/>
        <v>0</v>
      </c>
      <c r="R22" s="3">
        <f t="shared" si="6"/>
        <v>-3105221</v>
      </c>
      <c r="S22" s="3">
        <f t="shared" si="7"/>
        <v>58824930</v>
      </c>
      <c r="T22" s="3">
        <f t="shared" si="8"/>
        <v>2813103.3</v>
      </c>
      <c r="U22" s="47">
        <f t="shared" ca="1" si="9"/>
        <v>69241919.286315367</v>
      </c>
      <c r="V22" s="47">
        <f>'Monthly Data'!G22</f>
        <v>0</v>
      </c>
      <c r="W22" s="47">
        <f>+'Monthly Data'!H22</f>
        <v>0</v>
      </c>
      <c r="X22" s="47">
        <f t="shared" ca="1" si="10"/>
        <v>69241919.286315367</v>
      </c>
    </row>
    <row r="23" spans="1:30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Data'!I23</f>
        <v>66405514.986074924</v>
      </c>
      <c r="E23" s="3">
        <f t="shared" ref="E23:F23" ca="1" si="19">E11</f>
        <v>298.21097826086958</v>
      </c>
      <c r="F23" s="3">
        <f t="shared" ca="1" si="19"/>
        <v>7.1541666666666703</v>
      </c>
      <c r="G23" s="3">
        <f>'Monthly Data'!EM23</f>
        <v>0</v>
      </c>
      <c r="H23" s="3">
        <f>'Monthly Data'!ER23</f>
        <v>0</v>
      </c>
      <c r="I23" s="3">
        <f>'Monthly Data'!EG23</f>
        <v>1</v>
      </c>
      <c r="J23" s="3">
        <f>'Monthly Data'!DQ23</f>
        <v>31</v>
      </c>
      <c r="K23">
        <f>'Monthly Data'!EH23</f>
        <v>22</v>
      </c>
      <c r="M23" s="616">
        <f t="shared" si="1"/>
        <v>-11000000</v>
      </c>
      <c r="N23" s="3">
        <f t="shared" ca="1" si="2"/>
        <v>14007226.110354349</v>
      </c>
      <c r="O23" s="3">
        <f t="shared" ca="1" si="3"/>
        <v>1969739.5383333343</v>
      </c>
      <c r="P23" s="3">
        <f t="shared" si="4"/>
        <v>0</v>
      </c>
      <c r="Q23" s="3">
        <f t="shared" si="5"/>
        <v>0</v>
      </c>
      <c r="R23" s="3">
        <f t="shared" si="6"/>
        <v>-3105221</v>
      </c>
      <c r="S23" s="3">
        <f t="shared" si="7"/>
        <v>60785761</v>
      </c>
      <c r="T23" s="3">
        <f t="shared" si="8"/>
        <v>2947060.5999999996</v>
      </c>
      <c r="U23" s="47">
        <f t="shared" ca="1" si="9"/>
        <v>65604566.248687685</v>
      </c>
      <c r="V23" s="47">
        <f>'Monthly Data'!G23</f>
        <v>0</v>
      </c>
      <c r="W23" s="47">
        <f>+'Monthly Data'!H23</f>
        <v>0</v>
      </c>
      <c r="X23" s="47">
        <f t="shared" ca="1" si="10"/>
        <v>65604566.248687685</v>
      </c>
      <c r="AA23" t="s">
        <v>408</v>
      </c>
    </row>
    <row r="24" spans="1:30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Data'!I24</f>
        <v>69398951.33887735</v>
      </c>
      <c r="E24" s="3">
        <f t="shared" ref="E24:F24" ca="1" si="20">E12</f>
        <v>486.62991389045737</v>
      </c>
      <c r="F24" s="3">
        <f t="shared" ca="1" si="20"/>
        <v>0.15041666666666628</v>
      </c>
      <c r="G24" s="3">
        <f>'Monthly Data'!EM24</f>
        <v>0</v>
      </c>
      <c r="H24" s="3">
        <f>'Monthly Data'!ER24</f>
        <v>0</v>
      </c>
      <c r="I24" s="3">
        <f>'Monthly Data'!EG24</f>
        <v>1</v>
      </c>
      <c r="J24" s="3">
        <f>'Monthly Data'!DQ24</f>
        <v>30</v>
      </c>
      <c r="K24">
        <f>'Monthly Data'!EH24</f>
        <v>23</v>
      </c>
      <c r="M24" s="616">
        <f t="shared" si="1"/>
        <v>-11000000</v>
      </c>
      <c r="N24" s="3">
        <f t="shared" ca="1" si="2"/>
        <v>22857425.557160728</v>
      </c>
      <c r="O24" s="3">
        <f t="shared" ca="1" si="3"/>
        <v>41413.859833333227</v>
      </c>
      <c r="P24" s="3">
        <f t="shared" si="4"/>
        <v>0</v>
      </c>
      <c r="Q24" s="3">
        <f t="shared" si="5"/>
        <v>0</v>
      </c>
      <c r="R24" s="3">
        <f t="shared" si="6"/>
        <v>-3105221</v>
      </c>
      <c r="S24" s="3">
        <f t="shared" si="7"/>
        <v>58824930</v>
      </c>
      <c r="T24" s="3">
        <f t="shared" si="8"/>
        <v>3081017.9</v>
      </c>
      <c r="U24" s="47">
        <f t="shared" ca="1" si="9"/>
        <v>70699566.316994071</v>
      </c>
      <c r="V24" s="47">
        <f>'Monthly Data'!G24</f>
        <v>0</v>
      </c>
      <c r="W24" s="47">
        <f>+'Monthly Data'!H24</f>
        <v>0</v>
      </c>
      <c r="X24" s="47">
        <f t="shared" ca="1" si="10"/>
        <v>70699566.316994071</v>
      </c>
      <c r="AA24" t="s">
        <v>422</v>
      </c>
      <c r="AB24" s="3">
        <v>84011411.529426798</v>
      </c>
      <c r="AC24" t="s">
        <v>423</v>
      </c>
      <c r="AD24" s="3">
        <v>13575743.380884601</v>
      </c>
    </row>
    <row r="25" spans="1:30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Data'!I25</f>
        <v>88165004.775042474</v>
      </c>
      <c r="E25" s="3">
        <f t="shared" ref="E25:F25" ca="1" si="21">E13</f>
        <v>639.92800724637686</v>
      </c>
      <c r="F25" s="3">
        <f t="shared" ca="1" si="21"/>
        <v>0</v>
      </c>
      <c r="G25" s="3">
        <f>'Monthly Data'!EM25</f>
        <v>0</v>
      </c>
      <c r="H25" s="3">
        <f>'Monthly Data'!ER25</f>
        <v>0</v>
      </c>
      <c r="I25" s="3">
        <f>'Monthly Data'!EG25</f>
        <v>0</v>
      </c>
      <c r="J25" s="3">
        <f>'Monthly Data'!DQ25</f>
        <v>31</v>
      </c>
      <c r="K25">
        <f>'Monthly Data'!EH25</f>
        <v>24</v>
      </c>
      <c r="M25" s="616">
        <f t="shared" si="1"/>
        <v>-11000000</v>
      </c>
      <c r="N25" s="3">
        <f t="shared" ca="1" si="2"/>
        <v>30057968.838448554</v>
      </c>
      <c r="O25" s="3">
        <f t="shared" ca="1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60785761</v>
      </c>
      <c r="T25" s="3">
        <f t="shared" si="8"/>
        <v>3214975.1999999997</v>
      </c>
      <c r="U25" s="47">
        <f t="shared" ca="1" si="9"/>
        <v>83058705.038448557</v>
      </c>
      <c r="V25" s="47">
        <f>'Monthly Data'!G25</f>
        <v>0</v>
      </c>
      <c r="W25" s="47">
        <f>+'Monthly Data'!H25</f>
        <v>0</v>
      </c>
      <c r="X25" s="47">
        <f t="shared" ca="1" si="10"/>
        <v>83058705.038448557</v>
      </c>
    </row>
    <row r="26" spans="1:30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Data'!I26</f>
        <v>86446127.341466442</v>
      </c>
      <c r="E26" s="3">
        <f t="shared" ref="E26:F26" ca="1" si="22">E14</f>
        <v>759.33418478260865</v>
      </c>
      <c r="F26" s="3">
        <f t="shared" ca="1" si="22"/>
        <v>0</v>
      </c>
      <c r="G26" s="3">
        <f>'Monthly Data'!EM26</f>
        <v>0</v>
      </c>
      <c r="H26" s="3">
        <f>'Monthly Data'!ER26</f>
        <v>0</v>
      </c>
      <c r="I26" s="3">
        <f>'Monthly Data'!EG26</f>
        <v>0</v>
      </c>
      <c r="J26" s="3">
        <f>'Monthly Data'!DQ26</f>
        <v>31</v>
      </c>
      <c r="K26">
        <f>'Monthly Data'!EH26</f>
        <v>25</v>
      </c>
      <c r="M26" s="616">
        <f t="shared" si="1"/>
        <v>-11000000</v>
      </c>
      <c r="N26" s="3">
        <f t="shared" ca="1" si="2"/>
        <v>35666579.686638042</v>
      </c>
      <c r="O26" s="3">
        <f t="shared" ca="1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60785761</v>
      </c>
      <c r="T26" s="3">
        <f t="shared" si="8"/>
        <v>3348932.4999999995</v>
      </c>
      <c r="U26" s="47">
        <f t="shared" ca="1" si="9"/>
        <v>88801273.186638042</v>
      </c>
      <c r="V26" s="47">
        <f>'Monthly Data'!G26</f>
        <v>3139.3773146332878</v>
      </c>
      <c r="W26" s="47">
        <f>+'Monthly Data'!H26</f>
        <v>0</v>
      </c>
      <c r="X26" s="47">
        <f t="shared" ca="1" si="10"/>
        <v>88804412.56395267</v>
      </c>
    </row>
    <row r="27" spans="1:30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Data'!I27</f>
        <v>74942160.467565358</v>
      </c>
      <c r="E27" s="3">
        <f t="shared" ref="E27:F27" ca="1" si="23">E15</f>
        <v>680.85501811594202</v>
      </c>
      <c r="F27" s="3">
        <f t="shared" ca="1" si="23"/>
        <v>0</v>
      </c>
      <c r="G27" s="3">
        <f>'Monthly Data'!EM27</f>
        <v>0</v>
      </c>
      <c r="H27" s="3">
        <f>'Monthly Data'!ER27</f>
        <v>0</v>
      </c>
      <c r="I27" s="3">
        <f>'Monthly Data'!EG27</f>
        <v>0</v>
      </c>
      <c r="J27" s="3">
        <f>'Monthly Data'!DQ27</f>
        <v>28</v>
      </c>
      <c r="K27">
        <f>'Monthly Data'!EH27</f>
        <v>26</v>
      </c>
      <c r="M27" s="616">
        <f t="shared" si="1"/>
        <v>-11000000</v>
      </c>
      <c r="N27" s="3">
        <f t="shared" ca="1" si="2"/>
        <v>31980345.736221377</v>
      </c>
      <c r="O27" s="3">
        <f t="shared" ca="1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54903268</v>
      </c>
      <c r="T27" s="3">
        <f t="shared" si="8"/>
        <v>3482889.8</v>
      </c>
      <c r="U27" s="47">
        <f t="shared" ca="1" si="9"/>
        <v>79366503.53622137</v>
      </c>
      <c r="V27" s="47">
        <f>'Monthly Data'!G27</f>
        <v>6278.7546292665756</v>
      </c>
      <c r="W27" s="47">
        <f>+'Monthly Data'!H27</f>
        <v>0</v>
      </c>
      <c r="X27" s="47">
        <f t="shared" ca="1" si="10"/>
        <v>79372782.290850639</v>
      </c>
    </row>
    <row r="28" spans="1:30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Data'!I28</f>
        <v>81702618.978205085</v>
      </c>
      <c r="E28" s="3">
        <f t="shared" ref="E28:F28" ca="1" si="24">E16</f>
        <v>608.13298913043479</v>
      </c>
      <c r="F28" s="3">
        <f t="shared" ca="1" si="24"/>
        <v>0</v>
      </c>
      <c r="G28" s="3">
        <f>'Monthly Data'!EM28</f>
        <v>0</v>
      </c>
      <c r="H28" s="3">
        <f>'Monthly Data'!ER28</f>
        <v>0</v>
      </c>
      <c r="I28" s="3">
        <f>'Monthly Data'!EG28</f>
        <v>1</v>
      </c>
      <c r="J28" s="3">
        <f>'Monthly Data'!DQ28</f>
        <v>31</v>
      </c>
      <c r="K28">
        <f>'Monthly Data'!EH28</f>
        <v>27</v>
      </c>
      <c r="M28" s="616">
        <f t="shared" si="1"/>
        <v>-11000000</v>
      </c>
      <c r="N28" s="3">
        <f t="shared" ca="1" si="2"/>
        <v>28564529.493827175</v>
      </c>
      <c r="O28" s="3">
        <f t="shared" ca="1" si="3"/>
        <v>0</v>
      </c>
      <c r="P28" s="3">
        <f t="shared" si="4"/>
        <v>0</v>
      </c>
      <c r="Q28" s="3">
        <f t="shared" si="5"/>
        <v>0</v>
      </c>
      <c r="R28" s="3">
        <f t="shared" si="6"/>
        <v>-3105221</v>
      </c>
      <c r="S28" s="3">
        <f t="shared" si="7"/>
        <v>60785761</v>
      </c>
      <c r="T28" s="3">
        <f t="shared" si="8"/>
        <v>3616847.0999999996</v>
      </c>
      <c r="U28" s="47">
        <f t="shared" ca="1" si="9"/>
        <v>78861916.593827173</v>
      </c>
      <c r="V28" s="47">
        <f>'Monthly Data'!G28</f>
        <v>9418.1319438998635</v>
      </c>
      <c r="W28" s="47">
        <f>+'Monthly Data'!H28</f>
        <v>0</v>
      </c>
      <c r="X28" s="47">
        <f t="shared" ca="1" si="10"/>
        <v>78871334.72577107</v>
      </c>
    </row>
    <row r="29" spans="1:30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Data'!I29</f>
        <v>66049900.784255616</v>
      </c>
      <c r="E29" s="3">
        <f t="shared" ref="E29:F29" ca="1" si="25">E17</f>
        <v>412.37941287878795</v>
      </c>
      <c r="F29" s="3">
        <f t="shared" ca="1" si="25"/>
        <v>0.4316666666666677</v>
      </c>
      <c r="G29" s="3">
        <f>'Monthly Data'!EM29</f>
        <v>0</v>
      </c>
      <c r="H29" s="3">
        <f>'Monthly Data'!ER29</f>
        <v>0</v>
      </c>
      <c r="I29" s="3">
        <f>'Monthly Data'!EG29</f>
        <v>1</v>
      </c>
      <c r="J29" s="3">
        <f>'Monthly Data'!DQ29</f>
        <v>30</v>
      </c>
      <c r="K29">
        <f>'Monthly Data'!EH29</f>
        <v>28</v>
      </c>
      <c r="M29" s="616">
        <f t="shared" si="1"/>
        <v>-11000000</v>
      </c>
      <c r="N29" s="3">
        <f t="shared" ca="1" si="2"/>
        <v>19369815.669211745</v>
      </c>
      <c r="O29" s="3">
        <f t="shared" ca="1" si="3"/>
        <v>118849.74733333361</v>
      </c>
      <c r="P29" s="3">
        <f t="shared" si="4"/>
        <v>0</v>
      </c>
      <c r="Q29" s="3">
        <f t="shared" si="5"/>
        <v>0</v>
      </c>
      <c r="R29" s="3">
        <f t="shared" si="6"/>
        <v>-3105221</v>
      </c>
      <c r="S29" s="3">
        <f t="shared" si="7"/>
        <v>58824930</v>
      </c>
      <c r="T29" s="3">
        <f t="shared" si="8"/>
        <v>3750804.3999999994</v>
      </c>
      <c r="U29" s="47">
        <f t="shared" ca="1" si="9"/>
        <v>67959178.816545084</v>
      </c>
      <c r="V29" s="47">
        <f>'Monthly Data'!G29</f>
        <v>12557.509258533151</v>
      </c>
      <c r="W29" s="47">
        <f>+'Monthly Data'!H29</f>
        <v>0</v>
      </c>
      <c r="X29" s="47">
        <f t="shared" ca="1" si="10"/>
        <v>67971736.325803623</v>
      </c>
    </row>
    <row r="30" spans="1:30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Data'!I30</f>
        <v>65394763.541035041</v>
      </c>
      <c r="E30" s="3">
        <f t="shared" ref="E30:F30" ca="1" si="26">E18</f>
        <v>202.70273119310133</v>
      </c>
      <c r="F30" s="3">
        <f t="shared" ca="1" si="26"/>
        <v>29.4520183982684</v>
      </c>
      <c r="G30" s="3">
        <f>'Monthly Data'!EM30</f>
        <v>0</v>
      </c>
      <c r="H30" s="3">
        <f>'Monthly Data'!ER30</f>
        <v>0</v>
      </c>
      <c r="I30" s="3">
        <f>'Monthly Data'!EG30</f>
        <v>1</v>
      </c>
      <c r="J30" s="3">
        <f>'Monthly Data'!DQ30</f>
        <v>31</v>
      </c>
      <c r="K30">
        <f>'Monthly Data'!EH30</f>
        <v>29</v>
      </c>
      <c r="M30" s="616">
        <f t="shared" si="1"/>
        <v>-11000000</v>
      </c>
      <c r="N30" s="3">
        <f t="shared" ca="1" si="2"/>
        <v>9521121.6084887963</v>
      </c>
      <c r="O30" s="3">
        <f t="shared" ca="1" si="3"/>
        <v>8108953.5407510819</v>
      </c>
      <c r="P30" s="3">
        <f t="shared" si="4"/>
        <v>0</v>
      </c>
      <c r="Q30" s="3">
        <f t="shared" si="5"/>
        <v>0</v>
      </c>
      <c r="R30" s="3">
        <f t="shared" si="6"/>
        <v>-3105221</v>
      </c>
      <c r="S30" s="3">
        <f t="shared" si="7"/>
        <v>60785761</v>
      </c>
      <c r="T30" s="3">
        <f t="shared" si="8"/>
        <v>3884761.6999999997</v>
      </c>
      <c r="U30" s="47">
        <f t="shared" ca="1" si="9"/>
        <v>68195376.849239871</v>
      </c>
      <c r="V30" s="47">
        <f>'Monthly Data'!G30</f>
        <v>15696.886573166441</v>
      </c>
      <c r="W30" s="47">
        <f>+'Monthly Data'!H30</f>
        <v>0</v>
      </c>
      <c r="X30" s="47">
        <f t="shared" ca="1" si="10"/>
        <v>68211073.735813037</v>
      </c>
    </row>
    <row r="31" spans="1:30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Data'!I31</f>
        <v>72735585.169684768</v>
      </c>
      <c r="E31" s="3">
        <f t="shared" ref="E31:F31" ca="1" si="27">E19</f>
        <v>66.09717382617383</v>
      </c>
      <c r="F31" s="3">
        <f t="shared" ca="1" si="27"/>
        <v>86.311049595332207</v>
      </c>
      <c r="G31" s="3">
        <f>'Monthly Data'!EM31</f>
        <v>0</v>
      </c>
      <c r="H31" s="3">
        <f>'Monthly Data'!ER31</f>
        <v>0</v>
      </c>
      <c r="I31" s="3">
        <f>'Monthly Data'!EG31</f>
        <v>0</v>
      </c>
      <c r="J31" s="3">
        <f>'Monthly Data'!DQ31</f>
        <v>30</v>
      </c>
      <c r="K31">
        <f>'Monthly Data'!EH31</f>
        <v>30</v>
      </c>
      <c r="M31" s="616">
        <f t="shared" si="1"/>
        <v>-11000000</v>
      </c>
      <c r="N31" s="3">
        <f t="shared" ca="1" si="2"/>
        <v>3104641.0981848752</v>
      </c>
      <c r="O31" s="3">
        <f t="shared" ca="1" si="3"/>
        <v>23763814.138563786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58824930</v>
      </c>
      <c r="T31" s="3">
        <f t="shared" si="8"/>
        <v>4018718.9999999995</v>
      </c>
      <c r="U31" s="47">
        <f t="shared" ca="1" si="9"/>
        <v>78712104.236748666</v>
      </c>
      <c r="V31" s="47">
        <f>'Monthly Data'!G31</f>
        <v>18836.263887799727</v>
      </c>
      <c r="W31" s="47">
        <f>+'Monthly Data'!H31</f>
        <v>0</v>
      </c>
      <c r="X31" s="47">
        <f t="shared" ca="1" si="10"/>
        <v>78730940.500636458</v>
      </c>
    </row>
    <row r="32" spans="1:30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Data'!I32</f>
        <v>89908000.015584707</v>
      </c>
      <c r="E32" s="3">
        <f t="shared" ref="E32:F32" ca="1" si="28">E20</f>
        <v>10.249063146997932</v>
      </c>
      <c r="F32" s="3">
        <f t="shared" ca="1" si="28"/>
        <v>174.0219619206118</v>
      </c>
      <c r="G32" s="3">
        <f>'Monthly Data'!EM32</f>
        <v>0</v>
      </c>
      <c r="H32" s="3">
        <f>'Monthly Data'!ER32</f>
        <v>0</v>
      </c>
      <c r="I32" s="3">
        <f>'Monthly Data'!EG32</f>
        <v>0</v>
      </c>
      <c r="J32" s="3">
        <f>'Monthly Data'!DQ32</f>
        <v>31</v>
      </c>
      <c r="K32">
        <f>'Monthly Data'!EH32</f>
        <v>31</v>
      </c>
      <c r="M32" s="616">
        <f t="shared" si="1"/>
        <v>-11000000</v>
      </c>
      <c r="N32" s="3">
        <f t="shared" ca="1" si="2"/>
        <v>481407.31020879926</v>
      </c>
      <c r="O32" s="3">
        <f t="shared" ca="1" si="3"/>
        <v>47913049.12289343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60785761</v>
      </c>
      <c r="T32" s="3">
        <f t="shared" si="8"/>
        <v>4152676.3</v>
      </c>
      <c r="U32" s="47">
        <f t="shared" ca="1" si="9"/>
        <v>102332893.73310222</v>
      </c>
      <c r="V32" s="47">
        <f>'Monthly Data'!G32</f>
        <v>21975.641202433017</v>
      </c>
      <c r="W32" s="47">
        <f>+'Monthly Data'!H32</f>
        <v>0</v>
      </c>
      <c r="X32" s="47">
        <f t="shared" ca="1" si="10"/>
        <v>102354869.37430465</v>
      </c>
    </row>
    <row r="33" spans="1:24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Data'!I33</f>
        <v>83708246.289394736</v>
      </c>
      <c r="E33" s="3">
        <f t="shared" ref="E33:F33" ca="1" si="29">E21</f>
        <v>21.194927536231887</v>
      </c>
      <c r="F33" s="3">
        <f t="shared" ca="1" si="29"/>
        <v>149.7160046113307</v>
      </c>
      <c r="G33" s="3">
        <f>'Monthly Data'!EM33</f>
        <v>0</v>
      </c>
      <c r="H33" s="3">
        <f>'Monthly Data'!ER33</f>
        <v>0</v>
      </c>
      <c r="I33" s="3">
        <f>'Monthly Data'!EG33</f>
        <v>0</v>
      </c>
      <c r="J33" s="3">
        <f>'Monthly Data'!DQ33</f>
        <v>31</v>
      </c>
      <c r="K33">
        <f>'Monthly Data'!EH33</f>
        <v>32</v>
      </c>
      <c r="M33" s="616">
        <f t="shared" si="1"/>
        <v>-11000000</v>
      </c>
      <c r="N33" s="3">
        <f t="shared" ca="1" si="2"/>
        <v>995543.97401449294</v>
      </c>
      <c r="O33" s="3">
        <f t="shared" ca="1" si="3"/>
        <v>41220948.231226608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60785761</v>
      </c>
      <c r="T33" s="3">
        <f t="shared" si="8"/>
        <v>4286633.5999999996</v>
      </c>
      <c r="U33" s="47">
        <f t="shared" ca="1" si="9"/>
        <v>96288886.805241093</v>
      </c>
      <c r="V33" s="47">
        <f>'Monthly Data'!G33</f>
        <v>25115.018517066303</v>
      </c>
      <c r="W33" s="47">
        <f>+'Monthly Data'!H33</f>
        <v>0</v>
      </c>
      <c r="X33" s="47">
        <f t="shared" ca="1" si="10"/>
        <v>96314001.823758155</v>
      </c>
    </row>
    <row r="34" spans="1:24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Data'!I34</f>
        <v>77008872.50612545</v>
      </c>
      <c r="E34" s="3">
        <f t="shared" ref="E34:F34" ca="1" si="30">E22</f>
        <v>96.735690993788822</v>
      </c>
      <c r="F34" s="3">
        <f t="shared" ca="1" si="30"/>
        <v>62.345178571428576</v>
      </c>
      <c r="G34" s="3">
        <f>'Monthly Data'!EM34</f>
        <v>0</v>
      </c>
      <c r="H34" s="3">
        <f>'Monthly Data'!ER34</f>
        <v>0</v>
      </c>
      <c r="I34" s="3">
        <f>'Monthly Data'!EG34</f>
        <v>1</v>
      </c>
      <c r="J34" s="3">
        <f>'Monthly Data'!DQ34</f>
        <v>30</v>
      </c>
      <c r="K34">
        <f>'Monthly Data'!EH34</f>
        <v>33</v>
      </c>
      <c r="M34" s="616">
        <f t="shared" si="1"/>
        <v>-11000000</v>
      </c>
      <c r="N34" s="3">
        <f t="shared" ca="1" si="2"/>
        <v>4543758.5986725157</v>
      </c>
      <c r="O34" s="3">
        <f t="shared" ca="1" si="3"/>
        <v>17165348.387642857</v>
      </c>
      <c r="P34" s="3">
        <f t="shared" si="4"/>
        <v>0</v>
      </c>
      <c r="Q34" s="3">
        <f t="shared" si="5"/>
        <v>0</v>
      </c>
      <c r="R34" s="3">
        <f t="shared" si="6"/>
        <v>-3105221</v>
      </c>
      <c r="S34" s="3">
        <f t="shared" si="7"/>
        <v>58824930</v>
      </c>
      <c r="T34" s="3">
        <f t="shared" si="8"/>
        <v>4420590.8999999994</v>
      </c>
      <c r="U34" s="47">
        <f t="shared" ca="1" si="9"/>
        <v>70849406.886315376</v>
      </c>
      <c r="V34" s="47">
        <f>'Monthly Data'!G34</f>
        <v>28254.395831699592</v>
      </c>
      <c r="W34" s="47">
        <f>+'Monthly Data'!H34</f>
        <v>0</v>
      </c>
      <c r="X34" s="47">
        <f t="shared" ca="1" si="10"/>
        <v>70877661.28214708</v>
      </c>
    </row>
    <row r="35" spans="1:24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Data'!I35</f>
        <v>66802252.527815484</v>
      </c>
      <c r="E35" s="3">
        <f t="shared" ref="E35:F35" ca="1" si="31">E23</f>
        <v>298.21097826086958</v>
      </c>
      <c r="F35" s="3">
        <f t="shared" ca="1" si="31"/>
        <v>7.1541666666666703</v>
      </c>
      <c r="G35" s="3">
        <f>'Monthly Data'!EM35</f>
        <v>0</v>
      </c>
      <c r="H35" s="3">
        <f>'Monthly Data'!ER35</f>
        <v>0</v>
      </c>
      <c r="I35" s="3">
        <f>'Monthly Data'!EG35</f>
        <v>1</v>
      </c>
      <c r="J35" s="3">
        <f>'Monthly Data'!DQ35</f>
        <v>31</v>
      </c>
      <c r="K35">
        <f>'Monthly Data'!EH35</f>
        <v>34</v>
      </c>
      <c r="M35" s="616">
        <f t="shared" si="1"/>
        <v>-11000000</v>
      </c>
      <c r="N35" s="3">
        <f t="shared" ca="1" si="2"/>
        <v>14007226.110354349</v>
      </c>
      <c r="O35" s="3">
        <f t="shared" ca="1" si="3"/>
        <v>1969739.5383333343</v>
      </c>
      <c r="P35" s="3">
        <f t="shared" si="4"/>
        <v>0</v>
      </c>
      <c r="Q35" s="3">
        <f t="shared" si="5"/>
        <v>0</v>
      </c>
      <c r="R35" s="3">
        <f t="shared" si="6"/>
        <v>-3105221</v>
      </c>
      <c r="S35" s="3">
        <f t="shared" si="7"/>
        <v>60785761</v>
      </c>
      <c r="T35" s="3">
        <f t="shared" si="8"/>
        <v>4554548.1999999993</v>
      </c>
      <c r="U35" s="47">
        <f t="shared" ca="1" si="9"/>
        <v>67212053.848687679</v>
      </c>
      <c r="V35" s="47">
        <f>'Monthly Data'!G35</f>
        <v>31393.773146332882</v>
      </c>
      <c r="W35" s="47">
        <f>+'Monthly Data'!H35</f>
        <v>0</v>
      </c>
      <c r="X35" s="47">
        <f t="shared" ca="1" si="10"/>
        <v>67243447.62183401</v>
      </c>
    </row>
    <row r="36" spans="1:24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Data'!I36</f>
        <v>75093984.321715117</v>
      </c>
      <c r="E36" s="3">
        <f t="shared" ref="E36:F36" ca="1" si="32">E24</f>
        <v>486.62991389045737</v>
      </c>
      <c r="F36" s="3">
        <f t="shared" ca="1" si="32"/>
        <v>0.15041666666666628</v>
      </c>
      <c r="G36" s="3">
        <f>'Monthly Data'!EM36</f>
        <v>0</v>
      </c>
      <c r="H36" s="3">
        <f>'Monthly Data'!ER36</f>
        <v>0</v>
      </c>
      <c r="I36" s="3">
        <f>'Monthly Data'!EG36</f>
        <v>1</v>
      </c>
      <c r="J36" s="3">
        <f>'Monthly Data'!DQ36</f>
        <v>30</v>
      </c>
      <c r="K36">
        <f>'Monthly Data'!EH36</f>
        <v>35</v>
      </c>
      <c r="M36" s="616">
        <f t="shared" si="1"/>
        <v>-11000000</v>
      </c>
      <c r="N36" s="3">
        <f t="shared" ca="1" si="2"/>
        <v>22857425.557160728</v>
      </c>
      <c r="O36" s="3">
        <f t="shared" ca="1" si="3"/>
        <v>41413.859833333227</v>
      </c>
      <c r="P36" s="3">
        <f t="shared" si="4"/>
        <v>0</v>
      </c>
      <c r="Q36" s="3">
        <f t="shared" si="5"/>
        <v>0</v>
      </c>
      <c r="R36" s="3">
        <f t="shared" si="6"/>
        <v>-3105221</v>
      </c>
      <c r="S36" s="3">
        <f t="shared" si="7"/>
        <v>58824930</v>
      </c>
      <c r="T36" s="3">
        <f t="shared" si="8"/>
        <v>4688505.5</v>
      </c>
      <c r="U36" s="47">
        <f t="shared" ca="1" si="9"/>
        <v>72307053.916994065</v>
      </c>
      <c r="V36" s="47">
        <f>'Monthly Data'!G36</f>
        <v>34533.150460966172</v>
      </c>
      <c r="W36" s="47">
        <f>+'Monthly Data'!H36</f>
        <v>0</v>
      </c>
      <c r="X36" s="47">
        <f t="shared" ca="1" si="10"/>
        <v>72341587.067455038</v>
      </c>
    </row>
    <row r="37" spans="1:24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Data'!I37</f>
        <v>94973885.964893639</v>
      </c>
      <c r="E37" s="3">
        <f t="shared" ref="E37:F37" ca="1" si="33">E25</f>
        <v>639.92800724637686</v>
      </c>
      <c r="F37" s="3">
        <f t="shared" ca="1" si="33"/>
        <v>0</v>
      </c>
      <c r="G37" s="3">
        <f>'Monthly Data'!EM37</f>
        <v>0</v>
      </c>
      <c r="H37" s="3">
        <f>'Monthly Data'!ER37</f>
        <v>0</v>
      </c>
      <c r="I37" s="3">
        <f>'Monthly Data'!EG37</f>
        <v>0</v>
      </c>
      <c r="J37" s="3">
        <f>'Monthly Data'!DQ37</f>
        <v>31</v>
      </c>
      <c r="K37">
        <f>'Monthly Data'!EH37</f>
        <v>36</v>
      </c>
      <c r="M37" s="616">
        <f t="shared" si="1"/>
        <v>-11000000</v>
      </c>
      <c r="N37" s="3">
        <f t="shared" ca="1" si="2"/>
        <v>30057968.838448554</v>
      </c>
      <c r="O37" s="3">
        <f t="shared" ca="1" si="3"/>
        <v>0</v>
      </c>
      <c r="P37" s="3">
        <f t="shared" si="4"/>
        <v>0</v>
      </c>
      <c r="Q37" s="3">
        <f t="shared" si="5"/>
        <v>0</v>
      </c>
      <c r="R37" s="3">
        <f t="shared" si="6"/>
        <v>0</v>
      </c>
      <c r="S37" s="3">
        <f t="shared" si="7"/>
        <v>60785761</v>
      </c>
      <c r="T37" s="3">
        <f t="shared" si="8"/>
        <v>4822462.8</v>
      </c>
      <c r="U37" s="47">
        <f t="shared" ca="1" si="9"/>
        <v>84666192.638448551</v>
      </c>
      <c r="V37" s="47">
        <f>'Monthly Data'!G37</f>
        <v>37672.527775599454</v>
      </c>
      <c r="W37" s="47">
        <f>+'Monthly Data'!H37</f>
        <v>0</v>
      </c>
      <c r="X37" s="47">
        <f t="shared" ca="1" si="10"/>
        <v>84703865.166224152</v>
      </c>
    </row>
    <row r="38" spans="1:24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Data'!I38</f>
        <v>95821384.871754587</v>
      </c>
      <c r="E38" s="3">
        <f t="shared" ref="E38:F38" ca="1" si="34">E26</f>
        <v>759.33418478260865</v>
      </c>
      <c r="F38" s="3">
        <f t="shared" ca="1" si="34"/>
        <v>0</v>
      </c>
      <c r="G38" s="3">
        <f>'Monthly Data'!EM38</f>
        <v>0</v>
      </c>
      <c r="H38" s="3">
        <f>'Monthly Data'!ER38</f>
        <v>0</v>
      </c>
      <c r="I38" s="3">
        <f>'Monthly Data'!EG38</f>
        <v>0</v>
      </c>
      <c r="J38" s="3">
        <f>'Monthly Data'!DQ38</f>
        <v>31</v>
      </c>
      <c r="K38">
        <f>'Monthly Data'!EH38</f>
        <v>37</v>
      </c>
      <c r="M38" s="616">
        <f t="shared" si="1"/>
        <v>-11000000</v>
      </c>
      <c r="N38" s="3">
        <f t="shared" ca="1" si="2"/>
        <v>35666579.686638042</v>
      </c>
      <c r="O38" s="3">
        <f t="shared" ca="1" si="3"/>
        <v>0</v>
      </c>
      <c r="P38" s="3">
        <f t="shared" si="4"/>
        <v>0</v>
      </c>
      <c r="Q38" s="3">
        <f t="shared" si="5"/>
        <v>0</v>
      </c>
      <c r="R38" s="3">
        <f t="shared" si="6"/>
        <v>0</v>
      </c>
      <c r="S38" s="3">
        <f t="shared" si="7"/>
        <v>60785761</v>
      </c>
      <c r="T38" s="3">
        <f t="shared" si="8"/>
        <v>4956420.0999999996</v>
      </c>
      <c r="U38" s="47">
        <f t="shared" ca="1" si="9"/>
        <v>90408760.786638036</v>
      </c>
      <c r="V38" s="47">
        <f>'Monthly Data'!G38</f>
        <v>48680.955465587038</v>
      </c>
      <c r="W38" s="47">
        <f>+'Monthly Data'!H38</f>
        <v>0</v>
      </c>
      <c r="X38" s="47">
        <f t="shared" ca="1" si="10"/>
        <v>90457441.742103621</v>
      </c>
    </row>
    <row r="39" spans="1:24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Data'!I39</f>
        <v>79017023.856559828</v>
      </c>
      <c r="E39" s="3">
        <f t="shared" ref="E39:F39" ca="1" si="35">E27</f>
        <v>680.85501811594202</v>
      </c>
      <c r="F39" s="3">
        <f t="shared" ca="1" si="35"/>
        <v>0</v>
      </c>
      <c r="G39" s="3">
        <f>'Monthly Data'!EM39</f>
        <v>0</v>
      </c>
      <c r="H39" s="3">
        <f>'Monthly Data'!ER39</f>
        <v>0</v>
      </c>
      <c r="I39" s="3">
        <f>'Monthly Data'!EG39</f>
        <v>0</v>
      </c>
      <c r="J39" s="3">
        <f>'Monthly Data'!DQ39</f>
        <v>28</v>
      </c>
      <c r="K39">
        <f>'Monthly Data'!EH39</f>
        <v>38</v>
      </c>
      <c r="M39" s="616">
        <f t="shared" si="1"/>
        <v>-11000000</v>
      </c>
      <c r="N39" s="3">
        <f t="shared" ca="1" si="2"/>
        <v>31980345.736221377</v>
      </c>
      <c r="O39" s="3">
        <f t="shared" ca="1" si="3"/>
        <v>0</v>
      </c>
      <c r="P39" s="3">
        <f t="shared" si="4"/>
        <v>0</v>
      </c>
      <c r="Q39" s="3">
        <f t="shared" si="5"/>
        <v>0</v>
      </c>
      <c r="R39" s="3">
        <f t="shared" si="6"/>
        <v>0</v>
      </c>
      <c r="S39" s="3">
        <f t="shared" si="7"/>
        <v>54903268</v>
      </c>
      <c r="T39" s="3">
        <f t="shared" si="8"/>
        <v>5090377.3999999994</v>
      </c>
      <c r="U39" s="47">
        <f t="shared" ca="1" si="9"/>
        <v>80973991.136221379</v>
      </c>
      <c r="V39" s="47">
        <f>'Monthly Data'!G39</f>
        <v>56550.00584094134</v>
      </c>
      <c r="W39" s="47">
        <f>+'Monthly Data'!H39</f>
        <v>0</v>
      </c>
      <c r="X39" s="47">
        <f t="shared" ca="1" si="10"/>
        <v>81030541.142062321</v>
      </c>
    </row>
    <row r="40" spans="1:24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Data'!I40</f>
        <v>80857990.286893964</v>
      </c>
      <c r="E40" s="3">
        <f t="shared" ref="E40:F40" ca="1" si="36">E28</f>
        <v>608.13298913043479</v>
      </c>
      <c r="F40" s="3">
        <f t="shared" ca="1" si="36"/>
        <v>0</v>
      </c>
      <c r="G40" s="3">
        <f>'Monthly Data'!EM40</f>
        <v>0</v>
      </c>
      <c r="H40" s="3">
        <f>'Monthly Data'!ER40</f>
        <v>0</v>
      </c>
      <c r="I40" s="3">
        <f>'Monthly Data'!EG40</f>
        <v>1</v>
      </c>
      <c r="J40" s="3">
        <f>'Monthly Data'!DQ40</f>
        <v>31</v>
      </c>
      <c r="K40">
        <f>'Monthly Data'!EH40</f>
        <v>39</v>
      </c>
      <c r="M40" s="616">
        <f t="shared" si="1"/>
        <v>-11000000</v>
      </c>
      <c r="N40" s="3">
        <f t="shared" ca="1" si="2"/>
        <v>28564529.493827175</v>
      </c>
      <c r="O40" s="3">
        <f t="shared" ca="1" si="3"/>
        <v>0</v>
      </c>
      <c r="P40" s="3">
        <f t="shared" si="4"/>
        <v>0</v>
      </c>
      <c r="Q40" s="3">
        <f t="shared" si="5"/>
        <v>0</v>
      </c>
      <c r="R40" s="3">
        <f t="shared" si="6"/>
        <v>-3105221</v>
      </c>
      <c r="S40" s="3">
        <f t="shared" si="7"/>
        <v>60785761</v>
      </c>
      <c r="T40" s="3">
        <f t="shared" si="8"/>
        <v>5224334.6999999993</v>
      </c>
      <c r="U40" s="47">
        <f t="shared" ca="1" si="9"/>
        <v>80469404.193827182</v>
      </c>
      <c r="V40" s="47">
        <f>'Monthly Data'!G40</f>
        <v>64419.056216295634</v>
      </c>
      <c r="W40" s="47">
        <f>+'Monthly Data'!H40</f>
        <v>0</v>
      </c>
      <c r="X40" s="47">
        <f t="shared" ca="1" si="10"/>
        <v>80533823.250043482</v>
      </c>
    </row>
    <row r="41" spans="1:24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Data'!I41</f>
        <v>74791523.995729923</v>
      </c>
      <c r="E41" s="3">
        <f t="shared" ref="E41:F41" ca="1" si="37">E29</f>
        <v>412.37941287878795</v>
      </c>
      <c r="F41" s="3">
        <f t="shared" ca="1" si="37"/>
        <v>0.4316666666666677</v>
      </c>
      <c r="G41" s="3">
        <f>'Monthly Data'!EM41</f>
        <v>0</v>
      </c>
      <c r="H41" s="3">
        <f>'Monthly Data'!ER41</f>
        <v>0</v>
      </c>
      <c r="I41" s="3">
        <f>'Monthly Data'!EG41</f>
        <v>1</v>
      </c>
      <c r="J41" s="3">
        <f>'Monthly Data'!DQ41</f>
        <v>30</v>
      </c>
      <c r="K41">
        <f>'Monthly Data'!EH41</f>
        <v>40</v>
      </c>
      <c r="M41" s="616">
        <f t="shared" si="1"/>
        <v>-11000000</v>
      </c>
      <c r="N41" s="3">
        <f t="shared" ca="1" si="2"/>
        <v>19369815.669211745</v>
      </c>
      <c r="O41" s="3">
        <f t="shared" ca="1" si="3"/>
        <v>118849.74733333361</v>
      </c>
      <c r="P41" s="3">
        <f t="shared" si="4"/>
        <v>0</v>
      </c>
      <c r="Q41" s="3">
        <f t="shared" si="5"/>
        <v>0</v>
      </c>
      <c r="R41" s="3">
        <f t="shared" si="6"/>
        <v>-3105221</v>
      </c>
      <c r="S41" s="3">
        <f t="shared" si="7"/>
        <v>58824930</v>
      </c>
      <c r="T41" s="3">
        <f t="shared" si="8"/>
        <v>5358292</v>
      </c>
      <c r="U41" s="47">
        <f t="shared" ca="1" si="9"/>
        <v>69566666.416545078</v>
      </c>
      <c r="V41" s="47">
        <f>'Monthly Data'!G41</f>
        <v>72288.106591649936</v>
      </c>
      <c r="W41" s="47">
        <f>+'Monthly Data'!H41</f>
        <v>0</v>
      </c>
      <c r="X41" s="47">
        <f t="shared" ca="1" si="10"/>
        <v>69638954.523136735</v>
      </c>
    </row>
    <row r="42" spans="1:24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Data'!I42</f>
        <v>69029126.016524777</v>
      </c>
      <c r="E42" s="3">
        <f t="shared" ref="E42:F42" ca="1" si="38">E30</f>
        <v>202.70273119310133</v>
      </c>
      <c r="F42" s="3">
        <f t="shared" ca="1" si="38"/>
        <v>29.4520183982684</v>
      </c>
      <c r="G42" s="3">
        <f>'Monthly Data'!EM42</f>
        <v>0</v>
      </c>
      <c r="H42" s="3">
        <f>'Monthly Data'!ER42</f>
        <v>0</v>
      </c>
      <c r="I42" s="3">
        <f>'Monthly Data'!EG42</f>
        <v>1</v>
      </c>
      <c r="J42" s="3">
        <f>'Monthly Data'!DQ42</f>
        <v>31</v>
      </c>
      <c r="K42">
        <f>'Monthly Data'!EH42</f>
        <v>41</v>
      </c>
      <c r="M42" s="616">
        <f t="shared" si="1"/>
        <v>-11000000</v>
      </c>
      <c r="N42" s="3">
        <f t="shared" ca="1" si="2"/>
        <v>9521121.6084887963</v>
      </c>
      <c r="O42" s="3">
        <f t="shared" ca="1" si="3"/>
        <v>8108953.5407510819</v>
      </c>
      <c r="P42" s="3">
        <f t="shared" si="4"/>
        <v>0</v>
      </c>
      <c r="Q42" s="3">
        <f t="shared" si="5"/>
        <v>0</v>
      </c>
      <c r="R42" s="3">
        <f t="shared" si="6"/>
        <v>-3105221</v>
      </c>
      <c r="S42" s="3">
        <f t="shared" si="7"/>
        <v>60785761</v>
      </c>
      <c r="T42" s="3">
        <f t="shared" si="8"/>
        <v>5492249.2999999998</v>
      </c>
      <c r="U42" s="47">
        <f t="shared" ca="1" si="9"/>
        <v>69802864.44923988</v>
      </c>
      <c r="V42" s="47">
        <f>'Monthly Data'!G42</f>
        <v>80157.156967004237</v>
      </c>
      <c r="W42" s="47">
        <f>+'Monthly Data'!H42</f>
        <v>0</v>
      </c>
      <c r="X42" s="47">
        <f t="shared" ca="1" si="10"/>
        <v>69883021.606206879</v>
      </c>
    </row>
    <row r="43" spans="1:24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Data'!I43</f>
        <v>78750404.764660209</v>
      </c>
      <c r="E43" s="3">
        <f t="shared" ref="E43:F43" ca="1" si="39">E31</f>
        <v>66.09717382617383</v>
      </c>
      <c r="F43" s="3">
        <f t="shared" ca="1" si="39"/>
        <v>86.311049595332207</v>
      </c>
      <c r="G43" s="3">
        <f>'Monthly Data'!EM43</f>
        <v>0</v>
      </c>
      <c r="H43" s="3">
        <f>'Monthly Data'!ER43</f>
        <v>0</v>
      </c>
      <c r="I43" s="3">
        <f>'Monthly Data'!EG43</f>
        <v>0</v>
      </c>
      <c r="J43" s="3">
        <f>'Monthly Data'!DQ43</f>
        <v>30</v>
      </c>
      <c r="K43">
        <f>'Monthly Data'!EH43</f>
        <v>42</v>
      </c>
      <c r="M43" s="616">
        <f t="shared" si="1"/>
        <v>-11000000</v>
      </c>
      <c r="N43" s="3">
        <f t="shared" ca="1" si="2"/>
        <v>3104641.0981848752</v>
      </c>
      <c r="O43" s="3">
        <f t="shared" ca="1" si="3"/>
        <v>23763814.138563786</v>
      </c>
      <c r="P43" s="3">
        <f t="shared" si="4"/>
        <v>0</v>
      </c>
      <c r="Q43" s="3">
        <f t="shared" si="5"/>
        <v>0</v>
      </c>
      <c r="R43" s="3">
        <f t="shared" si="6"/>
        <v>0</v>
      </c>
      <c r="S43" s="3">
        <f t="shared" si="7"/>
        <v>58824930</v>
      </c>
      <c r="T43" s="3">
        <f t="shared" si="8"/>
        <v>5626206.5999999996</v>
      </c>
      <c r="U43" s="47">
        <f t="shared" ca="1" si="9"/>
        <v>80319591.83674866</v>
      </c>
      <c r="V43" s="47">
        <f>'Monthly Data'!G43</f>
        <v>88026.207342358524</v>
      </c>
      <c r="W43" s="47">
        <f>+'Monthly Data'!H43</f>
        <v>0</v>
      </c>
      <c r="X43" s="47">
        <f t="shared" ca="1" si="10"/>
        <v>80407618.044091016</v>
      </c>
    </row>
    <row r="44" spans="1:24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Data'!I44</f>
        <v>109096534.53629565</v>
      </c>
      <c r="E44" s="3">
        <f t="shared" ref="E44:F44" ca="1" si="40">E32</f>
        <v>10.249063146997932</v>
      </c>
      <c r="F44" s="3">
        <f t="shared" ca="1" si="40"/>
        <v>174.0219619206118</v>
      </c>
      <c r="G44" s="3">
        <f>'Monthly Data'!EM44</f>
        <v>0</v>
      </c>
      <c r="H44" s="3">
        <f>'Monthly Data'!ER44</f>
        <v>0</v>
      </c>
      <c r="I44" s="3">
        <f>'Monthly Data'!EG44</f>
        <v>0</v>
      </c>
      <c r="J44" s="3">
        <f>'Monthly Data'!DQ44</f>
        <v>31</v>
      </c>
      <c r="K44">
        <f>'Monthly Data'!EH44</f>
        <v>43</v>
      </c>
      <c r="M44" s="616">
        <f t="shared" si="1"/>
        <v>-11000000</v>
      </c>
      <c r="N44" s="3">
        <f t="shared" ca="1" si="2"/>
        <v>481407.31020879926</v>
      </c>
      <c r="O44" s="3">
        <f t="shared" ca="1" si="3"/>
        <v>47913049.12289343</v>
      </c>
      <c r="P44" s="3">
        <f t="shared" si="4"/>
        <v>0</v>
      </c>
      <c r="Q44" s="3">
        <f t="shared" si="5"/>
        <v>0</v>
      </c>
      <c r="R44" s="3">
        <f t="shared" si="6"/>
        <v>0</v>
      </c>
      <c r="S44" s="3">
        <f t="shared" si="7"/>
        <v>60785761</v>
      </c>
      <c r="T44" s="3">
        <f t="shared" si="8"/>
        <v>5760163.8999999994</v>
      </c>
      <c r="U44" s="47">
        <f t="shared" ca="1" si="9"/>
        <v>103940381.33310223</v>
      </c>
      <c r="V44" s="47">
        <f>'Monthly Data'!G44</f>
        <v>95895.257717712826</v>
      </c>
      <c r="W44" s="47">
        <f>+'Monthly Data'!H44</f>
        <v>0</v>
      </c>
      <c r="X44" s="47">
        <f t="shared" ca="1" si="10"/>
        <v>104036276.59081994</v>
      </c>
    </row>
    <row r="45" spans="1:24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Data'!I45</f>
        <v>106474236.12950091</v>
      </c>
      <c r="E45" s="3">
        <f t="shared" ref="E45:F45" ca="1" si="41">E33</f>
        <v>21.194927536231887</v>
      </c>
      <c r="F45" s="3">
        <f t="shared" ca="1" si="41"/>
        <v>149.7160046113307</v>
      </c>
      <c r="G45" s="3">
        <f>'Monthly Data'!EM45</f>
        <v>0</v>
      </c>
      <c r="H45" s="3">
        <f>'Monthly Data'!ER45</f>
        <v>0</v>
      </c>
      <c r="I45" s="3">
        <f>'Monthly Data'!EG45</f>
        <v>0</v>
      </c>
      <c r="J45" s="3">
        <f>'Monthly Data'!DQ45</f>
        <v>31</v>
      </c>
      <c r="K45">
        <f>'Monthly Data'!EH45</f>
        <v>44</v>
      </c>
      <c r="M45" s="616">
        <f t="shared" si="1"/>
        <v>-11000000</v>
      </c>
      <c r="N45" s="3">
        <f t="shared" ca="1" si="2"/>
        <v>995543.97401449294</v>
      </c>
      <c r="O45" s="3">
        <f t="shared" ca="1" si="3"/>
        <v>41220948.231226608</v>
      </c>
      <c r="P45" s="3">
        <f t="shared" si="4"/>
        <v>0</v>
      </c>
      <c r="Q45" s="3">
        <f t="shared" si="5"/>
        <v>0</v>
      </c>
      <c r="R45" s="3">
        <f t="shared" si="6"/>
        <v>0</v>
      </c>
      <c r="S45" s="3">
        <f t="shared" si="7"/>
        <v>60785761</v>
      </c>
      <c r="T45" s="3">
        <f t="shared" si="8"/>
        <v>5894121.1999999993</v>
      </c>
      <c r="U45" s="47">
        <f t="shared" ca="1" si="9"/>
        <v>97896374.405241102</v>
      </c>
      <c r="V45" s="47">
        <f>'Monthly Data'!G45</f>
        <v>103764.30809306711</v>
      </c>
      <c r="W45" s="47">
        <f>+'Monthly Data'!H45</f>
        <v>0</v>
      </c>
      <c r="X45" s="47">
        <f t="shared" ca="1" si="10"/>
        <v>98000138.713334173</v>
      </c>
    </row>
    <row r="46" spans="1:24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Data'!I46</f>
        <v>84660053.26803644</v>
      </c>
      <c r="E46" s="3">
        <f t="shared" ref="E46:F46" ca="1" si="42">E34</f>
        <v>96.735690993788822</v>
      </c>
      <c r="F46" s="3">
        <f t="shared" ca="1" si="42"/>
        <v>62.345178571428576</v>
      </c>
      <c r="G46" s="3">
        <f>'Monthly Data'!EM46</f>
        <v>0</v>
      </c>
      <c r="H46" s="3">
        <f>'Monthly Data'!ER46</f>
        <v>0</v>
      </c>
      <c r="I46" s="3">
        <f>'Monthly Data'!EG46</f>
        <v>1</v>
      </c>
      <c r="J46" s="3">
        <f>'Monthly Data'!DQ46</f>
        <v>30</v>
      </c>
      <c r="K46">
        <f>'Monthly Data'!EH46</f>
        <v>45</v>
      </c>
      <c r="M46" s="616">
        <f t="shared" si="1"/>
        <v>-11000000</v>
      </c>
      <c r="N46" s="3">
        <f t="shared" ca="1" si="2"/>
        <v>4543758.5986725157</v>
      </c>
      <c r="O46" s="3">
        <f t="shared" ca="1" si="3"/>
        <v>17165348.387642857</v>
      </c>
      <c r="P46" s="3">
        <f t="shared" si="4"/>
        <v>0</v>
      </c>
      <c r="Q46" s="3">
        <f t="shared" si="5"/>
        <v>0</v>
      </c>
      <c r="R46" s="3">
        <f t="shared" si="6"/>
        <v>-3105221</v>
      </c>
      <c r="S46" s="3">
        <f t="shared" si="7"/>
        <v>58824930</v>
      </c>
      <c r="T46" s="3">
        <f t="shared" si="8"/>
        <v>6028078.4999999991</v>
      </c>
      <c r="U46" s="47">
        <f t="shared" ca="1" si="9"/>
        <v>72456894.48631537</v>
      </c>
      <c r="V46" s="47">
        <f>'Monthly Data'!G46</f>
        <v>111633.35846842141</v>
      </c>
      <c r="W46" s="47">
        <f>+'Monthly Data'!H46</f>
        <v>0</v>
      </c>
      <c r="X46" s="47">
        <f t="shared" ca="1" si="10"/>
        <v>72568527.844783798</v>
      </c>
    </row>
    <row r="47" spans="1:24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Data'!I47</f>
        <v>72024427.398422599</v>
      </c>
      <c r="E47" s="3">
        <f t="shared" ref="E47:F47" ca="1" si="43">E35</f>
        <v>298.21097826086958</v>
      </c>
      <c r="F47" s="3">
        <f t="shared" ca="1" si="43"/>
        <v>7.1541666666666703</v>
      </c>
      <c r="G47" s="3">
        <f>'Monthly Data'!EM47</f>
        <v>0</v>
      </c>
      <c r="H47" s="3">
        <f>'Monthly Data'!ER47</f>
        <v>0</v>
      </c>
      <c r="I47" s="3">
        <f>'Monthly Data'!EG47</f>
        <v>1</v>
      </c>
      <c r="J47" s="3">
        <f>'Monthly Data'!DQ47</f>
        <v>31</v>
      </c>
      <c r="K47">
        <f>'Monthly Data'!EH47</f>
        <v>46</v>
      </c>
      <c r="M47" s="616">
        <f t="shared" si="1"/>
        <v>-11000000</v>
      </c>
      <c r="N47" s="3">
        <f t="shared" ca="1" si="2"/>
        <v>14007226.110354349</v>
      </c>
      <c r="O47" s="3">
        <f t="shared" ca="1" si="3"/>
        <v>1969739.5383333343</v>
      </c>
      <c r="P47" s="3">
        <f t="shared" si="4"/>
        <v>0</v>
      </c>
      <c r="Q47" s="3">
        <f t="shared" si="5"/>
        <v>0</v>
      </c>
      <c r="R47" s="3">
        <f t="shared" si="6"/>
        <v>-3105221</v>
      </c>
      <c r="S47" s="3">
        <f t="shared" si="7"/>
        <v>60785761</v>
      </c>
      <c r="T47" s="3">
        <f t="shared" si="8"/>
        <v>6162035.7999999998</v>
      </c>
      <c r="U47" s="47">
        <f t="shared" ca="1" si="9"/>
        <v>68819541.448687688</v>
      </c>
      <c r="V47" s="47">
        <f>'Monthly Data'!G47</f>
        <v>119502.40884377572</v>
      </c>
      <c r="W47" s="47">
        <f>+'Monthly Data'!H47</f>
        <v>0</v>
      </c>
      <c r="X47" s="47">
        <f t="shared" ca="1" si="10"/>
        <v>68939043.857531458</v>
      </c>
    </row>
    <row r="48" spans="1:24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Data'!I48</f>
        <v>79917765.560337856</v>
      </c>
      <c r="E48" s="3">
        <f t="shared" ref="E48:F48" ca="1" si="44">E36</f>
        <v>486.62991389045737</v>
      </c>
      <c r="F48" s="3">
        <f t="shared" ca="1" si="44"/>
        <v>0.15041666666666628</v>
      </c>
      <c r="G48" s="3">
        <f>'Monthly Data'!EM48</f>
        <v>0</v>
      </c>
      <c r="H48" s="3">
        <f>'Monthly Data'!ER48</f>
        <v>0</v>
      </c>
      <c r="I48" s="3">
        <f>'Monthly Data'!EG48</f>
        <v>1</v>
      </c>
      <c r="J48" s="3">
        <f>'Monthly Data'!DQ48</f>
        <v>30</v>
      </c>
      <c r="K48">
        <f>'Monthly Data'!EH48</f>
        <v>47</v>
      </c>
      <c r="M48" s="616">
        <f t="shared" si="1"/>
        <v>-11000000</v>
      </c>
      <c r="N48" s="3">
        <f t="shared" ca="1" si="2"/>
        <v>22857425.557160728</v>
      </c>
      <c r="O48" s="3">
        <f t="shared" ca="1" si="3"/>
        <v>41413.859833333227</v>
      </c>
      <c r="P48" s="3">
        <f t="shared" si="4"/>
        <v>0</v>
      </c>
      <c r="Q48" s="3">
        <f t="shared" si="5"/>
        <v>0</v>
      </c>
      <c r="R48" s="3">
        <f t="shared" si="6"/>
        <v>-3105221</v>
      </c>
      <c r="S48" s="3">
        <f t="shared" si="7"/>
        <v>58824930</v>
      </c>
      <c r="T48" s="3">
        <f t="shared" si="8"/>
        <v>6295993.0999999996</v>
      </c>
      <c r="U48" s="47">
        <f t="shared" ca="1" si="9"/>
        <v>73914541.516994059</v>
      </c>
      <c r="V48" s="47">
        <f>'Monthly Data'!G48</f>
        <v>127371.45921913002</v>
      </c>
      <c r="W48" s="47">
        <f>+'Monthly Data'!H48</f>
        <v>0</v>
      </c>
      <c r="X48" s="47">
        <f t="shared" ca="1" si="10"/>
        <v>74041912.976213187</v>
      </c>
    </row>
    <row r="49" spans="1:24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Data'!I49</f>
        <v>90962393.505991995</v>
      </c>
      <c r="E49" s="3">
        <f t="shared" ref="E49:F49" ca="1" si="45">E37</f>
        <v>639.92800724637686</v>
      </c>
      <c r="F49" s="3">
        <f t="shared" ca="1" si="45"/>
        <v>0</v>
      </c>
      <c r="G49" s="3">
        <f>'Monthly Data'!EM49</f>
        <v>0</v>
      </c>
      <c r="H49" s="3">
        <f>'Monthly Data'!ER49</f>
        <v>0</v>
      </c>
      <c r="I49" s="3">
        <f>'Monthly Data'!EG49</f>
        <v>0</v>
      </c>
      <c r="J49" s="3">
        <f>'Monthly Data'!DQ49</f>
        <v>31</v>
      </c>
      <c r="K49">
        <f>'Monthly Data'!EH49</f>
        <v>48</v>
      </c>
      <c r="M49" s="616">
        <f t="shared" si="1"/>
        <v>-11000000</v>
      </c>
      <c r="N49" s="3">
        <f t="shared" ca="1" si="2"/>
        <v>30057968.838448554</v>
      </c>
      <c r="O49" s="3">
        <f t="shared" ca="1" si="3"/>
        <v>0</v>
      </c>
      <c r="P49" s="3">
        <f t="shared" si="4"/>
        <v>0</v>
      </c>
      <c r="Q49" s="3">
        <f t="shared" si="5"/>
        <v>0</v>
      </c>
      <c r="R49" s="3">
        <f t="shared" si="6"/>
        <v>0</v>
      </c>
      <c r="S49" s="3">
        <f t="shared" si="7"/>
        <v>60785761</v>
      </c>
      <c r="T49" s="3">
        <f t="shared" si="8"/>
        <v>6429950.3999999994</v>
      </c>
      <c r="U49" s="47">
        <f t="shared" ca="1" si="9"/>
        <v>86273680.23844856</v>
      </c>
      <c r="V49" s="47">
        <f>'Monthly Data'!G49</f>
        <v>135240.50959448429</v>
      </c>
      <c r="W49" s="47">
        <f>+'Monthly Data'!H49</f>
        <v>0</v>
      </c>
      <c r="X49" s="47">
        <f t="shared" ca="1" si="10"/>
        <v>86408920.748043045</v>
      </c>
    </row>
    <row r="50" spans="1:24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 ca="1">'Monthly Data'!I50</f>
        <v>97288679.869095445</v>
      </c>
      <c r="E50" s="3">
        <f t="shared" ref="E50:F50" ca="1" si="46">E38</f>
        <v>759.33418478260865</v>
      </c>
      <c r="F50" s="3">
        <f t="shared" ca="1" si="46"/>
        <v>0</v>
      </c>
      <c r="G50" s="3">
        <f>'Monthly Data'!EM50</f>
        <v>0</v>
      </c>
      <c r="H50" s="3">
        <f>'Monthly Data'!ER50</f>
        <v>0</v>
      </c>
      <c r="I50" s="3">
        <f>'Monthly Data'!EG50</f>
        <v>0</v>
      </c>
      <c r="J50" s="3">
        <f>'Monthly Data'!DQ50</f>
        <v>31</v>
      </c>
      <c r="K50">
        <f>'Monthly Data'!EH50</f>
        <v>49</v>
      </c>
      <c r="M50" s="616">
        <f t="shared" si="1"/>
        <v>-11000000</v>
      </c>
      <c r="N50" s="3">
        <f t="shared" ca="1" si="2"/>
        <v>35666579.686638042</v>
      </c>
      <c r="O50" s="3">
        <f t="shared" ca="1" si="3"/>
        <v>0</v>
      </c>
      <c r="P50" s="3">
        <f t="shared" si="4"/>
        <v>0</v>
      </c>
      <c r="Q50" s="3">
        <f t="shared" si="5"/>
        <v>0</v>
      </c>
      <c r="R50" s="3">
        <f t="shared" si="6"/>
        <v>0</v>
      </c>
      <c r="S50" s="3">
        <f t="shared" si="7"/>
        <v>60785761</v>
      </c>
      <c r="T50" s="3">
        <f t="shared" si="8"/>
        <v>6563907.6999999993</v>
      </c>
      <c r="U50" s="47">
        <f t="shared" ca="1" si="9"/>
        <v>92016248.386638045</v>
      </c>
      <c r="V50" s="47">
        <f>'Monthly Data'!G50</f>
        <v>147237.57009013605</v>
      </c>
      <c r="W50" s="47">
        <f ca="1">+'Monthly Data'!H50</f>
        <v>146807.61407578114</v>
      </c>
      <c r="X50" s="47">
        <f t="shared" ca="1" si="10"/>
        <v>92310293.570803955</v>
      </c>
    </row>
    <row r="51" spans="1:24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 ca="1">'Monthly Data'!I51</f>
        <v>84693841.039088443</v>
      </c>
      <c r="E51" s="3">
        <f t="shared" ref="E51:F51" ca="1" si="47">E39</f>
        <v>680.85501811594202</v>
      </c>
      <c r="F51" s="3">
        <f t="shared" ca="1" si="47"/>
        <v>0</v>
      </c>
      <c r="G51" s="3">
        <f>'Monthly Data'!EM51</f>
        <v>0</v>
      </c>
      <c r="H51" s="3">
        <f>'Monthly Data'!ER51</f>
        <v>0</v>
      </c>
      <c r="I51" s="3">
        <f>'Monthly Data'!EG51</f>
        <v>0</v>
      </c>
      <c r="J51" s="3">
        <f>'Monthly Data'!DQ51</f>
        <v>28</v>
      </c>
      <c r="K51">
        <f>'Monthly Data'!EH51</f>
        <v>50</v>
      </c>
      <c r="M51" s="616">
        <f t="shared" si="1"/>
        <v>-11000000</v>
      </c>
      <c r="N51" s="3">
        <f t="shared" ca="1" si="2"/>
        <v>31980345.736221377</v>
      </c>
      <c r="O51" s="3">
        <f t="shared" ca="1" si="3"/>
        <v>0</v>
      </c>
      <c r="P51" s="3">
        <f t="shared" si="4"/>
        <v>0</v>
      </c>
      <c r="Q51" s="3">
        <f t="shared" si="5"/>
        <v>0</v>
      </c>
      <c r="R51" s="3">
        <f t="shared" si="6"/>
        <v>0</v>
      </c>
      <c r="S51" s="3">
        <f t="shared" si="7"/>
        <v>54903268</v>
      </c>
      <c r="T51" s="3">
        <f t="shared" si="8"/>
        <v>6697864.9999999991</v>
      </c>
      <c r="U51" s="47">
        <f t="shared" ca="1" si="9"/>
        <v>82581478.736221373</v>
      </c>
      <c r="V51" s="47">
        <f>'Monthly Data'!G51</f>
        <v>151365.58021043349</v>
      </c>
      <c r="W51" s="47">
        <f ca="1">+'Monthly Data'!H51</f>
        <v>120336.84850462282</v>
      </c>
      <c r="X51" s="47">
        <f t="shared" ca="1" si="10"/>
        <v>82853181.164936423</v>
      </c>
    </row>
    <row r="52" spans="1:24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 ca="1">'Monthly Data'!I52</f>
        <v>85724263.190149993</v>
      </c>
      <c r="E52" s="3">
        <f t="shared" ref="E52:F52" ca="1" si="48">E40</f>
        <v>608.13298913043479</v>
      </c>
      <c r="F52" s="3">
        <f t="shared" ca="1" si="48"/>
        <v>0</v>
      </c>
      <c r="G52" s="3">
        <f>'Monthly Data'!EM52</f>
        <v>0</v>
      </c>
      <c r="H52" s="3">
        <f>'Monthly Data'!ER52</f>
        <v>0</v>
      </c>
      <c r="I52" s="3">
        <f>'Monthly Data'!EG52</f>
        <v>1</v>
      </c>
      <c r="J52" s="3">
        <f>'Monthly Data'!DQ52</f>
        <v>31</v>
      </c>
      <c r="K52">
        <f>'Monthly Data'!EH52</f>
        <v>51</v>
      </c>
      <c r="M52" s="616">
        <f t="shared" si="1"/>
        <v>-11000000</v>
      </c>
      <c r="N52" s="3">
        <f t="shared" ca="1" si="2"/>
        <v>28564529.493827175</v>
      </c>
      <c r="O52" s="3">
        <f t="shared" ca="1" si="3"/>
        <v>0</v>
      </c>
      <c r="P52" s="3">
        <f t="shared" si="4"/>
        <v>0</v>
      </c>
      <c r="Q52" s="3">
        <f t="shared" si="5"/>
        <v>0</v>
      </c>
      <c r="R52" s="3">
        <f t="shared" si="6"/>
        <v>-3105221</v>
      </c>
      <c r="S52" s="3">
        <f t="shared" si="7"/>
        <v>60785761</v>
      </c>
      <c r="T52" s="3">
        <f t="shared" si="8"/>
        <v>6831822.2999999998</v>
      </c>
      <c r="U52" s="47">
        <f t="shared" ca="1" si="9"/>
        <v>82076891.793827176</v>
      </c>
      <c r="V52" s="47">
        <f>'Monthly Data'!G52</f>
        <v>155493.59033073092</v>
      </c>
      <c r="W52" s="47">
        <f ca="1">+'Monthly Data'!H52</f>
        <v>115095.40006421958</v>
      </c>
      <c r="X52" s="47">
        <f t="shared" ca="1" si="10"/>
        <v>82347480.784222126</v>
      </c>
    </row>
    <row r="53" spans="1:24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 ca="1">'Monthly Data'!I53</f>
        <v>72041319.765643612</v>
      </c>
      <c r="E53" s="3">
        <f t="shared" ref="E53:F53" ca="1" si="49">E41</f>
        <v>412.37941287878795</v>
      </c>
      <c r="F53" s="3">
        <f t="shared" ca="1" si="49"/>
        <v>0.4316666666666677</v>
      </c>
      <c r="G53" s="3">
        <f>'Monthly Data'!EM53</f>
        <v>0</v>
      </c>
      <c r="H53" s="3">
        <f>'Monthly Data'!ER53</f>
        <v>0</v>
      </c>
      <c r="I53" s="3">
        <f>'Monthly Data'!EG53</f>
        <v>1</v>
      </c>
      <c r="J53" s="3">
        <f>'Monthly Data'!DQ53</f>
        <v>30</v>
      </c>
      <c r="K53">
        <f>'Monthly Data'!EH53</f>
        <v>52</v>
      </c>
      <c r="M53" s="616">
        <f t="shared" si="1"/>
        <v>-11000000</v>
      </c>
      <c r="N53" s="3">
        <f t="shared" ca="1" si="2"/>
        <v>19369815.669211745</v>
      </c>
      <c r="O53" s="3">
        <f t="shared" ca="1" si="3"/>
        <v>118849.74733333361</v>
      </c>
      <c r="P53" s="3">
        <f t="shared" si="4"/>
        <v>0</v>
      </c>
      <c r="Q53" s="3">
        <f t="shared" si="5"/>
        <v>0</v>
      </c>
      <c r="R53" s="3">
        <f t="shared" si="6"/>
        <v>-3105221</v>
      </c>
      <c r="S53" s="3">
        <f t="shared" si="7"/>
        <v>58824930</v>
      </c>
      <c r="T53" s="3">
        <f t="shared" si="8"/>
        <v>6965779.5999999996</v>
      </c>
      <c r="U53" s="47">
        <f t="shared" ca="1" si="9"/>
        <v>71174154.016545072</v>
      </c>
      <c r="V53" s="47">
        <f>'Monthly Data'!G53</f>
        <v>159621.60045102835</v>
      </c>
      <c r="W53" s="47">
        <f ca="1">+'Monthly Data'!H53</f>
        <v>69015.672364232567</v>
      </c>
      <c r="X53" s="47">
        <f t="shared" ca="1" si="10"/>
        <v>71402791.28936033</v>
      </c>
    </row>
    <row r="54" spans="1:24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 ca="1">'Monthly Data'!I54</f>
        <v>67019569.619600944</v>
      </c>
      <c r="E54" s="3">
        <f t="shared" ref="E54:F54" ca="1" si="50">E42</f>
        <v>202.70273119310133</v>
      </c>
      <c r="F54" s="3">
        <f t="shared" ca="1" si="50"/>
        <v>29.4520183982684</v>
      </c>
      <c r="G54" s="3">
        <f>'Monthly Data'!EM54</f>
        <v>0</v>
      </c>
      <c r="H54" s="3">
        <f>'Monthly Data'!ER54</f>
        <v>0</v>
      </c>
      <c r="I54" s="3">
        <f>'Monthly Data'!EG54</f>
        <v>1</v>
      </c>
      <c r="J54" s="3">
        <f>'Monthly Data'!DQ54</f>
        <v>31</v>
      </c>
      <c r="K54">
        <f>'Monthly Data'!EH54</f>
        <v>53</v>
      </c>
      <c r="M54" s="616">
        <f t="shared" si="1"/>
        <v>-11000000</v>
      </c>
      <c r="N54" s="3">
        <f t="shared" ca="1" si="2"/>
        <v>9521121.6084887963</v>
      </c>
      <c r="O54" s="3">
        <f t="shared" ca="1" si="3"/>
        <v>8108953.5407510819</v>
      </c>
      <c r="P54" s="3">
        <f t="shared" si="4"/>
        <v>0</v>
      </c>
      <c r="Q54" s="3">
        <f t="shared" si="5"/>
        <v>0</v>
      </c>
      <c r="R54" s="3">
        <f t="shared" si="6"/>
        <v>-3105221</v>
      </c>
      <c r="S54" s="3">
        <f t="shared" si="7"/>
        <v>60785761</v>
      </c>
      <c r="T54" s="3">
        <f t="shared" si="8"/>
        <v>7099736.8999999994</v>
      </c>
      <c r="U54" s="47">
        <f t="shared" ca="1" si="9"/>
        <v>71410352.049239874</v>
      </c>
      <c r="V54" s="47">
        <f>'Monthly Data'!G54</f>
        <v>163749.61057132581</v>
      </c>
      <c r="W54" s="47">
        <f ca="1">+'Monthly Data'!H54</f>
        <v>38687.988008747066</v>
      </c>
      <c r="X54" s="47">
        <f t="shared" ca="1" si="10"/>
        <v>71612789.647819951</v>
      </c>
    </row>
    <row r="55" spans="1:24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 ca="1">'Monthly Data'!I55</f>
        <v>74257280.533210635</v>
      </c>
      <c r="E55" s="3">
        <f t="shared" ref="E55:F55" ca="1" si="51">E43</f>
        <v>66.09717382617383</v>
      </c>
      <c r="F55" s="3">
        <f t="shared" ca="1" si="51"/>
        <v>86.311049595332207</v>
      </c>
      <c r="G55" s="3">
        <f>'Monthly Data'!EM55</f>
        <v>0</v>
      </c>
      <c r="H55" s="3">
        <f>'Monthly Data'!ER55</f>
        <v>0</v>
      </c>
      <c r="I55" s="3">
        <f>'Monthly Data'!EG55</f>
        <v>0</v>
      </c>
      <c r="J55" s="3">
        <f>'Monthly Data'!DQ55</f>
        <v>30</v>
      </c>
      <c r="K55">
        <f>'Monthly Data'!EH55</f>
        <v>54</v>
      </c>
      <c r="M55" s="616">
        <f t="shared" si="1"/>
        <v>-11000000</v>
      </c>
      <c r="N55" s="3">
        <f t="shared" ca="1" si="2"/>
        <v>3104641.0981848752</v>
      </c>
      <c r="O55" s="3">
        <f t="shared" ca="1" si="3"/>
        <v>23763814.138563786</v>
      </c>
      <c r="P55" s="3">
        <f t="shared" si="4"/>
        <v>0</v>
      </c>
      <c r="Q55" s="3">
        <f t="shared" si="5"/>
        <v>0</v>
      </c>
      <c r="R55" s="3">
        <f t="shared" si="6"/>
        <v>0</v>
      </c>
      <c r="S55" s="3">
        <f t="shared" si="7"/>
        <v>58824930</v>
      </c>
      <c r="T55" s="3">
        <f t="shared" si="8"/>
        <v>7233694.1999999993</v>
      </c>
      <c r="U55" s="47">
        <f t="shared" ref="U55:U109" ca="1" si="52">SUM(M55:T55)</f>
        <v>81927079.436748669</v>
      </c>
      <c r="V55" s="47">
        <f>'Monthly Data'!G55</f>
        <v>167877.62069162325</v>
      </c>
      <c r="W55" s="47">
        <f ca="1">+'Monthly Data'!H55</f>
        <v>8681.3695625952096</v>
      </c>
      <c r="X55" s="47">
        <f t="shared" ref="X55:X118" ca="1" si="53">U55+V55+W55</f>
        <v>82103638.427002892</v>
      </c>
    </row>
    <row r="56" spans="1:24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 ca="1">'Monthly Data'!I56</f>
        <v>111959164.36594507</v>
      </c>
      <c r="E56" s="3">
        <f t="shared" ref="E56:F56" ca="1" si="54">E44</f>
        <v>10.249063146997932</v>
      </c>
      <c r="F56" s="3">
        <f t="shared" ca="1" si="54"/>
        <v>174.0219619206118</v>
      </c>
      <c r="G56" s="3">
        <f>'Monthly Data'!EM56</f>
        <v>0</v>
      </c>
      <c r="H56" s="3">
        <f>'Monthly Data'!ER56</f>
        <v>0</v>
      </c>
      <c r="I56" s="3">
        <f>'Monthly Data'!EG56</f>
        <v>0</v>
      </c>
      <c r="J56" s="3">
        <f>'Monthly Data'!DQ56</f>
        <v>31</v>
      </c>
      <c r="K56">
        <f>'Monthly Data'!EH56</f>
        <v>55</v>
      </c>
      <c r="M56" s="616">
        <f t="shared" si="1"/>
        <v>-11000000</v>
      </c>
      <c r="N56" s="3">
        <f t="shared" ca="1" si="2"/>
        <v>481407.31020879926</v>
      </c>
      <c r="O56" s="3">
        <f t="shared" ca="1" si="3"/>
        <v>47913049.12289343</v>
      </c>
      <c r="P56" s="3">
        <f t="shared" si="4"/>
        <v>0</v>
      </c>
      <c r="Q56" s="3">
        <f t="shared" si="5"/>
        <v>0</v>
      </c>
      <c r="R56" s="3">
        <f t="shared" si="6"/>
        <v>0</v>
      </c>
      <c r="S56" s="3">
        <f t="shared" si="7"/>
        <v>60785761</v>
      </c>
      <c r="T56" s="3">
        <f t="shared" si="8"/>
        <v>7367651.4999999991</v>
      </c>
      <c r="U56" s="47">
        <f t="shared" ca="1" si="52"/>
        <v>105547868.93310222</v>
      </c>
      <c r="V56" s="47">
        <f>'Monthly Data'!G56</f>
        <v>172005.63081192068</v>
      </c>
      <c r="W56" s="47">
        <f ca="1">+'Monthly Data'!H56</f>
        <v>0</v>
      </c>
      <c r="X56" s="47">
        <f t="shared" ca="1" si="53"/>
        <v>105719874.56391414</v>
      </c>
    </row>
    <row r="57" spans="1:24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 ca="1">'Monthly Data'!I57</f>
        <v>94178853.916445255</v>
      </c>
      <c r="E57" s="3">
        <f t="shared" ref="E57:F57" ca="1" si="55">E45</f>
        <v>21.194927536231887</v>
      </c>
      <c r="F57" s="3">
        <f t="shared" ca="1" si="55"/>
        <v>149.7160046113307</v>
      </c>
      <c r="G57" s="3">
        <f>'Monthly Data'!EM57</f>
        <v>0</v>
      </c>
      <c r="H57" s="3">
        <f>'Monthly Data'!ER57</f>
        <v>0</v>
      </c>
      <c r="I57" s="3">
        <f>'Monthly Data'!EG57</f>
        <v>0</v>
      </c>
      <c r="J57" s="3">
        <f>'Monthly Data'!DQ57</f>
        <v>31</v>
      </c>
      <c r="K57">
        <f>'Monthly Data'!EH57</f>
        <v>56</v>
      </c>
      <c r="M57" s="616">
        <f t="shared" si="1"/>
        <v>-11000000</v>
      </c>
      <c r="N57" s="3">
        <f t="shared" ca="1" si="2"/>
        <v>995543.97401449294</v>
      </c>
      <c r="O57" s="3">
        <f t="shared" ca="1" si="3"/>
        <v>41220948.231226608</v>
      </c>
      <c r="P57" s="3">
        <f t="shared" si="4"/>
        <v>0</v>
      </c>
      <c r="Q57" s="3">
        <f t="shared" si="5"/>
        <v>0</v>
      </c>
      <c r="R57" s="3">
        <f t="shared" si="6"/>
        <v>0</v>
      </c>
      <c r="S57" s="3">
        <f t="shared" si="7"/>
        <v>60785761</v>
      </c>
      <c r="T57" s="3">
        <f t="shared" si="8"/>
        <v>7501608.7999999989</v>
      </c>
      <c r="U57" s="47">
        <f t="shared" ca="1" si="52"/>
        <v>99503862.005241096</v>
      </c>
      <c r="V57" s="47">
        <f>'Monthly Data'!G57</f>
        <v>176133.64093221811</v>
      </c>
      <c r="W57" s="47">
        <f ca="1">+'Monthly Data'!H57</f>
        <v>874.48975176561908</v>
      </c>
      <c r="X57" s="47">
        <f t="shared" ca="1" si="53"/>
        <v>99680870.135925084</v>
      </c>
    </row>
    <row r="58" spans="1:24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 ca="1">'Monthly Data'!I58</f>
        <v>69925980.526639789</v>
      </c>
      <c r="E58" s="3">
        <f t="shared" ref="E58:F58" ca="1" si="56">E46</f>
        <v>96.735690993788822</v>
      </c>
      <c r="F58" s="3">
        <f t="shared" ca="1" si="56"/>
        <v>62.345178571428576</v>
      </c>
      <c r="G58" s="3">
        <f>'Monthly Data'!EM58</f>
        <v>0</v>
      </c>
      <c r="H58" s="3">
        <f>'Monthly Data'!ER58</f>
        <v>0</v>
      </c>
      <c r="I58" s="3">
        <f>'Monthly Data'!EG58</f>
        <v>1</v>
      </c>
      <c r="J58" s="3">
        <f>'Monthly Data'!DQ58</f>
        <v>30</v>
      </c>
      <c r="K58">
        <f>'Monthly Data'!EH58</f>
        <v>57</v>
      </c>
      <c r="M58" s="616">
        <f t="shared" si="1"/>
        <v>-11000000</v>
      </c>
      <c r="N58" s="3">
        <f t="shared" ca="1" si="2"/>
        <v>4543758.5986725157</v>
      </c>
      <c r="O58" s="3">
        <f t="shared" ca="1" si="3"/>
        <v>17165348.387642857</v>
      </c>
      <c r="P58" s="3">
        <f t="shared" si="4"/>
        <v>0</v>
      </c>
      <c r="Q58" s="3">
        <f t="shared" si="5"/>
        <v>0</v>
      </c>
      <c r="R58" s="3">
        <f t="shared" si="6"/>
        <v>-3105221</v>
      </c>
      <c r="S58" s="3">
        <f t="shared" si="7"/>
        <v>58824930</v>
      </c>
      <c r="T58" s="3">
        <f t="shared" si="8"/>
        <v>7635566.0999999996</v>
      </c>
      <c r="U58" s="47">
        <f t="shared" ca="1" si="52"/>
        <v>74064382.086315364</v>
      </c>
      <c r="V58" s="47">
        <f>'Monthly Data'!G58</f>
        <v>180261.65105251555</v>
      </c>
      <c r="W58" s="47">
        <f ca="1">+'Monthly Data'!H58</f>
        <v>11680.51647806761</v>
      </c>
      <c r="X58" s="47">
        <f t="shared" ca="1" si="53"/>
        <v>74256324.253845945</v>
      </c>
    </row>
    <row r="59" spans="1:24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 ca="1">'Monthly Data'!I59</f>
        <v>68770107.019172624</v>
      </c>
      <c r="E59" s="3">
        <f t="shared" ref="E59:F59" ca="1" si="57">E47</f>
        <v>298.21097826086958</v>
      </c>
      <c r="F59" s="3">
        <f t="shared" ca="1" si="57"/>
        <v>7.1541666666666703</v>
      </c>
      <c r="G59" s="3">
        <f>'Monthly Data'!EM59</f>
        <v>0</v>
      </c>
      <c r="H59" s="3">
        <f>'Monthly Data'!ER59</f>
        <v>0</v>
      </c>
      <c r="I59" s="3">
        <f>'Monthly Data'!EG59</f>
        <v>1</v>
      </c>
      <c r="J59" s="3">
        <f>'Monthly Data'!DQ59</f>
        <v>31</v>
      </c>
      <c r="K59">
        <f>'Monthly Data'!EH59</f>
        <v>58</v>
      </c>
      <c r="M59" s="616">
        <f t="shared" si="1"/>
        <v>-11000000</v>
      </c>
      <c r="N59" s="3">
        <f t="shared" ca="1" si="2"/>
        <v>14007226.110354349</v>
      </c>
      <c r="O59" s="3">
        <f t="shared" ca="1" si="3"/>
        <v>1969739.5383333343</v>
      </c>
      <c r="P59" s="3">
        <f t="shared" si="4"/>
        <v>0</v>
      </c>
      <c r="Q59" s="3">
        <f t="shared" si="5"/>
        <v>0</v>
      </c>
      <c r="R59" s="3">
        <f t="shared" si="6"/>
        <v>-3105221</v>
      </c>
      <c r="S59" s="3">
        <f t="shared" si="7"/>
        <v>60785761</v>
      </c>
      <c r="T59" s="3">
        <f t="shared" si="8"/>
        <v>7769523.3999999994</v>
      </c>
      <c r="U59" s="47">
        <f t="shared" ca="1" si="52"/>
        <v>70427029.048687682</v>
      </c>
      <c r="V59" s="47">
        <f>'Monthly Data'!G59</f>
        <v>184389.66117281298</v>
      </c>
      <c r="W59" s="47">
        <f ca="1">+'Monthly Data'!H59</f>
        <v>45886.790947579517</v>
      </c>
      <c r="X59" s="47">
        <f t="shared" ca="1" si="53"/>
        <v>70657305.500808075</v>
      </c>
    </row>
    <row r="60" spans="1:24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 ca="1">'Monthly Data'!I60</f>
        <v>80537995.410543263</v>
      </c>
      <c r="E60" s="3">
        <f t="shared" ref="E60:F60" ca="1" si="58">E48</f>
        <v>486.62991389045737</v>
      </c>
      <c r="F60" s="3">
        <f t="shared" ca="1" si="58"/>
        <v>0.15041666666666628</v>
      </c>
      <c r="G60" s="3">
        <f>'Monthly Data'!EM60</f>
        <v>0</v>
      </c>
      <c r="H60" s="3">
        <f>'Monthly Data'!ER60</f>
        <v>0</v>
      </c>
      <c r="I60" s="3">
        <f>'Monthly Data'!EG60</f>
        <v>1</v>
      </c>
      <c r="J60" s="3">
        <f>'Monthly Data'!DQ60</f>
        <v>30</v>
      </c>
      <c r="K60">
        <f>'Monthly Data'!EH60</f>
        <v>59</v>
      </c>
      <c r="M60" s="616">
        <f t="shared" si="1"/>
        <v>-11000000</v>
      </c>
      <c r="N60" s="3">
        <f t="shared" ca="1" si="2"/>
        <v>22857425.557160728</v>
      </c>
      <c r="O60" s="3">
        <f t="shared" ca="1" si="3"/>
        <v>41413.859833333227</v>
      </c>
      <c r="P60" s="3">
        <f t="shared" si="4"/>
        <v>0</v>
      </c>
      <c r="Q60" s="3">
        <f t="shared" si="5"/>
        <v>0</v>
      </c>
      <c r="R60" s="3">
        <f t="shared" si="6"/>
        <v>-3105221</v>
      </c>
      <c r="S60" s="3">
        <f t="shared" si="7"/>
        <v>58824930</v>
      </c>
      <c r="T60" s="3">
        <f t="shared" si="8"/>
        <v>7903480.6999999993</v>
      </c>
      <c r="U60" s="47">
        <f t="shared" ca="1" si="52"/>
        <v>75522029.116994068</v>
      </c>
      <c r="V60" s="47">
        <f>'Monthly Data'!G60</f>
        <v>188517.67129311041</v>
      </c>
      <c r="W60" s="47">
        <f ca="1">+'Monthly Data'!H60</f>
        <v>99710.654799076612</v>
      </c>
      <c r="X60" s="47">
        <f t="shared" ca="1" si="53"/>
        <v>75810257.443086252</v>
      </c>
    </row>
    <row r="61" spans="1:24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 ca="1">'Monthly Data'!I61</f>
        <v>92387158.446566865</v>
      </c>
      <c r="E61" s="3">
        <f t="shared" ref="E61:F61" ca="1" si="59">E49</f>
        <v>639.92800724637686</v>
      </c>
      <c r="F61" s="3">
        <f t="shared" ca="1" si="59"/>
        <v>0</v>
      </c>
      <c r="G61" s="3">
        <f>'Monthly Data'!EM61</f>
        <v>0</v>
      </c>
      <c r="H61" s="3">
        <f>'Monthly Data'!ER61</f>
        <v>0</v>
      </c>
      <c r="I61" s="3">
        <f>'Monthly Data'!EG61</f>
        <v>0</v>
      </c>
      <c r="J61" s="3">
        <f>'Monthly Data'!DQ61</f>
        <v>31</v>
      </c>
      <c r="K61">
        <f>'Monthly Data'!EH61</f>
        <v>60</v>
      </c>
      <c r="M61" s="616">
        <f t="shared" si="1"/>
        <v>-11000000</v>
      </c>
      <c r="N61" s="3">
        <f t="shared" ca="1" si="2"/>
        <v>30057968.838448554</v>
      </c>
      <c r="O61" s="3">
        <f t="shared" ca="1" si="3"/>
        <v>0</v>
      </c>
      <c r="P61" s="3">
        <f t="shared" si="4"/>
        <v>0</v>
      </c>
      <c r="Q61" s="3">
        <f t="shared" si="5"/>
        <v>0</v>
      </c>
      <c r="R61" s="3">
        <f t="shared" si="6"/>
        <v>0</v>
      </c>
      <c r="S61" s="3">
        <f t="shared" si="7"/>
        <v>60785761</v>
      </c>
      <c r="T61" s="3">
        <f t="shared" si="8"/>
        <v>8037437.9999999991</v>
      </c>
      <c r="U61" s="47">
        <f t="shared" ca="1" si="52"/>
        <v>87881167.838448554</v>
      </c>
      <c r="V61" s="47">
        <f>'Monthly Data'!G61</f>
        <v>192645.68141340784</v>
      </c>
      <c r="W61" s="47">
        <f ca="1">+'Monthly Data'!H61</f>
        <v>115654.60292790469</v>
      </c>
      <c r="X61" s="47">
        <f t="shared" ca="1" si="53"/>
        <v>88189468.122789875</v>
      </c>
    </row>
    <row r="62" spans="1:24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 ca="1">'Monthly Data'!I62</f>
        <v>89814889.618923858</v>
      </c>
      <c r="E62" s="3">
        <f t="shared" ref="E62:F62" ca="1" si="60">E50</f>
        <v>759.33418478260865</v>
      </c>
      <c r="F62" s="3">
        <f t="shared" ca="1" si="60"/>
        <v>0</v>
      </c>
      <c r="G62" s="3">
        <f>'Monthly Data'!EM62</f>
        <v>0</v>
      </c>
      <c r="H62" s="3">
        <f>'Monthly Data'!ER62</f>
        <v>0</v>
      </c>
      <c r="I62" s="3">
        <f>'Monthly Data'!EG62</f>
        <v>0</v>
      </c>
      <c r="J62" s="3">
        <f>'Monthly Data'!DQ62</f>
        <v>31</v>
      </c>
      <c r="K62">
        <f>'Monthly Data'!EH62</f>
        <v>61</v>
      </c>
      <c r="M62" s="616">
        <f t="shared" si="1"/>
        <v>-11000000</v>
      </c>
      <c r="N62" s="3">
        <f t="shared" ca="1" si="2"/>
        <v>35666579.686638042</v>
      </c>
      <c r="O62" s="3">
        <f t="shared" ca="1" si="3"/>
        <v>0</v>
      </c>
      <c r="P62" s="3">
        <f t="shared" si="4"/>
        <v>0</v>
      </c>
      <c r="Q62" s="3">
        <f t="shared" si="5"/>
        <v>0</v>
      </c>
      <c r="R62" s="3">
        <f t="shared" si="6"/>
        <v>0</v>
      </c>
      <c r="S62" s="3">
        <f t="shared" si="7"/>
        <v>60785761</v>
      </c>
      <c r="T62" s="3">
        <f t="shared" si="8"/>
        <v>8171395.2999999989</v>
      </c>
      <c r="U62" s="47">
        <f t="shared" ca="1" si="52"/>
        <v>93623735.986638039</v>
      </c>
      <c r="V62" s="47">
        <f>'Monthly Data'!G62</f>
        <v>201545.82654041427</v>
      </c>
      <c r="W62" s="47">
        <f ca="1">+'Monthly Data'!H62</f>
        <v>503196.96637022204</v>
      </c>
      <c r="X62" s="47">
        <f t="shared" ca="1" si="53"/>
        <v>94328478.779548675</v>
      </c>
    </row>
    <row r="63" spans="1:24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 ca="1">'Monthly Data'!I63</f>
        <v>83594520.729463562</v>
      </c>
      <c r="E63" s="3">
        <f t="shared" ref="E63:F63" ca="1" si="61">E51</f>
        <v>680.85501811594202</v>
      </c>
      <c r="F63" s="3">
        <f t="shared" ca="1" si="61"/>
        <v>0</v>
      </c>
      <c r="G63" s="3">
        <f>'Monthly Data'!EM63</f>
        <v>0</v>
      </c>
      <c r="H63" s="3">
        <f>'Monthly Data'!ER63</f>
        <v>0</v>
      </c>
      <c r="I63" s="3">
        <f>'Monthly Data'!EG63</f>
        <v>0</v>
      </c>
      <c r="J63" s="3">
        <f>'Monthly Data'!DQ63</f>
        <v>29</v>
      </c>
      <c r="K63">
        <f>'Monthly Data'!EH63</f>
        <v>62</v>
      </c>
      <c r="M63" s="616">
        <f t="shared" si="1"/>
        <v>-11000000</v>
      </c>
      <c r="N63" s="3">
        <f t="shared" ca="1" si="2"/>
        <v>31980345.736221377</v>
      </c>
      <c r="O63" s="3">
        <f t="shared" ca="1" si="3"/>
        <v>0</v>
      </c>
      <c r="P63" s="3">
        <f t="shared" si="4"/>
        <v>0</v>
      </c>
      <c r="Q63" s="3">
        <f t="shared" si="5"/>
        <v>0</v>
      </c>
      <c r="R63" s="3">
        <f t="shared" si="6"/>
        <v>0</v>
      </c>
      <c r="S63" s="3">
        <f t="shared" si="7"/>
        <v>56864099</v>
      </c>
      <c r="T63" s="3">
        <f t="shared" si="8"/>
        <v>8305352.5999999996</v>
      </c>
      <c r="U63" s="47">
        <f t="shared" ca="1" si="52"/>
        <v>86149797.336221367</v>
      </c>
      <c r="V63" s="47">
        <f>'Monthly Data'!G63</f>
        <v>206317.96154712324</v>
      </c>
      <c r="W63" s="47">
        <f ca="1">+'Monthly Data'!H63</f>
        <v>496458.42088472866</v>
      </c>
      <c r="X63" s="47">
        <f t="shared" ca="1" si="53"/>
        <v>86852573.718653217</v>
      </c>
    </row>
    <row r="64" spans="1:24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 ca="1">'Monthly Data'!I64</f>
        <v>83302968.693846226</v>
      </c>
      <c r="E64" s="3">
        <f t="shared" ref="E64:F64" ca="1" si="62">E52</f>
        <v>608.13298913043479</v>
      </c>
      <c r="F64" s="3">
        <f t="shared" ca="1" si="62"/>
        <v>0</v>
      </c>
      <c r="G64" s="3">
        <f>'Monthly Data'!EM64</f>
        <v>271.78541666666672</v>
      </c>
      <c r="H64" s="3">
        <f>'Monthly Data'!ER64</f>
        <v>0</v>
      </c>
      <c r="I64" s="3">
        <f>'Monthly Data'!EG64</f>
        <v>1</v>
      </c>
      <c r="J64" s="3">
        <f>'Monthly Data'!DQ64</f>
        <v>31</v>
      </c>
      <c r="K64">
        <f>'Monthly Data'!EH64</f>
        <v>63</v>
      </c>
      <c r="M64" s="616">
        <f t="shared" si="1"/>
        <v>-11000000</v>
      </c>
      <c r="N64" s="3">
        <f t="shared" ca="1" si="2"/>
        <v>28564529.493827175</v>
      </c>
      <c r="O64" s="3">
        <f t="shared" ca="1" si="3"/>
        <v>0</v>
      </c>
      <c r="P64" s="3">
        <f t="shared" si="4"/>
        <v>2249516.5263062501</v>
      </c>
      <c r="Q64" s="3">
        <f t="shared" si="5"/>
        <v>0</v>
      </c>
      <c r="R64" s="3">
        <f t="shared" si="6"/>
        <v>-3105221</v>
      </c>
      <c r="S64" s="3">
        <f t="shared" si="7"/>
        <v>60785761</v>
      </c>
      <c r="T64" s="3">
        <f t="shared" si="8"/>
        <v>8439309.8999999985</v>
      </c>
      <c r="U64" s="47">
        <f t="shared" ca="1" si="52"/>
        <v>85933895.920133412</v>
      </c>
      <c r="V64" s="47">
        <f>'Monthly Data'!G64</f>
        <v>211090.09655383221</v>
      </c>
      <c r="W64" s="47">
        <f ca="1">+'Monthly Data'!H64</f>
        <v>385364.112606076</v>
      </c>
      <c r="X64" s="47">
        <f t="shared" ca="1" si="53"/>
        <v>86530350.129293323</v>
      </c>
    </row>
    <row r="65" spans="1:24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 ca="1">'Monthly Data'!I65</f>
        <v>77670479.82798478</v>
      </c>
      <c r="E65" s="3">
        <f t="shared" ref="E65:F65" ca="1" si="63">E53</f>
        <v>412.37941287878795</v>
      </c>
      <c r="F65" s="3">
        <f t="shared" ca="1" si="63"/>
        <v>0.4316666666666677</v>
      </c>
      <c r="G65" s="3">
        <f>'Monthly Data'!EM65</f>
        <v>439.67500000000013</v>
      </c>
      <c r="H65" s="3">
        <f>'Monthly Data'!ER65</f>
        <v>0</v>
      </c>
      <c r="I65" s="3">
        <f>'Monthly Data'!EG65</f>
        <v>1</v>
      </c>
      <c r="J65" s="3">
        <f>'Monthly Data'!DQ65</f>
        <v>30</v>
      </c>
      <c r="K65">
        <f>'Monthly Data'!EH65</f>
        <v>64</v>
      </c>
      <c r="M65" s="616">
        <f t="shared" si="1"/>
        <v>-11000000</v>
      </c>
      <c r="N65" s="3">
        <f t="shared" ca="1" si="2"/>
        <v>19369815.669211745</v>
      </c>
      <c r="O65" s="3">
        <f t="shared" ca="1" si="3"/>
        <v>118849.74733333361</v>
      </c>
      <c r="P65" s="3">
        <f t="shared" si="4"/>
        <v>3639106.8764250008</v>
      </c>
      <c r="Q65" s="3">
        <f t="shared" si="5"/>
        <v>0</v>
      </c>
      <c r="R65" s="3">
        <f t="shared" si="6"/>
        <v>-3105221</v>
      </c>
      <c r="S65" s="3">
        <f t="shared" si="7"/>
        <v>58824930</v>
      </c>
      <c r="T65" s="3">
        <f t="shared" si="8"/>
        <v>8573267.1999999993</v>
      </c>
      <c r="U65" s="47">
        <f t="shared" ca="1" si="52"/>
        <v>76420748.492970079</v>
      </c>
      <c r="V65" s="47">
        <f>'Monthly Data'!G65</f>
        <v>215862.2315605412</v>
      </c>
      <c r="W65" s="47">
        <f ca="1">+'Monthly Data'!H65</f>
        <v>303824.71139492164</v>
      </c>
      <c r="X65" s="47">
        <f t="shared" ca="1" si="53"/>
        <v>76940435.435925543</v>
      </c>
    </row>
    <row r="66" spans="1:24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 ca="1">'Monthly Data'!I66</f>
        <v>80099486.315454125</v>
      </c>
      <c r="E66" s="3">
        <f t="shared" ref="E66:F66" ca="1" si="64">E54</f>
        <v>202.70273119310133</v>
      </c>
      <c r="F66" s="3">
        <f t="shared" ca="1" si="64"/>
        <v>29.4520183982684</v>
      </c>
      <c r="G66" s="3">
        <f>'Monthly Data'!EM66</f>
        <v>265.14107142857148</v>
      </c>
      <c r="H66" s="3">
        <f>'Monthly Data'!ER66</f>
        <v>31.450595238095232</v>
      </c>
      <c r="I66" s="3">
        <f>'Monthly Data'!EG66</f>
        <v>1</v>
      </c>
      <c r="J66" s="3">
        <f>'Monthly Data'!DQ66</f>
        <v>31</v>
      </c>
      <c r="K66">
        <f>'Monthly Data'!EH66</f>
        <v>65</v>
      </c>
      <c r="M66" s="616">
        <f t="shared" ref="M66:M129" si="65">$AB$8</f>
        <v>-11000000</v>
      </c>
      <c r="N66" s="3">
        <f t="shared" ref="N66:N129" ca="1" si="66">E66*$AB$9</f>
        <v>9521121.6084887963</v>
      </c>
      <c r="O66" s="3">
        <f t="shared" ref="O66:O129" ca="1" si="67">F66*$AB$10</f>
        <v>8108953.5407510819</v>
      </c>
      <c r="P66" s="3">
        <f t="shared" ref="P66:P129" si="68">G66*$AB$11</f>
        <v>2194522.5365517861</v>
      </c>
      <c r="Q66" s="3">
        <f t="shared" ref="Q66:Q129" si="69">H66*$AB$12</f>
        <v>1294066.820678571</v>
      </c>
      <c r="R66" s="3">
        <f t="shared" ref="R66:R129" si="70">I66*$AB$13</f>
        <v>-3105221</v>
      </c>
      <c r="S66" s="3">
        <f t="shared" ref="S66:S129" si="71">J66*$AB$14</f>
        <v>60785761</v>
      </c>
      <c r="T66" s="3">
        <f t="shared" ref="T66:T129" si="72">K66*$AB$15</f>
        <v>8707224.5</v>
      </c>
      <c r="U66" s="47">
        <f t="shared" ca="1" si="52"/>
        <v>76506429.006470233</v>
      </c>
      <c r="V66" s="47">
        <f>'Monthly Data'!G66</f>
        <v>220634.36656725017</v>
      </c>
      <c r="W66" s="47">
        <f ca="1">+'Monthly Data'!H66</f>
        <v>170236.98872018073</v>
      </c>
      <c r="X66" s="47">
        <f t="shared" ca="1" si="53"/>
        <v>76897300.361757666</v>
      </c>
    </row>
    <row r="67" spans="1:24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 ca="1">'Monthly Data'!I67</f>
        <v>95258181.781721637</v>
      </c>
      <c r="E67" s="3">
        <f t="shared" ref="E67:F67" ca="1" si="73">E55</f>
        <v>66.09717382617383</v>
      </c>
      <c r="F67" s="3">
        <f t="shared" ca="1" si="73"/>
        <v>86.311049595332207</v>
      </c>
      <c r="G67" s="3">
        <f>'Monthly Data'!EM67</f>
        <v>26.637500000000003</v>
      </c>
      <c r="H67" s="3">
        <f>'Monthly Data'!ER67</f>
        <v>57.841032608695642</v>
      </c>
      <c r="I67" s="3">
        <f>'Monthly Data'!EG67</f>
        <v>0</v>
      </c>
      <c r="J67" s="3">
        <f>'Monthly Data'!DQ67</f>
        <v>30</v>
      </c>
      <c r="K67">
        <f>'Monthly Data'!EH67</f>
        <v>66</v>
      </c>
      <c r="M67" s="616">
        <f t="shared" si="65"/>
        <v>-11000000</v>
      </c>
      <c r="N67" s="3">
        <f t="shared" ca="1" si="66"/>
        <v>3104641.0981848752</v>
      </c>
      <c r="O67" s="3">
        <f t="shared" ca="1" si="67"/>
        <v>23763814.138563786</v>
      </c>
      <c r="P67" s="3">
        <f t="shared" si="68"/>
        <v>220473.55301250002</v>
      </c>
      <c r="Q67" s="3">
        <f t="shared" si="69"/>
        <v>2379928.2845380427</v>
      </c>
      <c r="R67" s="3">
        <f t="shared" si="70"/>
        <v>0</v>
      </c>
      <c r="S67" s="3">
        <f t="shared" si="71"/>
        <v>58824930</v>
      </c>
      <c r="T67" s="3">
        <f t="shared" si="72"/>
        <v>8841181.7999999989</v>
      </c>
      <c r="U67" s="47">
        <f t="shared" ca="1" si="52"/>
        <v>86134968.874299198</v>
      </c>
      <c r="V67" s="47">
        <f>'Monthly Data'!G67</f>
        <v>225406.50157395913</v>
      </c>
      <c r="W67" s="47">
        <f ca="1">+'Monthly Data'!H67</f>
        <v>23793.300635567273</v>
      </c>
      <c r="X67" s="47">
        <f t="shared" ca="1" si="53"/>
        <v>86384168.676508725</v>
      </c>
    </row>
    <row r="68" spans="1:24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 ca="1">'Monthly Data'!I68</f>
        <v>132307295.59040362</v>
      </c>
      <c r="E68" s="3">
        <f t="shared" ref="E68:F68" ca="1" si="74">E56</f>
        <v>10.249063146997932</v>
      </c>
      <c r="F68" s="3">
        <f t="shared" ca="1" si="74"/>
        <v>174.0219619206118</v>
      </c>
      <c r="G68" s="3">
        <f>'Monthly Data'!EM68</f>
        <v>0</v>
      </c>
      <c r="H68" s="3">
        <f>'Monthly Data'!ER68</f>
        <v>123.44374999999999</v>
      </c>
      <c r="I68" s="3">
        <f>'Monthly Data'!EG68</f>
        <v>0</v>
      </c>
      <c r="J68" s="3">
        <f>'Monthly Data'!DQ68</f>
        <v>31</v>
      </c>
      <c r="K68">
        <f>'Monthly Data'!EH68</f>
        <v>67</v>
      </c>
      <c r="M68" s="616">
        <f t="shared" si="65"/>
        <v>-11000000</v>
      </c>
      <c r="N68" s="3">
        <f t="shared" ca="1" si="66"/>
        <v>481407.31020879926</v>
      </c>
      <c r="O68" s="3">
        <f t="shared" ca="1" si="67"/>
        <v>47913049.12289343</v>
      </c>
      <c r="P68" s="3">
        <f t="shared" si="68"/>
        <v>0</v>
      </c>
      <c r="Q68" s="3">
        <f t="shared" si="69"/>
        <v>5079219.0063749989</v>
      </c>
      <c r="R68" s="3">
        <f t="shared" si="70"/>
        <v>0</v>
      </c>
      <c r="S68" s="3">
        <f t="shared" si="71"/>
        <v>60785761</v>
      </c>
      <c r="T68" s="3">
        <f t="shared" si="72"/>
        <v>8975139.0999999996</v>
      </c>
      <c r="U68" s="47">
        <f t="shared" ca="1" si="52"/>
        <v>112234575.53947723</v>
      </c>
      <c r="V68" s="47">
        <f>'Monthly Data'!G68</f>
        <v>230178.6365806681</v>
      </c>
      <c r="W68" s="47">
        <f ca="1">+'Monthly Data'!H68</f>
        <v>0</v>
      </c>
      <c r="X68" s="47">
        <f t="shared" ca="1" si="53"/>
        <v>112464754.17605789</v>
      </c>
    </row>
    <row r="69" spans="1:24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 ca="1">'Monthly Data'!I69</f>
        <v>109307290.26289327</v>
      </c>
      <c r="E69" s="3">
        <f t="shared" ref="E69:F69" ca="1" si="75">E57</f>
        <v>21.194927536231887</v>
      </c>
      <c r="F69" s="3">
        <f t="shared" ca="1" si="75"/>
        <v>149.7160046113307</v>
      </c>
      <c r="G69" s="3">
        <f>'Monthly Data'!EM69</f>
        <v>9.8604166666666604</v>
      </c>
      <c r="H69" s="3">
        <f>'Monthly Data'!ER69</f>
        <v>77.46553030303032</v>
      </c>
      <c r="I69" s="3">
        <f>'Monthly Data'!EG69</f>
        <v>0</v>
      </c>
      <c r="J69" s="3">
        <f>'Monthly Data'!DQ69</f>
        <v>31</v>
      </c>
      <c r="K69">
        <f>'Monthly Data'!EH69</f>
        <v>68</v>
      </c>
      <c r="M69" s="616">
        <f t="shared" si="65"/>
        <v>-11000000</v>
      </c>
      <c r="N69" s="3">
        <f t="shared" ca="1" si="66"/>
        <v>995543.97401449294</v>
      </c>
      <c r="O69" s="3">
        <f t="shared" ca="1" si="67"/>
        <v>41220948.231226608</v>
      </c>
      <c r="P69" s="3">
        <f t="shared" si="68"/>
        <v>81612.805131249945</v>
      </c>
      <c r="Q69" s="3">
        <f t="shared" si="69"/>
        <v>3187398.2591590914</v>
      </c>
      <c r="R69" s="3">
        <f t="shared" si="70"/>
        <v>0</v>
      </c>
      <c r="S69" s="3">
        <f t="shared" si="71"/>
        <v>60785761</v>
      </c>
      <c r="T69" s="3">
        <f t="shared" si="72"/>
        <v>9109096.3999999985</v>
      </c>
      <c r="U69" s="47">
        <f t="shared" ca="1" si="52"/>
        <v>104380360.66953143</v>
      </c>
      <c r="V69" s="47">
        <f>'Monthly Data'!G69</f>
        <v>234950.77158737706</v>
      </c>
      <c r="W69" s="47">
        <f ca="1">+'Monthly Data'!H69</f>
        <v>2790.7781154666177</v>
      </c>
      <c r="X69" s="47">
        <f t="shared" ca="1" si="53"/>
        <v>104618102.21923427</v>
      </c>
    </row>
    <row r="70" spans="1:24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 ca="1">'Monthly Data'!I70</f>
        <v>75295223.957907006</v>
      </c>
      <c r="E70" s="3">
        <f t="shared" ref="E70:F70" ca="1" si="76">E58</f>
        <v>96.735690993788822</v>
      </c>
      <c r="F70" s="3">
        <f t="shared" ca="1" si="76"/>
        <v>62.345178571428576</v>
      </c>
      <c r="G70" s="3">
        <f>'Monthly Data'!EM70</f>
        <v>66.37934782608697</v>
      </c>
      <c r="H70" s="3">
        <f>'Monthly Data'!ER70</f>
        <v>18.939583333333331</v>
      </c>
      <c r="I70" s="3">
        <f>'Monthly Data'!EG70</f>
        <v>1</v>
      </c>
      <c r="J70" s="3">
        <f>'Monthly Data'!DQ70</f>
        <v>30</v>
      </c>
      <c r="K70">
        <f>'Monthly Data'!EH70</f>
        <v>69</v>
      </c>
      <c r="M70" s="616">
        <f t="shared" si="65"/>
        <v>-11000000</v>
      </c>
      <c r="N70" s="3">
        <f t="shared" ca="1" si="66"/>
        <v>4543758.5986725157</v>
      </c>
      <c r="O70" s="3">
        <f t="shared" ca="1" si="67"/>
        <v>17165348.387642857</v>
      </c>
      <c r="P70" s="3">
        <f t="shared" si="68"/>
        <v>549409.31625978276</v>
      </c>
      <c r="Q70" s="3">
        <f t="shared" si="69"/>
        <v>779288.47462499992</v>
      </c>
      <c r="R70" s="3">
        <f t="shared" si="70"/>
        <v>-3105221</v>
      </c>
      <c r="S70" s="3">
        <f t="shared" si="71"/>
        <v>58824930</v>
      </c>
      <c r="T70" s="3">
        <f t="shared" si="72"/>
        <v>9243053.6999999993</v>
      </c>
      <c r="U70" s="47">
        <f t="shared" ca="1" si="52"/>
        <v>77000567.477200165</v>
      </c>
      <c r="V70" s="47">
        <f>'Monthly Data'!G70</f>
        <v>239722.90659408603</v>
      </c>
      <c r="W70" s="47">
        <f ca="1">+'Monthly Data'!H70</f>
        <v>68052.597387134505</v>
      </c>
      <c r="X70" s="47">
        <f t="shared" ca="1" si="53"/>
        <v>77308342.981181383</v>
      </c>
    </row>
    <row r="71" spans="1:24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 ca="1">'Monthly Data'!I71</f>
        <v>74212248.059770763</v>
      </c>
      <c r="E71" s="3">
        <f t="shared" ref="E71:F71" ca="1" si="77">E59</f>
        <v>298.21097826086958</v>
      </c>
      <c r="F71" s="3">
        <f t="shared" ca="1" si="77"/>
        <v>7.1541666666666703</v>
      </c>
      <c r="G71" s="3">
        <f>'Monthly Data'!EM71</f>
        <v>174.91666666666663</v>
      </c>
      <c r="H71" s="3">
        <f>'Monthly Data'!ER71</f>
        <v>0.11458333333333393</v>
      </c>
      <c r="I71" s="3">
        <f>'Monthly Data'!EG71</f>
        <v>1</v>
      </c>
      <c r="J71" s="3">
        <f>'Monthly Data'!DQ71</f>
        <v>31</v>
      </c>
      <c r="K71">
        <f>'Monthly Data'!EH71</f>
        <v>70</v>
      </c>
      <c r="M71" s="616">
        <f t="shared" si="65"/>
        <v>-11000000</v>
      </c>
      <c r="N71" s="3">
        <f t="shared" ca="1" si="66"/>
        <v>14007226.110354349</v>
      </c>
      <c r="O71" s="3">
        <f t="shared" ca="1" si="67"/>
        <v>1969739.5383333343</v>
      </c>
      <c r="P71" s="3">
        <f t="shared" si="68"/>
        <v>1447752.1907499996</v>
      </c>
      <c r="Q71" s="3">
        <f t="shared" si="69"/>
        <v>4714.6481250000243</v>
      </c>
      <c r="R71" s="3">
        <f t="shared" si="70"/>
        <v>-3105221</v>
      </c>
      <c r="S71" s="3">
        <f t="shared" si="71"/>
        <v>60785761</v>
      </c>
      <c r="T71" s="3">
        <f t="shared" si="72"/>
        <v>9377011</v>
      </c>
      <c r="U71" s="47">
        <f t="shared" ca="1" si="52"/>
        <v>73486983.487562686</v>
      </c>
      <c r="V71" s="47">
        <f>'Monthly Data'!G71</f>
        <v>244495.041600795</v>
      </c>
      <c r="W71" s="47">
        <f ca="1">+'Monthly Data'!H71</f>
        <v>230330.88675798575</v>
      </c>
      <c r="X71" s="47">
        <f t="shared" ca="1" si="53"/>
        <v>73961809.415921465</v>
      </c>
    </row>
    <row r="72" spans="1:24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 ca="1">'Monthly Data'!I72</f>
        <v>78077861.058878124</v>
      </c>
      <c r="E72" s="3">
        <f t="shared" ref="E72:F72" ca="1" si="78">E60</f>
        <v>486.62991389045737</v>
      </c>
      <c r="F72" s="3">
        <f t="shared" ca="1" si="78"/>
        <v>0.15041666666666628</v>
      </c>
      <c r="G72" s="3">
        <f>'Monthly Data'!EM72</f>
        <v>213.15036231884056</v>
      </c>
      <c r="H72" s="3">
        <f>'Monthly Data'!ER72</f>
        <v>0</v>
      </c>
      <c r="I72" s="3">
        <f>'Monthly Data'!EG72</f>
        <v>1</v>
      </c>
      <c r="J72" s="3">
        <f>'Monthly Data'!DQ72</f>
        <v>30</v>
      </c>
      <c r="K72">
        <f>'Monthly Data'!EH72</f>
        <v>71</v>
      </c>
      <c r="M72" s="616">
        <f t="shared" si="65"/>
        <v>-11000000</v>
      </c>
      <c r="N72" s="3">
        <f t="shared" ca="1" si="66"/>
        <v>22857425.557160728</v>
      </c>
      <c r="O72" s="3">
        <f t="shared" ca="1" si="67"/>
        <v>41413.859833333227</v>
      </c>
      <c r="P72" s="3">
        <f t="shared" si="68"/>
        <v>1764205.2634945649</v>
      </c>
      <c r="Q72" s="3">
        <f t="shared" si="69"/>
        <v>0</v>
      </c>
      <c r="R72" s="3">
        <f t="shared" si="70"/>
        <v>-3105221</v>
      </c>
      <c r="S72" s="3">
        <f t="shared" si="71"/>
        <v>58824930</v>
      </c>
      <c r="T72" s="3">
        <f t="shared" si="72"/>
        <v>9510968.2999999989</v>
      </c>
      <c r="U72" s="47">
        <f t="shared" ca="1" si="52"/>
        <v>78893721.980488628</v>
      </c>
      <c r="V72" s="47">
        <f>'Monthly Data'!G72</f>
        <v>249267.17660750399</v>
      </c>
      <c r="W72" s="47">
        <f ca="1">+'Monthly Data'!H72</f>
        <v>293122.30709631689</v>
      </c>
      <c r="X72" s="47">
        <f t="shared" ca="1" si="53"/>
        <v>79436111.46419245</v>
      </c>
    </row>
    <row r="73" spans="1:24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 ca="1">'Monthly Data'!I73</f>
        <v>95508383.138286412</v>
      </c>
      <c r="E73" s="3">
        <f t="shared" ref="E73:F73" ca="1" si="79">E61</f>
        <v>639.92800724637686</v>
      </c>
      <c r="F73" s="3">
        <f t="shared" ca="1" si="79"/>
        <v>0</v>
      </c>
      <c r="G73" s="3">
        <f>'Monthly Data'!EM73</f>
        <v>322.45208333333341</v>
      </c>
      <c r="H73" s="3">
        <f>'Monthly Data'!ER73</f>
        <v>0</v>
      </c>
      <c r="I73" s="3">
        <f>'Monthly Data'!EG73</f>
        <v>0</v>
      </c>
      <c r="J73" s="3">
        <f>'Monthly Data'!DQ73</f>
        <v>31</v>
      </c>
      <c r="K73">
        <f>'Monthly Data'!EH73</f>
        <v>72</v>
      </c>
      <c r="M73" s="616">
        <f t="shared" si="65"/>
        <v>-11000000</v>
      </c>
      <c r="N73" s="3">
        <f t="shared" ca="1" si="66"/>
        <v>30057968.838448554</v>
      </c>
      <c r="O73" s="3">
        <f t="shared" ca="1" si="67"/>
        <v>0</v>
      </c>
      <c r="P73" s="3">
        <f t="shared" si="68"/>
        <v>2668874.9503062507</v>
      </c>
      <c r="Q73" s="3">
        <f t="shared" si="69"/>
        <v>0</v>
      </c>
      <c r="R73" s="3">
        <f t="shared" si="70"/>
        <v>0</v>
      </c>
      <c r="S73" s="3">
        <f t="shared" si="71"/>
        <v>60785761</v>
      </c>
      <c r="T73" s="3">
        <f t="shared" si="72"/>
        <v>9644925.5999999996</v>
      </c>
      <c r="U73" s="47">
        <f t="shared" ca="1" si="52"/>
        <v>92157530.3887548</v>
      </c>
      <c r="V73" s="47">
        <f>'Monthly Data'!G73</f>
        <v>254039.31161421296</v>
      </c>
      <c r="W73" s="47">
        <f ca="1">+'Monthly Data'!H73</f>
        <v>466453.38831473573</v>
      </c>
      <c r="X73" s="47">
        <f t="shared" ca="1" si="53"/>
        <v>92878023.088683754</v>
      </c>
    </row>
    <row r="74" spans="1:24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Data'!I74</f>
        <v>96260070.917755052</v>
      </c>
      <c r="E74" s="3">
        <f t="shared" ref="E74:F74" ca="1" si="80">E62</f>
        <v>759.33418478260865</v>
      </c>
      <c r="F74" s="3">
        <f t="shared" ca="1" si="80"/>
        <v>0</v>
      </c>
      <c r="G74" s="3">
        <f>'Monthly Data'!EM74</f>
        <v>357.7520833333333</v>
      </c>
      <c r="H74" s="3">
        <f>'Monthly Data'!ER74</f>
        <v>0</v>
      </c>
      <c r="I74" s="3">
        <f>'Monthly Data'!EG74</f>
        <v>0</v>
      </c>
      <c r="J74" s="3">
        <f>'Monthly Data'!DQ74</f>
        <v>31</v>
      </c>
      <c r="K74">
        <f>'Monthly Data'!EH74</f>
        <v>73</v>
      </c>
      <c r="M74" s="616">
        <f t="shared" si="65"/>
        <v>-11000000</v>
      </c>
      <c r="N74" s="3">
        <f t="shared" ca="1" si="66"/>
        <v>35666579.686638042</v>
      </c>
      <c r="O74" s="3">
        <f t="shared" ca="1" si="67"/>
        <v>0</v>
      </c>
      <c r="P74" s="3">
        <f t="shared" si="68"/>
        <v>2961046.3786062496</v>
      </c>
      <c r="Q74" s="3">
        <f t="shared" si="69"/>
        <v>0</v>
      </c>
      <c r="R74" s="3">
        <f t="shared" si="70"/>
        <v>0</v>
      </c>
      <c r="S74" s="3">
        <f t="shared" si="71"/>
        <v>60785761</v>
      </c>
      <c r="T74" s="3">
        <f t="shared" si="72"/>
        <v>9778882.8999999985</v>
      </c>
      <c r="U74" s="47">
        <f t="shared" ca="1" si="52"/>
        <v>98192269.965244293</v>
      </c>
      <c r="V74" s="47">
        <f>'Monthly Data'!G74</f>
        <v>268217.31286819099</v>
      </c>
      <c r="W74" s="47">
        <f ca="1">+'Monthly Data'!H74</f>
        <v>1000692.3870284107</v>
      </c>
      <c r="X74" s="47">
        <f t="shared" ca="1" si="53"/>
        <v>99461179.665140897</v>
      </c>
    </row>
    <row r="75" spans="1:24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Data'!I75</f>
        <v>89183549.451028422</v>
      </c>
      <c r="E75" s="3">
        <f t="shared" ref="E75:F75" ca="1" si="81">E63</f>
        <v>680.85501811594202</v>
      </c>
      <c r="F75" s="3">
        <f t="shared" ca="1" si="81"/>
        <v>0</v>
      </c>
      <c r="G75" s="3">
        <f>'Monthly Data'!EM75</f>
        <v>354.72708333333327</v>
      </c>
      <c r="H75" s="3">
        <f>'Monthly Data'!ER75</f>
        <v>0</v>
      </c>
      <c r="I75" s="3">
        <f>'Monthly Data'!EG75</f>
        <v>0</v>
      </c>
      <c r="J75" s="3">
        <f>'Monthly Data'!DQ75</f>
        <v>28</v>
      </c>
      <c r="K75">
        <f>'Monthly Data'!EH75</f>
        <v>74</v>
      </c>
      <c r="M75" s="616">
        <f t="shared" si="65"/>
        <v>-11000000</v>
      </c>
      <c r="N75" s="3">
        <f t="shared" ca="1" si="66"/>
        <v>31980345.736221377</v>
      </c>
      <c r="O75" s="3">
        <f t="shared" ca="1" si="67"/>
        <v>0</v>
      </c>
      <c r="P75" s="3">
        <f t="shared" si="68"/>
        <v>2936009.0253312495</v>
      </c>
      <c r="Q75" s="3">
        <f t="shared" si="69"/>
        <v>0</v>
      </c>
      <c r="R75" s="3">
        <f t="shared" si="70"/>
        <v>0</v>
      </c>
      <c r="S75" s="3">
        <f t="shared" si="71"/>
        <v>54903268</v>
      </c>
      <c r="T75" s="3">
        <f t="shared" si="72"/>
        <v>9912840.1999999993</v>
      </c>
      <c r="U75" s="47">
        <f t="shared" ca="1" si="52"/>
        <v>88732462.961552635</v>
      </c>
      <c r="V75" s="47">
        <f>'Monthly Data'!G75</f>
        <v>277623.17911546002</v>
      </c>
      <c r="W75" s="47">
        <f ca="1">+'Monthly Data'!H75</f>
        <v>1000615.8234471763</v>
      </c>
      <c r="X75" s="47">
        <f t="shared" ca="1" si="53"/>
        <v>90010701.964115277</v>
      </c>
    </row>
    <row r="76" spans="1:24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Data'!I76</f>
        <v>84801267.218263984</v>
      </c>
      <c r="E76" s="3">
        <f t="shared" ref="E76:F76" ca="1" si="82">E64</f>
        <v>608.13298913043479</v>
      </c>
      <c r="F76" s="3">
        <f t="shared" ca="1" si="82"/>
        <v>0</v>
      </c>
      <c r="G76" s="3">
        <f>'Monthly Data'!EM76</f>
        <v>277.29818840579713</v>
      </c>
      <c r="H76" s="3">
        <f>'Monthly Data'!ER76</f>
        <v>0</v>
      </c>
      <c r="I76" s="3">
        <f>'Monthly Data'!EG76</f>
        <v>1</v>
      </c>
      <c r="J76" s="3">
        <f>'Monthly Data'!DQ76</f>
        <v>31</v>
      </c>
      <c r="K76">
        <f>'Monthly Data'!EH76</f>
        <v>75</v>
      </c>
      <c r="M76" s="616">
        <f t="shared" si="65"/>
        <v>-11000000</v>
      </c>
      <c r="N76" s="3">
        <f t="shared" ca="1" si="66"/>
        <v>28564529.493827175</v>
      </c>
      <c r="O76" s="3">
        <f t="shared" ca="1" si="67"/>
        <v>0</v>
      </c>
      <c r="P76" s="3">
        <f t="shared" si="68"/>
        <v>2295144.696077174</v>
      </c>
      <c r="Q76" s="3">
        <f t="shared" si="69"/>
        <v>0</v>
      </c>
      <c r="R76" s="3">
        <f t="shared" si="70"/>
        <v>-3105221</v>
      </c>
      <c r="S76" s="3">
        <f t="shared" si="71"/>
        <v>60785761</v>
      </c>
      <c r="T76" s="3">
        <f t="shared" si="72"/>
        <v>10046797.5</v>
      </c>
      <c r="U76" s="47">
        <f t="shared" ca="1" si="52"/>
        <v>87587011.689904347</v>
      </c>
      <c r="V76" s="47">
        <f>'Monthly Data'!G76</f>
        <v>287029.04536272906</v>
      </c>
      <c r="W76" s="47">
        <f ca="1">+'Monthly Data'!H76</f>
        <v>754298.85423297319</v>
      </c>
      <c r="X76" s="47">
        <f t="shared" ca="1" si="53"/>
        <v>88628339.58950004</v>
      </c>
    </row>
    <row r="77" spans="1:24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Data'!I77</f>
        <v>73791015.112033695</v>
      </c>
      <c r="E77" s="3">
        <f t="shared" ref="E77:F77" ca="1" si="83">E65</f>
        <v>412.37941287878795</v>
      </c>
      <c r="F77" s="3">
        <f t="shared" ca="1" si="83"/>
        <v>0.4316666666666677</v>
      </c>
      <c r="G77" s="3">
        <f>'Monthly Data'!EM77</f>
        <v>189.89791666666665</v>
      </c>
      <c r="H77" s="3">
        <f>'Monthly Data'!ER77</f>
        <v>0.10624999999999929</v>
      </c>
      <c r="I77" s="3">
        <f>'Monthly Data'!EG77</f>
        <v>1</v>
      </c>
      <c r="J77" s="3">
        <f>'Monthly Data'!DQ77</f>
        <v>30</v>
      </c>
      <c r="K77">
        <f>'Monthly Data'!EH77</f>
        <v>76</v>
      </c>
      <c r="M77" s="616">
        <f t="shared" si="65"/>
        <v>-11000000</v>
      </c>
      <c r="N77" s="3">
        <f t="shared" ca="1" si="66"/>
        <v>19369815.669211745</v>
      </c>
      <c r="O77" s="3">
        <f t="shared" ca="1" si="67"/>
        <v>118849.74733333361</v>
      </c>
      <c r="P77" s="3">
        <f t="shared" si="68"/>
        <v>1571749.1655437497</v>
      </c>
      <c r="Q77" s="3">
        <f t="shared" si="69"/>
        <v>4371.7646249999707</v>
      </c>
      <c r="R77" s="3">
        <f t="shared" si="70"/>
        <v>-3105221</v>
      </c>
      <c r="S77" s="3">
        <f t="shared" si="71"/>
        <v>58824930</v>
      </c>
      <c r="T77" s="3">
        <f t="shared" si="72"/>
        <v>10180754.799999999</v>
      </c>
      <c r="U77" s="47">
        <f t="shared" ca="1" si="52"/>
        <v>75965250.146713823</v>
      </c>
      <c r="V77" s="47">
        <f>'Monthly Data'!G77</f>
        <v>296434.91160999809</v>
      </c>
      <c r="W77" s="47">
        <f ca="1">+'Monthly Data'!H77</f>
        <v>489694.28527500801</v>
      </c>
      <c r="X77" s="47">
        <f t="shared" ca="1" si="53"/>
        <v>76751379.343598828</v>
      </c>
    </row>
    <row r="78" spans="1:24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Data'!I78</f>
        <v>77735774.669364065</v>
      </c>
      <c r="E78" s="3">
        <f t="shared" ref="E78:F78" ca="1" si="84">E66</f>
        <v>202.70273119310133</v>
      </c>
      <c r="F78" s="3">
        <f t="shared" ca="1" si="84"/>
        <v>29.4520183982684</v>
      </c>
      <c r="G78" s="3">
        <f>'Monthly Data'!EM78</f>
        <v>110.96111111111111</v>
      </c>
      <c r="H78" s="3">
        <f>'Monthly Data'!ER78</f>
        <v>17.787499999999998</v>
      </c>
      <c r="I78" s="3">
        <f>'Monthly Data'!EG78</f>
        <v>1</v>
      </c>
      <c r="J78" s="3">
        <f>'Monthly Data'!DQ78</f>
        <v>31</v>
      </c>
      <c r="K78">
        <f>'Monthly Data'!EH78</f>
        <v>77</v>
      </c>
      <c r="M78" s="616">
        <f t="shared" si="65"/>
        <v>-11000000</v>
      </c>
      <c r="N78" s="3">
        <f t="shared" ca="1" si="66"/>
        <v>9521121.6084887963</v>
      </c>
      <c r="O78" s="3">
        <f t="shared" ca="1" si="67"/>
        <v>8108953.5407510819</v>
      </c>
      <c r="P78" s="3">
        <f t="shared" si="68"/>
        <v>918404.14501666662</v>
      </c>
      <c r="Q78" s="3">
        <f t="shared" si="69"/>
        <v>731884.83074999985</v>
      </c>
      <c r="R78" s="3">
        <f t="shared" si="70"/>
        <v>-3105221</v>
      </c>
      <c r="S78" s="3">
        <f t="shared" si="71"/>
        <v>60785761</v>
      </c>
      <c r="T78" s="3">
        <f t="shared" si="72"/>
        <v>10314712.1</v>
      </c>
      <c r="U78" s="47">
        <f t="shared" ca="1" si="52"/>
        <v>76275616.225006536</v>
      </c>
      <c r="V78" s="47">
        <f>'Monthly Data'!G78</f>
        <v>305840.77785726712</v>
      </c>
      <c r="W78" s="47">
        <f ca="1">+'Monthly Data'!H78</f>
        <v>265894.68379537872</v>
      </c>
      <c r="X78" s="47">
        <f t="shared" ca="1" si="53"/>
        <v>76847351.686659187</v>
      </c>
    </row>
    <row r="79" spans="1:24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Data'!I79</f>
        <v>95777562.942741141</v>
      </c>
      <c r="E79" s="3">
        <f t="shared" ref="E79:F79" ca="1" si="85">E67</f>
        <v>66.09717382617383</v>
      </c>
      <c r="F79" s="3">
        <f t="shared" ca="1" si="85"/>
        <v>86.311049595332207</v>
      </c>
      <c r="G79" s="3">
        <f>'Monthly Data'!EM79</f>
        <v>18.033333333333339</v>
      </c>
      <c r="H79" s="3">
        <f>'Monthly Data'!ER79</f>
        <v>62.472916666666656</v>
      </c>
      <c r="I79" s="3">
        <f>'Monthly Data'!EG79</f>
        <v>0</v>
      </c>
      <c r="J79" s="3">
        <f>'Monthly Data'!DQ79</f>
        <v>30</v>
      </c>
      <c r="K79">
        <f>'Monthly Data'!EH79</f>
        <v>78</v>
      </c>
      <c r="M79" s="616">
        <f t="shared" si="65"/>
        <v>-11000000</v>
      </c>
      <c r="N79" s="3">
        <f t="shared" ca="1" si="66"/>
        <v>3104641.0981848752</v>
      </c>
      <c r="O79" s="3">
        <f t="shared" ca="1" si="67"/>
        <v>23763814.138563786</v>
      </c>
      <c r="P79" s="3">
        <f t="shared" si="68"/>
        <v>149258.49170000004</v>
      </c>
      <c r="Q79" s="3">
        <f t="shared" si="69"/>
        <v>2570511.8786249994</v>
      </c>
      <c r="R79" s="3">
        <f t="shared" si="70"/>
        <v>0</v>
      </c>
      <c r="S79" s="3">
        <f t="shared" si="71"/>
        <v>58824930</v>
      </c>
      <c r="T79" s="3">
        <f t="shared" si="72"/>
        <v>10448669.399999999</v>
      </c>
      <c r="U79" s="47">
        <f t="shared" ca="1" si="52"/>
        <v>87861825.007073671</v>
      </c>
      <c r="V79" s="47">
        <f>'Monthly Data'!G79</f>
        <v>315246.64410453616</v>
      </c>
      <c r="W79" s="47">
        <f ca="1">+'Monthly Data'!H79</f>
        <v>21827.00095016096</v>
      </c>
      <c r="X79" s="47">
        <f t="shared" ca="1" si="53"/>
        <v>88198898.652128369</v>
      </c>
    </row>
    <row r="80" spans="1:24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Data'!I80</f>
        <v>101754886.08038045</v>
      </c>
      <c r="E80" s="3">
        <f t="shared" ref="E80:F80" ca="1" si="86">E68</f>
        <v>10.249063146997932</v>
      </c>
      <c r="F80" s="3">
        <f t="shared" ca="1" si="86"/>
        <v>174.0219619206118</v>
      </c>
      <c r="G80" s="3">
        <f>'Monthly Data'!EM80</f>
        <v>12.758333333333335</v>
      </c>
      <c r="H80" s="3">
        <f>'Monthly Data'!ER80</f>
        <v>65.810416666666654</v>
      </c>
      <c r="I80" s="3">
        <f>'Monthly Data'!EG80</f>
        <v>0</v>
      </c>
      <c r="J80" s="3">
        <f>'Monthly Data'!DQ80</f>
        <v>31</v>
      </c>
      <c r="K80">
        <f>'Monthly Data'!EH80</f>
        <v>79</v>
      </c>
      <c r="M80" s="616">
        <f t="shared" si="65"/>
        <v>-11000000</v>
      </c>
      <c r="N80" s="3">
        <f t="shared" ca="1" si="66"/>
        <v>481407.31020879926</v>
      </c>
      <c r="O80" s="3">
        <f t="shared" ca="1" si="67"/>
        <v>47913049.12289343</v>
      </c>
      <c r="P80" s="3">
        <f t="shared" si="68"/>
        <v>105598.31367500001</v>
      </c>
      <c r="Q80" s="3">
        <f t="shared" si="69"/>
        <v>2707836.7203749991</v>
      </c>
      <c r="R80" s="3">
        <f t="shared" si="70"/>
        <v>0</v>
      </c>
      <c r="S80" s="3">
        <f t="shared" si="71"/>
        <v>60785761</v>
      </c>
      <c r="T80" s="3">
        <f t="shared" si="72"/>
        <v>10582626.699999999</v>
      </c>
      <c r="U80" s="47">
        <f t="shared" ca="1" si="52"/>
        <v>111576279.16715224</v>
      </c>
      <c r="V80" s="47">
        <f>'Monthly Data'!G80</f>
        <v>324652.51035180519</v>
      </c>
      <c r="W80" s="47">
        <f ca="1">+'Monthly Data'!H80</f>
        <v>8198.6834904872176</v>
      </c>
      <c r="X80" s="47">
        <f t="shared" ca="1" si="53"/>
        <v>111909130.36099453</v>
      </c>
    </row>
    <row r="81" spans="1:24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Data'!I81</f>
        <v>121188435.70875239</v>
      </c>
      <c r="E81" s="3">
        <f t="shared" ref="E81:F81" ca="1" si="87">E69</f>
        <v>21.194927536231887</v>
      </c>
      <c r="F81" s="3">
        <f t="shared" ca="1" si="87"/>
        <v>149.7160046113307</v>
      </c>
      <c r="G81" s="3">
        <f>'Monthly Data'!EM81</f>
        <v>4.2624999999999975</v>
      </c>
      <c r="H81" s="3">
        <f>'Monthly Data'!ER81</f>
        <v>102.03124999999997</v>
      </c>
      <c r="I81" s="3">
        <f>'Monthly Data'!EG81</f>
        <v>0</v>
      </c>
      <c r="J81" s="3">
        <f>'Monthly Data'!DQ81</f>
        <v>31</v>
      </c>
      <c r="K81">
        <f>'Monthly Data'!EH81</f>
        <v>80</v>
      </c>
      <c r="M81" s="616">
        <f t="shared" si="65"/>
        <v>-11000000</v>
      </c>
      <c r="N81" s="3">
        <f t="shared" ca="1" si="66"/>
        <v>995543.97401449294</v>
      </c>
      <c r="O81" s="3">
        <f t="shared" ca="1" si="67"/>
        <v>41220948.231226608</v>
      </c>
      <c r="P81" s="3">
        <f t="shared" si="68"/>
        <v>35279.906887499979</v>
      </c>
      <c r="Q81" s="3">
        <f t="shared" si="69"/>
        <v>4198179.8531249985</v>
      </c>
      <c r="R81" s="3">
        <f t="shared" si="70"/>
        <v>0</v>
      </c>
      <c r="S81" s="3">
        <f t="shared" si="71"/>
        <v>60785761</v>
      </c>
      <c r="T81" s="3">
        <f t="shared" si="72"/>
        <v>10716584</v>
      </c>
      <c r="U81" s="47">
        <f t="shared" ca="1" si="52"/>
        <v>106952296.96525359</v>
      </c>
      <c r="V81" s="47">
        <f>'Monthly Data'!G81</f>
        <v>334058.37659907422</v>
      </c>
      <c r="W81" s="47">
        <f ca="1">+'Monthly Data'!H81</f>
        <v>1059.1295404053537</v>
      </c>
      <c r="X81" s="47">
        <f t="shared" ca="1" si="53"/>
        <v>107287414.47139306</v>
      </c>
    </row>
    <row r="82" spans="1:24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Data'!I82</f>
        <v>78479359.790168136</v>
      </c>
      <c r="E82" s="3">
        <f t="shared" ref="E82:F82" ca="1" si="88">E70</f>
        <v>96.735690993788822</v>
      </c>
      <c r="F82" s="3">
        <f t="shared" ca="1" si="88"/>
        <v>62.345178571428576</v>
      </c>
      <c r="G82" s="3">
        <f>'Monthly Data'!EM82</f>
        <v>46.552083333333336</v>
      </c>
      <c r="H82" s="3">
        <f>'Monthly Data'!ER82</f>
        <v>24.670833333333341</v>
      </c>
      <c r="I82" s="3">
        <f>'Monthly Data'!EG82</f>
        <v>1</v>
      </c>
      <c r="J82" s="3">
        <f>'Monthly Data'!DQ82</f>
        <v>30</v>
      </c>
      <c r="K82">
        <f>'Monthly Data'!EH82</f>
        <v>81</v>
      </c>
      <c r="M82" s="616">
        <f t="shared" si="65"/>
        <v>-11000000</v>
      </c>
      <c r="N82" s="3">
        <f t="shared" ca="1" si="66"/>
        <v>4543758.5986725157</v>
      </c>
      <c r="O82" s="3">
        <f t="shared" ca="1" si="67"/>
        <v>17165348.387642857</v>
      </c>
      <c r="P82" s="3">
        <f t="shared" si="68"/>
        <v>385302.79540624999</v>
      </c>
      <c r="Q82" s="3">
        <f t="shared" si="69"/>
        <v>1015106.6017500003</v>
      </c>
      <c r="R82" s="3">
        <f t="shared" si="70"/>
        <v>-3105221</v>
      </c>
      <c r="S82" s="3">
        <f t="shared" si="71"/>
        <v>58824930</v>
      </c>
      <c r="T82" s="3">
        <f t="shared" si="72"/>
        <v>10850541.299999999</v>
      </c>
      <c r="U82" s="47">
        <f t="shared" ca="1" si="52"/>
        <v>78679766.68347162</v>
      </c>
      <c r="V82" s="47">
        <f>'Monthly Data'!G82</f>
        <v>343464.24284634326</v>
      </c>
      <c r="W82" s="47">
        <f ca="1">+'Monthly Data'!H82</f>
        <v>69947.211755806624</v>
      </c>
      <c r="X82" s="47">
        <f t="shared" ca="1" si="53"/>
        <v>79093178.138073772</v>
      </c>
    </row>
    <row r="83" spans="1:24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Data'!I83</f>
        <v>73297575.734986961</v>
      </c>
      <c r="E83" s="3">
        <f t="shared" ref="E83:F83" ca="1" si="89">E71</f>
        <v>298.21097826086958</v>
      </c>
      <c r="F83" s="3">
        <f t="shared" ca="1" si="89"/>
        <v>7.1541666666666703</v>
      </c>
      <c r="G83" s="3">
        <f>'Monthly Data'!EM83</f>
        <v>107.09374999999997</v>
      </c>
      <c r="H83" s="3">
        <f>'Monthly Data'!ER83</f>
        <v>9.1229166666666721</v>
      </c>
      <c r="I83" s="3">
        <f>'Monthly Data'!EG83</f>
        <v>1</v>
      </c>
      <c r="J83" s="3">
        <f>'Monthly Data'!DQ83</f>
        <v>31</v>
      </c>
      <c r="K83">
        <f>'Monthly Data'!EH83</f>
        <v>82</v>
      </c>
      <c r="M83" s="616">
        <f t="shared" si="65"/>
        <v>-11000000</v>
      </c>
      <c r="N83" s="3">
        <f t="shared" ca="1" si="66"/>
        <v>14007226.110354349</v>
      </c>
      <c r="O83" s="3">
        <f t="shared" ca="1" si="67"/>
        <v>1969739.5383333343</v>
      </c>
      <c r="P83" s="3">
        <f t="shared" si="68"/>
        <v>886394.72803124972</v>
      </c>
      <c r="Q83" s="3">
        <f t="shared" si="69"/>
        <v>375371.71162500017</v>
      </c>
      <c r="R83" s="3">
        <f t="shared" si="70"/>
        <v>-3105221</v>
      </c>
      <c r="S83" s="3">
        <f t="shared" si="71"/>
        <v>60785761</v>
      </c>
      <c r="T83" s="3">
        <f t="shared" si="72"/>
        <v>10984498.6</v>
      </c>
      <c r="U83" s="47">
        <f t="shared" ca="1" si="52"/>
        <v>74903770.688343927</v>
      </c>
      <c r="V83" s="47">
        <f>'Monthly Data'!G83</f>
        <v>352870.10909361229</v>
      </c>
      <c r="W83" s="47">
        <f ca="1">+'Monthly Data'!H83</f>
        <v>235011.91259813739</v>
      </c>
      <c r="X83" s="47">
        <f t="shared" ca="1" si="53"/>
        <v>75491652.710035667</v>
      </c>
    </row>
    <row r="84" spans="1:24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Data'!I84</f>
        <v>78798888.780930117</v>
      </c>
      <c r="E84" s="3">
        <f t="shared" ref="E84:F84" ca="1" si="90">E72</f>
        <v>486.62991389045737</v>
      </c>
      <c r="F84" s="3">
        <f t="shared" ca="1" si="90"/>
        <v>0.15041666666666628</v>
      </c>
      <c r="G84" s="3">
        <f>'Monthly Data'!EM84</f>
        <v>253.15630175983441</v>
      </c>
      <c r="H84" s="3">
        <f>'Monthly Data'!ER84</f>
        <v>0</v>
      </c>
      <c r="I84" s="3">
        <f>'Monthly Data'!EG84</f>
        <v>1</v>
      </c>
      <c r="J84" s="3">
        <f>'Monthly Data'!DQ84</f>
        <v>30</v>
      </c>
      <c r="K84">
        <f>'Monthly Data'!EH84</f>
        <v>83</v>
      </c>
      <c r="M84" s="616">
        <f t="shared" si="65"/>
        <v>-11000000</v>
      </c>
      <c r="N84" s="3">
        <f t="shared" ca="1" si="66"/>
        <v>22857425.557160728</v>
      </c>
      <c r="O84" s="3">
        <f t="shared" ca="1" si="67"/>
        <v>41413.859833333227</v>
      </c>
      <c r="P84" s="3">
        <f t="shared" si="68"/>
        <v>2095326.8631251168</v>
      </c>
      <c r="Q84" s="3">
        <f t="shared" si="69"/>
        <v>0</v>
      </c>
      <c r="R84" s="3">
        <f t="shared" si="70"/>
        <v>-3105221</v>
      </c>
      <c r="S84" s="3">
        <f t="shared" si="71"/>
        <v>58824930</v>
      </c>
      <c r="T84" s="3">
        <f t="shared" si="72"/>
        <v>11118455.899999999</v>
      </c>
      <c r="U84" s="47">
        <f t="shared" ca="1" si="52"/>
        <v>80832331.180119187</v>
      </c>
      <c r="V84" s="47">
        <f>'Monthly Data'!G84</f>
        <v>362275.97534088133</v>
      </c>
      <c r="W84" s="47">
        <f ca="1">+'Monthly Data'!H84</f>
        <v>683425.82550781278</v>
      </c>
      <c r="X84" s="47">
        <f t="shared" ca="1" si="53"/>
        <v>81878032.980967894</v>
      </c>
    </row>
    <row r="85" spans="1:24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Data'!I85</f>
        <v>92109867.804479927</v>
      </c>
      <c r="E85" s="3">
        <f t="shared" ref="E85:F85" ca="1" si="91">E73</f>
        <v>639.92800724637686</v>
      </c>
      <c r="F85" s="3">
        <f t="shared" ca="1" si="91"/>
        <v>0</v>
      </c>
      <c r="G85" s="3">
        <f>'Monthly Data'!EM85</f>
        <v>297.52291666666667</v>
      </c>
      <c r="H85" s="3">
        <f>'Monthly Data'!ER85</f>
        <v>0</v>
      </c>
      <c r="I85" s="3">
        <f>'Monthly Data'!EG85</f>
        <v>0</v>
      </c>
      <c r="J85" s="3">
        <f>'Monthly Data'!DQ85</f>
        <v>31</v>
      </c>
      <c r="K85">
        <f>'Monthly Data'!EH85</f>
        <v>84</v>
      </c>
      <c r="M85" s="616">
        <f t="shared" si="65"/>
        <v>-11000000</v>
      </c>
      <c r="N85" s="3">
        <f t="shared" ca="1" si="66"/>
        <v>30057968.838448554</v>
      </c>
      <c r="O85" s="3">
        <f t="shared" ca="1" si="67"/>
        <v>0</v>
      </c>
      <c r="P85" s="3">
        <f t="shared" si="68"/>
        <v>2462540.9494187501</v>
      </c>
      <c r="Q85" s="3">
        <f t="shared" si="69"/>
        <v>0</v>
      </c>
      <c r="R85" s="3">
        <f t="shared" si="70"/>
        <v>0</v>
      </c>
      <c r="S85" s="3">
        <f t="shared" si="71"/>
        <v>60785761</v>
      </c>
      <c r="T85" s="3">
        <f t="shared" si="72"/>
        <v>11252413.199999999</v>
      </c>
      <c r="U85" s="47">
        <f t="shared" ca="1" si="52"/>
        <v>93558683.987867311</v>
      </c>
      <c r="V85" s="47">
        <f>'Monthly Data'!G85</f>
        <v>371681.84158815036</v>
      </c>
      <c r="W85" s="47">
        <f ca="1">+'Monthly Data'!H85</f>
        <v>816237.95923853863</v>
      </c>
      <c r="X85" s="47">
        <f t="shared" ca="1" si="53"/>
        <v>94746603.788694009</v>
      </c>
    </row>
    <row r="86" spans="1:24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Data'!I86</f>
        <v>103982778.385355</v>
      </c>
      <c r="E86" s="3">
        <f t="shared" ref="E86:F86" ca="1" si="92">E74</f>
        <v>759.33418478260865</v>
      </c>
      <c r="F86" s="3">
        <f t="shared" ca="1" si="92"/>
        <v>0</v>
      </c>
      <c r="G86" s="3">
        <f>'Monthly Data'!EM86</f>
        <v>221.87291666666664</v>
      </c>
      <c r="H86" s="3">
        <f>'Monthly Data'!ER86</f>
        <v>0</v>
      </c>
      <c r="I86" s="3">
        <f>'Monthly Data'!EG86</f>
        <v>0</v>
      </c>
      <c r="J86" s="3">
        <f>'Monthly Data'!DQ86</f>
        <v>31</v>
      </c>
      <c r="K86">
        <f>'Monthly Data'!EH86</f>
        <v>85</v>
      </c>
      <c r="M86" s="616">
        <f t="shared" si="65"/>
        <v>-11000000</v>
      </c>
      <c r="N86" s="3">
        <f t="shared" ca="1" si="66"/>
        <v>35666579.686638042</v>
      </c>
      <c r="O86" s="3">
        <f t="shared" ca="1" si="67"/>
        <v>0</v>
      </c>
      <c r="P86" s="3">
        <f t="shared" si="68"/>
        <v>1836400.1972687498</v>
      </c>
      <c r="Q86" s="3">
        <f t="shared" si="69"/>
        <v>0</v>
      </c>
      <c r="R86" s="3">
        <f t="shared" si="70"/>
        <v>0</v>
      </c>
      <c r="S86" s="3">
        <f t="shared" si="71"/>
        <v>60785761</v>
      </c>
      <c r="T86" s="3">
        <f t="shared" si="72"/>
        <v>11386370.499999998</v>
      </c>
      <c r="U86" s="47">
        <f t="shared" ca="1" si="52"/>
        <v>98675111.383906797</v>
      </c>
      <c r="V86" s="47">
        <f>'Monthly Data'!G86</f>
        <v>402345.72230525612</v>
      </c>
      <c r="W86" s="47">
        <f ca="1">+'Monthly Data'!H86</f>
        <v>1862230.3271339724</v>
      </c>
      <c r="X86" s="47">
        <f t="shared" ca="1" si="53"/>
        <v>100939687.43334602</v>
      </c>
    </row>
    <row r="87" spans="1:24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Data'!I87</f>
        <v>88001797.160039648</v>
      </c>
      <c r="E87" s="3">
        <f t="shared" ref="E87:F87" ca="1" si="93">E75</f>
        <v>680.85501811594202</v>
      </c>
      <c r="F87" s="3">
        <f t="shared" ca="1" si="93"/>
        <v>0</v>
      </c>
      <c r="G87" s="3">
        <f>'Monthly Data'!EM87</f>
        <v>173.21250000000001</v>
      </c>
      <c r="H87" s="3">
        <f>'Monthly Data'!ER87</f>
        <v>0</v>
      </c>
      <c r="I87" s="3">
        <f>'Monthly Data'!EG87</f>
        <v>0</v>
      </c>
      <c r="J87" s="3">
        <f>'Monthly Data'!DQ87</f>
        <v>28</v>
      </c>
      <c r="K87">
        <f>'Monthly Data'!EH87</f>
        <v>86</v>
      </c>
      <c r="M87" s="616">
        <f t="shared" si="65"/>
        <v>-11000000</v>
      </c>
      <c r="N87" s="3">
        <f t="shared" ca="1" si="66"/>
        <v>31980345.736221377</v>
      </c>
      <c r="O87" s="3">
        <f t="shared" ca="1" si="67"/>
        <v>0</v>
      </c>
      <c r="P87" s="3">
        <f t="shared" si="68"/>
        <v>1433647.1253374999</v>
      </c>
      <c r="Q87" s="3">
        <f t="shared" si="69"/>
        <v>0</v>
      </c>
      <c r="R87" s="3">
        <f t="shared" si="70"/>
        <v>0</v>
      </c>
      <c r="S87" s="3">
        <f t="shared" si="71"/>
        <v>54903268</v>
      </c>
      <c r="T87" s="3">
        <f t="shared" si="72"/>
        <v>11520327.799999999</v>
      </c>
      <c r="U87" s="47">
        <f t="shared" ca="1" si="52"/>
        <v>88837588.661558881</v>
      </c>
      <c r="V87" s="47">
        <f>'Monthly Data'!G87</f>
        <v>423603.73677509278</v>
      </c>
      <c r="W87" s="47">
        <f ca="1">+'Monthly Data'!H87</f>
        <v>1436672.7511910319</v>
      </c>
      <c r="X87" s="47">
        <f t="shared" ca="1" si="53"/>
        <v>90697865.149525002</v>
      </c>
    </row>
    <row r="88" spans="1:24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Data'!I88</f>
        <v>87269321.955269039</v>
      </c>
      <c r="E88" s="3">
        <f t="shared" ref="E88:F88" ca="1" si="94">E76</f>
        <v>608.13298913043479</v>
      </c>
      <c r="F88" s="3">
        <f t="shared" ca="1" si="94"/>
        <v>0</v>
      </c>
      <c r="G88" s="3">
        <f>'Monthly Data'!EM88</f>
        <v>151.68020833333333</v>
      </c>
      <c r="H88" s="3">
        <f>'Monthly Data'!ER88</f>
        <v>0</v>
      </c>
      <c r="I88" s="3">
        <f>'Monthly Data'!EG88</f>
        <v>1</v>
      </c>
      <c r="J88" s="3">
        <f>'Monthly Data'!DQ88</f>
        <v>31</v>
      </c>
      <c r="K88">
        <f>'Monthly Data'!EH88</f>
        <v>87</v>
      </c>
      <c r="M88" s="616">
        <f t="shared" si="65"/>
        <v>-11000000</v>
      </c>
      <c r="N88" s="3">
        <f t="shared" ca="1" si="66"/>
        <v>28564529.493827175</v>
      </c>
      <c r="O88" s="3">
        <f t="shared" ca="1" si="67"/>
        <v>0</v>
      </c>
      <c r="P88" s="3">
        <f t="shared" si="68"/>
        <v>1255428.4168156248</v>
      </c>
      <c r="Q88" s="3">
        <f t="shared" si="69"/>
        <v>0</v>
      </c>
      <c r="R88" s="3">
        <f t="shared" si="70"/>
        <v>-3105221</v>
      </c>
      <c r="S88" s="3">
        <f t="shared" si="71"/>
        <v>60785761</v>
      </c>
      <c r="T88" s="3">
        <f t="shared" si="72"/>
        <v>11654285.1</v>
      </c>
      <c r="U88" s="47">
        <f t="shared" ca="1" si="52"/>
        <v>88154783.010642797</v>
      </c>
      <c r="V88" s="47">
        <f>'Monthly Data'!G88</f>
        <v>444861.7512449295</v>
      </c>
      <c r="W88" s="47">
        <f ca="1">+'Monthly Data'!H88</f>
        <v>1228838.1538134124</v>
      </c>
      <c r="X88" s="47">
        <f t="shared" ca="1" si="53"/>
        <v>89828482.915701136</v>
      </c>
    </row>
    <row r="89" spans="1:24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Data'!I89</f>
        <v>74333076.317455515</v>
      </c>
      <c r="E89" s="3">
        <f t="shared" ref="E89:F89" ca="1" si="95">E77</f>
        <v>412.37941287878795</v>
      </c>
      <c r="F89" s="3">
        <f t="shared" ca="1" si="95"/>
        <v>0.4316666666666677</v>
      </c>
      <c r="G89" s="3">
        <f>'Monthly Data'!EM89</f>
        <v>103.58333333333333</v>
      </c>
      <c r="H89" s="3">
        <f>'Monthly Data'!ER89</f>
        <v>0</v>
      </c>
      <c r="I89" s="3">
        <f>'Monthly Data'!EG89</f>
        <v>1</v>
      </c>
      <c r="J89" s="3">
        <f>'Monthly Data'!DQ89</f>
        <v>30</v>
      </c>
      <c r="K89">
        <f>'Monthly Data'!EH89</f>
        <v>88</v>
      </c>
      <c r="M89" s="616">
        <f t="shared" si="65"/>
        <v>-11000000</v>
      </c>
      <c r="N89" s="3">
        <f t="shared" ca="1" si="66"/>
        <v>19369815.669211745</v>
      </c>
      <c r="O89" s="3">
        <f t="shared" ca="1" si="67"/>
        <v>118849.74733333361</v>
      </c>
      <c r="P89" s="3">
        <f t="shared" si="68"/>
        <v>857339.67274999991</v>
      </c>
      <c r="Q89" s="3">
        <f t="shared" si="69"/>
        <v>0</v>
      </c>
      <c r="R89" s="3">
        <f t="shared" si="70"/>
        <v>-3105221</v>
      </c>
      <c r="S89" s="3">
        <f t="shared" si="71"/>
        <v>58824930</v>
      </c>
      <c r="T89" s="3">
        <f t="shared" si="72"/>
        <v>11788242.399999999</v>
      </c>
      <c r="U89" s="47">
        <f t="shared" ca="1" si="52"/>
        <v>76853956.489295065</v>
      </c>
      <c r="V89" s="47">
        <f>'Monthly Data'!G89</f>
        <v>466119.76571476622</v>
      </c>
      <c r="W89" s="47">
        <f ca="1">+'Monthly Data'!H89</f>
        <v>799342.14467879257</v>
      </c>
      <c r="X89" s="47">
        <f t="shared" ca="1" si="53"/>
        <v>78119418.399688616</v>
      </c>
    </row>
    <row r="90" spans="1:24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Data'!I90</f>
        <v>74288223.702238336</v>
      </c>
      <c r="E90" s="3">
        <f t="shared" ref="E90:F90" ca="1" si="96">E78</f>
        <v>202.70273119310133</v>
      </c>
      <c r="F90" s="3">
        <f t="shared" ca="1" si="96"/>
        <v>29.4520183982684</v>
      </c>
      <c r="G90" s="3">
        <f>'Monthly Data'!EM90</f>
        <v>39.744791666666671</v>
      </c>
      <c r="H90" s="3">
        <f>'Monthly Data'!ER90</f>
        <v>10.421875</v>
      </c>
      <c r="I90" s="3">
        <f>'Monthly Data'!EG90</f>
        <v>1</v>
      </c>
      <c r="J90" s="3">
        <f>'Monthly Data'!DQ90</f>
        <v>31</v>
      </c>
      <c r="K90">
        <f>'Monthly Data'!EH90</f>
        <v>89</v>
      </c>
      <c r="M90" s="616">
        <f t="shared" si="65"/>
        <v>-11000000</v>
      </c>
      <c r="N90" s="3">
        <f t="shared" ca="1" si="66"/>
        <v>9521121.6084887963</v>
      </c>
      <c r="O90" s="3">
        <f t="shared" ca="1" si="67"/>
        <v>8108953.5407510819</v>
      </c>
      <c r="P90" s="3">
        <f t="shared" si="68"/>
        <v>328960.12885937502</v>
      </c>
      <c r="Q90" s="3">
        <f t="shared" si="69"/>
        <v>428818.67718749994</v>
      </c>
      <c r="R90" s="3">
        <f t="shared" si="70"/>
        <v>-3105221</v>
      </c>
      <c r="S90" s="3">
        <f t="shared" si="71"/>
        <v>60785761</v>
      </c>
      <c r="T90" s="3">
        <f t="shared" si="72"/>
        <v>11922199.699999999</v>
      </c>
      <c r="U90" s="47">
        <f t="shared" ca="1" si="52"/>
        <v>76990593.655286759</v>
      </c>
      <c r="V90" s="47">
        <f>'Monthly Data'!G90</f>
        <v>487377.78018460295</v>
      </c>
      <c r="W90" s="47">
        <f ca="1">+'Monthly Data'!H90</f>
        <v>247040.33685851394</v>
      </c>
      <c r="X90" s="47">
        <f t="shared" ca="1" si="53"/>
        <v>77725011.772329867</v>
      </c>
    </row>
    <row r="91" spans="1:24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Data'!I91</f>
        <v>83986295.956202775</v>
      </c>
      <c r="E91" s="3">
        <f t="shared" ref="E91:F91" ca="1" si="97">E79</f>
        <v>66.09717382617383</v>
      </c>
      <c r="F91" s="3">
        <f t="shared" ca="1" si="97"/>
        <v>86.311049595332207</v>
      </c>
      <c r="G91" s="3">
        <f>'Monthly Data'!EM91</f>
        <v>18.882252747252753</v>
      </c>
      <c r="H91" s="3">
        <f>'Monthly Data'!ER91</f>
        <v>16.778206168831165</v>
      </c>
      <c r="I91" s="3">
        <f>'Monthly Data'!EG91</f>
        <v>0</v>
      </c>
      <c r="J91" s="3">
        <f>'Monthly Data'!DQ91</f>
        <v>30</v>
      </c>
      <c r="K91">
        <f>'Monthly Data'!EH91</f>
        <v>90</v>
      </c>
      <c r="M91" s="616">
        <f t="shared" si="65"/>
        <v>-11000000</v>
      </c>
      <c r="N91" s="3">
        <f t="shared" ca="1" si="66"/>
        <v>3104641.0981848752</v>
      </c>
      <c r="O91" s="3">
        <f t="shared" ca="1" si="67"/>
        <v>23763814.138563786</v>
      </c>
      <c r="P91" s="3">
        <f t="shared" si="68"/>
        <v>156284.83724324181</v>
      </c>
      <c r="Q91" s="3">
        <f t="shared" si="69"/>
        <v>690356.40658685041</v>
      </c>
      <c r="R91" s="3">
        <f t="shared" si="70"/>
        <v>0</v>
      </c>
      <c r="S91" s="3">
        <f t="shared" si="71"/>
        <v>58824930</v>
      </c>
      <c r="T91" s="3">
        <f t="shared" si="72"/>
        <v>12056156.999999998</v>
      </c>
      <c r="U91" s="47">
        <f t="shared" ca="1" si="52"/>
        <v>87596183.48057875</v>
      </c>
      <c r="V91" s="47">
        <f>'Monthly Data'!G91</f>
        <v>508635.79465443967</v>
      </c>
      <c r="W91" s="47">
        <f ca="1">+'Monthly Data'!H91</f>
        <v>81588.193206505632</v>
      </c>
      <c r="X91" s="47">
        <f t="shared" ca="1" si="53"/>
        <v>88186407.468439698</v>
      </c>
    </row>
    <row r="92" spans="1:24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Data'!I92</f>
        <v>106570238.67631872</v>
      </c>
      <c r="E92" s="3">
        <f t="shared" ref="E92:F92" ca="1" si="98">E80</f>
        <v>10.249063146997932</v>
      </c>
      <c r="F92" s="3">
        <f t="shared" ca="1" si="98"/>
        <v>174.0219619206118</v>
      </c>
      <c r="G92" s="3">
        <f>'Monthly Data'!EM92</f>
        <v>2.2486413043478271</v>
      </c>
      <c r="H92" s="3">
        <f>'Monthly Data'!ER92</f>
        <v>39.96358457284515</v>
      </c>
      <c r="I92" s="3">
        <f>'Monthly Data'!EG92</f>
        <v>0</v>
      </c>
      <c r="J92" s="3">
        <f>'Monthly Data'!DQ92</f>
        <v>31</v>
      </c>
      <c r="K92">
        <f>'Monthly Data'!EH92</f>
        <v>91</v>
      </c>
      <c r="M92" s="616">
        <f t="shared" si="65"/>
        <v>-11000000</v>
      </c>
      <c r="N92" s="3">
        <f t="shared" ca="1" si="66"/>
        <v>481407.31020879926</v>
      </c>
      <c r="O92" s="3">
        <f t="shared" ca="1" si="67"/>
        <v>47913049.12289343</v>
      </c>
      <c r="P92" s="3">
        <f t="shared" si="68"/>
        <v>18611.579082880442</v>
      </c>
      <c r="Q92" s="3">
        <f t="shared" si="69"/>
        <v>1644342.4501059779</v>
      </c>
      <c r="R92" s="3">
        <f t="shared" si="70"/>
        <v>0</v>
      </c>
      <c r="S92" s="3">
        <f t="shared" si="71"/>
        <v>60785761</v>
      </c>
      <c r="T92" s="3">
        <f t="shared" si="72"/>
        <v>12190114.299999999</v>
      </c>
      <c r="U92" s="47">
        <f t="shared" ca="1" si="52"/>
        <v>112033285.76229109</v>
      </c>
      <c r="V92" s="47">
        <f>'Monthly Data'!G92</f>
        <v>529893.80912427627</v>
      </c>
      <c r="W92" s="47">
        <f ca="1">+'Monthly Data'!H92</f>
        <v>1400.5406815279887</v>
      </c>
      <c r="X92" s="47">
        <f t="shared" ca="1" si="53"/>
        <v>112564580.11209689</v>
      </c>
    </row>
    <row r="93" spans="1:24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Data'!I93</f>
        <v>109786578.83367652</v>
      </c>
      <c r="E93" s="3">
        <f t="shared" ref="E93:F93" ca="1" si="99">E81</f>
        <v>21.194927536231887</v>
      </c>
      <c r="F93" s="3">
        <f t="shared" ca="1" si="99"/>
        <v>149.7160046113307</v>
      </c>
      <c r="G93" s="3">
        <f>'Monthly Data'!EM93</f>
        <v>1.8479166666666691</v>
      </c>
      <c r="H93" s="3">
        <f>'Monthly Data'!ER93</f>
        <v>41.570833333333319</v>
      </c>
      <c r="I93" s="3">
        <f>'Monthly Data'!EG93</f>
        <v>0</v>
      </c>
      <c r="J93" s="3">
        <f>'Monthly Data'!DQ93</f>
        <v>31</v>
      </c>
      <c r="K93">
        <f>'Monthly Data'!EH93</f>
        <v>92</v>
      </c>
      <c r="M93" s="616">
        <f t="shared" si="65"/>
        <v>-11000000</v>
      </c>
      <c r="N93" s="3">
        <f t="shared" ca="1" si="66"/>
        <v>995543.97401449294</v>
      </c>
      <c r="O93" s="3">
        <f t="shared" ca="1" si="67"/>
        <v>41220948.231226608</v>
      </c>
      <c r="P93" s="3">
        <f t="shared" si="68"/>
        <v>15294.85699375002</v>
      </c>
      <c r="Q93" s="3">
        <f t="shared" si="69"/>
        <v>1710474.3397499993</v>
      </c>
      <c r="R93" s="3">
        <f t="shared" si="70"/>
        <v>0</v>
      </c>
      <c r="S93" s="3">
        <f t="shared" si="71"/>
        <v>60785761</v>
      </c>
      <c r="T93" s="3">
        <f t="shared" si="72"/>
        <v>12324071.6</v>
      </c>
      <c r="U93" s="47">
        <f t="shared" ca="1" si="52"/>
        <v>106052094.00198483</v>
      </c>
      <c r="V93" s="47">
        <f>'Monthly Data'!G93</f>
        <v>551151.82359411311</v>
      </c>
      <c r="W93" s="47">
        <f ca="1">+'Monthly Data'!H93</f>
        <v>1720.1271457692801</v>
      </c>
      <c r="X93" s="47">
        <f t="shared" ca="1" si="53"/>
        <v>106604965.95272471</v>
      </c>
    </row>
    <row r="94" spans="1:24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Data'!I94</f>
        <v>79178936.01956214</v>
      </c>
      <c r="E94" s="3">
        <f t="shared" ref="E94:F94" ca="1" si="100">E82</f>
        <v>96.735690993788822</v>
      </c>
      <c r="F94" s="3">
        <f t="shared" ca="1" si="100"/>
        <v>62.345178571428576</v>
      </c>
      <c r="G94" s="3">
        <f>'Monthly Data'!EM94</f>
        <v>27.947916666666664</v>
      </c>
      <c r="H94" s="3">
        <f>'Monthly Data'!ER94</f>
        <v>14.062500000000002</v>
      </c>
      <c r="I94" s="3">
        <f>'Monthly Data'!EG94</f>
        <v>1</v>
      </c>
      <c r="J94" s="3">
        <f>'Monthly Data'!DQ94</f>
        <v>30</v>
      </c>
      <c r="K94">
        <f>'Monthly Data'!EH94</f>
        <v>93</v>
      </c>
      <c r="M94" s="616">
        <f t="shared" si="65"/>
        <v>-11000000</v>
      </c>
      <c r="N94" s="3">
        <f t="shared" ca="1" si="66"/>
        <v>4543758.5986725157</v>
      </c>
      <c r="O94" s="3">
        <f t="shared" ca="1" si="67"/>
        <v>17165348.387642857</v>
      </c>
      <c r="P94" s="3">
        <f t="shared" si="68"/>
        <v>231319.62409374997</v>
      </c>
      <c r="Q94" s="3">
        <f t="shared" si="69"/>
        <v>578615.90625</v>
      </c>
      <c r="R94" s="3">
        <f t="shared" si="70"/>
        <v>-3105221</v>
      </c>
      <c r="S94" s="3">
        <f t="shared" si="71"/>
        <v>58824930</v>
      </c>
      <c r="T94" s="3">
        <f t="shared" si="72"/>
        <v>12458028.899999999</v>
      </c>
      <c r="U94" s="47">
        <f t="shared" ca="1" si="52"/>
        <v>79696780.416659117</v>
      </c>
      <c r="V94" s="47">
        <f>'Monthly Data'!G94</f>
        <v>572409.83806394972</v>
      </c>
      <c r="W94" s="47">
        <f ca="1">+'Monthly Data'!H94</f>
        <v>161099.77678327638</v>
      </c>
      <c r="X94" s="47">
        <f t="shared" ca="1" si="53"/>
        <v>80430290.031506345</v>
      </c>
    </row>
    <row r="95" spans="1:24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Data'!I95</f>
        <v>71380064.583652496</v>
      </c>
      <c r="E95" s="3">
        <f t="shared" ref="E95:F95" ca="1" si="101">E83</f>
        <v>298.21097826086958</v>
      </c>
      <c r="F95" s="3">
        <f t="shared" ca="1" si="101"/>
        <v>7.1541666666666703</v>
      </c>
      <c r="G95" s="3">
        <f>'Monthly Data'!EM95</f>
        <v>82.713903985507258</v>
      </c>
      <c r="H95" s="3">
        <f>'Monthly Data'!ER95</f>
        <v>0</v>
      </c>
      <c r="I95" s="3">
        <f>'Monthly Data'!EG95</f>
        <v>1</v>
      </c>
      <c r="J95" s="3">
        <f>'Monthly Data'!DQ95</f>
        <v>31</v>
      </c>
      <c r="K95">
        <f>'Monthly Data'!EH95</f>
        <v>94</v>
      </c>
      <c r="M95" s="616">
        <f t="shared" si="65"/>
        <v>-11000000</v>
      </c>
      <c r="N95" s="3">
        <f t="shared" ca="1" si="66"/>
        <v>14007226.110354349</v>
      </c>
      <c r="O95" s="3">
        <f t="shared" ca="1" si="67"/>
        <v>1969739.5383333343</v>
      </c>
      <c r="P95" s="3">
        <f t="shared" si="68"/>
        <v>684607.35036019026</v>
      </c>
      <c r="Q95" s="3">
        <f t="shared" si="69"/>
        <v>0</v>
      </c>
      <c r="R95" s="3">
        <f t="shared" si="70"/>
        <v>-3105221</v>
      </c>
      <c r="S95" s="3">
        <f t="shared" si="71"/>
        <v>60785761</v>
      </c>
      <c r="T95" s="3">
        <f t="shared" si="72"/>
        <v>12591986.199999999</v>
      </c>
      <c r="U95" s="47">
        <f t="shared" ca="1" si="52"/>
        <v>75934099.199047878</v>
      </c>
      <c r="V95" s="47">
        <f>'Monthly Data'!G95</f>
        <v>593667.85253378644</v>
      </c>
      <c r="W95" s="47">
        <f ca="1">+'Monthly Data'!H95</f>
        <v>606512.58134347852</v>
      </c>
      <c r="X95" s="47">
        <f t="shared" ca="1" si="53"/>
        <v>77134279.632925138</v>
      </c>
    </row>
    <row r="96" spans="1:24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Data'!I96</f>
        <v>77060342.326395333</v>
      </c>
      <c r="E96" s="3">
        <f t="shared" ref="E96:F96" ca="1" si="102">E84</f>
        <v>486.62991389045737</v>
      </c>
      <c r="F96" s="3">
        <f t="shared" ca="1" si="102"/>
        <v>0.15041666666666628</v>
      </c>
      <c r="G96" s="3">
        <f>'Monthly Data'!EM96</f>
        <v>117.95833333333337</v>
      </c>
      <c r="H96" s="3">
        <f>'Monthly Data'!ER96</f>
        <v>0</v>
      </c>
      <c r="I96" s="3">
        <f>'Monthly Data'!EG96</f>
        <v>1</v>
      </c>
      <c r="J96" s="3">
        <f>'Monthly Data'!DQ96</f>
        <v>30</v>
      </c>
      <c r="K96">
        <f>'Monthly Data'!EH96</f>
        <v>95</v>
      </c>
      <c r="M96" s="616">
        <f t="shared" si="65"/>
        <v>-11000000</v>
      </c>
      <c r="N96" s="3">
        <f t="shared" ca="1" si="66"/>
        <v>22857425.557160728</v>
      </c>
      <c r="O96" s="3">
        <f t="shared" ca="1" si="67"/>
        <v>41413.859833333227</v>
      </c>
      <c r="P96" s="3">
        <f t="shared" si="68"/>
        <v>976318.83087500033</v>
      </c>
      <c r="Q96" s="3">
        <f t="shared" si="69"/>
        <v>0</v>
      </c>
      <c r="R96" s="3">
        <f t="shared" si="70"/>
        <v>-3105221</v>
      </c>
      <c r="S96" s="3">
        <f t="shared" si="71"/>
        <v>58824930</v>
      </c>
      <c r="T96" s="3">
        <f t="shared" si="72"/>
        <v>12725943.499999998</v>
      </c>
      <c r="U96" s="47">
        <f t="shared" ca="1" si="52"/>
        <v>81320810.747869059</v>
      </c>
      <c r="V96" s="47">
        <f>'Monthly Data'!G96</f>
        <v>614925.86700362316</v>
      </c>
      <c r="W96" s="47">
        <f ca="1">+'Monthly Data'!H96</f>
        <v>929056.65075319726</v>
      </c>
      <c r="X96" s="47">
        <f t="shared" ca="1" si="53"/>
        <v>82864793.265625879</v>
      </c>
    </row>
    <row r="97" spans="1:24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Data'!I97</f>
        <v>93139833.599095941</v>
      </c>
      <c r="E97" s="3">
        <f t="shared" ref="E97:F97" ca="1" si="103">E85</f>
        <v>639.92800724637686</v>
      </c>
      <c r="F97" s="3">
        <f t="shared" ca="1" si="103"/>
        <v>0</v>
      </c>
      <c r="G97" s="3">
        <f>'Monthly Data'!EM97</f>
        <v>161.78020833333332</v>
      </c>
      <c r="H97" s="3">
        <f>'Monthly Data'!ER97</f>
        <v>0</v>
      </c>
      <c r="I97" s="3">
        <f>'Monthly Data'!EG97</f>
        <v>0</v>
      </c>
      <c r="J97" s="3">
        <f>'Monthly Data'!DQ97</f>
        <v>31</v>
      </c>
      <c r="K97">
        <f>'Monthly Data'!EH97</f>
        <v>96</v>
      </c>
      <c r="M97" s="616">
        <f t="shared" si="65"/>
        <v>-11000000</v>
      </c>
      <c r="N97" s="3">
        <f t="shared" ca="1" si="66"/>
        <v>30057968.838448554</v>
      </c>
      <c r="O97" s="3">
        <f t="shared" ca="1" si="67"/>
        <v>0</v>
      </c>
      <c r="P97" s="3">
        <f t="shared" si="68"/>
        <v>1339024.2079156248</v>
      </c>
      <c r="Q97" s="3">
        <f t="shared" si="69"/>
        <v>0</v>
      </c>
      <c r="R97" s="3">
        <f t="shared" si="70"/>
        <v>0</v>
      </c>
      <c r="S97" s="3">
        <f t="shared" si="71"/>
        <v>60785761</v>
      </c>
      <c r="T97" s="3">
        <f t="shared" si="72"/>
        <v>12859900.799999999</v>
      </c>
      <c r="U97" s="47">
        <f t="shared" ca="1" si="52"/>
        <v>94042654.846364185</v>
      </c>
      <c r="V97" s="47">
        <f>'Monthly Data'!G97</f>
        <v>636183.88147345989</v>
      </c>
      <c r="W97" s="47">
        <f ca="1">+'Monthly Data'!H97</f>
        <v>1319976.6937335155</v>
      </c>
      <c r="X97" s="47">
        <f t="shared" ca="1" si="53"/>
        <v>95998815.421571165</v>
      </c>
    </row>
    <row r="98" spans="1:24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Data'!I98</f>
        <v>91036599.784220517</v>
      </c>
      <c r="E98" s="3">
        <f t="shared" ref="E98:F98" ca="1" si="104">E86</f>
        <v>759.33418478260865</v>
      </c>
      <c r="F98" s="3">
        <f t="shared" ca="1" si="104"/>
        <v>0</v>
      </c>
      <c r="G98" s="3">
        <f>'Monthly Data'!EM98</f>
        <v>0</v>
      </c>
      <c r="H98" s="3">
        <f>'Monthly Data'!ER98</f>
        <v>0</v>
      </c>
      <c r="I98" s="3">
        <f>'Monthly Data'!EG98</f>
        <v>0</v>
      </c>
      <c r="J98" s="3">
        <f>'Monthly Data'!DQ98</f>
        <v>31</v>
      </c>
      <c r="K98">
        <f>'Monthly Data'!EH98</f>
        <v>97</v>
      </c>
      <c r="M98" s="616">
        <f t="shared" si="65"/>
        <v>-11000000</v>
      </c>
      <c r="N98" s="3">
        <f t="shared" ca="1" si="66"/>
        <v>35666579.686638042</v>
      </c>
      <c r="O98" s="3">
        <f t="shared" ca="1" si="67"/>
        <v>0</v>
      </c>
      <c r="P98" s="3">
        <f t="shared" si="68"/>
        <v>0</v>
      </c>
      <c r="Q98" s="3">
        <f t="shared" si="69"/>
        <v>0</v>
      </c>
      <c r="R98" s="3">
        <f t="shared" si="70"/>
        <v>0</v>
      </c>
      <c r="S98" s="3">
        <f t="shared" si="71"/>
        <v>60785761</v>
      </c>
      <c r="T98" s="3">
        <f t="shared" si="72"/>
        <v>12993858.1</v>
      </c>
      <c r="U98" s="47">
        <f t="shared" ca="1" si="52"/>
        <v>98446198.786638036</v>
      </c>
      <c r="V98" s="47">
        <f>'Monthly Data'!G98</f>
        <v>683981.846926325</v>
      </c>
      <c r="W98" s="47">
        <f ca="1">+'Monthly Data'!H98</f>
        <v>1858511.5736116453</v>
      </c>
      <c r="X98" s="47">
        <f t="shared" ca="1" si="53"/>
        <v>100988692.20717601</v>
      </c>
    </row>
    <row r="99" spans="1:24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Data'!I99</f>
        <v>83103046.664608538</v>
      </c>
      <c r="E99" s="3">
        <f t="shared" ref="E99:F99" ca="1" si="105">E87</f>
        <v>680.85501811594202</v>
      </c>
      <c r="F99" s="3">
        <f t="shared" ca="1" si="105"/>
        <v>0</v>
      </c>
      <c r="G99" s="3">
        <f>'Monthly Data'!EM99</f>
        <v>0</v>
      </c>
      <c r="H99" s="3">
        <f>'Monthly Data'!ER99</f>
        <v>0</v>
      </c>
      <c r="I99" s="3">
        <f>'Monthly Data'!EG99</f>
        <v>0</v>
      </c>
      <c r="J99" s="3">
        <f>'Monthly Data'!DQ99</f>
        <v>28</v>
      </c>
      <c r="K99">
        <f>'Monthly Data'!EH99</f>
        <v>98</v>
      </c>
      <c r="M99" s="616">
        <f t="shared" si="65"/>
        <v>-11000000</v>
      </c>
      <c r="N99" s="3">
        <f t="shared" ca="1" si="66"/>
        <v>31980345.736221377</v>
      </c>
      <c r="O99" s="3">
        <f t="shared" ca="1" si="67"/>
        <v>0</v>
      </c>
      <c r="P99" s="3">
        <f t="shared" si="68"/>
        <v>0</v>
      </c>
      <c r="Q99" s="3">
        <f t="shared" si="69"/>
        <v>0</v>
      </c>
      <c r="R99" s="3">
        <f t="shared" si="70"/>
        <v>0</v>
      </c>
      <c r="S99" s="3">
        <f t="shared" si="71"/>
        <v>54903268</v>
      </c>
      <c r="T99" s="3">
        <f t="shared" si="72"/>
        <v>13127815.399999999</v>
      </c>
      <c r="U99" s="47">
        <f t="shared" ca="1" si="52"/>
        <v>89011429.136221379</v>
      </c>
      <c r="V99" s="47">
        <f>'Monthly Data'!G99</f>
        <v>710521.79790935351</v>
      </c>
      <c r="W99" s="47">
        <f ca="1">+'Monthly Data'!H99</f>
        <v>1764250.8591482027</v>
      </c>
      <c r="X99" s="47">
        <f t="shared" ca="1" si="53"/>
        <v>91486201.793278933</v>
      </c>
    </row>
    <row r="100" spans="1:24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Data'!I100</f>
        <v>85241456.201716527</v>
      </c>
      <c r="E100" s="3">
        <f t="shared" ref="E100:F100" ca="1" si="106">E88</f>
        <v>608.13298913043479</v>
      </c>
      <c r="F100" s="3">
        <f t="shared" ca="1" si="106"/>
        <v>0</v>
      </c>
      <c r="G100" s="3">
        <f>'Monthly Data'!EM100</f>
        <v>0</v>
      </c>
      <c r="H100" s="3">
        <f>'Monthly Data'!ER100</f>
        <v>0</v>
      </c>
      <c r="I100" s="3">
        <f>'Monthly Data'!EG100</f>
        <v>1</v>
      </c>
      <c r="J100" s="3">
        <f>'Monthly Data'!DQ100</f>
        <v>31</v>
      </c>
      <c r="K100">
        <f>'Monthly Data'!EH100</f>
        <v>99</v>
      </c>
      <c r="M100" s="616">
        <f t="shared" si="65"/>
        <v>-11000000</v>
      </c>
      <c r="N100" s="3">
        <f t="shared" ca="1" si="66"/>
        <v>28564529.493827175</v>
      </c>
      <c r="O100" s="3">
        <f t="shared" ca="1" si="67"/>
        <v>0</v>
      </c>
      <c r="P100" s="3">
        <f t="shared" si="68"/>
        <v>0</v>
      </c>
      <c r="Q100" s="3">
        <f t="shared" si="69"/>
        <v>0</v>
      </c>
      <c r="R100" s="3">
        <f t="shared" si="70"/>
        <v>-3105221</v>
      </c>
      <c r="S100" s="3">
        <f t="shared" si="71"/>
        <v>60785761</v>
      </c>
      <c r="T100" s="3">
        <f t="shared" si="72"/>
        <v>13261772.699999999</v>
      </c>
      <c r="U100" s="47">
        <f t="shared" ca="1" si="52"/>
        <v>88506842.193827182</v>
      </c>
      <c r="V100" s="47">
        <f>'Monthly Data'!G100</f>
        <v>737061.7488923819</v>
      </c>
      <c r="W100" s="47">
        <f ca="1">+'Monthly Data'!H100</f>
        <v>1695334.0087530629</v>
      </c>
      <c r="X100" s="47">
        <f t="shared" ca="1" si="53"/>
        <v>90939237.951472625</v>
      </c>
    </row>
    <row r="101" spans="1:24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Data'!I101</f>
        <v>72893510.393928677</v>
      </c>
      <c r="E101" s="3">
        <f t="shared" ref="E101:F101" ca="1" si="107">E89</f>
        <v>412.37941287878795</v>
      </c>
      <c r="F101" s="3">
        <f t="shared" ca="1" si="107"/>
        <v>0.4316666666666677</v>
      </c>
      <c r="G101" s="3">
        <f>'Monthly Data'!EM101</f>
        <v>0</v>
      </c>
      <c r="H101" s="3">
        <f>'Monthly Data'!ER101</f>
        <v>0</v>
      </c>
      <c r="I101" s="3">
        <f>'Monthly Data'!EG101</f>
        <v>1</v>
      </c>
      <c r="J101" s="3">
        <f>'Monthly Data'!DQ101</f>
        <v>30</v>
      </c>
      <c r="K101">
        <f>'Monthly Data'!EH101</f>
        <v>100</v>
      </c>
      <c r="M101" s="616">
        <f t="shared" si="65"/>
        <v>-11000000</v>
      </c>
      <c r="N101" s="3">
        <f t="shared" ca="1" si="66"/>
        <v>19369815.669211745</v>
      </c>
      <c r="O101" s="3">
        <f t="shared" ca="1" si="67"/>
        <v>118849.74733333361</v>
      </c>
      <c r="P101" s="3">
        <f t="shared" si="68"/>
        <v>0</v>
      </c>
      <c r="Q101" s="3">
        <f t="shared" si="69"/>
        <v>0</v>
      </c>
      <c r="R101" s="3">
        <f t="shared" si="70"/>
        <v>-3105221</v>
      </c>
      <c r="S101" s="3">
        <f t="shared" si="71"/>
        <v>58824930</v>
      </c>
      <c r="T101" s="3">
        <f t="shared" si="72"/>
        <v>13395729.999999998</v>
      </c>
      <c r="U101" s="47">
        <f t="shared" ca="1" si="52"/>
        <v>77604104.416545078</v>
      </c>
      <c r="V101" s="47">
        <f>'Monthly Data'!G101</f>
        <v>763601.6998754103</v>
      </c>
      <c r="W101" s="47">
        <f ca="1">+'Monthly Data'!H101</f>
        <v>927300.83522746305</v>
      </c>
      <c r="X101" s="47">
        <f t="shared" ca="1" si="53"/>
        <v>79295006.951647952</v>
      </c>
    </row>
    <row r="102" spans="1:24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Data'!I102</f>
        <v>71742918.13902469</v>
      </c>
      <c r="E102" s="3">
        <f t="shared" ref="E102:F102" ca="1" si="108">E90</f>
        <v>202.70273119310133</v>
      </c>
      <c r="F102" s="3">
        <f t="shared" ca="1" si="108"/>
        <v>29.4520183982684</v>
      </c>
      <c r="G102" s="3">
        <f>'Monthly Data'!EM102</f>
        <v>0</v>
      </c>
      <c r="H102" s="3">
        <f>'Monthly Data'!ER102</f>
        <v>0</v>
      </c>
      <c r="I102" s="3">
        <f>'Monthly Data'!EG102</f>
        <v>1</v>
      </c>
      <c r="J102" s="3">
        <f>'Monthly Data'!DQ102</f>
        <v>31</v>
      </c>
      <c r="K102">
        <f>'Monthly Data'!EH102</f>
        <v>101</v>
      </c>
      <c r="M102" s="616">
        <f t="shared" si="65"/>
        <v>-11000000</v>
      </c>
      <c r="N102" s="3">
        <f t="shared" ca="1" si="66"/>
        <v>9521121.6084887963</v>
      </c>
      <c r="O102" s="3">
        <f t="shared" ca="1" si="67"/>
        <v>8108953.5407510819</v>
      </c>
      <c r="P102" s="3">
        <f t="shared" si="68"/>
        <v>0</v>
      </c>
      <c r="Q102" s="3">
        <f t="shared" si="69"/>
        <v>0</v>
      </c>
      <c r="R102" s="3">
        <f t="shared" si="70"/>
        <v>-3105221</v>
      </c>
      <c r="S102" s="3">
        <f t="shared" si="71"/>
        <v>60785761</v>
      </c>
      <c r="T102" s="3">
        <f t="shared" si="72"/>
        <v>13529687.299999999</v>
      </c>
      <c r="U102" s="47">
        <f t="shared" ca="1" si="52"/>
        <v>77840302.44923988</v>
      </c>
      <c r="V102" s="47">
        <f>'Monthly Data'!G102</f>
        <v>790141.65085843881</v>
      </c>
      <c r="W102" s="47">
        <f ca="1">+'Monthly Data'!H102</f>
        <v>503228.89304341079</v>
      </c>
      <c r="X102" s="47">
        <f t="shared" ca="1" si="53"/>
        <v>79133672.993141726</v>
      </c>
    </row>
    <row r="103" spans="1:24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Data'!I103</f>
        <v>86970924.73106724</v>
      </c>
      <c r="E103" s="3">
        <f t="shared" ref="E103:F103" ca="1" si="109">E91</f>
        <v>66.09717382617383</v>
      </c>
      <c r="F103" s="3">
        <f t="shared" ca="1" si="109"/>
        <v>86.311049595332207</v>
      </c>
      <c r="G103" s="3">
        <f>'Monthly Data'!EM103</f>
        <v>0</v>
      </c>
      <c r="H103" s="3">
        <f>'Monthly Data'!ER103</f>
        <v>0</v>
      </c>
      <c r="I103" s="3">
        <f>'Monthly Data'!EG103</f>
        <v>0</v>
      </c>
      <c r="J103" s="3">
        <f>'Monthly Data'!DQ103</f>
        <v>30</v>
      </c>
      <c r="K103">
        <f>'Monthly Data'!EH103</f>
        <v>102</v>
      </c>
      <c r="M103" s="616">
        <f t="shared" si="65"/>
        <v>-11000000</v>
      </c>
      <c r="N103" s="3">
        <f t="shared" ca="1" si="66"/>
        <v>3104641.0981848752</v>
      </c>
      <c r="O103" s="3">
        <f t="shared" ca="1" si="67"/>
        <v>23763814.138563786</v>
      </c>
      <c r="P103" s="3">
        <f t="shared" si="68"/>
        <v>0</v>
      </c>
      <c r="Q103" s="3">
        <f t="shared" si="69"/>
        <v>0</v>
      </c>
      <c r="R103" s="3">
        <f t="shared" si="70"/>
        <v>0</v>
      </c>
      <c r="S103" s="3">
        <f t="shared" si="71"/>
        <v>58824930</v>
      </c>
      <c r="T103" s="3">
        <f t="shared" si="72"/>
        <v>13663644.6</v>
      </c>
      <c r="U103" s="47">
        <f t="shared" ca="1" si="52"/>
        <v>88357029.83674866</v>
      </c>
      <c r="V103" s="47">
        <f>'Monthly Data'!G103</f>
        <v>816681.6018414672</v>
      </c>
      <c r="W103" s="47">
        <f ca="1">+'Monthly Data'!H103</f>
        <v>65968.398834335938</v>
      </c>
      <c r="X103" s="47">
        <f t="shared" ca="1" si="53"/>
        <v>89239679.837424457</v>
      </c>
    </row>
    <row r="104" spans="1:24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Data'!I104</f>
        <v>110263196.06632736</v>
      </c>
      <c r="E104" s="3">
        <f t="shared" ref="E104:F104" ca="1" si="110">E92</f>
        <v>10.249063146997932</v>
      </c>
      <c r="F104" s="3">
        <f t="shared" ca="1" si="110"/>
        <v>174.0219619206118</v>
      </c>
      <c r="G104" s="3">
        <f>'Monthly Data'!EM104</f>
        <v>0</v>
      </c>
      <c r="H104" s="3">
        <f>'Monthly Data'!ER104</f>
        <v>0</v>
      </c>
      <c r="I104" s="3">
        <f>'Monthly Data'!EG104</f>
        <v>0</v>
      </c>
      <c r="J104" s="3">
        <f>'Monthly Data'!DQ104</f>
        <v>31</v>
      </c>
      <c r="K104">
        <f>'Monthly Data'!EH104</f>
        <v>103</v>
      </c>
      <c r="M104" s="616">
        <f t="shared" si="65"/>
        <v>-11000000</v>
      </c>
      <c r="N104" s="3">
        <f t="shared" ca="1" si="66"/>
        <v>481407.31020879926</v>
      </c>
      <c r="O104" s="3">
        <f t="shared" ca="1" si="67"/>
        <v>47913049.12289343</v>
      </c>
      <c r="P104" s="3">
        <f t="shared" si="68"/>
        <v>0</v>
      </c>
      <c r="Q104" s="3">
        <f t="shared" si="69"/>
        <v>0</v>
      </c>
      <c r="R104" s="3">
        <f t="shared" si="70"/>
        <v>0</v>
      </c>
      <c r="S104" s="3">
        <f t="shared" si="71"/>
        <v>60785761</v>
      </c>
      <c r="T104" s="3">
        <f t="shared" si="72"/>
        <v>13797601.899999999</v>
      </c>
      <c r="U104" s="47">
        <f t="shared" ca="1" si="52"/>
        <v>111977819.33310223</v>
      </c>
      <c r="V104" s="47">
        <f>'Monthly Data'!G104</f>
        <v>843221.55282449559</v>
      </c>
      <c r="W104" s="47">
        <f ca="1">+'Monthly Data'!H104</f>
        <v>384.58063836572529</v>
      </c>
      <c r="X104" s="47">
        <f t="shared" ca="1" si="53"/>
        <v>112821425.46656509</v>
      </c>
    </row>
    <row r="105" spans="1:24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Data'!I105</f>
        <v>95166089.512382954</v>
      </c>
      <c r="E105" s="3">
        <f t="shared" ref="E105:F105" ca="1" si="111">E93</f>
        <v>21.194927536231887</v>
      </c>
      <c r="F105" s="3">
        <f t="shared" ca="1" si="111"/>
        <v>149.7160046113307</v>
      </c>
      <c r="G105" s="3">
        <f>'Monthly Data'!EM105</f>
        <v>0</v>
      </c>
      <c r="H105" s="3">
        <f>'Monthly Data'!ER105</f>
        <v>0</v>
      </c>
      <c r="I105" s="3">
        <f>'Monthly Data'!EG105</f>
        <v>0</v>
      </c>
      <c r="J105" s="3">
        <f>'Monthly Data'!DQ105</f>
        <v>31</v>
      </c>
      <c r="K105">
        <f>'Monthly Data'!EH105</f>
        <v>104</v>
      </c>
      <c r="M105" s="616">
        <f t="shared" si="65"/>
        <v>-11000000</v>
      </c>
      <c r="N105" s="3">
        <f t="shared" ca="1" si="66"/>
        <v>995543.97401449294</v>
      </c>
      <c r="O105" s="3">
        <f t="shared" ca="1" si="67"/>
        <v>41220948.231226608</v>
      </c>
      <c r="P105" s="3">
        <f t="shared" si="68"/>
        <v>0</v>
      </c>
      <c r="Q105" s="3">
        <f t="shared" si="69"/>
        <v>0</v>
      </c>
      <c r="R105" s="3">
        <f t="shared" si="70"/>
        <v>0</v>
      </c>
      <c r="S105" s="3">
        <f t="shared" si="71"/>
        <v>60785761</v>
      </c>
      <c r="T105" s="3">
        <f t="shared" si="72"/>
        <v>13931559.199999999</v>
      </c>
      <c r="U105" s="47">
        <f t="shared" ca="1" si="52"/>
        <v>105933812.4052411</v>
      </c>
      <c r="V105" s="47">
        <f>'Monthly Data'!G105</f>
        <v>869761.50380752399</v>
      </c>
      <c r="W105" s="47">
        <f ca="1">+'Monthly Data'!H105</f>
        <v>28535.883366737613</v>
      </c>
      <c r="X105" s="47">
        <f t="shared" ca="1" si="53"/>
        <v>106832109.79241537</v>
      </c>
    </row>
    <row r="106" spans="1:24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Data'!I106</f>
        <v>83245214.582742393</v>
      </c>
      <c r="E106" s="3">
        <f t="shared" ref="E106:F106" ca="1" si="112">E94</f>
        <v>96.735690993788822</v>
      </c>
      <c r="F106" s="3">
        <f t="shared" ca="1" si="112"/>
        <v>62.345178571428576</v>
      </c>
      <c r="G106" s="3">
        <f>'Monthly Data'!EM106</f>
        <v>0</v>
      </c>
      <c r="H106" s="3">
        <f>'Monthly Data'!ER106</f>
        <v>0</v>
      </c>
      <c r="I106" s="3">
        <f>'Monthly Data'!EG106</f>
        <v>1</v>
      </c>
      <c r="J106" s="3">
        <f>'Monthly Data'!DQ106</f>
        <v>30</v>
      </c>
      <c r="K106">
        <f>'Monthly Data'!EH106</f>
        <v>105</v>
      </c>
      <c r="M106" s="616">
        <f t="shared" si="65"/>
        <v>-11000000</v>
      </c>
      <c r="N106" s="3">
        <f t="shared" ca="1" si="66"/>
        <v>4543758.5986725157</v>
      </c>
      <c r="O106" s="3">
        <f t="shared" ca="1" si="67"/>
        <v>17165348.387642857</v>
      </c>
      <c r="P106" s="3">
        <f t="shared" si="68"/>
        <v>0</v>
      </c>
      <c r="Q106" s="3">
        <f t="shared" si="69"/>
        <v>0</v>
      </c>
      <c r="R106" s="3">
        <f t="shared" si="70"/>
        <v>-3105221</v>
      </c>
      <c r="S106" s="3">
        <f t="shared" si="71"/>
        <v>58824930</v>
      </c>
      <c r="T106" s="3">
        <f t="shared" si="72"/>
        <v>14065516.499999998</v>
      </c>
      <c r="U106" s="47">
        <f t="shared" ca="1" si="52"/>
        <v>80494332.48631537</v>
      </c>
      <c r="V106" s="47">
        <f>'Monthly Data'!G106</f>
        <v>896301.4547905525</v>
      </c>
      <c r="W106" s="47">
        <f ca="1">+'Monthly Data'!H106</f>
        <v>146422.66838044798</v>
      </c>
      <c r="X106" s="47">
        <f t="shared" ca="1" si="53"/>
        <v>81537056.609486371</v>
      </c>
    </row>
    <row r="107" spans="1:24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Data'!I107</f>
        <v>77220063.479223102</v>
      </c>
      <c r="E107" s="3">
        <f t="shared" ref="E107:F107" ca="1" si="113">E95</f>
        <v>298.21097826086958</v>
      </c>
      <c r="F107" s="3">
        <f t="shared" ca="1" si="113"/>
        <v>7.1541666666666703</v>
      </c>
      <c r="G107" s="3">
        <f>'Monthly Data'!EM107</f>
        <v>0</v>
      </c>
      <c r="H107" s="3">
        <f>'Monthly Data'!ER107</f>
        <v>0</v>
      </c>
      <c r="I107" s="3">
        <f>'Monthly Data'!EG107</f>
        <v>1</v>
      </c>
      <c r="J107" s="3">
        <f>'Monthly Data'!DQ107</f>
        <v>31</v>
      </c>
      <c r="K107">
        <f>'Monthly Data'!EH107</f>
        <v>106</v>
      </c>
      <c r="M107" s="616">
        <f t="shared" si="65"/>
        <v>-11000000</v>
      </c>
      <c r="N107" s="3">
        <f t="shared" ca="1" si="66"/>
        <v>14007226.110354349</v>
      </c>
      <c r="O107" s="3">
        <f t="shared" ca="1" si="67"/>
        <v>1969739.5383333343</v>
      </c>
      <c r="P107" s="3">
        <f t="shared" si="68"/>
        <v>0</v>
      </c>
      <c r="Q107" s="3">
        <f t="shared" si="69"/>
        <v>0</v>
      </c>
      <c r="R107" s="3">
        <f t="shared" si="70"/>
        <v>-3105221</v>
      </c>
      <c r="S107" s="3">
        <f t="shared" si="71"/>
        <v>60785761</v>
      </c>
      <c r="T107" s="3">
        <f t="shared" si="72"/>
        <v>14199473.799999999</v>
      </c>
      <c r="U107" s="47">
        <f t="shared" ca="1" si="52"/>
        <v>76856979.448687688</v>
      </c>
      <c r="V107" s="47">
        <f>'Monthly Data'!G107</f>
        <v>922841.40577358089</v>
      </c>
      <c r="W107" s="47">
        <f ca="1">+'Monthly Data'!H107</f>
        <v>637339.8532543102</v>
      </c>
      <c r="X107" s="47">
        <f t="shared" ca="1" si="53"/>
        <v>78417160.707715571</v>
      </c>
    </row>
    <row r="108" spans="1:24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Data'!I108</f>
        <v>84966202.534151629</v>
      </c>
      <c r="E108" s="3">
        <f t="shared" ref="E108:F108" ca="1" si="114">E96</f>
        <v>486.62991389045737</v>
      </c>
      <c r="F108" s="3">
        <f t="shared" ca="1" si="114"/>
        <v>0.15041666666666628</v>
      </c>
      <c r="G108" s="3">
        <f>'Monthly Data'!EM108</f>
        <v>0</v>
      </c>
      <c r="H108" s="3">
        <f>'Monthly Data'!ER108</f>
        <v>0</v>
      </c>
      <c r="I108" s="3">
        <f>'Monthly Data'!EG108</f>
        <v>1</v>
      </c>
      <c r="J108" s="3">
        <f>'Monthly Data'!DQ108</f>
        <v>30</v>
      </c>
      <c r="K108">
        <f>'Monthly Data'!EH108</f>
        <v>107</v>
      </c>
      <c r="M108" s="616">
        <f t="shared" si="65"/>
        <v>-11000000</v>
      </c>
      <c r="N108" s="3">
        <f t="shared" ca="1" si="66"/>
        <v>22857425.557160728</v>
      </c>
      <c r="O108" s="3">
        <f t="shared" ca="1" si="67"/>
        <v>41413.859833333227</v>
      </c>
      <c r="P108" s="3">
        <f t="shared" si="68"/>
        <v>0</v>
      </c>
      <c r="Q108" s="3">
        <f t="shared" si="69"/>
        <v>0</v>
      </c>
      <c r="R108" s="3">
        <f t="shared" si="70"/>
        <v>-3105221</v>
      </c>
      <c r="S108" s="3">
        <f t="shared" si="71"/>
        <v>58824930</v>
      </c>
      <c r="T108" s="3">
        <f t="shared" si="72"/>
        <v>14333431.1</v>
      </c>
      <c r="U108" s="47">
        <f t="shared" ca="1" si="52"/>
        <v>81951979.516994059</v>
      </c>
      <c r="V108" s="47">
        <f>'Monthly Data'!G108</f>
        <v>949381.3567566094</v>
      </c>
      <c r="W108" s="47">
        <f ca="1">+'Monthly Data'!H108</f>
        <v>1386315.1053775337</v>
      </c>
      <c r="X108" s="47">
        <f t="shared" ca="1" si="53"/>
        <v>84287675.979128212</v>
      </c>
    </row>
    <row r="109" spans="1:24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Data'!I109</f>
        <v>92483859.143196598</v>
      </c>
      <c r="E109" s="3">
        <f t="shared" ref="E109:F109" ca="1" si="115">E97</f>
        <v>639.92800724637686</v>
      </c>
      <c r="F109" s="3">
        <f t="shared" ca="1" si="115"/>
        <v>0</v>
      </c>
      <c r="G109" s="3">
        <f>'Monthly Data'!EM109</f>
        <v>0</v>
      </c>
      <c r="H109" s="3">
        <f>'Monthly Data'!ER109</f>
        <v>0</v>
      </c>
      <c r="I109" s="3">
        <f>'Monthly Data'!EG109</f>
        <v>0</v>
      </c>
      <c r="J109" s="3">
        <f>'Monthly Data'!DQ109</f>
        <v>31</v>
      </c>
      <c r="K109">
        <f>'Monthly Data'!EH109</f>
        <v>108</v>
      </c>
      <c r="M109" s="616">
        <f t="shared" si="65"/>
        <v>-11000000</v>
      </c>
      <c r="N109" s="3">
        <f t="shared" ca="1" si="66"/>
        <v>30057968.838448554</v>
      </c>
      <c r="O109" s="3">
        <f t="shared" ca="1" si="67"/>
        <v>0</v>
      </c>
      <c r="P109" s="3">
        <f t="shared" si="68"/>
        <v>0</v>
      </c>
      <c r="Q109" s="3">
        <f t="shared" si="69"/>
        <v>0</v>
      </c>
      <c r="R109" s="3">
        <f t="shared" si="70"/>
        <v>0</v>
      </c>
      <c r="S109" s="3">
        <f t="shared" si="71"/>
        <v>60785761</v>
      </c>
      <c r="T109" s="3">
        <f t="shared" si="72"/>
        <v>14467388.399999999</v>
      </c>
      <c r="U109" s="47">
        <f t="shared" ca="1" si="52"/>
        <v>94311118.23844856</v>
      </c>
      <c r="V109" s="47">
        <f>'Monthly Data'!G109</f>
        <v>975921.30773963779</v>
      </c>
      <c r="W109" s="47">
        <f ca="1">+'Monthly Data'!H109</f>
        <v>1506569.0120885472</v>
      </c>
      <c r="X109" s="47">
        <f t="shared" ca="1" si="53"/>
        <v>96793608.558276758</v>
      </c>
    </row>
    <row r="110" spans="1:24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Data'!I110</f>
        <v>97673130.990040466</v>
      </c>
      <c r="E110" s="3">
        <f t="shared" ref="E110:F110" ca="1" si="116">E98</f>
        <v>759.33418478260865</v>
      </c>
      <c r="F110" s="3">
        <f t="shared" ca="1" si="116"/>
        <v>0</v>
      </c>
      <c r="G110" s="3">
        <f>'Monthly Data'!EM110</f>
        <v>0</v>
      </c>
      <c r="H110" s="3">
        <f>'Monthly Data'!ER110</f>
        <v>0</v>
      </c>
      <c r="I110" s="3">
        <f>'Monthly Data'!EG110</f>
        <v>0</v>
      </c>
      <c r="J110" s="3">
        <f>'Monthly Data'!DQ110</f>
        <v>31</v>
      </c>
      <c r="K110">
        <f>'Monthly Data'!EH110</f>
        <v>109</v>
      </c>
      <c r="M110" s="616">
        <f t="shared" si="65"/>
        <v>-11000000</v>
      </c>
      <c r="N110" s="3">
        <f t="shared" ca="1" si="66"/>
        <v>35666579.686638042</v>
      </c>
      <c r="O110" s="3">
        <f t="shared" ca="1" si="67"/>
        <v>0</v>
      </c>
      <c r="P110" s="3">
        <f t="shared" si="68"/>
        <v>0</v>
      </c>
      <c r="Q110" s="3">
        <f t="shared" si="69"/>
        <v>0</v>
      </c>
      <c r="R110" s="3">
        <f t="shared" si="70"/>
        <v>0</v>
      </c>
      <c r="S110" s="3">
        <f t="shared" si="71"/>
        <v>60785761</v>
      </c>
      <c r="T110" s="3">
        <f t="shared" si="72"/>
        <v>14601345.699999999</v>
      </c>
      <c r="U110" s="47">
        <f t="shared" ref="U110:U121" ca="1" si="117">SUM(M110:T110)</f>
        <v>100053686.38663805</v>
      </c>
      <c r="V110" s="47">
        <f>'Monthly Data'!G110</f>
        <v>1034228.6873555832</v>
      </c>
      <c r="W110" s="47">
        <f ca="1">+'Monthly Data'!H110</f>
        <v>2539685.3709829156</v>
      </c>
      <c r="X110" s="47">
        <f t="shared" ca="1" si="53"/>
        <v>103627600.44497654</v>
      </c>
    </row>
    <row r="111" spans="1:24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Data'!I111</f>
        <v>84685362.344305634</v>
      </c>
      <c r="E111" s="3">
        <f t="shared" ref="E111:F111" ca="1" si="118">E99</f>
        <v>680.85501811594202</v>
      </c>
      <c r="F111" s="3">
        <f t="shared" ca="1" si="118"/>
        <v>0</v>
      </c>
      <c r="G111" s="3">
        <f>'Monthly Data'!EM111</f>
        <v>0</v>
      </c>
      <c r="H111" s="3">
        <f>'Monthly Data'!ER111</f>
        <v>0</v>
      </c>
      <c r="I111" s="3">
        <f>'Monthly Data'!EG111</f>
        <v>0</v>
      </c>
      <c r="J111" s="3">
        <f>'Monthly Data'!DQ111</f>
        <v>29</v>
      </c>
      <c r="K111">
        <f>'Monthly Data'!EH111</f>
        <v>110</v>
      </c>
      <c r="M111" s="616">
        <f t="shared" si="65"/>
        <v>-11000000</v>
      </c>
      <c r="N111" s="3">
        <f t="shared" ca="1" si="66"/>
        <v>31980345.736221377</v>
      </c>
      <c r="O111" s="3">
        <f t="shared" ca="1" si="67"/>
        <v>0</v>
      </c>
      <c r="P111" s="3">
        <f t="shared" si="68"/>
        <v>0</v>
      </c>
      <c r="Q111" s="3">
        <f t="shared" si="69"/>
        <v>0</v>
      </c>
      <c r="R111" s="3">
        <f t="shared" si="70"/>
        <v>0</v>
      </c>
      <c r="S111" s="3">
        <f t="shared" si="71"/>
        <v>56864099</v>
      </c>
      <c r="T111" s="3">
        <f t="shared" si="72"/>
        <v>14735302.999999998</v>
      </c>
      <c r="U111" s="47">
        <f t="shared" ca="1" si="117"/>
        <v>92579747.736221373</v>
      </c>
      <c r="V111" s="47">
        <f>'Monthly Data'!G111</f>
        <v>1065996.1159885</v>
      </c>
      <c r="W111" s="47">
        <f ca="1">+'Monthly Data'!H111</f>
        <v>2164793.5953500848</v>
      </c>
      <c r="X111" s="47">
        <f t="shared" ca="1" si="53"/>
        <v>95810537.447559953</v>
      </c>
    </row>
    <row r="112" spans="1:24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Data'!I112</f>
        <v>84237358.966060996</v>
      </c>
      <c r="E112" s="3">
        <f t="shared" ref="E112:F112" ca="1" si="119">E100</f>
        <v>608.13298913043479</v>
      </c>
      <c r="F112" s="3">
        <f t="shared" ca="1" si="119"/>
        <v>0</v>
      </c>
      <c r="G112" s="3">
        <f>'Monthly Data'!EM112</f>
        <v>0</v>
      </c>
      <c r="H112" s="3">
        <f>'Monthly Data'!ER112</f>
        <v>0</v>
      </c>
      <c r="I112" s="3">
        <f>'Monthly Data'!EG112</f>
        <v>1</v>
      </c>
      <c r="J112" s="3">
        <f>'Monthly Data'!DQ112</f>
        <v>31</v>
      </c>
      <c r="K112">
        <f>'Monthly Data'!EH112</f>
        <v>111</v>
      </c>
      <c r="M112" s="616">
        <f t="shared" si="65"/>
        <v>-11000000</v>
      </c>
      <c r="N112" s="3">
        <f t="shared" ca="1" si="66"/>
        <v>28564529.493827175</v>
      </c>
      <c r="O112" s="3">
        <f t="shared" ca="1" si="67"/>
        <v>0</v>
      </c>
      <c r="P112" s="3">
        <f t="shared" si="68"/>
        <v>0</v>
      </c>
      <c r="Q112" s="3">
        <f t="shared" si="69"/>
        <v>0</v>
      </c>
      <c r="R112" s="3">
        <f t="shared" si="70"/>
        <v>-3105221</v>
      </c>
      <c r="S112" s="3">
        <f t="shared" si="71"/>
        <v>60785761</v>
      </c>
      <c r="T112" s="3">
        <f t="shared" si="72"/>
        <v>14869260.299999999</v>
      </c>
      <c r="U112" s="47">
        <f t="shared" ca="1" si="117"/>
        <v>90114329.793827176</v>
      </c>
      <c r="V112" s="47">
        <f>'Monthly Data'!G112</f>
        <v>1097763.5446214168</v>
      </c>
      <c r="W112" s="47">
        <f ca="1">+'Monthly Data'!H112</f>
        <v>1834456.2461916311</v>
      </c>
      <c r="X112" s="47">
        <f t="shared" ca="1" si="53"/>
        <v>93046549.584640235</v>
      </c>
    </row>
    <row r="113" spans="1:24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Data'!I113</f>
        <v>74370506.900403857</v>
      </c>
      <c r="E113" s="3">
        <f t="shared" ref="E113:F113" ca="1" si="120">E101</f>
        <v>412.37941287878795</v>
      </c>
      <c r="F113" s="3">
        <f t="shared" ca="1" si="120"/>
        <v>0.4316666666666677</v>
      </c>
      <c r="G113" s="3">
        <f>'Monthly Data'!EM113</f>
        <v>0</v>
      </c>
      <c r="H113" s="3">
        <f>'Monthly Data'!ER113</f>
        <v>0</v>
      </c>
      <c r="I113" s="3">
        <f>'Monthly Data'!EG113</f>
        <v>1</v>
      </c>
      <c r="J113" s="3">
        <f>'Monthly Data'!DQ113</f>
        <v>30</v>
      </c>
      <c r="K113">
        <f>'Monthly Data'!EH113</f>
        <v>112</v>
      </c>
      <c r="M113" s="616">
        <f t="shared" si="65"/>
        <v>-11000000</v>
      </c>
      <c r="N113" s="3">
        <f t="shared" ca="1" si="66"/>
        <v>19369815.669211745</v>
      </c>
      <c r="O113" s="3">
        <f t="shared" ca="1" si="67"/>
        <v>118849.74733333361</v>
      </c>
      <c r="P113" s="3">
        <f t="shared" si="68"/>
        <v>0</v>
      </c>
      <c r="Q113" s="3">
        <f t="shared" si="69"/>
        <v>0</v>
      </c>
      <c r="R113" s="3">
        <f t="shared" si="70"/>
        <v>-3105221</v>
      </c>
      <c r="S113" s="3">
        <f t="shared" si="71"/>
        <v>58824930</v>
      </c>
      <c r="T113" s="3">
        <f t="shared" si="72"/>
        <v>15003217.599999998</v>
      </c>
      <c r="U113" s="47">
        <f t="shared" ca="1" si="117"/>
        <v>79211592.016545072</v>
      </c>
      <c r="V113" s="47">
        <f>'Monthly Data'!G113</f>
        <v>1129530.9732543337</v>
      </c>
      <c r="W113" s="47">
        <f ca="1">+'Monthly Data'!H113</f>
        <v>1229175.5579712214</v>
      </c>
      <c r="X113" s="47">
        <f t="shared" ca="1" si="53"/>
        <v>81570298.547770634</v>
      </c>
    </row>
    <row r="114" spans="1:24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Data'!I114</f>
        <v>75865026.722649381</v>
      </c>
      <c r="E114" s="3">
        <f t="shared" ref="E114:F114" ca="1" si="121">E102</f>
        <v>202.70273119310133</v>
      </c>
      <c r="F114" s="3">
        <f t="shared" ca="1" si="121"/>
        <v>29.4520183982684</v>
      </c>
      <c r="G114" s="3">
        <f>'Monthly Data'!EM114</f>
        <v>0</v>
      </c>
      <c r="H114" s="3">
        <f>'Monthly Data'!ER114</f>
        <v>0</v>
      </c>
      <c r="I114" s="3">
        <f>'Monthly Data'!EG114</f>
        <v>1</v>
      </c>
      <c r="J114" s="3">
        <f>'Monthly Data'!DQ114</f>
        <v>31</v>
      </c>
      <c r="K114">
        <f>'Monthly Data'!EH114</f>
        <v>113</v>
      </c>
      <c r="M114" s="616">
        <f t="shared" si="65"/>
        <v>-11000000</v>
      </c>
      <c r="N114" s="3">
        <f t="shared" ca="1" si="66"/>
        <v>9521121.6084887963</v>
      </c>
      <c r="O114" s="3">
        <f t="shared" ca="1" si="67"/>
        <v>8108953.5407510819</v>
      </c>
      <c r="P114" s="3">
        <f t="shared" si="68"/>
        <v>0</v>
      </c>
      <c r="Q114" s="3">
        <f t="shared" si="69"/>
        <v>0</v>
      </c>
      <c r="R114" s="3">
        <f t="shared" si="70"/>
        <v>-3105221</v>
      </c>
      <c r="S114" s="3">
        <f t="shared" si="71"/>
        <v>60785761</v>
      </c>
      <c r="T114" s="3">
        <f t="shared" si="72"/>
        <v>15137174.899999999</v>
      </c>
      <c r="U114" s="47">
        <f t="shared" ca="1" si="117"/>
        <v>79447790.049239874</v>
      </c>
      <c r="V114" s="47">
        <f>'Monthly Data'!G114</f>
        <v>1161298.4018872506</v>
      </c>
      <c r="W114" s="47">
        <f ca="1">+'Monthly Data'!H114</f>
        <v>356950.39584449062</v>
      </c>
      <c r="X114" s="47">
        <f t="shared" ca="1" si="53"/>
        <v>80966038.846971616</v>
      </c>
    </row>
    <row r="115" spans="1:24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Data'!I115</f>
        <v>92920892.466117918</v>
      </c>
      <c r="E115" s="3">
        <f t="shared" ref="E115:F115" ca="1" si="122">E103</f>
        <v>66.09717382617383</v>
      </c>
      <c r="F115" s="3">
        <f t="shared" ca="1" si="122"/>
        <v>86.311049595332207</v>
      </c>
      <c r="G115" s="3">
        <f>'Monthly Data'!EM115</f>
        <v>0</v>
      </c>
      <c r="H115" s="3">
        <f>'Monthly Data'!ER115</f>
        <v>0</v>
      </c>
      <c r="I115" s="3">
        <f>'Monthly Data'!EG115</f>
        <v>0</v>
      </c>
      <c r="J115" s="3">
        <f>'Monthly Data'!DQ115</f>
        <v>30</v>
      </c>
      <c r="K115">
        <f>'Monthly Data'!EH115</f>
        <v>114</v>
      </c>
      <c r="M115" s="616">
        <f t="shared" si="65"/>
        <v>-11000000</v>
      </c>
      <c r="N115" s="3">
        <f t="shared" ca="1" si="66"/>
        <v>3104641.0981848752</v>
      </c>
      <c r="O115" s="3">
        <f t="shared" ca="1" si="67"/>
        <v>23763814.138563786</v>
      </c>
      <c r="P115" s="3">
        <f t="shared" si="68"/>
        <v>0</v>
      </c>
      <c r="Q115" s="3">
        <f t="shared" si="69"/>
        <v>0</v>
      </c>
      <c r="R115" s="3">
        <f t="shared" si="70"/>
        <v>0</v>
      </c>
      <c r="S115" s="3">
        <f t="shared" si="71"/>
        <v>58824930</v>
      </c>
      <c r="T115" s="3">
        <f t="shared" si="72"/>
        <v>15271132.199999999</v>
      </c>
      <c r="U115" s="47">
        <f t="shared" ca="1" si="117"/>
        <v>89964517.436748669</v>
      </c>
      <c r="V115" s="47">
        <f>'Monthly Data'!G115</f>
        <v>1193065.8305201675</v>
      </c>
      <c r="W115" s="47">
        <f ca="1">+'Monthly Data'!H115</f>
        <v>125872.06912615558</v>
      </c>
      <c r="X115" s="47">
        <f t="shared" ca="1" si="53"/>
        <v>91283455.336394995</v>
      </c>
    </row>
    <row r="116" spans="1:24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Data'!I116</f>
        <v>118394588.81057931</v>
      </c>
      <c r="E116" s="3">
        <f t="shared" ref="E116:F116" ca="1" si="123">E104</f>
        <v>10.249063146997932</v>
      </c>
      <c r="F116" s="3">
        <f t="shared" ca="1" si="123"/>
        <v>174.0219619206118</v>
      </c>
      <c r="G116" s="3">
        <f>'Monthly Data'!EM116</f>
        <v>0</v>
      </c>
      <c r="H116" s="3">
        <f>'Monthly Data'!ER116</f>
        <v>0</v>
      </c>
      <c r="I116" s="3">
        <f>'Monthly Data'!EG116</f>
        <v>0</v>
      </c>
      <c r="J116" s="3">
        <f>'Monthly Data'!DQ116</f>
        <v>31</v>
      </c>
      <c r="K116">
        <f>'Monthly Data'!EH116</f>
        <v>115</v>
      </c>
      <c r="M116" s="616">
        <f t="shared" si="65"/>
        <v>-11000000</v>
      </c>
      <c r="N116" s="3">
        <f t="shared" ca="1" si="66"/>
        <v>481407.31020879926</v>
      </c>
      <c r="O116" s="3">
        <f t="shared" ca="1" si="67"/>
        <v>47913049.12289343</v>
      </c>
      <c r="P116" s="3">
        <f t="shared" si="68"/>
        <v>0</v>
      </c>
      <c r="Q116" s="3">
        <f t="shared" si="69"/>
        <v>0</v>
      </c>
      <c r="R116" s="3">
        <f t="shared" si="70"/>
        <v>0</v>
      </c>
      <c r="S116" s="3">
        <f t="shared" si="71"/>
        <v>60785761</v>
      </c>
      <c r="T116" s="3">
        <f t="shared" si="72"/>
        <v>15405089.499999998</v>
      </c>
      <c r="U116" s="47">
        <f t="shared" ca="1" si="117"/>
        <v>113585306.93310222</v>
      </c>
      <c r="V116" s="47">
        <f>'Monthly Data'!G116</f>
        <v>1224833.2591530844</v>
      </c>
      <c r="W116" s="47">
        <f ca="1">+'Monthly Data'!H116</f>
        <v>1312.3787067396561</v>
      </c>
      <c r="X116" s="47">
        <f t="shared" ca="1" si="53"/>
        <v>114811452.57096204</v>
      </c>
    </row>
    <row r="117" spans="1:24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Data'!I117</f>
        <v>108752480.49458155</v>
      </c>
      <c r="E117" s="3">
        <f t="shared" ref="E117:F117" ca="1" si="124">E105</f>
        <v>21.194927536231887</v>
      </c>
      <c r="F117" s="3">
        <f t="shared" ca="1" si="124"/>
        <v>149.7160046113307</v>
      </c>
      <c r="G117" s="3">
        <f>'Monthly Data'!EM117</f>
        <v>0</v>
      </c>
      <c r="H117" s="3">
        <f>'Monthly Data'!ER117</f>
        <v>0</v>
      </c>
      <c r="I117" s="3">
        <f>'Monthly Data'!EG117</f>
        <v>0</v>
      </c>
      <c r="J117" s="3">
        <f>'Monthly Data'!DQ117</f>
        <v>31</v>
      </c>
      <c r="K117">
        <f>'Monthly Data'!EH117</f>
        <v>116</v>
      </c>
      <c r="M117" s="616">
        <f t="shared" si="65"/>
        <v>-11000000</v>
      </c>
      <c r="N117" s="3">
        <f t="shared" ca="1" si="66"/>
        <v>995543.97401449294</v>
      </c>
      <c r="O117" s="3">
        <f t="shared" ca="1" si="67"/>
        <v>41220948.231226608</v>
      </c>
      <c r="P117" s="3">
        <f t="shared" si="68"/>
        <v>0</v>
      </c>
      <c r="Q117" s="3">
        <f t="shared" si="69"/>
        <v>0</v>
      </c>
      <c r="R117" s="3">
        <f t="shared" si="70"/>
        <v>0</v>
      </c>
      <c r="S117" s="3">
        <f t="shared" si="71"/>
        <v>60785761</v>
      </c>
      <c r="T117" s="3">
        <f t="shared" si="72"/>
        <v>15539046.799999999</v>
      </c>
      <c r="U117" s="47">
        <f t="shared" ca="1" si="117"/>
        <v>107541300.0052411</v>
      </c>
      <c r="V117" s="47">
        <f>'Monthly Data'!G117</f>
        <v>1256600.6877860012</v>
      </c>
      <c r="W117" s="47">
        <f ca="1">+'Monthly Data'!H117</f>
        <v>32826.080057184088</v>
      </c>
      <c r="X117" s="47">
        <f t="shared" ca="1" si="53"/>
        <v>108830726.77308428</v>
      </c>
    </row>
    <row r="118" spans="1:24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Data'!I118</f>
        <v>85277788.85154295</v>
      </c>
      <c r="E118" s="3">
        <f t="shared" ref="E118:F118" ca="1" si="125">E106</f>
        <v>96.735690993788822</v>
      </c>
      <c r="F118" s="3">
        <f t="shared" ca="1" si="125"/>
        <v>62.345178571428576</v>
      </c>
      <c r="G118" s="3">
        <f>'Monthly Data'!EM118</f>
        <v>0</v>
      </c>
      <c r="H118" s="3">
        <f>'Monthly Data'!ER118</f>
        <v>0</v>
      </c>
      <c r="I118" s="3">
        <f>'Monthly Data'!EG118</f>
        <v>1</v>
      </c>
      <c r="J118" s="3">
        <f>'Monthly Data'!DQ118</f>
        <v>30</v>
      </c>
      <c r="K118">
        <f>'Monthly Data'!EH118</f>
        <v>117</v>
      </c>
      <c r="M118" s="616">
        <f t="shared" si="65"/>
        <v>-11000000</v>
      </c>
      <c r="N118" s="3">
        <f t="shared" ca="1" si="66"/>
        <v>4543758.5986725157</v>
      </c>
      <c r="O118" s="3">
        <f t="shared" ca="1" si="67"/>
        <v>17165348.387642857</v>
      </c>
      <c r="P118" s="3">
        <f t="shared" si="68"/>
        <v>0</v>
      </c>
      <c r="Q118" s="3">
        <f t="shared" si="69"/>
        <v>0</v>
      </c>
      <c r="R118" s="3">
        <f t="shared" si="70"/>
        <v>-3105221</v>
      </c>
      <c r="S118" s="3">
        <f t="shared" si="71"/>
        <v>58824930</v>
      </c>
      <c r="T118" s="3">
        <f t="shared" si="72"/>
        <v>15673004.099999998</v>
      </c>
      <c r="U118" s="47">
        <f t="shared" ca="1" si="117"/>
        <v>82101820.086315364</v>
      </c>
      <c r="V118" s="47">
        <f>'Monthly Data'!G118</f>
        <v>1288368.1164189181</v>
      </c>
      <c r="W118" s="47">
        <f ca="1">+'Monthly Data'!H118</f>
        <v>117084.11550760784</v>
      </c>
      <c r="X118" s="47">
        <f t="shared" ca="1" si="53"/>
        <v>83507272.318241879</v>
      </c>
    </row>
    <row r="119" spans="1:24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Data'!I119</f>
        <v>74718188.233133122</v>
      </c>
      <c r="E119" s="3">
        <f t="shared" ref="E119:F119" ca="1" si="126">E107</f>
        <v>298.21097826086958</v>
      </c>
      <c r="F119" s="3">
        <f t="shared" ca="1" si="126"/>
        <v>7.1541666666666703</v>
      </c>
      <c r="G119" s="3">
        <f>'Monthly Data'!EM119</f>
        <v>0</v>
      </c>
      <c r="H119" s="3">
        <f>'Monthly Data'!ER119</f>
        <v>0</v>
      </c>
      <c r="I119" s="3">
        <f>'Monthly Data'!EG119</f>
        <v>1</v>
      </c>
      <c r="J119" s="3">
        <f>'Monthly Data'!DQ119</f>
        <v>31</v>
      </c>
      <c r="K119">
        <f>'Monthly Data'!EH119</f>
        <v>118</v>
      </c>
      <c r="M119" s="616">
        <f t="shared" si="65"/>
        <v>-11000000</v>
      </c>
      <c r="N119" s="3">
        <f t="shared" ca="1" si="66"/>
        <v>14007226.110354349</v>
      </c>
      <c r="O119" s="3">
        <f t="shared" ca="1" si="67"/>
        <v>1969739.5383333343</v>
      </c>
      <c r="P119" s="3">
        <f t="shared" si="68"/>
        <v>0</v>
      </c>
      <c r="Q119" s="3">
        <f t="shared" si="69"/>
        <v>0</v>
      </c>
      <c r="R119" s="3">
        <f t="shared" si="70"/>
        <v>-3105221</v>
      </c>
      <c r="S119" s="3">
        <f t="shared" si="71"/>
        <v>60785761</v>
      </c>
      <c r="T119" s="3">
        <f t="shared" si="72"/>
        <v>15806961.399999999</v>
      </c>
      <c r="U119" s="47">
        <f t="shared" ca="1" si="117"/>
        <v>78464467.048687682</v>
      </c>
      <c r="V119" s="47">
        <f>'Monthly Data'!G119</f>
        <v>1320135.545051835</v>
      </c>
      <c r="W119" s="47">
        <f ca="1">+'Monthly Data'!H119</f>
        <v>932719.17555195082</v>
      </c>
      <c r="X119" s="47">
        <f t="shared" ref="X119:X182" ca="1" si="127">U119+V119+W119</f>
        <v>80717321.769291461</v>
      </c>
    </row>
    <row r="120" spans="1:24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Data'!I120</f>
        <v>78693160.020198867</v>
      </c>
      <c r="E120" s="3">
        <f t="shared" ref="E120:F120" ca="1" si="128">E108</f>
        <v>486.62991389045737</v>
      </c>
      <c r="F120" s="3">
        <f t="shared" ca="1" si="128"/>
        <v>0.15041666666666628</v>
      </c>
      <c r="G120" s="3">
        <f>'Monthly Data'!EM120</f>
        <v>0</v>
      </c>
      <c r="H120" s="3">
        <f>'Monthly Data'!ER120</f>
        <v>0</v>
      </c>
      <c r="I120" s="3">
        <f>'Monthly Data'!EG120</f>
        <v>1</v>
      </c>
      <c r="J120" s="3">
        <f>'Monthly Data'!DQ120</f>
        <v>30</v>
      </c>
      <c r="K120">
        <f>'Monthly Data'!EH120</f>
        <v>119</v>
      </c>
      <c r="M120" s="616">
        <f t="shared" si="65"/>
        <v>-11000000</v>
      </c>
      <c r="N120" s="3">
        <f t="shared" ca="1" si="66"/>
        <v>22857425.557160728</v>
      </c>
      <c r="O120" s="3">
        <f t="shared" ca="1" si="67"/>
        <v>41413.859833333227</v>
      </c>
      <c r="P120" s="3">
        <f t="shared" si="68"/>
        <v>0</v>
      </c>
      <c r="Q120" s="3">
        <f t="shared" si="69"/>
        <v>0</v>
      </c>
      <c r="R120" s="3">
        <f t="shared" si="70"/>
        <v>-3105221</v>
      </c>
      <c r="S120" s="3">
        <f t="shared" si="71"/>
        <v>58824930</v>
      </c>
      <c r="T120" s="3">
        <f t="shared" si="72"/>
        <v>15940918.699999999</v>
      </c>
      <c r="U120" s="47">
        <f t="shared" ca="1" si="117"/>
        <v>83559467.116994068</v>
      </c>
      <c r="V120" s="47">
        <f>'Monthly Data'!G120</f>
        <v>1351902.9736847519</v>
      </c>
      <c r="W120" s="47">
        <f ca="1">+'Monthly Data'!H120</f>
        <v>1460395.0899934459</v>
      </c>
      <c r="X120" s="47">
        <f t="shared" ca="1" si="127"/>
        <v>86371765.180672273</v>
      </c>
    </row>
    <row r="121" spans="1:24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Data'!I121</f>
        <v>97901467.720364794</v>
      </c>
      <c r="E121" s="3">
        <f t="shared" ref="E121:F121" ca="1" si="129">E109</f>
        <v>639.92800724637686</v>
      </c>
      <c r="F121" s="3">
        <f t="shared" ca="1" si="129"/>
        <v>0</v>
      </c>
      <c r="G121" s="3">
        <f>'Monthly Data'!EM121</f>
        <v>0</v>
      </c>
      <c r="H121" s="3">
        <f>'Monthly Data'!ER121</f>
        <v>0</v>
      </c>
      <c r="I121" s="3">
        <f>'Monthly Data'!EG121</f>
        <v>0</v>
      </c>
      <c r="J121" s="3">
        <f>'Monthly Data'!DQ121</f>
        <v>31</v>
      </c>
      <c r="K121">
        <f>'Monthly Data'!EH121</f>
        <v>120</v>
      </c>
      <c r="M121" s="616">
        <f t="shared" si="65"/>
        <v>-11000000</v>
      </c>
      <c r="N121" s="3">
        <f t="shared" ca="1" si="66"/>
        <v>30057968.838448554</v>
      </c>
      <c r="O121" s="3">
        <f t="shared" ca="1" si="67"/>
        <v>0</v>
      </c>
      <c r="P121" s="3">
        <f t="shared" si="68"/>
        <v>0</v>
      </c>
      <c r="Q121" s="3">
        <f t="shared" si="69"/>
        <v>0</v>
      </c>
      <c r="R121" s="3">
        <f t="shared" si="70"/>
        <v>0</v>
      </c>
      <c r="S121" s="3">
        <f t="shared" si="71"/>
        <v>60785761</v>
      </c>
      <c r="T121" s="3">
        <f t="shared" si="72"/>
        <v>16074875.999999998</v>
      </c>
      <c r="U121" s="47">
        <f t="shared" ca="1" si="117"/>
        <v>95918605.838448554</v>
      </c>
      <c r="V121" s="47">
        <f>'Monthly Data'!G121</f>
        <v>1383670.4023176685</v>
      </c>
      <c r="W121" s="47">
        <f ca="1">+'Monthly Data'!H121</f>
        <v>2386502.5348456199</v>
      </c>
      <c r="X121" s="47">
        <f t="shared" ca="1" si="127"/>
        <v>99688778.775611848</v>
      </c>
    </row>
    <row r="122" spans="1:24">
      <c r="A122" s="2">
        <f t="shared" ref="A122:A171" si="130">EOMONTH(A121,1)</f>
        <v>45688</v>
      </c>
      <c r="B122">
        <f t="shared" ref="B122:B174" si="131">YEAR(A122)</f>
        <v>2025</v>
      </c>
      <c r="C122">
        <f t="shared" ref="C122:C171" si="132">MONTH(A122)</f>
        <v>1</v>
      </c>
      <c r="E122" s="3">
        <f t="shared" ref="E122:F122" ca="1" si="133">E110</f>
        <v>759.33418478260865</v>
      </c>
      <c r="F122" s="3">
        <f t="shared" ca="1" si="133"/>
        <v>0</v>
      </c>
      <c r="I122" s="47">
        <f t="shared" ref="I122:I174" si="134">I110</f>
        <v>0</v>
      </c>
      <c r="J122" s="47">
        <f t="shared" ref="J122:J174" si="135">J74</f>
        <v>31</v>
      </c>
      <c r="K122" s="47">
        <f t="shared" ref="K122:K174" si="136">K121+1</f>
        <v>121</v>
      </c>
      <c r="M122" s="616">
        <f t="shared" si="65"/>
        <v>-11000000</v>
      </c>
      <c r="N122" s="3">
        <f t="shared" ca="1" si="66"/>
        <v>35666579.686638042</v>
      </c>
      <c r="O122" s="3">
        <f t="shared" ca="1" si="67"/>
        <v>0</v>
      </c>
      <c r="P122" s="3">
        <f t="shared" si="68"/>
        <v>0</v>
      </c>
      <c r="Q122" s="3">
        <f t="shared" si="69"/>
        <v>0</v>
      </c>
      <c r="R122" s="3">
        <f t="shared" si="70"/>
        <v>0</v>
      </c>
      <c r="S122" s="3">
        <f t="shared" si="71"/>
        <v>60785761</v>
      </c>
      <c r="T122" s="3">
        <f t="shared" si="72"/>
        <v>16208833.299999999</v>
      </c>
      <c r="U122" s="47">
        <f t="shared" ref="U122:U173" ca="1" si="137">SUM(M122:T122)</f>
        <v>101661173.98663804</v>
      </c>
      <c r="V122" s="47">
        <f>IFERROR(HLOOKUP(B122-1,'EV Forecast VRZ'!$F$124:$T$130,2,FALSE)/12,0)+IFERROR(((HLOOKUP(B122,'EV Forecast VRZ'!$F$116:$T$122,2,FALSE)-HLOOKUP(B122-1,'EV Forecast VRZ'!$F$124:$T$130,2,FALSE)))*C122/78,0)</f>
        <v>1452703.3736072509</v>
      </c>
      <c r="W122" s="47">
        <f ca="1">HLOOKUP(B122,Heating!$C$102:$O$106,2,FALSE)*INDEX(Weather!$BO$1:$CB$20,MATCH(B122,Weather!$BO$1:$BO$20,0),MATCH(C122,Weather!$BO$1:$CB$1,0))/VLOOKUP(B122,Weather!$BO$2:$CB$20,14,FALSE)</f>
        <v>3479314.0929641672</v>
      </c>
      <c r="X122" s="47">
        <f t="shared" ca="1" si="127"/>
        <v>106593191.45320946</v>
      </c>
    </row>
    <row r="123" spans="1:24">
      <c r="A123" s="2">
        <f t="shared" si="130"/>
        <v>45716</v>
      </c>
      <c r="B123">
        <f t="shared" si="131"/>
        <v>2025</v>
      </c>
      <c r="C123">
        <f t="shared" si="132"/>
        <v>2</v>
      </c>
      <c r="E123" s="3">
        <f t="shared" ref="E123:F123" ca="1" si="138">E111</f>
        <v>680.85501811594202</v>
      </c>
      <c r="F123" s="3">
        <f t="shared" ca="1" si="138"/>
        <v>0</v>
      </c>
      <c r="I123" s="47">
        <f t="shared" si="134"/>
        <v>0</v>
      </c>
      <c r="J123" s="47">
        <f t="shared" si="135"/>
        <v>28</v>
      </c>
      <c r="K123" s="47">
        <f t="shared" si="136"/>
        <v>122</v>
      </c>
      <c r="M123" s="616">
        <f t="shared" si="65"/>
        <v>-11000000</v>
      </c>
      <c r="N123" s="3">
        <f t="shared" ca="1" si="66"/>
        <v>31980345.736221377</v>
      </c>
      <c r="O123" s="3">
        <f t="shared" ca="1" si="67"/>
        <v>0</v>
      </c>
      <c r="P123" s="3">
        <f t="shared" si="68"/>
        <v>0</v>
      </c>
      <c r="Q123" s="3">
        <f t="shared" si="69"/>
        <v>0</v>
      </c>
      <c r="R123" s="3">
        <f t="shared" si="70"/>
        <v>0</v>
      </c>
      <c r="S123" s="3">
        <f t="shared" si="71"/>
        <v>54903268</v>
      </c>
      <c r="T123" s="3">
        <f t="shared" si="72"/>
        <v>16342790.599999998</v>
      </c>
      <c r="U123" s="47">
        <f t="shared" ca="1" si="137"/>
        <v>92226404.336221367</v>
      </c>
      <c r="V123" s="47">
        <f>IFERROR(HLOOKUP(B123-1,'EV Forecast VRZ'!$F$124:$T$130,2,FALSE)/12,0)+IFERROR(((HLOOKUP(B123,'EV Forecast VRZ'!$F$116:$T$122,2,FALSE)-HLOOKUP(B123-1,'EV Forecast VRZ'!$F$124:$T$130,2,FALSE)))*C123/78,0)</f>
        <v>1489968.9162639163</v>
      </c>
      <c r="W123" s="47">
        <f ca="1">HLOOKUP(B123,Heating!$C$102:$O$106,2,FALSE)*INDEX(Weather!$BO$1:$CB$20,MATCH(B123,Weather!$BO$1:$BO$20,0),MATCH(C123,Weather!$BO$1:$CB$1,0))/VLOOKUP(B123,Weather!$BO$2:$CB$20,14,FALSE)</f>
        <v>3114689.2401546389</v>
      </c>
      <c r="X123" s="47">
        <f t="shared" ca="1" si="127"/>
        <v>96831062.492639929</v>
      </c>
    </row>
    <row r="124" spans="1:24">
      <c r="A124" s="2">
        <f t="shared" si="130"/>
        <v>45747</v>
      </c>
      <c r="B124">
        <f t="shared" si="131"/>
        <v>2025</v>
      </c>
      <c r="C124">
        <f t="shared" si="132"/>
        <v>3</v>
      </c>
      <c r="E124" s="3">
        <f t="shared" ref="E124:F124" ca="1" si="139">E112</f>
        <v>608.13298913043479</v>
      </c>
      <c r="F124" s="3">
        <f t="shared" ca="1" si="139"/>
        <v>0</v>
      </c>
      <c r="I124" s="47">
        <f t="shared" si="134"/>
        <v>1</v>
      </c>
      <c r="J124" s="47">
        <f t="shared" si="135"/>
        <v>31</v>
      </c>
      <c r="K124" s="47">
        <f t="shared" si="136"/>
        <v>123</v>
      </c>
      <c r="M124" s="616">
        <f t="shared" si="65"/>
        <v>-11000000</v>
      </c>
      <c r="N124" s="3">
        <f t="shared" ca="1" si="66"/>
        <v>28564529.493827175</v>
      </c>
      <c r="O124" s="3">
        <f t="shared" ca="1" si="67"/>
        <v>0</v>
      </c>
      <c r="P124" s="3">
        <f t="shared" si="68"/>
        <v>0</v>
      </c>
      <c r="Q124" s="3">
        <f t="shared" si="69"/>
        <v>0</v>
      </c>
      <c r="R124" s="3">
        <f t="shared" si="70"/>
        <v>-3105221</v>
      </c>
      <c r="S124" s="3">
        <f t="shared" si="71"/>
        <v>60785761</v>
      </c>
      <c r="T124" s="3">
        <f t="shared" si="72"/>
        <v>16476747.899999999</v>
      </c>
      <c r="U124" s="47">
        <f t="shared" ca="1" si="137"/>
        <v>91721817.39382717</v>
      </c>
      <c r="V124" s="47">
        <f>IFERROR(HLOOKUP(B124-1,'EV Forecast VRZ'!$F$124:$T$130,2,FALSE)/12,0)+IFERROR(((HLOOKUP(B124,'EV Forecast VRZ'!$F$116:$T$122,2,FALSE)-HLOOKUP(B124-1,'EV Forecast VRZ'!$F$124:$T$130,2,FALSE)))*C124/78,0)</f>
        <v>1527234.4589205817</v>
      </c>
      <c r="W124" s="47">
        <f ca="1">HLOOKUP(B124,Heating!$C$102:$O$106,2,FALSE)*INDEX(Weather!$BO$1:$CB$20,MATCH(B124,Weather!$BO$1:$BO$20,0),MATCH(C124,Weather!$BO$1:$CB$1,0))/VLOOKUP(B124,Weather!$BO$2:$CB$20,14,FALSE)</f>
        <v>2724903.2776251156</v>
      </c>
      <c r="X124" s="47">
        <f t="shared" ca="1" si="127"/>
        <v>95973955.130372867</v>
      </c>
    </row>
    <row r="125" spans="1:24">
      <c r="A125" s="2">
        <f t="shared" si="130"/>
        <v>45777</v>
      </c>
      <c r="B125">
        <f t="shared" si="131"/>
        <v>2025</v>
      </c>
      <c r="C125">
        <f t="shared" si="132"/>
        <v>4</v>
      </c>
      <c r="E125" s="3">
        <f t="shared" ref="E125:F125" ca="1" si="140">E113</f>
        <v>412.37941287878795</v>
      </c>
      <c r="F125" s="3">
        <f t="shared" ca="1" si="140"/>
        <v>0.4316666666666677</v>
      </c>
      <c r="I125" s="47">
        <f t="shared" si="134"/>
        <v>1</v>
      </c>
      <c r="J125" s="47">
        <f t="shared" si="135"/>
        <v>30</v>
      </c>
      <c r="K125" s="47">
        <f t="shared" si="136"/>
        <v>124</v>
      </c>
      <c r="M125" s="616">
        <f t="shared" si="65"/>
        <v>-11000000</v>
      </c>
      <c r="N125" s="3">
        <f t="shared" ca="1" si="66"/>
        <v>19369815.669211745</v>
      </c>
      <c r="O125" s="3">
        <f t="shared" ca="1" si="67"/>
        <v>118849.74733333361</v>
      </c>
      <c r="P125" s="3">
        <f t="shared" si="68"/>
        <v>0</v>
      </c>
      <c r="Q125" s="3">
        <f t="shared" si="69"/>
        <v>0</v>
      </c>
      <c r="R125" s="3">
        <f t="shared" si="70"/>
        <v>-3105221</v>
      </c>
      <c r="S125" s="3">
        <f t="shared" si="71"/>
        <v>58824930</v>
      </c>
      <c r="T125" s="3">
        <f t="shared" si="72"/>
        <v>16610705.199999999</v>
      </c>
      <c r="U125" s="47">
        <f t="shared" ca="1" si="137"/>
        <v>80819079.616545081</v>
      </c>
      <c r="V125" s="47">
        <f>IFERROR(HLOOKUP(B125-1,'EV Forecast VRZ'!$F$124:$T$130,2,FALSE)/12,0)+IFERROR(((HLOOKUP(B125,'EV Forecast VRZ'!$F$116:$T$122,2,FALSE)-HLOOKUP(B125-1,'EV Forecast VRZ'!$F$124:$T$130,2,FALSE)))*C125/78,0)</f>
        <v>1564500.0015772472</v>
      </c>
      <c r="W125" s="47">
        <f ca="1">HLOOKUP(B125,Heating!$C$102:$O$106,2,FALSE)*INDEX(Weather!$BO$1:$CB$20,MATCH(B125,Weather!$BO$1:$BO$20,0),MATCH(C125,Weather!$BO$1:$CB$1,0))/VLOOKUP(B125,Weather!$BO$2:$CB$20,14,FALSE)</f>
        <v>1758352.0359910426</v>
      </c>
      <c r="X125" s="47">
        <f t="shared" ca="1" si="127"/>
        <v>84141931.654113367</v>
      </c>
    </row>
    <row r="126" spans="1:24">
      <c r="A126" s="2">
        <f t="shared" si="130"/>
        <v>45808</v>
      </c>
      <c r="B126">
        <f t="shared" si="131"/>
        <v>2025</v>
      </c>
      <c r="C126">
        <f t="shared" si="132"/>
        <v>5</v>
      </c>
      <c r="E126" s="3">
        <f t="shared" ref="E126:F126" ca="1" si="141">E114</f>
        <v>202.70273119310133</v>
      </c>
      <c r="F126" s="3">
        <f t="shared" ca="1" si="141"/>
        <v>29.4520183982684</v>
      </c>
      <c r="I126" s="47">
        <f t="shared" si="134"/>
        <v>1</v>
      </c>
      <c r="J126" s="47">
        <f t="shared" si="135"/>
        <v>31</v>
      </c>
      <c r="K126" s="47">
        <f t="shared" si="136"/>
        <v>125</v>
      </c>
      <c r="M126" s="616">
        <f t="shared" si="65"/>
        <v>-11000000</v>
      </c>
      <c r="N126" s="3">
        <f t="shared" ca="1" si="66"/>
        <v>9521121.6084887963</v>
      </c>
      <c r="O126" s="3">
        <f t="shared" ca="1" si="67"/>
        <v>8108953.5407510819</v>
      </c>
      <c r="P126" s="3">
        <f t="shared" si="68"/>
        <v>0</v>
      </c>
      <c r="Q126" s="3">
        <f t="shared" si="69"/>
        <v>0</v>
      </c>
      <c r="R126" s="3">
        <f t="shared" si="70"/>
        <v>-3105221</v>
      </c>
      <c r="S126" s="3">
        <f t="shared" si="71"/>
        <v>60785761</v>
      </c>
      <c r="T126" s="3">
        <f t="shared" si="72"/>
        <v>16744662.499999998</v>
      </c>
      <c r="U126" s="47">
        <f t="shared" ca="1" si="137"/>
        <v>81055277.649239868</v>
      </c>
      <c r="V126" s="47">
        <f>IFERROR(HLOOKUP(B126-1,'EV Forecast VRZ'!$F$124:$T$130,2,FALSE)/12,0)+IFERROR(((HLOOKUP(B126,'EV Forecast VRZ'!$F$116:$T$122,2,FALSE)-HLOOKUP(B126-1,'EV Forecast VRZ'!$F$124:$T$130,2,FALSE)))*C126/78,0)</f>
        <v>1601765.5442339126</v>
      </c>
      <c r="W126" s="47">
        <f ca="1">HLOOKUP(B126,Heating!$C$102:$O$106,2,FALSE)*INDEX(Weather!$BO$1:$CB$20,MATCH(B126,Weather!$BO$1:$BO$20,0),MATCH(C126,Weather!$BO$1:$CB$1,0))/VLOOKUP(B126,Weather!$BO$2:$CB$20,14,FALSE)</f>
        <v>749100.55465050868</v>
      </c>
      <c r="X126" s="47">
        <f t="shared" ca="1" si="127"/>
        <v>83406143.748124301</v>
      </c>
    </row>
    <row r="127" spans="1:24">
      <c r="A127" s="2">
        <f t="shared" si="130"/>
        <v>45838</v>
      </c>
      <c r="B127">
        <f t="shared" si="131"/>
        <v>2025</v>
      </c>
      <c r="C127">
        <f t="shared" si="132"/>
        <v>6</v>
      </c>
      <c r="E127" s="3">
        <f t="shared" ref="E127:F127" ca="1" si="142">E115</f>
        <v>66.09717382617383</v>
      </c>
      <c r="F127" s="3">
        <f t="shared" ca="1" si="142"/>
        <v>86.311049595332207</v>
      </c>
      <c r="I127" s="47">
        <f t="shared" si="134"/>
        <v>0</v>
      </c>
      <c r="J127" s="47">
        <f t="shared" si="135"/>
        <v>30</v>
      </c>
      <c r="K127" s="47">
        <f t="shared" si="136"/>
        <v>126</v>
      </c>
      <c r="M127" s="616">
        <f t="shared" si="65"/>
        <v>-11000000</v>
      </c>
      <c r="N127" s="3">
        <f t="shared" ca="1" si="66"/>
        <v>3104641.0981848752</v>
      </c>
      <c r="O127" s="3">
        <f t="shared" ca="1" si="67"/>
        <v>23763814.138563786</v>
      </c>
      <c r="P127" s="3">
        <f t="shared" si="68"/>
        <v>0</v>
      </c>
      <c r="Q127" s="3">
        <f t="shared" si="69"/>
        <v>0</v>
      </c>
      <c r="R127" s="3">
        <f t="shared" si="70"/>
        <v>0</v>
      </c>
      <c r="S127" s="3">
        <f t="shared" si="71"/>
        <v>58824930</v>
      </c>
      <c r="T127" s="3">
        <f t="shared" si="72"/>
        <v>16878619.799999997</v>
      </c>
      <c r="U127" s="47">
        <f t="shared" ca="1" si="137"/>
        <v>91572005.036748663</v>
      </c>
      <c r="V127" s="47">
        <f>IFERROR(HLOOKUP(B127-1,'EV Forecast VRZ'!$F$124:$T$130,2,FALSE)/12,0)+IFERROR(((HLOOKUP(B127,'EV Forecast VRZ'!$F$116:$T$122,2,FALSE)-HLOOKUP(B127-1,'EV Forecast VRZ'!$F$124:$T$130,2,FALSE)))*C127/78,0)</f>
        <v>1639031.086890578</v>
      </c>
      <c r="W127" s="47">
        <f ca="1">HLOOKUP(B127,Heating!$C$102:$O$106,2,FALSE)*INDEX(Weather!$BO$1:$CB$20,MATCH(B127,Weather!$BO$1:$BO$20,0),MATCH(C127,Weather!$BO$1:$CB$1,0))/VLOOKUP(B127,Weather!$BO$2:$CB$20,14,FALSE)</f>
        <v>162261.52546916221</v>
      </c>
      <c r="X127" s="47">
        <f t="shared" ca="1" si="127"/>
        <v>93373297.64910841</v>
      </c>
    </row>
    <row r="128" spans="1:24">
      <c r="A128" s="2">
        <f t="shared" si="130"/>
        <v>45869</v>
      </c>
      <c r="B128">
        <f t="shared" si="131"/>
        <v>2025</v>
      </c>
      <c r="C128">
        <f t="shared" si="132"/>
        <v>7</v>
      </c>
      <c r="E128" s="3">
        <f t="shared" ref="E128:F128" ca="1" si="143">E116</f>
        <v>10.249063146997932</v>
      </c>
      <c r="F128" s="3">
        <f t="shared" ca="1" si="143"/>
        <v>174.0219619206118</v>
      </c>
      <c r="I128" s="47">
        <f t="shared" si="134"/>
        <v>0</v>
      </c>
      <c r="J128" s="47">
        <f t="shared" si="135"/>
        <v>31</v>
      </c>
      <c r="K128" s="47">
        <f t="shared" si="136"/>
        <v>127</v>
      </c>
      <c r="M128" s="616">
        <f t="shared" si="65"/>
        <v>-11000000</v>
      </c>
      <c r="N128" s="3">
        <f t="shared" ca="1" si="66"/>
        <v>481407.31020879926</v>
      </c>
      <c r="O128" s="3">
        <f t="shared" ca="1" si="67"/>
        <v>47913049.12289343</v>
      </c>
      <c r="P128" s="3">
        <f t="shared" si="68"/>
        <v>0</v>
      </c>
      <c r="Q128" s="3">
        <f t="shared" si="69"/>
        <v>0</v>
      </c>
      <c r="R128" s="3">
        <f t="shared" si="70"/>
        <v>0</v>
      </c>
      <c r="S128" s="3">
        <f t="shared" si="71"/>
        <v>60785761</v>
      </c>
      <c r="T128" s="3">
        <f t="shared" si="72"/>
        <v>17012577.099999998</v>
      </c>
      <c r="U128" s="47">
        <f t="shared" ca="1" si="137"/>
        <v>115192794.53310221</v>
      </c>
      <c r="V128" s="47">
        <f>IFERROR(HLOOKUP(B128-1,'EV Forecast VRZ'!$F$124:$T$130,2,FALSE)/12,0)+IFERROR(((HLOOKUP(B128,'EV Forecast VRZ'!$F$116:$T$122,2,FALSE)-HLOOKUP(B128-1,'EV Forecast VRZ'!$F$124:$T$130,2,FALSE)))*C128/78,0)</f>
        <v>1676296.6295472435</v>
      </c>
      <c r="W128" s="47">
        <f ca="1">HLOOKUP(B128,Heating!$C$102:$O$106,2,FALSE)*INDEX(Weather!$BO$1:$CB$20,MATCH(B128,Weather!$BO$1:$BO$20,0),MATCH(C128,Weather!$BO$1:$CB$1,0))/VLOOKUP(B128,Weather!$BO$2:$CB$20,14,FALSE)</f>
        <v>8072.5144162118359</v>
      </c>
      <c r="X128" s="47">
        <f t="shared" ca="1" si="127"/>
        <v>116877163.67706567</v>
      </c>
    </row>
    <row r="129" spans="1:24">
      <c r="A129" s="2">
        <f t="shared" si="130"/>
        <v>45900</v>
      </c>
      <c r="B129">
        <f t="shared" si="131"/>
        <v>2025</v>
      </c>
      <c r="C129">
        <f t="shared" si="132"/>
        <v>8</v>
      </c>
      <c r="E129" s="3">
        <f t="shared" ref="E129:F129" ca="1" si="144">E117</f>
        <v>21.194927536231887</v>
      </c>
      <c r="F129" s="3">
        <f t="shared" ca="1" si="144"/>
        <v>149.7160046113307</v>
      </c>
      <c r="I129" s="47">
        <f t="shared" si="134"/>
        <v>0</v>
      </c>
      <c r="J129" s="47">
        <f t="shared" si="135"/>
        <v>31</v>
      </c>
      <c r="K129" s="47">
        <f t="shared" si="136"/>
        <v>128</v>
      </c>
      <c r="M129" s="616">
        <f t="shared" si="65"/>
        <v>-11000000</v>
      </c>
      <c r="N129" s="3">
        <f t="shared" ca="1" si="66"/>
        <v>995543.97401449294</v>
      </c>
      <c r="O129" s="3">
        <f t="shared" ca="1" si="67"/>
        <v>41220948.231226608</v>
      </c>
      <c r="P129" s="3">
        <f t="shared" si="68"/>
        <v>0</v>
      </c>
      <c r="Q129" s="3">
        <f t="shared" si="69"/>
        <v>0</v>
      </c>
      <c r="R129" s="3">
        <f t="shared" si="70"/>
        <v>0</v>
      </c>
      <c r="S129" s="3">
        <f t="shared" si="71"/>
        <v>60785761</v>
      </c>
      <c r="T129" s="3">
        <f t="shared" si="72"/>
        <v>17146534.399999999</v>
      </c>
      <c r="U129" s="47">
        <f t="shared" ca="1" si="137"/>
        <v>109148787.60524109</v>
      </c>
      <c r="V129" s="47">
        <f>IFERROR(HLOOKUP(B129-1,'EV Forecast VRZ'!$F$124:$T$130,2,FALSE)/12,0)+IFERROR(((HLOOKUP(B129,'EV Forecast VRZ'!$F$116:$T$122,2,FALSE)-HLOOKUP(B129-1,'EV Forecast VRZ'!$F$124:$T$130,2,FALSE)))*C129/78,0)</f>
        <v>1713562.1722039089</v>
      </c>
      <c r="W129" s="47">
        <f ca="1">HLOOKUP(B129,Heating!$C$102:$O$106,2,FALSE)*INDEX(Weather!$BO$1:$CB$20,MATCH(B129,Weather!$BO$1:$BO$20,0),MATCH(C129,Weather!$BO$1:$CB$1,0))/VLOOKUP(B129,Weather!$BO$2:$CB$20,14,FALSE)</f>
        <v>28190.392862176806</v>
      </c>
      <c r="X129" s="47">
        <f t="shared" ca="1" si="127"/>
        <v>110890540.17030717</v>
      </c>
    </row>
    <row r="130" spans="1:24">
      <c r="A130" s="2">
        <f t="shared" si="130"/>
        <v>45930</v>
      </c>
      <c r="B130">
        <f t="shared" si="131"/>
        <v>2025</v>
      </c>
      <c r="C130">
        <f t="shared" si="132"/>
        <v>9</v>
      </c>
      <c r="E130" s="3">
        <f t="shared" ref="E130:F130" ca="1" si="145">E118</f>
        <v>96.735690993788822</v>
      </c>
      <c r="F130" s="3">
        <f t="shared" ca="1" si="145"/>
        <v>62.345178571428576</v>
      </c>
      <c r="I130" s="47">
        <f t="shared" si="134"/>
        <v>1</v>
      </c>
      <c r="J130" s="47">
        <f t="shared" si="135"/>
        <v>30</v>
      </c>
      <c r="K130" s="47">
        <f t="shared" si="136"/>
        <v>129</v>
      </c>
      <c r="M130" s="616">
        <f t="shared" ref="M130:M193" si="146">$AB$8</f>
        <v>-11000000</v>
      </c>
      <c r="N130" s="3">
        <f t="shared" ref="N130:N193" ca="1" si="147">E130*$AB$9</f>
        <v>4543758.5986725157</v>
      </c>
      <c r="O130" s="3">
        <f t="shared" ref="O130:O193" ca="1" si="148">F130*$AB$10</f>
        <v>17165348.387642857</v>
      </c>
      <c r="P130" s="3">
        <f t="shared" ref="P130:P193" si="149">G130*$AB$11</f>
        <v>0</v>
      </c>
      <c r="Q130" s="3">
        <f t="shared" ref="Q130:Q193" si="150">H130*$AB$12</f>
        <v>0</v>
      </c>
      <c r="R130" s="3">
        <f t="shared" ref="R130:R193" si="151">I130*$AB$13</f>
        <v>-3105221</v>
      </c>
      <c r="S130" s="3">
        <f t="shared" ref="S130:S193" si="152">J130*$AB$14</f>
        <v>58824930</v>
      </c>
      <c r="T130" s="3">
        <f t="shared" ref="T130:T193" si="153">K130*$AB$15</f>
        <v>17280491.699999999</v>
      </c>
      <c r="U130" s="47">
        <f t="shared" ca="1" si="137"/>
        <v>83709307.686315373</v>
      </c>
      <c r="V130" s="47">
        <f>IFERROR(HLOOKUP(B130-1,'EV Forecast VRZ'!$F$124:$T$130,2,FALSE)/12,0)+IFERROR(((HLOOKUP(B130,'EV Forecast VRZ'!$F$116:$T$122,2,FALSE)-HLOOKUP(B130-1,'EV Forecast VRZ'!$F$124:$T$130,2,FALSE)))*C130/78,0)</f>
        <v>1750827.7148605743</v>
      </c>
      <c r="W130" s="47">
        <f ca="1">HLOOKUP(B130,Heating!$C$102:$O$106,2,FALSE)*INDEX(Weather!$BO$1:$CB$20,MATCH(B130,Weather!$BO$1:$BO$20,0),MATCH(C130,Weather!$BO$1:$CB$1,0))/VLOOKUP(B130,Weather!$BO$2:$CB$20,14,FALSE)</f>
        <v>274217.38638947479</v>
      </c>
      <c r="X130" s="47">
        <f t="shared" ca="1" si="127"/>
        <v>85734352.787565425</v>
      </c>
    </row>
    <row r="131" spans="1:24">
      <c r="A131" s="2">
        <f t="shared" si="130"/>
        <v>45961</v>
      </c>
      <c r="B131">
        <f t="shared" si="131"/>
        <v>2025</v>
      </c>
      <c r="C131">
        <f t="shared" si="132"/>
        <v>10</v>
      </c>
      <c r="E131" s="3">
        <f t="shared" ref="E131:F131" ca="1" si="154">E119</f>
        <v>298.21097826086958</v>
      </c>
      <c r="F131" s="3">
        <f t="shared" ca="1" si="154"/>
        <v>7.1541666666666703</v>
      </c>
      <c r="I131" s="47">
        <f t="shared" si="134"/>
        <v>1</v>
      </c>
      <c r="J131" s="47">
        <f t="shared" si="135"/>
        <v>31</v>
      </c>
      <c r="K131" s="47">
        <f t="shared" si="136"/>
        <v>130</v>
      </c>
      <c r="M131" s="616">
        <f t="shared" si="146"/>
        <v>-11000000</v>
      </c>
      <c r="N131" s="3">
        <f t="shared" ca="1" si="147"/>
        <v>14007226.110354349</v>
      </c>
      <c r="O131" s="3">
        <f t="shared" ca="1" si="148"/>
        <v>1969739.5383333343</v>
      </c>
      <c r="P131" s="3">
        <f t="shared" si="149"/>
        <v>0</v>
      </c>
      <c r="Q131" s="3">
        <f t="shared" si="150"/>
        <v>0</v>
      </c>
      <c r="R131" s="3">
        <f t="shared" si="151"/>
        <v>-3105221</v>
      </c>
      <c r="S131" s="3">
        <f t="shared" si="152"/>
        <v>60785761</v>
      </c>
      <c r="T131" s="3">
        <f t="shared" si="153"/>
        <v>17414449</v>
      </c>
      <c r="U131" s="47">
        <f t="shared" ca="1" si="137"/>
        <v>80071954.64868769</v>
      </c>
      <c r="V131" s="47">
        <f>IFERROR(HLOOKUP(B131-1,'EV Forecast VRZ'!$F$124:$T$130,2,FALSE)/12,0)+IFERROR(((HLOOKUP(B131,'EV Forecast VRZ'!$F$116:$T$122,2,FALSE)-HLOOKUP(B131-1,'EV Forecast VRZ'!$F$124:$T$130,2,FALSE)))*C131/78,0)</f>
        <v>1788093.2575172398</v>
      </c>
      <c r="W131" s="47">
        <f ca="1">HLOOKUP(B131,Heating!$C$102:$O$106,2,FALSE)*INDEX(Weather!$BO$1:$CB$20,MATCH(B131,Weather!$BO$1:$BO$20,0),MATCH(C131,Weather!$BO$1:$CB$1,0))/VLOOKUP(B131,Weather!$BO$2:$CB$20,14,FALSE)</f>
        <v>1186974.2618583788</v>
      </c>
      <c r="X131" s="47">
        <f t="shared" ca="1" si="127"/>
        <v>83047022.168063298</v>
      </c>
    </row>
    <row r="132" spans="1:24">
      <c r="A132" s="2">
        <f t="shared" si="130"/>
        <v>45991</v>
      </c>
      <c r="B132">
        <f t="shared" si="131"/>
        <v>2025</v>
      </c>
      <c r="C132">
        <f t="shared" si="132"/>
        <v>11</v>
      </c>
      <c r="E132" s="3">
        <f t="shared" ref="E132:F132" ca="1" si="155">E120</f>
        <v>486.62991389045737</v>
      </c>
      <c r="F132" s="3">
        <f t="shared" ca="1" si="155"/>
        <v>0.15041666666666628</v>
      </c>
      <c r="I132" s="47">
        <f t="shared" si="134"/>
        <v>1</v>
      </c>
      <c r="J132" s="47">
        <f t="shared" si="135"/>
        <v>30</v>
      </c>
      <c r="K132" s="47">
        <f t="shared" si="136"/>
        <v>131</v>
      </c>
      <c r="M132" s="616">
        <f t="shared" si="146"/>
        <v>-11000000</v>
      </c>
      <c r="N132" s="3">
        <f t="shared" ca="1" si="147"/>
        <v>22857425.557160728</v>
      </c>
      <c r="O132" s="3">
        <f t="shared" ca="1" si="148"/>
        <v>41413.859833333227</v>
      </c>
      <c r="P132" s="3">
        <f t="shared" si="149"/>
        <v>0</v>
      </c>
      <c r="Q132" s="3">
        <f t="shared" si="150"/>
        <v>0</v>
      </c>
      <c r="R132" s="3">
        <f t="shared" si="151"/>
        <v>-3105221</v>
      </c>
      <c r="S132" s="3">
        <f t="shared" si="152"/>
        <v>58824930</v>
      </c>
      <c r="T132" s="3">
        <f t="shared" si="153"/>
        <v>17548406.299999997</v>
      </c>
      <c r="U132" s="47">
        <f t="shared" ca="1" si="137"/>
        <v>85166954.716994062</v>
      </c>
      <c r="V132" s="47">
        <f>IFERROR(HLOOKUP(B132-1,'EV Forecast VRZ'!$F$124:$T$130,2,FALSE)/12,0)+IFERROR(((HLOOKUP(B132,'EV Forecast VRZ'!$F$116:$T$122,2,FALSE)-HLOOKUP(B132-1,'EV Forecast VRZ'!$F$124:$T$130,2,FALSE)))*C132/78,0)</f>
        <v>1825358.8001739052</v>
      </c>
      <c r="W132" s="47">
        <f ca="1">HLOOKUP(B132,Heating!$C$102:$O$106,2,FALSE)*INDEX(Weather!$BO$1:$CB$20,MATCH(B132,Weather!$BO$1:$BO$20,0),MATCH(C132,Weather!$BO$1:$CB$1,0))/VLOOKUP(B132,Weather!$BO$2:$CB$20,14,FALSE)</f>
        <v>2128648.6512086126</v>
      </c>
      <c r="X132" s="47">
        <f t="shared" ca="1" si="127"/>
        <v>89120962.16837658</v>
      </c>
    </row>
    <row r="133" spans="1:24">
      <c r="A133" s="2">
        <f t="shared" si="130"/>
        <v>46022</v>
      </c>
      <c r="B133">
        <f t="shared" si="131"/>
        <v>2025</v>
      </c>
      <c r="C133">
        <f t="shared" si="132"/>
        <v>12</v>
      </c>
      <c r="E133" s="3">
        <f t="shared" ref="E133:F133" ca="1" si="156">E121</f>
        <v>639.92800724637686</v>
      </c>
      <c r="F133" s="3">
        <f t="shared" ca="1" si="156"/>
        <v>0</v>
      </c>
      <c r="I133" s="47">
        <f t="shared" si="134"/>
        <v>0</v>
      </c>
      <c r="J133" s="47">
        <f t="shared" si="135"/>
        <v>31</v>
      </c>
      <c r="K133" s="47">
        <f t="shared" si="136"/>
        <v>132</v>
      </c>
      <c r="M133" s="616">
        <f t="shared" si="146"/>
        <v>-11000000</v>
      </c>
      <c r="N133" s="3">
        <f t="shared" ca="1" si="147"/>
        <v>30057968.838448554</v>
      </c>
      <c r="O133" s="3">
        <f t="shared" ca="1" si="148"/>
        <v>0</v>
      </c>
      <c r="P133" s="3">
        <f t="shared" si="149"/>
        <v>0</v>
      </c>
      <c r="Q133" s="3">
        <f t="shared" si="150"/>
        <v>0</v>
      </c>
      <c r="R133" s="3">
        <f t="shared" si="151"/>
        <v>0</v>
      </c>
      <c r="S133" s="3">
        <f t="shared" si="152"/>
        <v>60785761</v>
      </c>
      <c r="T133" s="3">
        <f t="shared" si="153"/>
        <v>17682363.599999998</v>
      </c>
      <c r="U133" s="47">
        <f t="shared" ca="1" si="137"/>
        <v>97526093.438448548</v>
      </c>
      <c r="V133" s="47">
        <f>IFERROR(HLOOKUP(B133-1,'EV Forecast VRZ'!$F$124:$T$130,2,FALSE)/12,0)+IFERROR(((HLOOKUP(B133,'EV Forecast VRZ'!$F$116:$T$122,2,FALSE)-HLOOKUP(B133-1,'EV Forecast VRZ'!$F$124:$T$130,2,FALSE)))*C133/78,0)</f>
        <v>1862624.3428305706</v>
      </c>
      <c r="W133" s="47">
        <f ca="1">HLOOKUP(B133,Heating!$C$102:$O$106,2,FALSE)*INDEX(Weather!$BO$1:$CB$20,MATCH(B133,Weather!$BO$1:$BO$20,0),MATCH(C133,Weather!$BO$1:$CB$1,0))/VLOOKUP(B133,Weather!$BO$2:$CB$20,14,FALSE)</f>
        <v>2883542.9328018292</v>
      </c>
      <c r="X133" s="47">
        <f t="shared" ca="1" si="127"/>
        <v>102272260.71408094</v>
      </c>
    </row>
    <row r="134" spans="1:24">
      <c r="A134" s="2">
        <f t="shared" si="130"/>
        <v>46053</v>
      </c>
      <c r="B134">
        <f t="shared" si="131"/>
        <v>2026</v>
      </c>
      <c r="C134">
        <f t="shared" si="132"/>
        <v>1</v>
      </c>
      <c r="E134" s="3">
        <f t="shared" ref="E134:F134" ca="1" si="157">E122</f>
        <v>759.33418478260865</v>
      </c>
      <c r="F134" s="3">
        <f t="shared" ca="1" si="157"/>
        <v>0</v>
      </c>
      <c r="I134" s="47">
        <f t="shared" si="134"/>
        <v>0</v>
      </c>
      <c r="J134" s="47">
        <f t="shared" si="135"/>
        <v>31</v>
      </c>
      <c r="K134" s="47">
        <f t="shared" si="136"/>
        <v>133</v>
      </c>
      <c r="M134" s="616">
        <f t="shared" si="146"/>
        <v>-11000000</v>
      </c>
      <c r="N134" s="3">
        <f t="shared" ca="1" si="147"/>
        <v>35666579.686638042</v>
      </c>
      <c r="O134" s="3">
        <f t="shared" ca="1" si="148"/>
        <v>0</v>
      </c>
      <c r="P134" s="3">
        <f t="shared" si="149"/>
        <v>0</v>
      </c>
      <c r="Q134" s="3">
        <f t="shared" si="150"/>
        <v>0</v>
      </c>
      <c r="R134" s="3">
        <f t="shared" si="151"/>
        <v>0</v>
      </c>
      <c r="S134" s="3">
        <f t="shared" si="152"/>
        <v>60785761</v>
      </c>
      <c r="T134" s="3">
        <f t="shared" si="153"/>
        <v>17816320.899999999</v>
      </c>
      <c r="U134" s="47">
        <f t="shared" ca="1" si="137"/>
        <v>103268661.58663803</v>
      </c>
      <c r="V134" s="47">
        <f>IFERROR(HLOOKUP(B134-1,'EV Forecast VRZ'!$F$124:$T$130,2,FALSE)/12,0)+IFERROR(((HLOOKUP(B134,'EV Forecast VRZ'!$F$116:$T$122,2,FALSE)-HLOOKUP(B134-1,'EV Forecast VRZ'!$F$124:$T$130,2,FALSE)))*C134/78,0)</f>
        <v>1944502.1125563269</v>
      </c>
      <c r="W134" s="47">
        <f ca="1">HLOOKUP(B134,Heating!$C$102:$O$106,2,FALSE)*INDEX(Weather!$BO$1:$CB$20,MATCH(B134,Weather!$BO$1:$BO$20,0),MATCH(C134,Weather!$BO$1:$CB$1,0))/VLOOKUP(B134,Weather!$BO$2:$CB$20,14,FALSE)</f>
        <v>4252385.2662264882</v>
      </c>
      <c r="X134" s="47">
        <f t="shared" ca="1" si="127"/>
        <v>109465548.96542084</v>
      </c>
    </row>
    <row r="135" spans="1:24">
      <c r="A135" s="2">
        <f t="shared" si="130"/>
        <v>46081</v>
      </c>
      <c r="B135">
        <f t="shared" si="131"/>
        <v>2026</v>
      </c>
      <c r="C135">
        <f t="shared" si="132"/>
        <v>2</v>
      </c>
      <c r="E135" s="3">
        <f t="shared" ref="E135:F135" ca="1" si="158">E123</f>
        <v>680.85501811594202</v>
      </c>
      <c r="F135" s="3">
        <f t="shared" ca="1" si="158"/>
        <v>0</v>
      </c>
      <c r="I135" s="47">
        <f t="shared" si="134"/>
        <v>0</v>
      </c>
      <c r="J135" s="47">
        <f t="shared" si="135"/>
        <v>28</v>
      </c>
      <c r="K135" s="47">
        <f t="shared" si="136"/>
        <v>134</v>
      </c>
      <c r="M135" s="616">
        <f t="shared" si="146"/>
        <v>-11000000</v>
      </c>
      <c r="N135" s="3">
        <f t="shared" ca="1" si="147"/>
        <v>31980345.736221377</v>
      </c>
      <c r="O135" s="3">
        <f t="shared" ca="1" si="148"/>
        <v>0</v>
      </c>
      <c r="P135" s="3">
        <f t="shared" si="149"/>
        <v>0</v>
      </c>
      <c r="Q135" s="3">
        <f t="shared" si="150"/>
        <v>0</v>
      </c>
      <c r="R135" s="3">
        <f t="shared" si="151"/>
        <v>0</v>
      </c>
      <c r="S135" s="3">
        <f t="shared" si="152"/>
        <v>54903268</v>
      </c>
      <c r="T135" s="3">
        <f t="shared" si="153"/>
        <v>17950278.199999999</v>
      </c>
      <c r="U135" s="47">
        <f t="shared" ca="1" si="137"/>
        <v>93833891.936221376</v>
      </c>
      <c r="V135" s="47">
        <f>IFERROR(HLOOKUP(B135-1,'EV Forecast VRZ'!$F$124:$T$130,2,FALSE)/12,0)+IFERROR(((HLOOKUP(B135,'EV Forecast VRZ'!$F$116:$T$122,2,FALSE)-HLOOKUP(B135-1,'EV Forecast VRZ'!$F$124:$T$130,2,FALSE)))*C135/78,0)</f>
        <v>1989114.339625418</v>
      </c>
      <c r="W135" s="47">
        <f ca="1">HLOOKUP(B135,Heating!$C$102:$O$106,2,FALSE)*INDEX(Weather!$BO$1:$CB$20,MATCH(B135,Weather!$BO$1:$BO$20,0),MATCH(C135,Weather!$BO$1:$CB$1,0))/VLOOKUP(B135,Weather!$BO$2:$CB$20,14,FALSE)</f>
        <v>3806744.1684817639</v>
      </c>
      <c r="X135" s="47">
        <f t="shared" ca="1" si="127"/>
        <v>99629750.444328561</v>
      </c>
    </row>
    <row r="136" spans="1:24">
      <c r="A136" s="2">
        <f t="shared" si="130"/>
        <v>46112</v>
      </c>
      <c r="B136">
        <f t="shared" si="131"/>
        <v>2026</v>
      </c>
      <c r="C136">
        <f t="shared" si="132"/>
        <v>3</v>
      </c>
      <c r="E136" s="3">
        <f t="shared" ref="E136:F136" ca="1" si="159">E124</f>
        <v>608.13298913043479</v>
      </c>
      <c r="F136" s="3">
        <f t="shared" ca="1" si="159"/>
        <v>0</v>
      </c>
      <c r="I136" s="47">
        <f t="shared" si="134"/>
        <v>1</v>
      </c>
      <c r="J136" s="47">
        <f t="shared" si="135"/>
        <v>31</v>
      </c>
      <c r="K136" s="47">
        <f t="shared" si="136"/>
        <v>135</v>
      </c>
      <c r="M136" s="616">
        <f t="shared" si="146"/>
        <v>-11000000</v>
      </c>
      <c r="N136" s="3">
        <f t="shared" ca="1" si="147"/>
        <v>28564529.493827175</v>
      </c>
      <c r="O136" s="3">
        <f t="shared" ca="1" si="148"/>
        <v>0</v>
      </c>
      <c r="P136" s="3">
        <f t="shared" si="149"/>
        <v>0</v>
      </c>
      <c r="Q136" s="3">
        <f t="shared" si="150"/>
        <v>0</v>
      </c>
      <c r="R136" s="3">
        <f t="shared" si="151"/>
        <v>-3105221</v>
      </c>
      <c r="S136" s="3">
        <f t="shared" si="152"/>
        <v>60785761</v>
      </c>
      <c r="T136" s="3">
        <f t="shared" si="153"/>
        <v>18084235.5</v>
      </c>
      <c r="U136" s="47">
        <f t="shared" ca="1" si="137"/>
        <v>93329304.993827179</v>
      </c>
      <c r="V136" s="47">
        <f>IFERROR(HLOOKUP(B136-1,'EV Forecast VRZ'!$F$124:$T$130,2,FALSE)/12,0)+IFERROR(((HLOOKUP(B136,'EV Forecast VRZ'!$F$116:$T$122,2,FALSE)-HLOOKUP(B136-1,'EV Forecast VRZ'!$F$124:$T$130,2,FALSE)))*C136/78,0)</f>
        <v>2033726.5666945088</v>
      </c>
      <c r="W136" s="47">
        <f ca="1">HLOOKUP(B136,Heating!$C$102:$O$106,2,FALSE)*INDEX(Weather!$BO$1:$CB$20,MATCH(B136,Weather!$BO$1:$BO$20,0),MATCH(C136,Weather!$BO$1:$CB$1,0))/VLOOKUP(B136,Weather!$BO$2:$CB$20,14,FALSE)</f>
        <v>3330351.3968736259</v>
      </c>
      <c r="X136" s="47">
        <f t="shared" ca="1" si="127"/>
        <v>98693382.957395315</v>
      </c>
    </row>
    <row r="137" spans="1:24">
      <c r="A137" s="2">
        <f t="shared" si="130"/>
        <v>46142</v>
      </c>
      <c r="B137">
        <f t="shared" si="131"/>
        <v>2026</v>
      </c>
      <c r="C137">
        <f t="shared" si="132"/>
        <v>4</v>
      </c>
      <c r="E137" s="3">
        <f t="shared" ref="E137:F137" ca="1" si="160">E125</f>
        <v>412.37941287878795</v>
      </c>
      <c r="F137" s="3">
        <f t="shared" ca="1" si="160"/>
        <v>0.4316666666666677</v>
      </c>
      <c r="I137" s="47">
        <f t="shared" si="134"/>
        <v>1</v>
      </c>
      <c r="J137" s="47">
        <f t="shared" si="135"/>
        <v>30</v>
      </c>
      <c r="K137" s="47">
        <f t="shared" si="136"/>
        <v>136</v>
      </c>
      <c r="M137" s="616">
        <f t="shared" si="146"/>
        <v>-11000000</v>
      </c>
      <c r="N137" s="3">
        <f t="shared" ca="1" si="147"/>
        <v>19369815.669211745</v>
      </c>
      <c r="O137" s="3">
        <f t="shared" ca="1" si="148"/>
        <v>118849.74733333361</v>
      </c>
      <c r="P137" s="3">
        <f t="shared" si="149"/>
        <v>0</v>
      </c>
      <c r="Q137" s="3">
        <f t="shared" si="150"/>
        <v>0</v>
      </c>
      <c r="R137" s="3">
        <f t="shared" si="151"/>
        <v>-3105221</v>
      </c>
      <c r="S137" s="3">
        <f t="shared" si="152"/>
        <v>58824930</v>
      </c>
      <c r="T137" s="3">
        <f t="shared" si="153"/>
        <v>18218192.799999997</v>
      </c>
      <c r="U137" s="47">
        <f t="shared" ca="1" si="137"/>
        <v>82426567.216545075</v>
      </c>
      <c r="V137" s="47">
        <f>IFERROR(HLOOKUP(B137-1,'EV Forecast VRZ'!$F$124:$T$130,2,FALSE)/12,0)+IFERROR(((HLOOKUP(B137,'EV Forecast VRZ'!$F$116:$T$122,2,FALSE)-HLOOKUP(B137-1,'EV Forecast VRZ'!$F$124:$T$130,2,FALSE)))*C137/78,0)</f>
        <v>2078338.7937635998</v>
      </c>
      <c r="W137" s="47">
        <f ca="1">HLOOKUP(B137,Heating!$C$102:$O$106,2,FALSE)*INDEX(Weather!$BO$1:$CB$20,MATCH(B137,Weather!$BO$1:$BO$20,0),MATCH(C137,Weather!$BO$1:$CB$1,0))/VLOOKUP(B137,Weather!$BO$2:$CB$20,14,FALSE)</f>
        <v>2149041.4751022202</v>
      </c>
      <c r="X137" s="47">
        <f t="shared" ca="1" si="127"/>
        <v>86653947.485410884</v>
      </c>
    </row>
    <row r="138" spans="1:24">
      <c r="A138" s="2">
        <f t="shared" si="130"/>
        <v>46173</v>
      </c>
      <c r="B138">
        <f t="shared" si="131"/>
        <v>2026</v>
      </c>
      <c r="C138">
        <f t="shared" si="132"/>
        <v>5</v>
      </c>
      <c r="E138" s="3">
        <f t="shared" ref="E138:F138" ca="1" si="161">E126</f>
        <v>202.70273119310133</v>
      </c>
      <c r="F138" s="3">
        <f t="shared" ca="1" si="161"/>
        <v>29.4520183982684</v>
      </c>
      <c r="I138" s="47">
        <f t="shared" si="134"/>
        <v>1</v>
      </c>
      <c r="J138" s="47">
        <f t="shared" si="135"/>
        <v>31</v>
      </c>
      <c r="K138" s="47">
        <f t="shared" si="136"/>
        <v>137</v>
      </c>
      <c r="M138" s="616">
        <f t="shared" si="146"/>
        <v>-11000000</v>
      </c>
      <c r="N138" s="3">
        <f t="shared" ca="1" si="147"/>
        <v>9521121.6084887963</v>
      </c>
      <c r="O138" s="3">
        <f t="shared" ca="1" si="148"/>
        <v>8108953.5407510819</v>
      </c>
      <c r="P138" s="3">
        <f t="shared" si="149"/>
        <v>0</v>
      </c>
      <c r="Q138" s="3">
        <f t="shared" si="150"/>
        <v>0</v>
      </c>
      <c r="R138" s="3">
        <f t="shared" si="151"/>
        <v>-3105221</v>
      </c>
      <c r="S138" s="3">
        <f t="shared" si="152"/>
        <v>60785761</v>
      </c>
      <c r="T138" s="3">
        <f t="shared" si="153"/>
        <v>18352150.099999998</v>
      </c>
      <c r="U138" s="47">
        <f t="shared" ca="1" si="137"/>
        <v>82662765.249239877</v>
      </c>
      <c r="V138" s="47">
        <f>IFERROR(HLOOKUP(B138-1,'EV Forecast VRZ'!$F$124:$T$130,2,FALSE)/12,0)+IFERROR(((HLOOKUP(B138,'EV Forecast VRZ'!$F$116:$T$122,2,FALSE)-HLOOKUP(B138-1,'EV Forecast VRZ'!$F$124:$T$130,2,FALSE)))*C138/78,0)</f>
        <v>2122951.0208326909</v>
      </c>
      <c r="W138" s="47">
        <f ca="1">HLOOKUP(B138,Heating!$C$102:$O$106,2,FALSE)*INDEX(Weather!$BO$1:$CB$20,MATCH(B138,Weather!$BO$1:$BO$20,0),MATCH(C138,Weather!$BO$1:$CB$1,0))/VLOOKUP(B138,Weather!$BO$2:$CB$20,14,FALSE)</f>
        <v>915543.71821719862</v>
      </c>
      <c r="X138" s="47">
        <f t="shared" ca="1" si="127"/>
        <v>85701259.988289759</v>
      </c>
    </row>
    <row r="139" spans="1:24">
      <c r="A139" s="2">
        <f t="shared" si="130"/>
        <v>46203</v>
      </c>
      <c r="B139">
        <f t="shared" si="131"/>
        <v>2026</v>
      </c>
      <c r="C139">
        <f t="shared" si="132"/>
        <v>6</v>
      </c>
      <c r="E139" s="3">
        <f t="shared" ref="E139:F139" ca="1" si="162">E127</f>
        <v>66.09717382617383</v>
      </c>
      <c r="F139" s="3">
        <f t="shared" ca="1" si="162"/>
        <v>86.311049595332207</v>
      </c>
      <c r="I139" s="47">
        <f t="shared" si="134"/>
        <v>0</v>
      </c>
      <c r="J139" s="47">
        <f t="shared" si="135"/>
        <v>30</v>
      </c>
      <c r="K139" s="47">
        <f t="shared" si="136"/>
        <v>138</v>
      </c>
      <c r="M139" s="616">
        <f t="shared" si="146"/>
        <v>-11000000</v>
      </c>
      <c r="N139" s="3">
        <f t="shared" ca="1" si="147"/>
        <v>3104641.0981848752</v>
      </c>
      <c r="O139" s="3">
        <f t="shared" ca="1" si="148"/>
        <v>23763814.138563786</v>
      </c>
      <c r="P139" s="3">
        <f t="shared" si="149"/>
        <v>0</v>
      </c>
      <c r="Q139" s="3">
        <f t="shared" si="150"/>
        <v>0</v>
      </c>
      <c r="R139" s="3">
        <f t="shared" si="151"/>
        <v>0</v>
      </c>
      <c r="S139" s="3">
        <f t="shared" si="152"/>
        <v>58824930</v>
      </c>
      <c r="T139" s="3">
        <f t="shared" si="153"/>
        <v>18486107.399999999</v>
      </c>
      <c r="U139" s="47">
        <f t="shared" ca="1" si="137"/>
        <v>93179492.636748672</v>
      </c>
      <c r="V139" s="47">
        <f>IFERROR(HLOOKUP(B139-1,'EV Forecast VRZ'!$F$124:$T$130,2,FALSE)/12,0)+IFERROR(((HLOOKUP(B139,'EV Forecast VRZ'!$F$116:$T$122,2,FALSE)-HLOOKUP(B139-1,'EV Forecast VRZ'!$F$124:$T$130,2,FALSE)))*C139/78,0)</f>
        <v>2167563.2479017819</v>
      </c>
      <c r="W139" s="47">
        <f ca="1">HLOOKUP(B139,Heating!$C$102:$O$106,2,FALSE)*INDEX(Weather!$BO$1:$CB$20,MATCH(B139,Weather!$BO$1:$BO$20,0),MATCH(C139,Weather!$BO$1:$CB$1,0))/VLOOKUP(B139,Weather!$BO$2:$CB$20,14,FALSE)</f>
        <v>198314.52457132496</v>
      </c>
      <c r="X139" s="47">
        <f t="shared" ca="1" si="127"/>
        <v>95545370.409221783</v>
      </c>
    </row>
    <row r="140" spans="1:24">
      <c r="A140" s="2">
        <f t="shared" si="130"/>
        <v>46234</v>
      </c>
      <c r="B140">
        <f t="shared" si="131"/>
        <v>2026</v>
      </c>
      <c r="C140">
        <f t="shared" si="132"/>
        <v>7</v>
      </c>
      <c r="E140" s="3">
        <f t="shared" ref="E140:F140" ca="1" si="163">E128</f>
        <v>10.249063146997932</v>
      </c>
      <c r="F140" s="3">
        <f t="shared" ca="1" si="163"/>
        <v>174.0219619206118</v>
      </c>
      <c r="I140" s="47">
        <f t="shared" si="134"/>
        <v>0</v>
      </c>
      <c r="J140" s="47">
        <f t="shared" si="135"/>
        <v>31</v>
      </c>
      <c r="K140" s="47">
        <f t="shared" si="136"/>
        <v>139</v>
      </c>
      <c r="M140" s="616">
        <f t="shared" si="146"/>
        <v>-11000000</v>
      </c>
      <c r="N140" s="3">
        <f t="shared" ca="1" si="147"/>
        <v>481407.31020879926</v>
      </c>
      <c r="O140" s="3">
        <f t="shared" ca="1" si="148"/>
        <v>47913049.12289343</v>
      </c>
      <c r="P140" s="3">
        <f t="shared" si="149"/>
        <v>0</v>
      </c>
      <c r="Q140" s="3">
        <f t="shared" si="150"/>
        <v>0</v>
      </c>
      <c r="R140" s="3">
        <f t="shared" si="151"/>
        <v>0</v>
      </c>
      <c r="S140" s="3">
        <f t="shared" si="152"/>
        <v>60785761</v>
      </c>
      <c r="T140" s="3">
        <f t="shared" si="153"/>
        <v>18620064.699999999</v>
      </c>
      <c r="U140" s="47">
        <f t="shared" ca="1" si="137"/>
        <v>116800282.13310222</v>
      </c>
      <c r="V140" s="47">
        <f>IFERROR(HLOOKUP(B140-1,'EV Forecast VRZ'!$F$124:$T$130,2,FALSE)/12,0)+IFERROR(((HLOOKUP(B140,'EV Forecast VRZ'!$F$116:$T$122,2,FALSE)-HLOOKUP(B140-1,'EV Forecast VRZ'!$F$124:$T$130,2,FALSE)))*C140/78,0)</f>
        <v>2212175.474970873</v>
      </c>
      <c r="W140" s="47">
        <f ca="1">HLOOKUP(B140,Heating!$C$102:$O$106,2,FALSE)*INDEX(Weather!$BO$1:$CB$20,MATCH(B140,Weather!$BO$1:$BO$20,0),MATCH(C140,Weather!$BO$1:$CB$1,0))/VLOOKUP(B140,Weather!$BO$2:$CB$20,14,FALSE)</f>
        <v>9866.1519045712848</v>
      </c>
      <c r="X140" s="47">
        <f t="shared" ca="1" si="127"/>
        <v>119022323.75997767</v>
      </c>
    </row>
    <row r="141" spans="1:24">
      <c r="A141" s="2">
        <f t="shared" si="130"/>
        <v>46265</v>
      </c>
      <c r="B141">
        <f t="shared" si="131"/>
        <v>2026</v>
      </c>
      <c r="C141">
        <f t="shared" si="132"/>
        <v>8</v>
      </c>
      <c r="E141" s="3">
        <f t="shared" ref="E141:F141" ca="1" si="164">E129</f>
        <v>21.194927536231887</v>
      </c>
      <c r="F141" s="3">
        <f t="shared" ca="1" si="164"/>
        <v>149.7160046113307</v>
      </c>
      <c r="I141" s="47">
        <f t="shared" si="134"/>
        <v>0</v>
      </c>
      <c r="J141" s="47">
        <f t="shared" si="135"/>
        <v>31</v>
      </c>
      <c r="K141" s="47">
        <f t="shared" si="136"/>
        <v>140</v>
      </c>
      <c r="M141" s="616">
        <f t="shared" si="146"/>
        <v>-11000000</v>
      </c>
      <c r="N141" s="3">
        <f t="shared" ca="1" si="147"/>
        <v>995543.97401449294</v>
      </c>
      <c r="O141" s="3">
        <f t="shared" ca="1" si="148"/>
        <v>41220948.231226608</v>
      </c>
      <c r="P141" s="3">
        <f t="shared" si="149"/>
        <v>0</v>
      </c>
      <c r="Q141" s="3">
        <f t="shared" si="150"/>
        <v>0</v>
      </c>
      <c r="R141" s="3">
        <f t="shared" si="151"/>
        <v>0</v>
      </c>
      <c r="S141" s="3">
        <f t="shared" si="152"/>
        <v>60785761</v>
      </c>
      <c r="T141" s="3">
        <f t="shared" si="153"/>
        <v>18754022</v>
      </c>
      <c r="U141" s="47">
        <f t="shared" ca="1" si="137"/>
        <v>110756275.2052411</v>
      </c>
      <c r="V141" s="47">
        <f>IFERROR(HLOOKUP(B141-1,'EV Forecast VRZ'!$F$124:$T$130,2,FALSE)/12,0)+IFERROR(((HLOOKUP(B141,'EV Forecast VRZ'!$F$116:$T$122,2,FALSE)-HLOOKUP(B141-1,'EV Forecast VRZ'!$F$124:$T$130,2,FALSE)))*C141/78,0)</f>
        <v>2256787.702039964</v>
      </c>
      <c r="W141" s="47">
        <f ca="1">HLOOKUP(B141,Heating!$C$102:$O$106,2,FALSE)*INDEX(Weather!$BO$1:$CB$20,MATCH(B141,Weather!$BO$1:$BO$20,0),MATCH(C141,Weather!$BO$1:$CB$1,0))/VLOOKUP(B141,Weather!$BO$2:$CB$20,14,FALSE)</f>
        <v>34454.035494717151</v>
      </c>
      <c r="X141" s="47">
        <f t="shared" ca="1" si="127"/>
        <v>113047516.94277577</v>
      </c>
    </row>
    <row r="142" spans="1:24">
      <c r="A142" s="2">
        <f t="shared" si="130"/>
        <v>46295</v>
      </c>
      <c r="B142">
        <f t="shared" si="131"/>
        <v>2026</v>
      </c>
      <c r="C142">
        <f t="shared" si="132"/>
        <v>9</v>
      </c>
      <c r="E142" s="3">
        <f t="shared" ref="E142:F142" ca="1" si="165">E130</f>
        <v>96.735690993788822</v>
      </c>
      <c r="F142" s="3">
        <f t="shared" ca="1" si="165"/>
        <v>62.345178571428576</v>
      </c>
      <c r="I142" s="47">
        <f t="shared" si="134"/>
        <v>1</v>
      </c>
      <c r="J142" s="47">
        <f t="shared" si="135"/>
        <v>30</v>
      </c>
      <c r="K142" s="47">
        <f t="shared" si="136"/>
        <v>141</v>
      </c>
      <c r="M142" s="616">
        <f t="shared" si="146"/>
        <v>-11000000</v>
      </c>
      <c r="N142" s="3">
        <f t="shared" ca="1" si="147"/>
        <v>4543758.5986725157</v>
      </c>
      <c r="O142" s="3">
        <f t="shared" ca="1" si="148"/>
        <v>17165348.387642857</v>
      </c>
      <c r="P142" s="3">
        <f t="shared" si="149"/>
        <v>0</v>
      </c>
      <c r="Q142" s="3">
        <f t="shared" si="150"/>
        <v>0</v>
      </c>
      <c r="R142" s="3">
        <f t="shared" si="151"/>
        <v>-3105221</v>
      </c>
      <c r="S142" s="3">
        <f t="shared" si="152"/>
        <v>58824930</v>
      </c>
      <c r="T142" s="3">
        <f t="shared" si="153"/>
        <v>18887979.299999997</v>
      </c>
      <c r="U142" s="47">
        <f t="shared" ca="1" si="137"/>
        <v>85316795.286315367</v>
      </c>
      <c r="V142" s="47">
        <f>IFERROR(HLOOKUP(B142-1,'EV Forecast VRZ'!$F$124:$T$130,2,FALSE)/12,0)+IFERROR(((HLOOKUP(B142,'EV Forecast VRZ'!$F$116:$T$122,2,FALSE)-HLOOKUP(B142-1,'EV Forecast VRZ'!$F$124:$T$130,2,FALSE)))*C142/78,0)</f>
        <v>2301399.9291090551</v>
      </c>
      <c r="W142" s="47">
        <f ca="1">HLOOKUP(B142,Heating!$C$102:$O$106,2,FALSE)*INDEX(Weather!$BO$1:$CB$20,MATCH(B142,Weather!$BO$1:$BO$20,0),MATCH(C142,Weather!$BO$1:$CB$1,0))/VLOOKUP(B142,Weather!$BO$2:$CB$20,14,FALSE)</f>
        <v>335145.93464952457</v>
      </c>
      <c r="X142" s="47">
        <f t="shared" ca="1" si="127"/>
        <v>87953341.150073946</v>
      </c>
    </row>
    <row r="143" spans="1:24">
      <c r="A143" s="2">
        <f t="shared" si="130"/>
        <v>46326</v>
      </c>
      <c r="B143">
        <f t="shared" si="131"/>
        <v>2026</v>
      </c>
      <c r="C143">
        <f t="shared" si="132"/>
        <v>10</v>
      </c>
      <c r="E143" s="3">
        <f t="shared" ref="E143:F143" ca="1" si="166">E131</f>
        <v>298.21097826086958</v>
      </c>
      <c r="F143" s="3">
        <f t="shared" ca="1" si="166"/>
        <v>7.1541666666666703</v>
      </c>
      <c r="I143" s="47">
        <f t="shared" si="134"/>
        <v>1</v>
      </c>
      <c r="J143" s="47">
        <f t="shared" si="135"/>
        <v>31</v>
      </c>
      <c r="K143" s="47">
        <f t="shared" si="136"/>
        <v>142</v>
      </c>
      <c r="M143" s="616">
        <f t="shared" si="146"/>
        <v>-11000000</v>
      </c>
      <c r="N143" s="3">
        <f t="shared" ca="1" si="147"/>
        <v>14007226.110354349</v>
      </c>
      <c r="O143" s="3">
        <f t="shared" ca="1" si="148"/>
        <v>1969739.5383333343</v>
      </c>
      <c r="P143" s="3">
        <f t="shared" si="149"/>
        <v>0</v>
      </c>
      <c r="Q143" s="3">
        <f t="shared" si="150"/>
        <v>0</v>
      </c>
      <c r="R143" s="3">
        <f t="shared" si="151"/>
        <v>-3105221</v>
      </c>
      <c r="S143" s="3">
        <f t="shared" si="152"/>
        <v>60785761</v>
      </c>
      <c r="T143" s="3">
        <f t="shared" si="153"/>
        <v>19021936.599999998</v>
      </c>
      <c r="U143" s="47">
        <f t="shared" ca="1" si="137"/>
        <v>81679442.248687685</v>
      </c>
      <c r="V143" s="47">
        <f>IFERROR(HLOOKUP(B143-1,'EV Forecast VRZ'!$F$124:$T$130,2,FALSE)/12,0)+IFERROR(((HLOOKUP(B143,'EV Forecast VRZ'!$F$116:$T$122,2,FALSE)-HLOOKUP(B143-1,'EV Forecast VRZ'!$F$124:$T$130,2,FALSE)))*C143/78,0)</f>
        <v>2346012.1561781457</v>
      </c>
      <c r="W143" s="47">
        <f ca="1">HLOOKUP(B143,Heating!$C$102:$O$106,2,FALSE)*INDEX(Weather!$BO$1:$CB$20,MATCH(B143,Weather!$BO$1:$BO$20,0),MATCH(C143,Weather!$BO$1:$CB$1,0))/VLOOKUP(B143,Weather!$BO$2:$CB$20,14,FALSE)</f>
        <v>1450708.8833180014</v>
      </c>
      <c r="X143" s="47">
        <f t="shared" ca="1" si="127"/>
        <v>85476163.288183838</v>
      </c>
    </row>
    <row r="144" spans="1:24">
      <c r="A144" s="2">
        <f t="shared" si="130"/>
        <v>46356</v>
      </c>
      <c r="B144">
        <f t="shared" si="131"/>
        <v>2026</v>
      </c>
      <c r="C144">
        <f t="shared" si="132"/>
        <v>11</v>
      </c>
      <c r="E144" s="3">
        <f t="shared" ref="E144:F144" ca="1" si="167">E132</f>
        <v>486.62991389045737</v>
      </c>
      <c r="F144" s="3">
        <f t="shared" ca="1" si="167"/>
        <v>0.15041666666666628</v>
      </c>
      <c r="I144" s="47">
        <f t="shared" si="134"/>
        <v>1</v>
      </c>
      <c r="J144" s="47">
        <f t="shared" si="135"/>
        <v>30</v>
      </c>
      <c r="K144" s="47">
        <f t="shared" si="136"/>
        <v>143</v>
      </c>
      <c r="M144" s="616">
        <f t="shared" si="146"/>
        <v>-11000000</v>
      </c>
      <c r="N144" s="3">
        <f t="shared" ca="1" si="147"/>
        <v>22857425.557160728</v>
      </c>
      <c r="O144" s="3">
        <f t="shared" ca="1" si="148"/>
        <v>41413.859833333227</v>
      </c>
      <c r="P144" s="3">
        <f t="shared" si="149"/>
        <v>0</v>
      </c>
      <c r="Q144" s="3">
        <f t="shared" si="150"/>
        <v>0</v>
      </c>
      <c r="R144" s="3">
        <f t="shared" si="151"/>
        <v>-3105221</v>
      </c>
      <c r="S144" s="3">
        <f t="shared" si="152"/>
        <v>58824930</v>
      </c>
      <c r="T144" s="3">
        <f t="shared" si="153"/>
        <v>19155893.899999999</v>
      </c>
      <c r="U144" s="47">
        <f t="shared" ca="1" si="137"/>
        <v>86774442.316994071</v>
      </c>
      <c r="V144" s="47">
        <f>IFERROR(HLOOKUP(B144-1,'EV Forecast VRZ'!$F$124:$T$130,2,FALSE)/12,0)+IFERROR(((HLOOKUP(B144,'EV Forecast VRZ'!$F$116:$T$122,2,FALSE)-HLOOKUP(B144-1,'EV Forecast VRZ'!$F$124:$T$130,2,FALSE)))*C144/78,0)</f>
        <v>2390624.3832472367</v>
      </c>
      <c r="W144" s="47">
        <f ca="1">HLOOKUP(B144,Heating!$C$102:$O$106,2,FALSE)*INDEX(Weather!$BO$1:$CB$20,MATCH(B144,Weather!$BO$1:$BO$20,0),MATCH(C144,Weather!$BO$1:$CB$1,0))/VLOOKUP(B144,Weather!$BO$2:$CB$20,14,FALSE)</f>
        <v>2601614.5480159195</v>
      </c>
      <c r="X144" s="47">
        <f t="shared" ca="1" si="127"/>
        <v>91766681.248257235</v>
      </c>
    </row>
    <row r="145" spans="1:24">
      <c r="A145" s="2">
        <f t="shared" si="130"/>
        <v>46387</v>
      </c>
      <c r="B145">
        <f t="shared" si="131"/>
        <v>2026</v>
      </c>
      <c r="C145">
        <f t="shared" si="132"/>
        <v>12</v>
      </c>
      <c r="E145" s="3">
        <f t="shared" ref="E145:F145" ca="1" si="168">E133</f>
        <v>639.92800724637686</v>
      </c>
      <c r="F145" s="3">
        <f t="shared" ca="1" si="168"/>
        <v>0</v>
      </c>
      <c r="I145" s="47">
        <f t="shared" si="134"/>
        <v>0</v>
      </c>
      <c r="J145" s="47">
        <f t="shared" si="135"/>
        <v>31</v>
      </c>
      <c r="K145" s="47">
        <f t="shared" si="136"/>
        <v>144</v>
      </c>
      <c r="M145" s="616">
        <f t="shared" si="146"/>
        <v>-11000000</v>
      </c>
      <c r="N145" s="3">
        <f t="shared" ca="1" si="147"/>
        <v>30057968.838448554</v>
      </c>
      <c r="O145" s="3">
        <f t="shared" ca="1" si="148"/>
        <v>0</v>
      </c>
      <c r="P145" s="3">
        <f t="shared" si="149"/>
        <v>0</v>
      </c>
      <c r="Q145" s="3">
        <f t="shared" si="150"/>
        <v>0</v>
      </c>
      <c r="R145" s="3">
        <f t="shared" si="151"/>
        <v>0</v>
      </c>
      <c r="S145" s="3">
        <f t="shared" si="152"/>
        <v>60785761</v>
      </c>
      <c r="T145" s="3">
        <f t="shared" si="153"/>
        <v>19289851.199999999</v>
      </c>
      <c r="U145" s="47">
        <f t="shared" ca="1" si="137"/>
        <v>99133581.038448557</v>
      </c>
      <c r="V145" s="47">
        <f>IFERROR(HLOOKUP(B145-1,'EV Forecast VRZ'!$F$124:$T$130,2,FALSE)/12,0)+IFERROR(((HLOOKUP(B145,'EV Forecast VRZ'!$F$116:$T$122,2,FALSE)-HLOOKUP(B145-1,'EV Forecast VRZ'!$F$124:$T$130,2,FALSE)))*C145/78,0)</f>
        <v>2435236.6103163278</v>
      </c>
      <c r="W145" s="47">
        <f ca="1">HLOOKUP(B145,Heating!$C$102:$O$106,2,FALSE)*INDEX(Weather!$BO$1:$CB$20,MATCH(B145,Weather!$BO$1:$BO$20,0),MATCH(C145,Weather!$BO$1:$CB$1,0))/VLOOKUP(B145,Weather!$BO$2:$CB$20,14,FALSE)</f>
        <v>3524239.3053199695</v>
      </c>
      <c r="X145" s="47">
        <f t="shared" ca="1" si="127"/>
        <v>105093056.95408484</v>
      </c>
    </row>
    <row r="146" spans="1:24">
      <c r="A146" s="2">
        <f t="shared" si="130"/>
        <v>46418</v>
      </c>
      <c r="B146">
        <f t="shared" si="131"/>
        <v>2027</v>
      </c>
      <c r="C146">
        <f t="shared" si="132"/>
        <v>1</v>
      </c>
      <c r="E146" s="3">
        <f t="shared" ref="E146:F146" ca="1" si="169">E134</f>
        <v>759.33418478260865</v>
      </c>
      <c r="F146" s="3">
        <f t="shared" ca="1" si="169"/>
        <v>0</v>
      </c>
      <c r="I146" s="47">
        <f t="shared" si="134"/>
        <v>0</v>
      </c>
      <c r="J146" s="47">
        <f t="shared" si="135"/>
        <v>31</v>
      </c>
      <c r="K146" s="47">
        <f t="shared" si="136"/>
        <v>145</v>
      </c>
      <c r="M146" s="616">
        <f t="shared" si="146"/>
        <v>-11000000</v>
      </c>
      <c r="N146" s="3">
        <f t="shared" ca="1" si="147"/>
        <v>35666579.686638042</v>
      </c>
      <c r="O146" s="3">
        <f t="shared" ca="1" si="148"/>
        <v>0</v>
      </c>
      <c r="P146" s="3">
        <f t="shared" si="149"/>
        <v>0</v>
      </c>
      <c r="Q146" s="3">
        <f t="shared" si="150"/>
        <v>0</v>
      </c>
      <c r="R146" s="3">
        <f t="shared" si="151"/>
        <v>0</v>
      </c>
      <c r="S146" s="3">
        <f t="shared" si="152"/>
        <v>60785761</v>
      </c>
      <c r="T146" s="3">
        <f t="shared" si="153"/>
        <v>19423808.5</v>
      </c>
      <c r="U146" s="47">
        <f t="shared" ca="1" si="137"/>
        <v>104876149.18663804</v>
      </c>
      <c r="V146" s="47">
        <f>IFERROR(HLOOKUP(B146-1,'EV Forecast VRZ'!$F$124:$T$130,2,FALSE)/12,0)+IFERROR(((HLOOKUP(B146,'EV Forecast VRZ'!$F$116:$T$122,2,FALSE)-HLOOKUP(B146-1,'EV Forecast VRZ'!$F$124:$T$130,2,FALSE)))*C146/78,0)</f>
        <v>2525807.955397103</v>
      </c>
      <c r="W146" s="47">
        <f ca="1">HLOOKUP(B146,Heating!$C$102:$O$106,2,FALSE)*INDEX(Weather!$BO$1:$CB$20,MATCH(B146,Weather!$BO$1:$BO$20,0),MATCH(C146,Weather!$BO$1:$CB$1,0))/VLOOKUP(B146,Weather!$BO$2:$CB$20,14,FALSE)</f>
        <v>5086869.1867157426</v>
      </c>
      <c r="X146" s="47">
        <f t="shared" ca="1" si="127"/>
        <v>112488826.32875088</v>
      </c>
    </row>
    <row r="147" spans="1:24">
      <c r="A147" s="2">
        <f t="shared" si="130"/>
        <v>46446</v>
      </c>
      <c r="B147">
        <f t="shared" si="131"/>
        <v>2027</v>
      </c>
      <c r="C147">
        <f t="shared" si="132"/>
        <v>2</v>
      </c>
      <c r="E147" s="3">
        <f t="shared" ref="E147:F147" ca="1" si="170">E135</f>
        <v>680.85501811594202</v>
      </c>
      <c r="F147" s="3">
        <f t="shared" ca="1" si="170"/>
        <v>0</v>
      </c>
      <c r="I147" s="47">
        <f t="shared" si="134"/>
        <v>0</v>
      </c>
      <c r="J147" s="47">
        <f>J99</f>
        <v>28</v>
      </c>
      <c r="K147" s="47">
        <f t="shared" si="136"/>
        <v>146</v>
      </c>
      <c r="M147" s="616">
        <f t="shared" si="146"/>
        <v>-11000000</v>
      </c>
      <c r="N147" s="3">
        <f t="shared" ca="1" si="147"/>
        <v>31980345.736221377</v>
      </c>
      <c r="O147" s="3">
        <f t="shared" ca="1" si="148"/>
        <v>0</v>
      </c>
      <c r="P147" s="3">
        <f t="shared" si="149"/>
        <v>0</v>
      </c>
      <c r="Q147" s="3">
        <f t="shared" si="150"/>
        <v>0</v>
      </c>
      <c r="R147" s="3">
        <f t="shared" si="151"/>
        <v>0</v>
      </c>
      <c r="S147" s="3">
        <f t="shared" si="152"/>
        <v>54903268</v>
      </c>
      <c r="T147" s="3">
        <f t="shared" si="153"/>
        <v>19557765.799999997</v>
      </c>
      <c r="U147" s="47">
        <f t="shared" ca="1" si="137"/>
        <v>95441379.53622137</v>
      </c>
      <c r="V147" s="47">
        <f>IFERROR(HLOOKUP(B147-1,'EV Forecast VRZ'!$F$124:$T$130,2,FALSE)/12,0)+IFERROR(((HLOOKUP(B147,'EV Forecast VRZ'!$F$116:$T$122,2,FALSE)-HLOOKUP(B147-1,'EV Forecast VRZ'!$F$124:$T$130,2,FALSE)))*C147/78,0)</f>
        <v>2571767.0734087871</v>
      </c>
      <c r="W147" s="47">
        <f ca="1">HLOOKUP(B147,Heating!$C$102:$O$106,2,FALSE)*INDEX(Weather!$BO$1:$CB$20,MATCH(B147,Weather!$BO$1:$BO$20,0),MATCH(C147,Weather!$BO$1:$CB$1,0))/VLOOKUP(B147,Weather!$BO$2:$CB$20,14,FALSE)</f>
        <v>4553775.9163443474</v>
      </c>
      <c r="X147" s="47">
        <f t="shared" ca="1" si="127"/>
        <v>102566922.5259745</v>
      </c>
    </row>
    <row r="148" spans="1:24">
      <c r="A148" s="2">
        <f t="shared" si="130"/>
        <v>46477</v>
      </c>
      <c r="B148">
        <f t="shared" si="131"/>
        <v>2027</v>
      </c>
      <c r="C148">
        <f t="shared" si="132"/>
        <v>3</v>
      </c>
      <c r="E148" s="3">
        <f t="shared" ref="E148:F148" ca="1" si="171">E136</f>
        <v>608.13298913043479</v>
      </c>
      <c r="F148" s="3">
        <f t="shared" ca="1" si="171"/>
        <v>0</v>
      </c>
      <c r="I148" s="47">
        <f t="shared" si="134"/>
        <v>1</v>
      </c>
      <c r="J148" s="47">
        <f t="shared" si="135"/>
        <v>31</v>
      </c>
      <c r="K148" s="47">
        <f t="shared" si="136"/>
        <v>147</v>
      </c>
      <c r="M148" s="616">
        <f t="shared" si="146"/>
        <v>-11000000</v>
      </c>
      <c r="N148" s="3">
        <f t="shared" ca="1" si="147"/>
        <v>28564529.493827175</v>
      </c>
      <c r="O148" s="3">
        <f t="shared" ca="1" si="148"/>
        <v>0</v>
      </c>
      <c r="P148" s="3">
        <f t="shared" si="149"/>
        <v>0</v>
      </c>
      <c r="Q148" s="3">
        <f t="shared" si="150"/>
        <v>0</v>
      </c>
      <c r="R148" s="3">
        <f t="shared" si="151"/>
        <v>-3105221</v>
      </c>
      <c r="S148" s="3">
        <f t="shared" si="152"/>
        <v>60785761</v>
      </c>
      <c r="T148" s="3">
        <f t="shared" si="153"/>
        <v>19691723.099999998</v>
      </c>
      <c r="U148" s="47">
        <f t="shared" ca="1" si="137"/>
        <v>94936792.593827173</v>
      </c>
      <c r="V148" s="47">
        <f>IFERROR(HLOOKUP(B148-1,'EV Forecast VRZ'!$F$124:$T$130,2,FALSE)/12,0)+IFERROR(((HLOOKUP(B148,'EV Forecast VRZ'!$F$116:$T$122,2,FALSE)-HLOOKUP(B148-1,'EV Forecast VRZ'!$F$124:$T$130,2,FALSE)))*C148/78,0)</f>
        <v>2617726.1914204718</v>
      </c>
      <c r="W148" s="47">
        <f ca="1">HLOOKUP(B148,Heating!$C$102:$O$106,2,FALSE)*INDEX(Weather!$BO$1:$CB$20,MATCH(B148,Weather!$BO$1:$BO$20,0),MATCH(C148,Weather!$BO$1:$CB$1,0))/VLOOKUP(B148,Weather!$BO$2:$CB$20,14,FALSE)</f>
        <v>3983896.2937442069</v>
      </c>
      <c r="X148" s="47">
        <f t="shared" ca="1" si="127"/>
        <v>101538415.07899185</v>
      </c>
    </row>
    <row r="149" spans="1:24">
      <c r="A149" s="2">
        <f t="shared" si="130"/>
        <v>46507</v>
      </c>
      <c r="B149">
        <f t="shared" si="131"/>
        <v>2027</v>
      </c>
      <c r="C149">
        <f t="shared" si="132"/>
        <v>4</v>
      </c>
      <c r="E149" s="3">
        <f t="shared" ref="E149:F149" ca="1" si="172">E137</f>
        <v>412.37941287878795</v>
      </c>
      <c r="F149" s="3">
        <f t="shared" ca="1" si="172"/>
        <v>0.4316666666666677</v>
      </c>
      <c r="I149" s="47">
        <f t="shared" si="134"/>
        <v>1</v>
      </c>
      <c r="J149" s="47">
        <f t="shared" si="135"/>
        <v>30</v>
      </c>
      <c r="K149" s="47">
        <f t="shared" si="136"/>
        <v>148</v>
      </c>
      <c r="M149" s="616">
        <f t="shared" si="146"/>
        <v>-11000000</v>
      </c>
      <c r="N149" s="3">
        <f t="shared" ca="1" si="147"/>
        <v>19369815.669211745</v>
      </c>
      <c r="O149" s="3">
        <f t="shared" ca="1" si="148"/>
        <v>118849.74733333361</v>
      </c>
      <c r="P149" s="3">
        <f t="shared" si="149"/>
        <v>0</v>
      </c>
      <c r="Q149" s="3">
        <f t="shared" si="150"/>
        <v>0</v>
      </c>
      <c r="R149" s="3">
        <f t="shared" si="151"/>
        <v>-3105221</v>
      </c>
      <c r="S149" s="3">
        <f t="shared" si="152"/>
        <v>58824930</v>
      </c>
      <c r="T149" s="3">
        <f t="shared" si="153"/>
        <v>19825680.399999999</v>
      </c>
      <c r="U149" s="47">
        <f t="shared" ca="1" si="137"/>
        <v>84034054.816545069</v>
      </c>
      <c r="V149" s="47">
        <f>IFERROR(HLOOKUP(B149-1,'EV Forecast VRZ'!$F$124:$T$130,2,FALSE)/12,0)+IFERROR(((HLOOKUP(B149,'EV Forecast VRZ'!$F$116:$T$122,2,FALSE)-HLOOKUP(B149-1,'EV Forecast VRZ'!$F$124:$T$130,2,FALSE)))*C149/78,0)</f>
        <v>2663685.3094321559</v>
      </c>
      <c r="W149" s="47">
        <f ca="1">HLOOKUP(B149,Heating!$C$102:$O$106,2,FALSE)*INDEX(Weather!$BO$1:$CB$20,MATCH(B149,Weather!$BO$1:$BO$20,0),MATCH(C149,Weather!$BO$1:$CB$1,0))/VLOOKUP(B149,Weather!$BO$2:$CB$20,14,FALSE)</f>
        <v>2570767.2697239993</v>
      </c>
      <c r="X149" s="47">
        <f t="shared" ca="1" si="127"/>
        <v>89268507.395701215</v>
      </c>
    </row>
    <row r="150" spans="1:24">
      <c r="A150" s="2">
        <f t="shared" si="130"/>
        <v>46538</v>
      </c>
      <c r="B150">
        <f t="shared" si="131"/>
        <v>2027</v>
      </c>
      <c r="C150">
        <f t="shared" si="132"/>
        <v>5</v>
      </c>
      <c r="E150" s="3">
        <f t="shared" ref="E150:F150" ca="1" si="173">E138</f>
        <v>202.70273119310133</v>
      </c>
      <c r="F150" s="3">
        <f t="shared" ca="1" si="173"/>
        <v>29.4520183982684</v>
      </c>
      <c r="I150" s="47">
        <f t="shared" si="134"/>
        <v>1</v>
      </c>
      <c r="J150" s="47">
        <f t="shared" si="135"/>
        <v>31</v>
      </c>
      <c r="K150" s="47">
        <f t="shared" si="136"/>
        <v>149</v>
      </c>
      <c r="M150" s="616">
        <f t="shared" si="146"/>
        <v>-11000000</v>
      </c>
      <c r="N150" s="3">
        <f t="shared" ca="1" si="147"/>
        <v>9521121.6084887963</v>
      </c>
      <c r="O150" s="3">
        <f t="shared" ca="1" si="148"/>
        <v>8108953.5407510819</v>
      </c>
      <c r="P150" s="3">
        <f t="shared" si="149"/>
        <v>0</v>
      </c>
      <c r="Q150" s="3">
        <f t="shared" si="150"/>
        <v>0</v>
      </c>
      <c r="R150" s="3">
        <f t="shared" si="151"/>
        <v>-3105221</v>
      </c>
      <c r="S150" s="3">
        <f t="shared" si="152"/>
        <v>60785761</v>
      </c>
      <c r="T150" s="3">
        <f t="shared" si="153"/>
        <v>19959637.699999999</v>
      </c>
      <c r="U150" s="47">
        <f t="shared" ca="1" si="137"/>
        <v>84270252.849239871</v>
      </c>
      <c r="V150" s="47">
        <f>IFERROR(HLOOKUP(B150-1,'EV Forecast VRZ'!$F$124:$T$130,2,FALSE)/12,0)+IFERROR(((HLOOKUP(B150,'EV Forecast VRZ'!$F$116:$T$122,2,FALSE)-HLOOKUP(B150-1,'EV Forecast VRZ'!$F$124:$T$130,2,FALSE)))*C150/78,0)</f>
        <v>2709644.4274438405</v>
      </c>
      <c r="W150" s="47">
        <f ca="1">HLOOKUP(B150,Heating!$C$102:$O$106,2,FALSE)*INDEX(Weather!$BO$1:$CB$20,MATCH(B150,Weather!$BO$1:$BO$20,0),MATCH(C150,Weather!$BO$1:$CB$1,0))/VLOOKUP(B150,Weather!$BO$2:$CB$20,14,FALSE)</f>
        <v>1095209.1209325001</v>
      </c>
      <c r="X150" s="47">
        <f t="shared" ca="1" si="127"/>
        <v>88075106.397616223</v>
      </c>
    </row>
    <row r="151" spans="1:24">
      <c r="A151" s="2">
        <f t="shared" si="130"/>
        <v>46568</v>
      </c>
      <c r="B151">
        <f t="shared" si="131"/>
        <v>2027</v>
      </c>
      <c r="C151">
        <f t="shared" si="132"/>
        <v>6</v>
      </c>
      <c r="E151" s="3">
        <f t="shared" ref="E151:F151" ca="1" si="174">E139</f>
        <v>66.09717382617383</v>
      </c>
      <c r="F151" s="3">
        <f t="shared" ca="1" si="174"/>
        <v>86.311049595332207</v>
      </c>
      <c r="I151" s="47">
        <f t="shared" si="134"/>
        <v>0</v>
      </c>
      <c r="J151" s="47">
        <f t="shared" si="135"/>
        <v>30</v>
      </c>
      <c r="K151" s="47">
        <f t="shared" si="136"/>
        <v>150</v>
      </c>
      <c r="M151" s="616">
        <f t="shared" si="146"/>
        <v>-11000000</v>
      </c>
      <c r="N151" s="3">
        <f t="shared" ca="1" si="147"/>
        <v>3104641.0981848752</v>
      </c>
      <c r="O151" s="3">
        <f t="shared" ca="1" si="148"/>
        <v>23763814.138563786</v>
      </c>
      <c r="P151" s="3">
        <f t="shared" si="149"/>
        <v>0</v>
      </c>
      <c r="Q151" s="3">
        <f t="shared" si="150"/>
        <v>0</v>
      </c>
      <c r="R151" s="3">
        <f t="shared" si="151"/>
        <v>0</v>
      </c>
      <c r="S151" s="3">
        <f t="shared" si="152"/>
        <v>58824930</v>
      </c>
      <c r="T151" s="3">
        <f t="shared" si="153"/>
        <v>20093595</v>
      </c>
      <c r="U151" s="47">
        <f t="shared" ca="1" si="137"/>
        <v>94786980.236748666</v>
      </c>
      <c r="V151" s="47">
        <f>IFERROR(HLOOKUP(B151-1,'EV Forecast VRZ'!$F$124:$T$130,2,FALSE)/12,0)+IFERROR(((HLOOKUP(B151,'EV Forecast VRZ'!$F$116:$T$122,2,FALSE)-HLOOKUP(B151-1,'EV Forecast VRZ'!$F$124:$T$130,2,FALSE)))*C151/78,0)</f>
        <v>2755603.5454555247</v>
      </c>
      <c r="W151" s="47">
        <f ca="1">HLOOKUP(B151,Heating!$C$102:$O$106,2,FALSE)*INDEX(Weather!$BO$1:$CB$20,MATCH(B151,Weather!$BO$1:$BO$20,0),MATCH(C151,Weather!$BO$1:$CB$1,0))/VLOOKUP(B151,Weather!$BO$2:$CB$20,14,FALSE)</f>
        <v>237231.57267338832</v>
      </c>
      <c r="X151" s="47">
        <f t="shared" ca="1" si="127"/>
        <v>97779815.354877591</v>
      </c>
    </row>
    <row r="152" spans="1:24">
      <c r="A152" s="2">
        <f t="shared" si="130"/>
        <v>46599</v>
      </c>
      <c r="B152">
        <f t="shared" si="131"/>
        <v>2027</v>
      </c>
      <c r="C152">
        <f t="shared" si="132"/>
        <v>7</v>
      </c>
      <c r="E152" s="3">
        <f t="shared" ref="E152:F152" ca="1" si="175">E140</f>
        <v>10.249063146997932</v>
      </c>
      <c r="F152" s="3">
        <f t="shared" ca="1" si="175"/>
        <v>174.0219619206118</v>
      </c>
      <c r="I152" s="47">
        <f t="shared" si="134"/>
        <v>0</v>
      </c>
      <c r="J152" s="47">
        <f t="shared" si="135"/>
        <v>31</v>
      </c>
      <c r="K152" s="47">
        <f t="shared" si="136"/>
        <v>151</v>
      </c>
      <c r="M152" s="616">
        <f t="shared" si="146"/>
        <v>-11000000</v>
      </c>
      <c r="N152" s="3">
        <f t="shared" ca="1" si="147"/>
        <v>481407.31020879926</v>
      </c>
      <c r="O152" s="3">
        <f t="shared" ca="1" si="148"/>
        <v>47913049.12289343</v>
      </c>
      <c r="P152" s="3">
        <f t="shared" si="149"/>
        <v>0</v>
      </c>
      <c r="Q152" s="3">
        <f t="shared" si="150"/>
        <v>0</v>
      </c>
      <c r="R152" s="3">
        <f t="shared" si="151"/>
        <v>0</v>
      </c>
      <c r="S152" s="3">
        <f t="shared" si="152"/>
        <v>60785761</v>
      </c>
      <c r="T152" s="3">
        <f t="shared" si="153"/>
        <v>20227552.299999997</v>
      </c>
      <c r="U152" s="47">
        <f t="shared" ca="1" si="137"/>
        <v>118407769.73310222</v>
      </c>
      <c r="V152" s="47">
        <f>IFERROR(HLOOKUP(B152-1,'EV Forecast VRZ'!$F$124:$T$130,2,FALSE)/12,0)+IFERROR(((HLOOKUP(B152,'EV Forecast VRZ'!$F$116:$T$122,2,FALSE)-HLOOKUP(B152-1,'EV Forecast VRZ'!$F$124:$T$130,2,FALSE)))*C152/78,0)</f>
        <v>2801562.6634672093</v>
      </c>
      <c r="W152" s="47">
        <f ca="1">HLOOKUP(B152,Heating!$C$102:$O$106,2,FALSE)*INDEX(Weather!$BO$1:$CB$20,MATCH(B152,Weather!$BO$1:$BO$20,0),MATCH(C152,Weather!$BO$1:$CB$1,0))/VLOOKUP(B152,Weather!$BO$2:$CB$20,14,FALSE)</f>
        <v>11802.275892879417</v>
      </c>
      <c r="X152" s="47">
        <f t="shared" ca="1" si="127"/>
        <v>121221134.67246231</v>
      </c>
    </row>
    <row r="153" spans="1:24">
      <c r="A153" s="2">
        <f t="shared" si="130"/>
        <v>46630</v>
      </c>
      <c r="B153">
        <f t="shared" si="131"/>
        <v>2027</v>
      </c>
      <c r="C153">
        <f t="shared" si="132"/>
        <v>8</v>
      </c>
      <c r="E153" s="3">
        <f t="shared" ref="E153:F153" ca="1" si="176">E141</f>
        <v>21.194927536231887</v>
      </c>
      <c r="F153" s="3">
        <f t="shared" ca="1" si="176"/>
        <v>149.7160046113307</v>
      </c>
      <c r="I153" s="47">
        <f t="shared" si="134"/>
        <v>0</v>
      </c>
      <c r="J153" s="47">
        <f t="shared" si="135"/>
        <v>31</v>
      </c>
      <c r="K153" s="47">
        <f t="shared" si="136"/>
        <v>152</v>
      </c>
      <c r="M153" s="616">
        <f t="shared" si="146"/>
        <v>-11000000</v>
      </c>
      <c r="N153" s="3">
        <f t="shared" ca="1" si="147"/>
        <v>995543.97401449294</v>
      </c>
      <c r="O153" s="3">
        <f t="shared" ca="1" si="148"/>
        <v>41220948.231226608</v>
      </c>
      <c r="P153" s="3">
        <f t="shared" si="149"/>
        <v>0</v>
      </c>
      <c r="Q153" s="3">
        <f t="shared" si="150"/>
        <v>0</v>
      </c>
      <c r="R153" s="3">
        <f t="shared" si="151"/>
        <v>0</v>
      </c>
      <c r="S153" s="3">
        <f t="shared" si="152"/>
        <v>60785761</v>
      </c>
      <c r="T153" s="3">
        <f t="shared" si="153"/>
        <v>20361509.599999998</v>
      </c>
      <c r="U153" s="47">
        <f t="shared" ca="1" si="137"/>
        <v>112363762.80524109</v>
      </c>
      <c r="V153" s="47">
        <f>IFERROR(HLOOKUP(B153-1,'EV Forecast VRZ'!$F$124:$T$130,2,FALSE)/12,0)+IFERROR(((HLOOKUP(B153,'EV Forecast VRZ'!$F$116:$T$122,2,FALSE)-HLOOKUP(B153-1,'EV Forecast VRZ'!$F$124:$T$130,2,FALSE)))*C153/78,0)</f>
        <v>2847521.7814788939</v>
      </c>
      <c r="W153" s="47">
        <f ca="1">HLOOKUP(B153,Heating!$C$102:$O$106,2,FALSE)*INDEX(Weather!$BO$1:$CB$20,MATCH(B153,Weather!$BO$1:$BO$20,0),MATCH(C153,Weather!$BO$1:$CB$1,0))/VLOOKUP(B153,Weather!$BO$2:$CB$20,14,FALSE)</f>
        <v>41215.261681031414</v>
      </c>
      <c r="X153" s="47">
        <f t="shared" ca="1" si="127"/>
        <v>115252499.84840102</v>
      </c>
    </row>
    <row r="154" spans="1:24">
      <c r="A154" s="2">
        <f t="shared" si="130"/>
        <v>46660</v>
      </c>
      <c r="B154">
        <f t="shared" si="131"/>
        <v>2027</v>
      </c>
      <c r="C154">
        <f t="shared" si="132"/>
        <v>9</v>
      </c>
      <c r="E154" s="3">
        <f t="shared" ref="E154:F154" ca="1" si="177">E142</f>
        <v>96.735690993788822</v>
      </c>
      <c r="F154" s="3">
        <f t="shared" ca="1" si="177"/>
        <v>62.345178571428576</v>
      </c>
      <c r="I154" s="47">
        <f t="shared" si="134"/>
        <v>1</v>
      </c>
      <c r="J154" s="47">
        <f t="shared" si="135"/>
        <v>30</v>
      </c>
      <c r="K154" s="47">
        <f t="shared" si="136"/>
        <v>153</v>
      </c>
      <c r="M154" s="616">
        <f t="shared" si="146"/>
        <v>-11000000</v>
      </c>
      <c r="N154" s="3">
        <f t="shared" ca="1" si="147"/>
        <v>4543758.5986725157</v>
      </c>
      <c r="O154" s="3">
        <f t="shared" ca="1" si="148"/>
        <v>17165348.387642857</v>
      </c>
      <c r="P154" s="3">
        <f t="shared" si="149"/>
        <v>0</v>
      </c>
      <c r="Q154" s="3">
        <f t="shared" si="150"/>
        <v>0</v>
      </c>
      <c r="R154" s="3">
        <f t="shared" si="151"/>
        <v>-3105221</v>
      </c>
      <c r="S154" s="3">
        <f t="shared" si="152"/>
        <v>58824930</v>
      </c>
      <c r="T154" s="3">
        <f t="shared" si="153"/>
        <v>20495466.899999999</v>
      </c>
      <c r="U154" s="47">
        <f t="shared" ca="1" si="137"/>
        <v>86924282.886315376</v>
      </c>
      <c r="V154" s="47">
        <f>IFERROR(HLOOKUP(B154-1,'EV Forecast VRZ'!$F$124:$T$130,2,FALSE)/12,0)+IFERROR(((HLOOKUP(B154,'EV Forecast VRZ'!$F$116:$T$122,2,FALSE)-HLOOKUP(B154-1,'EV Forecast VRZ'!$F$124:$T$130,2,FALSE)))*C154/78,0)</f>
        <v>2893480.8994905781</v>
      </c>
      <c r="W154" s="47">
        <f ca="1">HLOOKUP(B154,Heating!$C$102:$O$106,2,FALSE)*INDEX(Weather!$BO$1:$CB$20,MATCH(B154,Weather!$BO$1:$BO$20,0),MATCH(C154,Weather!$BO$1:$CB$1,0))/VLOOKUP(B154,Weather!$BO$2:$CB$20,14,FALSE)</f>
        <v>400914.64467295795</v>
      </c>
      <c r="X154" s="47">
        <f t="shared" ca="1" si="127"/>
        <v>90218678.430478916</v>
      </c>
    </row>
    <row r="155" spans="1:24">
      <c r="A155" s="2">
        <f t="shared" si="130"/>
        <v>46691</v>
      </c>
      <c r="B155">
        <f t="shared" si="131"/>
        <v>2027</v>
      </c>
      <c r="C155">
        <f t="shared" si="132"/>
        <v>10</v>
      </c>
      <c r="E155" s="3">
        <f t="shared" ref="E155:F155" ca="1" si="178">E143</f>
        <v>298.21097826086958</v>
      </c>
      <c r="F155" s="3">
        <f t="shared" ca="1" si="178"/>
        <v>7.1541666666666703</v>
      </c>
      <c r="I155" s="47">
        <f t="shared" si="134"/>
        <v>1</v>
      </c>
      <c r="J155" s="47">
        <f t="shared" si="135"/>
        <v>31</v>
      </c>
      <c r="K155" s="47">
        <f t="shared" si="136"/>
        <v>154</v>
      </c>
      <c r="M155" s="616">
        <f t="shared" si="146"/>
        <v>-11000000</v>
      </c>
      <c r="N155" s="3">
        <f t="shared" ca="1" si="147"/>
        <v>14007226.110354349</v>
      </c>
      <c r="O155" s="3">
        <f t="shared" ca="1" si="148"/>
        <v>1969739.5383333343</v>
      </c>
      <c r="P155" s="3">
        <f t="shared" si="149"/>
        <v>0</v>
      </c>
      <c r="Q155" s="3">
        <f t="shared" si="150"/>
        <v>0</v>
      </c>
      <c r="R155" s="3">
        <f t="shared" si="151"/>
        <v>-3105221</v>
      </c>
      <c r="S155" s="3">
        <f t="shared" si="152"/>
        <v>60785761</v>
      </c>
      <c r="T155" s="3">
        <f t="shared" si="153"/>
        <v>20629424.199999999</v>
      </c>
      <c r="U155" s="47">
        <f t="shared" ca="1" si="137"/>
        <v>83286929.848687679</v>
      </c>
      <c r="V155" s="47">
        <f>IFERROR(HLOOKUP(B155-1,'EV Forecast VRZ'!$F$124:$T$130,2,FALSE)/12,0)+IFERROR(((HLOOKUP(B155,'EV Forecast VRZ'!$F$116:$T$122,2,FALSE)-HLOOKUP(B155-1,'EV Forecast VRZ'!$F$124:$T$130,2,FALSE)))*C155/78,0)</f>
        <v>2939440.0175022627</v>
      </c>
      <c r="W155" s="47">
        <f ca="1">HLOOKUP(B155,Heating!$C$102:$O$106,2,FALSE)*INDEX(Weather!$BO$1:$CB$20,MATCH(B155,Weather!$BO$1:$BO$20,0),MATCH(C155,Weather!$BO$1:$CB$1,0))/VLOOKUP(B155,Weather!$BO$2:$CB$20,14,FALSE)</f>
        <v>1735394.5739713458</v>
      </c>
      <c r="X155" s="47">
        <f t="shared" ca="1" si="127"/>
        <v>87961764.440161288</v>
      </c>
    </row>
    <row r="156" spans="1:24">
      <c r="A156" s="2">
        <f t="shared" si="130"/>
        <v>46721</v>
      </c>
      <c r="B156">
        <f t="shared" si="131"/>
        <v>2027</v>
      </c>
      <c r="C156">
        <f t="shared" si="132"/>
        <v>11</v>
      </c>
      <c r="E156" s="3">
        <f t="shared" ref="E156:F156" ca="1" si="179">E144</f>
        <v>486.62991389045737</v>
      </c>
      <c r="F156" s="3">
        <f t="shared" ca="1" si="179"/>
        <v>0.15041666666666628</v>
      </c>
      <c r="I156" s="47">
        <f t="shared" si="134"/>
        <v>1</v>
      </c>
      <c r="J156" s="47">
        <f t="shared" si="135"/>
        <v>30</v>
      </c>
      <c r="K156" s="47">
        <f t="shared" si="136"/>
        <v>155</v>
      </c>
      <c r="M156" s="616">
        <f t="shared" si="146"/>
        <v>-11000000</v>
      </c>
      <c r="N156" s="3">
        <f t="shared" ca="1" si="147"/>
        <v>22857425.557160728</v>
      </c>
      <c r="O156" s="3">
        <f t="shared" ca="1" si="148"/>
        <v>41413.859833333227</v>
      </c>
      <c r="P156" s="3">
        <f t="shared" si="149"/>
        <v>0</v>
      </c>
      <c r="Q156" s="3">
        <f t="shared" si="150"/>
        <v>0</v>
      </c>
      <c r="R156" s="3">
        <f t="shared" si="151"/>
        <v>-3105221</v>
      </c>
      <c r="S156" s="3">
        <f t="shared" si="152"/>
        <v>58824930</v>
      </c>
      <c r="T156" s="3">
        <f t="shared" si="153"/>
        <v>20763381.5</v>
      </c>
      <c r="U156" s="47">
        <f t="shared" ca="1" si="137"/>
        <v>88381929.916994065</v>
      </c>
      <c r="V156" s="47">
        <f>IFERROR(HLOOKUP(B156-1,'EV Forecast VRZ'!$F$124:$T$130,2,FALSE)/12,0)+IFERROR(((HLOOKUP(B156,'EV Forecast VRZ'!$F$116:$T$122,2,FALSE)-HLOOKUP(B156-1,'EV Forecast VRZ'!$F$124:$T$130,2,FALSE)))*C156/78,0)</f>
        <v>2985399.1355139469</v>
      </c>
      <c r="W156" s="47">
        <f ca="1">HLOOKUP(B156,Heating!$C$102:$O$106,2,FALSE)*INDEX(Weather!$BO$1:$CB$20,MATCH(B156,Weather!$BO$1:$BO$20,0),MATCH(C156,Weather!$BO$1:$CB$1,0))/VLOOKUP(B156,Weather!$BO$2:$CB$20,14,FALSE)</f>
        <v>3112152.8392833816</v>
      </c>
      <c r="X156" s="47">
        <f t="shared" ca="1" si="127"/>
        <v>94479481.891791388</v>
      </c>
    </row>
    <row r="157" spans="1:24">
      <c r="A157" s="2">
        <f t="shared" si="130"/>
        <v>46752</v>
      </c>
      <c r="B157">
        <f t="shared" si="131"/>
        <v>2027</v>
      </c>
      <c r="C157">
        <f t="shared" si="132"/>
        <v>12</v>
      </c>
      <c r="E157" s="3">
        <f t="shared" ref="E157:F157" ca="1" si="180">E145</f>
        <v>639.92800724637686</v>
      </c>
      <c r="F157" s="3">
        <f t="shared" ca="1" si="180"/>
        <v>0</v>
      </c>
      <c r="I157" s="47">
        <f t="shared" si="134"/>
        <v>0</v>
      </c>
      <c r="J157" s="47">
        <f t="shared" si="135"/>
        <v>31</v>
      </c>
      <c r="K157" s="47">
        <f t="shared" si="136"/>
        <v>156</v>
      </c>
      <c r="M157" s="616">
        <f t="shared" si="146"/>
        <v>-11000000</v>
      </c>
      <c r="N157" s="3">
        <f t="shared" ca="1" si="147"/>
        <v>30057968.838448554</v>
      </c>
      <c r="O157" s="3">
        <f t="shared" ca="1" si="148"/>
        <v>0</v>
      </c>
      <c r="P157" s="3">
        <f t="shared" si="149"/>
        <v>0</v>
      </c>
      <c r="Q157" s="3">
        <f t="shared" si="150"/>
        <v>0</v>
      </c>
      <c r="R157" s="3">
        <f t="shared" si="151"/>
        <v>0</v>
      </c>
      <c r="S157" s="3">
        <f t="shared" si="152"/>
        <v>60785761</v>
      </c>
      <c r="T157" s="3">
        <f t="shared" si="153"/>
        <v>20897338.799999997</v>
      </c>
      <c r="U157" s="47">
        <f t="shared" ca="1" si="137"/>
        <v>100741068.63844855</v>
      </c>
      <c r="V157" s="47">
        <f>IFERROR(HLOOKUP(B157-1,'EV Forecast VRZ'!$F$124:$T$130,2,FALSE)/12,0)+IFERROR(((HLOOKUP(B157,'EV Forecast VRZ'!$F$116:$T$122,2,FALSE)-HLOOKUP(B157-1,'EV Forecast VRZ'!$F$124:$T$130,2,FALSE)))*C157/78,0)</f>
        <v>3031358.2535256315</v>
      </c>
      <c r="W157" s="47">
        <f ca="1">HLOOKUP(B157,Heating!$C$102:$O$106,2,FALSE)*INDEX(Weather!$BO$1:$CB$20,MATCH(B157,Weather!$BO$1:$BO$20,0),MATCH(C157,Weather!$BO$1:$CB$1,0))/VLOOKUP(B157,Weather!$BO$2:$CB$20,14,FALSE)</f>
        <v>4215832.5754790176</v>
      </c>
      <c r="X157" s="47">
        <f t="shared" ca="1" si="127"/>
        <v>107988259.4674532</v>
      </c>
    </row>
    <row r="158" spans="1:24">
      <c r="A158" s="2">
        <f t="shared" si="130"/>
        <v>46783</v>
      </c>
      <c r="B158">
        <f t="shared" si="131"/>
        <v>2028</v>
      </c>
      <c r="C158">
        <f t="shared" si="132"/>
        <v>1</v>
      </c>
      <c r="E158" s="3">
        <f t="shared" ref="E158:F158" ca="1" si="181">E146</f>
        <v>759.33418478260865</v>
      </c>
      <c r="F158" s="3">
        <f t="shared" ca="1" si="181"/>
        <v>0</v>
      </c>
      <c r="I158" s="47">
        <f t="shared" si="134"/>
        <v>0</v>
      </c>
      <c r="J158" s="47">
        <f t="shared" si="135"/>
        <v>31</v>
      </c>
      <c r="K158" s="47">
        <f t="shared" si="136"/>
        <v>157</v>
      </c>
      <c r="M158" s="616">
        <f t="shared" si="146"/>
        <v>-11000000</v>
      </c>
      <c r="N158" s="3">
        <f t="shared" ca="1" si="147"/>
        <v>35666579.686638042</v>
      </c>
      <c r="O158" s="3">
        <f t="shared" ca="1" si="148"/>
        <v>0</v>
      </c>
      <c r="P158" s="3">
        <f t="shared" si="149"/>
        <v>0</v>
      </c>
      <c r="Q158" s="3">
        <f t="shared" si="150"/>
        <v>0</v>
      </c>
      <c r="R158" s="3">
        <f t="shared" si="151"/>
        <v>0</v>
      </c>
      <c r="S158" s="3">
        <f t="shared" si="152"/>
        <v>60785761</v>
      </c>
      <c r="T158" s="3">
        <f t="shared" si="153"/>
        <v>21031296.099999998</v>
      </c>
      <c r="U158" s="47">
        <f t="shared" ca="1" si="137"/>
        <v>106483636.78663804</v>
      </c>
      <c r="V158" s="47">
        <f>IFERROR(HLOOKUP(B158-1,'EV Forecast VRZ'!$F$124:$T$130,2,FALSE)/12,0)+IFERROR(((HLOOKUP(B158,'EV Forecast VRZ'!$F$116:$T$122,2,FALSE)-HLOOKUP(B158-1,'EV Forecast VRZ'!$F$124:$T$130,2,FALSE)))*C158/78,0)</f>
        <v>3162541.8750216966</v>
      </c>
      <c r="W158" s="47">
        <f ca="1">HLOOKUP(B158,Heating!$C$102:$O$106,2,FALSE)*INDEX(Weather!$BO$1:$CB$20,MATCH(B158,Weather!$BO$1:$BO$20,0),MATCH(C158,Weather!$BO$1:$CB$1,0))/VLOOKUP(B158,Weather!$BO$2:$CB$20,14,FALSE)</f>
        <v>5970393.7725072019</v>
      </c>
      <c r="X158" s="47">
        <f t="shared" ca="1" si="127"/>
        <v>115616572.43416694</v>
      </c>
    </row>
    <row r="159" spans="1:24">
      <c r="A159" s="2">
        <f t="shared" si="130"/>
        <v>46812</v>
      </c>
      <c r="B159">
        <f t="shared" si="131"/>
        <v>2028</v>
      </c>
      <c r="C159">
        <f t="shared" si="132"/>
        <v>2</v>
      </c>
      <c r="E159" s="3">
        <f t="shared" ref="E159:F159" ca="1" si="182">E147</f>
        <v>680.85501811594202</v>
      </c>
      <c r="F159" s="3">
        <f t="shared" ca="1" si="182"/>
        <v>0</v>
      </c>
      <c r="I159" s="47">
        <f t="shared" si="134"/>
        <v>0</v>
      </c>
      <c r="J159" s="47">
        <f t="shared" si="135"/>
        <v>29</v>
      </c>
      <c r="K159" s="47">
        <f t="shared" si="136"/>
        <v>158</v>
      </c>
      <c r="M159" s="616">
        <f t="shared" si="146"/>
        <v>-11000000</v>
      </c>
      <c r="N159" s="3">
        <f t="shared" ca="1" si="147"/>
        <v>31980345.736221377</v>
      </c>
      <c r="O159" s="3">
        <f t="shared" ca="1" si="148"/>
        <v>0</v>
      </c>
      <c r="P159" s="3">
        <f t="shared" si="149"/>
        <v>0</v>
      </c>
      <c r="Q159" s="3">
        <f t="shared" si="150"/>
        <v>0</v>
      </c>
      <c r="R159" s="3">
        <f t="shared" si="151"/>
        <v>0</v>
      </c>
      <c r="S159" s="3">
        <f t="shared" si="152"/>
        <v>56864099</v>
      </c>
      <c r="T159" s="3">
        <f t="shared" si="153"/>
        <v>21165253.399999999</v>
      </c>
      <c r="U159" s="47">
        <f t="shared" ca="1" si="137"/>
        <v>99009698.136221379</v>
      </c>
      <c r="V159" s="47">
        <f>IFERROR(HLOOKUP(B159-1,'EV Forecast VRZ'!$F$124:$T$130,2,FALSE)/12,0)+IFERROR(((HLOOKUP(B159,'EV Forecast VRZ'!$F$116:$T$122,2,FALSE)-HLOOKUP(B159-1,'EV Forecast VRZ'!$F$124:$T$130,2,FALSE)))*C159/78,0)</f>
        <v>3206954.473415846</v>
      </c>
      <c r="W159" s="47">
        <f ca="1">HLOOKUP(B159,Heating!$C$102:$O$106,2,FALSE)*INDEX(Weather!$BO$1:$CB$20,MATCH(B159,Weather!$BO$1:$BO$20,0),MATCH(C159,Weather!$BO$1:$CB$1,0))/VLOOKUP(B159,Weather!$BO$2:$CB$20,14,FALSE)</f>
        <v>5344708.9701728625</v>
      </c>
      <c r="X159" s="47">
        <f t="shared" ca="1" si="127"/>
        <v>107561361.5798101</v>
      </c>
    </row>
    <row r="160" spans="1:24">
      <c r="A160" s="2">
        <f t="shared" si="130"/>
        <v>46843</v>
      </c>
      <c r="B160">
        <f t="shared" si="131"/>
        <v>2028</v>
      </c>
      <c r="C160">
        <f t="shared" si="132"/>
        <v>3</v>
      </c>
      <c r="E160" s="3">
        <f t="shared" ref="E160:F160" ca="1" si="183">E148</f>
        <v>608.13298913043479</v>
      </c>
      <c r="F160" s="3">
        <f t="shared" ca="1" si="183"/>
        <v>0</v>
      </c>
      <c r="I160" s="47">
        <f t="shared" si="134"/>
        <v>1</v>
      </c>
      <c r="J160" s="47">
        <f t="shared" si="135"/>
        <v>31</v>
      </c>
      <c r="K160" s="47">
        <f t="shared" si="136"/>
        <v>159</v>
      </c>
      <c r="M160" s="616">
        <f t="shared" si="146"/>
        <v>-11000000</v>
      </c>
      <c r="N160" s="3">
        <f t="shared" ca="1" si="147"/>
        <v>28564529.493827175</v>
      </c>
      <c r="O160" s="3">
        <f t="shared" ca="1" si="148"/>
        <v>0</v>
      </c>
      <c r="P160" s="3">
        <f t="shared" si="149"/>
        <v>0</v>
      </c>
      <c r="Q160" s="3">
        <f t="shared" si="150"/>
        <v>0</v>
      </c>
      <c r="R160" s="3">
        <f t="shared" si="151"/>
        <v>-3105221</v>
      </c>
      <c r="S160" s="3">
        <f t="shared" si="152"/>
        <v>60785761</v>
      </c>
      <c r="T160" s="3">
        <f t="shared" si="153"/>
        <v>21299210.699999999</v>
      </c>
      <c r="U160" s="47">
        <f t="shared" ca="1" si="137"/>
        <v>96544280.193827182</v>
      </c>
      <c r="V160" s="47">
        <f>IFERROR(HLOOKUP(B160-1,'EV Forecast VRZ'!$F$124:$T$130,2,FALSE)/12,0)+IFERROR(((HLOOKUP(B160,'EV Forecast VRZ'!$F$116:$T$122,2,FALSE)-HLOOKUP(B160-1,'EV Forecast VRZ'!$F$124:$T$130,2,FALSE)))*C160/78,0)</f>
        <v>3251367.071809995</v>
      </c>
      <c r="W160" s="47">
        <f ca="1">HLOOKUP(B160,Heating!$C$102:$O$106,2,FALSE)*INDEX(Weather!$BO$1:$CB$20,MATCH(B160,Weather!$BO$1:$BO$20,0),MATCH(C160,Weather!$BO$1:$CB$1,0))/VLOOKUP(B160,Weather!$BO$2:$CB$20,14,FALSE)</f>
        <v>4675848.4933326188</v>
      </c>
      <c r="X160" s="47">
        <f t="shared" ca="1" si="127"/>
        <v>104471495.7589698</v>
      </c>
    </row>
    <row r="161" spans="1:24">
      <c r="A161" s="2">
        <f t="shared" si="130"/>
        <v>46873</v>
      </c>
      <c r="B161">
        <f t="shared" si="131"/>
        <v>2028</v>
      </c>
      <c r="C161">
        <f t="shared" si="132"/>
        <v>4</v>
      </c>
      <c r="E161" s="3">
        <f t="shared" ref="E161:F161" ca="1" si="184">E149</f>
        <v>412.37941287878795</v>
      </c>
      <c r="F161" s="3">
        <f t="shared" ca="1" si="184"/>
        <v>0.4316666666666677</v>
      </c>
      <c r="I161" s="47">
        <f t="shared" si="134"/>
        <v>1</v>
      </c>
      <c r="J161" s="47">
        <f t="shared" si="135"/>
        <v>30</v>
      </c>
      <c r="K161" s="47">
        <f t="shared" si="136"/>
        <v>160</v>
      </c>
      <c r="M161" s="616">
        <f t="shared" si="146"/>
        <v>-11000000</v>
      </c>
      <c r="N161" s="3">
        <f t="shared" ca="1" si="147"/>
        <v>19369815.669211745</v>
      </c>
      <c r="O161" s="3">
        <f t="shared" ca="1" si="148"/>
        <v>118849.74733333361</v>
      </c>
      <c r="P161" s="3">
        <f t="shared" si="149"/>
        <v>0</v>
      </c>
      <c r="Q161" s="3">
        <f t="shared" si="150"/>
        <v>0</v>
      </c>
      <c r="R161" s="3">
        <f t="shared" si="151"/>
        <v>-3105221</v>
      </c>
      <c r="S161" s="3">
        <f t="shared" si="152"/>
        <v>58824930</v>
      </c>
      <c r="T161" s="3">
        <f t="shared" si="153"/>
        <v>21433168</v>
      </c>
      <c r="U161" s="47">
        <f t="shared" ca="1" si="137"/>
        <v>85641542.416545078</v>
      </c>
      <c r="V161" s="47">
        <f>IFERROR(HLOOKUP(B161-1,'EV Forecast VRZ'!$F$124:$T$130,2,FALSE)/12,0)+IFERROR(((HLOOKUP(B161,'EV Forecast VRZ'!$F$116:$T$122,2,FALSE)-HLOOKUP(B161-1,'EV Forecast VRZ'!$F$124:$T$130,2,FALSE)))*C161/78,0)</f>
        <v>3295779.670204144</v>
      </c>
      <c r="W161" s="47">
        <f ca="1">HLOOKUP(B161,Heating!$C$102:$O$106,2,FALSE)*INDEX(Weather!$BO$1:$CB$20,MATCH(B161,Weather!$BO$1:$BO$20,0),MATCH(C161,Weather!$BO$1:$CB$1,0))/VLOOKUP(B161,Weather!$BO$2:$CB$20,14,FALSE)</f>
        <v>3017276.901440239</v>
      </c>
      <c r="X161" s="47">
        <f t="shared" ca="1" si="127"/>
        <v>91954598.988189459</v>
      </c>
    </row>
    <row r="162" spans="1:24">
      <c r="A162" s="2">
        <f t="shared" si="130"/>
        <v>46904</v>
      </c>
      <c r="B162">
        <f t="shared" si="131"/>
        <v>2028</v>
      </c>
      <c r="C162">
        <f t="shared" si="132"/>
        <v>5</v>
      </c>
      <c r="E162" s="3">
        <f t="shared" ref="E162:F162" ca="1" si="185">E150</f>
        <v>202.70273119310133</v>
      </c>
      <c r="F162" s="3">
        <f t="shared" ca="1" si="185"/>
        <v>29.4520183982684</v>
      </c>
      <c r="I162" s="47">
        <f t="shared" si="134"/>
        <v>1</v>
      </c>
      <c r="J162" s="47">
        <f t="shared" si="135"/>
        <v>31</v>
      </c>
      <c r="K162" s="47">
        <f t="shared" si="136"/>
        <v>161</v>
      </c>
      <c r="M162" s="616">
        <f t="shared" si="146"/>
        <v>-11000000</v>
      </c>
      <c r="N162" s="3">
        <f t="shared" ca="1" si="147"/>
        <v>9521121.6084887963</v>
      </c>
      <c r="O162" s="3">
        <f t="shared" ca="1" si="148"/>
        <v>8108953.5407510819</v>
      </c>
      <c r="P162" s="3">
        <f t="shared" si="149"/>
        <v>0</v>
      </c>
      <c r="Q162" s="3">
        <f t="shared" si="150"/>
        <v>0</v>
      </c>
      <c r="R162" s="3">
        <f t="shared" si="151"/>
        <v>-3105221</v>
      </c>
      <c r="S162" s="3">
        <f t="shared" si="152"/>
        <v>60785761</v>
      </c>
      <c r="T162" s="3">
        <f t="shared" si="153"/>
        <v>21567125.299999997</v>
      </c>
      <c r="U162" s="47">
        <f t="shared" ca="1" si="137"/>
        <v>85877740.44923988</v>
      </c>
      <c r="V162" s="47">
        <f>IFERROR(HLOOKUP(B162-1,'EV Forecast VRZ'!$F$124:$T$130,2,FALSE)/12,0)+IFERROR(((HLOOKUP(B162,'EV Forecast VRZ'!$F$116:$T$122,2,FALSE)-HLOOKUP(B162-1,'EV Forecast VRZ'!$F$124:$T$130,2,FALSE)))*C162/78,0)</f>
        <v>3340192.268598293</v>
      </c>
      <c r="W162" s="47">
        <f ca="1">HLOOKUP(B162,Heating!$C$102:$O$106,2,FALSE)*INDEX(Weather!$BO$1:$CB$20,MATCH(B162,Weather!$BO$1:$BO$20,0),MATCH(C162,Weather!$BO$1:$CB$1,0))/VLOOKUP(B162,Weather!$BO$2:$CB$20,14,FALSE)</f>
        <v>1285433.0385150276</v>
      </c>
      <c r="X162" s="47">
        <f t="shared" ca="1" si="127"/>
        <v>90503365.756353199</v>
      </c>
    </row>
    <row r="163" spans="1:24">
      <c r="A163" s="2">
        <f t="shared" si="130"/>
        <v>46934</v>
      </c>
      <c r="B163">
        <f t="shared" si="131"/>
        <v>2028</v>
      </c>
      <c r="C163">
        <f t="shared" si="132"/>
        <v>6</v>
      </c>
      <c r="E163" s="3">
        <f t="shared" ref="E163:F163" ca="1" si="186">E151</f>
        <v>66.09717382617383</v>
      </c>
      <c r="F163" s="3">
        <f t="shared" ca="1" si="186"/>
        <v>86.311049595332207</v>
      </c>
      <c r="I163" s="47">
        <f t="shared" si="134"/>
        <v>0</v>
      </c>
      <c r="J163" s="47">
        <f t="shared" si="135"/>
        <v>30</v>
      </c>
      <c r="K163" s="47">
        <f t="shared" si="136"/>
        <v>162</v>
      </c>
      <c r="M163" s="616">
        <f t="shared" si="146"/>
        <v>-11000000</v>
      </c>
      <c r="N163" s="3">
        <f t="shared" ca="1" si="147"/>
        <v>3104641.0981848752</v>
      </c>
      <c r="O163" s="3">
        <f t="shared" ca="1" si="148"/>
        <v>23763814.138563786</v>
      </c>
      <c r="P163" s="3">
        <f t="shared" si="149"/>
        <v>0</v>
      </c>
      <c r="Q163" s="3">
        <f t="shared" si="150"/>
        <v>0</v>
      </c>
      <c r="R163" s="3">
        <f t="shared" si="151"/>
        <v>0</v>
      </c>
      <c r="S163" s="3">
        <f t="shared" si="152"/>
        <v>58824930</v>
      </c>
      <c r="T163" s="3">
        <f t="shared" si="153"/>
        <v>21701082.599999998</v>
      </c>
      <c r="U163" s="47">
        <f t="shared" ca="1" si="137"/>
        <v>96394467.83674866</v>
      </c>
      <c r="V163" s="47">
        <f>IFERROR(HLOOKUP(B163-1,'EV Forecast VRZ'!$F$124:$T$130,2,FALSE)/12,0)+IFERROR(((HLOOKUP(B163,'EV Forecast VRZ'!$F$116:$T$122,2,FALSE)-HLOOKUP(B163-1,'EV Forecast VRZ'!$F$124:$T$130,2,FALSE)))*C163/78,0)</f>
        <v>3384604.8669924419</v>
      </c>
      <c r="W163" s="47">
        <f ca="1">HLOOKUP(B163,Heating!$C$102:$O$106,2,FALSE)*INDEX(Weather!$BO$1:$CB$20,MATCH(B163,Weather!$BO$1:$BO$20,0),MATCH(C163,Weather!$BO$1:$CB$1,0))/VLOOKUP(B163,Weather!$BO$2:$CB$20,14,FALSE)</f>
        <v>278435.68453265878</v>
      </c>
      <c r="X163" s="47">
        <f t="shared" ca="1" si="127"/>
        <v>100057508.38827376</v>
      </c>
    </row>
    <row r="164" spans="1:24">
      <c r="A164" s="2">
        <f t="shared" si="130"/>
        <v>46965</v>
      </c>
      <c r="B164">
        <f t="shared" si="131"/>
        <v>2028</v>
      </c>
      <c r="C164">
        <f t="shared" si="132"/>
        <v>7</v>
      </c>
      <c r="E164" s="3">
        <f t="shared" ref="E164:F164" ca="1" si="187">E152</f>
        <v>10.249063146997932</v>
      </c>
      <c r="F164" s="3">
        <f t="shared" ca="1" si="187"/>
        <v>174.0219619206118</v>
      </c>
      <c r="I164" s="47">
        <f t="shared" si="134"/>
        <v>0</v>
      </c>
      <c r="J164" s="47">
        <f t="shared" si="135"/>
        <v>31</v>
      </c>
      <c r="K164" s="47">
        <f t="shared" si="136"/>
        <v>163</v>
      </c>
      <c r="M164" s="616">
        <f t="shared" si="146"/>
        <v>-11000000</v>
      </c>
      <c r="N164" s="3">
        <f t="shared" ca="1" si="147"/>
        <v>481407.31020879926</v>
      </c>
      <c r="O164" s="3">
        <f t="shared" ca="1" si="148"/>
        <v>47913049.12289343</v>
      </c>
      <c r="P164" s="3">
        <f t="shared" si="149"/>
        <v>0</v>
      </c>
      <c r="Q164" s="3">
        <f t="shared" si="150"/>
        <v>0</v>
      </c>
      <c r="R164" s="3">
        <f t="shared" si="151"/>
        <v>0</v>
      </c>
      <c r="S164" s="3">
        <f t="shared" si="152"/>
        <v>60785761</v>
      </c>
      <c r="T164" s="3">
        <f t="shared" si="153"/>
        <v>21835039.899999999</v>
      </c>
      <c r="U164" s="47">
        <f t="shared" ca="1" si="137"/>
        <v>120015257.33310223</v>
      </c>
      <c r="V164" s="47">
        <f>IFERROR(HLOOKUP(B164-1,'EV Forecast VRZ'!$F$124:$T$130,2,FALSE)/12,0)+IFERROR(((HLOOKUP(B164,'EV Forecast VRZ'!$F$116:$T$122,2,FALSE)-HLOOKUP(B164-1,'EV Forecast VRZ'!$F$124:$T$130,2,FALSE)))*C164/78,0)</f>
        <v>3429017.4653865914</v>
      </c>
      <c r="W164" s="47">
        <f ca="1">HLOOKUP(B164,Heating!$C$102:$O$106,2,FALSE)*INDEX(Weather!$BO$1:$CB$20,MATCH(B164,Weather!$BO$1:$BO$20,0),MATCH(C164,Weather!$BO$1:$CB$1,0))/VLOOKUP(B164,Weather!$BO$2:$CB$20,14,FALSE)</f>
        <v>13852.181352780821</v>
      </c>
      <c r="X164" s="47">
        <f t="shared" ca="1" si="127"/>
        <v>123458126.97984159</v>
      </c>
    </row>
    <row r="165" spans="1:24">
      <c r="A165" s="2">
        <f t="shared" si="130"/>
        <v>46996</v>
      </c>
      <c r="B165">
        <f t="shared" si="131"/>
        <v>2028</v>
      </c>
      <c r="C165">
        <f t="shared" si="132"/>
        <v>8</v>
      </c>
      <c r="E165" s="3">
        <f t="shared" ref="E165:F165" ca="1" si="188">E153</f>
        <v>21.194927536231887</v>
      </c>
      <c r="F165" s="3">
        <f t="shared" ca="1" si="188"/>
        <v>149.7160046113307</v>
      </c>
      <c r="I165" s="47">
        <f t="shared" si="134"/>
        <v>0</v>
      </c>
      <c r="J165" s="47">
        <f t="shared" si="135"/>
        <v>31</v>
      </c>
      <c r="K165" s="47">
        <f t="shared" si="136"/>
        <v>164</v>
      </c>
      <c r="M165" s="616">
        <f t="shared" si="146"/>
        <v>-11000000</v>
      </c>
      <c r="N165" s="3">
        <f t="shared" ca="1" si="147"/>
        <v>995543.97401449294</v>
      </c>
      <c r="O165" s="3">
        <f t="shared" ca="1" si="148"/>
        <v>41220948.231226608</v>
      </c>
      <c r="P165" s="3">
        <f t="shared" si="149"/>
        <v>0</v>
      </c>
      <c r="Q165" s="3">
        <f t="shared" si="150"/>
        <v>0</v>
      </c>
      <c r="R165" s="3">
        <f t="shared" si="151"/>
        <v>0</v>
      </c>
      <c r="S165" s="3">
        <f t="shared" si="152"/>
        <v>60785761</v>
      </c>
      <c r="T165" s="3">
        <f t="shared" si="153"/>
        <v>21968997.199999999</v>
      </c>
      <c r="U165" s="47">
        <f t="shared" ca="1" si="137"/>
        <v>113971250.4052411</v>
      </c>
      <c r="V165" s="47">
        <f>IFERROR(HLOOKUP(B165-1,'EV Forecast VRZ'!$F$124:$T$130,2,FALSE)/12,0)+IFERROR(((HLOOKUP(B165,'EV Forecast VRZ'!$F$116:$T$122,2,FALSE)-HLOOKUP(B165-1,'EV Forecast VRZ'!$F$124:$T$130,2,FALSE)))*C165/78,0)</f>
        <v>3473430.0637807404</v>
      </c>
      <c r="W165" s="47">
        <f ca="1">HLOOKUP(B165,Heating!$C$102:$O$106,2,FALSE)*INDEX(Weather!$BO$1:$CB$20,MATCH(B165,Weather!$BO$1:$BO$20,0),MATCH(C165,Weather!$BO$1:$CB$1,0))/VLOOKUP(B165,Weather!$BO$2:$CB$20,14,FALSE)</f>
        <v>48373.82929273964</v>
      </c>
      <c r="X165" s="47">
        <f t="shared" ca="1" si="127"/>
        <v>117493054.29831459</v>
      </c>
    </row>
    <row r="166" spans="1:24">
      <c r="A166" s="2">
        <f t="shared" si="130"/>
        <v>47026</v>
      </c>
      <c r="B166">
        <f t="shared" si="131"/>
        <v>2028</v>
      </c>
      <c r="C166">
        <f t="shared" si="132"/>
        <v>9</v>
      </c>
      <c r="E166" s="3">
        <f t="shared" ref="E166:F166" ca="1" si="189">E154</f>
        <v>96.735690993788822</v>
      </c>
      <c r="F166" s="3">
        <f t="shared" ca="1" si="189"/>
        <v>62.345178571428576</v>
      </c>
      <c r="I166" s="47">
        <f t="shared" si="134"/>
        <v>1</v>
      </c>
      <c r="J166" s="47">
        <f t="shared" si="135"/>
        <v>30</v>
      </c>
      <c r="K166" s="47">
        <f t="shared" si="136"/>
        <v>165</v>
      </c>
      <c r="M166" s="616">
        <f t="shared" si="146"/>
        <v>-11000000</v>
      </c>
      <c r="N166" s="3">
        <f t="shared" ca="1" si="147"/>
        <v>4543758.5986725157</v>
      </c>
      <c r="O166" s="3">
        <f t="shared" ca="1" si="148"/>
        <v>17165348.387642857</v>
      </c>
      <c r="P166" s="3">
        <f t="shared" si="149"/>
        <v>0</v>
      </c>
      <c r="Q166" s="3">
        <f t="shared" si="150"/>
        <v>0</v>
      </c>
      <c r="R166" s="3">
        <f t="shared" si="151"/>
        <v>-3105221</v>
      </c>
      <c r="S166" s="3">
        <f t="shared" si="152"/>
        <v>58824930</v>
      </c>
      <c r="T166" s="3">
        <f t="shared" si="153"/>
        <v>22102954.499999996</v>
      </c>
      <c r="U166" s="47">
        <f t="shared" ca="1" si="137"/>
        <v>88531770.48631537</v>
      </c>
      <c r="V166" s="47">
        <f>IFERROR(HLOOKUP(B166-1,'EV Forecast VRZ'!$F$124:$T$130,2,FALSE)/12,0)+IFERROR(((HLOOKUP(B166,'EV Forecast VRZ'!$F$116:$T$122,2,FALSE)-HLOOKUP(B166-1,'EV Forecast VRZ'!$F$124:$T$130,2,FALSE)))*C166/78,0)</f>
        <v>3517842.6621748894</v>
      </c>
      <c r="W166" s="47">
        <f ca="1">HLOOKUP(B166,Heating!$C$102:$O$106,2,FALSE)*INDEX(Weather!$BO$1:$CB$20,MATCH(B166,Weather!$BO$1:$BO$20,0),MATCH(C166,Weather!$BO$1:$CB$1,0))/VLOOKUP(B166,Weather!$BO$2:$CB$20,14,FALSE)</f>
        <v>470548.42772706872</v>
      </c>
      <c r="X166" s="47">
        <f t="shared" ca="1" si="127"/>
        <v>92520161.576217338</v>
      </c>
    </row>
    <row r="167" spans="1:24">
      <c r="A167" s="2">
        <f t="shared" si="130"/>
        <v>47057</v>
      </c>
      <c r="B167">
        <f t="shared" si="131"/>
        <v>2028</v>
      </c>
      <c r="C167">
        <f t="shared" si="132"/>
        <v>10</v>
      </c>
      <c r="E167" s="3">
        <f t="shared" ref="E167:F167" ca="1" si="190">E155</f>
        <v>298.21097826086958</v>
      </c>
      <c r="F167" s="3">
        <f t="shared" ca="1" si="190"/>
        <v>7.1541666666666703</v>
      </c>
      <c r="I167" s="47">
        <f t="shared" si="134"/>
        <v>1</v>
      </c>
      <c r="J167" s="47">
        <f t="shared" si="135"/>
        <v>31</v>
      </c>
      <c r="K167" s="47">
        <f t="shared" si="136"/>
        <v>166</v>
      </c>
      <c r="M167" s="616">
        <f t="shared" si="146"/>
        <v>-11000000</v>
      </c>
      <c r="N167" s="3">
        <f t="shared" ca="1" si="147"/>
        <v>14007226.110354349</v>
      </c>
      <c r="O167" s="3">
        <f t="shared" ca="1" si="148"/>
        <v>1969739.5383333343</v>
      </c>
      <c r="P167" s="3">
        <f t="shared" si="149"/>
        <v>0</v>
      </c>
      <c r="Q167" s="3">
        <f t="shared" si="150"/>
        <v>0</v>
      </c>
      <c r="R167" s="3">
        <f t="shared" si="151"/>
        <v>-3105221</v>
      </c>
      <c r="S167" s="3">
        <f t="shared" si="152"/>
        <v>60785761</v>
      </c>
      <c r="T167" s="3">
        <f t="shared" si="153"/>
        <v>22236911.799999997</v>
      </c>
      <c r="U167" s="47">
        <f t="shared" ca="1" si="137"/>
        <v>84894417.448687673</v>
      </c>
      <c r="V167" s="47">
        <f>IFERROR(HLOOKUP(B167-1,'EV Forecast VRZ'!$F$124:$T$130,2,FALSE)/12,0)+IFERROR(((HLOOKUP(B167,'EV Forecast VRZ'!$F$116:$T$122,2,FALSE)-HLOOKUP(B167-1,'EV Forecast VRZ'!$F$124:$T$130,2,FALSE)))*C167/78,0)</f>
        <v>3562255.2605690388</v>
      </c>
      <c r="W167" s="47">
        <f ca="1">HLOOKUP(B167,Heating!$C$102:$O$106,2,FALSE)*INDEX(Weather!$BO$1:$CB$20,MATCH(B167,Weather!$BO$1:$BO$20,0),MATCH(C167,Weather!$BO$1:$CB$1,0))/VLOOKUP(B167,Weather!$BO$2:$CB$20,14,FALSE)</f>
        <v>2036810.5758132776</v>
      </c>
      <c r="X167" s="47">
        <f t="shared" ca="1" si="127"/>
        <v>90493483.285069987</v>
      </c>
    </row>
    <row r="168" spans="1:24">
      <c r="A168" s="2">
        <f t="shared" si="130"/>
        <v>47087</v>
      </c>
      <c r="B168">
        <f t="shared" si="131"/>
        <v>2028</v>
      </c>
      <c r="C168">
        <f t="shared" si="132"/>
        <v>11</v>
      </c>
      <c r="E168" s="3">
        <f t="shared" ref="E168:F168" ca="1" si="191">E156</f>
        <v>486.62991389045737</v>
      </c>
      <c r="F168" s="3">
        <f t="shared" ca="1" si="191"/>
        <v>0.15041666666666628</v>
      </c>
      <c r="I168" s="47">
        <f t="shared" si="134"/>
        <v>1</v>
      </c>
      <c r="J168" s="47">
        <f t="shared" si="135"/>
        <v>30</v>
      </c>
      <c r="K168" s="47">
        <f t="shared" si="136"/>
        <v>167</v>
      </c>
      <c r="M168" s="616">
        <f t="shared" si="146"/>
        <v>-11000000</v>
      </c>
      <c r="N168" s="3">
        <f t="shared" ca="1" si="147"/>
        <v>22857425.557160728</v>
      </c>
      <c r="O168" s="3">
        <f t="shared" ca="1" si="148"/>
        <v>41413.859833333227</v>
      </c>
      <c r="P168" s="3">
        <f t="shared" si="149"/>
        <v>0</v>
      </c>
      <c r="Q168" s="3">
        <f t="shared" si="150"/>
        <v>0</v>
      </c>
      <c r="R168" s="3">
        <f t="shared" si="151"/>
        <v>-3105221</v>
      </c>
      <c r="S168" s="3">
        <f t="shared" si="152"/>
        <v>58824930</v>
      </c>
      <c r="T168" s="3">
        <f t="shared" si="153"/>
        <v>22370869.099999998</v>
      </c>
      <c r="U168" s="47">
        <f t="shared" ca="1" si="137"/>
        <v>89989417.516994059</v>
      </c>
      <c r="V168" s="47">
        <f>IFERROR(HLOOKUP(B168-1,'EV Forecast VRZ'!$F$124:$T$130,2,FALSE)/12,0)+IFERROR(((HLOOKUP(B168,'EV Forecast VRZ'!$F$116:$T$122,2,FALSE)-HLOOKUP(B168-1,'EV Forecast VRZ'!$F$124:$T$130,2,FALSE)))*C168/78,0)</f>
        <v>3606667.8589631878</v>
      </c>
      <c r="W168" s="47">
        <f ca="1">HLOOKUP(B168,Heating!$C$102:$O$106,2,FALSE)*INDEX(Weather!$BO$1:$CB$20,MATCH(B168,Weather!$BO$1:$BO$20,0),MATCH(C168,Weather!$BO$1:$CB$1,0))/VLOOKUP(B168,Weather!$BO$2:$CB$20,14,FALSE)</f>
        <v>3652694.2700377349</v>
      </c>
      <c r="X168" s="47">
        <f t="shared" ca="1" si="127"/>
        <v>97248779.645994991</v>
      </c>
    </row>
    <row r="169" spans="1:24">
      <c r="A169" s="2">
        <f t="shared" si="130"/>
        <v>47118</v>
      </c>
      <c r="B169">
        <f t="shared" si="131"/>
        <v>2028</v>
      </c>
      <c r="C169">
        <f t="shared" si="132"/>
        <v>12</v>
      </c>
      <c r="E169" s="3">
        <f t="shared" ref="E169:F169" ca="1" si="192">E157</f>
        <v>639.92800724637686</v>
      </c>
      <c r="F169" s="3">
        <f t="shared" ca="1" si="192"/>
        <v>0</v>
      </c>
      <c r="I169" s="47">
        <f t="shared" si="134"/>
        <v>0</v>
      </c>
      <c r="J169" s="47">
        <f t="shared" si="135"/>
        <v>31</v>
      </c>
      <c r="K169" s="47">
        <f t="shared" si="136"/>
        <v>168</v>
      </c>
      <c r="M169" s="616">
        <f t="shared" si="146"/>
        <v>-11000000</v>
      </c>
      <c r="N169" s="3">
        <f t="shared" ca="1" si="147"/>
        <v>30057968.838448554</v>
      </c>
      <c r="O169" s="3">
        <f t="shared" ca="1" si="148"/>
        <v>0</v>
      </c>
      <c r="P169" s="3">
        <f t="shared" si="149"/>
        <v>0</v>
      </c>
      <c r="Q169" s="3">
        <f t="shared" si="150"/>
        <v>0</v>
      </c>
      <c r="R169" s="3">
        <f t="shared" si="151"/>
        <v>0</v>
      </c>
      <c r="S169" s="3">
        <f t="shared" si="152"/>
        <v>60785761</v>
      </c>
      <c r="T169" s="3">
        <f t="shared" si="153"/>
        <v>22504826.399999999</v>
      </c>
      <c r="U169" s="47">
        <f t="shared" ca="1" si="137"/>
        <v>102348556.23844856</v>
      </c>
      <c r="V169" s="47">
        <f>IFERROR(HLOOKUP(B169-1,'EV Forecast VRZ'!$F$124:$T$130,2,FALSE)/12,0)+IFERROR(((HLOOKUP(B169,'EV Forecast VRZ'!$F$116:$T$122,2,FALSE)-HLOOKUP(B169-1,'EV Forecast VRZ'!$F$124:$T$130,2,FALSE)))*C169/78,0)</f>
        <v>3651080.4573573368</v>
      </c>
      <c r="W169" s="47">
        <f ca="1">HLOOKUP(B169,Heating!$C$102:$O$106,2,FALSE)*INDEX(Weather!$BO$1:$CB$20,MATCH(B169,Weather!$BO$1:$BO$20,0),MATCH(C169,Weather!$BO$1:$CB$1,0))/VLOOKUP(B169,Weather!$BO$2:$CB$20,14,FALSE)</f>
        <v>4948069.1621291051</v>
      </c>
      <c r="X169" s="47">
        <f t="shared" ca="1" si="127"/>
        <v>110947705.857935</v>
      </c>
    </row>
    <row r="170" spans="1:24">
      <c r="A170" s="2">
        <f t="shared" si="130"/>
        <v>47149</v>
      </c>
      <c r="B170">
        <f t="shared" si="131"/>
        <v>2029</v>
      </c>
      <c r="C170">
        <f t="shared" si="132"/>
        <v>1</v>
      </c>
      <c r="E170" s="3">
        <f t="shared" ref="E170:F170" ca="1" si="193">E158</f>
        <v>759.33418478260865</v>
      </c>
      <c r="F170" s="3">
        <f t="shared" ca="1" si="193"/>
        <v>0</v>
      </c>
      <c r="I170" s="47">
        <f t="shared" si="134"/>
        <v>0</v>
      </c>
      <c r="J170" s="47">
        <f t="shared" si="135"/>
        <v>31</v>
      </c>
      <c r="K170" s="47">
        <f t="shared" si="136"/>
        <v>169</v>
      </c>
      <c r="M170" s="616">
        <f t="shared" si="146"/>
        <v>-11000000</v>
      </c>
      <c r="N170" s="3">
        <f t="shared" ca="1" si="147"/>
        <v>35666579.686638042</v>
      </c>
      <c r="O170" s="3">
        <f t="shared" ca="1" si="148"/>
        <v>0</v>
      </c>
      <c r="P170" s="3">
        <f t="shared" si="149"/>
        <v>0</v>
      </c>
      <c r="Q170" s="3">
        <f t="shared" si="150"/>
        <v>0</v>
      </c>
      <c r="R170" s="3">
        <f t="shared" si="151"/>
        <v>0</v>
      </c>
      <c r="S170" s="3">
        <f t="shared" si="152"/>
        <v>60785761</v>
      </c>
      <c r="T170" s="3">
        <f t="shared" si="153"/>
        <v>22638783.699999999</v>
      </c>
      <c r="U170" s="47">
        <f t="shared" ca="1" si="137"/>
        <v>108091124.38663805</v>
      </c>
      <c r="V170" s="47">
        <f>IFERROR(HLOOKUP(B170-1,'EV Forecast VRZ'!$F$124:$T$130,2,FALSE)/12,0)+IFERROR(((HLOOKUP(B170,'EV Forecast VRZ'!$F$116:$T$122,2,FALSE)-HLOOKUP(B170-1,'EV Forecast VRZ'!$F$124:$T$130,2,FALSE)))*C170/78,0)</f>
        <v>3857893.8339503598</v>
      </c>
      <c r="W170" s="47">
        <f ca="1">HLOOKUP(B170,Heating!$C$102:$O$106,2,FALSE)*INDEX(Weather!$BO$1:$CB$20,MATCH(B170,Weather!$BO$1:$BO$20,0),MATCH(C170,Weather!$BO$1:$CB$1,0))/VLOOKUP(B170,Weather!$BO$2:$CB$20,14,FALSE)</f>
        <v>6899466.8412285019</v>
      </c>
      <c r="X170" s="47">
        <f t="shared" ca="1" si="127"/>
        <v>118848485.0618169</v>
      </c>
    </row>
    <row r="171" spans="1:24">
      <c r="A171" s="2">
        <f t="shared" si="130"/>
        <v>47177</v>
      </c>
      <c r="B171">
        <f t="shared" si="131"/>
        <v>2029</v>
      </c>
      <c r="C171">
        <f t="shared" si="132"/>
        <v>2</v>
      </c>
      <c r="E171" s="3">
        <f t="shared" ref="E171:F171" ca="1" si="194">E159</f>
        <v>680.85501811594202</v>
      </c>
      <c r="F171" s="3">
        <f t="shared" ca="1" si="194"/>
        <v>0</v>
      </c>
      <c r="I171" s="47">
        <f t="shared" si="134"/>
        <v>0</v>
      </c>
      <c r="J171" s="47">
        <f t="shared" si="135"/>
        <v>28</v>
      </c>
      <c r="K171" s="47">
        <f t="shared" si="136"/>
        <v>170</v>
      </c>
      <c r="M171" s="616">
        <f t="shared" si="146"/>
        <v>-11000000</v>
      </c>
      <c r="N171" s="3">
        <f t="shared" ca="1" si="147"/>
        <v>31980345.736221377</v>
      </c>
      <c r="O171" s="3">
        <f t="shared" ca="1" si="148"/>
        <v>0</v>
      </c>
      <c r="P171" s="3">
        <f t="shared" si="149"/>
        <v>0</v>
      </c>
      <c r="Q171" s="3">
        <f t="shared" si="150"/>
        <v>0</v>
      </c>
      <c r="R171" s="3">
        <f t="shared" si="151"/>
        <v>0</v>
      </c>
      <c r="S171" s="3">
        <f t="shared" si="152"/>
        <v>54903268</v>
      </c>
      <c r="T171" s="3">
        <f t="shared" si="153"/>
        <v>22772740.999999996</v>
      </c>
      <c r="U171" s="47">
        <f t="shared" ca="1" si="137"/>
        <v>98656354.736221373</v>
      </c>
      <c r="V171" s="47">
        <f>IFERROR(HLOOKUP(B171-1,'EV Forecast VRZ'!$F$124:$T$130,2,FALSE)/12,0)+IFERROR(((HLOOKUP(B171,'EV Forecast VRZ'!$F$116:$T$122,2,FALSE)-HLOOKUP(B171-1,'EV Forecast VRZ'!$F$124:$T$130,2,FALSE)))*C171/78,0)</f>
        <v>3917996.9572696295</v>
      </c>
      <c r="W171" s="47">
        <f ca="1">HLOOKUP(B171,Heating!$C$102:$O$106,2,FALSE)*INDEX(Weather!$BO$1:$CB$20,MATCH(B171,Weather!$BO$1:$BO$20,0),MATCH(C171,Weather!$BO$1:$CB$1,0))/VLOOKUP(B171,Weather!$BO$2:$CB$20,14,FALSE)</f>
        <v>6176417.1210165722</v>
      </c>
      <c r="X171" s="47">
        <f t="shared" ca="1" si="127"/>
        <v>108750768.81450757</v>
      </c>
    </row>
    <row r="172" spans="1:24">
      <c r="A172" s="2">
        <f t="shared" ref="A172:A205" si="195">EOMONTH(A171,1)</f>
        <v>47208</v>
      </c>
      <c r="B172">
        <f t="shared" si="131"/>
        <v>2029</v>
      </c>
      <c r="C172">
        <f t="shared" ref="C172:C205" si="196">MONTH(A172)</f>
        <v>3</v>
      </c>
      <c r="E172" s="3">
        <f t="shared" ref="E172:F172" ca="1" si="197">E160</f>
        <v>608.13298913043479</v>
      </c>
      <c r="F172" s="3">
        <f t="shared" ca="1" si="197"/>
        <v>0</v>
      </c>
      <c r="I172" s="47">
        <f t="shared" si="134"/>
        <v>1</v>
      </c>
      <c r="J172" s="47">
        <f t="shared" si="135"/>
        <v>31</v>
      </c>
      <c r="K172" s="47">
        <f t="shared" si="136"/>
        <v>171</v>
      </c>
      <c r="M172" s="616">
        <f t="shared" si="146"/>
        <v>-11000000</v>
      </c>
      <c r="N172" s="3">
        <f t="shared" ca="1" si="147"/>
        <v>28564529.493827175</v>
      </c>
      <c r="O172" s="3">
        <f t="shared" ca="1" si="148"/>
        <v>0</v>
      </c>
      <c r="P172" s="3">
        <f t="shared" si="149"/>
        <v>0</v>
      </c>
      <c r="Q172" s="3">
        <f t="shared" si="150"/>
        <v>0</v>
      </c>
      <c r="R172" s="3">
        <f t="shared" si="151"/>
        <v>-3105221</v>
      </c>
      <c r="S172" s="3">
        <f t="shared" si="152"/>
        <v>60785761</v>
      </c>
      <c r="T172" s="3">
        <f t="shared" si="153"/>
        <v>22906698.299999997</v>
      </c>
      <c r="U172" s="47">
        <f t="shared" ca="1" si="137"/>
        <v>98151767.793827176</v>
      </c>
      <c r="V172" s="47">
        <f>IFERROR(HLOOKUP(B172-1,'EV Forecast VRZ'!$F$124:$T$130,2,FALSE)/12,0)+IFERROR(((HLOOKUP(B172,'EV Forecast VRZ'!$F$116:$T$122,2,FALSE)-HLOOKUP(B172-1,'EV Forecast VRZ'!$F$124:$T$130,2,FALSE)))*C172/78,0)</f>
        <v>3978100.0805888986</v>
      </c>
      <c r="W172" s="47">
        <f ca="1">HLOOKUP(B172,Heating!$C$102:$O$106,2,FALSE)*INDEX(Weather!$BO$1:$CB$20,MATCH(B172,Weather!$BO$1:$BO$20,0),MATCH(C172,Weather!$BO$1:$CB$1,0))/VLOOKUP(B172,Weather!$BO$2:$CB$20,14,FALSE)</f>
        <v>5403473.0142780952</v>
      </c>
      <c r="X172" s="47">
        <f t="shared" ca="1" si="127"/>
        <v>107533340.88869417</v>
      </c>
    </row>
    <row r="173" spans="1:24">
      <c r="A173" s="2">
        <f t="shared" si="195"/>
        <v>47238</v>
      </c>
      <c r="B173">
        <f t="shared" si="131"/>
        <v>2029</v>
      </c>
      <c r="C173">
        <f t="shared" si="196"/>
        <v>4</v>
      </c>
      <c r="E173" s="3">
        <f t="shared" ref="E173:F173" ca="1" si="198">E161</f>
        <v>412.37941287878795</v>
      </c>
      <c r="F173" s="3">
        <f t="shared" ca="1" si="198"/>
        <v>0.4316666666666677</v>
      </c>
      <c r="I173" s="47">
        <f t="shared" si="134"/>
        <v>1</v>
      </c>
      <c r="J173" s="47">
        <f t="shared" si="135"/>
        <v>30</v>
      </c>
      <c r="K173" s="47">
        <f t="shared" si="136"/>
        <v>172</v>
      </c>
      <c r="M173" s="616">
        <f t="shared" si="146"/>
        <v>-11000000</v>
      </c>
      <c r="N173" s="3">
        <f t="shared" ca="1" si="147"/>
        <v>19369815.669211745</v>
      </c>
      <c r="O173" s="3">
        <f t="shared" ca="1" si="148"/>
        <v>118849.74733333361</v>
      </c>
      <c r="P173" s="3">
        <f t="shared" si="149"/>
        <v>0</v>
      </c>
      <c r="Q173" s="3">
        <f t="shared" si="150"/>
        <v>0</v>
      </c>
      <c r="R173" s="3">
        <f t="shared" si="151"/>
        <v>-3105221</v>
      </c>
      <c r="S173" s="3">
        <f t="shared" si="152"/>
        <v>58824930</v>
      </c>
      <c r="T173" s="3">
        <f t="shared" si="153"/>
        <v>23040655.599999998</v>
      </c>
      <c r="U173" s="47">
        <f t="shared" ca="1" si="137"/>
        <v>87249030.016545072</v>
      </c>
      <c r="V173" s="47">
        <f>IFERROR(HLOOKUP(B173-1,'EV Forecast VRZ'!$F$124:$T$130,2,FALSE)/12,0)+IFERROR(((HLOOKUP(B173,'EV Forecast VRZ'!$F$116:$T$122,2,FALSE)-HLOOKUP(B173-1,'EV Forecast VRZ'!$F$124:$T$130,2,FALSE)))*C173/78,0)</f>
        <v>4038203.2039081678</v>
      </c>
      <c r="W173" s="47">
        <f ca="1">HLOOKUP(B173,Heating!$C$102:$O$106,2,FALSE)*INDEX(Weather!$BO$1:$CB$20,MATCH(B173,Weather!$BO$1:$BO$20,0),MATCH(C173,Weather!$BO$1:$CB$1,0))/VLOOKUP(B173,Weather!$BO$2:$CB$20,14,FALSE)</f>
        <v>3486805.5149316364</v>
      </c>
      <c r="X173" s="47">
        <f t="shared" ca="1" si="127"/>
        <v>94774038.735384867</v>
      </c>
    </row>
    <row r="174" spans="1:24">
      <c r="A174" s="2">
        <f t="shared" si="195"/>
        <v>47269</v>
      </c>
      <c r="B174">
        <f t="shared" si="131"/>
        <v>2029</v>
      </c>
      <c r="C174">
        <f t="shared" si="196"/>
        <v>5</v>
      </c>
      <c r="E174" s="3">
        <f t="shared" ref="E174:F174" ca="1" si="199">E162</f>
        <v>202.70273119310133</v>
      </c>
      <c r="F174" s="3">
        <f t="shared" ca="1" si="199"/>
        <v>29.4520183982684</v>
      </c>
      <c r="I174" s="47">
        <f t="shared" si="134"/>
        <v>1</v>
      </c>
      <c r="J174" s="47">
        <f t="shared" si="135"/>
        <v>31</v>
      </c>
      <c r="K174" s="47">
        <f t="shared" si="136"/>
        <v>173</v>
      </c>
      <c r="M174" s="616">
        <f t="shared" si="146"/>
        <v>-11000000</v>
      </c>
      <c r="N174" s="3">
        <f t="shared" ca="1" si="147"/>
        <v>9521121.6084887963</v>
      </c>
      <c r="O174" s="3">
        <f t="shared" ca="1" si="148"/>
        <v>8108953.5407510819</v>
      </c>
      <c r="P174" s="3">
        <f t="shared" si="149"/>
        <v>0</v>
      </c>
      <c r="Q174" s="3">
        <f t="shared" si="150"/>
        <v>0</v>
      </c>
      <c r="R174" s="3">
        <f t="shared" si="151"/>
        <v>-3105221</v>
      </c>
      <c r="S174" s="3">
        <f t="shared" si="152"/>
        <v>60785761</v>
      </c>
      <c r="T174" s="3">
        <f t="shared" si="153"/>
        <v>23174612.899999999</v>
      </c>
      <c r="U174" s="47">
        <f t="shared" ref="U174:U205" ca="1" si="200">SUM(M174:T174)</f>
        <v>87485228.049239874</v>
      </c>
      <c r="V174" s="47">
        <f>IFERROR(HLOOKUP(B174-1,'EV Forecast VRZ'!$F$124:$T$130,2,FALSE)/12,0)+IFERROR(((HLOOKUP(B174,'EV Forecast VRZ'!$F$116:$T$122,2,FALSE)-HLOOKUP(B174-1,'EV Forecast VRZ'!$F$124:$T$130,2,FALSE)))*C174/78,0)</f>
        <v>4098306.3272274369</v>
      </c>
      <c r="W174" s="47">
        <f ca="1">HLOOKUP(B174,Heating!$C$102:$O$106,2,FALSE)*INDEX(Weather!$BO$1:$CB$20,MATCH(B174,Weather!$BO$1:$BO$20,0),MATCH(C174,Weather!$BO$1:$CB$1,0))/VLOOKUP(B174,Weather!$BO$2:$CB$20,14,FALSE)</f>
        <v>1485463.5998539301</v>
      </c>
      <c r="X174" s="47">
        <f t="shared" ca="1" si="127"/>
        <v>93068997.97632125</v>
      </c>
    </row>
    <row r="175" spans="1:24">
      <c r="A175" s="2">
        <f t="shared" si="195"/>
        <v>47299</v>
      </c>
      <c r="B175">
        <f t="shared" ref="B175:B205" si="201">YEAR(A175)</f>
        <v>2029</v>
      </c>
      <c r="C175">
        <f t="shared" si="196"/>
        <v>6</v>
      </c>
      <c r="E175" s="3">
        <f t="shared" ref="E175:F175" ca="1" si="202">E163</f>
        <v>66.09717382617383</v>
      </c>
      <c r="F175" s="3">
        <f t="shared" ca="1" si="202"/>
        <v>86.311049595332207</v>
      </c>
      <c r="I175" s="47">
        <f t="shared" ref="I175:I205" si="203">I163</f>
        <v>0</v>
      </c>
      <c r="J175" s="47">
        <f t="shared" ref="J175:J205" si="204">J127</f>
        <v>30</v>
      </c>
      <c r="K175" s="47">
        <f t="shared" ref="K175:K205" si="205">K174+1</f>
        <v>174</v>
      </c>
      <c r="M175" s="616">
        <f t="shared" si="146"/>
        <v>-11000000</v>
      </c>
      <c r="N175" s="3">
        <f t="shared" ca="1" si="147"/>
        <v>3104641.0981848752</v>
      </c>
      <c r="O175" s="3">
        <f t="shared" ca="1" si="148"/>
        <v>23763814.138563786</v>
      </c>
      <c r="P175" s="3">
        <f t="shared" si="149"/>
        <v>0</v>
      </c>
      <c r="Q175" s="3">
        <f t="shared" si="150"/>
        <v>0</v>
      </c>
      <c r="R175" s="3">
        <f t="shared" si="151"/>
        <v>0</v>
      </c>
      <c r="S175" s="3">
        <f t="shared" si="152"/>
        <v>58824930</v>
      </c>
      <c r="T175" s="3">
        <f t="shared" si="153"/>
        <v>23308570.199999999</v>
      </c>
      <c r="U175" s="47">
        <f t="shared" ca="1" si="200"/>
        <v>98001955.436748669</v>
      </c>
      <c r="V175" s="47">
        <f>IFERROR(HLOOKUP(B175-1,'EV Forecast VRZ'!$F$124:$T$130,2,FALSE)/12,0)+IFERROR(((HLOOKUP(B175,'EV Forecast VRZ'!$F$116:$T$122,2,FALSE)-HLOOKUP(B175-1,'EV Forecast VRZ'!$F$124:$T$130,2,FALSE)))*C175/78,0)</f>
        <v>4158409.4505467061</v>
      </c>
      <c r="W175" s="47">
        <f ca="1">HLOOKUP(B175,Heating!$C$102:$O$106,2,FALSE)*INDEX(Weather!$BO$1:$CB$20,MATCH(B175,Weather!$BO$1:$BO$20,0),MATCH(C175,Weather!$BO$1:$CB$1,0))/VLOOKUP(B175,Weather!$BO$2:$CB$20,14,FALSE)</f>
        <v>321763.99849772581</v>
      </c>
      <c r="X175" s="47">
        <f t="shared" ca="1" si="127"/>
        <v>102482128.8857931</v>
      </c>
    </row>
    <row r="176" spans="1:24">
      <c r="A176" s="2">
        <f t="shared" si="195"/>
        <v>47330</v>
      </c>
      <c r="B176">
        <f t="shared" si="201"/>
        <v>2029</v>
      </c>
      <c r="C176">
        <f t="shared" si="196"/>
        <v>7</v>
      </c>
      <c r="E176" s="3">
        <f t="shared" ref="E176:F176" ca="1" si="206">E164</f>
        <v>10.249063146997932</v>
      </c>
      <c r="F176" s="3">
        <f t="shared" ca="1" si="206"/>
        <v>174.0219619206118</v>
      </c>
      <c r="I176" s="47">
        <f t="shared" si="203"/>
        <v>0</v>
      </c>
      <c r="J176" s="47">
        <f t="shared" si="204"/>
        <v>31</v>
      </c>
      <c r="K176" s="47">
        <f t="shared" si="205"/>
        <v>175</v>
      </c>
      <c r="M176" s="616">
        <f t="shared" si="146"/>
        <v>-11000000</v>
      </c>
      <c r="N176" s="3">
        <f t="shared" ca="1" si="147"/>
        <v>481407.31020879926</v>
      </c>
      <c r="O176" s="3">
        <f t="shared" ca="1" si="148"/>
        <v>47913049.12289343</v>
      </c>
      <c r="P176" s="3">
        <f t="shared" si="149"/>
        <v>0</v>
      </c>
      <c r="Q176" s="3">
        <f t="shared" si="150"/>
        <v>0</v>
      </c>
      <c r="R176" s="3">
        <f t="shared" si="151"/>
        <v>0</v>
      </c>
      <c r="S176" s="3">
        <f t="shared" si="152"/>
        <v>60785761</v>
      </c>
      <c r="T176" s="3">
        <f t="shared" si="153"/>
        <v>23442527.499999996</v>
      </c>
      <c r="U176" s="47">
        <f t="shared" ca="1" si="200"/>
        <v>121622744.93310222</v>
      </c>
      <c r="V176" s="47">
        <f>IFERROR(HLOOKUP(B176-1,'EV Forecast VRZ'!$F$124:$T$130,2,FALSE)/12,0)+IFERROR(((HLOOKUP(B176,'EV Forecast VRZ'!$F$116:$T$122,2,FALSE)-HLOOKUP(B176-1,'EV Forecast VRZ'!$F$124:$T$130,2,FALSE)))*C176/78,0)</f>
        <v>4218512.5738659753</v>
      </c>
      <c r="W176" s="47">
        <f ca="1">HLOOKUP(B176,Heating!$C$102:$O$106,2,FALSE)*INDEX(Weather!$BO$1:$CB$20,MATCH(B176,Weather!$BO$1:$BO$20,0),MATCH(C176,Weather!$BO$1:$CB$1,0))/VLOOKUP(B176,Weather!$BO$2:$CB$20,14,FALSE)</f>
        <v>16007.765913580663</v>
      </c>
      <c r="X176" s="47">
        <f t="shared" ca="1" si="127"/>
        <v>125857265.27288178</v>
      </c>
    </row>
    <row r="177" spans="1:24">
      <c r="A177" s="2">
        <f t="shared" si="195"/>
        <v>47361</v>
      </c>
      <c r="B177">
        <f t="shared" si="201"/>
        <v>2029</v>
      </c>
      <c r="C177">
        <f t="shared" si="196"/>
        <v>8</v>
      </c>
      <c r="E177" s="3">
        <f t="shared" ref="E177:F177" ca="1" si="207">E165</f>
        <v>21.194927536231887</v>
      </c>
      <c r="F177" s="3">
        <f t="shared" ca="1" si="207"/>
        <v>149.7160046113307</v>
      </c>
      <c r="I177" s="47">
        <f t="shared" si="203"/>
        <v>0</v>
      </c>
      <c r="J177" s="47">
        <f t="shared" si="204"/>
        <v>31</v>
      </c>
      <c r="K177" s="47">
        <f t="shared" si="205"/>
        <v>176</v>
      </c>
      <c r="M177" s="616">
        <f t="shared" si="146"/>
        <v>-11000000</v>
      </c>
      <c r="N177" s="3">
        <f t="shared" ca="1" si="147"/>
        <v>995543.97401449294</v>
      </c>
      <c r="O177" s="3">
        <f t="shared" ca="1" si="148"/>
        <v>41220948.231226608</v>
      </c>
      <c r="P177" s="3">
        <f t="shared" si="149"/>
        <v>0</v>
      </c>
      <c r="Q177" s="3">
        <f t="shared" si="150"/>
        <v>0</v>
      </c>
      <c r="R177" s="3">
        <f t="shared" si="151"/>
        <v>0</v>
      </c>
      <c r="S177" s="3">
        <f t="shared" si="152"/>
        <v>60785761</v>
      </c>
      <c r="T177" s="3">
        <f t="shared" si="153"/>
        <v>23576484.799999997</v>
      </c>
      <c r="U177" s="47">
        <f t="shared" ca="1" si="200"/>
        <v>115578738.0052411</v>
      </c>
      <c r="V177" s="47">
        <f>IFERROR(HLOOKUP(B177-1,'EV Forecast VRZ'!$F$124:$T$130,2,FALSE)/12,0)+IFERROR(((HLOOKUP(B177,'EV Forecast VRZ'!$F$116:$T$122,2,FALSE)-HLOOKUP(B177-1,'EV Forecast VRZ'!$F$124:$T$130,2,FALSE)))*C177/78,0)</f>
        <v>4278615.6971852444</v>
      </c>
      <c r="W177" s="47">
        <f ca="1">HLOOKUP(B177,Heating!$C$102:$O$106,2,FALSE)*INDEX(Weather!$BO$1:$CB$20,MATCH(B177,Weather!$BO$1:$BO$20,0),MATCH(C177,Weather!$BO$1:$CB$1,0))/VLOOKUP(B177,Weather!$BO$2:$CB$20,14,FALSE)</f>
        <v>55901.44367451813</v>
      </c>
      <c r="X177" s="47">
        <f t="shared" ca="1" si="127"/>
        <v>119913255.14610086</v>
      </c>
    </row>
    <row r="178" spans="1:24">
      <c r="A178" s="2">
        <f t="shared" si="195"/>
        <v>47391</v>
      </c>
      <c r="B178">
        <f t="shared" si="201"/>
        <v>2029</v>
      </c>
      <c r="C178">
        <f t="shared" si="196"/>
        <v>9</v>
      </c>
      <c r="E178" s="3">
        <f t="shared" ref="E178:F178" ca="1" si="208">E166</f>
        <v>96.735690993788822</v>
      </c>
      <c r="F178" s="3">
        <f t="shared" ca="1" si="208"/>
        <v>62.345178571428576</v>
      </c>
      <c r="I178" s="47">
        <f t="shared" si="203"/>
        <v>1</v>
      </c>
      <c r="J178" s="47">
        <f t="shared" si="204"/>
        <v>30</v>
      </c>
      <c r="K178" s="47">
        <f t="shared" si="205"/>
        <v>177</v>
      </c>
      <c r="M178" s="616">
        <f t="shared" si="146"/>
        <v>-11000000</v>
      </c>
      <c r="N178" s="3">
        <f t="shared" ca="1" si="147"/>
        <v>4543758.5986725157</v>
      </c>
      <c r="O178" s="3">
        <f t="shared" ca="1" si="148"/>
        <v>17165348.387642857</v>
      </c>
      <c r="P178" s="3">
        <f t="shared" si="149"/>
        <v>0</v>
      </c>
      <c r="Q178" s="3">
        <f t="shared" si="150"/>
        <v>0</v>
      </c>
      <c r="R178" s="3">
        <f t="shared" si="151"/>
        <v>-3105221</v>
      </c>
      <c r="S178" s="3">
        <f t="shared" si="152"/>
        <v>58824930</v>
      </c>
      <c r="T178" s="3">
        <f t="shared" si="153"/>
        <v>23710442.099999998</v>
      </c>
      <c r="U178" s="47">
        <f t="shared" ca="1" si="200"/>
        <v>90139258.086315364</v>
      </c>
      <c r="V178" s="47">
        <f>IFERROR(HLOOKUP(B178-1,'EV Forecast VRZ'!$F$124:$T$130,2,FALSE)/12,0)+IFERROR(((HLOOKUP(B178,'EV Forecast VRZ'!$F$116:$T$122,2,FALSE)-HLOOKUP(B178-1,'EV Forecast VRZ'!$F$124:$T$130,2,FALSE)))*C178/78,0)</f>
        <v>4338718.8205045145</v>
      </c>
      <c r="W178" s="47">
        <f ca="1">HLOOKUP(B178,Heating!$C$102:$O$106,2,FALSE)*INDEX(Weather!$BO$1:$CB$20,MATCH(B178,Weather!$BO$1:$BO$20,0),MATCH(C178,Weather!$BO$1:$CB$1,0))/VLOOKUP(B178,Weather!$BO$2:$CB$20,14,FALSE)</f>
        <v>543772.05222960876</v>
      </c>
      <c r="X178" s="47">
        <f t="shared" ca="1" si="127"/>
        <v>95021748.959049493</v>
      </c>
    </row>
    <row r="179" spans="1:24">
      <c r="A179" s="2">
        <f t="shared" si="195"/>
        <v>47422</v>
      </c>
      <c r="B179">
        <f t="shared" si="201"/>
        <v>2029</v>
      </c>
      <c r="C179">
        <f t="shared" si="196"/>
        <v>10</v>
      </c>
      <c r="E179" s="3">
        <f t="shared" ref="E179:F179" ca="1" si="209">E167</f>
        <v>298.21097826086958</v>
      </c>
      <c r="F179" s="3">
        <f t="shared" ca="1" si="209"/>
        <v>7.1541666666666703</v>
      </c>
      <c r="I179" s="47">
        <f t="shared" si="203"/>
        <v>1</v>
      </c>
      <c r="J179" s="47">
        <f t="shared" si="204"/>
        <v>31</v>
      </c>
      <c r="K179" s="47">
        <f t="shared" si="205"/>
        <v>178</v>
      </c>
      <c r="M179" s="616">
        <f t="shared" si="146"/>
        <v>-11000000</v>
      </c>
      <c r="N179" s="3">
        <f t="shared" ca="1" si="147"/>
        <v>14007226.110354349</v>
      </c>
      <c r="O179" s="3">
        <f t="shared" ca="1" si="148"/>
        <v>1969739.5383333343</v>
      </c>
      <c r="P179" s="3">
        <f t="shared" si="149"/>
        <v>0</v>
      </c>
      <c r="Q179" s="3">
        <f t="shared" si="150"/>
        <v>0</v>
      </c>
      <c r="R179" s="3">
        <f t="shared" si="151"/>
        <v>-3105221</v>
      </c>
      <c r="S179" s="3">
        <f t="shared" si="152"/>
        <v>60785761</v>
      </c>
      <c r="T179" s="3">
        <f t="shared" si="153"/>
        <v>23844399.399999999</v>
      </c>
      <c r="U179" s="47">
        <f t="shared" ca="1" si="200"/>
        <v>86501905.048687682</v>
      </c>
      <c r="V179" s="47">
        <f>IFERROR(HLOOKUP(B179-1,'EV Forecast VRZ'!$F$124:$T$130,2,FALSE)/12,0)+IFERROR(((HLOOKUP(B179,'EV Forecast VRZ'!$F$116:$T$122,2,FALSE)-HLOOKUP(B179-1,'EV Forecast VRZ'!$F$124:$T$130,2,FALSE)))*C179/78,0)</f>
        <v>4398821.9438237837</v>
      </c>
      <c r="W179" s="47">
        <f ca="1">HLOOKUP(B179,Heating!$C$102:$O$106,2,FALSE)*INDEX(Weather!$BO$1:$CB$20,MATCH(B179,Weather!$BO$1:$BO$20,0),MATCH(C179,Weather!$BO$1:$CB$1,0))/VLOOKUP(B179,Weather!$BO$2:$CB$20,14,FALSE)</f>
        <v>2353765.5245452719</v>
      </c>
      <c r="X179" s="47">
        <f t="shared" ca="1" si="127"/>
        <v>93254492.517056733</v>
      </c>
    </row>
    <row r="180" spans="1:24">
      <c r="A180" s="2">
        <f t="shared" si="195"/>
        <v>47452</v>
      </c>
      <c r="B180">
        <f t="shared" si="201"/>
        <v>2029</v>
      </c>
      <c r="C180">
        <f t="shared" si="196"/>
        <v>11</v>
      </c>
      <c r="E180" s="3">
        <f t="shared" ref="E180:F180" ca="1" si="210">E168</f>
        <v>486.62991389045737</v>
      </c>
      <c r="F180" s="3">
        <f t="shared" ca="1" si="210"/>
        <v>0.15041666666666628</v>
      </c>
      <c r="I180" s="47">
        <f t="shared" si="203"/>
        <v>1</v>
      </c>
      <c r="J180" s="47">
        <f t="shared" si="204"/>
        <v>30</v>
      </c>
      <c r="K180" s="47">
        <f t="shared" si="205"/>
        <v>179</v>
      </c>
      <c r="M180" s="616">
        <f t="shared" si="146"/>
        <v>-11000000</v>
      </c>
      <c r="N180" s="3">
        <f t="shared" ca="1" si="147"/>
        <v>22857425.557160728</v>
      </c>
      <c r="O180" s="3">
        <f t="shared" ca="1" si="148"/>
        <v>41413.859833333227</v>
      </c>
      <c r="P180" s="3">
        <f t="shared" si="149"/>
        <v>0</v>
      </c>
      <c r="Q180" s="3">
        <f t="shared" si="150"/>
        <v>0</v>
      </c>
      <c r="R180" s="3">
        <f t="shared" si="151"/>
        <v>-3105221</v>
      </c>
      <c r="S180" s="3">
        <f t="shared" si="152"/>
        <v>58824930</v>
      </c>
      <c r="T180" s="3">
        <f t="shared" si="153"/>
        <v>23978356.699999999</v>
      </c>
      <c r="U180" s="47">
        <f t="shared" ca="1" si="200"/>
        <v>91596905.116994068</v>
      </c>
      <c r="V180" s="47">
        <f>IFERROR(HLOOKUP(B180-1,'EV Forecast VRZ'!$F$124:$T$130,2,FALSE)/12,0)+IFERROR(((HLOOKUP(B180,'EV Forecast VRZ'!$F$116:$T$122,2,FALSE)-HLOOKUP(B180-1,'EV Forecast VRZ'!$F$124:$T$130,2,FALSE)))*C180/78,0)</f>
        <v>4458925.0671430528</v>
      </c>
      <c r="W180" s="47">
        <f ca="1">HLOOKUP(B180,Heating!$C$102:$O$106,2,FALSE)*INDEX(Weather!$BO$1:$CB$20,MATCH(B180,Weather!$BO$1:$BO$20,0),MATCH(C180,Weather!$BO$1:$CB$1,0))/VLOOKUP(B180,Weather!$BO$2:$CB$20,14,FALSE)</f>
        <v>4221102.3187985718</v>
      </c>
      <c r="X180" s="47">
        <f t="shared" ca="1" si="127"/>
        <v>100276932.50293569</v>
      </c>
    </row>
    <row r="181" spans="1:24">
      <c r="A181" s="2">
        <f t="shared" si="195"/>
        <v>47483</v>
      </c>
      <c r="B181">
        <f t="shared" si="201"/>
        <v>2029</v>
      </c>
      <c r="C181">
        <f t="shared" si="196"/>
        <v>12</v>
      </c>
      <c r="E181" s="3">
        <f t="shared" ref="E181:F181" ca="1" si="211">E169</f>
        <v>639.92800724637686</v>
      </c>
      <c r="F181" s="3">
        <f t="shared" ca="1" si="211"/>
        <v>0</v>
      </c>
      <c r="I181" s="47">
        <f t="shared" si="203"/>
        <v>0</v>
      </c>
      <c r="J181" s="47">
        <f t="shared" si="204"/>
        <v>31</v>
      </c>
      <c r="K181" s="47">
        <f t="shared" si="205"/>
        <v>180</v>
      </c>
      <c r="M181" s="616">
        <f t="shared" si="146"/>
        <v>-11000000</v>
      </c>
      <c r="N181" s="3">
        <f t="shared" ca="1" si="147"/>
        <v>30057968.838448554</v>
      </c>
      <c r="O181" s="3">
        <f t="shared" ca="1" si="148"/>
        <v>0</v>
      </c>
      <c r="P181" s="3">
        <f t="shared" si="149"/>
        <v>0</v>
      </c>
      <c r="Q181" s="3">
        <f t="shared" si="150"/>
        <v>0</v>
      </c>
      <c r="R181" s="3">
        <f t="shared" si="151"/>
        <v>0</v>
      </c>
      <c r="S181" s="3">
        <f t="shared" si="152"/>
        <v>60785761</v>
      </c>
      <c r="T181" s="3">
        <f t="shared" si="153"/>
        <v>24112313.999999996</v>
      </c>
      <c r="U181" s="47">
        <f t="shared" ca="1" si="200"/>
        <v>103956043.83844855</v>
      </c>
      <c r="V181" s="47">
        <f>IFERROR(HLOOKUP(B181-1,'EV Forecast VRZ'!$F$124:$T$130,2,FALSE)/12,0)+IFERROR(((HLOOKUP(B181,'EV Forecast VRZ'!$F$116:$T$122,2,FALSE)-HLOOKUP(B181-1,'EV Forecast VRZ'!$F$124:$T$130,2,FALSE)))*C181/78,0)</f>
        <v>4519028.190462322</v>
      </c>
      <c r="W181" s="47">
        <f ca="1">HLOOKUP(B181,Heating!$C$102:$O$106,2,FALSE)*INDEX(Weather!$BO$1:$CB$20,MATCH(B181,Weather!$BO$1:$BO$20,0),MATCH(C181,Weather!$BO$1:$CB$1,0))/VLOOKUP(B181,Weather!$BO$2:$CB$20,14,FALSE)</f>
        <v>5718054.8575238679</v>
      </c>
      <c r="X181" s="47">
        <f t="shared" ca="1" si="127"/>
        <v>114193126.88643475</v>
      </c>
    </row>
    <row r="182" spans="1:24">
      <c r="A182" s="2">
        <f t="shared" si="195"/>
        <v>47514</v>
      </c>
      <c r="B182">
        <f t="shared" si="201"/>
        <v>2030</v>
      </c>
      <c r="C182">
        <f t="shared" si="196"/>
        <v>1</v>
      </c>
      <c r="E182" s="3">
        <f t="shared" ref="E182:F182" ca="1" si="212">E170</f>
        <v>759.33418478260865</v>
      </c>
      <c r="F182" s="3">
        <f t="shared" ca="1" si="212"/>
        <v>0</v>
      </c>
      <c r="I182" s="47">
        <f t="shared" si="203"/>
        <v>0</v>
      </c>
      <c r="J182" s="47">
        <f t="shared" si="204"/>
        <v>31</v>
      </c>
      <c r="K182" s="47">
        <f t="shared" si="205"/>
        <v>181</v>
      </c>
      <c r="M182" s="616">
        <f t="shared" si="146"/>
        <v>-11000000</v>
      </c>
      <c r="N182" s="3">
        <f t="shared" ca="1" si="147"/>
        <v>35666579.686638042</v>
      </c>
      <c r="O182" s="3">
        <f t="shared" ca="1" si="148"/>
        <v>0</v>
      </c>
      <c r="P182" s="3">
        <f t="shared" si="149"/>
        <v>0</v>
      </c>
      <c r="Q182" s="3">
        <f t="shared" si="150"/>
        <v>0</v>
      </c>
      <c r="R182" s="3">
        <f t="shared" si="151"/>
        <v>0</v>
      </c>
      <c r="S182" s="3">
        <f t="shared" si="152"/>
        <v>60785761</v>
      </c>
      <c r="T182" s="3">
        <f t="shared" si="153"/>
        <v>24246271.299999997</v>
      </c>
      <c r="U182" s="47">
        <f t="shared" ca="1" si="200"/>
        <v>109698611.98663804</v>
      </c>
      <c r="V182" s="47">
        <f>IFERROR(HLOOKUP(B182-1,'EV Forecast VRZ'!$F$124:$T$130,2,FALSE)/12,0)+IFERROR(((HLOOKUP(B182,'EV Forecast VRZ'!$F$116:$T$122,2,FALSE)-HLOOKUP(B182-1,'EV Forecast VRZ'!$F$124:$T$130,2,FALSE)))*C182/78,0)</f>
        <v>4700123.0408038525</v>
      </c>
      <c r="W182" s="47">
        <f ca="1">HLOOKUP(B182,Heating!$C$102:$O$106,2,FALSE)*INDEX(Weather!$BO$1:$CB$20,MATCH(B182,Weather!$BO$1:$BO$20,0),MATCH(C182,Weather!$BO$1:$CB$1,0))/VLOOKUP(B182,Weather!$BO$2:$CB$20,14,FALSE)</f>
        <v>7884123.793989311</v>
      </c>
      <c r="X182" s="47">
        <f t="shared" ca="1" si="127"/>
        <v>122282858.8214312</v>
      </c>
    </row>
    <row r="183" spans="1:24">
      <c r="A183" s="2">
        <f t="shared" si="195"/>
        <v>47542</v>
      </c>
      <c r="B183">
        <f t="shared" si="201"/>
        <v>2030</v>
      </c>
      <c r="C183">
        <f t="shared" si="196"/>
        <v>2</v>
      </c>
      <c r="E183" s="3">
        <f t="shared" ref="E183:F183" ca="1" si="213">E171</f>
        <v>680.85501811594202</v>
      </c>
      <c r="F183" s="3">
        <f t="shared" ca="1" si="213"/>
        <v>0</v>
      </c>
      <c r="I183" s="47">
        <f t="shared" si="203"/>
        <v>0</v>
      </c>
      <c r="J183" s="47">
        <f t="shared" si="204"/>
        <v>28</v>
      </c>
      <c r="K183" s="47">
        <f t="shared" si="205"/>
        <v>182</v>
      </c>
      <c r="M183" s="616">
        <f t="shared" si="146"/>
        <v>-11000000</v>
      </c>
      <c r="N183" s="3">
        <f t="shared" ca="1" si="147"/>
        <v>31980345.736221377</v>
      </c>
      <c r="O183" s="3">
        <f t="shared" ca="1" si="148"/>
        <v>0</v>
      </c>
      <c r="P183" s="3">
        <f t="shared" si="149"/>
        <v>0</v>
      </c>
      <c r="Q183" s="3">
        <f t="shared" si="150"/>
        <v>0</v>
      </c>
      <c r="R183" s="3">
        <f t="shared" si="151"/>
        <v>0</v>
      </c>
      <c r="S183" s="3">
        <f t="shared" si="152"/>
        <v>54903268</v>
      </c>
      <c r="T183" s="3">
        <f t="shared" si="153"/>
        <v>24380228.599999998</v>
      </c>
      <c r="U183" s="47">
        <f t="shared" ca="1" si="200"/>
        <v>100263842.33622137</v>
      </c>
      <c r="V183" s="47">
        <f>IFERROR(HLOOKUP(B183-1,'EV Forecast VRZ'!$F$124:$T$130,2,FALSE)/12,0)+IFERROR(((HLOOKUP(B183,'EV Forecast VRZ'!$F$116:$T$122,2,FALSE)-HLOOKUP(B183-1,'EV Forecast VRZ'!$F$124:$T$130,2,FALSE)))*C183/78,0)</f>
        <v>4767450.6362622483</v>
      </c>
      <c r="W183" s="47">
        <f ca="1">HLOOKUP(B183,Heating!$C$102:$O$106,2,FALSE)*INDEX(Weather!$BO$1:$CB$20,MATCH(B183,Weather!$BO$1:$BO$20,0),MATCH(C183,Weather!$BO$1:$CB$1,0))/VLOOKUP(B183,Weather!$BO$2:$CB$20,14,FALSE)</f>
        <v>7057884.0809008209</v>
      </c>
      <c r="X183" s="47">
        <f t="shared" ref="X183:X205" ca="1" si="214">U183+V183+W183</f>
        <v>112089177.05338444</v>
      </c>
    </row>
    <row r="184" spans="1:24">
      <c r="A184" s="2">
        <f t="shared" si="195"/>
        <v>47573</v>
      </c>
      <c r="B184">
        <f t="shared" si="201"/>
        <v>2030</v>
      </c>
      <c r="C184">
        <f t="shared" si="196"/>
        <v>3</v>
      </c>
      <c r="E184" s="3">
        <f t="shared" ref="E184:F184" ca="1" si="215">E172</f>
        <v>608.13298913043479</v>
      </c>
      <c r="F184" s="3">
        <f t="shared" ca="1" si="215"/>
        <v>0</v>
      </c>
      <c r="I184" s="47">
        <f t="shared" si="203"/>
        <v>1</v>
      </c>
      <c r="J184" s="47">
        <f t="shared" si="204"/>
        <v>31</v>
      </c>
      <c r="K184" s="47">
        <f t="shared" si="205"/>
        <v>183</v>
      </c>
      <c r="M184" s="616">
        <f t="shared" si="146"/>
        <v>-11000000</v>
      </c>
      <c r="N184" s="3">
        <f t="shared" ca="1" si="147"/>
        <v>28564529.493827175</v>
      </c>
      <c r="O184" s="3">
        <f t="shared" ca="1" si="148"/>
        <v>0</v>
      </c>
      <c r="P184" s="3">
        <f t="shared" si="149"/>
        <v>0</v>
      </c>
      <c r="Q184" s="3">
        <f t="shared" si="150"/>
        <v>0</v>
      </c>
      <c r="R184" s="3">
        <f t="shared" si="151"/>
        <v>-3105221</v>
      </c>
      <c r="S184" s="3">
        <f t="shared" si="152"/>
        <v>60785761</v>
      </c>
      <c r="T184" s="3">
        <f t="shared" si="153"/>
        <v>24514185.899999999</v>
      </c>
      <c r="U184" s="47">
        <f t="shared" ca="1" si="200"/>
        <v>99759255.39382717</v>
      </c>
      <c r="V184" s="47">
        <f>IFERROR(HLOOKUP(B184-1,'EV Forecast VRZ'!$F$124:$T$130,2,FALSE)/12,0)+IFERROR(((HLOOKUP(B184,'EV Forecast VRZ'!$F$116:$T$122,2,FALSE)-HLOOKUP(B184-1,'EV Forecast VRZ'!$F$124:$T$130,2,FALSE)))*C184/78,0)</f>
        <v>4834778.2317206431</v>
      </c>
      <c r="W184" s="47">
        <f ca="1">HLOOKUP(B184,Heating!$C$102:$O$106,2,FALSE)*INDEX(Weather!$BO$1:$CB$20,MATCH(B184,Weather!$BO$1:$BO$20,0),MATCH(C184,Weather!$BO$1:$CB$1,0))/VLOOKUP(B184,Weather!$BO$2:$CB$20,14,FALSE)</f>
        <v>6174629.3072210103</v>
      </c>
      <c r="X184" s="47">
        <f t="shared" ca="1" si="214"/>
        <v>110768662.93276882</v>
      </c>
    </row>
    <row r="185" spans="1:24">
      <c r="A185" s="2">
        <f t="shared" si="195"/>
        <v>47603</v>
      </c>
      <c r="B185">
        <f t="shared" si="201"/>
        <v>2030</v>
      </c>
      <c r="C185">
        <f t="shared" si="196"/>
        <v>4</v>
      </c>
      <c r="E185" s="3">
        <f t="shared" ref="E185:F185" ca="1" si="216">E173</f>
        <v>412.37941287878795</v>
      </c>
      <c r="F185" s="3">
        <f t="shared" ca="1" si="216"/>
        <v>0.4316666666666677</v>
      </c>
      <c r="I185" s="47">
        <f t="shared" si="203"/>
        <v>1</v>
      </c>
      <c r="J185" s="47">
        <f t="shared" si="204"/>
        <v>30</v>
      </c>
      <c r="K185" s="47">
        <f t="shared" si="205"/>
        <v>184</v>
      </c>
      <c r="M185" s="616">
        <f t="shared" si="146"/>
        <v>-11000000</v>
      </c>
      <c r="N185" s="3">
        <f t="shared" ca="1" si="147"/>
        <v>19369815.669211745</v>
      </c>
      <c r="O185" s="3">
        <f t="shared" ca="1" si="148"/>
        <v>118849.74733333361</v>
      </c>
      <c r="P185" s="3">
        <f t="shared" si="149"/>
        <v>0</v>
      </c>
      <c r="Q185" s="3">
        <f t="shared" si="150"/>
        <v>0</v>
      </c>
      <c r="R185" s="3">
        <f t="shared" si="151"/>
        <v>-3105221</v>
      </c>
      <c r="S185" s="3">
        <f t="shared" si="152"/>
        <v>58824930</v>
      </c>
      <c r="T185" s="3">
        <f t="shared" si="153"/>
        <v>24648143.199999999</v>
      </c>
      <c r="U185" s="47">
        <f t="shared" ca="1" si="200"/>
        <v>88856517.616545081</v>
      </c>
      <c r="V185" s="47">
        <f>IFERROR(HLOOKUP(B185-1,'EV Forecast VRZ'!$F$124:$T$130,2,FALSE)/12,0)+IFERROR(((HLOOKUP(B185,'EV Forecast VRZ'!$F$116:$T$122,2,FALSE)-HLOOKUP(B185-1,'EV Forecast VRZ'!$F$124:$T$130,2,FALSE)))*C185/78,0)</f>
        <v>4902105.8271790389</v>
      </c>
      <c r="W185" s="47">
        <f ca="1">HLOOKUP(B185,Heating!$C$102:$O$106,2,FALSE)*INDEX(Weather!$BO$1:$CB$20,MATCH(B185,Weather!$BO$1:$BO$20,0),MATCH(C185,Weather!$BO$1:$CB$1,0))/VLOOKUP(B185,Weather!$BO$2:$CB$20,14,FALSE)</f>
        <v>3984424.7327943961</v>
      </c>
      <c r="X185" s="47">
        <f t="shared" ca="1" si="214"/>
        <v>97743048.176518515</v>
      </c>
    </row>
    <row r="186" spans="1:24">
      <c r="A186" s="2">
        <f t="shared" si="195"/>
        <v>47634</v>
      </c>
      <c r="B186">
        <f t="shared" si="201"/>
        <v>2030</v>
      </c>
      <c r="C186">
        <f t="shared" si="196"/>
        <v>5</v>
      </c>
      <c r="E186" s="3">
        <f t="shared" ref="E186:F186" ca="1" si="217">E174</f>
        <v>202.70273119310133</v>
      </c>
      <c r="F186" s="3">
        <f t="shared" ca="1" si="217"/>
        <v>29.4520183982684</v>
      </c>
      <c r="I186" s="47">
        <f t="shared" si="203"/>
        <v>1</v>
      </c>
      <c r="J186" s="47">
        <f t="shared" si="204"/>
        <v>31</v>
      </c>
      <c r="K186" s="47">
        <f t="shared" si="205"/>
        <v>185</v>
      </c>
      <c r="M186" s="616">
        <f t="shared" si="146"/>
        <v>-11000000</v>
      </c>
      <c r="N186" s="3">
        <f t="shared" ca="1" si="147"/>
        <v>9521121.6084887963</v>
      </c>
      <c r="O186" s="3">
        <f t="shared" ca="1" si="148"/>
        <v>8108953.5407510819</v>
      </c>
      <c r="P186" s="3">
        <f t="shared" si="149"/>
        <v>0</v>
      </c>
      <c r="Q186" s="3">
        <f t="shared" si="150"/>
        <v>0</v>
      </c>
      <c r="R186" s="3">
        <f t="shared" si="151"/>
        <v>-3105221</v>
      </c>
      <c r="S186" s="3">
        <f t="shared" si="152"/>
        <v>60785761</v>
      </c>
      <c r="T186" s="3">
        <f t="shared" si="153"/>
        <v>24782100.499999996</v>
      </c>
      <c r="U186" s="47">
        <f t="shared" ca="1" si="200"/>
        <v>89092715.649239868</v>
      </c>
      <c r="V186" s="47">
        <f>IFERROR(HLOOKUP(B186-1,'EV Forecast VRZ'!$F$124:$T$130,2,FALSE)/12,0)+IFERROR(((HLOOKUP(B186,'EV Forecast VRZ'!$F$116:$T$122,2,FALSE)-HLOOKUP(B186-1,'EV Forecast VRZ'!$F$124:$T$130,2,FALSE)))*C186/78,0)</f>
        <v>4969433.4226374337</v>
      </c>
      <c r="W186" s="47">
        <f ca="1">HLOOKUP(B186,Heating!$C$102:$O$106,2,FALSE)*INDEX(Weather!$BO$1:$CB$20,MATCH(B186,Weather!$BO$1:$BO$20,0),MATCH(C186,Weather!$BO$1:$CB$1,0))/VLOOKUP(B186,Weather!$BO$2:$CB$20,14,FALSE)</f>
        <v>1697461.4390099819</v>
      </c>
      <c r="X186" s="47">
        <f t="shared" ca="1" si="214"/>
        <v>95759610.51088728</v>
      </c>
    </row>
    <row r="187" spans="1:24">
      <c r="A187" s="2">
        <f t="shared" si="195"/>
        <v>47664</v>
      </c>
      <c r="B187">
        <f t="shared" si="201"/>
        <v>2030</v>
      </c>
      <c r="C187">
        <f t="shared" si="196"/>
        <v>6</v>
      </c>
      <c r="E187" s="3">
        <f t="shared" ref="E187:F187" ca="1" si="218">E175</f>
        <v>66.09717382617383</v>
      </c>
      <c r="F187" s="3">
        <f t="shared" ca="1" si="218"/>
        <v>86.311049595332207</v>
      </c>
      <c r="I187" s="47">
        <f t="shared" si="203"/>
        <v>0</v>
      </c>
      <c r="J187" s="47">
        <f t="shared" si="204"/>
        <v>30</v>
      </c>
      <c r="K187" s="47">
        <f t="shared" si="205"/>
        <v>186</v>
      </c>
      <c r="M187" s="616">
        <f t="shared" si="146"/>
        <v>-11000000</v>
      </c>
      <c r="N187" s="3">
        <f t="shared" ca="1" si="147"/>
        <v>3104641.0981848752</v>
      </c>
      <c r="O187" s="3">
        <f t="shared" ca="1" si="148"/>
        <v>23763814.138563786</v>
      </c>
      <c r="P187" s="3">
        <f t="shared" si="149"/>
        <v>0</v>
      </c>
      <c r="Q187" s="3">
        <f t="shared" si="150"/>
        <v>0</v>
      </c>
      <c r="R187" s="3">
        <f t="shared" si="151"/>
        <v>0</v>
      </c>
      <c r="S187" s="3">
        <f t="shared" si="152"/>
        <v>58824930</v>
      </c>
      <c r="T187" s="3">
        <f t="shared" si="153"/>
        <v>24916057.799999997</v>
      </c>
      <c r="U187" s="47">
        <f t="shared" ca="1" si="200"/>
        <v>99609443.036748663</v>
      </c>
      <c r="V187" s="47">
        <f>IFERROR(HLOOKUP(B187-1,'EV Forecast VRZ'!$F$124:$T$130,2,FALSE)/12,0)+IFERROR(((HLOOKUP(B187,'EV Forecast VRZ'!$F$116:$T$122,2,FALSE)-HLOOKUP(B187-1,'EV Forecast VRZ'!$F$124:$T$130,2,FALSE)))*C187/78,0)</f>
        <v>5036761.0180958286</v>
      </c>
      <c r="W187" s="47">
        <f ca="1">HLOOKUP(B187,Heating!$C$102:$O$106,2,FALSE)*INDEX(Weather!$BO$1:$CB$20,MATCH(B187,Weather!$BO$1:$BO$20,0),MATCH(C187,Weather!$BO$1:$CB$1,0))/VLOOKUP(B187,Weather!$BO$2:$CB$20,14,FALSE)</f>
        <v>367684.5262080222</v>
      </c>
      <c r="X187" s="47">
        <f t="shared" ca="1" si="214"/>
        <v>105013888.58105253</v>
      </c>
    </row>
    <row r="188" spans="1:24">
      <c r="A188" s="2">
        <f t="shared" si="195"/>
        <v>47695</v>
      </c>
      <c r="B188">
        <f t="shared" si="201"/>
        <v>2030</v>
      </c>
      <c r="C188">
        <f t="shared" si="196"/>
        <v>7</v>
      </c>
      <c r="E188" s="3">
        <f t="shared" ref="E188:F188" ca="1" si="219">E176</f>
        <v>10.249063146997932</v>
      </c>
      <c r="F188" s="3">
        <f t="shared" ca="1" si="219"/>
        <v>174.0219619206118</v>
      </c>
      <c r="I188" s="47">
        <f t="shared" si="203"/>
        <v>0</v>
      </c>
      <c r="J188" s="47">
        <f t="shared" si="204"/>
        <v>31</v>
      </c>
      <c r="K188" s="47">
        <f t="shared" si="205"/>
        <v>187</v>
      </c>
      <c r="M188" s="616">
        <f t="shared" si="146"/>
        <v>-11000000</v>
      </c>
      <c r="N188" s="3">
        <f t="shared" ca="1" si="147"/>
        <v>481407.31020879926</v>
      </c>
      <c r="O188" s="3">
        <f t="shared" ca="1" si="148"/>
        <v>47913049.12289343</v>
      </c>
      <c r="P188" s="3">
        <f t="shared" si="149"/>
        <v>0</v>
      </c>
      <c r="Q188" s="3">
        <f t="shared" si="150"/>
        <v>0</v>
      </c>
      <c r="R188" s="3">
        <f t="shared" si="151"/>
        <v>0</v>
      </c>
      <c r="S188" s="3">
        <f t="shared" si="152"/>
        <v>60785761</v>
      </c>
      <c r="T188" s="3">
        <f t="shared" si="153"/>
        <v>25050015.099999998</v>
      </c>
      <c r="U188" s="47">
        <f t="shared" ca="1" si="200"/>
        <v>123230232.53310221</v>
      </c>
      <c r="V188" s="47">
        <f>IFERROR(HLOOKUP(B188-1,'EV Forecast VRZ'!$F$124:$T$130,2,FALSE)/12,0)+IFERROR(((HLOOKUP(B188,'EV Forecast VRZ'!$F$116:$T$122,2,FALSE)-HLOOKUP(B188-1,'EV Forecast VRZ'!$F$124:$T$130,2,FALSE)))*C188/78,0)</f>
        <v>5104088.6135542244</v>
      </c>
      <c r="W188" s="47">
        <f ca="1">HLOOKUP(B188,Heating!$C$102:$O$106,2,FALSE)*INDEX(Weather!$BO$1:$CB$20,MATCH(B188,Weather!$BO$1:$BO$20,0),MATCH(C188,Weather!$BO$1:$CB$1,0))/VLOOKUP(B188,Weather!$BO$2:$CB$20,14,FALSE)</f>
        <v>18292.313164505362</v>
      </c>
      <c r="X188" s="47">
        <f t="shared" ca="1" si="214"/>
        <v>128352613.45982094</v>
      </c>
    </row>
    <row r="189" spans="1:24">
      <c r="A189" s="2">
        <f t="shared" si="195"/>
        <v>47726</v>
      </c>
      <c r="B189">
        <f t="shared" si="201"/>
        <v>2030</v>
      </c>
      <c r="C189">
        <f t="shared" si="196"/>
        <v>8</v>
      </c>
      <c r="E189" s="3">
        <f t="shared" ref="E189:F189" ca="1" si="220">E177</f>
        <v>21.194927536231887</v>
      </c>
      <c r="F189" s="3">
        <f t="shared" ca="1" si="220"/>
        <v>149.7160046113307</v>
      </c>
      <c r="I189" s="47">
        <f t="shared" si="203"/>
        <v>0</v>
      </c>
      <c r="J189" s="47">
        <f t="shared" si="204"/>
        <v>31</v>
      </c>
      <c r="K189" s="47">
        <f t="shared" si="205"/>
        <v>188</v>
      </c>
      <c r="M189" s="616">
        <f t="shared" si="146"/>
        <v>-11000000</v>
      </c>
      <c r="N189" s="3">
        <f t="shared" ca="1" si="147"/>
        <v>995543.97401449294</v>
      </c>
      <c r="O189" s="3">
        <f t="shared" ca="1" si="148"/>
        <v>41220948.231226608</v>
      </c>
      <c r="P189" s="3">
        <f t="shared" si="149"/>
        <v>0</v>
      </c>
      <c r="Q189" s="3">
        <f t="shared" si="150"/>
        <v>0</v>
      </c>
      <c r="R189" s="3">
        <f t="shared" si="151"/>
        <v>0</v>
      </c>
      <c r="S189" s="3">
        <f t="shared" si="152"/>
        <v>60785761</v>
      </c>
      <c r="T189" s="3">
        <f t="shared" si="153"/>
        <v>25183972.399999999</v>
      </c>
      <c r="U189" s="47">
        <f t="shared" ca="1" si="200"/>
        <v>117186225.60524109</v>
      </c>
      <c r="V189" s="47">
        <f>IFERROR(HLOOKUP(B189-1,'EV Forecast VRZ'!$F$124:$T$130,2,FALSE)/12,0)+IFERROR(((HLOOKUP(B189,'EV Forecast VRZ'!$F$116:$T$122,2,FALSE)-HLOOKUP(B189-1,'EV Forecast VRZ'!$F$124:$T$130,2,FALSE)))*C189/78,0)</f>
        <v>5171416.2090126192</v>
      </c>
      <c r="W189" s="47">
        <f ca="1">HLOOKUP(B189,Heating!$C$102:$O$106,2,FALSE)*INDEX(Weather!$BO$1:$CB$20,MATCH(B189,Weather!$BO$1:$BO$20,0),MATCH(C189,Weather!$BO$1:$CB$1,0))/VLOOKUP(B189,Weather!$BO$2:$CB$20,14,FALSE)</f>
        <v>63879.414501852392</v>
      </c>
      <c r="X189" s="47">
        <f t="shared" ca="1" si="214"/>
        <v>122421521.22875555</v>
      </c>
    </row>
    <row r="190" spans="1:24">
      <c r="A190" s="2">
        <f t="shared" si="195"/>
        <v>47756</v>
      </c>
      <c r="B190">
        <f t="shared" si="201"/>
        <v>2030</v>
      </c>
      <c r="C190">
        <f t="shared" si="196"/>
        <v>9</v>
      </c>
      <c r="E190" s="3">
        <f t="shared" ref="E190:F190" ca="1" si="221">E178</f>
        <v>96.735690993788822</v>
      </c>
      <c r="F190" s="3">
        <f t="shared" ca="1" si="221"/>
        <v>62.345178571428576</v>
      </c>
      <c r="I190" s="47">
        <f t="shared" si="203"/>
        <v>1</v>
      </c>
      <c r="J190" s="47">
        <f t="shared" si="204"/>
        <v>30</v>
      </c>
      <c r="K190" s="47">
        <f t="shared" si="205"/>
        <v>189</v>
      </c>
      <c r="M190" s="616">
        <f t="shared" si="146"/>
        <v>-11000000</v>
      </c>
      <c r="N190" s="3">
        <f t="shared" ca="1" si="147"/>
        <v>4543758.5986725157</v>
      </c>
      <c r="O190" s="3">
        <f t="shared" ca="1" si="148"/>
        <v>17165348.387642857</v>
      </c>
      <c r="P190" s="3">
        <f t="shared" si="149"/>
        <v>0</v>
      </c>
      <c r="Q190" s="3">
        <f t="shared" si="150"/>
        <v>0</v>
      </c>
      <c r="R190" s="3">
        <f t="shared" si="151"/>
        <v>-3105221</v>
      </c>
      <c r="S190" s="3">
        <f t="shared" si="152"/>
        <v>58824930</v>
      </c>
      <c r="T190" s="3">
        <f t="shared" si="153"/>
        <v>25317929.699999999</v>
      </c>
      <c r="U190" s="47">
        <f t="shared" ca="1" si="200"/>
        <v>91746745.686315373</v>
      </c>
      <c r="V190" s="47">
        <f>IFERROR(HLOOKUP(B190-1,'EV Forecast VRZ'!$F$124:$T$130,2,FALSE)/12,0)+IFERROR(((HLOOKUP(B190,'EV Forecast VRZ'!$F$116:$T$122,2,FALSE)-HLOOKUP(B190-1,'EV Forecast VRZ'!$F$124:$T$130,2,FALSE)))*C190/78,0)</f>
        <v>5238743.8044710141</v>
      </c>
      <c r="W190" s="47">
        <f ca="1">HLOOKUP(B190,Heating!$C$102:$O$106,2,FALSE)*INDEX(Weather!$BO$1:$CB$20,MATCH(B190,Weather!$BO$1:$BO$20,0),MATCH(C190,Weather!$BO$1:$CB$1,0))/VLOOKUP(B190,Weather!$BO$2:$CB$20,14,FALSE)</f>
        <v>621376.444607493</v>
      </c>
      <c r="X190" s="47">
        <f t="shared" ca="1" si="214"/>
        <v>97606865.935393885</v>
      </c>
    </row>
    <row r="191" spans="1:24">
      <c r="A191" s="2">
        <f t="shared" si="195"/>
        <v>47787</v>
      </c>
      <c r="B191">
        <f t="shared" si="201"/>
        <v>2030</v>
      </c>
      <c r="C191">
        <f t="shared" si="196"/>
        <v>10</v>
      </c>
      <c r="E191" s="3">
        <f t="shared" ref="E191:F191" ca="1" si="222">E179</f>
        <v>298.21097826086958</v>
      </c>
      <c r="F191" s="3">
        <f t="shared" ca="1" si="222"/>
        <v>7.1541666666666703</v>
      </c>
      <c r="I191" s="47">
        <f t="shared" si="203"/>
        <v>1</v>
      </c>
      <c r="J191" s="47">
        <f t="shared" si="204"/>
        <v>31</v>
      </c>
      <c r="K191" s="47">
        <f t="shared" si="205"/>
        <v>190</v>
      </c>
      <c r="M191" s="616">
        <f t="shared" si="146"/>
        <v>-11000000</v>
      </c>
      <c r="N191" s="3">
        <f t="shared" ca="1" si="147"/>
        <v>14007226.110354349</v>
      </c>
      <c r="O191" s="3">
        <f t="shared" ca="1" si="148"/>
        <v>1969739.5383333343</v>
      </c>
      <c r="P191" s="3">
        <f t="shared" si="149"/>
        <v>0</v>
      </c>
      <c r="Q191" s="3">
        <f t="shared" si="150"/>
        <v>0</v>
      </c>
      <c r="R191" s="3">
        <f t="shared" si="151"/>
        <v>-3105221</v>
      </c>
      <c r="S191" s="3">
        <f t="shared" si="152"/>
        <v>60785761</v>
      </c>
      <c r="T191" s="3">
        <f t="shared" si="153"/>
        <v>25451886.999999996</v>
      </c>
      <c r="U191" s="47">
        <f t="shared" ca="1" si="200"/>
        <v>88109392.648687676</v>
      </c>
      <c r="V191" s="47">
        <f>IFERROR(HLOOKUP(B191-1,'EV Forecast VRZ'!$F$124:$T$130,2,FALSE)/12,0)+IFERROR(((HLOOKUP(B191,'EV Forecast VRZ'!$F$116:$T$122,2,FALSE)-HLOOKUP(B191-1,'EV Forecast VRZ'!$F$124:$T$130,2,FALSE)))*C191/78,0)</f>
        <v>5306071.3999294098</v>
      </c>
      <c r="W191" s="47">
        <f ca="1">HLOOKUP(B191,Heating!$C$102:$O$106,2,FALSE)*INDEX(Weather!$BO$1:$CB$20,MATCH(B191,Weather!$BO$1:$BO$20,0),MATCH(C191,Weather!$BO$1:$CB$1,0))/VLOOKUP(B191,Weather!$BO$2:$CB$20,14,FALSE)</f>
        <v>2689683.0153088807</v>
      </c>
      <c r="X191" s="47">
        <f t="shared" ca="1" si="214"/>
        <v>96105147.063925967</v>
      </c>
    </row>
    <row r="192" spans="1:24">
      <c r="A192" s="2">
        <f t="shared" si="195"/>
        <v>47817</v>
      </c>
      <c r="B192">
        <f t="shared" si="201"/>
        <v>2030</v>
      </c>
      <c r="C192">
        <f t="shared" si="196"/>
        <v>11</v>
      </c>
      <c r="E192" s="3">
        <f t="shared" ref="E192:F192" ca="1" si="223">E180</f>
        <v>486.62991389045737</v>
      </c>
      <c r="F192" s="3">
        <f t="shared" ca="1" si="223"/>
        <v>0.15041666666666628</v>
      </c>
      <c r="I192" s="47">
        <f t="shared" si="203"/>
        <v>1</v>
      </c>
      <c r="J192" s="47">
        <f t="shared" si="204"/>
        <v>30</v>
      </c>
      <c r="K192" s="47">
        <f t="shared" si="205"/>
        <v>191</v>
      </c>
      <c r="M192" s="616">
        <f t="shared" si="146"/>
        <v>-11000000</v>
      </c>
      <c r="N192" s="3">
        <f t="shared" ca="1" si="147"/>
        <v>22857425.557160728</v>
      </c>
      <c r="O192" s="3">
        <f t="shared" ca="1" si="148"/>
        <v>41413.859833333227</v>
      </c>
      <c r="P192" s="3">
        <f t="shared" si="149"/>
        <v>0</v>
      </c>
      <c r="Q192" s="3">
        <f t="shared" si="150"/>
        <v>0</v>
      </c>
      <c r="R192" s="3">
        <f t="shared" si="151"/>
        <v>-3105221</v>
      </c>
      <c r="S192" s="3">
        <f t="shared" si="152"/>
        <v>58824930</v>
      </c>
      <c r="T192" s="3">
        <f t="shared" si="153"/>
        <v>25585844.299999997</v>
      </c>
      <c r="U192" s="47">
        <f t="shared" ca="1" si="200"/>
        <v>93204392.716994062</v>
      </c>
      <c r="V192" s="47">
        <f>IFERROR(HLOOKUP(B192-1,'EV Forecast VRZ'!$F$124:$T$130,2,FALSE)/12,0)+IFERROR(((HLOOKUP(B192,'EV Forecast VRZ'!$F$116:$T$122,2,FALSE)-HLOOKUP(B192-1,'EV Forecast VRZ'!$F$124:$T$130,2,FALSE)))*C192/78,0)</f>
        <v>5373398.9953878047</v>
      </c>
      <c r="W192" s="47">
        <f ca="1">HLOOKUP(B192,Heating!$C$102:$O$106,2,FALSE)*INDEX(Weather!$BO$1:$CB$20,MATCH(B192,Weather!$BO$1:$BO$20,0),MATCH(C192,Weather!$BO$1:$CB$1,0))/VLOOKUP(B192,Weather!$BO$2:$CB$20,14,FALSE)</f>
        <v>4823516.6563359527</v>
      </c>
      <c r="X192" s="47">
        <f t="shared" ca="1" si="214"/>
        <v>103401308.36871782</v>
      </c>
    </row>
    <row r="193" spans="1:24">
      <c r="A193" s="2">
        <f t="shared" si="195"/>
        <v>47848</v>
      </c>
      <c r="B193">
        <f t="shared" si="201"/>
        <v>2030</v>
      </c>
      <c r="C193">
        <f t="shared" si="196"/>
        <v>12</v>
      </c>
      <c r="E193" s="3">
        <f t="shared" ref="E193:F193" ca="1" si="224">E181</f>
        <v>639.92800724637686</v>
      </c>
      <c r="F193" s="3">
        <f t="shared" ca="1" si="224"/>
        <v>0</v>
      </c>
      <c r="I193" s="47">
        <f t="shared" si="203"/>
        <v>0</v>
      </c>
      <c r="J193" s="47">
        <f t="shared" si="204"/>
        <v>31</v>
      </c>
      <c r="K193" s="47">
        <f t="shared" si="205"/>
        <v>192</v>
      </c>
      <c r="M193" s="616">
        <f t="shared" si="146"/>
        <v>-11000000</v>
      </c>
      <c r="N193" s="3">
        <f t="shared" ca="1" si="147"/>
        <v>30057968.838448554</v>
      </c>
      <c r="O193" s="3">
        <f t="shared" ca="1" si="148"/>
        <v>0</v>
      </c>
      <c r="P193" s="3">
        <f t="shared" si="149"/>
        <v>0</v>
      </c>
      <c r="Q193" s="3">
        <f t="shared" si="150"/>
        <v>0</v>
      </c>
      <c r="R193" s="3">
        <f t="shared" si="151"/>
        <v>0</v>
      </c>
      <c r="S193" s="3">
        <f t="shared" si="152"/>
        <v>60785761</v>
      </c>
      <c r="T193" s="3">
        <f t="shared" si="153"/>
        <v>25719801.599999998</v>
      </c>
      <c r="U193" s="47">
        <f t="shared" ca="1" si="200"/>
        <v>105563531.43844855</v>
      </c>
      <c r="V193" s="47">
        <f>IFERROR(HLOOKUP(B193-1,'EV Forecast VRZ'!$F$124:$T$130,2,FALSE)/12,0)+IFERROR(((HLOOKUP(B193,'EV Forecast VRZ'!$F$116:$T$122,2,FALSE)-HLOOKUP(B193-1,'EV Forecast VRZ'!$F$124:$T$130,2,FALSE)))*C193/78,0)</f>
        <v>5440726.5908462005</v>
      </c>
      <c r="W193" s="47">
        <f ca="1">HLOOKUP(B193,Heating!$C$102:$O$106,2,FALSE)*INDEX(Weather!$BO$1:$CB$20,MATCH(B193,Weather!$BO$1:$BO$20,0),MATCH(C193,Weather!$BO$1:$CB$1,0))/VLOOKUP(B193,Weather!$BO$2:$CB$20,14,FALSE)</f>
        <v>6534106.6773665259</v>
      </c>
      <c r="X193" s="47">
        <f t="shared" ca="1" si="214"/>
        <v>117538364.70666127</v>
      </c>
    </row>
    <row r="194" spans="1:24">
      <c r="A194" s="2">
        <f t="shared" si="195"/>
        <v>47879</v>
      </c>
      <c r="B194">
        <f t="shared" si="201"/>
        <v>2031</v>
      </c>
      <c r="C194">
        <f t="shared" si="196"/>
        <v>1</v>
      </c>
      <c r="E194" s="3">
        <f t="shared" ref="E194:F194" ca="1" si="225">E182</f>
        <v>759.33418478260865</v>
      </c>
      <c r="F194" s="3">
        <f t="shared" ca="1" si="225"/>
        <v>0</v>
      </c>
      <c r="I194" s="47">
        <f t="shared" si="203"/>
        <v>0</v>
      </c>
      <c r="J194" s="47">
        <f t="shared" si="204"/>
        <v>31</v>
      </c>
      <c r="K194" s="47">
        <f t="shared" si="205"/>
        <v>193</v>
      </c>
      <c r="M194" s="616">
        <f t="shared" ref="M194:M205" si="226">$AB$8</f>
        <v>-11000000</v>
      </c>
      <c r="N194" s="3">
        <f t="shared" ref="N194:N205" ca="1" si="227">E194*$AB$9</f>
        <v>35666579.686638042</v>
      </c>
      <c r="O194" s="3">
        <f t="shared" ref="O194:O205" ca="1" si="228">F194*$AB$10</f>
        <v>0</v>
      </c>
      <c r="P194" s="3">
        <f t="shared" ref="P194:P205" si="229">G194*$AB$11</f>
        <v>0</v>
      </c>
      <c r="Q194" s="3">
        <f t="shared" ref="Q194:Q205" si="230">H194*$AB$12</f>
        <v>0</v>
      </c>
      <c r="R194" s="3">
        <f t="shared" ref="R194:R205" si="231">I194*$AB$13</f>
        <v>0</v>
      </c>
      <c r="S194" s="3">
        <f t="shared" ref="S194:S205" si="232">J194*$AB$14</f>
        <v>60785761</v>
      </c>
      <c r="T194" s="3">
        <f t="shared" ref="T194:T205" si="233">K194*$AB$15</f>
        <v>25853758.899999999</v>
      </c>
      <c r="U194" s="47">
        <f t="shared" ca="1" si="200"/>
        <v>111306099.58663803</v>
      </c>
      <c r="V194" s="47">
        <f>IFERROR(HLOOKUP(B194-1,'EV Forecast VRZ'!$F$124:$T$130,2,FALSE)/12,0)+IFERROR(((HLOOKUP(B194,'EV Forecast VRZ'!$F$116:$T$122,2,FALSE)-HLOOKUP(B194-1,'EV Forecast VRZ'!$F$124:$T$130,2,FALSE)))*C194/78,0)</f>
        <v>5636977.9615000887</v>
      </c>
      <c r="W194" s="47">
        <f ca="1">HLOOKUP(B194,Heating!$C$102:$O$106,2,FALSE)*INDEX(Weather!$BO$1:$CB$20,MATCH(B194,Weather!$BO$1:$BO$20,0),MATCH(C194,Weather!$BO$1:$CB$1,0))/VLOOKUP(B194,Weather!$BO$2:$CB$20,14,FALSE)</f>
        <v>8928215.3628026079</v>
      </c>
      <c r="X194" s="47">
        <f t="shared" ca="1" si="214"/>
        <v>125871292.91094074</v>
      </c>
    </row>
    <row r="195" spans="1:24">
      <c r="A195" s="2">
        <f t="shared" si="195"/>
        <v>47907</v>
      </c>
      <c r="B195">
        <f t="shared" si="201"/>
        <v>2031</v>
      </c>
      <c r="C195">
        <f t="shared" si="196"/>
        <v>2</v>
      </c>
      <c r="E195" s="3">
        <f t="shared" ref="E195:F195" ca="1" si="234">E183</f>
        <v>680.85501811594202</v>
      </c>
      <c r="F195" s="3">
        <f t="shared" ca="1" si="234"/>
        <v>0</v>
      </c>
      <c r="I195" s="47">
        <f t="shared" si="203"/>
        <v>0</v>
      </c>
      <c r="J195" s="47">
        <f t="shared" si="204"/>
        <v>28</v>
      </c>
      <c r="K195" s="47">
        <f t="shared" si="205"/>
        <v>194</v>
      </c>
      <c r="M195" s="616">
        <f t="shared" si="226"/>
        <v>-11000000</v>
      </c>
      <c r="N195" s="3">
        <f t="shared" ca="1" si="227"/>
        <v>31980345.736221377</v>
      </c>
      <c r="O195" s="3">
        <f t="shared" ca="1" si="228"/>
        <v>0</v>
      </c>
      <c r="P195" s="3">
        <f t="shared" si="229"/>
        <v>0</v>
      </c>
      <c r="Q195" s="3">
        <f t="shared" si="230"/>
        <v>0</v>
      </c>
      <c r="R195" s="3">
        <f t="shared" si="231"/>
        <v>0</v>
      </c>
      <c r="S195" s="3">
        <f t="shared" si="232"/>
        <v>54903268</v>
      </c>
      <c r="T195" s="3">
        <f t="shared" si="233"/>
        <v>25987716.199999999</v>
      </c>
      <c r="U195" s="47">
        <f t="shared" ca="1" si="200"/>
        <v>101871329.93622138</v>
      </c>
      <c r="V195" s="47">
        <f>IFERROR(HLOOKUP(B195-1,'EV Forecast VRZ'!$F$124:$T$130,2,FALSE)/12,0)+IFERROR(((HLOOKUP(B195,'EV Forecast VRZ'!$F$116:$T$122,2,FALSE)-HLOOKUP(B195-1,'EV Forecast VRZ'!$F$124:$T$130,2,FALSE)))*C195/78,0)</f>
        <v>5703863.9816083666</v>
      </c>
      <c r="W195" s="47">
        <f ca="1">HLOOKUP(B195,Heating!$C$102:$O$106,2,FALSE)*INDEX(Weather!$BO$1:$CB$20,MATCH(B195,Weather!$BO$1:$BO$20,0),MATCH(C195,Weather!$BO$1:$CB$1,0))/VLOOKUP(B195,Weather!$BO$2:$CB$20,14,FALSE)</f>
        <v>7992557.0331632094</v>
      </c>
      <c r="X195" s="47">
        <f t="shared" ca="1" si="214"/>
        <v>115567750.95099294</v>
      </c>
    </row>
    <row r="196" spans="1:24">
      <c r="A196" s="2">
        <f t="shared" si="195"/>
        <v>47938</v>
      </c>
      <c r="B196">
        <f t="shared" si="201"/>
        <v>2031</v>
      </c>
      <c r="C196">
        <f t="shared" si="196"/>
        <v>3</v>
      </c>
      <c r="E196" s="3">
        <f t="shared" ref="E196:F196" ca="1" si="235">E184</f>
        <v>608.13298913043479</v>
      </c>
      <c r="F196" s="3">
        <f t="shared" ca="1" si="235"/>
        <v>0</v>
      </c>
      <c r="I196" s="47">
        <f t="shared" si="203"/>
        <v>1</v>
      </c>
      <c r="J196" s="47">
        <f t="shared" si="204"/>
        <v>31</v>
      </c>
      <c r="K196" s="47">
        <f t="shared" si="205"/>
        <v>195</v>
      </c>
      <c r="M196" s="616">
        <f t="shared" si="226"/>
        <v>-11000000</v>
      </c>
      <c r="N196" s="3">
        <f t="shared" ca="1" si="227"/>
        <v>28564529.493827175</v>
      </c>
      <c r="O196" s="3">
        <f t="shared" ca="1" si="228"/>
        <v>0</v>
      </c>
      <c r="P196" s="3">
        <f t="shared" si="229"/>
        <v>0</v>
      </c>
      <c r="Q196" s="3">
        <f t="shared" si="230"/>
        <v>0</v>
      </c>
      <c r="R196" s="3">
        <f t="shared" si="231"/>
        <v>-3105221</v>
      </c>
      <c r="S196" s="3">
        <f t="shared" si="232"/>
        <v>60785761</v>
      </c>
      <c r="T196" s="3">
        <f t="shared" si="233"/>
        <v>26121673.499999996</v>
      </c>
      <c r="U196" s="47">
        <f t="shared" ca="1" si="200"/>
        <v>101366742.99382718</v>
      </c>
      <c r="V196" s="47">
        <f>IFERROR(HLOOKUP(B196-1,'EV Forecast VRZ'!$F$124:$T$130,2,FALSE)/12,0)+IFERROR(((HLOOKUP(B196,'EV Forecast VRZ'!$F$116:$T$122,2,FALSE)-HLOOKUP(B196-1,'EV Forecast VRZ'!$F$124:$T$130,2,FALSE)))*C196/78,0)</f>
        <v>5770750.0017166445</v>
      </c>
      <c r="W196" s="47">
        <f ca="1">HLOOKUP(B196,Heating!$C$102:$O$106,2,FALSE)*INDEX(Weather!$BO$1:$CB$20,MATCH(B196,Weather!$BO$1:$BO$20,0),MATCH(C196,Weather!$BO$1:$CB$1,0))/VLOOKUP(B196,Weather!$BO$2:$CB$20,14,FALSE)</f>
        <v>6992333.159757155</v>
      </c>
      <c r="X196" s="47">
        <f t="shared" ca="1" si="214"/>
        <v>114129826.15530097</v>
      </c>
    </row>
    <row r="197" spans="1:24">
      <c r="A197" s="2">
        <f t="shared" si="195"/>
        <v>47968</v>
      </c>
      <c r="B197">
        <f t="shared" si="201"/>
        <v>2031</v>
      </c>
      <c r="C197">
        <f t="shared" si="196"/>
        <v>4</v>
      </c>
      <c r="E197" s="3">
        <f t="shared" ref="E197:F197" ca="1" si="236">E185</f>
        <v>412.37941287878795</v>
      </c>
      <c r="F197" s="3">
        <f t="shared" ca="1" si="236"/>
        <v>0.4316666666666677</v>
      </c>
      <c r="I197" s="47">
        <f t="shared" si="203"/>
        <v>1</v>
      </c>
      <c r="J197" s="47">
        <f t="shared" si="204"/>
        <v>30</v>
      </c>
      <c r="K197" s="47">
        <f t="shared" si="205"/>
        <v>196</v>
      </c>
      <c r="M197" s="616">
        <f t="shared" si="226"/>
        <v>-11000000</v>
      </c>
      <c r="N197" s="3">
        <f t="shared" ca="1" si="227"/>
        <v>19369815.669211745</v>
      </c>
      <c r="O197" s="3">
        <f t="shared" ca="1" si="228"/>
        <v>118849.74733333361</v>
      </c>
      <c r="P197" s="3">
        <f t="shared" si="229"/>
        <v>0</v>
      </c>
      <c r="Q197" s="3">
        <f t="shared" si="230"/>
        <v>0</v>
      </c>
      <c r="R197" s="3">
        <f t="shared" si="231"/>
        <v>-3105221</v>
      </c>
      <c r="S197" s="3">
        <f t="shared" si="232"/>
        <v>58824930</v>
      </c>
      <c r="T197" s="3">
        <f t="shared" si="233"/>
        <v>26255630.799999997</v>
      </c>
      <c r="U197" s="47">
        <f t="shared" ca="1" si="200"/>
        <v>90464005.216545075</v>
      </c>
      <c r="V197" s="47">
        <f>IFERROR(HLOOKUP(B197-1,'EV Forecast VRZ'!$F$124:$T$130,2,FALSE)/12,0)+IFERROR(((HLOOKUP(B197,'EV Forecast VRZ'!$F$116:$T$122,2,FALSE)-HLOOKUP(B197-1,'EV Forecast VRZ'!$F$124:$T$130,2,FALSE)))*C197/78,0)</f>
        <v>5837636.0218249224</v>
      </c>
      <c r="W197" s="47">
        <f ca="1">HLOOKUP(B197,Heating!$C$102:$O$106,2,FALSE)*INDEX(Weather!$BO$1:$CB$20,MATCH(B197,Weather!$BO$1:$BO$20,0),MATCH(C197,Weather!$BO$1:$CB$1,0))/VLOOKUP(B197,Weather!$BO$2:$CB$20,14,FALSE)</f>
        <v>4512080.6117207743</v>
      </c>
      <c r="X197" s="47">
        <f t="shared" ca="1" si="214"/>
        <v>100813721.85009077</v>
      </c>
    </row>
    <row r="198" spans="1:24">
      <c r="A198" s="2">
        <f t="shared" si="195"/>
        <v>47999</v>
      </c>
      <c r="B198">
        <f t="shared" si="201"/>
        <v>2031</v>
      </c>
      <c r="C198">
        <f t="shared" si="196"/>
        <v>5</v>
      </c>
      <c r="E198" s="3">
        <f t="shared" ref="E198:F198" ca="1" si="237">E186</f>
        <v>202.70273119310133</v>
      </c>
      <c r="F198" s="3">
        <f t="shared" ca="1" si="237"/>
        <v>29.4520183982684</v>
      </c>
      <c r="I198" s="47">
        <f t="shared" si="203"/>
        <v>1</v>
      </c>
      <c r="J198" s="47">
        <f t="shared" si="204"/>
        <v>31</v>
      </c>
      <c r="K198" s="47">
        <f t="shared" si="205"/>
        <v>197</v>
      </c>
      <c r="M198" s="616">
        <f t="shared" si="226"/>
        <v>-11000000</v>
      </c>
      <c r="N198" s="3">
        <f t="shared" ca="1" si="227"/>
        <v>9521121.6084887963</v>
      </c>
      <c r="O198" s="3">
        <f t="shared" ca="1" si="228"/>
        <v>8108953.5407510819</v>
      </c>
      <c r="P198" s="3">
        <f t="shared" si="229"/>
        <v>0</v>
      </c>
      <c r="Q198" s="3">
        <f t="shared" si="230"/>
        <v>0</v>
      </c>
      <c r="R198" s="3">
        <f t="shared" si="231"/>
        <v>-3105221</v>
      </c>
      <c r="S198" s="3">
        <f t="shared" si="232"/>
        <v>60785761</v>
      </c>
      <c r="T198" s="3">
        <f t="shared" si="233"/>
        <v>26389588.099999998</v>
      </c>
      <c r="U198" s="47">
        <f t="shared" ca="1" si="200"/>
        <v>90700203.249239877</v>
      </c>
      <c r="V198" s="47">
        <f>IFERROR(HLOOKUP(B198-1,'EV Forecast VRZ'!$F$124:$T$130,2,FALSE)/12,0)+IFERROR(((HLOOKUP(B198,'EV Forecast VRZ'!$F$116:$T$122,2,FALSE)-HLOOKUP(B198-1,'EV Forecast VRZ'!$F$124:$T$130,2,FALSE)))*C198/78,0)</f>
        <v>5904522.0419332003</v>
      </c>
      <c r="W198" s="47">
        <f ca="1">HLOOKUP(B198,Heating!$C$102:$O$106,2,FALSE)*INDEX(Weather!$BO$1:$CB$20,MATCH(B198,Weather!$BO$1:$BO$20,0),MATCH(C198,Weather!$BO$1:$CB$1,0))/VLOOKUP(B198,Weather!$BO$2:$CB$20,14,FALSE)</f>
        <v>1922255.6232676134</v>
      </c>
      <c r="X198" s="47">
        <f t="shared" ca="1" si="214"/>
        <v>98526980.914440691</v>
      </c>
    </row>
    <row r="199" spans="1:24">
      <c r="A199" s="2">
        <f t="shared" si="195"/>
        <v>48029</v>
      </c>
      <c r="B199">
        <f t="shared" si="201"/>
        <v>2031</v>
      </c>
      <c r="C199">
        <f t="shared" si="196"/>
        <v>6</v>
      </c>
      <c r="E199" s="3">
        <f t="shared" ref="E199:F199" ca="1" si="238">E187</f>
        <v>66.09717382617383</v>
      </c>
      <c r="F199" s="3">
        <f t="shared" ca="1" si="238"/>
        <v>86.311049595332207</v>
      </c>
      <c r="I199" s="47">
        <f t="shared" si="203"/>
        <v>0</v>
      </c>
      <c r="J199" s="47">
        <f t="shared" si="204"/>
        <v>30</v>
      </c>
      <c r="K199" s="47">
        <f t="shared" si="205"/>
        <v>198</v>
      </c>
      <c r="M199" s="616">
        <f t="shared" si="226"/>
        <v>-11000000</v>
      </c>
      <c r="N199" s="3">
        <f t="shared" ca="1" si="227"/>
        <v>3104641.0981848752</v>
      </c>
      <c r="O199" s="3">
        <f t="shared" ca="1" si="228"/>
        <v>23763814.138563786</v>
      </c>
      <c r="P199" s="3">
        <f t="shared" si="229"/>
        <v>0</v>
      </c>
      <c r="Q199" s="3">
        <f t="shared" si="230"/>
        <v>0</v>
      </c>
      <c r="R199" s="3">
        <f t="shared" si="231"/>
        <v>0</v>
      </c>
      <c r="S199" s="3">
        <f t="shared" si="232"/>
        <v>58824930</v>
      </c>
      <c r="T199" s="3">
        <f t="shared" si="233"/>
        <v>26523545.399999999</v>
      </c>
      <c r="U199" s="47">
        <f t="shared" ca="1" si="200"/>
        <v>101216930.63674867</v>
      </c>
      <c r="V199" s="47">
        <f>IFERROR(HLOOKUP(B199-1,'EV Forecast VRZ'!$F$124:$T$130,2,FALSE)/12,0)+IFERROR(((HLOOKUP(B199,'EV Forecast VRZ'!$F$116:$T$122,2,FALSE)-HLOOKUP(B199-1,'EV Forecast VRZ'!$F$124:$T$130,2,FALSE)))*C199/78,0)</f>
        <v>5971408.0620414782</v>
      </c>
      <c r="W199" s="47">
        <f ca="1">HLOOKUP(B199,Heating!$C$102:$O$106,2,FALSE)*INDEX(Weather!$BO$1:$CB$20,MATCH(B199,Weather!$BO$1:$BO$20,0),MATCH(C199,Weather!$BO$1:$CB$1,0))/VLOOKUP(B199,Weather!$BO$2:$CB$20,14,FALSE)</f>
        <v>416376.85066005361</v>
      </c>
      <c r="X199" s="47">
        <f t="shared" ca="1" si="214"/>
        <v>107604715.5494502</v>
      </c>
    </row>
    <row r="200" spans="1:24">
      <c r="A200" s="2">
        <f t="shared" si="195"/>
        <v>48060</v>
      </c>
      <c r="B200">
        <f t="shared" si="201"/>
        <v>2031</v>
      </c>
      <c r="C200">
        <f t="shared" si="196"/>
        <v>7</v>
      </c>
      <c r="E200" s="3">
        <f t="shared" ref="E200:F200" ca="1" si="239">E188</f>
        <v>10.249063146997932</v>
      </c>
      <c r="F200" s="3">
        <f t="shared" ca="1" si="239"/>
        <v>174.0219619206118</v>
      </c>
      <c r="I200" s="47">
        <f t="shared" si="203"/>
        <v>0</v>
      </c>
      <c r="J200" s="47">
        <f t="shared" si="204"/>
        <v>31</v>
      </c>
      <c r="K200" s="47">
        <f t="shared" si="205"/>
        <v>199</v>
      </c>
      <c r="M200" s="616">
        <f t="shared" si="226"/>
        <v>-11000000</v>
      </c>
      <c r="N200" s="3">
        <f t="shared" ca="1" si="227"/>
        <v>481407.31020879926</v>
      </c>
      <c r="O200" s="3">
        <f t="shared" ca="1" si="228"/>
        <v>47913049.12289343</v>
      </c>
      <c r="P200" s="3">
        <f t="shared" si="229"/>
        <v>0</v>
      </c>
      <c r="Q200" s="3">
        <f t="shared" si="230"/>
        <v>0</v>
      </c>
      <c r="R200" s="3">
        <f t="shared" si="231"/>
        <v>0</v>
      </c>
      <c r="S200" s="3">
        <f t="shared" si="232"/>
        <v>60785761</v>
      </c>
      <c r="T200" s="3">
        <f t="shared" si="233"/>
        <v>26657502.699999999</v>
      </c>
      <c r="U200" s="47">
        <f t="shared" ca="1" si="200"/>
        <v>124837720.13310222</v>
      </c>
      <c r="V200" s="47">
        <f>IFERROR(HLOOKUP(B200-1,'EV Forecast VRZ'!$F$124:$T$130,2,FALSE)/12,0)+IFERROR(((HLOOKUP(B200,'EV Forecast VRZ'!$F$116:$T$122,2,FALSE)-HLOOKUP(B200-1,'EV Forecast VRZ'!$F$124:$T$130,2,FALSE)))*C200/78,0)</f>
        <v>6038294.0821497571</v>
      </c>
      <c r="W200" s="47">
        <f ca="1">HLOOKUP(B200,Heating!$C$102:$O$106,2,FALSE)*INDEX(Weather!$BO$1:$CB$20,MATCH(B200,Weather!$BO$1:$BO$20,0),MATCH(C200,Weather!$BO$1:$CB$1,0))/VLOOKUP(B200,Weather!$BO$2:$CB$20,14,FALSE)</f>
        <v>20714.757363531393</v>
      </c>
      <c r="X200" s="47">
        <f t="shared" ca="1" si="214"/>
        <v>130896728.97261551</v>
      </c>
    </row>
    <row r="201" spans="1:24">
      <c r="A201" s="2">
        <f t="shared" si="195"/>
        <v>48091</v>
      </c>
      <c r="B201">
        <f t="shared" si="201"/>
        <v>2031</v>
      </c>
      <c r="C201">
        <f t="shared" si="196"/>
        <v>8</v>
      </c>
      <c r="E201" s="3">
        <f t="shared" ref="E201:F201" ca="1" si="240">E189</f>
        <v>21.194927536231887</v>
      </c>
      <c r="F201" s="3">
        <f t="shared" ca="1" si="240"/>
        <v>149.7160046113307</v>
      </c>
      <c r="I201" s="47">
        <f t="shared" si="203"/>
        <v>0</v>
      </c>
      <c r="J201" s="47">
        <f t="shared" si="204"/>
        <v>31</v>
      </c>
      <c r="K201" s="47">
        <f t="shared" si="205"/>
        <v>200</v>
      </c>
      <c r="M201" s="616">
        <f t="shared" si="226"/>
        <v>-11000000</v>
      </c>
      <c r="N201" s="3">
        <f t="shared" ca="1" si="227"/>
        <v>995543.97401449294</v>
      </c>
      <c r="O201" s="3">
        <f t="shared" ca="1" si="228"/>
        <v>41220948.231226608</v>
      </c>
      <c r="P201" s="3">
        <f t="shared" si="229"/>
        <v>0</v>
      </c>
      <c r="Q201" s="3">
        <f t="shared" si="230"/>
        <v>0</v>
      </c>
      <c r="R201" s="3">
        <f t="shared" si="231"/>
        <v>0</v>
      </c>
      <c r="S201" s="3">
        <f t="shared" si="232"/>
        <v>60785761</v>
      </c>
      <c r="T201" s="3">
        <f t="shared" si="233"/>
        <v>26791459.999999996</v>
      </c>
      <c r="U201" s="47">
        <f t="shared" ca="1" si="200"/>
        <v>118793713.2052411</v>
      </c>
      <c r="V201" s="47">
        <f>IFERROR(HLOOKUP(B201-1,'EV Forecast VRZ'!$F$124:$T$130,2,FALSE)/12,0)+IFERROR(((HLOOKUP(B201,'EV Forecast VRZ'!$F$116:$T$122,2,FALSE)-HLOOKUP(B201-1,'EV Forecast VRZ'!$F$124:$T$130,2,FALSE)))*C201/78,0)</f>
        <v>6105180.102258035</v>
      </c>
      <c r="W201" s="47">
        <f ca="1">HLOOKUP(B201,Heating!$C$102:$O$106,2,FALSE)*INDEX(Weather!$BO$1:$CB$20,MATCH(B201,Weather!$BO$1:$BO$20,0),MATCH(C201,Weather!$BO$1:$CB$1,0))/VLOOKUP(B201,Weather!$BO$2:$CB$20,14,FALSE)</f>
        <v>72338.941501284018</v>
      </c>
      <c r="X201" s="47">
        <f t="shared" ca="1" si="214"/>
        <v>124971232.24900043</v>
      </c>
    </row>
    <row r="202" spans="1:24">
      <c r="A202" s="2">
        <f t="shared" si="195"/>
        <v>48121</v>
      </c>
      <c r="B202">
        <f t="shared" si="201"/>
        <v>2031</v>
      </c>
      <c r="C202">
        <f t="shared" si="196"/>
        <v>9</v>
      </c>
      <c r="E202" s="3">
        <f t="shared" ref="E202:F202" ca="1" si="241">E190</f>
        <v>96.735690993788822</v>
      </c>
      <c r="F202" s="3">
        <f t="shared" ca="1" si="241"/>
        <v>62.345178571428576</v>
      </c>
      <c r="I202" s="47">
        <f t="shared" si="203"/>
        <v>1</v>
      </c>
      <c r="J202" s="47">
        <f t="shared" si="204"/>
        <v>30</v>
      </c>
      <c r="K202" s="47">
        <f t="shared" si="205"/>
        <v>201</v>
      </c>
      <c r="M202" s="616">
        <f t="shared" si="226"/>
        <v>-11000000</v>
      </c>
      <c r="N202" s="3">
        <f t="shared" ca="1" si="227"/>
        <v>4543758.5986725157</v>
      </c>
      <c r="O202" s="3">
        <f t="shared" ca="1" si="228"/>
        <v>17165348.387642857</v>
      </c>
      <c r="P202" s="3">
        <f t="shared" si="229"/>
        <v>0</v>
      </c>
      <c r="Q202" s="3">
        <f t="shared" si="230"/>
        <v>0</v>
      </c>
      <c r="R202" s="3">
        <f t="shared" si="231"/>
        <v>-3105221</v>
      </c>
      <c r="S202" s="3">
        <f t="shared" si="232"/>
        <v>58824930</v>
      </c>
      <c r="T202" s="3">
        <f t="shared" si="233"/>
        <v>26925417.299999997</v>
      </c>
      <c r="U202" s="47">
        <f t="shared" ca="1" si="200"/>
        <v>93354233.286315367</v>
      </c>
      <c r="V202" s="47">
        <f>IFERROR(HLOOKUP(B202-1,'EV Forecast VRZ'!$F$124:$T$130,2,FALSE)/12,0)+IFERROR(((HLOOKUP(B202,'EV Forecast VRZ'!$F$116:$T$122,2,FALSE)-HLOOKUP(B202-1,'EV Forecast VRZ'!$F$124:$T$130,2,FALSE)))*C202/78,0)</f>
        <v>6172066.1223663129</v>
      </c>
      <c r="W202" s="47">
        <f ca="1">HLOOKUP(B202,Heating!$C$102:$O$106,2,FALSE)*INDEX(Weather!$BO$1:$CB$20,MATCH(B202,Weather!$BO$1:$BO$20,0),MATCH(C202,Weather!$BO$1:$CB$1,0))/VLOOKUP(B202,Weather!$BO$2:$CB$20,14,FALSE)</f>
        <v>703665.09504300216</v>
      </c>
      <c r="X202" s="47">
        <f t="shared" ca="1" si="214"/>
        <v>100229964.50372468</v>
      </c>
    </row>
    <row r="203" spans="1:24">
      <c r="A203" s="2">
        <f t="shared" si="195"/>
        <v>48152</v>
      </c>
      <c r="B203">
        <f t="shared" si="201"/>
        <v>2031</v>
      </c>
      <c r="C203">
        <f t="shared" si="196"/>
        <v>10</v>
      </c>
      <c r="E203" s="3">
        <f t="shared" ref="E203:F203" ca="1" si="242">E191</f>
        <v>298.21097826086958</v>
      </c>
      <c r="F203" s="3">
        <f t="shared" ca="1" si="242"/>
        <v>7.1541666666666703</v>
      </c>
      <c r="I203" s="47">
        <f t="shared" si="203"/>
        <v>1</v>
      </c>
      <c r="J203" s="47">
        <f t="shared" si="204"/>
        <v>31</v>
      </c>
      <c r="K203" s="47">
        <f t="shared" si="205"/>
        <v>202</v>
      </c>
      <c r="M203" s="616">
        <f t="shared" si="226"/>
        <v>-11000000</v>
      </c>
      <c r="N203" s="3">
        <f t="shared" ca="1" si="227"/>
        <v>14007226.110354349</v>
      </c>
      <c r="O203" s="3">
        <f t="shared" ca="1" si="228"/>
        <v>1969739.5383333343</v>
      </c>
      <c r="P203" s="3">
        <f t="shared" si="229"/>
        <v>0</v>
      </c>
      <c r="Q203" s="3">
        <f t="shared" si="230"/>
        <v>0</v>
      </c>
      <c r="R203" s="3">
        <f t="shared" si="231"/>
        <v>-3105221</v>
      </c>
      <c r="S203" s="3">
        <f t="shared" si="232"/>
        <v>60785761</v>
      </c>
      <c r="T203" s="3">
        <f t="shared" si="233"/>
        <v>27059374.599999998</v>
      </c>
      <c r="U203" s="47">
        <f t="shared" ca="1" si="200"/>
        <v>89716880.248687685</v>
      </c>
      <c r="V203" s="47">
        <f>IFERROR(HLOOKUP(B203-1,'EV Forecast VRZ'!$F$124:$T$130,2,FALSE)/12,0)+IFERROR(((HLOOKUP(B203,'EV Forecast VRZ'!$F$116:$T$122,2,FALSE)-HLOOKUP(B203-1,'EV Forecast VRZ'!$F$124:$T$130,2,FALSE)))*C203/78,0)</f>
        <v>6238952.1424745908</v>
      </c>
      <c r="W203" s="47">
        <f ca="1">HLOOKUP(B203,Heating!$C$102:$O$106,2,FALSE)*INDEX(Weather!$BO$1:$CB$20,MATCH(B203,Weather!$BO$1:$BO$20,0),MATCH(C203,Weather!$BO$1:$CB$1,0))/VLOOKUP(B203,Weather!$BO$2:$CB$20,14,FALSE)</f>
        <v>3045876.7322575287</v>
      </c>
      <c r="X203" s="47">
        <f t="shared" ca="1" si="214"/>
        <v>99001709.123419806</v>
      </c>
    </row>
    <row r="204" spans="1:24">
      <c r="A204" s="2">
        <f t="shared" si="195"/>
        <v>48182</v>
      </c>
      <c r="B204">
        <f t="shared" si="201"/>
        <v>2031</v>
      </c>
      <c r="C204">
        <f t="shared" si="196"/>
        <v>11</v>
      </c>
      <c r="E204" s="3">
        <f t="shared" ref="E204:F204" ca="1" si="243">E192</f>
        <v>486.62991389045737</v>
      </c>
      <c r="F204" s="3">
        <f t="shared" ca="1" si="243"/>
        <v>0.15041666666666628</v>
      </c>
      <c r="I204" s="47">
        <f t="shared" si="203"/>
        <v>1</v>
      </c>
      <c r="J204" s="47">
        <f t="shared" si="204"/>
        <v>30</v>
      </c>
      <c r="K204" s="47">
        <f t="shared" si="205"/>
        <v>203</v>
      </c>
      <c r="M204" s="616">
        <f t="shared" si="226"/>
        <v>-11000000</v>
      </c>
      <c r="N204" s="3">
        <f t="shared" ca="1" si="227"/>
        <v>22857425.557160728</v>
      </c>
      <c r="O204" s="3">
        <f t="shared" ca="1" si="228"/>
        <v>41413.859833333227</v>
      </c>
      <c r="P204" s="3">
        <f t="shared" si="229"/>
        <v>0</v>
      </c>
      <c r="Q204" s="3">
        <f t="shared" si="230"/>
        <v>0</v>
      </c>
      <c r="R204" s="3">
        <f t="shared" si="231"/>
        <v>-3105221</v>
      </c>
      <c r="S204" s="3">
        <f t="shared" si="232"/>
        <v>58824930</v>
      </c>
      <c r="T204" s="3">
        <f t="shared" si="233"/>
        <v>27193331.899999999</v>
      </c>
      <c r="U204" s="47">
        <f t="shared" ca="1" si="200"/>
        <v>94811880.316994071</v>
      </c>
      <c r="V204" s="47">
        <f>IFERROR(HLOOKUP(B204-1,'EV Forecast VRZ'!$F$124:$T$130,2,FALSE)/12,0)+IFERROR(((HLOOKUP(B204,'EV Forecast VRZ'!$F$116:$T$122,2,FALSE)-HLOOKUP(B204-1,'EV Forecast VRZ'!$F$124:$T$130,2,FALSE)))*C204/78,0)</f>
        <v>6305838.1625828687</v>
      </c>
      <c r="W204" s="47">
        <f ca="1">HLOOKUP(B204,Heating!$C$102:$O$106,2,FALSE)*INDEX(Weather!$BO$1:$CB$20,MATCH(B204,Weather!$BO$1:$BO$20,0),MATCH(C204,Weather!$BO$1:$CB$1,0))/VLOOKUP(B204,Weather!$BO$2:$CB$20,14,FALSE)</f>
        <v>5462293.1652424159</v>
      </c>
      <c r="X204" s="47">
        <f t="shared" ca="1" si="214"/>
        <v>106580011.64481936</v>
      </c>
    </row>
    <row r="205" spans="1:24">
      <c r="A205" s="2">
        <f t="shared" si="195"/>
        <v>48213</v>
      </c>
      <c r="B205">
        <f t="shared" si="201"/>
        <v>2031</v>
      </c>
      <c r="C205">
        <f t="shared" si="196"/>
        <v>12</v>
      </c>
      <c r="E205" s="3">
        <f t="shared" ref="E205:F205" ca="1" si="244">E193</f>
        <v>639.92800724637686</v>
      </c>
      <c r="F205" s="3">
        <f t="shared" ca="1" si="244"/>
        <v>0</v>
      </c>
      <c r="I205" s="47">
        <f t="shared" si="203"/>
        <v>0</v>
      </c>
      <c r="J205" s="47">
        <f t="shared" si="204"/>
        <v>31</v>
      </c>
      <c r="K205" s="47">
        <f t="shared" si="205"/>
        <v>204</v>
      </c>
      <c r="M205" s="616">
        <f t="shared" si="226"/>
        <v>-11000000</v>
      </c>
      <c r="N205" s="3">
        <f t="shared" ca="1" si="227"/>
        <v>30057968.838448554</v>
      </c>
      <c r="O205" s="3">
        <f t="shared" ca="1" si="228"/>
        <v>0</v>
      </c>
      <c r="P205" s="3">
        <f t="shared" si="229"/>
        <v>0</v>
      </c>
      <c r="Q205" s="3">
        <f t="shared" si="230"/>
        <v>0</v>
      </c>
      <c r="R205" s="3">
        <f t="shared" si="231"/>
        <v>0</v>
      </c>
      <c r="S205" s="3">
        <f t="shared" si="232"/>
        <v>60785761</v>
      </c>
      <c r="T205" s="3">
        <f t="shared" si="233"/>
        <v>27327289.199999999</v>
      </c>
      <c r="U205" s="47">
        <f t="shared" ca="1" si="200"/>
        <v>107171019.03844856</v>
      </c>
      <c r="V205" s="47">
        <f>IFERROR(HLOOKUP(B205-1,'EV Forecast VRZ'!$F$124:$T$130,2,FALSE)/12,0)+IFERROR(((HLOOKUP(B205,'EV Forecast VRZ'!$F$116:$T$122,2,FALSE)-HLOOKUP(B205-1,'EV Forecast VRZ'!$F$124:$T$130,2,FALSE)))*C205/78,0)</f>
        <v>6372724.1826911466</v>
      </c>
      <c r="W205" s="47">
        <f ca="1">HLOOKUP(B205,Heating!$C$102:$O$106,2,FALSE)*INDEX(Weather!$BO$1:$CB$20,MATCH(B205,Weather!$BO$1:$BO$20,0),MATCH(C205,Weather!$BO$1:$CB$1,0))/VLOOKUP(B205,Weather!$BO$2:$CB$20,14,FALSE)</f>
        <v>7399415.983743242</v>
      </c>
      <c r="X205" s="47">
        <f t="shared" ca="1" si="214"/>
        <v>120943159.20488293</v>
      </c>
    </row>
    <row r="206" spans="1:24">
      <c r="A206" s="2"/>
    </row>
    <row r="207" spans="1:24">
      <c r="A207" s="2"/>
    </row>
    <row r="208" spans="1:24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9754-3ABA-404C-9F95-166BE4E6F11A}">
  <sheetPr codeName="Sheet28">
    <tabColor theme="7" tint="0.79998168889431442"/>
  </sheetPr>
  <dimension ref="A1:AC205"/>
  <sheetViews>
    <sheetView workbookViewId="0"/>
  </sheetViews>
  <sheetFormatPr defaultRowHeight="15"/>
  <cols>
    <col min="4" max="4" width="16" customWidth="1"/>
    <col min="12" max="12" width="13.5703125" bestFit="1" customWidth="1"/>
    <col min="13" max="14" width="11.42578125" bestFit="1" customWidth="1"/>
    <col min="15" max="17" width="10.42578125" bestFit="1" customWidth="1"/>
    <col min="18" max="18" width="11.42578125" bestFit="1" customWidth="1"/>
    <col min="19" max="22" width="12.5703125" customWidth="1"/>
    <col min="26" max="26" width="13.5703125" bestFit="1" customWidth="1"/>
    <col min="27" max="27" width="12.5703125" bestFit="1" customWidth="1"/>
    <col min="28" max="28" width="13.5703125" bestFit="1" customWidth="1"/>
    <col min="29" max="29" width="8.5703125" bestFit="1" customWidth="1"/>
  </cols>
  <sheetData>
    <row r="1" spans="1:29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Data'!L1</f>
        <v>VRZ_SeasonalReskWh_No_CDM</v>
      </c>
      <c r="E1" s="760" t="str">
        <f>'Monthly Data'!CP1</f>
        <v>HDD18</v>
      </c>
      <c r="F1" s="760" t="str">
        <f>'Monthly Data'!CU1</f>
        <v>CDD14</v>
      </c>
      <c r="G1" s="760" t="str">
        <f>'Monthly Data'!EG1</f>
        <v>Shoulder</v>
      </c>
      <c r="H1" s="760" t="str">
        <f>'Monthly Data'!EH1</f>
        <v>Trend</v>
      </c>
      <c r="I1" s="760" t="str">
        <f>'Monthly Data'!DQ1</f>
        <v>Month Days</v>
      </c>
      <c r="J1" s="760" t="str">
        <f>'Monthly Data'!EO1</f>
        <v>CovHDD18</v>
      </c>
      <c r="K1" s="760"/>
      <c r="L1" s="760" t="str">
        <f>Y8</f>
        <v>const</v>
      </c>
      <c r="M1" s="760" t="str">
        <f>E1</f>
        <v>HDD18</v>
      </c>
      <c r="N1" s="760" t="str">
        <f>F1</f>
        <v>CDD14</v>
      </c>
      <c r="O1" s="760" t="str">
        <f t="shared" ref="O1:R1" si="0">G1</f>
        <v>Shoulder</v>
      </c>
      <c r="P1" s="760" t="str">
        <f t="shared" si="0"/>
        <v>Trend</v>
      </c>
      <c r="Q1" s="760" t="str">
        <f t="shared" si="0"/>
        <v>Month Days</v>
      </c>
      <c r="R1" s="760" t="str">
        <f t="shared" si="0"/>
        <v>CovHDD18</v>
      </c>
      <c r="S1" s="760" t="s">
        <v>439</v>
      </c>
      <c r="T1" s="760" t="s">
        <v>632</v>
      </c>
      <c r="U1" s="760" t="s">
        <v>347</v>
      </c>
      <c r="V1" s="760" t="s">
        <v>634</v>
      </c>
    </row>
    <row r="2" spans="1:29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Data'!L2</f>
        <v>1117526.8306585595</v>
      </c>
      <c r="E2" s="98">
        <f ca="1">Weather!BU46</f>
        <v>697.33418478260876</v>
      </c>
      <c r="F2" s="98">
        <f ca="1">Weather!CX46</f>
        <v>0</v>
      </c>
      <c r="G2" s="3">
        <f>'Monthly Data'!EG2</f>
        <v>0</v>
      </c>
      <c r="H2">
        <v>0</v>
      </c>
      <c r="I2" s="3">
        <f>'Monthly Data'!DQ2</f>
        <v>31</v>
      </c>
      <c r="J2" s="3">
        <f>'Monthly Data'!EO2</f>
        <v>0</v>
      </c>
      <c r="L2" s="3">
        <f t="shared" ref="L2:L65" si="1">$Z$8</f>
        <v>-769716</v>
      </c>
      <c r="M2" s="3">
        <f t="shared" ref="M2:M65" ca="1" si="2">E2*$Z$9</f>
        <v>581646.02512666304</v>
      </c>
      <c r="N2" s="3">
        <f t="shared" ref="N2:N65" ca="1" si="3">F2*$Z$10</f>
        <v>0</v>
      </c>
      <c r="O2" s="3">
        <f t="shared" ref="O2:O65" si="4">G2*$Z$11</f>
        <v>0</v>
      </c>
      <c r="P2" s="3">
        <f t="shared" ref="P2:P65" si="5">H2*$Z$12</f>
        <v>0</v>
      </c>
      <c r="Q2" s="3">
        <f t="shared" ref="Q2:Q65" si="6">I2*$Z$13</f>
        <v>1175534.26</v>
      </c>
      <c r="R2" s="3">
        <f t="shared" ref="R2:R65" si="7">J2*$Z$14</f>
        <v>0</v>
      </c>
      <c r="S2" s="47">
        <f t="shared" ref="S2:S21" ca="1" si="8">SUM(L2:R2)</f>
        <v>987464.28512666305</v>
      </c>
      <c r="T2" s="47">
        <f>'Monthly Data'!M2</f>
        <v>0</v>
      </c>
      <c r="U2" s="47">
        <f>+'Monthly Data'!N2</f>
        <v>0</v>
      </c>
      <c r="V2" s="47">
        <f t="shared" ref="V2:V54" ca="1" si="9">S2+T2+U2</f>
        <v>987464.28512666305</v>
      </c>
    </row>
    <row r="3" spans="1:29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Data'!L3</f>
        <v>1185347.5455785273</v>
      </c>
      <c r="E3" s="98">
        <f ca="1">Weather!BU47</f>
        <v>624.25501811594188</v>
      </c>
      <c r="F3" s="98">
        <f ca="1">Weather!CX47</f>
        <v>0</v>
      </c>
      <c r="G3" s="3">
        <f>'Monthly Data'!EG3</f>
        <v>0</v>
      </c>
      <c r="H3">
        <f>H2+1</f>
        <v>1</v>
      </c>
      <c r="I3" s="3">
        <f>'Monthly Data'!DQ3</f>
        <v>28</v>
      </c>
      <c r="J3" s="3">
        <f>'Monthly Data'!EO3</f>
        <v>0</v>
      </c>
      <c r="L3" s="3">
        <f t="shared" si="1"/>
        <v>-769716</v>
      </c>
      <c r="M3" s="3">
        <f t="shared" ca="1" si="2"/>
        <v>520690.73605749622</v>
      </c>
      <c r="N3" s="3">
        <f t="shared" ca="1" si="3"/>
        <v>0</v>
      </c>
      <c r="O3" s="3">
        <f t="shared" si="4"/>
        <v>0</v>
      </c>
      <c r="P3" s="3">
        <f t="shared" si="5"/>
        <v>2667.194</v>
      </c>
      <c r="Q3" s="3">
        <f t="shared" si="6"/>
        <v>1061772.8799999999</v>
      </c>
      <c r="R3" s="3">
        <f t="shared" si="7"/>
        <v>0</v>
      </c>
      <c r="S3" s="47">
        <f t="shared" ca="1" si="8"/>
        <v>815414.81005749607</v>
      </c>
      <c r="T3" s="47">
        <f>'Monthly Data'!M3</f>
        <v>0</v>
      </c>
      <c r="U3" s="47">
        <f>+'Monthly Data'!N3</f>
        <v>0</v>
      </c>
      <c r="V3" s="47">
        <f t="shared" ca="1" si="9"/>
        <v>815414.81005749607</v>
      </c>
      <c r="Y3" s="3" t="str">
        <f>'VRZ Seasonal'!Z3</f>
        <v>Model 2: Prais-Winsten, using observations 2015:01-2024:12 (T = 120)</v>
      </c>
    </row>
    <row r="4" spans="1:29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Data'!L4</f>
        <v>954244.49087849434</v>
      </c>
      <c r="E4" s="98">
        <f ca="1">Weather!BU48</f>
        <v>546.13298913043491</v>
      </c>
      <c r="F4" s="98">
        <f ca="1">Weather!CX48</f>
        <v>0</v>
      </c>
      <c r="G4" s="3">
        <f>'Monthly Data'!EG4</f>
        <v>1</v>
      </c>
      <c r="H4">
        <f t="shared" ref="H4:H67" si="10">H3+1</f>
        <v>2</v>
      </c>
      <c r="I4" s="3">
        <f>'Monthly Data'!DQ4</f>
        <v>31</v>
      </c>
      <c r="J4" s="3">
        <f>'Monthly Data'!EO4</f>
        <v>0</v>
      </c>
      <c r="L4" s="3">
        <f t="shared" si="1"/>
        <v>-769716</v>
      </c>
      <c r="M4" s="3">
        <f t="shared" ca="1" si="2"/>
        <v>455529.19855390227</v>
      </c>
      <c r="N4" s="3">
        <f t="shared" ca="1" si="3"/>
        <v>0</v>
      </c>
      <c r="O4" s="3">
        <f t="shared" si="4"/>
        <v>-56026.3</v>
      </c>
      <c r="P4" s="3">
        <f t="shared" si="5"/>
        <v>5334.3879999999999</v>
      </c>
      <c r="Q4" s="3">
        <f t="shared" si="6"/>
        <v>1175534.26</v>
      </c>
      <c r="R4" s="3">
        <f t="shared" si="7"/>
        <v>0</v>
      </c>
      <c r="S4" s="47">
        <f t="shared" ca="1" si="8"/>
        <v>810655.54655390233</v>
      </c>
      <c r="T4" s="47">
        <f>'Monthly Data'!M4</f>
        <v>0</v>
      </c>
      <c r="U4" s="47">
        <f>+'Monthly Data'!N4</f>
        <v>0</v>
      </c>
      <c r="V4" s="47">
        <f t="shared" ca="1" si="9"/>
        <v>810655.54655390233</v>
      </c>
      <c r="Y4" s="3" t="str">
        <f>'VRZ Seasonal'!Z4</f>
        <v>Dependent variable: VRZ_SeasonalReskWh_No_CDM_AL</v>
      </c>
    </row>
    <row r="5" spans="1:29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Data'!L5</f>
        <v>661354.07612846431</v>
      </c>
      <c r="E5" s="98">
        <f ca="1">Weather!BU49</f>
        <v>352.41399621212122</v>
      </c>
      <c r="F5" s="98">
        <f ca="1">Weather!CX49</f>
        <v>2.1908333333333347</v>
      </c>
      <c r="G5" s="3">
        <f>'Monthly Data'!EG5</f>
        <v>1</v>
      </c>
      <c r="H5">
        <f t="shared" si="10"/>
        <v>3</v>
      </c>
      <c r="I5" s="3">
        <f>'Monthly Data'!DQ5</f>
        <v>30</v>
      </c>
      <c r="J5" s="3">
        <f>'Monthly Data'!EO5</f>
        <v>0</v>
      </c>
      <c r="L5" s="3">
        <f t="shared" si="1"/>
        <v>-769716</v>
      </c>
      <c r="M5" s="3">
        <f t="shared" ca="1" si="2"/>
        <v>293948.30279213254</v>
      </c>
      <c r="N5" s="3">
        <f t="shared" ca="1" si="3"/>
        <v>4346.2868991666701</v>
      </c>
      <c r="O5" s="3">
        <f t="shared" si="4"/>
        <v>-56026.3</v>
      </c>
      <c r="P5" s="3">
        <f t="shared" si="5"/>
        <v>8001.5820000000003</v>
      </c>
      <c r="Q5" s="3">
        <f t="shared" si="6"/>
        <v>1137613.8</v>
      </c>
      <c r="R5" s="3">
        <f t="shared" si="7"/>
        <v>0</v>
      </c>
      <c r="S5" s="47">
        <f t="shared" ca="1" si="8"/>
        <v>618167.67169129918</v>
      </c>
      <c r="T5" s="47">
        <f>'Monthly Data'!M5</f>
        <v>0</v>
      </c>
      <c r="U5" s="47">
        <f>+'Monthly Data'!N5</f>
        <v>0</v>
      </c>
      <c r="V5" s="47">
        <f t="shared" ca="1" si="9"/>
        <v>618167.67169129918</v>
      </c>
      <c r="Y5" s="3" t="str">
        <f>'VRZ Seasonal'!Z5</f>
        <v>rho = 0.312908</v>
      </c>
    </row>
    <row r="6" spans="1:29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Data'!L6</f>
        <v>635767.52028843039</v>
      </c>
      <c r="E6" s="98">
        <f ca="1">Weather!BU50</f>
        <v>150.136897859768</v>
      </c>
      <c r="F6" s="98">
        <f ca="1">Weather!CX50</f>
        <v>52.487435064935063</v>
      </c>
      <c r="G6" s="3">
        <f>'Monthly Data'!EG6</f>
        <v>1</v>
      </c>
      <c r="H6">
        <f t="shared" si="10"/>
        <v>4</v>
      </c>
      <c r="I6" s="3">
        <f>'Monthly Data'!DQ6</f>
        <v>31</v>
      </c>
      <c r="J6" s="3">
        <f>'Monthly Data'!EO6</f>
        <v>0</v>
      </c>
      <c r="L6" s="3">
        <f t="shared" si="1"/>
        <v>-769716</v>
      </c>
      <c r="M6" s="3">
        <f t="shared" ca="1" si="2"/>
        <v>125229.09642269376</v>
      </c>
      <c r="N6" s="3">
        <f t="shared" ca="1" si="3"/>
        <v>104127.25054100649</v>
      </c>
      <c r="O6" s="3">
        <f t="shared" si="4"/>
        <v>-56026.3</v>
      </c>
      <c r="P6" s="3">
        <f t="shared" si="5"/>
        <v>10668.776</v>
      </c>
      <c r="Q6" s="3">
        <f t="shared" si="6"/>
        <v>1175534.26</v>
      </c>
      <c r="R6" s="3">
        <f t="shared" si="7"/>
        <v>0</v>
      </c>
      <c r="S6" s="47">
        <f t="shared" ca="1" si="8"/>
        <v>589817.08296370017</v>
      </c>
      <c r="T6" s="47">
        <f>'Monthly Data'!M6</f>
        <v>0</v>
      </c>
      <c r="U6" s="47">
        <f>+'Monthly Data'!N6</f>
        <v>0</v>
      </c>
      <c r="V6" s="47">
        <f t="shared" ca="1" si="9"/>
        <v>589817.08296370017</v>
      </c>
    </row>
    <row r="7" spans="1:29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Data'!L7</f>
        <v>627871.28333839925</v>
      </c>
      <c r="E7" s="98">
        <f ca="1">Weather!BU51</f>
        <v>32.520923826173821</v>
      </c>
      <c r="F7" s="98">
        <f ca="1">Weather!CX51</f>
        <v>137.65451754405018</v>
      </c>
      <c r="G7" s="3">
        <f>'Monthly Data'!EG7</f>
        <v>0</v>
      </c>
      <c r="H7">
        <f t="shared" si="10"/>
        <v>5</v>
      </c>
      <c r="I7" s="3">
        <f>'Monthly Data'!DQ7</f>
        <v>30</v>
      </c>
      <c r="J7" s="3">
        <f>'Monthly Data'!EO7</f>
        <v>0</v>
      </c>
      <c r="L7" s="3">
        <f t="shared" si="1"/>
        <v>-769716</v>
      </c>
      <c r="M7" s="3">
        <f t="shared" ca="1" si="2"/>
        <v>27125.683050857286</v>
      </c>
      <c r="N7" s="3">
        <f t="shared" ca="1" si="3"/>
        <v>273086.05228428153</v>
      </c>
      <c r="O7" s="3">
        <f t="shared" si="4"/>
        <v>0</v>
      </c>
      <c r="P7" s="3">
        <f t="shared" si="5"/>
        <v>13335.97</v>
      </c>
      <c r="Q7" s="3">
        <f t="shared" si="6"/>
        <v>1137613.8</v>
      </c>
      <c r="R7" s="3">
        <f t="shared" si="7"/>
        <v>0</v>
      </c>
      <c r="S7" s="47">
        <f t="shared" ca="1" si="8"/>
        <v>681445.50533513888</v>
      </c>
      <c r="T7" s="47">
        <f>'Monthly Data'!M7</f>
        <v>0</v>
      </c>
      <c r="U7" s="47">
        <f>+'Monthly Data'!N7</f>
        <v>0</v>
      </c>
      <c r="V7" s="47">
        <f t="shared" ca="1" si="9"/>
        <v>681445.50533513888</v>
      </c>
      <c r="Z7" t="s">
        <v>409</v>
      </c>
      <c r="AA7" t="s">
        <v>410</v>
      </c>
      <c r="AB7" t="s">
        <v>411</v>
      </c>
      <c r="AC7" t="s">
        <v>412</v>
      </c>
    </row>
    <row r="8" spans="1:29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Data'!L8</f>
        <v>909220.97890836827</v>
      </c>
      <c r="E8" s="98">
        <f ca="1">Weather!BU52</f>
        <v>1.6179166666666653</v>
      </c>
      <c r="F8" s="98">
        <f ca="1">Weather!CX52</f>
        <v>235.94737858727848</v>
      </c>
      <c r="G8" s="3">
        <f>'Monthly Data'!EG8</f>
        <v>0</v>
      </c>
      <c r="H8">
        <f t="shared" si="10"/>
        <v>6</v>
      </c>
      <c r="I8" s="3">
        <f>'Monthly Data'!DQ8</f>
        <v>31</v>
      </c>
      <c r="J8" s="3">
        <f>'Monthly Data'!EO8</f>
        <v>0</v>
      </c>
      <c r="L8" s="3">
        <f t="shared" si="1"/>
        <v>-769716</v>
      </c>
      <c r="M8" s="3">
        <f t="shared" ca="1" si="2"/>
        <v>1349.5033209166654</v>
      </c>
      <c r="N8" s="3">
        <f t="shared" ca="1" si="3"/>
        <v>468084.44295775105</v>
      </c>
      <c r="O8" s="3">
        <f t="shared" si="4"/>
        <v>0</v>
      </c>
      <c r="P8" s="3">
        <f t="shared" si="5"/>
        <v>16003.164000000001</v>
      </c>
      <c r="Q8" s="3">
        <f t="shared" si="6"/>
        <v>1175534.26</v>
      </c>
      <c r="R8" s="3">
        <f t="shared" si="7"/>
        <v>0</v>
      </c>
      <c r="S8" s="47">
        <f t="shared" ca="1" si="8"/>
        <v>891255.37027866766</v>
      </c>
      <c r="T8" s="47">
        <f>'Monthly Data'!M8</f>
        <v>0</v>
      </c>
      <c r="U8" s="47">
        <f>+'Monthly Data'!N8</f>
        <v>0</v>
      </c>
      <c r="V8" s="47">
        <f t="shared" ca="1" si="9"/>
        <v>891255.37027866766</v>
      </c>
      <c r="Y8" t="s">
        <v>413</v>
      </c>
      <c r="Z8" s="3">
        <f>'VRZ Seasonal'!AA8</f>
        <v>-769716</v>
      </c>
      <c r="AA8" s="3">
        <f>'VRZ Seasonal'!AB8</f>
        <v>238148.6</v>
      </c>
      <c r="AB8" s="360">
        <f>'VRZ Seasonal'!AC8</f>
        <v>-3.2320799999999998</v>
      </c>
      <c r="AC8" s="370">
        <f>'VRZ Seasonal'!AD8</f>
        <v>1.611E-3</v>
      </c>
    </row>
    <row r="9" spans="1:29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Data'!L9</f>
        <v>938194.58134833619</v>
      </c>
      <c r="E9" s="98">
        <f ca="1">Weather!BU53</f>
        <v>5.6499999999999977</v>
      </c>
      <c r="F9" s="98">
        <f ca="1">Weather!CX53</f>
        <v>210.96558794466404</v>
      </c>
      <c r="G9" s="3">
        <f>'Monthly Data'!EG9</f>
        <v>0</v>
      </c>
      <c r="H9">
        <f t="shared" si="10"/>
        <v>7</v>
      </c>
      <c r="I9" s="3">
        <f>'Monthly Data'!DQ9</f>
        <v>31</v>
      </c>
      <c r="J9" s="3">
        <f>'Monthly Data'!EO9</f>
        <v>0</v>
      </c>
      <c r="L9" s="3">
        <f t="shared" si="1"/>
        <v>-769716</v>
      </c>
      <c r="M9" s="3">
        <f t="shared" ca="1" si="2"/>
        <v>4712.6616099999974</v>
      </c>
      <c r="N9" s="3">
        <f t="shared" ca="1" si="3"/>
        <v>418524.29260960972</v>
      </c>
      <c r="O9" s="3">
        <f t="shared" si="4"/>
        <v>0</v>
      </c>
      <c r="P9" s="3">
        <f t="shared" si="5"/>
        <v>18670.358</v>
      </c>
      <c r="Q9" s="3">
        <f t="shared" si="6"/>
        <v>1175534.26</v>
      </c>
      <c r="R9" s="3">
        <f t="shared" si="7"/>
        <v>0</v>
      </c>
      <c r="S9" s="47">
        <f t="shared" ca="1" si="8"/>
        <v>847725.57221960975</v>
      </c>
      <c r="T9" s="47">
        <f>'Monthly Data'!M9</f>
        <v>0</v>
      </c>
      <c r="U9" s="47">
        <f>+'Monthly Data'!N9</f>
        <v>0</v>
      </c>
      <c r="V9" s="47">
        <f t="shared" ca="1" si="9"/>
        <v>847725.57221960975</v>
      </c>
      <c r="Y9" t="s">
        <v>40</v>
      </c>
      <c r="Z9" s="3">
        <f>'VRZ Seasonal'!AA9</f>
        <v>834.09939999999995</v>
      </c>
      <c r="AA9" s="3">
        <f>'VRZ Seasonal'!AB9</f>
        <v>68.587569999999999</v>
      </c>
      <c r="AB9" s="360">
        <f>'VRZ Seasonal'!AC9</f>
        <v>12.16109</v>
      </c>
      <c r="AC9" s="370">
        <f>'VRZ Seasonal'!AD9</f>
        <v>2.9099999999999999E-22</v>
      </c>
    </row>
    <row r="10" spans="1:29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Data'!L10</f>
        <v>647048.53723830229</v>
      </c>
      <c r="E10" s="98">
        <f ca="1">Weather!BU54</f>
        <v>54.959440993788824</v>
      </c>
      <c r="F10" s="98">
        <f ca="1">Weather!CX54</f>
        <v>106.4160119047619</v>
      </c>
      <c r="G10" s="3">
        <f>'Monthly Data'!EG10</f>
        <v>1</v>
      </c>
      <c r="H10">
        <f t="shared" si="10"/>
        <v>8</v>
      </c>
      <c r="I10" s="3">
        <f>'Monthly Data'!DQ10</f>
        <v>30</v>
      </c>
      <c r="J10" s="3">
        <f>'Monthly Data'!EO10</f>
        <v>0</v>
      </c>
      <c r="L10" s="3">
        <f t="shared" si="1"/>
        <v>-769716</v>
      </c>
      <c r="M10" s="3">
        <f t="shared" ca="1" si="2"/>
        <v>45841.636757254659</v>
      </c>
      <c r="N10" s="3">
        <f t="shared" ca="1" si="3"/>
        <v>211113.51163327383</v>
      </c>
      <c r="O10" s="3">
        <f t="shared" si="4"/>
        <v>-56026.3</v>
      </c>
      <c r="P10" s="3">
        <f t="shared" si="5"/>
        <v>21337.552</v>
      </c>
      <c r="Q10" s="3">
        <f t="shared" si="6"/>
        <v>1137613.8</v>
      </c>
      <c r="R10" s="3">
        <f t="shared" si="7"/>
        <v>0</v>
      </c>
      <c r="S10" s="47">
        <f t="shared" ca="1" si="8"/>
        <v>590164.20039052842</v>
      </c>
      <c r="T10" s="47">
        <f>'Monthly Data'!M10</f>
        <v>0</v>
      </c>
      <c r="U10" s="47">
        <f>+'Monthly Data'!N10</f>
        <v>0</v>
      </c>
      <c r="V10" s="47">
        <f t="shared" ca="1" si="9"/>
        <v>590164.20039052842</v>
      </c>
      <c r="Y10" t="s">
        <v>47</v>
      </c>
      <c r="Z10" s="3">
        <f>'VRZ Seasonal'!AA10</f>
        <v>1983.8510000000001</v>
      </c>
      <c r="AA10" s="3">
        <f>'VRZ Seasonal'!AB10</f>
        <v>226.0214</v>
      </c>
      <c r="AB10" s="360">
        <f>'VRZ Seasonal'!AC10</f>
        <v>8.777272</v>
      </c>
      <c r="AC10" s="370">
        <f>'VRZ Seasonal'!AD10</f>
        <v>2.04E-14</v>
      </c>
    </row>
    <row r="11" spans="1:29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Data'!L11</f>
        <v>746083.96594827226</v>
      </c>
      <c r="E11" s="98">
        <f ca="1">Weather!BU55</f>
        <v>237.89681159420289</v>
      </c>
      <c r="F11" s="98">
        <f ca="1">Weather!CX55</f>
        <v>17.987083333333334</v>
      </c>
      <c r="G11" s="3">
        <f>'Monthly Data'!EG11</f>
        <v>1</v>
      </c>
      <c r="H11">
        <f t="shared" si="10"/>
        <v>9</v>
      </c>
      <c r="I11" s="3">
        <f>'Monthly Data'!DQ11</f>
        <v>31</v>
      </c>
      <c r="J11" s="3">
        <f>'Monthly Data'!EO11</f>
        <v>0</v>
      </c>
      <c r="L11" s="3">
        <f t="shared" si="1"/>
        <v>-769716</v>
      </c>
      <c r="M11" s="3">
        <f t="shared" ca="1" si="2"/>
        <v>198429.58781263765</v>
      </c>
      <c r="N11" s="3">
        <f t="shared" ca="1" si="3"/>
        <v>35683.693257916668</v>
      </c>
      <c r="O11" s="3">
        <f t="shared" si="4"/>
        <v>-56026.3</v>
      </c>
      <c r="P11" s="3">
        <f t="shared" si="5"/>
        <v>24004.745999999999</v>
      </c>
      <c r="Q11" s="3">
        <f t="shared" si="6"/>
        <v>1175534.26</v>
      </c>
      <c r="R11" s="3">
        <f t="shared" si="7"/>
        <v>0</v>
      </c>
      <c r="S11" s="47">
        <f t="shared" ca="1" si="8"/>
        <v>607909.9870705544</v>
      </c>
      <c r="T11" s="47">
        <f>'Monthly Data'!M11</f>
        <v>0</v>
      </c>
      <c r="U11" s="47">
        <f>+'Monthly Data'!N11</f>
        <v>0</v>
      </c>
      <c r="V11" s="47">
        <f t="shared" ca="1" si="9"/>
        <v>607909.9870705544</v>
      </c>
      <c r="Y11" t="s">
        <v>118</v>
      </c>
      <c r="Z11" s="3">
        <f>'VRZ Seasonal'!AA11</f>
        <v>-56026.3</v>
      </c>
      <c r="AA11" s="3">
        <f>'VRZ Seasonal'!AB11</f>
        <v>21028.19</v>
      </c>
      <c r="AB11" s="360">
        <f>'VRZ Seasonal'!AC11</f>
        <v>-2.6643400000000002</v>
      </c>
      <c r="AC11" s="370">
        <f>'VRZ Seasonal'!AD11</f>
        <v>8.8419999999999992E-3</v>
      </c>
    </row>
    <row r="12" spans="1:29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Data'!L12</f>
        <v>521205.37252823921</v>
      </c>
      <c r="E12" s="98">
        <f ca="1">Weather!BU56</f>
        <v>426.62991389045737</v>
      </c>
      <c r="F12" s="98">
        <f ca="1">Weather!CX56</f>
        <v>0.8083333333333329</v>
      </c>
      <c r="G12" s="3">
        <f>'Monthly Data'!EG12</f>
        <v>1</v>
      </c>
      <c r="H12">
        <f t="shared" si="10"/>
        <v>10</v>
      </c>
      <c r="I12" s="3">
        <f>'Monthly Data'!DQ12</f>
        <v>30</v>
      </c>
      <c r="J12" s="3">
        <f>'Monthly Data'!EO12</f>
        <v>0</v>
      </c>
      <c r="L12" s="3">
        <f t="shared" si="1"/>
        <v>-769716</v>
      </c>
      <c r="M12" s="3">
        <f t="shared" ca="1" si="2"/>
        <v>355851.75519808213</v>
      </c>
      <c r="N12" s="3">
        <f t="shared" ca="1" si="3"/>
        <v>1603.612891666666</v>
      </c>
      <c r="O12" s="3">
        <f t="shared" si="4"/>
        <v>-56026.3</v>
      </c>
      <c r="P12" s="3">
        <f t="shared" si="5"/>
        <v>26671.94</v>
      </c>
      <c r="Q12" s="3">
        <f t="shared" si="6"/>
        <v>1137613.8</v>
      </c>
      <c r="R12" s="3">
        <f t="shared" si="7"/>
        <v>0</v>
      </c>
      <c r="S12" s="47">
        <f t="shared" ca="1" si="8"/>
        <v>695998.80808974884</v>
      </c>
      <c r="T12" s="47">
        <f>'Monthly Data'!M12</f>
        <v>0</v>
      </c>
      <c r="U12" s="47">
        <f>+'Monthly Data'!N12</f>
        <v>0</v>
      </c>
      <c r="V12" s="47">
        <f t="shared" ca="1" si="9"/>
        <v>695998.80808974884</v>
      </c>
      <c r="Y12" t="s">
        <v>119</v>
      </c>
      <c r="Z12" s="3">
        <f>'VRZ Seasonal'!AA12</f>
        <v>2667.194</v>
      </c>
      <c r="AA12" s="3">
        <f>'VRZ Seasonal'!AB12</f>
        <v>310.50790000000001</v>
      </c>
      <c r="AB12" s="360">
        <f>'VRZ Seasonal'!AC12</f>
        <v>8.5897790000000001</v>
      </c>
      <c r="AC12" s="370">
        <f>'VRZ Seasonal'!AD12</f>
        <v>5.4799999999999997E-14</v>
      </c>
    </row>
    <row r="13" spans="1:29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Data'!L13</f>
        <v>657596.47761820816</v>
      </c>
      <c r="E13" s="98">
        <f ca="1">Weather!BU57</f>
        <v>577.92800724637686</v>
      </c>
      <c r="F13" s="98">
        <f ca="1">Weather!CX57</f>
        <v>0</v>
      </c>
      <c r="G13" s="3">
        <f>'Monthly Data'!EG13</f>
        <v>0</v>
      </c>
      <c r="H13">
        <f t="shared" si="10"/>
        <v>11</v>
      </c>
      <c r="I13" s="3">
        <f>'Monthly Data'!DQ13</f>
        <v>31</v>
      </c>
      <c r="J13" s="3">
        <f>'Monthly Data'!EO13</f>
        <v>0</v>
      </c>
      <c r="L13" s="3">
        <f t="shared" si="1"/>
        <v>-769716</v>
      </c>
      <c r="M13" s="3">
        <f t="shared" ca="1" si="2"/>
        <v>482049.40408739855</v>
      </c>
      <c r="N13" s="3">
        <f t="shared" ca="1" si="3"/>
        <v>0</v>
      </c>
      <c r="O13" s="3">
        <f t="shared" si="4"/>
        <v>0</v>
      </c>
      <c r="P13" s="3">
        <f t="shared" si="5"/>
        <v>29339.133999999998</v>
      </c>
      <c r="Q13" s="3">
        <f t="shared" si="6"/>
        <v>1175534.26</v>
      </c>
      <c r="R13" s="3">
        <f t="shared" si="7"/>
        <v>0</v>
      </c>
      <c r="S13" s="47">
        <f t="shared" ca="1" si="8"/>
        <v>917206.79808739852</v>
      </c>
      <c r="T13" s="47">
        <f>'Monthly Data'!M13</f>
        <v>0</v>
      </c>
      <c r="U13" s="47">
        <f>+'Monthly Data'!N13</f>
        <v>0</v>
      </c>
      <c r="V13" s="47">
        <f t="shared" ca="1" si="9"/>
        <v>917206.79808739852</v>
      </c>
      <c r="Y13" t="s">
        <v>414</v>
      </c>
      <c r="Z13" s="3">
        <f>'VRZ Seasonal'!AA13</f>
        <v>37920.46</v>
      </c>
      <c r="AA13" s="3">
        <f>'VRZ Seasonal'!AB13</f>
        <v>8065.0190000000002</v>
      </c>
      <c r="AB13" s="360">
        <f>'VRZ Seasonal'!AC13</f>
        <v>4.7018430000000002</v>
      </c>
      <c r="AC13" s="370">
        <f>'VRZ Seasonal'!AD13</f>
        <v>7.34E-6</v>
      </c>
    </row>
    <row r="14" spans="1:29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Data'!L14</f>
        <v>981085.44305646745</v>
      </c>
      <c r="E14" s="3">
        <f ca="1">E2</f>
        <v>697.33418478260876</v>
      </c>
      <c r="F14" s="3">
        <f ca="1">F2</f>
        <v>0</v>
      </c>
      <c r="G14" s="3">
        <f>'Monthly Data'!EG14</f>
        <v>0</v>
      </c>
      <c r="H14">
        <f t="shared" si="10"/>
        <v>12</v>
      </c>
      <c r="I14" s="3">
        <f>'Monthly Data'!DQ14</f>
        <v>31</v>
      </c>
      <c r="J14" s="3">
        <f>'Monthly Data'!EO14</f>
        <v>0</v>
      </c>
      <c r="L14" s="3">
        <f t="shared" si="1"/>
        <v>-769716</v>
      </c>
      <c r="M14" s="3">
        <f t="shared" ca="1" si="2"/>
        <v>581646.02512666304</v>
      </c>
      <c r="N14" s="3">
        <f t="shared" ca="1" si="3"/>
        <v>0</v>
      </c>
      <c r="O14" s="3">
        <f t="shared" si="4"/>
        <v>0</v>
      </c>
      <c r="P14" s="3">
        <f t="shared" si="5"/>
        <v>32006.328000000001</v>
      </c>
      <c r="Q14" s="3">
        <f t="shared" si="6"/>
        <v>1175534.26</v>
      </c>
      <c r="R14" s="3">
        <f t="shared" si="7"/>
        <v>0</v>
      </c>
      <c r="S14" s="47">
        <f t="shared" ca="1" si="8"/>
        <v>1019470.613126663</v>
      </c>
      <c r="T14" s="47">
        <f>'Monthly Data'!M14</f>
        <v>0</v>
      </c>
      <c r="U14" s="47">
        <f>+'Monthly Data'!N14</f>
        <v>0</v>
      </c>
      <c r="V14" s="47">
        <f t="shared" ca="1" si="9"/>
        <v>1019470.613126663</v>
      </c>
      <c r="Y14" t="s">
        <v>213</v>
      </c>
      <c r="Z14" s="3">
        <f>'VRZ Seasonal'!AA14</f>
        <v>573.55119999999999</v>
      </c>
      <c r="AA14" s="3">
        <f>'VRZ Seasonal'!AB14</f>
        <v>124.7486</v>
      </c>
      <c r="AB14" s="360">
        <f>'VRZ Seasonal'!AC14</f>
        <v>4.597658</v>
      </c>
      <c r="AC14" s="370">
        <f>'VRZ Seasonal'!AD14</f>
        <v>1.1199999999999999E-5</v>
      </c>
    </row>
    <row r="15" spans="1:29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Data'!L15</f>
        <v>939859.94660087873</v>
      </c>
      <c r="E15" s="3">
        <f t="shared" ref="E15:F15" ca="1" si="11">E3</f>
        <v>624.25501811594188</v>
      </c>
      <c r="F15" s="3">
        <f t="shared" ca="1" si="11"/>
        <v>0</v>
      </c>
      <c r="G15" s="3">
        <f>'Monthly Data'!EG15</f>
        <v>0</v>
      </c>
      <c r="H15">
        <f t="shared" si="10"/>
        <v>13</v>
      </c>
      <c r="I15" s="3">
        <f>'Monthly Data'!DQ15</f>
        <v>29</v>
      </c>
      <c r="J15" s="3">
        <f>'Monthly Data'!EO15</f>
        <v>0</v>
      </c>
      <c r="L15" s="3">
        <f t="shared" si="1"/>
        <v>-769716</v>
      </c>
      <c r="M15" s="3">
        <f t="shared" ca="1" si="2"/>
        <v>520690.73605749622</v>
      </c>
      <c r="N15" s="3">
        <f t="shared" ca="1" si="3"/>
        <v>0</v>
      </c>
      <c r="O15" s="3">
        <f t="shared" si="4"/>
        <v>0</v>
      </c>
      <c r="P15" s="3">
        <f t="shared" si="5"/>
        <v>34673.521999999997</v>
      </c>
      <c r="Q15" s="3">
        <f t="shared" si="6"/>
        <v>1099693.3400000001</v>
      </c>
      <c r="R15" s="3">
        <f t="shared" si="7"/>
        <v>0</v>
      </c>
      <c r="S15" s="47">
        <f t="shared" ca="1" si="8"/>
        <v>885341.59805749636</v>
      </c>
      <c r="T15" s="47">
        <f>'Monthly Data'!M15</f>
        <v>0</v>
      </c>
      <c r="U15" s="47">
        <f>+'Monthly Data'!N15</f>
        <v>0</v>
      </c>
      <c r="V15" s="47">
        <f t="shared" ca="1" si="9"/>
        <v>885341.59805749636</v>
      </c>
      <c r="Z15" s="3"/>
      <c r="AA15" s="3"/>
      <c r="AB15" s="360"/>
      <c r="AC15" s="108"/>
    </row>
    <row r="16" spans="1:29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Data'!L16</f>
        <v>821266.59913529083</v>
      </c>
      <c r="E16" s="3">
        <f t="shared" ref="E16:F16" ca="1" si="12">E4</f>
        <v>546.13298913043491</v>
      </c>
      <c r="F16" s="3">
        <f t="shared" ca="1" si="12"/>
        <v>0</v>
      </c>
      <c r="G16" s="3">
        <f>'Monthly Data'!EG16</f>
        <v>1</v>
      </c>
      <c r="H16">
        <f t="shared" si="10"/>
        <v>14</v>
      </c>
      <c r="I16" s="3">
        <f>'Monthly Data'!DQ16</f>
        <v>31</v>
      </c>
      <c r="J16" s="3">
        <f>'Monthly Data'!EO16</f>
        <v>0</v>
      </c>
      <c r="L16" s="3">
        <f t="shared" si="1"/>
        <v>-769716</v>
      </c>
      <c r="M16" s="3">
        <f t="shared" ca="1" si="2"/>
        <v>455529.19855390227</v>
      </c>
      <c r="N16" s="3">
        <f t="shared" ca="1" si="3"/>
        <v>0</v>
      </c>
      <c r="O16" s="3">
        <f t="shared" si="4"/>
        <v>-56026.3</v>
      </c>
      <c r="P16" s="3">
        <f t="shared" si="5"/>
        <v>37340.716</v>
      </c>
      <c r="Q16" s="3">
        <f t="shared" si="6"/>
        <v>1175534.26</v>
      </c>
      <c r="R16" s="3">
        <f t="shared" si="7"/>
        <v>0</v>
      </c>
      <c r="S16" s="47">
        <f t="shared" ca="1" si="8"/>
        <v>842661.87455390231</v>
      </c>
      <c r="T16" s="47">
        <f>'Monthly Data'!M16</f>
        <v>0</v>
      </c>
      <c r="U16" s="47">
        <f>+'Monthly Data'!N16</f>
        <v>0</v>
      </c>
      <c r="V16" s="47">
        <f t="shared" ca="1" si="9"/>
        <v>842661.87455390231</v>
      </c>
      <c r="Y16" t="s">
        <v>407</v>
      </c>
    </row>
    <row r="17" spans="1:28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Data'!L17</f>
        <v>688870.50393970101</v>
      </c>
      <c r="E17" s="3">
        <f t="shared" ref="E17:F17" ca="1" si="13">E5</f>
        <v>352.41399621212122</v>
      </c>
      <c r="F17" s="3">
        <f t="shared" ca="1" si="13"/>
        <v>2.1908333333333347</v>
      </c>
      <c r="G17" s="3">
        <f>'Monthly Data'!EG17</f>
        <v>1</v>
      </c>
      <c r="H17">
        <f t="shared" si="10"/>
        <v>15</v>
      </c>
      <c r="I17" s="3">
        <f>'Monthly Data'!DQ17</f>
        <v>30</v>
      </c>
      <c r="J17" s="3">
        <f>'Monthly Data'!EO17</f>
        <v>0</v>
      </c>
      <c r="L17" s="3">
        <f t="shared" si="1"/>
        <v>-769716</v>
      </c>
      <c r="M17" s="3">
        <f t="shared" ca="1" si="2"/>
        <v>293948.30279213254</v>
      </c>
      <c r="N17" s="3">
        <f t="shared" ca="1" si="3"/>
        <v>4346.2868991666701</v>
      </c>
      <c r="O17" s="3">
        <f t="shared" si="4"/>
        <v>-56026.3</v>
      </c>
      <c r="P17" s="3">
        <f t="shared" si="5"/>
        <v>40007.909999999996</v>
      </c>
      <c r="Q17" s="3">
        <f t="shared" si="6"/>
        <v>1137613.8</v>
      </c>
      <c r="R17" s="3">
        <f t="shared" si="7"/>
        <v>0</v>
      </c>
      <c r="S17" s="47">
        <f t="shared" ca="1" si="8"/>
        <v>650173.99969129916</v>
      </c>
      <c r="T17" s="47">
        <f>'Monthly Data'!M17</f>
        <v>0</v>
      </c>
      <c r="U17" s="47">
        <f>+'Monthly Data'!N17</f>
        <v>0</v>
      </c>
      <c r="V17" s="47">
        <f t="shared" ca="1" si="9"/>
        <v>650173.99969129916</v>
      </c>
      <c r="Y17" t="s">
        <v>415</v>
      </c>
      <c r="Z17">
        <v>648113231592.76599</v>
      </c>
      <c r="AA17" t="s">
        <v>416</v>
      </c>
      <c r="AB17">
        <v>80505.480036626395</v>
      </c>
    </row>
    <row r="18" spans="1:28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Data'!L18</f>
        <v>672732.18985411234</v>
      </c>
      <c r="E18" s="3">
        <f t="shared" ref="E18:F18" ca="1" si="14">E6</f>
        <v>150.136897859768</v>
      </c>
      <c r="F18" s="3">
        <f t="shared" ca="1" si="14"/>
        <v>52.487435064935063</v>
      </c>
      <c r="G18" s="3">
        <f>'Monthly Data'!EG18</f>
        <v>1</v>
      </c>
      <c r="H18">
        <f t="shared" si="10"/>
        <v>16</v>
      </c>
      <c r="I18" s="3">
        <f>'Monthly Data'!DQ18</f>
        <v>31</v>
      </c>
      <c r="J18" s="3">
        <f>'Monthly Data'!EO18</f>
        <v>0</v>
      </c>
      <c r="L18" s="3">
        <f t="shared" si="1"/>
        <v>-769716</v>
      </c>
      <c r="M18" s="3">
        <f t="shared" ca="1" si="2"/>
        <v>125229.09642269376</v>
      </c>
      <c r="N18" s="3">
        <f t="shared" ca="1" si="3"/>
        <v>104127.25054100649</v>
      </c>
      <c r="O18" s="3">
        <f t="shared" si="4"/>
        <v>-56026.3</v>
      </c>
      <c r="P18" s="3">
        <f t="shared" si="5"/>
        <v>42675.103999999999</v>
      </c>
      <c r="Q18" s="3">
        <f t="shared" si="6"/>
        <v>1175534.26</v>
      </c>
      <c r="R18" s="3">
        <f t="shared" si="7"/>
        <v>0</v>
      </c>
      <c r="S18" s="47">
        <f t="shared" ca="1" si="8"/>
        <v>621823.41096370027</v>
      </c>
      <c r="T18" s="47">
        <f>'Monthly Data'!M18</f>
        <v>0</v>
      </c>
      <c r="U18" s="47">
        <f>+'Monthly Data'!N18</f>
        <v>0</v>
      </c>
      <c r="V18" s="47">
        <f t="shared" ca="1" si="9"/>
        <v>621823.41096370027</v>
      </c>
      <c r="Y18" t="s">
        <v>417</v>
      </c>
      <c r="Z18">
        <v>0.858068137586669</v>
      </c>
      <c r="AA18" t="s">
        <v>418</v>
      </c>
      <c r="AB18" s="370">
        <v>0.84955222584186996</v>
      </c>
    </row>
    <row r="19" spans="1:28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Data'!L19</f>
        <v>655433.0775185246</v>
      </c>
      <c r="E19" s="3">
        <f t="shared" ref="E19:F19" ca="1" si="15">E7</f>
        <v>32.520923826173821</v>
      </c>
      <c r="F19" s="3">
        <f t="shared" ca="1" si="15"/>
        <v>137.65451754405018</v>
      </c>
      <c r="G19" s="3">
        <f>'Monthly Data'!EG19</f>
        <v>0</v>
      </c>
      <c r="H19">
        <f t="shared" si="10"/>
        <v>17</v>
      </c>
      <c r="I19" s="3">
        <f>'Monthly Data'!DQ19</f>
        <v>30</v>
      </c>
      <c r="J19" s="3">
        <f>'Monthly Data'!EO19</f>
        <v>0</v>
      </c>
      <c r="L19" s="3">
        <f t="shared" si="1"/>
        <v>-769716</v>
      </c>
      <c r="M19" s="3">
        <f t="shared" ca="1" si="2"/>
        <v>27125.683050857286</v>
      </c>
      <c r="N19" s="3">
        <f t="shared" ca="1" si="3"/>
        <v>273086.05228428153</v>
      </c>
      <c r="O19" s="3">
        <f t="shared" si="4"/>
        <v>0</v>
      </c>
      <c r="P19" s="3">
        <f t="shared" si="5"/>
        <v>45342.298000000003</v>
      </c>
      <c r="Q19" s="3">
        <f t="shared" si="6"/>
        <v>1137613.8</v>
      </c>
      <c r="R19" s="3">
        <f t="shared" si="7"/>
        <v>0</v>
      </c>
      <c r="S19" s="47">
        <f t="shared" ca="1" si="8"/>
        <v>713451.83333513886</v>
      </c>
      <c r="T19" s="47">
        <f>'Monthly Data'!M19</f>
        <v>0</v>
      </c>
      <c r="U19" s="47">
        <f>+'Monthly Data'!N19</f>
        <v>0</v>
      </c>
      <c r="V19" s="47">
        <f t="shared" ca="1" si="9"/>
        <v>713451.83333513886</v>
      </c>
      <c r="Y19" t="s">
        <v>426</v>
      </c>
      <c r="Z19" s="107">
        <v>68.669949916510902</v>
      </c>
      <c r="AA19" t="s">
        <v>419</v>
      </c>
      <c r="AB19" s="107">
        <v>2.9758138955806E-33</v>
      </c>
    </row>
    <row r="20" spans="1:28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Data'!L20</f>
        <v>998351.87830293574</v>
      </c>
      <c r="E20" s="3">
        <f t="shared" ref="E20:F20" ca="1" si="16">E8</f>
        <v>1.6179166666666653</v>
      </c>
      <c r="F20" s="3">
        <f t="shared" ca="1" si="16"/>
        <v>235.94737858727848</v>
      </c>
      <c r="G20" s="3">
        <f>'Monthly Data'!EG20</f>
        <v>0</v>
      </c>
      <c r="H20">
        <f t="shared" si="10"/>
        <v>18</v>
      </c>
      <c r="I20" s="3">
        <f>'Monthly Data'!DQ20</f>
        <v>31</v>
      </c>
      <c r="J20" s="3">
        <f>'Monthly Data'!EO20</f>
        <v>0</v>
      </c>
      <c r="L20" s="3">
        <f t="shared" si="1"/>
        <v>-769716</v>
      </c>
      <c r="M20" s="3">
        <f t="shared" ca="1" si="2"/>
        <v>1349.5033209166654</v>
      </c>
      <c r="N20" s="3">
        <f t="shared" ca="1" si="3"/>
        <v>468084.44295775105</v>
      </c>
      <c r="O20" s="3">
        <f t="shared" si="4"/>
        <v>0</v>
      </c>
      <c r="P20" s="3">
        <f t="shared" si="5"/>
        <v>48009.491999999998</v>
      </c>
      <c r="Q20" s="3">
        <f t="shared" si="6"/>
        <v>1175534.26</v>
      </c>
      <c r="R20" s="3">
        <f t="shared" si="7"/>
        <v>0</v>
      </c>
      <c r="S20" s="47">
        <f t="shared" ca="1" si="8"/>
        <v>923261.69827866775</v>
      </c>
      <c r="T20" s="47">
        <f>'Monthly Data'!M20</f>
        <v>0</v>
      </c>
      <c r="U20" s="47">
        <f>+'Monthly Data'!N20</f>
        <v>0</v>
      </c>
      <c r="V20" s="47">
        <f t="shared" ca="1" si="9"/>
        <v>923261.69827866775</v>
      </c>
      <c r="Y20" t="s">
        <v>420</v>
      </c>
      <c r="Z20" s="360">
        <v>4.3937203505172398E-2</v>
      </c>
      <c r="AA20" t="s">
        <v>421</v>
      </c>
      <c r="AB20" s="107">
        <v>1.8958333305729</v>
      </c>
    </row>
    <row r="21" spans="1:28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Data'!L21</f>
        <v>984083.20127734495</v>
      </c>
      <c r="E21" s="3">
        <f t="shared" ref="E21:F21" ca="1" si="17">E9</f>
        <v>5.6499999999999977</v>
      </c>
      <c r="F21" s="3">
        <f t="shared" ca="1" si="17"/>
        <v>210.96558794466404</v>
      </c>
      <c r="G21" s="3">
        <f>'Monthly Data'!EG21</f>
        <v>0</v>
      </c>
      <c r="H21">
        <f t="shared" si="10"/>
        <v>19</v>
      </c>
      <c r="I21" s="3">
        <f>'Monthly Data'!DQ21</f>
        <v>31</v>
      </c>
      <c r="J21" s="3">
        <f>'Monthly Data'!EO21</f>
        <v>0</v>
      </c>
      <c r="L21" s="3">
        <f t="shared" si="1"/>
        <v>-769716</v>
      </c>
      <c r="M21" s="3">
        <f t="shared" ca="1" si="2"/>
        <v>4712.6616099999974</v>
      </c>
      <c r="N21" s="3">
        <f t="shared" ca="1" si="3"/>
        <v>418524.29260960972</v>
      </c>
      <c r="O21" s="3">
        <f t="shared" si="4"/>
        <v>0</v>
      </c>
      <c r="P21" s="3">
        <f t="shared" si="5"/>
        <v>50676.686000000002</v>
      </c>
      <c r="Q21" s="3">
        <f t="shared" si="6"/>
        <v>1175534.26</v>
      </c>
      <c r="R21" s="3">
        <f t="shared" si="7"/>
        <v>0</v>
      </c>
      <c r="S21" s="47">
        <f t="shared" ca="1" si="8"/>
        <v>879731.90021960973</v>
      </c>
      <c r="T21" s="47">
        <f>'Monthly Data'!M21</f>
        <v>0</v>
      </c>
      <c r="U21" s="47">
        <f>+'Monthly Data'!N21</f>
        <v>0</v>
      </c>
      <c r="V21" s="47">
        <f t="shared" ca="1" si="9"/>
        <v>879731.90021960973</v>
      </c>
      <c r="Z21" s="107"/>
      <c r="AB21" s="107"/>
    </row>
    <row r="22" spans="1:28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Data'!L22</f>
        <v>669884.15840175818</v>
      </c>
      <c r="E22" s="3">
        <f t="shared" ref="E22:F22" ca="1" si="18">E10</f>
        <v>54.959440993788824</v>
      </c>
      <c r="F22" s="3">
        <f t="shared" ca="1" si="18"/>
        <v>106.4160119047619</v>
      </c>
      <c r="G22" s="3">
        <f>'Monthly Data'!EG22</f>
        <v>1</v>
      </c>
      <c r="H22">
        <f t="shared" si="10"/>
        <v>20</v>
      </c>
      <c r="I22" s="3">
        <f>'Monthly Data'!DQ22</f>
        <v>30</v>
      </c>
      <c r="J22" s="3">
        <f>'Monthly Data'!EO22</f>
        <v>0</v>
      </c>
      <c r="L22" s="3">
        <f t="shared" si="1"/>
        <v>-769716</v>
      </c>
      <c r="M22" s="3">
        <f t="shared" ca="1" si="2"/>
        <v>45841.636757254659</v>
      </c>
      <c r="N22" s="3">
        <f t="shared" ca="1" si="3"/>
        <v>211113.51163327383</v>
      </c>
      <c r="O22" s="3">
        <f t="shared" si="4"/>
        <v>-56026.3</v>
      </c>
      <c r="P22" s="3">
        <f t="shared" si="5"/>
        <v>53343.88</v>
      </c>
      <c r="Q22" s="3">
        <f t="shared" si="6"/>
        <v>1137613.8</v>
      </c>
      <c r="R22" s="3">
        <f t="shared" si="7"/>
        <v>0</v>
      </c>
      <c r="S22" s="47">
        <f t="shared" ref="S22:S53" ca="1" si="19">SUM(L22:R22)</f>
        <v>622170.5283905284</v>
      </c>
      <c r="T22" s="47">
        <f>'Monthly Data'!M22</f>
        <v>0</v>
      </c>
      <c r="U22" s="47">
        <f>+'Monthly Data'!N22</f>
        <v>0</v>
      </c>
      <c r="V22" s="47">
        <f t="shared" ca="1" si="9"/>
        <v>622170.5283905284</v>
      </c>
      <c r="Y22" t="s">
        <v>408</v>
      </c>
    </row>
    <row r="23" spans="1:28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Data'!L23</f>
        <v>746305.87275616836</v>
      </c>
      <c r="E23" s="3">
        <f t="shared" ref="E23:F23" ca="1" si="20">E11</f>
        <v>237.89681159420289</v>
      </c>
      <c r="F23" s="3">
        <f t="shared" ca="1" si="20"/>
        <v>17.987083333333334</v>
      </c>
      <c r="G23" s="3">
        <f>'Monthly Data'!EG23</f>
        <v>1</v>
      </c>
      <c r="H23">
        <f t="shared" si="10"/>
        <v>21</v>
      </c>
      <c r="I23" s="3">
        <f>'Monthly Data'!DQ23</f>
        <v>31</v>
      </c>
      <c r="J23" s="3">
        <f>'Monthly Data'!EO23</f>
        <v>0</v>
      </c>
      <c r="L23" s="3">
        <f t="shared" si="1"/>
        <v>-769716</v>
      </c>
      <c r="M23" s="3">
        <f t="shared" ca="1" si="2"/>
        <v>198429.58781263765</v>
      </c>
      <c r="N23" s="3">
        <f t="shared" ca="1" si="3"/>
        <v>35683.693257916668</v>
      </c>
      <c r="O23" s="3">
        <f t="shared" si="4"/>
        <v>-56026.3</v>
      </c>
      <c r="P23" s="3">
        <f t="shared" si="5"/>
        <v>56011.074000000001</v>
      </c>
      <c r="Q23" s="3">
        <f t="shared" si="6"/>
        <v>1175534.26</v>
      </c>
      <c r="R23" s="3">
        <f t="shared" si="7"/>
        <v>0</v>
      </c>
      <c r="S23" s="47">
        <f t="shared" ca="1" si="19"/>
        <v>639916.31507055438</v>
      </c>
      <c r="T23" s="47">
        <f>'Monthly Data'!M23</f>
        <v>0</v>
      </c>
      <c r="U23" s="47">
        <f>+'Monthly Data'!N23</f>
        <v>0</v>
      </c>
      <c r="V23" s="47">
        <f t="shared" ca="1" si="9"/>
        <v>639916.31507055438</v>
      </c>
      <c r="Y23" t="s">
        <v>422</v>
      </c>
      <c r="Z23">
        <v>959775.42073607596</v>
      </c>
      <c r="AA23" t="s">
        <v>423</v>
      </c>
      <c r="AB23">
        <v>206650.645154606</v>
      </c>
    </row>
    <row r="24" spans="1:28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Data'!L24</f>
        <v>613201.60482057964</v>
      </c>
      <c r="E24" s="3">
        <f t="shared" ref="E24:F24" ca="1" si="21">E12</f>
        <v>426.62991389045737</v>
      </c>
      <c r="F24" s="3">
        <f t="shared" ca="1" si="21"/>
        <v>0.8083333333333329</v>
      </c>
      <c r="G24" s="3">
        <f>'Monthly Data'!EG24</f>
        <v>1</v>
      </c>
      <c r="H24">
        <f t="shared" si="10"/>
        <v>22</v>
      </c>
      <c r="I24" s="3">
        <f>'Monthly Data'!DQ24</f>
        <v>30</v>
      </c>
      <c r="J24" s="3">
        <f>'Monthly Data'!EO24</f>
        <v>0</v>
      </c>
      <c r="L24" s="3">
        <f t="shared" si="1"/>
        <v>-769716</v>
      </c>
      <c r="M24" s="3">
        <f t="shared" ca="1" si="2"/>
        <v>355851.75519808213</v>
      </c>
      <c r="N24" s="3">
        <f t="shared" ca="1" si="3"/>
        <v>1603.612891666666</v>
      </c>
      <c r="O24" s="3">
        <f t="shared" si="4"/>
        <v>-56026.3</v>
      </c>
      <c r="P24" s="3">
        <f t="shared" si="5"/>
        <v>58678.267999999996</v>
      </c>
      <c r="Q24" s="3">
        <f t="shared" si="6"/>
        <v>1137613.8</v>
      </c>
      <c r="R24" s="3">
        <f t="shared" si="7"/>
        <v>0</v>
      </c>
      <c r="S24" s="47">
        <f t="shared" ca="1" si="19"/>
        <v>728005.13608974882</v>
      </c>
      <c r="T24" s="47">
        <f>'Monthly Data'!M24</f>
        <v>0</v>
      </c>
      <c r="U24" s="47">
        <f>+'Monthly Data'!N24</f>
        <v>0</v>
      </c>
      <c r="V24" s="47">
        <f t="shared" ca="1" si="9"/>
        <v>728005.13608974882</v>
      </c>
      <c r="Z24" s="3"/>
      <c r="AB24" s="3"/>
    </row>
    <row r="25" spans="1:28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Data'!L25</f>
        <v>896247.4712049918</v>
      </c>
      <c r="E25" s="3">
        <f t="shared" ref="E25:F25" ca="1" si="22">E13</f>
        <v>577.92800724637686</v>
      </c>
      <c r="F25" s="3">
        <f t="shared" ca="1" si="22"/>
        <v>0</v>
      </c>
      <c r="G25" s="3">
        <f>'Monthly Data'!EG25</f>
        <v>0</v>
      </c>
      <c r="H25">
        <f t="shared" si="10"/>
        <v>23</v>
      </c>
      <c r="I25" s="3">
        <f>'Monthly Data'!DQ25</f>
        <v>31</v>
      </c>
      <c r="J25" s="3">
        <f>'Monthly Data'!EO25</f>
        <v>0</v>
      </c>
      <c r="L25" s="3">
        <f t="shared" si="1"/>
        <v>-769716</v>
      </c>
      <c r="M25" s="3">
        <f t="shared" ca="1" si="2"/>
        <v>482049.40408739855</v>
      </c>
      <c r="N25" s="3">
        <f t="shared" ca="1" si="3"/>
        <v>0</v>
      </c>
      <c r="O25" s="3">
        <f t="shared" si="4"/>
        <v>0</v>
      </c>
      <c r="P25" s="3">
        <f t="shared" si="5"/>
        <v>61345.462</v>
      </c>
      <c r="Q25" s="3">
        <f t="shared" si="6"/>
        <v>1175534.26</v>
      </c>
      <c r="R25" s="3">
        <f t="shared" si="7"/>
        <v>0</v>
      </c>
      <c r="S25" s="47">
        <f t="shared" ca="1" si="19"/>
        <v>949213.1260873985</v>
      </c>
      <c r="T25" s="47">
        <f>'Monthly Data'!M25</f>
        <v>0</v>
      </c>
      <c r="U25" s="47">
        <f>+'Monthly Data'!N25</f>
        <v>0</v>
      </c>
      <c r="V25" s="47">
        <f t="shared" ca="1" si="9"/>
        <v>949213.1260873985</v>
      </c>
    </row>
    <row r="26" spans="1:28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Data'!L26</f>
        <v>944894.23985255114</v>
      </c>
      <c r="E26" s="3">
        <f t="shared" ref="E26:F26" ca="1" si="23">E14</f>
        <v>697.33418478260876</v>
      </c>
      <c r="F26" s="3">
        <f t="shared" ca="1" si="23"/>
        <v>0</v>
      </c>
      <c r="G26" s="3">
        <f>'Monthly Data'!EG26</f>
        <v>0</v>
      </c>
      <c r="H26">
        <f t="shared" si="10"/>
        <v>24</v>
      </c>
      <c r="I26" s="3">
        <f>'Monthly Data'!DQ26</f>
        <v>31</v>
      </c>
      <c r="J26" s="3">
        <f>'Monthly Data'!EO26</f>
        <v>0</v>
      </c>
      <c r="L26" s="3">
        <f t="shared" si="1"/>
        <v>-769716</v>
      </c>
      <c r="M26" s="3">
        <f t="shared" ca="1" si="2"/>
        <v>581646.02512666304</v>
      </c>
      <c r="N26" s="3">
        <f t="shared" ca="1" si="3"/>
        <v>0</v>
      </c>
      <c r="O26" s="3">
        <f t="shared" si="4"/>
        <v>0</v>
      </c>
      <c r="P26" s="3">
        <f t="shared" si="5"/>
        <v>64012.656000000003</v>
      </c>
      <c r="Q26" s="3">
        <f t="shared" si="6"/>
        <v>1175534.26</v>
      </c>
      <c r="R26" s="3">
        <f t="shared" si="7"/>
        <v>0</v>
      </c>
      <c r="S26" s="47">
        <f t="shared" ca="1" si="19"/>
        <v>1051476.941126663</v>
      </c>
      <c r="T26" s="47">
        <f>'Monthly Data'!M26</f>
        <v>42.709352033378551</v>
      </c>
      <c r="U26" s="47">
        <f>+'Monthly Data'!N26</f>
        <v>0</v>
      </c>
      <c r="V26" s="47">
        <f t="shared" ca="1" si="9"/>
        <v>1051519.6504786965</v>
      </c>
    </row>
    <row r="27" spans="1:28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Data'!L27</f>
        <v>862632.18090412836</v>
      </c>
      <c r="E27" s="3">
        <f t="shared" ref="E27:F27" ca="1" si="24">E15</f>
        <v>624.25501811594188</v>
      </c>
      <c r="F27" s="3">
        <f t="shared" ca="1" si="24"/>
        <v>0</v>
      </c>
      <c r="G27" s="3">
        <f>'Monthly Data'!EG27</f>
        <v>0</v>
      </c>
      <c r="H27">
        <f t="shared" si="10"/>
        <v>25</v>
      </c>
      <c r="I27" s="3">
        <f>'Monthly Data'!DQ27</f>
        <v>28</v>
      </c>
      <c r="J27" s="3">
        <f>'Monthly Data'!EO27</f>
        <v>0</v>
      </c>
      <c r="L27" s="3">
        <f t="shared" si="1"/>
        <v>-769716</v>
      </c>
      <c r="M27" s="3">
        <f t="shared" ca="1" si="2"/>
        <v>520690.73605749622</v>
      </c>
      <c r="N27" s="3">
        <f t="shared" ca="1" si="3"/>
        <v>0</v>
      </c>
      <c r="O27" s="3">
        <f t="shared" si="4"/>
        <v>0</v>
      </c>
      <c r="P27" s="3">
        <f t="shared" si="5"/>
        <v>66679.850000000006</v>
      </c>
      <c r="Q27" s="3">
        <f t="shared" si="6"/>
        <v>1061772.8799999999</v>
      </c>
      <c r="R27" s="3">
        <f t="shared" si="7"/>
        <v>0</v>
      </c>
      <c r="S27" s="47">
        <f t="shared" ca="1" si="19"/>
        <v>879427.46605749615</v>
      </c>
      <c r="T27" s="47">
        <f>'Monthly Data'!M27</f>
        <v>85.418704066757101</v>
      </c>
      <c r="U27" s="47">
        <f>+'Monthly Data'!N27</f>
        <v>0</v>
      </c>
      <c r="V27" s="47">
        <f t="shared" ca="1" si="9"/>
        <v>879512.88476156292</v>
      </c>
    </row>
    <row r="28" spans="1:28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Data'!L28</f>
        <v>948152.62357570359</v>
      </c>
      <c r="E28" s="3">
        <f t="shared" ref="E28:F28" ca="1" si="25">E16</f>
        <v>546.13298913043491</v>
      </c>
      <c r="F28" s="3">
        <f t="shared" ca="1" si="25"/>
        <v>0</v>
      </c>
      <c r="G28" s="3">
        <f>'Monthly Data'!EG28</f>
        <v>1</v>
      </c>
      <c r="H28">
        <f t="shared" si="10"/>
        <v>26</v>
      </c>
      <c r="I28" s="3">
        <f>'Monthly Data'!DQ28</f>
        <v>31</v>
      </c>
      <c r="J28" s="3">
        <f>'Monthly Data'!EO28</f>
        <v>0</v>
      </c>
      <c r="L28" s="3">
        <f t="shared" si="1"/>
        <v>-769716</v>
      </c>
      <c r="M28" s="3">
        <f t="shared" ca="1" si="2"/>
        <v>455529.19855390227</v>
      </c>
      <c r="N28" s="3">
        <f t="shared" ca="1" si="3"/>
        <v>0</v>
      </c>
      <c r="O28" s="3">
        <f t="shared" si="4"/>
        <v>-56026.3</v>
      </c>
      <c r="P28" s="3">
        <f t="shared" si="5"/>
        <v>69347.043999999994</v>
      </c>
      <c r="Q28" s="3">
        <f t="shared" si="6"/>
        <v>1175534.26</v>
      </c>
      <c r="R28" s="3">
        <f t="shared" si="7"/>
        <v>0</v>
      </c>
      <c r="S28" s="47">
        <f t="shared" ca="1" si="19"/>
        <v>874668.20255390229</v>
      </c>
      <c r="T28" s="47">
        <f>'Monthly Data'!M28</f>
        <v>128.12805610013567</v>
      </c>
      <c r="U28" s="47">
        <f>+'Monthly Data'!N28</f>
        <v>0</v>
      </c>
      <c r="V28" s="47">
        <f t="shared" ca="1" si="9"/>
        <v>874796.33061000239</v>
      </c>
    </row>
    <row r="29" spans="1:28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Data'!L29</f>
        <v>651130.06956727896</v>
      </c>
      <c r="E29" s="3">
        <f t="shared" ref="E29:F29" ca="1" si="26">E17</f>
        <v>352.41399621212122</v>
      </c>
      <c r="F29" s="3">
        <f t="shared" ca="1" si="26"/>
        <v>2.1908333333333347</v>
      </c>
      <c r="G29" s="3">
        <f>'Monthly Data'!EG29</f>
        <v>1</v>
      </c>
      <c r="H29">
        <f t="shared" si="10"/>
        <v>27</v>
      </c>
      <c r="I29" s="3">
        <f>'Monthly Data'!DQ29</f>
        <v>30</v>
      </c>
      <c r="J29" s="3">
        <f>'Monthly Data'!EO29</f>
        <v>0</v>
      </c>
      <c r="L29" s="3">
        <f t="shared" si="1"/>
        <v>-769716</v>
      </c>
      <c r="M29" s="3">
        <f t="shared" ca="1" si="2"/>
        <v>293948.30279213254</v>
      </c>
      <c r="N29" s="3">
        <f t="shared" ca="1" si="3"/>
        <v>4346.2868991666701</v>
      </c>
      <c r="O29" s="3">
        <f t="shared" si="4"/>
        <v>-56026.3</v>
      </c>
      <c r="P29" s="3">
        <f t="shared" si="5"/>
        <v>72014.237999999998</v>
      </c>
      <c r="Q29" s="3">
        <f t="shared" si="6"/>
        <v>1137613.8</v>
      </c>
      <c r="R29" s="3">
        <f t="shared" si="7"/>
        <v>0</v>
      </c>
      <c r="S29" s="47">
        <f t="shared" ca="1" si="19"/>
        <v>682180.32769129926</v>
      </c>
      <c r="T29" s="47">
        <f>'Monthly Data'!M29</f>
        <v>170.8374081335142</v>
      </c>
      <c r="U29" s="47">
        <f>+'Monthly Data'!N29</f>
        <v>0</v>
      </c>
      <c r="V29" s="47">
        <f t="shared" ca="1" si="9"/>
        <v>682351.16509943281</v>
      </c>
    </row>
    <row r="30" spans="1:28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Data'!L30</f>
        <v>747823.78382885619</v>
      </c>
      <c r="E30" s="3">
        <f t="shared" ref="E30:F30" ca="1" si="27">E18</f>
        <v>150.136897859768</v>
      </c>
      <c r="F30" s="3">
        <f t="shared" ca="1" si="27"/>
        <v>52.487435064935063</v>
      </c>
      <c r="G30" s="3">
        <f>'Monthly Data'!EG30</f>
        <v>1</v>
      </c>
      <c r="H30">
        <f t="shared" si="10"/>
        <v>28</v>
      </c>
      <c r="I30" s="3">
        <f>'Monthly Data'!DQ30</f>
        <v>31</v>
      </c>
      <c r="J30" s="3">
        <f>'Monthly Data'!EO30</f>
        <v>0</v>
      </c>
      <c r="L30" s="3">
        <f t="shared" si="1"/>
        <v>-769716</v>
      </c>
      <c r="M30" s="3">
        <f t="shared" ca="1" si="2"/>
        <v>125229.09642269376</v>
      </c>
      <c r="N30" s="3">
        <f t="shared" ca="1" si="3"/>
        <v>104127.25054100649</v>
      </c>
      <c r="O30" s="3">
        <f t="shared" si="4"/>
        <v>-56026.3</v>
      </c>
      <c r="P30" s="3">
        <f t="shared" si="5"/>
        <v>74681.432000000001</v>
      </c>
      <c r="Q30" s="3">
        <f t="shared" si="6"/>
        <v>1175534.26</v>
      </c>
      <c r="R30" s="3">
        <f t="shared" si="7"/>
        <v>0</v>
      </c>
      <c r="S30" s="47">
        <f t="shared" ca="1" si="19"/>
        <v>653829.73896370025</v>
      </c>
      <c r="T30" s="47">
        <f>'Monthly Data'!M30</f>
        <v>213.54676016689277</v>
      </c>
      <c r="U30" s="47">
        <f>+'Monthly Data'!N30</f>
        <v>0</v>
      </c>
      <c r="V30" s="47">
        <f t="shared" ca="1" si="9"/>
        <v>654043.28572386713</v>
      </c>
    </row>
    <row r="31" spans="1:28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Data'!L31</f>
        <v>684051.82690043247</v>
      </c>
      <c r="E31" s="3">
        <f t="shared" ref="E31:F31" ca="1" si="28">E19</f>
        <v>32.520923826173821</v>
      </c>
      <c r="F31" s="3">
        <f t="shared" ca="1" si="28"/>
        <v>137.65451754405018</v>
      </c>
      <c r="G31" s="3">
        <f>'Monthly Data'!EG31</f>
        <v>0</v>
      </c>
      <c r="H31">
        <f t="shared" si="10"/>
        <v>29</v>
      </c>
      <c r="I31" s="3">
        <f>'Monthly Data'!DQ31</f>
        <v>30</v>
      </c>
      <c r="J31" s="3">
        <f>'Monthly Data'!EO31</f>
        <v>0</v>
      </c>
      <c r="L31" s="3">
        <f t="shared" si="1"/>
        <v>-769716</v>
      </c>
      <c r="M31" s="3">
        <f t="shared" ca="1" si="2"/>
        <v>27125.683050857286</v>
      </c>
      <c r="N31" s="3">
        <f t="shared" ca="1" si="3"/>
        <v>273086.05228428153</v>
      </c>
      <c r="O31" s="3">
        <f t="shared" si="4"/>
        <v>0</v>
      </c>
      <c r="P31" s="3">
        <f t="shared" si="5"/>
        <v>77348.626000000004</v>
      </c>
      <c r="Q31" s="3">
        <f t="shared" si="6"/>
        <v>1137613.8</v>
      </c>
      <c r="R31" s="3">
        <f t="shared" si="7"/>
        <v>0</v>
      </c>
      <c r="S31" s="47">
        <f t="shared" ca="1" si="19"/>
        <v>745458.16133513884</v>
      </c>
      <c r="T31" s="47">
        <f>'Monthly Data'!M31</f>
        <v>256.25611220027133</v>
      </c>
      <c r="U31" s="47">
        <f>+'Monthly Data'!N31</f>
        <v>0</v>
      </c>
      <c r="V31" s="47">
        <f t="shared" ca="1" si="9"/>
        <v>745714.41744733916</v>
      </c>
    </row>
    <row r="32" spans="1:28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Data'!L32</f>
        <v>1023307.9767920077</v>
      </c>
      <c r="E32" s="3">
        <f t="shared" ref="E32:F32" ca="1" si="29">E20</f>
        <v>1.6179166666666653</v>
      </c>
      <c r="F32" s="3">
        <f t="shared" ca="1" si="29"/>
        <v>235.94737858727848</v>
      </c>
      <c r="G32" s="3">
        <f>'Monthly Data'!EG32</f>
        <v>0</v>
      </c>
      <c r="H32">
        <f t="shared" si="10"/>
        <v>30</v>
      </c>
      <c r="I32" s="3">
        <f>'Monthly Data'!DQ32</f>
        <v>31</v>
      </c>
      <c r="J32" s="3">
        <f>'Monthly Data'!EO32</f>
        <v>0</v>
      </c>
      <c r="L32" s="3">
        <f t="shared" si="1"/>
        <v>-769716</v>
      </c>
      <c r="M32" s="3">
        <f t="shared" ca="1" si="2"/>
        <v>1349.5033209166654</v>
      </c>
      <c r="N32" s="3">
        <f t="shared" ca="1" si="3"/>
        <v>468084.44295775105</v>
      </c>
      <c r="O32" s="3">
        <f t="shared" si="4"/>
        <v>0</v>
      </c>
      <c r="P32" s="3">
        <f t="shared" si="5"/>
        <v>80015.819999999992</v>
      </c>
      <c r="Q32" s="3">
        <f t="shared" si="6"/>
        <v>1175534.26</v>
      </c>
      <c r="R32" s="3">
        <f t="shared" si="7"/>
        <v>0</v>
      </c>
      <c r="S32" s="47">
        <f t="shared" ca="1" si="19"/>
        <v>955268.02627866773</v>
      </c>
      <c r="T32" s="47">
        <f>'Monthly Data'!M32</f>
        <v>298.96546423364987</v>
      </c>
      <c r="U32" s="47">
        <f>+'Monthly Data'!N32</f>
        <v>0</v>
      </c>
      <c r="V32" s="47">
        <f t="shared" ca="1" si="9"/>
        <v>955566.99174290139</v>
      </c>
    </row>
    <row r="33" spans="1:22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Data'!L33</f>
        <v>1042017.2955035861</v>
      </c>
      <c r="E33" s="3">
        <f t="shared" ref="E33:F33" ca="1" si="30">E21</f>
        <v>5.6499999999999977</v>
      </c>
      <c r="F33" s="3">
        <f t="shared" ca="1" si="30"/>
        <v>210.96558794466404</v>
      </c>
      <c r="G33" s="3">
        <f>'Monthly Data'!EG33</f>
        <v>0</v>
      </c>
      <c r="H33">
        <f t="shared" si="10"/>
        <v>31</v>
      </c>
      <c r="I33" s="3">
        <f>'Monthly Data'!DQ33</f>
        <v>31</v>
      </c>
      <c r="J33" s="3">
        <f>'Monthly Data'!EO33</f>
        <v>0</v>
      </c>
      <c r="L33" s="3">
        <f t="shared" si="1"/>
        <v>-769716</v>
      </c>
      <c r="M33" s="3">
        <f t="shared" ca="1" si="2"/>
        <v>4712.6616099999974</v>
      </c>
      <c r="N33" s="3">
        <f t="shared" ca="1" si="3"/>
        <v>418524.29260960972</v>
      </c>
      <c r="O33" s="3">
        <f t="shared" si="4"/>
        <v>0</v>
      </c>
      <c r="P33" s="3">
        <f t="shared" si="5"/>
        <v>82683.013999999996</v>
      </c>
      <c r="Q33" s="3">
        <f t="shared" si="6"/>
        <v>1175534.26</v>
      </c>
      <c r="R33" s="3">
        <f t="shared" si="7"/>
        <v>0</v>
      </c>
      <c r="S33" s="47">
        <f t="shared" ca="1" si="19"/>
        <v>911738.22821960971</v>
      </c>
      <c r="T33" s="47">
        <f>'Monthly Data'!M33</f>
        <v>341.6748162670284</v>
      </c>
      <c r="U33" s="47">
        <f>+'Monthly Data'!N33</f>
        <v>0</v>
      </c>
      <c r="V33" s="47">
        <f t="shared" ca="1" si="9"/>
        <v>912079.90303587669</v>
      </c>
    </row>
    <row r="34" spans="1:22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Data'!L34</f>
        <v>764048.71043516125</v>
      </c>
      <c r="E34" s="3">
        <f t="shared" ref="E34:F34" ca="1" si="31">E22</f>
        <v>54.959440993788824</v>
      </c>
      <c r="F34" s="3">
        <f t="shared" ca="1" si="31"/>
        <v>106.4160119047619</v>
      </c>
      <c r="G34" s="3">
        <f>'Monthly Data'!EG34</f>
        <v>1</v>
      </c>
      <c r="H34">
        <f t="shared" si="10"/>
        <v>32</v>
      </c>
      <c r="I34" s="3">
        <f>'Monthly Data'!DQ34</f>
        <v>30</v>
      </c>
      <c r="J34" s="3">
        <f>'Monthly Data'!EO34</f>
        <v>0</v>
      </c>
      <c r="L34" s="3">
        <f t="shared" si="1"/>
        <v>-769716</v>
      </c>
      <c r="M34" s="3">
        <f t="shared" ca="1" si="2"/>
        <v>45841.636757254659</v>
      </c>
      <c r="N34" s="3">
        <f t="shared" ca="1" si="3"/>
        <v>211113.51163327383</v>
      </c>
      <c r="O34" s="3">
        <f t="shared" si="4"/>
        <v>-56026.3</v>
      </c>
      <c r="P34" s="3">
        <f t="shared" si="5"/>
        <v>85350.207999999999</v>
      </c>
      <c r="Q34" s="3">
        <f t="shared" si="6"/>
        <v>1137613.8</v>
      </c>
      <c r="R34" s="3">
        <f t="shared" si="7"/>
        <v>0</v>
      </c>
      <c r="S34" s="47">
        <f t="shared" ca="1" si="19"/>
        <v>654176.85639052838</v>
      </c>
      <c r="T34" s="47">
        <f>'Monthly Data'!M34</f>
        <v>384.384168300407</v>
      </c>
      <c r="U34" s="47">
        <f>+'Monthly Data'!N34</f>
        <v>0</v>
      </c>
      <c r="V34" s="47">
        <f t="shared" ca="1" si="9"/>
        <v>654561.24055882881</v>
      </c>
    </row>
    <row r="35" spans="1:22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Data'!L35</f>
        <v>692835.87622673658</v>
      </c>
      <c r="E35" s="3">
        <f t="shared" ref="E35:F35" ca="1" si="32">E23</f>
        <v>237.89681159420289</v>
      </c>
      <c r="F35" s="3">
        <f t="shared" ca="1" si="32"/>
        <v>17.987083333333334</v>
      </c>
      <c r="G35" s="3">
        <f>'Monthly Data'!EG35</f>
        <v>1</v>
      </c>
      <c r="H35">
        <f t="shared" si="10"/>
        <v>33</v>
      </c>
      <c r="I35" s="3">
        <f>'Monthly Data'!DQ35</f>
        <v>31</v>
      </c>
      <c r="J35" s="3">
        <f>'Monthly Data'!EO35</f>
        <v>0</v>
      </c>
      <c r="L35" s="3">
        <f t="shared" si="1"/>
        <v>-769716</v>
      </c>
      <c r="M35" s="3">
        <f t="shared" ca="1" si="2"/>
        <v>198429.58781263765</v>
      </c>
      <c r="N35" s="3">
        <f t="shared" ca="1" si="3"/>
        <v>35683.693257916668</v>
      </c>
      <c r="O35" s="3">
        <f t="shared" si="4"/>
        <v>-56026.3</v>
      </c>
      <c r="P35" s="3">
        <f t="shared" si="5"/>
        <v>88017.402000000002</v>
      </c>
      <c r="Q35" s="3">
        <f t="shared" si="6"/>
        <v>1175534.26</v>
      </c>
      <c r="R35" s="3">
        <f t="shared" si="7"/>
        <v>0</v>
      </c>
      <c r="S35" s="47">
        <f t="shared" ca="1" si="19"/>
        <v>671922.64307055436</v>
      </c>
      <c r="T35" s="47">
        <f>'Monthly Data'!M35</f>
        <v>427.09352033378553</v>
      </c>
      <c r="U35" s="47">
        <f>+'Monthly Data'!N35</f>
        <v>0</v>
      </c>
      <c r="V35" s="47">
        <f t="shared" ca="1" si="9"/>
        <v>672349.73659088812</v>
      </c>
    </row>
    <row r="36" spans="1:22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Data'!L36</f>
        <v>785011.87798831379</v>
      </c>
      <c r="E36" s="3">
        <f t="shared" ref="E36:F36" ca="1" si="33">E24</f>
        <v>426.62991389045737</v>
      </c>
      <c r="F36" s="3">
        <f t="shared" ca="1" si="33"/>
        <v>0.8083333333333329</v>
      </c>
      <c r="G36" s="3">
        <f>'Monthly Data'!EG36</f>
        <v>1</v>
      </c>
      <c r="H36">
        <f t="shared" si="10"/>
        <v>34</v>
      </c>
      <c r="I36" s="3">
        <f>'Monthly Data'!DQ36</f>
        <v>30</v>
      </c>
      <c r="J36" s="3">
        <f>'Monthly Data'!EO36</f>
        <v>0</v>
      </c>
      <c r="L36" s="3">
        <f t="shared" si="1"/>
        <v>-769716</v>
      </c>
      <c r="M36" s="3">
        <f t="shared" ca="1" si="2"/>
        <v>355851.75519808213</v>
      </c>
      <c r="N36" s="3">
        <f t="shared" ca="1" si="3"/>
        <v>1603.612891666666</v>
      </c>
      <c r="O36" s="3">
        <f t="shared" si="4"/>
        <v>-56026.3</v>
      </c>
      <c r="P36" s="3">
        <f t="shared" si="5"/>
        <v>90684.596000000005</v>
      </c>
      <c r="Q36" s="3">
        <f t="shared" si="6"/>
        <v>1137613.8</v>
      </c>
      <c r="R36" s="3">
        <f t="shared" si="7"/>
        <v>0</v>
      </c>
      <c r="S36" s="47">
        <f t="shared" ca="1" si="19"/>
        <v>760011.46408974892</v>
      </c>
      <c r="T36" s="47">
        <f>'Monthly Data'!M36</f>
        <v>469.80287236716407</v>
      </c>
      <c r="U36" s="47">
        <f>+'Monthly Data'!N36</f>
        <v>0</v>
      </c>
      <c r="V36" s="47">
        <f t="shared" ca="1" si="9"/>
        <v>760481.26696211612</v>
      </c>
    </row>
    <row r="37" spans="1:22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Data'!L37</f>
        <v>1145205.4335898901</v>
      </c>
      <c r="E37" s="3">
        <f t="shared" ref="E37:F37" ca="1" si="34">E25</f>
        <v>577.92800724637686</v>
      </c>
      <c r="F37" s="3">
        <f t="shared" ca="1" si="34"/>
        <v>0</v>
      </c>
      <c r="G37" s="3">
        <f>'Monthly Data'!EG37</f>
        <v>0</v>
      </c>
      <c r="H37">
        <f t="shared" si="10"/>
        <v>35</v>
      </c>
      <c r="I37" s="3">
        <f>'Monthly Data'!DQ37</f>
        <v>31</v>
      </c>
      <c r="J37" s="3">
        <f>'Monthly Data'!EO37</f>
        <v>0</v>
      </c>
      <c r="L37" s="3">
        <f t="shared" si="1"/>
        <v>-769716</v>
      </c>
      <c r="M37" s="3">
        <f t="shared" ca="1" si="2"/>
        <v>482049.40408739855</v>
      </c>
      <c r="N37" s="3">
        <f t="shared" ca="1" si="3"/>
        <v>0</v>
      </c>
      <c r="O37" s="3">
        <f t="shared" si="4"/>
        <v>0</v>
      </c>
      <c r="P37" s="3">
        <f t="shared" si="5"/>
        <v>93351.79</v>
      </c>
      <c r="Q37" s="3">
        <f t="shared" si="6"/>
        <v>1175534.26</v>
      </c>
      <c r="R37" s="3">
        <f t="shared" si="7"/>
        <v>0</v>
      </c>
      <c r="S37" s="47">
        <f t="shared" ca="1" si="19"/>
        <v>981219.45408739848</v>
      </c>
      <c r="T37" s="47">
        <f>'Monthly Data'!M37</f>
        <v>512.51222440054266</v>
      </c>
      <c r="U37" s="47">
        <f>+'Monthly Data'!N37</f>
        <v>0</v>
      </c>
      <c r="V37" s="47">
        <f t="shared" ca="1" si="9"/>
        <v>981731.96631179901</v>
      </c>
    </row>
    <row r="38" spans="1:22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Data'!L38</f>
        <v>1205620.7630839557</v>
      </c>
      <c r="E38" s="3">
        <f t="shared" ref="E38:F38" ca="1" si="35">E26</f>
        <v>697.33418478260876</v>
      </c>
      <c r="F38" s="3">
        <f t="shared" ca="1" si="35"/>
        <v>0</v>
      </c>
      <c r="G38" s="3">
        <f>'Monthly Data'!EG38</f>
        <v>0</v>
      </c>
      <c r="H38">
        <f t="shared" si="10"/>
        <v>36</v>
      </c>
      <c r="I38" s="3">
        <f>'Monthly Data'!DQ38</f>
        <v>31</v>
      </c>
      <c r="J38" s="3">
        <f>'Monthly Data'!EO38</f>
        <v>0</v>
      </c>
      <c r="L38" s="3">
        <f t="shared" si="1"/>
        <v>-769716</v>
      </c>
      <c r="M38" s="3">
        <f t="shared" ca="1" si="2"/>
        <v>581646.02512666304</v>
      </c>
      <c r="N38" s="3">
        <f t="shared" ca="1" si="3"/>
        <v>0</v>
      </c>
      <c r="O38" s="3">
        <f t="shared" si="4"/>
        <v>0</v>
      </c>
      <c r="P38" s="3">
        <f t="shared" si="5"/>
        <v>96018.983999999997</v>
      </c>
      <c r="Q38" s="3">
        <f t="shared" si="6"/>
        <v>1175534.26</v>
      </c>
      <c r="R38" s="3">
        <f t="shared" si="7"/>
        <v>0</v>
      </c>
      <c r="S38" s="47">
        <f t="shared" ca="1" si="19"/>
        <v>1083483.269126663</v>
      </c>
      <c r="T38" s="47">
        <f>'Monthly Data'!M38</f>
        <v>662.27530364372433</v>
      </c>
      <c r="U38" s="47">
        <f>+'Monthly Data'!N38</f>
        <v>0</v>
      </c>
      <c r="V38" s="47">
        <f t="shared" ca="1" si="9"/>
        <v>1084145.5444303066</v>
      </c>
    </row>
    <row r="39" spans="1:22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Data'!L39</f>
        <v>981679.43415098719</v>
      </c>
      <c r="E39" s="3">
        <f t="shared" ref="E39:F39" ca="1" si="36">E27</f>
        <v>624.25501811594188</v>
      </c>
      <c r="F39" s="3">
        <f t="shared" ca="1" si="36"/>
        <v>0</v>
      </c>
      <c r="G39" s="3">
        <f>'Monthly Data'!EG39</f>
        <v>0</v>
      </c>
      <c r="H39">
        <f t="shared" si="10"/>
        <v>37</v>
      </c>
      <c r="I39" s="3">
        <f>'Monthly Data'!DQ39</f>
        <v>28</v>
      </c>
      <c r="J39" s="3">
        <f>'Monthly Data'!EO39</f>
        <v>0</v>
      </c>
      <c r="L39" s="3">
        <f t="shared" si="1"/>
        <v>-769716</v>
      </c>
      <c r="M39" s="3">
        <f t="shared" ca="1" si="2"/>
        <v>520690.73605749622</v>
      </c>
      <c r="N39" s="3">
        <f t="shared" ca="1" si="3"/>
        <v>0</v>
      </c>
      <c r="O39" s="3">
        <f t="shared" si="4"/>
        <v>0</v>
      </c>
      <c r="P39" s="3">
        <f t="shared" si="5"/>
        <v>98686.178</v>
      </c>
      <c r="Q39" s="3">
        <f t="shared" si="6"/>
        <v>1061772.8799999999</v>
      </c>
      <c r="R39" s="3">
        <f t="shared" si="7"/>
        <v>0</v>
      </c>
      <c r="S39" s="47">
        <f t="shared" ca="1" si="19"/>
        <v>911433.79405749612</v>
      </c>
      <c r="T39" s="47">
        <f>'Monthly Data'!M39</f>
        <v>769.32903085352746</v>
      </c>
      <c r="U39" s="47">
        <f>+'Monthly Data'!N39</f>
        <v>0</v>
      </c>
      <c r="V39" s="47">
        <f t="shared" ca="1" si="9"/>
        <v>912203.1230883497</v>
      </c>
    </row>
    <row r="40" spans="1:22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Data'!L40</f>
        <v>947242.46931801958</v>
      </c>
      <c r="E40" s="3">
        <f t="shared" ref="E40:F40" ca="1" si="37">E28</f>
        <v>546.13298913043491</v>
      </c>
      <c r="F40" s="3">
        <f t="shared" ca="1" si="37"/>
        <v>0</v>
      </c>
      <c r="G40" s="3">
        <f>'Monthly Data'!EG40</f>
        <v>1</v>
      </c>
      <c r="H40">
        <f t="shared" si="10"/>
        <v>38</v>
      </c>
      <c r="I40" s="3">
        <f>'Monthly Data'!DQ40</f>
        <v>31</v>
      </c>
      <c r="J40" s="3">
        <f>'Monthly Data'!EO40</f>
        <v>0</v>
      </c>
      <c r="L40" s="3">
        <f t="shared" si="1"/>
        <v>-769716</v>
      </c>
      <c r="M40" s="3">
        <f t="shared" ca="1" si="2"/>
        <v>455529.19855390227</v>
      </c>
      <c r="N40" s="3">
        <f t="shared" ca="1" si="3"/>
        <v>0</v>
      </c>
      <c r="O40" s="3">
        <f t="shared" si="4"/>
        <v>-56026.3</v>
      </c>
      <c r="P40" s="3">
        <f t="shared" si="5"/>
        <v>101353.372</v>
      </c>
      <c r="Q40" s="3">
        <f t="shared" si="6"/>
        <v>1175534.26</v>
      </c>
      <c r="R40" s="3">
        <f t="shared" si="7"/>
        <v>0</v>
      </c>
      <c r="S40" s="47">
        <f t="shared" ca="1" si="19"/>
        <v>906674.53055390227</v>
      </c>
      <c r="T40" s="47">
        <f>'Monthly Data'!M40</f>
        <v>876.38275806333058</v>
      </c>
      <c r="U40" s="47">
        <f>+'Monthly Data'!N40</f>
        <v>0</v>
      </c>
      <c r="V40" s="47">
        <f t="shared" ca="1" si="9"/>
        <v>907550.91331196565</v>
      </c>
    </row>
    <row r="41" spans="1:22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Data'!L41</f>
        <v>825650.77664505085</v>
      </c>
      <c r="E41" s="3">
        <f t="shared" ref="E41:F41" ca="1" si="38">E29</f>
        <v>352.41399621212122</v>
      </c>
      <c r="F41" s="3">
        <f t="shared" ca="1" si="38"/>
        <v>2.1908333333333347</v>
      </c>
      <c r="G41" s="3">
        <f>'Monthly Data'!EG41</f>
        <v>1</v>
      </c>
      <c r="H41">
        <f t="shared" si="10"/>
        <v>39</v>
      </c>
      <c r="I41" s="3">
        <f>'Monthly Data'!DQ41</f>
        <v>30</v>
      </c>
      <c r="J41" s="3">
        <f>'Monthly Data'!EO41</f>
        <v>0</v>
      </c>
      <c r="L41" s="3">
        <f t="shared" si="1"/>
        <v>-769716</v>
      </c>
      <c r="M41" s="3">
        <f t="shared" ca="1" si="2"/>
        <v>293948.30279213254</v>
      </c>
      <c r="N41" s="3">
        <f t="shared" ca="1" si="3"/>
        <v>4346.2868991666701</v>
      </c>
      <c r="O41" s="3">
        <f t="shared" si="4"/>
        <v>-56026.3</v>
      </c>
      <c r="P41" s="3">
        <f t="shared" si="5"/>
        <v>104020.56599999999</v>
      </c>
      <c r="Q41" s="3">
        <f t="shared" si="6"/>
        <v>1137613.8</v>
      </c>
      <c r="R41" s="3">
        <f t="shared" si="7"/>
        <v>0</v>
      </c>
      <c r="S41" s="47">
        <f t="shared" ca="1" si="19"/>
        <v>714186.65569129924</v>
      </c>
      <c r="T41" s="47">
        <f>'Monthly Data'!M41</f>
        <v>983.43648527313383</v>
      </c>
      <c r="U41" s="47">
        <f>+'Monthly Data'!N41</f>
        <v>0</v>
      </c>
      <c r="V41" s="47">
        <f t="shared" ca="1" si="9"/>
        <v>715170.09217657242</v>
      </c>
    </row>
    <row r="42" spans="1:22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Data'!L42</f>
        <v>682679.85105208121</v>
      </c>
      <c r="E42" s="3">
        <f t="shared" ref="E42:F42" ca="1" si="39">E30</f>
        <v>150.136897859768</v>
      </c>
      <c r="F42" s="3">
        <f t="shared" ca="1" si="39"/>
        <v>52.487435064935063</v>
      </c>
      <c r="G42" s="3">
        <f>'Monthly Data'!EG42</f>
        <v>1</v>
      </c>
      <c r="H42">
        <f t="shared" si="10"/>
        <v>40</v>
      </c>
      <c r="I42" s="3">
        <f>'Monthly Data'!DQ42</f>
        <v>31</v>
      </c>
      <c r="J42" s="3">
        <f>'Monthly Data'!EO42</f>
        <v>0</v>
      </c>
      <c r="L42" s="3">
        <f t="shared" si="1"/>
        <v>-769716</v>
      </c>
      <c r="M42" s="3">
        <f t="shared" ca="1" si="2"/>
        <v>125229.09642269376</v>
      </c>
      <c r="N42" s="3">
        <f t="shared" ca="1" si="3"/>
        <v>104127.25054100649</v>
      </c>
      <c r="O42" s="3">
        <f t="shared" si="4"/>
        <v>-56026.3</v>
      </c>
      <c r="P42" s="3">
        <f t="shared" si="5"/>
        <v>106687.76</v>
      </c>
      <c r="Q42" s="3">
        <f t="shared" si="6"/>
        <v>1175534.26</v>
      </c>
      <c r="R42" s="3">
        <f t="shared" si="7"/>
        <v>0</v>
      </c>
      <c r="S42" s="47">
        <f t="shared" ca="1" si="19"/>
        <v>685836.06696370023</v>
      </c>
      <c r="T42" s="47">
        <f>'Monthly Data'!M42</f>
        <v>1090.4902124829371</v>
      </c>
      <c r="U42" s="47">
        <f>+'Monthly Data'!N42</f>
        <v>0</v>
      </c>
      <c r="V42" s="47">
        <f t="shared" ca="1" si="9"/>
        <v>686926.55717618321</v>
      </c>
    </row>
    <row r="43" spans="1:22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Data'!L43</f>
        <v>718411.03047911357</v>
      </c>
      <c r="E43" s="3">
        <f t="shared" ref="E43:F43" ca="1" si="40">E31</f>
        <v>32.520923826173821</v>
      </c>
      <c r="F43" s="3">
        <f t="shared" ca="1" si="40"/>
        <v>137.65451754405018</v>
      </c>
      <c r="G43" s="3">
        <f>'Monthly Data'!EG43</f>
        <v>0</v>
      </c>
      <c r="H43">
        <f t="shared" si="10"/>
        <v>41</v>
      </c>
      <c r="I43" s="3">
        <f>'Monthly Data'!DQ43</f>
        <v>30</v>
      </c>
      <c r="J43" s="3">
        <f>'Monthly Data'!EO43</f>
        <v>0</v>
      </c>
      <c r="L43" s="3">
        <f t="shared" si="1"/>
        <v>-769716</v>
      </c>
      <c r="M43" s="3">
        <f t="shared" ca="1" si="2"/>
        <v>27125.683050857286</v>
      </c>
      <c r="N43" s="3">
        <f t="shared" ca="1" si="3"/>
        <v>273086.05228428153</v>
      </c>
      <c r="O43" s="3">
        <f t="shared" si="4"/>
        <v>0</v>
      </c>
      <c r="P43" s="3">
        <f t="shared" si="5"/>
        <v>109354.954</v>
      </c>
      <c r="Q43" s="3">
        <f t="shared" si="6"/>
        <v>1137613.8</v>
      </c>
      <c r="R43" s="3">
        <f t="shared" si="7"/>
        <v>0</v>
      </c>
      <c r="S43" s="47">
        <f t="shared" ca="1" si="19"/>
        <v>777464.48933513882</v>
      </c>
      <c r="T43" s="47">
        <f>'Monthly Data'!M43</f>
        <v>1197.5439396927402</v>
      </c>
      <c r="U43" s="47">
        <f>+'Monthly Data'!N43</f>
        <v>0</v>
      </c>
      <c r="V43" s="47">
        <f t="shared" ca="1" si="9"/>
        <v>778662.0332748316</v>
      </c>
    </row>
    <row r="44" spans="1:22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Data'!L44</f>
        <v>1048671.4791061438</v>
      </c>
      <c r="E44" s="3">
        <f t="shared" ref="E44:F44" ca="1" si="41">E32</f>
        <v>1.6179166666666653</v>
      </c>
      <c r="F44" s="3">
        <f t="shared" ca="1" si="41"/>
        <v>235.94737858727848</v>
      </c>
      <c r="G44" s="3">
        <f>'Monthly Data'!EG44</f>
        <v>0</v>
      </c>
      <c r="H44">
        <f t="shared" si="10"/>
        <v>42</v>
      </c>
      <c r="I44" s="3">
        <f>'Monthly Data'!DQ44</f>
        <v>31</v>
      </c>
      <c r="J44" s="3">
        <f>'Monthly Data'!EO44</f>
        <v>0</v>
      </c>
      <c r="L44" s="3">
        <f t="shared" si="1"/>
        <v>-769716</v>
      </c>
      <c r="M44" s="3">
        <f t="shared" ca="1" si="2"/>
        <v>1349.5033209166654</v>
      </c>
      <c r="N44" s="3">
        <f t="shared" ca="1" si="3"/>
        <v>468084.44295775105</v>
      </c>
      <c r="O44" s="3">
        <f t="shared" si="4"/>
        <v>0</v>
      </c>
      <c r="P44" s="3">
        <f t="shared" si="5"/>
        <v>112022.148</v>
      </c>
      <c r="Q44" s="3">
        <f t="shared" si="6"/>
        <v>1175534.26</v>
      </c>
      <c r="R44" s="3">
        <f t="shared" si="7"/>
        <v>0</v>
      </c>
      <c r="S44" s="47">
        <f t="shared" ca="1" si="19"/>
        <v>987274.35427866771</v>
      </c>
      <c r="T44" s="47">
        <f>'Monthly Data'!M44</f>
        <v>1304.5976669025436</v>
      </c>
      <c r="U44" s="47">
        <f>+'Monthly Data'!N44</f>
        <v>0</v>
      </c>
      <c r="V44" s="47">
        <f t="shared" ca="1" si="9"/>
        <v>988578.9519455703</v>
      </c>
    </row>
    <row r="45" spans="1:22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Data'!L45</f>
        <v>1058102.8646831752</v>
      </c>
      <c r="E45" s="3">
        <f t="shared" ref="E45:F45" ca="1" si="42">E33</f>
        <v>5.6499999999999977</v>
      </c>
      <c r="F45" s="3">
        <f t="shared" ca="1" si="42"/>
        <v>210.96558794466404</v>
      </c>
      <c r="G45" s="3">
        <f>'Monthly Data'!EG45</f>
        <v>0</v>
      </c>
      <c r="H45">
        <f t="shared" si="10"/>
        <v>43</v>
      </c>
      <c r="I45" s="3">
        <f>'Monthly Data'!DQ45</f>
        <v>31</v>
      </c>
      <c r="J45" s="3">
        <f>'Monthly Data'!EO45</f>
        <v>0</v>
      </c>
      <c r="L45" s="3">
        <f t="shared" si="1"/>
        <v>-769716</v>
      </c>
      <c r="M45" s="3">
        <f t="shared" ca="1" si="2"/>
        <v>4712.6616099999974</v>
      </c>
      <c r="N45" s="3">
        <f t="shared" ca="1" si="3"/>
        <v>418524.29260960972</v>
      </c>
      <c r="O45" s="3">
        <f t="shared" si="4"/>
        <v>0</v>
      </c>
      <c r="P45" s="3">
        <f t="shared" si="5"/>
        <v>114689.342</v>
      </c>
      <c r="Q45" s="3">
        <f t="shared" si="6"/>
        <v>1175534.26</v>
      </c>
      <c r="R45" s="3">
        <f t="shared" si="7"/>
        <v>0</v>
      </c>
      <c r="S45" s="47">
        <f t="shared" ca="1" si="19"/>
        <v>943744.55621960969</v>
      </c>
      <c r="T45" s="47">
        <f>'Monthly Data'!M45</f>
        <v>1411.6513941123467</v>
      </c>
      <c r="U45" s="47">
        <f>+'Monthly Data'!N45</f>
        <v>0</v>
      </c>
      <c r="V45" s="47">
        <f t="shared" ca="1" si="9"/>
        <v>945156.20761372207</v>
      </c>
    </row>
    <row r="46" spans="1:22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Data'!L46</f>
        <v>759533.26319020661</v>
      </c>
      <c r="E46" s="3">
        <f t="shared" ref="E46:F46" ca="1" si="43">E34</f>
        <v>54.959440993788824</v>
      </c>
      <c r="F46" s="3">
        <f t="shared" ca="1" si="43"/>
        <v>106.4160119047619</v>
      </c>
      <c r="G46" s="3">
        <f>'Monthly Data'!EG46</f>
        <v>1</v>
      </c>
      <c r="H46">
        <f t="shared" si="10"/>
        <v>44</v>
      </c>
      <c r="I46" s="3">
        <f>'Monthly Data'!DQ46</f>
        <v>30</v>
      </c>
      <c r="J46" s="3">
        <f>'Monthly Data'!EO46</f>
        <v>0</v>
      </c>
      <c r="L46" s="3">
        <f t="shared" si="1"/>
        <v>-769716</v>
      </c>
      <c r="M46" s="3">
        <f t="shared" ca="1" si="2"/>
        <v>45841.636757254659</v>
      </c>
      <c r="N46" s="3">
        <f t="shared" ca="1" si="3"/>
        <v>211113.51163327383</v>
      </c>
      <c r="O46" s="3">
        <f t="shared" si="4"/>
        <v>-56026.3</v>
      </c>
      <c r="P46" s="3">
        <f t="shared" si="5"/>
        <v>117356.53599999999</v>
      </c>
      <c r="Q46" s="3">
        <f t="shared" si="6"/>
        <v>1137613.8</v>
      </c>
      <c r="R46" s="3">
        <f t="shared" si="7"/>
        <v>0</v>
      </c>
      <c r="S46" s="47">
        <f t="shared" ca="1" si="19"/>
        <v>686183.18439052836</v>
      </c>
      <c r="T46" s="47">
        <f>'Monthly Data'!M46</f>
        <v>1518.7051213221498</v>
      </c>
      <c r="U46" s="47">
        <f>+'Monthly Data'!N46</f>
        <v>0</v>
      </c>
      <c r="V46" s="47">
        <f t="shared" ca="1" si="9"/>
        <v>687701.88951185055</v>
      </c>
    </row>
    <row r="47" spans="1:22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Data'!L47</f>
        <v>900029.46587723796</v>
      </c>
      <c r="E47" s="3">
        <f t="shared" ref="E47:F47" ca="1" si="44">E35</f>
        <v>237.89681159420289</v>
      </c>
      <c r="F47" s="3">
        <f t="shared" ca="1" si="44"/>
        <v>17.987083333333334</v>
      </c>
      <c r="G47" s="3">
        <f>'Monthly Data'!EG47</f>
        <v>1</v>
      </c>
      <c r="H47">
        <f t="shared" si="10"/>
        <v>45</v>
      </c>
      <c r="I47" s="3">
        <f>'Monthly Data'!DQ47</f>
        <v>31</v>
      </c>
      <c r="J47" s="3">
        <f>'Monthly Data'!EO47</f>
        <v>0</v>
      </c>
      <c r="L47" s="3">
        <f t="shared" si="1"/>
        <v>-769716</v>
      </c>
      <c r="M47" s="3">
        <f t="shared" ca="1" si="2"/>
        <v>198429.58781263765</v>
      </c>
      <c r="N47" s="3">
        <f t="shared" ca="1" si="3"/>
        <v>35683.693257916668</v>
      </c>
      <c r="O47" s="3">
        <f t="shared" si="4"/>
        <v>-56026.3</v>
      </c>
      <c r="P47" s="3">
        <f t="shared" si="5"/>
        <v>120023.73</v>
      </c>
      <c r="Q47" s="3">
        <f t="shared" si="6"/>
        <v>1175534.26</v>
      </c>
      <c r="R47" s="3">
        <f t="shared" si="7"/>
        <v>0</v>
      </c>
      <c r="S47" s="47">
        <f t="shared" ca="1" si="19"/>
        <v>703928.97107055434</v>
      </c>
      <c r="T47" s="47">
        <f>'Monthly Data'!M47</f>
        <v>1625.7588485319529</v>
      </c>
      <c r="U47" s="47">
        <f>+'Monthly Data'!N47</f>
        <v>0</v>
      </c>
      <c r="V47" s="47">
        <f t="shared" ca="1" si="9"/>
        <v>705554.72991908633</v>
      </c>
    </row>
    <row r="48" spans="1:22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Data'!L48</f>
        <v>856133.06674426829</v>
      </c>
      <c r="E48" s="3">
        <f t="shared" ref="E48:F48" ca="1" si="45">E36</f>
        <v>426.62991389045737</v>
      </c>
      <c r="F48" s="3">
        <f t="shared" ca="1" si="45"/>
        <v>0.8083333333333329</v>
      </c>
      <c r="G48" s="3">
        <f>'Monthly Data'!EG48</f>
        <v>1</v>
      </c>
      <c r="H48">
        <f t="shared" si="10"/>
        <v>46</v>
      </c>
      <c r="I48" s="3">
        <f>'Monthly Data'!DQ48</f>
        <v>30</v>
      </c>
      <c r="J48" s="3">
        <f>'Monthly Data'!EO48</f>
        <v>0</v>
      </c>
      <c r="L48" s="3">
        <f t="shared" si="1"/>
        <v>-769716</v>
      </c>
      <c r="M48" s="3">
        <f t="shared" ca="1" si="2"/>
        <v>355851.75519808213</v>
      </c>
      <c r="N48" s="3">
        <f t="shared" ca="1" si="3"/>
        <v>1603.612891666666</v>
      </c>
      <c r="O48" s="3">
        <f t="shared" si="4"/>
        <v>-56026.3</v>
      </c>
      <c r="P48" s="3">
        <f t="shared" si="5"/>
        <v>122690.924</v>
      </c>
      <c r="Q48" s="3">
        <f t="shared" si="6"/>
        <v>1137613.8</v>
      </c>
      <c r="R48" s="3">
        <f t="shared" si="7"/>
        <v>0</v>
      </c>
      <c r="S48" s="47">
        <f t="shared" ca="1" si="19"/>
        <v>792017.79208974889</v>
      </c>
      <c r="T48" s="47">
        <f>'Monthly Data'!M48</f>
        <v>1732.8125757417561</v>
      </c>
      <c r="U48" s="47">
        <f>+'Monthly Data'!N48</f>
        <v>0</v>
      </c>
      <c r="V48" s="47">
        <f t="shared" ca="1" si="9"/>
        <v>793750.60466549068</v>
      </c>
    </row>
    <row r="49" spans="1:22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Data'!L49</f>
        <v>1023879.7442513007</v>
      </c>
      <c r="E49" s="3">
        <f t="shared" ref="E49:F49" ca="1" si="46">E37</f>
        <v>577.92800724637686</v>
      </c>
      <c r="F49" s="3">
        <f t="shared" ca="1" si="46"/>
        <v>0</v>
      </c>
      <c r="G49" s="3">
        <f>'Monthly Data'!EG49</f>
        <v>0</v>
      </c>
      <c r="H49">
        <f t="shared" si="10"/>
        <v>47</v>
      </c>
      <c r="I49" s="3">
        <f>'Monthly Data'!DQ49</f>
        <v>31</v>
      </c>
      <c r="J49" s="3">
        <f>'Monthly Data'!EO49</f>
        <v>0</v>
      </c>
      <c r="L49" s="3">
        <f t="shared" si="1"/>
        <v>-769716</v>
      </c>
      <c r="M49" s="3">
        <f t="shared" ca="1" si="2"/>
        <v>482049.40408739855</v>
      </c>
      <c r="N49" s="3">
        <f t="shared" ca="1" si="3"/>
        <v>0</v>
      </c>
      <c r="O49" s="3">
        <f t="shared" si="4"/>
        <v>0</v>
      </c>
      <c r="P49" s="3">
        <f t="shared" si="5"/>
        <v>125358.118</v>
      </c>
      <c r="Q49" s="3">
        <f t="shared" si="6"/>
        <v>1175534.26</v>
      </c>
      <c r="R49" s="3">
        <f t="shared" si="7"/>
        <v>0</v>
      </c>
      <c r="S49" s="47">
        <f t="shared" ca="1" si="19"/>
        <v>1013225.7820873986</v>
      </c>
      <c r="T49" s="47">
        <f>'Monthly Data'!M49</f>
        <v>1839.8663029515592</v>
      </c>
      <c r="U49" s="47">
        <f>+'Monthly Data'!N49</f>
        <v>0</v>
      </c>
      <c r="V49" s="47">
        <f t="shared" ca="1" si="9"/>
        <v>1015065.6483903502</v>
      </c>
    </row>
    <row r="50" spans="1:22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Data'!L50</f>
        <v>1235593.5946586204</v>
      </c>
      <c r="E50" s="3">
        <f t="shared" ref="E50:F50" ca="1" si="47">E38</f>
        <v>697.33418478260876</v>
      </c>
      <c r="F50" s="3">
        <f t="shared" ca="1" si="47"/>
        <v>0</v>
      </c>
      <c r="G50" s="3">
        <f>'Monthly Data'!EG50</f>
        <v>0</v>
      </c>
      <c r="H50">
        <f t="shared" si="10"/>
        <v>48</v>
      </c>
      <c r="I50" s="3">
        <f>'Monthly Data'!DQ50</f>
        <v>31</v>
      </c>
      <c r="J50" s="3">
        <f>'Monthly Data'!EO50</f>
        <v>0</v>
      </c>
      <c r="L50" s="3">
        <f t="shared" si="1"/>
        <v>-769716</v>
      </c>
      <c r="M50" s="3">
        <f t="shared" ca="1" si="2"/>
        <v>581646.02512666304</v>
      </c>
      <c r="N50" s="3">
        <f t="shared" ca="1" si="3"/>
        <v>0</v>
      </c>
      <c r="O50" s="3">
        <f t="shared" si="4"/>
        <v>0</v>
      </c>
      <c r="P50" s="3">
        <f t="shared" si="5"/>
        <v>128025.31200000001</v>
      </c>
      <c r="Q50" s="3">
        <f t="shared" si="6"/>
        <v>1175534.26</v>
      </c>
      <c r="R50" s="3">
        <f t="shared" si="7"/>
        <v>0</v>
      </c>
      <c r="S50" s="47">
        <f t="shared" ca="1" si="19"/>
        <v>1115489.597126663</v>
      </c>
      <c r="T50" s="47">
        <f>'Monthly Data'!M50</f>
        <v>2003.0791406331555</v>
      </c>
      <c r="U50" s="47">
        <f ca="1">+'Monthly Data'!N50</f>
        <v>2070.750316094362</v>
      </c>
      <c r="V50" s="47">
        <f t="shared" ca="1" si="9"/>
        <v>1119563.4265833905</v>
      </c>
    </row>
    <row r="51" spans="1:22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Data'!L51</f>
        <v>1085389.6130774193</v>
      </c>
      <c r="E51" s="3">
        <f t="shared" ref="E51:F51" ca="1" si="48">E39</f>
        <v>624.25501811594188</v>
      </c>
      <c r="F51" s="3">
        <f t="shared" ca="1" si="48"/>
        <v>0</v>
      </c>
      <c r="G51" s="3">
        <f>'Monthly Data'!EG51</f>
        <v>0</v>
      </c>
      <c r="H51">
        <f t="shared" si="10"/>
        <v>49</v>
      </c>
      <c r="I51" s="3">
        <f>'Monthly Data'!DQ51</f>
        <v>28</v>
      </c>
      <c r="J51" s="3">
        <f>'Monthly Data'!EO51</f>
        <v>0</v>
      </c>
      <c r="L51" s="3">
        <f t="shared" si="1"/>
        <v>-769716</v>
      </c>
      <c r="M51" s="3">
        <f t="shared" ca="1" si="2"/>
        <v>520690.73605749622</v>
      </c>
      <c r="N51" s="3">
        <f t="shared" ca="1" si="3"/>
        <v>0</v>
      </c>
      <c r="O51" s="3">
        <f t="shared" si="4"/>
        <v>0</v>
      </c>
      <c r="P51" s="3">
        <f t="shared" si="5"/>
        <v>130692.50599999999</v>
      </c>
      <c r="Q51" s="3">
        <f t="shared" si="6"/>
        <v>1061772.8799999999</v>
      </c>
      <c r="R51" s="3">
        <f t="shared" si="7"/>
        <v>0</v>
      </c>
      <c r="S51" s="47">
        <f t="shared" ca="1" si="19"/>
        <v>943440.1220574961</v>
      </c>
      <c r="T51" s="47">
        <f>'Monthly Data'!M51</f>
        <v>2059.2382511049486</v>
      </c>
      <c r="U51" s="47">
        <f ca="1">+'Monthly Data'!N51</f>
        <v>1697.3749532508441</v>
      </c>
      <c r="V51" s="47">
        <f t="shared" ca="1" si="9"/>
        <v>947196.73526185192</v>
      </c>
    </row>
    <row r="52" spans="1:22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Data'!L52</f>
        <v>1066107.9126962184</v>
      </c>
      <c r="E52" s="3">
        <f t="shared" ref="E52:F52" ca="1" si="49">E40</f>
        <v>546.13298913043491</v>
      </c>
      <c r="F52" s="3">
        <f t="shared" ca="1" si="49"/>
        <v>0</v>
      </c>
      <c r="G52" s="3">
        <f>'Monthly Data'!EG52</f>
        <v>1</v>
      </c>
      <c r="H52">
        <f t="shared" si="10"/>
        <v>50</v>
      </c>
      <c r="I52" s="3">
        <f>'Monthly Data'!DQ52</f>
        <v>31</v>
      </c>
      <c r="J52" s="3">
        <f>'Monthly Data'!EO52</f>
        <v>0</v>
      </c>
      <c r="L52" s="3">
        <f t="shared" si="1"/>
        <v>-769716</v>
      </c>
      <c r="M52" s="3">
        <f t="shared" ca="1" si="2"/>
        <v>455529.19855390227</v>
      </c>
      <c r="N52" s="3">
        <f t="shared" ca="1" si="3"/>
        <v>0</v>
      </c>
      <c r="O52" s="3">
        <f t="shared" si="4"/>
        <v>-56026.3</v>
      </c>
      <c r="P52" s="3">
        <f t="shared" si="5"/>
        <v>133359.70000000001</v>
      </c>
      <c r="Q52" s="3">
        <f t="shared" si="6"/>
        <v>1175534.26</v>
      </c>
      <c r="R52" s="3">
        <f t="shared" si="7"/>
        <v>0</v>
      </c>
      <c r="S52" s="47">
        <f t="shared" ca="1" si="19"/>
        <v>938680.85855390225</v>
      </c>
      <c r="T52" s="47">
        <f>'Monthly Data'!M52</f>
        <v>2115.3973615767422</v>
      </c>
      <c r="U52" s="47">
        <f ca="1">+'Monthly Data'!N52</f>
        <v>1623.4432904887574</v>
      </c>
      <c r="V52" s="47">
        <f t="shared" ca="1" si="9"/>
        <v>942419.69920596783</v>
      </c>
    </row>
    <row r="53" spans="1:22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Data'!L53</f>
        <v>791047.00539501745</v>
      </c>
      <c r="E53" s="3">
        <f t="shared" ref="E53:F53" ca="1" si="50">E41</f>
        <v>352.41399621212122</v>
      </c>
      <c r="F53" s="3">
        <f t="shared" ca="1" si="50"/>
        <v>2.1908333333333347</v>
      </c>
      <c r="G53" s="3">
        <f>'Monthly Data'!EG53</f>
        <v>1</v>
      </c>
      <c r="H53">
        <f t="shared" si="10"/>
        <v>51</v>
      </c>
      <c r="I53" s="3">
        <f>'Monthly Data'!DQ53</f>
        <v>30</v>
      </c>
      <c r="J53" s="3">
        <f>'Monthly Data'!EO53</f>
        <v>0</v>
      </c>
      <c r="L53" s="3">
        <f t="shared" si="1"/>
        <v>-769716</v>
      </c>
      <c r="M53" s="3">
        <f t="shared" ca="1" si="2"/>
        <v>293948.30279213254</v>
      </c>
      <c r="N53" s="3">
        <f t="shared" ca="1" si="3"/>
        <v>4346.2868991666701</v>
      </c>
      <c r="O53" s="3">
        <f t="shared" si="4"/>
        <v>-56026.3</v>
      </c>
      <c r="P53" s="3">
        <f t="shared" si="5"/>
        <v>136026.894</v>
      </c>
      <c r="Q53" s="3">
        <f t="shared" si="6"/>
        <v>1137613.8</v>
      </c>
      <c r="R53" s="3">
        <f t="shared" si="7"/>
        <v>0</v>
      </c>
      <c r="S53" s="47">
        <f t="shared" ca="1" si="19"/>
        <v>746192.98369129922</v>
      </c>
      <c r="T53" s="47">
        <f>'Monthly Data'!M53</f>
        <v>2171.5564720485354</v>
      </c>
      <c r="U53" s="47">
        <f ca="1">+'Monthly Data'!N53</f>
        <v>973.47965405886987</v>
      </c>
      <c r="V53" s="47">
        <f t="shared" ca="1" si="9"/>
        <v>749338.01981740654</v>
      </c>
    </row>
    <row r="54" spans="1:22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Data'!L54</f>
        <v>804730.19336381648</v>
      </c>
      <c r="E54" s="3">
        <f t="shared" ref="E54:F54" ca="1" si="51">E42</f>
        <v>150.136897859768</v>
      </c>
      <c r="F54" s="3">
        <f t="shared" ca="1" si="51"/>
        <v>52.487435064935063</v>
      </c>
      <c r="G54" s="3">
        <f>'Monthly Data'!EG54</f>
        <v>1</v>
      </c>
      <c r="H54">
        <f t="shared" si="10"/>
        <v>52</v>
      </c>
      <c r="I54" s="3">
        <f>'Monthly Data'!DQ54</f>
        <v>31</v>
      </c>
      <c r="J54" s="3">
        <f>'Monthly Data'!EO54</f>
        <v>0</v>
      </c>
      <c r="L54" s="3">
        <f t="shared" si="1"/>
        <v>-769716</v>
      </c>
      <c r="M54" s="3">
        <f t="shared" ca="1" si="2"/>
        <v>125229.09642269376</v>
      </c>
      <c r="N54" s="3">
        <f t="shared" ca="1" si="3"/>
        <v>104127.25054100649</v>
      </c>
      <c r="O54" s="3">
        <f t="shared" si="4"/>
        <v>-56026.3</v>
      </c>
      <c r="P54" s="3">
        <f t="shared" si="5"/>
        <v>138694.08799999999</v>
      </c>
      <c r="Q54" s="3">
        <f t="shared" si="6"/>
        <v>1175534.26</v>
      </c>
      <c r="R54" s="3">
        <f t="shared" si="7"/>
        <v>0</v>
      </c>
      <c r="S54" s="47">
        <f t="shared" ref="S54:S85" ca="1" si="52">SUM(L54:R54)</f>
        <v>717842.39496370021</v>
      </c>
      <c r="T54" s="47">
        <f>'Monthly Data'!M54</f>
        <v>2227.7155825203286</v>
      </c>
      <c r="U54" s="47">
        <f ca="1">+'Monthly Data'!N54</f>
        <v>545.70169198999429</v>
      </c>
      <c r="V54" s="47">
        <f t="shared" ca="1" si="9"/>
        <v>720615.81223821058</v>
      </c>
    </row>
    <row r="55" spans="1:22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Data'!L55</f>
        <v>766672.19979261432</v>
      </c>
      <c r="E55" s="3">
        <f t="shared" ref="E55:F55" ca="1" si="53">E43</f>
        <v>32.520923826173821</v>
      </c>
      <c r="F55" s="3">
        <f t="shared" ca="1" si="53"/>
        <v>137.65451754405018</v>
      </c>
      <c r="G55" s="3">
        <f>'Monthly Data'!EG55</f>
        <v>0</v>
      </c>
      <c r="H55">
        <f t="shared" si="10"/>
        <v>53</v>
      </c>
      <c r="I55" s="3">
        <f>'Monthly Data'!DQ55</f>
        <v>30</v>
      </c>
      <c r="J55" s="3">
        <f>'Monthly Data'!EO55</f>
        <v>0</v>
      </c>
      <c r="L55" s="3">
        <f t="shared" si="1"/>
        <v>-769716</v>
      </c>
      <c r="M55" s="3">
        <f t="shared" ca="1" si="2"/>
        <v>27125.683050857286</v>
      </c>
      <c r="N55" s="3">
        <f t="shared" ca="1" si="3"/>
        <v>273086.05228428153</v>
      </c>
      <c r="O55" s="3">
        <f t="shared" si="4"/>
        <v>0</v>
      </c>
      <c r="P55" s="3">
        <f t="shared" si="5"/>
        <v>141361.28200000001</v>
      </c>
      <c r="Q55" s="3">
        <f t="shared" si="6"/>
        <v>1137613.8</v>
      </c>
      <c r="R55" s="3">
        <f t="shared" si="7"/>
        <v>0</v>
      </c>
      <c r="S55" s="47">
        <f t="shared" ca="1" si="52"/>
        <v>809470.8173351388</v>
      </c>
      <c r="T55" s="47">
        <f>'Monthly Data'!M55</f>
        <v>2283.8746929921222</v>
      </c>
      <c r="U55" s="47">
        <f ca="1">+'Monthly Data'!N55</f>
        <v>122.45242781887605</v>
      </c>
      <c r="V55" s="47">
        <f t="shared" ref="V55:V118" ca="1" si="54">S55+T55+U55</f>
        <v>811877.14445594978</v>
      </c>
    </row>
    <row r="56" spans="1:22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Data'!L56</f>
        <v>1019691.4391314134</v>
      </c>
      <c r="E56" s="3">
        <f t="shared" ref="E56:F56" ca="1" si="55">E44</f>
        <v>1.6179166666666653</v>
      </c>
      <c r="F56" s="3">
        <f t="shared" ca="1" si="55"/>
        <v>235.94737858727848</v>
      </c>
      <c r="G56" s="3">
        <f>'Monthly Data'!EG56</f>
        <v>0</v>
      </c>
      <c r="H56">
        <f t="shared" si="10"/>
        <v>54</v>
      </c>
      <c r="I56" s="3">
        <f>'Monthly Data'!DQ56</f>
        <v>31</v>
      </c>
      <c r="J56" s="3">
        <f>'Monthly Data'!EO56</f>
        <v>0</v>
      </c>
      <c r="L56" s="3">
        <f t="shared" si="1"/>
        <v>-769716</v>
      </c>
      <c r="M56" s="3">
        <f t="shared" ca="1" si="2"/>
        <v>1349.5033209166654</v>
      </c>
      <c r="N56" s="3">
        <f t="shared" ca="1" si="3"/>
        <v>468084.44295775105</v>
      </c>
      <c r="O56" s="3">
        <f t="shared" si="4"/>
        <v>0</v>
      </c>
      <c r="P56" s="3">
        <f t="shared" si="5"/>
        <v>144028.476</v>
      </c>
      <c r="Q56" s="3">
        <f t="shared" si="6"/>
        <v>1175534.26</v>
      </c>
      <c r="R56" s="3">
        <f t="shared" si="7"/>
        <v>0</v>
      </c>
      <c r="S56" s="47">
        <f t="shared" ca="1" si="52"/>
        <v>1019280.6822786677</v>
      </c>
      <c r="T56" s="47">
        <f>'Monthly Data'!M56</f>
        <v>2340.0338034639153</v>
      </c>
      <c r="U56" s="47">
        <f ca="1">+'Monthly Data'!N56</f>
        <v>0</v>
      </c>
      <c r="V56" s="47">
        <f t="shared" ca="1" si="54"/>
        <v>1021620.7160821316</v>
      </c>
    </row>
    <row r="57" spans="1:22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Data'!L57</f>
        <v>1015301.5661502132</v>
      </c>
      <c r="E57" s="3">
        <f t="shared" ref="E57:F57" ca="1" si="56">E45</f>
        <v>5.6499999999999977</v>
      </c>
      <c r="F57" s="3">
        <f t="shared" ca="1" si="56"/>
        <v>210.96558794466404</v>
      </c>
      <c r="G57" s="3">
        <f>'Monthly Data'!EG57</f>
        <v>0</v>
      </c>
      <c r="H57">
        <f t="shared" si="10"/>
        <v>55</v>
      </c>
      <c r="I57" s="3">
        <f>'Monthly Data'!DQ57</f>
        <v>31</v>
      </c>
      <c r="J57" s="3">
        <f>'Monthly Data'!EO57</f>
        <v>0</v>
      </c>
      <c r="L57" s="3">
        <f t="shared" si="1"/>
        <v>-769716</v>
      </c>
      <c r="M57" s="3">
        <f t="shared" ca="1" si="2"/>
        <v>4712.6616099999974</v>
      </c>
      <c r="N57" s="3">
        <f t="shared" ca="1" si="3"/>
        <v>418524.29260960972</v>
      </c>
      <c r="O57" s="3">
        <f t="shared" si="4"/>
        <v>0</v>
      </c>
      <c r="P57" s="3">
        <f t="shared" si="5"/>
        <v>146695.66999999998</v>
      </c>
      <c r="Q57" s="3">
        <f t="shared" si="6"/>
        <v>1175534.26</v>
      </c>
      <c r="R57" s="3">
        <f t="shared" si="7"/>
        <v>0</v>
      </c>
      <c r="S57" s="47">
        <f t="shared" ca="1" si="52"/>
        <v>975750.88421960967</v>
      </c>
      <c r="T57" s="47">
        <f>'Monthly Data'!M57</f>
        <v>2396.1929139357089</v>
      </c>
      <c r="U57" s="47">
        <f ca="1">+'Monthly Data'!N57</f>
        <v>12.334850213934997</v>
      </c>
      <c r="V57" s="47">
        <f t="shared" ca="1" si="54"/>
        <v>978159.41198375938</v>
      </c>
    </row>
    <row r="58" spans="1:22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Data'!L58</f>
        <v>726854.95777901227</v>
      </c>
      <c r="E58" s="3">
        <f t="shared" ref="E58:F58" ca="1" si="57">E46</f>
        <v>54.959440993788824</v>
      </c>
      <c r="F58" s="3">
        <f t="shared" ca="1" si="57"/>
        <v>106.4160119047619</v>
      </c>
      <c r="G58" s="3">
        <f>'Monthly Data'!EG58</f>
        <v>1</v>
      </c>
      <c r="H58">
        <f t="shared" si="10"/>
        <v>56</v>
      </c>
      <c r="I58" s="3">
        <f>'Monthly Data'!DQ58</f>
        <v>30</v>
      </c>
      <c r="J58" s="3">
        <f>'Monthly Data'!EO58</f>
        <v>0</v>
      </c>
      <c r="L58" s="3">
        <f t="shared" si="1"/>
        <v>-769716</v>
      </c>
      <c r="M58" s="3">
        <f t="shared" ca="1" si="2"/>
        <v>45841.636757254659</v>
      </c>
      <c r="N58" s="3">
        <f t="shared" ca="1" si="3"/>
        <v>211113.51163327383</v>
      </c>
      <c r="O58" s="3">
        <f t="shared" si="4"/>
        <v>-56026.3</v>
      </c>
      <c r="P58" s="3">
        <f t="shared" si="5"/>
        <v>149362.864</v>
      </c>
      <c r="Q58" s="3">
        <f t="shared" si="6"/>
        <v>1137613.8</v>
      </c>
      <c r="R58" s="3">
        <f t="shared" si="7"/>
        <v>0</v>
      </c>
      <c r="S58" s="47">
        <f t="shared" ca="1" si="52"/>
        <v>718189.51239052834</v>
      </c>
      <c r="T58" s="47">
        <f>'Monthly Data'!M58</f>
        <v>2452.3520244075021</v>
      </c>
      <c r="U58" s="47">
        <f ca="1">+'Monthly Data'!N58</f>
        <v>164.75598586200377</v>
      </c>
      <c r="V58" s="47">
        <f t="shared" ca="1" si="54"/>
        <v>720806.62040079781</v>
      </c>
    </row>
    <row r="59" spans="1:22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Data'!L59</f>
        <v>860246.65539781121</v>
      </c>
      <c r="E59" s="3">
        <f t="shared" ref="E59:F59" ca="1" si="58">E47</f>
        <v>237.89681159420289</v>
      </c>
      <c r="F59" s="3">
        <f t="shared" ca="1" si="58"/>
        <v>17.987083333333334</v>
      </c>
      <c r="G59" s="3">
        <f>'Monthly Data'!EG59</f>
        <v>1</v>
      </c>
      <c r="H59">
        <f t="shared" si="10"/>
        <v>57</v>
      </c>
      <c r="I59" s="3">
        <f>'Monthly Data'!DQ59</f>
        <v>31</v>
      </c>
      <c r="J59" s="3">
        <f>'Monthly Data'!EO59</f>
        <v>0</v>
      </c>
      <c r="L59" s="3">
        <f t="shared" si="1"/>
        <v>-769716</v>
      </c>
      <c r="M59" s="3">
        <f t="shared" ca="1" si="2"/>
        <v>198429.58781263765</v>
      </c>
      <c r="N59" s="3">
        <f t="shared" ca="1" si="3"/>
        <v>35683.693257916668</v>
      </c>
      <c r="O59" s="3">
        <f t="shared" si="4"/>
        <v>-56026.3</v>
      </c>
      <c r="P59" s="3">
        <f t="shared" si="5"/>
        <v>152030.05799999999</v>
      </c>
      <c r="Q59" s="3">
        <f t="shared" si="6"/>
        <v>1175534.26</v>
      </c>
      <c r="R59" s="3">
        <f t="shared" si="7"/>
        <v>0</v>
      </c>
      <c r="S59" s="47">
        <f t="shared" ca="1" si="52"/>
        <v>735935.29907055432</v>
      </c>
      <c r="T59" s="47">
        <f>'Monthly Data'!M59</f>
        <v>2508.5111348792952</v>
      </c>
      <c r="U59" s="47">
        <f ca="1">+'Monthly Data'!N59</f>
        <v>647.2422255306692</v>
      </c>
      <c r="V59" s="47">
        <f t="shared" ca="1" si="54"/>
        <v>739091.05243096431</v>
      </c>
    </row>
    <row r="60" spans="1:22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Data'!L60</f>
        <v>935722.1514366112</v>
      </c>
      <c r="E60" s="3">
        <f t="shared" ref="E60:F60" ca="1" si="59">E48</f>
        <v>426.62991389045737</v>
      </c>
      <c r="F60" s="3">
        <f t="shared" ca="1" si="59"/>
        <v>0.8083333333333329</v>
      </c>
      <c r="G60" s="3">
        <f>'Monthly Data'!EG60</f>
        <v>1</v>
      </c>
      <c r="H60">
        <f t="shared" si="10"/>
        <v>58</v>
      </c>
      <c r="I60" s="3">
        <f>'Monthly Data'!DQ60</f>
        <v>30</v>
      </c>
      <c r="J60" s="3">
        <f>'Monthly Data'!EO60</f>
        <v>0</v>
      </c>
      <c r="L60" s="3">
        <f t="shared" si="1"/>
        <v>-769716</v>
      </c>
      <c r="M60" s="3">
        <f t="shared" ca="1" si="2"/>
        <v>355851.75519808213</v>
      </c>
      <c r="N60" s="3">
        <f t="shared" ca="1" si="3"/>
        <v>1603.612891666666</v>
      </c>
      <c r="O60" s="3">
        <f t="shared" si="4"/>
        <v>-56026.3</v>
      </c>
      <c r="P60" s="3">
        <f t="shared" si="5"/>
        <v>154697.25200000001</v>
      </c>
      <c r="Q60" s="3">
        <f t="shared" si="6"/>
        <v>1137613.8</v>
      </c>
      <c r="R60" s="3">
        <f t="shared" si="7"/>
        <v>0</v>
      </c>
      <c r="S60" s="47">
        <f t="shared" ca="1" si="52"/>
        <v>824024.12008974887</v>
      </c>
      <c r="T60" s="47">
        <f>'Monthly Data'!M60</f>
        <v>2564.6702453510889</v>
      </c>
      <c r="U60" s="47">
        <f ca="1">+'Monthly Data'!N60</f>
        <v>1406.4384278909552</v>
      </c>
      <c r="V60" s="47">
        <f t="shared" ca="1" si="54"/>
        <v>827995.22876299091</v>
      </c>
    </row>
    <row r="61" spans="1:22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Data'!L61</f>
        <v>1075831.7731454091</v>
      </c>
      <c r="E61" s="3">
        <f t="shared" ref="E61:F61" ca="1" si="60">E49</f>
        <v>577.92800724637686</v>
      </c>
      <c r="F61" s="3">
        <f t="shared" ca="1" si="60"/>
        <v>0</v>
      </c>
      <c r="G61" s="3">
        <f>'Monthly Data'!EG61</f>
        <v>0</v>
      </c>
      <c r="H61">
        <f t="shared" si="10"/>
        <v>59</v>
      </c>
      <c r="I61" s="3">
        <f>'Monthly Data'!DQ61</f>
        <v>31</v>
      </c>
      <c r="J61" s="3">
        <f>'Monthly Data'!EO61</f>
        <v>0</v>
      </c>
      <c r="L61" s="3">
        <f t="shared" si="1"/>
        <v>-769716</v>
      </c>
      <c r="M61" s="3">
        <f t="shared" ca="1" si="2"/>
        <v>482049.40408739855</v>
      </c>
      <c r="N61" s="3">
        <f t="shared" ca="1" si="3"/>
        <v>0</v>
      </c>
      <c r="O61" s="3">
        <f t="shared" si="4"/>
        <v>0</v>
      </c>
      <c r="P61" s="3">
        <f t="shared" si="5"/>
        <v>157364.446</v>
      </c>
      <c r="Q61" s="3">
        <f t="shared" si="6"/>
        <v>1175534.26</v>
      </c>
      <c r="R61" s="3">
        <f t="shared" si="7"/>
        <v>0</v>
      </c>
      <c r="S61" s="47">
        <f t="shared" ca="1" si="52"/>
        <v>1045232.1100873986</v>
      </c>
      <c r="T61" s="47">
        <f>'Monthly Data'!M61</f>
        <v>2620.829355822882</v>
      </c>
      <c r="U61" s="47">
        <f ca="1">+'Monthly Data'!N61</f>
        <v>1631.3309570381166</v>
      </c>
      <c r="V61" s="47">
        <f t="shared" ca="1" si="54"/>
        <v>1049484.2704002596</v>
      </c>
    </row>
    <row r="62" spans="1:22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Data'!L62</f>
        <v>1105183.051995286</v>
      </c>
      <c r="E62" s="3">
        <f t="shared" ref="E62:F62" ca="1" si="61">E50</f>
        <v>697.33418478260876</v>
      </c>
      <c r="F62" s="3">
        <f t="shared" ca="1" si="61"/>
        <v>0</v>
      </c>
      <c r="G62" s="3">
        <f>'Monthly Data'!EG62</f>
        <v>0</v>
      </c>
      <c r="H62">
        <f t="shared" si="10"/>
        <v>60</v>
      </c>
      <c r="I62" s="3">
        <f>'Monthly Data'!DQ62</f>
        <v>31</v>
      </c>
      <c r="J62" s="3">
        <f>'Monthly Data'!EO62</f>
        <v>0</v>
      </c>
      <c r="L62" s="3">
        <f t="shared" si="1"/>
        <v>-769716</v>
      </c>
      <c r="M62" s="3">
        <f t="shared" ca="1" si="2"/>
        <v>581646.02512666304</v>
      </c>
      <c r="N62" s="3">
        <f t="shared" ca="1" si="3"/>
        <v>0</v>
      </c>
      <c r="O62" s="3">
        <f t="shared" si="4"/>
        <v>0</v>
      </c>
      <c r="P62" s="3">
        <f t="shared" si="5"/>
        <v>160031.63999999998</v>
      </c>
      <c r="Q62" s="3">
        <f t="shared" si="6"/>
        <v>1175534.26</v>
      </c>
      <c r="R62" s="3">
        <f t="shared" si="7"/>
        <v>0</v>
      </c>
      <c r="S62" s="47">
        <f t="shared" ca="1" si="52"/>
        <v>1147495.9251266629</v>
      </c>
      <c r="T62" s="47">
        <f>'Monthly Data'!M62</f>
        <v>2741.9105108677563</v>
      </c>
      <c r="U62" s="47">
        <f ca="1">+'Monthly Data'!N62</f>
        <v>6663.9281162151137</v>
      </c>
      <c r="V62" s="47">
        <f t="shared" ca="1" si="54"/>
        <v>1156901.7637537459</v>
      </c>
    </row>
    <row r="63" spans="1:22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Data'!L63</f>
        <v>1070997.4322070554</v>
      </c>
      <c r="E63" s="3">
        <f t="shared" ref="E63:F63" ca="1" si="62">E51</f>
        <v>624.25501811594188</v>
      </c>
      <c r="F63" s="3">
        <f t="shared" ca="1" si="62"/>
        <v>0</v>
      </c>
      <c r="G63" s="3">
        <f>'Monthly Data'!EG63</f>
        <v>0</v>
      </c>
      <c r="H63">
        <f t="shared" si="10"/>
        <v>61</v>
      </c>
      <c r="I63" s="3">
        <f>'Monthly Data'!DQ63</f>
        <v>29</v>
      </c>
      <c r="J63" s="3">
        <f>'Monthly Data'!EO63</f>
        <v>0</v>
      </c>
      <c r="L63" s="3">
        <f t="shared" si="1"/>
        <v>-769716</v>
      </c>
      <c r="M63" s="3">
        <f t="shared" ca="1" si="2"/>
        <v>520690.73605749622</v>
      </c>
      <c r="N63" s="3">
        <f t="shared" ca="1" si="3"/>
        <v>0</v>
      </c>
      <c r="O63" s="3">
        <f t="shared" si="4"/>
        <v>0</v>
      </c>
      <c r="P63" s="3">
        <f t="shared" si="5"/>
        <v>162698.834</v>
      </c>
      <c r="Q63" s="3">
        <f t="shared" si="6"/>
        <v>1099693.3400000001</v>
      </c>
      <c r="R63" s="3">
        <f t="shared" si="7"/>
        <v>0</v>
      </c>
      <c r="S63" s="47">
        <f t="shared" ca="1" si="52"/>
        <v>1013366.9100574963</v>
      </c>
      <c r="T63" s="47">
        <f>'Monthly Data'!M63</f>
        <v>2806.832555440838</v>
      </c>
      <c r="U63" s="47">
        <f ca="1">+'Monthly Data'!N63</f>
        <v>6574.6883438709074</v>
      </c>
      <c r="V63" s="47">
        <f t="shared" ca="1" si="54"/>
        <v>1022748.430956808</v>
      </c>
    </row>
    <row r="64" spans="1:22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Data'!L64</f>
        <v>1015725.855648826</v>
      </c>
      <c r="E64" s="3">
        <f t="shared" ref="E64:F64" ca="1" si="63">E52</f>
        <v>546.13298913043491</v>
      </c>
      <c r="F64" s="3">
        <f t="shared" ca="1" si="63"/>
        <v>0</v>
      </c>
      <c r="G64" s="3">
        <f>'Monthly Data'!EG64</f>
        <v>1</v>
      </c>
      <c r="H64">
        <f t="shared" si="10"/>
        <v>62</v>
      </c>
      <c r="I64" s="3">
        <f>'Monthly Data'!DQ64</f>
        <v>31</v>
      </c>
      <c r="J64" s="3">
        <f>'Monthly Data'!EO64</f>
        <v>240.78541666666672</v>
      </c>
      <c r="L64" s="3">
        <f t="shared" si="1"/>
        <v>-769716</v>
      </c>
      <c r="M64" s="3">
        <f t="shared" ca="1" si="2"/>
        <v>455529.19855390227</v>
      </c>
      <c r="N64" s="3">
        <f t="shared" ca="1" si="3"/>
        <v>0</v>
      </c>
      <c r="O64" s="3">
        <f t="shared" si="4"/>
        <v>-56026.3</v>
      </c>
      <c r="P64" s="3">
        <f t="shared" si="5"/>
        <v>165366.02799999999</v>
      </c>
      <c r="Q64" s="3">
        <f t="shared" si="6"/>
        <v>1175534.26</v>
      </c>
      <c r="R64" s="3">
        <f t="shared" si="7"/>
        <v>138102.76467166669</v>
      </c>
      <c r="S64" s="47">
        <f t="shared" ca="1" si="52"/>
        <v>1108789.951225569</v>
      </c>
      <c r="T64" s="47">
        <f>'Monthly Data'!M64</f>
        <v>2871.7546000139191</v>
      </c>
      <c r="U64" s="47">
        <f ca="1">+'Monthly Data'!N64</f>
        <v>5103.4463969453036</v>
      </c>
      <c r="V64" s="47">
        <f t="shared" ca="1" si="54"/>
        <v>1116765.1522225281</v>
      </c>
    </row>
    <row r="65" spans="1:22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Data'!L65</f>
        <v>983039.7833405945</v>
      </c>
      <c r="E65" s="3">
        <f t="shared" ref="E65:F65" ca="1" si="64">E53</f>
        <v>352.41399621212122</v>
      </c>
      <c r="F65" s="3">
        <f t="shared" ca="1" si="64"/>
        <v>2.1908333333333347</v>
      </c>
      <c r="G65" s="3">
        <f>'Monthly Data'!EG65</f>
        <v>1</v>
      </c>
      <c r="H65">
        <f t="shared" si="10"/>
        <v>63</v>
      </c>
      <c r="I65" s="3">
        <f>'Monthly Data'!DQ65</f>
        <v>30</v>
      </c>
      <c r="J65" s="3">
        <f>'Monthly Data'!EO65</f>
        <v>379.67500000000013</v>
      </c>
      <c r="L65" s="3">
        <f t="shared" si="1"/>
        <v>-769716</v>
      </c>
      <c r="M65" s="3">
        <f t="shared" ca="1" si="2"/>
        <v>293948.30279213254</v>
      </c>
      <c r="N65" s="3">
        <f t="shared" ca="1" si="3"/>
        <v>4346.2868991666701</v>
      </c>
      <c r="O65" s="3">
        <f t="shared" si="4"/>
        <v>-56026.3</v>
      </c>
      <c r="P65" s="3">
        <f t="shared" si="5"/>
        <v>168033.22200000001</v>
      </c>
      <c r="Q65" s="3">
        <f t="shared" si="6"/>
        <v>1137613.8</v>
      </c>
      <c r="R65" s="3">
        <f t="shared" si="7"/>
        <v>217763.05186000007</v>
      </c>
      <c r="S65" s="47">
        <f t="shared" ca="1" si="52"/>
        <v>995962.36355129932</v>
      </c>
      <c r="T65" s="47">
        <f>'Monthly Data'!M65</f>
        <v>2936.6766445870003</v>
      </c>
      <c r="U65" s="47">
        <f ca="1">+'Monthly Data'!N65</f>
        <v>4023.6054109593601</v>
      </c>
      <c r="V65" s="47">
        <f t="shared" ca="1" si="54"/>
        <v>1002922.6456068456</v>
      </c>
    </row>
    <row r="66" spans="1:22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Data'!L66</f>
        <v>1018441.0476623629</v>
      </c>
      <c r="E66" s="3">
        <f t="shared" ref="E66:F66" ca="1" si="65">E54</f>
        <v>150.136897859768</v>
      </c>
      <c r="F66" s="3">
        <f t="shared" ca="1" si="65"/>
        <v>52.487435064935063</v>
      </c>
      <c r="G66" s="3">
        <f>'Monthly Data'!EG66</f>
        <v>1</v>
      </c>
      <c r="H66">
        <f t="shared" si="10"/>
        <v>64</v>
      </c>
      <c r="I66" s="3">
        <f>'Monthly Data'!DQ66</f>
        <v>31</v>
      </c>
      <c r="J66" s="3">
        <f>'Monthly Data'!EO66</f>
        <v>212.73690476190475</v>
      </c>
      <c r="L66" s="3">
        <f t="shared" ref="L66:L129" si="66">$Z$8</f>
        <v>-769716</v>
      </c>
      <c r="M66" s="3">
        <f t="shared" ref="M66:M129" ca="1" si="67">E66*$Z$9</f>
        <v>125229.09642269376</v>
      </c>
      <c r="N66" s="3">
        <f t="shared" ref="N66:N129" ca="1" si="68">F66*$Z$10</f>
        <v>104127.25054100649</v>
      </c>
      <c r="O66" s="3">
        <f t="shared" ref="O66:O129" si="69">G66*$Z$11</f>
        <v>-56026.3</v>
      </c>
      <c r="P66" s="3">
        <f t="shared" ref="P66:P129" si="70">H66*$Z$12</f>
        <v>170700.416</v>
      </c>
      <c r="Q66" s="3">
        <f t="shared" ref="Q66:Q129" si="71">I66*$Z$13</f>
        <v>1175534.26</v>
      </c>
      <c r="R66" s="3">
        <f t="shared" ref="R66:R129" si="72">J66*$Z$14</f>
        <v>122015.50701047618</v>
      </c>
      <c r="S66" s="47">
        <f t="shared" ca="1" si="52"/>
        <v>871864.22997417639</v>
      </c>
      <c r="T66" s="47">
        <f>'Monthly Data'!M66</f>
        <v>3001.5986891600819</v>
      </c>
      <c r="U66" s="47">
        <f ca="1">+'Monthly Data'!N66</f>
        <v>2254.4791232257744</v>
      </c>
      <c r="V66" s="47">
        <f t="shared" ca="1" si="54"/>
        <v>877120.30778656225</v>
      </c>
    </row>
    <row r="67" spans="1:22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Data'!L67</f>
        <v>936917.0826641334</v>
      </c>
      <c r="E67" s="3">
        <f t="shared" ref="E67:F67" ca="1" si="73">E55</f>
        <v>32.520923826173821</v>
      </c>
      <c r="F67" s="3">
        <f t="shared" ca="1" si="73"/>
        <v>137.65451754405018</v>
      </c>
      <c r="G67" s="3">
        <f>'Monthly Data'!EG67</f>
        <v>0</v>
      </c>
      <c r="H67">
        <f t="shared" si="10"/>
        <v>65</v>
      </c>
      <c r="I67" s="3">
        <f>'Monthly Data'!DQ67</f>
        <v>30</v>
      </c>
      <c r="J67" s="3">
        <f>'Monthly Data'!EO67</f>
        <v>14.866666666666674</v>
      </c>
      <c r="L67" s="3">
        <f t="shared" si="66"/>
        <v>-769716</v>
      </c>
      <c r="M67" s="3">
        <f t="shared" ca="1" si="67"/>
        <v>27125.683050857286</v>
      </c>
      <c r="N67" s="3">
        <f t="shared" ca="1" si="68"/>
        <v>273086.05228428153</v>
      </c>
      <c r="O67" s="3">
        <f t="shared" si="69"/>
        <v>0</v>
      </c>
      <c r="P67" s="3">
        <f t="shared" si="70"/>
        <v>173367.61</v>
      </c>
      <c r="Q67" s="3">
        <f t="shared" si="71"/>
        <v>1137613.8</v>
      </c>
      <c r="R67" s="3">
        <f t="shared" si="72"/>
        <v>8526.7945066666707</v>
      </c>
      <c r="S67" s="47">
        <f t="shared" ca="1" si="52"/>
        <v>850003.93984180549</v>
      </c>
      <c r="T67" s="47">
        <f>'Monthly Data'!M67</f>
        <v>3066.5207337331631</v>
      </c>
      <c r="U67" s="47">
        <f ca="1">+'Monthly Data'!N67</f>
        <v>315.0989685543118</v>
      </c>
      <c r="V67" s="47">
        <f t="shared" ca="1" si="54"/>
        <v>853385.55954409298</v>
      </c>
    </row>
    <row r="68" spans="1:22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Data'!L68</f>
        <v>1203222.6046259028</v>
      </c>
      <c r="E68" s="3">
        <f t="shared" ref="E68:F68" ca="1" si="74">E56</f>
        <v>1.6179166666666653</v>
      </c>
      <c r="F68" s="3">
        <f t="shared" ca="1" si="74"/>
        <v>235.94737858727848</v>
      </c>
      <c r="G68" s="3">
        <f>'Monthly Data'!EG68</f>
        <v>0</v>
      </c>
      <c r="H68">
        <f t="shared" ref="H68:H121" si="75">H67+1</f>
        <v>66</v>
      </c>
      <c r="I68" s="3">
        <f>'Monthly Data'!DQ68</f>
        <v>31</v>
      </c>
      <c r="J68" s="3">
        <f>'Monthly Data'!EO68</f>
        <v>0</v>
      </c>
      <c r="L68" s="3">
        <f t="shared" si="66"/>
        <v>-769716</v>
      </c>
      <c r="M68" s="3">
        <f t="shared" ca="1" si="67"/>
        <v>1349.5033209166654</v>
      </c>
      <c r="N68" s="3">
        <f t="shared" ca="1" si="68"/>
        <v>468084.44295775105</v>
      </c>
      <c r="O68" s="3">
        <f t="shared" si="69"/>
        <v>0</v>
      </c>
      <c r="P68" s="3">
        <f t="shared" si="70"/>
        <v>176034.804</v>
      </c>
      <c r="Q68" s="3">
        <f t="shared" si="71"/>
        <v>1175534.26</v>
      </c>
      <c r="R68" s="3">
        <f t="shared" si="72"/>
        <v>0</v>
      </c>
      <c r="S68" s="47">
        <f t="shared" ca="1" si="52"/>
        <v>1051287.0102786678</v>
      </c>
      <c r="T68" s="47">
        <f>'Monthly Data'!M68</f>
        <v>3131.4427783062442</v>
      </c>
      <c r="U68" s="47">
        <f ca="1">+'Monthly Data'!N68</f>
        <v>0</v>
      </c>
      <c r="V68" s="47">
        <f t="shared" ca="1" si="54"/>
        <v>1054418.4530569741</v>
      </c>
    </row>
    <row r="69" spans="1:22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Data'!L69</f>
        <v>1150023.9218676724</v>
      </c>
      <c r="E69" s="3">
        <f t="shared" ref="E69:F69" ca="1" si="76">E57</f>
        <v>5.6499999999999977</v>
      </c>
      <c r="F69" s="3">
        <f t="shared" ca="1" si="76"/>
        <v>210.96558794466404</v>
      </c>
      <c r="G69" s="3">
        <f>'Monthly Data'!EG69</f>
        <v>0</v>
      </c>
      <c r="H69">
        <f t="shared" si="75"/>
        <v>67</v>
      </c>
      <c r="I69" s="3">
        <f>'Monthly Data'!DQ69</f>
        <v>31</v>
      </c>
      <c r="J69" s="3">
        <f>'Monthly Data'!EO69</f>
        <v>1.7437499999999986</v>
      </c>
      <c r="L69" s="3">
        <f t="shared" si="66"/>
        <v>-769716</v>
      </c>
      <c r="M69" s="3">
        <f t="shared" ca="1" si="67"/>
        <v>4712.6616099999974</v>
      </c>
      <c r="N69" s="3">
        <f t="shared" ca="1" si="68"/>
        <v>418524.29260960972</v>
      </c>
      <c r="O69" s="3">
        <f t="shared" si="69"/>
        <v>0</v>
      </c>
      <c r="P69" s="3">
        <f t="shared" si="70"/>
        <v>178701.99799999999</v>
      </c>
      <c r="Q69" s="3">
        <f t="shared" si="71"/>
        <v>1175534.26</v>
      </c>
      <c r="R69" s="3">
        <f t="shared" si="72"/>
        <v>1000.1299049999992</v>
      </c>
      <c r="S69" s="47">
        <f t="shared" ca="1" si="52"/>
        <v>1008757.3421246096</v>
      </c>
      <c r="T69" s="47">
        <f>'Monthly Data'!M69</f>
        <v>3196.3648228793259</v>
      </c>
      <c r="U69" s="47">
        <f ca="1">+'Monthly Data'!N69</f>
        <v>36.958777561653399</v>
      </c>
      <c r="V69" s="47">
        <f t="shared" ca="1" si="54"/>
        <v>1011990.6657250506</v>
      </c>
    </row>
    <row r="70" spans="1:22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Data'!L70</f>
        <v>999424.37450944295</v>
      </c>
      <c r="E70" s="3">
        <f t="shared" ref="E70:F70" ca="1" si="77">E58</f>
        <v>54.959440993788824</v>
      </c>
      <c r="F70" s="3">
        <f t="shared" ca="1" si="77"/>
        <v>106.4160119047619</v>
      </c>
      <c r="G70" s="3">
        <f>'Monthly Data'!EG70</f>
        <v>1</v>
      </c>
      <c r="H70">
        <f t="shared" si="75"/>
        <v>68</v>
      </c>
      <c r="I70" s="3">
        <f>'Monthly Data'!DQ70</f>
        <v>30</v>
      </c>
      <c r="J70" s="3">
        <f>'Monthly Data'!EO70</f>
        <v>42.521014492753622</v>
      </c>
      <c r="L70" s="3">
        <f t="shared" si="66"/>
        <v>-769716</v>
      </c>
      <c r="M70" s="3">
        <f t="shared" ca="1" si="67"/>
        <v>45841.636757254659</v>
      </c>
      <c r="N70" s="3">
        <f t="shared" ca="1" si="68"/>
        <v>211113.51163327383</v>
      </c>
      <c r="O70" s="3">
        <f t="shared" si="69"/>
        <v>-56026.3</v>
      </c>
      <c r="P70" s="3">
        <f t="shared" si="70"/>
        <v>181369.19200000001</v>
      </c>
      <c r="Q70" s="3">
        <f t="shared" si="71"/>
        <v>1137613.8</v>
      </c>
      <c r="R70" s="3">
        <f t="shared" si="72"/>
        <v>24387.978887536232</v>
      </c>
      <c r="S70" s="47">
        <f t="shared" ca="1" si="52"/>
        <v>774583.81927806465</v>
      </c>
      <c r="T70" s="47">
        <f>'Monthly Data'!M70</f>
        <v>3261.286867452407</v>
      </c>
      <c r="U70" s="47">
        <f ca="1">+'Monthly Data'!N70</f>
        <v>901.23281223427819</v>
      </c>
      <c r="V70" s="47">
        <f t="shared" ca="1" si="54"/>
        <v>778746.3389577514</v>
      </c>
    </row>
    <row r="71" spans="1:22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Data'!L71</f>
        <v>1169756.9441712114</v>
      </c>
      <c r="E71" s="3">
        <f t="shared" ref="E71:F71" ca="1" si="78">E59</f>
        <v>237.89681159420289</v>
      </c>
      <c r="F71" s="3">
        <f t="shared" ca="1" si="78"/>
        <v>17.987083333333334</v>
      </c>
      <c r="G71" s="3">
        <f>'Monthly Data'!EG71</f>
        <v>1</v>
      </c>
      <c r="H71">
        <f t="shared" si="75"/>
        <v>69</v>
      </c>
      <c r="I71" s="3">
        <f>'Monthly Data'!DQ71</f>
        <v>31</v>
      </c>
      <c r="J71" s="3">
        <f>'Monthly Data'!EO71</f>
        <v>143.91666666666666</v>
      </c>
      <c r="L71" s="3">
        <f t="shared" si="66"/>
        <v>-769716</v>
      </c>
      <c r="M71" s="3">
        <f t="shared" ca="1" si="67"/>
        <v>198429.58781263765</v>
      </c>
      <c r="N71" s="3">
        <f t="shared" ca="1" si="68"/>
        <v>35683.693257916668</v>
      </c>
      <c r="O71" s="3">
        <f t="shared" si="69"/>
        <v>-56026.3</v>
      </c>
      <c r="P71" s="3">
        <f t="shared" si="70"/>
        <v>184036.386</v>
      </c>
      <c r="Q71" s="3">
        <f t="shared" si="71"/>
        <v>1175534.26</v>
      </c>
      <c r="R71" s="3">
        <f t="shared" si="72"/>
        <v>82543.576866666655</v>
      </c>
      <c r="S71" s="47">
        <f t="shared" ca="1" si="52"/>
        <v>850485.20393722097</v>
      </c>
      <c r="T71" s="47">
        <f>'Monthly Data'!M71</f>
        <v>3326.2089120254882</v>
      </c>
      <c r="U71" s="47">
        <f ca="1">+'Monthly Data'!N71</f>
        <v>3050.3134455902255</v>
      </c>
      <c r="V71" s="47">
        <f t="shared" ca="1" si="54"/>
        <v>856861.72629483661</v>
      </c>
    </row>
    <row r="72" spans="1:22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Data'!L72</f>
        <v>953674.46702298184</v>
      </c>
      <c r="E72" s="3">
        <f t="shared" ref="E72:F72" ca="1" si="79">E60</f>
        <v>426.62991389045737</v>
      </c>
      <c r="F72" s="3">
        <f t="shared" ca="1" si="79"/>
        <v>0.8083333333333329</v>
      </c>
      <c r="G72" s="3">
        <f>'Monthly Data'!EG72</f>
        <v>1</v>
      </c>
      <c r="H72">
        <f t="shared" si="75"/>
        <v>70</v>
      </c>
      <c r="I72" s="3">
        <f>'Monthly Data'!DQ72</f>
        <v>30</v>
      </c>
      <c r="J72" s="3">
        <f>'Monthly Data'!EO72</f>
        <v>183.15036231884059</v>
      </c>
      <c r="L72" s="3">
        <f t="shared" si="66"/>
        <v>-769716</v>
      </c>
      <c r="M72" s="3">
        <f t="shared" ca="1" si="67"/>
        <v>355851.75519808213</v>
      </c>
      <c r="N72" s="3">
        <f t="shared" ca="1" si="68"/>
        <v>1603.612891666666</v>
      </c>
      <c r="O72" s="3">
        <f t="shared" si="69"/>
        <v>-56026.3</v>
      </c>
      <c r="P72" s="3">
        <f t="shared" si="70"/>
        <v>186703.58</v>
      </c>
      <c r="Q72" s="3">
        <f t="shared" si="71"/>
        <v>1137613.8</v>
      </c>
      <c r="R72" s="3">
        <f t="shared" si="72"/>
        <v>105046.11008840581</v>
      </c>
      <c r="S72" s="47">
        <f t="shared" ca="1" si="52"/>
        <v>961076.55817815464</v>
      </c>
      <c r="T72" s="47">
        <f>'Monthly Data'!M72</f>
        <v>3391.1309565985698</v>
      </c>
      <c r="U72" s="47">
        <f ca="1">+'Monthly Data'!N72</f>
        <v>3881.8715419516907</v>
      </c>
      <c r="V72" s="47">
        <f t="shared" ca="1" si="54"/>
        <v>968349.56067670486</v>
      </c>
    </row>
    <row r="73" spans="1:22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Data'!L73</f>
        <v>1299798.6489247503</v>
      </c>
      <c r="E73" s="3">
        <f t="shared" ref="E73:F73" ca="1" si="80">E61</f>
        <v>577.92800724637686</v>
      </c>
      <c r="F73" s="3">
        <f t="shared" ca="1" si="80"/>
        <v>0</v>
      </c>
      <c r="G73" s="3">
        <f>'Monthly Data'!EG73</f>
        <v>0</v>
      </c>
      <c r="H73">
        <f t="shared" si="75"/>
        <v>71</v>
      </c>
      <c r="I73" s="3">
        <f>'Monthly Data'!DQ73</f>
        <v>31</v>
      </c>
      <c r="J73" s="3">
        <f>'Monthly Data'!EO73</f>
        <v>291.45208333333341</v>
      </c>
      <c r="L73" s="3">
        <f t="shared" si="66"/>
        <v>-769716</v>
      </c>
      <c r="M73" s="3">
        <f t="shared" ca="1" si="67"/>
        <v>482049.40408739855</v>
      </c>
      <c r="N73" s="3">
        <f t="shared" ca="1" si="68"/>
        <v>0</v>
      </c>
      <c r="O73" s="3">
        <f t="shared" si="69"/>
        <v>0</v>
      </c>
      <c r="P73" s="3">
        <f t="shared" si="70"/>
        <v>189370.774</v>
      </c>
      <c r="Q73" s="3">
        <f t="shared" si="71"/>
        <v>1175534.26</v>
      </c>
      <c r="R73" s="3">
        <f t="shared" si="72"/>
        <v>167162.69213833337</v>
      </c>
      <c r="S73" s="47">
        <f t="shared" ca="1" si="52"/>
        <v>1244401.130225732</v>
      </c>
      <c r="T73" s="47">
        <f>'Monthly Data'!M73</f>
        <v>3456.053001171651</v>
      </c>
      <c r="U73" s="47">
        <f ca="1">+'Monthly Data'!N73</f>
        <v>6177.3262897761424</v>
      </c>
      <c r="V73" s="47">
        <f t="shared" ca="1" si="54"/>
        <v>1254034.5095166799</v>
      </c>
    </row>
    <row r="74" spans="1:22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Data'!L74</f>
        <v>1418579.340941062</v>
      </c>
      <c r="E74" s="3">
        <f t="shared" ref="E74:F74" ca="1" si="81">E62</f>
        <v>697.33418478260876</v>
      </c>
      <c r="F74" s="3">
        <f t="shared" ca="1" si="81"/>
        <v>0</v>
      </c>
      <c r="G74" s="3">
        <f>'Monthly Data'!EG74</f>
        <v>0</v>
      </c>
      <c r="H74">
        <f t="shared" si="75"/>
        <v>72</v>
      </c>
      <c r="I74" s="3">
        <f>'Monthly Data'!DQ74</f>
        <v>31</v>
      </c>
      <c r="J74" s="3">
        <f>'Monthly Data'!EO74</f>
        <v>326.7520833333333</v>
      </c>
      <c r="L74" s="3">
        <f t="shared" si="66"/>
        <v>-769716</v>
      </c>
      <c r="M74" s="3">
        <f t="shared" ca="1" si="67"/>
        <v>581646.02512666304</v>
      </c>
      <c r="N74" s="3">
        <f t="shared" ca="1" si="68"/>
        <v>0</v>
      </c>
      <c r="O74" s="3">
        <f t="shared" si="69"/>
        <v>0</v>
      </c>
      <c r="P74" s="3">
        <f t="shared" si="70"/>
        <v>192037.96799999999</v>
      </c>
      <c r="Q74" s="3">
        <f t="shared" si="71"/>
        <v>1175534.26</v>
      </c>
      <c r="R74" s="3">
        <f t="shared" si="72"/>
        <v>187409.0494983333</v>
      </c>
      <c r="S74" s="47">
        <f t="shared" ca="1" si="52"/>
        <v>1366911.3026249965</v>
      </c>
      <c r="T74" s="47">
        <f>'Monthly Data'!M74</f>
        <v>3648.936234373125</v>
      </c>
      <c r="U74" s="47">
        <f ca="1">+'Monthly Data'!N74</f>
        <v>12513.93854381139</v>
      </c>
      <c r="V74" s="47">
        <f t="shared" ca="1" si="54"/>
        <v>1383074.1774031811</v>
      </c>
    </row>
    <row r="75" spans="1:22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Data'!L75</f>
        <v>1389617.9935012013</v>
      </c>
      <c r="E75" s="3">
        <f t="shared" ref="E75:F75" ca="1" si="82">E63</f>
        <v>624.25501811594188</v>
      </c>
      <c r="F75" s="3">
        <f t="shared" ca="1" si="82"/>
        <v>0</v>
      </c>
      <c r="G75" s="3">
        <f>'Monthly Data'!EG75</f>
        <v>0</v>
      </c>
      <c r="H75">
        <f t="shared" si="75"/>
        <v>73</v>
      </c>
      <c r="I75" s="3">
        <f>'Monthly Data'!DQ75</f>
        <v>28</v>
      </c>
      <c r="J75" s="3">
        <f>'Monthly Data'!EO75</f>
        <v>326.72708333333327</v>
      </c>
      <c r="L75" s="3">
        <f t="shared" si="66"/>
        <v>-769716</v>
      </c>
      <c r="M75" s="3">
        <f t="shared" ca="1" si="67"/>
        <v>520690.73605749622</v>
      </c>
      <c r="N75" s="3">
        <f t="shared" ca="1" si="68"/>
        <v>0</v>
      </c>
      <c r="O75" s="3">
        <f t="shared" si="69"/>
        <v>0</v>
      </c>
      <c r="P75" s="3">
        <f t="shared" si="70"/>
        <v>194705.16200000001</v>
      </c>
      <c r="Q75" s="3">
        <f t="shared" si="71"/>
        <v>1061772.8799999999</v>
      </c>
      <c r="R75" s="3">
        <f t="shared" si="72"/>
        <v>187394.71071833328</v>
      </c>
      <c r="S75" s="47">
        <f t="shared" ca="1" si="52"/>
        <v>1194847.4887758293</v>
      </c>
      <c r="T75" s="47">
        <f>'Monthly Data'!M75</f>
        <v>3776.8974230015174</v>
      </c>
      <c r="U75" s="47">
        <f ca="1">+'Monthly Data'!N75</f>
        <v>12512.981094786415</v>
      </c>
      <c r="V75" s="47">
        <f t="shared" ca="1" si="54"/>
        <v>1211137.3672936172</v>
      </c>
    </row>
    <row r="76" spans="1:22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Data'!L76</f>
        <v>1177162.0596213406</v>
      </c>
      <c r="E76" s="3">
        <f t="shared" ref="E76:F76" ca="1" si="83">E64</f>
        <v>546.13298913043491</v>
      </c>
      <c r="F76" s="3">
        <f t="shared" ca="1" si="83"/>
        <v>0</v>
      </c>
      <c r="G76" s="3">
        <f>'Monthly Data'!EG76</f>
        <v>1</v>
      </c>
      <c r="H76">
        <f t="shared" si="75"/>
        <v>74</v>
      </c>
      <c r="I76" s="3">
        <f>'Monthly Data'!DQ76</f>
        <v>31</v>
      </c>
      <c r="J76" s="3">
        <f>'Monthly Data'!EO76</f>
        <v>246.29818840579708</v>
      </c>
      <c r="L76" s="3">
        <f t="shared" si="66"/>
        <v>-769716</v>
      </c>
      <c r="M76" s="3">
        <f t="shared" ca="1" si="67"/>
        <v>455529.19855390227</v>
      </c>
      <c r="N76" s="3">
        <f t="shared" ca="1" si="68"/>
        <v>0</v>
      </c>
      <c r="O76" s="3">
        <f t="shared" si="69"/>
        <v>-56026.3</v>
      </c>
      <c r="P76" s="3">
        <f t="shared" si="70"/>
        <v>197372.356</v>
      </c>
      <c r="Q76" s="3">
        <f t="shared" si="71"/>
        <v>1175534.26</v>
      </c>
      <c r="R76" s="3">
        <f t="shared" si="72"/>
        <v>141264.62151797101</v>
      </c>
      <c r="S76" s="47">
        <f t="shared" ca="1" si="52"/>
        <v>1143958.1360718734</v>
      </c>
      <c r="T76" s="47">
        <f>'Monthly Data'!M76</f>
        <v>3904.8586116299102</v>
      </c>
      <c r="U76" s="47">
        <f ca="1">+'Monthly Data'!N76</f>
        <v>9432.7184136664982</v>
      </c>
      <c r="V76" s="47">
        <f t="shared" ca="1" si="54"/>
        <v>1157295.7130971698</v>
      </c>
    </row>
    <row r="77" spans="1:22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Data'!L77</f>
        <v>986964.97047148063</v>
      </c>
      <c r="E77" s="3">
        <f t="shared" ref="E77:F77" ca="1" si="84">E65</f>
        <v>352.41399621212122</v>
      </c>
      <c r="F77" s="3">
        <f t="shared" ca="1" si="84"/>
        <v>2.1908333333333347</v>
      </c>
      <c r="G77" s="3">
        <f>'Monthly Data'!EG77</f>
        <v>1</v>
      </c>
      <c r="H77">
        <f t="shared" si="75"/>
        <v>75</v>
      </c>
      <c r="I77" s="3">
        <f>'Monthly Data'!DQ77</f>
        <v>30</v>
      </c>
      <c r="J77" s="3">
        <f>'Monthly Data'!EO77</f>
        <v>159.89791666666665</v>
      </c>
      <c r="L77" s="3">
        <f t="shared" si="66"/>
        <v>-769716</v>
      </c>
      <c r="M77" s="3">
        <f t="shared" ca="1" si="67"/>
        <v>293948.30279213254</v>
      </c>
      <c r="N77" s="3">
        <f t="shared" ca="1" si="68"/>
        <v>4346.2868991666701</v>
      </c>
      <c r="O77" s="3">
        <f t="shared" si="69"/>
        <v>-56026.3</v>
      </c>
      <c r="P77" s="3">
        <f t="shared" si="70"/>
        <v>200039.55</v>
      </c>
      <c r="Q77" s="3">
        <f t="shared" si="71"/>
        <v>1137613.8</v>
      </c>
      <c r="R77" s="3">
        <f t="shared" si="72"/>
        <v>91709.64198166666</v>
      </c>
      <c r="S77" s="47">
        <f t="shared" ca="1" si="52"/>
        <v>901915.28167296597</v>
      </c>
      <c r="T77" s="47">
        <f>'Monthly Data'!M77</f>
        <v>4032.8198002583026</v>
      </c>
      <c r="U77" s="47">
        <f ca="1">+'Monthly Data'!N77</f>
        <v>6123.7641763063739</v>
      </c>
      <c r="V77" s="47">
        <f t="shared" ca="1" si="54"/>
        <v>912071.86564953066</v>
      </c>
    </row>
    <row r="78" spans="1:22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Data'!L78</f>
        <v>1002494.3405116198</v>
      </c>
      <c r="E78" s="3">
        <f t="shared" ref="E78:F78" ca="1" si="85">E66</f>
        <v>150.136897859768</v>
      </c>
      <c r="F78" s="3">
        <f t="shared" ca="1" si="85"/>
        <v>52.487435064935063</v>
      </c>
      <c r="G78" s="3">
        <f>'Monthly Data'!EG78</f>
        <v>1</v>
      </c>
      <c r="H78">
        <f t="shared" si="75"/>
        <v>76</v>
      </c>
      <c r="I78" s="3">
        <f>'Monthly Data'!DQ78</f>
        <v>31</v>
      </c>
      <c r="J78" s="3">
        <f>'Monthly Data'!EO78</f>
        <v>86.821527777777774</v>
      </c>
      <c r="L78" s="3">
        <f t="shared" si="66"/>
        <v>-769716</v>
      </c>
      <c r="M78" s="3">
        <f t="shared" ca="1" si="67"/>
        <v>125229.09642269376</v>
      </c>
      <c r="N78" s="3">
        <f t="shared" ca="1" si="68"/>
        <v>104127.25054100649</v>
      </c>
      <c r="O78" s="3">
        <f t="shared" si="69"/>
        <v>-56026.3</v>
      </c>
      <c r="P78" s="3">
        <f t="shared" si="70"/>
        <v>202706.74400000001</v>
      </c>
      <c r="Q78" s="3">
        <f t="shared" si="71"/>
        <v>1175534.26</v>
      </c>
      <c r="R78" s="3">
        <f t="shared" si="72"/>
        <v>49796.591442777775</v>
      </c>
      <c r="S78" s="47">
        <f t="shared" ca="1" si="52"/>
        <v>831651.64240647806</v>
      </c>
      <c r="T78" s="47">
        <f>'Monthly Data'!M78</f>
        <v>4160.7809888866959</v>
      </c>
      <c r="U78" s="47">
        <f ca="1">+'Monthly Data'!N78</f>
        <v>3325.0874846987958</v>
      </c>
      <c r="V78" s="47">
        <f t="shared" ca="1" si="54"/>
        <v>839137.51088006352</v>
      </c>
    </row>
    <row r="79" spans="1:22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Data'!L79</f>
        <v>874256.18010175787</v>
      </c>
      <c r="E79" s="3">
        <f t="shared" ref="E79:F79" ca="1" si="86">E67</f>
        <v>32.520923826173821</v>
      </c>
      <c r="F79" s="3">
        <f t="shared" ca="1" si="86"/>
        <v>137.65451754405018</v>
      </c>
      <c r="G79" s="3">
        <f>'Monthly Data'!EG79</f>
        <v>0</v>
      </c>
      <c r="H79">
        <f t="shared" si="75"/>
        <v>77</v>
      </c>
      <c r="I79" s="3">
        <f>'Monthly Data'!DQ79</f>
        <v>30</v>
      </c>
      <c r="J79" s="3">
        <f>'Monthly Data'!EO79</f>
        <v>7.1270833333333385</v>
      </c>
      <c r="L79" s="3">
        <f t="shared" si="66"/>
        <v>-769716</v>
      </c>
      <c r="M79" s="3">
        <f t="shared" ca="1" si="67"/>
        <v>27125.683050857286</v>
      </c>
      <c r="N79" s="3">
        <f t="shared" ca="1" si="68"/>
        <v>273086.05228428153</v>
      </c>
      <c r="O79" s="3">
        <f t="shared" si="69"/>
        <v>0</v>
      </c>
      <c r="P79" s="3">
        <f t="shared" si="70"/>
        <v>205373.93799999999</v>
      </c>
      <c r="Q79" s="3">
        <f t="shared" si="71"/>
        <v>1137613.8</v>
      </c>
      <c r="R79" s="3">
        <f t="shared" si="72"/>
        <v>4087.7471983333362</v>
      </c>
      <c r="S79" s="47">
        <f t="shared" ca="1" si="52"/>
        <v>877571.22053347225</v>
      </c>
      <c r="T79" s="47">
        <f>'Monthly Data'!M79</f>
        <v>4288.7421775150879</v>
      </c>
      <c r="U79" s="47">
        <f ca="1">+'Monthly Data'!N79</f>
        <v>272.95275953595552</v>
      </c>
      <c r="V79" s="47">
        <f t="shared" ca="1" si="54"/>
        <v>882132.91547052329</v>
      </c>
    </row>
    <row r="80" spans="1:22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Data'!L80</f>
        <v>1137435.1007718972</v>
      </c>
      <c r="E80" s="3">
        <f t="shared" ref="E80:F80" ca="1" si="87">E68</f>
        <v>1.6179166666666653</v>
      </c>
      <c r="F80" s="3">
        <f t="shared" ca="1" si="87"/>
        <v>235.94737858727848</v>
      </c>
      <c r="G80" s="3">
        <f>'Monthly Data'!EG80</f>
        <v>0</v>
      </c>
      <c r="H80">
        <f t="shared" si="75"/>
        <v>78</v>
      </c>
      <c r="I80" s="3">
        <f>'Monthly Data'!DQ80</f>
        <v>31</v>
      </c>
      <c r="J80" s="3">
        <f>'Monthly Data'!EO80</f>
        <v>2.6770833333333286</v>
      </c>
      <c r="L80" s="3">
        <f t="shared" si="66"/>
        <v>-769716</v>
      </c>
      <c r="M80" s="3">
        <f t="shared" ca="1" si="67"/>
        <v>1349.5033209166654</v>
      </c>
      <c r="N80" s="3">
        <f t="shared" ca="1" si="68"/>
        <v>468084.44295775105</v>
      </c>
      <c r="O80" s="3">
        <f t="shared" si="69"/>
        <v>0</v>
      </c>
      <c r="P80" s="3">
        <f t="shared" si="70"/>
        <v>208041.13199999998</v>
      </c>
      <c r="Q80" s="3">
        <f t="shared" si="71"/>
        <v>1175534.26</v>
      </c>
      <c r="R80" s="3">
        <f t="shared" si="72"/>
        <v>1535.4443583333307</v>
      </c>
      <c r="S80" s="47">
        <f t="shared" ca="1" si="52"/>
        <v>1084828.782637001</v>
      </c>
      <c r="T80" s="47">
        <f>'Monthly Data'!M80</f>
        <v>4416.7033661434807</v>
      </c>
      <c r="U80" s="47">
        <f ca="1">+'Monthly Data'!N80</f>
        <v>102.52683309082197</v>
      </c>
      <c r="V80" s="47">
        <f t="shared" ca="1" si="54"/>
        <v>1089348.0128362353</v>
      </c>
    </row>
    <row r="81" spans="1:22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Data'!L81</f>
        <v>1194091.8924420362</v>
      </c>
      <c r="E81" s="3">
        <f t="shared" ref="E81:F81" ca="1" si="88">E69</f>
        <v>5.6499999999999977</v>
      </c>
      <c r="F81" s="3">
        <f t="shared" ca="1" si="88"/>
        <v>210.96558794466404</v>
      </c>
      <c r="G81" s="3">
        <f>'Monthly Data'!EG81</f>
        <v>0</v>
      </c>
      <c r="H81">
        <f t="shared" si="75"/>
        <v>79</v>
      </c>
      <c r="I81" s="3">
        <f>'Monthly Data'!DQ81</f>
        <v>31</v>
      </c>
      <c r="J81" s="3">
        <f>'Monthly Data'!EO81</f>
        <v>0.34583333333333321</v>
      </c>
      <c r="L81" s="3">
        <f t="shared" si="66"/>
        <v>-769716</v>
      </c>
      <c r="M81" s="3">
        <f t="shared" ca="1" si="67"/>
        <v>4712.6616099999974</v>
      </c>
      <c r="N81" s="3">
        <f t="shared" ca="1" si="68"/>
        <v>418524.29260960972</v>
      </c>
      <c r="O81" s="3">
        <f t="shared" si="69"/>
        <v>0</v>
      </c>
      <c r="P81" s="3">
        <f t="shared" si="70"/>
        <v>210708.326</v>
      </c>
      <c r="Q81" s="3">
        <f t="shared" si="71"/>
        <v>1175534.26</v>
      </c>
      <c r="R81" s="3">
        <f t="shared" si="72"/>
        <v>198.35312333333326</v>
      </c>
      <c r="S81" s="47">
        <f t="shared" ca="1" si="52"/>
        <v>1039961.8933429429</v>
      </c>
      <c r="T81" s="47">
        <f>'Monthly Data'!M81</f>
        <v>4544.6645547718736</v>
      </c>
      <c r="U81" s="47">
        <f ca="1">+'Monthly Data'!N81</f>
        <v>13.244711512121766</v>
      </c>
      <c r="V81" s="47">
        <f t="shared" ca="1" si="54"/>
        <v>1044519.8026092269</v>
      </c>
    </row>
    <row r="82" spans="1:22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Data'!L82</f>
        <v>869537.03260217549</v>
      </c>
      <c r="E82" s="3">
        <f t="shared" ref="E82:F82" ca="1" si="89">E70</f>
        <v>54.959440993788824</v>
      </c>
      <c r="F82" s="3">
        <f t="shared" ca="1" si="89"/>
        <v>106.4160119047619</v>
      </c>
      <c r="G82" s="3">
        <f>'Monthly Data'!EG82</f>
        <v>1</v>
      </c>
      <c r="H82">
        <f t="shared" si="75"/>
        <v>80</v>
      </c>
      <c r="I82" s="3">
        <f>'Monthly Data'!DQ82</f>
        <v>30</v>
      </c>
      <c r="J82" s="3">
        <f>'Monthly Data'!EO82</f>
        <v>22.839583333333337</v>
      </c>
      <c r="L82" s="3">
        <f t="shared" si="66"/>
        <v>-769716</v>
      </c>
      <c r="M82" s="3">
        <f t="shared" ca="1" si="67"/>
        <v>45841.636757254659</v>
      </c>
      <c r="N82" s="3">
        <f t="shared" ca="1" si="68"/>
        <v>211113.51163327383</v>
      </c>
      <c r="O82" s="3">
        <f t="shared" si="69"/>
        <v>-56026.3</v>
      </c>
      <c r="P82" s="3">
        <f t="shared" si="70"/>
        <v>213375.52</v>
      </c>
      <c r="Q82" s="3">
        <f t="shared" si="71"/>
        <v>1137613.8</v>
      </c>
      <c r="R82" s="3">
        <f t="shared" si="72"/>
        <v>13099.670428333335</v>
      </c>
      <c r="S82" s="47">
        <f t="shared" ca="1" si="52"/>
        <v>795301.83881886175</v>
      </c>
      <c r="T82" s="47">
        <f>'Monthly Data'!M82</f>
        <v>4672.6257434002664</v>
      </c>
      <c r="U82" s="47">
        <f ca="1">+'Monthly Data'!N82</f>
        <v>874.70947173127115</v>
      </c>
      <c r="V82" s="47">
        <f t="shared" ca="1" si="54"/>
        <v>800849.17403399327</v>
      </c>
    </row>
    <row r="83" spans="1:22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Data'!L83</f>
        <v>875541.96913231572</v>
      </c>
      <c r="E83" s="3">
        <f t="shared" ref="E83:F83" ca="1" si="90">E71</f>
        <v>237.89681159420289</v>
      </c>
      <c r="F83" s="3">
        <f t="shared" ca="1" si="90"/>
        <v>17.987083333333334</v>
      </c>
      <c r="G83" s="3">
        <f>'Monthly Data'!EG83</f>
        <v>1</v>
      </c>
      <c r="H83">
        <f t="shared" si="75"/>
        <v>81</v>
      </c>
      <c r="I83" s="3">
        <f>'Monthly Data'!DQ83</f>
        <v>31</v>
      </c>
      <c r="J83" s="3">
        <f>'Monthly Data'!EO83</f>
        <v>76.737499999999983</v>
      </c>
      <c r="L83" s="3">
        <f t="shared" si="66"/>
        <v>-769716</v>
      </c>
      <c r="M83" s="3">
        <f t="shared" ca="1" si="67"/>
        <v>198429.58781263765</v>
      </c>
      <c r="N83" s="3">
        <f t="shared" ca="1" si="68"/>
        <v>35683.693257916668</v>
      </c>
      <c r="O83" s="3">
        <f t="shared" si="69"/>
        <v>-56026.3</v>
      </c>
      <c r="P83" s="3">
        <f t="shared" si="70"/>
        <v>216042.71400000001</v>
      </c>
      <c r="Q83" s="3">
        <f t="shared" si="71"/>
        <v>1175534.26</v>
      </c>
      <c r="R83" s="3">
        <f t="shared" si="72"/>
        <v>44012.885209999993</v>
      </c>
      <c r="S83" s="47">
        <f t="shared" ca="1" si="52"/>
        <v>843960.84028055437</v>
      </c>
      <c r="T83" s="47">
        <f>'Monthly Data'!M83</f>
        <v>4800.5869320286583</v>
      </c>
      <c r="U83" s="47">
        <f ca="1">+'Monthly Data'!N83</f>
        <v>2938.8897821535738</v>
      </c>
      <c r="V83" s="47">
        <f t="shared" ca="1" si="54"/>
        <v>851700.31699473655</v>
      </c>
    </row>
    <row r="84" spans="1:22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Data'!L84</f>
        <v>964597.77276245295</v>
      </c>
      <c r="E84" s="3">
        <f t="shared" ref="E84:F84" ca="1" si="91">E72</f>
        <v>426.62991389045737</v>
      </c>
      <c r="F84" s="3">
        <f t="shared" ca="1" si="91"/>
        <v>0.8083333333333329</v>
      </c>
      <c r="G84" s="3">
        <f>'Monthly Data'!EG84</f>
        <v>1</v>
      </c>
      <c r="H84">
        <f t="shared" si="75"/>
        <v>82</v>
      </c>
      <c r="I84" s="3">
        <f>'Monthly Data'!DQ84</f>
        <v>30</v>
      </c>
      <c r="J84" s="3">
        <f>'Monthly Data'!EO84</f>
        <v>223.15630175983435</v>
      </c>
      <c r="L84" s="3">
        <f t="shared" si="66"/>
        <v>-769716</v>
      </c>
      <c r="M84" s="3">
        <f t="shared" ca="1" si="67"/>
        <v>355851.75519808213</v>
      </c>
      <c r="N84" s="3">
        <f t="shared" ca="1" si="68"/>
        <v>1603.612891666666</v>
      </c>
      <c r="O84" s="3">
        <f t="shared" si="69"/>
        <v>-56026.3</v>
      </c>
      <c r="P84" s="3">
        <f t="shared" si="70"/>
        <v>218709.908</v>
      </c>
      <c r="Q84" s="3">
        <f t="shared" si="71"/>
        <v>1137613.8</v>
      </c>
      <c r="R84" s="3">
        <f t="shared" si="72"/>
        <v>127991.56466191511</v>
      </c>
      <c r="S84" s="47">
        <f t="shared" ca="1" si="52"/>
        <v>1016028.3407516639</v>
      </c>
      <c r="T84" s="47">
        <f>'Monthly Data'!M84</f>
        <v>4928.5481206570512</v>
      </c>
      <c r="U84" s="47">
        <f ca="1">+'Monthly Data'!N84</f>
        <v>8546.4313414583066</v>
      </c>
      <c r="V84" s="47">
        <f t="shared" ca="1" si="54"/>
        <v>1029503.3202137793</v>
      </c>
    </row>
    <row r="85" spans="1:22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Data'!L85</f>
        <v>1231998.066692593</v>
      </c>
      <c r="E85" s="3">
        <f t="shared" ref="E85:F85" ca="1" si="92">E73</f>
        <v>577.92800724637686</v>
      </c>
      <c r="F85" s="3">
        <f t="shared" ca="1" si="92"/>
        <v>0</v>
      </c>
      <c r="G85" s="3">
        <f>'Monthly Data'!EG85</f>
        <v>0</v>
      </c>
      <c r="H85">
        <f t="shared" si="75"/>
        <v>83</v>
      </c>
      <c r="I85" s="3">
        <f>'Monthly Data'!DQ85</f>
        <v>31</v>
      </c>
      <c r="J85" s="3">
        <f>'Monthly Data'!EO85</f>
        <v>266.52291666666673</v>
      </c>
      <c r="L85" s="3">
        <f t="shared" si="66"/>
        <v>-769716</v>
      </c>
      <c r="M85" s="3">
        <f t="shared" ca="1" si="67"/>
        <v>482049.40408739855</v>
      </c>
      <c r="N85" s="3">
        <f t="shared" ca="1" si="68"/>
        <v>0</v>
      </c>
      <c r="O85" s="3">
        <f t="shared" si="69"/>
        <v>0</v>
      </c>
      <c r="P85" s="3">
        <f t="shared" si="70"/>
        <v>221377.10199999998</v>
      </c>
      <c r="Q85" s="3">
        <f t="shared" si="71"/>
        <v>1175534.26</v>
      </c>
      <c r="R85" s="3">
        <f t="shared" si="72"/>
        <v>152864.53868166672</v>
      </c>
      <c r="S85" s="47">
        <f t="shared" ca="1" si="52"/>
        <v>1262109.3047690652</v>
      </c>
      <c r="T85" s="47">
        <f>'Monthly Data'!M85</f>
        <v>5056.509309285444</v>
      </c>
      <c r="U85" s="47">
        <f ca="1">+'Monthly Data'!N85</f>
        <v>10207.284267814764</v>
      </c>
      <c r="V85" s="47">
        <f t="shared" ca="1" si="54"/>
        <v>1277373.0983461656</v>
      </c>
    </row>
    <row r="86" spans="1:22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Data'!L86</f>
        <v>1647205.4995599021</v>
      </c>
      <c r="E86" s="3">
        <f t="shared" ref="E86:F86" ca="1" si="93">E74</f>
        <v>697.33418478260876</v>
      </c>
      <c r="F86" s="3">
        <f t="shared" ca="1" si="93"/>
        <v>0</v>
      </c>
      <c r="G86" s="3">
        <f>'Monthly Data'!EG86</f>
        <v>0</v>
      </c>
      <c r="H86">
        <f t="shared" si="75"/>
        <v>84</v>
      </c>
      <c r="I86" s="3">
        <f>'Monthly Data'!DQ86</f>
        <v>31</v>
      </c>
      <c r="J86" s="3">
        <f>'Monthly Data'!EO86</f>
        <v>206.37291666666664</v>
      </c>
      <c r="L86" s="3">
        <f t="shared" si="66"/>
        <v>-769716</v>
      </c>
      <c r="M86" s="3">
        <f t="shared" ca="1" si="67"/>
        <v>581646.02512666304</v>
      </c>
      <c r="N86" s="3">
        <f t="shared" ca="1" si="68"/>
        <v>0</v>
      </c>
      <c r="O86" s="3">
        <f t="shared" si="69"/>
        <v>0</v>
      </c>
      <c r="P86" s="3">
        <f t="shared" si="70"/>
        <v>224044.296</v>
      </c>
      <c r="Q86" s="3">
        <f t="shared" si="71"/>
        <v>1175534.26</v>
      </c>
      <c r="R86" s="3">
        <f t="shared" si="72"/>
        <v>118365.43400166665</v>
      </c>
      <c r="S86" s="47">
        <f t="shared" ref="S86:S109" ca="1" si="94">SUM(L86:R86)</f>
        <v>1329874.0151283299</v>
      </c>
      <c r="T86" s="47">
        <f>'Monthly Data'!M86</f>
        <v>5473.6730793591842</v>
      </c>
      <c r="U86" s="47">
        <f ca="1">+'Monthly Data'!N86</f>
        <v>22927.41889601175</v>
      </c>
      <c r="V86" s="47">
        <f t="shared" ca="1" si="54"/>
        <v>1358275.1071037007</v>
      </c>
    </row>
    <row r="87" spans="1:22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Data'!L87</f>
        <v>1373917.7855929786</v>
      </c>
      <c r="E87" s="3">
        <f t="shared" ref="E87:F87" ca="1" si="95">E75</f>
        <v>624.25501811594188</v>
      </c>
      <c r="F87" s="3">
        <f t="shared" ca="1" si="95"/>
        <v>0</v>
      </c>
      <c r="G87" s="3">
        <f>'Monthly Data'!EG87</f>
        <v>0</v>
      </c>
      <c r="H87">
        <f t="shared" si="75"/>
        <v>85</v>
      </c>
      <c r="I87" s="3">
        <f>'Monthly Data'!DQ87</f>
        <v>28</v>
      </c>
      <c r="J87" s="3">
        <f>'Monthly Data'!EO87</f>
        <v>159.21249999999998</v>
      </c>
      <c r="L87" s="3">
        <f t="shared" si="66"/>
        <v>-769716</v>
      </c>
      <c r="M87" s="3">
        <f t="shared" ca="1" si="67"/>
        <v>520690.73605749622</v>
      </c>
      <c r="N87" s="3">
        <f t="shared" ca="1" si="68"/>
        <v>0</v>
      </c>
      <c r="O87" s="3">
        <f t="shared" si="69"/>
        <v>0</v>
      </c>
      <c r="P87" s="3">
        <f t="shared" si="70"/>
        <v>226711.49</v>
      </c>
      <c r="Q87" s="3">
        <f t="shared" si="71"/>
        <v>1061772.8799999999</v>
      </c>
      <c r="R87" s="3">
        <f t="shared" si="72"/>
        <v>91316.52042999999</v>
      </c>
      <c r="S87" s="47">
        <f t="shared" ca="1" si="94"/>
        <v>1130775.6264874961</v>
      </c>
      <c r="T87" s="47">
        <f>'Monthly Data'!M87</f>
        <v>5762.8756608045323</v>
      </c>
      <c r="U87" s="47">
        <f ca="1">+'Monthly Data'!N87</f>
        <v>17688.036492100764</v>
      </c>
      <c r="V87" s="47">
        <f t="shared" ca="1" si="54"/>
        <v>1154226.5386404013</v>
      </c>
    </row>
    <row r="88" spans="1:22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Data'!L88</f>
        <v>1287003.7535860552</v>
      </c>
      <c r="E88" s="3">
        <f t="shared" ref="E88:F88" ca="1" si="96">E76</f>
        <v>546.13298913043491</v>
      </c>
      <c r="F88" s="3">
        <f t="shared" ca="1" si="96"/>
        <v>0</v>
      </c>
      <c r="G88" s="3">
        <f>'Monthly Data'!EG88</f>
        <v>1</v>
      </c>
      <c r="H88">
        <f t="shared" si="75"/>
        <v>86</v>
      </c>
      <c r="I88" s="3">
        <f>'Monthly Data'!DQ88</f>
        <v>31</v>
      </c>
      <c r="J88" s="3">
        <f>'Monthly Data'!EO88</f>
        <v>136.18020833333333</v>
      </c>
      <c r="L88" s="3">
        <f t="shared" si="66"/>
        <v>-769716</v>
      </c>
      <c r="M88" s="3">
        <f t="shared" ca="1" si="67"/>
        <v>455529.19855390227</v>
      </c>
      <c r="N88" s="3">
        <f t="shared" ca="1" si="68"/>
        <v>0</v>
      </c>
      <c r="O88" s="3">
        <f t="shared" si="69"/>
        <v>-56026.3</v>
      </c>
      <c r="P88" s="3">
        <f t="shared" si="70"/>
        <v>229378.68400000001</v>
      </c>
      <c r="Q88" s="3">
        <f t="shared" si="71"/>
        <v>1175534.26</v>
      </c>
      <c r="R88" s="3">
        <f t="shared" si="72"/>
        <v>78106.321905833334</v>
      </c>
      <c r="S88" s="47">
        <f t="shared" ca="1" si="94"/>
        <v>1112806.1644597356</v>
      </c>
      <c r="T88" s="47">
        <f>'Monthly Data'!M88</f>
        <v>6052.0782422498796</v>
      </c>
      <c r="U88" s="47">
        <f ca="1">+'Monthly Data'!N88</f>
        <v>15129.217206575395</v>
      </c>
      <c r="V88" s="47">
        <f t="shared" ca="1" si="54"/>
        <v>1133987.4599085608</v>
      </c>
    </row>
    <row r="89" spans="1:22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Data'!L89</f>
        <v>995189.19428913179</v>
      </c>
      <c r="E89" s="3">
        <f t="shared" ref="E89:F89" ca="1" si="97">E77</f>
        <v>352.41399621212122</v>
      </c>
      <c r="F89" s="3">
        <f t="shared" ca="1" si="97"/>
        <v>2.1908333333333347</v>
      </c>
      <c r="G89" s="3">
        <f>'Monthly Data'!EG89</f>
        <v>1</v>
      </c>
      <c r="H89">
        <f t="shared" si="75"/>
        <v>87</v>
      </c>
      <c r="I89" s="3">
        <f>'Monthly Data'!DQ89</f>
        <v>30</v>
      </c>
      <c r="J89" s="3">
        <f>'Monthly Data'!EO89</f>
        <v>88.583333333333329</v>
      </c>
      <c r="L89" s="3">
        <f t="shared" si="66"/>
        <v>-769716</v>
      </c>
      <c r="M89" s="3">
        <f t="shared" ca="1" si="67"/>
        <v>293948.30279213254</v>
      </c>
      <c r="N89" s="3">
        <f t="shared" ca="1" si="68"/>
        <v>4346.2868991666701</v>
      </c>
      <c r="O89" s="3">
        <f t="shared" si="69"/>
        <v>-56026.3</v>
      </c>
      <c r="P89" s="3">
        <f t="shared" si="70"/>
        <v>232045.878</v>
      </c>
      <c r="Q89" s="3">
        <f t="shared" si="71"/>
        <v>1137613.8</v>
      </c>
      <c r="R89" s="3">
        <f t="shared" si="72"/>
        <v>50807.077133333332</v>
      </c>
      <c r="S89" s="47">
        <f t="shared" ca="1" si="94"/>
        <v>893019.04482463258</v>
      </c>
      <c r="T89" s="47">
        <f>'Monthly Data'!M89</f>
        <v>6341.2808236952278</v>
      </c>
      <c r="U89" s="47">
        <f ca="1">+'Monthly Data'!N89</f>
        <v>9841.3455764586724</v>
      </c>
      <c r="V89" s="47">
        <f t="shared" ca="1" si="54"/>
        <v>909201.67122478655</v>
      </c>
    </row>
    <row r="90" spans="1:22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Data'!L90</f>
        <v>830219.78768220847</v>
      </c>
      <c r="E90" s="3">
        <f t="shared" ref="E90:F90" ca="1" si="98">E78</f>
        <v>150.136897859768</v>
      </c>
      <c r="F90" s="3">
        <f t="shared" ca="1" si="98"/>
        <v>52.487435064935063</v>
      </c>
      <c r="G90" s="3">
        <f>'Monthly Data'!EG90</f>
        <v>1</v>
      </c>
      <c r="H90">
        <f t="shared" si="75"/>
        <v>88</v>
      </c>
      <c r="I90" s="3">
        <f>'Monthly Data'!DQ90</f>
        <v>31</v>
      </c>
      <c r="J90" s="3">
        <f>'Monthly Data'!EO90</f>
        <v>27.377083333333331</v>
      </c>
      <c r="L90" s="3">
        <f t="shared" si="66"/>
        <v>-769716</v>
      </c>
      <c r="M90" s="3">
        <f t="shared" ca="1" si="67"/>
        <v>125229.09642269376</v>
      </c>
      <c r="N90" s="3">
        <f t="shared" ca="1" si="68"/>
        <v>104127.25054100649</v>
      </c>
      <c r="O90" s="3">
        <f t="shared" si="69"/>
        <v>-56026.3</v>
      </c>
      <c r="P90" s="3">
        <f t="shared" si="70"/>
        <v>234713.07199999999</v>
      </c>
      <c r="Q90" s="3">
        <f t="shared" si="71"/>
        <v>1175534.26</v>
      </c>
      <c r="R90" s="3">
        <f t="shared" si="72"/>
        <v>15702.158998333332</v>
      </c>
      <c r="S90" s="47">
        <f t="shared" ca="1" si="94"/>
        <v>829563.53796203365</v>
      </c>
      <c r="T90" s="47">
        <f>'Monthly Data'!M90</f>
        <v>6630.483405140576</v>
      </c>
      <c r="U90" s="47">
        <f ca="1">+'Monthly Data'!N90</f>
        <v>3041.5127521223758</v>
      </c>
      <c r="V90" s="47">
        <f t="shared" ca="1" si="54"/>
        <v>839235.53411929659</v>
      </c>
    </row>
    <row r="91" spans="1:22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Data'!L91</f>
        <v>816852.49289528502</v>
      </c>
      <c r="E91" s="3">
        <f t="shared" ref="E91:F91" ca="1" si="99">E79</f>
        <v>32.520923826173821</v>
      </c>
      <c r="F91" s="3">
        <f t="shared" ca="1" si="99"/>
        <v>137.65451754405018</v>
      </c>
      <c r="G91" s="3">
        <f>'Monthly Data'!EG91</f>
        <v>0</v>
      </c>
      <c r="H91">
        <f t="shared" si="75"/>
        <v>89</v>
      </c>
      <c r="I91" s="3">
        <f>'Monthly Data'!DQ91</f>
        <v>30</v>
      </c>
      <c r="J91" s="3">
        <f>'Monthly Data'!EO91</f>
        <v>9.0416277472527469</v>
      </c>
      <c r="L91" s="3">
        <f t="shared" si="66"/>
        <v>-769716</v>
      </c>
      <c r="M91" s="3">
        <f t="shared" ca="1" si="67"/>
        <v>27125.683050857286</v>
      </c>
      <c r="N91" s="3">
        <f t="shared" ca="1" si="68"/>
        <v>273086.05228428153</v>
      </c>
      <c r="O91" s="3">
        <f t="shared" si="69"/>
        <v>0</v>
      </c>
      <c r="P91" s="3">
        <f t="shared" si="70"/>
        <v>237380.266</v>
      </c>
      <c r="Q91" s="3">
        <f t="shared" si="71"/>
        <v>1137613.8</v>
      </c>
      <c r="R91" s="3">
        <f t="shared" si="72"/>
        <v>5185.83644439011</v>
      </c>
      <c r="S91" s="47">
        <f t="shared" ca="1" si="94"/>
        <v>910675.63777952897</v>
      </c>
      <c r="T91" s="47">
        <f>'Monthly Data'!M91</f>
        <v>6919.6859865859242</v>
      </c>
      <c r="U91" s="47">
        <f ca="1">+'Monthly Data'!N91</f>
        <v>1004.4980233423723</v>
      </c>
      <c r="V91" s="47">
        <f t="shared" ca="1" si="54"/>
        <v>918599.82178945723</v>
      </c>
    </row>
    <row r="92" spans="1:22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Data'!L92</f>
        <v>1100801.1767983616</v>
      </c>
      <c r="E92" s="3">
        <f t="shared" ref="E92:F92" ca="1" si="100">E80</f>
        <v>1.6179166666666653</v>
      </c>
      <c r="F92" s="3">
        <f t="shared" ca="1" si="100"/>
        <v>235.94737858727848</v>
      </c>
      <c r="G92" s="3">
        <f>'Monthly Data'!EG92</f>
        <v>0</v>
      </c>
      <c r="H92">
        <f t="shared" si="75"/>
        <v>90</v>
      </c>
      <c r="I92" s="3">
        <f>'Monthly Data'!DQ92</f>
        <v>31</v>
      </c>
      <c r="J92" s="3">
        <f>'Monthly Data'!EO92</f>
        <v>0.15520833333333339</v>
      </c>
      <c r="L92" s="3">
        <f t="shared" si="66"/>
        <v>-769716</v>
      </c>
      <c r="M92" s="3">
        <f t="shared" ca="1" si="67"/>
        <v>1349.5033209166654</v>
      </c>
      <c r="N92" s="3">
        <f t="shared" ca="1" si="68"/>
        <v>468084.44295775105</v>
      </c>
      <c r="O92" s="3">
        <f t="shared" si="69"/>
        <v>0</v>
      </c>
      <c r="P92" s="3">
        <f t="shared" si="70"/>
        <v>240047.46</v>
      </c>
      <c r="Q92" s="3">
        <f t="shared" si="71"/>
        <v>1175534.26</v>
      </c>
      <c r="R92" s="3">
        <f t="shared" si="72"/>
        <v>89.01992583333336</v>
      </c>
      <c r="S92" s="47">
        <f t="shared" ca="1" si="94"/>
        <v>1115388.6862045012</v>
      </c>
      <c r="T92" s="47">
        <f>'Monthly Data'!M92</f>
        <v>7208.8885680312724</v>
      </c>
      <c r="U92" s="47">
        <f ca="1">+'Monthly Data'!N92</f>
        <v>17.243185452638087</v>
      </c>
      <c r="V92" s="47">
        <f t="shared" ca="1" si="54"/>
        <v>1122614.8179579852</v>
      </c>
    </row>
    <row r="93" spans="1:22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Data'!L93</f>
        <v>1080444.9008314381</v>
      </c>
      <c r="E93" s="3">
        <f t="shared" ref="E93:F93" ca="1" si="101">E81</f>
        <v>5.6499999999999977</v>
      </c>
      <c r="F93" s="3">
        <f t="shared" ca="1" si="101"/>
        <v>210.96558794466404</v>
      </c>
      <c r="G93" s="3">
        <f>'Monthly Data'!EG93</f>
        <v>0</v>
      </c>
      <c r="H93">
        <f t="shared" si="75"/>
        <v>91</v>
      </c>
      <c r="I93" s="3">
        <f>'Monthly Data'!DQ93</f>
        <v>31</v>
      </c>
      <c r="J93" s="3">
        <f>'Monthly Data'!EO93</f>
        <v>0.19062500000000071</v>
      </c>
      <c r="L93" s="3">
        <f t="shared" si="66"/>
        <v>-769716</v>
      </c>
      <c r="M93" s="3">
        <f t="shared" ca="1" si="67"/>
        <v>4712.6616099999974</v>
      </c>
      <c r="N93" s="3">
        <f t="shared" ca="1" si="68"/>
        <v>418524.29260960972</v>
      </c>
      <c r="O93" s="3">
        <f t="shared" si="69"/>
        <v>0</v>
      </c>
      <c r="P93" s="3">
        <f t="shared" si="70"/>
        <v>242714.65400000001</v>
      </c>
      <c r="Q93" s="3">
        <f t="shared" si="71"/>
        <v>1175534.26</v>
      </c>
      <c r="R93" s="3">
        <f t="shared" si="72"/>
        <v>109.33319750000041</v>
      </c>
      <c r="S93" s="47">
        <f t="shared" ca="1" si="94"/>
        <v>1071879.2014171097</v>
      </c>
      <c r="T93" s="47">
        <f>'Monthly Data'!M93</f>
        <v>7498.0911494766206</v>
      </c>
      <c r="U93" s="47">
        <f ca="1">+'Monthly Data'!N93</f>
        <v>21.177872065991814</v>
      </c>
      <c r="V93" s="47">
        <f t="shared" ca="1" si="54"/>
        <v>1079398.4704386522</v>
      </c>
    </row>
    <row r="94" spans="1:22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Data'!L94</f>
        <v>853738.2210845158</v>
      </c>
      <c r="E94" s="3">
        <f t="shared" ref="E94:F94" ca="1" si="102">E82</f>
        <v>54.959440993788824</v>
      </c>
      <c r="F94" s="3">
        <f t="shared" ca="1" si="102"/>
        <v>106.4160119047619</v>
      </c>
      <c r="G94" s="3">
        <f>'Monthly Data'!EG94</f>
        <v>1</v>
      </c>
      <c r="H94">
        <f t="shared" si="75"/>
        <v>92</v>
      </c>
      <c r="I94" s="3">
        <f>'Monthly Data'!DQ94</f>
        <v>30</v>
      </c>
      <c r="J94" s="3">
        <f>'Monthly Data'!EO94</f>
        <v>17.853124999999999</v>
      </c>
      <c r="L94" s="3">
        <f t="shared" si="66"/>
        <v>-769716</v>
      </c>
      <c r="M94" s="3">
        <f t="shared" ca="1" si="67"/>
        <v>45841.636757254659</v>
      </c>
      <c r="N94" s="3">
        <f t="shared" ca="1" si="68"/>
        <v>211113.51163327383</v>
      </c>
      <c r="O94" s="3">
        <f t="shared" si="69"/>
        <v>-56026.3</v>
      </c>
      <c r="P94" s="3">
        <f t="shared" si="70"/>
        <v>245381.848</v>
      </c>
      <c r="Q94" s="3">
        <f t="shared" si="71"/>
        <v>1137613.8</v>
      </c>
      <c r="R94" s="3">
        <f t="shared" si="72"/>
        <v>10239.681267499998</v>
      </c>
      <c r="S94" s="47">
        <f t="shared" ca="1" si="94"/>
        <v>824448.17765802843</v>
      </c>
      <c r="T94" s="47">
        <f>'Monthly Data'!M94</f>
        <v>7787.2937309219687</v>
      </c>
      <c r="U94" s="47">
        <f ca="1">+'Monthly Data'!N94</f>
        <v>1983.4292313608323</v>
      </c>
      <c r="V94" s="47">
        <f t="shared" ca="1" si="54"/>
        <v>834218.90062031115</v>
      </c>
    </row>
    <row r="95" spans="1:22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Data'!L95</f>
        <v>1024176.6882775914</v>
      </c>
      <c r="E95" s="3">
        <f t="shared" ref="E95:F95" ca="1" si="103">E83</f>
        <v>237.89681159420289</v>
      </c>
      <c r="F95" s="3">
        <f t="shared" ca="1" si="103"/>
        <v>17.987083333333334</v>
      </c>
      <c r="G95" s="3">
        <f>'Monthly Data'!EG95</f>
        <v>1</v>
      </c>
      <c r="H95">
        <f t="shared" si="75"/>
        <v>93</v>
      </c>
      <c r="I95" s="3">
        <f>'Monthly Data'!DQ95</f>
        <v>31</v>
      </c>
      <c r="J95" s="3">
        <f>'Monthly Data'!EO95</f>
        <v>67.213903985507244</v>
      </c>
      <c r="L95" s="3">
        <f t="shared" si="66"/>
        <v>-769716</v>
      </c>
      <c r="M95" s="3">
        <f t="shared" ca="1" si="67"/>
        <v>198429.58781263765</v>
      </c>
      <c r="N95" s="3">
        <f t="shared" ca="1" si="68"/>
        <v>35683.693257916668</v>
      </c>
      <c r="O95" s="3">
        <f t="shared" si="69"/>
        <v>-56026.3</v>
      </c>
      <c r="P95" s="3">
        <f t="shared" si="70"/>
        <v>248049.04199999999</v>
      </c>
      <c r="Q95" s="3">
        <f t="shared" si="71"/>
        <v>1175534.26</v>
      </c>
      <c r="R95" s="3">
        <f t="shared" si="72"/>
        <v>38550.615287572466</v>
      </c>
      <c r="S95" s="47">
        <f t="shared" ca="1" si="94"/>
        <v>870504.89835812687</v>
      </c>
      <c r="T95" s="47">
        <f>'Monthly Data'!M95</f>
        <v>8076.496312367316</v>
      </c>
      <c r="U95" s="47">
        <f ca="1">+'Monthly Data'!N95</f>
        <v>7467.2653621556683</v>
      </c>
      <c r="V95" s="47">
        <f t="shared" ca="1" si="54"/>
        <v>886048.66003264976</v>
      </c>
    </row>
    <row r="96" spans="1:22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Data'!L96</f>
        <v>917442.699450669</v>
      </c>
      <c r="E96" s="3">
        <f t="shared" ref="E96:F96" ca="1" si="104">E84</f>
        <v>426.62991389045737</v>
      </c>
      <c r="F96" s="3">
        <f t="shared" ca="1" si="104"/>
        <v>0.8083333333333329</v>
      </c>
      <c r="G96" s="3">
        <f>'Monthly Data'!EG96</f>
        <v>1</v>
      </c>
      <c r="H96">
        <f t="shared" si="75"/>
        <v>94</v>
      </c>
      <c r="I96" s="3">
        <f>'Monthly Data'!DQ96</f>
        <v>30</v>
      </c>
      <c r="J96" s="3">
        <f>'Monthly Data'!EO96</f>
        <v>102.95833333333337</v>
      </c>
      <c r="L96" s="3">
        <f t="shared" si="66"/>
        <v>-769716</v>
      </c>
      <c r="M96" s="3">
        <f t="shared" ca="1" si="67"/>
        <v>355851.75519808213</v>
      </c>
      <c r="N96" s="3">
        <f t="shared" ca="1" si="68"/>
        <v>1603.612891666666</v>
      </c>
      <c r="O96" s="3">
        <f t="shared" si="69"/>
        <v>-56026.3</v>
      </c>
      <c r="P96" s="3">
        <f t="shared" si="70"/>
        <v>250716.236</v>
      </c>
      <c r="Q96" s="3">
        <f t="shared" si="71"/>
        <v>1137613.8</v>
      </c>
      <c r="R96" s="3">
        <f t="shared" si="72"/>
        <v>59051.875633333351</v>
      </c>
      <c r="S96" s="47">
        <f t="shared" ca="1" si="94"/>
        <v>979094.97972308216</v>
      </c>
      <c r="T96" s="47">
        <f>'Monthly Data'!M96</f>
        <v>8365.6988938126633</v>
      </c>
      <c r="U96" s="47">
        <f ca="1">+'Monthly Data'!N96</f>
        <v>11438.365437172808</v>
      </c>
      <c r="V96" s="47">
        <f t="shared" ca="1" si="54"/>
        <v>998899.04405406769</v>
      </c>
    </row>
    <row r="97" spans="1:22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Data'!L97</f>
        <v>1202124.9301737447</v>
      </c>
      <c r="E97" s="3">
        <f t="shared" ref="E97:F97" ca="1" si="105">E85</f>
        <v>577.92800724637686</v>
      </c>
      <c r="F97" s="3">
        <f t="shared" ca="1" si="105"/>
        <v>0</v>
      </c>
      <c r="G97" s="3">
        <f>'Monthly Data'!EG97</f>
        <v>0</v>
      </c>
      <c r="H97">
        <f t="shared" si="75"/>
        <v>95</v>
      </c>
      <c r="I97" s="3">
        <f>'Monthly Data'!DQ97</f>
        <v>31</v>
      </c>
      <c r="J97" s="3">
        <f>'Monthly Data'!EO97</f>
        <v>146.28020833333332</v>
      </c>
      <c r="L97" s="3">
        <f t="shared" si="66"/>
        <v>-769716</v>
      </c>
      <c r="M97" s="3">
        <f t="shared" ca="1" si="67"/>
        <v>482049.40408739855</v>
      </c>
      <c r="N97" s="3">
        <f t="shared" ca="1" si="68"/>
        <v>0</v>
      </c>
      <c r="O97" s="3">
        <f t="shared" si="69"/>
        <v>0</v>
      </c>
      <c r="P97" s="3">
        <f t="shared" si="70"/>
        <v>253383.43</v>
      </c>
      <c r="Q97" s="3">
        <f t="shared" si="71"/>
        <v>1175534.26</v>
      </c>
      <c r="R97" s="3">
        <f t="shared" si="72"/>
        <v>83899.18902583333</v>
      </c>
      <c r="S97" s="47">
        <f t="shared" ca="1" si="94"/>
        <v>1225150.2831132319</v>
      </c>
      <c r="T97" s="47">
        <f>'Monthly Data'!M97</f>
        <v>8654.9014752580115</v>
      </c>
      <c r="U97" s="47">
        <f ca="1">+'Monthly Data'!N97</f>
        <v>16251.297247842365</v>
      </c>
      <c r="V97" s="47">
        <f t="shared" ca="1" si="54"/>
        <v>1250056.4818363322</v>
      </c>
    </row>
    <row r="98" spans="1:22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Data'!L98</f>
        <v>1284447.9560900042</v>
      </c>
      <c r="E98" s="3">
        <f t="shared" ref="E98:F98" ca="1" si="106">E86</f>
        <v>697.33418478260876</v>
      </c>
      <c r="F98" s="3">
        <f t="shared" ca="1" si="106"/>
        <v>0</v>
      </c>
      <c r="G98" s="3">
        <f>'Monthly Data'!EG98</f>
        <v>0</v>
      </c>
      <c r="H98">
        <f t="shared" si="75"/>
        <v>96</v>
      </c>
      <c r="I98" s="3">
        <f>'Monthly Data'!DQ98</f>
        <v>31</v>
      </c>
      <c r="J98" s="3">
        <f>'Monthly Data'!EO98</f>
        <v>0</v>
      </c>
      <c r="L98" s="3">
        <f t="shared" si="66"/>
        <v>-769716</v>
      </c>
      <c r="M98" s="3">
        <f t="shared" ca="1" si="67"/>
        <v>581646.02512666304</v>
      </c>
      <c r="N98" s="3">
        <f t="shared" ca="1" si="68"/>
        <v>0</v>
      </c>
      <c r="O98" s="3">
        <f t="shared" si="69"/>
        <v>0</v>
      </c>
      <c r="P98" s="3">
        <f t="shared" si="70"/>
        <v>256050.62400000001</v>
      </c>
      <c r="Q98" s="3">
        <f t="shared" si="71"/>
        <v>1175534.26</v>
      </c>
      <c r="R98" s="3">
        <f t="shared" si="72"/>
        <v>0</v>
      </c>
      <c r="S98" s="47">
        <f t="shared" ca="1" si="94"/>
        <v>1243514.9091266631</v>
      </c>
      <c r="T98" s="47">
        <f>'Monthly Data'!M98</f>
        <v>9305.1642275210797</v>
      </c>
      <c r="U98" s="47">
        <f ca="1">+'Monthly Data'!N98</f>
        <v>22459.880294683935</v>
      </c>
      <c r="V98" s="47">
        <f t="shared" ca="1" si="54"/>
        <v>1275279.953648868</v>
      </c>
    </row>
    <row r="99" spans="1:22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Data'!L99</f>
        <v>1237997.4278684282</v>
      </c>
      <c r="E99" s="3">
        <f t="shared" ref="E99:F99" ca="1" si="107">E87</f>
        <v>624.25501811594188</v>
      </c>
      <c r="F99" s="3">
        <f t="shared" ca="1" si="107"/>
        <v>0</v>
      </c>
      <c r="G99" s="3">
        <f>'Monthly Data'!EG99</f>
        <v>0</v>
      </c>
      <c r="H99">
        <f t="shared" si="75"/>
        <v>97</v>
      </c>
      <c r="I99" s="3">
        <f>'Monthly Data'!DQ99</f>
        <v>28</v>
      </c>
      <c r="J99" s="3">
        <f>'Monthly Data'!EO99</f>
        <v>0</v>
      </c>
      <c r="L99" s="3">
        <f t="shared" si="66"/>
        <v>-769716</v>
      </c>
      <c r="M99" s="3">
        <f t="shared" ca="1" si="67"/>
        <v>520690.73605749622</v>
      </c>
      <c r="N99" s="3">
        <f t="shared" ca="1" si="68"/>
        <v>0</v>
      </c>
      <c r="O99" s="3">
        <f t="shared" si="69"/>
        <v>0</v>
      </c>
      <c r="P99" s="3">
        <f t="shared" si="70"/>
        <v>258717.818</v>
      </c>
      <c r="Q99" s="3">
        <f t="shared" si="71"/>
        <v>1061772.8799999999</v>
      </c>
      <c r="R99" s="3">
        <f t="shared" si="72"/>
        <v>0</v>
      </c>
      <c r="S99" s="47">
        <f t="shared" ca="1" si="94"/>
        <v>1071465.434057496</v>
      </c>
      <c r="T99" s="47">
        <f>'Monthly Data'!M99</f>
        <v>9666.2243983387998</v>
      </c>
      <c r="U99" s="47">
        <f ca="1">+'Monthly Data'!N99</f>
        <v>21320.751330732328</v>
      </c>
      <c r="V99" s="47">
        <f t="shared" ca="1" si="54"/>
        <v>1102452.4097865671</v>
      </c>
    </row>
    <row r="100" spans="1:22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Data'!L100</f>
        <v>1200861.7423668525</v>
      </c>
      <c r="E100" s="3">
        <f t="shared" ref="E100:F100" ca="1" si="108">E88</f>
        <v>546.13298913043491</v>
      </c>
      <c r="F100" s="3">
        <f t="shared" ca="1" si="108"/>
        <v>0</v>
      </c>
      <c r="G100" s="3">
        <f>'Monthly Data'!EG100</f>
        <v>1</v>
      </c>
      <c r="H100">
        <f t="shared" si="75"/>
        <v>98</v>
      </c>
      <c r="I100" s="3">
        <f>'Monthly Data'!DQ100</f>
        <v>31</v>
      </c>
      <c r="J100" s="3">
        <f>'Monthly Data'!EO100</f>
        <v>0</v>
      </c>
      <c r="L100" s="3">
        <f t="shared" si="66"/>
        <v>-769716</v>
      </c>
      <c r="M100" s="3">
        <f t="shared" ca="1" si="67"/>
        <v>455529.19855390227</v>
      </c>
      <c r="N100" s="3">
        <f t="shared" ca="1" si="68"/>
        <v>0</v>
      </c>
      <c r="O100" s="3">
        <f t="shared" si="69"/>
        <v>-56026.3</v>
      </c>
      <c r="P100" s="3">
        <f t="shared" si="70"/>
        <v>261385.01199999999</v>
      </c>
      <c r="Q100" s="3">
        <f t="shared" si="71"/>
        <v>1175534.26</v>
      </c>
      <c r="R100" s="3">
        <f t="shared" si="72"/>
        <v>0</v>
      </c>
      <c r="S100" s="47">
        <f t="shared" ca="1" si="94"/>
        <v>1066706.1705539022</v>
      </c>
      <c r="T100" s="47">
        <f>'Monthly Data'!M100</f>
        <v>10027.28456915652</v>
      </c>
      <c r="U100" s="47">
        <f ca="1">+'Monthly Data'!N100</f>
        <v>20487.89979935687</v>
      </c>
      <c r="V100" s="47">
        <f t="shared" ca="1" si="54"/>
        <v>1097221.3549224157</v>
      </c>
    </row>
    <row r="101" spans="1:22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Data'!L101</f>
        <v>910505.79270527558</v>
      </c>
      <c r="E101" s="3">
        <f t="shared" ref="E101:F101" ca="1" si="109">E89</f>
        <v>352.41399621212122</v>
      </c>
      <c r="F101" s="3">
        <f t="shared" ca="1" si="109"/>
        <v>2.1908333333333347</v>
      </c>
      <c r="G101" s="3">
        <f>'Monthly Data'!EG101</f>
        <v>1</v>
      </c>
      <c r="H101">
        <f t="shared" si="75"/>
        <v>99</v>
      </c>
      <c r="I101" s="3">
        <f>'Monthly Data'!DQ101</f>
        <v>30</v>
      </c>
      <c r="J101" s="3">
        <f>'Monthly Data'!EO101</f>
        <v>0</v>
      </c>
      <c r="L101" s="3">
        <f t="shared" si="66"/>
        <v>-769716</v>
      </c>
      <c r="M101" s="3">
        <f t="shared" ca="1" si="67"/>
        <v>293948.30279213254</v>
      </c>
      <c r="N101" s="3">
        <f t="shared" ca="1" si="68"/>
        <v>4346.2868991666701</v>
      </c>
      <c r="O101" s="3">
        <f t="shared" si="69"/>
        <v>-56026.3</v>
      </c>
      <c r="P101" s="3">
        <f t="shared" si="70"/>
        <v>264052.20600000001</v>
      </c>
      <c r="Q101" s="3">
        <f t="shared" si="71"/>
        <v>1137613.8</v>
      </c>
      <c r="R101" s="3">
        <f t="shared" si="72"/>
        <v>0</v>
      </c>
      <c r="S101" s="47">
        <f t="shared" ca="1" si="94"/>
        <v>874218.29569129925</v>
      </c>
      <c r="T101" s="47">
        <f>'Monthly Data'!M101</f>
        <v>10388.344739974242</v>
      </c>
      <c r="U101" s="47">
        <f ca="1">+'Monthly Data'!N101</f>
        <v>11206.314801632374</v>
      </c>
      <c r="V101" s="47">
        <f t="shared" ca="1" si="54"/>
        <v>895812.95523290592</v>
      </c>
    </row>
    <row r="102" spans="1:22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Data'!L102</f>
        <v>924428.24447370076</v>
      </c>
      <c r="E102" s="3">
        <f t="shared" ref="E102:F102" ca="1" si="110">E90</f>
        <v>150.136897859768</v>
      </c>
      <c r="F102" s="3">
        <f t="shared" ca="1" si="110"/>
        <v>52.487435064935063</v>
      </c>
      <c r="G102" s="3">
        <f>'Monthly Data'!EG102</f>
        <v>1</v>
      </c>
      <c r="H102">
        <f t="shared" si="75"/>
        <v>100</v>
      </c>
      <c r="I102" s="3">
        <f>'Monthly Data'!DQ102</f>
        <v>31</v>
      </c>
      <c r="J102" s="3">
        <f>'Monthly Data'!EO102</f>
        <v>0</v>
      </c>
      <c r="L102" s="3">
        <f t="shared" si="66"/>
        <v>-769716</v>
      </c>
      <c r="M102" s="3">
        <f t="shared" ca="1" si="67"/>
        <v>125229.09642269376</v>
      </c>
      <c r="N102" s="3">
        <f t="shared" ca="1" si="68"/>
        <v>104127.25054100649</v>
      </c>
      <c r="O102" s="3">
        <f t="shared" si="69"/>
        <v>-56026.3</v>
      </c>
      <c r="P102" s="3">
        <f t="shared" si="70"/>
        <v>266719.40000000002</v>
      </c>
      <c r="Q102" s="3">
        <f t="shared" si="71"/>
        <v>1175534.26</v>
      </c>
      <c r="R102" s="3">
        <f t="shared" si="72"/>
        <v>0</v>
      </c>
      <c r="S102" s="47">
        <f t="shared" ca="1" si="94"/>
        <v>845867.70696370024</v>
      </c>
      <c r="T102" s="47">
        <f>'Monthly Data'!M102</f>
        <v>10749.404910791964</v>
      </c>
      <c r="U102" s="47">
        <f ca="1">+'Monthly Data'!N102</f>
        <v>6081.4583342180886</v>
      </c>
      <c r="V102" s="47">
        <f t="shared" ca="1" si="54"/>
        <v>862698.57020871039</v>
      </c>
    </row>
    <row r="103" spans="1:22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Data'!L103</f>
        <v>825344.00422212481</v>
      </c>
      <c r="E103" s="3">
        <f t="shared" ref="E103:F103" ca="1" si="111">E91</f>
        <v>32.520923826173821</v>
      </c>
      <c r="F103" s="3">
        <f t="shared" ca="1" si="111"/>
        <v>137.65451754405018</v>
      </c>
      <c r="G103" s="3">
        <f>'Monthly Data'!EG103</f>
        <v>0</v>
      </c>
      <c r="H103">
        <f t="shared" si="75"/>
        <v>101</v>
      </c>
      <c r="I103" s="3">
        <f>'Monthly Data'!DQ103</f>
        <v>30</v>
      </c>
      <c r="J103" s="3">
        <f>'Monthly Data'!EO103</f>
        <v>0</v>
      </c>
      <c r="L103" s="3">
        <f t="shared" si="66"/>
        <v>-769716</v>
      </c>
      <c r="M103" s="3">
        <f t="shared" ca="1" si="67"/>
        <v>27125.683050857286</v>
      </c>
      <c r="N103" s="3">
        <f t="shared" ca="1" si="68"/>
        <v>273086.05228428153</v>
      </c>
      <c r="O103" s="3">
        <f t="shared" si="69"/>
        <v>0</v>
      </c>
      <c r="P103" s="3">
        <f t="shared" si="70"/>
        <v>269386.59399999998</v>
      </c>
      <c r="Q103" s="3">
        <f t="shared" si="71"/>
        <v>1137613.8</v>
      </c>
      <c r="R103" s="3">
        <f t="shared" si="72"/>
        <v>0</v>
      </c>
      <c r="S103" s="47">
        <f t="shared" ca="1" si="94"/>
        <v>937496.12933513883</v>
      </c>
      <c r="T103" s="47">
        <f>'Monthly Data'!M103</f>
        <v>11110.465081609684</v>
      </c>
      <c r="U103" s="47">
        <f ca="1">+'Monthly Data'!N103</f>
        <v>797.21986243641038</v>
      </c>
      <c r="V103" s="47">
        <f t="shared" ca="1" si="54"/>
        <v>949403.81427918491</v>
      </c>
    </row>
    <row r="104" spans="1:22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Data'!L104</f>
        <v>1149728.5446605489</v>
      </c>
      <c r="E104" s="3">
        <f t="shared" ref="E104:F104" ca="1" si="112">E92</f>
        <v>1.6179166666666653</v>
      </c>
      <c r="F104" s="3">
        <f t="shared" ca="1" si="112"/>
        <v>235.94737858727848</v>
      </c>
      <c r="G104" s="3">
        <f>'Monthly Data'!EG104</f>
        <v>0</v>
      </c>
      <c r="H104">
        <f t="shared" si="75"/>
        <v>102</v>
      </c>
      <c r="I104" s="3">
        <f>'Monthly Data'!DQ104</f>
        <v>31</v>
      </c>
      <c r="J104" s="3">
        <f>'Monthly Data'!EO104</f>
        <v>0</v>
      </c>
      <c r="L104" s="3">
        <f t="shared" si="66"/>
        <v>-769716</v>
      </c>
      <c r="M104" s="3">
        <f t="shared" ca="1" si="67"/>
        <v>1349.5033209166654</v>
      </c>
      <c r="N104" s="3">
        <f t="shared" ca="1" si="68"/>
        <v>468084.44295775105</v>
      </c>
      <c r="O104" s="3">
        <f t="shared" si="69"/>
        <v>0</v>
      </c>
      <c r="P104" s="3">
        <f t="shared" si="70"/>
        <v>272053.788</v>
      </c>
      <c r="Q104" s="3">
        <f t="shared" si="71"/>
        <v>1175534.26</v>
      </c>
      <c r="R104" s="3">
        <f t="shared" si="72"/>
        <v>0</v>
      </c>
      <c r="S104" s="47">
        <f t="shared" ca="1" si="94"/>
        <v>1147305.9942786677</v>
      </c>
      <c r="T104" s="47">
        <f>'Monthly Data'!M104</f>
        <v>11471.525252427404</v>
      </c>
      <c r="U104" s="47">
        <f ca="1">+'Monthly Data'!N104</f>
        <v>4.6476089920504542</v>
      </c>
      <c r="V104" s="47">
        <f t="shared" ca="1" si="54"/>
        <v>1158782.1671400871</v>
      </c>
    </row>
    <row r="105" spans="1:22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Data'!L105</f>
        <v>1094870.1071989732</v>
      </c>
      <c r="E105" s="3">
        <f t="shared" ref="E105:F105" ca="1" si="113">E93</f>
        <v>5.6499999999999977</v>
      </c>
      <c r="F105" s="3">
        <f t="shared" ca="1" si="113"/>
        <v>210.96558794466404</v>
      </c>
      <c r="G105" s="3">
        <f>'Monthly Data'!EG105</f>
        <v>0</v>
      </c>
      <c r="H105">
        <f t="shared" si="75"/>
        <v>103</v>
      </c>
      <c r="I105" s="3">
        <f>'Monthly Data'!DQ105</f>
        <v>31</v>
      </c>
      <c r="J105" s="3">
        <f>'Monthly Data'!EO105</f>
        <v>0</v>
      </c>
      <c r="L105" s="3">
        <f t="shared" si="66"/>
        <v>-769716</v>
      </c>
      <c r="M105" s="3">
        <f t="shared" ca="1" si="67"/>
        <v>4712.6616099999974</v>
      </c>
      <c r="N105" s="3">
        <f t="shared" ca="1" si="68"/>
        <v>418524.29260960972</v>
      </c>
      <c r="O105" s="3">
        <f t="shared" si="69"/>
        <v>0</v>
      </c>
      <c r="P105" s="3">
        <f t="shared" si="70"/>
        <v>274720.98200000002</v>
      </c>
      <c r="Q105" s="3">
        <f t="shared" si="71"/>
        <v>1175534.26</v>
      </c>
      <c r="R105" s="3">
        <f t="shared" si="72"/>
        <v>0</v>
      </c>
      <c r="S105" s="47">
        <f t="shared" ca="1" si="94"/>
        <v>1103776.1962196096</v>
      </c>
      <c r="T105" s="47">
        <f>'Monthly Data'!M105</f>
        <v>11832.585423245126</v>
      </c>
      <c r="U105" s="47">
        <f ca="1">+'Monthly Data'!N105</f>
        <v>344.85258721015333</v>
      </c>
      <c r="V105" s="47">
        <f t="shared" ca="1" si="54"/>
        <v>1115953.6342300649</v>
      </c>
    </row>
    <row r="106" spans="1:22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Data'!L106</f>
        <v>851300.06026739709</v>
      </c>
      <c r="E106" s="3">
        <f t="shared" ref="E106:F106" ca="1" si="114">E94</f>
        <v>54.959440993788824</v>
      </c>
      <c r="F106" s="3">
        <f t="shared" ca="1" si="114"/>
        <v>106.4160119047619</v>
      </c>
      <c r="G106" s="3">
        <f>'Monthly Data'!EG106</f>
        <v>1</v>
      </c>
      <c r="H106">
        <f t="shared" si="75"/>
        <v>104</v>
      </c>
      <c r="I106" s="3">
        <f>'Monthly Data'!DQ106</f>
        <v>30</v>
      </c>
      <c r="J106" s="3">
        <f>'Monthly Data'!EO106</f>
        <v>0</v>
      </c>
      <c r="L106" s="3">
        <f t="shared" si="66"/>
        <v>-769716</v>
      </c>
      <c r="M106" s="3">
        <f t="shared" ca="1" si="67"/>
        <v>45841.636757254659</v>
      </c>
      <c r="N106" s="3">
        <f t="shared" ca="1" si="68"/>
        <v>211113.51163327383</v>
      </c>
      <c r="O106" s="3">
        <f t="shared" si="69"/>
        <v>-56026.3</v>
      </c>
      <c r="P106" s="3">
        <f t="shared" si="70"/>
        <v>277388.17599999998</v>
      </c>
      <c r="Q106" s="3">
        <f t="shared" si="71"/>
        <v>1137613.8</v>
      </c>
      <c r="R106" s="3">
        <f t="shared" si="72"/>
        <v>0</v>
      </c>
      <c r="S106" s="47">
        <f t="shared" ca="1" si="94"/>
        <v>846214.82439052837</v>
      </c>
      <c r="T106" s="47">
        <f>'Monthly Data'!M106</f>
        <v>12193.645594062848</v>
      </c>
      <c r="U106" s="47">
        <f ca="1">+'Monthly Data'!N106</f>
        <v>1769.4996635733937</v>
      </c>
      <c r="V106" s="47">
        <f t="shared" ca="1" si="54"/>
        <v>860177.96964816458</v>
      </c>
    </row>
    <row r="107" spans="1:22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Data'!L107</f>
        <v>935633.28150582127</v>
      </c>
      <c r="E107" s="3">
        <f t="shared" ref="E107:F107" ca="1" si="115">E95</f>
        <v>237.89681159420289</v>
      </c>
      <c r="F107" s="3">
        <f t="shared" ca="1" si="115"/>
        <v>17.987083333333334</v>
      </c>
      <c r="G107" s="3">
        <f>'Monthly Data'!EG107</f>
        <v>1</v>
      </c>
      <c r="H107">
        <f t="shared" si="75"/>
        <v>105</v>
      </c>
      <c r="I107" s="3">
        <f>'Monthly Data'!DQ107</f>
        <v>31</v>
      </c>
      <c r="J107" s="3">
        <f>'Monthly Data'!EO107</f>
        <v>0</v>
      </c>
      <c r="L107" s="3">
        <f t="shared" si="66"/>
        <v>-769716</v>
      </c>
      <c r="M107" s="3">
        <f t="shared" ca="1" si="67"/>
        <v>198429.58781263765</v>
      </c>
      <c r="N107" s="3">
        <f t="shared" ca="1" si="68"/>
        <v>35683.693257916668</v>
      </c>
      <c r="O107" s="3">
        <f t="shared" si="69"/>
        <v>-56026.3</v>
      </c>
      <c r="P107" s="3">
        <f t="shared" si="70"/>
        <v>280055.37</v>
      </c>
      <c r="Q107" s="3">
        <f t="shared" si="71"/>
        <v>1175534.26</v>
      </c>
      <c r="R107" s="3">
        <f t="shared" si="72"/>
        <v>0</v>
      </c>
      <c r="S107" s="47">
        <f t="shared" ca="1" si="94"/>
        <v>863960.61107055435</v>
      </c>
      <c r="T107" s="47">
        <f>'Monthly Data'!M107</f>
        <v>12554.705764880568</v>
      </c>
      <c r="U107" s="47">
        <f ca="1">+'Monthly Data'!N107</f>
        <v>7702.1725419259665</v>
      </c>
      <c r="V107" s="47">
        <f t="shared" ca="1" si="54"/>
        <v>884217.48937736079</v>
      </c>
    </row>
    <row r="108" spans="1:22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Data'!L108</f>
        <v>1058502.3214542454</v>
      </c>
      <c r="E108" s="3">
        <f t="shared" ref="E108:F108" ca="1" si="116">E96</f>
        <v>426.62991389045737</v>
      </c>
      <c r="F108" s="3">
        <f t="shared" ca="1" si="116"/>
        <v>0.8083333333333329</v>
      </c>
      <c r="G108" s="3">
        <f>'Monthly Data'!EG108</f>
        <v>1</v>
      </c>
      <c r="H108">
        <f t="shared" si="75"/>
        <v>106</v>
      </c>
      <c r="I108" s="3">
        <f>'Monthly Data'!DQ108</f>
        <v>30</v>
      </c>
      <c r="J108" s="3">
        <f>'Monthly Data'!EO108</f>
        <v>0</v>
      </c>
      <c r="L108" s="3">
        <f t="shared" si="66"/>
        <v>-769716</v>
      </c>
      <c r="M108" s="3">
        <f t="shared" ca="1" si="67"/>
        <v>355851.75519808213</v>
      </c>
      <c r="N108" s="3">
        <f t="shared" ca="1" si="68"/>
        <v>1603.612891666666</v>
      </c>
      <c r="O108" s="3">
        <f t="shared" si="69"/>
        <v>-56026.3</v>
      </c>
      <c r="P108" s="3">
        <f t="shared" si="70"/>
        <v>282722.56400000001</v>
      </c>
      <c r="Q108" s="3">
        <f t="shared" si="71"/>
        <v>1137613.8</v>
      </c>
      <c r="R108" s="3">
        <f t="shared" si="72"/>
        <v>0</v>
      </c>
      <c r="S108" s="47">
        <f t="shared" ca="1" si="94"/>
        <v>952049.43208974879</v>
      </c>
      <c r="T108" s="47">
        <f>'Monthly Data'!M108</f>
        <v>12915.765935698289</v>
      </c>
      <c r="U108" s="47">
        <f ca="1">+'Monthly Data'!N108</f>
        <v>16753.44493926613</v>
      </c>
      <c r="V108" s="47">
        <f t="shared" ca="1" si="54"/>
        <v>981718.64296471316</v>
      </c>
    </row>
    <row r="109" spans="1:22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Data'!L109</f>
        <v>1228017.9985926696</v>
      </c>
      <c r="E109" s="3">
        <f t="shared" ref="E109:F109" ca="1" si="117">E97</f>
        <v>577.92800724637686</v>
      </c>
      <c r="F109" s="3">
        <f t="shared" ca="1" si="117"/>
        <v>0</v>
      </c>
      <c r="G109" s="3">
        <f>'Monthly Data'!EG109</f>
        <v>0</v>
      </c>
      <c r="H109">
        <f t="shared" si="75"/>
        <v>107</v>
      </c>
      <c r="I109" s="3">
        <f>'Monthly Data'!DQ109</f>
        <v>31</v>
      </c>
      <c r="J109" s="3">
        <f>'Monthly Data'!EO109</f>
        <v>0</v>
      </c>
      <c r="L109" s="3">
        <f t="shared" si="66"/>
        <v>-769716</v>
      </c>
      <c r="M109" s="3">
        <f t="shared" ca="1" si="67"/>
        <v>482049.40408739855</v>
      </c>
      <c r="N109" s="3">
        <f t="shared" ca="1" si="68"/>
        <v>0</v>
      </c>
      <c r="O109" s="3">
        <f t="shared" si="69"/>
        <v>0</v>
      </c>
      <c r="P109" s="3">
        <f t="shared" si="70"/>
        <v>285389.75799999997</v>
      </c>
      <c r="Q109" s="3">
        <f t="shared" si="71"/>
        <v>1175534.26</v>
      </c>
      <c r="R109" s="3">
        <f t="shared" si="72"/>
        <v>0</v>
      </c>
      <c r="S109" s="47">
        <f t="shared" ca="1" si="94"/>
        <v>1173257.4220873986</v>
      </c>
      <c r="T109" s="47">
        <f>'Monthly Data'!M109</f>
        <v>13276.82610651601</v>
      </c>
      <c r="U109" s="47">
        <f ca="1">+'Monthly Data'!N109</f>
        <v>18206.698385758704</v>
      </c>
      <c r="V109" s="47">
        <f t="shared" ca="1" si="54"/>
        <v>1204740.9465796733</v>
      </c>
    </row>
    <row r="110" spans="1:22">
      <c r="A110" s="2">
        <f>EOMONTH(A109,1)</f>
        <v>45322</v>
      </c>
      <c r="B110">
        <f>'Monthly Data'!B110</f>
        <v>2024</v>
      </c>
      <c r="C110">
        <f>'Monthly Data'!C110</f>
        <v>1</v>
      </c>
      <c r="D110" s="3">
        <f ca="1">'Monthly Data'!L110</f>
        <v>1367303.0013910239</v>
      </c>
      <c r="E110" s="3">
        <f t="shared" ref="E110:F110" ca="1" si="118">E98</f>
        <v>697.33418478260876</v>
      </c>
      <c r="F110" s="3">
        <f t="shared" ca="1" si="118"/>
        <v>0</v>
      </c>
      <c r="G110" s="3">
        <f>'Monthly Data'!EG110</f>
        <v>0</v>
      </c>
      <c r="H110">
        <f t="shared" si="75"/>
        <v>108</v>
      </c>
      <c r="I110" s="3">
        <f>'Monthly Data'!DQ110</f>
        <v>31</v>
      </c>
      <c r="J110" s="3">
        <f>'Monthly Data'!EO110</f>
        <v>0</v>
      </c>
      <c r="L110" s="3">
        <f t="shared" si="66"/>
        <v>-769716</v>
      </c>
      <c r="M110" s="3">
        <f t="shared" ca="1" si="67"/>
        <v>581646.02512666304</v>
      </c>
      <c r="N110" s="3">
        <f t="shared" ca="1" si="68"/>
        <v>0</v>
      </c>
      <c r="O110" s="3">
        <f t="shared" si="69"/>
        <v>0</v>
      </c>
      <c r="P110" s="3">
        <f t="shared" si="70"/>
        <v>288056.95199999999</v>
      </c>
      <c r="Q110" s="3">
        <f t="shared" si="71"/>
        <v>1175534.26</v>
      </c>
      <c r="R110" s="3">
        <f t="shared" si="72"/>
        <v>0</v>
      </c>
      <c r="S110" s="47">
        <f t="shared" ref="S110:S121" ca="1" si="119">SUM(L110:R110)</f>
        <v>1275521.2371266631</v>
      </c>
      <c r="T110" s="47">
        <f>'Monthly Data'!M110</f>
        <v>14070.063157237368</v>
      </c>
      <c r="U110" s="47">
        <f ca="1">+'Monthly Data'!N110</f>
        <v>30013.1940531617</v>
      </c>
      <c r="V110" s="47">
        <f t="shared" ca="1" si="54"/>
        <v>1319604.4943370621</v>
      </c>
    </row>
    <row r="111" spans="1:22">
      <c r="A111" s="2">
        <f t="shared" ref="A111:A174" si="120">EOMONTH(A110,1)</f>
        <v>45351</v>
      </c>
      <c r="B111">
        <f>'Monthly Data'!B111</f>
        <v>2024</v>
      </c>
      <c r="C111">
        <f>'Monthly Data'!C111</f>
        <v>2</v>
      </c>
      <c r="D111" s="3">
        <f ca="1">'Monthly Data'!L111</f>
        <v>1275227.7416194798</v>
      </c>
      <c r="E111" s="3">
        <f t="shared" ref="E111:F111" ca="1" si="121">E99</f>
        <v>624.25501811594188</v>
      </c>
      <c r="F111" s="3">
        <f t="shared" ca="1" si="121"/>
        <v>0</v>
      </c>
      <c r="G111" s="3">
        <f>'Monthly Data'!EG111</f>
        <v>0</v>
      </c>
      <c r="H111">
        <f t="shared" si="75"/>
        <v>109</v>
      </c>
      <c r="I111" s="3">
        <f>'Monthly Data'!DQ111</f>
        <v>29</v>
      </c>
      <c r="J111" s="3">
        <f>'Monthly Data'!EO111</f>
        <v>0</v>
      </c>
      <c r="L111" s="3">
        <f t="shared" si="66"/>
        <v>-769716</v>
      </c>
      <c r="M111" s="3">
        <f t="shared" ca="1" si="67"/>
        <v>520690.73605749622</v>
      </c>
      <c r="N111" s="3">
        <f t="shared" ca="1" si="68"/>
        <v>0</v>
      </c>
      <c r="O111" s="3">
        <f t="shared" si="69"/>
        <v>0</v>
      </c>
      <c r="P111" s="3">
        <f t="shared" si="70"/>
        <v>290724.14600000001</v>
      </c>
      <c r="Q111" s="3">
        <f t="shared" si="71"/>
        <v>1099693.3400000001</v>
      </c>
      <c r="R111" s="3">
        <f t="shared" si="72"/>
        <v>0</v>
      </c>
      <c r="S111" s="47">
        <f t="shared" ca="1" si="119"/>
        <v>1141392.2220574962</v>
      </c>
      <c r="T111" s="47">
        <f>'Monthly Data'!M111</f>
        <v>14502.240037141006</v>
      </c>
      <c r="U111" s="47">
        <f ca="1">+'Monthly Data'!N111</f>
        <v>25582.842270394278</v>
      </c>
      <c r="V111" s="47">
        <f t="shared" ca="1" si="54"/>
        <v>1181477.3043650314</v>
      </c>
    </row>
    <row r="112" spans="1:22">
      <c r="A112" s="2">
        <f t="shared" si="120"/>
        <v>45382</v>
      </c>
      <c r="B112">
        <f>'Monthly Data'!B112</f>
        <v>2024</v>
      </c>
      <c r="C112">
        <f>'Monthly Data'!C112</f>
        <v>3</v>
      </c>
      <c r="D112" s="3">
        <f ca="1">'Monthly Data'!L112</f>
        <v>1195213.6387360801</v>
      </c>
      <c r="E112" s="3">
        <f t="shared" ref="E112:F112" ca="1" si="122">E100</f>
        <v>546.13298913043491</v>
      </c>
      <c r="F112" s="3">
        <f t="shared" ca="1" si="122"/>
        <v>0</v>
      </c>
      <c r="G112" s="3">
        <f>'Monthly Data'!EG112</f>
        <v>1</v>
      </c>
      <c r="H112">
        <f t="shared" si="75"/>
        <v>110</v>
      </c>
      <c r="I112" s="3">
        <f>'Monthly Data'!DQ112</f>
        <v>31</v>
      </c>
      <c r="J112" s="3">
        <f>'Monthly Data'!EO112</f>
        <v>0</v>
      </c>
      <c r="L112" s="3">
        <f t="shared" si="66"/>
        <v>-769716</v>
      </c>
      <c r="M112" s="3">
        <f t="shared" ca="1" si="67"/>
        <v>455529.19855390227</v>
      </c>
      <c r="N112" s="3">
        <f t="shared" ca="1" si="68"/>
        <v>0</v>
      </c>
      <c r="O112" s="3">
        <f t="shared" si="69"/>
        <v>-56026.3</v>
      </c>
      <c r="P112" s="3">
        <f t="shared" si="70"/>
        <v>293391.33999999997</v>
      </c>
      <c r="Q112" s="3">
        <f t="shared" si="71"/>
        <v>1175534.26</v>
      </c>
      <c r="R112" s="3">
        <f t="shared" si="72"/>
        <v>0</v>
      </c>
      <c r="S112" s="47">
        <f t="shared" ca="1" si="119"/>
        <v>1098712.4985539024</v>
      </c>
      <c r="T112" s="47">
        <f>'Monthly Data'!M112</f>
        <v>14934.416917044644</v>
      </c>
      <c r="U112" s="47">
        <f ca="1">+'Monthly Data'!N112</f>
        <v>21679.020530671234</v>
      </c>
      <c r="V112" s="47">
        <f t="shared" ca="1" si="54"/>
        <v>1135325.9360016184</v>
      </c>
    </row>
    <row r="113" spans="1:22">
      <c r="A113" s="2">
        <f t="shared" si="120"/>
        <v>45412</v>
      </c>
      <c r="B113">
        <f>'Monthly Data'!B113</f>
        <v>2024</v>
      </c>
      <c r="C113">
        <f>'Monthly Data'!C113</f>
        <v>4</v>
      </c>
      <c r="D113" s="3">
        <f ca="1">'Monthly Data'!L113</f>
        <v>930346.69278810883</v>
      </c>
      <c r="E113" s="3">
        <f t="shared" ref="E113:F113" ca="1" si="123">E101</f>
        <v>352.41399621212122</v>
      </c>
      <c r="F113" s="3">
        <f t="shared" ca="1" si="123"/>
        <v>2.1908333333333347</v>
      </c>
      <c r="G113" s="3">
        <f>'Monthly Data'!EG113</f>
        <v>1</v>
      </c>
      <c r="H113">
        <f t="shared" si="75"/>
        <v>111</v>
      </c>
      <c r="I113" s="3">
        <f>'Monthly Data'!DQ113</f>
        <v>30</v>
      </c>
      <c r="J113" s="3">
        <f>'Monthly Data'!EO113</f>
        <v>0</v>
      </c>
      <c r="L113" s="3">
        <f t="shared" si="66"/>
        <v>-769716</v>
      </c>
      <c r="M113" s="3">
        <f t="shared" ca="1" si="67"/>
        <v>293948.30279213254</v>
      </c>
      <c r="N113" s="3">
        <f t="shared" ca="1" si="68"/>
        <v>4346.2868991666701</v>
      </c>
      <c r="O113" s="3">
        <f t="shared" si="69"/>
        <v>-56026.3</v>
      </c>
      <c r="P113" s="3">
        <f t="shared" si="70"/>
        <v>296058.53399999999</v>
      </c>
      <c r="Q113" s="3">
        <f t="shared" si="71"/>
        <v>1137613.8</v>
      </c>
      <c r="R113" s="3">
        <f t="shared" si="72"/>
        <v>0</v>
      </c>
      <c r="S113" s="47">
        <f t="shared" ca="1" si="119"/>
        <v>906224.62369129923</v>
      </c>
      <c r="T113" s="47">
        <f>'Monthly Data'!M113</f>
        <v>15366.593796948282</v>
      </c>
      <c r="U113" s="47">
        <f ca="1">+'Monthly Data'!N113</f>
        <v>14526.005846352435</v>
      </c>
      <c r="V113" s="47">
        <f t="shared" ca="1" si="54"/>
        <v>936117.22333459998</v>
      </c>
    </row>
    <row r="114" spans="1:22">
      <c r="A114" s="2">
        <f t="shared" si="120"/>
        <v>45443</v>
      </c>
      <c r="B114">
        <f>'Monthly Data'!B114</f>
        <v>2024</v>
      </c>
      <c r="C114">
        <f>'Monthly Data'!C114</f>
        <v>5</v>
      </c>
      <c r="D114" s="3">
        <f ca="1">'Monthly Data'!L114</f>
        <v>897517.03430432919</v>
      </c>
      <c r="E114" s="3">
        <f t="shared" ref="E114:F114" ca="1" si="124">E102</f>
        <v>150.136897859768</v>
      </c>
      <c r="F114" s="3">
        <f t="shared" ca="1" si="124"/>
        <v>52.487435064935063</v>
      </c>
      <c r="G114" s="3">
        <f>'Monthly Data'!EG114</f>
        <v>1</v>
      </c>
      <c r="H114">
        <f t="shared" si="75"/>
        <v>112</v>
      </c>
      <c r="I114" s="3">
        <f>'Monthly Data'!DQ114</f>
        <v>31</v>
      </c>
      <c r="J114" s="3">
        <f>'Monthly Data'!EO114</f>
        <v>0</v>
      </c>
      <c r="L114" s="3">
        <f t="shared" si="66"/>
        <v>-769716</v>
      </c>
      <c r="M114" s="3">
        <f t="shared" ca="1" si="67"/>
        <v>125229.09642269376</v>
      </c>
      <c r="N114" s="3">
        <f t="shared" ca="1" si="68"/>
        <v>104127.25054100649</v>
      </c>
      <c r="O114" s="3">
        <f t="shared" si="69"/>
        <v>-56026.3</v>
      </c>
      <c r="P114" s="3">
        <f t="shared" si="70"/>
        <v>298725.728</v>
      </c>
      <c r="Q114" s="3">
        <f t="shared" si="71"/>
        <v>1175534.26</v>
      </c>
      <c r="R114" s="3">
        <f t="shared" si="72"/>
        <v>0</v>
      </c>
      <c r="S114" s="47">
        <f t="shared" ca="1" si="119"/>
        <v>877874.03496370022</v>
      </c>
      <c r="T114" s="47">
        <f>'Monthly Data'!M114</f>
        <v>15798.77067685192</v>
      </c>
      <c r="U114" s="47">
        <f ca="1">+'Monthly Data'!N114</f>
        <v>4218.3262620784099</v>
      </c>
      <c r="V114" s="47">
        <f t="shared" ca="1" si="54"/>
        <v>897891.13190263056</v>
      </c>
    </row>
    <row r="115" spans="1:22">
      <c r="A115" s="2">
        <f t="shared" si="120"/>
        <v>45473</v>
      </c>
      <c r="B115">
        <f>'Monthly Data'!B115</f>
        <v>2024</v>
      </c>
      <c r="C115">
        <f>'Monthly Data'!C115</f>
        <v>6</v>
      </c>
      <c r="D115" s="3">
        <f ca="1">'Monthly Data'!L115</f>
        <v>823481.97335763171</v>
      </c>
      <c r="E115" s="3">
        <f t="shared" ref="E115:F115" ca="1" si="125">E103</f>
        <v>32.520923826173821</v>
      </c>
      <c r="F115" s="3">
        <f t="shared" ca="1" si="125"/>
        <v>137.65451754405018</v>
      </c>
      <c r="G115" s="3">
        <f>'Monthly Data'!EG115</f>
        <v>0</v>
      </c>
      <c r="H115">
        <f t="shared" si="75"/>
        <v>113</v>
      </c>
      <c r="I115" s="3">
        <f>'Monthly Data'!DQ115</f>
        <v>30</v>
      </c>
      <c r="J115" s="3">
        <f>'Monthly Data'!EO115</f>
        <v>0</v>
      </c>
      <c r="L115" s="3">
        <f t="shared" si="66"/>
        <v>-769716</v>
      </c>
      <c r="M115" s="3">
        <f t="shared" ca="1" si="67"/>
        <v>27125.683050857286</v>
      </c>
      <c r="N115" s="3">
        <f t="shared" ca="1" si="68"/>
        <v>273086.05228428153</v>
      </c>
      <c r="O115" s="3">
        <f t="shared" si="69"/>
        <v>0</v>
      </c>
      <c r="P115" s="3">
        <f t="shared" si="70"/>
        <v>301392.92200000002</v>
      </c>
      <c r="Q115" s="3">
        <f t="shared" si="71"/>
        <v>1137613.8</v>
      </c>
      <c r="R115" s="3">
        <f t="shared" si="72"/>
        <v>0</v>
      </c>
      <c r="S115" s="47">
        <f t="shared" ca="1" si="119"/>
        <v>969502.45733513893</v>
      </c>
      <c r="T115" s="47">
        <f>'Monthly Data'!M115</f>
        <v>16230.947556755558</v>
      </c>
      <c r="U115" s="47">
        <f ca="1">+'Monthly Data'!N115</f>
        <v>1487.5160835746317</v>
      </c>
      <c r="V115" s="47">
        <f t="shared" ca="1" si="54"/>
        <v>987220.92097546905</v>
      </c>
    </row>
    <row r="116" spans="1:22">
      <c r="A116" s="2">
        <f t="shared" si="120"/>
        <v>45504</v>
      </c>
      <c r="B116">
        <f>'Monthly Data'!B116</f>
        <v>2024</v>
      </c>
      <c r="C116">
        <f>'Monthly Data'!C116</f>
        <v>7</v>
      </c>
      <c r="D116" s="3">
        <f ca="1">'Monthly Data'!L116</f>
        <v>1144356.3761343488</v>
      </c>
      <c r="E116" s="3">
        <f t="shared" ref="E116:F116" ca="1" si="126">E104</f>
        <v>1.6179166666666653</v>
      </c>
      <c r="F116" s="3">
        <f t="shared" ca="1" si="126"/>
        <v>235.94737858727848</v>
      </c>
      <c r="G116" s="3">
        <f>'Monthly Data'!EG116</f>
        <v>0</v>
      </c>
      <c r="H116">
        <f t="shared" si="75"/>
        <v>114</v>
      </c>
      <c r="I116" s="3">
        <f>'Monthly Data'!DQ116</f>
        <v>31</v>
      </c>
      <c r="J116" s="3">
        <f>'Monthly Data'!EO116</f>
        <v>0</v>
      </c>
      <c r="L116" s="3">
        <f t="shared" si="66"/>
        <v>-769716</v>
      </c>
      <c r="M116" s="3">
        <f t="shared" ca="1" si="67"/>
        <v>1349.5033209166654</v>
      </c>
      <c r="N116" s="3">
        <f t="shared" ca="1" si="68"/>
        <v>468084.44295775105</v>
      </c>
      <c r="O116" s="3">
        <f t="shared" si="69"/>
        <v>0</v>
      </c>
      <c r="P116" s="3">
        <f t="shared" si="70"/>
        <v>304060.11599999998</v>
      </c>
      <c r="Q116" s="3">
        <f t="shared" si="71"/>
        <v>1175534.26</v>
      </c>
      <c r="R116" s="3">
        <f t="shared" si="72"/>
        <v>0</v>
      </c>
      <c r="S116" s="47">
        <f t="shared" ca="1" si="119"/>
        <v>1179312.3222786677</v>
      </c>
      <c r="T116" s="47">
        <f>'Monthly Data'!M116</f>
        <v>16663.124436659196</v>
      </c>
      <c r="U116" s="47">
        <f ca="1">+'Monthly Data'!N116</f>
        <v>15.509274198547827</v>
      </c>
      <c r="V116" s="47">
        <f t="shared" ca="1" si="54"/>
        <v>1195990.9559895254</v>
      </c>
    </row>
    <row r="117" spans="1:22">
      <c r="A117" s="2">
        <f t="shared" si="120"/>
        <v>45535</v>
      </c>
      <c r="B117">
        <f>'Monthly Data'!B117</f>
        <v>2024</v>
      </c>
      <c r="C117">
        <f>'Monthly Data'!C117</f>
        <v>8</v>
      </c>
      <c r="D117" s="3">
        <f ca="1">'Monthly Data'!L117</f>
        <v>1173010.6780626387</v>
      </c>
      <c r="E117" s="3">
        <f t="shared" ref="E117:F117" ca="1" si="127">E105</f>
        <v>5.6499999999999977</v>
      </c>
      <c r="F117" s="3">
        <f t="shared" ca="1" si="127"/>
        <v>210.96558794466404</v>
      </c>
      <c r="G117" s="3">
        <f>'Monthly Data'!EG117</f>
        <v>0</v>
      </c>
      <c r="H117">
        <f t="shared" si="75"/>
        <v>115</v>
      </c>
      <c r="I117" s="3">
        <f>'Monthly Data'!DQ117</f>
        <v>31</v>
      </c>
      <c r="J117" s="3">
        <f>'Monthly Data'!EO117</f>
        <v>0</v>
      </c>
      <c r="L117" s="3">
        <f t="shared" si="66"/>
        <v>-769716</v>
      </c>
      <c r="M117" s="3">
        <f t="shared" ca="1" si="67"/>
        <v>4712.6616099999974</v>
      </c>
      <c r="N117" s="3">
        <f t="shared" ca="1" si="68"/>
        <v>418524.29260960972</v>
      </c>
      <c r="O117" s="3">
        <f t="shared" si="69"/>
        <v>0</v>
      </c>
      <c r="P117" s="3">
        <f t="shared" si="70"/>
        <v>306727.31</v>
      </c>
      <c r="Q117" s="3">
        <f t="shared" si="71"/>
        <v>1175534.26</v>
      </c>
      <c r="R117" s="3">
        <f t="shared" si="72"/>
        <v>0</v>
      </c>
      <c r="S117" s="47">
        <f t="shared" ca="1" si="119"/>
        <v>1135782.5242196098</v>
      </c>
      <c r="T117" s="47">
        <f>'Monthly Data'!M117</f>
        <v>17095.301316562836</v>
      </c>
      <c r="U117" s="47">
        <f ca="1">+'Monthly Data'!N117</f>
        <v>387.92817489025697</v>
      </c>
      <c r="V117" s="47">
        <f t="shared" ca="1" si="54"/>
        <v>1153265.7537110629</v>
      </c>
    </row>
    <row r="118" spans="1:22">
      <c r="A118" s="2">
        <f t="shared" si="120"/>
        <v>45565</v>
      </c>
      <c r="B118">
        <f>'Monthly Data'!B118</f>
        <v>2024</v>
      </c>
      <c r="C118">
        <f>'Monthly Data'!C118</f>
        <v>9</v>
      </c>
      <c r="D118" s="3">
        <f ca="1">'Monthly Data'!L118</f>
        <v>864674.0845947573</v>
      </c>
      <c r="E118" s="3">
        <f t="shared" ref="E118:F118" ca="1" si="128">E106</f>
        <v>54.959440993788824</v>
      </c>
      <c r="F118" s="3">
        <f t="shared" ca="1" si="128"/>
        <v>106.4160119047619</v>
      </c>
      <c r="G118" s="3">
        <f>'Monthly Data'!EG118</f>
        <v>1</v>
      </c>
      <c r="H118">
        <f t="shared" si="75"/>
        <v>116</v>
      </c>
      <c r="I118" s="3">
        <f>'Monthly Data'!DQ118</f>
        <v>30</v>
      </c>
      <c r="J118" s="3">
        <f>'Monthly Data'!EO118</f>
        <v>0</v>
      </c>
      <c r="L118" s="3">
        <f t="shared" si="66"/>
        <v>-769716</v>
      </c>
      <c r="M118" s="3">
        <f t="shared" ca="1" si="67"/>
        <v>45841.636757254659</v>
      </c>
      <c r="N118" s="3">
        <f t="shared" ca="1" si="68"/>
        <v>211113.51163327383</v>
      </c>
      <c r="O118" s="3">
        <f t="shared" si="69"/>
        <v>-56026.3</v>
      </c>
      <c r="P118" s="3">
        <f t="shared" si="70"/>
        <v>309394.50400000002</v>
      </c>
      <c r="Q118" s="3">
        <f t="shared" si="71"/>
        <v>1137613.8</v>
      </c>
      <c r="R118" s="3">
        <f t="shared" si="72"/>
        <v>0</v>
      </c>
      <c r="S118" s="47">
        <f t="shared" ca="1" si="119"/>
        <v>878221.15239052847</v>
      </c>
      <c r="T118" s="47">
        <f>'Monthly Data'!M118</f>
        <v>17527.478196466473</v>
      </c>
      <c r="U118" s="47">
        <f ca="1">+'Monthly Data'!N118</f>
        <v>1383.6628424223316</v>
      </c>
      <c r="V118" s="47">
        <f t="shared" ca="1" si="54"/>
        <v>897132.2934294173</v>
      </c>
    </row>
    <row r="119" spans="1:22">
      <c r="A119" s="2">
        <f t="shared" si="120"/>
        <v>45596</v>
      </c>
      <c r="B119">
        <f>'Monthly Data'!B119</f>
        <v>2024</v>
      </c>
      <c r="C119">
        <f>'Monthly Data'!C119</f>
        <v>10</v>
      </c>
      <c r="D119" s="3">
        <f ca="1">'Monthly Data'!L119</f>
        <v>975931.00857247226</v>
      </c>
      <c r="E119" s="3">
        <f t="shared" ref="E119:F119" ca="1" si="129">E107</f>
        <v>237.89681159420289</v>
      </c>
      <c r="F119" s="3">
        <f t="shared" ca="1" si="129"/>
        <v>17.987083333333334</v>
      </c>
      <c r="G119" s="3">
        <f>'Monthly Data'!EG119</f>
        <v>1</v>
      </c>
      <c r="H119">
        <f t="shared" si="75"/>
        <v>117</v>
      </c>
      <c r="I119" s="3">
        <f>'Monthly Data'!DQ119</f>
        <v>31</v>
      </c>
      <c r="J119" s="3">
        <f>'Monthly Data'!EO119</f>
        <v>0</v>
      </c>
      <c r="L119" s="3">
        <f t="shared" si="66"/>
        <v>-769716</v>
      </c>
      <c r="M119" s="3">
        <f t="shared" ca="1" si="67"/>
        <v>198429.58781263765</v>
      </c>
      <c r="N119" s="3">
        <f t="shared" ca="1" si="68"/>
        <v>35683.693257916668</v>
      </c>
      <c r="O119" s="3">
        <f t="shared" si="69"/>
        <v>-56026.3</v>
      </c>
      <c r="P119" s="3">
        <f t="shared" si="70"/>
        <v>312061.69799999997</v>
      </c>
      <c r="Q119" s="3">
        <f t="shared" si="71"/>
        <v>1175534.26</v>
      </c>
      <c r="R119" s="3">
        <f t="shared" si="72"/>
        <v>0</v>
      </c>
      <c r="S119" s="47">
        <f t="shared" ca="1" si="119"/>
        <v>895966.93907055433</v>
      </c>
      <c r="T119" s="47">
        <f>'Monthly Data'!M119</f>
        <v>17959.655076370113</v>
      </c>
      <c r="U119" s="47">
        <f ca="1">+'Monthly Data'!N119</f>
        <v>11022.578596856443</v>
      </c>
      <c r="V119" s="47">
        <f t="shared" ref="V119:V182" ca="1" si="130">S119+T119+U119</f>
        <v>924949.17274378089</v>
      </c>
    </row>
    <row r="120" spans="1:22">
      <c r="A120" s="2">
        <f t="shared" si="120"/>
        <v>45626</v>
      </c>
      <c r="B120">
        <f>'Monthly Data'!B120</f>
        <v>2024</v>
      </c>
      <c r="C120">
        <f>'Monthly Data'!C120</f>
        <v>11</v>
      </c>
      <c r="D120" s="3">
        <f ca="1">'Monthly Data'!L120</f>
        <v>954352.9623545974</v>
      </c>
      <c r="E120" s="3">
        <f t="shared" ref="E120:F120" ca="1" si="131">E108</f>
        <v>426.62991389045737</v>
      </c>
      <c r="F120" s="3">
        <f t="shared" ca="1" si="131"/>
        <v>0.8083333333333329</v>
      </c>
      <c r="G120" s="3">
        <f>'Monthly Data'!EG120</f>
        <v>1</v>
      </c>
      <c r="H120">
        <f t="shared" si="75"/>
        <v>118</v>
      </c>
      <c r="I120" s="3">
        <f>'Monthly Data'!DQ120</f>
        <v>30</v>
      </c>
      <c r="J120" s="3">
        <f>'Monthly Data'!EO120</f>
        <v>0</v>
      </c>
      <c r="L120" s="3">
        <f t="shared" si="66"/>
        <v>-769716</v>
      </c>
      <c r="M120" s="3">
        <f t="shared" ca="1" si="67"/>
        <v>355851.75519808213</v>
      </c>
      <c r="N120" s="3">
        <f t="shared" ca="1" si="68"/>
        <v>1603.612891666666</v>
      </c>
      <c r="O120" s="3">
        <f t="shared" si="69"/>
        <v>-56026.3</v>
      </c>
      <c r="P120" s="3">
        <f t="shared" si="70"/>
        <v>314728.89199999999</v>
      </c>
      <c r="Q120" s="3">
        <f t="shared" si="71"/>
        <v>1137613.8</v>
      </c>
      <c r="R120" s="3">
        <f t="shared" si="72"/>
        <v>0</v>
      </c>
      <c r="S120" s="47">
        <f t="shared" ca="1" si="119"/>
        <v>984055.76008974877</v>
      </c>
      <c r="T120" s="47">
        <f>'Monthly Data'!M120</f>
        <v>18391.831956273749</v>
      </c>
      <c r="U120" s="47">
        <f ca="1">+'Monthly Data'!N120</f>
        <v>17258.484744232006</v>
      </c>
      <c r="V120" s="47">
        <f t="shared" ca="1" si="130"/>
        <v>1019706.0767902546</v>
      </c>
    </row>
    <row r="121" spans="1:22">
      <c r="A121" s="2">
        <f t="shared" si="120"/>
        <v>45657</v>
      </c>
      <c r="B121">
        <f>'Monthly Data'!B121</f>
        <v>2024</v>
      </c>
      <c r="C121">
        <f>'Monthly Data'!C121</f>
        <v>12</v>
      </c>
      <c r="D121" s="3">
        <f ca="1">'Monthly Data'!L121</f>
        <v>1181483.6155691985</v>
      </c>
      <c r="E121" s="3">
        <f t="shared" ref="E121:F121" ca="1" si="132">E109</f>
        <v>577.92800724637686</v>
      </c>
      <c r="F121" s="3">
        <f t="shared" ca="1" si="132"/>
        <v>0</v>
      </c>
      <c r="G121" s="3">
        <f>'Monthly Data'!EG121</f>
        <v>0</v>
      </c>
      <c r="H121">
        <f t="shared" si="75"/>
        <v>119</v>
      </c>
      <c r="I121" s="3">
        <f>'Monthly Data'!DQ121</f>
        <v>31</v>
      </c>
      <c r="J121" s="3">
        <f>'Monthly Data'!EO121</f>
        <v>0</v>
      </c>
      <c r="L121" s="3">
        <f t="shared" si="66"/>
        <v>-769716</v>
      </c>
      <c r="M121" s="3">
        <f t="shared" ca="1" si="67"/>
        <v>482049.40408739855</v>
      </c>
      <c r="N121" s="3">
        <f t="shared" ca="1" si="68"/>
        <v>0</v>
      </c>
      <c r="O121" s="3">
        <f t="shared" si="69"/>
        <v>0</v>
      </c>
      <c r="P121" s="3">
        <f t="shared" si="70"/>
        <v>317396.08600000001</v>
      </c>
      <c r="Q121" s="3">
        <f t="shared" si="71"/>
        <v>1175534.26</v>
      </c>
      <c r="R121" s="3">
        <f t="shared" si="72"/>
        <v>0</v>
      </c>
      <c r="S121" s="47">
        <f t="shared" ca="1" si="119"/>
        <v>1205263.7500873986</v>
      </c>
      <c r="T121" s="47">
        <f>'Monthly Data'!M121</f>
        <v>18824.008836177389</v>
      </c>
      <c r="U121" s="47">
        <f ca="1">+'Monthly Data'!N121</f>
        <v>28202.928010316024</v>
      </c>
      <c r="V121" s="47">
        <f t="shared" ca="1" si="130"/>
        <v>1252290.6869338921</v>
      </c>
    </row>
    <row r="122" spans="1:22">
      <c r="A122" s="2">
        <f t="shared" si="120"/>
        <v>45688</v>
      </c>
      <c r="B122">
        <f t="shared" ref="B122:B174" si="133">YEAR(A122)</f>
        <v>2025</v>
      </c>
      <c r="C122">
        <f t="shared" ref="C122:C174" si="134">MONTH(A122)</f>
        <v>1</v>
      </c>
      <c r="E122" s="3">
        <f t="shared" ref="E122:F122" ca="1" si="135">E110</f>
        <v>697.33418478260876</v>
      </c>
      <c r="F122" s="3">
        <f t="shared" ca="1" si="135"/>
        <v>0</v>
      </c>
      <c r="G122" s="47">
        <f t="shared" ref="G122:G126" si="136">G110</f>
        <v>0</v>
      </c>
      <c r="H122" s="47">
        <f t="shared" ref="H122:H174" si="137">H121+1</f>
        <v>120</v>
      </c>
      <c r="I122" s="47">
        <f t="shared" ref="I122:I174" si="138">I86</f>
        <v>31</v>
      </c>
      <c r="J122">
        <v>0</v>
      </c>
      <c r="L122" s="3">
        <f t="shared" si="66"/>
        <v>-769716</v>
      </c>
      <c r="M122" s="3">
        <f t="shared" ca="1" si="67"/>
        <v>581646.02512666304</v>
      </c>
      <c r="N122" s="3">
        <f t="shared" ca="1" si="68"/>
        <v>0</v>
      </c>
      <c r="O122" s="3">
        <f t="shared" si="69"/>
        <v>0</v>
      </c>
      <c r="P122" s="3">
        <f t="shared" si="70"/>
        <v>320063.27999999997</v>
      </c>
      <c r="Q122" s="3">
        <f t="shared" si="71"/>
        <v>1175534.26</v>
      </c>
      <c r="R122" s="3">
        <f t="shared" si="72"/>
        <v>0</v>
      </c>
      <c r="S122" s="47">
        <f t="shared" ref="S122:S173" ca="1" si="139">SUM(L122:R122)</f>
        <v>1307527.5651266631</v>
      </c>
      <c r="T122" s="47">
        <f>IFERROR(HLOOKUP(B122-1,'EV Forecast VRZ'!$F$124:$T$130,3,FALSE)/12,0)+IFERROR(((HLOOKUP(B122,'EV Forecast VRZ'!$F$116:$T$122,3,FALSE)-HLOOKUP(B122-1,'EV Forecast VRZ'!$F$124:$T$130,3,FALSE)))*C122/78,0)</f>
        <v>19763.161151183929</v>
      </c>
      <c r="U122" s="47">
        <f ca="1">HLOOKUP(B122,Heating!$C$102:$O$106,3,FALSE)*INDEX(Weather!$BO$1:$CB$20,MATCH(B122,Weather!$BO$1:$BO$20,0),MATCH(C122,Weather!$BO$1:$CB$1,0))/VLOOKUP(B122,Weather!$BO$2:$CB$20,14,FALSE)</f>
        <v>39910.897622708399</v>
      </c>
      <c r="V122" s="47">
        <f t="shared" ca="1" si="130"/>
        <v>1367201.6239005555</v>
      </c>
    </row>
    <row r="123" spans="1:22">
      <c r="A123" s="2">
        <f t="shared" si="120"/>
        <v>45716</v>
      </c>
      <c r="B123">
        <f t="shared" si="133"/>
        <v>2025</v>
      </c>
      <c r="C123">
        <f t="shared" si="134"/>
        <v>2</v>
      </c>
      <c r="E123" s="3">
        <f t="shared" ref="E123:F123" ca="1" si="140">E111</f>
        <v>624.25501811594188</v>
      </c>
      <c r="F123" s="3">
        <f t="shared" ca="1" si="140"/>
        <v>0</v>
      </c>
      <c r="G123" s="47">
        <f t="shared" si="136"/>
        <v>0</v>
      </c>
      <c r="H123" s="47">
        <f t="shared" si="137"/>
        <v>121</v>
      </c>
      <c r="I123" s="47">
        <f t="shared" si="138"/>
        <v>28</v>
      </c>
      <c r="J123">
        <v>0</v>
      </c>
      <c r="L123" s="3">
        <f t="shared" si="66"/>
        <v>-769716</v>
      </c>
      <c r="M123" s="3">
        <f t="shared" ca="1" si="67"/>
        <v>520690.73605749622</v>
      </c>
      <c r="N123" s="3">
        <f t="shared" ca="1" si="68"/>
        <v>0</v>
      </c>
      <c r="O123" s="3">
        <f t="shared" si="69"/>
        <v>0</v>
      </c>
      <c r="P123" s="3">
        <f t="shared" si="70"/>
        <v>322730.47399999999</v>
      </c>
      <c r="Q123" s="3">
        <f t="shared" si="71"/>
        <v>1061772.8799999999</v>
      </c>
      <c r="R123" s="3">
        <f t="shared" si="72"/>
        <v>0</v>
      </c>
      <c r="S123" s="47">
        <f t="shared" ca="1" si="139"/>
        <v>1135478.090057496</v>
      </c>
      <c r="T123" s="47">
        <f>IFERROR(HLOOKUP(B123-1,'EV Forecast VRZ'!$F$124:$T$130,3,FALSE)/12,0)+IFERROR(((HLOOKUP(B123,'EV Forecast VRZ'!$F$116:$T$122,3,FALSE)-HLOOKUP(B123-1,'EV Forecast VRZ'!$F$124:$T$130,3,FALSE)))*C123/78,0)</f>
        <v>20270.136586286837</v>
      </c>
      <c r="U123" s="47">
        <f ca="1">HLOOKUP(B123,Heating!$C$102:$O$106,3,FALSE)*INDEX(Weather!$BO$1:$CB$20,MATCH(B123,Weather!$BO$1:$BO$20,0),MATCH(C123,Weather!$BO$1:$CB$1,0))/VLOOKUP(B123,Weather!$BO$2:$CB$20,14,FALSE)</f>
        <v>35728.318878063263</v>
      </c>
      <c r="V123" s="47">
        <f t="shared" ca="1" si="130"/>
        <v>1191476.545521846</v>
      </c>
    </row>
    <row r="124" spans="1:22">
      <c r="A124" s="2">
        <f t="shared" si="120"/>
        <v>45747</v>
      </c>
      <c r="B124">
        <f t="shared" si="133"/>
        <v>2025</v>
      </c>
      <c r="C124">
        <f t="shared" si="134"/>
        <v>3</v>
      </c>
      <c r="E124" s="3">
        <f t="shared" ref="E124:F124" ca="1" si="141">E112</f>
        <v>546.13298913043491</v>
      </c>
      <c r="F124" s="3">
        <f t="shared" ca="1" si="141"/>
        <v>0</v>
      </c>
      <c r="G124" s="47">
        <f t="shared" si="136"/>
        <v>1</v>
      </c>
      <c r="H124" s="47">
        <f t="shared" si="137"/>
        <v>122</v>
      </c>
      <c r="I124" s="47">
        <f t="shared" si="138"/>
        <v>31</v>
      </c>
      <c r="J124">
        <v>0</v>
      </c>
      <c r="L124" s="3">
        <f t="shared" si="66"/>
        <v>-769716</v>
      </c>
      <c r="M124" s="3">
        <f t="shared" ca="1" si="67"/>
        <v>455529.19855390227</v>
      </c>
      <c r="N124" s="3">
        <f t="shared" ca="1" si="68"/>
        <v>0</v>
      </c>
      <c r="O124" s="3">
        <f t="shared" si="69"/>
        <v>-56026.3</v>
      </c>
      <c r="P124" s="3">
        <f t="shared" si="70"/>
        <v>325397.66800000001</v>
      </c>
      <c r="Q124" s="3">
        <f t="shared" si="71"/>
        <v>1175534.26</v>
      </c>
      <c r="R124" s="3">
        <f t="shared" si="72"/>
        <v>0</v>
      </c>
      <c r="S124" s="47">
        <f t="shared" ca="1" si="139"/>
        <v>1130718.8265539024</v>
      </c>
      <c r="T124" s="47">
        <f>IFERROR(HLOOKUP(B124-1,'EV Forecast VRZ'!$F$124:$T$130,3,FALSE)/12,0)+IFERROR(((HLOOKUP(B124,'EV Forecast VRZ'!$F$116:$T$122,3,FALSE)-HLOOKUP(B124-1,'EV Forecast VRZ'!$F$124:$T$130,3,FALSE)))*C124/78,0)</f>
        <v>20777.112021389745</v>
      </c>
      <c r="U124" s="47">
        <f ca="1">HLOOKUP(B124,Heating!$C$102:$O$106,3,FALSE)*INDEX(Weather!$BO$1:$CB$20,MATCH(B124,Weather!$BO$1:$BO$20,0),MATCH(C124,Weather!$BO$1:$CB$1,0))/VLOOKUP(B124,Weather!$BO$2:$CB$20,14,FALSE)</f>
        <v>31257.119316993663</v>
      </c>
      <c r="V124" s="47">
        <f t="shared" ca="1" si="130"/>
        <v>1182753.0578922858</v>
      </c>
    </row>
    <row r="125" spans="1:22">
      <c r="A125" s="2">
        <f t="shared" si="120"/>
        <v>45777</v>
      </c>
      <c r="B125">
        <f t="shared" si="133"/>
        <v>2025</v>
      </c>
      <c r="C125">
        <f t="shared" si="134"/>
        <v>4</v>
      </c>
      <c r="E125" s="3">
        <f t="shared" ref="E125:F125" ca="1" si="142">E113</f>
        <v>352.41399621212122</v>
      </c>
      <c r="F125" s="3">
        <f t="shared" ca="1" si="142"/>
        <v>2.1908333333333347</v>
      </c>
      <c r="G125" s="47">
        <f t="shared" si="136"/>
        <v>1</v>
      </c>
      <c r="H125" s="47">
        <f t="shared" si="137"/>
        <v>123</v>
      </c>
      <c r="I125" s="47">
        <f t="shared" si="138"/>
        <v>30</v>
      </c>
      <c r="J125">
        <v>0</v>
      </c>
      <c r="L125" s="3">
        <f t="shared" si="66"/>
        <v>-769716</v>
      </c>
      <c r="M125" s="3">
        <f t="shared" ca="1" si="67"/>
        <v>293948.30279213254</v>
      </c>
      <c r="N125" s="3">
        <f t="shared" ca="1" si="68"/>
        <v>4346.2868991666701</v>
      </c>
      <c r="O125" s="3">
        <f t="shared" si="69"/>
        <v>-56026.3</v>
      </c>
      <c r="P125" s="3">
        <f t="shared" si="70"/>
        <v>328064.86200000002</v>
      </c>
      <c r="Q125" s="3">
        <f t="shared" si="71"/>
        <v>1137613.8</v>
      </c>
      <c r="R125" s="3">
        <f t="shared" si="72"/>
        <v>0</v>
      </c>
      <c r="S125" s="47">
        <f t="shared" ca="1" si="139"/>
        <v>938230.95169129921</v>
      </c>
      <c r="T125" s="47">
        <f>IFERROR(HLOOKUP(B125-1,'EV Forecast VRZ'!$F$124:$T$130,3,FALSE)/12,0)+IFERROR(((HLOOKUP(B125,'EV Forecast VRZ'!$F$116:$T$122,3,FALSE)-HLOOKUP(B125-1,'EV Forecast VRZ'!$F$124:$T$130,3,FALSE)))*C125/78,0)</f>
        <v>21284.087456492653</v>
      </c>
      <c r="U125" s="47">
        <f ca="1">HLOOKUP(B125,Heating!$C$102:$O$106,3,FALSE)*INDEX(Weather!$BO$1:$CB$20,MATCH(B125,Weather!$BO$1:$BO$20,0),MATCH(C125,Weather!$BO$1:$CB$1,0))/VLOOKUP(B125,Weather!$BO$2:$CB$20,14,FALSE)</f>
        <v>20169.897347017737</v>
      </c>
      <c r="V125" s="47">
        <f t="shared" ca="1" si="130"/>
        <v>979684.93649480969</v>
      </c>
    </row>
    <row r="126" spans="1:22">
      <c r="A126" s="2">
        <f t="shared" si="120"/>
        <v>45808</v>
      </c>
      <c r="B126">
        <f t="shared" si="133"/>
        <v>2025</v>
      </c>
      <c r="C126">
        <f t="shared" si="134"/>
        <v>5</v>
      </c>
      <c r="E126" s="3">
        <f t="shared" ref="E126:F126" ca="1" si="143">E114</f>
        <v>150.136897859768</v>
      </c>
      <c r="F126" s="3">
        <f t="shared" ca="1" si="143"/>
        <v>52.487435064935063</v>
      </c>
      <c r="G126" s="47">
        <f t="shared" si="136"/>
        <v>1</v>
      </c>
      <c r="H126" s="47">
        <f t="shared" si="137"/>
        <v>124</v>
      </c>
      <c r="I126" s="47">
        <f t="shared" si="138"/>
        <v>31</v>
      </c>
      <c r="J126">
        <v>0</v>
      </c>
      <c r="L126" s="3">
        <f t="shared" si="66"/>
        <v>-769716</v>
      </c>
      <c r="M126" s="3">
        <f t="shared" ca="1" si="67"/>
        <v>125229.09642269376</v>
      </c>
      <c r="N126" s="3">
        <f t="shared" ca="1" si="68"/>
        <v>104127.25054100649</v>
      </c>
      <c r="O126" s="3">
        <f t="shared" si="69"/>
        <v>-56026.3</v>
      </c>
      <c r="P126" s="3">
        <f t="shared" si="70"/>
        <v>330732.05599999998</v>
      </c>
      <c r="Q126" s="3">
        <f t="shared" si="71"/>
        <v>1175534.26</v>
      </c>
      <c r="R126" s="3">
        <f t="shared" si="72"/>
        <v>0</v>
      </c>
      <c r="S126" s="47">
        <f t="shared" ca="1" si="139"/>
        <v>909880.3629637002</v>
      </c>
      <c r="T126" s="47">
        <f>IFERROR(HLOOKUP(B126-1,'EV Forecast VRZ'!$F$124:$T$130,3,FALSE)/12,0)+IFERROR(((HLOOKUP(B126,'EV Forecast VRZ'!$F$116:$T$122,3,FALSE)-HLOOKUP(B126-1,'EV Forecast VRZ'!$F$124:$T$130,3,FALSE)))*C126/78,0)</f>
        <v>21791.06289159556</v>
      </c>
      <c r="U126" s="47">
        <f ca="1">HLOOKUP(B126,Heating!$C$102:$O$106,3,FALSE)*INDEX(Weather!$BO$1:$CB$20,MATCH(B126,Weather!$BO$1:$BO$20,0),MATCH(C126,Weather!$BO$1:$CB$1,0))/VLOOKUP(B126,Weather!$BO$2:$CB$20,14,FALSE)</f>
        <v>8592.8647851105179</v>
      </c>
      <c r="V126" s="47">
        <f t="shared" ca="1" si="130"/>
        <v>940264.29064040619</v>
      </c>
    </row>
    <row r="127" spans="1:22">
      <c r="A127" s="2">
        <f t="shared" si="120"/>
        <v>45838</v>
      </c>
      <c r="B127">
        <f t="shared" si="133"/>
        <v>2025</v>
      </c>
      <c r="C127">
        <f t="shared" si="134"/>
        <v>6</v>
      </c>
      <c r="E127" s="3">
        <f t="shared" ref="E127:F127" ca="1" si="144">E115</f>
        <v>32.520923826173821</v>
      </c>
      <c r="F127" s="3">
        <f t="shared" ca="1" si="144"/>
        <v>137.65451754405018</v>
      </c>
      <c r="G127" s="47">
        <f t="shared" ref="G127:G142" si="145">G115</f>
        <v>0</v>
      </c>
      <c r="H127" s="47">
        <f t="shared" si="137"/>
        <v>125</v>
      </c>
      <c r="I127" s="47">
        <f t="shared" si="138"/>
        <v>30</v>
      </c>
      <c r="J127">
        <v>0</v>
      </c>
      <c r="L127" s="3">
        <f t="shared" si="66"/>
        <v>-769716</v>
      </c>
      <c r="M127" s="3">
        <f t="shared" ca="1" si="67"/>
        <v>27125.683050857286</v>
      </c>
      <c r="N127" s="3">
        <f t="shared" ca="1" si="68"/>
        <v>273086.05228428153</v>
      </c>
      <c r="O127" s="3">
        <f t="shared" si="69"/>
        <v>0</v>
      </c>
      <c r="P127" s="3">
        <f t="shared" si="70"/>
        <v>333399.25</v>
      </c>
      <c r="Q127" s="3">
        <f t="shared" si="71"/>
        <v>1137613.8</v>
      </c>
      <c r="R127" s="3">
        <f t="shared" si="72"/>
        <v>0</v>
      </c>
      <c r="S127" s="47">
        <f t="shared" ca="1" si="139"/>
        <v>1001508.7853351389</v>
      </c>
      <c r="T127" s="47">
        <f>IFERROR(HLOOKUP(B127-1,'EV Forecast VRZ'!$F$124:$T$130,3,FALSE)/12,0)+IFERROR(((HLOOKUP(B127,'EV Forecast VRZ'!$F$116:$T$122,3,FALSE)-HLOOKUP(B127-1,'EV Forecast VRZ'!$F$124:$T$130,3,FALSE)))*C127/78,0)</f>
        <v>22298.038326698468</v>
      </c>
      <c r="U127" s="47">
        <f ca="1">HLOOKUP(B127,Heating!$C$102:$O$106,3,FALSE)*INDEX(Weather!$BO$1:$CB$20,MATCH(B127,Weather!$BO$1:$BO$20,0),MATCH(C127,Weather!$BO$1:$CB$1,0))/VLOOKUP(B127,Weather!$BO$2:$CB$20,14,FALSE)</f>
        <v>1861.2872991834604</v>
      </c>
      <c r="V127" s="47">
        <f t="shared" ca="1" si="130"/>
        <v>1025668.1109610208</v>
      </c>
    </row>
    <row r="128" spans="1:22">
      <c r="A128" s="2">
        <f t="shared" si="120"/>
        <v>45869</v>
      </c>
      <c r="B128">
        <f t="shared" si="133"/>
        <v>2025</v>
      </c>
      <c r="C128">
        <f t="shared" si="134"/>
        <v>7</v>
      </c>
      <c r="E128" s="3">
        <f t="shared" ref="E128:F128" ca="1" si="146">E116</f>
        <v>1.6179166666666653</v>
      </c>
      <c r="F128" s="3">
        <f t="shared" ca="1" si="146"/>
        <v>235.94737858727848</v>
      </c>
      <c r="G128" s="47">
        <f t="shared" si="145"/>
        <v>0</v>
      </c>
      <c r="H128" s="47">
        <f t="shared" si="137"/>
        <v>126</v>
      </c>
      <c r="I128" s="47">
        <f t="shared" si="138"/>
        <v>31</v>
      </c>
      <c r="J128">
        <v>0</v>
      </c>
      <c r="L128" s="3">
        <f t="shared" si="66"/>
        <v>-769716</v>
      </c>
      <c r="M128" s="3">
        <f t="shared" ca="1" si="67"/>
        <v>1349.5033209166654</v>
      </c>
      <c r="N128" s="3">
        <f t="shared" ca="1" si="68"/>
        <v>468084.44295775105</v>
      </c>
      <c r="O128" s="3">
        <f t="shared" si="69"/>
        <v>0</v>
      </c>
      <c r="P128" s="3">
        <f t="shared" si="70"/>
        <v>336066.44400000002</v>
      </c>
      <c r="Q128" s="3">
        <f t="shared" si="71"/>
        <v>1175534.26</v>
      </c>
      <c r="R128" s="3">
        <f t="shared" si="72"/>
        <v>0</v>
      </c>
      <c r="S128" s="47">
        <f t="shared" ca="1" si="139"/>
        <v>1211318.6502786677</v>
      </c>
      <c r="T128" s="47">
        <f>IFERROR(HLOOKUP(B128-1,'EV Forecast VRZ'!$F$124:$T$130,3,FALSE)/12,0)+IFERROR(((HLOOKUP(B128,'EV Forecast VRZ'!$F$116:$T$122,3,FALSE)-HLOOKUP(B128-1,'EV Forecast VRZ'!$F$124:$T$130,3,FALSE)))*C128/78,0)</f>
        <v>22805.013761801376</v>
      </c>
      <c r="U128" s="47">
        <f ca="1">HLOOKUP(B128,Heating!$C$102:$O$106,3,FALSE)*INDEX(Weather!$BO$1:$CB$20,MATCH(B128,Weather!$BO$1:$BO$20,0),MATCH(C128,Weather!$BO$1:$CB$1,0))/VLOOKUP(B128,Weather!$BO$2:$CB$20,14,FALSE)</f>
        <v>92.599083559250928</v>
      </c>
      <c r="V128" s="47">
        <f t="shared" ca="1" si="130"/>
        <v>1234216.2631240285</v>
      </c>
    </row>
    <row r="129" spans="1:22">
      <c r="A129" s="2">
        <f t="shared" si="120"/>
        <v>45900</v>
      </c>
      <c r="B129">
        <f t="shared" si="133"/>
        <v>2025</v>
      </c>
      <c r="C129">
        <f t="shared" si="134"/>
        <v>8</v>
      </c>
      <c r="E129" s="3">
        <f t="shared" ref="E129:F129" ca="1" si="147">E117</f>
        <v>5.6499999999999977</v>
      </c>
      <c r="F129" s="3">
        <f t="shared" ca="1" si="147"/>
        <v>210.96558794466404</v>
      </c>
      <c r="G129" s="47">
        <f t="shared" si="145"/>
        <v>0</v>
      </c>
      <c r="H129" s="47">
        <f t="shared" si="137"/>
        <v>127</v>
      </c>
      <c r="I129" s="47">
        <f t="shared" si="138"/>
        <v>31</v>
      </c>
      <c r="J129">
        <v>0</v>
      </c>
      <c r="L129" s="3">
        <f t="shared" si="66"/>
        <v>-769716</v>
      </c>
      <c r="M129" s="3">
        <f t="shared" ca="1" si="67"/>
        <v>4712.6616099999974</v>
      </c>
      <c r="N129" s="3">
        <f t="shared" ca="1" si="68"/>
        <v>418524.29260960972</v>
      </c>
      <c r="O129" s="3">
        <f t="shared" si="69"/>
        <v>0</v>
      </c>
      <c r="P129" s="3">
        <f t="shared" si="70"/>
        <v>338733.63799999998</v>
      </c>
      <c r="Q129" s="3">
        <f t="shared" si="71"/>
        <v>1175534.26</v>
      </c>
      <c r="R129" s="3">
        <f t="shared" si="72"/>
        <v>0</v>
      </c>
      <c r="S129" s="47">
        <f t="shared" ca="1" si="139"/>
        <v>1167788.8522196095</v>
      </c>
      <c r="T129" s="47">
        <f>IFERROR(HLOOKUP(B129-1,'EV Forecast VRZ'!$F$124:$T$130,3,FALSE)/12,0)+IFERROR(((HLOOKUP(B129,'EV Forecast VRZ'!$F$116:$T$122,3,FALSE)-HLOOKUP(B129-1,'EV Forecast VRZ'!$F$124:$T$130,3,FALSE)))*C129/78,0)</f>
        <v>23311.989196904284</v>
      </c>
      <c r="U129" s="47">
        <f ca="1">HLOOKUP(B129,Heating!$C$102:$O$106,3,FALSE)*INDEX(Weather!$BO$1:$CB$20,MATCH(B129,Weather!$BO$1:$BO$20,0),MATCH(C129,Weather!$BO$1:$CB$1,0))/VLOOKUP(B129,Weather!$BO$2:$CB$20,14,FALSE)</f>
        <v>323.3694496686694</v>
      </c>
      <c r="V129" s="47">
        <f t="shared" ca="1" si="130"/>
        <v>1191424.2108661823</v>
      </c>
    </row>
    <row r="130" spans="1:22">
      <c r="A130" s="2">
        <f t="shared" si="120"/>
        <v>45930</v>
      </c>
      <c r="B130">
        <f t="shared" si="133"/>
        <v>2025</v>
      </c>
      <c r="C130">
        <f t="shared" si="134"/>
        <v>9</v>
      </c>
      <c r="E130" s="3">
        <f t="shared" ref="E130:F130" ca="1" si="148">E118</f>
        <v>54.959440993788824</v>
      </c>
      <c r="F130" s="3">
        <f t="shared" ca="1" si="148"/>
        <v>106.4160119047619</v>
      </c>
      <c r="G130" s="47">
        <f t="shared" si="145"/>
        <v>1</v>
      </c>
      <c r="H130" s="47">
        <f t="shared" si="137"/>
        <v>128</v>
      </c>
      <c r="I130" s="47">
        <f t="shared" si="138"/>
        <v>30</v>
      </c>
      <c r="J130">
        <v>0</v>
      </c>
      <c r="L130" s="3">
        <f t="shared" ref="L130:L193" si="149">$Z$8</f>
        <v>-769716</v>
      </c>
      <c r="M130" s="3">
        <f t="shared" ref="M130:M193" ca="1" si="150">E130*$Z$9</f>
        <v>45841.636757254659</v>
      </c>
      <c r="N130" s="3">
        <f t="shared" ref="N130:N193" ca="1" si="151">F130*$Z$10</f>
        <v>211113.51163327383</v>
      </c>
      <c r="O130" s="3">
        <f t="shared" ref="O130:O193" si="152">G130*$Z$11</f>
        <v>-56026.3</v>
      </c>
      <c r="P130" s="3">
        <f t="shared" ref="P130:P193" si="153">H130*$Z$12</f>
        <v>341400.83199999999</v>
      </c>
      <c r="Q130" s="3">
        <f t="shared" ref="Q130:Q193" si="154">I130*$Z$13</f>
        <v>1137613.8</v>
      </c>
      <c r="R130" s="3">
        <f t="shared" ref="R130:R193" si="155">J130*$Z$14</f>
        <v>0</v>
      </c>
      <c r="S130" s="47">
        <f t="shared" ca="1" si="139"/>
        <v>910227.48039052845</v>
      </c>
      <c r="T130" s="47">
        <f>IFERROR(HLOOKUP(B130-1,'EV Forecast VRZ'!$F$124:$T$130,3,FALSE)/12,0)+IFERROR(((HLOOKUP(B130,'EV Forecast VRZ'!$F$116:$T$122,3,FALSE)-HLOOKUP(B130-1,'EV Forecast VRZ'!$F$124:$T$130,3,FALSE)))*C130/78,0)</f>
        <v>23818.964632007192</v>
      </c>
      <c r="U130" s="47">
        <f ca="1">HLOOKUP(B130,Heating!$C$102:$O$106,3,FALSE)*INDEX(Weather!$BO$1:$CB$20,MATCH(B130,Weather!$BO$1:$BO$20,0),MATCH(C130,Weather!$BO$1:$CB$1,0))/VLOOKUP(B130,Weather!$BO$2:$CB$20,14,FALSE)</f>
        <v>3145.522865178621</v>
      </c>
      <c r="V130" s="47">
        <f t="shared" ca="1" si="130"/>
        <v>937191.96788771427</v>
      </c>
    </row>
    <row r="131" spans="1:22">
      <c r="A131" s="2">
        <f t="shared" si="120"/>
        <v>45961</v>
      </c>
      <c r="B131">
        <f t="shared" si="133"/>
        <v>2025</v>
      </c>
      <c r="C131">
        <f t="shared" si="134"/>
        <v>10</v>
      </c>
      <c r="E131" s="3">
        <f t="shared" ref="E131:F131" ca="1" si="156">E119</f>
        <v>237.89681159420289</v>
      </c>
      <c r="F131" s="3">
        <f t="shared" ca="1" si="156"/>
        <v>17.987083333333334</v>
      </c>
      <c r="G131" s="47">
        <f t="shared" si="145"/>
        <v>1</v>
      </c>
      <c r="H131" s="47">
        <f t="shared" si="137"/>
        <v>129</v>
      </c>
      <c r="I131" s="47">
        <f t="shared" si="138"/>
        <v>31</v>
      </c>
      <c r="J131">
        <v>0</v>
      </c>
      <c r="L131" s="3">
        <f t="shared" si="149"/>
        <v>-769716</v>
      </c>
      <c r="M131" s="3">
        <f t="shared" ca="1" si="150"/>
        <v>198429.58781263765</v>
      </c>
      <c r="N131" s="3">
        <f t="shared" ca="1" si="151"/>
        <v>35683.693257916668</v>
      </c>
      <c r="O131" s="3">
        <f t="shared" si="152"/>
        <v>-56026.3</v>
      </c>
      <c r="P131" s="3">
        <f t="shared" si="153"/>
        <v>344068.02600000001</v>
      </c>
      <c r="Q131" s="3">
        <f t="shared" si="154"/>
        <v>1175534.26</v>
      </c>
      <c r="R131" s="3">
        <f t="shared" si="155"/>
        <v>0</v>
      </c>
      <c r="S131" s="47">
        <f t="shared" ca="1" si="139"/>
        <v>927973.26707055443</v>
      </c>
      <c r="T131" s="47">
        <f>IFERROR(HLOOKUP(B131-1,'EV Forecast VRZ'!$F$124:$T$130,3,FALSE)/12,0)+IFERROR(((HLOOKUP(B131,'EV Forecast VRZ'!$F$116:$T$122,3,FALSE)-HLOOKUP(B131-1,'EV Forecast VRZ'!$F$124:$T$130,3,FALSE)))*C131/78,0)</f>
        <v>24325.940067110099</v>
      </c>
      <c r="U131" s="47">
        <f ca="1">HLOOKUP(B131,Heating!$C$102:$O$106,3,FALSE)*INDEX(Weather!$BO$1:$CB$20,MATCH(B131,Weather!$BO$1:$BO$20,0),MATCH(C131,Weather!$BO$1:$CB$1,0))/VLOOKUP(B131,Weather!$BO$2:$CB$20,14,FALSE)</f>
        <v>13615.674520911247</v>
      </c>
      <c r="V131" s="47">
        <f t="shared" ca="1" si="130"/>
        <v>965914.88165857585</v>
      </c>
    </row>
    <row r="132" spans="1:22">
      <c r="A132" s="2">
        <f t="shared" si="120"/>
        <v>45991</v>
      </c>
      <c r="B132">
        <f t="shared" si="133"/>
        <v>2025</v>
      </c>
      <c r="C132">
        <f t="shared" si="134"/>
        <v>11</v>
      </c>
      <c r="E132" s="3">
        <f t="shared" ref="E132:F132" ca="1" si="157">E120</f>
        <v>426.62991389045737</v>
      </c>
      <c r="F132" s="3">
        <f t="shared" ca="1" si="157"/>
        <v>0.8083333333333329</v>
      </c>
      <c r="G132" s="47">
        <f t="shared" si="145"/>
        <v>1</v>
      </c>
      <c r="H132" s="47">
        <f t="shared" si="137"/>
        <v>130</v>
      </c>
      <c r="I132" s="47">
        <f t="shared" si="138"/>
        <v>30</v>
      </c>
      <c r="J132">
        <v>0</v>
      </c>
      <c r="L132" s="3">
        <f t="shared" si="149"/>
        <v>-769716</v>
      </c>
      <c r="M132" s="3">
        <f t="shared" ca="1" si="150"/>
        <v>355851.75519808213</v>
      </c>
      <c r="N132" s="3">
        <f t="shared" ca="1" si="151"/>
        <v>1603.612891666666</v>
      </c>
      <c r="O132" s="3">
        <f t="shared" si="152"/>
        <v>-56026.3</v>
      </c>
      <c r="P132" s="3">
        <f t="shared" si="153"/>
        <v>346735.22</v>
      </c>
      <c r="Q132" s="3">
        <f t="shared" si="154"/>
        <v>1137613.8</v>
      </c>
      <c r="R132" s="3">
        <f t="shared" si="155"/>
        <v>0</v>
      </c>
      <c r="S132" s="47">
        <f t="shared" ca="1" si="139"/>
        <v>1016062.0880897488</v>
      </c>
      <c r="T132" s="47">
        <f>IFERROR(HLOOKUP(B132-1,'EV Forecast VRZ'!$F$124:$T$130,3,FALSE)/12,0)+IFERROR(((HLOOKUP(B132,'EV Forecast VRZ'!$F$116:$T$122,3,FALSE)-HLOOKUP(B132-1,'EV Forecast VRZ'!$F$124:$T$130,3,FALSE)))*C132/78,0)</f>
        <v>24832.915502213007</v>
      </c>
      <c r="U132" s="47">
        <f ca="1">HLOOKUP(B132,Heating!$C$102:$O$106,3,FALSE)*INDEX(Weather!$BO$1:$CB$20,MATCH(B132,Weather!$BO$1:$BO$20,0),MATCH(C132,Weather!$BO$1:$CB$1,0))/VLOOKUP(B132,Weather!$BO$2:$CB$20,14,FALSE)</f>
        <v>24417.536365831693</v>
      </c>
      <c r="V132" s="47">
        <f t="shared" ca="1" si="130"/>
        <v>1065312.5399577934</v>
      </c>
    </row>
    <row r="133" spans="1:22">
      <c r="A133" s="2">
        <f t="shared" si="120"/>
        <v>46022</v>
      </c>
      <c r="B133">
        <f t="shared" si="133"/>
        <v>2025</v>
      </c>
      <c r="C133">
        <f t="shared" si="134"/>
        <v>12</v>
      </c>
      <c r="E133" s="3">
        <f t="shared" ref="E133:F133" ca="1" si="158">E121</f>
        <v>577.92800724637686</v>
      </c>
      <c r="F133" s="3">
        <f t="shared" ca="1" si="158"/>
        <v>0</v>
      </c>
      <c r="G133" s="47">
        <f t="shared" si="145"/>
        <v>0</v>
      </c>
      <c r="H133" s="47">
        <f t="shared" si="137"/>
        <v>131</v>
      </c>
      <c r="I133" s="47">
        <f t="shared" si="138"/>
        <v>31</v>
      </c>
      <c r="J133">
        <v>0</v>
      </c>
      <c r="L133" s="3">
        <f t="shared" si="149"/>
        <v>-769716</v>
      </c>
      <c r="M133" s="3">
        <f t="shared" ca="1" si="150"/>
        <v>482049.40408739855</v>
      </c>
      <c r="N133" s="3">
        <f t="shared" ca="1" si="151"/>
        <v>0</v>
      </c>
      <c r="O133" s="3">
        <f t="shared" si="152"/>
        <v>0</v>
      </c>
      <c r="P133" s="3">
        <f t="shared" si="153"/>
        <v>349402.41399999999</v>
      </c>
      <c r="Q133" s="3">
        <f t="shared" si="154"/>
        <v>1175534.26</v>
      </c>
      <c r="R133" s="3">
        <f t="shared" si="155"/>
        <v>0</v>
      </c>
      <c r="S133" s="47">
        <f t="shared" ca="1" si="139"/>
        <v>1237270.0780873985</v>
      </c>
      <c r="T133" s="47">
        <f>IFERROR(HLOOKUP(B133-1,'EV Forecast VRZ'!$F$124:$T$130,3,FALSE)/12,0)+IFERROR(((HLOOKUP(B133,'EV Forecast VRZ'!$F$116:$T$122,3,FALSE)-HLOOKUP(B133-1,'EV Forecast VRZ'!$F$124:$T$130,3,FALSE)))*C133/78,0)</f>
        <v>25339.890937315915</v>
      </c>
      <c r="U133" s="47">
        <f ca="1">HLOOKUP(B133,Heating!$C$102:$O$106,3,FALSE)*INDEX(Weather!$BO$1:$CB$20,MATCH(B133,Weather!$BO$1:$BO$20,0),MATCH(C133,Weather!$BO$1:$CB$1,0))/VLOOKUP(B133,Weather!$BO$2:$CB$20,14,FALSE)</f>
        <v>33076.860469269333</v>
      </c>
      <c r="V133" s="47">
        <f t="shared" ca="1" si="130"/>
        <v>1295686.8294939839</v>
      </c>
    </row>
    <row r="134" spans="1:22">
      <c r="A134" s="2">
        <f t="shared" si="120"/>
        <v>46053</v>
      </c>
      <c r="B134">
        <f t="shared" si="133"/>
        <v>2026</v>
      </c>
      <c r="C134">
        <f t="shared" si="134"/>
        <v>1</v>
      </c>
      <c r="E134" s="3">
        <f t="shared" ref="E134:F134" ca="1" si="159">E122</f>
        <v>697.33418478260876</v>
      </c>
      <c r="F134" s="3">
        <f t="shared" ca="1" si="159"/>
        <v>0</v>
      </c>
      <c r="G134" s="47">
        <f t="shared" si="145"/>
        <v>0</v>
      </c>
      <c r="H134" s="47">
        <f t="shared" si="137"/>
        <v>132</v>
      </c>
      <c r="I134" s="47">
        <f t="shared" si="138"/>
        <v>31</v>
      </c>
      <c r="J134">
        <v>0</v>
      </c>
      <c r="L134" s="3">
        <f t="shared" si="149"/>
        <v>-769716</v>
      </c>
      <c r="M134" s="3">
        <f t="shared" ca="1" si="150"/>
        <v>581646.02512666304</v>
      </c>
      <c r="N134" s="3">
        <f t="shared" ca="1" si="151"/>
        <v>0</v>
      </c>
      <c r="O134" s="3">
        <f t="shared" si="152"/>
        <v>0</v>
      </c>
      <c r="P134" s="3">
        <f t="shared" si="153"/>
        <v>352069.60800000001</v>
      </c>
      <c r="Q134" s="3">
        <f t="shared" si="154"/>
        <v>1175534.26</v>
      </c>
      <c r="R134" s="3">
        <f t="shared" si="155"/>
        <v>0</v>
      </c>
      <c r="S134" s="47">
        <f t="shared" ca="1" si="139"/>
        <v>1339533.8931266631</v>
      </c>
      <c r="T134" s="47">
        <f>IFERROR(HLOOKUP(B134-1,'EV Forecast VRZ'!$F$124:$T$130,3,FALSE)/12,0)+IFERROR(((HLOOKUP(B134,'EV Forecast VRZ'!$F$116:$T$122,3,FALSE)-HLOOKUP(B134-1,'EV Forecast VRZ'!$F$124:$T$130,3,FALSE)))*C134/78,0)</f>
        <v>26453.789058011775</v>
      </c>
      <c r="U134" s="47">
        <f ca="1">HLOOKUP(B134,Heating!$C$102:$O$106,3,FALSE)*INDEX(Weather!$BO$1:$CB$20,MATCH(B134,Weather!$BO$1:$BO$20,0),MATCH(C134,Weather!$BO$1:$CB$1,0))/VLOOKUP(B134,Weather!$BO$2:$CB$20,14,FALSE)</f>
        <v>47266.020261332182</v>
      </c>
      <c r="V134" s="47">
        <f t="shared" ca="1" si="130"/>
        <v>1413253.7024460069</v>
      </c>
    </row>
    <row r="135" spans="1:22">
      <c r="A135" s="2">
        <f t="shared" si="120"/>
        <v>46081</v>
      </c>
      <c r="B135">
        <f t="shared" si="133"/>
        <v>2026</v>
      </c>
      <c r="C135">
        <f t="shared" si="134"/>
        <v>2</v>
      </c>
      <c r="E135" s="3">
        <f t="shared" ref="E135:F135" ca="1" si="160">E123</f>
        <v>624.25501811594188</v>
      </c>
      <c r="F135" s="3">
        <f t="shared" ca="1" si="160"/>
        <v>0</v>
      </c>
      <c r="G135" s="47">
        <f t="shared" si="145"/>
        <v>0</v>
      </c>
      <c r="H135" s="47">
        <f t="shared" si="137"/>
        <v>133</v>
      </c>
      <c r="I135" s="47">
        <f t="shared" si="138"/>
        <v>28</v>
      </c>
      <c r="J135">
        <v>0</v>
      </c>
      <c r="L135" s="3">
        <f t="shared" si="149"/>
        <v>-769716</v>
      </c>
      <c r="M135" s="3">
        <f t="shared" ca="1" si="150"/>
        <v>520690.73605749622</v>
      </c>
      <c r="N135" s="3">
        <f t="shared" ca="1" si="151"/>
        <v>0</v>
      </c>
      <c r="O135" s="3">
        <f t="shared" si="152"/>
        <v>0</v>
      </c>
      <c r="P135" s="3">
        <f t="shared" si="153"/>
        <v>354736.80199999997</v>
      </c>
      <c r="Q135" s="3">
        <f t="shared" si="154"/>
        <v>1061772.8799999999</v>
      </c>
      <c r="R135" s="3">
        <f t="shared" si="155"/>
        <v>0</v>
      </c>
      <c r="S135" s="47">
        <f t="shared" ca="1" si="139"/>
        <v>1167484.4180574962</v>
      </c>
      <c r="T135" s="47">
        <f>IFERROR(HLOOKUP(B135-1,'EV Forecast VRZ'!$F$124:$T$130,3,FALSE)/12,0)+IFERROR(((HLOOKUP(B135,'EV Forecast VRZ'!$F$116:$T$122,3,FALSE)-HLOOKUP(B135-1,'EV Forecast VRZ'!$F$124:$T$130,3,FALSE)))*C135/78,0)</f>
        <v>27060.711743604727</v>
      </c>
      <c r="U135" s="47">
        <f ca="1">HLOOKUP(B135,Heating!$C$102:$O$106,3,FALSE)*INDEX(Weather!$BO$1:$CB$20,MATCH(B135,Weather!$BO$1:$BO$20,0),MATCH(C135,Weather!$BO$1:$CB$1,0))/VLOOKUP(B135,Weather!$BO$2:$CB$20,14,FALSE)</f>
        <v>42312.640020229024</v>
      </c>
      <c r="V135" s="47">
        <f t="shared" ca="1" si="130"/>
        <v>1236857.7698213297</v>
      </c>
    </row>
    <row r="136" spans="1:22">
      <c r="A136" s="2">
        <f t="shared" si="120"/>
        <v>46112</v>
      </c>
      <c r="B136">
        <f t="shared" si="133"/>
        <v>2026</v>
      </c>
      <c r="C136">
        <f t="shared" si="134"/>
        <v>3</v>
      </c>
      <c r="E136" s="3">
        <f t="shared" ref="E136:F136" ca="1" si="161">E124</f>
        <v>546.13298913043491</v>
      </c>
      <c r="F136" s="3">
        <f t="shared" ca="1" si="161"/>
        <v>0</v>
      </c>
      <c r="G136" s="47">
        <f t="shared" si="145"/>
        <v>1</v>
      </c>
      <c r="H136" s="47">
        <f t="shared" si="137"/>
        <v>134</v>
      </c>
      <c r="I136" s="47">
        <f t="shared" si="138"/>
        <v>31</v>
      </c>
      <c r="J136">
        <v>0</v>
      </c>
      <c r="L136" s="3">
        <f t="shared" si="149"/>
        <v>-769716</v>
      </c>
      <c r="M136" s="3">
        <f t="shared" ca="1" si="150"/>
        <v>455529.19855390227</v>
      </c>
      <c r="N136" s="3">
        <f t="shared" ca="1" si="151"/>
        <v>0</v>
      </c>
      <c r="O136" s="3">
        <f t="shared" si="152"/>
        <v>-56026.3</v>
      </c>
      <c r="P136" s="3">
        <f t="shared" si="153"/>
        <v>357403.99599999998</v>
      </c>
      <c r="Q136" s="3">
        <f t="shared" si="154"/>
        <v>1175534.26</v>
      </c>
      <c r="R136" s="3">
        <f t="shared" si="155"/>
        <v>0</v>
      </c>
      <c r="S136" s="47">
        <f t="shared" ca="1" si="139"/>
        <v>1162725.1545539023</v>
      </c>
      <c r="T136" s="47">
        <f>IFERROR(HLOOKUP(B136-1,'EV Forecast VRZ'!$F$124:$T$130,3,FALSE)/12,0)+IFERROR(((HLOOKUP(B136,'EV Forecast VRZ'!$F$116:$T$122,3,FALSE)-HLOOKUP(B136-1,'EV Forecast VRZ'!$F$124:$T$130,3,FALSE)))*C136/78,0)</f>
        <v>27667.634429197678</v>
      </c>
      <c r="U136" s="47">
        <f ca="1">HLOOKUP(B136,Heating!$C$102:$O$106,3,FALSE)*INDEX(Weather!$BO$1:$CB$20,MATCH(B136,Weather!$BO$1:$BO$20,0),MATCH(C136,Weather!$BO$1:$CB$1,0))/VLOOKUP(B136,Weather!$BO$2:$CB$20,14,FALSE)</f>
        <v>37017.449442362144</v>
      </c>
      <c r="V136" s="47">
        <f t="shared" ca="1" si="130"/>
        <v>1227410.2384254623</v>
      </c>
    </row>
    <row r="137" spans="1:22">
      <c r="A137" s="2">
        <f t="shared" si="120"/>
        <v>46142</v>
      </c>
      <c r="B137">
        <f t="shared" si="133"/>
        <v>2026</v>
      </c>
      <c r="C137">
        <f t="shared" si="134"/>
        <v>4</v>
      </c>
      <c r="E137" s="3">
        <f t="shared" ref="E137:F137" ca="1" si="162">E125</f>
        <v>352.41399621212122</v>
      </c>
      <c r="F137" s="3">
        <f t="shared" ca="1" si="162"/>
        <v>2.1908333333333347</v>
      </c>
      <c r="G137" s="47">
        <f t="shared" si="145"/>
        <v>1</v>
      </c>
      <c r="H137" s="47">
        <f t="shared" si="137"/>
        <v>135</v>
      </c>
      <c r="I137" s="47">
        <f t="shared" si="138"/>
        <v>30</v>
      </c>
      <c r="J137">
        <v>0</v>
      </c>
      <c r="L137" s="3">
        <f t="shared" si="149"/>
        <v>-769716</v>
      </c>
      <c r="M137" s="3">
        <f t="shared" ca="1" si="150"/>
        <v>293948.30279213254</v>
      </c>
      <c r="N137" s="3">
        <f t="shared" ca="1" si="151"/>
        <v>4346.2868991666701</v>
      </c>
      <c r="O137" s="3">
        <f t="shared" si="152"/>
        <v>-56026.3</v>
      </c>
      <c r="P137" s="3">
        <f t="shared" si="153"/>
        <v>360071.19</v>
      </c>
      <c r="Q137" s="3">
        <f t="shared" si="154"/>
        <v>1137613.8</v>
      </c>
      <c r="R137" s="3">
        <f t="shared" si="155"/>
        <v>0</v>
      </c>
      <c r="S137" s="47">
        <f t="shared" ca="1" si="139"/>
        <v>970237.27969129919</v>
      </c>
      <c r="T137" s="47">
        <f>IFERROR(HLOOKUP(B137-1,'EV Forecast VRZ'!$F$124:$T$130,3,FALSE)/12,0)+IFERROR(((HLOOKUP(B137,'EV Forecast VRZ'!$F$116:$T$122,3,FALSE)-HLOOKUP(B137-1,'EV Forecast VRZ'!$F$124:$T$130,3,FALSE)))*C137/78,0)</f>
        <v>28274.557114790634</v>
      </c>
      <c r="U137" s="47">
        <f ca="1">HLOOKUP(B137,Heating!$C$102:$O$106,3,FALSE)*INDEX(Weather!$BO$1:$CB$20,MATCH(B137,Weather!$BO$1:$BO$20,0),MATCH(C137,Weather!$BO$1:$CB$1,0))/VLOOKUP(B137,Weather!$BO$2:$CB$20,14,FALSE)</f>
        <v>23886.979082392154</v>
      </c>
      <c r="V137" s="47">
        <f t="shared" ca="1" si="130"/>
        <v>1022398.815888482</v>
      </c>
    </row>
    <row r="138" spans="1:22">
      <c r="A138" s="2">
        <f t="shared" si="120"/>
        <v>46173</v>
      </c>
      <c r="B138">
        <f t="shared" si="133"/>
        <v>2026</v>
      </c>
      <c r="C138">
        <f t="shared" si="134"/>
        <v>5</v>
      </c>
      <c r="E138" s="3">
        <f t="shared" ref="E138:F138" ca="1" si="163">E126</f>
        <v>150.136897859768</v>
      </c>
      <c r="F138" s="3">
        <f t="shared" ca="1" si="163"/>
        <v>52.487435064935063</v>
      </c>
      <c r="G138" s="47">
        <f t="shared" si="145"/>
        <v>1</v>
      </c>
      <c r="H138" s="47">
        <f t="shared" si="137"/>
        <v>136</v>
      </c>
      <c r="I138" s="47">
        <f t="shared" si="138"/>
        <v>31</v>
      </c>
      <c r="J138">
        <v>0</v>
      </c>
      <c r="L138" s="3">
        <f t="shared" si="149"/>
        <v>-769716</v>
      </c>
      <c r="M138" s="3">
        <f t="shared" ca="1" si="150"/>
        <v>125229.09642269376</v>
      </c>
      <c r="N138" s="3">
        <f t="shared" ca="1" si="151"/>
        <v>104127.25054100649</v>
      </c>
      <c r="O138" s="3">
        <f t="shared" si="152"/>
        <v>-56026.3</v>
      </c>
      <c r="P138" s="3">
        <f t="shared" si="153"/>
        <v>362738.38400000002</v>
      </c>
      <c r="Q138" s="3">
        <f t="shared" si="154"/>
        <v>1175534.26</v>
      </c>
      <c r="R138" s="3">
        <f t="shared" si="155"/>
        <v>0</v>
      </c>
      <c r="S138" s="47">
        <f t="shared" ca="1" si="139"/>
        <v>941886.69096370018</v>
      </c>
      <c r="T138" s="47">
        <f>IFERROR(HLOOKUP(B138-1,'EV Forecast VRZ'!$F$124:$T$130,3,FALSE)/12,0)+IFERROR(((HLOOKUP(B138,'EV Forecast VRZ'!$F$116:$T$122,3,FALSE)-HLOOKUP(B138-1,'EV Forecast VRZ'!$F$124:$T$130,3,FALSE)))*C138/78,0)</f>
        <v>28881.479800383586</v>
      </c>
      <c r="U138" s="47">
        <f ca="1">HLOOKUP(B138,Heating!$C$102:$O$106,3,FALSE)*INDEX(Weather!$BO$1:$CB$20,MATCH(B138,Weather!$BO$1:$BO$20,0),MATCH(C138,Weather!$BO$1:$CB$1,0))/VLOOKUP(B138,Weather!$BO$2:$CB$20,14,FALSE)</f>
        <v>10176.431632167325</v>
      </c>
      <c r="V138" s="47">
        <f t="shared" ca="1" si="130"/>
        <v>980944.60239625105</v>
      </c>
    </row>
    <row r="139" spans="1:22">
      <c r="A139" s="2">
        <f t="shared" si="120"/>
        <v>46203</v>
      </c>
      <c r="B139">
        <f t="shared" si="133"/>
        <v>2026</v>
      </c>
      <c r="C139">
        <f t="shared" si="134"/>
        <v>6</v>
      </c>
      <c r="E139" s="3">
        <f t="shared" ref="E139:F139" ca="1" si="164">E127</f>
        <v>32.520923826173821</v>
      </c>
      <c r="F139" s="3">
        <f t="shared" ca="1" si="164"/>
        <v>137.65451754405018</v>
      </c>
      <c r="G139" s="47">
        <f t="shared" si="145"/>
        <v>0</v>
      </c>
      <c r="H139" s="47">
        <f t="shared" si="137"/>
        <v>137</v>
      </c>
      <c r="I139" s="47">
        <f t="shared" si="138"/>
        <v>30</v>
      </c>
      <c r="J139">
        <v>0</v>
      </c>
      <c r="L139" s="3">
        <f t="shared" si="149"/>
        <v>-769716</v>
      </c>
      <c r="M139" s="3">
        <f t="shared" ca="1" si="150"/>
        <v>27125.683050857286</v>
      </c>
      <c r="N139" s="3">
        <f t="shared" ca="1" si="151"/>
        <v>273086.05228428153</v>
      </c>
      <c r="O139" s="3">
        <f t="shared" si="152"/>
        <v>0</v>
      </c>
      <c r="P139" s="3">
        <f t="shared" si="153"/>
        <v>365405.57799999998</v>
      </c>
      <c r="Q139" s="3">
        <f t="shared" si="154"/>
        <v>1137613.8</v>
      </c>
      <c r="R139" s="3">
        <f t="shared" si="155"/>
        <v>0</v>
      </c>
      <c r="S139" s="47">
        <f t="shared" ca="1" si="139"/>
        <v>1033515.1133351389</v>
      </c>
      <c r="T139" s="47">
        <f>IFERROR(HLOOKUP(B139-1,'EV Forecast VRZ'!$F$124:$T$130,3,FALSE)/12,0)+IFERROR(((HLOOKUP(B139,'EV Forecast VRZ'!$F$116:$T$122,3,FALSE)-HLOOKUP(B139-1,'EV Forecast VRZ'!$F$124:$T$130,3,FALSE)))*C139/78,0)</f>
        <v>29488.402485976538</v>
      </c>
      <c r="U139" s="47">
        <f ca="1">HLOOKUP(B139,Heating!$C$102:$O$106,3,FALSE)*INDEX(Weather!$BO$1:$CB$20,MATCH(B139,Weather!$BO$1:$BO$20,0),MATCH(C139,Weather!$BO$1:$CB$1,0))/VLOOKUP(B139,Weather!$BO$2:$CB$20,14,FALSE)</f>
        <v>2204.3012920187871</v>
      </c>
      <c r="V139" s="47">
        <f t="shared" ca="1" si="130"/>
        <v>1065207.8171131341</v>
      </c>
    </row>
    <row r="140" spans="1:22">
      <c r="A140" s="2">
        <f t="shared" si="120"/>
        <v>46234</v>
      </c>
      <c r="B140">
        <f t="shared" si="133"/>
        <v>2026</v>
      </c>
      <c r="C140">
        <f t="shared" si="134"/>
        <v>7</v>
      </c>
      <c r="E140" s="3">
        <f t="shared" ref="E140:F140" ca="1" si="165">E128</f>
        <v>1.6179166666666653</v>
      </c>
      <c r="F140" s="3">
        <f t="shared" ca="1" si="165"/>
        <v>235.94737858727848</v>
      </c>
      <c r="G140" s="47">
        <f t="shared" si="145"/>
        <v>0</v>
      </c>
      <c r="H140" s="47">
        <f t="shared" si="137"/>
        <v>138</v>
      </c>
      <c r="I140" s="47">
        <f t="shared" si="138"/>
        <v>31</v>
      </c>
      <c r="J140">
        <v>0</v>
      </c>
      <c r="L140" s="3">
        <f t="shared" si="149"/>
        <v>-769716</v>
      </c>
      <c r="M140" s="3">
        <f t="shared" ca="1" si="150"/>
        <v>1349.5033209166654</v>
      </c>
      <c r="N140" s="3">
        <f t="shared" ca="1" si="151"/>
        <v>468084.44295775105</v>
      </c>
      <c r="O140" s="3">
        <f t="shared" si="152"/>
        <v>0</v>
      </c>
      <c r="P140" s="3">
        <f t="shared" si="153"/>
        <v>368072.772</v>
      </c>
      <c r="Q140" s="3">
        <f t="shared" si="154"/>
        <v>1175534.26</v>
      </c>
      <c r="R140" s="3">
        <f t="shared" si="155"/>
        <v>0</v>
      </c>
      <c r="S140" s="47">
        <f t="shared" ca="1" si="139"/>
        <v>1243324.9782786677</v>
      </c>
      <c r="T140" s="47">
        <f>IFERROR(HLOOKUP(B140-1,'EV Forecast VRZ'!$F$124:$T$130,3,FALSE)/12,0)+IFERROR(((HLOOKUP(B140,'EV Forecast VRZ'!$F$116:$T$122,3,FALSE)-HLOOKUP(B140-1,'EV Forecast VRZ'!$F$124:$T$130,3,FALSE)))*C140/78,0)</f>
        <v>30095.32517156949</v>
      </c>
      <c r="U140" s="47">
        <f ca="1">HLOOKUP(B140,Heating!$C$102:$O$106,3,FALSE)*INDEX(Weather!$BO$1:$CB$20,MATCH(B140,Weather!$BO$1:$BO$20,0),MATCH(C140,Weather!$BO$1:$CB$1,0))/VLOOKUP(B140,Weather!$BO$2:$CB$20,14,FALSE)</f>
        <v>109.66403715265103</v>
      </c>
      <c r="V140" s="47">
        <f t="shared" ca="1" si="130"/>
        <v>1273529.9674873899</v>
      </c>
    </row>
    <row r="141" spans="1:22">
      <c r="A141" s="2">
        <f t="shared" si="120"/>
        <v>46265</v>
      </c>
      <c r="B141">
        <f t="shared" si="133"/>
        <v>2026</v>
      </c>
      <c r="C141">
        <f t="shared" si="134"/>
        <v>8</v>
      </c>
      <c r="E141" s="3">
        <f t="shared" ref="E141:F141" ca="1" si="166">E129</f>
        <v>5.6499999999999977</v>
      </c>
      <c r="F141" s="3">
        <f t="shared" ca="1" si="166"/>
        <v>210.96558794466404</v>
      </c>
      <c r="G141" s="47">
        <f t="shared" si="145"/>
        <v>0</v>
      </c>
      <c r="H141" s="47">
        <f t="shared" si="137"/>
        <v>139</v>
      </c>
      <c r="I141" s="47">
        <f t="shared" si="138"/>
        <v>31</v>
      </c>
      <c r="J141">
        <v>0</v>
      </c>
      <c r="L141" s="3">
        <f t="shared" si="149"/>
        <v>-769716</v>
      </c>
      <c r="M141" s="3">
        <f t="shared" ca="1" si="150"/>
        <v>4712.6616099999974</v>
      </c>
      <c r="N141" s="3">
        <f t="shared" ca="1" si="151"/>
        <v>418524.29260960972</v>
      </c>
      <c r="O141" s="3">
        <f t="shared" si="152"/>
        <v>0</v>
      </c>
      <c r="P141" s="3">
        <f t="shared" si="153"/>
        <v>370739.96600000001</v>
      </c>
      <c r="Q141" s="3">
        <f t="shared" si="154"/>
        <v>1175534.26</v>
      </c>
      <c r="R141" s="3">
        <f t="shared" si="155"/>
        <v>0</v>
      </c>
      <c r="S141" s="47">
        <f t="shared" ca="1" si="139"/>
        <v>1199795.1802196098</v>
      </c>
      <c r="T141" s="47">
        <f>IFERROR(HLOOKUP(B141-1,'EV Forecast VRZ'!$F$124:$T$130,3,FALSE)/12,0)+IFERROR(((HLOOKUP(B141,'EV Forecast VRZ'!$F$116:$T$122,3,FALSE)-HLOOKUP(B141-1,'EV Forecast VRZ'!$F$124:$T$130,3,FALSE)))*C141/78,0)</f>
        <v>30702.247857162442</v>
      </c>
      <c r="U141" s="47">
        <f ca="1">HLOOKUP(B141,Heating!$C$102:$O$106,3,FALSE)*INDEX(Weather!$BO$1:$CB$20,MATCH(B141,Weather!$BO$1:$BO$20,0),MATCH(C141,Weather!$BO$1:$CB$1,0))/VLOOKUP(B141,Weather!$BO$2:$CB$20,14,FALSE)</f>
        <v>382.96274627606198</v>
      </c>
      <c r="V141" s="47">
        <f t="shared" ca="1" si="130"/>
        <v>1230880.3908230483</v>
      </c>
    </row>
    <row r="142" spans="1:22">
      <c r="A142" s="2">
        <f t="shared" si="120"/>
        <v>46295</v>
      </c>
      <c r="B142">
        <f t="shared" si="133"/>
        <v>2026</v>
      </c>
      <c r="C142">
        <f t="shared" si="134"/>
        <v>9</v>
      </c>
      <c r="E142" s="3">
        <f t="shared" ref="E142:F142" ca="1" si="167">E130</f>
        <v>54.959440993788824</v>
      </c>
      <c r="F142" s="3">
        <f t="shared" ca="1" si="167"/>
        <v>106.4160119047619</v>
      </c>
      <c r="G142" s="47">
        <f t="shared" si="145"/>
        <v>1</v>
      </c>
      <c r="H142" s="47">
        <f t="shared" si="137"/>
        <v>140</v>
      </c>
      <c r="I142" s="47">
        <f t="shared" si="138"/>
        <v>30</v>
      </c>
      <c r="J142">
        <v>0</v>
      </c>
      <c r="L142" s="3">
        <f t="shared" si="149"/>
        <v>-769716</v>
      </c>
      <c r="M142" s="3">
        <f t="shared" ca="1" si="150"/>
        <v>45841.636757254659</v>
      </c>
      <c r="N142" s="3">
        <f t="shared" ca="1" si="151"/>
        <v>211113.51163327383</v>
      </c>
      <c r="O142" s="3">
        <f t="shared" si="152"/>
        <v>-56026.3</v>
      </c>
      <c r="P142" s="3">
        <f t="shared" si="153"/>
        <v>373407.16</v>
      </c>
      <c r="Q142" s="3">
        <f t="shared" si="154"/>
        <v>1137613.8</v>
      </c>
      <c r="R142" s="3">
        <f t="shared" si="155"/>
        <v>0</v>
      </c>
      <c r="S142" s="47">
        <f t="shared" ca="1" si="139"/>
        <v>942233.80839052843</v>
      </c>
      <c r="T142" s="47">
        <f>IFERROR(HLOOKUP(B142-1,'EV Forecast VRZ'!$F$124:$T$130,3,FALSE)/12,0)+IFERROR(((HLOOKUP(B142,'EV Forecast VRZ'!$F$116:$T$122,3,FALSE)-HLOOKUP(B142-1,'EV Forecast VRZ'!$F$124:$T$130,3,FALSE)))*C142/78,0)</f>
        <v>31309.170542755397</v>
      </c>
      <c r="U142" s="47">
        <f ca="1">HLOOKUP(B142,Heating!$C$102:$O$106,3,FALSE)*INDEX(Weather!$BO$1:$CB$20,MATCH(B142,Weather!$BO$1:$BO$20,0),MATCH(C142,Weather!$BO$1:$CB$1,0))/VLOOKUP(B142,Weather!$BO$2:$CB$20,14,FALSE)</f>
        <v>3725.2068065094791</v>
      </c>
      <c r="V142" s="47">
        <f t="shared" ca="1" si="130"/>
        <v>977268.18573979335</v>
      </c>
    </row>
    <row r="143" spans="1:22">
      <c r="A143" s="2">
        <f t="shared" si="120"/>
        <v>46326</v>
      </c>
      <c r="B143">
        <f t="shared" si="133"/>
        <v>2026</v>
      </c>
      <c r="C143">
        <f t="shared" si="134"/>
        <v>10</v>
      </c>
      <c r="E143" s="3">
        <f t="shared" ref="E143:F143" ca="1" si="168">E131</f>
        <v>237.89681159420289</v>
      </c>
      <c r="F143" s="3">
        <f t="shared" ca="1" si="168"/>
        <v>17.987083333333334</v>
      </c>
      <c r="G143" s="47">
        <f t="shared" ref="G143:G158" si="169">G131</f>
        <v>1</v>
      </c>
      <c r="H143" s="47">
        <f t="shared" si="137"/>
        <v>141</v>
      </c>
      <c r="I143" s="47">
        <f t="shared" si="138"/>
        <v>31</v>
      </c>
      <c r="J143">
        <v>0</v>
      </c>
      <c r="L143" s="3">
        <f t="shared" si="149"/>
        <v>-769716</v>
      </c>
      <c r="M143" s="3">
        <f t="shared" ca="1" si="150"/>
        <v>198429.58781263765</v>
      </c>
      <c r="N143" s="3">
        <f t="shared" ca="1" si="151"/>
        <v>35683.693257916668</v>
      </c>
      <c r="O143" s="3">
        <f t="shared" si="152"/>
        <v>-56026.3</v>
      </c>
      <c r="P143" s="3">
        <f t="shared" si="153"/>
        <v>376074.35399999999</v>
      </c>
      <c r="Q143" s="3">
        <f t="shared" si="154"/>
        <v>1175534.26</v>
      </c>
      <c r="R143" s="3">
        <f t="shared" si="155"/>
        <v>0</v>
      </c>
      <c r="S143" s="47">
        <f t="shared" ca="1" si="139"/>
        <v>959979.59507055441</v>
      </c>
      <c r="T143" s="47">
        <f>IFERROR(HLOOKUP(B143-1,'EV Forecast VRZ'!$F$124:$T$130,3,FALSE)/12,0)+IFERROR(((HLOOKUP(B143,'EV Forecast VRZ'!$F$116:$T$122,3,FALSE)-HLOOKUP(B143-1,'EV Forecast VRZ'!$F$124:$T$130,3,FALSE)))*C143/78,0)</f>
        <v>31916.093228348349</v>
      </c>
      <c r="U143" s="47">
        <f ca="1">HLOOKUP(B143,Heating!$C$102:$O$106,3,FALSE)*INDEX(Weather!$BO$1:$CB$20,MATCH(B143,Weather!$BO$1:$BO$20,0),MATCH(C143,Weather!$BO$1:$CB$1,0))/VLOOKUP(B143,Weather!$BO$2:$CB$20,14,FALSE)</f>
        <v>16124.887840430951</v>
      </c>
      <c r="V143" s="47">
        <f t="shared" ca="1" si="130"/>
        <v>1008020.5761393337</v>
      </c>
    </row>
    <row r="144" spans="1:22">
      <c r="A144" s="2">
        <f t="shared" si="120"/>
        <v>46356</v>
      </c>
      <c r="B144">
        <f t="shared" si="133"/>
        <v>2026</v>
      </c>
      <c r="C144">
        <f t="shared" si="134"/>
        <v>11</v>
      </c>
      <c r="E144" s="3">
        <f t="shared" ref="E144:F144" ca="1" si="170">E132</f>
        <v>426.62991389045737</v>
      </c>
      <c r="F144" s="3">
        <f t="shared" ca="1" si="170"/>
        <v>0.8083333333333329</v>
      </c>
      <c r="G144" s="47">
        <f t="shared" si="169"/>
        <v>1</v>
      </c>
      <c r="H144" s="47">
        <f t="shared" si="137"/>
        <v>142</v>
      </c>
      <c r="I144" s="47">
        <f t="shared" si="138"/>
        <v>30</v>
      </c>
      <c r="J144">
        <v>0</v>
      </c>
      <c r="L144" s="3">
        <f t="shared" si="149"/>
        <v>-769716</v>
      </c>
      <c r="M144" s="3">
        <f t="shared" ca="1" si="150"/>
        <v>355851.75519808213</v>
      </c>
      <c r="N144" s="3">
        <f t="shared" ca="1" si="151"/>
        <v>1603.612891666666</v>
      </c>
      <c r="O144" s="3">
        <f t="shared" si="152"/>
        <v>-56026.3</v>
      </c>
      <c r="P144" s="3">
        <f t="shared" si="153"/>
        <v>378741.54800000001</v>
      </c>
      <c r="Q144" s="3">
        <f t="shared" si="154"/>
        <v>1137613.8</v>
      </c>
      <c r="R144" s="3">
        <f t="shared" si="155"/>
        <v>0</v>
      </c>
      <c r="S144" s="47">
        <f t="shared" ca="1" si="139"/>
        <v>1048068.4160897488</v>
      </c>
      <c r="T144" s="47">
        <f>IFERROR(HLOOKUP(B144-1,'EV Forecast VRZ'!$F$124:$T$130,3,FALSE)/12,0)+IFERROR(((HLOOKUP(B144,'EV Forecast VRZ'!$F$116:$T$122,3,FALSE)-HLOOKUP(B144-1,'EV Forecast VRZ'!$F$124:$T$130,3,FALSE)))*C144/78,0)</f>
        <v>32523.015913941301</v>
      </c>
      <c r="U144" s="47">
        <f ca="1">HLOOKUP(B144,Heating!$C$102:$O$106,3,FALSE)*INDEX(Weather!$BO$1:$CB$20,MATCH(B144,Weather!$BO$1:$BO$20,0),MATCH(C144,Weather!$BO$1:$CB$1,0))/VLOOKUP(B144,Weather!$BO$2:$CB$20,14,FALSE)</f>
        <v>28917.409463187512</v>
      </c>
      <c r="V144" s="47">
        <f t="shared" ca="1" si="130"/>
        <v>1109508.8414668776</v>
      </c>
    </row>
    <row r="145" spans="1:22">
      <c r="A145" s="2">
        <f t="shared" si="120"/>
        <v>46387</v>
      </c>
      <c r="B145">
        <f t="shared" si="133"/>
        <v>2026</v>
      </c>
      <c r="C145">
        <f t="shared" si="134"/>
        <v>12</v>
      </c>
      <c r="E145" s="3">
        <f t="shared" ref="E145:F145" ca="1" si="171">E133</f>
        <v>577.92800724637686</v>
      </c>
      <c r="F145" s="3">
        <f t="shared" ca="1" si="171"/>
        <v>0</v>
      </c>
      <c r="G145" s="47">
        <f t="shared" si="169"/>
        <v>0</v>
      </c>
      <c r="H145" s="47">
        <f t="shared" si="137"/>
        <v>143</v>
      </c>
      <c r="I145" s="47">
        <f t="shared" si="138"/>
        <v>31</v>
      </c>
      <c r="J145">
        <v>0</v>
      </c>
      <c r="L145" s="3">
        <f t="shared" si="149"/>
        <v>-769716</v>
      </c>
      <c r="M145" s="3">
        <f t="shared" ca="1" si="150"/>
        <v>482049.40408739855</v>
      </c>
      <c r="N145" s="3">
        <f t="shared" ca="1" si="151"/>
        <v>0</v>
      </c>
      <c r="O145" s="3">
        <f t="shared" si="152"/>
        <v>0</v>
      </c>
      <c r="P145" s="3">
        <f t="shared" si="153"/>
        <v>381408.74199999997</v>
      </c>
      <c r="Q145" s="3">
        <f t="shared" si="154"/>
        <v>1175534.26</v>
      </c>
      <c r="R145" s="3">
        <f t="shared" si="155"/>
        <v>0</v>
      </c>
      <c r="S145" s="47">
        <f t="shared" ca="1" si="139"/>
        <v>1269276.4060873985</v>
      </c>
      <c r="T145" s="47">
        <f>IFERROR(HLOOKUP(B145-1,'EV Forecast VRZ'!$F$124:$T$130,3,FALSE)/12,0)+IFERROR(((HLOOKUP(B145,'EV Forecast VRZ'!$F$116:$T$122,3,FALSE)-HLOOKUP(B145-1,'EV Forecast VRZ'!$F$124:$T$130,3,FALSE)))*C145/78,0)</f>
        <v>33129.938599534253</v>
      </c>
      <c r="U145" s="47">
        <f ca="1">HLOOKUP(B145,Heating!$C$102:$O$106,3,FALSE)*INDEX(Weather!$BO$1:$CB$20,MATCH(B145,Weather!$BO$1:$BO$20,0),MATCH(C145,Weather!$BO$1:$CB$1,0))/VLOOKUP(B145,Weather!$BO$2:$CB$20,14,FALSE)</f>
        <v>39172.548107066264</v>
      </c>
      <c r="V145" s="47">
        <f t="shared" ca="1" si="130"/>
        <v>1341578.8927939991</v>
      </c>
    </row>
    <row r="146" spans="1:22">
      <c r="A146" s="2">
        <f t="shared" si="120"/>
        <v>46418</v>
      </c>
      <c r="B146">
        <f t="shared" si="133"/>
        <v>2027</v>
      </c>
      <c r="C146">
        <f t="shared" si="134"/>
        <v>1</v>
      </c>
      <c r="E146" s="3">
        <f t="shared" ref="E146:F146" ca="1" si="172">E134</f>
        <v>697.33418478260876</v>
      </c>
      <c r="F146" s="3">
        <f t="shared" ca="1" si="172"/>
        <v>0</v>
      </c>
      <c r="G146" s="47">
        <f t="shared" si="169"/>
        <v>0</v>
      </c>
      <c r="H146" s="47">
        <f t="shared" si="137"/>
        <v>144</v>
      </c>
      <c r="I146" s="47">
        <f t="shared" si="138"/>
        <v>31</v>
      </c>
      <c r="J146">
        <v>0</v>
      </c>
      <c r="L146" s="3">
        <f t="shared" si="149"/>
        <v>-769716</v>
      </c>
      <c r="M146" s="3">
        <f t="shared" ca="1" si="150"/>
        <v>581646.02512666304</v>
      </c>
      <c r="N146" s="3">
        <f t="shared" ca="1" si="151"/>
        <v>0</v>
      </c>
      <c r="O146" s="3">
        <f t="shared" si="152"/>
        <v>0</v>
      </c>
      <c r="P146" s="3">
        <f t="shared" si="153"/>
        <v>384075.93599999999</v>
      </c>
      <c r="Q146" s="3">
        <f t="shared" si="154"/>
        <v>1175534.26</v>
      </c>
      <c r="R146" s="3">
        <f t="shared" si="155"/>
        <v>0</v>
      </c>
      <c r="S146" s="47">
        <f t="shared" ca="1" si="139"/>
        <v>1371540.221126663</v>
      </c>
      <c r="T146" s="47">
        <f>IFERROR(HLOOKUP(B146-1,'EV Forecast VRZ'!$F$124:$T$130,3,FALSE)/12,0)+IFERROR(((HLOOKUP(B146,'EV Forecast VRZ'!$F$116:$T$122,3,FALSE)-HLOOKUP(B146-1,'EV Forecast VRZ'!$F$124:$T$130,3,FALSE)))*C146/78,0)</f>
        <v>34362.107616989</v>
      </c>
      <c r="U146" s="47">
        <f ca="1">HLOOKUP(B146,Heating!$C$102:$O$106,3,FALSE)*INDEX(Weather!$BO$1:$CB$20,MATCH(B146,Weather!$BO$1:$BO$20,0),MATCH(C146,Weather!$BO$1:$CB$1,0))/VLOOKUP(B146,Weather!$BO$2:$CB$20,14,FALSE)</f>
        <v>54912.930163745659</v>
      </c>
      <c r="V146" s="47">
        <f t="shared" ca="1" si="130"/>
        <v>1460815.2589073977</v>
      </c>
    </row>
    <row r="147" spans="1:22">
      <c r="A147" s="2">
        <f t="shared" si="120"/>
        <v>46446</v>
      </c>
      <c r="B147">
        <f t="shared" si="133"/>
        <v>2027</v>
      </c>
      <c r="C147">
        <f t="shared" si="134"/>
        <v>2</v>
      </c>
      <c r="E147" s="3">
        <f t="shared" ref="E147:F147" ca="1" si="173">E135</f>
        <v>624.25501811594188</v>
      </c>
      <c r="F147" s="3">
        <f t="shared" ca="1" si="173"/>
        <v>0</v>
      </c>
      <c r="G147" s="47">
        <f t="shared" si="169"/>
        <v>0</v>
      </c>
      <c r="H147" s="47">
        <f t="shared" si="137"/>
        <v>145</v>
      </c>
      <c r="I147" s="47">
        <f t="shared" si="138"/>
        <v>29</v>
      </c>
      <c r="J147">
        <v>0</v>
      </c>
      <c r="L147" s="3">
        <f t="shared" si="149"/>
        <v>-769716</v>
      </c>
      <c r="M147" s="3">
        <f t="shared" ca="1" si="150"/>
        <v>520690.73605749622</v>
      </c>
      <c r="N147" s="3">
        <f t="shared" ca="1" si="151"/>
        <v>0</v>
      </c>
      <c r="O147" s="3">
        <f t="shared" si="152"/>
        <v>0</v>
      </c>
      <c r="P147" s="3">
        <f t="shared" si="153"/>
        <v>386743.13</v>
      </c>
      <c r="Q147" s="3">
        <f t="shared" si="154"/>
        <v>1099693.3400000001</v>
      </c>
      <c r="R147" s="3">
        <f t="shared" si="155"/>
        <v>0</v>
      </c>
      <c r="S147" s="47">
        <f t="shared" ca="1" si="139"/>
        <v>1237411.2060574964</v>
      </c>
      <c r="T147" s="47">
        <f>IFERROR(HLOOKUP(B147-1,'EV Forecast VRZ'!$F$124:$T$130,3,FALSE)/12,0)+IFERROR(((HLOOKUP(B147,'EV Forecast VRZ'!$F$116:$T$122,3,FALSE)-HLOOKUP(B147-1,'EV Forecast VRZ'!$F$124:$T$130,3,FALSE)))*C147/78,0)</f>
        <v>34987.353948850803</v>
      </c>
      <c r="U147" s="47">
        <f ca="1">HLOOKUP(B147,Heating!$C$102:$O$106,3,FALSE)*INDEX(Weather!$BO$1:$CB$20,MATCH(B147,Weather!$BO$1:$BO$20,0),MATCH(C147,Weather!$BO$1:$CB$1,0))/VLOOKUP(B147,Weather!$BO$2:$CB$20,14,FALSE)</f>
        <v>49158.169730134563</v>
      </c>
      <c r="V147" s="47">
        <f t="shared" ca="1" si="130"/>
        <v>1321556.7297364818</v>
      </c>
    </row>
    <row r="148" spans="1:22">
      <c r="A148" s="2">
        <f t="shared" si="120"/>
        <v>46477</v>
      </c>
      <c r="B148">
        <f t="shared" si="133"/>
        <v>2027</v>
      </c>
      <c r="C148">
        <f t="shared" si="134"/>
        <v>3</v>
      </c>
      <c r="E148" s="3">
        <f t="shared" ref="E148:F148" ca="1" si="174">E136</f>
        <v>546.13298913043491</v>
      </c>
      <c r="F148" s="3">
        <f t="shared" ca="1" si="174"/>
        <v>0</v>
      </c>
      <c r="G148" s="47">
        <f t="shared" si="169"/>
        <v>1</v>
      </c>
      <c r="H148" s="47">
        <f t="shared" si="137"/>
        <v>146</v>
      </c>
      <c r="I148" s="47">
        <f t="shared" si="138"/>
        <v>31</v>
      </c>
      <c r="J148">
        <v>0</v>
      </c>
      <c r="L148" s="3">
        <f t="shared" si="149"/>
        <v>-769716</v>
      </c>
      <c r="M148" s="3">
        <f t="shared" ca="1" si="150"/>
        <v>455529.19855390227</v>
      </c>
      <c r="N148" s="3">
        <f t="shared" ca="1" si="151"/>
        <v>0</v>
      </c>
      <c r="O148" s="3">
        <f t="shared" si="152"/>
        <v>-56026.3</v>
      </c>
      <c r="P148" s="3">
        <f t="shared" si="153"/>
        <v>389410.32400000002</v>
      </c>
      <c r="Q148" s="3">
        <f t="shared" si="154"/>
        <v>1175534.26</v>
      </c>
      <c r="R148" s="3">
        <f t="shared" si="155"/>
        <v>0</v>
      </c>
      <c r="S148" s="47">
        <f t="shared" ca="1" si="139"/>
        <v>1194731.4825539023</v>
      </c>
      <c r="T148" s="47">
        <f>IFERROR(HLOOKUP(B148-1,'EV Forecast VRZ'!$F$124:$T$130,3,FALSE)/12,0)+IFERROR(((HLOOKUP(B148,'EV Forecast VRZ'!$F$116:$T$122,3,FALSE)-HLOOKUP(B148-1,'EV Forecast VRZ'!$F$124:$T$130,3,FALSE)))*C148/78,0)</f>
        <v>35612.600280712599</v>
      </c>
      <c r="U148" s="47">
        <f ca="1">HLOOKUP(B148,Heating!$C$102:$O$106,3,FALSE)*INDEX(Weather!$BO$1:$CB$20,MATCH(B148,Weather!$BO$1:$BO$20,0),MATCH(C148,Weather!$BO$1:$CB$1,0))/VLOOKUP(B148,Weather!$BO$2:$CB$20,14,FALSE)</f>
        <v>43006.299342095837</v>
      </c>
      <c r="V148" s="47">
        <f t="shared" ca="1" si="130"/>
        <v>1273350.3821767108</v>
      </c>
    </row>
    <row r="149" spans="1:22">
      <c r="A149" s="2">
        <f t="shared" si="120"/>
        <v>46507</v>
      </c>
      <c r="B149">
        <f t="shared" si="133"/>
        <v>2027</v>
      </c>
      <c r="C149">
        <f t="shared" si="134"/>
        <v>4</v>
      </c>
      <c r="E149" s="3">
        <f t="shared" ref="E149:F149" ca="1" si="175">E137</f>
        <v>352.41399621212122</v>
      </c>
      <c r="F149" s="3">
        <f t="shared" ca="1" si="175"/>
        <v>2.1908333333333347</v>
      </c>
      <c r="G149" s="47">
        <f t="shared" si="169"/>
        <v>1</v>
      </c>
      <c r="H149" s="47">
        <f t="shared" si="137"/>
        <v>147</v>
      </c>
      <c r="I149" s="47">
        <f t="shared" si="138"/>
        <v>30</v>
      </c>
      <c r="J149">
        <v>0</v>
      </c>
      <c r="L149" s="3">
        <f t="shared" si="149"/>
        <v>-769716</v>
      </c>
      <c r="M149" s="3">
        <f t="shared" ca="1" si="150"/>
        <v>293948.30279213254</v>
      </c>
      <c r="N149" s="3">
        <f t="shared" ca="1" si="151"/>
        <v>4346.2868991666701</v>
      </c>
      <c r="O149" s="3">
        <f t="shared" si="152"/>
        <v>-56026.3</v>
      </c>
      <c r="P149" s="3">
        <f t="shared" si="153"/>
        <v>392077.51799999998</v>
      </c>
      <c r="Q149" s="3">
        <f t="shared" si="154"/>
        <v>1137613.8</v>
      </c>
      <c r="R149" s="3">
        <f t="shared" si="155"/>
        <v>0</v>
      </c>
      <c r="S149" s="47">
        <f t="shared" ca="1" si="139"/>
        <v>1002243.6076912992</v>
      </c>
      <c r="T149" s="47">
        <f>IFERROR(HLOOKUP(B149-1,'EV Forecast VRZ'!$F$124:$T$130,3,FALSE)/12,0)+IFERROR(((HLOOKUP(B149,'EV Forecast VRZ'!$F$116:$T$122,3,FALSE)-HLOOKUP(B149-1,'EV Forecast VRZ'!$F$124:$T$130,3,FALSE)))*C149/78,0)</f>
        <v>36237.846612574402</v>
      </c>
      <c r="U149" s="47">
        <f ca="1">HLOOKUP(B149,Heating!$C$102:$O$106,3,FALSE)*INDEX(Weather!$BO$1:$CB$20,MATCH(B149,Weather!$BO$1:$BO$20,0),MATCH(C149,Weather!$BO$1:$CB$1,0))/VLOOKUP(B149,Weather!$BO$2:$CB$20,14,FALSE)</f>
        <v>27751.522275873627</v>
      </c>
      <c r="V149" s="47">
        <f t="shared" ca="1" si="130"/>
        <v>1066232.9765797472</v>
      </c>
    </row>
    <row r="150" spans="1:22">
      <c r="A150" s="2">
        <f t="shared" si="120"/>
        <v>46538</v>
      </c>
      <c r="B150">
        <f t="shared" si="133"/>
        <v>2027</v>
      </c>
      <c r="C150">
        <f t="shared" si="134"/>
        <v>5</v>
      </c>
      <c r="E150" s="3">
        <f t="shared" ref="E150:F150" ca="1" si="176">E138</f>
        <v>150.136897859768</v>
      </c>
      <c r="F150" s="3">
        <f t="shared" ca="1" si="176"/>
        <v>52.487435064935063</v>
      </c>
      <c r="G150" s="47">
        <f t="shared" si="169"/>
        <v>1</v>
      </c>
      <c r="H150" s="47">
        <f t="shared" si="137"/>
        <v>148</v>
      </c>
      <c r="I150" s="47">
        <f t="shared" si="138"/>
        <v>31</v>
      </c>
      <c r="J150">
        <v>0</v>
      </c>
      <c r="L150" s="3">
        <f t="shared" si="149"/>
        <v>-769716</v>
      </c>
      <c r="M150" s="3">
        <f t="shared" ca="1" si="150"/>
        <v>125229.09642269376</v>
      </c>
      <c r="N150" s="3">
        <f t="shared" ca="1" si="151"/>
        <v>104127.25054100649</v>
      </c>
      <c r="O150" s="3">
        <f t="shared" si="152"/>
        <v>-56026.3</v>
      </c>
      <c r="P150" s="3">
        <f t="shared" si="153"/>
        <v>394744.712</v>
      </c>
      <c r="Q150" s="3">
        <f t="shared" si="154"/>
        <v>1175534.26</v>
      </c>
      <c r="R150" s="3">
        <f t="shared" si="155"/>
        <v>0</v>
      </c>
      <c r="S150" s="47">
        <f t="shared" ca="1" si="139"/>
        <v>973893.01896370016</v>
      </c>
      <c r="T150" s="47">
        <f>IFERROR(HLOOKUP(B150-1,'EV Forecast VRZ'!$F$124:$T$130,3,FALSE)/12,0)+IFERROR(((HLOOKUP(B150,'EV Forecast VRZ'!$F$116:$T$122,3,FALSE)-HLOOKUP(B150-1,'EV Forecast VRZ'!$F$124:$T$130,3,FALSE)))*C150/78,0)</f>
        <v>36863.092944436205</v>
      </c>
      <c r="U150" s="47">
        <f ca="1">HLOOKUP(B150,Heating!$C$102:$O$106,3,FALSE)*INDEX(Weather!$BO$1:$CB$20,MATCH(B150,Weather!$BO$1:$BO$20,0),MATCH(C150,Weather!$BO$1:$CB$1,0))/VLOOKUP(B150,Weather!$BO$2:$CB$20,14,FALSE)</f>
        <v>11822.820631896933</v>
      </c>
      <c r="V150" s="47">
        <f t="shared" ca="1" si="130"/>
        <v>1022578.9325400334</v>
      </c>
    </row>
    <row r="151" spans="1:22">
      <c r="A151" s="2">
        <f t="shared" si="120"/>
        <v>46568</v>
      </c>
      <c r="B151">
        <f t="shared" si="133"/>
        <v>2027</v>
      </c>
      <c r="C151">
        <f t="shared" si="134"/>
        <v>6</v>
      </c>
      <c r="E151" s="3">
        <f t="shared" ref="E151:F151" ca="1" si="177">E139</f>
        <v>32.520923826173821</v>
      </c>
      <c r="F151" s="3">
        <f t="shared" ca="1" si="177"/>
        <v>137.65451754405018</v>
      </c>
      <c r="G151" s="47">
        <f t="shared" si="169"/>
        <v>0</v>
      </c>
      <c r="H151" s="47">
        <f t="shared" si="137"/>
        <v>149</v>
      </c>
      <c r="I151" s="47">
        <f t="shared" si="138"/>
        <v>30</v>
      </c>
      <c r="J151">
        <v>0</v>
      </c>
      <c r="L151" s="3">
        <f t="shared" si="149"/>
        <v>-769716</v>
      </c>
      <c r="M151" s="3">
        <f t="shared" ca="1" si="150"/>
        <v>27125.683050857286</v>
      </c>
      <c r="N151" s="3">
        <f t="shared" ca="1" si="151"/>
        <v>273086.05228428153</v>
      </c>
      <c r="O151" s="3">
        <f t="shared" si="152"/>
        <v>0</v>
      </c>
      <c r="P151" s="3">
        <f t="shared" si="153"/>
        <v>397411.90600000002</v>
      </c>
      <c r="Q151" s="3">
        <f t="shared" si="154"/>
        <v>1137613.8</v>
      </c>
      <c r="R151" s="3">
        <f t="shared" si="155"/>
        <v>0</v>
      </c>
      <c r="S151" s="47">
        <f t="shared" ca="1" si="139"/>
        <v>1065521.4413351389</v>
      </c>
      <c r="T151" s="47">
        <f>IFERROR(HLOOKUP(B151-1,'EV Forecast VRZ'!$F$124:$T$130,3,FALSE)/12,0)+IFERROR(((HLOOKUP(B151,'EV Forecast VRZ'!$F$116:$T$122,3,FALSE)-HLOOKUP(B151-1,'EV Forecast VRZ'!$F$124:$T$130,3,FALSE)))*C151/78,0)</f>
        <v>37488.339276298007</v>
      </c>
      <c r="U151" s="47">
        <f ca="1">HLOOKUP(B151,Heating!$C$102:$O$106,3,FALSE)*INDEX(Weather!$BO$1:$CB$20,MATCH(B151,Weather!$BO$1:$BO$20,0),MATCH(C151,Weather!$BO$1:$CB$1,0))/VLOOKUP(B151,Weather!$BO$2:$CB$20,14,FALSE)</f>
        <v>2560.9230952644289</v>
      </c>
      <c r="V151" s="47">
        <f t="shared" ca="1" si="130"/>
        <v>1105570.7037067013</v>
      </c>
    </row>
    <row r="152" spans="1:22">
      <c r="A152" s="2">
        <f t="shared" si="120"/>
        <v>46599</v>
      </c>
      <c r="B152">
        <f t="shared" si="133"/>
        <v>2027</v>
      </c>
      <c r="C152">
        <f t="shared" si="134"/>
        <v>7</v>
      </c>
      <c r="E152" s="3">
        <f t="shared" ref="E152:F152" ca="1" si="178">E140</f>
        <v>1.6179166666666653</v>
      </c>
      <c r="F152" s="3">
        <f t="shared" ca="1" si="178"/>
        <v>235.94737858727848</v>
      </c>
      <c r="G152" s="47">
        <f t="shared" si="169"/>
        <v>0</v>
      </c>
      <c r="H152" s="47">
        <f t="shared" si="137"/>
        <v>150</v>
      </c>
      <c r="I152" s="47">
        <f t="shared" si="138"/>
        <v>31</v>
      </c>
      <c r="J152">
        <v>0</v>
      </c>
      <c r="L152" s="3">
        <f t="shared" si="149"/>
        <v>-769716</v>
      </c>
      <c r="M152" s="3">
        <f t="shared" ca="1" si="150"/>
        <v>1349.5033209166654</v>
      </c>
      <c r="N152" s="3">
        <f t="shared" ca="1" si="151"/>
        <v>468084.44295775105</v>
      </c>
      <c r="O152" s="3">
        <f t="shared" si="152"/>
        <v>0</v>
      </c>
      <c r="P152" s="3">
        <f t="shared" si="153"/>
        <v>400079.1</v>
      </c>
      <c r="Q152" s="3">
        <f t="shared" si="154"/>
        <v>1175534.26</v>
      </c>
      <c r="R152" s="3">
        <f t="shared" si="155"/>
        <v>0</v>
      </c>
      <c r="S152" s="47">
        <f t="shared" ca="1" si="139"/>
        <v>1275331.3062786676</v>
      </c>
      <c r="T152" s="47">
        <f>IFERROR(HLOOKUP(B152-1,'EV Forecast VRZ'!$F$124:$T$130,3,FALSE)/12,0)+IFERROR(((HLOOKUP(B152,'EV Forecast VRZ'!$F$116:$T$122,3,FALSE)-HLOOKUP(B152-1,'EV Forecast VRZ'!$F$124:$T$130,3,FALSE)))*C152/78,0)</f>
        <v>38113.58560815981</v>
      </c>
      <c r="U152" s="47">
        <f ca="1">HLOOKUP(B152,Heating!$C$102:$O$106,3,FALSE)*INDEX(Weather!$BO$1:$CB$20,MATCH(B152,Weather!$BO$1:$BO$20,0),MATCH(C152,Weather!$BO$1:$CB$1,0))/VLOOKUP(B152,Weather!$BO$2:$CB$20,14,FALSE)</f>
        <v>127.40597960950919</v>
      </c>
      <c r="V152" s="47">
        <f t="shared" ca="1" si="130"/>
        <v>1313572.2978664371</v>
      </c>
    </row>
    <row r="153" spans="1:22">
      <c r="A153" s="2">
        <f t="shared" si="120"/>
        <v>46630</v>
      </c>
      <c r="B153">
        <f t="shared" si="133"/>
        <v>2027</v>
      </c>
      <c r="C153">
        <f t="shared" si="134"/>
        <v>8</v>
      </c>
      <c r="E153" s="3">
        <f t="shared" ref="E153:F153" ca="1" si="179">E141</f>
        <v>5.6499999999999977</v>
      </c>
      <c r="F153" s="3">
        <f t="shared" ca="1" si="179"/>
        <v>210.96558794466404</v>
      </c>
      <c r="G153" s="47">
        <f t="shared" si="169"/>
        <v>0</v>
      </c>
      <c r="H153" s="47">
        <f t="shared" si="137"/>
        <v>151</v>
      </c>
      <c r="I153" s="47">
        <f t="shared" si="138"/>
        <v>31</v>
      </c>
      <c r="J153">
        <v>0</v>
      </c>
      <c r="L153" s="3">
        <f t="shared" si="149"/>
        <v>-769716</v>
      </c>
      <c r="M153" s="3">
        <f t="shared" ca="1" si="150"/>
        <v>4712.6616099999974</v>
      </c>
      <c r="N153" s="3">
        <f t="shared" ca="1" si="151"/>
        <v>418524.29260960972</v>
      </c>
      <c r="O153" s="3">
        <f t="shared" si="152"/>
        <v>0</v>
      </c>
      <c r="P153" s="3">
        <f t="shared" si="153"/>
        <v>402746.29399999999</v>
      </c>
      <c r="Q153" s="3">
        <f t="shared" si="154"/>
        <v>1175534.26</v>
      </c>
      <c r="R153" s="3">
        <f t="shared" si="155"/>
        <v>0</v>
      </c>
      <c r="S153" s="47">
        <f t="shared" ca="1" si="139"/>
        <v>1231801.5082196097</v>
      </c>
      <c r="T153" s="47">
        <f>IFERROR(HLOOKUP(B153-1,'EV Forecast VRZ'!$F$124:$T$130,3,FALSE)/12,0)+IFERROR(((HLOOKUP(B153,'EV Forecast VRZ'!$F$116:$T$122,3,FALSE)-HLOOKUP(B153-1,'EV Forecast VRZ'!$F$124:$T$130,3,FALSE)))*C153/78,0)</f>
        <v>38738.831940021613</v>
      </c>
      <c r="U153" s="47">
        <f ca="1">HLOOKUP(B153,Heating!$C$102:$O$106,3,FALSE)*INDEX(Weather!$BO$1:$CB$20,MATCH(B153,Weather!$BO$1:$BO$20,0),MATCH(C153,Weather!$BO$1:$CB$1,0))/VLOOKUP(B153,Weather!$BO$2:$CB$20,14,FALSE)</f>
        <v>444.92018632628003</v>
      </c>
      <c r="V153" s="47">
        <f t="shared" ca="1" si="130"/>
        <v>1270985.2603459577</v>
      </c>
    </row>
    <row r="154" spans="1:22">
      <c r="A154" s="2">
        <f t="shared" si="120"/>
        <v>46660</v>
      </c>
      <c r="B154">
        <f t="shared" si="133"/>
        <v>2027</v>
      </c>
      <c r="C154">
        <f t="shared" si="134"/>
        <v>9</v>
      </c>
      <c r="E154" s="3">
        <f t="shared" ref="E154:F154" ca="1" si="180">E142</f>
        <v>54.959440993788824</v>
      </c>
      <c r="F154" s="3">
        <f t="shared" ca="1" si="180"/>
        <v>106.4160119047619</v>
      </c>
      <c r="G154" s="47">
        <f t="shared" si="169"/>
        <v>1</v>
      </c>
      <c r="H154" s="47">
        <f t="shared" si="137"/>
        <v>152</v>
      </c>
      <c r="I154" s="47">
        <f t="shared" si="138"/>
        <v>30</v>
      </c>
      <c r="J154">
        <v>0</v>
      </c>
      <c r="L154" s="3">
        <f t="shared" si="149"/>
        <v>-769716</v>
      </c>
      <c r="M154" s="3">
        <f t="shared" ca="1" si="150"/>
        <v>45841.636757254659</v>
      </c>
      <c r="N154" s="3">
        <f t="shared" ca="1" si="151"/>
        <v>211113.51163327383</v>
      </c>
      <c r="O154" s="3">
        <f t="shared" si="152"/>
        <v>-56026.3</v>
      </c>
      <c r="P154" s="3">
        <f t="shared" si="153"/>
        <v>405413.48800000001</v>
      </c>
      <c r="Q154" s="3">
        <f t="shared" si="154"/>
        <v>1137613.8</v>
      </c>
      <c r="R154" s="3">
        <f t="shared" si="155"/>
        <v>0</v>
      </c>
      <c r="S154" s="47">
        <f t="shared" ca="1" si="139"/>
        <v>974240.13639052841</v>
      </c>
      <c r="T154" s="47">
        <f>IFERROR(HLOOKUP(B154-1,'EV Forecast VRZ'!$F$124:$T$130,3,FALSE)/12,0)+IFERROR(((HLOOKUP(B154,'EV Forecast VRZ'!$F$116:$T$122,3,FALSE)-HLOOKUP(B154-1,'EV Forecast VRZ'!$F$124:$T$130,3,FALSE)))*C154/78,0)</f>
        <v>39364.078271883409</v>
      </c>
      <c r="U154" s="47">
        <f ca="1">HLOOKUP(B154,Heating!$C$102:$O$106,3,FALSE)*INDEX(Weather!$BO$1:$CB$20,MATCH(B154,Weather!$BO$1:$BO$20,0),MATCH(C154,Weather!$BO$1:$CB$1,0))/VLOOKUP(B154,Weather!$BO$2:$CB$20,14,FALSE)</f>
        <v>4327.8875623618987</v>
      </c>
      <c r="V154" s="47">
        <f t="shared" ca="1" si="130"/>
        <v>1017932.1022247737</v>
      </c>
    </row>
    <row r="155" spans="1:22">
      <c r="A155" s="2">
        <f t="shared" si="120"/>
        <v>46691</v>
      </c>
      <c r="B155">
        <f t="shared" si="133"/>
        <v>2027</v>
      </c>
      <c r="C155">
        <f t="shared" si="134"/>
        <v>10</v>
      </c>
      <c r="E155" s="3">
        <f t="shared" ref="E155:F155" ca="1" si="181">E143</f>
        <v>237.89681159420289</v>
      </c>
      <c r="F155" s="3">
        <f t="shared" ca="1" si="181"/>
        <v>17.987083333333334</v>
      </c>
      <c r="G155" s="47">
        <f t="shared" si="169"/>
        <v>1</v>
      </c>
      <c r="H155" s="47">
        <f t="shared" si="137"/>
        <v>153</v>
      </c>
      <c r="I155" s="47">
        <f t="shared" si="138"/>
        <v>31</v>
      </c>
      <c r="J155">
        <v>0</v>
      </c>
      <c r="L155" s="3">
        <f t="shared" si="149"/>
        <v>-769716</v>
      </c>
      <c r="M155" s="3">
        <f t="shared" ca="1" si="150"/>
        <v>198429.58781263765</v>
      </c>
      <c r="N155" s="3">
        <f t="shared" ca="1" si="151"/>
        <v>35683.693257916668</v>
      </c>
      <c r="O155" s="3">
        <f t="shared" si="152"/>
        <v>-56026.3</v>
      </c>
      <c r="P155" s="3">
        <f t="shared" si="153"/>
        <v>408080.68199999997</v>
      </c>
      <c r="Q155" s="3">
        <f t="shared" si="154"/>
        <v>1175534.26</v>
      </c>
      <c r="R155" s="3">
        <f t="shared" si="155"/>
        <v>0</v>
      </c>
      <c r="S155" s="47">
        <f t="shared" ca="1" si="139"/>
        <v>991985.92307055439</v>
      </c>
      <c r="T155" s="47">
        <f>IFERROR(HLOOKUP(B155-1,'EV Forecast VRZ'!$F$124:$T$130,3,FALSE)/12,0)+IFERROR(((HLOOKUP(B155,'EV Forecast VRZ'!$F$116:$T$122,3,FALSE)-HLOOKUP(B155-1,'EV Forecast VRZ'!$F$124:$T$130,3,FALSE)))*C155/78,0)</f>
        <v>39989.324603745212</v>
      </c>
      <c r="U155" s="47">
        <f ca="1">HLOOKUP(B155,Heating!$C$102:$O$106,3,FALSE)*INDEX(Weather!$BO$1:$CB$20,MATCH(B155,Weather!$BO$1:$BO$20,0),MATCH(C155,Weather!$BO$1:$CB$1,0))/VLOOKUP(B155,Weather!$BO$2:$CB$20,14,FALSE)</f>
        <v>18733.644909897477</v>
      </c>
      <c r="V155" s="47">
        <f t="shared" ca="1" si="130"/>
        <v>1050708.8925841972</v>
      </c>
    </row>
    <row r="156" spans="1:22">
      <c r="A156" s="2">
        <f t="shared" si="120"/>
        <v>46721</v>
      </c>
      <c r="B156">
        <f t="shared" si="133"/>
        <v>2027</v>
      </c>
      <c r="C156">
        <f t="shared" si="134"/>
        <v>11</v>
      </c>
      <c r="E156" s="3">
        <f t="shared" ref="E156:F156" ca="1" si="182">E144</f>
        <v>426.62991389045737</v>
      </c>
      <c r="F156" s="3">
        <f t="shared" ca="1" si="182"/>
        <v>0.8083333333333329</v>
      </c>
      <c r="G156" s="47">
        <f t="shared" si="169"/>
        <v>1</v>
      </c>
      <c r="H156" s="47">
        <f t="shared" si="137"/>
        <v>154</v>
      </c>
      <c r="I156" s="47">
        <f t="shared" si="138"/>
        <v>30</v>
      </c>
      <c r="J156">
        <v>0</v>
      </c>
      <c r="L156" s="3">
        <f t="shared" si="149"/>
        <v>-769716</v>
      </c>
      <c r="M156" s="3">
        <f t="shared" ca="1" si="150"/>
        <v>355851.75519808213</v>
      </c>
      <c r="N156" s="3">
        <f t="shared" ca="1" si="151"/>
        <v>1603.612891666666</v>
      </c>
      <c r="O156" s="3">
        <f t="shared" si="152"/>
        <v>-56026.3</v>
      </c>
      <c r="P156" s="3">
        <f t="shared" si="153"/>
        <v>410747.87599999999</v>
      </c>
      <c r="Q156" s="3">
        <f t="shared" si="154"/>
        <v>1137613.8</v>
      </c>
      <c r="R156" s="3">
        <f t="shared" si="155"/>
        <v>0</v>
      </c>
      <c r="S156" s="47">
        <f t="shared" ca="1" si="139"/>
        <v>1080074.7440897487</v>
      </c>
      <c r="T156" s="47">
        <f>IFERROR(HLOOKUP(B156-1,'EV Forecast VRZ'!$F$124:$T$130,3,FALSE)/12,0)+IFERROR(((HLOOKUP(B156,'EV Forecast VRZ'!$F$116:$T$122,3,FALSE)-HLOOKUP(B156-1,'EV Forecast VRZ'!$F$124:$T$130,3,FALSE)))*C156/78,0)</f>
        <v>40614.570935607015</v>
      </c>
      <c r="U156" s="47">
        <f ca="1">HLOOKUP(B156,Heating!$C$102:$O$106,3,FALSE)*INDEX(Weather!$BO$1:$CB$20,MATCH(B156,Weather!$BO$1:$BO$20,0),MATCH(C156,Weather!$BO$1:$CB$1,0))/VLOOKUP(B156,Weather!$BO$2:$CB$20,14,FALSE)</f>
        <v>33595.798368231357</v>
      </c>
      <c r="V156" s="47">
        <f t="shared" ca="1" si="130"/>
        <v>1154285.1133935871</v>
      </c>
    </row>
    <row r="157" spans="1:22">
      <c r="A157" s="2">
        <f t="shared" si="120"/>
        <v>46752</v>
      </c>
      <c r="B157">
        <f t="shared" si="133"/>
        <v>2027</v>
      </c>
      <c r="C157">
        <f t="shared" si="134"/>
        <v>12</v>
      </c>
      <c r="E157" s="3">
        <f t="shared" ref="E157:F157" ca="1" si="183">E145</f>
        <v>577.92800724637686</v>
      </c>
      <c r="F157" s="3">
        <f t="shared" ca="1" si="183"/>
        <v>0</v>
      </c>
      <c r="G157" s="47">
        <f t="shared" si="169"/>
        <v>0</v>
      </c>
      <c r="H157" s="47">
        <f t="shared" si="137"/>
        <v>155</v>
      </c>
      <c r="I157" s="47">
        <f t="shared" si="138"/>
        <v>31</v>
      </c>
      <c r="J157">
        <v>0</v>
      </c>
      <c r="L157" s="3">
        <f t="shared" si="149"/>
        <v>-769716</v>
      </c>
      <c r="M157" s="3">
        <f t="shared" ca="1" si="150"/>
        <v>482049.40408739855</v>
      </c>
      <c r="N157" s="3">
        <f t="shared" ca="1" si="151"/>
        <v>0</v>
      </c>
      <c r="O157" s="3">
        <f t="shared" si="152"/>
        <v>0</v>
      </c>
      <c r="P157" s="3">
        <f t="shared" si="153"/>
        <v>413415.07</v>
      </c>
      <c r="Q157" s="3">
        <f t="shared" si="154"/>
        <v>1175534.26</v>
      </c>
      <c r="R157" s="3">
        <f t="shared" si="155"/>
        <v>0</v>
      </c>
      <c r="S157" s="47">
        <f t="shared" ca="1" si="139"/>
        <v>1301282.7340873985</v>
      </c>
      <c r="T157" s="47">
        <f>IFERROR(HLOOKUP(B157-1,'EV Forecast VRZ'!$F$124:$T$130,3,FALSE)/12,0)+IFERROR(((HLOOKUP(B157,'EV Forecast VRZ'!$F$116:$T$122,3,FALSE)-HLOOKUP(B157-1,'EV Forecast VRZ'!$F$124:$T$130,3,FALSE)))*C157/78,0)</f>
        <v>41239.817267468818</v>
      </c>
      <c r="U157" s="47">
        <f ca="1">HLOOKUP(B157,Heating!$C$102:$O$106,3,FALSE)*INDEX(Weather!$BO$1:$CB$20,MATCH(B157,Weather!$BO$1:$BO$20,0),MATCH(C157,Weather!$BO$1:$CB$1,0))/VLOOKUP(B157,Weather!$BO$2:$CB$20,14,FALSE)</f>
        <v>45510.059587121032</v>
      </c>
      <c r="V157" s="47">
        <f t="shared" ca="1" si="130"/>
        <v>1388032.6109419884</v>
      </c>
    </row>
    <row r="158" spans="1:22">
      <c r="A158" s="2">
        <f t="shared" si="120"/>
        <v>46783</v>
      </c>
      <c r="B158">
        <f t="shared" si="133"/>
        <v>2028</v>
      </c>
      <c r="C158">
        <f t="shared" si="134"/>
        <v>1</v>
      </c>
      <c r="E158" s="3">
        <f t="shared" ref="E158:F158" ca="1" si="184">E146</f>
        <v>697.33418478260876</v>
      </c>
      <c r="F158" s="3">
        <f t="shared" ca="1" si="184"/>
        <v>0</v>
      </c>
      <c r="G158" s="47">
        <f t="shared" si="169"/>
        <v>0</v>
      </c>
      <c r="H158" s="47">
        <f t="shared" si="137"/>
        <v>156</v>
      </c>
      <c r="I158" s="47">
        <f t="shared" si="138"/>
        <v>31</v>
      </c>
      <c r="J158">
        <v>0</v>
      </c>
      <c r="L158" s="3">
        <f t="shared" si="149"/>
        <v>-769716</v>
      </c>
      <c r="M158" s="3">
        <f t="shared" ca="1" si="150"/>
        <v>581646.02512666304</v>
      </c>
      <c r="N158" s="3">
        <f t="shared" ca="1" si="151"/>
        <v>0</v>
      </c>
      <c r="O158" s="3">
        <f t="shared" si="152"/>
        <v>0</v>
      </c>
      <c r="P158" s="3">
        <f t="shared" si="153"/>
        <v>416082.26399999997</v>
      </c>
      <c r="Q158" s="3">
        <f t="shared" si="154"/>
        <v>1175534.26</v>
      </c>
      <c r="R158" s="3">
        <f t="shared" si="155"/>
        <v>0</v>
      </c>
      <c r="S158" s="47">
        <f t="shared" ca="1" si="139"/>
        <v>1403546.549126663</v>
      </c>
      <c r="T158" s="47">
        <f>IFERROR(HLOOKUP(B158-1,'EV Forecast VRZ'!$F$124:$T$130,3,FALSE)/12,0)+IFERROR(((HLOOKUP(B158,'EV Forecast VRZ'!$F$116:$T$122,3,FALSE)-HLOOKUP(B158-1,'EV Forecast VRZ'!$F$124:$T$130,3,FALSE)))*C158/78,0)</f>
        <v>43024.492032548282</v>
      </c>
      <c r="U158" s="47">
        <f ca="1">HLOOKUP(B158,Heating!$C$102:$O$106,3,FALSE)*INDEX(Weather!$BO$1:$CB$20,MATCH(B158,Weather!$BO$1:$BO$20,0),MATCH(C158,Weather!$BO$1:$CB$1,0))/VLOOKUP(B158,Weather!$BO$2:$CB$20,14,FALSE)</f>
        <v>62850.354518436528</v>
      </c>
      <c r="V158" s="47">
        <f t="shared" ca="1" si="130"/>
        <v>1509421.3956776478</v>
      </c>
    </row>
    <row r="159" spans="1:22">
      <c r="A159" s="2">
        <f t="shared" si="120"/>
        <v>46812</v>
      </c>
      <c r="B159">
        <f t="shared" si="133"/>
        <v>2028</v>
      </c>
      <c r="C159">
        <f t="shared" si="134"/>
        <v>2</v>
      </c>
      <c r="E159" s="3">
        <f t="shared" ref="E159:F159" ca="1" si="185">E147</f>
        <v>624.25501811594188</v>
      </c>
      <c r="F159" s="3">
        <f t="shared" ca="1" si="185"/>
        <v>0</v>
      </c>
      <c r="G159" s="47">
        <f t="shared" ref="G159:G174" si="186">G147</f>
        <v>0</v>
      </c>
      <c r="H159" s="47">
        <f t="shared" si="137"/>
        <v>157</v>
      </c>
      <c r="I159" s="47">
        <f t="shared" si="138"/>
        <v>28</v>
      </c>
      <c r="J159">
        <v>0</v>
      </c>
      <c r="L159" s="3">
        <f t="shared" si="149"/>
        <v>-769716</v>
      </c>
      <c r="M159" s="3">
        <f t="shared" ca="1" si="150"/>
        <v>520690.73605749622</v>
      </c>
      <c r="N159" s="3">
        <f t="shared" ca="1" si="151"/>
        <v>0</v>
      </c>
      <c r="O159" s="3">
        <f t="shared" si="152"/>
        <v>0</v>
      </c>
      <c r="P159" s="3">
        <f t="shared" si="153"/>
        <v>418749.45799999998</v>
      </c>
      <c r="Q159" s="3">
        <f t="shared" si="154"/>
        <v>1061772.8799999999</v>
      </c>
      <c r="R159" s="3">
        <f t="shared" si="155"/>
        <v>0</v>
      </c>
      <c r="S159" s="47">
        <f t="shared" ca="1" si="139"/>
        <v>1231497.0740574962</v>
      </c>
      <c r="T159" s="47">
        <f>IFERROR(HLOOKUP(B159-1,'EV Forecast VRZ'!$F$124:$T$130,3,FALSE)/12,0)+IFERROR(((HLOOKUP(B159,'EV Forecast VRZ'!$F$116:$T$122,3,FALSE)-HLOOKUP(B159-1,'EV Forecast VRZ'!$F$124:$T$130,3,FALSE)))*C159/78,0)</f>
        <v>43628.698889332023</v>
      </c>
      <c r="U159" s="47">
        <f ca="1">HLOOKUP(B159,Heating!$C$102:$O$106,3,FALSE)*INDEX(Weather!$BO$1:$CB$20,MATCH(B159,Weather!$BO$1:$BO$20,0),MATCH(C159,Weather!$BO$1:$CB$1,0))/VLOOKUP(B159,Weather!$BO$2:$CB$20,14,FALSE)</f>
        <v>56263.768584256657</v>
      </c>
      <c r="V159" s="47">
        <f t="shared" ca="1" si="130"/>
        <v>1331389.541531085</v>
      </c>
    </row>
    <row r="160" spans="1:22">
      <c r="A160" s="2">
        <f t="shared" si="120"/>
        <v>46843</v>
      </c>
      <c r="B160">
        <f t="shared" si="133"/>
        <v>2028</v>
      </c>
      <c r="C160">
        <f t="shared" si="134"/>
        <v>3</v>
      </c>
      <c r="E160" s="3">
        <f t="shared" ref="E160:F160" ca="1" si="187">E148</f>
        <v>546.13298913043491</v>
      </c>
      <c r="F160" s="3">
        <f t="shared" ca="1" si="187"/>
        <v>0</v>
      </c>
      <c r="G160" s="47">
        <f t="shared" si="186"/>
        <v>1</v>
      </c>
      <c r="H160" s="47">
        <f t="shared" si="137"/>
        <v>158</v>
      </c>
      <c r="I160" s="47">
        <f t="shared" si="138"/>
        <v>31</v>
      </c>
      <c r="J160">
        <v>0</v>
      </c>
      <c r="L160" s="3">
        <f t="shared" si="149"/>
        <v>-769716</v>
      </c>
      <c r="M160" s="3">
        <f t="shared" ca="1" si="150"/>
        <v>455529.19855390227</v>
      </c>
      <c r="N160" s="3">
        <f t="shared" ca="1" si="151"/>
        <v>0</v>
      </c>
      <c r="O160" s="3">
        <f t="shared" si="152"/>
        <v>-56026.3</v>
      </c>
      <c r="P160" s="3">
        <f t="shared" si="153"/>
        <v>421416.652</v>
      </c>
      <c r="Q160" s="3">
        <f t="shared" si="154"/>
        <v>1175534.26</v>
      </c>
      <c r="R160" s="3">
        <f t="shared" si="155"/>
        <v>0</v>
      </c>
      <c r="S160" s="47">
        <f t="shared" ca="1" si="139"/>
        <v>1226737.8105539023</v>
      </c>
      <c r="T160" s="47">
        <f>IFERROR(HLOOKUP(B160-1,'EV Forecast VRZ'!$F$124:$T$130,3,FALSE)/12,0)+IFERROR(((HLOOKUP(B160,'EV Forecast VRZ'!$F$116:$T$122,3,FALSE)-HLOOKUP(B160-1,'EV Forecast VRZ'!$F$124:$T$130,3,FALSE)))*C160/78,0)</f>
        <v>44232.905746115772</v>
      </c>
      <c r="U160" s="47">
        <f ca="1">HLOOKUP(B160,Heating!$C$102:$O$106,3,FALSE)*INDEX(Weather!$BO$1:$CB$20,MATCH(B160,Weather!$BO$1:$BO$20,0),MATCH(C160,Weather!$BO$1:$CB$1,0))/VLOOKUP(B160,Weather!$BO$2:$CB$20,14,FALSE)</f>
        <v>49222.672185161638</v>
      </c>
      <c r="V160" s="47">
        <f t="shared" ca="1" si="130"/>
        <v>1320193.3884851797</v>
      </c>
    </row>
    <row r="161" spans="1:22">
      <c r="A161" s="2">
        <f t="shared" si="120"/>
        <v>46873</v>
      </c>
      <c r="B161">
        <f t="shared" si="133"/>
        <v>2028</v>
      </c>
      <c r="C161">
        <f t="shared" si="134"/>
        <v>4</v>
      </c>
      <c r="E161" s="3">
        <f t="shared" ref="E161:F161" ca="1" si="188">E149</f>
        <v>352.41399621212122</v>
      </c>
      <c r="F161" s="3">
        <f t="shared" ca="1" si="188"/>
        <v>2.1908333333333347</v>
      </c>
      <c r="G161" s="47">
        <f t="shared" si="186"/>
        <v>1</v>
      </c>
      <c r="H161" s="47">
        <f t="shared" si="137"/>
        <v>159</v>
      </c>
      <c r="I161" s="47">
        <f t="shared" si="138"/>
        <v>30</v>
      </c>
      <c r="J161">
        <v>0</v>
      </c>
      <c r="L161" s="3">
        <f t="shared" si="149"/>
        <v>-769716</v>
      </c>
      <c r="M161" s="3">
        <f t="shared" ca="1" si="150"/>
        <v>293948.30279213254</v>
      </c>
      <c r="N161" s="3">
        <f t="shared" ca="1" si="151"/>
        <v>4346.2868991666701</v>
      </c>
      <c r="O161" s="3">
        <f t="shared" si="152"/>
        <v>-56026.3</v>
      </c>
      <c r="P161" s="3">
        <f t="shared" si="153"/>
        <v>424083.84600000002</v>
      </c>
      <c r="Q161" s="3">
        <f t="shared" si="154"/>
        <v>1137613.8</v>
      </c>
      <c r="R161" s="3">
        <f t="shared" si="155"/>
        <v>0</v>
      </c>
      <c r="S161" s="47">
        <f t="shared" ca="1" si="139"/>
        <v>1034249.9356912993</v>
      </c>
      <c r="T161" s="47">
        <f>IFERROR(HLOOKUP(B161-1,'EV Forecast VRZ'!$F$124:$T$130,3,FALSE)/12,0)+IFERROR(((HLOOKUP(B161,'EV Forecast VRZ'!$F$116:$T$122,3,FALSE)-HLOOKUP(B161-1,'EV Forecast VRZ'!$F$124:$T$130,3,FALSE)))*C161/78,0)</f>
        <v>44837.112602899513</v>
      </c>
      <c r="U161" s="47">
        <f ca="1">HLOOKUP(B161,Heating!$C$102:$O$106,3,FALSE)*INDEX(Weather!$BO$1:$CB$20,MATCH(B161,Weather!$BO$1:$BO$20,0),MATCH(C161,Weather!$BO$1:$CB$1,0))/VLOOKUP(B161,Weather!$BO$2:$CB$20,14,FALSE)</f>
        <v>31762.883682657466</v>
      </c>
      <c r="V161" s="47">
        <f t="shared" ca="1" si="130"/>
        <v>1110849.9319768562</v>
      </c>
    </row>
    <row r="162" spans="1:22">
      <c r="A162" s="2">
        <f t="shared" si="120"/>
        <v>46904</v>
      </c>
      <c r="B162">
        <f t="shared" si="133"/>
        <v>2028</v>
      </c>
      <c r="C162">
        <f t="shared" si="134"/>
        <v>5</v>
      </c>
      <c r="E162" s="3">
        <f t="shared" ref="E162:F162" ca="1" si="189">E150</f>
        <v>150.136897859768</v>
      </c>
      <c r="F162" s="3">
        <f t="shared" ca="1" si="189"/>
        <v>52.487435064935063</v>
      </c>
      <c r="G162" s="47">
        <f t="shared" si="186"/>
        <v>1</v>
      </c>
      <c r="H162" s="47">
        <f t="shared" si="137"/>
        <v>160</v>
      </c>
      <c r="I162" s="47">
        <f t="shared" si="138"/>
        <v>31</v>
      </c>
      <c r="J162">
        <v>0</v>
      </c>
      <c r="L162" s="3">
        <f t="shared" si="149"/>
        <v>-769716</v>
      </c>
      <c r="M162" s="3">
        <f t="shared" ca="1" si="150"/>
        <v>125229.09642269376</v>
      </c>
      <c r="N162" s="3">
        <f t="shared" ca="1" si="151"/>
        <v>104127.25054100649</v>
      </c>
      <c r="O162" s="3">
        <f t="shared" si="152"/>
        <v>-56026.3</v>
      </c>
      <c r="P162" s="3">
        <f t="shared" si="153"/>
        <v>426751.04</v>
      </c>
      <c r="Q162" s="3">
        <f t="shared" si="154"/>
        <v>1175534.26</v>
      </c>
      <c r="R162" s="3">
        <f t="shared" si="155"/>
        <v>0</v>
      </c>
      <c r="S162" s="47">
        <f t="shared" ca="1" si="139"/>
        <v>1005899.3469637001</v>
      </c>
      <c r="T162" s="47">
        <f>IFERROR(HLOOKUP(B162-1,'EV Forecast VRZ'!$F$124:$T$130,3,FALSE)/12,0)+IFERROR(((HLOOKUP(B162,'EV Forecast VRZ'!$F$116:$T$122,3,FALSE)-HLOOKUP(B162-1,'EV Forecast VRZ'!$F$124:$T$130,3,FALSE)))*C162/78,0)</f>
        <v>45441.319459683262</v>
      </c>
      <c r="U162" s="47">
        <f ca="1">HLOOKUP(B162,Heating!$C$102:$O$106,3,FALSE)*INDEX(Weather!$BO$1:$CB$20,MATCH(B162,Weather!$BO$1:$BO$20,0),MATCH(C162,Weather!$BO$1:$CB$1,0))/VLOOKUP(B162,Weather!$BO$2:$CB$20,14,FALSE)</f>
        <v>13531.757746433153</v>
      </c>
      <c r="V162" s="47">
        <f t="shared" ca="1" si="130"/>
        <v>1064872.4241698165</v>
      </c>
    </row>
    <row r="163" spans="1:22">
      <c r="A163" s="2">
        <f t="shared" si="120"/>
        <v>46934</v>
      </c>
      <c r="B163">
        <f t="shared" si="133"/>
        <v>2028</v>
      </c>
      <c r="C163">
        <f t="shared" si="134"/>
        <v>6</v>
      </c>
      <c r="E163" s="3">
        <f t="shared" ref="E163:F163" ca="1" si="190">E151</f>
        <v>32.520923826173821</v>
      </c>
      <c r="F163" s="3">
        <f t="shared" ca="1" si="190"/>
        <v>137.65451754405018</v>
      </c>
      <c r="G163" s="47">
        <f t="shared" si="186"/>
        <v>0</v>
      </c>
      <c r="H163" s="47">
        <f t="shared" si="137"/>
        <v>161</v>
      </c>
      <c r="I163" s="47">
        <f t="shared" si="138"/>
        <v>30</v>
      </c>
      <c r="J163">
        <v>0</v>
      </c>
      <c r="L163" s="3">
        <f t="shared" si="149"/>
        <v>-769716</v>
      </c>
      <c r="M163" s="3">
        <f t="shared" ca="1" si="150"/>
        <v>27125.683050857286</v>
      </c>
      <c r="N163" s="3">
        <f t="shared" ca="1" si="151"/>
        <v>273086.05228428153</v>
      </c>
      <c r="O163" s="3">
        <f t="shared" si="152"/>
        <v>0</v>
      </c>
      <c r="P163" s="3">
        <f t="shared" si="153"/>
        <v>429418.234</v>
      </c>
      <c r="Q163" s="3">
        <f t="shared" si="154"/>
        <v>1137613.8</v>
      </c>
      <c r="R163" s="3">
        <f t="shared" si="155"/>
        <v>0</v>
      </c>
      <c r="S163" s="47">
        <f t="shared" ca="1" si="139"/>
        <v>1097527.7693351388</v>
      </c>
      <c r="T163" s="47">
        <f>IFERROR(HLOOKUP(B163-1,'EV Forecast VRZ'!$F$124:$T$130,3,FALSE)/12,0)+IFERROR(((HLOOKUP(B163,'EV Forecast VRZ'!$F$116:$T$122,3,FALSE)-HLOOKUP(B163-1,'EV Forecast VRZ'!$F$124:$T$130,3,FALSE)))*C163/78,0)</f>
        <v>46045.526316467003</v>
      </c>
      <c r="U163" s="47">
        <f ca="1">HLOOKUP(B163,Heating!$C$102:$O$106,3,FALSE)*INDEX(Weather!$BO$1:$CB$20,MATCH(B163,Weather!$BO$1:$BO$20,0),MATCH(C163,Weather!$BO$1:$CB$1,0))/VLOOKUP(B163,Weather!$BO$2:$CB$20,14,FALSE)</f>
        <v>2931.0933499973016</v>
      </c>
      <c r="V163" s="47">
        <f t="shared" ca="1" si="130"/>
        <v>1146504.389001603</v>
      </c>
    </row>
    <row r="164" spans="1:22">
      <c r="A164" s="2">
        <f t="shared" si="120"/>
        <v>46965</v>
      </c>
      <c r="B164">
        <f t="shared" si="133"/>
        <v>2028</v>
      </c>
      <c r="C164">
        <f t="shared" si="134"/>
        <v>7</v>
      </c>
      <c r="E164" s="3">
        <f t="shared" ref="E164:F164" ca="1" si="191">E152</f>
        <v>1.6179166666666653</v>
      </c>
      <c r="F164" s="3">
        <f t="shared" ca="1" si="191"/>
        <v>235.94737858727848</v>
      </c>
      <c r="G164" s="47">
        <f t="shared" si="186"/>
        <v>0</v>
      </c>
      <c r="H164" s="47">
        <f t="shared" si="137"/>
        <v>162</v>
      </c>
      <c r="I164" s="47">
        <f t="shared" si="138"/>
        <v>31</v>
      </c>
      <c r="J164">
        <v>0</v>
      </c>
      <c r="L164" s="3">
        <f t="shared" si="149"/>
        <v>-769716</v>
      </c>
      <c r="M164" s="3">
        <f t="shared" ca="1" si="150"/>
        <v>1349.5033209166654</v>
      </c>
      <c r="N164" s="3">
        <f t="shared" ca="1" si="151"/>
        <v>468084.44295775105</v>
      </c>
      <c r="O164" s="3">
        <f t="shared" si="152"/>
        <v>0</v>
      </c>
      <c r="P164" s="3">
        <f t="shared" si="153"/>
        <v>432085.42800000001</v>
      </c>
      <c r="Q164" s="3">
        <f t="shared" si="154"/>
        <v>1175534.26</v>
      </c>
      <c r="R164" s="3">
        <f t="shared" si="155"/>
        <v>0</v>
      </c>
      <c r="S164" s="47">
        <f t="shared" ca="1" si="139"/>
        <v>1307337.6342786676</v>
      </c>
      <c r="T164" s="47">
        <f>IFERROR(HLOOKUP(B164-1,'EV Forecast VRZ'!$F$124:$T$130,3,FALSE)/12,0)+IFERROR(((HLOOKUP(B164,'EV Forecast VRZ'!$F$116:$T$122,3,FALSE)-HLOOKUP(B164-1,'EV Forecast VRZ'!$F$124:$T$130,3,FALSE)))*C164/78,0)</f>
        <v>46649.733173250752</v>
      </c>
      <c r="U164" s="47">
        <f ca="1">HLOOKUP(B164,Heating!$C$102:$O$106,3,FALSE)*INDEX(Weather!$BO$1:$CB$20,MATCH(B164,Weather!$BO$1:$BO$20,0),MATCH(C164,Weather!$BO$1:$CB$1,0))/VLOOKUP(B164,Weather!$BO$2:$CB$20,14,FALSE)</f>
        <v>145.82195782211286</v>
      </c>
      <c r="V164" s="47">
        <f t="shared" ca="1" si="130"/>
        <v>1354133.1894097405</v>
      </c>
    </row>
    <row r="165" spans="1:22">
      <c r="A165" s="2">
        <f t="shared" si="120"/>
        <v>46996</v>
      </c>
      <c r="B165">
        <f t="shared" si="133"/>
        <v>2028</v>
      </c>
      <c r="C165">
        <f t="shared" si="134"/>
        <v>8</v>
      </c>
      <c r="E165" s="3">
        <f t="shared" ref="E165:F165" ca="1" si="192">E153</f>
        <v>5.6499999999999977</v>
      </c>
      <c r="F165" s="3">
        <f t="shared" ca="1" si="192"/>
        <v>210.96558794466404</v>
      </c>
      <c r="G165" s="47">
        <f t="shared" si="186"/>
        <v>0</v>
      </c>
      <c r="H165" s="47">
        <f t="shared" si="137"/>
        <v>163</v>
      </c>
      <c r="I165" s="47">
        <f t="shared" si="138"/>
        <v>31</v>
      </c>
      <c r="J165">
        <v>0</v>
      </c>
      <c r="L165" s="3">
        <f t="shared" si="149"/>
        <v>-769716</v>
      </c>
      <c r="M165" s="3">
        <f t="shared" ca="1" si="150"/>
        <v>4712.6616099999974</v>
      </c>
      <c r="N165" s="3">
        <f t="shared" ca="1" si="151"/>
        <v>418524.29260960972</v>
      </c>
      <c r="O165" s="3">
        <f t="shared" si="152"/>
        <v>0</v>
      </c>
      <c r="P165" s="3">
        <f t="shared" si="153"/>
        <v>434752.62199999997</v>
      </c>
      <c r="Q165" s="3">
        <f t="shared" si="154"/>
        <v>1175534.26</v>
      </c>
      <c r="R165" s="3">
        <f t="shared" si="155"/>
        <v>0</v>
      </c>
      <c r="S165" s="47">
        <f t="shared" ca="1" si="139"/>
        <v>1263807.8362196097</v>
      </c>
      <c r="T165" s="47">
        <f>IFERROR(HLOOKUP(B165-1,'EV Forecast VRZ'!$F$124:$T$130,3,FALSE)/12,0)+IFERROR(((HLOOKUP(B165,'EV Forecast VRZ'!$F$116:$T$122,3,FALSE)-HLOOKUP(B165-1,'EV Forecast VRZ'!$F$124:$T$130,3,FALSE)))*C165/78,0)</f>
        <v>47253.940030034493</v>
      </c>
      <c r="U165" s="47">
        <f ca="1">HLOOKUP(B165,Heating!$C$102:$O$106,3,FALSE)*INDEX(Weather!$BO$1:$CB$20,MATCH(B165,Weather!$BO$1:$BO$20,0),MATCH(C165,Weather!$BO$1:$CB$1,0))/VLOOKUP(B165,Weather!$BO$2:$CB$20,14,FALSE)</f>
        <v>509.23145713825681</v>
      </c>
      <c r="V165" s="47">
        <f t="shared" ca="1" si="130"/>
        <v>1311571.0077067823</v>
      </c>
    </row>
    <row r="166" spans="1:22">
      <c r="A166" s="2">
        <f t="shared" si="120"/>
        <v>47026</v>
      </c>
      <c r="B166">
        <f t="shared" si="133"/>
        <v>2028</v>
      </c>
      <c r="C166">
        <f t="shared" si="134"/>
        <v>9</v>
      </c>
      <c r="E166" s="3">
        <f t="shared" ref="E166:F166" ca="1" si="193">E154</f>
        <v>54.959440993788824</v>
      </c>
      <c r="F166" s="3">
        <f t="shared" ca="1" si="193"/>
        <v>106.4160119047619</v>
      </c>
      <c r="G166" s="47">
        <f t="shared" si="186"/>
        <v>1</v>
      </c>
      <c r="H166" s="47">
        <f t="shared" si="137"/>
        <v>164</v>
      </c>
      <c r="I166" s="47">
        <f t="shared" si="138"/>
        <v>30</v>
      </c>
      <c r="J166">
        <v>0</v>
      </c>
      <c r="L166" s="3">
        <f t="shared" si="149"/>
        <v>-769716</v>
      </c>
      <c r="M166" s="3">
        <f t="shared" ca="1" si="150"/>
        <v>45841.636757254659</v>
      </c>
      <c r="N166" s="3">
        <f t="shared" ca="1" si="151"/>
        <v>211113.51163327383</v>
      </c>
      <c r="O166" s="3">
        <f t="shared" si="152"/>
        <v>-56026.3</v>
      </c>
      <c r="P166" s="3">
        <f t="shared" si="153"/>
        <v>437419.81599999999</v>
      </c>
      <c r="Q166" s="3">
        <f t="shared" si="154"/>
        <v>1137613.8</v>
      </c>
      <c r="R166" s="3">
        <f t="shared" si="155"/>
        <v>0</v>
      </c>
      <c r="S166" s="47">
        <f t="shared" ca="1" si="139"/>
        <v>1006246.4643905284</v>
      </c>
      <c r="T166" s="47">
        <f>IFERROR(HLOOKUP(B166-1,'EV Forecast VRZ'!$F$124:$T$130,3,FALSE)/12,0)+IFERROR(((HLOOKUP(B166,'EV Forecast VRZ'!$F$116:$T$122,3,FALSE)-HLOOKUP(B166-1,'EV Forecast VRZ'!$F$124:$T$130,3,FALSE)))*C166/78,0)</f>
        <v>47858.146886818242</v>
      </c>
      <c r="U166" s="47">
        <f ca="1">HLOOKUP(B166,Heating!$C$102:$O$106,3,FALSE)*INDEX(Weather!$BO$1:$CB$20,MATCH(B166,Weather!$BO$1:$BO$20,0),MATCH(C166,Weather!$BO$1:$CB$1,0))/VLOOKUP(B166,Weather!$BO$2:$CB$20,14,FALSE)</f>
        <v>4953.4648178356001</v>
      </c>
      <c r="V166" s="47">
        <f t="shared" ca="1" si="130"/>
        <v>1059058.0760951824</v>
      </c>
    </row>
    <row r="167" spans="1:22">
      <c r="A167" s="2">
        <f t="shared" si="120"/>
        <v>47057</v>
      </c>
      <c r="B167">
        <f t="shared" si="133"/>
        <v>2028</v>
      </c>
      <c r="C167">
        <f t="shared" si="134"/>
        <v>10</v>
      </c>
      <c r="E167" s="3">
        <f t="shared" ref="E167:F167" ca="1" si="194">E155</f>
        <v>237.89681159420289</v>
      </c>
      <c r="F167" s="3">
        <f t="shared" ca="1" si="194"/>
        <v>17.987083333333334</v>
      </c>
      <c r="G167" s="47">
        <f t="shared" si="186"/>
        <v>1</v>
      </c>
      <c r="H167" s="47">
        <f t="shared" si="137"/>
        <v>165</v>
      </c>
      <c r="I167" s="47">
        <f t="shared" si="138"/>
        <v>31</v>
      </c>
      <c r="J167">
        <v>0</v>
      </c>
      <c r="L167" s="3">
        <f t="shared" si="149"/>
        <v>-769716</v>
      </c>
      <c r="M167" s="3">
        <f t="shared" ca="1" si="150"/>
        <v>198429.58781263765</v>
      </c>
      <c r="N167" s="3">
        <f t="shared" ca="1" si="151"/>
        <v>35683.693257916668</v>
      </c>
      <c r="O167" s="3">
        <f t="shared" si="152"/>
        <v>-56026.3</v>
      </c>
      <c r="P167" s="3">
        <f t="shared" si="153"/>
        <v>440087.01</v>
      </c>
      <c r="Q167" s="3">
        <f t="shared" si="154"/>
        <v>1175534.26</v>
      </c>
      <c r="R167" s="3">
        <f t="shared" si="155"/>
        <v>0</v>
      </c>
      <c r="S167" s="47">
        <f t="shared" ca="1" si="139"/>
        <v>1023992.2510705544</v>
      </c>
      <c r="T167" s="47">
        <f>IFERROR(HLOOKUP(B167-1,'EV Forecast VRZ'!$F$124:$T$130,3,FALSE)/12,0)+IFERROR(((HLOOKUP(B167,'EV Forecast VRZ'!$F$116:$T$122,3,FALSE)-HLOOKUP(B167-1,'EV Forecast VRZ'!$F$124:$T$130,3,FALSE)))*C167/78,0)</f>
        <v>48462.353743601983</v>
      </c>
      <c r="U167" s="47">
        <f ca="1">HLOOKUP(B167,Heating!$C$102:$O$106,3,FALSE)*INDEX(Weather!$BO$1:$CB$20,MATCH(B167,Weather!$BO$1:$BO$20,0),MATCH(C167,Weather!$BO$1:$CB$1,0))/VLOOKUP(B167,Weather!$BO$2:$CB$20,14,FALSE)</f>
        <v>21441.511507373685</v>
      </c>
      <c r="V167" s="47">
        <f t="shared" ca="1" si="130"/>
        <v>1093896.1163215302</v>
      </c>
    </row>
    <row r="168" spans="1:22">
      <c r="A168" s="2">
        <f t="shared" si="120"/>
        <v>47087</v>
      </c>
      <c r="B168">
        <f t="shared" si="133"/>
        <v>2028</v>
      </c>
      <c r="C168">
        <f t="shared" si="134"/>
        <v>11</v>
      </c>
      <c r="E168" s="3">
        <f t="shared" ref="E168:F168" ca="1" si="195">E156</f>
        <v>426.62991389045737</v>
      </c>
      <c r="F168" s="3">
        <f t="shared" ca="1" si="195"/>
        <v>0.8083333333333329</v>
      </c>
      <c r="G168" s="47">
        <f t="shared" si="186"/>
        <v>1</v>
      </c>
      <c r="H168" s="47">
        <f t="shared" si="137"/>
        <v>166</v>
      </c>
      <c r="I168" s="47">
        <f t="shared" si="138"/>
        <v>30</v>
      </c>
      <c r="J168">
        <v>0</v>
      </c>
      <c r="L168" s="3">
        <f t="shared" si="149"/>
        <v>-769716</v>
      </c>
      <c r="M168" s="3">
        <f t="shared" ca="1" si="150"/>
        <v>355851.75519808213</v>
      </c>
      <c r="N168" s="3">
        <f t="shared" ca="1" si="151"/>
        <v>1603.612891666666</v>
      </c>
      <c r="O168" s="3">
        <f t="shared" si="152"/>
        <v>-56026.3</v>
      </c>
      <c r="P168" s="3">
        <f t="shared" si="153"/>
        <v>442754.20399999997</v>
      </c>
      <c r="Q168" s="3">
        <f t="shared" si="154"/>
        <v>1137613.8</v>
      </c>
      <c r="R168" s="3">
        <f t="shared" si="155"/>
        <v>0</v>
      </c>
      <c r="S168" s="47">
        <f t="shared" ca="1" si="139"/>
        <v>1112081.0720897489</v>
      </c>
      <c r="T168" s="47">
        <f>IFERROR(HLOOKUP(B168-1,'EV Forecast VRZ'!$F$124:$T$130,3,FALSE)/12,0)+IFERROR(((HLOOKUP(B168,'EV Forecast VRZ'!$F$116:$T$122,3,FALSE)-HLOOKUP(B168-1,'EV Forecast VRZ'!$F$124:$T$130,3,FALSE)))*C168/78,0)</f>
        <v>49066.560600385732</v>
      </c>
      <c r="U168" s="47">
        <f ca="1">HLOOKUP(B168,Heating!$C$102:$O$106,3,FALSE)*INDEX(Weather!$BO$1:$CB$20,MATCH(B168,Weather!$BO$1:$BO$20,0),MATCH(C168,Weather!$BO$1:$CB$1,0))/VLOOKUP(B168,Weather!$BO$2:$CB$20,14,FALSE)</f>
        <v>38451.924373310925</v>
      </c>
      <c r="V168" s="47">
        <f t="shared" ca="1" si="130"/>
        <v>1199599.5570634457</v>
      </c>
    </row>
    <row r="169" spans="1:22">
      <c r="A169" s="2">
        <f t="shared" si="120"/>
        <v>47118</v>
      </c>
      <c r="B169">
        <f t="shared" si="133"/>
        <v>2028</v>
      </c>
      <c r="C169">
        <f t="shared" si="134"/>
        <v>12</v>
      </c>
      <c r="E169" s="3">
        <f t="shared" ref="E169:F169" ca="1" si="196">E157</f>
        <v>577.92800724637686</v>
      </c>
      <c r="F169" s="3">
        <f t="shared" ca="1" si="196"/>
        <v>0</v>
      </c>
      <c r="G169" s="47">
        <f t="shared" si="186"/>
        <v>0</v>
      </c>
      <c r="H169" s="47">
        <f t="shared" si="137"/>
        <v>167</v>
      </c>
      <c r="I169" s="47">
        <f t="shared" si="138"/>
        <v>31</v>
      </c>
      <c r="J169">
        <v>0</v>
      </c>
      <c r="L169" s="3">
        <f t="shared" si="149"/>
        <v>-769716</v>
      </c>
      <c r="M169" s="3">
        <f t="shared" ca="1" si="150"/>
        <v>482049.40408739855</v>
      </c>
      <c r="N169" s="3">
        <f t="shared" ca="1" si="151"/>
        <v>0</v>
      </c>
      <c r="O169" s="3">
        <f t="shared" si="152"/>
        <v>0</v>
      </c>
      <c r="P169" s="3">
        <f t="shared" si="153"/>
        <v>445421.39799999999</v>
      </c>
      <c r="Q169" s="3">
        <f t="shared" si="154"/>
        <v>1175534.26</v>
      </c>
      <c r="R169" s="3">
        <f t="shared" si="155"/>
        <v>0</v>
      </c>
      <c r="S169" s="47">
        <f t="shared" ca="1" si="139"/>
        <v>1333289.0620873985</v>
      </c>
      <c r="T169" s="47">
        <f>IFERROR(HLOOKUP(B169-1,'EV Forecast VRZ'!$F$124:$T$130,3,FALSE)/12,0)+IFERROR(((HLOOKUP(B169,'EV Forecast VRZ'!$F$116:$T$122,3,FALSE)-HLOOKUP(B169-1,'EV Forecast VRZ'!$F$124:$T$130,3,FALSE)))*C169/78,0)</f>
        <v>49670.767457169473</v>
      </c>
      <c r="U169" s="47">
        <f ca="1">HLOOKUP(B169,Heating!$C$102:$O$106,3,FALSE)*INDEX(Weather!$BO$1:$CB$20,MATCH(B169,Weather!$BO$1:$BO$20,0),MATCH(C169,Weather!$BO$1:$CB$1,0))/VLOOKUP(B169,Weather!$BO$2:$CB$20,14,FALSE)</f>
        <v>52088.340044439225</v>
      </c>
      <c r="V169" s="47">
        <f t="shared" ca="1" si="130"/>
        <v>1435048.1695890073</v>
      </c>
    </row>
    <row r="170" spans="1:22">
      <c r="A170" s="2">
        <f t="shared" si="120"/>
        <v>47149</v>
      </c>
      <c r="B170">
        <f t="shared" si="133"/>
        <v>2029</v>
      </c>
      <c r="C170">
        <f t="shared" si="134"/>
        <v>1</v>
      </c>
      <c r="E170" s="3">
        <f t="shared" ref="E170:F170" ca="1" si="197">E158</f>
        <v>697.33418478260876</v>
      </c>
      <c r="F170" s="3">
        <f t="shared" ca="1" si="197"/>
        <v>0</v>
      </c>
      <c r="G170" s="47">
        <f t="shared" si="186"/>
        <v>0</v>
      </c>
      <c r="H170" s="47">
        <f t="shared" si="137"/>
        <v>168</v>
      </c>
      <c r="I170" s="47">
        <f t="shared" si="138"/>
        <v>31</v>
      </c>
      <c r="J170">
        <v>0</v>
      </c>
      <c r="L170" s="3">
        <f t="shared" si="149"/>
        <v>-769716</v>
      </c>
      <c r="M170" s="3">
        <f t="shared" ca="1" si="150"/>
        <v>581646.02512666304</v>
      </c>
      <c r="N170" s="3">
        <f t="shared" ca="1" si="151"/>
        <v>0</v>
      </c>
      <c r="O170" s="3">
        <f t="shared" si="152"/>
        <v>0</v>
      </c>
      <c r="P170" s="3">
        <f t="shared" si="153"/>
        <v>448088.592</v>
      </c>
      <c r="Q170" s="3">
        <f t="shared" si="154"/>
        <v>1175534.26</v>
      </c>
      <c r="R170" s="3">
        <f t="shared" si="155"/>
        <v>0</v>
      </c>
      <c r="S170" s="47">
        <f t="shared" ca="1" si="139"/>
        <v>1435552.877126663</v>
      </c>
      <c r="T170" s="47">
        <f>IFERROR(HLOOKUP(B170-1,'EV Forecast VRZ'!$F$124:$T$130,3,FALSE)/12,0)+IFERROR(((HLOOKUP(B170,'EV Forecast VRZ'!$F$116:$T$122,3,FALSE)-HLOOKUP(B170-1,'EV Forecast VRZ'!$F$124:$T$130,3,FALSE)))*C170/78,0)</f>
        <v>52484.339838211847</v>
      </c>
      <c r="U170" s="47">
        <f ca="1">HLOOKUP(B170,Heating!$C$102:$O$106,3,FALSE)*INDEX(Weather!$BO$1:$CB$20,MATCH(B170,Weather!$BO$1:$BO$20,0),MATCH(C170,Weather!$BO$1:$CB$1,0))/VLOOKUP(B170,Weather!$BO$2:$CB$20,14,FALSE)</f>
        <v>71077.024604683174</v>
      </c>
      <c r="V170" s="47">
        <f t="shared" ca="1" si="130"/>
        <v>1559114.2415695582</v>
      </c>
    </row>
    <row r="171" spans="1:22">
      <c r="A171" s="2">
        <f t="shared" si="120"/>
        <v>47177</v>
      </c>
      <c r="B171">
        <f t="shared" si="133"/>
        <v>2029</v>
      </c>
      <c r="C171">
        <f t="shared" si="134"/>
        <v>2</v>
      </c>
      <c r="E171" s="3">
        <f t="shared" ref="E171:F171" ca="1" si="198">E159</f>
        <v>624.25501811594188</v>
      </c>
      <c r="F171" s="3">
        <f t="shared" ca="1" si="198"/>
        <v>0</v>
      </c>
      <c r="G171" s="47">
        <f t="shared" si="186"/>
        <v>0</v>
      </c>
      <c r="H171" s="47">
        <f t="shared" si="137"/>
        <v>169</v>
      </c>
      <c r="I171" s="47">
        <f t="shared" si="138"/>
        <v>28</v>
      </c>
      <c r="J171">
        <v>0</v>
      </c>
      <c r="L171" s="3">
        <f t="shared" si="149"/>
        <v>-769716</v>
      </c>
      <c r="M171" s="3">
        <f t="shared" ca="1" si="150"/>
        <v>520690.73605749622</v>
      </c>
      <c r="N171" s="3">
        <f t="shared" ca="1" si="151"/>
        <v>0</v>
      </c>
      <c r="O171" s="3">
        <f t="shared" si="152"/>
        <v>0</v>
      </c>
      <c r="P171" s="3">
        <f t="shared" si="153"/>
        <v>450755.78600000002</v>
      </c>
      <c r="Q171" s="3">
        <f t="shared" si="154"/>
        <v>1061772.8799999999</v>
      </c>
      <c r="R171" s="3">
        <f t="shared" si="155"/>
        <v>0</v>
      </c>
      <c r="S171" s="47">
        <f t="shared" ca="1" si="139"/>
        <v>1263503.4020574961</v>
      </c>
      <c r="T171" s="47">
        <f>IFERROR(HLOOKUP(B171-1,'EV Forecast VRZ'!$F$124:$T$130,3,FALSE)/12,0)+IFERROR(((HLOOKUP(B171,'EV Forecast VRZ'!$F$116:$T$122,3,FALSE)-HLOOKUP(B171-1,'EV Forecast VRZ'!$F$124:$T$130,3,FALSE)))*C171/78,0)</f>
        <v>53302.006908743024</v>
      </c>
      <c r="U171" s="47">
        <f ca="1">HLOOKUP(B171,Heating!$C$102:$O$106,3,FALSE)*INDEX(Weather!$BO$1:$CB$20,MATCH(B171,Weather!$BO$1:$BO$20,0),MATCH(C171,Weather!$BO$1:$CB$1,0))/VLOOKUP(B171,Weather!$BO$2:$CB$20,14,FALSE)</f>
        <v>63628.300821156467</v>
      </c>
      <c r="V171" s="47">
        <f t="shared" ca="1" si="130"/>
        <v>1380433.7097873955</v>
      </c>
    </row>
    <row r="172" spans="1:22">
      <c r="A172" s="2">
        <f t="shared" si="120"/>
        <v>47208</v>
      </c>
      <c r="B172">
        <f t="shared" si="133"/>
        <v>2029</v>
      </c>
      <c r="C172">
        <f t="shared" si="134"/>
        <v>3</v>
      </c>
      <c r="E172" s="3">
        <f t="shared" ref="E172:F172" ca="1" si="199">E160</f>
        <v>546.13298913043491</v>
      </c>
      <c r="F172" s="3">
        <f t="shared" ca="1" si="199"/>
        <v>0</v>
      </c>
      <c r="G172" s="47">
        <f t="shared" si="186"/>
        <v>1</v>
      </c>
      <c r="H172" s="47">
        <f t="shared" si="137"/>
        <v>170</v>
      </c>
      <c r="I172" s="47">
        <f t="shared" si="138"/>
        <v>31</v>
      </c>
      <c r="J172">
        <v>0</v>
      </c>
      <c r="L172" s="3">
        <f t="shared" si="149"/>
        <v>-769716</v>
      </c>
      <c r="M172" s="3">
        <f t="shared" ca="1" si="150"/>
        <v>455529.19855390227</v>
      </c>
      <c r="N172" s="3">
        <f t="shared" ca="1" si="151"/>
        <v>0</v>
      </c>
      <c r="O172" s="3">
        <f t="shared" si="152"/>
        <v>-56026.3</v>
      </c>
      <c r="P172" s="3">
        <f t="shared" si="153"/>
        <v>453422.98</v>
      </c>
      <c r="Q172" s="3">
        <f t="shared" si="154"/>
        <v>1175534.26</v>
      </c>
      <c r="R172" s="3">
        <f t="shared" si="155"/>
        <v>0</v>
      </c>
      <c r="S172" s="47">
        <f t="shared" ca="1" si="139"/>
        <v>1258744.1385539023</v>
      </c>
      <c r="T172" s="47">
        <f>IFERROR(HLOOKUP(B172-1,'EV Forecast VRZ'!$F$124:$T$130,3,FALSE)/12,0)+IFERROR(((HLOOKUP(B172,'EV Forecast VRZ'!$F$116:$T$122,3,FALSE)-HLOOKUP(B172-1,'EV Forecast VRZ'!$F$124:$T$130,3,FALSE)))*C172/78,0)</f>
        <v>54119.673979274194</v>
      </c>
      <c r="U172" s="47">
        <f ca="1">HLOOKUP(B172,Heating!$C$102:$O$106,3,FALSE)*INDEX(Weather!$BO$1:$CB$20,MATCH(B172,Weather!$BO$1:$BO$20,0),MATCH(C172,Weather!$BO$1:$CB$1,0))/VLOOKUP(B172,Weather!$BO$2:$CB$20,14,FALSE)</f>
        <v>55665.574344321431</v>
      </c>
      <c r="V172" s="47">
        <f t="shared" ca="1" si="130"/>
        <v>1368529.3868774979</v>
      </c>
    </row>
    <row r="173" spans="1:22">
      <c r="A173" s="2">
        <f t="shared" si="120"/>
        <v>47238</v>
      </c>
      <c r="B173">
        <f t="shared" si="133"/>
        <v>2029</v>
      </c>
      <c r="C173">
        <f t="shared" si="134"/>
        <v>4</v>
      </c>
      <c r="E173" s="3">
        <f t="shared" ref="E173:F173" ca="1" si="200">E161</f>
        <v>352.41399621212122</v>
      </c>
      <c r="F173" s="3">
        <f t="shared" ca="1" si="200"/>
        <v>2.1908333333333347</v>
      </c>
      <c r="G173" s="47">
        <f t="shared" si="186"/>
        <v>1</v>
      </c>
      <c r="H173" s="47">
        <f t="shared" si="137"/>
        <v>171</v>
      </c>
      <c r="I173" s="47">
        <f t="shared" si="138"/>
        <v>30</v>
      </c>
      <c r="J173">
        <v>0</v>
      </c>
      <c r="L173" s="3">
        <f t="shared" si="149"/>
        <v>-769716</v>
      </c>
      <c r="M173" s="3">
        <f t="shared" ca="1" si="150"/>
        <v>293948.30279213254</v>
      </c>
      <c r="N173" s="3">
        <f t="shared" ca="1" si="151"/>
        <v>4346.2868991666701</v>
      </c>
      <c r="O173" s="3">
        <f t="shared" si="152"/>
        <v>-56026.3</v>
      </c>
      <c r="P173" s="3">
        <f t="shared" si="153"/>
        <v>456090.174</v>
      </c>
      <c r="Q173" s="3">
        <f t="shared" si="154"/>
        <v>1137613.8</v>
      </c>
      <c r="R173" s="3">
        <f t="shared" si="155"/>
        <v>0</v>
      </c>
      <c r="S173" s="47">
        <f t="shared" ca="1" si="139"/>
        <v>1066256.2636912991</v>
      </c>
      <c r="T173" s="47">
        <f>IFERROR(HLOOKUP(B173-1,'EV Forecast VRZ'!$F$124:$T$130,3,FALSE)/12,0)+IFERROR(((HLOOKUP(B173,'EV Forecast VRZ'!$F$116:$T$122,3,FALSE)-HLOOKUP(B173-1,'EV Forecast VRZ'!$F$124:$T$130,3,FALSE)))*C173/78,0)</f>
        <v>54937.341049805371</v>
      </c>
      <c r="U173" s="47">
        <f ca="1">HLOOKUP(B173,Heating!$C$102:$O$106,3,FALSE)*INDEX(Weather!$BO$1:$CB$20,MATCH(B173,Weather!$BO$1:$BO$20,0),MATCH(C173,Weather!$BO$1:$CB$1,0))/VLOOKUP(B173,Weather!$BO$2:$CB$20,14,FALSE)</f>
        <v>35920.422125314923</v>
      </c>
      <c r="V173" s="47">
        <f t="shared" ca="1" si="130"/>
        <v>1157114.0268664192</v>
      </c>
    </row>
    <row r="174" spans="1:22">
      <c r="A174" s="2">
        <f t="shared" si="120"/>
        <v>47269</v>
      </c>
      <c r="B174">
        <f t="shared" si="133"/>
        <v>2029</v>
      </c>
      <c r="C174">
        <f t="shared" si="134"/>
        <v>5</v>
      </c>
      <c r="E174" s="3">
        <f t="shared" ref="E174:F174" ca="1" si="201">E162</f>
        <v>150.136897859768</v>
      </c>
      <c r="F174" s="3">
        <f t="shared" ca="1" si="201"/>
        <v>52.487435064935063</v>
      </c>
      <c r="G174" s="47">
        <f t="shared" si="186"/>
        <v>1</v>
      </c>
      <c r="H174" s="47">
        <f t="shared" si="137"/>
        <v>172</v>
      </c>
      <c r="I174" s="47">
        <f t="shared" si="138"/>
        <v>31</v>
      </c>
      <c r="J174">
        <v>0</v>
      </c>
      <c r="L174" s="3">
        <f t="shared" si="149"/>
        <v>-769716</v>
      </c>
      <c r="M174" s="3">
        <f t="shared" ca="1" si="150"/>
        <v>125229.09642269376</v>
      </c>
      <c r="N174" s="3">
        <f t="shared" ca="1" si="151"/>
        <v>104127.25054100649</v>
      </c>
      <c r="O174" s="3">
        <f t="shared" si="152"/>
        <v>-56026.3</v>
      </c>
      <c r="P174" s="3">
        <f t="shared" si="153"/>
        <v>458757.36800000002</v>
      </c>
      <c r="Q174" s="3">
        <f t="shared" si="154"/>
        <v>1175534.26</v>
      </c>
      <c r="R174" s="3">
        <f t="shared" si="155"/>
        <v>0</v>
      </c>
      <c r="S174" s="47">
        <f t="shared" ref="S174:S205" ca="1" si="202">SUM(L174:R174)</f>
        <v>1037905.6749637002</v>
      </c>
      <c r="T174" s="47">
        <f>IFERROR(HLOOKUP(B174-1,'EV Forecast VRZ'!$F$124:$T$130,3,FALSE)/12,0)+IFERROR(((HLOOKUP(B174,'EV Forecast VRZ'!$F$116:$T$122,3,FALSE)-HLOOKUP(B174-1,'EV Forecast VRZ'!$F$124:$T$130,3,FALSE)))*C174/78,0)</f>
        <v>55755.008120336548</v>
      </c>
      <c r="U174" s="47">
        <f ca="1">HLOOKUP(B174,Heating!$C$102:$O$106,3,FALSE)*INDEX(Weather!$BO$1:$CB$20,MATCH(B174,Weather!$BO$1:$BO$20,0),MATCH(C174,Weather!$BO$1:$CB$1,0))/VLOOKUP(B174,Weather!$BO$2:$CB$20,14,FALSE)</f>
        <v>15302.969818662003</v>
      </c>
      <c r="V174" s="47">
        <f t="shared" ca="1" si="130"/>
        <v>1108963.6529026986</v>
      </c>
    </row>
    <row r="175" spans="1:22">
      <c r="A175" s="2">
        <f t="shared" ref="A175:A205" si="203">EOMONTH(A174,1)</f>
        <v>47299</v>
      </c>
      <c r="B175">
        <f t="shared" ref="B175:B205" si="204">YEAR(A175)</f>
        <v>2029</v>
      </c>
      <c r="C175">
        <f t="shared" ref="C175:C205" si="205">MONTH(A175)</f>
        <v>6</v>
      </c>
      <c r="E175" s="3">
        <f t="shared" ref="E175:F175" ca="1" si="206">E163</f>
        <v>32.520923826173821</v>
      </c>
      <c r="F175" s="3">
        <f t="shared" ca="1" si="206"/>
        <v>137.65451754405018</v>
      </c>
      <c r="G175" s="47">
        <f t="shared" ref="G175:G190" si="207">G163</f>
        <v>0</v>
      </c>
      <c r="H175" s="47">
        <f t="shared" ref="H175:H205" si="208">H174+1</f>
        <v>173</v>
      </c>
      <c r="I175" s="47">
        <f t="shared" ref="I175:I205" si="209">I139</f>
        <v>30</v>
      </c>
      <c r="J175">
        <v>0</v>
      </c>
      <c r="L175" s="3">
        <f t="shared" si="149"/>
        <v>-769716</v>
      </c>
      <c r="M175" s="3">
        <f t="shared" ca="1" si="150"/>
        <v>27125.683050857286</v>
      </c>
      <c r="N175" s="3">
        <f t="shared" ca="1" si="151"/>
        <v>273086.05228428153</v>
      </c>
      <c r="O175" s="3">
        <f t="shared" si="152"/>
        <v>0</v>
      </c>
      <c r="P175" s="3">
        <f t="shared" si="153"/>
        <v>461424.56199999998</v>
      </c>
      <c r="Q175" s="3">
        <f t="shared" si="154"/>
        <v>1137613.8</v>
      </c>
      <c r="R175" s="3">
        <f t="shared" si="155"/>
        <v>0</v>
      </c>
      <c r="S175" s="47">
        <f t="shared" ca="1" si="202"/>
        <v>1129534.0973351388</v>
      </c>
      <c r="T175" s="47">
        <f>IFERROR(HLOOKUP(B175-1,'EV Forecast VRZ'!$F$124:$T$130,3,FALSE)/12,0)+IFERROR(((HLOOKUP(B175,'EV Forecast VRZ'!$F$116:$T$122,3,FALSE)-HLOOKUP(B175-1,'EV Forecast VRZ'!$F$124:$T$130,3,FALSE)))*C175/78,0)</f>
        <v>56572.675190867725</v>
      </c>
      <c r="U175" s="47">
        <f ca="1">HLOOKUP(B175,Heating!$C$102:$O$106,3,FALSE)*INDEX(Weather!$BO$1:$CB$20,MATCH(B175,Weather!$BO$1:$BO$20,0),MATCH(C175,Weather!$BO$1:$CB$1,0))/VLOOKUP(B175,Weather!$BO$2:$CB$20,14,FALSE)</f>
        <v>3314.7528880727136</v>
      </c>
      <c r="V175" s="47">
        <f t="shared" ca="1" si="130"/>
        <v>1189421.5254140792</v>
      </c>
    </row>
    <row r="176" spans="1:22">
      <c r="A176" s="2">
        <f t="shared" si="203"/>
        <v>47330</v>
      </c>
      <c r="B176">
        <f t="shared" si="204"/>
        <v>2029</v>
      </c>
      <c r="C176">
        <f t="shared" si="205"/>
        <v>7</v>
      </c>
      <c r="E176" s="3">
        <f t="shared" ref="E176:F176" ca="1" si="210">E164</f>
        <v>1.6179166666666653</v>
      </c>
      <c r="F176" s="3">
        <f t="shared" ca="1" si="210"/>
        <v>235.94737858727848</v>
      </c>
      <c r="G176" s="47">
        <f t="shared" si="207"/>
        <v>0</v>
      </c>
      <c r="H176" s="47">
        <f t="shared" si="208"/>
        <v>174</v>
      </c>
      <c r="I176" s="47">
        <f t="shared" si="209"/>
        <v>31</v>
      </c>
      <c r="J176">
        <v>0</v>
      </c>
      <c r="L176" s="3">
        <f t="shared" si="149"/>
        <v>-769716</v>
      </c>
      <c r="M176" s="3">
        <f t="shared" ca="1" si="150"/>
        <v>1349.5033209166654</v>
      </c>
      <c r="N176" s="3">
        <f t="shared" ca="1" si="151"/>
        <v>468084.44295775105</v>
      </c>
      <c r="O176" s="3">
        <f t="shared" si="152"/>
        <v>0</v>
      </c>
      <c r="P176" s="3">
        <f t="shared" si="153"/>
        <v>464091.75599999999</v>
      </c>
      <c r="Q176" s="3">
        <f t="shared" si="154"/>
        <v>1175534.26</v>
      </c>
      <c r="R176" s="3">
        <f t="shared" si="155"/>
        <v>0</v>
      </c>
      <c r="S176" s="47">
        <f t="shared" ca="1" si="202"/>
        <v>1339343.9622786678</v>
      </c>
      <c r="T176" s="47">
        <f>IFERROR(HLOOKUP(B176-1,'EV Forecast VRZ'!$F$124:$T$130,3,FALSE)/12,0)+IFERROR(((HLOOKUP(B176,'EV Forecast VRZ'!$F$116:$T$122,3,FALSE)-HLOOKUP(B176-1,'EV Forecast VRZ'!$F$124:$T$130,3,FALSE)))*C176/78,0)</f>
        <v>57390.342261398902</v>
      </c>
      <c r="U176" s="47">
        <f ca="1">HLOOKUP(B176,Heating!$C$102:$O$106,3,FALSE)*INDEX(Weather!$BO$1:$CB$20,MATCH(B176,Weather!$BO$1:$BO$20,0),MATCH(C176,Weather!$BO$1:$CB$1,0))/VLOOKUP(B176,Weather!$BO$2:$CB$20,14,FALSE)</f>
        <v>164.9090281739785</v>
      </c>
      <c r="V176" s="47">
        <f t="shared" ca="1" si="130"/>
        <v>1396899.2135682406</v>
      </c>
    </row>
    <row r="177" spans="1:22">
      <c r="A177" s="2">
        <f t="shared" si="203"/>
        <v>47361</v>
      </c>
      <c r="B177">
        <f t="shared" si="204"/>
        <v>2029</v>
      </c>
      <c r="C177">
        <f t="shared" si="205"/>
        <v>8</v>
      </c>
      <c r="E177" s="3">
        <f t="shared" ref="E177:F177" ca="1" si="211">E165</f>
        <v>5.6499999999999977</v>
      </c>
      <c r="F177" s="3">
        <f t="shared" ca="1" si="211"/>
        <v>210.96558794466404</v>
      </c>
      <c r="G177" s="47">
        <f t="shared" si="207"/>
        <v>0</v>
      </c>
      <c r="H177" s="47">
        <f t="shared" si="208"/>
        <v>175</v>
      </c>
      <c r="I177" s="47">
        <f t="shared" si="209"/>
        <v>31</v>
      </c>
      <c r="J177">
        <v>0</v>
      </c>
      <c r="L177" s="3">
        <f t="shared" si="149"/>
        <v>-769716</v>
      </c>
      <c r="M177" s="3">
        <f t="shared" ca="1" si="150"/>
        <v>4712.6616099999974</v>
      </c>
      <c r="N177" s="3">
        <f t="shared" ca="1" si="151"/>
        <v>418524.29260960972</v>
      </c>
      <c r="O177" s="3">
        <f t="shared" si="152"/>
        <v>0</v>
      </c>
      <c r="P177" s="3">
        <f t="shared" si="153"/>
        <v>466758.95</v>
      </c>
      <c r="Q177" s="3">
        <f t="shared" si="154"/>
        <v>1175534.26</v>
      </c>
      <c r="R177" s="3">
        <f t="shared" si="155"/>
        <v>0</v>
      </c>
      <c r="S177" s="47">
        <f t="shared" ca="1" si="202"/>
        <v>1295814.1642196097</v>
      </c>
      <c r="T177" s="47">
        <f>IFERROR(HLOOKUP(B177-1,'EV Forecast VRZ'!$F$124:$T$130,3,FALSE)/12,0)+IFERROR(((HLOOKUP(B177,'EV Forecast VRZ'!$F$116:$T$122,3,FALSE)-HLOOKUP(B177-1,'EV Forecast VRZ'!$F$124:$T$130,3,FALSE)))*C177/78,0)</f>
        <v>58208.009331930079</v>
      </c>
      <c r="U177" s="47">
        <f ca="1">HLOOKUP(B177,Heating!$C$102:$O$106,3,FALSE)*INDEX(Weather!$BO$1:$CB$20,MATCH(B177,Weather!$BO$1:$BO$20,0),MATCH(C177,Weather!$BO$1:$CB$1,0))/VLOOKUP(B177,Weather!$BO$2:$CB$20,14,FALSE)</f>
        <v>575.8862791756759</v>
      </c>
      <c r="V177" s="47">
        <f t="shared" ca="1" si="130"/>
        <v>1354598.0598307156</v>
      </c>
    </row>
    <row r="178" spans="1:22">
      <c r="A178" s="2">
        <f t="shared" si="203"/>
        <v>47391</v>
      </c>
      <c r="B178">
        <f t="shared" si="204"/>
        <v>2029</v>
      </c>
      <c r="C178">
        <f t="shared" si="205"/>
        <v>9</v>
      </c>
      <c r="E178" s="3">
        <f t="shared" ref="E178:F178" ca="1" si="212">E166</f>
        <v>54.959440993788824</v>
      </c>
      <c r="F178" s="3">
        <f t="shared" ca="1" si="212"/>
        <v>106.4160119047619</v>
      </c>
      <c r="G178" s="47">
        <f t="shared" si="207"/>
        <v>1</v>
      </c>
      <c r="H178" s="47">
        <f t="shared" si="208"/>
        <v>176</v>
      </c>
      <c r="I178" s="47">
        <f t="shared" si="209"/>
        <v>30</v>
      </c>
      <c r="J178">
        <v>0</v>
      </c>
      <c r="L178" s="3">
        <f t="shared" si="149"/>
        <v>-769716</v>
      </c>
      <c r="M178" s="3">
        <f t="shared" ca="1" si="150"/>
        <v>45841.636757254659</v>
      </c>
      <c r="N178" s="3">
        <f t="shared" ca="1" si="151"/>
        <v>211113.51163327383</v>
      </c>
      <c r="O178" s="3">
        <f t="shared" si="152"/>
        <v>-56026.3</v>
      </c>
      <c r="P178" s="3">
        <f t="shared" si="153"/>
        <v>469426.14399999997</v>
      </c>
      <c r="Q178" s="3">
        <f t="shared" si="154"/>
        <v>1137613.8</v>
      </c>
      <c r="R178" s="3">
        <f t="shared" si="155"/>
        <v>0</v>
      </c>
      <c r="S178" s="47">
        <f t="shared" ca="1" si="202"/>
        <v>1038252.7923905284</v>
      </c>
      <c r="T178" s="47">
        <f>IFERROR(HLOOKUP(B178-1,'EV Forecast VRZ'!$F$124:$T$130,3,FALSE)/12,0)+IFERROR(((HLOOKUP(B178,'EV Forecast VRZ'!$F$116:$T$122,3,FALSE)-HLOOKUP(B178-1,'EV Forecast VRZ'!$F$124:$T$130,3,FALSE)))*C178/78,0)</f>
        <v>59025.676402461249</v>
      </c>
      <c r="U178" s="47">
        <f ca="1">HLOOKUP(B178,Heating!$C$102:$O$106,3,FALSE)*INDEX(Weather!$BO$1:$CB$20,MATCH(B178,Weather!$BO$1:$BO$20,0),MATCH(C178,Weather!$BO$1:$CB$1,0))/VLOOKUP(B178,Weather!$BO$2:$CB$20,14,FALSE)</f>
        <v>5601.8385804403833</v>
      </c>
      <c r="V178" s="47">
        <f t="shared" ca="1" si="130"/>
        <v>1102880.3073734301</v>
      </c>
    </row>
    <row r="179" spans="1:22">
      <c r="A179" s="2">
        <f t="shared" si="203"/>
        <v>47422</v>
      </c>
      <c r="B179">
        <f t="shared" si="204"/>
        <v>2029</v>
      </c>
      <c r="C179">
        <f t="shared" si="205"/>
        <v>10</v>
      </c>
      <c r="E179" s="3">
        <f t="shared" ref="E179:F179" ca="1" si="213">E167</f>
        <v>237.89681159420289</v>
      </c>
      <c r="F179" s="3">
        <f t="shared" ca="1" si="213"/>
        <v>17.987083333333334</v>
      </c>
      <c r="G179" s="47">
        <f t="shared" si="207"/>
        <v>1</v>
      </c>
      <c r="H179" s="47">
        <f t="shared" si="208"/>
        <v>177</v>
      </c>
      <c r="I179" s="47">
        <f t="shared" si="209"/>
        <v>31</v>
      </c>
      <c r="J179">
        <v>0</v>
      </c>
      <c r="L179" s="3">
        <f t="shared" si="149"/>
        <v>-769716</v>
      </c>
      <c r="M179" s="3">
        <f t="shared" ca="1" si="150"/>
        <v>198429.58781263765</v>
      </c>
      <c r="N179" s="3">
        <f t="shared" ca="1" si="151"/>
        <v>35683.693257916668</v>
      </c>
      <c r="O179" s="3">
        <f t="shared" si="152"/>
        <v>-56026.3</v>
      </c>
      <c r="P179" s="3">
        <f t="shared" si="153"/>
        <v>472093.33799999999</v>
      </c>
      <c r="Q179" s="3">
        <f t="shared" si="154"/>
        <v>1175534.26</v>
      </c>
      <c r="R179" s="3">
        <f t="shared" si="155"/>
        <v>0</v>
      </c>
      <c r="S179" s="47">
        <f t="shared" ca="1" si="202"/>
        <v>1055998.5790705543</v>
      </c>
      <c r="T179" s="47">
        <f>IFERROR(HLOOKUP(B179-1,'EV Forecast VRZ'!$F$124:$T$130,3,FALSE)/12,0)+IFERROR(((HLOOKUP(B179,'EV Forecast VRZ'!$F$116:$T$122,3,FALSE)-HLOOKUP(B179-1,'EV Forecast VRZ'!$F$124:$T$130,3,FALSE)))*C179/78,0)</f>
        <v>59843.343472992427</v>
      </c>
      <c r="U179" s="47">
        <f ca="1">HLOOKUP(B179,Heating!$C$102:$O$106,3,FALSE)*INDEX(Weather!$BO$1:$CB$20,MATCH(B179,Weather!$BO$1:$BO$20,0),MATCH(C179,Weather!$BO$1:$CB$1,0))/VLOOKUP(B179,Weather!$BO$2:$CB$20,14,FALSE)</f>
        <v>24248.054806503071</v>
      </c>
      <c r="V179" s="47">
        <f t="shared" ca="1" si="130"/>
        <v>1140089.9773500499</v>
      </c>
    </row>
    <row r="180" spans="1:22">
      <c r="A180" s="2">
        <f t="shared" si="203"/>
        <v>47452</v>
      </c>
      <c r="B180">
        <f t="shared" si="204"/>
        <v>2029</v>
      </c>
      <c r="C180">
        <f t="shared" si="205"/>
        <v>11</v>
      </c>
      <c r="E180" s="3">
        <f t="shared" ref="E180:F180" ca="1" si="214">E168</f>
        <v>426.62991389045737</v>
      </c>
      <c r="F180" s="3">
        <f t="shared" ca="1" si="214"/>
        <v>0.8083333333333329</v>
      </c>
      <c r="G180" s="47">
        <f t="shared" si="207"/>
        <v>1</v>
      </c>
      <c r="H180" s="47">
        <f t="shared" si="208"/>
        <v>178</v>
      </c>
      <c r="I180" s="47">
        <f t="shared" si="209"/>
        <v>30</v>
      </c>
      <c r="J180">
        <v>0</v>
      </c>
      <c r="L180" s="3">
        <f t="shared" si="149"/>
        <v>-769716</v>
      </c>
      <c r="M180" s="3">
        <f t="shared" ca="1" si="150"/>
        <v>355851.75519808213</v>
      </c>
      <c r="N180" s="3">
        <f t="shared" ca="1" si="151"/>
        <v>1603.612891666666</v>
      </c>
      <c r="O180" s="3">
        <f t="shared" si="152"/>
        <v>-56026.3</v>
      </c>
      <c r="P180" s="3">
        <f t="shared" si="153"/>
        <v>474760.53200000001</v>
      </c>
      <c r="Q180" s="3">
        <f t="shared" si="154"/>
        <v>1137613.8</v>
      </c>
      <c r="R180" s="3">
        <f t="shared" si="155"/>
        <v>0</v>
      </c>
      <c r="S180" s="47">
        <f t="shared" ca="1" si="202"/>
        <v>1144087.4000897489</v>
      </c>
      <c r="T180" s="47">
        <f>IFERROR(HLOOKUP(B180-1,'EV Forecast VRZ'!$F$124:$T$130,3,FALSE)/12,0)+IFERROR(((HLOOKUP(B180,'EV Forecast VRZ'!$F$116:$T$122,3,FALSE)-HLOOKUP(B180-1,'EV Forecast VRZ'!$F$124:$T$130,3,FALSE)))*C180/78,0)</f>
        <v>60661.010543523604</v>
      </c>
      <c r="U180" s="47">
        <f ca="1">HLOOKUP(B180,Heating!$C$102:$O$106,3,FALSE)*INDEX(Weather!$BO$1:$CB$20,MATCH(B180,Weather!$BO$1:$BO$20,0),MATCH(C180,Weather!$BO$1:$CB$1,0))/VLOOKUP(B180,Weather!$BO$2:$CB$20,14,FALSE)</f>
        <v>43485.011273524702</v>
      </c>
      <c r="V180" s="47">
        <f t="shared" ca="1" si="130"/>
        <v>1248233.4219067972</v>
      </c>
    </row>
    <row r="181" spans="1:22">
      <c r="A181" s="2">
        <f t="shared" si="203"/>
        <v>47483</v>
      </c>
      <c r="B181">
        <f t="shared" si="204"/>
        <v>2029</v>
      </c>
      <c r="C181">
        <f t="shared" si="205"/>
        <v>12</v>
      </c>
      <c r="E181" s="3">
        <f t="shared" ref="E181:F181" ca="1" si="215">E169</f>
        <v>577.92800724637686</v>
      </c>
      <c r="F181" s="3">
        <f t="shared" ca="1" si="215"/>
        <v>0</v>
      </c>
      <c r="G181" s="47">
        <f t="shared" si="207"/>
        <v>0</v>
      </c>
      <c r="H181" s="47">
        <f t="shared" si="208"/>
        <v>179</v>
      </c>
      <c r="I181" s="47">
        <f t="shared" si="209"/>
        <v>31</v>
      </c>
      <c r="J181">
        <v>0</v>
      </c>
      <c r="L181" s="3">
        <f t="shared" si="149"/>
        <v>-769716</v>
      </c>
      <c r="M181" s="3">
        <f t="shared" ca="1" si="150"/>
        <v>482049.40408739855</v>
      </c>
      <c r="N181" s="3">
        <f t="shared" ca="1" si="151"/>
        <v>0</v>
      </c>
      <c r="O181" s="3">
        <f t="shared" si="152"/>
        <v>0</v>
      </c>
      <c r="P181" s="3">
        <f t="shared" si="153"/>
        <v>477427.72599999997</v>
      </c>
      <c r="Q181" s="3">
        <f t="shared" si="154"/>
        <v>1175534.26</v>
      </c>
      <c r="R181" s="3">
        <f t="shared" si="155"/>
        <v>0</v>
      </c>
      <c r="S181" s="47">
        <f t="shared" ca="1" si="202"/>
        <v>1365295.3900873985</v>
      </c>
      <c r="T181" s="47">
        <f>IFERROR(HLOOKUP(B181-1,'EV Forecast VRZ'!$F$124:$T$130,3,FALSE)/12,0)+IFERROR(((HLOOKUP(B181,'EV Forecast VRZ'!$F$116:$T$122,3,FALSE)-HLOOKUP(B181-1,'EV Forecast VRZ'!$F$124:$T$130,3,FALSE)))*C181/78,0)</f>
        <v>61478.677614054781</v>
      </c>
      <c r="U181" s="47">
        <f ca="1">HLOOKUP(B181,Heating!$C$102:$O$106,3,FALSE)*INDEX(Weather!$BO$1:$CB$20,MATCH(B181,Weather!$BO$1:$BO$20,0),MATCH(C181,Weather!$BO$1:$CB$1,0))/VLOOKUP(B181,Weather!$BO$2:$CB$20,14,FALSE)</f>
        <v>58906.338004341436</v>
      </c>
      <c r="V181" s="47">
        <f t="shared" ca="1" si="130"/>
        <v>1485680.4057057947</v>
      </c>
    </row>
    <row r="182" spans="1:22">
      <c r="A182" s="2">
        <f t="shared" si="203"/>
        <v>47514</v>
      </c>
      <c r="B182">
        <f t="shared" si="204"/>
        <v>2030</v>
      </c>
      <c r="C182">
        <f t="shared" si="205"/>
        <v>1</v>
      </c>
      <c r="E182" s="3">
        <f t="shared" ref="E182:F182" ca="1" si="216">E170</f>
        <v>697.33418478260876</v>
      </c>
      <c r="F182" s="3">
        <f t="shared" ca="1" si="216"/>
        <v>0</v>
      </c>
      <c r="G182" s="47">
        <f t="shared" si="207"/>
        <v>0</v>
      </c>
      <c r="H182" s="47">
        <f t="shared" si="208"/>
        <v>180</v>
      </c>
      <c r="I182" s="47">
        <f t="shared" si="209"/>
        <v>31</v>
      </c>
      <c r="J182">
        <v>0</v>
      </c>
      <c r="L182" s="3">
        <f t="shared" si="149"/>
        <v>-769716</v>
      </c>
      <c r="M182" s="3">
        <f t="shared" ca="1" si="150"/>
        <v>581646.02512666304</v>
      </c>
      <c r="N182" s="3">
        <f t="shared" ca="1" si="151"/>
        <v>0</v>
      </c>
      <c r="O182" s="3">
        <f t="shared" si="152"/>
        <v>0</v>
      </c>
      <c r="P182" s="3">
        <f t="shared" si="153"/>
        <v>480094.92</v>
      </c>
      <c r="Q182" s="3">
        <f t="shared" si="154"/>
        <v>1175534.26</v>
      </c>
      <c r="R182" s="3">
        <f t="shared" si="155"/>
        <v>0</v>
      </c>
      <c r="S182" s="47">
        <f t="shared" ca="1" si="202"/>
        <v>1467559.205126663</v>
      </c>
      <c r="T182" s="47">
        <f>IFERROR(HLOOKUP(B182-1,'EV Forecast VRZ'!$F$124:$T$130,3,FALSE)/12,0)+IFERROR(((HLOOKUP(B182,'EV Forecast VRZ'!$F$116:$T$122,3,FALSE)-HLOOKUP(B182-1,'EV Forecast VRZ'!$F$124:$T$130,3,FALSE)))*C182/78,0)</f>
        <v>63942.364816805668</v>
      </c>
      <c r="U182" s="47">
        <f ca="1">HLOOKUP(B182,Heating!$C$102:$O$106,3,FALSE)*INDEX(Weather!$BO$1:$CB$20,MATCH(B182,Weather!$BO$1:$BO$20,0),MATCH(C182,Weather!$BO$1:$CB$1,0))/VLOOKUP(B182,Weather!$BO$2:$CB$20,14,FALSE)</f>
        <v>79591.67578091874</v>
      </c>
      <c r="V182" s="47">
        <f t="shared" ca="1" si="130"/>
        <v>1611093.2457243872</v>
      </c>
    </row>
    <row r="183" spans="1:22">
      <c r="A183" s="2">
        <f t="shared" si="203"/>
        <v>47542</v>
      </c>
      <c r="B183">
        <f t="shared" si="204"/>
        <v>2030</v>
      </c>
      <c r="C183">
        <f t="shared" si="205"/>
        <v>2</v>
      </c>
      <c r="E183" s="3">
        <f t="shared" ref="E183:F183" ca="1" si="217">E171</f>
        <v>624.25501811594188</v>
      </c>
      <c r="F183" s="3">
        <f t="shared" ca="1" si="217"/>
        <v>0</v>
      </c>
      <c r="G183" s="47">
        <f t="shared" si="207"/>
        <v>0</v>
      </c>
      <c r="H183" s="47">
        <f t="shared" si="208"/>
        <v>181</v>
      </c>
      <c r="I183" s="47">
        <f t="shared" si="209"/>
        <v>29</v>
      </c>
      <c r="J183">
        <v>0</v>
      </c>
      <c r="L183" s="3">
        <f t="shared" si="149"/>
        <v>-769716</v>
      </c>
      <c r="M183" s="3">
        <f t="shared" ca="1" si="150"/>
        <v>520690.73605749622</v>
      </c>
      <c r="N183" s="3">
        <f t="shared" ca="1" si="151"/>
        <v>0</v>
      </c>
      <c r="O183" s="3">
        <f t="shared" si="152"/>
        <v>0</v>
      </c>
      <c r="P183" s="3">
        <f t="shared" si="153"/>
        <v>482762.114</v>
      </c>
      <c r="Q183" s="3">
        <f t="shared" si="154"/>
        <v>1099693.3400000001</v>
      </c>
      <c r="R183" s="3">
        <f t="shared" si="155"/>
        <v>0</v>
      </c>
      <c r="S183" s="47">
        <f t="shared" ca="1" si="202"/>
        <v>1333430.1900574963</v>
      </c>
      <c r="T183" s="47">
        <f>IFERROR(HLOOKUP(B183-1,'EV Forecast VRZ'!$F$124:$T$130,3,FALSE)/12,0)+IFERROR(((HLOOKUP(B183,'EV Forecast VRZ'!$F$116:$T$122,3,FALSE)-HLOOKUP(B183-1,'EV Forecast VRZ'!$F$124:$T$130,3,FALSE)))*C183/78,0)</f>
        <v>64858.316512892059</v>
      </c>
      <c r="U183" s="47">
        <f ca="1">HLOOKUP(B183,Heating!$C$102:$O$106,3,FALSE)*INDEX(Weather!$BO$1:$CB$20,MATCH(B183,Weather!$BO$1:$BO$20,0),MATCH(C183,Weather!$BO$1:$CB$1,0))/VLOOKUP(B183,Weather!$BO$2:$CB$20,14,FALSE)</f>
        <v>71250.634331063033</v>
      </c>
      <c r="V183" s="47">
        <f t="shared" ref="V183:V205" ca="1" si="218">S183+T183+U183</f>
        <v>1469539.1409014515</v>
      </c>
    </row>
    <row r="184" spans="1:22">
      <c r="A184" s="2">
        <f t="shared" si="203"/>
        <v>47573</v>
      </c>
      <c r="B184">
        <f t="shared" si="204"/>
        <v>2030</v>
      </c>
      <c r="C184">
        <f t="shared" si="205"/>
        <v>3</v>
      </c>
      <c r="E184" s="3">
        <f t="shared" ref="E184:F184" ca="1" si="219">E172</f>
        <v>546.13298913043491</v>
      </c>
      <c r="F184" s="3">
        <f t="shared" ca="1" si="219"/>
        <v>0</v>
      </c>
      <c r="G184" s="47">
        <f t="shared" si="207"/>
        <v>1</v>
      </c>
      <c r="H184" s="47">
        <f t="shared" si="208"/>
        <v>182</v>
      </c>
      <c r="I184" s="47">
        <f t="shared" si="209"/>
        <v>31</v>
      </c>
      <c r="J184">
        <v>0</v>
      </c>
      <c r="L184" s="3">
        <f t="shared" si="149"/>
        <v>-769716</v>
      </c>
      <c r="M184" s="3">
        <f t="shared" ca="1" si="150"/>
        <v>455529.19855390227</v>
      </c>
      <c r="N184" s="3">
        <f t="shared" ca="1" si="151"/>
        <v>0</v>
      </c>
      <c r="O184" s="3">
        <f t="shared" si="152"/>
        <v>-56026.3</v>
      </c>
      <c r="P184" s="3">
        <f t="shared" si="153"/>
        <v>485429.30800000002</v>
      </c>
      <c r="Q184" s="3">
        <f t="shared" si="154"/>
        <v>1175534.26</v>
      </c>
      <c r="R184" s="3">
        <f t="shared" si="155"/>
        <v>0</v>
      </c>
      <c r="S184" s="47">
        <f t="shared" ca="1" si="202"/>
        <v>1290750.4665539023</v>
      </c>
      <c r="T184" s="47">
        <f>IFERROR(HLOOKUP(B184-1,'EV Forecast VRZ'!$F$124:$T$130,3,FALSE)/12,0)+IFERROR(((HLOOKUP(B184,'EV Forecast VRZ'!$F$116:$T$122,3,FALSE)-HLOOKUP(B184-1,'EV Forecast VRZ'!$F$124:$T$130,3,FALSE)))*C184/78,0)</f>
        <v>65774.26820897845</v>
      </c>
      <c r="U184" s="47">
        <f ca="1">HLOOKUP(B184,Heating!$C$102:$O$106,3,FALSE)*INDEX(Weather!$BO$1:$CB$20,MATCH(B184,Weather!$BO$1:$BO$20,0),MATCH(C184,Weather!$BO$1:$CB$1,0))/VLOOKUP(B184,Weather!$BO$2:$CB$20,14,FALSE)</f>
        <v>62334.01538701915</v>
      </c>
      <c r="V184" s="47">
        <f t="shared" ca="1" si="218"/>
        <v>1418858.7501498999</v>
      </c>
    </row>
    <row r="185" spans="1:22">
      <c r="A185" s="2">
        <f t="shared" si="203"/>
        <v>47603</v>
      </c>
      <c r="B185">
        <f t="shared" si="204"/>
        <v>2030</v>
      </c>
      <c r="C185">
        <f t="shared" si="205"/>
        <v>4</v>
      </c>
      <c r="E185" s="3">
        <f t="shared" ref="E185:F185" ca="1" si="220">E173</f>
        <v>352.41399621212122</v>
      </c>
      <c r="F185" s="3">
        <f t="shared" ca="1" si="220"/>
        <v>2.1908333333333347</v>
      </c>
      <c r="G185" s="47">
        <f t="shared" si="207"/>
        <v>1</v>
      </c>
      <c r="H185" s="47">
        <f t="shared" si="208"/>
        <v>183</v>
      </c>
      <c r="I185" s="47">
        <f t="shared" si="209"/>
        <v>30</v>
      </c>
      <c r="J185">
        <v>0</v>
      </c>
      <c r="L185" s="3">
        <f t="shared" si="149"/>
        <v>-769716</v>
      </c>
      <c r="M185" s="3">
        <f t="shared" ca="1" si="150"/>
        <v>293948.30279213254</v>
      </c>
      <c r="N185" s="3">
        <f t="shared" ca="1" si="151"/>
        <v>4346.2868991666701</v>
      </c>
      <c r="O185" s="3">
        <f t="shared" si="152"/>
        <v>-56026.3</v>
      </c>
      <c r="P185" s="3">
        <f t="shared" si="153"/>
        <v>488096.50199999998</v>
      </c>
      <c r="Q185" s="3">
        <f t="shared" si="154"/>
        <v>1137613.8</v>
      </c>
      <c r="R185" s="3">
        <f t="shared" si="155"/>
        <v>0</v>
      </c>
      <c r="S185" s="47">
        <f t="shared" ca="1" si="202"/>
        <v>1098262.5916912993</v>
      </c>
      <c r="T185" s="47">
        <f>IFERROR(HLOOKUP(B185-1,'EV Forecast VRZ'!$F$124:$T$130,3,FALSE)/12,0)+IFERROR(((HLOOKUP(B185,'EV Forecast VRZ'!$F$116:$T$122,3,FALSE)-HLOOKUP(B185-1,'EV Forecast VRZ'!$F$124:$T$130,3,FALSE)))*C185/78,0)</f>
        <v>66690.219905064849</v>
      </c>
      <c r="U185" s="47">
        <f ca="1">HLOOKUP(B185,Heating!$C$102:$O$106,3,FALSE)*INDEX(Weather!$BO$1:$CB$20,MATCH(B185,Weather!$BO$1:$BO$20,0),MATCH(C185,Weather!$BO$1:$CB$1,0))/VLOOKUP(B185,Weather!$BO$2:$CB$20,14,FALSE)</f>
        <v>40223.498487912664</v>
      </c>
      <c r="V185" s="47">
        <f t="shared" ca="1" si="218"/>
        <v>1205176.3100842768</v>
      </c>
    </row>
    <row r="186" spans="1:22">
      <c r="A186" s="2">
        <f t="shared" si="203"/>
        <v>47634</v>
      </c>
      <c r="B186">
        <f t="shared" si="204"/>
        <v>2030</v>
      </c>
      <c r="C186">
        <f t="shared" si="205"/>
        <v>5</v>
      </c>
      <c r="E186" s="3">
        <f t="shared" ref="E186:F186" ca="1" si="221">E174</f>
        <v>150.136897859768</v>
      </c>
      <c r="F186" s="3">
        <f t="shared" ca="1" si="221"/>
        <v>52.487435064935063</v>
      </c>
      <c r="G186" s="47">
        <f t="shared" si="207"/>
        <v>1</v>
      </c>
      <c r="H186" s="47">
        <f t="shared" si="208"/>
        <v>184</v>
      </c>
      <c r="I186" s="47">
        <f t="shared" si="209"/>
        <v>31</v>
      </c>
      <c r="J186">
        <v>0</v>
      </c>
      <c r="L186" s="3">
        <f t="shared" si="149"/>
        <v>-769716</v>
      </c>
      <c r="M186" s="3">
        <f t="shared" ca="1" si="150"/>
        <v>125229.09642269376</v>
      </c>
      <c r="N186" s="3">
        <f t="shared" ca="1" si="151"/>
        <v>104127.25054100649</v>
      </c>
      <c r="O186" s="3">
        <f t="shared" si="152"/>
        <v>-56026.3</v>
      </c>
      <c r="P186" s="3">
        <f t="shared" si="153"/>
        <v>490763.696</v>
      </c>
      <c r="Q186" s="3">
        <f t="shared" si="154"/>
        <v>1175534.26</v>
      </c>
      <c r="R186" s="3">
        <f t="shared" si="155"/>
        <v>0</v>
      </c>
      <c r="S186" s="47">
        <f t="shared" ca="1" si="202"/>
        <v>1069912.0029637003</v>
      </c>
      <c r="T186" s="47">
        <f>IFERROR(HLOOKUP(B186-1,'EV Forecast VRZ'!$F$124:$T$130,3,FALSE)/12,0)+IFERROR(((HLOOKUP(B186,'EV Forecast VRZ'!$F$116:$T$122,3,FALSE)-HLOOKUP(B186-1,'EV Forecast VRZ'!$F$124:$T$130,3,FALSE)))*C186/78,0)</f>
        <v>67606.171601151233</v>
      </c>
      <c r="U186" s="47">
        <f ca="1">HLOOKUP(B186,Heating!$C$102:$O$106,3,FALSE)*INDEX(Weather!$BO$1:$CB$20,MATCH(B186,Weather!$BO$1:$BO$20,0),MATCH(C186,Weather!$BO$1:$CB$1,0))/VLOOKUP(B186,Weather!$BO$2:$CB$20,14,FALSE)</f>
        <v>17136.18456971649</v>
      </c>
      <c r="V186" s="47">
        <f t="shared" ca="1" si="218"/>
        <v>1154654.3591345679</v>
      </c>
    </row>
    <row r="187" spans="1:22">
      <c r="A187" s="2">
        <f t="shared" si="203"/>
        <v>47664</v>
      </c>
      <c r="B187">
        <f t="shared" si="204"/>
        <v>2030</v>
      </c>
      <c r="C187">
        <f t="shared" si="205"/>
        <v>6</v>
      </c>
      <c r="E187" s="3">
        <f t="shared" ref="E187:F187" ca="1" si="222">E175</f>
        <v>32.520923826173821</v>
      </c>
      <c r="F187" s="3">
        <f t="shared" ca="1" si="222"/>
        <v>137.65451754405018</v>
      </c>
      <c r="G187" s="47">
        <f t="shared" si="207"/>
        <v>0</v>
      </c>
      <c r="H187" s="47">
        <f t="shared" si="208"/>
        <v>185</v>
      </c>
      <c r="I187" s="47">
        <f t="shared" si="209"/>
        <v>30</v>
      </c>
      <c r="J187">
        <v>0</v>
      </c>
      <c r="L187" s="3">
        <f t="shared" si="149"/>
        <v>-769716</v>
      </c>
      <c r="M187" s="3">
        <f t="shared" ca="1" si="150"/>
        <v>27125.683050857286</v>
      </c>
      <c r="N187" s="3">
        <f t="shared" ca="1" si="151"/>
        <v>273086.05228428153</v>
      </c>
      <c r="O187" s="3">
        <f t="shared" si="152"/>
        <v>0</v>
      </c>
      <c r="P187" s="3">
        <f t="shared" si="153"/>
        <v>493430.89</v>
      </c>
      <c r="Q187" s="3">
        <f t="shared" si="154"/>
        <v>1137613.8</v>
      </c>
      <c r="R187" s="3">
        <f t="shared" si="155"/>
        <v>0</v>
      </c>
      <c r="S187" s="47">
        <f t="shared" ca="1" si="202"/>
        <v>1161540.4253351388</v>
      </c>
      <c r="T187" s="47">
        <f>IFERROR(HLOOKUP(B187-1,'EV Forecast VRZ'!$F$124:$T$130,3,FALSE)/12,0)+IFERROR(((HLOOKUP(B187,'EV Forecast VRZ'!$F$116:$T$122,3,FALSE)-HLOOKUP(B187-1,'EV Forecast VRZ'!$F$124:$T$130,3,FALSE)))*C187/78,0)</f>
        <v>68522.123297237631</v>
      </c>
      <c r="U187" s="47">
        <f ca="1">HLOOKUP(B187,Heating!$C$102:$O$106,3,FALSE)*INDEX(Weather!$BO$1:$CB$20,MATCH(B187,Weather!$BO$1:$BO$20,0),MATCH(C187,Weather!$BO$1:$CB$1,0))/VLOOKUP(B187,Weather!$BO$2:$CB$20,14,FALSE)</f>
        <v>3711.8427315817075</v>
      </c>
      <c r="V187" s="47">
        <f t="shared" ca="1" si="218"/>
        <v>1233774.3913639581</v>
      </c>
    </row>
    <row r="188" spans="1:22">
      <c r="A188" s="2">
        <f t="shared" si="203"/>
        <v>47695</v>
      </c>
      <c r="B188">
        <f t="shared" si="204"/>
        <v>2030</v>
      </c>
      <c r="C188">
        <f t="shared" si="205"/>
        <v>7</v>
      </c>
      <c r="E188" s="3">
        <f t="shared" ref="E188:F188" ca="1" si="223">E176</f>
        <v>1.6179166666666653</v>
      </c>
      <c r="F188" s="3">
        <f t="shared" ca="1" si="223"/>
        <v>235.94737858727848</v>
      </c>
      <c r="G188" s="47">
        <f t="shared" si="207"/>
        <v>0</v>
      </c>
      <c r="H188" s="47">
        <f t="shared" si="208"/>
        <v>186</v>
      </c>
      <c r="I188" s="47">
        <f t="shared" si="209"/>
        <v>31</v>
      </c>
      <c r="J188">
        <v>0</v>
      </c>
      <c r="L188" s="3">
        <f t="shared" si="149"/>
        <v>-769716</v>
      </c>
      <c r="M188" s="3">
        <f t="shared" ca="1" si="150"/>
        <v>1349.5033209166654</v>
      </c>
      <c r="N188" s="3">
        <f t="shared" ca="1" si="151"/>
        <v>468084.44295775105</v>
      </c>
      <c r="O188" s="3">
        <f t="shared" si="152"/>
        <v>0</v>
      </c>
      <c r="P188" s="3">
        <f t="shared" si="153"/>
        <v>496098.08399999997</v>
      </c>
      <c r="Q188" s="3">
        <f t="shared" si="154"/>
        <v>1175534.26</v>
      </c>
      <c r="R188" s="3">
        <f t="shared" si="155"/>
        <v>0</v>
      </c>
      <c r="S188" s="47">
        <f t="shared" ca="1" si="202"/>
        <v>1371350.2902786676</v>
      </c>
      <c r="T188" s="47">
        <f>IFERROR(HLOOKUP(B188-1,'EV Forecast VRZ'!$F$124:$T$130,3,FALSE)/12,0)+IFERROR(((HLOOKUP(B188,'EV Forecast VRZ'!$F$116:$T$122,3,FALSE)-HLOOKUP(B188-1,'EV Forecast VRZ'!$F$124:$T$130,3,FALSE)))*C188/78,0)</f>
        <v>69438.074993324015</v>
      </c>
      <c r="U188" s="47">
        <f ca="1">HLOOKUP(B188,Heating!$C$102:$O$106,3,FALSE)*INDEX(Weather!$BO$1:$CB$20,MATCH(B188,Weather!$BO$1:$BO$20,0),MATCH(C188,Weather!$BO$1:$CB$1,0))/VLOOKUP(B188,Weather!$BO$2:$CB$20,14,FALSE)</f>
        <v>184.66425651285459</v>
      </c>
      <c r="V188" s="47">
        <f t="shared" ca="1" si="218"/>
        <v>1440973.0295285045</v>
      </c>
    </row>
    <row r="189" spans="1:22">
      <c r="A189" s="2">
        <f t="shared" si="203"/>
        <v>47726</v>
      </c>
      <c r="B189">
        <f t="shared" si="204"/>
        <v>2030</v>
      </c>
      <c r="C189">
        <f t="shared" si="205"/>
        <v>8</v>
      </c>
      <c r="E189" s="3">
        <f t="shared" ref="E189:F189" ca="1" si="224">E177</f>
        <v>5.6499999999999977</v>
      </c>
      <c r="F189" s="3">
        <f t="shared" ca="1" si="224"/>
        <v>210.96558794466404</v>
      </c>
      <c r="G189" s="47">
        <f t="shared" si="207"/>
        <v>0</v>
      </c>
      <c r="H189" s="47">
        <f t="shared" si="208"/>
        <v>187</v>
      </c>
      <c r="I189" s="47">
        <f t="shared" si="209"/>
        <v>31</v>
      </c>
      <c r="J189">
        <v>0</v>
      </c>
      <c r="L189" s="3">
        <f t="shared" si="149"/>
        <v>-769716</v>
      </c>
      <c r="M189" s="3">
        <f t="shared" ca="1" si="150"/>
        <v>4712.6616099999974</v>
      </c>
      <c r="N189" s="3">
        <f t="shared" ca="1" si="151"/>
        <v>418524.29260960972</v>
      </c>
      <c r="O189" s="3">
        <f t="shared" si="152"/>
        <v>0</v>
      </c>
      <c r="P189" s="3">
        <f t="shared" si="153"/>
        <v>498765.27799999999</v>
      </c>
      <c r="Q189" s="3">
        <f t="shared" si="154"/>
        <v>1175534.26</v>
      </c>
      <c r="R189" s="3">
        <f t="shared" si="155"/>
        <v>0</v>
      </c>
      <c r="S189" s="47">
        <f t="shared" ca="1" si="202"/>
        <v>1327820.4922196097</v>
      </c>
      <c r="T189" s="47">
        <f>IFERROR(HLOOKUP(B189-1,'EV Forecast VRZ'!$F$124:$T$130,3,FALSE)/12,0)+IFERROR(((HLOOKUP(B189,'EV Forecast VRZ'!$F$116:$T$122,3,FALSE)-HLOOKUP(B189-1,'EV Forecast VRZ'!$F$124:$T$130,3,FALSE)))*C189/78,0)</f>
        <v>70354.026689410413</v>
      </c>
      <c r="U189" s="47">
        <f ca="1">HLOOKUP(B189,Heating!$C$102:$O$106,3,FALSE)*INDEX(Weather!$BO$1:$CB$20,MATCH(B189,Weather!$BO$1:$BO$20,0),MATCH(C189,Weather!$BO$1:$CB$1,0))/VLOOKUP(B189,Weather!$BO$2:$CB$20,14,FALSE)</f>
        <v>644.87440595269356</v>
      </c>
      <c r="V189" s="47">
        <f t="shared" ca="1" si="218"/>
        <v>1398819.3933149728</v>
      </c>
    </row>
    <row r="190" spans="1:22">
      <c r="A190" s="2">
        <f t="shared" si="203"/>
        <v>47756</v>
      </c>
      <c r="B190">
        <f t="shared" si="204"/>
        <v>2030</v>
      </c>
      <c r="C190">
        <f t="shared" si="205"/>
        <v>9</v>
      </c>
      <c r="E190" s="3">
        <f t="shared" ref="E190:F190" ca="1" si="225">E178</f>
        <v>54.959440993788824</v>
      </c>
      <c r="F190" s="3">
        <f t="shared" ca="1" si="225"/>
        <v>106.4160119047619</v>
      </c>
      <c r="G190" s="47">
        <f t="shared" si="207"/>
        <v>1</v>
      </c>
      <c r="H190" s="47">
        <f t="shared" si="208"/>
        <v>188</v>
      </c>
      <c r="I190" s="47">
        <f t="shared" si="209"/>
        <v>30</v>
      </c>
      <c r="J190">
        <v>0</v>
      </c>
      <c r="L190" s="3">
        <f t="shared" si="149"/>
        <v>-769716</v>
      </c>
      <c r="M190" s="3">
        <f t="shared" ca="1" si="150"/>
        <v>45841.636757254659</v>
      </c>
      <c r="N190" s="3">
        <f t="shared" ca="1" si="151"/>
        <v>211113.51163327383</v>
      </c>
      <c r="O190" s="3">
        <f t="shared" si="152"/>
        <v>-56026.3</v>
      </c>
      <c r="P190" s="3">
        <f t="shared" si="153"/>
        <v>501432.47200000001</v>
      </c>
      <c r="Q190" s="3">
        <f t="shared" si="154"/>
        <v>1137613.8</v>
      </c>
      <c r="R190" s="3">
        <f t="shared" si="155"/>
        <v>0</v>
      </c>
      <c r="S190" s="47">
        <f t="shared" ca="1" si="202"/>
        <v>1070259.1203905283</v>
      </c>
      <c r="T190" s="47">
        <f>IFERROR(HLOOKUP(B190-1,'EV Forecast VRZ'!$F$124:$T$130,3,FALSE)/12,0)+IFERROR(((HLOOKUP(B190,'EV Forecast VRZ'!$F$116:$T$122,3,FALSE)-HLOOKUP(B190-1,'EV Forecast VRZ'!$F$124:$T$130,3,FALSE)))*C190/78,0)</f>
        <v>71269.978385496797</v>
      </c>
      <c r="U190" s="47">
        <f ca="1">HLOOKUP(B190,Heating!$C$102:$O$106,3,FALSE)*INDEX(Weather!$BO$1:$CB$20,MATCH(B190,Weather!$BO$1:$BO$20,0),MATCH(C190,Weather!$BO$1:$CB$1,0))/VLOOKUP(B190,Weather!$BO$2:$CB$20,14,FALSE)</f>
        <v>6272.9091791790615</v>
      </c>
      <c r="V190" s="47">
        <f t="shared" ca="1" si="218"/>
        <v>1147802.0079552042</v>
      </c>
    </row>
    <row r="191" spans="1:22">
      <c r="A191" s="2">
        <f t="shared" si="203"/>
        <v>47787</v>
      </c>
      <c r="B191">
        <f t="shared" si="204"/>
        <v>2030</v>
      </c>
      <c r="C191">
        <f t="shared" si="205"/>
        <v>10</v>
      </c>
      <c r="E191" s="3">
        <f t="shared" ref="E191:F191" ca="1" si="226">E179</f>
        <v>237.89681159420289</v>
      </c>
      <c r="F191" s="3">
        <f t="shared" ca="1" si="226"/>
        <v>17.987083333333334</v>
      </c>
      <c r="G191" s="47">
        <f t="shared" ref="G191:G205" si="227">G179</f>
        <v>1</v>
      </c>
      <c r="H191" s="47">
        <f t="shared" si="208"/>
        <v>189</v>
      </c>
      <c r="I191" s="47">
        <f t="shared" si="209"/>
        <v>31</v>
      </c>
      <c r="J191">
        <v>0</v>
      </c>
      <c r="L191" s="3">
        <f t="shared" si="149"/>
        <v>-769716</v>
      </c>
      <c r="M191" s="3">
        <f t="shared" ca="1" si="150"/>
        <v>198429.58781263765</v>
      </c>
      <c r="N191" s="3">
        <f t="shared" ca="1" si="151"/>
        <v>35683.693257916668</v>
      </c>
      <c r="O191" s="3">
        <f t="shared" si="152"/>
        <v>-56026.3</v>
      </c>
      <c r="P191" s="3">
        <f t="shared" si="153"/>
        <v>504099.66599999997</v>
      </c>
      <c r="Q191" s="3">
        <f t="shared" si="154"/>
        <v>1175534.26</v>
      </c>
      <c r="R191" s="3">
        <f t="shared" si="155"/>
        <v>0</v>
      </c>
      <c r="S191" s="47">
        <f t="shared" ca="1" si="202"/>
        <v>1088004.9070705543</v>
      </c>
      <c r="T191" s="47">
        <f>IFERROR(HLOOKUP(B191-1,'EV Forecast VRZ'!$F$124:$T$130,3,FALSE)/12,0)+IFERROR(((HLOOKUP(B191,'EV Forecast VRZ'!$F$116:$T$122,3,FALSE)-HLOOKUP(B191-1,'EV Forecast VRZ'!$F$124:$T$130,3,FALSE)))*C191/78,0)</f>
        <v>72185.930081583196</v>
      </c>
      <c r="U191" s="47">
        <f ca="1">HLOOKUP(B191,Heating!$C$102:$O$106,3,FALSE)*INDEX(Weather!$BO$1:$CB$20,MATCH(B191,Weather!$BO$1:$BO$20,0),MATCH(C191,Weather!$BO$1:$CB$1,0))/VLOOKUP(B191,Weather!$BO$2:$CB$20,14,FALSE)</f>
        <v>27152.84337254009</v>
      </c>
      <c r="V191" s="47">
        <f t="shared" ca="1" si="218"/>
        <v>1187343.6805246775</v>
      </c>
    </row>
    <row r="192" spans="1:22">
      <c r="A192" s="2">
        <f t="shared" si="203"/>
        <v>47817</v>
      </c>
      <c r="B192">
        <f t="shared" si="204"/>
        <v>2030</v>
      </c>
      <c r="C192">
        <f t="shared" si="205"/>
        <v>11</v>
      </c>
      <c r="E192" s="3">
        <f t="shared" ref="E192:F192" ca="1" si="228">E180</f>
        <v>426.62991389045737</v>
      </c>
      <c r="F192" s="3">
        <f t="shared" ca="1" si="228"/>
        <v>0.8083333333333329</v>
      </c>
      <c r="G192" s="47">
        <f t="shared" si="227"/>
        <v>1</v>
      </c>
      <c r="H192" s="47">
        <f t="shared" si="208"/>
        <v>190</v>
      </c>
      <c r="I192" s="47">
        <f t="shared" si="209"/>
        <v>30</v>
      </c>
      <c r="J192">
        <v>0</v>
      </c>
      <c r="L192" s="3">
        <f t="shared" si="149"/>
        <v>-769716</v>
      </c>
      <c r="M192" s="3">
        <f t="shared" ca="1" si="150"/>
        <v>355851.75519808213</v>
      </c>
      <c r="N192" s="3">
        <f t="shared" ca="1" si="151"/>
        <v>1603.612891666666</v>
      </c>
      <c r="O192" s="3">
        <f t="shared" si="152"/>
        <v>-56026.3</v>
      </c>
      <c r="P192" s="3">
        <f t="shared" si="153"/>
        <v>506766.86</v>
      </c>
      <c r="Q192" s="3">
        <f t="shared" si="154"/>
        <v>1137613.8</v>
      </c>
      <c r="R192" s="3">
        <f t="shared" si="155"/>
        <v>0</v>
      </c>
      <c r="S192" s="47">
        <f t="shared" ca="1" si="202"/>
        <v>1176093.7280897489</v>
      </c>
      <c r="T192" s="47">
        <f>IFERROR(HLOOKUP(B192-1,'EV Forecast VRZ'!$F$124:$T$130,3,FALSE)/12,0)+IFERROR(((HLOOKUP(B192,'EV Forecast VRZ'!$F$116:$T$122,3,FALSE)-HLOOKUP(B192-1,'EV Forecast VRZ'!$F$124:$T$130,3,FALSE)))*C192/78,0)</f>
        <v>73101.88177766958</v>
      </c>
      <c r="U192" s="47">
        <f ca="1">HLOOKUP(B192,Heating!$C$102:$O$106,3,FALSE)*INDEX(Weather!$BO$1:$CB$20,MATCH(B192,Weather!$BO$1:$BO$20,0),MATCH(C192,Weather!$BO$1:$CB$1,0))/VLOOKUP(B192,Weather!$BO$2:$CB$20,14,FALSE)</f>
        <v>48694.285359603113</v>
      </c>
      <c r="V192" s="47">
        <f t="shared" ca="1" si="218"/>
        <v>1297889.8952270215</v>
      </c>
    </row>
    <row r="193" spans="1:22">
      <c r="A193" s="2">
        <f t="shared" si="203"/>
        <v>47848</v>
      </c>
      <c r="B193">
        <f t="shared" si="204"/>
        <v>2030</v>
      </c>
      <c r="C193">
        <f t="shared" si="205"/>
        <v>12</v>
      </c>
      <c r="E193" s="3">
        <f t="shared" ref="E193:F193" ca="1" si="229">E181</f>
        <v>577.92800724637686</v>
      </c>
      <c r="F193" s="3">
        <f t="shared" ca="1" si="229"/>
        <v>0</v>
      </c>
      <c r="G193" s="47">
        <f t="shared" si="227"/>
        <v>0</v>
      </c>
      <c r="H193" s="47">
        <f t="shared" si="208"/>
        <v>191</v>
      </c>
      <c r="I193" s="47">
        <f t="shared" si="209"/>
        <v>31</v>
      </c>
      <c r="J193">
        <v>0</v>
      </c>
      <c r="L193" s="3">
        <f t="shared" si="149"/>
        <v>-769716</v>
      </c>
      <c r="M193" s="3">
        <f t="shared" ca="1" si="150"/>
        <v>482049.40408739855</v>
      </c>
      <c r="N193" s="3">
        <f t="shared" ca="1" si="151"/>
        <v>0</v>
      </c>
      <c r="O193" s="3">
        <f t="shared" si="152"/>
        <v>0</v>
      </c>
      <c r="P193" s="3">
        <f t="shared" si="153"/>
        <v>509434.054</v>
      </c>
      <c r="Q193" s="3">
        <f t="shared" si="154"/>
        <v>1175534.26</v>
      </c>
      <c r="R193" s="3">
        <f t="shared" si="155"/>
        <v>0</v>
      </c>
      <c r="S193" s="47">
        <f t="shared" ca="1" si="202"/>
        <v>1397301.7180873984</v>
      </c>
      <c r="T193" s="47">
        <f>IFERROR(HLOOKUP(B193-1,'EV Forecast VRZ'!$F$124:$T$130,3,FALSE)/12,0)+IFERROR(((HLOOKUP(B193,'EV Forecast VRZ'!$F$116:$T$122,3,FALSE)-HLOOKUP(B193-1,'EV Forecast VRZ'!$F$124:$T$130,3,FALSE)))*C193/78,0)</f>
        <v>74017.833473755978</v>
      </c>
      <c r="U193" s="47">
        <f ca="1">HLOOKUP(B193,Heating!$C$102:$O$106,3,FALSE)*INDEX(Weather!$BO$1:$CB$20,MATCH(B193,Weather!$BO$1:$BO$20,0),MATCH(C193,Weather!$BO$1:$CB$1,0))/VLOOKUP(B193,Weather!$BO$2:$CB$20,14,FALSE)</f>
        <v>65963.005372819724</v>
      </c>
      <c r="V193" s="47">
        <f t="shared" ca="1" si="218"/>
        <v>1537282.5569339741</v>
      </c>
    </row>
    <row r="194" spans="1:22">
      <c r="A194" s="2">
        <f t="shared" si="203"/>
        <v>47879</v>
      </c>
      <c r="B194">
        <f t="shared" si="204"/>
        <v>2031</v>
      </c>
      <c r="C194">
        <f t="shared" si="205"/>
        <v>1</v>
      </c>
      <c r="E194" s="3">
        <f t="shared" ref="E194:F194" ca="1" si="230">E182</f>
        <v>697.33418478260876</v>
      </c>
      <c r="F194" s="3">
        <f t="shared" ca="1" si="230"/>
        <v>0</v>
      </c>
      <c r="G194" s="47">
        <f t="shared" si="227"/>
        <v>0</v>
      </c>
      <c r="H194" s="47">
        <f t="shared" si="208"/>
        <v>192</v>
      </c>
      <c r="I194" s="47">
        <f t="shared" si="209"/>
        <v>31</v>
      </c>
      <c r="J194">
        <v>0</v>
      </c>
      <c r="L194" s="3">
        <f t="shared" ref="L194:L205" si="231">$Z$8</f>
        <v>-769716</v>
      </c>
      <c r="M194" s="3">
        <f t="shared" ref="M194:M205" ca="1" si="232">E194*$Z$9</f>
        <v>581646.02512666304</v>
      </c>
      <c r="N194" s="3">
        <f t="shared" ref="N194:N205" ca="1" si="233">F194*$Z$10</f>
        <v>0</v>
      </c>
      <c r="O194" s="3">
        <f t="shared" ref="O194:O205" si="234">G194*$Z$11</f>
        <v>0</v>
      </c>
      <c r="P194" s="3">
        <f t="shared" ref="P194:P205" si="235">H194*$Z$12</f>
        <v>512101.24800000002</v>
      </c>
      <c r="Q194" s="3">
        <f t="shared" ref="Q194:Q205" si="236">I194*$Z$13</f>
        <v>1175534.26</v>
      </c>
      <c r="R194" s="3">
        <f t="shared" ref="R194:R205" si="237">J194*$Z$14</f>
        <v>0</v>
      </c>
      <c r="S194" s="47">
        <f t="shared" ca="1" si="202"/>
        <v>1499565.533126663</v>
      </c>
      <c r="T194" s="47">
        <f>IFERROR(HLOOKUP(B194-1,'EV Forecast VRZ'!$F$124:$T$130,3,FALSE)/12,0)+IFERROR(((HLOOKUP(B194,'EV Forecast VRZ'!$F$116:$T$122,3,FALSE)-HLOOKUP(B194-1,'EV Forecast VRZ'!$F$124:$T$130,3,FALSE)))*C194/78,0)</f>
        <v>76687.716076659693</v>
      </c>
      <c r="U194" s="47">
        <f ca="1">HLOOKUP(B194,Heating!$C$102:$O$106,3,FALSE)*INDEX(Weather!$BO$1:$CB$20,MATCH(B194,Weather!$BO$1:$BO$20,0),MATCH(C194,Weather!$BO$1:$CB$1,0))/VLOOKUP(B194,Weather!$BO$2:$CB$20,14,FALSE)</f>
        <v>88393.047473126106</v>
      </c>
      <c r="V194" s="47">
        <f t="shared" ca="1" si="218"/>
        <v>1664646.2966764488</v>
      </c>
    </row>
    <row r="195" spans="1:22">
      <c r="A195" s="2">
        <f t="shared" si="203"/>
        <v>47907</v>
      </c>
      <c r="B195">
        <f t="shared" si="204"/>
        <v>2031</v>
      </c>
      <c r="C195">
        <f t="shared" si="205"/>
        <v>2</v>
      </c>
      <c r="E195" s="3">
        <f t="shared" ref="E195:F195" ca="1" si="238">E183</f>
        <v>624.25501811594188</v>
      </c>
      <c r="F195" s="3">
        <f t="shared" ca="1" si="238"/>
        <v>0</v>
      </c>
      <c r="G195" s="47">
        <f t="shared" si="227"/>
        <v>0</v>
      </c>
      <c r="H195" s="47">
        <f t="shared" si="208"/>
        <v>193</v>
      </c>
      <c r="I195" s="47">
        <f t="shared" si="209"/>
        <v>28</v>
      </c>
      <c r="J195">
        <v>0</v>
      </c>
      <c r="L195" s="3">
        <f t="shared" si="231"/>
        <v>-769716</v>
      </c>
      <c r="M195" s="3">
        <f t="shared" ca="1" si="232"/>
        <v>520690.73605749622</v>
      </c>
      <c r="N195" s="3">
        <f t="shared" ca="1" si="233"/>
        <v>0</v>
      </c>
      <c r="O195" s="3">
        <f t="shared" si="234"/>
        <v>0</v>
      </c>
      <c r="P195" s="3">
        <f t="shared" si="235"/>
        <v>514768.44199999998</v>
      </c>
      <c r="Q195" s="3">
        <f t="shared" si="236"/>
        <v>1061772.8799999999</v>
      </c>
      <c r="R195" s="3">
        <f t="shared" si="237"/>
        <v>0</v>
      </c>
      <c r="S195" s="47">
        <f t="shared" ca="1" si="202"/>
        <v>1327516.0580574961</v>
      </c>
      <c r="T195" s="47">
        <f>IFERROR(HLOOKUP(B195-1,'EV Forecast VRZ'!$F$124:$T$130,3,FALSE)/12,0)+IFERROR(((HLOOKUP(B195,'EV Forecast VRZ'!$F$116:$T$122,3,FALSE)-HLOOKUP(B195-1,'EV Forecast VRZ'!$F$124:$T$130,3,FALSE)))*C195/78,0)</f>
        <v>77597.660404026974</v>
      </c>
      <c r="U195" s="47">
        <f ca="1">HLOOKUP(B195,Heating!$C$102:$O$106,3,FALSE)*INDEX(Weather!$BO$1:$CB$20,MATCH(B195,Weather!$BO$1:$BO$20,0),MATCH(C195,Weather!$BO$1:$CB$1,0))/VLOOKUP(B195,Weather!$BO$2:$CB$20,14,FALSE)</f>
        <v>79129.640645484396</v>
      </c>
      <c r="V195" s="47">
        <f t="shared" ca="1" si="218"/>
        <v>1484243.3591070075</v>
      </c>
    </row>
    <row r="196" spans="1:22">
      <c r="A196" s="2">
        <f t="shared" si="203"/>
        <v>47938</v>
      </c>
      <c r="B196">
        <f t="shared" si="204"/>
        <v>2031</v>
      </c>
      <c r="C196">
        <f t="shared" si="205"/>
        <v>3</v>
      </c>
      <c r="E196" s="3">
        <f t="shared" ref="E196:F196" ca="1" si="239">E184</f>
        <v>546.13298913043491</v>
      </c>
      <c r="F196" s="3">
        <f t="shared" ca="1" si="239"/>
        <v>0</v>
      </c>
      <c r="G196" s="47">
        <f t="shared" si="227"/>
        <v>1</v>
      </c>
      <c r="H196" s="47">
        <f t="shared" si="208"/>
        <v>194</v>
      </c>
      <c r="I196" s="47">
        <f t="shared" si="209"/>
        <v>31</v>
      </c>
      <c r="J196">
        <v>0</v>
      </c>
      <c r="L196" s="3">
        <f t="shared" si="231"/>
        <v>-769716</v>
      </c>
      <c r="M196" s="3">
        <f t="shared" ca="1" si="232"/>
        <v>455529.19855390227</v>
      </c>
      <c r="N196" s="3">
        <f t="shared" ca="1" si="233"/>
        <v>0</v>
      </c>
      <c r="O196" s="3">
        <f t="shared" si="234"/>
        <v>-56026.3</v>
      </c>
      <c r="P196" s="3">
        <f t="shared" si="235"/>
        <v>517435.636</v>
      </c>
      <c r="Q196" s="3">
        <f t="shared" si="236"/>
        <v>1175534.26</v>
      </c>
      <c r="R196" s="3">
        <f t="shared" si="237"/>
        <v>0</v>
      </c>
      <c r="S196" s="47">
        <f t="shared" ca="1" si="202"/>
        <v>1322756.7945539022</v>
      </c>
      <c r="T196" s="47">
        <f>IFERROR(HLOOKUP(B196-1,'EV Forecast VRZ'!$F$124:$T$130,3,FALSE)/12,0)+IFERROR(((HLOOKUP(B196,'EV Forecast VRZ'!$F$116:$T$122,3,FALSE)-HLOOKUP(B196-1,'EV Forecast VRZ'!$F$124:$T$130,3,FALSE)))*C196/78,0)</f>
        <v>78507.60473139424</v>
      </c>
      <c r="U196" s="47">
        <f ca="1">HLOOKUP(B196,Heating!$C$102:$O$106,3,FALSE)*INDEX(Weather!$BO$1:$CB$20,MATCH(B196,Weather!$BO$1:$BO$20,0),MATCH(C196,Weather!$BO$1:$CB$1,0))/VLOOKUP(B196,Weather!$BO$2:$CB$20,14,FALSE)</f>
        <v>69227.008066291964</v>
      </c>
      <c r="V196" s="47">
        <f t="shared" ca="1" si="218"/>
        <v>1470491.4073515884</v>
      </c>
    </row>
    <row r="197" spans="1:22">
      <c r="A197" s="2">
        <f t="shared" si="203"/>
        <v>47968</v>
      </c>
      <c r="B197">
        <f t="shared" si="204"/>
        <v>2031</v>
      </c>
      <c r="C197">
        <f t="shared" si="205"/>
        <v>4</v>
      </c>
      <c r="E197" s="3">
        <f t="shared" ref="E197:F197" ca="1" si="240">E185</f>
        <v>352.41399621212122</v>
      </c>
      <c r="F197" s="3">
        <f t="shared" ca="1" si="240"/>
        <v>2.1908333333333347</v>
      </c>
      <c r="G197" s="47">
        <f t="shared" si="227"/>
        <v>1</v>
      </c>
      <c r="H197" s="47">
        <f t="shared" si="208"/>
        <v>195</v>
      </c>
      <c r="I197" s="47">
        <f t="shared" si="209"/>
        <v>30</v>
      </c>
      <c r="J197">
        <v>0</v>
      </c>
      <c r="L197" s="3">
        <f t="shared" si="231"/>
        <v>-769716</v>
      </c>
      <c r="M197" s="3">
        <f t="shared" ca="1" si="232"/>
        <v>293948.30279213254</v>
      </c>
      <c r="N197" s="3">
        <f t="shared" ca="1" si="233"/>
        <v>4346.2868991666701</v>
      </c>
      <c r="O197" s="3">
        <f t="shared" si="234"/>
        <v>-56026.3</v>
      </c>
      <c r="P197" s="3">
        <f t="shared" si="235"/>
        <v>520102.83</v>
      </c>
      <c r="Q197" s="3">
        <f t="shared" si="236"/>
        <v>1137613.8</v>
      </c>
      <c r="R197" s="3">
        <f t="shared" si="237"/>
        <v>0</v>
      </c>
      <c r="S197" s="47">
        <f t="shared" ca="1" si="202"/>
        <v>1130268.9196912993</v>
      </c>
      <c r="T197" s="47">
        <f>IFERROR(HLOOKUP(B197-1,'EV Forecast VRZ'!$F$124:$T$130,3,FALSE)/12,0)+IFERROR(((HLOOKUP(B197,'EV Forecast VRZ'!$F$116:$T$122,3,FALSE)-HLOOKUP(B197-1,'EV Forecast VRZ'!$F$124:$T$130,3,FALSE)))*C197/78,0)</f>
        <v>79417.54905876152</v>
      </c>
      <c r="U197" s="47">
        <f ca="1">HLOOKUP(B197,Heating!$C$102:$O$106,3,FALSE)*INDEX(Weather!$BO$1:$CB$20,MATCH(B197,Weather!$BO$1:$BO$20,0),MATCH(C197,Weather!$BO$1:$CB$1,0))/VLOOKUP(B197,Weather!$BO$2:$CB$20,14,FALSE)</f>
        <v>44671.475710147926</v>
      </c>
      <c r="V197" s="47">
        <f t="shared" ca="1" si="218"/>
        <v>1254357.9444602088</v>
      </c>
    </row>
    <row r="198" spans="1:22">
      <c r="A198" s="2">
        <f t="shared" si="203"/>
        <v>47999</v>
      </c>
      <c r="B198">
        <f t="shared" si="204"/>
        <v>2031</v>
      </c>
      <c r="C198">
        <f t="shared" si="205"/>
        <v>5</v>
      </c>
      <c r="E198" s="3">
        <f t="shared" ref="E198:F198" ca="1" si="241">E186</f>
        <v>150.136897859768</v>
      </c>
      <c r="F198" s="3">
        <f t="shared" ca="1" si="241"/>
        <v>52.487435064935063</v>
      </c>
      <c r="G198" s="47">
        <f t="shared" si="227"/>
        <v>1</v>
      </c>
      <c r="H198" s="47">
        <f t="shared" si="208"/>
        <v>196</v>
      </c>
      <c r="I198" s="47">
        <f t="shared" si="209"/>
        <v>31</v>
      </c>
      <c r="J198">
        <v>0</v>
      </c>
      <c r="L198" s="3">
        <f t="shared" si="231"/>
        <v>-769716</v>
      </c>
      <c r="M198" s="3">
        <f t="shared" ca="1" si="232"/>
        <v>125229.09642269376</v>
      </c>
      <c r="N198" s="3">
        <f t="shared" ca="1" si="233"/>
        <v>104127.25054100649</v>
      </c>
      <c r="O198" s="3">
        <f t="shared" si="234"/>
        <v>-56026.3</v>
      </c>
      <c r="P198" s="3">
        <f t="shared" si="235"/>
        <v>522770.02399999998</v>
      </c>
      <c r="Q198" s="3">
        <f t="shared" si="236"/>
        <v>1175534.26</v>
      </c>
      <c r="R198" s="3">
        <f t="shared" si="237"/>
        <v>0</v>
      </c>
      <c r="S198" s="47">
        <f t="shared" ca="1" si="202"/>
        <v>1101918.3309637001</v>
      </c>
      <c r="T198" s="47">
        <f>IFERROR(HLOOKUP(B198-1,'EV Forecast VRZ'!$F$124:$T$130,3,FALSE)/12,0)+IFERROR(((HLOOKUP(B198,'EV Forecast VRZ'!$F$116:$T$122,3,FALSE)-HLOOKUP(B198-1,'EV Forecast VRZ'!$F$124:$T$130,3,FALSE)))*C198/78,0)</f>
        <v>80327.493386128801</v>
      </c>
      <c r="U198" s="47">
        <f ca="1">HLOOKUP(B198,Heating!$C$102:$O$106,3,FALSE)*INDEX(Weather!$BO$1:$CB$20,MATCH(B198,Weather!$BO$1:$BO$20,0),MATCH(C198,Weather!$BO$1:$CB$1,0))/VLOOKUP(B198,Weather!$BO$2:$CB$20,14,FALSE)</f>
        <v>19031.130596478011</v>
      </c>
      <c r="V198" s="47">
        <f t="shared" ca="1" si="218"/>
        <v>1201276.954946307</v>
      </c>
    </row>
    <row r="199" spans="1:22">
      <c r="A199" s="2">
        <f t="shared" si="203"/>
        <v>48029</v>
      </c>
      <c r="B199">
        <f t="shared" si="204"/>
        <v>2031</v>
      </c>
      <c r="C199">
        <f t="shared" si="205"/>
        <v>6</v>
      </c>
      <c r="E199" s="3">
        <f t="shared" ref="E199:F199" ca="1" si="242">E187</f>
        <v>32.520923826173821</v>
      </c>
      <c r="F199" s="3">
        <f t="shared" ca="1" si="242"/>
        <v>137.65451754405018</v>
      </c>
      <c r="G199" s="47">
        <f t="shared" si="227"/>
        <v>0</v>
      </c>
      <c r="H199" s="47">
        <f t="shared" si="208"/>
        <v>197</v>
      </c>
      <c r="I199" s="47">
        <f t="shared" si="209"/>
        <v>30</v>
      </c>
      <c r="J199">
        <v>0</v>
      </c>
      <c r="L199" s="3">
        <f t="shared" si="231"/>
        <v>-769716</v>
      </c>
      <c r="M199" s="3">
        <f t="shared" ca="1" si="232"/>
        <v>27125.683050857286</v>
      </c>
      <c r="N199" s="3">
        <f t="shared" ca="1" si="233"/>
        <v>273086.05228428153</v>
      </c>
      <c r="O199" s="3">
        <f t="shared" si="234"/>
        <v>0</v>
      </c>
      <c r="P199" s="3">
        <f t="shared" si="235"/>
        <v>525437.21799999999</v>
      </c>
      <c r="Q199" s="3">
        <f t="shared" si="236"/>
        <v>1137613.8</v>
      </c>
      <c r="R199" s="3">
        <f t="shared" si="237"/>
        <v>0</v>
      </c>
      <c r="S199" s="47">
        <f t="shared" ca="1" si="202"/>
        <v>1193546.7533351388</v>
      </c>
      <c r="T199" s="47">
        <f>IFERROR(HLOOKUP(B199-1,'EV Forecast VRZ'!$F$124:$T$130,3,FALSE)/12,0)+IFERROR(((HLOOKUP(B199,'EV Forecast VRZ'!$F$116:$T$122,3,FALSE)-HLOOKUP(B199-1,'EV Forecast VRZ'!$F$124:$T$130,3,FALSE)))*C199/78,0)</f>
        <v>81237.437713496081</v>
      </c>
      <c r="U199" s="47">
        <f ca="1">HLOOKUP(B199,Heating!$C$102:$O$106,3,FALSE)*INDEX(Weather!$BO$1:$CB$20,MATCH(B199,Weather!$BO$1:$BO$20,0),MATCH(C199,Weather!$BO$1:$CB$1,0))/VLOOKUP(B199,Weather!$BO$2:$CB$20,14,FALSE)</f>
        <v>4122.3040923098488</v>
      </c>
      <c r="V199" s="47">
        <f t="shared" ca="1" si="218"/>
        <v>1278906.4951409448</v>
      </c>
    </row>
    <row r="200" spans="1:22">
      <c r="A200" s="2">
        <f t="shared" si="203"/>
        <v>48060</v>
      </c>
      <c r="B200">
        <f t="shared" si="204"/>
        <v>2031</v>
      </c>
      <c r="C200">
        <f t="shared" si="205"/>
        <v>7</v>
      </c>
      <c r="E200" s="3">
        <f t="shared" ref="E200:F200" ca="1" si="243">E188</f>
        <v>1.6179166666666653</v>
      </c>
      <c r="F200" s="3">
        <f t="shared" ca="1" si="243"/>
        <v>235.94737858727848</v>
      </c>
      <c r="G200" s="47">
        <f t="shared" si="227"/>
        <v>0</v>
      </c>
      <c r="H200" s="47">
        <f t="shared" si="208"/>
        <v>198</v>
      </c>
      <c r="I200" s="47">
        <f t="shared" si="209"/>
        <v>31</v>
      </c>
      <c r="J200">
        <v>0</v>
      </c>
      <c r="L200" s="3">
        <f t="shared" si="231"/>
        <v>-769716</v>
      </c>
      <c r="M200" s="3">
        <f t="shared" ca="1" si="232"/>
        <v>1349.5033209166654</v>
      </c>
      <c r="N200" s="3">
        <f t="shared" ca="1" si="233"/>
        <v>468084.44295775105</v>
      </c>
      <c r="O200" s="3">
        <f t="shared" si="234"/>
        <v>0</v>
      </c>
      <c r="P200" s="3">
        <f t="shared" si="235"/>
        <v>528104.41200000001</v>
      </c>
      <c r="Q200" s="3">
        <f t="shared" si="236"/>
        <v>1175534.26</v>
      </c>
      <c r="R200" s="3">
        <f t="shared" si="237"/>
        <v>0</v>
      </c>
      <c r="S200" s="47">
        <f t="shared" ca="1" si="202"/>
        <v>1403356.6182786678</v>
      </c>
      <c r="T200" s="47">
        <f>IFERROR(HLOOKUP(B200-1,'EV Forecast VRZ'!$F$124:$T$130,3,FALSE)/12,0)+IFERROR(((HLOOKUP(B200,'EV Forecast VRZ'!$F$116:$T$122,3,FALSE)-HLOOKUP(B200-1,'EV Forecast VRZ'!$F$124:$T$130,3,FALSE)))*C200/78,0)</f>
        <v>82147.382040863347</v>
      </c>
      <c r="U200" s="47">
        <f ca="1">HLOOKUP(B200,Heating!$C$102:$O$106,3,FALSE)*INDEX(Weather!$BO$1:$CB$20,MATCH(B200,Weather!$BO$1:$BO$20,0),MATCH(C200,Weather!$BO$1:$CB$1,0))/VLOOKUP(B200,Weather!$BO$2:$CB$20,14,FALSE)</f>
        <v>205.08471812379614</v>
      </c>
      <c r="V200" s="47">
        <f t="shared" ca="1" si="218"/>
        <v>1485709.085037655</v>
      </c>
    </row>
    <row r="201" spans="1:22">
      <c r="A201" s="2">
        <f t="shared" si="203"/>
        <v>48091</v>
      </c>
      <c r="B201">
        <f t="shared" si="204"/>
        <v>2031</v>
      </c>
      <c r="C201">
        <f t="shared" si="205"/>
        <v>8</v>
      </c>
      <c r="E201" s="3">
        <f t="shared" ref="E201:F201" ca="1" si="244">E189</f>
        <v>5.6499999999999977</v>
      </c>
      <c r="F201" s="3">
        <f t="shared" ca="1" si="244"/>
        <v>210.96558794466404</v>
      </c>
      <c r="G201" s="47">
        <f t="shared" si="227"/>
        <v>0</v>
      </c>
      <c r="H201" s="47">
        <f t="shared" si="208"/>
        <v>199</v>
      </c>
      <c r="I201" s="47">
        <f t="shared" si="209"/>
        <v>31</v>
      </c>
      <c r="J201">
        <v>0</v>
      </c>
      <c r="L201" s="3">
        <f t="shared" si="231"/>
        <v>-769716</v>
      </c>
      <c r="M201" s="3">
        <f t="shared" ca="1" si="232"/>
        <v>4712.6616099999974</v>
      </c>
      <c r="N201" s="3">
        <f t="shared" ca="1" si="233"/>
        <v>418524.29260960972</v>
      </c>
      <c r="O201" s="3">
        <f t="shared" si="234"/>
        <v>0</v>
      </c>
      <c r="P201" s="3">
        <f t="shared" si="235"/>
        <v>530771.60600000003</v>
      </c>
      <c r="Q201" s="3">
        <f t="shared" si="236"/>
        <v>1175534.26</v>
      </c>
      <c r="R201" s="3">
        <f t="shared" si="237"/>
        <v>0</v>
      </c>
      <c r="S201" s="47">
        <f t="shared" ca="1" si="202"/>
        <v>1359826.8202196097</v>
      </c>
      <c r="T201" s="47">
        <f>IFERROR(HLOOKUP(B201-1,'EV Forecast VRZ'!$F$124:$T$130,3,FALSE)/12,0)+IFERROR(((HLOOKUP(B201,'EV Forecast VRZ'!$F$116:$T$122,3,FALSE)-HLOOKUP(B201-1,'EV Forecast VRZ'!$F$124:$T$130,3,FALSE)))*C201/78,0)</f>
        <v>83057.326368230628</v>
      </c>
      <c r="U201" s="47">
        <f ca="1">HLOOKUP(B201,Heating!$C$102:$O$106,3,FALSE)*INDEX(Weather!$BO$1:$CB$20,MATCH(B201,Weather!$BO$1:$BO$20,0),MATCH(C201,Weather!$BO$1:$CB$1,0))/VLOOKUP(B201,Weather!$BO$2:$CB$20,14,FALSE)</f>
        <v>716.18562393991158</v>
      </c>
      <c r="V201" s="47">
        <f t="shared" ca="1" si="218"/>
        <v>1443600.3322117801</v>
      </c>
    </row>
    <row r="202" spans="1:22">
      <c r="A202" s="2">
        <f t="shared" si="203"/>
        <v>48121</v>
      </c>
      <c r="B202">
        <f t="shared" si="204"/>
        <v>2031</v>
      </c>
      <c r="C202">
        <f t="shared" si="205"/>
        <v>9</v>
      </c>
      <c r="E202" s="3">
        <f t="shared" ref="E202:F202" ca="1" si="245">E190</f>
        <v>54.959440993788824</v>
      </c>
      <c r="F202" s="3">
        <f t="shared" ca="1" si="245"/>
        <v>106.4160119047619</v>
      </c>
      <c r="G202" s="47">
        <f t="shared" si="227"/>
        <v>1</v>
      </c>
      <c r="H202" s="47">
        <f t="shared" si="208"/>
        <v>200</v>
      </c>
      <c r="I202" s="47">
        <f t="shared" si="209"/>
        <v>30</v>
      </c>
      <c r="J202">
        <v>0</v>
      </c>
      <c r="L202" s="3">
        <f t="shared" si="231"/>
        <v>-769716</v>
      </c>
      <c r="M202" s="3">
        <f t="shared" ca="1" si="232"/>
        <v>45841.636757254659</v>
      </c>
      <c r="N202" s="3">
        <f t="shared" ca="1" si="233"/>
        <v>211113.51163327383</v>
      </c>
      <c r="O202" s="3">
        <f t="shared" si="234"/>
        <v>-56026.3</v>
      </c>
      <c r="P202" s="3">
        <f t="shared" si="235"/>
        <v>533438.80000000005</v>
      </c>
      <c r="Q202" s="3">
        <f t="shared" si="236"/>
        <v>1137613.8</v>
      </c>
      <c r="R202" s="3">
        <f t="shared" si="237"/>
        <v>0</v>
      </c>
      <c r="S202" s="47">
        <f t="shared" ca="1" si="202"/>
        <v>1102265.4483905286</v>
      </c>
      <c r="T202" s="47">
        <f>IFERROR(HLOOKUP(B202-1,'EV Forecast VRZ'!$F$124:$T$130,3,FALSE)/12,0)+IFERROR(((HLOOKUP(B202,'EV Forecast VRZ'!$F$116:$T$122,3,FALSE)-HLOOKUP(B202-1,'EV Forecast VRZ'!$F$124:$T$130,3,FALSE)))*C202/78,0)</f>
        <v>83967.270695597908</v>
      </c>
      <c r="U202" s="47">
        <f ca="1">HLOOKUP(B202,Heating!$C$102:$O$106,3,FALSE)*INDEX(Weather!$BO$1:$CB$20,MATCH(B202,Weather!$BO$1:$BO$20,0),MATCH(C202,Weather!$BO$1:$CB$1,0))/VLOOKUP(B202,Weather!$BO$2:$CB$20,14,FALSE)</f>
        <v>6966.5772636328184</v>
      </c>
      <c r="V202" s="47">
        <f t="shared" ca="1" si="218"/>
        <v>1193199.2963497592</v>
      </c>
    </row>
    <row r="203" spans="1:22">
      <c r="A203" s="2">
        <f t="shared" si="203"/>
        <v>48152</v>
      </c>
      <c r="B203">
        <f t="shared" si="204"/>
        <v>2031</v>
      </c>
      <c r="C203">
        <f t="shared" si="205"/>
        <v>10</v>
      </c>
      <c r="E203" s="3">
        <f t="shared" ref="E203:F203" ca="1" si="246">E191</f>
        <v>237.89681159420289</v>
      </c>
      <c r="F203" s="3">
        <f t="shared" ca="1" si="246"/>
        <v>17.987083333333334</v>
      </c>
      <c r="G203" s="47">
        <f t="shared" si="227"/>
        <v>1</v>
      </c>
      <c r="H203" s="47">
        <f t="shared" si="208"/>
        <v>201</v>
      </c>
      <c r="I203" s="47">
        <f t="shared" si="209"/>
        <v>31</v>
      </c>
      <c r="J203">
        <v>0</v>
      </c>
      <c r="L203" s="3">
        <f t="shared" si="231"/>
        <v>-769716</v>
      </c>
      <c r="M203" s="3">
        <f t="shared" ca="1" si="232"/>
        <v>198429.58781263765</v>
      </c>
      <c r="N203" s="3">
        <f t="shared" ca="1" si="233"/>
        <v>35683.693257916668</v>
      </c>
      <c r="O203" s="3">
        <f t="shared" si="234"/>
        <v>-56026.3</v>
      </c>
      <c r="P203" s="3">
        <f t="shared" si="235"/>
        <v>536105.99399999995</v>
      </c>
      <c r="Q203" s="3">
        <f t="shared" si="236"/>
        <v>1175534.26</v>
      </c>
      <c r="R203" s="3">
        <f t="shared" si="237"/>
        <v>0</v>
      </c>
      <c r="S203" s="47">
        <f t="shared" ca="1" si="202"/>
        <v>1120011.2350705543</v>
      </c>
      <c r="T203" s="47">
        <f>IFERROR(HLOOKUP(B203-1,'EV Forecast VRZ'!$F$124:$T$130,3,FALSE)/12,0)+IFERROR(((HLOOKUP(B203,'EV Forecast VRZ'!$F$116:$T$122,3,FALSE)-HLOOKUP(B203-1,'EV Forecast VRZ'!$F$124:$T$130,3,FALSE)))*C203/78,0)</f>
        <v>84877.215022965189</v>
      </c>
      <c r="U203" s="47">
        <f ca="1">HLOOKUP(B203,Heating!$C$102:$O$106,3,FALSE)*INDEX(Weather!$BO$1:$CB$20,MATCH(B203,Weather!$BO$1:$BO$20,0),MATCH(C203,Weather!$BO$1:$CB$1,0))/VLOOKUP(B203,Weather!$BO$2:$CB$20,14,FALSE)</f>
        <v>30155.447158391125</v>
      </c>
      <c r="V203" s="47">
        <f t="shared" ca="1" si="218"/>
        <v>1235043.8972519105</v>
      </c>
    </row>
    <row r="204" spans="1:22">
      <c r="A204" s="2">
        <f t="shared" si="203"/>
        <v>48182</v>
      </c>
      <c r="B204">
        <f t="shared" si="204"/>
        <v>2031</v>
      </c>
      <c r="C204">
        <f t="shared" si="205"/>
        <v>11</v>
      </c>
      <c r="E204" s="3">
        <f t="shared" ref="E204:F204" ca="1" si="247">E192</f>
        <v>426.62991389045737</v>
      </c>
      <c r="F204" s="3">
        <f t="shared" ca="1" si="247"/>
        <v>0.8083333333333329</v>
      </c>
      <c r="G204" s="47">
        <f t="shared" si="227"/>
        <v>1</v>
      </c>
      <c r="H204" s="47">
        <f t="shared" si="208"/>
        <v>202</v>
      </c>
      <c r="I204" s="47">
        <f t="shared" si="209"/>
        <v>30</v>
      </c>
      <c r="J204">
        <v>0</v>
      </c>
      <c r="L204" s="3">
        <f t="shared" si="231"/>
        <v>-769716</v>
      </c>
      <c r="M204" s="3">
        <f t="shared" ca="1" si="232"/>
        <v>355851.75519808213</v>
      </c>
      <c r="N204" s="3">
        <f t="shared" ca="1" si="233"/>
        <v>1603.612891666666</v>
      </c>
      <c r="O204" s="3">
        <f t="shared" si="234"/>
        <v>-56026.3</v>
      </c>
      <c r="P204" s="3">
        <f t="shared" si="235"/>
        <v>538773.18799999997</v>
      </c>
      <c r="Q204" s="3">
        <f t="shared" si="236"/>
        <v>1137613.8</v>
      </c>
      <c r="R204" s="3">
        <f t="shared" si="237"/>
        <v>0</v>
      </c>
      <c r="S204" s="47">
        <f t="shared" ca="1" si="202"/>
        <v>1208100.0560897489</v>
      </c>
      <c r="T204" s="47">
        <f>IFERROR(HLOOKUP(B204-1,'EV Forecast VRZ'!$F$124:$T$130,3,FALSE)/12,0)+IFERROR(((HLOOKUP(B204,'EV Forecast VRZ'!$F$116:$T$122,3,FALSE)-HLOOKUP(B204-1,'EV Forecast VRZ'!$F$124:$T$130,3,FALSE)))*C204/78,0)</f>
        <v>85787.159350332455</v>
      </c>
      <c r="U204" s="47">
        <f ca="1">HLOOKUP(B204,Heating!$C$102:$O$106,3,FALSE)*INDEX(Weather!$BO$1:$CB$20,MATCH(B204,Weather!$BO$1:$BO$20,0),MATCH(C204,Weather!$BO$1:$CB$1,0))/VLOOKUP(B204,Weather!$BO$2:$CB$20,14,FALSE)</f>
        <v>54078.975410808518</v>
      </c>
      <c r="V204" s="47">
        <f t="shared" ca="1" si="218"/>
        <v>1347966.19085089</v>
      </c>
    </row>
    <row r="205" spans="1:22">
      <c r="A205" s="2">
        <f t="shared" si="203"/>
        <v>48213</v>
      </c>
      <c r="B205">
        <f t="shared" si="204"/>
        <v>2031</v>
      </c>
      <c r="C205">
        <f t="shared" si="205"/>
        <v>12</v>
      </c>
      <c r="E205" s="3">
        <f t="shared" ref="E205:F205" ca="1" si="248">E193</f>
        <v>577.92800724637686</v>
      </c>
      <c r="F205" s="3">
        <f t="shared" ca="1" si="248"/>
        <v>0</v>
      </c>
      <c r="G205" s="47">
        <f t="shared" si="227"/>
        <v>0</v>
      </c>
      <c r="H205" s="47">
        <f t="shared" si="208"/>
        <v>203</v>
      </c>
      <c r="I205" s="47">
        <f t="shared" si="209"/>
        <v>31</v>
      </c>
      <c r="J205">
        <v>0</v>
      </c>
      <c r="L205" s="3">
        <f t="shared" si="231"/>
        <v>-769716</v>
      </c>
      <c r="M205" s="3">
        <f t="shared" ca="1" si="232"/>
        <v>482049.40408739855</v>
      </c>
      <c r="N205" s="3">
        <f t="shared" ca="1" si="233"/>
        <v>0</v>
      </c>
      <c r="O205" s="3">
        <f t="shared" si="234"/>
        <v>0</v>
      </c>
      <c r="P205" s="3">
        <f t="shared" si="235"/>
        <v>541440.38199999998</v>
      </c>
      <c r="Q205" s="3">
        <f t="shared" si="236"/>
        <v>1175534.26</v>
      </c>
      <c r="R205" s="3">
        <f t="shared" si="237"/>
        <v>0</v>
      </c>
      <c r="S205" s="47">
        <f t="shared" ca="1" si="202"/>
        <v>1429308.0460873987</v>
      </c>
      <c r="T205" s="47">
        <f>IFERROR(HLOOKUP(B205-1,'EV Forecast VRZ'!$F$124:$T$130,3,FALSE)/12,0)+IFERROR(((HLOOKUP(B205,'EV Forecast VRZ'!$F$116:$T$122,3,FALSE)-HLOOKUP(B205-1,'EV Forecast VRZ'!$F$124:$T$130,3,FALSE)))*C205/78,0)</f>
        <v>86697.103677699735</v>
      </c>
      <c r="U205" s="47">
        <f ca="1">HLOOKUP(B205,Heating!$C$102:$O$106,3,FALSE)*INDEX(Weather!$BO$1:$CB$20,MATCH(B205,Weather!$BO$1:$BO$20,0),MATCH(C205,Weather!$BO$1:$CB$1,0))/VLOOKUP(B205,Weather!$BO$2:$CB$20,14,FALSE)</f>
        <v>73257.297426919715</v>
      </c>
      <c r="V205" s="47">
        <f t="shared" ca="1" si="218"/>
        <v>1589262.4471920182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4CD1-5691-47DE-9F30-DD9DC88C57D0}">
  <sheetPr codeName="Sheet29">
    <tabColor theme="7" tint="0.79998168889431442"/>
  </sheetPr>
  <dimension ref="A1:AA205"/>
  <sheetViews>
    <sheetView workbookViewId="0"/>
  </sheetViews>
  <sheetFormatPr defaultRowHeight="15"/>
  <cols>
    <col min="4" max="4" width="24.85546875" customWidth="1"/>
    <col min="8" max="8" width="9.42578125" style="3" bestFit="1" customWidth="1"/>
    <col min="11" max="11" width="13.5703125" bestFit="1" customWidth="1"/>
    <col min="12" max="13" width="11.42578125" bestFit="1" customWidth="1"/>
    <col min="14" max="14" width="10.42578125" bestFit="1" customWidth="1"/>
    <col min="15" max="16" width="11.42578125" bestFit="1" customWidth="1"/>
    <col min="17" max="20" width="12.5703125" customWidth="1"/>
    <col min="24" max="24" width="13.5703125" bestFit="1" customWidth="1"/>
    <col min="25" max="25" width="12.5703125" bestFit="1" customWidth="1"/>
    <col min="26" max="26" width="13.5703125" bestFit="1" customWidth="1"/>
    <col min="27" max="27" width="8.5703125" bestFit="1" customWidth="1"/>
  </cols>
  <sheetData>
    <row r="1" spans="1:27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Data'!R1</f>
        <v>VRZ_GSlt50kWh_No_CDM</v>
      </c>
      <c r="E1" s="760" t="str">
        <f>'Monthly Data'!CN1</f>
        <v>HDD20</v>
      </c>
      <c r="F1" s="760" t="str">
        <f>'Monthly Data'!CU1</f>
        <v>CDD14</v>
      </c>
      <c r="G1" s="760" t="str">
        <f>'Monthly Data'!EJ1</f>
        <v>COVID_AM</v>
      </c>
      <c r="H1" s="760" t="str">
        <f>'Monthly Data'!DB1</f>
        <v>ON_FTEAdj</v>
      </c>
      <c r="I1" s="760" t="str">
        <f>'Monthly Data'!DQ1</f>
        <v>Month Days</v>
      </c>
      <c r="J1" s="760"/>
      <c r="K1" s="760" t="str">
        <f>W8</f>
        <v>const</v>
      </c>
      <c r="L1" s="760" t="str">
        <f>E1</f>
        <v>HDD20</v>
      </c>
      <c r="M1" s="760" t="str">
        <f>F1</f>
        <v>CDD14</v>
      </c>
      <c r="N1" s="760" t="str">
        <f>G1</f>
        <v>COVID_AM</v>
      </c>
      <c r="O1" s="760" t="str">
        <f t="shared" ref="O1:P1" si="0">H1</f>
        <v>ON_FTEAdj</v>
      </c>
      <c r="P1" s="760" t="str">
        <f t="shared" si="0"/>
        <v>Month Days</v>
      </c>
      <c r="Q1" s="760" t="s">
        <v>439</v>
      </c>
      <c r="R1" s="760" t="s">
        <v>632</v>
      </c>
      <c r="S1" s="760" t="s">
        <v>347</v>
      </c>
      <c r="T1" s="760" t="s">
        <v>634</v>
      </c>
    </row>
    <row r="2" spans="1:27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Data'!R2</f>
        <v>26981959.517060727</v>
      </c>
      <c r="E2" s="98">
        <f ca="1">Weather!BG46</f>
        <v>759.33418478260865</v>
      </c>
      <c r="F2" s="98">
        <f ca="1">Weather!CX46</f>
        <v>0</v>
      </c>
      <c r="G2">
        <f>'Monthly Data'!EJ2</f>
        <v>0</v>
      </c>
      <c r="H2" s="3">
        <f>'Monthly Data'!DB2</f>
        <v>6833</v>
      </c>
      <c r="I2" s="3">
        <f>'Monthly Data'!DQ2</f>
        <v>31</v>
      </c>
      <c r="K2" s="3">
        <f t="shared" ref="K2:K65" si="1">$X$8</f>
        <v>-4083957</v>
      </c>
      <c r="L2" s="3">
        <f t="shared" ref="L2:L65" ca="1" si="2">E2*$X$9</f>
        <v>8463356.5833826084</v>
      </c>
      <c r="M2" s="3">
        <f t="shared" ref="M2:M65" ca="1" si="3">F2*$X$10</f>
        <v>0</v>
      </c>
      <c r="N2" s="3">
        <f t="shared" ref="N2:N65" si="4">G2*$X$11</f>
        <v>0</v>
      </c>
      <c r="O2" s="3">
        <f t="shared" ref="O2:O65" si="5">H2*$X$12</f>
        <v>6916225.9399999995</v>
      </c>
      <c r="P2" s="3">
        <f t="shared" ref="P2:P65" si="6">I2*$X$13</f>
        <v>14778211.5</v>
      </c>
      <c r="Q2" s="47">
        <f t="shared" ref="Q2:Q21" ca="1" si="7">SUM(K2:P2)</f>
        <v>26073837.023382608</v>
      </c>
      <c r="R2" s="47">
        <f>'Monthly Data'!S2</f>
        <v>0</v>
      </c>
      <c r="S2" s="47">
        <f>+'Monthly Data'!T2</f>
        <v>0</v>
      </c>
      <c r="T2" s="47">
        <f t="shared" ref="T2:T54" ca="1" si="8">Q2+R2+S2</f>
        <v>26073837.023382608</v>
      </c>
    </row>
    <row r="3" spans="1:27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Data'!R3</f>
        <v>25430194.3105684</v>
      </c>
      <c r="E3" s="98">
        <f ca="1">Weather!BG47</f>
        <v>680.85501811594202</v>
      </c>
      <c r="F3" s="98">
        <f ca="1">Weather!CX47</f>
        <v>0</v>
      </c>
      <c r="G3">
        <f>'Monthly Data'!EJ3</f>
        <v>0</v>
      </c>
      <c r="H3" s="3">
        <f>'Monthly Data'!DB3</f>
        <v>6837.7</v>
      </c>
      <c r="I3" s="3">
        <f>'Monthly Data'!DQ3</f>
        <v>28</v>
      </c>
      <c r="K3" s="3">
        <f t="shared" si="1"/>
        <v>-4083957</v>
      </c>
      <c r="L3" s="3">
        <f t="shared" ca="1" si="2"/>
        <v>7588646.6267159423</v>
      </c>
      <c r="M3" s="3">
        <f t="shared" ca="1" si="3"/>
        <v>0</v>
      </c>
      <c r="N3" s="3">
        <f t="shared" si="4"/>
        <v>0</v>
      </c>
      <c r="O3" s="3">
        <f t="shared" si="5"/>
        <v>6920983.1859999998</v>
      </c>
      <c r="P3" s="3">
        <f t="shared" si="6"/>
        <v>13348062</v>
      </c>
      <c r="Q3" s="47">
        <f t="shared" ca="1" si="7"/>
        <v>23773734.81271594</v>
      </c>
      <c r="R3" s="47">
        <f>'Monthly Data'!S3</f>
        <v>0</v>
      </c>
      <c r="S3" s="47">
        <f>+'Monthly Data'!T3</f>
        <v>0</v>
      </c>
      <c r="T3" s="47">
        <f t="shared" ca="1" si="8"/>
        <v>23773734.81271594</v>
      </c>
      <c r="W3" t="s">
        <v>544</v>
      </c>
    </row>
    <row r="4" spans="1:27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Data'!R4</f>
        <v>24877501.19547607</v>
      </c>
      <c r="E4" s="98">
        <f ca="1">Weather!BG48</f>
        <v>608.13298913043479</v>
      </c>
      <c r="F4" s="98">
        <f ca="1">Weather!CX48</f>
        <v>0</v>
      </c>
      <c r="G4">
        <f>'Monthly Data'!EJ4</f>
        <v>0</v>
      </c>
      <c r="H4" s="3">
        <f>'Monthly Data'!DB4</f>
        <v>6840.5</v>
      </c>
      <c r="I4" s="3">
        <f>'Monthly Data'!DQ4</f>
        <v>31</v>
      </c>
      <c r="K4" s="3">
        <f t="shared" si="1"/>
        <v>-4083957</v>
      </c>
      <c r="L4" s="3">
        <f t="shared" ca="1" si="2"/>
        <v>6778104.3449304346</v>
      </c>
      <c r="M4" s="3">
        <f t="shared" ca="1" si="3"/>
        <v>0</v>
      </c>
      <c r="N4" s="3">
        <f t="shared" si="4"/>
        <v>0</v>
      </c>
      <c r="O4" s="3">
        <f t="shared" si="5"/>
        <v>6923817.29</v>
      </c>
      <c r="P4" s="3">
        <f t="shared" si="6"/>
        <v>14778211.5</v>
      </c>
      <c r="Q4" s="47">
        <f t="shared" ca="1" si="7"/>
        <v>24396176.134930436</v>
      </c>
      <c r="R4" s="47">
        <f>'Monthly Data'!S4</f>
        <v>0</v>
      </c>
      <c r="S4" s="47">
        <f>+'Monthly Data'!T4</f>
        <v>0</v>
      </c>
      <c r="T4" s="47">
        <f t="shared" ca="1" si="8"/>
        <v>24396176.134930436</v>
      </c>
      <c r="W4" t="s">
        <v>427</v>
      </c>
    </row>
    <row r="5" spans="1:27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Data'!R5</f>
        <v>21229741.062543746</v>
      </c>
      <c r="E5" s="98">
        <f ca="1">Weather!BG49</f>
        <v>412.37941287878795</v>
      </c>
      <c r="F5" s="98">
        <f ca="1">Weather!CX49</f>
        <v>2.1908333333333347</v>
      </c>
      <c r="G5">
        <f>'Monthly Data'!EJ5</f>
        <v>0</v>
      </c>
      <c r="H5" s="3">
        <f>'Monthly Data'!DB5</f>
        <v>6846.6</v>
      </c>
      <c r="I5" s="3">
        <f>'Monthly Data'!DQ5</f>
        <v>30</v>
      </c>
      <c r="K5" s="3">
        <f t="shared" si="1"/>
        <v>-4083957</v>
      </c>
      <c r="L5" s="3">
        <f t="shared" ca="1" si="2"/>
        <v>4596281.9648878798</v>
      </c>
      <c r="M5" s="3">
        <f t="shared" ca="1" si="3"/>
        <v>75701.11294166671</v>
      </c>
      <c r="N5" s="3">
        <f t="shared" si="4"/>
        <v>0</v>
      </c>
      <c r="O5" s="3">
        <f t="shared" si="5"/>
        <v>6929991.5880000005</v>
      </c>
      <c r="P5" s="3">
        <f t="shared" si="6"/>
        <v>14301495</v>
      </c>
      <c r="Q5" s="47">
        <f t="shared" ca="1" si="7"/>
        <v>21819512.665829547</v>
      </c>
      <c r="R5" s="47">
        <f>'Monthly Data'!S5</f>
        <v>0</v>
      </c>
      <c r="S5" s="47">
        <f>+'Monthly Data'!T5</f>
        <v>0</v>
      </c>
      <c r="T5" s="47">
        <f t="shared" ca="1" si="8"/>
        <v>21819512.665829547</v>
      </c>
      <c r="W5" t="s">
        <v>545</v>
      </c>
    </row>
    <row r="6" spans="1:27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Data'!R6</f>
        <v>20575374.446851514</v>
      </c>
      <c r="E6" s="98">
        <f ca="1">Weather!BG50</f>
        <v>202.70273119310133</v>
      </c>
      <c r="F6" s="98">
        <f ca="1">Weather!CX50</f>
        <v>52.487435064935063</v>
      </c>
      <c r="G6">
        <f>'Monthly Data'!EJ6</f>
        <v>0</v>
      </c>
      <c r="H6" s="3">
        <f>'Monthly Data'!DB6</f>
        <v>6853.6</v>
      </c>
      <c r="I6" s="3">
        <f>'Monthly Data'!DQ6</f>
        <v>31</v>
      </c>
      <c r="K6" s="3">
        <f t="shared" si="1"/>
        <v>-4083957</v>
      </c>
      <c r="L6" s="3">
        <f t="shared" ca="1" si="2"/>
        <v>2259275.993222821</v>
      </c>
      <c r="M6" s="3">
        <f t="shared" ca="1" si="3"/>
        <v>1813628.2616366881</v>
      </c>
      <c r="N6" s="3">
        <f t="shared" si="4"/>
        <v>0</v>
      </c>
      <c r="O6" s="3">
        <f t="shared" si="5"/>
        <v>6937076.8480000002</v>
      </c>
      <c r="P6" s="3">
        <f t="shared" si="6"/>
        <v>14778211.5</v>
      </c>
      <c r="Q6" s="47">
        <f t="shared" ca="1" si="7"/>
        <v>21704235.602859508</v>
      </c>
      <c r="R6" s="47">
        <f>'Monthly Data'!S6</f>
        <v>0</v>
      </c>
      <c r="S6" s="47">
        <f>+'Monthly Data'!T6</f>
        <v>0</v>
      </c>
      <c r="T6" s="47">
        <f t="shared" ca="1" si="8"/>
        <v>21704235.602859508</v>
      </c>
    </row>
    <row r="7" spans="1:27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Data'!R7</f>
        <v>20752045.947469089</v>
      </c>
      <c r="E7" s="98">
        <f ca="1">Weather!BG51</f>
        <v>66.09717382617383</v>
      </c>
      <c r="F7" s="98">
        <f ca="1">Weather!CX51</f>
        <v>137.65451754405018</v>
      </c>
      <c r="G7">
        <f>'Monthly Data'!EJ7</f>
        <v>0</v>
      </c>
      <c r="H7" s="3">
        <f>'Monthly Data'!DB7</f>
        <v>6861.1</v>
      </c>
      <c r="I7" s="3">
        <f>'Monthly Data'!DQ7</f>
        <v>30</v>
      </c>
      <c r="K7" s="3">
        <f t="shared" si="1"/>
        <v>-4083957</v>
      </c>
      <c r="L7" s="3">
        <f t="shared" ca="1" si="2"/>
        <v>736703.23614481522</v>
      </c>
      <c r="M7" s="3">
        <f t="shared" ca="1" si="3"/>
        <v>4756455.0077745663</v>
      </c>
      <c r="N7" s="3">
        <f t="shared" si="4"/>
        <v>0</v>
      </c>
      <c r="O7" s="3">
        <f t="shared" si="5"/>
        <v>6944668.1979999999</v>
      </c>
      <c r="P7" s="3">
        <f t="shared" si="6"/>
        <v>14301495</v>
      </c>
      <c r="Q7" s="47">
        <f t="shared" ca="1" si="7"/>
        <v>22655364.441919379</v>
      </c>
      <c r="R7" s="47">
        <f>'Monthly Data'!S7</f>
        <v>0</v>
      </c>
      <c r="S7" s="47">
        <f>+'Monthly Data'!T7</f>
        <v>0</v>
      </c>
      <c r="T7" s="47">
        <f t="shared" ca="1" si="8"/>
        <v>22655364.441919379</v>
      </c>
      <c r="X7" t="s">
        <v>409</v>
      </c>
      <c r="Y7" t="s">
        <v>410</v>
      </c>
      <c r="Z7" t="s">
        <v>411</v>
      </c>
      <c r="AA7" t="s">
        <v>412</v>
      </c>
    </row>
    <row r="8" spans="1:27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Data'!R8</f>
        <v>23522096.251636662</v>
      </c>
      <c r="E8" s="98">
        <f ca="1">Weather!BG52</f>
        <v>10.249063146997932</v>
      </c>
      <c r="F8" s="98">
        <f ca="1">Weather!CX52</f>
        <v>235.94737858727848</v>
      </c>
      <c r="G8">
        <f>'Monthly Data'!EJ8</f>
        <v>0</v>
      </c>
      <c r="H8" s="3">
        <f>'Monthly Data'!DB8</f>
        <v>6872.7</v>
      </c>
      <c r="I8" s="3">
        <f>'Monthly Data'!DQ8</f>
        <v>31</v>
      </c>
      <c r="K8" s="3">
        <f t="shared" si="1"/>
        <v>-4083957</v>
      </c>
      <c r="L8" s="3">
        <f t="shared" ca="1" si="2"/>
        <v>114233.59806128367</v>
      </c>
      <c r="M8" s="3">
        <f t="shared" ca="1" si="3"/>
        <v>8152824.2623320278</v>
      </c>
      <c r="N8" s="3">
        <f t="shared" si="4"/>
        <v>0</v>
      </c>
      <c r="O8" s="3">
        <f t="shared" si="5"/>
        <v>6956409.4859999996</v>
      </c>
      <c r="P8" s="3">
        <f t="shared" si="6"/>
        <v>14778211.5</v>
      </c>
      <c r="Q8" s="47">
        <f t="shared" ca="1" si="7"/>
        <v>25917721.84639331</v>
      </c>
      <c r="R8" s="47">
        <f>'Monthly Data'!S8</f>
        <v>0</v>
      </c>
      <c r="S8" s="47">
        <f>+'Monthly Data'!T8</f>
        <v>0</v>
      </c>
      <c r="T8" s="47">
        <f t="shared" ca="1" si="8"/>
        <v>25917721.84639331</v>
      </c>
      <c r="W8" t="s">
        <v>413</v>
      </c>
      <c r="X8" s="616">
        <f>'VRZ GS &lt; 50'!Y8</f>
        <v>-4083957</v>
      </c>
      <c r="Y8" s="3">
        <f>'VRZ GS &lt; 50'!Z8</f>
        <v>4062698</v>
      </c>
      <c r="Z8" s="360">
        <f>'VRZ GS &lt; 50'!AA8</f>
        <v>-1.0052300000000001</v>
      </c>
      <c r="AA8" s="370">
        <f>'VRZ GS &lt; 50'!AB8</f>
        <v>0.31691399999999997</v>
      </c>
    </row>
    <row r="9" spans="1:27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Data'!R9</f>
        <v>22759897.850964334</v>
      </c>
      <c r="E9" s="98">
        <f ca="1">Weather!BG53</f>
        <v>21.194927536231887</v>
      </c>
      <c r="F9" s="98">
        <f ca="1">Weather!CX53</f>
        <v>210.96558794466404</v>
      </c>
      <c r="G9">
        <f>'Monthly Data'!EJ9</f>
        <v>0</v>
      </c>
      <c r="H9" s="3">
        <f>'Monthly Data'!DB9</f>
        <v>6878.1</v>
      </c>
      <c r="I9" s="3">
        <f>'Monthly Data'!DQ9</f>
        <v>31</v>
      </c>
      <c r="K9" s="3">
        <f t="shared" si="1"/>
        <v>-4083957</v>
      </c>
      <c r="L9" s="3">
        <f t="shared" ca="1" si="2"/>
        <v>236233.57553623192</v>
      </c>
      <c r="M9" s="3">
        <f t="shared" ca="1" si="3"/>
        <v>7289614.2106371047</v>
      </c>
      <c r="N9" s="3">
        <f t="shared" si="4"/>
        <v>0</v>
      </c>
      <c r="O9" s="3">
        <f t="shared" si="5"/>
        <v>6961875.2580000004</v>
      </c>
      <c r="P9" s="3">
        <f t="shared" si="6"/>
        <v>14778211.5</v>
      </c>
      <c r="Q9" s="47">
        <f t="shared" ca="1" si="7"/>
        <v>25181977.544173338</v>
      </c>
      <c r="R9" s="47">
        <f>'Monthly Data'!S9</f>
        <v>0</v>
      </c>
      <c r="S9" s="47">
        <f>+'Monthly Data'!T9</f>
        <v>0</v>
      </c>
      <c r="T9" s="47">
        <f t="shared" ca="1" si="8"/>
        <v>25181977.544173338</v>
      </c>
      <c r="W9" t="s">
        <v>40</v>
      </c>
      <c r="X9" s="3">
        <f>'VRZ GS &lt; 50'!Y9</f>
        <v>11145.76</v>
      </c>
      <c r="Y9" s="3">
        <f>'VRZ GS &lt; 50'!Z9</f>
        <v>459.44279999999998</v>
      </c>
      <c r="Z9" s="360">
        <f>'VRZ GS &lt; 50'!AA9</f>
        <v>24.25929</v>
      </c>
      <c r="AA9" s="370">
        <f>'VRZ GS &lt; 50'!AB9</f>
        <v>7.8400000000000004E-47</v>
      </c>
    </row>
    <row r="10" spans="1:27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Data'!R10</f>
        <v>21803606.345172107</v>
      </c>
      <c r="E10" s="98">
        <f ca="1">Weather!BG54</f>
        <v>96.735690993788822</v>
      </c>
      <c r="F10" s="98">
        <f ca="1">Weather!CX54</f>
        <v>106.4160119047619</v>
      </c>
      <c r="G10">
        <f>'Monthly Data'!EJ10</f>
        <v>0</v>
      </c>
      <c r="H10" s="3">
        <f>'Monthly Data'!DB10</f>
        <v>6871</v>
      </c>
      <c r="I10" s="3">
        <f>'Monthly Data'!DQ10</f>
        <v>30</v>
      </c>
      <c r="K10" s="3">
        <f t="shared" si="1"/>
        <v>-4083957</v>
      </c>
      <c r="L10" s="3">
        <f t="shared" ca="1" si="2"/>
        <v>1078192.7952509318</v>
      </c>
      <c r="M10" s="3">
        <f t="shared" ca="1" si="3"/>
        <v>3677053.1164720235</v>
      </c>
      <c r="N10" s="3">
        <f t="shared" si="4"/>
        <v>0</v>
      </c>
      <c r="O10" s="3">
        <f t="shared" si="5"/>
        <v>6954688.7799999993</v>
      </c>
      <c r="P10" s="3">
        <f t="shared" si="6"/>
        <v>14301495</v>
      </c>
      <c r="Q10" s="47">
        <f t="shared" ca="1" si="7"/>
        <v>21927472.691722956</v>
      </c>
      <c r="R10" s="47">
        <f>'Monthly Data'!S10</f>
        <v>0</v>
      </c>
      <c r="S10" s="47">
        <f>+'Monthly Data'!T10</f>
        <v>0</v>
      </c>
      <c r="T10" s="47">
        <f t="shared" ca="1" si="8"/>
        <v>21927472.691722956</v>
      </c>
      <c r="W10" t="s">
        <v>47</v>
      </c>
      <c r="X10" s="3">
        <f>'VRZ GS &lt; 50'!Y10</f>
        <v>34553.57</v>
      </c>
      <c r="Y10" s="3">
        <f>'VRZ GS &lt; 50'!Z10</f>
        <v>1177.922</v>
      </c>
      <c r="Z10" s="360">
        <f>'VRZ GS &lt; 50'!AA10</f>
        <v>29.334340000000001</v>
      </c>
      <c r="AA10" s="370">
        <f>'VRZ GS &lt; 50'!AB10</f>
        <v>6.0499999999999999E-55</v>
      </c>
    </row>
    <row r="11" spans="1:27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Data'!R11</f>
        <v>20501518.191849783</v>
      </c>
      <c r="E11" s="98">
        <f ca="1">Weather!BG55</f>
        <v>298.21097826086958</v>
      </c>
      <c r="F11" s="98">
        <f ca="1">Weather!CX55</f>
        <v>17.987083333333334</v>
      </c>
      <c r="G11">
        <f>'Monthly Data'!EJ11</f>
        <v>0</v>
      </c>
      <c r="H11" s="3">
        <f>'Monthly Data'!DB11</f>
        <v>6867.3</v>
      </c>
      <c r="I11" s="3">
        <f>'Monthly Data'!DQ11</f>
        <v>31</v>
      </c>
      <c r="K11" s="3">
        <f t="shared" si="1"/>
        <v>-4083957</v>
      </c>
      <c r="L11" s="3">
        <f t="shared" ca="1" si="2"/>
        <v>3323787.9930608696</v>
      </c>
      <c r="M11" s="3">
        <f t="shared" ca="1" si="3"/>
        <v>621517.94305416674</v>
      </c>
      <c r="N11" s="3">
        <f t="shared" si="4"/>
        <v>0</v>
      </c>
      <c r="O11" s="3">
        <f t="shared" si="5"/>
        <v>6950943.7139999997</v>
      </c>
      <c r="P11" s="3">
        <f t="shared" si="6"/>
        <v>14778211.5</v>
      </c>
      <c r="Q11" s="47">
        <f t="shared" ca="1" si="7"/>
        <v>21590504.150115035</v>
      </c>
      <c r="R11" s="47">
        <f>'Monthly Data'!S11</f>
        <v>0</v>
      </c>
      <c r="S11" s="47">
        <f>+'Monthly Data'!T11</f>
        <v>0</v>
      </c>
      <c r="T11" s="47">
        <f t="shared" ca="1" si="8"/>
        <v>21590504.150115035</v>
      </c>
      <c r="W11" t="s">
        <v>213</v>
      </c>
      <c r="X11" s="616">
        <f>'VRZ GS &lt; 50'!Y11</f>
        <v>-2450397</v>
      </c>
      <c r="Y11" s="3">
        <f>'VRZ GS &lt; 50'!Z11</f>
        <v>647593.69999999995</v>
      </c>
      <c r="Z11" s="360">
        <f>'VRZ GS &lt; 50'!AA11</f>
        <v>-3.7838500000000002</v>
      </c>
      <c r="AA11" s="370">
        <f>'VRZ GS &lt; 50'!AB11</f>
        <v>2.4800000000000001E-4</v>
      </c>
    </row>
    <row r="12" spans="1:27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Data'!R12</f>
        <v>21181526.340287454</v>
      </c>
      <c r="E12" s="98">
        <f ca="1">Weather!BG56</f>
        <v>486.62991389045737</v>
      </c>
      <c r="F12" s="98">
        <f ca="1">Weather!CX56</f>
        <v>0.8083333333333329</v>
      </c>
      <c r="G12">
        <f>'Monthly Data'!EJ12</f>
        <v>0</v>
      </c>
      <c r="H12" s="3">
        <f>'Monthly Data'!DB12</f>
        <v>6858.8</v>
      </c>
      <c r="I12" s="3">
        <f>'Monthly Data'!DQ12</f>
        <v>30</v>
      </c>
      <c r="K12" s="3">
        <f t="shared" si="1"/>
        <v>-4083957</v>
      </c>
      <c r="L12" s="3">
        <f t="shared" ca="1" si="2"/>
        <v>5423860.2290437045</v>
      </c>
      <c r="M12" s="3">
        <f t="shared" ca="1" si="3"/>
        <v>27930.802416666651</v>
      </c>
      <c r="N12" s="3">
        <f t="shared" si="4"/>
        <v>0</v>
      </c>
      <c r="O12" s="3">
        <f t="shared" si="5"/>
        <v>6942340.1839999994</v>
      </c>
      <c r="P12" s="3">
        <f t="shared" si="6"/>
        <v>14301495</v>
      </c>
      <c r="Q12" s="47">
        <f t="shared" ca="1" si="7"/>
        <v>22611669.215460371</v>
      </c>
      <c r="R12" s="47">
        <f>'Monthly Data'!S12</f>
        <v>0</v>
      </c>
      <c r="S12" s="47">
        <f>+'Monthly Data'!T12</f>
        <v>0</v>
      </c>
      <c r="T12" s="47">
        <f t="shared" ca="1" si="8"/>
        <v>22611669.215460371</v>
      </c>
      <c r="W12" t="s">
        <v>120</v>
      </c>
      <c r="X12" s="3">
        <f>'VRZ GS &lt; 50'!Y12</f>
        <v>1012.18</v>
      </c>
      <c r="Y12" s="3">
        <f>'VRZ GS &lt; 50'!Z12</f>
        <v>518.94770000000005</v>
      </c>
      <c r="Z12" s="360">
        <f>'VRZ GS &lt; 50'!AA12</f>
        <v>1.950448</v>
      </c>
      <c r="AA12" s="370">
        <f>'VRZ GS &lt; 50'!AB12</f>
        <v>5.3577E-2</v>
      </c>
    </row>
    <row r="13" spans="1:27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Data'!R13</f>
        <v>22656543.141495027</v>
      </c>
      <c r="E13" s="98">
        <f ca="1">Weather!BG57</f>
        <v>639.92800724637686</v>
      </c>
      <c r="F13" s="98">
        <f ca="1">Weather!CX57</f>
        <v>0</v>
      </c>
      <c r="G13">
        <f>'Monthly Data'!EJ13</f>
        <v>0</v>
      </c>
      <c r="H13" s="3">
        <f>'Monthly Data'!DB13</f>
        <v>6868.5</v>
      </c>
      <c r="I13" s="3">
        <f>'Monthly Data'!DQ13</f>
        <v>31</v>
      </c>
      <c r="K13" s="3">
        <f t="shared" si="1"/>
        <v>-4083957</v>
      </c>
      <c r="L13" s="3">
        <f t="shared" ca="1" si="2"/>
        <v>7132483.9860463776</v>
      </c>
      <c r="M13" s="3">
        <f t="shared" ca="1" si="3"/>
        <v>0</v>
      </c>
      <c r="N13" s="3">
        <f t="shared" si="4"/>
        <v>0</v>
      </c>
      <c r="O13" s="3">
        <f t="shared" si="5"/>
        <v>6952158.3300000001</v>
      </c>
      <c r="P13" s="3">
        <f t="shared" si="6"/>
        <v>14778211.5</v>
      </c>
      <c r="Q13" s="47">
        <f t="shared" ca="1" si="7"/>
        <v>24778896.81604638</v>
      </c>
      <c r="R13" s="47">
        <f>'Monthly Data'!S13</f>
        <v>0</v>
      </c>
      <c r="S13" s="47">
        <f>+'Monthly Data'!T13</f>
        <v>0</v>
      </c>
      <c r="T13" s="47">
        <f t="shared" ca="1" si="8"/>
        <v>24778896.81604638</v>
      </c>
      <c r="W13" t="s">
        <v>414</v>
      </c>
      <c r="X13" s="3">
        <f>'VRZ GS &lt; 50'!Y13</f>
        <v>476716.5</v>
      </c>
      <c r="Y13" s="3">
        <f>'VRZ GS &lt; 50'!Z13</f>
        <v>44272.13</v>
      </c>
      <c r="Z13" s="360">
        <f>'VRZ GS &lt; 50'!AA13</f>
        <v>10.76787</v>
      </c>
      <c r="AA13" s="370">
        <f>'VRZ GS &lt; 50'!AB13</f>
        <v>4.4500000000000004E-19</v>
      </c>
    </row>
    <row r="14" spans="1:27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Data'!R14</f>
        <v>26806952.146743711</v>
      </c>
      <c r="E14" s="3">
        <f ca="1">E2</f>
        <v>759.33418478260865</v>
      </c>
      <c r="F14" s="3">
        <f ca="1">F2</f>
        <v>0</v>
      </c>
      <c r="G14">
        <f>'Monthly Data'!EJ14</f>
        <v>0</v>
      </c>
      <c r="H14" s="3">
        <f>'Monthly Data'!DB14</f>
        <v>6882.9</v>
      </c>
      <c r="I14" s="3">
        <f>'Monthly Data'!DQ14</f>
        <v>31</v>
      </c>
      <c r="K14" s="3">
        <f t="shared" si="1"/>
        <v>-4083957</v>
      </c>
      <c r="L14" s="3">
        <f t="shared" ca="1" si="2"/>
        <v>8463356.5833826084</v>
      </c>
      <c r="M14" s="3">
        <f t="shared" ca="1" si="3"/>
        <v>0</v>
      </c>
      <c r="N14" s="3">
        <f t="shared" si="4"/>
        <v>0</v>
      </c>
      <c r="O14" s="3">
        <f t="shared" si="5"/>
        <v>6966733.7219999991</v>
      </c>
      <c r="P14" s="3">
        <f t="shared" si="6"/>
        <v>14778211.5</v>
      </c>
      <c r="Q14" s="47">
        <f t="shared" ca="1" si="7"/>
        <v>26124344.805382609</v>
      </c>
      <c r="R14" s="47">
        <f>'Monthly Data'!S14</f>
        <v>0</v>
      </c>
      <c r="S14" s="47">
        <f>+'Monthly Data'!T14</f>
        <v>0</v>
      </c>
      <c r="T14" s="47">
        <f t="shared" ca="1" si="8"/>
        <v>26124344.805382609</v>
      </c>
      <c r="X14" s="3"/>
      <c r="Y14" s="3"/>
      <c r="Z14" s="360"/>
      <c r="AA14" s="108"/>
    </row>
    <row r="15" spans="1:27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Data'!R15</f>
        <v>24974302.665926483</v>
      </c>
      <c r="E15" s="3">
        <f t="shared" ref="E15:F15" ca="1" si="9">E3</f>
        <v>680.85501811594202</v>
      </c>
      <c r="F15" s="3">
        <f t="shared" ca="1" si="9"/>
        <v>0</v>
      </c>
      <c r="G15">
        <f>'Monthly Data'!EJ15</f>
        <v>0</v>
      </c>
      <c r="H15" s="3">
        <f>'Monthly Data'!DB15</f>
        <v>6899.5</v>
      </c>
      <c r="I15" s="3">
        <f>'Monthly Data'!DQ15</f>
        <v>29</v>
      </c>
      <c r="K15" s="3">
        <f t="shared" si="1"/>
        <v>-4083957</v>
      </c>
      <c r="L15" s="3">
        <f t="shared" ca="1" si="2"/>
        <v>7588646.6267159423</v>
      </c>
      <c r="M15" s="3">
        <f t="shared" ca="1" si="3"/>
        <v>0</v>
      </c>
      <c r="N15" s="3">
        <f t="shared" si="4"/>
        <v>0</v>
      </c>
      <c r="O15" s="3">
        <f t="shared" si="5"/>
        <v>6983535.9099999992</v>
      </c>
      <c r="P15" s="3">
        <f t="shared" si="6"/>
        <v>13824778.5</v>
      </c>
      <c r="Q15" s="47">
        <f t="shared" ca="1" si="7"/>
        <v>24313004.03671594</v>
      </c>
      <c r="R15" s="47">
        <f>'Monthly Data'!S15</f>
        <v>0</v>
      </c>
      <c r="S15" s="47">
        <f>+'Monthly Data'!T15</f>
        <v>0</v>
      </c>
      <c r="T15" s="47">
        <f t="shared" ca="1" si="8"/>
        <v>24313004.03671594</v>
      </c>
      <c r="W15" t="s">
        <v>407</v>
      </c>
      <c r="X15" s="3"/>
      <c r="Y15" s="3"/>
      <c r="Z15" s="360"/>
      <c r="AA15" s="108"/>
    </row>
    <row r="16" spans="1:27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Data'!R16</f>
        <v>24613245.078799155</v>
      </c>
      <c r="E16" s="3">
        <f t="shared" ref="E16:F16" ca="1" si="10">E4</f>
        <v>608.13298913043479</v>
      </c>
      <c r="F16" s="3">
        <f t="shared" ca="1" si="10"/>
        <v>0</v>
      </c>
      <c r="G16">
        <f>'Monthly Data'!EJ16</f>
        <v>0</v>
      </c>
      <c r="H16" s="3">
        <f>'Monthly Data'!DB16</f>
        <v>6908.6</v>
      </c>
      <c r="I16" s="3">
        <f>'Monthly Data'!DQ16</f>
        <v>31</v>
      </c>
      <c r="K16" s="3">
        <f t="shared" si="1"/>
        <v>-4083957</v>
      </c>
      <c r="L16" s="3">
        <f t="shared" ca="1" si="2"/>
        <v>6778104.3449304346</v>
      </c>
      <c r="M16" s="3">
        <f t="shared" ca="1" si="3"/>
        <v>0</v>
      </c>
      <c r="N16" s="3">
        <f t="shared" si="4"/>
        <v>0</v>
      </c>
      <c r="O16" s="3">
        <f t="shared" si="5"/>
        <v>6992746.7479999997</v>
      </c>
      <c r="P16" s="3">
        <f t="shared" si="6"/>
        <v>14778211.5</v>
      </c>
      <c r="Q16" s="47">
        <f t="shared" ca="1" si="7"/>
        <v>24465105.592930436</v>
      </c>
      <c r="R16" s="47">
        <f>'Monthly Data'!S16</f>
        <v>0</v>
      </c>
      <c r="S16" s="47">
        <f>+'Monthly Data'!T16</f>
        <v>0</v>
      </c>
      <c r="T16" s="47">
        <f t="shared" ca="1" si="8"/>
        <v>24465105.592930436</v>
      </c>
      <c r="W16" t="s">
        <v>415</v>
      </c>
      <c r="X16">
        <v>37925011225342</v>
      </c>
      <c r="Y16" t="s">
        <v>416</v>
      </c>
      <c r="Z16">
        <v>579326.82344757603</v>
      </c>
    </row>
    <row r="17" spans="1:26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Data'!R17</f>
        <v>22554956.810262024</v>
      </c>
      <c r="E17" s="3">
        <f t="shared" ref="E17:F17" ca="1" si="11">E5</f>
        <v>412.37941287878795</v>
      </c>
      <c r="F17" s="3">
        <f t="shared" ca="1" si="11"/>
        <v>2.1908333333333347</v>
      </c>
      <c r="G17">
        <f>'Monthly Data'!EJ17</f>
        <v>0</v>
      </c>
      <c r="H17" s="3">
        <f>'Monthly Data'!DB17</f>
        <v>6909</v>
      </c>
      <c r="I17" s="3">
        <f>'Monthly Data'!DQ17</f>
        <v>30</v>
      </c>
      <c r="K17" s="3">
        <f t="shared" si="1"/>
        <v>-4083957</v>
      </c>
      <c r="L17" s="3">
        <f t="shared" ca="1" si="2"/>
        <v>4596281.9648878798</v>
      </c>
      <c r="M17" s="3">
        <f t="shared" ca="1" si="3"/>
        <v>75701.11294166671</v>
      </c>
      <c r="N17" s="3">
        <f t="shared" si="4"/>
        <v>0</v>
      </c>
      <c r="O17" s="3">
        <f t="shared" si="5"/>
        <v>6993151.6200000001</v>
      </c>
      <c r="P17" s="3">
        <f t="shared" si="6"/>
        <v>14301495</v>
      </c>
      <c r="Q17" s="47">
        <f t="shared" ca="1" si="7"/>
        <v>21882672.697829545</v>
      </c>
      <c r="R17" s="47">
        <f>'Monthly Data'!S17</f>
        <v>0</v>
      </c>
      <c r="S17" s="47">
        <f>+'Monthly Data'!T17</f>
        <v>0</v>
      </c>
      <c r="T17" s="47">
        <f t="shared" ca="1" si="8"/>
        <v>21882672.697829545</v>
      </c>
      <c r="W17" t="s">
        <v>417</v>
      </c>
      <c r="X17">
        <v>0.92734748966735103</v>
      </c>
      <c r="Y17" t="s">
        <v>418</v>
      </c>
      <c r="Z17">
        <v>0.92413277682077299</v>
      </c>
    </row>
    <row r="18" spans="1:26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Data'!R18</f>
        <v>22209499.313384797</v>
      </c>
      <c r="E18" s="3">
        <f t="shared" ref="E18:F18" ca="1" si="12">E6</f>
        <v>202.70273119310133</v>
      </c>
      <c r="F18" s="3">
        <f t="shared" ca="1" si="12"/>
        <v>52.487435064935063</v>
      </c>
      <c r="G18">
        <f>'Monthly Data'!EJ18</f>
        <v>0</v>
      </c>
      <c r="H18" s="3">
        <f>'Monthly Data'!DB18</f>
        <v>6919.1</v>
      </c>
      <c r="I18" s="3">
        <f>'Monthly Data'!DQ18</f>
        <v>31</v>
      </c>
      <c r="K18" s="3">
        <f t="shared" si="1"/>
        <v>-4083957</v>
      </c>
      <c r="L18" s="3">
        <f t="shared" ca="1" si="2"/>
        <v>2259275.993222821</v>
      </c>
      <c r="M18" s="3">
        <f t="shared" ca="1" si="3"/>
        <v>1813628.2616366881</v>
      </c>
      <c r="N18" s="3">
        <f t="shared" si="4"/>
        <v>0</v>
      </c>
      <c r="O18" s="3">
        <f t="shared" si="5"/>
        <v>7003374.6380000003</v>
      </c>
      <c r="P18" s="3">
        <f t="shared" si="6"/>
        <v>14778211.5</v>
      </c>
      <c r="Q18" s="47">
        <f t="shared" ca="1" si="7"/>
        <v>21770533.392859511</v>
      </c>
      <c r="R18" s="47">
        <f>'Monthly Data'!S18</f>
        <v>0</v>
      </c>
      <c r="S18" s="47">
        <f>+'Monthly Data'!T18</f>
        <v>0</v>
      </c>
      <c r="T18" s="47">
        <f t="shared" ca="1" si="8"/>
        <v>21770533.392859511</v>
      </c>
      <c r="W18" t="s">
        <v>546</v>
      </c>
      <c r="X18">
        <v>332.18066344483901</v>
      </c>
      <c r="Y18" t="s">
        <v>419</v>
      </c>
      <c r="Z18" s="3">
        <v>8.1463656526988602E-66</v>
      </c>
    </row>
    <row r="19" spans="1:26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Data'!R19</f>
        <v>23287133.693617567</v>
      </c>
      <c r="E19" s="3">
        <f t="shared" ref="E19:F19" ca="1" si="13">E7</f>
        <v>66.09717382617383</v>
      </c>
      <c r="F19" s="3">
        <f t="shared" ca="1" si="13"/>
        <v>137.65451754405018</v>
      </c>
      <c r="G19">
        <f>'Monthly Data'!EJ19</f>
        <v>0</v>
      </c>
      <c r="H19" s="3">
        <f>'Monthly Data'!DB19</f>
        <v>6930</v>
      </c>
      <c r="I19" s="3">
        <f>'Monthly Data'!DQ19</f>
        <v>30</v>
      </c>
      <c r="K19" s="3">
        <f t="shared" si="1"/>
        <v>-4083957</v>
      </c>
      <c r="L19" s="3">
        <f t="shared" ca="1" si="2"/>
        <v>736703.23614481522</v>
      </c>
      <c r="M19" s="3">
        <f t="shared" ca="1" si="3"/>
        <v>4756455.0077745663</v>
      </c>
      <c r="N19" s="3">
        <f t="shared" si="4"/>
        <v>0</v>
      </c>
      <c r="O19" s="3">
        <f t="shared" si="5"/>
        <v>7014407.3999999994</v>
      </c>
      <c r="P19" s="3">
        <f t="shared" si="6"/>
        <v>14301495</v>
      </c>
      <c r="Q19" s="47">
        <f t="shared" ca="1" si="7"/>
        <v>22725103.643919379</v>
      </c>
      <c r="R19" s="47">
        <f>'Monthly Data'!S19</f>
        <v>0</v>
      </c>
      <c r="S19" s="47">
        <f>+'Monthly Data'!T19</f>
        <v>0</v>
      </c>
      <c r="T19" s="47">
        <f t="shared" ca="1" si="8"/>
        <v>22725103.643919379</v>
      </c>
      <c r="W19" t="s">
        <v>420</v>
      </c>
      <c r="X19" s="107">
        <v>-0.158333118685347</v>
      </c>
      <c r="Y19" t="s">
        <v>421</v>
      </c>
      <c r="Z19" s="107">
        <v>2.3002652944469899</v>
      </c>
    </row>
    <row r="20" spans="1:26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Data'!R20</f>
        <v>25850604.260270339</v>
      </c>
      <c r="E20" s="3">
        <f t="shared" ref="E20:F20" ca="1" si="14">E8</f>
        <v>10.249063146997932</v>
      </c>
      <c r="F20" s="3">
        <f t="shared" ca="1" si="14"/>
        <v>235.94737858727848</v>
      </c>
      <c r="G20">
        <f>'Monthly Data'!EJ20</f>
        <v>0</v>
      </c>
      <c r="H20" s="3">
        <f>'Monthly Data'!DB20</f>
        <v>6933.8</v>
      </c>
      <c r="I20" s="3">
        <f>'Monthly Data'!DQ20</f>
        <v>31</v>
      </c>
      <c r="K20" s="3">
        <f t="shared" si="1"/>
        <v>-4083957</v>
      </c>
      <c r="L20" s="3">
        <f t="shared" ca="1" si="2"/>
        <v>114233.59806128367</v>
      </c>
      <c r="M20" s="3">
        <f t="shared" ca="1" si="3"/>
        <v>8152824.2623320278</v>
      </c>
      <c r="N20" s="3">
        <f t="shared" si="4"/>
        <v>0</v>
      </c>
      <c r="O20" s="3">
        <f t="shared" si="5"/>
        <v>7018253.6839999994</v>
      </c>
      <c r="P20" s="3">
        <f t="shared" si="6"/>
        <v>14778211.5</v>
      </c>
      <c r="Q20" s="47">
        <f t="shared" ca="1" si="7"/>
        <v>25979566.044393308</v>
      </c>
      <c r="R20" s="47">
        <f>'Monthly Data'!S20</f>
        <v>0</v>
      </c>
      <c r="S20" s="47">
        <f>+'Monthly Data'!T20</f>
        <v>0</v>
      </c>
      <c r="T20" s="47">
        <f t="shared" ca="1" si="8"/>
        <v>25979566.044393308</v>
      </c>
      <c r="X20" s="360"/>
      <c r="Z20" s="107"/>
    </row>
    <row r="21" spans="1:26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Data'!R21</f>
        <v>27029245.50254311</v>
      </c>
      <c r="E21" s="3">
        <f t="shared" ref="E21:F21" ca="1" si="15">E9</f>
        <v>21.194927536231887</v>
      </c>
      <c r="F21" s="3">
        <f t="shared" ca="1" si="15"/>
        <v>210.96558794466404</v>
      </c>
      <c r="G21">
        <f>'Monthly Data'!EJ21</f>
        <v>0</v>
      </c>
      <c r="H21" s="3">
        <f>'Monthly Data'!DB21</f>
        <v>6931.2</v>
      </c>
      <c r="I21" s="3">
        <f>'Monthly Data'!DQ21</f>
        <v>31</v>
      </c>
      <c r="K21" s="3">
        <f t="shared" si="1"/>
        <v>-4083957</v>
      </c>
      <c r="L21" s="3">
        <f t="shared" ca="1" si="2"/>
        <v>236233.57553623192</v>
      </c>
      <c r="M21" s="3">
        <f t="shared" ca="1" si="3"/>
        <v>7289614.2106371047</v>
      </c>
      <c r="N21" s="3">
        <f t="shared" si="4"/>
        <v>0</v>
      </c>
      <c r="O21" s="3">
        <f t="shared" si="5"/>
        <v>7015622.0159999998</v>
      </c>
      <c r="P21" s="3">
        <f t="shared" si="6"/>
        <v>14778211.5</v>
      </c>
      <c r="Q21" s="47">
        <f t="shared" ca="1" si="7"/>
        <v>25235724.302173339</v>
      </c>
      <c r="R21" s="47">
        <f>'Monthly Data'!S21</f>
        <v>0</v>
      </c>
      <c r="S21" s="47">
        <f>+'Monthly Data'!T21</f>
        <v>0</v>
      </c>
      <c r="T21" s="47">
        <f t="shared" ca="1" si="8"/>
        <v>25235724.302173339</v>
      </c>
      <c r="W21" t="s">
        <v>408</v>
      </c>
      <c r="X21" s="107"/>
      <c r="Z21" s="107"/>
    </row>
    <row r="22" spans="1:26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Data'!R22</f>
        <v>22914722.99220578</v>
      </c>
      <c r="E22" s="3">
        <f t="shared" ref="E22:F22" ca="1" si="16">E10</f>
        <v>96.735690993788822</v>
      </c>
      <c r="F22" s="3">
        <f t="shared" ca="1" si="16"/>
        <v>106.4160119047619</v>
      </c>
      <c r="G22">
        <f>'Monthly Data'!EJ22</f>
        <v>0</v>
      </c>
      <c r="H22" s="3">
        <f>'Monthly Data'!DB22</f>
        <v>6929.7</v>
      </c>
      <c r="I22" s="3">
        <f>'Monthly Data'!DQ22</f>
        <v>30</v>
      </c>
      <c r="K22" s="3">
        <f t="shared" si="1"/>
        <v>-4083957</v>
      </c>
      <c r="L22" s="3">
        <f t="shared" ca="1" si="2"/>
        <v>1078192.7952509318</v>
      </c>
      <c r="M22" s="3">
        <f t="shared" ca="1" si="3"/>
        <v>3677053.1164720235</v>
      </c>
      <c r="N22" s="3">
        <f t="shared" si="4"/>
        <v>0</v>
      </c>
      <c r="O22" s="3">
        <f t="shared" si="5"/>
        <v>7014103.7459999993</v>
      </c>
      <c r="P22" s="3">
        <f t="shared" si="6"/>
        <v>14301495</v>
      </c>
      <c r="Q22" s="47">
        <f t="shared" ref="Q22:Q53" ca="1" si="17">SUM(K22:P22)</f>
        <v>21986887.657722954</v>
      </c>
      <c r="R22" s="47">
        <f>'Monthly Data'!S22</f>
        <v>0</v>
      </c>
      <c r="S22" s="47">
        <f>+'Monthly Data'!T22</f>
        <v>0</v>
      </c>
      <c r="T22" s="47">
        <f t="shared" ca="1" si="8"/>
        <v>21986887.657722954</v>
      </c>
      <c r="W22" t="s">
        <v>422</v>
      </c>
      <c r="X22">
        <v>23967188.316075001</v>
      </c>
      <c r="Y22" t="s">
        <v>423</v>
      </c>
      <c r="Z22">
        <v>2092494.87055388</v>
      </c>
    </row>
    <row r="23" spans="1:26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Data'!R23</f>
        <v>21696597.548698653</v>
      </c>
      <c r="E23" s="3">
        <f t="shared" ref="E23:F23" ca="1" si="18">E11</f>
        <v>298.21097826086958</v>
      </c>
      <c r="F23" s="3">
        <f t="shared" ca="1" si="18"/>
        <v>17.987083333333334</v>
      </c>
      <c r="G23">
        <f>'Monthly Data'!EJ23</f>
        <v>0</v>
      </c>
      <c r="H23" s="3">
        <f>'Monthly Data'!DB23</f>
        <v>6942</v>
      </c>
      <c r="I23" s="3">
        <f>'Monthly Data'!DQ23</f>
        <v>31</v>
      </c>
      <c r="K23" s="3">
        <f t="shared" si="1"/>
        <v>-4083957</v>
      </c>
      <c r="L23" s="3">
        <f t="shared" ca="1" si="2"/>
        <v>3323787.9930608696</v>
      </c>
      <c r="M23" s="3">
        <f t="shared" ca="1" si="3"/>
        <v>621517.94305416674</v>
      </c>
      <c r="N23" s="3">
        <f t="shared" si="4"/>
        <v>0</v>
      </c>
      <c r="O23" s="3">
        <f t="shared" si="5"/>
        <v>7026553.5599999996</v>
      </c>
      <c r="P23" s="3">
        <f t="shared" si="6"/>
        <v>14778211.5</v>
      </c>
      <c r="Q23" s="47">
        <f t="shared" ca="1" si="17"/>
        <v>21666113.996115036</v>
      </c>
      <c r="R23" s="47">
        <f>'Monthly Data'!S23</f>
        <v>0</v>
      </c>
      <c r="S23" s="47">
        <f>+'Monthly Data'!T23</f>
        <v>0</v>
      </c>
      <c r="T23" s="47">
        <f t="shared" ca="1" si="8"/>
        <v>21666113.996115036</v>
      </c>
    </row>
    <row r="24" spans="1:26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Data'!R24</f>
        <v>22609434.965051424</v>
      </c>
      <c r="E24" s="3">
        <f t="shared" ref="E24:F24" ca="1" si="19">E12</f>
        <v>486.62991389045737</v>
      </c>
      <c r="F24" s="3">
        <f t="shared" ca="1" si="19"/>
        <v>0.8083333333333329</v>
      </c>
      <c r="G24">
        <f>'Monthly Data'!EJ24</f>
        <v>0</v>
      </c>
      <c r="H24" s="3">
        <f>'Monthly Data'!DB24</f>
        <v>6959</v>
      </c>
      <c r="I24" s="3">
        <f>'Monthly Data'!DQ24</f>
        <v>30</v>
      </c>
      <c r="K24" s="3">
        <f t="shared" si="1"/>
        <v>-4083957</v>
      </c>
      <c r="L24" s="3">
        <f t="shared" ca="1" si="2"/>
        <v>5423860.2290437045</v>
      </c>
      <c r="M24" s="3">
        <f t="shared" ca="1" si="3"/>
        <v>27930.802416666651</v>
      </c>
      <c r="N24" s="3">
        <f t="shared" si="4"/>
        <v>0</v>
      </c>
      <c r="O24" s="3">
        <f t="shared" si="5"/>
        <v>7043760.6200000001</v>
      </c>
      <c r="P24" s="3">
        <f t="shared" si="6"/>
        <v>14301495</v>
      </c>
      <c r="Q24" s="47">
        <f t="shared" ca="1" si="17"/>
        <v>22713089.651460372</v>
      </c>
      <c r="R24" s="47">
        <f>'Monthly Data'!S24</f>
        <v>0</v>
      </c>
      <c r="S24" s="47">
        <f>+'Monthly Data'!T24</f>
        <v>0</v>
      </c>
      <c r="T24" s="47">
        <f t="shared" ca="1" si="8"/>
        <v>22713089.651460372</v>
      </c>
      <c r="X24" s="3"/>
      <c r="Z24" s="3"/>
    </row>
    <row r="25" spans="1:26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Data'!R25</f>
        <v>25821402.248064097</v>
      </c>
      <c r="E25" s="3">
        <f t="shared" ref="E25:F25" ca="1" si="20">E13</f>
        <v>639.92800724637686</v>
      </c>
      <c r="F25" s="3">
        <f t="shared" ca="1" si="20"/>
        <v>0</v>
      </c>
      <c r="G25">
        <f>'Monthly Data'!EJ25</f>
        <v>0</v>
      </c>
      <c r="H25" s="3">
        <f>'Monthly Data'!DB25</f>
        <v>6974.4</v>
      </c>
      <c r="I25" s="3">
        <f>'Monthly Data'!DQ25</f>
        <v>31</v>
      </c>
      <c r="K25" s="3">
        <f t="shared" si="1"/>
        <v>-4083957</v>
      </c>
      <c r="L25" s="3">
        <f t="shared" ca="1" si="2"/>
        <v>7132483.9860463776</v>
      </c>
      <c r="M25" s="3">
        <f t="shared" ca="1" si="3"/>
        <v>0</v>
      </c>
      <c r="N25" s="3">
        <f t="shared" si="4"/>
        <v>0</v>
      </c>
      <c r="O25" s="3">
        <f t="shared" si="5"/>
        <v>7059348.1919999989</v>
      </c>
      <c r="P25" s="3">
        <f t="shared" si="6"/>
        <v>14778211.5</v>
      </c>
      <c r="Q25" s="47">
        <f t="shared" ca="1" si="17"/>
        <v>24886086.678046376</v>
      </c>
      <c r="R25" s="47">
        <f>'Monthly Data'!S25</f>
        <v>0</v>
      </c>
      <c r="S25" s="47">
        <f>+'Monthly Data'!T25</f>
        <v>0</v>
      </c>
      <c r="T25" s="47">
        <f t="shared" ca="1" si="8"/>
        <v>24886086.678046376</v>
      </c>
    </row>
    <row r="26" spans="1:26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Data'!R26</f>
        <v>26279107.799820367</v>
      </c>
      <c r="E26" s="3">
        <f t="shared" ref="E26:F26" ca="1" si="21">E14</f>
        <v>759.33418478260865</v>
      </c>
      <c r="F26" s="3">
        <f t="shared" ca="1" si="21"/>
        <v>0</v>
      </c>
      <c r="G26">
        <f>'Monthly Data'!EJ26</f>
        <v>0</v>
      </c>
      <c r="H26" s="3">
        <f>'Monthly Data'!DB26</f>
        <v>6998.9</v>
      </c>
      <c r="I26" s="3">
        <f>'Monthly Data'!DQ26</f>
        <v>31</v>
      </c>
      <c r="K26" s="3">
        <f t="shared" si="1"/>
        <v>-4083957</v>
      </c>
      <c r="L26" s="3">
        <f t="shared" ca="1" si="2"/>
        <v>8463356.5833826084</v>
      </c>
      <c r="M26" s="3">
        <f t="shared" ca="1" si="3"/>
        <v>0</v>
      </c>
      <c r="N26" s="3">
        <f t="shared" si="4"/>
        <v>0</v>
      </c>
      <c r="O26" s="3">
        <f t="shared" si="5"/>
        <v>7084146.601999999</v>
      </c>
      <c r="P26" s="3">
        <f t="shared" si="6"/>
        <v>14778211.5</v>
      </c>
      <c r="Q26" s="47">
        <f t="shared" ca="1" si="17"/>
        <v>26241757.685382608</v>
      </c>
      <c r="R26" s="47">
        <f>'Monthly Data'!S26</f>
        <v>400.49435897435899</v>
      </c>
      <c r="S26" s="47">
        <f>+'Monthly Data'!T26</f>
        <v>0</v>
      </c>
      <c r="T26" s="47">
        <f t="shared" ca="1" si="8"/>
        <v>26242158.179741584</v>
      </c>
    </row>
    <row r="27" spans="1:26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Data'!R27</f>
        <v>23510045.533455335</v>
      </c>
      <c r="E27" s="3">
        <f t="shared" ref="E27:F27" ca="1" si="22">E15</f>
        <v>680.85501811594202</v>
      </c>
      <c r="F27" s="3">
        <f t="shared" ca="1" si="22"/>
        <v>0</v>
      </c>
      <c r="G27">
        <f>'Monthly Data'!EJ27</f>
        <v>0</v>
      </c>
      <c r="H27" s="3">
        <f>'Monthly Data'!DB27</f>
        <v>7017.3</v>
      </c>
      <c r="I27" s="3">
        <f>'Monthly Data'!DQ27</f>
        <v>28</v>
      </c>
      <c r="K27" s="3">
        <f t="shared" si="1"/>
        <v>-4083957</v>
      </c>
      <c r="L27" s="3">
        <f t="shared" ca="1" si="2"/>
        <v>7588646.6267159423</v>
      </c>
      <c r="M27" s="3">
        <f t="shared" ca="1" si="3"/>
        <v>0</v>
      </c>
      <c r="N27" s="3">
        <f t="shared" si="4"/>
        <v>0</v>
      </c>
      <c r="O27" s="3">
        <f t="shared" si="5"/>
        <v>7102770.7139999997</v>
      </c>
      <c r="P27" s="3">
        <f t="shared" si="6"/>
        <v>13348062</v>
      </c>
      <c r="Q27" s="47">
        <f t="shared" ca="1" si="17"/>
        <v>23955522.340715941</v>
      </c>
      <c r="R27" s="47">
        <f>'Monthly Data'!S27</f>
        <v>800.98871794871798</v>
      </c>
      <c r="S27" s="47">
        <f>+'Monthly Data'!T27</f>
        <v>0</v>
      </c>
      <c r="T27" s="47">
        <f t="shared" ca="1" si="8"/>
        <v>23956323.329433888</v>
      </c>
    </row>
    <row r="28" spans="1:26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Data'!R28</f>
        <v>25925594.397500303</v>
      </c>
      <c r="E28" s="3">
        <f t="shared" ref="E28:F28" ca="1" si="23">E16</f>
        <v>608.13298913043479</v>
      </c>
      <c r="F28" s="3">
        <f t="shared" ca="1" si="23"/>
        <v>0</v>
      </c>
      <c r="G28">
        <f>'Monthly Data'!EJ28</f>
        <v>0</v>
      </c>
      <c r="H28" s="3">
        <f>'Monthly Data'!DB28</f>
        <v>7035.4</v>
      </c>
      <c r="I28" s="3">
        <f>'Monthly Data'!DQ28</f>
        <v>31</v>
      </c>
      <c r="K28" s="3">
        <f t="shared" si="1"/>
        <v>-4083957</v>
      </c>
      <c r="L28" s="3">
        <f t="shared" ca="1" si="2"/>
        <v>6778104.3449304346</v>
      </c>
      <c r="M28" s="3">
        <f t="shared" ca="1" si="3"/>
        <v>0</v>
      </c>
      <c r="N28" s="3">
        <f t="shared" si="4"/>
        <v>0</v>
      </c>
      <c r="O28" s="3">
        <f t="shared" si="5"/>
        <v>7121091.1719999993</v>
      </c>
      <c r="P28" s="3">
        <f t="shared" si="6"/>
        <v>14778211.5</v>
      </c>
      <c r="Q28" s="47">
        <f t="shared" ca="1" si="17"/>
        <v>24593450.016930435</v>
      </c>
      <c r="R28" s="47">
        <f>'Monthly Data'!S28</f>
        <v>1201.4830769230771</v>
      </c>
      <c r="S28" s="47">
        <f>+'Monthly Data'!T28</f>
        <v>0</v>
      </c>
      <c r="T28" s="47">
        <f t="shared" ca="1" si="8"/>
        <v>24594651.500007357</v>
      </c>
    </row>
    <row r="29" spans="1:26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Data'!R29</f>
        <v>21381267.508215073</v>
      </c>
      <c r="E29" s="3">
        <f t="shared" ref="E29:F29" ca="1" si="24">E17</f>
        <v>412.37941287878795</v>
      </c>
      <c r="F29" s="3">
        <f t="shared" ca="1" si="24"/>
        <v>2.1908333333333347</v>
      </c>
      <c r="G29">
        <f>'Monthly Data'!EJ29</f>
        <v>0</v>
      </c>
      <c r="H29" s="3">
        <f>'Monthly Data'!DB29</f>
        <v>7041.8</v>
      </c>
      <c r="I29" s="3">
        <f>'Monthly Data'!DQ29</f>
        <v>30</v>
      </c>
      <c r="K29" s="3">
        <f t="shared" si="1"/>
        <v>-4083957</v>
      </c>
      <c r="L29" s="3">
        <f t="shared" ca="1" si="2"/>
        <v>4596281.9648878798</v>
      </c>
      <c r="M29" s="3">
        <f t="shared" ca="1" si="3"/>
        <v>75701.11294166671</v>
      </c>
      <c r="N29" s="3">
        <f t="shared" si="4"/>
        <v>0</v>
      </c>
      <c r="O29" s="3">
        <f t="shared" si="5"/>
        <v>7127569.1239999998</v>
      </c>
      <c r="P29" s="3">
        <f t="shared" si="6"/>
        <v>14301495</v>
      </c>
      <c r="Q29" s="47">
        <f t="shared" ca="1" si="17"/>
        <v>22017090.201829545</v>
      </c>
      <c r="R29" s="47">
        <f>'Monthly Data'!S29</f>
        <v>1601.977435897436</v>
      </c>
      <c r="S29" s="47">
        <f>+'Monthly Data'!T29</f>
        <v>0</v>
      </c>
      <c r="T29" s="47">
        <f t="shared" ca="1" si="8"/>
        <v>22018692.179265443</v>
      </c>
    </row>
    <row r="30" spans="1:26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Data'!R30</f>
        <v>21685920.775199942</v>
      </c>
      <c r="E30" s="3">
        <f t="shared" ref="E30:F30" ca="1" si="25">E18</f>
        <v>202.70273119310133</v>
      </c>
      <c r="F30" s="3">
        <f t="shared" ca="1" si="25"/>
        <v>52.487435064935063</v>
      </c>
      <c r="G30">
        <f>'Monthly Data'!EJ30</f>
        <v>0</v>
      </c>
      <c r="H30" s="3">
        <f>'Monthly Data'!DB30</f>
        <v>7055.9</v>
      </c>
      <c r="I30" s="3">
        <f>'Monthly Data'!DQ30</f>
        <v>31</v>
      </c>
      <c r="K30" s="3">
        <f t="shared" si="1"/>
        <v>-4083957</v>
      </c>
      <c r="L30" s="3">
        <f t="shared" ca="1" si="2"/>
        <v>2259275.993222821</v>
      </c>
      <c r="M30" s="3">
        <f t="shared" ca="1" si="3"/>
        <v>1813628.2616366881</v>
      </c>
      <c r="N30" s="3">
        <f t="shared" si="4"/>
        <v>0</v>
      </c>
      <c r="O30" s="3">
        <f t="shared" si="5"/>
        <v>7141840.8619999997</v>
      </c>
      <c r="P30" s="3">
        <f t="shared" si="6"/>
        <v>14778211.5</v>
      </c>
      <c r="Q30" s="47">
        <f t="shared" ca="1" si="17"/>
        <v>21908999.616859511</v>
      </c>
      <c r="R30" s="47">
        <f>'Monthly Data'!S30</f>
        <v>2002.4717948717951</v>
      </c>
      <c r="S30" s="47">
        <f>+'Monthly Data'!T30</f>
        <v>0</v>
      </c>
      <c r="T30" s="47">
        <f t="shared" ca="1" si="8"/>
        <v>21911002.088654384</v>
      </c>
    </row>
    <row r="31" spans="1:26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Data'!R31</f>
        <v>22197923.77735481</v>
      </c>
      <c r="E31" s="3">
        <f t="shared" ref="E31:F31" ca="1" si="26">E19</f>
        <v>66.09717382617383</v>
      </c>
      <c r="F31" s="3">
        <f t="shared" ca="1" si="26"/>
        <v>137.65451754405018</v>
      </c>
      <c r="G31">
        <f>'Monthly Data'!EJ31</f>
        <v>0</v>
      </c>
      <c r="H31" s="3">
        <f>'Monthly Data'!DB31</f>
        <v>7071</v>
      </c>
      <c r="I31" s="3">
        <f>'Monthly Data'!DQ31</f>
        <v>30</v>
      </c>
      <c r="K31" s="3">
        <f t="shared" si="1"/>
        <v>-4083957</v>
      </c>
      <c r="L31" s="3">
        <f t="shared" ca="1" si="2"/>
        <v>736703.23614481522</v>
      </c>
      <c r="M31" s="3">
        <f t="shared" ca="1" si="3"/>
        <v>4756455.0077745663</v>
      </c>
      <c r="N31" s="3">
        <f t="shared" si="4"/>
        <v>0</v>
      </c>
      <c r="O31" s="3">
        <f t="shared" si="5"/>
        <v>7157124.7799999993</v>
      </c>
      <c r="P31" s="3">
        <f t="shared" si="6"/>
        <v>14301495</v>
      </c>
      <c r="Q31" s="47">
        <f t="shared" ca="1" si="17"/>
        <v>22867821.023919381</v>
      </c>
      <c r="R31" s="47">
        <f>'Monthly Data'!S31</f>
        <v>2402.9661538461542</v>
      </c>
      <c r="S31" s="47">
        <f>+'Monthly Data'!T31</f>
        <v>0</v>
      </c>
      <c r="T31" s="47">
        <f t="shared" ca="1" si="8"/>
        <v>22870223.990073226</v>
      </c>
    </row>
    <row r="32" spans="1:26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Data'!R32</f>
        <v>24159720.737949777</v>
      </c>
      <c r="E32" s="3">
        <f t="shared" ref="E32:F32" ca="1" si="27">E20</f>
        <v>10.249063146997932</v>
      </c>
      <c r="F32" s="3">
        <f t="shared" ca="1" si="27"/>
        <v>235.94737858727848</v>
      </c>
      <c r="G32">
        <f>'Monthly Data'!EJ32</f>
        <v>0</v>
      </c>
      <c r="H32" s="3">
        <f>'Monthly Data'!DB32</f>
        <v>7099.1</v>
      </c>
      <c r="I32" s="3">
        <f>'Monthly Data'!DQ32</f>
        <v>31</v>
      </c>
      <c r="K32" s="3">
        <f t="shared" si="1"/>
        <v>-4083957</v>
      </c>
      <c r="L32" s="3">
        <f t="shared" ca="1" si="2"/>
        <v>114233.59806128367</v>
      </c>
      <c r="M32" s="3">
        <f t="shared" ca="1" si="3"/>
        <v>8152824.2623320278</v>
      </c>
      <c r="N32" s="3">
        <f t="shared" si="4"/>
        <v>0</v>
      </c>
      <c r="O32" s="3">
        <f t="shared" si="5"/>
        <v>7185567.0379999997</v>
      </c>
      <c r="P32" s="3">
        <f t="shared" si="6"/>
        <v>14778211.5</v>
      </c>
      <c r="Q32" s="47">
        <f t="shared" ca="1" si="17"/>
        <v>26146879.398393311</v>
      </c>
      <c r="R32" s="47">
        <f>'Monthly Data'!S32</f>
        <v>2803.460512820513</v>
      </c>
      <c r="S32" s="47">
        <f>+'Monthly Data'!T32</f>
        <v>0</v>
      </c>
      <c r="T32" s="47">
        <f t="shared" ca="1" si="8"/>
        <v>26149682.858906131</v>
      </c>
    </row>
    <row r="33" spans="1:20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Data'!R33</f>
        <v>23901050.910974443</v>
      </c>
      <c r="E33" s="3">
        <f t="shared" ref="E33:F33" ca="1" si="28">E21</f>
        <v>21.194927536231887</v>
      </c>
      <c r="F33" s="3">
        <f t="shared" ca="1" si="28"/>
        <v>210.96558794466404</v>
      </c>
      <c r="G33">
        <f>'Monthly Data'!EJ33</f>
        <v>0</v>
      </c>
      <c r="H33" s="3">
        <f>'Monthly Data'!DB33</f>
        <v>7118</v>
      </c>
      <c r="I33" s="3">
        <f>'Monthly Data'!DQ33</f>
        <v>31</v>
      </c>
      <c r="K33" s="3">
        <f t="shared" si="1"/>
        <v>-4083957</v>
      </c>
      <c r="L33" s="3">
        <f t="shared" ca="1" si="2"/>
        <v>236233.57553623192</v>
      </c>
      <c r="M33" s="3">
        <f t="shared" ca="1" si="3"/>
        <v>7289614.2106371047</v>
      </c>
      <c r="N33" s="3">
        <f t="shared" si="4"/>
        <v>0</v>
      </c>
      <c r="O33" s="3">
        <f t="shared" si="5"/>
        <v>7204697.2399999993</v>
      </c>
      <c r="P33" s="3">
        <f t="shared" si="6"/>
        <v>14778211.5</v>
      </c>
      <c r="Q33" s="47">
        <f t="shared" ca="1" si="17"/>
        <v>25424799.526173338</v>
      </c>
      <c r="R33" s="47">
        <f>'Monthly Data'!S33</f>
        <v>3203.9548717948719</v>
      </c>
      <c r="S33" s="47">
        <f>+'Monthly Data'!T33</f>
        <v>0</v>
      </c>
      <c r="T33" s="47">
        <f t="shared" ca="1" si="8"/>
        <v>25428003.481045134</v>
      </c>
    </row>
    <row r="34" spans="1:20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Data'!R34</f>
        <v>22414168.935549516</v>
      </c>
      <c r="E34" s="3">
        <f t="shared" ref="E34:F34" ca="1" si="29">E22</f>
        <v>96.735690993788822</v>
      </c>
      <c r="F34" s="3">
        <f t="shared" ca="1" si="29"/>
        <v>106.4160119047619</v>
      </c>
      <c r="G34">
        <f>'Monthly Data'!EJ34</f>
        <v>0</v>
      </c>
      <c r="H34" s="3">
        <f>'Monthly Data'!DB34</f>
        <v>7143.3</v>
      </c>
      <c r="I34" s="3">
        <f>'Monthly Data'!DQ34</f>
        <v>30</v>
      </c>
      <c r="K34" s="3">
        <f t="shared" si="1"/>
        <v>-4083957</v>
      </c>
      <c r="L34" s="3">
        <f t="shared" ca="1" si="2"/>
        <v>1078192.7952509318</v>
      </c>
      <c r="M34" s="3">
        <f t="shared" ca="1" si="3"/>
        <v>3677053.1164720235</v>
      </c>
      <c r="N34" s="3">
        <f t="shared" si="4"/>
        <v>0</v>
      </c>
      <c r="O34" s="3">
        <f t="shared" si="5"/>
        <v>7230305.3939999994</v>
      </c>
      <c r="P34" s="3">
        <f t="shared" si="6"/>
        <v>14301495</v>
      </c>
      <c r="Q34" s="47">
        <f t="shared" ca="1" si="17"/>
        <v>22203089.305722956</v>
      </c>
      <c r="R34" s="47">
        <f>'Monthly Data'!S34</f>
        <v>3604.4492307692312</v>
      </c>
      <c r="S34" s="47">
        <f>+'Monthly Data'!T34</f>
        <v>0</v>
      </c>
      <c r="T34" s="47">
        <f t="shared" ca="1" si="8"/>
        <v>22206693.754953723</v>
      </c>
    </row>
    <row r="35" spans="1:20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Data'!R35</f>
        <v>21325854.020314284</v>
      </c>
      <c r="E35" s="3">
        <f t="shared" ref="E35:F35" ca="1" si="30">E23</f>
        <v>298.21097826086958</v>
      </c>
      <c r="F35" s="3">
        <f t="shared" ca="1" si="30"/>
        <v>17.987083333333334</v>
      </c>
      <c r="G35">
        <f>'Monthly Data'!EJ35</f>
        <v>0</v>
      </c>
      <c r="H35" s="3">
        <f>'Monthly Data'!DB35</f>
        <v>7158.3</v>
      </c>
      <c r="I35" s="3">
        <f>'Monthly Data'!DQ35</f>
        <v>31</v>
      </c>
      <c r="K35" s="3">
        <f t="shared" si="1"/>
        <v>-4083957</v>
      </c>
      <c r="L35" s="3">
        <f t="shared" ca="1" si="2"/>
        <v>3323787.9930608696</v>
      </c>
      <c r="M35" s="3">
        <f t="shared" ca="1" si="3"/>
        <v>621517.94305416674</v>
      </c>
      <c r="N35" s="3">
        <f t="shared" si="4"/>
        <v>0</v>
      </c>
      <c r="O35" s="3">
        <f t="shared" si="5"/>
        <v>7245488.0939999996</v>
      </c>
      <c r="P35" s="3">
        <f t="shared" si="6"/>
        <v>14778211.5</v>
      </c>
      <c r="Q35" s="47">
        <f t="shared" ca="1" si="17"/>
        <v>21885048.530115038</v>
      </c>
      <c r="R35" s="47">
        <f>'Monthly Data'!S35</f>
        <v>4004.9435897435901</v>
      </c>
      <c r="S35" s="47">
        <f>+'Monthly Data'!T35</f>
        <v>0</v>
      </c>
      <c r="T35" s="47">
        <f t="shared" ca="1" si="8"/>
        <v>21889053.473704781</v>
      </c>
    </row>
    <row r="36" spans="1:20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Data'!R36</f>
        <v>23171431.02149915</v>
      </c>
      <c r="E36" s="3">
        <f t="shared" ref="E36:F36" ca="1" si="31">E24</f>
        <v>486.62991389045737</v>
      </c>
      <c r="F36" s="3">
        <f t="shared" ca="1" si="31"/>
        <v>0.8083333333333329</v>
      </c>
      <c r="G36">
        <f>'Monthly Data'!EJ36</f>
        <v>0</v>
      </c>
      <c r="H36" s="3">
        <f>'Monthly Data'!DB36</f>
        <v>7182.2</v>
      </c>
      <c r="I36" s="3">
        <f>'Monthly Data'!DQ36</f>
        <v>30</v>
      </c>
      <c r="K36" s="3">
        <f t="shared" si="1"/>
        <v>-4083957</v>
      </c>
      <c r="L36" s="3">
        <f t="shared" ca="1" si="2"/>
        <v>5423860.2290437045</v>
      </c>
      <c r="M36" s="3">
        <f t="shared" ca="1" si="3"/>
        <v>27930.802416666651</v>
      </c>
      <c r="N36" s="3">
        <f t="shared" si="4"/>
        <v>0</v>
      </c>
      <c r="O36" s="3">
        <f t="shared" si="5"/>
        <v>7269679.1959999995</v>
      </c>
      <c r="P36" s="3">
        <f t="shared" si="6"/>
        <v>14301495</v>
      </c>
      <c r="Q36" s="47">
        <f t="shared" ca="1" si="17"/>
        <v>22939008.227460369</v>
      </c>
      <c r="R36" s="47">
        <f>'Monthly Data'!S36</f>
        <v>4405.4379487179494</v>
      </c>
      <c r="S36" s="47">
        <f>+'Monthly Data'!T36</f>
        <v>0</v>
      </c>
      <c r="T36" s="47">
        <f t="shared" ca="1" si="8"/>
        <v>22943413.665409088</v>
      </c>
    </row>
    <row r="37" spans="1:20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Data'!R37</f>
        <v>26407186.930284023</v>
      </c>
      <c r="E37" s="3">
        <f t="shared" ref="E37:F37" ca="1" si="32">E25</f>
        <v>639.92800724637686</v>
      </c>
      <c r="F37" s="3">
        <f t="shared" ca="1" si="32"/>
        <v>0</v>
      </c>
      <c r="G37">
        <f>'Monthly Data'!EJ37</f>
        <v>0</v>
      </c>
      <c r="H37" s="3">
        <f>'Monthly Data'!DB37</f>
        <v>7196.8</v>
      </c>
      <c r="I37" s="3">
        <f>'Monthly Data'!DQ37</f>
        <v>31</v>
      </c>
      <c r="K37" s="3">
        <f t="shared" si="1"/>
        <v>-4083957</v>
      </c>
      <c r="L37" s="3">
        <f t="shared" ca="1" si="2"/>
        <v>7132483.9860463776</v>
      </c>
      <c r="M37" s="3">
        <f t="shared" ca="1" si="3"/>
        <v>0</v>
      </c>
      <c r="N37" s="3">
        <f t="shared" si="4"/>
        <v>0</v>
      </c>
      <c r="O37" s="3">
        <f t="shared" si="5"/>
        <v>7284457.0240000002</v>
      </c>
      <c r="P37" s="3">
        <f t="shared" si="6"/>
        <v>14778211.5</v>
      </c>
      <c r="Q37" s="47">
        <f t="shared" ca="1" si="17"/>
        <v>25111195.510046378</v>
      </c>
      <c r="R37" s="47">
        <f>'Monthly Data'!S37</f>
        <v>4805.9323076923083</v>
      </c>
      <c r="S37" s="47">
        <f>+'Monthly Data'!T37</f>
        <v>0</v>
      </c>
      <c r="T37" s="47">
        <f t="shared" ca="1" si="8"/>
        <v>25116001.442354072</v>
      </c>
    </row>
    <row r="38" spans="1:20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Data'!R38</f>
        <v>28346942.335826002</v>
      </c>
      <c r="E38" s="3">
        <f t="shared" ref="E38:F38" ca="1" si="33">E26</f>
        <v>759.33418478260865</v>
      </c>
      <c r="F38" s="3">
        <f t="shared" ca="1" si="33"/>
        <v>0</v>
      </c>
      <c r="G38">
        <f>'Monthly Data'!EJ38</f>
        <v>0</v>
      </c>
      <c r="H38" s="3">
        <f>'Monthly Data'!DB38</f>
        <v>7195</v>
      </c>
      <c r="I38" s="3">
        <f>'Monthly Data'!DQ38</f>
        <v>31</v>
      </c>
      <c r="K38" s="3">
        <f t="shared" si="1"/>
        <v>-4083957</v>
      </c>
      <c r="L38" s="3">
        <f t="shared" ca="1" si="2"/>
        <v>8463356.5833826084</v>
      </c>
      <c r="M38" s="3">
        <f t="shared" ca="1" si="3"/>
        <v>0</v>
      </c>
      <c r="N38" s="3">
        <f t="shared" si="4"/>
        <v>0</v>
      </c>
      <c r="O38" s="3">
        <f t="shared" si="5"/>
        <v>7282635.0999999996</v>
      </c>
      <c r="P38" s="3">
        <f t="shared" si="6"/>
        <v>14778211.5</v>
      </c>
      <c r="Q38" s="47">
        <f t="shared" ca="1" si="17"/>
        <v>26440246.183382608</v>
      </c>
      <c r="R38" s="47">
        <f>'Monthly Data'!S38</f>
        <v>6211.3076923076933</v>
      </c>
      <c r="S38" s="47">
        <f>+'Monthly Data'!T38</f>
        <v>0</v>
      </c>
      <c r="T38" s="47">
        <f t="shared" ca="1" si="8"/>
        <v>26446457.491074916</v>
      </c>
    </row>
    <row r="39" spans="1:20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Data'!R39</f>
        <v>24235726.85548107</v>
      </c>
      <c r="E39" s="3">
        <f t="shared" ref="E39:F39" ca="1" si="34">E27</f>
        <v>680.85501811594202</v>
      </c>
      <c r="F39" s="3">
        <f t="shared" ca="1" si="34"/>
        <v>0</v>
      </c>
      <c r="G39">
        <f>'Monthly Data'!EJ39</f>
        <v>0</v>
      </c>
      <c r="H39" s="3">
        <f>'Monthly Data'!DB39</f>
        <v>7183.9</v>
      </c>
      <c r="I39" s="3">
        <f>'Monthly Data'!DQ39</f>
        <v>28</v>
      </c>
      <c r="K39" s="3">
        <f t="shared" si="1"/>
        <v>-4083957</v>
      </c>
      <c r="L39" s="3">
        <f t="shared" ca="1" si="2"/>
        <v>7588646.6267159423</v>
      </c>
      <c r="M39" s="3">
        <f t="shared" ca="1" si="3"/>
        <v>0</v>
      </c>
      <c r="N39" s="3">
        <f t="shared" si="4"/>
        <v>0</v>
      </c>
      <c r="O39" s="3">
        <f t="shared" si="5"/>
        <v>7271399.9019999988</v>
      </c>
      <c r="P39" s="3">
        <f t="shared" si="6"/>
        <v>13348062</v>
      </c>
      <c r="Q39" s="47">
        <f t="shared" ca="1" si="17"/>
        <v>24124151.528715942</v>
      </c>
      <c r="R39" s="47">
        <f>'Monthly Data'!S39</f>
        <v>7216.1887179487194</v>
      </c>
      <c r="S39" s="47">
        <f>+'Monthly Data'!T39</f>
        <v>0</v>
      </c>
      <c r="T39" s="47">
        <f t="shared" ca="1" si="8"/>
        <v>24131367.717433892</v>
      </c>
    </row>
    <row r="40" spans="1:20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Data'!R40</f>
        <v>25186826.001236435</v>
      </c>
      <c r="E40" s="3">
        <f t="shared" ref="E40:F40" ca="1" si="35">E28</f>
        <v>608.13298913043479</v>
      </c>
      <c r="F40" s="3">
        <f t="shared" ca="1" si="35"/>
        <v>0</v>
      </c>
      <c r="G40">
        <f>'Monthly Data'!EJ40</f>
        <v>0</v>
      </c>
      <c r="H40" s="3">
        <f>'Monthly Data'!DB40</f>
        <v>7183.7</v>
      </c>
      <c r="I40" s="3">
        <f>'Monthly Data'!DQ40</f>
        <v>31</v>
      </c>
      <c r="K40" s="3">
        <f t="shared" si="1"/>
        <v>-4083957</v>
      </c>
      <c r="L40" s="3">
        <f t="shared" ca="1" si="2"/>
        <v>6778104.3449304346</v>
      </c>
      <c r="M40" s="3">
        <f t="shared" ca="1" si="3"/>
        <v>0</v>
      </c>
      <c r="N40" s="3">
        <f t="shared" si="4"/>
        <v>0</v>
      </c>
      <c r="O40" s="3">
        <f t="shared" si="5"/>
        <v>7271197.4659999991</v>
      </c>
      <c r="P40" s="3">
        <f t="shared" si="6"/>
        <v>14778211.5</v>
      </c>
      <c r="Q40" s="47">
        <f t="shared" ca="1" si="17"/>
        <v>24743556.310930435</v>
      </c>
      <c r="R40" s="47">
        <f>'Monthly Data'!S40</f>
        <v>8221.0697435897455</v>
      </c>
      <c r="S40" s="47">
        <f>+'Monthly Data'!T40</f>
        <v>0</v>
      </c>
      <c r="T40" s="47">
        <f t="shared" ca="1" si="8"/>
        <v>24751777.380674023</v>
      </c>
    </row>
    <row r="41" spans="1:20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Data'!R41</f>
        <v>23180895.087741606</v>
      </c>
      <c r="E41" s="3">
        <f t="shared" ref="E41:F41" ca="1" si="36">E29</f>
        <v>412.37941287878795</v>
      </c>
      <c r="F41" s="3">
        <f t="shared" ca="1" si="36"/>
        <v>2.1908333333333347</v>
      </c>
      <c r="G41">
        <f>'Monthly Data'!EJ41</f>
        <v>0</v>
      </c>
      <c r="H41" s="3">
        <f>'Monthly Data'!DB41</f>
        <v>7196</v>
      </c>
      <c r="I41" s="3">
        <f>'Monthly Data'!DQ41</f>
        <v>30</v>
      </c>
      <c r="K41" s="3">
        <f t="shared" si="1"/>
        <v>-4083957</v>
      </c>
      <c r="L41" s="3">
        <f t="shared" ca="1" si="2"/>
        <v>4596281.9648878798</v>
      </c>
      <c r="M41" s="3">
        <f t="shared" ca="1" si="3"/>
        <v>75701.11294166671</v>
      </c>
      <c r="N41" s="3">
        <f t="shared" si="4"/>
        <v>0</v>
      </c>
      <c r="O41" s="3">
        <f t="shared" si="5"/>
        <v>7283647.2799999993</v>
      </c>
      <c r="P41" s="3">
        <f t="shared" si="6"/>
        <v>14301495</v>
      </c>
      <c r="Q41" s="47">
        <f t="shared" ca="1" si="17"/>
        <v>22173168.357829545</v>
      </c>
      <c r="R41" s="47">
        <f>'Monthly Data'!S41</f>
        <v>9225.9507692307707</v>
      </c>
      <c r="S41" s="47">
        <f>+'Monthly Data'!T41</f>
        <v>0</v>
      </c>
      <c r="T41" s="47">
        <f t="shared" ca="1" si="8"/>
        <v>22182394.308598775</v>
      </c>
    </row>
    <row r="42" spans="1:20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Data'!R42</f>
        <v>22313963.63573657</v>
      </c>
      <c r="E42" s="3">
        <f t="shared" ref="E42:F42" ca="1" si="37">E30</f>
        <v>202.70273119310133</v>
      </c>
      <c r="F42" s="3">
        <f t="shared" ca="1" si="37"/>
        <v>52.487435064935063</v>
      </c>
      <c r="G42">
        <f>'Monthly Data'!EJ42</f>
        <v>0</v>
      </c>
      <c r="H42" s="3">
        <f>'Monthly Data'!DB42</f>
        <v>7205</v>
      </c>
      <c r="I42" s="3">
        <f>'Monthly Data'!DQ42</f>
        <v>31</v>
      </c>
      <c r="K42" s="3">
        <f t="shared" si="1"/>
        <v>-4083957</v>
      </c>
      <c r="L42" s="3">
        <f t="shared" ca="1" si="2"/>
        <v>2259275.993222821</v>
      </c>
      <c r="M42" s="3">
        <f t="shared" ca="1" si="3"/>
        <v>1813628.2616366881</v>
      </c>
      <c r="N42" s="3">
        <f t="shared" si="4"/>
        <v>0</v>
      </c>
      <c r="O42" s="3">
        <f t="shared" si="5"/>
        <v>7292756.8999999994</v>
      </c>
      <c r="P42" s="3">
        <f t="shared" si="6"/>
        <v>14778211.5</v>
      </c>
      <c r="Q42" s="47">
        <f t="shared" ca="1" si="17"/>
        <v>22059915.654859509</v>
      </c>
      <c r="R42" s="47">
        <f>'Monthly Data'!S42</f>
        <v>10230.831794871798</v>
      </c>
      <c r="S42" s="47">
        <f>+'Monthly Data'!T42</f>
        <v>0</v>
      </c>
      <c r="T42" s="47">
        <f t="shared" ca="1" si="8"/>
        <v>22070146.486654382</v>
      </c>
    </row>
    <row r="43" spans="1:20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Data'!R43</f>
        <v>22801873.482121836</v>
      </c>
      <c r="E43" s="3">
        <f t="shared" ref="E43:F43" ca="1" si="38">E31</f>
        <v>66.09717382617383</v>
      </c>
      <c r="F43" s="3">
        <f t="shared" ca="1" si="38"/>
        <v>137.65451754405018</v>
      </c>
      <c r="G43">
        <f>'Monthly Data'!EJ43</f>
        <v>0</v>
      </c>
      <c r="H43" s="3">
        <f>'Monthly Data'!DB43</f>
        <v>7216.7</v>
      </c>
      <c r="I43" s="3">
        <f>'Monthly Data'!DQ43</f>
        <v>30</v>
      </c>
      <c r="K43" s="3">
        <f t="shared" si="1"/>
        <v>-4083957</v>
      </c>
      <c r="L43" s="3">
        <f t="shared" ca="1" si="2"/>
        <v>736703.23614481522</v>
      </c>
      <c r="M43" s="3">
        <f t="shared" ca="1" si="3"/>
        <v>4756455.0077745663</v>
      </c>
      <c r="N43" s="3">
        <f t="shared" si="4"/>
        <v>0</v>
      </c>
      <c r="O43" s="3">
        <f t="shared" si="5"/>
        <v>7304599.4059999995</v>
      </c>
      <c r="P43" s="3">
        <f t="shared" si="6"/>
        <v>14301495</v>
      </c>
      <c r="Q43" s="47">
        <f t="shared" ca="1" si="17"/>
        <v>23015295.649919383</v>
      </c>
      <c r="R43" s="47">
        <f>'Monthly Data'!S43</f>
        <v>11235.712820512825</v>
      </c>
      <c r="S43" s="47">
        <f>+'Monthly Data'!T43</f>
        <v>0</v>
      </c>
      <c r="T43" s="47">
        <f t="shared" ca="1" si="8"/>
        <v>23026531.362739895</v>
      </c>
    </row>
    <row r="44" spans="1:20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Data'!R44</f>
        <v>26320696.677457105</v>
      </c>
      <c r="E44" s="3">
        <f t="shared" ref="E44:F44" ca="1" si="39">E32</f>
        <v>10.249063146997932</v>
      </c>
      <c r="F44" s="3">
        <f t="shared" ca="1" si="39"/>
        <v>235.94737858727848</v>
      </c>
      <c r="G44">
        <f>'Monthly Data'!EJ44</f>
        <v>0</v>
      </c>
      <c r="H44" s="3">
        <f>'Monthly Data'!DB44</f>
        <v>7249.1</v>
      </c>
      <c r="I44" s="3">
        <f>'Monthly Data'!DQ44</f>
        <v>31</v>
      </c>
      <c r="K44" s="3">
        <f t="shared" si="1"/>
        <v>-4083957</v>
      </c>
      <c r="L44" s="3">
        <f t="shared" ca="1" si="2"/>
        <v>114233.59806128367</v>
      </c>
      <c r="M44" s="3">
        <f t="shared" ca="1" si="3"/>
        <v>8152824.2623320278</v>
      </c>
      <c r="N44" s="3">
        <f t="shared" si="4"/>
        <v>0</v>
      </c>
      <c r="O44" s="3">
        <f t="shared" si="5"/>
        <v>7337394.0379999997</v>
      </c>
      <c r="P44" s="3">
        <f t="shared" si="6"/>
        <v>14778211.5</v>
      </c>
      <c r="Q44" s="47">
        <f t="shared" ca="1" si="17"/>
        <v>26298706.398393311</v>
      </c>
      <c r="R44" s="47">
        <f>'Monthly Data'!S44</f>
        <v>12240.59384615385</v>
      </c>
      <c r="S44" s="47">
        <f>+'Monthly Data'!T44</f>
        <v>0</v>
      </c>
      <c r="T44" s="47">
        <f t="shared" ca="1" si="8"/>
        <v>26310946.992239464</v>
      </c>
    </row>
    <row r="45" spans="1:20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Data'!R45</f>
        <v>26202860.506362271</v>
      </c>
      <c r="E45" s="3">
        <f t="shared" ref="E45:F45" ca="1" si="40">E33</f>
        <v>21.194927536231887</v>
      </c>
      <c r="F45" s="3">
        <f t="shared" ca="1" si="40"/>
        <v>210.96558794466404</v>
      </c>
      <c r="G45">
        <f>'Monthly Data'!EJ45</f>
        <v>0</v>
      </c>
      <c r="H45" s="3">
        <f>'Monthly Data'!DB45</f>
        <v>7257.7</v>
      </c>
      <c r="I45" s="3">
        <f>'Monthly Data'!DQ45</f>
        <v>31</v>
      </c>
      <c r="K45" s="3">
        <f t="shared" si="1"/>
        <v>-4083957</v>
      </c>
      <c r="L45" s="3">
        <f t="shared" ca="1" si="2"/>
        <v>236233.57553623192</v>
      </c>
      <c r="M45" s="3">
        <f t="shared" ca="1" si="3"/>
        <v>7289614.2106371047</v>
      </c>
      <c r="N45" s="3">
        <f t="shared" si="4"/>
        <v>0</v>
      </c>
      <c r="O45" s="3">
        <f t="shared" si="5"/>
        <v>7346098.7859999994</v>
      </c>
      <c r="P45" s="3">
        <f t="shared" si="6"/>
        <v>14778211.5</v>
      </c>
      <c r="Q45" s="47">
        <f t="shared" ca="1" si="17"/>
        <v>25566201.072173335</v>
      </c>
      <c r="R45" s="47">
        <f>'Monthly Data'!S45</f>
        <v>13245.474871794875</v>
      </c>
      <c r="S45" s="47">
        <f>+'Monthly Data'!T45</f>
        <v>0</v>
      </c>
      <c r="T45" s="47">
        <f t="shared" ca="1" si="8"/>
        <v>25579446.54704513</v>
      </c>
    </row>
    <row r="46" spans="1:20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Data'!R46</f>
        <v>22815236.500837341</v>
      </c>
      <c r="E46" s="3">
        <f t="shared" ref="E46:F46" ca="1" si="41">E34</f>
        <v>96.735690993788822</v>
      </c>
      <c r="F46" s="3">
        <f t="shared" ca="1" si="41"/>
        <v>106.4160119047619</v>
      </c>
      <c r="G46">
        <f>'Monthly Data'!EJ46</f>
        <v>0</v>
      </c>
      <c r="H46" s="3">
        <f>'Monthly Data'!DB46</f>
        <v>7273.8</v>
      </c>
      <c r="I46" s="3">
        <f>'Monthly Data'!DQ46</f>
        <v>30</v>
      </c>
      <c r="K46" s="3">
        <f t="shared" si="1"/>
        <v>-4083957</v>
      </c>
      <c r="L46" s="3">
        <f t="shared" ca="1" si="2"/>
        <v>1078192.7952509318</v>
      </c>
      <c r="M46" s="3">
        <f t="shared" ca="1" si="3"/>
        <v>3677053.1164720235</v>
      </c>
      <c r="N46" s="3">
        <f t="shared" si="4"/>
        <v>0</v>
      </c>
      <c r="O46" s="3">
        <f t="shared" si="5"/>
        <v>7362394.8839999996</v>
      </c>
      <c r="P46" s="3">
        <f t="shared" si="6"/>
        <v>14301495</v>
      </c>
      <c r="Q46" s="47">
        <f t="shared" ca="1" si="17"/>
        <v>22335178.795722954</v>
      </c>
      <c r="R46" s="47">
        <f>'Monthly Data'!S46</f>
        <v>14250.3558974359</v>
      </c>
      <c r="S46" s="47">
        <f>+'Monthly Data'!T46</f>
        <v>0</v>
      </c>
      <c r="T46" s="47">
        <f t="shared" ca="1" si="8"/>
        <v>22349429.151620388</v>
      </c>
    </row>
    <row r="47" spans="1:20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Data'!R47</f>
        <v>22106154.886432506</v>
      </c>
      <c r="E47" s="3">
        <f t="shared" ref="E47:F47" ca="1" si="42">E35</f>
        <v>298.21097826086958</v>
      </c>
      <c r="F47" s="3">
        <f t="shared" ca="1" si="42"/>
        <v>17.987083333333334</v>
      </c>
      <c r="G47">
        <f>'Monthly Data'!EJ47</f>
        <v>0</v>
      </c>
      <c r="H47" s="3">
        <f>'Monthly Data'!DB47</f>
        <v>7269.1</v>
      </c>
      <c r="I47" s="3">
        <f>'Monthly Data'!DQ47</f>
        <v>31</v>
      </c>
      <c r="K47" s="3">
        <f t="shared" si="1"/>
        <v>-4083957</v>
      </c>
      <c r="L47" s="3">
        <f t="shared" ca="1" si="2"/>
        <v>3323787.9930608696</v>
      </c>
      <c r="M47" s="3">
        <f t="shared" ca="1" si="3"/>
        <v>621517.94305416674</v>
      </c>
      <c r="N47" s="3">
        <f t="shared" si="4"/>
        <v>0</v>
      </c>
      <c r="O47" s="3">
        <f t="shared" si="5"/>
        <v>7357637.6380000003</v>
      </c>
      <c r="P47" s="3">
        <f t="shared" si="6"/>
        <v>14778211.5</v>
      </c>
      <c r="Q47" s="47">
        <f t="shared" ca="1" si="17"/>
        <v>21997198.074115038</v>
      </c>
      <c r="R47" s="47">
        <f>'Monthly Data'!S47</f>
        <v>15255.236923076929</v>
      </c>
      <c r="S47" s="47">
        <f>+'Monthly Data'!T47</f>
        <v>0</v>
      </c>
      <c r="T47" s="47">
        <f t="shared" ca="1" si="8"/>
        <v>22012453.311038114</v>
      </c>
    </row>
    <row r="48" spans="1:20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Data'!R48</f>
        <v>24138888.993887678</v>
      </c>
      <c r="E48" s="3">
        <f t="shared" ref="E48:F48" ca="1" si="43">E36</f>
        <v>486.62991389045737</v>
      </c>
      <c r="F48" s="3">
        <f t="shared" ca="1" si="43"/>
        <v>0.8083333333333329</v>
      </c>
      <c r="G48">
        <f>'Monthly Data'!EJ48</f>
        <v>0</v>
      </c>
      <c r="H48" s="3">
        <f>'Monthly Data'!DB48</f>
        <v>7289.9</v>
      </c>
      <c r="I48" s="3">
        <f>'Monthly Data'!DQ48</f>
        <v>30</v>
      </c>
      <c r="K48" s="3">
        <f t="shared" si="1"/>
        <v>-4083957</v>
      </c>
      <c r="L48" s="3">
        <f t="shared" ca="1" si="2"/>
        <v>5423860.2290437045</v>
      </c>
      <c r="M48" s="3">
        <f t="shared" ca="1" si="3"/>
        <v>27930.802416666651</v>
      </c>
      <c r="N48" s="3">
        <f t="shared" si="4"/>
        <v>0</v>
      </c>
      <c r="O48" s="3">
        <f t="shared" si="5"/>
        <v>7378690.9819999989</v>
      </c>
      <c r="P48" s="3">
        <f t="shared" si="6"/>
        <v>14301495</v>
      </c>
      <c r="Q48" s="47">
        <f t="shared" ca="1" si="17"/>
        <v>23048020.013460368</v>
      </c>
      <c r="R48" s="47">
        <f>'Monthly Data'!S48</f>
        <v>16260.117948717954</v>
      </c>
      <c r="S48" s="47">
        <f>+'Monthly Data'!T48</f>
        <v>0</v>
      </c>
      <c r="T48" s="47">
        <f t="shared" ca="1" si="8"/>
        <v>23064280.131409086</v>
      </c>
    </row>
    <row r="49" spans="1:20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Data'!R49</f>
        <v>25339446.166972842</v>
      </c>
      <c r="E49" s="3">
        <f t="shared" ref="E49:F49" ca="1" si="44">E37</f>
        <v>639.92800724637686</v>
      </c>
      <c r="F49" s="3">
        <f t="shared" ca="1" si="44"/>
        <v>0</v>
      </c>
      <c r="G49">
        <f>'Monthly Data'!EJ49</f>
        <v>0</v>
      </c>
      <c r="H49" s="3">
        <f>'Monthly Data'!DB49</f>
        <v>7296.4</v>
      </c>
      <c r="I49" s="3">
        <f>'Monthly Data'!DQ49</f>
        <v>31</v>
      </c>
      <c r="K49" s="3">
        <f t="shared" si="1"/>
        <v>-4083957</v>
      </c>
      <c r="L49" s="3">
        <f t="shared" ca="1" si="2"/>
        <v>7132483.9860463776</v>
      </c>
      <c r="M49" s="3">
        <f t="shared" ca="1" si="3"/>
        <v>0</v>
      </c>
      <c r="N49" s="3">
        <f t="shared" si="4"/>
        <v>0</v>
      </c>
      <c r="O49" s="3">
        <f t="shared" si="5"/>
        <v>7385270.1519999988</v>
      </c>
      <c r="P49" s="3">
        <f t="shared" si="6"/>
        <v>14778211.5</v>
      </c>
      <c r="Q49" s="47">
        <f t="shared" ca="1" si="17"/>
        <v>25212008.638046376</v>
      </c>
      <c r="R49" s="47">
        <f>'Monthly Data'!S49</f>
        <v>17264.998974358979</v>
      </c>
      <c r="S49" s="47">
        <f>+'Monthly Data'!T49</f>
        <v>0</v>
      </c>
      <c r="T49" s="47">
        <f t="shared" ca="1" si="8"/>
        <v>25229273.637020737</v>
      </c>
    </row>
    <row r="50" spans="1:20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Data'!R50</f>
        <v>28199794.929765757</v>
      </c>
      <c r="E50" s="3">
        <f t="shared" ref="E50:F50" ca="1" si="45">E38</f>
        <v>759.33418478260865</v>
      </c>
      <c r="F50" s="3">
        <f t="shared" ca="1" si="45"/>
        <v>0</v>
      </c>
      <c r="G50">
        <f>'Monthly Data'!EJ50</f>
        <v>0</v>
      </c>
      <c r="H50" s="3">
        <f>'Monthly Data'!DB50</f>
        <v>7306.5</v>
      </c>
      <c r="I50" s="3">
        <f>'Monthly Data'!DQ50</f>
        <v>31</v>
      </c>
      <c r="K50" s="3">
        <f t="shared" si="1"/>
        <v>-4083957</v>
      </c>
      <c r="L50" s="3">
        <f t="shared" ca="1" si="2"/>
        <v>8463356.5833826084</v>
      </c>
      <c r="M50" s="3">
        <f t="shared" ca="1" si="3"/>
        <v>0</v>
      </c>
      <c r="N50" s="3">
        <f t="shared" si="4"/>
        <v>0</v>
      </c>
      <c r="O50" s="3">
        <f t="shared" si="5"/>
        <v>7395493.1699999999</v>
      </c>
      <c r="P50" s="3">
        <f t="shared" si="6"/>
        <v>14778211.5</v>
      </c>
      <c r="Q50" s="47">
        <f t="shared" ca="1" si="17"/>
        <v>26553104.253382608</v>
      </c>
      <c r="R50" s="47">
        <f>'Monthly Data'!S50</f>
        <v>18764.510769230772</v>
      </c>
      <c r="S50" s="47">
        <f ca="1">+'Monthly Data'!T50</f>
        <v>37437.892827103271</v>
      </c>
      <c r="T50" s="47">
        <f t="shared" ca="1" si="8"/>
        <v>26609306.656978942</v>
      </c>
    </row>
    <row r="51" spans="1:20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Data'!R51</f>
        <v>25294481.990231387</v>
      </c>
      <c r="E51" s="3">
        <f t="shared" ref="E51:F51" ca="1" si="46">E39</f>
        <v>680.85501811594202</v>
      </c>
      <c r="F51" s="3">
        <f t="shared" ca="1" si="46"/>
        <v>0</v>
      </c>
      <c r="G51">
        <f>'Monthly Data'!EJ51</f>
        <v>0</v>
      </c>
      <c r="H51" s="3">
        <f>'Monthly Data'!DB51</f>
        <v>7329.7</v>
      </c>
      <c r="I51" s="3">
        <f>'Monthly Data'!DQ51</f>
        <v>28</v>
      </c>
      <c r="K51" s="3">
        <f t="shared" si="1"/>
        <v>-4083957</v>
      </c>
      <c r="L51" s="3">
        <f t="shared" ca="1" si="2"/>
        <v>7588646.6267159423</v>
      </c>
      <c r="M51" s="3">
        <f t="shared" ca="1" si="3"/>
        <v>0</v>
      </c>
      <c r="N51" s="3">
        <f t="shared" si="4"/>
        <v>0</v>
      </c>
      <c r="O51" s="3">
        <f t="shared" si="5"/>
        <v>7418975.7459999993</v>
      </c>
      <c r="P51" s="3">
        <f t="shared" si="6"/>
        <v>13348062</v>
      </c>
      <c r="Q51" s="47">
        <f t="shared" ca="1" si="17"/>
        <v>24271727.372715943</v>
      </c>
      <c r="R51" s="47">
        <f>'Monthly Data'!S51</f>
        <v>19259.141538461539</v>
      </c>
      <c r="S51" s="47">
        <f ca="1">+'Monthly Data'!T51</f>
        <v>30687.495780306719</v>
      </c>
      <c r="T51" s="47">
        <f t="shared" ca="1" si="8"/>
        <v>24321674.01003471</v>
      </c>
    </row>
    <row r="52" spans="1:20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Data'!R52</f>
        <v>26621291.355706912</v>
      </c>
      <c r="E52" s="3">
        <f t="shared" ref="E52:F52" ca="1" si="47">E40</f>
        <v>608.13298913043479</v>
      </c>
      <c r="F52" s="3">
        <f t="shared" ca="1" si="47"/>
        <v>0</v>
      </c>
      <c r="G52">
        <f>'Monthly Data'!EJ52</f>
        <v>0</v>
      </c>
      <c r="H52" s="3">
        <f>'Monthly Data'!DB52</f>
        <v>7341.9</v>
      </c>
      <c r="I52" s="3">
        <f>'Monthly Data'!DQ52</f>
        <v>31</v>
      </c>
      <c r="K52" s="3">
        <f t="shared" si="1"/>
        <v>-4083957</v>
      </c>
      <c r="L52" s="3">
        <f t="shared" ca="1" si="2"/>
        <v>6778104.3449304346</v>
      </c>
      <c r="M52" s="3">
        <f t="shared" ca="1" si="3"/>
        <v>0</v>
      </c>
      <c r="N52" s="3">
        <f t="shared" si="4"/>
        <v>0</v>
      </c>
      <c r="O52" s="3">
        <f t="shared" si="5"/>
        <v>7431324.3419999992</v>
      </c>
      <c r="P52" s="3">
        <f t="shared" si="6"/>
        <v>14778211.5</v>
      </c>
      <c r="Q52" s="47">
        <f t="shared" ca="1" si="17"/>
        <v>24903683.186930433</v>
      </c>
      <c r="R52" s="47">
        <f>'Monthly Data'!S52</f>
        <v>19753.77230769231</v>
      </c>
      <c r="S52" s="47">
        <f ca="1">+'Monthly Data'!T52</f>
        <v>29350.856763277869</v>
      </c>
      <c r="T52" s="47">
        <f t="shared" ca="1" si="8"/>
        <v>24952787.816001404</v>
      </c>
    </row>
    <row r="53" spans="1:20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Data'!R53</f>
        <v>24284936.427162535</v>
      </c>
      <c r="E53" s="3">
        <f t="shared" ref="E53:F53" ca="1" si="48">E41</f>
        <v>412.37941287878795</v>
      </c>
      <c r="F53" s="3">
        <f t="shared" ca="1" si="48"/>
        <v>2.1908333333333347</v>
      </c>
      <c r="G53">
        <f>'Monthly Data'!EJ53</f>
        <v>0</v>
      </c>
      <c r="H53" s="3">
        <f>'Monthly Data'!DB53</f>
        <v>7361.6</v>
      </c>
      <c r="I53" s="3">
        <f>'Monthly Data'!DQ53</f>
        <v>30</v>
      </c>
      <c r="K53" s="3">
        <f t="shared" si="1"/>
        <v>-4083957</v>
      </c>
      <c r="L53" s="3">
        <f t="shared" ca="1" si="2"/>
        <v>4596281.9648878798</v>
      </c>
      <c r="M53" s="3">
        <f t="shared" ca="1" si="3"/>
        <v>75701.11294166671</v>
      </c>
      <c r="N53" s="3">
        <f t="shared" si="4"/>
        <v>0</v>
      </c>
      <c r="O53" s="3">
        <f t="shared" si="5"/>
        <v>7451264.2879999997</v>
      </c>
      <c r="P53" s="3">
        <f t="shared" si="6"/>
        <v>14301495</v>
      </c>
      <c r="Q53" s="47">
        <f t="shared" ca="1" si="17"/>
        <v>22340785.365829546</v>
      </c>
      <c r="R53" s="47">
        <f>'Monthly Data'!S53</f>
        <v>20248.403076923081</v>
      </c>
      <c r="S53" s="47">
        <f ca="1">+'Monthly Data'!T53</f>
        <v>17599.913748539435</v>
      </c>
      <c r="T53" s="47">
        <f t="shared" ca="1" si="8"/>
        <v>22378633.68265501</v>
      </c>
    </row>
    <row r="54" spans="1:20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Data'!R54</f>
        <v>22990078.605217956</v>
      </c>
      <c r="E54" s="3">
        <f t="shared" ref="E54:F54" ca="1" si="49">E42</f>
        <v>202.70273119310133</v>
      </c>
      <c r="F54" s="3">
        <f t="shared" ca="1" si="49"/>
        <v>52.487435064935063</v>
      </c>
      <c r="G54">
        <f>'Monthly Data'!EJ54</f>
        <v>0</v>
      </c>
      <c r="H54" s="3">
        <f>'Monthly Data'!DB54</f>
        <v>7376.4</v>
      </c>
      <c r="I54" s="3">
        <f>'Monthly Data'!DQ54</f>
        <v>31</v>
      </c>
      <c r="K54" s="3">
        <f t="shared" si="1"/>
        <v>-4083957</v>
      </c>
      <c r="L54" s="3">
        <f t="shared" ca="1" si="2"/>
        <v>2259275.993222821</v>
      </c>
      <c r="M54" s="3">
        <f t="shared" ca="1" si="3"/>
        <v>1813628.2616366881</v>
      </c>
      <c r="N54" s="3">
        <f t="shared" si="4"/>
        <v>0</v>
      </c>
      <c r="O54" s="3">
        <f t="shared" si="5"/>
        <v>7466244.5519999992</v>
      </c>
      <c r="P54" s="3">
        <f t="shared" si="6"/>
        <v>14778211.5</v>
      </c>
      <c r="Q54" s="47">
        <f t="shared" ref="Q54:Q85" ca="1" si="50">SUM(K54:P54)</f>
        <v>22233403.306859508</v>
      </c>
      <c r="R54" s="47">
        <f>'Monthly Data'!S54</f>
        <v>20743.033846153849</v>
      </c>
      <c r="S54" s="47">
        <f ca="1">+'Monthly Data'!T54</f>
        <v>9865.9511489647666</v>
      </c>
      <c r="T54" s="47">
        <f t="shared" ca="1" si="8"/>
        <v>22264012.291854627</v>
      </c>
    </row>
    <row r="55" spans="1:20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Data'!R55</f>
        <v>23460428.591133583</v>
      </c>
      <c r="E55" s="3">
        <f t="shared" ref="E55:F55" ca="1" si="51">E43</f>
        <v>66.09717382617383</v>
      </c>
      <c r="F55" s="3">
        <f t="shared" ca="1" si="51"/>
        <v>137.65451754405018</v>
      </c>
      <c r="G55">
        <f>'Monthly Data'!EJ55</f>
        <v>0</v>
      </c>
      <c r="H55" s="3">
        <f>'Monthly Data'!DB55</f>
        <v>7396.1</v>
      </c>
      <c r="I55" s="3">
        <f>'Monthly Data'!DQ55</f>
        <v>30</v>
      </c>
      <c r="K55" s="3">
        <f t="shared" si="1"/>
        <v>-4083957</v>
      </c>
      <c r="L55" s="3">
        <f t="shared" ca="1" si="2"/>
        <v>736703.23614481522</v>
      </c>
      <c r="M55" s="3">
        <f t="shared" ca="1" si="3"/>
        <v>4756455.0077745663</v>
      </c>
      <c r="N55" s="3">
        <f t="shared" si="4"/>
        <v>0</v>
      </c>
      <c r="O55" s="3">
        <f t="shared" si="5"/>
        <v>7486184.4979999997</v>
      </c>
      <c r="P55" s="3">
        <f t="shared" si="6"/>
        <v>14301495</v>
      </c>
      <c r="Q55" s="47">
        <f t="shared" ca="1" si="50"/>
        <v>23196880.741919383</v>
      </c>
      <c r="R55" s="47">
        <f>'Monthly Data'!S55</f>
        <v>21237.66461538462</v>
      </c>
      <c r="S55" s="47">
        <f ca="1">+'Monthly Data'!T55</f>
        <v>2213.8646235960668</v>
      </c>
      <c r="T55" s="47">
        <f t="shared" ref="T55:T118" ca="1" si="52">Q55+R55+S55</f>
        <v>23220332.271158364</v>
      </c>
    </row>
    <row r="56" spans="1:20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Data'!R56</f>
        <v>28720628.229629111</v>
      </c>
      <c r="E56" s="3">
        <f t="shared" ref="E56:F56" ca="1" si="53">E44</f>
        <v>10.249063146997932</v>
      </c>
      <c r="F56" s="3">
        <f t="shared" ca="1" si="53"/>
        <v>235.94737858727848</v>
      </c>
      <c r="G56">
        <f>'Monthly Data'!EJ56</f>
        <v>0</v>
      </c>
      <c r="H56" s="3">
        <f>'Monthly Data'!DB56</f>
        <v>7399.6</v>
      </c>
      <c r="I56" s="3">
        <f>'Monthly Data'!DQ56</f>
        <v>31</v>
      </c>
      <c r="K56" s="3">
        <f t="shared" si="1"/>
        <v>-4083957</v>
      </c>
      <c r="L56" s="3">
        <f t="shared" ca="1" si="2"/>
        <v>114233.59806128367</v>
      </c>
      <c r="M56" s="3">
        <f t="shared" ca="1" si="3"/>
        <v>8152824.2623320278</v>
      </c>
      <c r="N56" s="3">
        <f t="shared" si="4"/>
        <v>0</v>
      </c>
      <c r="O56" s="3">
        <f t="shared" si="5"/>
        <v>7489727.1279999996</v>
      </c>
      <c r="P56" s="3">
        <f t="shared" si="6"/>
        <v>14778211.5</v>
      </c>
      <c r="Q56" s="47">
        <f t="shared" ca="1" si="50"/>
        <v>26451039.48839331</v>
      </c>
      <c r="R56" s="47">
        <f>'Monthly Data'!S56</f>
        <v>21732.295384615391</v>
      </c>
      <c r="S56" s="47">
        <f ca="1">+'Monthly Data'!T56</f>
        <v>0</v>
      </c>
      <c r="T56" s="47">
        <f t="shared" ca="1" si="52"/>
        <v>26472771.783777926</v>
      </c>
    </row>
    <row r="57" spans="1:20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Data'!R57</f>
        <v>26641426.684534434</v>
      </c>
      <c r="E57" s="3">
        <f t="shared" ref="E57:F57" ca="1" si="54">E45</f>
        <v>21.194927536231887</v>
      </c>
      <c r="F57" s="3">
        <f t="shared" ca="1" si="54"/>
        <v>210.96558794466404</v>
      </c>
      <c r="G57">
        <f>'Monthly Data'!EJ57</f>
        <v>0</v>
      </c>
      <c r="H57" s="3">
        <f>'Monthly Data'!DB57</f>
        <v>7414</v>
      </c>
      <c r="I57" s="3">
        <f>'Monthly Data'!DQ57</f>
        <v>31</v>
      </c>
      <c r="K57" s="3">
        <f t="shared" si="1"/>
        <v>-4083957</v>
      </c>
      <c r="L57" s="3">
        <f t="shared" ca="1" si="2"/>
        <v>236233.57553623192</v>
      </c>
      <c r="M57" s="3">
        <f t="shared" ca="1" si="3"/>
        <v>7289614.2106371047</v>
      </c>
      <c r="N57" s="3">
        <f t="shared" si="4"/>
        <v>0</v>
      </c>
      <c r="O57" s="3">
        <f t="shared" si="5"/>
        <v>7504302.5199999996</v>
      </c>
      <c r="P57" s="3">
        <f t="shared" si="6"/>
        <v>14778211.5</v>
      </c>
      <c r="Q57" s="47">
        <f t="shared" ca="1" si="50"/>
        <v>25724404.806173336</v>
      </c>
      <c r="R57" s="47">
        <f>'Monthly Data'!S57</f>
        <v>22226.926153846158</v>
      </c>
      <c r="S57" s="47">
        <f ca="1">+'Monthly Data'!T57</f>
        <v>223.00650964943617</v>
      </c>
      <c r="T57" s="47">
        <f t="shared" ca="1" si="52"/>
        <v>25746854.738836832</v>
      </c>
    </row>
    <row r="58" spans="1:20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Data'!R58</f>
        <v>22786083.403550062</v>
      </c>
      <c r="E58" s="3">
        <f t="shared" ref="E58:F58" ca="1" si="55">E46</f>
        <v>96.735690993788822</v>
      </c>
      <c r="F58" s="3">
        <f t="shared" ca="1" si="55"/>
        <v>106.4160119047619</v>
      </c>
      <c r="G58">
        <f>'Monthly Data'!EJ58</f>
        <v>0</v>
      </c>
      <c r="H58" s="3">
        <f>'Monthly Data'!DB58</f>
        <v>7432.4</v>
      </c>
      <c r="I58" s="3">
        <f>'Monthly Data'!DQ58</f>
        <v>30</v>
      </c>
      <c r="K58" s="3">
        <f t="shared" si="1"/>
        <v>-4083957</v>
      </c>
      <c r="L58" s="3">
        <f t="shared" ca="1" si="2"/>
        <v>1078192.7952509318</v>
      </c>
      <c r="M58" s="3">
        <f t="shared" ca="1" si="3"/>
        <v>3677053.1164720235</v>
      </c>
      <c r="N58" s="3">
        <f t="shared" si="4"/>
        <v>0</v>
      </c>
      <c r="O58" s="3">
        <f t="shared" si="5"/>
        <v>7522926.6319999993</v>
      </c>
      <c r="P58" s="3">
        <f t="shared" si="6"/>
        <v>14301495</v>
      </c>
      <c r="Q58" s="47">
        <f t="shared" ca="1" si="50"/>
        <v>22495710.543722954</v>
      </c>
      <c r="R58" s="47">
        <f>'Monthly Data'!S58</f>
        <v>22721.556923076929</v>
      </c>
      <c r="S58" s="47">
        <f ca="1">+'Monthly Data'!T58</f>
        <v>2978.6869490664199</v>
      </c>
      <c r="T58" s="47">
        <f t="shared" ca="1" si="52"/>
        <v>22521410.787595097</v>
      </c>
    </row>
    <row r="59" spans="1:20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Data'!R59</f>
        <v>22912660.533415586</v>
      </c>
      <c r="E59" s="3">
        <f t="shared" ref="E59:F59" ca="1" si="56">E47</f>
        <v>298.21097826086958</v>
      </c>
      <c r="F59" s="3">
        <f t="shared" ca="1" si="56"/>
        <v>17.987083333333334</v>
      </c>
      <c r="G59">
        <f>'Monthly Data'!EJ59</f>
        <v>0</v>
      </c>
      <c r="H59" s="3">
        <f>'Monthly Data'!DB59</f>
        <v>7450</v>
      </c>
      <c r="I59" s="3">
        <f>'Monthly Data'!DQ59</f>
        <v>31</v>
      </c>
      <c r="K59" s="3">
        <f t="shared" si="1"/>
        <v>-4083957</v>
      </c>
      <c r="L59" s="3">
        <f t="shared" ca="1" si="2"/>
        <v>3323787.9930608696</v>
      </c>
      <c r="M59" s="3">
        <f t="shared" ca="1" si="3"/>
        <v>621517.94305416674</v>
      </c>
      <c r="N59" s="3">
        <f t="shared" si="4"/>
        <v>0</v>
      </c>
      <c r="O59" s="3">
        <f t="shared" si="5"/>
        <v>7540741</v>
      </c>
      <c r="P59" s="3">
        <f t="shared" si="6"/>
        <v>14778211.5</v>
      </c>
      <c r="Q59" s="47">
        <f t="shared" ca="1" si="50"/>
        <v>22180301.436115038</v>
      </c>
      <c r="R59" s="47">
        <f>'Monthly Data'!S59</f>
        <v>23216.1876923077</v>
      </c>
      <c r="S59" s="47">
        <f ca="1">+'Monthly Data'!T59</f>
        <v>11701.741578528774</v>
      </c>
      <c r="T59" s="47">
        <f t="shared" ca="1" si="52"/>
        <v>22215219.365385875</v>
      </c>
    </row>
    <row r="60" spans="1:20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Data'!R60</f>
        <v>25340479.971441206</v>
      </c>
      <c r="E60" s="3">
        <f t="shared" ref="E60:F60" ca="1" si="57">E48</f>
        <v>486.62991389045737</v>
      </c>
      <c r="F60" s="3">
        <f t="shared" ca="1" si="57"/>
        <v>0.8083333333333329</v>
      </c>
      <c r="G60">
        <f>'Monthly Data'!EJ60</f>
        <v>0</v>
      </c>
      <c r="H60" s="3">
        <f>'Monthly Data'!DB60</f>
        <v>7458.2</v>
      </c>
      <c r="I60" s="3">
        <f>'Monthly Data'!DQ60</f>
        <v>30</v>
      </c>
      <c r="K60" s="3">
        <f t="shared" si="1"/>
        <v>-4083957</v>
      </c>
      <c r="L60" s="3">
        <f t="shared" ca="1" si="2"/>
        <v>5423860.2290437045</v>
      </c>
      <c r="M60" s="3">
        <f t="shared" ca="1" si="3"/>
        <v>27930.802416666651</v>
      </c>
      <c r="N60" s="3">
        <f t="shared" si="4"/>
        <v>0</v>
      </c>
      <c r="O60" s="3">
        <f t="shared" si="5"/>
        <v>7549040.8759999992</v>
      </c>
      <c r="P60" s="3">
        <f t="shared" si="6"/>
        <v>14301495</v>
      </c>
      <c r="Q60" s="47">
        <f t="shared" ca="1" si="50"/>
        <v>23218369.907460369</v>
      </c>
      <c r="R60" s="47">
        <f>'Monthly Data'!S60</f>
        <v>23710.818461538467</v>
      </c>
      <c r="S60" s="47">
        <f ca="1">+'Monthly Data'!T60</f>
        <v>25427.542240153783</v>
      </c>
      <c r="T60" s="47">
        <f t="shared" ca="1" si="52"/>
        <v>23267508.268162061</v>
      </c>
    </row>
    <row r="61" spans="1:20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Data'!R61</f>
        <v>27137586.348116633</v>
      </c>
      <c r="E61" s="3">
        <f t="shared" ref="E61:F61" ca="1" si="58">E49</f>
        <v>639.92800724637686</v>
      </c>
      <c r="F61" s="3">
        <f t="shared" ca="1" si="58"/>
        <v>0</v>
      </c>
      <c r="G61">
        <f>'Monthly Data'!EJ61</f>
        <v>0</v>
      </c>
      <c r="H61" s="3">
        <f>'Monthly Data'!DB61</f>
        <v>7474</v>
      </c>
      <c r="I61" s="3">
        <f>'Monthly Data'!DQ61</f>
        <v>31</v>
      </c>
      <c r="K61" s="3">
        <f t="shared" si="1"/>
        <v>-4083957</v>
      </c>
      <c r="L61" s="3">
        <f t="shared" ca="1" si="2"/>
        <v>7132483.9860463776</v>
      </c>
      <c r="M61" s="3">
        <f t="shared" ca="1" si="3"/>
        <v>0</v>
      </c>
      <c r="N61" s="3">
        <f t="shared" si="4"/>
        <v>0</v>
      </c>
      <c r="O61" s="3">
        <f t="shared" si="5"/>
        <v>7565033.3199999994</v>
      </c>
      <c r="P61" s="3">
        <f t="shared" si="6"/>
        <v>14778211.5</v>
      </c>
      <c r="Q61" s="47">
        <f t="shared" ca="1" si="50"/>
        <v>25391771.806046378</v>
      </c>
      <c r="R61" s="47">
        <f>'Monthly Data'!S61</f>
        <v>24205.449230769238</v>
      </c>
      <c r="S61" s="47">
        <f ca="1">+'Monthly Data'!T61</f>
        <v>29493.460925950552</v>
      </c>
      <c r="T61" s="47">
        <f t="shared" ca="1" si="52"/>
        <v>25445470.716203097</v>
      </c>
    </row>
    <row r="62" spans="1:20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Data'!R62</f>
        <v>27882555.665730566</v>
      </c>
      <c r="E62" s="3">
        <f t="shared" ref="E62:F62" ca="1" si="59">E50</f>
        <v>759.33418478260865</v>
      </c>
      <c r="F62" s="3">
        <f t="shared" ca="1" si="59"/>
        <v>0</v>
      </c>
      <c r="G62">
        <f>'Monthly Data'!EJ62</f>
        <v>0</v>
      </c>
      <c r="H62" s="3">
        <f>'Monthly Data'!DB62</f>
        <v>7498.1</v>
      </c>
      <c r="I62" s="3">
        <f>'Monthly Data'!DQ62</f>
        <v>31</v>
      </c>
      <c r="K62" s="3">
        <f t="shared" si="1"/>
        <v>-4083957</v>
      </c>
      <c r="L62" s="3">
        <f t="shared" ca="1" si="2"/>
        <v>8463356.5833826084</v>
      </c>
      <c r="M62" s="3">
        <f t="shared" ca="1" si="3"/>
        <v>0</v>
      </c>
      <c r="N62" s="3">
        <f t="shared" si="4"/>
        <v>0</v>
      </c>
      <c r="O62" s="3">
        <f t="shared" si="5"/>
        <v>7589426.858</v>
      </c>
      <c r="P62" s="3">
        <f t="shared" si="6"/>
        <v>14778211.5</v>
      </c>
      <c r="Q62" s="47">
        <f t="shared" ca="1" si="50"/>
        <v>26747037.941382609</v>
      </c>
      <c r="R62" s="47">
        <f>'Monthly Data'!S62</f>
        <v>25273.896666666667</v>
      </c>
      <c r="S62" s="47">
        <f ca="1">+'Monthly Data'!T62</f>
        <v>125794.06916719607</v>
      </c>
      <c r="T62" s="47">
        <f t="shared" ca="1" si="52"/>
        <v>26898105.907216474</v>
      </c>
    </row>
    <row r="63" spans="1:20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Data'!R63</f>
        <v>26219897.050254565</v>
      </c>
      <c r="E63" s="3">
        <f t="shared" ref="E63:F63" ca="1" si="60">E51</f>
        <v>680.85501811594202</v>
      </c>
      <c r="F63" s="3">
        <f t="shared" ca="1" si="60"/>
        <v>0</v>
      </c>
      <c r="G63">
        <f>'Monthly Data'!EJ63</f>
        <v>0</v>
      </c>
      <c r="H63" s="3">
        <f>'Monthly Data'!DB63</f>
        <v>7508</v>
      </c>
      <c r="I63" s="3">
        <f>'Monthly Data'!DQ63</f>
        <v>29</v>
      </c>
      <c r="K63" s="3">
        <f t="shared" si="1"/>
        <v>-4083957</v>
      </c>
      <c r="L63" s="3">
        <f t="shared" ca="1" si="2"/>
        <v>7588646.6267159423</v>
      </c>
      <c r="M63" s="3">
        <f t="shared" ca="1" si="3"/>
        <v>0</v>
      </c>
      <c r="N63" s="3">
        <f t="shared" si="4"/>
        <v>0</v>
      </c>
      <c r="O63" s="3">
        <f t="shared" si="5"/>
        <v>7599447.4399999995</v>
      </c>
      <c r="P63" s="3">
        <f t="shared" si="6"/>
        <v>13824778.5</v>
      </c>
      <c r="Q63" s="47">
        <f t="shared" ca="1" si="50"/>
        <v>24928915.566715941</v>
      </c>
      <c r="R63" s="47">
        <f>'Monthly Data'!S63</f>
        <v>25847.713333333337</v>
      </c>
      <c r="S63" s="47">
        <f ca="1">+'Monthly Data'!T63</f>
        <v>124109.50206218536</v>
      </c>
      <c r="T63" s="47">
        <f t="shared" ca="1" si="52"/>
        <v>25078872.782111462</v>
      </c>
    </row>
    <row r="64" spans="1:20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Data'!R64</f>
        <v>24264064.167998258</v>
      </c>
      <c r="E64" s="3">
        <f t="shared" ref="E64:F64" ca="1" si="61">E52</f>
        <v>608.13298913043479</v>
      </c>
      <c r="F64" s="3">
        <f t="shared" ca="1" si="61"/>
        <v>0</v>
      </c>
      <c r="G64">
        <f>'Monthly Data'!EJ64</f>
        <v>0.5</v>
      </c>
      <c r="H64" s="3">
        <f>'Monthly Data'!DB64</f>
        <v>7351.6</v>
      </c>
      <c r="I64" s="3">
        <f>'Monthly Data'!DQ64</f>
        <v>31</v>
      </c>
      <c r="K64" s="3">
        <f t="shared" si="1"/>
        <v>-4083957</v>
      </c>
      <c r="L64" s="3">
        <f t="shared" ca="1" si="2"/>
        <v>6778104.3449304346</v>
      </c>
      <c r="M64" s="3">
        <f t="shared" ca="1" si="3"/>
        <v>0</v>
      </c>
      <c r="N64" s="3">
        <f t="shared" si="4"/>
        <v>-1225198.5</v>
      </c>
      <c r="O64" s="3">
        <f t="shared" si="5"/>
        <v>7441142.4879999999</v>
      </c>
      <c r="P64" s="3">
        <f t="shared" si="6"/>
        <v>14778211.5</v>
      </c>
      <c r="Q64" s="47">
        <f t="shared" ca="1" si="50"/>
        <v>23688302.832930434</v>
      </c>
      <c r="R64" s="47">
        <f>'Monthly Data'!S64</f>
        <v>26421.530000000002</v>
      </c>
      <c r="S64" s="47">
        <f ca="1">+'Monthly Data'!T64</f>
        <v>96337.066944989783</v>
      </c>
      <c r="T64" s="47">
        <f t="shared" ca="1" si="52"/>
        <v>23811061.429875426</v>
      </c>
    </row>
    <row r="65" spans="1:20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Data'!R65</f>
        <v>19436437.523442257</v>
      </c>
      <c r="E65" s="3">
        <f t="shared" ref="E65:F65" ca="1" si="62">E53</f>
        <v>412.37941287878795</v>
      </c>
      <c r="F65" s="3">
        <f t="shared" ca="1" si="62"/>
        <v>2.1908333333333347</v>
      </c>
      <c r="G65">
        <f>'Monthly Data'!EJ65</f>
        <v>1</v>
      </c>
      <c r="H65" s="3">
        <f>'Monthly Data'!DB65</f>
        <v>6961.6</v>
      </c>
      <c r="I65" s="3">
        <f>'Monthly Data'!DQ65</f>
        <v>30</v>
      </c>
      <c r="K65" s="3">
        <f t="shared" si="1"/>
        <v>-4083957</v>
      </c>
      <c r="L65" s="3">
        <f t="shared" ca="1" si="2"/>
        <v>4596281.9648878798</v>
      </c>
      <c r="M65" s="3">
        <f t="shared" ca="1" si="3"/>
        <v>75701.11294166671</v>
      </c>
      <c r="N65" s="3">
        <f t="shared" si="4"/>
        <v>-2450397</v>
      </c>
      <c r="O65" s="3">
        <f t="shared" si="5"/>
        <v>7046392.2879999997</v>
      </c>
      <c r="P65" s="3">
        <f t="shared" si="6"/>
        <v>14301495</v>
      </c>
      <c r="Q65" s="47">
        <f t="shared" ca="1" si="50"/>
        <v>19485516.365829546</v>
      </c>
      <c r="R65" s="47">
        <f>'Monthly Data'!S65</f>
        <v>26995.346666666668</v>
      </c>
      <c r="S65" s="47">
        <f ca="1">+'Monthly Data'!T65</f>
        <v>75953.054796035198</v>
      </c>
      <c r="T65" s="47">
        <f t="shared" ca="1" si="52"/>
        <v>19588464.76729225</v>
      </c>
    </row>
    <row r="66" spans="1:20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Data'!R66</f>
        <v>19729688.584076051</v>
      </c>
      <c r="E66" s="3">
        <f t="shared" ref="E66:F66" ca="1" si="63">E54</f>
        <v>202.70273119310133</v>
      </c>
      <c r="F66" s="3">
        <f t="shared" ca="1" si="63"/>
        <v>52.487435064935063</v>
      </c>
      <c r="G66">
        <f>'Monthly Data'!EJ66</f>
        <v>1</v>
      </c>
      <c r="H66" s="3">
        <f>'Monthly Data'!DB66</f>
        <v>6572.6</v>
      </c>
      <c r="I66" s="3">
        <f>'Monthly Data'!DQ66</f>
        <v>31</v>
      </c>
      <c r="K66" s="3">
        <f t="shared" ref="K66:K129" si="64">$X$8</f>
        <v>-4083957</v>
      </c>
      <c r="L66" s="3">
        <f t="shared" ref="L66:L129" ca="1" si="65">E66*$X$9</f>
        <v>2259275.993222821</v>
      </c>
      <c r="M66" s="3">
        <f t="shared" ref="M66:M129" ca="1" si="66">F66*$X$10</f>
        <v>1813628.2616366881</v>
      </c>
      <c r="N66" s="3">
        <f t="shared" ref="N66:N129" si="67">G66*$X$11</f>
        <v>-2450397</v>
      </c>
      <c r="O66" s="3">
        <f t="shared" ref="O66:O129" si="68">H66*$X$12</f>
        <v>6652654.2680000002</v>
      </c>
      <c r="P66" s="3">
        <f t="shared" ref="P66:P129" si="69">I66*$X$13</f>
        <v>14778211.5</v>
      </c>
      <c r="Q66" s="47">
        <f t="shared" ca="1" si="50"/>
        <v>18969416.02285951</v>
      </c>
      <c r="R66" s="47">
        <f>'Monthly Data'!S66</f>
        <v>27569.163333333338</v>
      </c>
      <c r="S66" s="47">
        <f ca="1">+'Monthly Data'!T66</f>
        <v>42557.497292473476</v>
      </c>
      <c r="T66" s="47">
        <f t="shared" ca="1" si="52"/>
        <v>19039542.683485318</v>
      </c>
    </row>
    <row r="67" spans="1:20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Data'!R67</f>
        <v>22049789.285819951</v>
      </c>
      <c r="E67" s="3">
        <f t="shared" ref="E67:F67" ca="1" si="70">E55</f>
        <v>66.09717382617383</v>
      </c>
      <c r="F67" s="3">
        <f t="shared" ca="1" si="70"/>
        <v>137.65451754405018</v>
      </c>
      <c r="G67">
        <f>'Monthly Data'!EJ67</f>
        <v>0.5</v>
      </c>
      <c r="H67" s="3">
        <f>'Monthly Data'!DB67</f>
        <v>6477.4</v>
      </c>
      <c r="I67" s="3">
        <f>'Monthly Data'!DQ67</f>
        <v>30</v>
      </c>
      <c r="K67" s="3">
        <f t="shared" si="64"/>
        <v>-4083957</v>
      </c>
      <c r="L67" s="3">
        <f t="shared" ca="1" si="65"/>
        <v>736703.23614481522</v>
      </c>
      <c r="M67" s="3">
        <f t="shared" ca="1" si="66"/>
        <v>4756455.0077745663</v>
      </c>
      <c r="N67" s="3">
        <f t="shared" si="67"/>
        <v>-1225198.5</v>
      </c>
      <c r="O67" s="3">
        <f t="shared" si="68"/>
        <v>6556294.7319999989</v>
      </c>
      <c r="P67" s="3">
        <f t="shared" si="69"/>
        <v>14301495</v>
      </c>
      <c r="Q67" s="47">
        <f t="shared" ca="1" si="50"/>
        <v>21041792.475919381</v>
      </c>
      <c r="R67" s="47">
        <f>'Monthly Data'!S67</f>
        <v>28142.980000000003</v>
      </c>
      <c r="S67" s="47">
        <f ca="1">+'Monthly Data'!T67</f>
        <v>5948.0805845405857</v>
      </c>
      <c r="T67" s="47">
        <f t="shared" ca="1" si="52"/>
        <v>21075883.536503922</v>
      </c>
    </row>
    <row r="68" spans="1:20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Data'!R68</f>
        <v>27165576.220593844</v>
      </c>
      <c r="E68" s="3">
        <f t="shared" ref="E68:F68" ca="1" si="71">E56</f>
        <v>10.249063146997932</v>
      </c>
      <c r="F68" s="3">
        <f t="shared" ca="1" si="71"/>
        <v>235.94737858727848</v>
      </c>
      <c r="G68">
        <f>'Monthly Data'!EJ68</f>
        <v>0.5</v>
      </c>
      <c r="H68" s="3">
        <f>'Monthly Data'!DB68</f>
        <v>6666.4</v>
      </c>
      <c r="I68" s="3">
        <f>'Monthly Data'!DQ68</f>
        <v>31</v>
      </c>
      <c r="K68" s="3">
        <f t="shared" si="64"/>
        <v>-4083957</v>
      </c>
      <c r="L68" s="3">
        <f t="shared" ca="1" si="65"/>
        <v>114233.59806128367</v>
      </c>
      <c r="M68" s="3">
        <f t="shared" ca="1" si="66"/>
        <v>8152824.2623320278</v>
      </c>
      <c r="N68" s="3">
        <f t="shared" si="67"/>
        <v>-1225198.5</v>
      </c>
      <c r="O68" s="3">
        <f t="shared" si="68"/>
        <v>6747596.7519999994</v>
      </c>
      <c r="P68" s="3">
        <f t="shared" si="69"/>
        <v>14778211.5</v>
      </c>
      <c r="Q68" s="47">
        <f t="shared" ca="1" si="50"/>
        <v>24483710.612393312</v>
      </c>
      <c r="R68" s="47">
        <f>'Monthly Data'!S68</f>
        <v>28716.796666666669</v>
      </c>
      <c r="S68" s="47">
        <f ca="1">+'Monthly Data'!T68</f>
        <v>0</v>
      </c>
      <c r="T68" s="47">
        <f t="shared" ca="1" si="52"/>
        <v>24512427.409059979</v>
      </c>
    </row>
    <row r="69" spans="1:20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Data'!R69</f>
        <v>25223117.485357739</v>
      </c>
      <c r="E69" s="3">
        <f t="shared" ref="E69:F69" ca="1" si="72">E57</f>
        <v>21.194927536231887</v>
      </c>
      <c r="F69" s="3">
        <f t="shared" ca="1" si="72"/>
        <v>210.96558794466404</v>
      </c>
      <c r="G69">
        <f>'Monthly Data'!EJ69</f>
        <v>0.5</v>
      </c>
      <c r="H69" s="3">
        <f>'Monthly Data'!DB69</f>
        <v>6904.3</v>
      </c>
      <c r="I69" s="3">
        <f>'Monthly Data'!DQ69</f>
        <v>31</v>
      </c>
      <c r="K69" s="3">
        <f t="shared" si="64"/>
        <v>-4083957</v>
      </c>
      <c r="L69" s="3">
        <f t="shared" ca="1" si="65"/>
        <v>236233.57553623192</v>
      </c>
      <c r="M69" s="3">
        <f t="shared" ca="1" si="66"/>
        <v>7289614.2106371047</v>
      </c>
      <c r="N69" s="3">
        <f t="shared" si="67"/>
        <v>-1225198.5</v>
      </c>
      <c r="O69" s="3">
        <f t="shared" si="68"/>
        <v>6988394.3739999998</v>
      </c>
      <c r="P69" s="3">
        <f t="shared" si="69"/>
        <v>14778211.5</v>
      </c>
      <c r="Q69" s="47">
        <f t="shared" ca="1" si="50"/>
        <v>23983298.160173334</v>
      </c>
      <c r="R69" s="47">
        <f>'Monthly Data'!S69</f>
        <v>29290.613333333335</v>
      </c>
      <c r="S69" s="47">
        <f ca="1">+'Monthly Data'!T69</f>
        <v>697.66584210488566</v>
      </c>
      <c r="T69" s="47">
        <f t="shared" ca="1" si="52"/>
        <v>24013286.439348772</v>
      </c>
    </row>
    <row r="70" spans="1:20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Data'!R70</f>
        <v>21547745.295761634</v>
      </c>
      <c r="E70" s="3">
        <f t="shared" ref="E70:F70" ca="1" si="73">E58</f>
        <v>96.735690993788822</v>
      </c>
      <c r="F70" s="3">
        <f t="shared" ca="1" si="73"/>
        <v>106.4160119047619</v>
      </c>
      <c r="G70">
        <f>'Monthly Data'!EJ70</f>
        <v>0.5</v>
      </c>
      <c r="H70" s="3">
        <f>'Monthly Data'!DB70</f>
        <v>7065.2</v>
      </c>
      <c r="I70" s="3">
        <f>'Monthly Data'!DQ70</f>
        <v>30</v>
      </c>
      <c r="K70" s="3">
        <f t="shared" si="64"/>
        <v>-4083957</v>
      </c>
      <c r="L70" s="3">
        <f t="shared" ca="1" si="65"/>
        <v>1078192.7952509318</v>
      </c>
      <c r="M70" s="3">
        <f t="shared" ca="1" si="66"/>
        <v>3677053.1164720235</v>
      </c>
      <c r="N70" s="3">
        <f t="shared" si="67"/>
        <v>-1225198.5</v>
      </c>
      <c r="O70" s="3">
        <f t="shared" si="68"/>
        <v>7151254.135999999</v>
      </c>
      <c r="P70" s="3">
        <f t="shared" si="69"/>
        <v>14301495</v>
      </c>
      <c r="Q70" s="47">
        <f t="shared" ca="1" si="50"/>
        <v>20898839.547722954</v>
      </c>
      <c r="R70" s="47">
        <f>'Monthly Data'!S70</f>
        <v>29864.430000000004</v>
      </c>
      <c r="S70" s="47">
        <f ca="1">+'Monthly Data'!T70</f>
        <v>17012.449825514566</v>
      </c>
      <c r="T70" s="47">
        <f t="shared" ca="1" si="52"/>
        <v>20945716.427548468</v>
      </c>
    </row>
    <row r="71" spans="1:20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Data'!R71</f>
        <v>21498604.015655532</v>
      </c>
      <c r="E71" s="3">
        <f t="shared" ref="E71:F71" ca="1" si="74">E59</f>
        <v>298.21097826086958</v>
      </c>
      <c r="F71" s="3">
        <f t="shared" ca="1" si="74"/>
        <v>17.987083333333334</v>
      </c>
      <c r="G71">
        <f>'Monthly Data'!EJ71</f>
        <v>0.5</v>
      </c>
      <c r="H71" s="3">
        <f>'Monthly Data'!DB71</f>
        <v>7186.6</v>
      </c>
      <c r="I71" s="3">
        <f>'Monthly Data'!DQ71</f>
        <v>31</v>
      </c>
      <c r="K71" s="3">
        <f t="shared" si="64"/>
        <v>-4083957</v>
      </c>
      <c r="L71" s="3">
        <f t="shared" ca="1" si="65"/>
        <v>3323787.9930608696</v>
      </c>
      <c r="M71" s="3">
        <f t="shared" ca="1" si="66"/>
        <v>621517.94305416674</v>
      </c>
      <c r="N71" s="3">
        <f t="shared" si="67"/>
        <v>-1225198.5</v>
      </c>
      <c r="O71" s="3">
        <f t="shared" si="68"/>
        <v>7274132.7879999997</v>
      </c>
      <c r="P71" s="3">
        <f t="shared" si="69"/>
        <v>14778211.5</v>
      </c>
      <c r="Q71" s="47">
        <f t="shared" ca="1" si="50"/>
        <v>20688494.724115036</v>
      </c>
      <c r="R71" s="47">
        <f>'Monthly Data'!S71</f>
        <v>30438.24666666667</v>
      </c>
      <c r="S71" s="47">
        <f ca="1">+'Monthly Data'!T71</f>
        <v>57580.354089134453</v>
      </c>
      <c r="T71" s="47">
        <f t="shared" ca="1" si="52"/>
        <v>20776513.324870836</v>
      </c>
    </row>
    <row r="72" spans="1:20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Data'!R72</f>
        <v>22721851.45839943</v>
      </c>
      <c r="E72" s="3">
        <f t="shared" ref="E72:F72" ca="1" si="75">E60</f>
        <v>486.62991389045737</v>
      </c>
      <c r="F72" s="3">
        <f t="shared" ca="1" si="75"/>
        <v>0.8083333333333329</v>
      </c>
      <c r="G72">
        <f>'Monthly Data'!EJ72</f>
        <v>0.5</v>
      </c>
      <c r="H72" s="3">
        <f>'Monthly Data'!DB72</f>
        <v>7271.8</v>
      </c>
      <c r="I72" s="3">
        <f>'Monthly Data'!DQ72</f>
        <v>30</v>
      </c>
      <c r="K72" s="3">
        <f t="shared" si="64"/>
        <v>-4083957</v>
      </c>
      <c r="L72" s="3">
        <f t="shared" ca="1" si="65"/>
        <v>5423860.2290437045</v>
      </c>
      <c r="M72" s="3">
        <f t="shared" ca="1" si="66"/>
        <v>27930.802416666651</v>
      </c>
      <c r="N72" s="3">
        <f t="shared" si="67"/>
        <v>-1225198.5</v>
      </c>
      <c r="O72" s="3">
        <f t="shared" si="68"/>
        <v>7360370.5240000002</v>
      </c>
      <c r="P72" s="3">
        <f t="shared" si="69"/>
        <v>14301495</v>
      </c>
      <c r="Q72" s="47">
        <f t="shared" ca="1" si="50"/>
        <v>21804501.055460371</v>
      </c>
      <c r="R72" s="47">
        <f>'Monthly Data'!S72</f>
        <v>31012.063333333339</v>
      </c>
      <c r="S72" s="47">
        <f ca="1">+'Monthly Data'!T72</f>
        <v>73277.563732753522</v>
      </c>
      <c r="T72" s="47">
        <f t="shared" ca="1" si="52"/>
        <v>21908790.682526458</v>
      </c>
    </row>
    <row r="73" spans="1:20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Data'!R73</f>
        <v>25125723.779873326</v>
      </c>
      <c r="E73" s="3">
        <f t="shared" ref="E73:F73" ca="1" si="76">E61</f>
        <v>639.92800724637686</v>
      </c>
      <c r="F73" s="3">
        <f t="shared" ca="1" si="76"/>
        <v>0</v>
      </c>
      <c r="G73">
        <f>'Monthly Data'!EJ73</f>
        <v>0.5</v>
      </c>
      <c r="H73" s="3">
        <f>'Monthly Data'!DB73</f>
        <v>7289.8</v>
      </c>
      <c r="I73" s="3">
        <f>'Monthly Data'!DQ73</f>
        <v>31</v>
      </c>
      <c r="K73" s="3">
        <f t="shared" si="64"/>
        <v>-4083957</v>
      </c>
      <c r="L73" s="3">
        <f t="shared" ca="1" si="65"/>
        <v>7132483.9860463776</v>
      </c>
      <c r="M73" s="3">
        <f t="shared" ca="1" si="66"/>
        <v>0</v>
      </c>
      <c r="N73" s="3">
        <f t="shared" si="67"/>
        <v>-1225198.5</v>
      </c>
      <c r="O73" s="3">
        <f t="shared" si="68"/>
        <v>7378589.7639999995</v>
      </c>
      <c r="P73" s="3">
        <f t="shared" si="69"/>
        <v>14778211.5</v>
      </c>
      <c r="Q73" s="47">
        <f t="shared" ca="1" si="50"/>
        <v>23980129.750046376</v>
      </c>
      <c r="R73" s="47">
        <f>'Monthly Data'!S73</f>
        <v>31585.880000000005</v>
      </c>
      <c r="S73" s="47">
        <f ca="1">+'Monthly Data'!T73</f>
        <v>116608.55234521779</v>
      </c>
      <c r="T73" s="47">
        <f t="shared" ca="1" si="52"/>
        <v>24128324.182391591</v>
      </c>
    </row>
    <row r="74" spans="1:20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Data'!R74</f>
        <v>24683039.699006654</v>
      </c>
      <c r="E74" s="3">
        <f t="shared" ref="E74:F74" ca="1" si="77">E62</f>
        <v>759.33418478260865</v>
      </c>
      <c r="F74" s="3">
        <f t="shared" ca="1" si="77"/>
        <v>0</v>
      </c>
      <c r="G74">
        <f>'Monthly Data'!EJ74</f>
        <v>0.5</v>
      </c>
      <c r="H74" s="3">
        <f>'Monthly Data'!DB74</f>
        <v>7234.6</v>
      </c>
      <c r="I74" s="3">
        <f>'Monthly Data'!DQ74</f>
        <v>31</v>
      </c>
      <c r="K74" s="3">
        <f t="shared" si="64"/>
        <v>-4083957</v>
      </c>
      <c r="L74" s="3">
        <f t="shared" ca="1" si="65"/>
        <v>8463356.5833826084</v>
      </c>
      <c r="M74" s="3">
        <f t="shared" ca="1" si="66"/>
        <v>0</v>
      </c>
      <c r="N74" s="3">
        <f t="shared" si="67"/>
        <v>-1225198.5</v>
      </c>
      <c r="O74" s="3">
        <f t="shared" si="68"/>
        <v>7322717.4280000003</v>
      </c>
      <c r="P74" s="3">
        <f t="shared" si="69"/>
        <v>14778211.5</v>
      </c>
      <c r="Q74" s="47">
        <f t="shared" ca="1" si="50"/>
        <v>25255130.01138261</v>
      </c>
      <c r="R74" s="47">
        <f>'Monthly Data'!S74</f>
        <v>33300.327948717953</v>
      </c>
      <c r="S74" s="47">
        <f ca="1">+'Monthly Data'!T74</f>
        <v>245109.04012810724</v>
      </c>
      <c r="T74" s="47">
        <f t="shared" ca="1" si="52"/>
        <v>25533539.379459437</v>
      </c>
    </row>
    <row r="75" spans="1:20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Data'!R75</f>
        <v>23922312.387535505</v>
      </c>
      <c r="E75" s="3">
        <f t="shared" ref="E75:F75" ca="1" si="78">E63</f>
        <v>680.85501811594202</v>
      </c>
      <c r="F75" s="3">
        <f t="shared" ca="1" si="78"/>
        <v>0</v>
      </c>
      <c r="G75">
        <f>'Monthly Data'!EJ75</f>
        <v>0.5</v>
      </c>
      <c r="H75" s="3">
        <f>'Monthly Data'!DB75</f>
        <v>7209.5</v>
      </c>
      <c r="I75" s="3">
        <f>'Monthly Data'!DQ75</f>
        <v>28</v>
      </c>
      <c r="K75" s="3">
        <f t="shared" si="64"/>
        <v>-4083957</v>
      </c>
      <c r="L75" s="3">
        <f t="shared" ca="1" si="65"/>
        <v>7588646.6267159423</v>
      </c>
      <c r="M75" s="3">
        <f t="shared" ca="1" si="66"/>
        <v>0</v>
      </c>
      <c r="N75" s="3">
        <f t="shared" si="67"/>
        <v>-1225198.5</v>
      </c>
      <c r="O75" s="3">
        <f t="shared" si="68"/>
        <v>7297311.71</v>
      </c>
      <c r="P75" s="3">
        <f t="shared" si="69"/>
        <v>13348062</v>
      </c>
      <c r="Q75" s="47">
        <f t="shared" ca="1" si="50"/>
        <v>22924864.836715944</v>
      </c>
      <c r="R75" s="47">
        <f>'Monthly Data'!S75</f>
        <v>34440.959230769236</v>
      </c>
      <c r="S75" s="47">
        <f ca="1">+'Monthly Data'!T75</f>
        <v>245090.2866868416</v>
      </c>
      <c r="T75" s="47">
        <f t="shared" ca="1" si="52"/>
        <v>23204396.082633555</v>
      </c>
    </row>
    <row r="76" spans="1:20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Data'!R76</f>
        <v>24669717.705174152</v>
      </c>
      <c r="E76" s="3">
        <f t="shared" ref="E76:F76" ca="1" si="79">E64</f>
        <v>608.13298913043479</v>
      </c>
      <c r="F76" s="3">
        <f t="shared" ca="1" si="79"/>
        <v>0</v>
      </c>
      <c r="G76">
        <f>'Monthly Data'!EJ76</f>
        <v>0.5</v>
      </c>
      <c r="H76" s="3">
        <f>'Monthly Data'!DB76</f>
        <v>7237.4</v>
      </c>
      <c r="I76" s="3">
        <f>'Monthly Data'!DQ76</f>
        <v>31</v>
      </c>
      <c r="K76" s="3">
        <f t="shared" si="64"/>
        <v>-4083957</v>
      </c>
      <c r="L76" s="3">
        <f t="shared" ca="1" si="65"/>
        <v>6778104.3449304346</v>
      </c>
      <c r="M76" s="3">
        <f t="shared" ca="1" si="66"/>
        <v>0</v>
      </c>
      <c r="N76" s="3">
        <f t="shared" si="67"/>
        <v>-1225198.5</v>
      </c>
      <c r="O76" s="3">
        <f t="shared" si="68"/>
        <v>7325551.5319999997</v>
      </c>
      <c r="P76" s="3">
        <f t="shared" si="69"/>
        <v>14778211.5</v>
      </c>
      <c r="Q76" s="47">
        <f t="shared" ca="1" si="50"/>
        <v>23572711.876930434</v>
      </c>
      <c r="R76" s="47">
        <f>'Monthly Data'!S76</f>
        <v>35581.59051282052</v>
      </c>
      <c r="S76" s="47">
        <f ca="1">+'Monthly Data'!T76</f>
        <v>184757.54440362906</v>
      </c>
      <c r="T76" s="47">
        <f t="shared" ca="1" si="52"/>
        <v>23793051.011846881</v>
      </c>
    </row>
    <row r="77" spans="1:20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Data'!R77</f>
        <v>20613043.1888326</v>
      </c>
      <c r="E77" s="3">
        <f t="shared" ref="E77:F77" ca="1" si="80">E65</f>
        <v>412.37941287878795</v>
      </c>
      <c r="F77" s="3">
        <f t="shared" ca="1" si="80"/>
        <v>2.1908333333333347</v>
      </c>
      <c r="G77">
        <f>'Monthly Data'!EJ77</f>
        <v>0.5</v>
      </c>
      <c r="H77" s="3">
        <f>'Monthly Data'!DB77</f>
        <v>7276.1</v>
      </c>
      <c r="I77" s="3">
        <f>'Monthly Data'!DQ77</f>
        <v>30</v>
      </c>
      <c r="K77" s="3">
        <f t="shared" si="64"/>
        <v>-4083957</v>
      </c>
      <c r="L77" s="3">
        <f t="shared" ca="1" si="65"/>
        <v>4596281.9648878798</v>
      </c>
      <c r="M77" s="3">
        <f t="shared" ca="1" si="66"/>
        <v>75701.11294166671</v>
      </c>
      <c r="N77" s="3">
        <f t="shared" si="67"/>
        <v>-1225198.5</v>
      </c>
      <c r="O77" s="3">
        <f t="shared" si="68"/>
        <v>7364722.898</v>
      </c>
      <c r="P77" s="3">
        <f t="shared" si="69"/>
        <v>14301495</v>
      </c>
      <c r="Q77" s="47">
        <f t="shared" ca="1" si="50"/>
        <v>21029045.475829545</v>
      </c>
      <c r="R77" s="47">
        <f>'Monthly Data'!S77</f>
        <v>36722.221794871795</v>
      </c>
      <c r="S77" s="47">
        <f ca="1">+'Monthly Data'!T77</f>
        <v>119945.44754797762</v>
      </c>
      <c r="T77" s="47">
        <f t="shared" ca="1" si="52"/>
        <v>21185713.145172395</v>
      </c>
    </row>
    <row r="78" spans="1:20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Data'!R78</f>
        <v>20580592.371781345</v>
      </c>
      <c r="E78" s="3">
        <f t="shared" ref="E78:F78" ca="1" si="81">E66</f>
        <v>202.70273119310133</v>
      </c>
      <c r="F78" s="3">
        <f t="shared" ca="1" si="81"/>
        <v>52.487435064935063</v>
      </c>
      <c r="G78">
        <f>'Monthly Data'!EJ78</f>
        <v>0.5</v>
      </c>
      <c r="H78" s="3">
        <f>'Monthly Data'!DB78</f>
        <v>7265.7</v>
      </c>
      <c r="I78" s="3">
        <f>'Monthly Data'!DQ78</f>
        <v>31</v>
      </c>
      <c r="K78" s="3">
        <f t="shared" si="64"/>
        <v>-4083957</v>
      </c>
      <c r="L78" s="3">
        <f t="shared" ca="1" si="65"/>
        <v>2259275.993222821</v>
      </c>
      <c r="M78" s="3">
        <f t="shared" ca="1" si="66"/>
        <v>1813628.2616366881</v>
      </c>
      <c r="N78" s="3">
        <f t="shared" si="67"/>
        <v>-1225198.5</v>
      </c>
      <c r="O78" s="3">
        <f t="shared" si="68"/>
        <v>7354196.2259999998</v>
      </c>
      <c r="P78" s="3">
        <f t="shared" si="69"/>
        <v>14778211.5</v>
      </c>
      <c r="Q78" s="47">
        <f t="shared" ca="1" si="50"/>
        <v>20896156.480859511</v>
      </c>
      <c r="R78" s="47">
        <f>'Monthly Data'!S78</f>
        <v>37862.853076923078</v>
      </c>
      <c r="S78" s="47">
        <f ca="1">+'Monthly Data'!T78</f>
        <v>65128.096870793459</v>
      </c>
      <c r="T78" s="47">
        <f t="shared" ca="1" si="52"/>
        <v>20999147.430807229</v>
      </c>
    </row>
    <row r="79" spans="1:20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Data'!R79</f>
        <v>22871966.90863999</v>
      </c>
      <c r="E79" s="3">
        <f t="shared" ref="E79:F79" ca="1" si="82">E67</f>
        <v>66.09717382617383</v>
      </c>
      <c r="F79" s="3">
        <f t="shared" ca="1" si="82"/>
        <v>137.65451754405018</v>
      </c>
      <c r="G79">
        <f>'Monthly Data'!EJ79</f>
        <v>0.5</v>
      </c>
      <c r="H79" s="3">
        <f>'Monthly Data'!DB79</f>
        <v>7250</v>
      </c>
      <c r="I79" s="3">
        <f>'Monthly Data'!DQ79</f>
        <v>30</v>
      </c>
      <c r="K79" s="3">
        <f t="shared" si="64"/>
        <v>-4083957</v>
      </c>
      <c r="L79" s="3">
        <f t="shared" ca="1" si="65"/>
        <v>736703.23614481522</v>
      </c>
      <c r="M79" s="3">
        <f t="shared" ca="1" si="66"/>
        <v>4756455.0077745663</v>
      </c>
      <c r="N79" s="3">
        <f t="shared" si="67"/>
        <v>-1225198.5</v>
      </c>
      <c r="O79" s="3">
        <f t="shared" si="68"/>
        <v>7338305</v>
      </c>
      <c r="P79" s="3">
        <f t="shared" si="69"/>
        <v>14301495</v>
      </c>
      <c r="Q79" s="47">
        <f t="shared" ca="1" si="50"/>
        <v>21823802.74391938</v>
      </c>
      <c r="R79" s="47">
        <f>'Monthly Data'!S79</f>
        <v>39003.484358974361</v>
      </c>
      <c r="S79" s="47">
        <f ca="1">+'Monthly Data'!T79</f>
        <v>5346.2935474668975</v>
      </c>
      <c r="T79" s="47">
        <f t="shared" ca="1" si="52"/>
        <v>21868152.52182582</v>
      </c>
    </row>
    <row r="80" spans="1:20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Data'!R80</f>
        <v>24719487.723428641</v>
      </c>
      <c r="E80" s="3">
        <f t="shared" ref="E80:F80" ca="1" si="83">E68</f>
        <v>10.249063146997932</v>
      </c>
      <c r="F80" s="3">
        <f t="shared" ca="1" si="83"/>
        <v>235.94737858727848</v>
      </c>
      <c r="G80">
        <f>'Monthly Data'!EJ80</f>
        <v>0.5</v>
      </c>
      <c r="H80" s="3">
        <f>'Monthly Data'!DB80</f>
        <v>7317</v>
      </c>
      <c r="I80" s="3">
        <f>'Monthly Data'!DQ80</f>
        <v>31</v>
      </c>
      <c r="K80" s="3">
        <f t="shared" si="64"/>
        <v>-4083957</v>
      </c>
      <c r="L80" s="3">
        <f t="shared" ca="1" si="65"/>
        <v>114233.59806128367</v>
      </c>
      <c r="M80" s="3">
        <f t="shared" ca="1" si="66"/>
        <v>8152824.2623320278</v>
      </c>
      <c r="N80" s="3">
        <f t="shared" si="67"/>
        <v>-1225198.5</v>
      </c>
      <c r="O80" s="3">
        <f t="shared" si="68"/>
        <v>7406121.0599999996</v>
      </c>
      <c r="P80" s="3">
        <f t="shared" si="69"/>
        <v>14778211.5</v>
      </c>
      <c r="Q80" s="47">
        <f t="shared" ca="1" si="50"/>
        <v>25142234.92039331</v>
      </c>
      <c r="R80" s="47">
        <f>'Monthly Data'!S80</f>
        <v>40144.115641025644</v>
      </c>
      <c r="S80" s="47">
        <f ca="1">+'Monthly Data'!T80</f>
        <v>2008.1810021908636</v>
      </c>
      <c r="T80" s="47">
        <f t="shared" ca="1" si="52"/>
        <v>25184387.217036527</v>
      </c>
    </row>
    <row r="81" spans="1:20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Data'!R81</f>
        <v>27571121.987427287</v>
      </c>
      <c r="E81" s="3">
        <f t="shared" ref="E81:F81" ca="1" si="84">E69</f>
        <v>21.194927536231887</v>
      </c>
      <c r="F81" s="3">
        <f t="shared" ca="1" si="84"/>
        <v>210.96558794466404</v>
      </c>
      <c r="G81">
        <f>'Monthly Data'!EJ81</f>
        <v>0.5</v>
      </c>
      <c r="H81" s="3">
        <f>'Monthly Data'!DB81</f>
        <v>7405.9</v>
      </c>
      <c r="I81" s="3">
        <f>'Monthly Data'!DQ81</f>
        <v>31</v>
      </c>
      <c r="K81" s="3">
        <f t="shared" si="64"/>
        <v>-4083957</v>
      </c>
      <c r="L81" s="3">
        <f t="shared" ca="1" si="65"/>
        <v>236233.57553623192</v>
      </c>
      <c r="M81" s="3">
        <f t="shared" ca="1" si="66"/>
        <v>7289614.2106371047</v>
      </c>
      <c r="N81" s="3">
        <f t="shared" si="67"/>
        <v>-1225198.5</v>
      </c>
      <c r="O81" s="3">
        <f t="shared" si="68"/>
        <v>7496103.8619999988</v>
      </c>
      <c r="P81" s="3">
        <f t="shared" si="69"/>
        <v>14778211.5</v>
      </c>
      <c r="Q81" s="47">
        <f t="shared" ca="1" si="50"/>
        <v>24491007.648173336</v>
      </c>
      <c r="R81" s="47">
        <f>'Monthly Data'!S81</f>
        <v>41284.746923076927</v>
      </c>
      <c r="S81" s="47">
        <f ca="1">+'Monthly Data'!T81</f>
        <v>259.42260417407306</v>
      </c>
      <c r="T81" s="47">
        <f t="shared" ca="1" si="52"/>
        <v>24532551.817700587</v>
      </c>
    </row>
    <row r="82" spans="1:20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Data'!R82</f>
        <v>22538954.016435936</v>
      </c>
      <c r="E82" s="3">
        <f t="shared" ref="E82:F82" ca="1" si="85">E70</f>
        <v>96.735690993788822</v>
      </c>
      <c r="F82" s="3">
        <f t="shared" ca="1" si="85"/>
        <v>106.4160119047619</v>
      </c>
      <c r="G82">
        <f>'Monthly Data'!EJ82</f>
        <v>0.5</v>
      </c>
      <c r="H82" s="3">
        <f>'Monthly Data'!DB82</f>
        <v>7482</v>
      </c>
      <c r="I82" s="3">
        <f>'Monthly Data'!DQ82</f>
        <v>30</v>
      </c>
      <c r="K82" s="3">
        <f t="shared" si="64"/>
        <v>-4083957</v>
      </c>
      <c r="L82" s="3">
        <f t="shared" ca="1" si="65"/>
        <v>1078192.7952509318</v>
      </c>
      <c r="M82" s="3">
        <f t="shared" ca="1" si="66"/>
        <v>3677053.1164720235</v>
      </c>
      <c r="N82" s="3">
        <f t="shared" si="67"/>
        <v>-1225198.5</v>
      </c>
      <c r="O82" s="3">
        <f t="shared" si="68"/>
        <v>7573130.7599999998</v>
      </c>
      <c r="P82" s="3">
        <f t="shared" si="69"/>
        <v>14301495</v>
      </c>
      <c r="Q82" s="47">
        <f t="shared" ca="1" si="50"/>
        <v>21320716.171722956</v>
      </c>
      <c r="R82" s="47">
        <f>'Monthly Data'!S82</f>
        <v>42425.378205128203</v>
      </c>
      <c r="S82" s="47">
        <f ca="1">+'Monthly Data'!T82</f>
        <v>17132.831382893761</v>
      </c>
      <c r="T82" s="47">
        <f t="shared" ca="1" si="52"/>
        <v>21380274.381310977</v>
      </c>
    </row>
    <row r="83" spans="1:20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Data'!R83</f>
        <v>21957724.684754584</v>
      </c>
      <c r="E83" s="3">
        <f t="shared" ref="E83:F83" ca="1" si="86">E71</f>
        <v>298.21097826086958</v>
      </c>
      <c r="F83" s="3">
        <f t="shared" ca="1" si="86"/>
        <v>17.987083333333334</v>
      </c>
      <c r="G83">
        <f>'Monthly Data'!EJ83</f>
        <v>0.5</v>
      </c>
      <c r="H83" s="3">
        <f>'Monthly Data'!DB83</f>
        <v>7537.7</v>
      </c>
      <c r="I83" s="3">
        <f>'Monthly Data'!DQ83</f>
        <v>31</v>
      </c>
      <c r="K83" s="3">
        <f t="shared" si="64"/>
        <v>-4083957</v>
      </c>
      <c r="L83" s="3">
        <f t="shared" ca="1" si="65"/>
        <v>3323787.9930608696</v>
      </c>
      <c r="M83" s="3">
        <f t="shared" ca="1" si="66"/>
        <v>621517.94305416674</v>
      </c>
      <c r="N83" s="3">
        <f t="shared" si="67"/>
        <v>-1225198.5</v>
      </c>
      <c r="O83" s="3">
        <f t="shared" si="68"/>
        <v>7629509.1859999998</v>
      </c>
      <c r="P83" s="3">
        <f t="shared" si="69"/>
        <v>14778211.5</v>
      </c>
      <c r="Q83" s="47">
        <f t="shared" ca="1" si="50"/>
        <v>21043871.122115038</v>
      </c>
      <c r="R83" s="47">
        <f>'Monthly Data'!S83</f>
        <v>43566.009487179486</v>
      </c>
      <c r="S83" s="47">
        <f ca="1">+'Monthly Data'!T83</f>
        <v>57563.687964745834</v>
      </c>
      <c r="T83" s="47">
        <f t="shared" ca="1" si="52"/>
        <v>21145000.819566961</v>
      </c>
    </row>
    <row r="84" spans="1:20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Data'!R84</f>
        <v>23244728.894573234</v>
      </c>
      <c r="E84" s="3">
        <f t="shared" ref="E84:F84" ca="1" si="87">E72</f>
        <v>486.62991389045737</v>
      </c>
      <c r="F84" s="3">
        <f t="shared" ca="1" si="87"/>
        <v>0.8083333333333329</v>
      </c>
      <c r="G84">
        <f>'Monthly Data'!EJ84</f>
        <v>0.5</v>
      </c>
      <c r="H84" s="3">
        <f>'Monthly Data'!DB84</f>
        <v>7604</v>
      </c>
      <c r="I84" s="3">
        <f>'Monthly Data'!DQ84</f>
        <v>30</v>
      </c>
      <c r="K84" s="3">
        <f t="shared" si="64"/>
        <v>-4083957</v>
      </c>
      <c r="L84" s="3">
        <f t="shared" ca="1" si="65"/>
        <v>5423860.2290437045</v>
      </c>
      <c r="M84" s="3">
        <f t="shared" ca="1" si="66"/>
        <v>27930.802416666651</v>
      </c>
      <c r="N84" s="3">
        <f t="shared" si="67"/>
        <v>-1225198.5</v>
      </c>
      <c r="O84" s="3">
        <f t="shared" si="68"/>
        <v>7696616.7199999997</v>
      </c>
      <c r="P84" s="3">
        <f t="shared" si="69"/>
        <v>14301495</v>
      </c>
      <c r="Q84" s="47">
        <f t="shared" ca="1" si="50"/>
        <v>22140747.25146037</v>
      </c>
      <c r="R84" s="47">
        <f>'Monthly Data'!S84</f>
        <v>44706.640769230769</v>
      </c>
      <c r="S84" s="47">
        <f ca="1">+'Monthly Data'!T84</f>
        <v>167397.94392402368</v>
      </c>
      <c r="T84" s="47">
        <f t="shared" ca="1" si="52"/>
        <v>22352851.836153626</v>
      </c>
    </row>
    <row r="85" spans="1:20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Data'!R85</f>
        <v>25263814.223931879</v>
      </c>
      <c r="E85" s="3">
        <f t="shared" ref="E85:F85" ca="1" si="88">E73</f>
        <v>639.92800724637686</v>
      </c>
      <c r="F85" s="3">
        <f t="shared" ca="1" si="88"/>
        <v>0</v>
      </c>
      <c r="G85">
        <f>'Monthly Data'!EJ85</f>
        <v>0.5</v>
      </c>
      <c r="H85" s="3">
        <f>'Monthly Data'!DB85</f>
        <v>7658.5</v>
      </c>
      <c r="I85" s="3">
        <f>'Monthly Data'!DQ85</f>
        <v>31</v>
      </c>
      <c r="K85" s="3">
        <f t="shared" si="64"/>
        <v>-4083957</v>
      </c>
      <c r="L85" s="3">
        <f t="shared" ca="1" si="65"/>
        <v>7132483.9860463776</v>
      </c>
      <c r="M85" s="3">
        <f t="shared" ca="1" si="66"/>
        <v>0</v>
      </c>
      <c r="N85" s="3">
        <f t="shared" si="67"/>
        <v>-1225198.5</v>
      </c>
      <c r="O85" s="3">
        <f t="shared" si="68"/>
        <v>7751780.5299999993</v>
      </c>
      <c r="P85" s="3">
        <f t="shared" si="69"/>
        <v>14778211.5</v>
      </c>
      <c r="Q85" s="47">
        <f t="shared" ca="1" si="50"/>
        <v>24353320.516046375</v>
      </c>
      <c r="R85" s="47">
        <f>'Monthly Data'!S85</f>
        <v>45847.272051282052</v>
      </c>
      <c r="S85" s="47">
        <f ca="1">+'Monthly Data'!T85</f>
        <v>199928.87454574314</v>
      </c>
      <c r="T85" s="47">
        <f t="shared" ca="1" si="52"/>
        <v>24599096.662643399</v>
      </c>
    </row>
    <row r="86" spans="1:20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Data'!R86</f>
        <v>27897926.230337426</v>
      </c>
      <c r="E86" s="3">
        <f t="shared" ref="E86:F86" ca="1" si="89">E74</f>
        <v>759.33418478260865</v>
      </c>
      <c r="F86" s="3">
        <f t="shared" ca="1" si="89"/>
        <v>0</v>
      </c>
      <c r="G86">
        <f>'Monthly Data'!EJ86</f>
        <v>0.25</v>
      </c>
      <c r="H86" s="3">
        <f>'Monthly Data'!DB86</f>
        <v>7643.6</v>
      </c>
      <c r="I86" s="3">
        <f>'Monthly Data'!DQ86</f>
        <v>31</v>
      </c>
      <c r="K86" s="3">
        <f t="shared" si="64"/>
        <v>-4083957</v>
      </c>
      <c r="L86" s="3">
        <f t="shared" ca="1" si="65"/>
        <v>8463356.5833826084</v>
      </c>
      <c r="M86" s="3">
        <f t="shared" ca="1" si="66"/>
        <v>0</v>
      </c>
      <c r="N86" s="3">
        <f t="shared" si="67"/>
        <v>-612599.25</v>
      </c>
      <c r="O86" s="3">
        <f t="shared" si="68"/>
        <v>7736699.0480000004</v>
      </c>
      <c r="P86" s="3">
        <f t="shared" si="69"/>
        <v>14778211.5</v>
      </c>
      <c r="Q86" s="47">
        <f t="shared" ref="Q86:Q108" ca="1" si="90">SUM(K86:P86)</f>
        <v>26281710.881382607</v>
      </c>
      <c r="R86" s="47">
        <f>'Monthly Data'!S86</f>
        <v>49626.603076923071</v>
      </c>
      <c r="S86" s="47">
        <f ca="1">+'Monthly Data'!T86</f>
        <v>456477.55075319513</v>
      </c>
      <c r="T86" s="47">
        <f t="shared" ca="1" si="52"/>
        <v>26787815.035212725</v>
      </c>
    </row>
    <row r="87" spans="1:20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Data'!R87</f>
        <v>25365502.966344409</v>
      </c>
      <c r="E87" s="3">
        <f t="shared" ref="E87:F87" ca="1" si="91">E75</f>
        <v>680.85501811594202</v>
      </c>
      <c r="F87" s="3">
        <f t="shared" ca="1" si="91"/>
        <v>0</v>
      </c>
      <c r="G87">
        <f>'Monthly Data'!EJ87</f>
        <v>0.25</v>
      </c>
      <c r="H87" s="3">
        <f>'Monthly Data'!DB87</f>
        <v>7668.9</v>
      </c>
      <c r="I87" s="3">
        <f>'Monthly Data'!DQ87</f>
        <v>28</v>
      </c>
      <c r="K87" s="3">
        <f t="shared" si="64"/>
        <v>-4083957</v>
      </c>
      <c r="L87" s="3">
        <f t="shared" ca="1" si="65"/>
        <v>7588646.6267159423</v>
      </c>
      <c r="M87" s="3">
        <f t="shared" ca="1" si="66"/>
        <v>0</v>
      </c>
      <c r="N87" s="3">
        <f t="shared" si="67"/>
        <v>-612599.25</v>
      </c>
      <c r="O87" s="3">
        <f t="shared" si="68"/>
        <v>7762307.2019999996</v>
      </c>
      <c r="P87" s="3">
        <f t="shared" si="69"/>
        <v>13348062</v>
      </c>
      <c r="Q87" s="47">
        <f t="shared" ca="1" si="90"/>
        <v>24002459.578715943</v>
      </c>
      <c r="R87" s="47">
        <f>'Monthly Data'!S87</f>
        <v>52265.302820512821</v>
      </c>
      <c r="S87" s="47">
        <f ca="1">+'Monthly Data'!T87</f>
        <v>352163.12887936161</v>
      </c>
      <c r="T87" s="47">
        <f t="shared" ca="1" si="52"/>
        <v>24406888.010415815</v>
      </c>
    </row>
    <row r="88" spans="1:20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Data'!R88</f>
        <v>26038765.760591585</v>
      </c>
      <c r="E88" s="3">
        <f t="shared" ref="E88:F88" ca="1" si="92">E76</f>
        <v>608.13298913043479</v>
      </c>
      <c r="F88" s="3">
        <f t="shared" ca="1" si="92"/>
        <v>0</v>
      </c>
      <c r="G88">
        <f>'Monthly Data'!EJ88</f>
        <v>0.25</v>
      </c>
      <c r="H88" s="3">
        <f>'Monthly Data'!DB88</f>
        <v>7681.1</v>
      </c>
      <c r="I88" s="3">
        <f>'Monthly Data'!DQ88</f>
        <v>31</v>
      </c>
      <c r="K88" s="3">
        <f t="shared" si="64"/>
        <v>-4083957</v>
      </c>
      <c r="L88" s="3">
        <f t="shared" ca="1" si="65"/>
        <v>6778104.3449304346</v>
      </c>
      <c r="M88" s="3">
        <f t="shared" ca="1" si="66"/>
        <v>0</v>
      </c>
      <c r="N88" s="3">
        <f t="shared" si="67"/>
        <v>-612599.25</v>
      </c>
      <c r="O88" s="3">
        <f t="shared" si="68"/>
        <v>7774655.7980000004</v>
      </c>
      <c r="P88" s="3">
        <f t="shared" si="69"/>
        <v>14778211.5</v>
      </c>
      <c r="Q88" s="47">
        <f t="shared" ca="1" si="90"/>
        <v>24634415.392930433</v>
      </c>
      <c r="R88" s="47">
        <f>'Monthly Data'!S88</f>
        <v>54904.002564102564</v>
      </c>
      <c r="S88" s="47">
        <f ca="1">+'Monthly Data'!T88</f>
        <v>301217.8582593074</v>
      </c>
      <c r="T88" s="47">
        <f t="shared" ca="1" si="52"/>
        <v>24990537.253753845</v>
      </c>
    </row>
    <row r="89" spans="1:20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Data'!R89</f>
        <v>22590456.732098669</v>
      </c>
      <c r="E89" s="3">
        <f t="shared" ref="E89:F89" ca="1" si="93">E77</f>
        <v>412.37941287878795</v>
      </c>
      <c r="F89" s="3">
        <f t="shared" ca="1" si="93"/>
        <v>2.1908333333333347</v>
      </c>
      <c r="G89">
        <f>'Monthly Data'!EJ89</f>
        <v>0.25</v>
      </c>
      <c r="H89" s="3">
        <f>'Monthly Data'!DB89</f>
        <v>7758.4</v>
      </c>
      <c r="I89" s="3">
        <f>'Monthly Data'!DQ89</f>
        <v>30</v>
      </c>
      <c r="K89" s="3">
        <f t="shared" si="64"/>
        <v>-4083957</v>
      </c>
      <c r="L89" s="3">
        <f t="shared" ca="1" si="65"/>
        <v>4596281.9648878798</v>
      </c>
      <c r="M89" s="3">
        <f t="shared" ca="1" si="66"/>
        <v>75701.11294166671</v>
      </c>
      <c r="N89" s="3">
        <f t="shared" si="67"/>
        <v>-612599.25</v>
      </c>
      <c r="O89" s="3">
        <f t="shared" si="68"/>
        <v>7852897.311999999</v>
      </c>
      <c r="P89" s="3">
        <f t="shared" si="69"/>
        <v>14301495</v>
      </c>
      <c r="Q89" s="47">
        <f t="shared" ca="1" si="90"/>
        <v>22129819.139829546</v>
      </c>
      <c r="R89" s="47">
        <f>'Monthly Data'!S89</f>
        <v>57542.702307692307</v>
      </c>
      <c r="S89" s="47">
        <f ca="1">+'Monthly Data'!T89</f>
        <v>195938.03145626199</v>
      </c>
      <c r="T89" s="47">
        <f t="shared" ca="1" si="52"/>
        <v>22383299.873593502</v>
      </c>
    </row>
    <row r="90" spans="1:20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Data'!R90</f>
        <v>22646535.682845749</v>
      </c>
      <c r="E90" s="3">
        <f t="shared" ref="E90:F90" ca="1" si="94">E78</f>
        <v>202.70273119310133</v>
      </c>
      <c r="F90" s="3">
        <f t="shared" ca="1" si="94"/>
        <v>52.487435064935063</v>
      </c>
      <c r="G90">
        <f>'Monthly Data'!EJ90</f>
        <v>0.25</v>
      </c>
      <c r="H90" s="3">
        <f>'Monthly Data'!DB90</f>
        <v>7776.1</v>
      </c>
      <c r="I90" s="3">
        <f>'Monthly Data'!DQ90</f>
        <v>31</v>
      </c>
      <c r="K90" s="3">
        <f t="shared" si="64"/>
        <v>-4083957</v>
      </c>
      <c r="L90" s="3">
        <f t="shared" ca="1" si="65"/>
        <v>2259275.993222821</v>
      </c>
      <c r="M90" s="3">
        <f t="shared" ca="1" si="66"/>
        <v>1813628.2616366881</v>
      </c>
      <c r="N90" s="3">
        <f t="shared" si="67"/>
        <v>-612599.25</v>
      </c>
      <c r="O90" s="3">
        <f t="shared" si="68"/>
        <v>7870812.898</v>
      </c>
      <c r="P90" s="3">
        <f t="shared" si="69"/>
        <v>14778211.5</v>
      </c>
      <c r="Q90" s="47">
        <f t="shared" ca="1" si="90"/>
        <v>22025372.402859509</v>
      </c>
      <c r="R90" s="47">
        <f>'Monthly Data'!S90</f>
        <v>60181.40205128205</v>
      </c>
      <c r="S90" s="47">
        <f ca="1">+'Monthly Data'!T90</f>
        <v>60555.542600346642</v>
      </c>
      <c r="T90" s="47">
        <f t="shared" ca="1" si="52"/>
        <v>22146109.347511135</v>
      </c>
    </row>
    <row r="91" spans="1:20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Data'!R91</f>
        <v>23653822.798542827</v>
      </c>
      <c r="E91" s="3">
        <f t="shared" ref="E91:F91" ca="1" si="95">E79</f>
        <v>66.09717382617383</v>
      </c>
      <c r="F91" s="3">
        <f t="shared" ca="1" si="95"/>
        <v>137.65451754405018</v>
      </c>
      <c r="G91">
        <f>'Monthly Data'!EJ91</f>
        <v>0.25</v>
      </c>
      <c r="H91" s="3">
        <f>'Monthly Data'!DB91</f>
        <v>7782.8</v>
      </c>
      <c r="I91" s="3">
        <f>'Monthly Data'!DQ91</f>
        <v>30</v>
      </c>
      <c r="K91" s="3">
        <f t="shared" si="64"/>
        <v>-4083957</v>
      </c>
      <c r="L91" s="3">
        <f t="shared" ca="1" si="65"/>
        <v>736703.23614481522</v>
      </c>
      <c r="M91" s="3">
        <f t="shared" ca="1" si="66"/>
        <v>4756455.0077745663</v>
      </c>
      <c r="N91" s="3">
        <f t="shared" si="67"/>
        <v>-612599.25</v>
      </c>
      <c r="O91" s="3">
        <f t="shared" si="68"/>
        <v>7877594.5039999997</v>
      </c>
      <c r="P91" s="3">
        <f t="shared" si="69"/>
        <v>14301495</v>
      </c>
      <c r="Q91" s="47">
        <f t="shared" ca="1" si="90"/>
        <v>22975691.497919381</v>
      </c>
      <c r="R91" s="47">
        <f>'Monthly Data'!S91</f>
        <v>62820.101794871793</v>
      </c>
      <c r="S91" s="47">
        <f ca="1">+'Monthly Data'!T91</f>
        <v>19999.233211179908</v>
      </c>
      <c r="T91" s="47">
        <f t="shared" ca="1" si="52"/>
        <v>23058510.832925431</v>
      </c>
    </row>
    <row r="92" spans="1:20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Data'!R92</f>
        <v>26890192.657499813</v>
      </c>
      <c r="E92" s="3">
        <f t="shared" ref="E92:F92" ca="1" si="96">E80</f>
        <v>10.249063146997932</v>
      </c>
      <c r="F92" s="3">
        <f t="shared" ca="1" si="96"/>
        <v>235.94737858727848</v>
      </c>
      <c r="G92">
        <f>'Monthly Data'!EJ92</f>
        <v>0.25</v>
      </c>
      <c r="H92" s="3">
        <f>'Monthly Data'!DB92</f>
        <v>7784.1</v>
      </c>
      <c r="I92" s="3">
        <f>'Monthly Data'!DQ92</f>
        <v>31</v>
      </c>
      <c r="K92" s="3">
        <f t="shared" si="64"/>
        <v>-4083957</v>
      </c>
      <c r="L92" s="3">
        <f t="shared" ca="1" si="65"/>
        <v>114233.59806128367</v>
      </c>
      <c r="M92" s="3">
        <f t="shared" ca="1" si="66"/>
        <v>8152824.2623320278</v>
      </c>
      <c r="N92" s="3">
        <f t="shared" si="67"/>
        <v>-612599.25</v>
      </c>
      <c r="O92" s="3">
        <f t="shared" si="68"/>
        <v>7878910.3379999995</v>
      </c>
      <c r="P92" s="3">
        <f t="shared" si="69"/>
        <v>14778211.5</v>
      </c>
      <c r="Q92" s="47">
        <f t="shared" ca="1" si="90"/>
        <v>26227623.448393311</v>
      </c>
      <c r="R92" s="47">
        <f>'Monthly Data'!S92</f>
        <v>65458.801538461543</v>
      </c>
      <c r="S92" s="47">
        <f ca="1">+'Monthly Data'!T92</f>
        <v>343.30628747628236</v>
      </c>
      <c r="T92" s="47">
        <f t="shared" ca="1" si="52"/>
        <v>26293425.556219246</v>
      </c>
    </row>
    <row r="93" spans="1:20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Data'!R93</f>
        <v>27033389.343666892</v>
      </c>
      <c r="E93" s="3">
        <f t="shared" ref="E93:F93" ca="1" si="97">E81</f>
        <v>21.194927536231887</v>
      </c>
      <c r="F93" s="3">
        <f t="shared" ca="1" si="97"/>
        <v>210.96558794466404</v>
      </c>
      <c r="G93">
        <f>'Monthly Data'!EJ93</f>
        <v>0.25</v>
      </c>
      <c r="H93" s="3">
        <f>'Monthly Data'!DB93</f>
        <v>7778</v>
      </c>
      <c r="I93" s="3">
        <f>'Monthly Data'!DQ93</f>
        <v>31</v>
      </c>
      <c r="K93" s="3">
        <f t="shared" si="64"/>
        <v>-4083957</v>
      </c>
      <c r="L93" s="3">
        <f t="shared" ca="1" si="65"/>
        <v>236233.57553623192</v>
      </c>
      <c r="M93" s="3">
        <f t="shared" ca="1" si="66"/>
        <v>7289614.2106371047</v>
      </c>
      <c r="N93" s="3">
        <f t="shared" si="67"/>
        <v>-612599.25</v>
      </c>
      <c r="O93" s="3">
        <f t="shared" si="68"/>
        <v>7872736.04</v>
      </c>
      <c r="P93" s="3">
        <f t="shared" si="69"/>
        <v>14778211.5</v>
      </c>
      <c r="Q93" s="47">
        <f t="shared" ca="1" si="90"/>
        <v>25480239.076173335</v>
      </c>
      <c r="R93" s="47">
        <f>'Monthly Data'!S93</f>
        <v>68097.501282051293</v>
      </c>
      <c r="S93" s="47">
        <f ca="1">+'Monthly Data'!T93</f>
        <v>421.64463495409319</v>
      </c>
      <c r="T93" s="47">
        <f t="shared" ca="1" si="52"/>
        <v>25548758.222090341</v>
      </c>
    </row>
    <row r="94" spans="1:20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Data'!R94</f>
        <v>22797369.54889407</v>
      </c>
      <c r="E94" s="3">
        <f t="shared" ref="E94:F94" ca="1" si="98">E82</f>
        <v>96.735690993788822</v>
      </c>
      <c r="F94" s="3">
        <f t="shared" ca="1" si="98"/>
        <v>106.4160119047619</v>
      </c>
      <c r="G94">
        <f>'Monthly Data'!EJ94</f>
        <v>0.25</v>
      </c>
      <c r="H94" s="3">
        <f>'Monthly Data'!DB94</f>
        <v>7770.7</v>
      </c>
      <c r="I94" s="3">
        <f>'Monthly Data'!DQ94</f>
        <v>30</v>
      </c>
      <c r="K94" s="3">
        <f t="shared" si="64"/>
        <v>-4083957</v>
      </c>
      <c r="L94" s="3">
        <f t="shared" ca="1" si="65"/>
        <v>1078192.7952509318</v>
      </c>
      <c r="M94" s="3">
        <f t="shared" ca="1" si="66"/>
        <v>3677053.1164720235</v>
      </c>
      <c r="N94" s="3">
        <f t="shared" si="67"/>
        <v>-612599.25</v>
      </c>
      <c r="O94" s="3">
        <f t="shared" si="68"/>
        <v>7865347.1259999992</v>
      </c>
      <c r="P94" s="3">
        <f t="shared" si="69"/>
        <v>14301495</v>
      </c>
      <c r="Q94" s="47">
        <f t="shared" ca="1" si="90"/>
        <v>22225531.787722953</v>
      </c>
      <c r="R94" s="47">
        <f>'Monthly Data'!S94</f>
        <v>70736.201025641029</v>
      </c>
      <c r="S94" s="47">
        <f ca="1">+'Monthly Data'!T94</f>
        <v>39489.439335946314</v>
      </c>
      <c r="T94" s="47">
        <f t="shared" ca="1" si="52"/>
        <v>22335757.428084541</v>
      </c>
    </row>
    <row r="95" spans="1:20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Data'!R95</f>
        <v>21989257.920071155</v>
      </c>
      <c r="E95" s="3">
        <f t="shared" ref="E95:F95" ca="1" si="99">E83</f>
        <v>298.21097826086958</v>
      </c>
      <c r="F95" s="3">
        <f t="shared" ca="1" si="99"/>
        <v>17.987083333333334</v>
      </c>
      <c r="G95">
        <f>'Monthly Data'!EJ95</f>
        <v>0.25</v>
      </c>
      <c r="H95" s="3">
        <f>'Monthly Data'!DB95</f>
        <v>7776.1</v>
      </c>
      <c r="I95" s="3">
        <f>'Monthly Data'!DQ95</f>
        <v>31</v>
      </c>
      <c r="K95" s="3">
        <f t="shared" si="64"/>
        <v>-4083957</v>
      </c>
      <c r="L95" s="3">
        <f t="shared" ca="1" si="65"/>
        <v>3323787.9930608696</v>
      </c>
      <c r="M95" s="3">
        <f t="shared" ca="1" si="66"/>
        <v>621517.94305416674</v>
      </c>
      <c r="N95" s="3">
        <f t="shared" si="67"/>
        <v>-612599.25</v>
      </c>
      <c r="O95" s="3">
        <f t="shared" si="68"/>
        <v>7870812.898</v>
      </c>
      <c r="P95" s="3">
        <f t="shared" si="69"/>
        <v>14778211.5</v>
      </c>
      <c r="Q95" s="47">
        <f t="shared" ca="1" si="90"/>
        <v>21897774.084115036</v>
      </c>
      <c r="R95" s="47">
        <f>'Monthly Data'!S95</f>
        <v>73374.900769230779</v>
      </c>
      <c r="S95" s="47">
        <f ca="1">+'Monthly Data'!T95</f>
        <v>148670.85644489739</v>
      </c>
      <c r="T95" s="47">
        <f t="shared" ca="1" si="52"/>
        <v>22119819.841329165</v>
      </c>
    </row>
    <row r="96" spans="1:20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Data'!R96</f>
        <v>23568965.875378236</v>
      </c>
      <c r="E96" s="3">
        <f t="shared" ref="E96:F96" ca="1" si="100">E84</f>
        <v>486.62991389045737</v>
      </c>
      <c r="F96" s="3">
        <f t="shared" ca="1" si="100"/>
        <v>0.8083333333333329</v>
      </c>
      <c r="G96">
        <f>'Monthly Data'!EJ96</f>
        <v>0.25</v>
      </c>
      <c r="H96" s="3">
        <f>'Monthly Data'!DB96</f>
        <v>7791.7</v>
      </c>
      <c r="I96" s="3">
        <f>'Monthly Data'!DQ96</f>
        <v>30</v>
      </c>
      <c r="K96" s="3">
        <f t="shared" si="64"/>
        <v>-4083957</v>
      </c>
      <c r="L96" s="3">
        <f t="shared" ca="1" si="65"/>
        <v>5423860.2290437045</v>
      </c>
      <c r="M96" s="3">
        <f t="shared" ca="1" si="66"/>
        <v>27930.802416666651</v>
      </c>
      <c r="N96" s="3">
        <f t="shared" si="67"/>
        <v>-612599.25</v>
      </c>
      <c r="O96" s="3">
        <f t="shared" si="68"/>
        <v>7886602.9059999995</v>
      </c>
      <c r="P96" s="3">
        <f t="shared" si="69"/>
        <v>14301495</v>
      </c>
      <c r="Q96" s="47">
        <f t="shared" ca="1" si="90"/>
        <v>22943332.68746037</v>
      </c>
      <c r="R96" s="47">
        <f>'Monthly Data'!S96</f>
        <v>76013.600512820514</v>
      </c>
      <c r="S96" s="47">
        <f ca="1">+'Monthly Data'!T96</f>
        <v>227734.18425607885</v>
      </c>
      <c r="T96" s="47">
        <f t="shared" ca="1" si="52"/>
        <v>23247080.472229272</v>
      </c>
    </row>
    <row r="97" spans="1:20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Data'!R97</f>
        <v>26456423.844515316</v>
      </c>
      <c r="E97" s="3">
        <f t="shared" ref="E97:F97" ca="1" si="101">E85</f>
        <v>639.92800724637686</v>
      </c>
      <c r="F97" s="3">
        <f t="shared" ca="1" si="101"/>
        <v>0</v>
      </c>
      <c r="G97">
        <f>'Monthly Data'!EJ97</f>
        <v>0.25</v>
      </c>
      <c r="H97" s="3">
        <f>'Monthly Data'!DB97</f>
        <v>7829.3</v>
      </c>
      <c r="I97" s="3">
        <f>'Monthly Data'!DQ97</f>
        <v>31</v>
      </c>
      <c r="K97" s="3">
        <f t="shared" si="64"/>
        <v>-4083957</v>
      </c>
      <c r="L97" s="3">
        <f t="shared" ca="1" si="65"/>
        <v>7132483.9860463776</v>
      </c>
      <c r="M97" s="3">
        <f t="shared" ca="1" si="66"/>
        <v>0</v>
      </c>
      <c r="N97" s="3">
        <f t="shared" si="67"/>
        <v>-612599.25</v>
      </c>
      <c r="O97" s="3">
        <f t="shared" si="68"/>
        <v>7924660.8739999998</v>
      </c>
      <c r="P97" s="3">
        <f t="shared" si="69"/>
        <v>14778211.5</v>
      </c>
      <c r="Q97" s="47">
        <f t="shared" ca="1" si="90"/>
        <v>25138800.110046379</v>
      </c>
      <c r="R97" s="47">
        <f>'Monthly Data'!S97</f>
        <v>78652.300256410264</v>
      </c>
      <c r="S97" s="47">
        <f ca="1">+'Monthly Data'!T97</f>
        <v>323558.11170474382</v>
      </c>
      <c r="T97" s="47">
        <f t="shared" ca="1" si="52"/>
        <v>25541010.522007532</v>
      </c>
    </row>
    <row r="98" spans="1:20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Data'!R98</f>
        <v>27136724.924837537</v>
      </c>
      <c r="E98" s="3">
        <f t="shared" ref="E98:F98" ca="1" si="102">E86</f>
        <v>759.33418478260865</v>
      </c>
      <c r="F98" s="3">
        <f t="shared" ca="1" si="102"/>
        <v>0</v>
      </c>
      <c r="G98">
        <f>'Monthly Data'!EJ98</f>
        <v>0</v>
      </c>
      <c r="H98" s="3">
        <f>'Monthly Data'!DB98</f>
        <v>7864.6</v>
      </c>
      <c r="I98" s="3">
        <f>'Monthly Data'!DQ98</f>
        <v>31</v>
      </c>
      <c r="K98" s="3">
        <f t="shared" si="64"/>
        <v>-4083957</v>
      </c>
      <c r="L98" s="3">
        <f t="shared" ca="1" si="65"/>
        <v>8463356.5833826084</v>
      </c>
      <c r="M98" s="3">
        <f t="shared" ca="1" si="66"/>
        <v>0</v>
      </c>
      <c r="N98" s="3">
        <f t="shared" si="67"/>
        <v>0</v>
      </c>
      <c r="O98" s="3">
        <f t="shared" si="68"/>
        <v>7960390.8279999997</v>
      </c>
      <c r="P98" s="3">
        <f t="shared" si="69"/>
        <v>14778211.5</v>
      </c>
      <c r="Q98" s="47">
        <f t="shared" ca="1" si="90"/>
        <v>27118001.911382608</v>
      </c>
      <c r="R98" s="47">
        <f>'Monthly Data'!S98</f>
        <v>84718.720769230771</v>
      </c>
      <c r="S98" s="47">
        <f ca="1">+'Monthly Data'!T98</f>
        <v>456577.27615296654</v>
      </c>
      <c r="T98" s="47">
        <f t="shared" ca="1" si="52"/>
        <v>27659297.908304803</v>
      </c>
    </row>
    <row r="99" spans="1:20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Data'!R99</f>
        <v>25065369.150999155</v>
      </c>
      <c r="E99" s="3">
        <f t="shared" ref="E99:F99" ca="1" si="103">E87</f>
        <v>680.85501811594202</v>
      </c>
      <c r="F99" s="3">
        <f t="shared" ca="1" si="103"/>
        <v>0</v>
      </c>
      <c r="G99">
        <f>'Monthly Data'!EJ99</f>
        <v>0</v>
      </c>
      <c r="H99" s="3">
        <f>'Monthly Data'!DB99</f>
        <v>7904.4</v>
      </c>
      <c r="I99" s="3">
        <f>'Monthly Data'!DQ99</f>
        <v>28</v>
      </c>
      <c r="K99" s="3">
        <f t="shared" si="64"/>
        <v>-4083957</v>
      </c>
      <c r="L99" s="3">
        <f t="shared" ca="1" si="65"/>
        <v>7588646.6267159423</v>
      </c>
      <c r="M99" s="3">
        <f t="shared" ca="1" si="66"/>
        <v>0</v>
      </c>
      <c r="N99" s="3">
        <f t="shared" si="67"/>
        <v>0</v>
      </c>
      <c r="O99" s="3">
        <f t="shared" si="68"/>
        <v>8000675.5919999992</v>
      </c>
      <c r="P99" s="3">
        <f t="shared" si="69"/>
        <v>13348062</v>
      </c>
      <c r="Q99" s="47">
        <f t="shared" ca="1" si="90"/>
        <v>24853427.218715943</v>
      </c>
      <c r="R99" s="47">
        <f>'Monthly Data'!S99</f>
        <v>88146.441538461542</v>
      </c>
      <c r="S99" s="47">
        <f ca="1">+'Monthly Data'!T99</f>
        <v>433420.41188102844</v>
      </c>
      <c r="T99" s="47">
        <f t="shared" ca="1" si="52"/>
        <v>25374994.072135434</v>
      </c>
    </row>
    <row r="100" spans="1:20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Data'!R100</f>
        <v>26695839.499610867</v>
      </c>
      <c r="E100" s="3">
        <f t="shared" ref="E100:F100" ca="1" si="104">E88</f>
        <v>608.13298913043479</v>
      </c>
      <c r="F100" s="3">
        <f t="shared" ca="1" si="104"/>
        <v>0</v>
      </c>
      <c r="G100">
        <f>'Monthly Data'!EJ100</f>
        <v>0</v>
      </c>
      <c r="H100" s="3">
        <f>'Monthly Data'!DB100</f>
        <v>7936.8</v>
      </c>
      <c r="I100" s="3">
        <f>'Monthly Data'!DQ100</f>
        <v>31</v>
      </c>
      <c r="K100" s="3">
        <f t="shared" si="64"/>
        <v>-4083957</v>
      </c>
      <c r="L100" s="3">
        <f t="shared" ca="1" si="65"/>
        <v>6778104.3449304346</v>
      </c>
      <c r="M100" s="3">
        <f t="shared" ca="1" si="66"/>
        <v>0</v>
      </c>
      <c r="N100" s="3">
        <f t="shared" si="67"/>
        <v>0</v>
      </c>
      <c r="O100" s="3">
        <f t="shared" si="68"/>
        <v>8033470.2239999995</v>
      </c>
      <c r="P100" s="3">
        <f t="shared" si="69"/>
        <v>14778211.5</v>
      </c>
      <c r="Q100" s="47">
        <f t="shared" ca="1" si="90"/>
        <v>25505829.068930432</v>
      </c>
      <c r="R100" s="47">
        <f>'Monthly Data'!S100</f>
        <v>91574.162307692313</v>
      </c>
      <c r="S100" s="47">
        <f ca="1">+'Monthly Data'!T100</f>
        <v>416489.7302101542</v>
      </c>
      <c r="T100" s="47">
        <f t="shared" ca="1" si="52"/>
        <v>26013892.961448278</v>
      </c>
    </row>
    <row r="101" spans="1:20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Data'!R101</f>
        <v>22832471.779142085</v>
      </c>
      <c r="E101" s="3">
        <f t="shared" ref="E101:F101" ca="1" si="105">E89</f>
        <v>412.37941287878795</v>
      </c>
      <c r="F101" s="3">
        <f t="shared" ca="1" si="105"/>
        <v>2.1908333333333347</v>
      </c>
      <c r="G101">
        <f>'Monthly Data'!EJ101</f>
        <v>0</v>
      </c>
      <c r="H101" s="3">
        <f>'Monthly Data'!DB101</f>
        <v>7963.7</v>
      </c>
      <c r="I101" s="3">
        <f>'Monthly Data'!DQ101</f>
        <v>30</v>
      </c>
      <c r="K101" s="3">
        <f t="shared" si="64"/>
        <v>-4083957</v>
      </c>
      <c r="L101" s="3">
        <f t="shared" ca="1" si="65"/>
        <v>4596281.9648878798</v>
      </c>
      <c r="M101" s="3">
        <f t="shared" ca="1" si="66"/>
        <v>75701.11294166671</v>
      </c>
      <c r="N101" s="3">
        <f t="shared" si="67"/>
        <v>0</v>
      </c>
      <c r="O101" s="3">
        <f t="shared" si="68"/>
        <v>8060697.8659999995</v>
      </c>
      <c r="P101" s="3">
        <f t="shared" si="69"/>
        <v>14301495</v>
      </c>
      <c r="Q101" s="47">
        <f t="shared" ca="1" si="90"/>
        <v>22950218.943829544</v>
      </c>
      <c r="R101" s="47">
        <f>'Monthly Data'!S101</f>
        <v>95001.88307692307</v>
      </c>
      <c r="S101" s="47">
        <f ca="1">+'Monthly Data'!T101</f>
        <v>227808.36855363942</v>
      </c>
      <c r="T101" s="47">
        <f t="shared" ca="1" si="52"/>
        <v>23273029.195460107</v>
      </c>
    </row>
    <row r="102" spans="1:20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Data'!R102</f>
        <v>22904267.3630738</v>
      </c>
      <c r="E102" s="3">
        <f t="shared" ref="E102:F102" ca="1" si="106">E90</f>
        <v>202.70273119310133</v>
      </c>
      <c r="F102" s="3">
        <f t="shared" ca="1" si="106"/>
        <v>52.487435064935063</v>
      </c>
      <c r="G102">
        <f>'Monthly Data'!EJ102</f>
        <v>0</v>
      </c>
      <c r="H102" s="3">
        <f>'Monthly Data'!DB102</f>
        <v>7975.3</v>
      </c>
      <c r="I102" s="3">
        <f>'Monthly Data'!DQ102</f>
        <v>31</v>
      </c>
      <c r="K102" s="3">
        <f t="shared" si="64"/>
        <v>-4083957</v>
      </c>
      <c r="L102" s="3">
        <f t="shared" ca="1" si="65"/>
        <v>2259275.993222821</v>
      </c>
      <c r="M102" s="3">
        <f t="shared" ca="1" si="66"/>
        <v>1813628.2616366881</v>
      </c>
      <c r="N102" s="3">
        <f t="shared" si="67"/>
        <v>0</v>
      </c>
      <c r="O102" s="3">
        <f t="shared" si="68"/>
        <v>8072439.1540000001</v>
      </c>
      <c r="P102" s="3">
        <f t="shared" si="69"/>
        <v>14778211.5</v>
      </c>
      <c r="Q102" s="47">
        <f t="shared" ca="1" si="90"/>
        <v>22839597.90885951</v>
      </c>
      <c r="R102" s="47">
        <f>'Monthly Data'!S102</f>
        <v>98429.603846153841</v>
      </c>
      <c r="S102" s="47">
        <f ca="1">+'Monthly Data'!T102</f>
        <v>123627.35886585574</v>
      </c>
      <c r="T102" s="47">
        <f t="shared" ca="1" si="52"/>
        <v>23061654.871571522</v>
      </c>
    </row>
    <row r="103" spans="1:20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Data'!R103</f>
        <v>24153083.435205214</v>
      </c>
      <c r="E103" s="3">
        <f t="shared" ref="E103:F103" ca="1" si="107">E91</f>
        <v>66.09717382617383</v>
      </c>
      <c r="F103" s="3">
        <f t="shared" ca="1" si="107"/>
        <v>137.65451754405018</v>
      </c>
      <c r="G103">
        <f>'Monthly Data'!EJ103</f>
        <v>0</v>
      </c>
      <c r="H103" s="3">
        <f>'Monthly Data'!DB103</f>
        <v>7998.9</v>
      </c>
      <c r="I103" s="3">
        <f>'Monthly Data'!DQ103</f>
        <v>30</v>
      </c>
      <c r="K103" s="3">
        <f t="shared" si="64"/>
        <v>-4083957</v>
      </c>
      <c r="L103" s="3">
        <f t="shared" ca="1" si="65"/>
        <v>736703.23614481522</v>
      </c>
      <c r="M103" s="3">
        <f t="shared" ca="1" si="66"/>
        <v>4756455.0077745663</v>
      </c>
      <c r="N103" s="3">
        <f t="shared" si="67"/>
        <v>0</v>
      </c>
      <c r="O103" s="3">
        <f t="shared" si="68"/>
        <v>8096326.601999999</v>
      </c>
      <c r="P103" s="3">
        <f t="shared" si="69"/>
        <v>14301495</v>
      </c>
      <c r="Q103" s="47">
        <f t="shared" ca="1" si="90"/>
        <v>23807022.845919378</v>
      </c>
      <c r="R103" s="47">
        <f>'Monthly Data'!S103</f>
        <v>101857.32461538461</v>
      </c>
      <c r="S103" s="47">
        <f ca="1">+'Monthly Data'!T103</f>
        <v>16206.340751175463</v>
      </c>
      <c r="T103" s="47">
        <f t="shared" ca="1" si="52"/>
        <v>23925086.511285938</v>
      </c>
    </row>
    <row r="104" spans="1:20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Data'!R104</f>
        <v>27124425.419216834</v>
      </c>
      <c r="E104" s="3">
        <f t="shared" ref="E104:F104" ca="1" si="108">E92</f>
        <v>10.249063146997932</v>
      </c>
      <c r="F104" s="3">
        <f t="shared" ca="1" si="108"/>
        <v>235.94737858727848</v>
      </c>
      <c r="G104">
        <f>'Monthly Data'!EJ104</f>
        <v>0</v>
      </c>
      <c r="H104" s="3">
        <f>'Monthly Data'!DB104</f>
        <v>8014.7</v>
      </c>
      <c r="I104" s="3">
        <f>'Monthly Data'!DQ104</f>
        <v>31</v>
      </c>
      <c r="K104" s="3">
        <f t="shared" si="64"/>
        <v>-4083957</v>
      </c>
      <c r="L104" s="3">
        <f t="shared" ca="1" si="65"/>
        <v>114233.59806128367</v>
      </c>
      <c r="M104" s="3">
        <f t="shared" ca="1" si="66"/>
        <v>8152824.2623320278</v>
      </c>
      <c r="N104" s="3">
        <f t="shared" si="67"/>
        <v>0</v>
      </c>
      <c r="O104" s="3">
        <f t="shared" si="68"/>
        <v>8112319.0459999992</v>
      </c>
      <c r="P104" s="3">
        <f t="shared" si="69"/>
        <v>14778211.5</v>
      </c>
      <c r="Q104" s="47">
        <f t="shared" ca="1" si="90"/>
        <v>27073631.406393312</v>
      </c>
      <c r="R104" s="47">
        <f>'Monthly Data'!S104</f>
        <v>105285.04538461538</v>
      </c>
      <c r="S104" s="47">
        <f ca="1">+'Monthly Data'!T104</f>
        <v>94.479250395501396</v>
      </c>
      <c r="T104" s="47">
        <f t="shared" ca="1" si="52"/>
        <v>27179010.931028321</v>
      </c>
    </row>
    <row r="105" spans="1:20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Data'!R105</f>
        <v>24663739.636838347</v>
      </c>
      <c r="E105" s="3">
        <f t="shared" ref="E105:F105" ca="1" si="109">E93</f>
        <v>21.194927536231887</v>
      </c>
      <c r="F105" s="3">
        <f t="shared" ca="1" si="109"/>
        <v>210.96558794466404</v>
      </c>
      <c r="G105">
        <f>'Monthly Data'!EJ105</f>
        <v>0</v>
      </c>
      <c r="H105" s="3">
        <f>'Monthly Data'!DB105</f>
        <v>8038.9</v>
      </c>
      <c r="I105" s="3">
        <f>'Monthly Data'!DQ105</f>
        <v>31</v>
      </c>
      <c r="K105" s="3">
        <f t="shared" si="64"/>
        <v>-4083957</v>
      </c>
      <c r="L105" s="3">
        <f t="shared" ca="1" si="65"/>
        <v>236233.57553623192</v>
      </c>
      <c r="M105" s="3">
        <f t="shared" ca="1" si="66"/>
        <v>7289614.2106371047</v>
      </c>
      <c r="N105" s="3">
        <f t="shared" si="67"/>
        <v>0</v>
      </c>
      <c r="O105" s="3">
        <f t="shared" si="68"/>
        <v>8136813.8019999992</v>
      </c>
      <c r="P105" s="3">
        <f t="shared" si="69"/>
        <v>14778211.5</v>
      </c>
      <c r="Q105" s="47">
        <f t="shared" ca="1" si="90"/>
        <v>26356916.088173337</v>
      </c>
      <c r="R105" s="47">
        <f>'Monthly Data'!S105</f>
        <v>108712.76615384615</v>
      </c>
      <c r="S105" s="47">
        <f ca="1">+'Monthly Data'!T105</f>
        <v>7010.360379346399</v>
      </c>
      <c r="T105" s="47">
        <f t="shared" ca="1" si="52"/>
        <v>26472639.214706529</v>
      </c>
    </row>
    <row r="106" spans="1:20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Data'!R106</f>
        <v>23757952.604179867</v>
      </c>
      <c r="E106" s="3">
        <f t="shared" ref="E106:F106" ca="1" si="110">E94</f>
        <v>96.735690993788822</v>
      </c>
      <c r="F106" s="3">
        <f t="shared" ca="1" si="110"/>
        <v>106.4160119047619</v>
      </c>
      <c r="G106">
        <f>'Monthly Data'!EJ106</f>
        <v>0</v>
      </c>
      <c r="H106" s="3">
        <f>'Monthly Data'!DB106</f>
        <v>8049</v>
      </c>
      <c r="I106" s="3">
        <f>'Monthly Data'!DQ106</f>
        <v>30</v>
      </c>
      <c r="K106" s="3">
        <f t="shared" si="64"/>
        <v>-4083957</v>
      </c>
      <c r="L106" s="3">
        <f t="shared" ca="1" si="65"/>
        <v>1078192.7952509318</v>
      </c>
      <c r="M106" s="3">
        <f t="shared" ca="1" si="66"/>
        <v>3677053.1164720235</v>
      </c>
      <c r="N106" s="3">
        <f t="shared" si="67"/>
        <v>0</v>
      </c>
      <c r="O106" s="3">
        <f t="shared" si="68"/>
        <v>8147036.8199999994</v>
      </c>
      <c r="P106" s="3">
        <f t="shared" si="69"/>
        <v>14301495</v>
      </c>
      <c r="Q106" s="47">
        <f t="shared" ca="1" si="90"/>
        <v>23119820.731722955</v>
      </c>
      <c r="R106" s="47">
        <f>'Monthly Data'!S106</f>
        <v>112140.48692307691</v>
      </c>
      <c r="S106" s="47">
        <f ca="1">+'Monthly Data'!T106</f>
        <v>35971.39993391493</v>
      </c>
      <c r="T106" s="47">
        <f t="shared" ca="1" si="52"/>
        <v>23267932.618579946</v>
      </c>
    </row>
    <row r="107" spans="1:20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Data'!R107</f>
        <v>22834530.070741281</v>
      </c>
      <c r="E107" s="3">
        <f t="shared" ref="E107:F107" ca="1" si="111">E95</f>
        <v>298.21097826086958</v>
      </c>
      <c r="F107" s="3">
        <f t="shared" ca="1" si="111"/>
        <v>17.987083333333334</v>
      </c>
      <c r="G107">
        <f>'Monthly Data'!EJ107</f>
        <v>0</v>
      </c>
      <c r="H107" s="3">
        <f>'Monthly Data'!DB107</f>
        <v>8054.4</v>
      </c>
      <c r="I107" s="3">
        <f>'Monthly Data'!DQ107</f>
        <v>31</v>
      </c>
      <c r="K107" s="3">
        <f t="shared" si="64"/>
        <v>-4083957</v>
      </c>
      <c r="L107" s="3">
        <f t="shared" ca="1" si="65"/>
        <v>3323787.9930608696</v>
      </c>
      <c r="M107" s="3">
        <f t="shared" ca="1" si="66"/>
        <v>621517.94305416674</v>
      </c>
      <c r="N107" s="3">
        <f t="shared" si="67"/>
        <v>0</v>
      </c>
      <c r="O107" s="3">
        <f t="shared" si="68"/>
        <v>8152502.5919999992</v>
      </c>
      <c r="P107" s="3">
        <f t="shared" si="69"/>
        <v>14778211.5</v>
      </c>
      <c r="Q107" s="47">
        <f t="shared" ca="1" si="90"/>
        <v>22792063.028115034</v>
      </c>
      <c r="R107" s="47">
        <f>'Monthly Data'!S107</f>
        <v>115568.20769230768</v>
      </c>
      <c r="S107" s="47">
        <f ca="1">+'Monthly Data'!T107</f>
        <v>156574.16306377586</v>
      </c>
      <c r="T107" s="47">
        <f t="shared" ca="1" si="52"/>
        <v>23064205.398871116</v>
      </c>
    </row>
    <row r="108" spans="1:20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Data'!R108</f>
        <v>24231262.794732895</v>
      </c>
      <c r="E108" s="3">
        <f t="shared" ref="E108:F108" ca="1" si="112">E96</f>
        <v>486.62991389045737</v>
      </c>
      <c r="F108" s="3">
        <f t="shared" ca="1" si="112"/>
        <v>0.8083333333333329</v>
      </c>
      <c r="G108">
        <f>'Monthly Data'!EJ108</f>
        <v>0</v>
      </c>
      <c r="H108" s="3">
        <f>'Monthly Data'!DB108</f>
        <v>8061.4</v>
      </c>
      <c r="I108" s="3">
        <f>'Monthly Data'!DQ108</f>
        <v>30</v>
      </c>
      <c r="K108" s="3">
        <f t="shared" si="64"/>
        <v>-4083957</v>
      </c>
      <c r="L108" s="3">
        <f t="shared" ca="1" si="65"/>
        <v>5423860.2290437045</v>
      </c>
      <c r="M108" s="3">
        <f t="shared" ca="1" si="66"/>
        <v>27930.802416666651</v>
      </c>
      <c r="N108" s="3">
        <f t="shared" si="67"/>
        <v>0</v>
      </c>
      <c r="O108" s="3">
        <f t="shared" si="68"/>
        <v>8159587.851999999</v>
      </c>
      <c r="P108" s="3">
        <f t="shared" si="69"/>
        <v>14301495</v>
      </c>
      <c r="Q108" s="47">
        <f t="shared" ca="1" si="90"/>
        <v>23828916.883460373</v>
      </c>
      <c r="R108" s="47">
        <f>'Monthly Data'!S108</f>
        <v>118995.92846153845</v>
      </c>
      <c r="S108" s="47">
        <f ca="1">+'Monthly Data'!T108</f>
        <v>340573.59862061887</v>
      </c>
      <c r="T108" s="47">
        <f t="shared" ca="1" si="52"/>
        <v>24288486.410542529</v>
      </c>
    </row>
    <row r="109" spans="1:20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Data'!R109</f>
        <v>23806861.686024413</v>
      </c>
      <c r="E109" s="3">
        <f t="shared" ref="E109:F109" ca="1" si="113">E97</f>
        <v>639.92800724637686</v>
      </c>
      <c r="F109" s="3">
        <f t="shared" ca="1" si="113"/>
        <v>0</v>
      </c>
      <c r="G109">
        <f>'Monthly Data'!EJ109</f>
        <v>0</v>
      </c>
      <c r="H109" s="3">
        <f>'Monthly Data'!DB109</f>
        <v>8052.9</v>
      </c>
      <c r="I109" s="3">
        <f>'Monthly Data'!DQ109</f>
        <v>31</v>
      </c>
      <c r="K109" s="3">
        <f t="shared" si="64"/>
        <v>-4083957</v>
      </c>
      <c r="L109" s="3">
        <f t="shared" ca="1" si="65"/>
        <v>7132483.9860463776</v>
      </c>
      <c r="M109" s="3">
        <f t="shared" ca="1" si="66"/>
        <v>0</v>
      </c>
      <c r="N109" s="3">
        <f t="shared" si="67"/>
        <v>0</v>
      </c>
      <c r="O109" s="3">
        <f t="shared" si="68"/>
        <v>8150984.3219999988</v>
      </c>
      <c r="P109" s="3">
        <f t="shared" si="69"/>
        <v>14778211.5</v>
      </c>
      <c r="Q109" s="47">
        <f t="shared" ref="Q109:Q121" ca="1" si="114">SUM(K109:P109)</f>
        <v>25977722.808046378</v>
      </c>
      <c r="R109" s="47">
        <f>'Monthly Data'!S109</f>
        <v>122423.64923076922</v>
      </c>
      <c r="S109" s="47">
        <f ca="1">+'Monthly Data'!T109</f>
        <v>370116.16480769421</v>
      </c>
      <c r="T109" s="47">
        <f t="shared" ca="1" si="52"/>
        <v>26470262.622084845</v>
      </c>
    </row>
    <row r="110" spans="1:20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Data'!R110</f>
        <v>25645054.497401971</v>
      </c>
      <c r="E110" s="3">
        <f t="shared" ref="E110:F110" ca="1" si="115">E98</f>
        <v>759.33418478260865</v>
      </c>
      <c r="F110" s="3">
        <f t="shared" ca="1" si="115"/>
        <v>0</v>
      </c>
      <c r="G110">
        <f>'Monthly Data'!EJ110</f>
        <v>0</v>
      </c>
      <c r="H110" s="3">
        <f>'Monthly Data'!DB110</f>
        <v>8056</v>
      </c>
      <c r="I110" s="3">
        <f>'Monthly Data'!DQ110</f>
        <v>31</v>
      </c>
      <c r="K110" s="3">
        <f t="shared" si="64"/>
        <v>-4083957</v>
      </c>
      <c r="L110" s="3">
        <f t="shared" ca="1" si="65"/>
        <v>8463356.5833826084</v>
      </c>
      <c r="M110" s="3">
        <f t="shared" ca="1" si="66"/>
        <v>0</v>
      </c>
      <c r="N110" s="3">
        <f t="shared" si="67"/>
        <v>0</v>
      </c>
      <c r="O110" s="3">
        <f t="shared" si="68"/>
        <v>8154122.0799999991</v>
      </c>
      <c r="P110" s="3">
        <f t="shared" si="69"/>
        <v>14778211.5</v>
      </c>
      <c r="Q110" s="47">
        <f t="shared" ca="1" si="114"/>
        <v>27311733.163382608</v>
      </c>
      <c r="R110" s="47">
        <f>'Monthly Data'!S110</f>
        <v>130137.86205128205</v>
      </c>
      <c r="S110" s="47">
        <f ca="1">+'Monthly Data'!T110</f>
        <v>608649.65563932725</v>
      </c>
      <c r="T110" s="47">
        <f t="shared" ca="1" si="52"/>
        <v>28050520.681073219</v>
      </c>
    </row>
    <row r="111" spans="1:20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Data'!R111</f>
        <v>23244435.147960942</v>
      </c>
      <c r="E111" s="3">
        <f t="shared" ref="E111:F111" ca="1" si="116">E99</f>
        <v>680.85501811594202</v>
      </c>
      <c r="F111" s="3">
        <f t="shared" ca="1" si="116"/>
        <v>0</v>
      </c>
      <c r="G111">
        <f>'Monthly Data'!EJ111</f>
        <v>0</v>
      </c>
      <c r="H111" s="3">
        <f>'Monthly Data'!DB111</f>
        <v>8055.7</v>
      </c>
      <c r="I111" s="3">
        <f>'Monthly Data'!DQ111</f>
        <v>29</v>
      </c>
      <c r="K111" s="3">
        <f t="shared" si="64"/>
        <v>-4083957</v>
      </c>
      <c r="L111" s="3">
        <f t="shared" ca="1" si="65"/>
        <v>7588646.6267159423</v>
      </c>
      <c r="M111" s="3">
        <f t="shared" ca="1" si="66"/>
        <v>0</v>
      </c>
      <c r="N111" s="3">
        <f t="shared" si="67"/>
        <v>0</v>
      </c>
      <c r="O111" s="3">
        <f t="shared" si="68"/>
        <v>8153818.425999999</v>
      </c>
      <c r="P111" s="3">
        <f t="shared" si="69"/>
        <v>13824778.5</v>
      </c>
      <c r="Q111" s="47">
        <f t="shared" ca="1" si="114"/>
        <v>25483286.552715942</v>
      </c>
      <c r="R111" s="47">
        <f>'Monthly Data'!S111</f>
        <v>134424.3541025641</v>
      </c>
      <c r="S111" s="47">
        <f ca="1">+'Monthly Data'!T111</f>
        <v>518804.7666826183</v>
      </c>
      <c r="T111" s="47">
        <f t="shared" ca="1" si="52"/>
        <v>26136515.673501123</v>
      </c>
    </row>
    <row r="112" spans="1:20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Data'!R112</f>
        <v>23202747.447345048</v>
      </c>
      <c r="E112" s="3">
        <f t="shared" ref="E112:F112" ca="1" si="117">E100</f>
        <v>608.13298913043479</v>
      </c>
      <c r="F112" s="3">
        <f t="shared" ca="1" si="117"/>
        <v>0</v>
      </c>
      <c r="G112">
        <f>'Monthly Data'!EJ112</f>
        <v>0</v>
      </c>
      <c r="H112" s="3">
        <f>'Monthly Data'!DB112</f>
        <v>8075.3</v>
      </c>
      <c r="I112" s="3">
        <f>'Monthly Data'!DQ112</f>
        <v>31</v>
      </c>
      <c r="K112" s="3">
        <f t="shared" si="64"/>
        <v>-4083957</v>
      </c>
      <c r="L112" s="3">
        <f t="shared" ca="1" si="65"/>
        <v>6778104.3449304346</v>
      </c>
      <c r="M112" s="3">
        <f t="shared" ca="1" si="66"/>
        <v>0</v>
      </c>
      <c r="N112" s="3">
        <f t="shared" si="67"/>
        <v>0</v>
      </c>
      <c r="O112" s="3">
        <f t="shared" si="68"/>
        <v>8173657.1540000001</v>
      </c>
      <c r="P112" s="3">
        <f t="shared" si="69"/>
        <v>14778211.5</v>
      </c>
      <c r="Q112" s="47">
        <f t="shared" ca="1" si="114"/>
        <v>25646015.998930436</v>
      </c>
      <c r="R112" s="47">
        <f>'Monthly Data'!S112</f>
        <v>138710.84615384616</v>
      </c>
      <c r="S112" s="47">
        <f ca="1">+'Monthly Data'!T112</f>
        <v>439637.59262739803</v>
      </c>
      <c r="T112" s="47">
        <f t="shared" ca="1" si="52"/>
        <v>26224364.437711682</v>
      </c>
    </row>
    <row r="113" spans="1:20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Data'!R113</f>
        <v>21310849.483020864</v>
      </c>
      <c r="E113" s="3">
        <f t="shared" ref="E113:F113" ca="1" si="118">E101</f>
        <v>412.37941287878795</v>
      </c>
      <c r="F113" s="3">
        <f t="shared" ca="1" si="118"/>
        <v>2.1908333333333347</v>
      </c>
      <c r="G113">
        <f>'Monthly Data'!EJ113</f>
        <v>0</v>
      </c>
      <c r="H113" s="3">
        <f>'Monthly Data'!DB113</f>
        <v>8093.4</v>
      </c>
      <c r="I113" s="3">
        <f>'Monthly Data'!DQ113</f>
        <v>30</v>
      </c>
      <c r="K113" s="3">
        <f t="shared" si="64"/>
        <v>-4083957</v>
      </c>
      <c r="L113" s="3">
        <f t="shared" ca="1" si="65"/>
        <v>4596281.9648878798</v>
      </c>
      <c r="M113" s="3">
        <f t="shared" ca="1" si="66"/>
        <v>75701.11294166671</v>
      </c>
      <c r="N113" s="3">
        <f t="shared" si="67"/>
        <v>0</v>
      </c>
      <c r="O113" s="3">
        <f t="shared" si="68"/>
        <v>8191977.6119999988</v>
      </c>
      <c r="P113" s="3">
        <f t="shared" si="69"/>
        <v>14301495</v>
      </c>
      <c r="Q113" s="47">
        <f t="shared" ca="1" si="114"/>
        <v>23081498.689829543</v>
      </c>
      <c r="R113" s="47">
        <f>'Monthly Data'!S113</f>
        <v>142997.33820512821</v>
      </c>
      <c r="S113" s="47">
        <f ca="1">+'Monthly Data'!T113</f>
        <v>294578.72562770086</v>
      </c>
      <c r="T113" s="47">
        <f t="shared" ca="1" si="52"/>
        <v>23519074.753662374</v>
      </c>
    </row>
    <row r="114" spans="1:20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Data'!R114</f>
        <v>21670581.306792475</v>
      </c>
      <c r="E114" s="3">
        <f t="shared" ref="E114:F114" ca="1" si="119">E102</f>
        <v>202.70273119310133</v>
      </c>
      <c r="F114" s="3">
        <f t="shared" ca="1" si="119"/>
        <v>52.487435064935063</v>
      </c>
      <c r="G114">
        <f>'Monthly Data'!EJ114</f>
        <v>0</v>
      </c>
      <c r="H114" s="3">
        <f>'Monthly Data'!DB114</f>
        <v>8119.3</v>
      </c>
      <c r="I114" s="3">
        <f>'Monthly Data'!DQ114</f>
        <v>31</v>
      </c>
      <c r="K114" s="3">
        <f t="shared" si="64"/>
        <v>-4083957</v>
      </c>
      <c r="L114" s="3">
        <f t="shared" ca="1" si="65"/>
        <v>2259275.993222821</v>
      </c>
      <c r="M114" s="3">
        <f t="shared" ca="1" si="66"/>
        <v>1813628.2616366881</v>
      </c>
      <c r="N114" s="3">
        <f t="shared" si="67"/>
        <v>0</v>
      </c>
      <c r="O114" s="3">
        <f t="shared" si="68"/>
        <v>8218193.074</v>
      </c>
      <c r="P114" s="3">
        <f t="shared" si="69"/>
        <v>14778211.5</v>
      </c>
      <c r="Q114" s="47">
        <f t="shared" ca="1" si="114"/>
        <v>22985351.828859508</v>
      </c>
      <c r="R114" s="47">
        <f>'Monthly Data'!S114</f>
        <v>147283.83025641026</v>
      </c>
      <c r="S114" s="47">
        <f ca="1">+'Monthly Data'!T114</f>
        <v>85545.137989666458</v>
      </c>
      <c r="T114" s="47">
        <f t="shared" ca="1" si="52"/>
        <v>23218180.797105584</v>
      </c>
    </row>
    <row r="115" spans="1:20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Data'!R115</f>
        <v>22656799.283885501</v>
      </c>
      <c r="E115" s="3">
        <f t="shared" ref="E115:F115" ca="1" si="120">E103</f>
        <v>66.09717382617383</v>
      </c>
      <c r="F115" s="3">
        <f t="shared" ca="1" si="120"/>
        <v>137.65451754405018</v>
      </c>
      <c r="G115">
        <f>'Monthly Data'!EJ115</f>
        <v>0</v>
      </c>
      <c r="H115" s="3">
        <f>'Monthly Data'!DB115</f>
        <v>8139.9</v>
      </c>
      <c r="I115" s="3">
        <f>'Monthly Data'!DQ115</f>
        <v>30</v>
      </c>
      <c r="K115" s="3">
        <f t="shared" si="64"/>
        <v>-4083957</v>
      </c>
      <c r="L115" s="3">
        <f t="shared" ca="1" si="65"/>
        <v>736703.23614481522</v>
      </c>
      <c r="M115" s="3">
        <f t="shared" ca="1" si="66"/>
        <v>4756455.0077745663</v>
      </c>
      <c r="N115" s="3">
        <f t="shared" si="67"/>
        <v>0</v>
      </c>
      <c r="O115" s="3">
        <f t="shared" si="68"/>
        <v>8239043.9819999989</v>
      </c>
      <c r="P115" s="3">
        <f t="shared" si="69"/>
        <v>14301495</v>
      </c>
      <c r="Q115" s="47">
        <f t="shared" ca="1" si="114"/>
        <v>23949740.225919381</v>
      </c>
      <c r="R115" s="47">
        <f>'Monthly Data'!S115</f>
        <v>151570.32230769232</v>
      </c>
      <c r="S115" s="47">
        <f ca="1">+'Monthly Data'!T115</f>
        <v>30165.938034518676</v>
      </c>
      <c r="T115" s="47">
        <f t="shared" ca="1" si="52"/>
        <v>24131476.486261591</v>
      </c>
    </row>
    <row r="116" spans="1:20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Data'!R116</f>
        <v>25848217.417666662</v>
      </c>
      <c r="E116" s="3">
        <f t="shared" ref="E116:F116" ca="1" si="121">E104</f>
        <v>10.249063146997932</v>
      </c>
      <c r="F116" s="3">
        <f t="shared" ca="1" si="121"/>
        <v>235.94737858727848</v>
      </c>
      <c r="G116">
        <f>'Monthly Data'!EJ116</f>
        <v>0</v>
      </c>
      <c r="H116" s="3">
        <f>'Monthly Data'!DB116</f>
        <v>8157.9</v>
      </c>
      <c r="I116" s="3">
        <f>'Monthly Data'!DQ116</f>
        <v>31</v>
      </c>
      <c r="K116" s="3">
        <f t="shared" si="64"/>
        <v>-4083957</v>
      </c>
      <c r="L116" s="3">
        <f t="shared" ca="1" si="65"/>
        <v>114233.59806128367</v>
      </c>
      <c r="M116" s="3">
        <f t="shared" ca="1" si="66"/>
        <v>8152824.2623320278</v>
      </c>
      <c r="N116" s="3">
        <f t="shared" si="67"/>
        <v>0</v>
      </c>
      <c r="O116" s="3">
        <f t="shared" si="68"/>
        <v>8257263.2219999991</v>
      </c>
      <c r="P116" s="3">
        <f t="shared" si="69"/>
        <v>14778211.5</v>
      </c>
      <c r="Q116" s="47">
        <f t="shared" ca="1" si="114"/>
        <v>27218575.582393311</v>
      </c>
      <c r="R116" s="47">
        <f>'Monthly Data'!S116</f>
        <v>155856.81435897437</v>
      </c>
      <c r="S116" s="47">
        <f ca="1">+'Monthly Data'!T116</f>
        <v>314.51882073736243</v>
      </c>
      <c r="T116" s="47">
        <f t="shared" ca="1" si="52"/>
        <v>27374746.915573023</v>
      </c>
    </row>
    <row r="117" spans="1:20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Data'!R117</f>
        <v>24626286.586981039</v>
      </c>
      <c r="E117" s="3">
        <f t="shared" ref="E117:F117" ca="1" si="122">E105</f>
        <v>21.194927536231887</v>
      </c>
      <c r="F117" s="3">
        <f t="shared" ca="1" si="122"/>
        <v>210.96558794466404</v>
      </c>
      <c r="G117">
        <f>'Monthly Data'!EJ117</f>
        <v>0</v>
      </c>
      <c r="H117" s="3">
        <f>'Monthly Data'!DB117</f>
        <v>8164.1</v>
      </c>
      <c r="I117" s="3">
        <f>'Monthly Data'!DQ117</f>
        <v>31</v>
      </c>
      <c r="K117" s="3">
        <f t="shared" si="64"/>
        <v>-4083957</v>
      </c>
      <c r="L117" s="3">
        <f t="shared" ca="1" si="65"/>
        <v>236233.57553623192</v>
      </c>
      <c r="M117" s="3">
        <f t="shared" ca="1" si="66"/>
        <v>7289614.2106371047</v>
      </c>
      <c r="N117" s="3">
        <f t="shared" si="67"/>
        <v>0</v>
      </c>
      <c r="O117" s="3">
        <f t="shared" si="68"/>
        <v>8263538.7379999999</v>
      </c>
      <c r="P117" s="3">
        <f t="shared" si="69"/>
        <v>14778211.5</v>
      </c>
      <c r="Q117" s="47">
        <f t="shared" ca="1" si="114"/>
        <v>26483641.024173334</v>
      </c>
      <c r="R117" s="47">
        <f>'Monthly Data'!S117</f>
        <v>160143.30641025642</v>
      </c>
      <c r="S117" s="47">
        <f ca="1">+'Monthly Data'!T117</f>
        <v>7866.9517693294174</v>
      </c>
      <c r="T117" s="47">
        <f t="shared" ca="1" si="52"/>
        <v>26651651.282352921</v>
      </c>
    </row>
    <row r="118" spans="1:20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Data'!R118</f>
        <v>21991851.421867885</v>
      </c>
      <c r="E118" s="3">
        <f t="shared" ref="E118:F118" ca="1" si="123">E106</f>
        <v>96.735690993788822</v>
      </c>
      <c r="F118" s="3">
        <f t="shared" ca="1" si="123"/>
        <v>106.4160119047619</v>
      </c>
      <c r="G118">
        <f>'Monthly Data'!EJ118</f>
        <v>0</v>
      </c>
      <c r="H118" s="3">
        <f>'Monthly Data'!DB118</f>
        <v>8177.5</v>
      </c>
      <c r="I118" s="3">
        <f>'Monthly Data'!DQ118</f>
        <v>30</v>
      </c>
      <c r="K118" s="3">
        <f t="shared" si="64"/>
        <v>-4083957</v>
      </c>
      <c r="L118" s="3">
        <f t="shared" ca="1" si="65"/>
        <v>1078192.7952509318</v>
      </c>
      <c r="M118" s="3">
        <f t="shared" ca="1" si="66"/>
        <v>3677053.1164720235</v>
      </c>
      <c r="N118" s="3">
        <f t="shared" si="67"/>
        <v>0</v>
      </c>
      <c r="O118" s="3">
        <f t="shared" si="68"/>
        <v>8277101.9499999993</v>
      </c>
      <c r="P118" s="3">
        <f t="shared" si="69"/>
        <v>14301495</v>
      </c>
      <c r="Q118" s="47">
        <f t="shared" ca="1" si="114"/>
        <v>23249885.861722954</v>
      </c>
      <c r="R118" s="47">
        <f>'Monthly Data'!S118</f>
        <v>164429.79846153848</v>
      </c>
      <c r="S118" s="47">
        <f ca="1">+'Monthly Data'!T118</f>
        <v>28059.856310846993</v>
      </c>
      <c r="T118" s="47">
        <f t="shared" ca="1" si="52"/>
        <v>23442375.51649534</v>
      </c>
    </row>
    <row r="119" spans="1:20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Data'!R119</f>
        <v>21184005.460647192</v>
      </c>
      <c r="E119" s="3">
        <f t="shared" ref="E119:F119" ca="1" si="124">E107</f>
        <v>298.21097826086958</v>
      </c>
      <c r="F119" s="3">
        <f t="shared" ca="1" si="124"/>
        <v>17.987083333333334</v>
      </c>
      <c r="G119">
        <f>'Monthly Data'!EJ119</f>
        <v>0</v>
      </c>
      <c r="H119" s="3">
        <f>'Monthly Data'!DB119</f>
        <v>8179.8</v>
      </c>
      <c r="I119" s="3">
        <f>'Monthly Data'!DQ119</f>
        <v>31</v>
      </c>
      <c r="K119" s="3">
        <f t="shared" si="64"/>
        <v>-4083957</v>
      </c>
      <c r="L119" s="3">
        <f t="shared" ca="1" si="65"/>
        <v>3323787.9930608696</v>
      </c>
      <c r="M119" s="3">
        <f t="shared" ca="1" si="66"/>
        <v>621517.94305416674</v>
      </c>
      <c r="N119" s="3">
        <f t="shared" si="67"/>
        <v>0</v>
      </c>
      <c r="O119" s="3">
        <f t="shared" si="68"/>
        <v>8279429.9639999997</v>
      </c>
      <c r="P119" s="3">
        <f t="shared" si="69"/>
        <v>14778211.5</v>
      </c>
      <c r="Q119" s="47">
        <f t="shared" ca="1" si="114"/>
        <v>22918990.400115035</v>
      </c>
      <c r="R119" s="47">
        <f>'Monthly Data'!S119</f>
        <v>168716.29051282053</v>
      </c>
      <c r="S119" s="47">
        <f ca="1">+'Monthly Data'!T119</f>
        <v>223531.31277366838</v>
      </c>
      <c r="T119" s="47">
        <f t="shared" ref="T119:T182" ca="1" si="125">Q119+R119+S119</f>
        <v>23311238.003401522</v>
      </c>
    </row>
    <row r="120" spans="1:20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Data'!R120</f>
        <v>21747218.776084509</v>
      </c>
      <c r="E120" s="3">
        <f t="shared" ref="E120:F120" ca="1" si="126">E108</f>
        <v>486.62991389045737</v>
      </c>
      <c r="F120" s="3">
        <f t="shared" ca="1" si="126"/>
        <v>0.8083333333333329</v>
      </c>
      <c r="G120">
        <f>'Monthly Data'!EJ120</f>
        <v>0</v>
      </c>
      <c r="H120" s="3">
        <f>'Monthly Data'!DB120</f>
        <v>8182</v>
      </c>
      <c r="I120" s="3">
        <f>'Monthly Data'!DQ120</f>
        <v>30</v>
      </c>
      <c r="K120" s="3">
        <f t="shared" si="64"/>
        <v>-4083957</v>
      </c>
      <c r="L120" s="3">
        <f t="shared" ca="1" si="65"/>
        <v>5423860.2290437045</v>
      </c>
      <c r="M120" s="3">
        <f t="shared" ca="1" si="66"/>
        <v>27930.802416666651</v>
      </c>
      <c r="N120" s="3">
        <f t="shared" si="67"/>
        <v>0</v>
      </c>
      <c r="O120" s="3">
        <f t="shared" si="68"/>
        <v>8281656.7599999998</v>
      </c>
      <c r="P120" s="3">
        <f t="shared" si="69"/>
        <v>14301495</v>
      </c>
      <c r="Q120" s="47">
        <f t="shared" ca="1" si="114"/>
        <v>23950985.791460373</v>
      </c>
      <c r="R120" s="47">
        <f>'Monthly Data'!S120</f>
        <v>173002.78256410258</v>
      </c>
      <c r="S120" s="47">
        <f ca="1">+'Monthly Data'!T120</f>
        <v>349991.76621545956</v>
      </c>
      <c r="T120" s="47">
        <f t="shared" ca="1" si="125"/>
        <v>24473980.340239935</v>
      </c>
    </row>
    <row r="121" spans="1:20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Data'!R121</f>
        <v>24936880.819856849</v>
      </c>
      <c r="E121" s="3">
        <f t="shared" ref="E121:F121" ca="1" si="127">E109</f>
        <v>639.92800724637686</v>
      </c>
      <c r="F121" s="3">
        <f t="shared" ca="1" si="127"/>
        <v>0</v>
      </c>
      <c r="G121">
        <f>'Monthly Data'!EJ121</f>
        <v>0</v>
      </c>
      <c r="H121" s="3">
        <f>'Monthly Data'!DB121</f>
        <v>8183.3</v>
      </c>
      <c r="I121" s="3">
        <f>'Monthly Data'!DQ121</f>
        <v>31</v>
      </c>
      <c r="K121" s="3">
        <f t="shared" si="64"/>
        <v>-4083957</v>
      </c>
      <c r="L121" s="3">
        <f t="shared" ca="1" si="65"/>
        <v>7132483.9860463776</v>
      </c>
      <c r="M121" s="3">
        <f t="shared" ca="1" si="66"/>
        <v>0</v>
      </c>
      <c r="N121" s="3">
        <f t="shared" si="67"/>
        <v>0</v>
      </c>
      <c r="O121" s="3">
        <f t="shared" si="68"/>
        <v>8282972.5939999996</v>
      </c>
      <c r="P121" s="3">
        <f t="shared" si="69"/>
        <v>14778211.5</v>
      </c>
      <c r="Q121" s="47">
        <f t="shared" ca="1" si="114"/>
        <v>26109711.080046378</v>
      </c>
      <c r="R121" s="47">
        <f>'Monthly Data'!S121</f>
        <v>177289.27461538464</v>
      </c>
      <c r="S121" s="47">
        <f ca="1">+'Monthly Data'!T121</f>
        <v>571938.541132755</v>
      </c>
      <c r="T121" s="47">
        <f t="shared" ca="1" si="125"/>
        <v>26858938.895794518</v>
      </c>
    </row>
    <row r="122" spans="1:20">
      <c r="A122" s="2">
        <f t="shared" ref="A122:A174" si="128">EOMONTH(A121,1)</f>
        <v>45688</v>
      </c>
      <c r="B122">
        <f t="shared" ref="B122:B174" si="129">YEAR(A122)</f>
        <v>2025</v>
      </c>
      <c r="C122">
        <f t="shared" ref="C122:C174" si="130">MONTH(A122)</f>
        <v>1</v>
      </c>
      <c r="E122" s="3">
        <f t="shared" ref="E122:F122" ca="1" si="131">E110</f>
        <v>759.33418478260865</v>
      </c>
      <c r="F122" s="3">
        <f t="shared" ca="1" si="131"/>
        <v>0</v>
      </c>
      <c r="H122" s="97">
        <f>'Economic Data'!D136</f>
        <v>8203.9</v>
      </c>
      <c r="I122" s="47">
        <f t="shared" ref="I122:I174" si="132">I86</f>
        <v>31</v>
      </c>
      <c r="K122" s="3">
        <f t="shared" si="64"/>
        <v>-4083957</v>
      </c>
      <c r="L122" s="3">
        <f t="shared" ca="1" si="65"/>
        <v>8463356.5833826084</v>
      </c>
      <c r="M122" s="3">
        <f t="shared" ca="1" si="66"/>
        <v>0</v>
      </c>
      <c r="N122" s="3">
        <f t="shared" si="67"/>
        <v>0</v>
      </c>
      <c r="O122" s="3">
        <f t="shared" si="68"/>
        <v>8303823.5019999994</v>
      </c>
      <c r="P122" s="3">
        <f t="shared" si="69"/>
        <v>14778211.5</v>
      </c>
      <c r="Q122" s="47">
        <f t="shared" ref="Q122:Q173" ca="1" si="133">SUM(K122:P122)</f>
        <v>27461434.585382607</v>
      </c>
      <c r="R122" s="47">
        <f>IFERROR(HLOOKUP(B122-1,'EV Forecast VRZ'!$F$124:$T$130,4,FALSE)/12,0)+IFERROR(((HLOOKUP(B122,'EV Forecast VRZ'!$F$116:$T$122,4,FALSE)-HLOOKUP(B122-1,'EV Forecast VRZ'!$F$124:$T$130,4,FALSE)))*C122/78,0)</f>
        <v>186356.16630560192</v>
      </c>
      <c r="S122" s="47">
        <f ca="1">HLOOKUP(B122,Heating!$C$102:$O$106,4,FALSE)*INDEX(Weather!$BO$1:$CB$20,MATCH(B122,Weather!$BO$1:$BO$20,0),MATCH(C122,Weather!$BO$1:$CB$1,0))/VLOOKUP(B122,Weather!$BO$2:$CB$20,14,FALSE)</f>
        <v>804833.8126994815</v>
      </c>
      <c r="T122" s="47">
        <f t="shared" ca="1" si="125"/>
        <v>28452624.56438769</v>
      </c>
    </row>
    <row r="123" spans="1:20">
      <c r="A123" s="2">
        <f t="shared" si="128"/>
        <v>45716</v>
      </c>
      <c r="B123">
        <f t="shared" si="129"/>
        <v>2025</v>
      </c>
      <c r="C123">
        <f t="shared" si="130"/>
        <v>2</v>
      </c>
      <c r="E123" s="3">
        <f t="shared" ref="E123:F123" ca="1" si="134">E111</f>
        <v>680.85501811594202</v>
      </c>
      <c r="F123" s="3">
        <f t="shared" ca="1" si="134"/>
        <v>0</v>
      </c>
      <c r="H123" s="97">
        <f>'Economic Data'!D137</f>
        <v>8233</v>
      </c>
      <c r="I123" s="47">
        <f t="shared" si="132"/>
        <v>28</v>
      </c>
      <c r="K123" s="3">
        <f t="shared" si="64"/>
        <v>-4083957</v>
      </c>
      <c r="L123" s="3">
        <f t="shared" ca="1" si="65"/>
        <v>7588646.6267159423</v>
      </c>
      <c r="M123" s="3">
        <f t="shared" ca="1" si="66"/>
        <v>0</v>
      </c>
      <c r="N123" s="3">
        <f t="shared" si="67"/>
        <v>0</v>
      </c>
      <c r="O123" s="3">
        <f t="shared" si="68"/>
        <v>8333277.9399999995</v>
      </c>
      <c r="P123" s="3">
        <f t="shared" si="69"/>
        <v>13348062</v>
      </c>
      <c r="Q123" s="47">
        <f t="shared" ca="1" si="133"/>
        <v>25186029.566715941</v>
      </c>
      <c r="R123" s="47">
        <f>IFERROR(HLOOKUP(B123-1,'EV Forecast VRZ'!$F$124:$T$130,4,FALSE)/12,0)+IFERROR(((HLOOKUP(B123,'EV Forecast VRZ'!$F$116:$T$122,4,FALSE)-HLOOKUP(B123-1,'EV Forecast VRZ'!$F$124:$T$130,4,FALSE)))*C123/78,0)</f>
        <v>191136.56594453714</v>
      </c>
      <c r="S123" s="47">
        <f ca="1">HLOOKUP(B123,Heating!$C$102:$O$106,4,FALSE)*INDEX(Weather!$BO$1:$CB$20,MATCH(B123,Weather!$BO$1:$BO$20,0),MATCH(C123,Weather!$BO$1:$CB$1,0))/VLOOKUP(B123,Weather!$BO$2:$CB$20,14,FALSE)</f>
        <v>720488.90946550306</v>
      </c>
      <c r="T123" s="47">
        <f t="shared" ca="1" si="125"/>
        <v>26097655.042125981</v>
      </c>
    </row>
    <row r="124" spans="1:20">
      <c r="A124" s="2">
        <f t="shared" si="128"/>
        <v>45747</v>
      </c>
      <c r="B124">
        <f t="shared" si="129"/>
        <v>2025</v>
      </c>
      <c r="C124">
        <f t="shared" si="130"/>
        <v>3</v>
      </c>
      <c r="E124" s="3">
        <f t="shared" ref="E124:F124" ca="1" si="135">E112</f>
        <v>608.13298913043479</v>
      </c>
      <c r="F124" s="3">
        <f t="shared" ca="1" si="135"/>
        <v>0</v>
      </c>
      <c r="H124" s="97">
        <f>'Economic Data'!D138</f>
        <v>8242.5</v>
      </c>
      <c r="I124" s="47">
        <f t="shared" si="132"/>
        <v>31</v>
      </c>
      <c r="K124" s="3">
        <f t="shared" si="64"/>
        <v>-4083957</v>
      </c>
      <c r="L124" s="3">
        <f t="shared" ca="1" si="65"/>
        <v>6778104.3449304346</v>
      </c>
      <c r="M124" s="3">
        <f t="shared" ca="1" si="66"/>
        <v>0</v>
      </c>
      <c r="N124" s="3">
        <f t="shared" si="67"/>
        <v>0</v>
      </c>
      <c r="O124" s="3">
        <f t="shared" si="68"/>
        <v>8342893.6499999994</v>
      </c>
      <c r="P124" s="3">
        <f t="shared" si="69"/>
        <v>14778211.5</v>
      </c>
      <c r="Q124" s="47">
        <f t="shared" ca="1" si="133"/>
        <v>25815252.494930435</v>
      </c>
      <c r="R124" s="47">
        <f>IFERROR(HLOOKUP(B124-1,'EV Forecast VRZ'!$F$124:$T$130,4,FALSE)/12,0)+IFERROR(((HLOOKUP(B124,'EV Forecast VRZ'!$F$116:$T$122,4,FALSE)-HLOOKUP(B124-1,'EV Forecast VRZ'!$F$124:$T$130,4,FALSE)))*C124/78,0)</f>
        <v>195916.96558347237</v>
      </c>
      <c r="S124" s="47">
        <f ca="1">HLOOKUP(B124,Heating!$C$102:$O$106,4,FALSE)*INDEX(Weather!$BO$1:$CB$20,MATCH(B124,Weather!$BO$1:$BO$20,0),MATCH(C124,Weather!$BO$1:$CB$1,0))/VLOOKUP(B124,Weather!$BO$2:$CB$20,14,FALSE)</f>
        <v>630323.74645427603</v>
      </c>
      <c r="T124" s="47">
        <f t="shared" ca="1" si="125"/>
        <v>26641493.206968185</v>
      </c>
    </row>
    <row r="125" spans="1:20">
      <c r="A125" s="2">
        <f t="shared" si="128"/>
        <v>45777</v>
      </c>
      <c r="B125">
        <f t="shared" si="129"/>
        <v>2025</v>
      </c>
      <c r="C125">
        <f t="shared" si="130"/>
        <v>4</v>
      </c>
      <c r="E125" s="3">
        <f t="shared" ref="E125:F125" ca="1" si="136">E113</f>
        <v>412.37941287878795</v>
      </c>
      <c r="F125" s="3">
        <f t="shared" ca="1" si="136"/>
        <v>2.1908333333333347</v>
      </c>
      <c r="H125" s="97">
        <f>'Economic Data'!D139</f>
        <v>8227.4</v>
      </c>
      <c r="I125" s="47">
        <f t="shared" si="132"/>
        <v>30</v>
      </c>
      <c r="K125" s="3">
        <f t="shared" si="64"/>
        <v>-4083957</v>
      </c>
      <c r="L125" s="3">
        <f t="shared" ca="1" si="65"/>
        <v>4596281.9648878798</v>
      </c>
      <c r="M125" s="3">
        <f t="shared" ca="1" si="66"/>
        <v>75701.11294166671</v>
      </c>
      <c r="N125" s="3">
        <f t="shared" si="67"/>
        <v>0</v>
      </c>
      <c r="O125" s="3">
        <f t="shared" si="68"/>
        <v>8327609.7319999989</v>
      </c>
      <c r="P125" s="3">
        <f t="shared" si="69"/>
        <v>14301495</v>
      </c>
      <c r="Q125" s="47">
        <f t="shared" ca="1" si="133"/>
        <v>23217130.809829548</v>
      </c>
      <c r="R125" s="47">
        <f>IFERROR(HLOOKUP(B125-1,'EV Forecast VRZ'!$F$124:$T$130,4,FALSE)/12,0)+IFERROR(((HLOOKUP(B125,'EV Forecast VRZ'!$F$116:$T$122,4,FALSE)-HLOOKUP(B125-1,'EV Forecast VRZ'!$F$124:$T$130,4,FALSE)))*C125/78,0)</f>
        <v>200697.36522240759</v>
      </c>
      <c r="S125" s="47">
        <f ca="1">HLOOKUP(B125,Heating!$C$102:$O$106,4,FALSE)*INDEX(Weather!$BO$1:$CB$20,MATCH(B125,Weather!$BO$1:$BO$20,0),MATCH(C125,Weather!$BO$1:$CB$1,0))/VLOOKUP(B125,Weather!$BO$2:$CB$20,14,FALSE)</f>
        <v>406741.42528733792</v>
      </c>
      <c r="T125" s="47">
        <f t="shared" ca="1" si="125"/>
        <v>23824569.600339293</v>
      </c>
    </row>
    <row r="126" spans="1:20">
      <c r="A126" s="2">
        <f t="shared" si="128"/>
        <v>45808</v>
      </c>
      <c r="B126">
        <f t="shared" si="129"/>
        <v>2025</v>
      </c>
      <c r="C126">
        <f t="shared" si="130"/>
        <v>5</v>
      </c>
      <c r="E126" s="3">
        <f t="shared" ref="E126:F126" ca="1" si="137">E114</f>
        <v>202.70273119310133</v>
      </c>
      <c r="F126" s="3">
        <f t="shared" ca="1" si="137"/>
        <v>52.487435064935063</v>
      </c>
      <c r="H126" s="97">
        <f>'Economic Data'!D140</f>
        <v>8207.9</v>
      </c>
      <c r="I126" s="47">
        <f t="shared" si="132"/>
        <v>31</v>
      </c>
      <c r="K126" s="3">
        <f t="shared" si="64"/>
        <v>-4083957</v>
      </c>
      <c r="L126" s="3">
        <f t="shared" ca="1" si="65"/>
        <v>2259275.993222821</v>
      </c>
      <c r="M126" s="3">
        <f t="shared" ca="1" si="66"/>
        <v>1813628.2616366881</v>
      </c>
      <c r="N126" s="3">
        <f t="shared" si="67"/>
        <v>0</v>
      </c>
      <c r="O126" s="3">
        <f t="shared" si="68"/>
        <v>8307872.2219999991</v>
      </c>
      <c r="P126" s="3">
        <f t="shared" si="69"/>
        <v>14778211.5</v>
      </c>
      <c r="Q126" s="47">
        <f t="shared" ca="1" si="133"/>
        <v>23075030.97685951</v>
      </c>
      <c r="R126" s="47">
        <f>IFERROR(HLOOKUP(B126-1,'EV Forecast VRZ'!$F$124:$T$130,4,FALSE)/12,0)+IFERROR(((HLOOKUP(B126,'EV Forecast VRZ'!$F$116:$T$122,4,FALSE)-HLOOKUP(B126-1,'EV Forecast VRZ'!$F$124:$T$130,4,FALSE)))*C126/78,0)</f>
        <v>205477.76486134282</v>
      </c>
      <c r="S126" s="47">
        <f ca="1">HLOOKUP(B126,Heating!$C$102:$O$106,4,FALSE)*INDEX(Weather!$BO$1:$CB$20,MATCH(B126,Weather!$BO$1:$BO$20,0),MATCH(C126,Weather!$BO$1:$CB$1,0))/VLOOKUP(B126,Weather!$BO$2:$CB$20,14,FALSE)</f>
        <v>173281.6984571316</v>
      </c>
      <c r="T126" s="47">
        <f t="shared" ca="1" si="125"/>
        <v>23453790.440177985</v>
      </c>
    </row>
    <row r="127" spans="1:20">
      <c r="A127" s="2">
        <f t="shared" si="128"/>
        <v>45838</v>
      </c>
      <c r="B127">
        <f t="shared" si="129"/>
        <v>2025</v>
      </c>
      <c r="C127">
        <f t="shared" si="130"/>
        <v>6</v>
      </c>
      <c r="E127" s="3">
        <f t="shared" ref="E127:F127" ca="1" si="138">E115</f>
        <v>66.09717382617383</v>
      </c>
      <c r="F127" s="3">
        <f t="shared" ca="1" si="138"/>
        <v>137.65451754405018</v>
      </c>
      <c r="H127" s="97">
        <f>'Economic Data'!D141</f>
        <v>8204.6</v>
      </c>
      <c r="I127" s="47">
        <f t="shared" si="132"/>
        <v>30</v>
      </c>
      <c r="K127" s="3">
        <f t="shared" si="64"/>
        <v>-4083957</v>
      </c>
      <c r="L127" s="3">
        <f t="shared" ca="1" si="65"/>
        <v>736703.23614481522</v>
      </c>
      <c r="M127" s="3">
        <f t="shared" ca="1" si="66"/>
        <v>4756455.0077745663</v>
      </c>
      <c r="N127" s="3">
        <f t="shared" si="67"/>
        <v>0</v>
      </c>
      <c r="O127" s="3">
        <f t="shared" si="68"/>
        <v>8304532.0279999999</v>
      </c>
      <c r="P127" s="3">
        <f t="shared" si="69"/>
        <v>14301495</v>
      </c>
      <c r="Q127" s="47">
        <f t="shared" ca="1" si="133"/>
        <v>24015228.271919381</v>
      </c>
      <c r="R127" s="47">
        <f>IFERROR(HLOOKUP(B127-1,'EV Forecast VRZ'!$F$124:$T$130,4,FALSE)/12,0)+IFERROR(((HLOOKUP(B127,'EV Forecast VRZ'!$F$116:$T$122,4,FALSE)-HLOOKUP(B127-1,'EV Forecast VRZ'!$F$124:$T$130,4,FALSE)))*C127/78,0)</f>
        <v>210258.16450027804</v>
      </c>
      <c r="S127" s="47">
        <f ca="1">HLOOKUP(B127,Heating!$C$102:$O$106,4,FALSE)*INDEX(Weather!$BO$1:$CB$20,MATCH(B127,Weather!$BO$1:$BO$20,0),MATCH(C127,Weather!$BO$1:$CB$1,0))/VLOOKUP(B127,Weather!$BO$2:$CB$20,14,FALSE)</f>
        <v>37534.283685932467</v>
      </c>
      <c r="T127" s="47">
        <f t="shared" ca="1" si="125"/>
        <v>24263020.720105592</v>
      </c>
    </row>
    <row r="128" spans="1:20">
      <c r="A128" s="2">
        <f t="shared" si="128"/>
        <v>45869</v>
      </c>
      <c r="B128">
        <f t="shared" si="129"/>
        <v>2025</v>
      </c>
      <c r="C128">
        <f t="shared" si="130"/>
        <v>7</v>
      </c>
      <c r="E128" s="3">
        <f t="shared" ref="E128:F128" ca="1" si="139">E116</f>
        <v>10.249063146997932</v>
      </c>
      <c r="F128" s="3">
        <f t="shared" ca="1" si="139"/>
        <v>235.94737858727848</v>
      </c>
      <c r="H128" s="97">
        <f>'Economic Data'!D142</f>
        <v>8225.2026750000005</v>
      </c>
      <c r="I128" s="47">
        <f t="shared" si="132"/>
        <v>31</v>
      </c>
      <c r="K128" s="3">
        <f t="shared" si="64"/>
        <v>-4083957</v>
      </c>
      <c r="L128" s="3">
        <f t="shared" ca="1" si="65"/>
        <v>114233.59806128367</v>
      </c>
      <c r="M128" s="3">
        <f t="shared" ca="1" si="66"/>
        <v>8152824.2623320278</v>
      </c>
      <c r="N128" s="3">
        <f t="shared" si="67"/>
        <v>0</v>
      </c>
      <c r="O128" s="3">
        <f t="shared" si="68"/>
        <v>8325385.6435815003</v>
      </c>
      <c r="P128" s="3">
        <f t="shared" si="69"/>
        <v>14778211.5</v>
      </c>
      <c r="Q128" s="47">
        <f t="shared" ca="1" si="133"/>
        <v>27286698.00397481</v>
      </c>
      <c r="R128" s="47">
        <f>IFERROR(HLOOKUP(B128-1,'EV Forecast VRZ'!$F$124:$T$130,4,FALSE)/12,0)+IFERROR(((HLOOKUP(B128,'EV Forecast VRZ'!$F$116:$T$122,4,FALSE)-HLOOKUP(B128-1,'EV Forecast VRZ'!$F$124:$T$130,4,FALSE)))*C128/78,0)</f>
        <v>215038.56413921327</v>
      </c>
      <c r="S128" s="47">
        <f ca="1">HLOOKUP(B128,Heating!$C$102:$O$106,4,FALSE)*INDEX(Weather!$BO$1:$CB$20,MATCH(B128,Weather!$BO$1:$BO$20,0),MATCH(C128,Weather!$BO$1:$CB$1,0))/VLOOKUP(B128,Weather!$BO$2:$CB$20,14,FALSE)</f>
        <v>1867.3314285736756</v>
      </c>
      <c r="T128" s="47">
        <f t="shared" ca="1" si="125"/>
        <v>27503603.899542596</v>
      </c>
    </row>
    <row r="129" spans="1:20">
      <c r="A129" s="2">
        <f t="shared" si="128"/>
        <v>45900</v>
      </c>
      <c r="B129">
        <f t="shared" si="129"/>
        <v>2025</v>
      </c>
      <c r="C129">
        <f t="shared" si="130"/>
        <v>8</v>
      </c>
      <c r="E129" s="3">
        <f t="shared" ref="E129:F129" ca="1" si="140">E117</f>
        <v>21.194927536231887</v>
      </c>
      <c r="F129" s="3">
        <f t="shared" ca="1" si="140"/>
        <v>210.96558794466404</v>
      </c>
      <c r="H129" s="97">
        <f>'Economic Data'!D143</f>
        <v>8231.4538250000005</v>
      </c>
      <c r="I129" s="47">
        <f t="shared" si="132"/>
        <v>31</v>
      </c>
      <c r="K129" s="3">
        <f t="shared" si="64"/>
        <v>-4083957</v>
      </c>
      <c r="L129" s="3">
        <f t="shared" ca="1" si="65"/>
        <v>236233.57553623192</v>
      </c>
      <c r="M129" s="3">
        <f t="shared" ca="1" si="66"/>
        <v>7289614.2106371047</v>
      </c>
      <c r="N129" s="3">
        <f t="shared" si="67"/>
        <v>0</v>
      </c>
      <c r="O129" s="3">
        <f t="shared" si="68"/>
        <v>8331712.9325885</v>
      </c>
      <c r="P129" s="3">
        <f t="shared" si="69"/>
        <v>14778211.5</v>
      </c>
      <c r="Q129" s="47">
        <f t="shared" ca="1" si="133"/>
        <v>26551815.218761839</v>
      </c>
      <c r="R129" s="47">
        <f>IFERROR(HLOOKUP(B129-1,'EV Forecast VRZ'!$F$124:$T$130,4,FALSE)/12,0)+IFERROR(((HLOOKUP(B129,'EV Forecast VRZ'!$F$116:$T$122,4,FALSE)-HLOOKUP(B129-1,'EV Forecast VRZ'!$F$124:$T$130,4,FALSE)))*C129/78,0)</f>
        <v>219818.96377814849</v>
      </c>
      <c r="S129" s="47">
        <f ca="1">HLOOKUP(B129,Heating!$C$102:$O$106,4,FALSE)*INDEX(Weather!$BO$1:$CB$20,MATCH(B129,Weather!$BO$1:$BO$20,0),MATCH(C129,Weather!$BO$1:$CB$1,0))/VLOOKUP(B129,Weather!$BO$2:$CB$20,14,FALSE)</f>
        <v>6520.9925757041083</v>
      </c>
      <c r="T129" s="47">
        <f t="shared" ca="1" si="125"/>
        <v>26778155.175115693</v>
      </c>
    </row>
    <row r="130" spans="1:20">
      <c r="A130" s="2">
        <f t="shared" si="128"/>
        <v>45930</v>
      </c>
      <c r="B130">
        <f t="shared" si="129"/>
        <v>2025</v>
      </c>
      <c r="C130">
        <f t="shared" si="130"/>
        <v>9</v>
      </c>
      <c r="E130" s="3">
        <f t="shared" ref="E130:F130" ca="1" si="141">E118</f>
        <v>96.735690993788822</v>
      </c>
      <c r="F130" s="3">
        <f t="shared" ca="1" si="141"/>
        <v>106.4160119047619</v>
      </c>
      <c r="H130" s="97">
        <f>'Economic Data'!D144</f>
        <v>8244.9643750000014</v>
      </c>
      <c r="I130" s="47">
        <f t="shared" si="132"/>
        <v>30</v>
      </c>
      <c r="K130" s="3">
        <f t="shared" ref="K130:K193" si="142">$X$8</f>
        <v>-4083957</v>
      </c>
      <c r="L130" s="3">
        <f t="shared" ref="L130:L193" ca="1" si="143">E130*$X$9</f>
        <v>1078192.7952509318</v>
      </c>
      <c r="M130" s="3">
        <f t="shared" ref="M130:M193" ca="1" si="144">F130*$X$10</f>
        <v>3677053.1164720235</v>
      </c>
      <c r="N130" s="3">
        <f t="shared" ref="N130:N193" si="145">G130*$X$11</f>
        <v>0</v>
      </c>
      <c r="O130" s="3">
        <f t="shared" ref="O130:O193" si="146">H130*$X$12</f>
        <v>8345388.0410875008</v>
      </c>
      <c r="P130" s="3">
        <f t="shared" ref="P130:P193" si="147">I130*$X$13</f>
        <v>14301495</v>
      </c>
      <c r="Q130" s="47">
        <f t="shared" ca="1" si="133"/>
        <v>23318171.952810455</v>
      </c>
      <c r="R130" s="47">
        <f>IFERROR(HLOOKUP(B130-1,'EV Forecast VRZ'!$F$124:$T$130,4,FALSE)/12,0)+IFERROR(((HLOOKUP(B130,'EV Forecast VRZ'!$F$116:$T$122,4,FALSE)-HLOOKUP(B130-1,'EV Forecast VRZ'!$F$124:$T$130,4,FALSE)))*C130/78,0)</f>
        <v>224599.36341708372</v>
      </c>
      <c r="S130" s="47">
        <f ca="1">HLOOKUP(B130,Heating!$C$102:$O$106,4,FALSE)*INDEX(Weather!$BO$1:$CB$20,MATCH(B130,Weather!$BO$1:$BO$20,0),MATCH(C130,Weather!$BO$1:$CB$1,0))/VLOOKUP(B130,Weather!$BO$2:$CB$20,14,FALSE)</f>
        <v>63431.877289441611</v>
      </c>
      <c r="T130" s="47">
        <f t="shared" ca="1" si="125"/>
        <v>23606203.193516981</v>
      </c>
    </row>
    <row r="131" spans="1:20">
      <c r="A131" s="2">
        <f t="shared" si="128"/>
        <v>45961</v>
      </c>
      <c r="B131">
        <f t="shared" si="129"/>
        <v>2025</v>
      </c>
      <c r="C131">
        <f t="shared" si="130"/>
        <v>10</v>
      </c>
      <c r="E131" s="3">
        <f t="shared" ref="E131:F131" ca="1" si="148">E119</f>
        <v>298.21097826086958</v>
      </c>
      <c r="F131" s="3">
        <f t="shared" ca="1" si="148"/>
        <v>17.987083333333334</v>
      </c>
      <c r="H131" s="97">
        <f>'Economic Data'!D145</f>
        <v>8247.2833500000015</v>
      </c>
      <c r="I131" s="47">
        <f t="shared" si="132"/>
        <v>31</v>
      </c>
      <c r="K131" s="3">
        <f t="shared" si="142"/>
        <v>-4083957</v>
      </c>
      <c r="L131" s="3">
        <f t="shared" ca="1" si="143"/>
        <v>3323787.9930608696</v>
      </c>
      <c r="M131" s="3">
        <f t="shared" ca="1" si="144"/>
        <v>621517.94305416674</v>
      </c>
      <c r="N131" s="3">
        <f t="shared" si="145"/>
        <v>0</v>
      </c>
      <c r="O131" s="3">
        <f t="shared" si="146"/>
        <v>8347735.2612030013</v>
      </c>
      <c r="P131" s="3">
        <f t="shared" si="147"/>
        <v>14778211.5</v>
      </c>
      <c r="Q131" s="47">
        <f t="shared" ca="1" si="133"/>
        <v>22987295.69731804</v>
      </c>
      <c r="R131" s="47">
        <f>IFERROR(HLOOKUP(B131-1,'EV Forecast VRZ'!$F$124:$T$130,4,FALSE)/12,0)+IFERROR(((HLOOKUP(B131,'EV Forecast VRZ'!$F$116:$T$122,4,FALSE)-HLOOKUP(B131-1,'EV Forecast VRZ'!$F$124:$T$130,4,FALSE)))*C131/78,0)</f>
        <v>229379.76305601894</v>
      </c>
      <c r="S131" s="47">
        <f ca="1">HLOOKUP(B131,Heating!$C$102:$O$106,4,FALSE)*INDEX(Weather!$BO$1:$CB$20,MATCH(B131,Weather!$BO$1:$BO$20,0),MATCH(C131,Weather!$BO$1:$CB$1,0))/VLOOKUP(B131,Weather!$BO$2:$CB$20,14,FALSE)</f>
        <v>274570.50304238527</v>
      </c>
      <c r="T131" s="47">
        <f t="shared" ca="1" si="125"/>
        <v>23491245.963416442</v>
      </c>
    </row>
    <row r="132" spans="1:20">
      <c r="A132" s="2">
        <f t="shared" si="128"/>
        <v>45991</v>
      </c>
      <c r="B132">
        <f t="shared" si="129"/>
        <v>2025</v>
      </c>
      <c r="C132">
        <f t="shared" si="130"/>
        <v>11</v>
      </c>
      <c r="E132" s="3">
        <f t="shared" ref="E132:F132" ca="1" si="149">E120</f>
        <v>486.62991389045737</v>
      </c>
      <c r="F132" s="3">
        <f t="shared" ca="1" si="149"/>
        <v>0.8083333333333329</v>
      </c>
      <c r="H132" s="97">
        <f>'Economic Data'!D146</f>
        <v>8249.5015000000003</v>
      </c>
      <c r="I132" s="47">
        <f t="shared" si="132"/>
        <v>30</v>
      </c>
      <c r="K132" s="3">
        <f t="shared" si="142"/>
        <v>-4083957</v>
      </c>
      <c r="L132" s="3">
        <f t="shared" ca="1" si="143"/>
        <v>5423860.2290437045</v>
      </c>
      <c r="M132" s="3">
        <f t="shared" ca="1" si="144"/>
        <v>27930.802416666651</v>
      </c>
      <c r="N132" s="3">
        <f t="shared" si="145"/>
        <v>0</v>
      </c>
      <c r="O132" s="3">
        <f t="shared" si="146"/>
        <v>8349980.42827</v>
      </c>
      <c r="P132" s="3">
        <f t="shared" si="147"/>
        <v>14301495</v>
      </c>
      <c r="Q132" s="47">
        <f t="shared" ca="1" si="133"/>
        <v>24019309.459730372</v>
      </c>
      <c r="R132" s="47">
        <f>IFERROR(HLOOKUP(B132-1,'EV Forecast VRZ'!$F$124:$T$130,4,FALSE)/12,0)+IFERROR(((HLOOKUP(B132,'EV Forecast VRZ'!$F$116:$T$122,4,FALSE)-HLOOKUP(B132-1,'EV Forecast VRZ'!$F$124:$T$130,4,FALSE)))*C132/78,0)</f>
        <v>234160.16269495417</v>
      </c>
      <c r="S132" s="47">
        <f ca="1">HLOOKUP(B132,Heating!$C$102:$O$106,4,FALSE)*INDEX(Weather!$BO$1:$CB$20,MATCH(B132,Weather!$BO$1:$BO$20,0),MATCH(C132,Weather!$BO$1:$CB$1,0))/VLOOKUP(B132,Weather!$BO$2:$CB$20,14,FALSE)</f>
        <v>492398.31877043482</v>
      </c>
      <c r="T132" s="47">
        <f t="shared" ca="1" si="125"/>
        <v>24745867.94119576</v>
      </c>
    </row>
    <row r="133" spans="1:20">
      <c r="A133" s="2">
        <f t="shared" si="128"/>
        <v>46022</v>
      </c>
      <c r="B133">
        <f t="shared" si="129"/>
        <v>2025</v>
      </c>
      <c r="C133">
        <f t="shared" si="130"/>
        <v>12</v>
      </c>
      <c r="E133" s="3">
        <f t="shared" ref="E133:F133" ca="1" si="150">E121</f>
        <v>639.92800724637686</v>
      </c>
      <c r="F133" s="3">
        <f t="shared" ca="1" si="150"/>
        <v>0</v>
      </c>
      <c r="H133" s="97">
        <f>'Economic Data'!D147</f>
        <v>8250.8122250000015</v>
      </c>
      <c r="I133" s="47">
        <f t="shared" si="132"/>
        <v>31</v>
      </c>
      <c r="K133" s="3">
        <f t="shared" si="142"/>
        <v>-4083957</v>
      </c>
      <c r="L133" s="3">
        <f t="shared" ca="1" si="143"/>
        <v>7132483.9860463776</v>
      </c>
      <c r="M133" s="3">
        <f t="shared" ca="1" si="144"/>
        <v>0</v>
      </c>
      <c r="N133" s="3">
        <f t="shared" si="145"/>
        <v>0</v>
      </c>
      <c r="O133" s="3">
        <f t="shared" si="146"/>
        <v>8351307.117900501</v>
      </c>
      <c r="P133" s="3">
        <f t="shared" si="147"/>
        <v>14778211.5</v>
      </c>
      <c r="Q133" s="47">
        <f t="shared" ca="1" si="133"/>
        <v>26178045.60394688</v>
      </c>
      <c r="R133" s="47">
        <f>IFERROR(HLOOKUP(B133-1,'EV Forecast VRZ'!$F$124:$T$130,4,FALSE)/12,0)+IFERROR(((HLOOKUP(B133,'EV Forecast VRZ'!$F$116:$T$122,4,FALSE)-HLOOKUP(B133-1,'EV Forecast VRZ'!$F$124:$T$130,4,FALSE)))*C133/78,0)</f>
        <v>238940.56233388939</v>
      </c>
      <c r="S133" s="47">
        <f ca="1">HLOOKUP(B133,Heating!$C$102:$O$106,4,FALSE)*INDEX(Weather!$BO$1:$CB$20,MATCH(B133,Weather!$BO$1:$BO$20,0),MATCH(C133,Weather!$BO$1:$CB$1,0))/VLOOKUP(B133,Weather!$BO$2:$CB$20,14,FALSE)</f>
        <v>667020.22027346806</v>
      </c>
      <c r="T133" s="47">
        <f t="shared" ca="1" si="125"/>
        <v>27084006.386554237</v>
      </c>
    </row>
    <row r="134" spans="1:20">
      <c r="A134" s="2">
        <f t="shared" si="128"/>
        <v>46053</v>
      </c>
      <c r="B134">
        <f t="shared" si="129"/>
        <v>2026</v>
      </c>
      <c r="C134">
        <f t="shared" si="130"/>
        <v>1</v>
      </c>
      <c r="E134" s="3">
        <f t="shared" ref="E134:F134" ca="1" si="151">E122</f>
        <v>759.33418478260865</v>
      </c>
      <c r="F134" s="3">
        <f t="shared" ca="1" si="151"/>
        <v>0</v>
      </c>
      <c r="H134" s="97">
        <f>'Economic Data'!D148</f>
        <v>8236.7155999999995</v>
      </c>
      <c r="I134" s="47">
        <f t="shared" si="132"/>
        <v>31</v>
      </c>
      <c r="K134" s="3">
        <f t="shared" si="142"/>
        <v>-4083957</v>
      </c>
      <c r="L134" s="3">
        <f t="shared" ca="1" si="143"/>
        <v>8463356.5833826084</v>
      </c>
      <c r="M134" s="3">
        <f t="shared" ca="1" si="144"/>
        <v>0</v>
      </c>
      <c r="N134" s="3">
        <f t="shared" si="145"/>
        <v>0</v>
      </c>
      <c r="O134" s="3">
        <f t="shared" si="146"/>
        <v>8337038.7960079992</v>
      </c>
      <c r="P134" s="3">
        <f t="shared" si="147"/>
        <v>14778211.5</v>
      </c>
      <c r="Q134" s="47">
        <f t="shared" ca="1" si="133"/>
        <v>27494649.879390609</v>
      </c>
      <c r="R134" s="47">
        <f>IFERROR(HLOOKUP(B134-1,'EV Forecast VRZ'!$F$124:$T$130,4,FALSE)/12,0)+IFERROR(((HLOOKUP(B134,'EV Forecast VRZ'!$F$116:$T$122,4,FALSE)-HLOOKUP(B134-1,'EV Forecast VRZ'!$F$124:$T$130,4,FALSE)))*C134/78,0)</f>
        <v>249443.78952260764</v>
      </c>
      <c r="S134" s="47">
        <f ca="1">HLOOKUP(B134,Heating!$C$102:$O$106,4,FALSE)*INDEX(Weather!$BO$1:$CB$20,MATCH(B134,Weather!$BO$1:$BO$20,0),MATCH(C134,Weather!$BO$1:$CB$1,0))/VLOOKUP(B134,Weather!$BO$2:$CB$20,14,FALSE)</f>
        <v>957850.70392127137</v>
      </c>
      <c r="T134" s="47">
        <f t="shared" ca="1" si="125"/>
        <v>28701944.372834485</v>
      </c>
    </row>
    <row r="135" spans="1:20">
      <c r="A135" s="2">
        <f t="shared" si="128"/>
        <v>46081</v>
      </c>
      <c r="B135">
        <f t="shared" si="129"/>
        <v>2026</v>
      </c>
      <c r="C135">
        <f t="shared" si="130"/>
        <v>2</v>
      </c>
      <c r="E135" s="3">
        <f t="shared" ref="E135:F135" ca="1" si="152">E123</f>
        <v>680.85501811594202</v>
      </c>
      <c r="F135" s="3">
        <f t="shared" ca="1" si="152"/>
        <v>0</v>
      </c>
      <c r="H135" s="97">
        <f>'Economic Data'!D149</f>
        <v>8265.9320000000007</v>
      </c>
      <c r="I135" s="47">
        <f t="shared" si="132"/>
        <v>28</v>
      </c>
      <c r="K135" s="3">
        <f t="shared" si="142"/>
        <v>-4083957</v>
      </c>
      <c r="L135" s="3">
        <f t="shared" ca="1" si="143"/>
        <v>7588646.6267159423</v>
      </c>
      <c r="M135" s="3">
        <f t="shared" ca="1" si="144"/>
        <v>0</v>
      </c>
      <c r="N135" s="3">
        <f t="shared" si="145"/>
        <v>0</v>
      </c>
      <c r="O135" s="3">
        <f t="shared" si="146"/>
        <v>8366611.0517600002</v>
      </c>
      <c r="P135" s="3">
        <f t="shared" si="147"/>
        <v>13348062</v>
      </c>
      <c r="Q135" s="47">
        <f t="shared" ca="1" si="133"/>
        <v>25219362.678475942</v>
      </c>
      <c r="R135" s="47">
        <f>IFERROR(HLOOKUP(B135-1,'EV Forecast VRZ'!$F$124:$T$130,4,FALSE)/12,0)+IFERROR(((HLOOKUP(B135,'EV Forecast VRZ'!$F$116:$T$122,4,FALSE)-HLOOKUP(B135-1,'EV Forecast VRZ'!$F$124:$T$130,4,FALSE)))*C135/78,0)</f>
        <v>255166.61707239065</v>
      </c>
      <c r="S135" s="47">
        <f ca="1">HLOOKUP(B135,Heating!$C$102:$O$106,4,FALSE)*INDEX(Weather!$BO$1:$CB$20,MATCH(B135,Weather!$BO$1:$BO$20,0),MATCH(C135,Weather!$BO$1:$CB$1,0))/VLOOKUP(B135,Weather!$BO$2:$CB$20,14,FALSE)</f>
        <v>857469.94995684514</v>
      </c>
      <c r="T135" s="47">
        <f t="shared" ca="1" si="125"/>
        <v>26331999.24550518</v>
      </c>
    </row>
    <row r="136" spans="1:20">
      <c r="A136" s="2">
        <f t="shared" si="128"/>
        <v>46112</v>
      </c>
      <c r="B136">
        <f t="shared" si="129"/>
        <v>2026</v>
      </c>
      <c r="C136">
        <f t="shared" si="130"/>
        <v>3</v>
      </c>
      <c r="E136" s="3">
        <f t="shared" ref="E136:F136" ca="1" si="153">E124</f>
        <v>608.13298913043479</v>
      </c>
      <c r="F136" s="3">
        <f t="shared" ca="1" si="153"/>
        <v>0</v>
      </c>
      <c r="H136" s="97">
        <f>'Economic Data'!D150</f>
        <v>8275.4699999999993</v>
      </c>
      <c r="I136" s="47">
        <f t="shared" si="132"/>
        <v>31</v>
      </c>
      <c r="K136" s="3">
        <f t="shared" si="142"/>
        <v>-4083957</v>
      </c>
      <c r="L136" s="3">
        <f t="shared" ca="1" si="143"/>
        <v>6778104.3449304346</v>
      </c>
      <c r="M136" s="3">
        <f t="shared" ca="1" si="144"/>
        <v>0</v>
      </c>
      <c r="N136" s="3">
        <f t="shared" si="145"/>
        <v>0</v>
      </c>
      <c r="O136" s="3">
        <f t="shared" si="146"/>
        <v>8376265.2245999994</v>
      </c>
      <c r="P136" s="3">
        <f t="shared" si="147"/>
        <v>14778211.5</v>
      </c>
      <c r="Q136" s="47">
        <f t="shared" ca="1" si="133"/>
        <v>25848624.069530435</v>
      </c>
      <c r="R136" s="47">
        <f>IFERROR(HLOOKUP(B136-1,'EV Forecast VRZ'!$F$124:$T$130,4,FALSE)/12,0)+IFERROR(((HLOOKUP(B136,'EV Forecast VRZ'!$F$116:$T$122,4,FALSE)-HLOOKUP(B136-1,'EV Forecast VRZ'!$F$124:$T$130,4,FALSE)))*C136/78,0)</f>
        <v>260889.44462217364</v>
      </c>
      <c r="S136" s="47">
        <f ca="1">HLOOKUP(B136,Heating!$C$102:$O$106,4,FALSE)*INDEX(Weather!$BO$1:$CB$20,MATCH(B136,Weather!$BO$1:$BO$20,0),MATCH(C136,Weather!$BO$1:$CB$1,0))/VLOOKUP(B136,Weather!$BO$2:$CB$20,14,FALSE)</f>
        <v>750162.37478203338</v>
      </c>
      <c r="T136" s="47">
        <f t="shared" ca="1" si="125"/>
        <v>26859675.888934642</v>
      </c>
    </row>
    <row r="137" spans="1:20">
      <c r="A137" s="2">
        <f t="shared" si="128"/>
        <v>46142</v>
      </c>
      <c r="B137">
        <f t="shared" si="129"/>
        <v>2026</v>
      </c>
      <c r="C137">
        <f t="shared" si="130"/>
        <v>4</v>
      </c>
      <c r="E137" s="3">
        <f t="shared" ref="E137:F137" ca="1" si="154">E125</f>
        <v>412.37941287878795</v>
      </c>
      <c r="F137" s="3">
        <f t="shared" ca="1" si="154"/>
        <v>2.1908333333333347</v>
      </c>
      <c r="H137" s="97">
        <f>'Economic Data'!D151</f>
        <v>8260.3096000000005</v>
      </c>
      <c r="I137" s="47">
        <f t="shared" si="132"/>
        <v>30</v>
      </c>
      <c r="K137" s="3">
        <f t="shared" si="142"/>
        <v>-4083957</v>
      </c>
      <c r="L137" s="3">
        <f t="shared" ca="1" si="143"/>
        <v>4596281.9648878798</v>
      </c>
      <c r="M137" s="3">
        <f t="shared" ca="1" si="144"/>
        <v>75701.11294166671</v>
      </c>
      <c r="N137" s="3">
        <f t="shared" si="145"/>
        <v>0</v>
      </c>
      <c r="O137" s="3">
        <f t="shared" si="146"/>
        <v>8360920.1709280005</v>
      </c>
      <c r="P137" s="3">
        <f t="shared" si="147"/>
        <v>14301495</v>
      </c>
      <c r="Q137" s="47">
        <f t="shared" ca="1" si="133"/>
        <v>23250441.248757549</v>
      </c>
      <c r="R137" s="47">
        <f>IFERROR(HLOOKUP(B137-1,'EV Forecast VRZ'!$F$124:$T$130,4,FALSE)/12,0)+IFERROR(((HLOOKUP(B137,'EV Forecast VRZ'!$F$116:$T$122,4,FALSE)-HLOOKUP(B137-1,'EV Forecast VRZ'!$F$124:$T$130,4,FALSE)))*C137/78,0)</f>
        <v>266612.27217195666</v>
      </c>
      <c r="S137" s="47">
        <f ca="1">HLOOKUP(B137,Heating!$C$102:$O$106,4,FALSE)*INDEX(Weather!$BO$1:$CB$20,MATCH(B137,Weather!$BO$1:$BO$20,0),MATCH(C137,Weather!$BO$1:$CB$1,0))/VLOOKUP(B137,Weather!$BO$2:$CB$20,14,FALSE)</f>
        <v>484072.05857650813</v>
      </c>
      <c r="T137" s="47">
        <f t="shared" ca="1" si="125"/>
        <v>24001125.579506014</v>
      </c>
    </row>
    <row r="138" spans="1:20">
      <c r="A138" s="2">
        <f t="shared" si="128"/>
        <v>46173</v>
      </c>
      <c r="B138">
        <f t="shared" si="129"/>
        <v>2026</v>
      </c>
      <c r="C138">
        <f t="shared" si="130"/>
        <v>5</v>
      </c>
      <c r="E138" s="3">
        <f t="shared" ref="E138:F138" ca="1" si="155">E126</f>
        <v>202.70273119310133</v>
      </c>
      <c r="F138" s="3">
        <f t="shared" ca="1" si="155"/>
        <v>52.487435064935063</v>
      </c>
      <c r="H138" s="97">
        <f>'Economic Data'!D152</f>
        <v>8240.7315999999992</v>
      </c>
      <c r="I138" s="47">
        <f t="shared" si="132"/>
        <v>31</v>
      </c>
      <c r="K138" s="3">
        <f t="shared" si="142"/>
        <v>-4083957</v>
      </c>
      <c r="L138" s="3">
        <f t="shared" ca="1" si="143"/>
        <v>2259275.993222821</v>
      </c>
      <c r="M138" s="3">
        <f t="shared" ca="1" si="144"/>
        <v>1813628.2616366881</v>
      </c>
      <c r="N138" s="3">
        <f t="shared" si="145"/>
        <v>0</v>
      </c>
      <c r="O138" s="3">
        <f t="shared" si="146"/>
        <v>8341103.7108879983</v>
      </c>
      <c r="P138" s="3">
        <f t="shared" si="147"/>
        <v>14778211.5</v>
      </c>
      <c r="Q138" s="47">
        <f t="shared" ca="1" si="133"/>
        <v>23108262.465747505</v>
      </c>
      <c r="R138" s="47">
        <f>IFERROR(HLOOKUP(B138-1,'EV Forecast VRZ'!$F$124:$T$130,4,FALSE)/12,0)+IFERROR(((HLOOKUP(B138,'EV Forecast VRZ'!$F$116:$T$122,4,FALSE)-HLOOKUP(B138-1,'EV Forecast VRZ'!$F$124:$T$130,4,FALSE)))*C138/78,0)</f>
        <v>272335.09972173965</v>
      </c>
      <c r="S138" s="47">
        <f ca="1">HLOOKUP(B138,Heating!$C$102:$O$106,4,FALSE)*INDEX(Weather!$BO$1:$CB$20,MATCH(B138,Weather!$BO$1:$BO$20,0),MATCH(C138,Weather!$BO$1:$CB$1,0))/VLOOKUP(B138,Weather!$BO$2:$CB$20,14,FALSE)</f>
        <v>206226.42118766429</v>
      </c>
      <c r="T138" s="47">
        <f t="shared" ca="1" si="125"/>
        <v>23586823.986656912</v>
      </c>
    </row>
    <row r="139" spans="1:20">
      <c r="A139" s="2">
        <f t="shared" si="128"/>
        <v>46203</v>
      </c>
      <c r="B139">
        <f t="shared" si="129"/>
        <v>2026</v>
      </c>
      <c r="C139">
        <f t="shared" si="130"/>
        <v>6</v>
      </c>
      <c r="E139" s="3">
        <f t="shared" ref="E139:F139" ca="1" si="156">E127</f>
        <v>66.09717382617383</v>
      </c>
      <c r="F139" s="3">
        <f t="shared" ca="1" si="156"/>
        <v>137.65451754405018</v>
      </c>
      <c r="H139" s="97">
        <f>'Economic Data'!D153</f>
        <v>8237.4184000000005</v>
      </c>
      <c r="I139" s="47">
        <f t="shared" si="132"/>
        <v>30</v>
      </c>
      <c r="K139" s="3">
        <f t="shared" si="142"/>
        <v>-4083957</v>
      </c>
      <c r="L139" s="3">
        <f t="shared" ca="1" si="143"/>
        <v>736703.23614481522</v>
      </c>
      <c r="M139" s="3">
        <f t="shared" ca="1" si="144"/>
        <v>4756455.0077745663</v>
      </c>
      <c r="N139" s="3">
        <f t="shared" si="145"/>
        <v>0</v>
      </c>
      <c r="O139" s="3">
        <f t="shared" si="146"/>
        <v>8337750.1561120003</v>
      </c>
      <c r="P139" s="3">
        <f t="shared" si="147"/>
        <v>14301495</v>
      </c>
      <c r="Q139" s="47">
        <f t="shared" ca="1" si="133"/>
        <v>24048446.40003138</v>
      </c>
      <c r="R139" s="47">
        <f>IFERROR(HLOOKUP(B139-1,'EV Forecast VRZ'!$F$124:$T$130,4,FALSE)/12,0)+IFERROR(((HLOOKUP(B139,'EV Forecast VRZ'!$F$116:$T$122,4,FALSE)-HLOOKUP(B139-1,'EV Forecast VRZ'!$F$124:$T$130,4,FALSE)))*C139/78,0)</f>
        <v>278057.9272715227</v>
      </c>
      <c r="S139" s="47">
        <f ca="1">HLOOKUP(B139,Heating!$C$102:$O$106,4,FALSE)*INDEX(Weather!$BO$1:$CB$20,MATCH(B139,Weather!$BO$1:$BO$20,0),MATCH(C139,Weather!$BO$1:$CB$1,0))/VLOOKUP(B139,Weather!$BO$2:$CB$20,14,FALSE)</f>
        <v>44670.389690965159</v>
      </c>
      <c r="T139" s="47">
        <f t="shared" ca="1" si="125"/>
        <v>24371174.716993868</v>
      </c>
    </row>
    <row r="140" spans="1:20">
      <c r="A140" s="2">
        <f t="shared" si="128"/>
        <v>46234</v>
      </c>
      <c r="B140">
        <f t="shared" si="129"/>
        <v>2026</v>
      </c>
      <c r="C140">
        <f t="shared" si="130"/>
        <v>7</v>
      </c>
      <c r="E140" s="3">
        <f t="shared" ref="E140:F140" ca="1" si="157">E128</f>
        <v>10.249063146997932</v>
      </c>
      <c r="F140" s="3">
        <f t="shared" ca="1" si="157"/>
        <v>235.94737858727848</v>
      </c>
      <c r="H140" s="97">
        <f>'Economic Data'!D154</f>
        <v>8258.1034857000013</v>
      </c>
      <c r="I140" s="47">
        <f t="shared" si="132"/>
        <v>31</v>
      </c>
      <c r="K140" s="3">
        <f t="shared" si="142"/>
        <v>-4083957</v>
      </c>
      <c r="L140" s="3">
        <f t="shared" ca="1" si="143"/>
        <v>114233.59806128367</v>
      </c>
      <c r="M140" s="3">
        <f t="shared" ca="1" si="144"/>
        <v>8152824.2623320278</v>
      </c>
      <c r="N140" s="3">
        <f t="shared" si="145"/>
        <v>0</v>
      </c>
      <c r="O140" s="3">
        <f t="shared" si="146"/>
        <v>8358687.1861558268</v>
      </c>
      <c r="P140" s="3">
        <f t="shared" si="147"/>
        <v>14778211.5</v>
      </c>
      <c r="Q140" s="47">
        <f t="shared" ca="1" si="133"/>
        <v>27319999.546549138</v>
      </c>
      <c r="R140" s="47">
        <f>IFERROR(HLOOKUP(B140-1,'EV Forecast VRZ'!$F$124:$T$130,4,FALSE)/12,0)+IFERROR(((HLOOKUP(B140,'EV Forecast VRZ'!$F$116:$T$122,4,FALSE)-HLOOKUP(B140-1,'EV Forecast VRZ'!$F$124:$T$130,4,FALSE)))*C140/78,0)</f>
        <v>283780.75482130569</v>
      </c>
      <c r="S140" s="47">
        <f ca="1">HLOOKUP(B140,Heating!$C$102:$O$106,4,FALSE)*INDEX(Weather!$BO$1:$CB$20,MATCH(B140,Weather!$BO$1:$BO$20,0),MATCH(C140,Weather!$BO$1:$CB$1,0))/VLOOKUP(B140,Weather!$BO$2:$CB$20,14,FALSE)</f>
        <v>2222.3528573115091</v>
      </c>
      <c r="T140" s="47">
        <f t="shared" ca="1" si="125"/>
        <v>27606002.654227752</v>
      </c>
    </row>
    <row r="141" spans="1:20">
      <c r="A141" s="2">
        <f t="shared" si="128"/>
        <v>46265</v>
      </c>
      <c r="B141">
        <f t="shared" si="129"/>
        <v>2026</v>
      </c>
      <c r="C141">
        <f t="shared" si="130"/>
        <v>8</v>
      </c>
      <c r="E141" s="3">
        <f t="shared" ref="E141:F141" ca="1" si="158">E129</f>
        <v>21.194927536231887</v>
      </c>
      <c r="F141" s="3">
        <f t="shared" ca="1" si="158"/>
        <v>210.96558794466404</v>
      </c>
      <c r="H141" s="97">
        <f>'Economic Data'!D155</f>
        <v>8264.3796402999997</v>
      </c>
      <c r="I141" s="47">
        <f t="shared" si="132"/>
        <v>31</v>
      </c>
      <c r="K141" s="3">
        <f t="shared" si="142"/>
        <v>-4083957</v>
      </c>
      <c r="L141" s="3">
        <f t="shared" ca="1" si="143"/>
        <v>236233.57553623192</v>
      </c>
      <c r="M141" s="3">
        <f t="shared" ca="1" si="144"/>
        <v>7289614.2106371047</v>
      </c>
      <c r="N141" s="3">
        <f t="shared" si="145"/>
        <v>0</v>
      </c>
      <c r="O141" s="3">
        <f t="shared" si="146"/>
        <v>8365039.7843188532</v>
      </c>
      <c r="P141" s="3">
        <f t="shared" si="147"/>
        <v>14778211.5</v>
      </c>
      <c r="Q141" s="47">
        <f t="shared" ca="1" si="133"/>
        <v>26585142.070492189</v>
      </c>
      <c r="R141" s="47">
        <f>IFERROR(HLOOKUP(B141-1,'EV Forecast VRZ'!$F$124:$T$130,4,FALSE)/12,0)+IFERROR(((HLOOKUP(B141,'EV Forecast VRZ'!$F$116:$T$122,4,FALSE)-HLOOKUP(B141-1,'EV Forecast VRZ'!$F$124:$T$130,4,FALSE)))*C141/78,0)</f>
        <v>289503.58237108873</v>
      </c>
      <c r="S141" s="47">
        <f ca="1">HLOOKUP(B141,Heating!$C$102:$O$106,4,FALSE)*INDEX(Weather!$BO$1:$CB$20,MATCH(B141,Weather!$BO$1:$BO$20,0),MATCH(C141,Weather!$BO$1:$CB$1,0))/VLOOKUP(B141,Weather!$BO$2:$CB$20,14,FALSE)</f>
        <v>7760.7789711934265</v>
      </c>
      <c r="T141" s="47">
        <f t="shared" ca="1" si="125"/>
        <v>26882406.431834474</v>
      </c>
    </row>
    <row r="142" spans="1:20">
      <c r="A142" s="2">
        <f t="shared" si="128"/>
        <v>46295</v>
      </c>
      <c r="B142">
        <f t="shared" si="129"/>
        <v>2026</v>
      </c>
      <c r="C142">
        <f t="shared" si="130"/>
        <v>9</v>
      </c>
      <c r="E142" s="3">
        <f t="shared" ref="E142:F142" ca="1" si="159">E130</f>
        <v>96.735690993788822</v>
      </c>
      <c r="F142" s="3">
        <f t="shared" ca="1" si="159"/>
        <v>106.4160119047619</v>
      </c>
      <c r="H142" s="97">
        <f>'Economic Data'!D156</f>
        <v>8277.9442325000018</v>
      </c>
      <c r="I142" s="47">
        <f t="shared" si="132"/>
        <v>30</v>
      </c>
      <c r="K142" s="3">
        <f t="shared" si="142"/>
        <v>-4083957</v>
      </c>
      <c r="L142" s="3">
        <f t="shared" ca="1" si="143"/>
        <v>1078192.7952509318</v>
      </c>
      <c r="M142" s="3">
        <f t="shared" ca="1" si="144"/>
        <v>3677053.1164720235</v>
      </c>
      <c r="N142" s="3">
        <f t="shared" si="145"/>
        <v>0</v>
      </c>
      <c r="O142" s="3">
        <f t="shared" si="146"/>
        <v>8378769.5932518514</v>
      </c>
      <c r="P142" s="3">
        <f t="shared" si="147"/>
        <v>14301495</v>
      </c>
      <c r="Q142" s="47">
        <f t="shared" ca="1" si="133"/>
        <v>23351553.504974805</v>
      </c>
      <c r="R142" s="47">
        <f>IFERROR(HLOOKUP(B142-1,'EV Forecast VRZ'!$F$124:$T$130,4,FALSE)/12,0)+IFERROR(((HLOOKUP(B142,'EV Forecast VRZ'!$F$116:$T$122,4,FALSE)-HLOOKUP(B142-1,'EV Forecast VRZ'!$F$124:$T$130,4,FALSE)))*C142/78,0)</f>
        <v>295226.40992087172</v>
      </c>
      <c r="S142" s="47">
        <f ca="1">HLOOKUP(B142,Heating!$C$102:$O$106,4,FALSE)*INDEX(Weather!$BO$1:$CB$20,MATCH(B142,Weather!$BO$1:$BO$20,0),MATCH(C142,Weather!$BO$1:$CB$1,0))/VLOOKUP(B142,Weather!$BO$2:$CB$20,14,FALSE)</f>
        <v>75491.694501441147</v>
      </c>
      <c r="T142" s="47">
        <f t="shared" ca="1" si="125"/>
        <v>23722271.609397117</v>
      </c>
    </row>
    <row r="143" spans="1:20">
      <c r="A143" s="2">
        <f t="shared" si="128"/>
        <v>46326</v>
      </c>
      <c r="B143">
        <f t="shared" si="129"/>
        <v>2026</v>
      </c>
      <c r="C143">
        <f t="shared" si="130"/>
        <v>10</v>
      </c>
      <c r="E143" s="3">
        <f t="shared" ref="E143:F143" ca="1" si="160">E131</f>
        <v>298.21097826086958</v>
      </c>
      <c r="F143" s="3">
        <f t="shared" ca="1" si="160"/>
        <v>17.987083333333334</v>
      </c>
      <c r="H143" s="97">
        <f>'Economic Data'!D157</f>
        <v>8280.2724834000019</v>
      </c>
      <c r="I143" s="47">
        <f t="shared" si="132"/>
        <v>31</v>
      </c>
      <c r="K143" s="3">
        <f t="shared" si="142"/>
        <v>-4083957</v>
      </c>
      <c r="L143" s="3">
        <f t="shared" ca="1" si="143"/>
        <v>3323787.9930608696</v>
      </c>
      <c r="M143" s="3">
        <f t="shared" ca="1" si="144"/>
        <v>621517.94305416674</v>
      </c>
      <c r="N143" s="3">
        <f t="shared" si="145"/>
        <v>0</v>
      </c>
      <c r="O143" s="3">
        <f t="shared" si="146"/>
        <v>8381126.2022478133</v>
      </c>
      <c r="P143" s="3">
        <f t="shared" si="147"/>
        <v>14778211.5</v>
      </c>
      <c r="Q143" s="47">
        <f t="shared" ca="1" si="133"/>
        <v>23020686.638362851</v>
      </c>
      <c r="R143" s="47">
        <f>IFERROR(HLOOKUP(B143-1,'EV Forecast VRZ'!$F$124:$T$130,4,FALSE)/12,0)+IFERROR(((HLOOKUP(B143,'EV Forecast VRZ'!$F$116:$T$122,4,FALSE)-HLOOKUP(B143-1,'EV Forecast VRZ'!$F$124:$T$130,4,FALSE)))*C143/78,0)</f>
        <v>300949.23747065471</v>
      </c>
      <c r="S143" s="47">
        <f ca="1">HLOOKUP(B143,Heating!$C$102:$O$106,4,FALSE)*INDEX(Weather!$BO$1:$CB$20,MATCH(B143,Weather!$BO$1:$BO$20,0),MATCH(C143,Weather!$BO$1:$CB$1,0))/VLOOKUP(B143,Weather!$BO$2:$CB$20,14,FALSE)</f>
        <v>326772.49074942566</v>
      </c>
      <c r="T143" s="47">
        <f t="shared" ca="1" si="125"/>
        <v>23648408.36658293</v>
      </c>
    </row>
    <row r="144" spans="1:20">
      <c r="A144" s="2">
        <f t="shared" si="128"/>
        <v>46356</v>
      </c>
      <c r="B144">
        <f t="shared" si="129"/>
        <v>2026</v>
      </c>
      <c r="C144">
        <f t="shared" si="130"/>
        <v>11</v>
      </c>
      <c r="E144" s="3">
        <f t="shared" ref="E144:F144" ca="1" si="161">E132</f>
        <v>486.62991389045737</v>
      </c>
      <c r="F144" s="3">
        <f t="shared" ca="1" si="161"/>
        <v>0.8083333333333329</v>
      </c>
      <c r="H144" s="97">
        <f>'Economic Data'!D158</f>
        <v>8282.4995060000001</v>
      </c>
      <c r="I144" s="47">
        <f t="shared" si="132"/>
        <v>30</v>
      </c>
      <c r="K144" s="3">
        <f t="shared" si="142"/>
        <v>-4083957</v>
      </c>
      <c r="L144" s="3">
        <f t="shared" ca="1" si="143"/>
        <v>5423860.2290437045</v>
      </c>
      <c r="M144" s="3">
        <f t="shared" ca="1" si="144"/>
        <v>27930.802416666651</v>
      </c>
      <c r="N144" s="3">
        <f t="shared" si="145"/>
        <v>0</v>
      </c>
      <c r="O144" s="3">
        <f t="shared" si="146"/>
        <v>8383380.3499830794</v>
      </c>
      <c r="P144" s="3">
        <f t="shared" si="147"/>
        <v>14301495</v>
      </c>
      <c r="Q144" s="47">
        <f t="shared" ca="1" si="133"/>
        <v>24052709.381443448</v>
      </c>
      <c r="R144" s="47">
        <f>IFERROR(HLOOKUP(B144-1,'EV Forecast VRZ'!$F$124:$T$130,4,FALSE)/12,0)+IFERROR(((HLOOKUP(B144,'EV Forecast VRZ'!$F$116:$T$122,4,FALSE)-HLOOKUP(B144-1,'EV Forecast VRZ'!$F$124:$T$130,4,FALSE)))*C144/78,0)</f>
        <v>306672.06502043776</v>
      </c>
      <c r="S144" s="47">
        <f ca="1">HLOOKUP(B144,Heating!$C$102:$O$106,4,FALSE)*INDEX(Weather!$BO$1:$CB$20,MATCH(B144,Weather!$BO$1:$BO$20,0),MATCH(C144,Weather!$BO$1:$CB$1,0))/VLOOKUP(B144,Weather!$BO$2:$CB$20,14,FALSE)</f>
        <v>586014.24145188055</v>
      </c>
      <c r="T144" s="47">
        <f t="shared" ca="1" si="125"/>
        <v>24945395.687915768</v>
      </c>
    </row>
    <row r="145" spans="1:20">
      <c r="A145" s="2">
        <f t="shared" si="128"/>
        <v>46387</v>
      </c>
      <c r="B145">
        <f t="shared" si="129"/>
        <v>2026</v>
      </c>
      <c r="C145">
        <f t="shared" si="130"/>
        <v>12</v>
      </c>
      <c r="E145" s="3">
        <f t="shared" ref="E145:F145" ca="1" si="162">E133</f>
        <v>639.92800724637686</v>
      </c>
      <c r="F145" s="3">
        <f t="shared" ca="1" si="162"/>
        <v>0</v>
      </c>
      <c r="H145" s="97">
        <f>'Economic Data'!D159</f>
        <v>8283.815473900002</v>
      </c>
      <c r="I145" s="47">
        <f t="shared" si="132"/>
        <v>31</v>
      </c>
      <c r="K145" s="3">
        <f t="shared" si="142"/>
        <v>-4083957</v>
      </c>
      <c r="L145" s="3">
        <f t="shared" ca="1" si="143"/>
        <v>7132483.9860463776</v>
      </c>
      <c r="M145" s="3">
        <f t="shared" ca="1" si="144"/>
        <v>0</v>
      </c>
      <c r="N145" s="3">
        <f t="shared" si="145"/>
        <v>0</v>
      </c>
      <c r="O145" s="3">
        <f t="shared" si="146"/>
        <v>8384712.3463721033</v>
      </c>
      <c r="P145" s="3">
        <f t="shared" si="147"/>
        <v>14778211.5</v>
      </c>
      <c r="Q145" s="47">
        <f t="shared" ca="1" si="133"/>
        <v>26211450.832418479</v>
      </c>
      <c r="R145" s="47">
        <f>IFERROR(HLOOKUP(B145-1,'EV Forecast VRZ'!$F$124:$T$130,4,FALSE)/12,0)+IFERROR(((HLOOKUP(B145,'EV Forecast VRZ'!$F$116:$T$122,4,FALSE)-HLOOKUP(B145-1,'EV Forecast VRZ'!$F$124:$T$130,4,FALSE)))*C145/78,0)</f>
        <v>312394.89257022075</v>
      </c>
      <c r="S145" s="47">
        <f ca="1">HLOOKUP(B145,Heating!$C$102:$O$106,4,FALSE)*INDEX(Weather!$BO$1:$CB$20,MATCH(B145,Weather!$BO$1:$BO$20,0),MATCH(C145,Weather!$BO$1:$CB$1,0))/VLOOKUP(B145,Weather!$BO$2:$CB$20,14,FALSE)</f>
        <v>793835.66823033721</v>
      </c>
      <c r="T145" s="47">
        <f t="shared" ca="1" si="125"/>
        <v>27317681.393219035</v>
      </c>
    </row>
    <row r="146" spans="1:20">
      <c r="A146" s="2">
        <f t="shared" si="128"/>
        <v>46418</v>
      </c>
      <c r="B146">
        <f t="shared" si="129"/>
        <v>2027</v>
      </c>
      <c r="C146">
        <f t="shared" si="130"/>
        <v>1</v>
      </c>
      <c r="E146" s="3">
        <f t="shared" ref="E146:F146" ca="1" si="163">E134</f>
        <v>759.33418478260865</v>
      </c>
      <c r="F146" s="3">
        <f t="shared" ca="1" si="163"/>
        <v>0</v>
      </c>
      <c r="H146" s="97">
        <f>'Economic Data'!D160</f>
        <v>8310.8460403999979</v>
      </c>
      <c r="I146" s="47">
        <f t="shared" si="132"/>
        <v>31</v>
      </c>
      <c r="K146" s="3">
        <f t="shared" si="142"/>
        <v>-4083957</v>
      </c>
      <c r="L146" s="3">
        <f t="shared" ca="1" si="143"/>
        <v>8463356.5833826084</v>
      </c>
      <c r="M146" s="3">
        <f t="shared" ca="1" si="144"/>
        <v>0</v>
      </c>
      <c r="N146" s="3">
        <f t="shared" si="145"/>
        <v>0</v>
      </c>
      <c r="O146" s="3">
        <f t="shared" si="146"/>
        <v>8412072.1451720688</v>
      </c>
      <c r="P146" s="3">
        <f t="shared" si="147"/>
        <v>14778211.5</v>
      </c>
      <c r="Q146" s="47">
        <f t="shared" ca="1" si="133"/>
        <v>27569683.228554677</v>
      </c>
      <c r="R146" s="47">
        <f>IFERROR(HLOOKUP(B146-1,'EV Forecast VRZ'!$F$124:$T$130,4,FALSE)/12,0)+IFERROR(((HLOOKUP(B146,'EV Forecast VRZ'!$F$116:$T$122,4,FALSE)-HLOOKUP(B146-1,'EV Forecast VRZ'!$F$124:$T$130,4,FALSE)))*C146/78,0)</f>
        <v>324017.77181926422</v>
      </c>
      <c r="S146" s="47">
        <f ca="1">HLOOKUP(B146,Heating!$C$102:$O$106,4,FALSE)*INDEX(Weather!$BO$1:$CB$20,MATCH(B146,Weather!$BO$1:$BO$20,0),MATCH(C146,Weather!$BO$1:$CB$1,0))/VLOOKUP(B146,Weather!$BO$2:$CB$20,14,FALSE)</f>
        <v>1123595.9230775135</v>
      </c>
      <c r="T146" s="47">
        <f t="shared" ca="1" si="125"/>
        <v>29017296.923451453</v>
      </c>
    </row>
    <row r="147" spans="1:20">
      <c r="A147" s="2">
        <f t="shared" si="128"/>
        <v>46446</v>
      </c>
      <c r="B147">
        <f t="shared" si="129"/>
        <v>2027</v>
      </c>
      <c r="C147">
        <f t="shared" si="130"/>
        <v>2</v>
      </c>
      <c r="E147" s="3">
        <f t="shared" ref="E147:F147" ca="1" si="164">E135</f>
        <v>680.85501811594202</v>
      </c>
      <c r="F147" s="3">
        <f t="shared" ca="1" si="164"/>
        <v>0</v>
      </c>
      <c r="H147" s="97">
        <f>'Economic Data'!D161</f>
        <v>8340.3253879999993</v>
      </c>
      <c r="I147" s="47">
        <f t="shared" si="132"/>
        <v>29</v>
      </c>
      <c r="K147" s="3">
        <f t="shared" si="142"/>
        <v>-4083957</v>
      </c>
      <c r="L147" s="3">
        <f t="shared" ca="1" si="143"/>
        <v>7588646.6267159423</v>
      </c>
      <c r="M147" s="3">
        <f t="shared" ca="1" si="144"/>
        <v>0</v>
      </c>
      <c r="N147" s="3">
        <f t="shared" si="145"/>
        <v>0</v>
      </c>
      <c r="O147" s="3">
        <f t="shared" si="146"/>
        <v>8441910.5512258392</v>
      </c>
      <c r="P147" s="3">
        <f t="shared" si="147"/>
        <v>13824778.5</v>
      </c>
      <c r="Q147" s="47">
        <f t="shared" ca="1" si="133"/>
        <v>25771378.677941781</v>
      </c>
      <c r="R147" s="47">
        <f>IFERROR(HLOOKUP(B147-1,'EV Forecast VRZ'!$F$124:$T$130,4,FALSE)/12,0)+IFERROR(((HLOOKUP(B147,'EV Forecast VRZ'!$F$116:$T$122,4,FALSE)-HLOOKUP(B147-1,'EV Forecast VRZ'!$F$124:$T$130,4,FALSE)))*C147/78,0)</f>
        <v>329917.82351852464</v>
      </c>
      <c r="S147" s="47">
        <f ca="1">HLOOKUP(B147,Heating!$C$102:$O$106,4,FALSE)*INDEX(Weather!$BO$1:$CB$20,MATCH(B147,Weather!$BO$1:$BO$20,0),MATCH(C147,Weather!$BO$1:$CB$1,0))/VLOOKUP(B147,Weather!$BO$2:$CB$20,14,FALSE)</f>
        <v>1005845.4161893893</v>
      </c>
      <c r="T147" s="47">
        <f t="shared" ca="1" si="125"/>
        <v>27107141.917649694</v>
      </c>
    </row>
    <row r="148" spans="1:20">
      <c r="A148" s="2">
        <f t="shared" si="128"/>
        <v>46477</v>
      </c>
      <c r="B148">
        <f t="shared" si="129"/>
        <v>2027</v>
      </c>
      <c r="C148">
        <f t="shared" si="130"/>
        <v>3</v>
      </c>
      <c r="E148" s="3">
        <f t="shared" ref="E148:F148" ca="1" si="165">E136</f>
        <v>608.13298913043479</v>
      </c>
      <c r="F148" s="3">
        <f t="shared" ca="1" si="165"/>
        <v>0</v>
      </c>
      <c r="H148" s="97">
        <f>'Economic Data'!D162</f>
        <v>8349.9492299999984</v>
      </c>
      <c r="I148" s="47">
        <f t="shared" si="132"/>
        <v>31</v>
      </c>
      <c r="K148" s="3">
        <f t="shared" si="142"/>
        <v>-4083957</v>
      </c>
      <c r="L148" s="3">
        <f t="shared" ca="1" si="143"/>
        <v>6778104.3449304346</v>
      </c>
      <c r="M148" s="3">
        <f t="shared" ca="1" si="144"/>
        <v>0</v>
      </c>
      <c r="N148" s="3">
        <f t="shared" si="145"/>
        <v>0</v>
      </c>
      <c r="O148" s="3">
        <f t="shared" si="146"/>
        <v>8451651.6116213985</v>
      </c>
      <c r="P148" s="3">
        <f t="shared" si="147"/>
        <v>14778211.5</v>
      </c>
      <c r="Q148" s="47">
        <f t="shared" ca="1" si="133"/>
        <v>25924010.456551835</v>
      </c>
      <c r="R148" s="47">
        <f>IFERROR(HLOOKUP(B148-1,'EV Forecast VRZ'!$F$124:$T$130,4,FALSE)/12,0)+IFERROR(((HLOOKUP(B148,'EV Forecast VRZ'!$F$116:$T$122,4,FALSE)-HLOOKUP(B148-1,'EV Forecast VRZ'!$F$124:$T$130,4,FALSE)))*C148/78,0)</f>
        <v>335817.87521778501</v>
      </c>
      <c r="S148" s="47">
        <f ca="1">HLOOKUP(B148,Heating!$C$102:$O$106,4,FALSE)*INDEX(Weather!$BO$1:$CB$20,MATCH(B148,Weather!$BO$1:$BO$20,0),MATCH(C148,Weather!$BO$1:$CB$1,0))/VLOOKUP(B148,Weather!$BO$2:$CB$20,14,FALSE)</f>
        <v>879969.48010857997</v>
      </c>
      <c r="T148" s="47">
        <f t="shared" ca="1" si="125"/>
        <v>27139797.811878201</v>
      </c>
    </row>
    <row r="149" spans="1:20">
      <c r="A149" s="2">
        <f t="shared" si="128"/>
        <v>46507</v>
      </c>
      <c r="B149">
        <f t="shared" si="129"/>
        <v>2027</v>
      </c>
      <c r="C149">
        <f t="shared" si="130"/>
        <v>4</v>
      </c>
      <c r="E149" s="3">
        <f t="shared" ref="E149:F149" ca="1" si="166">E137</f>
        <v>412.37941287878795</v>
      </c>
      <c r="F149" s="3">
        <f t="shared" ca="1" si="166"/>
        <v>2.1908333333333347</v>
      </c>
      <c r="H149" s="97">
        <f>'Economic Data'!D163</f>
        <v>8334.6523863999992</v>
      </c>
      <c r="I149" s="47">
        <f t="shared" si="132"/>
        <v>30</v>
      </c>
      <c r="K149" s="3">
        <f t="shared" si="142"/>
        <v>-4083957</v>
      </c>
      <c r="L149" s="3">
        <f t="shared" ca="1" si="143"/>
        <v>4596281.9648878798</v>
      </c>
      <c r="M149" s="3">
        <f t="shared" ca="1" si="144"/>
        <v>75701.11294166671</v>
      </c>
      <c r="N149" s="3">
        <f t="shared" si="145"/>
        <v>0</v>
      </c>
      <c r="O149" s="3">
        <f t="shared" si="146"/>
        <v>8436168.45246635</v>
      </c>
      <c r="P149" s="3">
        <f t="shared" si="147"/>
        <v>14301495</v>
      </c>
      <c r="Q149" s="47">
        <f t="shared" ca="1" si="133"/>
        <v>23325689.530295897</v>
      </c>
      <c r="R149" s="47">
        <f>IFERROR(HLOOKUP(B149-1,'EV Forecast VRZ'!$F$124:$T$130,4,FALSE)/12,0)+IFERROR(((HLOOKUP(B149,'EV Forecast VRZ'!$F$116:$T$122,4,FALSE)-HLOOKUP(B149-1,'EV Forecast VRZ'!$F$124:$T$130,4,FALSE)))*C149/78,0)</f>
        <v>341717.92691704544</v>
      </c>
      <c r="S149" s="47">
        <f ca="1">HLOOKUP(B149,Heating!$C$102:$O$106,4,FALSE)*INDEX(Weather!$BO$1:$CB$20,MATCH(B149,Weather!$BO$1:$BO$20,0),MATCH(C149,Weather!$BO$1:$CB$1,0))/VLOOKUP(B149,Weather!$BO$2:$CB$20,14,FALSE)</f>
        <v>567835.24746149674</v>
      </c>
      <c r="T149" s="47">
        <f t="shared" ca="1" si="125"/>
        <v>24235242.704674441</v>
      </c>
    </row>
    <row r="150" spans="1:20">
      <c r="A150" s="2">
        <f t="shared" si="128"/>
        <v>46538</v>
      </c>
      <c r="B150">
        <f t="shared" si="129"/>
        <v>2027</v>
      </c>
      <c r="C150">
        <f t="shared" si="130"/>
        <v>5</v>
      </c>
      <c r="E150" s="3">
        <f t="shared" ref="E150:F150" ca="1" si="167">E138</f>
        <v>202.70273119310133</v>
      </c>
      <c r="F150" s="3">
        <f t="shared" ca="1" si="167"/>
        <v>52.487435064935063</v>
      </c>
      <c r="H150" s="97">
        <f>'Economic Data'!D164</f>
        <v>8314.8981843999991</v>
      </c>
      <c r="I150" s="47">
        <f t="shared" si="132"/>
        <v>31</v>
      </c>
      <c r="K150" s="3">
        <f t="shared" si="142"/>
        <v>-4083957</v>
      </c>
      <c r="L150" s="3">
        <f t="shared" ca="1" si="143"/>
        <v>2259275.993222821</v>
      </c>
      <c r="M150" s="3">
        <f t="shared" ca="1" si="144"/>
        <v>1813628.2616366881</v>
      </c>
      <c r="N150" s="3">
        <f t="shared" si="145"/>
        <v>0</v>
      </c>
      <c r="O150" s="3">
        <f t="shared" si="146"/>
        <v>8416173.6442859899</v>
      </c>
      <c r="P150" s="3">
        <f t="shared" si="147"/>
        <v>14778211.5</v>
      </c>
      <c r="Q150" s="47">
        <f t="shared" ca="1" si="133"/>
        <v>23183332.399145499</v>
      </c>
      <c r="R150" s="47">
        <f>IFERROR(HLOOKUP(B150-1,'EV Forecast VRZ'!$F$124:$T$130,4,FALSE)/12,0)+IFERROR(((HLOOKUP(B150,'EV Forecast VRZ'!$F$116:$T$122,4,FALSE)-HLOOKUP(B150-1,'EV Forecast VRZ'!$F$124:$T$130,4,FALSE)))*C150/78,0)</f>
        <v>347617.97861630586</v>
      </c>
      <c r="S150" s="47">
        <f ca="1">HLOOKUP(B150,Heating!$C$102:$O$106,4,FALSE)*INDEX(Weather!$BO$1:$CB$20,MATCH(B150,Weather!$BO$1:$BO$20,0),MATCH(C150,Weather!$BO$1:$CB$1,0))/VLOOKUP(B150,Weather!$BO$2:$CB$20,14,FALSE)</f>
        <v>241911.5683986292</v>
      </c>
      <c r="T150" s="47">
        <f t="shared" ca="1" si="125"/>
        <v>23772861.946160432</v>
      </c>
    </row>
    <row r="151" spans="1:20">
      <c r="A151" s="2">
        <f t="shared" si="128"/>
        <v>46568</v>
      </c>
      <c r="B151">
        <f t="shared" si="129"/>
        <v>2027</v>
      </c>
      <c r="C151">
        <f t="shared" si="130"/>
        <v>6</v>
      </c>
      <c r="E151" s="3">
        <f t="shared" ref="E151:F151" ca="1" si="168">E139</f>
        <v>66.09717382617383</v>
      </c>
      <c r="F151" s="3">
        <f t="shared" ca="1" si="168"/>
        <v>137.65451754405018</v>
      </c>
      <c r="H151" s="97">
        <f>'Economic Data'!D165</f>
        <v>8311.5551655999989</v>
      </c>
      <c r="I151" s="47">
        <f t="shared" si="132"/>
        <v>30</v>
      </c>
      <c r="K151" s="3">
        <f t="shared" si="142"/>
        <v>-4083957</v>
      </c>
      <c r="L151" s="3">
        <f t="shared" ca="1" si="143"/>
        <v>736703.23614481522</v>
      </c>
      <c r="M151" s="3">
        <f t="shared" ca="1" si="144"/>
        <v>4756455.0077745663</v>
      </c>
      <c r="N151" s="3">
        <f t="shared" si="145"/>
        <v>0</v>
      </c>
      <c r="O151" s="3">
        <f t="shared" si="146"/>
        <v>8412789.9075170066</v>
      </c>
      <c r="P151" s="3">
        <f t="shared" si="147"/>
        <v>14301495</v>
      </c>
      <c r="Q151" s="47">
        <f t="shared" ca="1" si="133"/>
        <v>24123486.151436388</v>
      </c>
      <c r="R151" s="47">
        <f>IFERROR(HLOOKUP(B151-1,'EV Forecast VRZ'!$F$124:$T$130,4,FALSE)/12,0)+IFERROR(((HLOOKUP(B151,'EV Forecast VRZ'!$F$116:$T$122,4,FALSE)-HLOOKUP(B151-1,'EV Forecast VRZ'!$F$124:$T$130,4,FALSE)))*C151/78,0)</f>
        <v>353518.03031556628</v>
      </c>
      <c r="S151" s="47">
        <f ca="1">HLOOKUP(B151,Heating!$C$102:$O$106,4,FALSE)*INDEX(Weather!$BO$1:$CB$20,MATCH(B151,Weather!$BO$1:$BO$20,0),MATCH(C151,Weather!$BO$1:$CB$1,0))/VLOOKUP(B151,Weather!$BO$2:$CB$20,14,FALSE)</f>
        <v>52400.094851501657</v>
      </c>
      <c r="T151" s="47">
        <f t="shared" ca="1" si="125"/>
        <v>24529404.276603457</v>
      </c>
    </row>
    <row r="152" spans="1:20">
      <c r="A152" s="2">
        <f t="shared" si="128"/>
        <v>46599</v>
      </c>
      <c r="B152">
        <f t="shared" si="129"/>
        <v>2027</v>
      </c>
      <c r="C152">
        <f t="shared" si="130"/>
        <v>7</v>
      </c>
      <c r="E152" s="3">
        <f t="shared" ref="E152:F152" ca="1" si="169">E140</f>
        <v>10.249063146997932</v>
      </c>
      <c r="F152" s="3">
        <f t="shared" ca="1" si="169"/>
        <v>235.94737858727848</v>
      </c>
      <c r="H152" s="97">
        <f>'Economic Data'!D166</f>
        <v>8332.4264170713013</v>
      </c>
      <c r="I152" s="47">
        <f t="shared" si="132"/>
        <v>31</v>
      </c>
      <c r="K152" s="3">
        <f t="shared" si="142"/>
        <v>-4083957</v>
      </c>
      <c r="L152" s="3">
        <f t="shared" ca="1" si="143"/>
        <v>114233.59806128367</v>
      </c>
      <c r="M152" s="3">
        <f t="shared" ca="1" si="144"/>
        <v>8152824.2623320278</v>
      </c>
      <c r="N152" s="3">
        <f t="shared" si="145"/>
        <v>0</v>
      </c>
      <c r="O152" s="3">
        <f t="shared" si="146"/>
        <v>8433915.3708312288</v>
      </c>
      <c r="P152" s="3">
        <f t="shared" si="147"/>
        <v>14778211.5</v>
      </c>
      <c r="Q152" s="47">
        <f t="shared" ca="1" si="133"/>
        <v>27395227.731224541</v>
      </c>
      <c r="R152" s="47">
        <f>IFERROR(HLOOKUP(B152-1,'EV Forecast VRZ'!$F$124:$T$130,4,FALSE)/12,0)+IFERROR(((HLOOKUP(B152,'EV Forecast VRZ'!$F$116:$T$122,4,FALSE)-HLOOKUP(B152-1,'EV Forecast VRZ'!$F$124:$T$130,4,FALSE)))*C152/78,0)</f>
        <v>359418.08201482665</v>
      </c>
      <c r="S152" s="47">
        <f ca="1">HLOOKUP(B152,Heating!$C$102:$O$106,4,FALSE)*INDEX(Weather!$BO$1:$CB$20,MATCH(B152,Weather!$BO$1:$BO$20,0),MATCH(C152,Weather!$BO$1:$CB$1,0))/VLOOKUP(B152,Weather!$BO$2:$CB$20,14,FALSE)</f>
        <v>2606.9058569279005</v>
      </c>
      <c r="T152" s="47">
        <f t="shared" ca="1" si="125"/>
        <v>27757252.719096296</v>
      </c>
    </row>
    <row r="153" spans="1:20">
      <c r="A153" s="2">
        <f t="shared" si="128"/>
        <v>46630</v>
      </c>
      <c r="B153">
        <f t="shared" si="129"/>
        <v>2027</v>
      </c>
      <c r="C153">
        <f t="shared" si="130"/>
        <v>8</v>
      </c>
      <c r="E153" s="3">
        <f t="shared" ref="E153:F153" ca="1" si="170">E141</f>
        <v>21.194927536231887</v>
      </c>
      <c r="F153" s="3">
        <f t="shared" ca="1" si="170"/>
        <v>210.96558794466404</v>
      </c>
      <c r="H153" s="97">
        <f>'Economic Data'!D167</f>
        <v>8338.759057062698</v>
      </c>
      <c r="I153" s="47">
        <f t="shared" si="132"/>
        <v>31</v>
      </c>
      <c r="K153" s="3">
        <f t="shared" si="142"/>
        <v>-4083957</v>
      </c>
      <c r="L153" s="3">
        <f t="shared" ca="1" si="143"/>
        <v>236233.57553623192</v>
      </c>
      <c r="M153" s="3">
        <f t="shared" ca="1" si="144"/>
        <v>7289614.2106371047</v>
      </c>
      <c r="N153" s="3">
        <f t="shared" si="145"/>
        <v>0</v>
      </c>
      <c r="O153" s="3">
        <f t="shared" si="146"/>
        <v>8440325.1423777211</v>
      </c>
      <c r="P153" s="3">
        <f t="shared" si="147"/>
        <v>14778211.5</v>
      </c>
      <c r="Q153" s="47">
        <f t="shared" ca="1" si="133"/>
        <v>26660427.428551055</v>
      </c>
      <c r="R153" s="47">
        <f>IFERROR(HLOOKUP(B153-1,'EV Forecast VRZ'!$F$124:$T$130,4,FALSE)/12,0)+IFERROR(((HLOOKUP(B153,'EV Forecast VRZ'!$F$116:$T$122,4,FALSE)-HLOOKUP(B153-1,'EV Forecast VRZ'!$F$124:$T$130,4,FALSE)))*C153/78,0)</f>
        <v>365318.13371408707</v>
      </c>
      <c r="S153" s="47">
        <f ca="1">HLOOKUP(B153,Heating!$C$102:$O$106,4,FALSE)*INDEX(Weather!$BO$1:$CB$20,MATCH(B153,Weather!$BO$1:$BO$20,0),MATCH(C153,Weather!$BO$1:$CB$1,0))/VLOOKUP(B153,Weather!$BO$2:$CB$20,14,FALSE)</f>
        <v>9103.6939016076085</v>
      </c>
      <c r="T153" s="47">
        <f t="shared" ca="1" si="125"/>
        <v>27034849.256166749</v>
      </c>
    </row>
    <row r="154" spans="1:20">
      <c r="A154" s="2">
        <f t="shared" si="128"/>
        <v>46660</v>
      </c>
      <c r="B154">
        <f t="shared" si="129"/>
        <v>2027</v>
      </c>
      <c r="C154">
        <f t="shared" si="130"/>
        <v>9</v>
      </c>
      <c r="E154" s="3">
        <f t="shared" ref="E154:F154" ca="1" si="171">E142</f>
        <v>96.735690993788822</v>
      </c>
      <c r="F154" s="3">
        <f t="shared" ca="1" si="171"/>
        <v>106.4160119047619</v>
      </c>
      <c r="H154" s="97">
        <f>'Economic Data'!D168</f>
        <v>8352.4457305925007</v>
      </c>
      <c r="I154" s="47">
        <f t="shared" si="132"/>
        <v>30</v>
      </c>
      <c r="K154" s="3">
        <f t="shared" si="142"/>
        <v>-4083957</v>
      </c>
      <c r="L154" s="3">
        <f t="shared" ca="1" si="143"/>
        <v>1078192.7952509318</v>
      </c>
      <c r="M154" s="3">
        <f t="shared" ca="1" si="144"/>
        <v>3677053.1164720235</v>
      </c>
      <c r="N154" s="3">
        <f t="shared" si="145"/>
        <v>0</v>
      </c>
      <c r="O154" s="3">
        <f t="shared" si="146"/>
        <v>8454178.5195911173</v>
      </c>
      <c r="P154" s="3">
        <f t="shared" si="147"/>
        <v>14301495</v>
      </c>
      <c r="Q154" s="47">
        <f t="shared" ca="1" si="133"/>
        <v>23426962.431314074</v>
      </c>
      <c r="R154" s="47">
        <f>IFERROR(HLOOKUP(B154-1,'EV Forecast VRZ'!$F$124:$T$130,4,FALSE)/12,0)+IFERROR(((HLOOKUP(B154,'EV Forecast VRZ'!$F$116:$T$122,4,FALSE)-HLOOKUP(B154-1,'EV Forecast VRZ'!$F$124:$T$130,4,FALSE)))*C154/78,0)</f>
        <v>371218.1854133475</v>
      </c>
      <c r="S154" s="47">
        <f ca="1">HLOOKUP(B154,Heating!$C$102:$O$106,4,FALSE)*INDEX(Weather!$BO$1:$CB$20,MATCH(B154,Weather!$BO$1:$BO$20,0),MATCH(C154,Weather!$BO$1:$CB$1,0))/VLOOKUP(B154,Weather!$BO$2:$CB$20,14,FALSE)</f>
        <v>88554.677488658184</v>
      </c>
      <c r="T154" s="47">
        <f t="shared" ca="1" si="125"/>
        <v>23886735.294216078</v>
      </c>
    </row>
    <row r="155" spans="1:20">
      <c r="A155" s="2">
        <f t="shared" si="128"/>
        <v>46691</v>
      </c>
      <c r="B155">
        <f t="shared" si="129"/>
        <v>2027</v>
      </c>
      <c r="C155">
        <f t="shared" si="130"/>
        <v>10</v>
      </c>
      <c r="E155" s="3">
        <f t="shared" ref="E155:F155" ca="1" si="172">E143</f>
        <v>298.21097826086958</v>
      </c>
      <c r="F155" s="3">
        <f t="shared" ca="1" si="172"/>
        <v>17.987083333333334</v>
      </c>
      <c r="H155" s="97">
        <f>'Economic Data'!D169</f>
        <v>8354.7949357506004</v>
      </c>
      <c r="I155" s="47">
        <f t="shared" si="132"/>
        <v>31</v>
      </c>
      <c r="K155" s="3">
        <f t="shared" si="142"/>
        <v>-4083957</v>
      </c>
      <c r="L155" s="3">
        <f t="shared" ca="1" si="143"/>
        <v>3323787.9930608696</v>
      </c>
      <c r="M155" s="3">
        <f t="shared" ca="1" si="144"/>
        <v>621517.94305416674</v>
      </c>
      <c r="N155" s="3">
        <f t="shared" si="145"/>
        <v>0</v>
      </c>
      <c r="O155" s="3">
        <f t="shared" si="146"/>
        <v>8456556.338068042</v>
      </c>
      <c r="P155" s="3">
        <f t="shared" si="147"/>
        <v>14778211.5</v>
      </c>
      <c r="Q155" s="47">
        <f t="shared" ca="1" si="133"/>
        <v>23096116.77418308</v>
      </c>
      <c r="R155" s="47">
        <f>IFERROR(HLOOKUP(B155-1,'EV Forecast VRZ'!$F$124:$T$130,4,FALSE)/12,0)+IFERROR(((HLOOKUP(B155,'EV Forecast VRZ'!$F$116:$T$122,4,FALSE)-HLOOKUP(B155-1,'EV Forecast VRZ'!$F$124:$T$130,4,FALSE)))*C155/78,0)</f>
        <v>377118.23711260792</v>
      </c>
      <c r="S155" s="47">
        <f ca="1">HLOOKUP(B155,Heating!$C$102:$O$106,4,FALSE)*INDEX(Weather!$BO$1:$CB$20,MATCH(B155,Weather!$BO$1:$BO$20,0),MATCH(C155,Weather!$BO$1:$CB$1,0))/VLOOKUP(B155,Weather!$BO$2:$CB$20,14,FALSE)</f>
        <v>383316.77042867965</v>
      </c>
      <c r="T155" s="47">
        <f t="shared" ca="1" si="125"/>
        <v>23856551.781724367</v>
      </c>
    </row>
    <row r="156" spans="1:20">
      <c r="A156" s="2">
        <f t="shared" si="128"/>
        <v>46721</v>
      </c>
      <c r="B156">
        <f t="shared" si="129"/>
        <v>2027</v>
      </c>
      <c r="C156">
        <f t="shared" si="130"/>
        <v>11</v>
      </c>
      <c r="E156" s="3">
        <f t="shared" ref="E156:F156" ca="1" si="173">E144</f>
        <v>486.62991389045737</v>
      </c>
      <c r="F156" s="3">
        <f t="shared" ca="1" si="173"/>
        <v>0.8083333333333329</v>
      </c>
      <c r="H156" s="97">
        <f>'Economic Data'!D170</f>
        <v>8357.0420015539985</v>
      </c>
      <c r="I156" s="47">
        <f t="shared" si="132"/>
        <v>30</v>
      </c>
      <c r="K156" s="3">
        <f t="shared" si="142"/>
        <v>-4083957</v>
      </c>
      <c r="L156" s="3">
        <f t="shared" ca="1" si="143"/>
        <v>5423860.2290437045</v>
      </c>
      <c r="M156" s="3">
        <f t="shared" ca="1" si="144"/>
        <v>27930.802416666651</v>
      </c>
      <c r="N156" s="3">
        <f t="shared" si="145"/>
        <v>0</v>
      </c>
      <c r="O156" s="3">
        <f t="shared" si="146"/>
        <v>8458830.7731329259</v>
      </c>
      <c r="P156" s="3">
        <f t="shared" si="147"/>
        <v>14301495</v>
      </c>
      <c r="Q156" s="47">
        <f t="shared" ca="1" si="133"/>
        <v>24128159.804593295</v>
      </c>
      <c r="R156" s="47">
        <f>IFERROR(HLOOKUP(B156-1,'EV Forecast VRZ'!$F$124:$T$130,4,FALSE)/12,0)+IFERROR(((HLOOKUP(B156,'EV Forecast VRZ'!$F$116:$T$122,4,FALSE)-HLOOKUP(B156-1,'EV Forecast VRZ'!$F$124:$T$130,4,FALSE)))*C156/78,0)</f>
        <v>383018.28881186829</v>
      </c>
      <c r="S156" s="47">
        <f ca="1">HLOOKUP(B156,Heating!$C$102:$O$106,4,FALSE)*INDEX(Weather!$BO$1:$CB$20,MATCH(B156,Weather!$BO$1:$BO$20,0),MATCH(C156,Weather!$BO$1:$CB$1,0))/VLOOKUP(B156,Weather!$BO$2:$CB$20,14,FALSE)</f>
        <v>687417.37085450231</v>
      </c>
      <c r="T156" s="47">
        <f t="shared" ca="1" si="125"/>
        <v>25198595.464259665</v>
      </c>
    </row>
    <row r="157" spans="1:20">
      <c r="A157" s="2">
        <f t="shared" si="128"/>
        <v>46752</v>
      </c>
      <c r="B157">
        <f t="shared" si="129"/>
        <v>2027</v>
      </c>
      <c r="C157">
        <f t="shared" si="130"/>
        <v>12</v>
      </c>
      <c r="E157" s="3">
        <f t="shared" ref="E157:F157" ca="1" si="174">E145</f>
        <v>639.92800724637686</v>
      </c>
      <c r="F157" s="3">
        <f t="shared" ca="1" si="174"/>
        <v>0</v>
      </c>
      <c r="H157" s="97">
        <f>'Economic Data'!D171</f>
        <v>8358.3698131651017</v>
      </c>
      <c r="I157" s="47">
        <f t="shared" si="132"/>
        <v>31</v>
      </c>
      <c r="K157" s="3">
        <f t="shared" si="142"/>
        <v>-4083957</v>
      </c>
      <c r="L157" s="3">
        <f t="shared" ca="1" si="143"/>
        <v>7132483.9860463776</v>
      </c>
      <c r="M157" s="3">
        <f t="shared" ca="1" si="144"/>
        <v>0</v>
      </c>
      <c r="N157" s="3">
        <f t="shared" si="145"/>
        <v>0</v>
      </c>
      <c r="O157" s="3">
        <f t="shared" si="146"/>
        <v>8460174.7574894521</v>
      </c>
      <c r="P157" s="3">
        <f t="shared" si="147"/>
        <v>14778211.5</v>
      </c>
      <c r="Q157" s="47">
        <f t="shared" ca="1" si="133"/>
        <v>26286913.243535832</v>
      </c>
      <c r="R157" s="47">
        <f>IFERROR(HLOOKUP(B157-1,'EV Forecast VRZ'!$F$124:$T$130,4,FALSE)/12,0)+IFERROR(((HLOOKUP(B157,'EV Forecast VRZ'!$F$116:$T$122,4,FALSE)-HLOOKUP(B157-1,'EV Forecast VRZ'!$F$124:$T$130,4,FALSE)))*C157/78,0)</f>
        <v>388918.34051112871</v>
      </c>
      <c r="S157" s="47">
        <f ca="1">HLOOKUP(B157,Heating!$C$102:$O$106,4,FALSE)*INDEX(Weather!$BO$1:$CB$20,MATCH(B157,Weather!$BO$1:$BO$20,0),MATCH(C157,Weather!$BO$1:$CB$1,0))/VLOOKUP(B157,Weather!$BO$2:$CB$20,14,FALSE)</f>
        <v>931199.94250213832</v>
      </c>
      <c r="T157" s="47">
        <f t="shared" ca="1" si="125"/>
        <v>27607031.526549097</v>
      </c>
    </row>
    <row r="158" spans="1:20">
      <c r="A158" s="2">
        <f t="shared" si="128"/>
        <v>46783</v>
      </c>
      <c r="B158">
        <f t="shared" si="129"/>
        <v>2028</v>
      </c>
      <c r="C158">
        <f t="shared" si="130"/>
        <v>1</v>
      </c>
      <c r="E158" s="3">
        <f t="shared" ref="E158:F158" ca="1" si="175">E146</f>
        <v>759.33418478260865</v>
      </c>
      <c r="F158" s="3">
        <f t="shared" ca="1" si="175"/>
        <v>0</v>
      </c>
      <c r="H158" s="97">
        <f>'Economic Data'!D172</f>
        <v>8385.6436547635967</v>
      </c>
      <c r="I158" s="47">
        <f t="shared" si="132"/>
        <v>31</v>
      </c>
      <c r="K158" s="3">
        <f t="shared" si="142"/>
        <v>-4083957</v>
      </c>
      <c r="L158" s="3">
        <f t="shared" ca="1" si="143"/>
        <v>8463356.5833826084</v>
      </c>
      <c r="M158" s="3">
        <f t="shared" ca="1" si="144"/>
        <v>0</v>
      </c>
      <c r="N158" s="3">
        <f t="shared" si="145"/>
        <v>0</v>
      </c>
      <c r="O158" s="3">
        <f t="shared" si="146"/>
        <v>8487780.7944786176</v>
      </c>
      <c r="P158" s="3">
        <f t="shared" si="147"/>
        <v>14778211.5</v>
      </c>
      <c r="Q158" s="47">
        <f t="shared" ca="1" si="133"/>
        <v>27645391.877861224</v>
      </c>
      <c r="R158" s="47">
        <f>IFERROR(HLOOKUP(B158-1,'EV Forecast VRZ'!$F$124:$T$130,4,FALSE)/12,0)+IFERROR(((HLOOKUP(B158,'EV Forecast VRZ'!$F$116:$T$122,4,FALSE)-HLOOKUP(B158-1,'EV Forecast VRZ'!$F$124:$T$130,4,FALSE)))*C158/78,0)</f>
        <v>405731.14949408628</v>
      </c>
      <c r="S158" s="47">
        <f ca="1">HLOOKUP(B158,Heating!$C$102:$O$106,4,FALSE)*INDEX(Weather!$BO$1:$CB$20,MATCH(B158,Weather!$BO$1:$BO$20,0),MATCH(C158,Weather!$BO$1:$CB$1,0))/VLOOKUP(B158,Weather!$BO$2:$CB$20,14,FALSE)</f>
        <v>1297277.0295652051</v>
      </c>
      <c r="T158" s="47">
        <f t="shared" ca="1" si="125"/>
        <v>29348400.056920514</v>
      </c>
    </row>
    <row r="159" spans="1:20">
      <c r="A159" s="2">
        <f t="shared" si="128"/>
        <v>46812</v>
      </c>
      <c r="B159">
        <f t="shared" si="129"/>
        <v>2028</v>
      </c>
      <c r="C159">
        <f t="shared" si="130"/>
        <v>2</v>
      </c>
      <c r="E159" s="3">
        <f t="shared" ref="E159:F159" ca="1" si="176">E147</f>
        <v>680.85501811594202</v>
      </c>
      <c r="F159" s="3">
        <f t="shared" ca="1" si="176"/>
        <v>0</v>
      </c>
      <c r="H159" s="97">
        <f>'Economic Data'!D173</f>
        <v>8415.3883164919989</v>
      </c>
      <c r="I159" s="47">
        <f t="shared" si="132"/>
        <v>28</v>
      </c>
      <c r="K159" s="3">
        <f t="shared" si="142"/>
        <v>-4083957</v>
      </c>
      <c r="L159" s="3">
        <f t="shared" ca="1" si="143"/>
        <v>7588646.6267159423</v>
      </c>
      <c r="M159" s="3">
        <f t="shared" ca="1" si="144"/>
        <v>0</v>
      </c>
      <c r="N159" s="3">
        <f t="shared" si="145"/>
        <v>0</v>
      </c>
      <c r="O159" s="3">
        <f t="shared" si="146"/>
        <v>8517887.7461868711</v>
      </c>
      <c r="P159" s="3">
        <f t="shared" si="147"/>
        <v>13348062</v>
      </c>
      <c r="Q159" s="47">
        <f t="shared" ca="1" si="133"/>
        <v>25370639.372902814</v>
      </c>
      <c r="R159" s="47">
        <f>IFERROR(HLOOKUP(B159-1,'EV Forecast VRZ'!$F$124:$T$130,4,FALSE)/12,0)+IFERROR(((HLOOKUP(B159,'EV Forecast VRZ'!$F$116:$T$122,4,FALSE)-HLOOKUP(B159-1,'EV Forecast VRZ'!$F$124:$T$130,4,FALSE)))*C159/78,0)</f>
        <v>411437.4801111166</v>
      </c>
      <c r="S159" s="47">
        <f ca="1">HLOOKUP(B159,Heating!$C$102:$O$106,4,FALSE)*INDEX(Weather!$BO$1:$CB$20,MATCH(B159,Weather!$BO$1:$BO$20,0),MATCH(C159,Weather!$BO$1:$CB$1,0))/VLOOKUP(B159,Weather!$BO$2:$CB$20,14,FALSE)</f>
        <v>1161325.1053296407</v>
      </c>
      <c r="T159" s="47">
        <f t="shared" ca="1" si="125"/>
        <v>26943401.958343573</v>
      </c>
    </row>
    <row r="160" spans="1:20">
      <c r="A160" s="2">
        <f t="shared" si="128"/>
        <v>46843</v>
      </c>
      <c r="B160">
        <f t="shared" si="129"/>
        <v>2028</v>
      </c>
      <c r="C160">
        <f t="shared" si="130"/>
        <v>3</v>
      </c>
      <c r="E160" s="3">
        <f t="shared" ref="E160:F160" ca="1" si="177">E148</f>
        <v>608.13298913043479</v>
      </c>
      <c r="F160" s="3">
        <f t="shared" ca="1" si="177"/>
        <v>0</v>
      </c>
      <c r="H160" s="97">
        <f>'Economic Data'!D174</f>
        <v>8425.0987730699981</v>
      </c>
      <c r="I160" s="47">
        <f t="shared" si="132"/>
        <v>31</v>
      </c>
      <c r="K160" s="3">
        <f t="shared" si="142"/>
        <v>-4083957</v>
      </c>
      <c r="L160" s="3">
        <f t="shared" ca="1" si="143"/>
        <v>6778104.3449304346</v>
      </c>
      <c r="M160" s="3">
        <f t="shared" ca="1" si="144"/>
        <v>0</v>
      </c>
      <c r="N160" s="3">
        <f t="shared" si="145"/>
        <v>0</v>
      </c>
      <c r="O160" s="3">
        <f t="shared" si="146"/>
        <v>8527716.476125991</v>
      </c>
      <c r="P160" s="3">
        <f t="shared" si="147"/>
        <v>14778211.5</v>
      </c>
      <c r="Q160" s="47">
        <f t="shared" ca="1" si="133"/>
        <v>26000075.321056426</v>
      </c>
      <c r="R160" s="47">
        <f>IFERROR(HLOOKUP(B160-1,'EV Forecast VRZ'!$F$124:$T$130,4,FALSE)/12,0)+IFERROR(((HLOOKUP(B160,'EV Forecast VRZ'!$F$116:$T$122,4,FALSE)-HLOOKUP(B160-1,'EV Forecast VRZ'!$F$124:$T$130,4,FALSE)))*C160/78,0)</f>
        <v>417143.81072814693</v>
      </c>
      <c r="S160" s="47">
        <f ca="1">HLOOKUP(B160,Heating!$C$102:$O$106,4,FALSE)*INDEX(Weather!$BO$1:$CB$20,MATCH(B160,Weather!$BO$1:$BO$20,0),MATCH(C160,Weather!$BO$1:$CB$1,0))/VLOOKUP(B160,Weather!$BO$2:$CB$20,14,FALSE)</f>
        <v>1015991.7545237865</v>
      </c>
      <c r="T160" s="47">
        <f t="shared" ca="1" si="125"/>
        <v>27433210.886308361</v>
      </c>
    </row>
    <row r="161" spans="1:20">
      <c r="A161" s="2">
        <f t="shared" si="128"/>
        <v>46873</v>
      </c>
      <c r="B161">
        <f t="shared" si="129"/>
        <v>2028</v>
      </c>
      <c r="C161">
        <f t="shared" si="130"/>
        <v>4</v>
      </c>
      <c r="E161" s="3">
        <f t="shared" ref="E161:F161" ca="1" si="178">E149</f>
        <v>412.37941287878795</v>
      </c>
      <c r="F161" s="3">
        <f t="shared" ca="1" si="178"/>
        <v>2.1908333333333347</v>
      </c>
      <c r="H161" s="97">
        <f>'Economic Data'!D175</f>
        <v>8409.6642578775991</v>
      </c>
      <c r="I161" s="47">
        <f t="shared" si="132"/>
        <v>30</v>
      </c>
      <c r="K161" s="3">
        <f t="shared" si="142"/>
        <v>-4083957</v>
      </c>
      <c r="L161" s="3">
        <f t="shared" ca="1" si="143"/>
        <v>4596281.9648878798</v>
      </c>
      <c r="M161" s="3">
        <f t="shared" ca="1" si="144"/>
        <v>75701.11294166671</v>
      </c>
      <c r="N161" s="3">
        <f t="shared" si="145"/>
        <v>0</v>
      </c>
      <c r="O161" s="3">
        <f t="shared" si="146"/>
        <v>8512093.9685385469</v>
      </c>
      <c r="P161" s="3">
        <f t="shared" si="147"/>
        <v>14301495</v>
      </c>
      <c r="Q161" s="47">
        <f t="shared" ca="1" si="133"/>
        <v>23401615.046368092</v>
      </c>
      <c r="R161" s="47">
        <f>IFERROR(HLOOKUP(B161-1,'EV Forecast VRZ'!$F$124:$T$130,4,FALSE)/12,0)+IFERROR(((HLOOKUP(B161,'EV Forecast VRZ'!$F$116:$T$122,4,FALSE)-HLOOKUP(B161-1,'EV Forecast VRZ'!$F$124:$T$130,4,FALSE)))*C161/78,0)</f>
        <v>422850.14134517725</v>
      </c>
      <c r="S161" s="47">
        <f ca="1">HLOOKUP(B161,Heating!$C$102:$O$106,4,FALSE)*INDEX(Weather!$BO$1:$CB$20,MATCH(B161,Weather!$BO$1:$BO$20,0),MATCH(C161,Weather!$BO$1:$CB$1,0))/VLOOKUP(B161,Weather!$BO$2:$CB$20,14,FALSE)</f>
        <v>655609.02098294185</v>
      </c>
      <c r="T161" s="47">
        <f t="shared" ca="1" si="125"/>
        <v>24480074.208696213</v>
      </c>
    </row>
    <row r="162" spans="1:20">
      <c r="A162" s="2">
        <f t="shared" si="128"/>
        <v>46904</v>
      </c>
      <c r="B162">
        <f t="shared" si="129"/>
        <v>2028</v>
      </c>
      <c r="C162">
        <f t="shared" si="130"/>
        <v>5</v>
      </c>
      <c r="E162" s="3">
        <f t="shared" ref="E162:F162" ca="1" si="179">E150</f>
        <v>202.70273119310133</v>
      </c>
      <c r="F162" s="3">
        <f t="shared" ca="1" si="179"/>
        <v>52.487435064935063</v>
      </c>
      <c r="H162" s="97">
        <f>'Economic Data'!D176</f>
        <v>8389.7322680595989</v>
      </c>
      <c r="I162" s="47">
        <f t="shared" si="132"/>
        <v>31</v>
      </c>
      <c r="K162" s="3">
        <f t="shared" si="142"/>
        <v>-4083957</v>
      </c>
      <c r="L162" s="3">
        <f t="shared" ca="1" si="143"/>
        <v>2259275.993222821</v>
      </c>
      <c r="M162" s="3">
        <f t="shared" ca="1" si="144"/>
        <v>1813628.2616366881</v>
      </c>
      <c r="N162" s="3">
        <f t="shared" si="145"/>
        <v>0</v>
      </c>
      <c r="O162" s="3">
        <f t="shared" si="146"/>
        <v>8491919.2070845645</v>
      </c>
      <c r="P162" s="3">
        <f t="shared" si="147"/>
        <v>14778211.5</v>
      </c>
      <c r="Q162" s="47">
        <f t="shared" ca="1" si="133"/>
        <v>23259077.961944073</v>
      </c>
      <c r="R162" s="47">
        <f>IFERROR(HLOOKUP(B162-1,'EV Forecast VRZ'!$F$124:$T$130,4,FALSE)/12,0)+IFERROR(((HLOOKUP(B162,'EV Forecast VRZ'!$F$116:$T$122,4,FALSE)-HLOOKUP(B162-1,'EV Forecast VRZ'!$F$124:$T$130,4,FALSE)))*C162/78,0)</f>
        <v>428556.47196220758</v>
      </c>
      <c r="S162" s="47">
        <f ca="1">HLOOKUP(B162,Heating!$C$102:$O$106,4,FALSE)*INDEX(Weather!$BO$1:$CB$20,MATCH(B162,Weather!$BO$1:$BO$20,0),MATCH(C162,Weather!$BO$1:$CB$1,0))/VLOOKUP(B162,Weather!$BO$2:$CB$20,14,FALSE)</f>
        <v>279305.32180115755</v>
      </c>
      <c r="T162" s="47">
        <f t="shared" ca="1" si="125"/>
        <v>23966939.755707435</v>
      </c>
    </row>
    <row r="163" spans="1:20">
      <c r="A163" s="2">
        <f t="shared" si="128"/>
        <v>46934</v>
      </c>
      <c r="B163">
        <f t="shared" si="129"/>
        <v>2028</v>
      </c>
      <c r="C163">
        <f t="shared" si="130"/>
        <v>6</v>
      </c>
      <c r="E163" s="3">
        <f t="shared" ref="E163:F163" ca="1" si="180">E151</f>
        <v>66.09717382617383</v>
      </c>
      <c r="F163" s="3">
        <f t="shared" ca="1" si="180"/>
        <v>137.65451754405018</v>
      </c>
      <c r="H163" s="97">
        <f>'Economic Data'!D177</f>
        <v>8386.3591620903971</v>
      </c>
      <c r="I163" s="47">
        <f t="shared" si="132"/>
        <v>30</v>
      </c>
      <c r="K163" s="3">
        <f t="shared" si="142"/>
        <v>-4083957</v>
      </c>
      <c r="L163" s="3">
        <f t="shared" ca="1" si="143"/>
        <v>736703.23614481522</v>
      </c>
      <c r="M163" s="3">
        <f t="shared" ca="1" si="144"/>
        <v>4756455.0077745663</v>
      </c>
      <c r="N163" s="3">
        <f t="shared" si="145"/>
        <v>0</v>
      </c>
      <c r="O163" s="3">
        <f t="shared" si="146"/>
        <v>8488505.016684657</v>
      </c>
      <c r="P163" s="3">
        <f t="shared" si="147"/>
        <v>14301495</v>
      </c>
      <c r="Q163" s="47">
        <f t="shared" ca="1" si="133"/>
        <v>24199201.260604039</v>
      </c>
      <c r="R163" s="47">
        <f>IFERROR(HLOOKUP(B163-1,'EV Forecast VRZ'!$F$124:$T$130,4,FALSE)/12,0)+IFERROR(((HLOOKUP(B163,'EV Forecast VRZ'!$F$116:$T$122,4,FALSE)-HLOOKUP(B163-1,'EV Forecast VRZ'!$F$124:$T$130,4,FALSE)))*C163/78,0)</f>
        <v>434262.80257923796</v>
      </c>
      <c r="S163" s="47">
        <f ca="1">HLOOKUP(B163,Heating!$C$102:$O$106,4,FALSE)*INDEX(Weather!$BO$1:$CB$20,MATCH(B163,Weather!$BO$1:$BO$20,0),MATCH(C163,Weather!$BO$1:$CB$1,0))/VLOOKUP(B163,Weather!$BO$2:$CB$20,14,FALSE)</f>
        <v>60499.898586051997</v>
      </c>
      <c r="T163" s="47">
        <f t="shared" ca="1" si="125"/>
        <v>24693963.961769331</v>
      </c>
    </row>
    <row r="164" spans="1:20">
      <c r="A164" s="2">
        <f t="shared" si="128"/>
        <v>46965</v>
      </c>
      <c r="B164">
        <f t="shared" si="129"/>
        <v>2028</v>
      </c>
      <c r="C164">
        <f t="shared" si="130"/>
        <v>7</v>
      </c>
      <c r="E164" s="3">
        <f t="shared" ref="E164:F164" ca="1" si="181">E152</f>
        <v>10.249063146997932</v>
      </c>
      <c r="F164" s="3">
        <f t="shared" ca="1" si="181"/>
        <v>235.94737858727848</v>
      </c>
      <c r="H164" s="97">
        <f>'Economic Data'!D178</f>
        <v>8407.4182548249428</v>
      </c>
      <c r="I164" s="47">
        <f t="shared" si="132"/>
        <v>31</v>
      </c>
      <c r="K164" s="3">
        <f t="shared" si="142"/>
        <v>-4083957</v>
      </c>
      <c r="L164" s="3">
        <f t="shared" ca="1" si="143"/>
        <v>114233.59806128367</v>
      </c>
      <c r="M164" s="3">
        <f t="shared" ca="1" si="144"/>
        <v>8152824.2623320278</v>
      </c>
      <c r="N164" s="3">
        <f t="shared" si="145"/>
        <v>0</v>
      </c>
      <c r="O164" s="3">
        <f t="shared" si="146"/>
        <v>8509820.6091687102</v>
      </c>
      <c r="P164" s="3">
        <f t="shared" si="147"/>
        <v>14778211.5</v>
      </c>
      <c r="Q164" s="47">
        <f t="shared" ca="1" si="133"/>
        <v>27471132.969562024</v>
      </c>
      <c r="R164" s="47">
        <f>IFERROR(HLOOKUP(B164-1,'EV Forecast VRZ'!$F$124:$T$130,4,FALSE)/12,0)+IFERROR(((HLOOKUP(B164,'EV Forecast VRZ'!$F$116:$T$122,4,FALSE)-HLOOKUP(B164-1,'EV Forecast VRZ'!$F$124:$T$130,4,FALSE)))*C164/78,0)</f>
        <v>439969.13319626823</v>
      </c>
      <c r="S164" s="47">
        <f ca="1">HLOOKUP(B164,Heating!$C$102:$O$106,4,FALSE)*INDEX(Weather!$BO$1:$CB$20,MATCH(B164,Weather!$BO$1:$BO$20,0),MATCH(C164,Weather!$BO$1:$CB$1,0))/VLOOKUP(B164,Weather!$BO$2:$CB$20,14,FALSE)</f>
        <v>3009.8712686395679</v>
      </c>
      <c r="T164" s="47">
        <f t="shared" ca="1" si="125"/>
        <v>27914111.974026933</v>
      </c>
    </row>
    <row r="165" spans="1:20">
      <c r="A165" s="2">
        <f t="shared" si="128"/>
        <v>46996</v>
      </c>
      <c r="B165">
        <f t="shared" si="129"/>
        <v>2028</v>
      </c>
      <c r="C165">
        <f t="shared" si="130"/>
        <v>8</v>
      </c>
      <c r="E165" s="3">
        <f t="shared" ref="E165:F165" ca="1" si="182">E153</f>
        <v>21.194927536231887</v>
      </c>
      <c r="F165" s="3">
        <f t="shared" ca="1" si="182"/>
        <v>210.96558794466404</v>
      </c>
      <c r="H165" s="97">
        <f>'Economic Data'!D179</f>
        <v>8413.8078885762607</v>
      </c>
      <c r="I165" s="47">
        <f t="shared" si="132"/>
        <v>31</v>
      </c>
      <c r="K165" s="3">
        <f t="shared" si="142"/>
        <v>-4083957</v>
      </c>
      <c r="L165" s="3">
        <f t="shared" ca="1" si="143"/>
        <v>236233.57553623192</v>
      </c>
      <c r="M165" s="3">
        <f t="shared" ca="1" si="144"/>
        <v>7289614.2106371047</v>
      </c>
      <c r="N165" s="3">
        <f t="shared" si="145"/>
        <v>0</v>
      </c>
      <c r="O165" s="3">
        <f t="shared" si="146"/>
        <v>8516288.0686591193</v>
      </c>
      <c r="P165" s="3">
        <f t="shared" si="147"/>
        <v>14778211.5</v>
      </c>
      <c r="Q165" s="47">
        <f t="shared" ca="1" si="133"/>
        <v>26736390.354832456</v>
      </c>
      <c r="R165" s="47">
        <f>IFERROR(HLOOKUP(B165-1,'EV Forecast VRZ'!$F$124:$T$130,4,FALSE)/12,0)+IFERROR(((HLOOKUP(B165,'EV Forecast VRZ'!$F$116:$T$122,4,FALSE)-HLOOKUP(B165-1,'EV Forecast VRZ'!$F$124:$T$130,4,FALSE)))*C165/78,0)</f>
        <v>445675.46381329861</v>
      </c>
      <c r="S165" s="47">
        <f ca="1">HLOOKUP(B165,Heating!$C$102:$O$106,4,FALSE)*INDEX(Weather!$BO$1:$CB$20,MATCH(B165,Weather!$BO$1:$BO$20,0),MATCH(C165,Weather!$BO$1:$CB$1,0))/VLOOKUP(B165,Weather!$BO$2:$CB$20,14,FALSE)</f>
        <v>10510.907649434086</v>
      </c>
      <c r="T165" s="47">
        <f t="shared" ca="1" si="125"/>
        <v>27192576.726295188</v>
      </c>
    </row>
    <row r="166" spans="1:20">
      <c r="A166" s="2">
        <f t="shared" si="128"/>
        <v>47026</v>
      </c>
      <c r="B166">
        <f t="shared" si="129"/>
        <v>2028</v>
      </c>
      <c r="C166">
        <f t="shared" si="130"/>
        <v>9</v>
      </c>
      <c r="E166" s="3">
        <f t="shared" ref="E166:F166" ca="1" si="183">E154</f>
        <v>96.735690993788822</v>
      </c>
      <c r="F166" s="3">
        <f t="shared" ca="1" si="183"/>
        <v>106.4160119047619</v>
      </c>
      <c r="H166" s="97">
        <f>'Economic Data'!D180</f>
        <v>8427.6177421678331</v>
      </c>
      <c r="I166" s="47">
        <f t="shared" si="132"/>
        <v>30</v>
      </c>
      <c r="K166" s="3">
        <f t="shared" si="142"/>
        <v>-4083957</v>
      </c>
      <c r="L166" s="3">
        <f t="shared" ca="1" si="143"/>
        <v>1078192.7952509318</v>
      </c>
      <c r="M166" s="3">
        <f t="shared" ca="1" si="144"/>
        <v>3677053.1164720235</v>
      </c>
      <c r="N166" s="3">
        <f t="shared" si="145"/>
        <v>0</v>
      </c>
      <c r="O166" s="3">
        <f t="shared" si="146"/>
        <v>8530266.1262674369</v>
      </c>
      <c r="P166" s="3">
        <f t="shared" si="147"/>
        <v>14301495</v>
      </c>
      <c r="Q166" s="47">
        <f t="shared" ca="1" si="133"/>
        <v>23503050.037990391</v>
      </c>
      <c r="R166" s="47">
        <f>IFERROR(HLOOKUP(B166-1,'EV Forecast VRZ'!$F$124:$T$130,4,FALSE)/12,0)+IFERROR(((HLOOKUP(B166,'EV Forecast VRZ'!$F$116:$T$122,4,FALSE)-HLOOKUP(B166-1,'EV Forecast VRZ'!$F$124:$T$130,4,FALSE)))*C166/78,0)</f>
        <v>451381.79443032894</v>
      </c>
      <c r="S166" s="47">
        <f ca="1">HLOOKUP(B166,Heating!$C$102:$O$106,4,FALSE)*INDEX(Weather!$BO$1:$CB$20,MATCH(B166,Weather!$BO$1:$BO$20,0),MATCH(C166,Weather!$BO$1:$CB$1,0))/VLOOKUP(B166,Weather!$BO$2:$CB$20,14,FALSE)</f>
        <v>102243.11659296221</v>
      </c>
      <c r="T166" s="47">
        <f t="shared" ca="1" si="125"/>
        <v>24056674.949013684</v>
      </c>
    </row>
    <row r="167" spans="1:20">
      <c r="A167" s="2">
        <f t="shared" si="128"/>
        <v>47057</v>
      </c>
      <c r="B167">
        <f t="shared" si="129"/>
        <v>2028</v>
      </c>
      <c r="C167">
        <f t="shared" si="130"/>
        <v>10</v>
      </c>
      <c r="E167" s="3">
        <f t="shared" ref="E167:F167" ca="1" si="184">E155</f>
        <v>298.21097826086958</v>
      </c>
      <c r="F167" s="3">
        <f t="shared" ca="1" si="184"/>
        <v>17.987083333333334</v>
      </c>
      <c r="H167" s="97">
        <f>'Economic Data'!D181</f>
        <v>8429.9880901723554</v>
      </c>
      <c r="I167" s="47">
        <f t="shared" si="132"/>
        <v>31</v>
      </c>
      <c r="K167" s="3">
        <f t="shared" si="142"/>
        <v>-4083957</v>
      </c>
      <c r="L167" s="3">
        <f t="shared" ca="1" si="143"/>
        <v>3323787.9930608696</v>
      </c>
      <c r="M167" s="3">
        <f t="shared" ca="1" si="144"/>
        <v>621517.94305416674</v>
      </c>
      <c r="N167" s="3">
        <f t="shared" si="145"/>
        <v>0</v>
      </c>
      <c r="O167" s="3">
        <f t="shared" si="146"/>
        <v>8532665.3451106548</v>
      </c>
      <c r="P167" s="3">
        <f t="shared" si="147"/>
        <v>14778211.5</v>
      </c>
      <c r="Q167" s="47">
        <f t="shared" ca="1" si="133"/>
        <v>23172225.781225689</v>
      </c>
      <c r="R167" s="47">
        <f>IFERROR(HLOOKUP(B167-1,'EV Forecast VRZ'!$F$124:$T$130,4,FALSE)/12,0)+IFERROR(((HLOOKUP(B167,'EV Forecast VRZ'!$F$116:$T$122,4,FALSE)-HLOOKUP(B167-1,'EV Forecast VRZ'!$F$124:$T$130,4,FALSE)))*C167/78,0)</f>
        <v>457088.12504735927</v>
      </c>
      <c r="S167" s="47">
        <f ca="1">HLOOKUP(B167,Heating!$C$102:$O$106,4,FALSE)*INDEX(Weather!$BO$1:$CB$20,MATCH(B167,Weather!$BO$1:$BO$20,0),MATCH(C167,Weather!$BO$1:$CB$1,0))/VLOOKUP(B167,Weather!$BO$2:$CB$20,14,FALSE)</f>
        <v>442568.39234716597</v>
      </c>
      <c r="T167" s="47">
        <f t="shared" ca="1" si="125"/>
        <v>24071882.298620213</v>
      </c>
    </row>
    <row r="168" spans="1:20">
      <c r="A168" s="2">
        <f t="shared" si="128"/>
        <v>47087</v>
      </c>
      <c r="B168">
        <f t="shared" si="129"/>
        <v>2028</v>
      </c>
      <c r="C168">
        <f t="shared" si="130"/>
        <v>11</v>
      </c>
      <c r="E168" s="3">
        <f t="shared" ref="E168:F168" ca="1" si="185">E156</f>
        <v>486.62991389045737</v>
      </c>
      <c r="F168" s="3">
        <f t="shared" ca="1" si="185"/>
        <v>0.8083333333333329</v>
      </c>
      <c r="H168" s="97">
        <f>'Economic Data'!D182</f>
        <v>8432.2553795679833</v>
      </c>
      <c r="I168" s="47">
        <f t="shared" si="132"/>
        <v>30</v>
      </c>
      <c r="K168" s="3">
        <f t="shared" si="142"/>
        <v>-4083957</v>
      </c>
      <c r="L168" s="3">
        <f t="shared" ca="1" si="143"/>
        <v>5423860.2290437045</v>
      </c>
      <c r="M168" s="3">
        <f t="shared" ca="1" si="144"/>
        <v>27930.802416666651</v>
      </c>
      <c r="N168" s="3">
        <f t="shared" si="145"/>
        <v>0</v>
      </c>
      <c r="O168" s="3">
        <f t="shared" si="146"/>
        <v>8534960.2500911206</v>
      </c>
      <c r="P168" s="3">
        <f t="shared" si="147"/>
        <v>14301495</v>
      </c>
      <c r="Q168" s="47">
        <f t="shared" ca="1" si="133"/>
        <v>24204289.281551491</v>
      </c>
      <c r="R168" s="47">
        <f>IFERROR(HLOOKUP(B168-1,'EV Forecast VRZ'!$F$124:$T$130,4,FALSE)/12,0)+IFERROR(((HLOOKUP(B168,'EV Forecast VRZ'!$F$116:$T$122,4,FALSE)-HLOOKUP(B168-1,'EV Forecast VRZ'!$F$124:$T$130,4,FALSE)))*C168/78,0)</f>
        <v>462794.45566438959</v>
      </c>
      <c r="S168" s="47">
        <f ca="1">HLOOKUP(B168,Heating!$C$102:$O$106,4,FALSE)*INDEX(Weather!$BO$1:$CB$20,MATCH(B168,Weather!$BO$1:$BO$20,0),MATCH(C168,Weather!$BO$1:$CB$1,0))/VLOOKUP(B168,Weather!$BO$2:$CB$20,14,FALSE)</f>
        <v>793675.68590948952</v>
      </c>
      <c r="T168" s="47">
        <f t="shared" ca="1" si="125"/>
        <v>25460759.423125371</v>
      </c>
    </row>
    <row r="169" spans="1:20">
      <c r="A169" s="2">
        <f t="shared" si="128"/>
        <v>47118</v>
      </c>
      <c r="B169">
        <f t="shared" si="129"/>
        <v>2028</v>
      </c>
      <c r="C169">
        <f t="shared" si="130"/>
        <v>12</v>
      </c>
      <c r="E169" s="3">
        <f t="shared" ref="E169:F169" ca="1" si="186">E157</f>
        <v>639.92800724637686</v>
      </c>
      <c r="F169" s="3">
        <f t="shared" ca="1" si="186"/>
        <v>0</v>
      </c>
      <c r="H169" s="97">
        <f>'Economic Data'!D183</f>
        <v>8433.5951414835872</v>
      </c>
      <c r="I169" s="47">
        <f t="shared" si="132"/>
        <v>31</v>
      </c>
      <c r="K169" s="3">
        <f t="shared" si="142"/>
        <v>-4083957</v>
      </c>
      <c r="L169" s="3">
        <f t="shared" ca="1" si="143"/>
        <v>7132483.9860463776</v>
      </c>
      <c r="M169" s="3">
        <f t="shared" ca="1" si="144"/>
        <v>0</v>
      </c>
      <c r="N169" s="3">
        <f t="shared" si="145"/>
        <v>0</v>
      </c>
      <c r="O169" s="3">
        <f t="shared" si="146"/>
        <v>8536316.330306856</v>
      </c>
      <c r="P169" s="3">
        <f t="shared" si="147"/>
        <v>14778211.5</v>
      </c>
      <c r="Q169" s="47">
        <f t="shared" ca="1" si="133"/>
        <v>26363054.816353232</v>
      </c>
      <c r="R169" s="47">
        <f>IFERROR(HLOOKUP(B169-1,'EV Forecast VRZ'!$F$124:$T$130,4,FALSE)/12,0)+IFERROR(((HLOOKUP(B169,'EV Forecast VRZ'!$F$116:$T$122,4,FALSE)-HLOOKUP(B169-1,'EV Forecast VRZ'!$F$124:$T$130,4,FALSE)))*C169/78,0)</f>
        <v>468500.78628141992</v>
      </c>
      <c r="S169" s="47">
        <f ca="1">HLOOKUP(B169,Heating!$C$102:$O$106,4,FALSE)*INDEX(Weather!$BO$1:$CB$20,MATCH(B169,Weather!$BO$1:$BO$20,0),MATCH(C169,Weather!$BO$1:$CB$1,0))/VLOOKUP(B169,Weather!$BO$2:$CB$20,14,FALSE)</f>
        <v>1075141.2233961315</v>
      </c>
      <c r="T169" s="47">
        <f t="shared" ca="1" si="125"/>
        <v>27906696.826030783</v>
      </c>
    </row>
    <row r="170" spans="1:20">
      <c r="A170" s="2">
        <f t="shared" si="128"/>
        <v>47149</v>
      </c>
      <c r="B170">
        <f t="shared" si="129"/>
        <v>2029</v>
      </c>
      <c r="C170">
        <f t="shared" si="130"/>
        <v>1</v>
      </c>
      <c r="E170" s="3">
        <f t="shared" ref="E170:F170" ca="1" si="187">E158</f>
        <v>759.33418478260865</v>
      </c>
      <c r="F170" s="3">
        <f t="shared" ca="1" si="187"/>
        <v>0</v>
      </c>
      <c r="H170" s="97">
        <f>'Economic Data'!D184</f>
        <v>8461.1144476564677</v>
      </c>
      <c r="I170" s="47">
        <f t="shared" si="132"/>
        <v>31</v>
      </c>
      <c r="K170" s="3">
        <f t="shared" si="142"/>
        <v>-4083957</v>
      </c>
      <c r="L170" s="3">
        <f t="shared" ca="1" si="143"/>
        <v>8463356.5833826084</v>
      </c>
      <c r="M170" s="3">
        <f t="shared" ca="1" si="144"/>
        <v>0</v>
      </c>
      <c r="N170" s="3">
        <f t="shared" si="145"/>
        <v>0</v>
      </c>
      <c r="O170" s="3">
        <f t="shared" si="146"/>
        <v>8564170.8216289226</v>
      </c>
      <c r="P170" s="3">
        <f t="shared" si="147"/>
        <v>14778211.5</v>
      </c>
      <c r="Q170" s="47">
        <f t="shared" ca="1" si="133"/>
        <v>27721781.905011531</v>
      </c>
      <c r="R170" s="47">
        <f>IFERROR(HLOOKUP(B170-1,'EV Forecast VRZ'!$F$124:$T$130,4,FALSE)/12,0)+IFERROR(((HLOOKUP(B170,'EV Forecast VRZ'!$F$116:$T$122,4,FALSE)-HLOOKUP(B170-1,'EV Forecast VRZ'!$F$124:$T$130,4,FALSE)))*C170/78,0)</f>
        <v>495050.37528661499</v>
      </c>
      <c r="S170" s="47">
        <f ca="1">HLOOKUP(B170,Heating!$C$102:$O$106,4,FALSE)*INDEX(Weather!$BO$1:$CB$20,MATCH(B170,Weather!$BO$1:$BO$20,0),MATCH(C170,Weather!$BO$1:$CB$1,0))/VLOOKUP(B170,Weather!$BO$2:$CB$20,14,FALSE)</f>
        <v>1479002.2099161467</v>
      </c>
      <c r="T170" s="47">
        <f t="shared" ca="1" si="125"/>
        <v>29695834.490214296</v>
      </c>
    </row>
    <row r="171" spans="1:20">
      <c r="A171" s="2">
        <f t="shared" si="128"/>
        <v>47177</v>
      </c>
      <c r="B171">
        <f t="shared" si="129"/>
        <v>2029</v>
      </c>
      <c r="C171">
        <f t="shared" si="130"/>
        <v>2</v>
      </c>
      <c r="E171" s="3">
        <f t="shared" ref="E171:F171" ca="1" si="188">E159</f>
        <v>680.85501811594202</v>
      </c>
      <c r="F171" s="3">
        <f t="shared" ca="1" si="188"/>
        <v>0</v>
      </c>
      <c r="H171" s="97">
        <f>'Economic Data'!D185</f>
        <v>8491.1268113404258</v>
      </c>
      <c r="I171" s="47">
        <f t="shared" si="132"/>
        <v>28</v>
      </c>
      <c r="K171" s="3">
        <f t="shared" si="142"/>
        <v>-4083957</v>
      </c>
      <c r="L171" s="3">
        <f t="shared" ca="1" si="143"/>
        <v>7588646.6267159423</v>
      </c>
      <c r="M171" s="3">
        <f t="shared" ca="1" si="144"/>
        <v>0</v>
      </c>
      <c r="N171" s="3">
        <f t="shared" si="145"/>
        <v>0</v>
      </c>
      <c r="O171" s="3">
        <f t="shared" si="146"/>
        <v>8594548.7359025516</v>
      </c>
      <c r="P171" s="3">
        <f t="shared" si="147"/>
        <v>13348062</v>
      </c>
      <c r="Q171" s="47">
        <f t="shared" ca="1" si="133"/>
        <v>25447300.362618495</v>
      </c>
      <c r="R171" s="47">
        <f>IFERROR(HLOOKUP(B171-1,'EV Forecast VRZ'!$F$124:$T$130,4,FALSE)/12,0)+IFERROR(((HLOOKUP(B171,'EV Forecast VRZ'!$F$116:$T$122,4,FALSE)-HLOOKUP(B171-1,'EV Forecast VRZ'!$F$124:$T$130,4,FALSE)))*C171/78,0)</f>
        <v>502830.18034144636</v>
      </c>
      <c r="S171" s="47">
        <f ca="1">HLOOKUP(B171,Heating!$C$102:$O$106,4,FALSE)*INDEX(Weather!$BO$1:$CB$20,MATCH(B171,Weather!$BO$1:$BO$20,0),MATCH(C171,Weather!$BO$1:$CB$1,0))/VLOOKUP(B171,Weather!$BO$2:$CB$20,14,FALSE)</f>
        <v>1324005.8661867401</v>
      </c>
      <c r="T171" s="47">
        <f t="shared" ca="1" si="125"/>
        <v>27274136.409146681</v>
      </c>
    </row>
    <row r="172" spans="1:20">
      <c r="A172" s="2">
        <f t="shared" si="128"/>
        <v>47208</v>
      </c>
      <c r="B172">
        <f t="shared" si="129"/>
        <v>2029</v>
      </c>
      <c r="C172">
        <f t="shared" si="130"/>
        <v>3</v>
      </c>
      <c r="E172" s="3">
        <f t="shared" ref="E172:F172" ca="1" si="189">E160</f>
        <v>608.13298913043479</v>
      </c>
      <c r="F172" s="3">
        <f t="shared" ca="1" si="189"/>
        <v>0</v>
      </c>
      <c r="H172" s="97">
        <f>'Economic Data'!D186</f>
        <v>8500.9246620276281</v>
      </c>
      <c r="I172" s="47">
        <f t="shared" si="132"/>
        <v>31</v>
      </c>
      <c r="K172" s="3">
        <f t="shared" si="142"/>
        <v>-4083957</v>
      </c>
      <c r="L172" s="3">
        <f t="shared" ca="1" si="143"/>
        <v>6778104.3449304346</v>
      </c>
      <c r="M172" s="3">
        <f t="shared" ca="1" si="144"/>
        <v>0</v>
      </c>
      <c r="N172" s="3">
        <f t="shared" si="145"/>
        <v>0</v>
      </c>
      <c r="O172" s="3">
        <f t="shared" si="146"/>
        <v>8604465.9244111236</v>
      </c>
      <c r="P172" s="3">
        <f t="shared" si="147"/>
        <v>14778211.5</v>
      </c>
      <c r="Q172" s="47">
        <f t="shared" ca="1" si="133"/>
        <v>26076824.769341558</v>
      </c>
      <c r="R172" s="47">
        <f>IFERROR(HLOOKUP(B172-1,'EV Forecast VRZ'!$F$124:$T$130,4,FALSE)/12,0)+IFERROR(((HLOOKUP(B172,'EV Forecast VRZ'!$F$116:$T$122,4,FALSE)-HLOOKUP(B172-1,'EV Forecast VRZ'!$F$124:$T$130,4,FALSE)))*C172/78,0)</f>
        <v>510609.98539627768</v>
      </c>
      <c r="S172" s="47">
        <f ca="1">HLOOKUP(B172,Heating!$C$102:$O$106,4,FALSE)*INDEX(Weather!$BO$1:$CB$20,MATCH(B172,Weather!$BO$1:$BO$20,0),MATCH(C172,Weather!$BO$1:$CB$1,0))/VLOOKUP(B172,Weather!$BO$2:$CB$20,14,FALSE)</f>
        <v>1158313.9267492408</v>
      </c>
      <c r="T172" s="47">
        <f t="shared" ca="1" si="125"/>
        <v>27745748.681487076</v>
      </c>
    </row>
    <row r="173" spans="1:20">
      <c r="A173" s="2">
        <f t="shared" si="128"/>
        <v>47238</v>
      </c>
      <c r="B173">
        <f t="shared" si="129"/>
        <v>2029</v>
      </c>
      <c r="C173">
        <f t="shared" si="130"/>
        <v>4</v>
      </c>
      <c r="E173" s="3">
        <f t="shared" ref="E173:F173" ca="1" si="190">E161</f>
        <v>412.37941287878795</v>
      </c>
      <c r="F173" s="3">
        <f t="shared" ca="1" si="190"/>
        <v>2.1908333333333347</v>
      </c>
      <c r="H173" s="97">
        <f>'Economic Data'!D187</f>
        <v>8485.3512361984958</v>
      </c>
      <c r="I173" s="47">
        <f t="shared" si="132"/>
        <v>30</v>
      </c>
      <c r="K173" s="3">
        <f t="shared" si="142"/>
        <v>-4083957</v>
      </c>
      <c r="L173" s="3">
        <f t="shared" ca="1" si="143"/>
        <v>4596281.9648878798</v>
      </c>
      <c r="M173" s="3">
        <f t="shared" ca="1" si="144"/>
        <v>75701.11294166671</v>
      </c>
      <c r="N173" s="3">
        <f t="shared" si="145"/>
        <v>0</v>
      </c>
      <c r="O173" s="3">
        <f t="shared" si="146"/>
        <v>8588702.8142553922</v>
      </c>
      <c r="P173" s="3">
        <f t="shared" si="147"/>
        <v>14301495</v>
      </c>
      <c r="Q173" s="47">
        <f t="shared" ca="1" si="133"/>
        <v>23478223.892084941</v>
      </c>
      <c r="R173" s="47">
        <f>IFERROR(HLOOKUP(B173-1,'EV Forecast VRZ'!$F$124:$T$130,4,FALSE)/12,0)+IFERROR(((HLOOKUP(B173,'EV Forecast VRZ'!$F$116:$T$122,4,FALSE)-HLOOKUP(B173-1,'EV Forecast VRZ'!$F$124:$T$130,4,FALSE)))*C173/78,0)</f>
        <v>518389.79045110906</v>
      </c>
      <c r="S173" s="47">
        <f ca="1">HLOOKUP(B173,Heating!$C$102:$O$106,4,FALSE)*INDEX(Weather!$BO$1:$CB$20,MATCH(B173,Weather!$BO$1:$BO$20,0),MATCH(C173,Weather!$BO$1:$CB$1,0))/VLOOKUP(B173,Weather!$BO$2:$CB$20,14,FALSE)</f>
        <v>747448.05371272098</v>
      </c>
      <c r="T173" s="47">
        <f t="shared" ca="1" si="125"/>
        <v>24744061.736248773</v>
      </c>
    </row>
    <row r="174" spans="1:20">
      <c r="A174" s="2">
        <f t="shared" si="128"/>
        <v>47269</v>
      </c>
      <c r="B174">
        <f t="shared" si="129"/>
        <v>2029</v>
      </c>
      <c r="C174">
        <f t="shared" si="130"/>
        <v>5</v>
      </c>
      <c r="E174" s="3">
        <f t="shared" ref="E174:F174" ca="1" si="191">E162</f>
        <v>202.70273119310133</v>
      </c>
      <c r="F174" s="3">
        <f t="shared" ca="1" si="191"/>
        <v>52.487435064935063</v>
      </c>
      <c r="H174" s="97">
        <f>'Economic Data'!D188</f>
        <v>8465.2398584721341</v>
      </c>
      <c r="I174" s="47">
        <f t="shared" si="132"/>
        <v>31</v>
      </c>
      <c r="K174" s="3">
        <f t="shared" si="142"/>
        <v>-4083957</v>
      </c>
      <c r="L174" s="3">
        <f t="shared" ca="1" si="143"/>
        <v>2259275.993222821</v>
      </c>
      <c r="M174" s="3">
        <f t="shared" ca="1" si="144"/>
        <v>1813628.2616366881</v>
      </c>
      <c r="N174" s="3">
        <f t="shared" si="145"/>
        <v>0</v>
      </c>
      <c r="O174" s="3">
        <f t="shared" si="146"/>
        <v>8568346.4799483251</v>
      </c>
      <c r="P174" s="3">
        <f t="shared" si="147"/>
        <v>14778211.5</v>
      </c>
      <c r="Q174" s="47">
        <f t="shared" ref="Q174:Q205" ca="1" si="192">SUM(K174:P174)</f>
        <v>23335505.234807834</v>
      </c>
      <c r="R174" s="47">
        <f>IFERROR(HLOOKUP(B174-1,'EV Forecast VRZ'!$F$124:$T$130,4,FALSE)/12,0)+IFERROR(((HLOOKUP(B174,'EV Forecast VRZ'!$F$116:$T$122,4,FALSE)-HLOOKUP(B174-1,'EV Forecast VRZ'!$F$124:$T$130,4,FALSE)))*C174/78,0)</f>
        <v>526169.59550594038</v>
      </c>
      <c r="S174" s="47">
        <f ca="1">HLOOKUP(B174,Heating!$C$102:$O$106,4,FALSE)*INDEX(Weather!$BO$1:$CB$20,MATCH(B174,Weather!$BO$1:$BO$20,0),MATCH(C174,Weather!$BO$1:$CB$1,0))/VLOOKUP(B174,Weather!$BO$2:$CB$20,14,FALSE)</f>
        <v>318430.97408708819</v>
      </c>
      <c r="T174" s="47">
        <f t="shared" ca="1" si="125"/>
        <v>24180105.804400865</v>
      </c>
    </row>
    <row r="175" spans="1:20">
      <c r="A175" s="2">
        <f t="shared" ref="A175:A205" si="193">EOMONTH(A174,1)</f>
        <v>47299</v>
      </c>
      <c r="B175">
        <f t="shared" ref="B175:B205" si="194">YEAR(A175)</f>
        <v>2029</v>
      </c>
      <c r="C175">
        <f t="shared" ref="C175:C205" si="195">MONTH(A175)</f>
        <v>6</v>
      </c>
      <c r="E175" s="3">
        <f t="shared" ref="E175:F175" ca="1" si="196">E163</f>
        <v>66.09717382617383</v>
      </c>
      <c r="F175" s="3">
        <f t="shared" ca="1" si="196"/>
        <v>137.65451754405018</v>
      </c>
      <c r="H175" s="97">
        <f>'Economic Data'!D189</f>
        <v>8461.8363945492092</v>
      </c>
      <c r="I175" s="47">
        <f t="shared" ref="I175:I205" si="197">I139</f>
        <v>30</v>
      </c>
      <c r="K175" s="3">
        <f t="shared" si="142"/>
        <v>-4083957</v>
      </c>
      <c r="L175" s="3">
        <f t="shared" ca="1" si="143"/>
        <v>736703.23614481522</v>
      </c>
      <c r="M175" s="3">
        <f t="shared" ca="1" si="144"/>
        <v>4756455.0077745663</v>
      </c>
      <c r="N175" s="3">
        <f t="shared" si="145"/>
        <v>0</v>
      </c>
      <c r="O175" s="3">
        <f t="shared" si="146"/>
        <v>8564901.5618348178</v>
      </c>
      <c r="P175" s="3">
        <f t="shared" si="147"/>
        <v>14301495</v>
      </c>
      <c r="Q175" s="47">
        <f t="shared" ca="1" si="192"/>
        <v>24275597.8057542</v>
      </c>
      <c r="R175" s="47">
        <f>IFERROR(HLOOKUP(B175-1,'EV Forecast VRZ'!$F$124:$T$130,4,FALSE)/12,0)+IFERROR(((HLOOKUP(B175,'EV Forecast VRZ'!$F$116:$T$122,4,FALSE)-HLOOKUP(B175-1,'EV Forecast VRZ'!$F$124:$T$130,4,FALSE)))*C175/78,0)</f>
        <v>533949.4005607717</v>
      </c>
      <c r="S175" s="47">
        <f ca="1">HLOOKUP(B175,Heating!$C$102:$O$106,4,FALSE)*INDEX(Weather!$BO$1:$CB$20,MATCH(B175,Weather!$BO$1:$BO$20,0),MATCH(C175,Weather!$BO$1:$CB$1,0))/VLOOKUP(B175,Weather!$BO$2:$CB$20,14,FALSE)</f>
        <v>68974.846288971588</v>
      </c>
      <c r="T175" s="47">
        <f t="shared" ca="1" si="125"/>
        <v>24878522.052603941</v>
      </c>
    </row>
    <row r="176" spans="1:20">
      <c r="A176" s="2">
        <f t="shared" si="193"/>
        <v>47330</v>
      </c>
      <c r="B176">
        <f t="shared" si="194"/>
        <v>2029</v>
      </c>
      <c r="C176">
        <f t="shared" si="195"/>
        <v>7</v>
      </c>
      <c r="E176" s="3">
        <f t="shared" ref="E176:F176" ca="1" si="198">E164</f>
        <v>10.249063146997932</v>
      </c>
      <c r="F176" s="3">
        <f t="shared" ca="1" si="198"/>
        <v>235.94737858727848</v>
      </c>
      <c r="H176" s="97">
        <f>'Economic Data'!D190</f>
        <v>8483.0850191183672</v>
      </c>
      <c r="I176" s="47">
        <f t="shared" si="197"/>
        <v>31</v>
      </c>
      <c r="K176" s="3">
        <f t="shared" si="142"/>
        <v>-4083957</v>
      </c>
      <c r="L176" s="3">
        <f t="shared" ca="1" si="143"/>
        <v>114233.59806128367</v>
      </c>
      <c r="M176" s="3">
        <f t="shared" ca="1" si="144"/>
        <v>8152824.2623320278</v>
      </c>
      <c r="N176" s="3">
        <f t="shared" si="145"/>
        <v>0</v>
      </c>
      <c r="O176" s="3">
        <f t="shared" si="146"/>
        <v>8586408.9946512282</v>
      </c>
      <c r="P176" s="3">
        <f t="shared" si="147"/>
        <v>14778211.5</v>
      </c>
      <c r="Q176" s="47">
        <f t="shared" ca="1" si="192"/>
        <v>27547721.35504454</v>
      </c>
      <c r="R176" s="47">
        <f>IFERROR(HLOOKUP(B176-1,'EV Forecast VRZ'!$F$124:$T$130,4,FALSE)/12,0)+IFERROR(((HLOOKUP(B176,'EV Forecast VRZ'!$F$116:$T$122,4,FALSE)-HLOOKUP(B176-1,'EV Forecast VRZ'!$F$124:$T$130,4,FALSE)))*C176/78,0)</f>
        <v>541729.20561560302</v>
      </c>
      <c r="S176" s="47">
        <f ca="1">HLOOKUP(B176,Heating!$C$102:$O$106,4,FALSE)*INDEX(Weather!$BO$1:$CB$20,MATCH(B176,Weather!$BO$1:$BO$20,0),MATCH(C176,Weather!$BO$1:$CB$1,0))/VLOOKUP(B176,Weather!$BO$2:$CB$20,14,FALSE)</f>
        <v>3431.5001009252715</v>
      </c>
      <c r="T176" s="47">
        <f t="shared" ca="1" si="125"/>
        <v>28092882.060761068</v>
      </c>
    </row>
    <row r="177" spans="1:20">
      <c r="A177" s="2">
        <f t="shared" si="193"/>
        <v>47361</v>
      </c>
      <c r="B177">
        <f t="shared" si="194"/>
        <v>2029</v>
      </c>
      <c r="C177">
        <f t="shared" si="195"/>
        <v>8</v>
      </c>
      <c r="E177" s="3">
        <f t="shared" ref="E177:F177" ca="1" si="199">E165</f>
        <v>21.194927536231887</v>
      </c>
      <c r="F177" s="3">
        <f t="shared" ca="1" si="199"/>
        <v>210.96558794466404</v>
      </c>
      <c r="H177" s="97">
        <f>'Economic Data'!D191</f>
        <v>8489.5321595734458</v>
      </c>
      <c r="I177" s="47">
        <f t="shared" si="197"/>
        <v>31</v>
      </c>
      <c r="K177" s="3">
        <f t="shared" si="142"/>
        <v>-4083957</v>
      </c>
      <c r="L177" s="3">
        <f t="shared" ca="1" si="143"/>
        <v>236233.57553623192</v>
      </c>
      <c r="M177" s="3">
        <f t="shared" ca="1" si="144"/>
        <v>7289614.2106371047</v>
      </c>
      <c r="N177" s="3">
        <f t="shared" si="145"/>
        <v>0</v>
      </c>
      <c r="O177" s="3">
        <f t="shared" si="146"/>
        <v>8592934.6612770502</v>
      </c>
      <c r="P177" s="3">
        <f t="shared" si="147"/>
        <v>14778211.5</v>
      </c>
      <c r="Q177" s="47">
        <f t="shared" ca="1" si="192"/>
        <v>26813036.947450384</v>
      </c>
      <c r="R177" s="47">
        <f>IFERROR(HLOOKUP(B177-1,'EV Forecast VRZ'!$F$124:$T$130,4,FALSE)/12,0)+IFERROR(((HLOOKUP(B177,'EV Forecast VRZ'!$F$116:$T$122,4,FALSE)-HLOOKUP(B177-1,'EV Forecast VRZ'!$F$124:$T$130,4,FALSE)))*C177/78,0)</f>
        <v>549509.01067043445</v>
      </c>
      <c r="S177" s="47">
        <f ca="1">HLOOKUP(B177,Heating!$C$102:$O$106,4,FALSE)*INDEX(Weather!$BO$1:$CB$20,MATCH(B177,Weather!$BO$1:$BO$20,0),MATCH(C177,Weather!$BO$1:$CB$1,0))/VLOOKUP(B177,Weather!$BO$2:$CB$20,14,FALSE)</f>
        <v>11983.296772739299</v>
      </c>
      <c r="T177" s="47">
        <f t="shared" ca="1" si="125"/>
        <v>27374529.25489356</v>
      </c>
    </row>
    <row r="178" spans="1:20">
      <c r="A178" s="2">
        <f t="shared" si="193"/>
        <v>47391</v>
      </c>
      <c r="B178">
        <f t="shared" si="194"/>
        <v>2029</v>
      </c>
      <c r="C178">
        <f t="shared" si="195"/>
        <v>9</v>
      </c>
      <c r="E178" s="3">
        <f t="shared" ref="E178:F178" ca="1" si="200">E166</f>
        <v>96.735690993788822</v>
      </c>
      <c r="F178" s="3">
        <f t="shared" ca="1" si="200"/>
        <v>106.4160119047619</v>
      </c>
      <c r="H178" s="97">
        <f>'Economic Data'!D192</f>
        <v>8503.466301847342</v>
      </c>
      <c r="I178" s="47">
        <f t="shared" si="197"/>
        <v>30</v>
      </c>
      <c r="K178" s="3">
        <f t="shared" si="142"/>
        <v>-4083957</v>
      </c>
      <c r="L178" s="3">
        <f t="shared" ca="1" si="143"/>
        <v>1078192.7952509318</v>
      </c>
      <c r="M178" s="3">
        <f t="shared" ca="1" si="144"/>
        <v>3677053.1164720235</v>
      </c>
      <c r="N178" s="3">
        <f t="shared" si="145"/>
        <v>0</v>
      </c>
      <c r="O178" s="3">
        <f t="shared" si="146"/>
        <v>8607038.5214038417</v>
      </c>
      <c r="P178" s="3">
        <f t="shared" si="147"/>
        <v>14301495</v>
      </c>
      <c r="Q178" s="47">
        <f t="shared" ca="1" si="192"/>
        <v>23579822.433126796</v>
      </c>
      <c r="R178" s="47">
        <f>IFERROR(HLOOKUP(B178-1,'EV Forecast VRZ'!$F$124:$T$130,4,FALSE)/12,0)+IFERROR(((HLOOKUP(B178,'EV Forecast VRZ'!$F$116:$T$122,4,FALSE)-HLOOKUP(B178-1,'EV Forecast VRZ'!$F$124:$T$130,4,FALSE)))*C178/78,0)</f>
        <v>557288.81572526577</v>
      </c>
      <c r="S178" s="47">
        <f ca="1">HLOOKUP(B178,Heating!$C$102:$O$106,4,FALSE)*INDEX(Weather!$BO$1:$CB$20,MATCH(B178,Weather!$BO$1:$BO$20,0),MATCH(C178,Weather!$BO$1:$CB$1,0))/VLOOKUP(B178,Weather!$BO$2:$CB$20,14,FALSE)</f>
        <v>116565.53838803997</v>
      </c>
      <c r="T178" s="47">
        <f t="shared" ca="1" si="125"/>
        <v>24253676.787240103</v>
      </c>
    </row>
    <row r="179" spans="1:20">
      <c r="A179" s="2">
        <f t="shared" si="193"/>
        <v>47422</v>
      </c>
      <c r="B179">
        <f t="shared" si="194"/>
        <v>2029</v>
      </c>
      <c r="C179">
        <f t="shared" si="195"/>
        <v>10</v>
      </c>
      <c r="E179" s="3">
        <f t="shared" ref="E179:F179" ca="1" si="201">E167</f>
        <v>298.21097826086958</v>
      </c>
      <c r="F179" s="3">
        <f t="shared" ca="1" si="201"/>
        <v>17.987083333333334</v>
      </c>
      <c r="H179" s="97">
        <f>'Economic Data'!D193</f>
        <v>8505.8579829839055</v>
      </c>
      <c r="I179" s="47">
        <f t="shared" si="197"/>
        <v>31</v>
      </c>
      <c r="K179" s="3">
        <f t="shared" si="142"/>
        <v>-4083957</v>
      </c>
      <c r="L179" s="3">
        <f t="shared" ca="1" si="143"/>
        <v>3323787.9930608696</v>
      </c>
      <c r="M179" s="3">
        <f t="shared" ca="1" si="144"/>
        <v>621517.94305416674</v>
      </c>
      <c r="N179" s="3">
        <f t="shared" si="145"/>
        <v>0</v>
      </c>
      <c r="O179" s="3">
        <f t="shared" si="146"/>
        <v>8609459.3332166485</v>
      </c>
      <c r="P179" s="3">
        <f t="shared" si="147"/>
        <v>14778211.5</v>
      </c>
      <c r="Q179" s="47">
        <f t="shared" ca="1" si="192"/>
        <v>23249019.769331686</v>
      </c>
      <c r="R179" s="47">
        <f>IFERROR(HLOOKUP(B179-1,'EV Forecast VRZ'!$F$124:$T$130,4,FALSE)/12,0)+IFERROR(((HLOOKUP(B179,'EV Forecast VRZ'!$F$116:$T$122,4,FALSE)-HLOOKUP(B179-1,'EV Forecast VRZ'!$F$124:$T$130,4,FALSE)))*C179/78,0)</f>
        <v>565068.62078009709</v>
      </c>
      <c r="S179" s="47">
        <f ca="1">HLOOKUP(B179,Heating!$C$102:$O$106,4,FALSE)*INDEX(Weather!$BO$1:$CB$20,MATCH(B179,Weather!$BO$1:$BO$20,0),MATCH(C179,Weather!$BO$1:$CB$1,0))/VLOOKUP(B179,Weather!$BO$2:$CB$20,14,FALSE)</f>
        <v>504564.26453482866</v>
      </c>
      <c r="T179" s="47">
        <f t="shared" ca="1" si="125"/>
        <v>24318652.654646609</v>
      </c>
    </row>
    <row r="180" spans="1:20">
      <c r="A180" s="2">
        <f t="shared" si="193"/>
        <v>47452</v>
      </c>
      <c r="B180">
        <f t="shared" si="194"/>
        <v>2029</v>
      </c>
      <c r="C180">
        <f t="shared" si="195"/>
        <v>11</v>
      </c>
      <c r="E180" s="3">
        <f t="shared" ref="E180:F180" ca="1" si="202">E168</f>
        <v>486.62991389045737</v>
      </c>
      <c r="F180" s="3">
        <f t="shared" ca="1" si="202"/>
        <v>0.8083333333333329</v>
      </c>
      <c r="H180" s="97">
        <f>'Economic Data'!D194</f>
        <v>8508.1456779840937</v>
      </c>
      <c r="I180" s="47">
        <f t="shared" si="197"/>
        <v>30</v>
      </c>
      <c r="K180" s="3">
        <f t="shared" si="142"/>
        <v>-4083957</v>
      </c>
      <c r="L180" s="3">
        <f t="shared" ca="1" si="143"/>
        <v>5423860.2290437045</v>
      </c>
      <c r="M180" s="3">
        <f t="shared" ca="1" si="144"/>
        <v>27930.802416666651</v>
      </c>
      <c r="N180" s="3">
        <f t="shared" si="145"/>
        <v>0</v>
      </c>
      <c r="O180" s="3">
        <f t="shared" si="146"/>
        <v>8611774.8923419397</v>
      </c>
      <c r="P180" s="3">
        <f t="shared" si="147"/>
        <v>14301495</v>
      </c>
      <c r="Q180" s="47">
        <f t="shared" ca="1" si="192"/>
        <v>24281103.923802309</v>
      </c>
      <c r="R180" s="47">
        <f>IFERROR(HLOOKUP(B180-1,'EV Forecast VRZ'!$F$124:$T$130,4,FALSE)/12,0)+IFERROR(((HLOOKUP(B180,'EV Forecast VRZ'!$F$116:$T$122,4,FALSE)-HLOOKUP(B180-1,'EV Forecast VRZ'!$F$124:$T$130,4,FALSE)))*C180/78,0)</f>
        <v>572848.42583492841</v>
      </c>
      <c r="S180" s="47">
        <f ca="1">HLOOKUP(B180,Heating!$C$102:$O$106,4,FALSE)*INDEX(Weather!$BO$1:$CB$20,MATCH(B180,Weather!$BO$1:$BO$20,0),MATCH(C180,Weather!$BO$1:$CB$1,0))/VLOOKUP(B180,Weather!$BO$2:$CB$20,14,FALSE)</f>
        <v>904855.37527036539</v>
      </c>
      <c r="T180" s="47">
        <f t="shared" ca="1" si="125"/>
        <v>25758807.724907603</v>
      </c>
    </row>
    <row r="181" spans="1:20">
      <c r="A181" s="2">
        <f t="shared" si="193"/>
        <v>47483</v>
      </c>
      <c r="B181">
        <f t="shared" si="194"/>
        <v>2029</v>
      </c>
      <c r="C181">
        <f t="shared" si="195"/>
        <v>12</v>
      </c>
      <c r="E181" s="3">
        <f t="shared" ref="E181:F181" ca="1" si="203">E169</f>
        <v>639.92800724637686</v>
      </c>
      <c r="F181" s="3">
        <f t="shared" ca="1" si="203"/>
        <v>0</v>
      </c>
      <c r="H181" s="97">
        <f>'Economic Data'!D195</f>
        <v>8509.4974977569382</v>
      </c>
      <c r="I181" s="47">
        <f t="shared" si="197"/>
        <v>31</v>
      </c>
      <c r="K181" s="3">
        <f t="shared" si="142"/>
        <v>-4083957</v>
      </c>
      <c r="L181" s="3">
        <f t="shared" ca="1" si="143"/>
        <v>7132483.9860463776</v>
      </c>
      <c r="M181" s="3">
        <f t="shared" ca="1" si="144"/>
        <v>0</v>
      </c>
      <c r="N181" s="3">
        <f t="shared" si="145"/>
        <v>0</v>
      </c>
      <c r="O181" s="3">
        <f t="shared" si="146"/>
        <v>8613143.1772796176</v>
      </c>
      <c r="P181" s="3">
        <f t="shared" si="147"/>
        <v>14778211.5</v>
      </c>
      <c r="Q181" s="47">
        <f t="shared" ca="1" si="192"/>
        <v>26439881.663325995</v>
      </c>
      <c r="R181" s="47">
        <f>IFERROR(HLOOKUP(B181-1,'EV Forecast VRZ'!$F$124:$T$130,4,FALSE)/12,0)+IFERROR(((HLOOKUP(B181,'EV Forecast VRZ'!$F$116:$T$122,4,FALSE)-HLOOKUP(B181-1,'EV Forecast VRZ'!$F$124:$T$130,4,FALSE)))*C181/78,0)</f>
        <v>580628.23088975972</v>
      </c>
      <c r="S181" s="47">
        <f ca="1">HLOOKUP(B181,Heating!$C$102:$O$106,4,FALSE)*INDEX(Weather!$BO$1:$CB$20,MATCH(B181,Weather!$BO$1:$BO$20,0),MATCH(C181,Weather!$BO$1:$CB$1,0))/VLOOKUP(B181,Weather!$BO$2:$CB$20,14,FALSE)</f>
        <v>1225749.1724090555</v>
      </c>
      <c r="T181" s="47">
        <f t="shared" ca="1" si="125"/>
        <v>28246259.066624809</v>
      </c>
    </row>
    <row r="182" spans="1:20">
      <c r="A182" s="2">
        <f t="shared" si="193"/>
        <v>47514</v>
      </c>
      <c r="B182">
        <f t="shared" si="194"/>
        <v>2030</v>
      </c>
      <c r="C182">
        <f t="shared" si="195"/>
        <v>1</v>
      </c>
      <c r="E182" s="3">
        <f t="shared" ref="E182:F182" ca="1" si="204">E170</f>
        <v>759.33418478260865</v>
      </c>
      <c r="F182" s="3">
        <f t="shared" ca="1" si="204"/>
        <v>0</v>
      </c>
      <c r="H182" s="97">
        <f>'Economic Data'!D196</f>
        <v>8537.2644776853758</v>
      </c>
      <c r="I182" s="47">
        <f t="shared" si="197"/>
        <v>31</v>
      </c>
      <c r="K182" s="3">
        <f t="shared" si="142"/>
        <v>-4083957</v>
      </c>
      <c r="L182" s="3">
        <f t="shared" ca="1" si="143"/>
        <v>8463356.5833826084</v>
      </c>
      <c r="M182" s="3">
        <f t="shared" ca="1" si="144"/>
        <v>0</v>
      </c>
      <c r="N182" s="3">
        <f t="shared" si="145"/>
        <v>0</v>
      </c>
      <c r="O182" s="3">
        <f t="shared" si="146"/>
        <v>8641248.3590235841</v>
      </c>
      <c r="P182" s="3">
        <f t="shared" si="147"/>
        <v>14778211.5</v>
      </c>
      <c r="Q182" s="47">
        <f t="shared" ca="1" si="192"/>
        <v>27798859.442406192</v>
      </c>
      <c r="R182" s="47">
        <f>IFERROR(HLOOKUP(B182-1,'EV Forecast VRZ'!$F$124:$T$130,4,FALSE)/12,0)+IFERROR(((HLOOKUP(B182,'EV Forecast VRZ'!$F$116:$T$122,4,FALSE)-HLOOKUP(B182-1,'EV Forecast VRZ'!$F$124:$T$130,4,FALSE)))*C182/78,0)</f>
        <v>603551.6756494632</v>
      </c>
      <c r="S182" s="47">
        <f ca="1">HLOOKUP(B182,Heating!$C$102:$O$106,4,FALSE)*INDEX(Weather!$BO$1:$CB$20,MATCH(B182,Weather!$BO$1:$BO$20,0),MATCH(C182,Weather!$BO$1:$CB$1,0))/VLOOKUP(B182,Weather!$BO$2:$CB$20,14,FALSE)</f>
        <v>1668880.8158634836</v>
      </c>
      <c r="T182" s="47">
        <f t="shared" ca="1" si="125"/>
        <v>30071291.933919139</v>
      </c>
    </row>
    <row r="183" spans="1:20">
      <c r="A183" s="2">
        <f t="shared" si="193"/>
        <v>47542</v>
      </c>
      <c r="B183">
        <f t="shared" si="194"/>
        <v>2030</v>
      </c>
      <c r="C183">
        <f t="shared" si="195"/>
        <v>2</v>
      </c>
      <c r="E183" s="3">
        <f t="shared" ref="E183:F183" ca="1" si="205">E171</f>
        <v>680.85501811594202</v>
      </c>
      <c r="F183" s="3">
        <f t="shared" ca="1" si="205"/>
        <v>0</v>
      </c>
      <c r="H183" s="97">
        <f>'Economic Data'!D197</f>
        <v>8567.5469526424895</v>
      </c>
      <c r="I183" s="47">
        <f t="shared" si="197"/>
        <v>29</v>
      </c>
      <c r="K183" s="3">
        <f t="shared" si="142"/>
        <v>-4083957</v>
      </c>
      <c r="L183" s="3">
        <f t="shared" ca="1" si="143"/>
        <v>7588646.6267159423</v>
      </c>
      <c r="M183" s="3">
        <f t="shared" ca="1" si="144"/>
        <v>0</v>
      </c>
      <c r="N183" s="3">
        <f t="shared" si="145"/>
        <v>0</v>
      </c>
      <c r="O183" s="3">
        <f t="shared" si="146"/>
        <v>8671899.6745256744</v>
      </c>
      <c r="P183" s="3">
        <f t="shared" si="147"/>
        <v>13824778.5</v>
      </c>
      <c r="Q183" s="47">
        <f t="shared" ca="1" si="192"/>
        <v>26001367.801241618</v>
      </c>
      <c r="R183" s="47">
        <f>IFERROR(HLOOKUP(B183-1,'EV Forecast VRZ'!$F$124:$T$130,4,FALSE)/12,0)+IFERROR(((HLOOKUP(B183,'EV Forecast VRZ'!$F$116:$T$122,4,FALSE)-HLOOKUP(B183-1,'EV Forecast VRZ'!$F$124:$T$130,4,FALSE)))*C183/78,0)</f>
        <v>612265.11535433517</v>
      </c>
      <c r="S183" s="47">
        <f ca="1">HLOOKUP(B183,Heating!$C$102:$O$106,4,FALSE)*INDEX(Weather!$BO$1:$CB$20,MATCH(B183,Weather!$BO$1:$BO$20,0),MATCH(C183,Weather!$BO$1:$CB$1,0))/VLOOKUP(B183,Weather!$BO$2:$CB$20,14,FALSE)</f>
        <v>1493985.5906605041</v>
      </c>
      <c r="T183" s="47">
        <f t="shared" ref="T183:T205" ca="1" si="206">Q183+R183+S183</f>
        <v>28107618.507256459</v>
      </c>
    </row>
    <row r="184" spans="1:20">
      <c r="A184" s="2">
        <f t="shared" si="193"/>
        <v>47573</v>
      </c>
      <c r="B184">
        <f t="shared" si="194"/>
        <v>2030</v>
      </c>
      <c r="C184">
        <f t="shared" si="195"/>
        <v>3</v>
      </c>
      <c r="E184" s="3">
        <f t="shared" ref="E184:F184" ca="1" si="207">E172</f>
        <v>608.13298913043479</v>
      </c>
      <c r="F184" s="3">
        <f t="shared" ca="1" si="207"/>
        <v>0</v>
      </c>
      <c r="H184" s="97">
        <f>'Economic Data'!D198</f>
        <v>8577.4329839858765</v>
      </c>
      <c r="I184" s="47">
        <f t="shared" si="197"/>
        <v>31</v>
      </c>
      <c r="K184" s="3">
        <f t="shared" si="142"/>
        <v>-4083957</v>
      </c>
      <c r="L184" s="3">
        <f t="shared" ca="1" si="143"/>
        <v>6778104.3449304346</v>
      </c>
      <c r="M184" s="3">
        <f t="shared" ca="1" si="144"/>
        <v>0</v>
      </c>
      <c r="N184" s="3">
        <f t="shared" si="145"/>
        <v>0</v>
      </c>
      <c r="O184" s="3">
        <f t="shared" si="146"/>
        <v>8681906.1177308243</v>
      </c>
      <c r="P184" s="3">
        <f t="shared" si="147"/>
        <v>14778211.5</v>
      </c>
      <c r="Q184" s="47">
        <f t="shared" ca="1" si="192"/>
        <v>26154264.962661259</v>
      </c>
      <c r="R184" s="47">
        <f>IFERROR(HLOOKUP(B184-1,'EV Forecast VRZ'!$F$124:$T$130,4,FALSE)/12,0)+IFERROR(((HLOOKUP(B184,'EV Forecast VRZ'!$F$116:$T$122,4,FALSE)-HLOOKUP(B184-1,'EV Forecast VRZ'!$F$124:$T$130,4,FALSE)))*C184/78,0)</f>
        <v>620978.55505920714</v>
      </c>
      <c r="S184" s="47">
        <f ca="1">HLOOKUP(B184,Heating!$C$102:$O$106,4,FALSE)*INDEX(Weather!$BO$1:$CB$20,MATCH(B184,Weather!$BO$1:$BO$20,0),MATCH(C184,Weather!$BO$1:$CB$1,0))/VLOOKUP(B184,Weather!$BO$2:$CB$20,14,FALSE)</f>
        <v>1307021.6380602343</v>
      </c>
      <c r="T184" s="47">
        <f t="shared" ca="1" si="206"/>
        <v>28082265.155780699</v>
      </c>
    </row>
    <row r="185" spans="1:20">
      <c r="A185" s="2">
        <f t="shared" si="193"/>
        <v>47603</v>
      </c>
      <c r="B185">
        <f t="shared" si="194"/>
        <v>2030</v>
      </c>
      <c r="C185">
        <f t="shared" si="195"/>
        <v>4</v>
      </c>
      <c r="E185" s="3">
        <f t="shared" ref="E185:F185" ca="1" si="208">E173</f>
        <v>412.37941287878795</v>
      </c>
      <c r="F185" s="3">
        <f t="shared" ca="1" si="208"/>
        <v>2.1908333333333347</v>
      </c>
      <c r="H185" s="97">
        <f>'Economic Data'!D199</f>
        <v>8561.7193973242811</v>
      </c>
      <c r="I185" s="47">
        <f t="shared" si="197"/>
        <v>30</v>
      </c>
      <c r="K185" s="3">
        <f t="shared" si="142"/>
        <v>-4083957</v>
      </c>
      <c r="L185" s="3">
        <f t="shared" ca="1" si="143"/>
        <v>4596281.9648878798</v>
      </c>
      <c r="M185" s="3">
        <f t="shared" ca="1" si="144"/>
        <v>75701.11294166671</v>
      </c>
      <c r="N185" s="3">
        <f t="shared" si="145"/>
        <v>0</v>
      </c>
      <c r="O185" s="3">
        <f t="shared" si="146"/>
        <v>8666001.1395836901</v>
      </c>
      <c r="P185" s="3">
        <f t="shared" si="147"/>
        <v>14301495</v>
      </c>
      <c r="Q185" s="47">
        <f t="shared" ca="1" si="192"/>
        <v>23555522.217413239</v>
      </c>
      <c r="R185" s="47">
        <f>IFERROR(HLOOKUP(B185-1,'EV Forecast VRZ'!$F$124:$T$130,4,FALSE)/12,0)+IFERROR(((HLOOKUP(B185,'EV Forecast VRZ'!$F$116:$T$122,4,FALSE)-HLOOKUP(B185-1,'EV Forecast VRZ'!$F$124:$T$130,4,FALSE)))*C185/78,0)</f>
        <v>629691.99476407911</v>
      </c>
      <c r="S185" s="47">
        <f ca="1">HLOOKUP(B185,Heating!$C$102:$O$106,4,FALSE)*INDEX(Weather!$BO$1:$CB$20,MATCH(B185,Weather!$BO$1:$BO$20,0),MATCH(C185,Weather!$BO$1:$CB$1,0))/VLOOKUP(B185,Weather!$BO$2:$CB$20,14,FALSE)</f>
        <v>843407.60908422247</v>
      </c>
      <c r="T185" s="47">
        <f t="shared" ca="1" si="206"/>
        <v>25028621.82126154</v>
      </c>
    </row>
    <row r="186" spans="1:20">
      <c r="A186" s="2">
        <f t="shared" si="193"/>
        <v>47634</v>
      </c>
      <c r="B186">
        <f t="shared" si="194"/>
        <v>2030</v>
      </c>
      <c r="C186">
        <f t="shared" si="195"/>
        <v>5</v>
      </c>
      <c r="E186" s="3">
        <f t="shared" ref="E186:F186" ca="1" si="209">E174</f>
        <v>202.70273119310133</v>
      </c>
      <c r="F186" s="3">
        <f t="shared" ca="1" si="209"/>
        <v>52.487435064935063</v>
      </c>
      <c r="H186" s="97">
        <f>'Economic Data'!D200</f>
        <v>8541.4270171983826</v>
      </c>
      <c r="I186" s="47">
        <f t="shared" si="197"/>
        <v>31</v>
      </c>
      <c r="K186" s="3">
        <f t="shared" si="142"/>
        <v>-4083957</v>
      </c>
      <c r="L186" s="3">
        <f t="shared" ca="1" si="143"/>
        <v>2259275.993222821</v>
      </c>
      <c r="M186" s="3">
        <f t="shared" ca="1" si="144"/>
        <v>1813628.2616366881</v>
      </c>
      <c r="N186" s="3">
        <f t="shared" si="145"/>
        <v>0</v>
      </c>
      <c r="O186" s="3">
        <f t="shared" si="146"/>
        <v>8645461.5982678588</v>
      </c>
      <c r="P186" s="3">
        <f t="shared" si="147"/>
        <v>14778211.5</v>
      </c>
      <c r="Q186" s="47">
        <f t="shared" ca="1" si="192"/>
        <v>23412620.353127368</v>
      </c>
      <c r="R186" s="47">
        <f>IFERROR(HLOOKUP(B186-1,'EV Forecast VRZ'!$F$124:$T$130,4,FALSE)/12,0)+IFERROR(((HLOOKUP(B186,'EV Forecast VRZ'!$F$116:$T$122,4,FALSE)-HLOOKUP(B186-1,'EV Forecast VRZ'!$F$124:$T$130,4,FALSE)))*C186/78,0)</f>
        <v>638405.43446895108</v>
      </c>
      <c r="S186" s="47">
        <f ca="1">HLOOKUP(B186,Heating!$C$102:$O$106,4,FALSE)*INDEX(Weather!$BO$1:$CB$20,MATCH(B186,Weather!$BO$1:$BO$20,0),MATCH(C186,Weather!$BO$1:$CB$1,0))/VLOOKUP(B186,Weather!$BO$2:$CB$20,14,FALSE)</f>
        <v>359312.06881752604</v>
      </c>
      <c r="T186" s="47">
        <f t="shared" ca="1" si="206"/>
        <v>24410337.856413845</v>
      </c>
    </row>
    <row r="187" spans="1:20">
      <c r="A187" s="2">
        <f t="shared" si="193"/>
        <v>47664</v>
      </c>
      <c r="B187">
        <f t="shared" si="194"/>
        <v>2030</v>
      </c>
      <c r="C187">
        <f t="shared" si="195"/>
        <v>6</v>
      </c>
      <c r="E187" s="3">
        <f t="shared" ref="E187:F187" ca="1" si="210">E175</f>
        <v>66.09717382617383</v>
      </c>
      <c r="F187" s="3">
        <f t="shared" ca="1" si="210"/>
        <v>137.65451754405018</v>
      </c>
      <c r="H187" s="97">
        <f>'Economic Data'!D201</f>
        <v>8537.9929221001512</v>
      </c>
      <c r="I187" s="47">
        <f t="shared" si="197"/>
        <v>30</v>
      </c>
      <c r="K187" s="3">
        <f t="shared" si="142"/>
        <v>-4083957</v>
      </c>
      <c r="L187" s="3">
        <f t="shared" ca="1" si="143"/>
        <v>736703.23614481522</v>
      </c>
      <c r="M187" s="3">
        <f t="shared" ca="1" si="144"/>
        <v>4756455.0077745663</v>
      </c>
      <c r="N187" s="3">
        <f t="shared" si="145"/>
        <v>0</v>
      </c>
      <c r="O187" s="3">
        <f t="shared" si="146"/>
        <v>8641985.6758913305</v>
      </c>
      <c r="P187" s="3">
        <f t="shared" si="147"/>
        <v>14301495</v>
      </c>
      <c r="Q187" s="47">
        <f t="shared" ca="1" si="192"/>
        <v>24352681.919810712</v>
      </c>
      <c r="R187" s="47">
        <f>IFERROR(HLOOKUP(B187-1,'EV Forecast VRZ'!$F$124:$T$130,4,FALSE)/12,0)+IFERROR(((HLOOKUP(B187,'EV Forecast VRZ'!$F$116:$T$122,4,FALSE)-HLOOKUP(B187-1,'EV Forecast VRZ'!$F$124:$T$130,4,FALSE)))*C187/78,0)</f>
        <v>647118.87417382305</v>
      </c>
      <c r="S187" s="47">
        <f ca="1">HLOOKUP(B187,Heating!$C$102:$O$106,4,FALSE)*INDEX(Weather!$BO$1:$CB$20,MATCH(B187,Weather!$BO$1:$BO$20,0),MATCH(C187,Weather!$BO$1:$CB$1,0))/VLOOKUP(B187,Weather!$BO$2:$CB$20,14,FALSE)</f>
        <v>77830.037695023857</v>
      </c>
      <c r="T187" s="47">
        <f t="shared" ca="1" si="206"/>
        <v>25077630.83167956</v>
      </c>
    </row>
    <row r="188" spans="1:20">
      <c r="A188" s="2">
        <f t="shared" si="193"/>
        <v>47695</v>
      </c>
      <c r="B188">
        <f t="shared" si="194"/>
        <v>2030</v>
      </c>
      <c r="C188">
        <f t="shared" si="195"/>
        <v>7</v>
      </c>
      <c r="E188" s="3">
        <f t="shared" ref="E188:F188" ca="1" si="211">E176</f>
        <v>10.249063146997932</v>
      </c>
      <c r="F188" s="3">
        <f t="shared" ca="1" si="211"/>
        <v>235.94737858727848</v>
      </c>
      <c r="H188" s="97">
        <f>'Economic Data'!D202</f>
        <v>8559.4327842904313</v>
      </c>
      <c r="I188" s="47">
        <f t="shared" si="197"/>
        <v>31</v>
      </c>
      <c r="K188" s="3">
        <f t="shared" si="142"/>
        <v>-4083957</v>
      </c>
      <c r="L188" s="3">
        <f t="shared" ca="1" si="143"/>
        <v>114233.59806128367</v>
      </c>
      <c r="M188" s="3">
        <f t="shared" ca="1" si="144"/>
        <v>8152824.2623320278</v>
      </c>
      <c r="N188" s="3">
        <f t="shared" si="145"/>
        <v>0</v>
      </c>
      <c r="O188" s="3">
        <f t="shared" si="146"/>
        <v>8663686.675603088</v>
      </c>
      <c r="P188" s="3">
        <f t="shared" si="147"/>
        <v>14778211.5</v>
      </c>
      <c r="Q188" s="47">
        <f t="shared" ca="1" si="192"/>
        <v>27624999.0359964</v>
      </c>
      <c r="R188" s="47">
        <f>IFERROR(HLOOKUP(B188-1,'EV Forecast VRZ'!$F$124:$T$130,4,FALSE)/12,0)+IFERROR(((HLOOKUP(B188,'EV Forecast VRZ'!$F$116:$T$122,4,FALSE)-HLOOKUP(B188-1,'EV Forecast VRZ'!$F$124:$T$130,4,FALSE)))*C188/78,0)</f>
        <v>655832.31387869501</v>
      </c>
      <c r="S188" s="47">
        <f ca="1">HLOOKUP(B188,Heating!$C$102:$O$106,4,FALSE)*INDEX(Weather!$BO$1:$CB$20,MATCH(B188,Weather!$BO$1:$BO$20,0),MATCH(C188,Weather!$BO$1:$CB$1,0))/VLOOKUP(B188,Weather!$BO$2:$CB$20,14,FALSE)</f>
        <v>3872.0460657002518</v>
      </c>
      <c r="T188" s="47">
        <f t="shared" ca="1" si="206"/>
        <v>28284703.395940796</v>
      </c>
    </row>
    <row r="189" spans="1:20">
      <c r="A189" s="2">
        <f t="shared" si="193"/>
        <v>47726</v>
      </c>
      <c r="B189">
        <f t="shared" si="194"/>
        <v>2030</v>
      </c>
      <c r="C189">
        <f t="shared" si="195"/>
        <v>8</v>
      </c>
      <c r="E189" s="3">
        <f t="shared" ref="E189:F189" ca="1" si="212">E177</f>
        <v>21.194927536231887</v>
      </c>
      <c r="F189" s="3">
        <f t="shared" ca="1" si="212"/>
        <v>210.96558794466404</v>
      </c>
      <c r="H189" s="97">
        <f>'Economic Data'!D203</f>
        <v>8565.9379490096053</v>
      </c>
      <c r="I189" s="47">
        <f t="shared" si="197"/>
        <v>31</v>
      </c>
      <c r="K189" s="3">
        <f t="shared" si="142"/>
        <v>-4083957</v>
      </c>
      <c r="L189" s="3">
        <f t="shared" ca="1" si="143"/>
        <v>236233.57553623192</v>
      </c>
      <c r="M189" s="3">
        <f t="shared" ca="1" si="144"/>
        <v>7289614.2106371047</v>
      </c>
      <c r="N189" s="3">
        <f t="shared" si="145"/>
        <v>0</v>
      </c>
      <c r="O189" s="3">
        <f t="shared" si="146"/>
        <v>8670271.0732285418</v>
      </c>
      <c r="P189" s="3">
        <f t="shared" si="147"/>
        <v>14778211.5</v>
      </c>
      <c r="Q189" s="47">
        <f t="shared" ca="1" si="192"/>
        <v>26890373.359401878</v>
      </c>
      <c r="R189" s="47">
        <f>IFERROR(HLOOKUP(B189-1,'EV Forecast VRZ'!$F$124:$T$130,4,FALSE)/12,0)+IFERROR(((HLOOKUP(B189,'EV Forecast VRZ'!$F$116:$T$122,4,FALSE)-HLOOKUP(B189-1,'EV Forecast VRZ'!$F$124:$T$130,4,FALSE)))*C189/78,0)</f>
        <v>664545.75358356698</v>
      </c>
      <c r="S189" s="47">
        <f ca="1">HLOOKUP(B189,Heating!$C$102:$O$106,4,FALSE)*INDEX(Weather!$BO$1:$CB$20,MATCH(B189,Weather!$BO$1:$BO$20,0),MATCH(C189,Weather!$BO$1:$CB$1,0))/VLOOKUP(B189,Weather!$BO$2:$CB$20,14,FALSE)</f>
        <v>13521.747270382546</v>
      </c>
      <c r="T189" s="47">
        <f t="shared" ca="1" si="206"/>
        <v>27568440.860255826</v>
      </c>
    </row>
    <row r="190" spans="1:20">
      <c r="A190" s="2">
        <f t="shared" si="193"/>
        <v>47756</v>
      </c>
      <c r="B190">
        <f t="shared" si="194"/>
        <v>2030</v>
      </c>
      <c r="C190">
        <f t="shared" si="195"/>
        <v>9</v>
      </c>
      <c r="E190" s="3">
        <f t="shared" ref="E190:F190" ca="1" si="213">E178</f>
        <v>96.735690993788822</v>
      </c>
      <c r="F190" s="3">
        <f t="shared" ca="1" si="213"/>
        <v>106.4160119047619</v>
      </c>
      <c r="H190" s="97">
        <f>'Economic Data'!D204</f>
        <v>8579.9974985639674</v>
      </c>
      <c r="I190" s="47">
        <f t="shared" si="197"/>
        <v>30</v>
      </c>
      <c r="K190" s="3">
        <f t="shared" si="142"/>
        <v>-4083957</v>
      </c>
      <c r="L190" s="3">
        <f t="shared" ca="1" si="143"/>
        <v>1078192.7952509318</v>
      </c>
      <c r="M190" s="3">
        <f t="shared" ca="1" si="144"/>
        <v>3677053.1164720235</v>
      </c>
      <c r="N190" s="3">
        <f t="shared" si="145"/>
        <v>0</v>
      </c>
      <c r="O190" s="3">
        <f t="shared" si="146"/>
        <v>8684501.8680964764</v>
      </c>
      <c r="P190" s="3">
        <f t="shared" si="147"/>
        <v>14301495</v>
      </c>
      <c r="Q190" s="47">
        <f t="shared" ca="1" si="192"/>
        <v>23657285.779819433</v>
      </c>
      <c r="R190" s="47">
        <f>IFERROR(HLOOKUP(B190-1,'EV Forecast VRZ'!$F$124:$T$130,4,FALSE)/12,0)+IFERROR(((HLOOKUP(B190,'EV Forecast VRZ'!$F$116:$T$122,4,FALSE)-HLOOKUP(B190-1,'EV Forecast VRZ'!$F$124:$T$130,4,FALSE)))*C190/78,0)</f>
        <v>673259.19328843895</v>
      </c>
      <c r="S190" s="47">
        <f ca="1">HLOOKUP(B190,Heating!$C$102:$O$106,4,FALSE)*INDEX(Weather!$BO$1:$CB$20,MATCH(B190,Weather!$BO$1:$BO$20,0),MATCH(C190,Weather!$BO$1:$CB$1,0))/VLOOKUP(B190,Weather!$BO$2:$CB$20,14,FALSE)</f>
        <v>131530.5612813301</v>
      </c>
      <c r="T190" s="47">
        <f t="shared" ca="1" si="206"/>
        <v>24462075.534389202</v>
      </c>
    </row>
    <row r="191" spans="1:20">
      <c r="A191" s="2">
        <f t="shared" si="193"/>
        <v>47787</v>
      </c>
      <c r="B191">
        <f t="shared" si="194"/>
        <v>2030</v>
      </c>
      <c r="C191">
        <f t="shared" si="195"/>
        <v>10</v>
      </c>
      <c r="E191" s="3">
        <f t="shared" ref="E191:F191" ca="1" si="214">E179</f>
        <v>298.21097826086958</v>
      </c>
      <c r="F191" s="3">
        <f t="shared" ca="1" si="214"/>
        <v>17.987083333333334</v>
      </c>
      <c r="H191" s="97">
        <f>'Economic Data'!D205</f>
        <v>8582.4107048307596</v>
      </c>
      <c r="I191" s="47">
        <f t="shared" si="197"/>
        <v>31</v>
      </c>
      <c r="K191" s="3">
        <f t="shared" si="142"/>
        <v>-4083957</v>
      </c>
      <c r="L191" s="3">
        <f t="shared" ca="1" si="143"/>
        <v>3323787.9930608696</v>
      </c>
      <c r="M191" s="3">
        <f t="shared" ca="1" si="144"/>
        <v>621517.94305416674</v>
      </c>
      <c r="N191" s="3">
        <f t="shared" si="145"/>
        <v>0</v>
      </c>
      <c r="O191" s="3">
        <f t="shared" si="146"/>
        <v>8686944.4672155976</v>
      </c>
      <c r="P191" s="3">
        <f t="shared" si="147"/>
        <v>14778211.5</v>
      </c>
      <c r="Q191" s="47">
        <f t="shared" ca="1" si="192"/>
        <v>23326504.903330632</v>
      </c>
      <c r="R191" s="47">
        <f>IFERROR(HLOOKUP(B191-1,'EV Forecast VRZ'!$F$124:$T$130,4,FALSE)/12,0)+IFERROR(((HLOOKUP(B191,'EV Forecast VRZ'!$F$116:$T$122,4,FALSE)-HLOOKUP(B191-1,'EV Forecast VRZ'!$F$124:$T$130,4,FALSE)))*C191/78,0)</f>
        <v>681972.63299331092</v>
      </c>
      <c r="S191" s="47">
        <f ca="1">HLOOKUP(B191,Heating!$C$102:$O$106,4,FALSE)*INDEX(Weather!$BO$1:$CB$20,MATCH(B191,Weather!$BO$1:$BO$20,0),MATCH(C191,Weather!$BO$1:$CB$1,0))/VLOOKUP(B191,Weather!$BO$2:$CB$20,14,FALSE)</f>
        <v>569341.69253214612</v>
      </c>
      <c r="T191" s="47">
        <f t="shared" ca="1" si="206"/>
        <v>24577819.228856087</v>
      </c>
    </row>
    <row r="192" spans="1:20">
      <c r="A192" s="2">
        <f t="shared" si="193"/>
        <v>47817</v>
      </c>
      <c r="B192">
        <f t="shared" si="194"/>
        <v>2030</v>
      </c>
      <c r="C192">
        <f t="shared" si="195"/>
        <v>11</v>
      </c>
      <c r="E192" s="3">
        <f t="shared" ref="E192:F192" ca="1" si="215">E180</f>
        <v>486.62991389045737</v>
      </c>
      <c r="F192" s="3">
        <f t="shared" ca="1" si="215"/>
        <v>0.8083333333333329</v>
      </c>
      <c r="H192" s="97">
        <f>'Economic Data'!D206</f>
        <v>8584.7189890859499</v>
      </c>
      <c r="I192" s="47">
        <f t="shared" si="197"/>
        <v>30</v>
      </c>
      <c r="K192" s="3">
        <f t="shared" si="142"/>
        <v>-4083957</v>
      </c>
      <c r="L192" s="3">
        <f t="shared" ca="1" si="143"/>
        <v>5423860.2290437045</v>
      </c>
      <c r="M192" s="3">
        <f t="shared" ca="1" si="144"/>
        <v>27930.802416666651</v>
      </c>
      <c r="N192" s="3">
        <f t="shared" si="145"/>
        <v>0</v>
      </c>
      <c r="O192" s="3">
        <f t="shared" si="146"/>
        <v>8689280.8663730156</v>
      </c>
      <c r="P192" s="3">
        <f t="shared" si="147"/>
        <v>14301495</v>
      </c>
      <c r="Q192" s="47">
        <f t="shared" ca="1" si="192"/>
        <v>24358609.897833385</v>
      </c>
      <c r="R192" s="47">
        <f>IFERROR(HLOOKUP(B192-1,'EV Forecast VRZ'!$F$124:$T$130,4,FALSE)/12,0)+IFERROR(((HLOOKUP(B192,'EV Forecast VRZ'!$F$116:$T$122,4,FALSE)-HLOOKUP(B192-1,'EV Forecast VRZ'!$F$124:$T$130,4,FALSE)))*C192/78,0)</f>
        <v>690686.07269818278</v>
      </c>
      <c r="S192" s="47">
        <f ca="1">HLOOKUP(B192,Heating!$C$102:$O$106,4,FALSE)*INDEX(Weather!$BO$1:$CB$20,MATCH(B192,Weather!$BO$1:$BO$20,0),MATCH(C192,Weather!$BO$1:$CB$1,0))/VLOOKUP(B192,Weather!$BO$2:$CB$20,14,FALSE)</f>
        <v>1021023.3404622718</v>
      </c>
      <c r="T192" s="47">
        <f t="shared" ca="1" si="206"/>
        <v>26070319.310993839</v>
      </c>
    </row>
    <row r="193" spans="1:20">
      <c r="A193" s="2">
        <f t="shared" si="193"/>
        <v>47848</v>
      </c>
      <c r="B193">
        <f t="shared" si="194"/>
        <v>2030</v>
      </c>
      <c r="C193">
        <f t="shared" si="195"/>
        <v>12</v>
      </c>
      <c r="E193" s="3">
        <f t="shared" ref="E193:F193" ca="1" si="216">E181</f>
        <v>639.92800724637686</v>
      </c>
      <c r="F193" s="3">
        <f t="shared" ca="1" si="216"/>
        <v>0</v>
      </c>
      <c r="H193" s="97">
        <f>'Economic Data'!D207</f>
        <v>8586.0829752367499</v>
      </c>
      <c r="I193" s="47">
        <f t="shared" si="197"/>
        <v>31</v>
      </c>
      <c r="K193" s="3">
        <f t="shared" si="142"/>
        <v>-4083957</v>
      </c>
      <c r="L193" s="3">
        <f t="shared" ca="1" si="143"/>
        <v>7132483.9860463776</v>
      </c>
      <c r="M193" s="3">
        <f t="shared" ca="1" si="144"/>
        <v>0</v>
      </c>
      <c r="N193" s="3">
        <f t="shared" si="145"/>
        <v>0</v>
      </c>
      <c r="O193" s="3">
        <f t="shared" si="146"/>
        <v>8690661.4658751339</v>
      </c>
      <c r="P193" s="3">
        <f t="shared" si="147"/>
        <v>14778211.5</v>
      </c>
      <c r="Q193" s="47">
        <f t="shared" ca="1" si="192"/>
        <v>26517399.951921511</v>
      </c>
      <c r="R193" s="47">
        <f>IFERROR(HLOOKUP(B193-1,'EV Forecast VRZ'!$F$124:$T$130,4,FALSE)/12,0)+IFERROR(((HLOOKUP(B193,'EV Forecast VRZ'!$F$116:$T$122,4,FALSE)-HLOOKUP(B193-1,'EV Forecast VRZ'!$F$124:$T$130,4,FALSE)))*C193/78,0)</f>
        <v>699399.51240305474</v>
      </c>
      <c r="S193" s="47">
        <f ca="1">HLOOKUP(B193,Heating!$C$102:$O$106,4,FALSE)*INDEX(Weather!$BO$1:$CB$20,MATCH(B193,Weather!$BO$1:$BO$20,0),MATCH(C193,Weather!$BO$1:$CB$1,0))/VLOOKUP(B193,Weather!$BO$2:$CB$20,14,FALSE)</f>
        <v>1383114.4167188185</v>
      </c>
      <c r="T193" s="47">
        <f t="shared" ca="1" si="206"/>
        <v>28599913.881043386</v>
      </c>
    </row>
    <row r="194" spans="1:20">
      <c r="A194" s="2">
        <f t="shared" si="193"/>
        <v>47879</v>
      </c>
      <c r="B194">
        <f t="shared" si="194"/>
        <v>2031</v>
      </c>
      <c r="C194">
        <f t="shared" si="195"/>
        <v>1</v>
      </c>
      <c r="E194" s="3">
        <f t="shared" ref="E194:F194" ca="1" si="217">E182</f>
        <v>759.33418478260865</v>
      </c>
      <c r="F194" s="3">
        <f t="shared" ca="1" si="217"/>
        <v>0</v>
      </c>
      <c r="H194" s="97">
        <f>'Economic Data'!D208</f>
        <v>8614.0998579845436</v>
      </c>
      <c r="I194" s="47">
        <f t="shared" si="197"/>
        <v>31</v>
      </c>
      <c r="K194" s="3">
        <f t="shared" ref="K194:K205" si="218">$X$8</f>
        <v>-4083957</v>
      </c>
      <c r="L194" s="3">
        <f t="shared" ref="L194:L205" ca="1" si="219">E194*$X$9</f>
        <v>8463356.5833826084</v>
      </c>
      <c r="M194" s="3">
        <f t="shared" ref="M194:M205" ca="1" si="220">F194*$X$10</f>
        <v>0</v>
      </c>
      <c r="N194" s="3">
        <f t="shared" ref="N194:N205" si="221">G194*$X$11</f>
        <v>0</v>
      </c>
      <c r="O194" s="3">
        <f t="shared" ref="O194:O205" si="222">H194*$X$12</f>
        <v>8719019.5942547955</v>
      </c>
      <c r="P194" s="3">
        <f t="shared" ref="P194:P205" si="223">I194*$X$13</f>
        <v>14778211.5</v>
      </c>
      <c r="Q194" s="47">
        <f t="shared" ca="1" si="192"/>
        <v>27876630.677637406</v>
      </c>
      <c r="R194" s="47">
        <f>IFERROR(HLOOKUP(B194-1,'EV Forecast VRZ'!$F$124:$T$130,4,FALSE)/12,0)+IFERROR(((HLOOKUP(B194,'EV Forecast VRZ'!$F$116:$T$122,4,FALSE)-HLOOKUP(B194-1,'EV Forecast VRZ'!$F$124:$T$130,4,FALSE)))*C194/78,0)</f>
        <v>724284.55832476774</v>
      </c>
      <c r="S194" s="47">
        <f ca="1">HLOOKUP(B194,Heating!$C$102:$O$106,4,FALSE)*INDEX(Weather!$BO$1:$CB$20,MATCH(B194,Weather!$BO$1:$BO$20,0),MATCH(C194,Weather!$BO$1:$CB$1,0))/VLOOKUP(B194,Weather!$BO$2:$CB$20,14,FALSE)</f>
        <v>1867023.3756521337</v>
      </c>
      <c r="T194" s="47">
        <f t="shared" ca="1" si="206"/>
        <v>30467938.611614309</v>
      </c>
    </row>
    <row r="195" spans="1:20">
      <c r="A195" s="2">
        <f t="shared" si="193"/>
        <v>47907</v>
      </c>
      <c r="B195">
        <f t="shared" si="194"/>
        <v>2031</v>
      </c>
      <c r="C195">
        <f t="shared" si="195"/>
        <v>2</v>
      </c>
      <c r="E195" s="3">
        <f t="shared" ref="E195:F195" ca="1" si="224">E183</f>
        <v>680.85501811594202</v>
      </c>
      <c r="F195" s="3">
        <f t="shared" ca="1" si="224"/>
        <v>0</v>
      </c>
      <c r="H195" s="97">
        <f>'Economic Data'!D209</f>
        <v>8644.6548752162707</v>
      </c>
      <c r="I195" s="47">
        <f t="shared" si="197"/>
        <v>28</v>
      </c>
      <c r="K195" s="3">
        <f t="shared" si="218"/>
        <v>-4083957</v>
      </c>
      <c r="L195" s="3">
        <f t="shared" ca="1" si="219"/>
        <v>7588646.6267159423</v>
      </c>
      <c r="M195" s="3">
        <f t="shared" ca="1" si="220"/>
        <v>0</v>
      </c>
      <c r="N195" s="3">
        <f t="shared" si="221"/>
        <v>0</v>
      </c>
      <c r="O195" s="3">
        <f t="shared" si="222"/>
        <v>8749946.7715964038</v>
      </c>
      <c r="P195" s="3">
        <f t="shared" si="223"/>
        <v>13348062</v>
      </c>
      <c r="Q195" s="47">
        <f t="shared" ca="1" si="192"/>
        <v>25602698.398312345</v>
      </c>
      <c r="R195" s="47">
        <f>IFERROR(HLOOKUP(B195-1,'EV Forecast VRZ'!$F$124:$T$130,4,FALSE)/12,0)+IFERROR(((HLOOKUP(B195,'EV Forecast VRZ'!$F$116:$T$122,4,FALSE)-HLOOKUP(B195-1,'EV Forecast VRZ'!$F$124:$T$130,4,FALSE)))*C195/78,0)</f>
        <v>732996.54787494207</v>
      </c>
      <c r="S195" s="47">
        <f ca="1">HLOOKUP(B195,Heating!$C$102:$O$106,4,FALSE)*INDEX(Weather!$BO$1:$CB$20,MATCH(B195,Weather!$BO$1:$BO$20,0),MATCH(C195,Weather!$BO$1:$CB$1,0))/VLOOKUP(B195,Weather!$BO$2:$CB$20,14,FALSE)</f>
        <v>1671363.2238665444</v>
      </c>
      <c r="T195" s="47">
        <f t="shared" ca="1" si="206"/>
        <v>28007058.170053832</v>
      </c>
    </row>
    <row r="196" spans="1:20">
      <c r="A196" s="2">
        <f t="shared" si="193"/>
        <v>47938</v>
      </c>
      <c r="B196">
        <f t="shared" si="194"/>
        <v>2031</v>
      </c>
      <c r="C196">
        <f t="shared" si="195"/>
        <v>3</v>
      </c>
      <c r="E196" s="3">
        <f t="shared" ref="E196:F196" ca="1" si="225">E184</f>
        <v>608.13298913043479</v>
      </c>
      <c r="F196" s="3">
        <f t="shared" ca="1" si="225"/>
        <v>0</v>
      </c>
      <c r="H196" s="97">
        <f>'Economic Data'!D210</f>
        <v>8654.6298808417487</v>
      </c>
      <c r="I196" s="47">
        <f t="shared" si="197"/>
        <v>31</v>
      </c>
      <c r="K196" s="3">
        <f t="shared" si="218"/>
        <v>-4083957</v>
      </c>
      <c r="L196" s="3">
        <f t="shared" ca="1" si="219"/>
        <v>6778104.3449304346</v>
      </c>
      <c r="M196" s="3">
        <f t="shared" ca="1" si="220"/>
        <v>0</v>
      </c>
      <c r="N196" s="3">
        <f t="shared" si="221"/>
        <v>0</v>
      </c>
      <c r="O196" s="3">
        <f t="shared" si="222"/>
        <v>8760043.2727904003</v>
      </c>
      <c r="P196" s="3">
        <f t="shared" si="223"/>
        <v>14778211.5</v>
      </c>
      <c r="Q196" s="47">
        <f t="shared" ca="1" si="192"/>
        <v>26232402.117720835</v>
      </c>
      <c r="R196" s="47">
        <f>IFERROR(HLOOKUP(B196-1,'EV Forecast VRZ'!$F$124:$T$130,4,FALSE)/12,0)+IFERROR(((HLOOKUP(B196,'EV Forecast VRZ'!$F$116:$T$122,4,FALSE)-HLOOKUP(B196-1,'EV Forecast VRZ'!$F$124:$T$130,4,FALSE)))*C196/78,0)</f>
        <v>741708.53742511629</v>
      </c>
      <c r="S196" s="47">
        <f ca="1">HLOOKUP(B196,Heating!$C$102:$O$106,4,FALSE)*INDEX(Weather!$BO$1:$CB$20,MATCH(B196,Weather!$BO$1:$BO$20,0),MATCH(C196,Weather!$BO$1:$CB$1,0))/VLOOKUP(B196,Weather!$BO$2:$CB$20,14,FALSE)</f>
        <v>1462201.4511437791</v>
      </c>
      <c r="T196" s="47">
        <f t="shared" ca="1" si="206"/>
        <v>28436312.106289729</v>
      </c>
    </row>
    <row r="197" spans="1:20">
      <c r="A197" s="2">
        <f t="shared" si="193"/>
        <v>47968</v>
      </c>
      <c r="B197">
        <f t="shared" si="194"/>
        <v>2031</v>
      </c>
      <c r="C197">
        <f t="shared" si="195"/>
        <v>4</v>
      </c>
      <c r="E197" s="3">
        <f t="shared" ref="E197:F197" ca="1" si="226">E185</f>
        <v>412.37941287878795</v>
      </c>
      <c r="F197" s="3">
        <f t="shared" ca="1" si="226"/>
        <v>2.1908333333333347</v>
      </c>
      <c r="H197" s="97">
        <f>'Economic Data'!D211</f>
        <v>8638.7748719001993</v>
      </c>
      <c r="I197" s="47">
        <f t="shared" si="197"/>
        <v>30</v>
      </c>
      <c r="K197" s="3">
        <f t="shared" si="218"/>
        <v>-4083957</v>
      </c>
      <c r="L197" s="3">
        <f t="shared" ca="1" si="219"/>
        <v>4596281.9648878798</v>
      </c>
      <c r="M197" s="3">
        <f t="shared" ca="1" si="220"/>
        <v>75701.11294166671</v>
      </c>
      <c r="N197" s="3">
        <f t="shared" si="221"/>
        <v>0</v>
      </c>
      <c r="O197" s="3">
        <f t="shared" si="222"/>
        <v>8743995.1498399433</v>
      </c>
      <c r="P197" s="3">
        <f t="shared" si="223"/>
        <v>14301495</v>
      </c>
      <c r="Q197" s="47">
        <f t="shared" ca="1" si="192"/>
        <v>23633516.227669492</v>
      </c>
      <c r="R197" s="47">
        <f>IFERROR(HLOOKUP(B197-1,'EV Forecast VRZ'!$F$124:$T$130,4,FALSE)/12,0)+IFERROR(((HLOOKUP(B197,'EV Forecast VRZ'!$F$116:$T$122,4,FALSE)-HLOOKUP(B197-1,'EV Forecast VRZ'!$F$124:$T$130,4,FALSE)))*C197/78,0)</f>
        <v>750420.52697529062</v>
      </c>
      <c r="S197" s="47">
        <f ca="1">HLOOKUP(B197,Heating!$C$102:$O$106,4,FALSE)*INDEX(Weather!$BO$1:$CB$20,MATCH(B197,Weather!$BO$1:$BO$20,0),MATCH(C197,Weather!$BO$1:$CB$1,0))/VLOOKUP(B197,Weather!$BO$2:$CB$20,14,FALSE)</f>
        <v>943543.54510833416</v>
      </c>
      <c r="T197" s="47">
        <f t="shared" ca="1" si="206"/>
        <v>25327480.299753115</v>
      </c>
    </row>
    <row r="198" spans="1:20">
      <c r="A198" s="2">
        <f t="shared" si="193"/>
        <v>47999</v>
      </c>
      <c r="B198">
        <f t="shared" si="194"/>
        <v>2031</v>
      </c>
      <c r="C198">
        <f t="shared" si="195"/>
        <v>5</v>
      </c>
      <c r="E198" s="3">
        <f t="shared" ref="E198:F198" ca="1" si="227">E186</f>
        <v>202.70273119310133</v>
      </c>
      <c r="F198" s="3">
        <f t="shared" ca="1" si="227"/>
        <v>52.487435064935063</v>
      </c>
      <c r="H198" s="97">
        <f>'Economic Data'!D212</f>
        <v>8618.2998603531669</v>
      </c>
      <c r="I198" s="47">
        <f t="shared" si="197"/>
        <v>31</v>
      </c>
      <c r="K198" s="3">
        <f t="shared" si="218"/>
        <v>-4083957</v>
      </c>
      <c r="L198" s="3">
        <f t="shared" ca="1" si="219"/>
        <v>2259275.993222821</v>
      </c>
      <c r="M198" s="3">
        <f t="shared" ca="1" si="220"/>
        <v>1813628.2616366881</v>
      </c>
      <c r="N198" s="3">
        <f t="shared" si="221"/>
        <v>0</v>
      </c>
      <c r="O198" s="3">
        <f t="shared" si="222"/>
        <v>8723270.7526522689</v>
      </c>
      <c r="P198" s="3">
        <f t="shared" si="223"/>
        <v>14778211.5</v>
      </c>
      <c r="Q198" s="47">
        <f t="shared" ca="1" si="192"/>
        <v>23490429.50751178</v>
      </c>
      <c r="R198" s="47">
        <f>IFERROR(HLOOKUP(B198-1,'EV Forecast VRZ'!$F$124:$T$130,4,FALSE)/12,0)+IFERROR(((HLOOKUP(B198,'EV Forecast VRZ'!$F$116:$T$122,4,FALSE)-HLOOKUP(B198-1,'EV Forecast VRZ'!$F$124:$T$130,4,FALSE)))*C198/78,0)</f>
        <v>759132.51652546495</v>
      </c>
      <c r="S198" s="47">
        <f ca="1">HLOOKUP(B198,Heating!$C$102:$O$106,4,FALSE)*INDEX(Weather!$BO$1:$CB$20,MATCH(B198,Weather!$BO$1:$BO$20,0),MATCH(C198,Weather!$BO$1:$CB$1,0))/VLOOKUP(B198,Weather!$BO$2:$CB$20,14,FALSE)</f>
        <v>401972.40285799111</v>
      </c>
      <c r="T198" s="47">
        <f t="shared" ca="1" si="206"/>
        <v>24651534.426895238</v>
      </c>
    </row>
    <row r="199" spans="1:20">
      <c r="A199" s="2">
        <f t="shared" si="193"/>
        <v>48029</v>
      </c>
      <c r="B199">
        <f t="shared" si="194"/>
        <v>2031</v>
      </c>
      <c r="C199">
        <f t="shared" si="195"/>
        <v>6</v>
      </c>
      <c r="E199" s="3">
        <f t="shared" ref="E199:F199" ca="1" si="228">E187</f>
        <v>66.09717382617383</v>
      </c>
      <c r="F199" s="3">
        <f t="shared" ca="1" si="228"/>
        <v>137.65451754405018</v>
      </c>
      <c r="H199" s="97">
        <f>'Economic Data'!D213</f>
        <v>8614.8348583990519</v>
      </c>
      <c r="I199" s="47">
        <f t="shared" si="197"/>
        <v>30</v>
      </c>
      <c r="K199" s="3">
        <f t="shared" si="218"/>
        <v>-4083957</v>
      </c>
      <c r="L199" s="3">
        <f t="shared" ca="1" si="219"/>
        <v>736703.23614481522</v>
      </c>
      <c r="M199" s="3">
        <f t="shared" ca="1" si="220"/>
        <v>4756455.0077745663</v>
      </c>
      <c r="N199" s="3">
        <f t="shared" si="221"/>
        <v>0</v>
      </c>
      <c r="O199" s="3">
        <f t="shared" si="222"/>
        <v>8719763.5469743516</v>
      </c>
      <c r="P199" s="3">
        <f t="shared" si="223"/>
        <v>14301495</v>
      </c>
      <c r="Q199" s="47">
        <f t="shared" ca="1" si="192"/>
        <v>24430459.790893734</v>
      </c>
      <c r="R199" s="47">
        <f>IFERROR(HLOOKUP(B199-1,'EV Forecast VRZ'!$F$124:$T$130,4,FALSE)/12,0)+IFERROR(((HLOOKUP(B199,'EV Forecast VRZ'!$F$116:$T$122,4,FALSE)-HLOOKUP(B199-1,'EV Forecast VRZ'!$F$124:$T$130,4,FALSE)))*C199/78,0)</f>
        <v>767844.50607563928</v>
      </c>
      <c r="S199" s="47">
        <f ca="1">HLOOKUP(B199,Heating!$C$102:$O$106,4,FALSE)*INDEX(Weather!$BO$1:$CB$20,MATCH(B199,Weather!$BO$1:$BO$20,0),MATCH(C199,Weather!$BO$1:$CB$1,0))/VLOOKUP(B199,Weather!$BO$2:$CB$20,14,FALSE)</f>
        <v>87070.627406854197</v>
      </c>
      <c r="T199" s="47">
        <f t="shared" ca="1" si="206"/>
        <v>25285374.924376227</v>
      </c>
    </row>
    <row r="200" spans="1:20">
      <c r="A200" s="2">
        <f t="shared" si="193"/>
        <v>48060</v>
      </c>
      <c r="B200">
        <f t="shared" si="194"/>
        <v>2031</v>
      </c>
      <c r="C200">
        <f t="shared" si="195"/>
        <v>7</v>
      </c>
      <c r="E200" s="3">
        <f t="shared" ref="E200:F200" ca="1" si="229">E188</f>
        <v>10.249063146997932</v>
      </c>
      <c r="F200" s="3">
        <f t="shared" ca="1" si="229"/>
        <v>235.94737858727848</v>
      </c>
      <c r="H200" s="97">
        <f>'Economic Data'!D214</f>
        <v>8636.4676793490435</v>
      </c>
      <c r="I200" s="47">
        <f t="shared" si="197"/>
        <v>31</v>
      </c>
      <c r="K200" s="3">
        <f t="shared" si="218"/>
        <v>-4083957</v>
      </c>
      <c r="L200" s="3">
        <f t="shared" ca="1" si="219"/>
        <v>114233.59806128367</v>
      </c>
      <c r="M200" s="3">
        <f t="shared" ca="1" si="220"/>
        <v>8152824.2623320278</v>
      </c>
      <c r="N200" s="3">
        <f t="shared" si="221"/>
        <v>0</v>
      </c>
      <c r="O200" s="3">
        <f t="shared" si="222"/>
        <v>8741659.8556835148</v>
      </c>
      <c r="P200" s="3">
        <f t="shared" si="223"/>
        <v>14778211.5</v>
      </c>
      <c r="Q200" s="47">
        <f t="shared" ca="1" si="192"/>
        <v>27702972.216076829</v>
      </c>
      <c r="R200" s="47">
        <f>IFERROR(HLOOKUP(B200-1,'EV Forecast VRZ'!$F$124:$T$130,4,FALSE)/12,0)+IFERROR(((HLOOKUP(B200,'EV Forecast VRZ'!$F$116:$T$122,4,FALSE)-HLOOKUP(B200-1,'EV Forecast VRZ'!$F$124:$T$130,4,FALSE)))*C200/78,0)</f>
        <v>776556.49562581361</v>
      </c>
      <c r="S200" s="47">
        <f ca="1">HLOOKUP(B200,Heating!$C$102:$O$106,4,FALSE)*INDEX(Weather!$BO$1:$CB$20,MATCH(B200,Weather!$BO$1:$BO$20,0),MATCH(C200,Weather!$BO$1:$CB$1,0))/VLOOKUP(B200,Weather!$BO$2:$CB$20,14,FALSE)</f>
        <v>4331.7656045580688</v>
      </c>
      <c r="T200" s="47">
        <f t="shared" ca="1" si="206"/>
        <v>28483860.4773072</v>
      </c>
    </row>
    <row r="201" spans="1:20">
      <c r="A201" s="2">
        <f t="shared" si="193"/>
        <v>48091</v>
      </c>
      <c r="B201">
        <f t="shared" si="194"/>
        <v>2031</v>
      </c>
      <c r="C201">
        <f t="shared" si="195"/>
        <v>8</v>
      </c>
      <c r="E201" s="3">
        <f t="shared" ref="E201:F201" ca="1" si="230">E189</f>
        <v>21.194927536231887</v>
      </c>
      <c r="F201" s="3">
        <f t="shared" ca="1" si="230"/>
        <v>210.96558794466404</v>
      </c>
      <c r="H201" s="97">
        <f>'Economic Data'!D215</f>
        <v>8643.03139055069</v>
      </c>
      <c r="I201" s="47">
        <f t="shared" si="197"/>
        <v>31</v>
      </c>
      <c r="K201" s="3">
        <f t="shared" si="218"/>
        <v>-4083957</v>
      </c>
      <c r="L201" s="3">
        <f t="shared" ca="1" si="219"/>
        <v>236233.57553623192</v>
      </c>
      <c r="M201" s="3">
        <f t="shared" ca="1" si="220"/>
        <v>7289614.2106371047</v>
      </c>
      <c r="N201" s="3">
        <f t="shared" si="221"/>
        <v>0</v>
      </c>
      <c r="O201" s="3">
        <f t="shared" si="222"/>
        <v>8748303.5128875971</v>
      </c>
      <c r="P201" s="3">
        <f t="shared" si="223"/>
        <v>14778211.5</v>
      </c>
      <c r="Q201" s="47">
        <f t="shared" ca="1" si="192"/>
        <v>26968405.799060933</v>
      </c>
      <c r="R201" s="47">
        <f>IFERROR(HLOOKUP(B201-1,'EV Forecast VRZ'!$F$124:$T$130,4,FALSE)/12,0)+IFERROR(((HLOOKUP(B201,'EV Forecast VRZ'!$F$116:$T$122,4,FALSE)-HLOOKUP(B201-1,'EV Forecast VRZ'!$F$124:$T$130,4,FALSE)))*C201/78,0)</f>
        <v>785268.48517598794</v>
      </c>
      <c r="S201" s="47">
        <f ca="1">HLOOKUP(B201,Heating!$C$102:$O$106,4,FALSE)*INDEX(Weather!$BO$1:$CB$20,MATCH(B201,Weather!$BO$1:$BO$20,0),MATCH(C201,Weather!$BO$1:$CB$1,0))/VLOOKUP(B201,Weather!$BO$2:$CB$20,14,FALSE)</f>
        <v>15127.154673656307</v>
      </c>
      <c r="T201" s="47">
        <f t="shared" ca="1" si="206"/>
        <v>27768801.438910577</v>
      </c>
    </row>
    <row r="202" spans="1:20">
      <c r="A202" s="2">
        <f t="shared" si="193"/>
        <v>48121</v>
      </c>
      <c r="B202">
        <f t="shared" si="194"/>
        <v>2031</v>
      </c>
      <c r="C202">
        <f t="shared" si="195"/>
        <v>9</v>
      </c>
      <c r="E202" s="3">
        <f t="shared" ref="E202:F202" ca="1" si="231">E190</f>
        <v>96.735690993788822</v>
      </c>
      <c r="F202" s="3">
        <f t="shared" ca="1" si="231"/>
        <v>106.4160119047619</v>
      </c>
      <c r="H202" s="97">
        <f>'Economic Data'!D216</f>
        <v>8657.2174760510425</v>
      </c>
      <c r="I202" s="47">
        <f t="shared" si="197"/>
        <v>30</v>
      </c>
      <c r="K202" s="3">
        <f t="shared" si="218"/>
        <v>-4083957</v>
      </c>
      <c r="L202" s="3">
        <f t="shared" ca="1" si="219"/>
        <v>1078192.7952509318</v>
      </c>
      <c r="M202" s="3">
        <f t="shared" ca="1" si="220"/>
        <v>3677053.1164720235</v>
      </c>
      <c r="N202" s="3">
        <f t="shared" si="221"/>
        <v>0</v>
      </c>
      <c r="O202" s="3">
        <f t="shared" si="222"/>
        <v>8762662.384909343</v>
      </c>
      <c r="P202" s="3">
        <f t="shared" si="223"/>
        <v>14301495</v>
      </c>
      <c r="Q202" s="47">
        <f t="shared" ca="1" si="192"/>
        <v>23735446.296632297</v>
      </c>
      <c r="R202" s="47">
        <f>IFERROR(HLOOKUP(B202-1,'EV Forecast VRZ'!$F$124:$T$130,4,FALSE)/12,0)+IFERROR(((HLOOKUP(B202,'EV Forecast VRZ'!$F$116:$T$122,4,FALSE)-HLOOKUP(B202-1,'EV Forecast VRZ'!$F$124:$T$130,4,FALSE)))*C202/78,0)</f>
        <v>793980.47472616215</v>
      </c>
      <c r="S202" s="47">
        <f ca="1">HLOOKUP(B202,Heating!$C$102:$O$106,4,FALSE)*INDEX(Weather!$BO$1:$CB$20,MATCH(B202,Weather!$BO$1:$BO$20,0),MATCH(C202,Weather!$BO$1:$CB$1,0))/VLOOKUP(B202,Weather!$BO$2:$CB$20,14,FALSE)</f>
        <v>147146.89640543913</v>
      </c>
      <c r="T202" s="47">
        <f t="shared" ca="1" si="206"/>
        <v>24676573.6677639</v>
      </c>
    </row>
    <row r="203" spans="1:20">
      <c r="A203" s="2">
        <f t="shared" si="193"/>
        <v>48152</v>
      </c>
      <c r="B203">
        <f t="shared" si="194"/>
        <v>2031</v>
      </c>
      <c r="C203">
        <f t="shared" si="195"/>
        <v>10</v>
      </c>
      <c r="E203" s="3">
        <f t="shared" ref="E203:F203" ca="1" si="232">E191</f>
        <v>298.21097826086958</v>
      </c>
      <c r="F203" s="3">
        <f t="shared" ca="1" si="232"/>
        <v>17.987083333333334</v>
      </c>
      <c r="H203" s="97">
        <f>'Economic Data'!D217</f>
        <v>8659.6524011742349</v>
      </c>
      <c r="I203" s="47">
        <f t="shared" si="197"/>
        <v>31</v>
      </c>
      <c r="K203" s="3">
        <f t="shared" si="218"/>
        <v>-4083957</v>
      </c>
      <c r="L203" s="3">
        <f t="shared" ca="1" si="219"/>
        <v>3323787.9930608696</v>
      </c>
      <c r="M203" s="3">
        <f t="shared" ca="1" si="220"/>
        <v>621517.94305416674</v>
      </c>
      <c r="N203" s="3">
        <f t="shared" si="221"/>
        <v>0</v>
      </c>
      <c r="O203" s="3">
        <f t="shared" si="222"/>
        <v>8765126.967420537</v>
      </c>
      <c r="P203" s="3">
        <f t="shared" si="223"/>
        <v>14778211.5</v>
      </c>
      <c r="Q203" s="47">
        <f t="shared" ca="1" si="192"/>
        <v>23404687.403535575</v>
      </c>
      <c r="R203" s="47">
        <f>IFERROR(HLOOKUP(B203-1,'EV Forecast VRZ'!$F$124:$T$130,4,FALSE)/12,0)+IFERROR(((HLOOKUP(B203,'EV Forecast VRZ'!$F$116:$T$122,4,FALSE)-HLOOKUP(B203-1,'EV Forecast VRZ'!$F$124:$T$130,4,FALSE)))*C203/78,0)</f>
        <v>802692.46427633648</v>
      </c>
      <c r="S203" s="47">
        <f ca="1">HLOOKUP(B203,Heating!$C$102:$O$106,4,FALSE)*INDEX(Weather!$BO$1:$CB$20,MATCH(B203,Weather!$BO$1:$BO$20,0),MATCH(C203,Weather!$BO$1:$CB$1,0))/VLOOKUP(B203,Weather!$BO$2:$CB$20,14,FALSE)</f>
        <v>636938.38324870472</v>
      </c>
      <c r="T203" s="47">
        <f t="shared" ca="1" si="206"/>
        <v>24844318.251060616</v>
      </c>
    </row>
    <row r="204" spans="1:20">
      <c r="A204" s="2">
        <f t="shared" si="193"/>
        <v>48182</v>
      </c>
      <c r="B204">
        <f t="shared" si="194"/>
        <v>2031</v>
      </c>
      <c r="C204">
        <f t="shared" si="195"/>
        <v>11</v>
      </c>
      <c r="E204" s="3">
        <f t="shared" ref="E204:F204" ca="1" si="233">E192</f>
        <v>486.62991389045737</v>
      </c>
      <c r="F204" s="3">
        <f t="shared" ca="1" si="233"/>
        <v>0.8083333333333329</v>
      </c>
      <c r="H204" s="97">
        <f>'Economic Data'!D218</f>
        <v>8661.9814599877227</v>
      </c>
      <c r="I204" s="47">
        <f t="shared" si="197"/>
        <v>30</v>
      </c>
      <c r="K204" s="3">
        <f t="shared" si="218"/>
        <v>-4083957</v>
      </c>
      <c r="L204" s="3">
        <f t="shared" ca="1" si="219"/>
        <v>5423860.2290437045</v>
      </c>
      <c r="M204" s="3">
        <f t="shared" ca="1" si="220"/>
        <v>27930.802416666651</v>
      </c>
      <c r="N204" s="3">
        <f t="shared" si="221"/>
        <v>0</v>
      </c>
      <c r="O204" s="3">
        <f t="shared" si="222"/>
        <v>8767484.3941703718</v>
      </c>
      <c r="P204" s="3">
        <f t="shared" si="223"/>
        <v>14301495</v>
      </c>
      <c r="Q204" s="47">
        <f t="shared" ca="1" si="192"/>
        <v>24436813.425630741</v>
      </c>
      <c r="R204" s="47">
        <f>IFERROR(HLOOKUP(B204-1,'EV Forecast VRZ'!$F$124:$T$130,4,FALSE)/12,0)+IFERROR(((HLOOKUP(B204,'EV Forecast VRZ'!$F$116:$T$122,4,FALSE)-HLOOKUP(B204-1,'EV Forecast VRZ'!$F$124:$T$130,4,FALSE)))*C204/78,0)</f>
        <v>811404.45382651081</v>
      </c>
      <c r="S204" s="47">
        <f ca="1">HLOOKUP(B204,Heating!$C$102:$O$106,4,FALSE)*INDEX(Weather!$BO$1:$CB$20,MATCH(B204,Weather!$BO$1:$BO$20,0),MATCH(C204,Weather!$BO$1:$CB$1,0))/VLOOKUP(B204,Weather!$BO$2:$CB$20,14,FALSE)</f>
        <v>1142247.202801703</v>
      </c>
      <c r="T204" s="47">
        <f t="shared" ca="1" si="206"/>
        <v>26390465.082258955</v>
      </c>
    </row>
    <row r="205" spans="1:20">
      <c r="A205" s="2">
        <f t="shared" si="193"/>
        <v>48213</v>
      </c>
      <c r="B205">
        <f t="shared" si="194"/>
        <v>2031</v>
      </c>
      <c r="C205">
        <f t="shared" si="195"/>
        <v>12</v>
      </c>
      <c r="E205" s="3">
        <f t="shared" ref="E205:F205" ca="1" si="234">E193</f>
        <v>639.92800724637686</v>
      </c>
      <c r="F205" s="3">
        <f t="shared" ca="1" si="234"/>
        <v>0</v>
      </c>
      <c r="H205" s="97">
        <f>'Economic Data'!D219</f>
        <v>8663.3577220138795</v>
      </c>
      <c r="I205" s="47">
        <f t="shared" si="197"/>
        <v>31</v>
      </c>
      <c r="K205" s="3">
        <f t="shared" si="218"/>
        <v>-4083957</v>
      </c>
      <c r="L205" s="3">
        <f t="shared" ca="1" si="219"/>
        <v>7132483.9860463776</v>
      </c>
      <c r="M205" s="3">
        <f t="shared" ca="1" si="220"/>
        <v>0</v>
      </c>
      <c r="N205" s="3">
        <f t="shared" si="221"/>
        <v>0</v>
      </c>
      <c r="O205" s="3">
        <f t="shared" si="222"/>
        <v>8768877.4190680087</v>
      </c>
      <c r="P205" s="3">
        <f t="shared" si="223"/>
        <v>14778211.5</v>
      </c>
      <c r="Q205" s="47">
        <f t="shared" ca="1" si="192"/>
        <v>26595615.905114386</v>
      </c>
      <c r="R205" s="47">
        <f>IFERROR(HLOOKUP(B205-1,'EV Forecast VRZ'!$F$124:$T$130,4,FALSE)/12,0)+IFERROR(((HLOOKUP(B205,'EV Forecast VRZ'!$F$116:$T$122,4,FALSE)-HLOOKUP(B205-1,'EV Forecast VRZ'!$F$124:$T$130,4,FALSE)))*C205/78,0)</f>
        <v>820116.44337668514</v>
      </c>
      <c r="S205" s="47">
        <f ca="1">HLOOKUP(B205,Heating!$C$102:$O$106,4,FALSE)*INDEX(Weather!$BO$1:$CB$20,MATCH(B205,Weather!$BO$1:$BO$20,0),MATCH(C205,Weather!$BO$1:$CB$1,0))/VLOOKUP(B205,Weather!$BO$2:$CB$20,14,FALSE)</f>
        <v>1547328.5585582142</v>
      </c>
      <c r="T205" s="47">
        <f t="shared" ca="1" si="206"/>
        <v>28963060.907049287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9AF60-267E-444A-A9DF-28EC038E219B}">
  <sheetPr codeName="Sheet30">
    <tabColor theme="7" tint="0.79998168889431442"/>
  </sheetPr>
  <dimension ref="A1:AC205"/>
  <sheetViews>
    <sheetView workbookViewId="0">
      <selection activeCell="G6" sqref="G6"/>
    </sheetView>
  </sheetViews>
  <sheetFormatPr defaultRowHeight="15"/>
  <cols>
    <col min="4" max="4" width="24.85546875" customWidth="1"/>
    <col min="8" max="8" width="9.42578125" style="3" bestFit="1" customWidth="1"/>
    <col min="9" max="9" width="10.42578125" bestFit="1" customWidth="1"/>
    <col min="10" max="10" width="10.42578125" customWidth="1"/>
    <col min="12" max="12" width="13.5703125" bestFit="1" customWidth="1"/>
    <col min="13" max="14" width="11.42578125" bestFit="1" customWidth="1"/>
    <col min="15" max="15" width="10.42578125" bestFit="1" customWidth="1"/>
    <col min="16" max="17" width="11.42578125" bestFit="1" customWidth="1"/>
    <col min="18" max="18" width="11.42578125" customWidth="1"/>
    <col min="19" max="22" width="12.5703125" customWidth="1"/>
    <col min="26" max="26" width="15.5703125" customWidth="1"/>
    <col min="27" max="27" width="12.5703125" bestFit="1" customWidth="1"/>
    <col min="28" max="28" width="13.5703125" bestFit="1" customWidth="1"/>
    <col min="29" max="29" width="8.5703125" bestFit="1" customWidth="1"/>
  </cols>
  <sheetData>
    <row r="1" spans="1:29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Data'!X1</f>
        <v>VRZ_GS50to2999kWh_No_CDM</v>
      </c>
      <c r="E1" s="760" t="str">
        <f>'Monthly Data'!CN1</f>
        <v>HDD20</v>
      </c>
      <c r="F1" s="760" t="str">
        <f>'Monthly Data'!CW1</f>
        <v>CDD12</v>
      </c>
      <c r="G1" s="760" t="str">
        <f>'Monthly Data'!EG1</f>
        <v>Shoulder</v>
      </c>
      <c r="H1" s="760" t="str">
        <f>'Monthly Data'!DQ1</f>
        <v>Month Days</v>
      </c>
      <c r="I1" s="760" t="str">
        <f>'Monthly Data'!DL1</f>
        <v>OEA_GDP</v>
      </c>
      <c r="J1" s="760" t="str">
        <f>'Monthly Data'!EH1</f>
        <v>Trend</v>
      </c>
      <c r="K1" s="760"/>
      <c r="L1" s="760" t="str">
        <f>Y8</f>
        <v>const</v>
      </c>
      <c r="M1" s="760" t="str">
        <f t="shared" ref="M1:R1" si="0">E1</f>
        <v>HDD20</v>
      </c>
      <c r="N1" s="760" t="str">
        <f t="shared" si="0"/>
        <v>CDD12</v>
      </c>
      <c r="O1" s="760" t="str">
        <f t="shared" si="0"/>
        <v>Shoulder</v>
      </c>
      <c r="P1" s="760" t="str">
        <f t="shared" si="0"/>
        <v>Month Days</v>
      </c>
      <c r="Q1" s="760" t="str">
        <f t="shared" si="0"/>
        <v>OEA_GDP</v>
      </c>
      <c r="R1" s="760" t="str">
        <f t="shared" si="0"/>
        <v>Trend</v>
      </c>
      <c r="S1" s="760" t="s">
        <v>439</v>
      </c>
      <c r="T1" s="760" t="s">
        <v>632</v>
      </c>
      <c r="U1" s="760" t="s">
        <v>347</v>
      </c>
      <c r="V1" s="760" t="s">
        <v>634</v>
      </c>
    </row>
    <row r="2" spans="1:29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Data'!X2</f>
        <v>71442620.039468288</v>
      </c>
      <c r="E2" s="98">
        <f ca="1">Weather!BG46</f>
        <v>759.33418478260865</v>
      </c>
      <c r="F2" s="98">
        <f ca="1">Weather!DL46</f>
        <v>0</v>
      </c>
      <c r="G2">
        <f>'Monthly Data'!EG2</f>
        <v>0</v>
      </c>
      <c r="H2" s="3">
        <f>'Monthly Data'!DQ2</f>
        <v>31</v>
      </c>
      <c r="I2" s="3">
        <f>'Monthly Data'!DL2</f>
        <v>718587</v>
      </c>
      <c r="J2" s="3">
        <f>'Monthly Data'!EH2</f>
        <v>1</v>
      </c>
      <c r="L2" s="3">
        <f t="shared" ref="L2:L65" si="1">$Z$8</f>
        <v>-38000000</v>
      </c>
      <c r="M2" s="3">
        <f t="shared" ref="M2:M65" ca="1" si="2">E2*$Z$9</f>
        <v>13452356.824266847</v>
      </c>
      <c r="N2" s="3">
        <f t="shared" ref="N2:N65" ca="1" si="3">F2*$Z$10</f>
        <v>0</v>
      </c>
      <c r="O2" s="3">
        <f t="shared" ref="O2:O65" si="4">G2*$Z$11</f>
        <v>0</v>
      </c>
      <c r="P2" s="3">
        <f t="shared" ref="P2:P65" si="5">H2*$Z$12</f>
        <v>40989657</v>
      </c>
      <c r="Q2" s="3">
        <f t="shared" ref="Q2:Q65" si="6">I2*$Z$13</f>
        <v>65138668.394489996</v>
      </c>
      <c r="R2" s="3">
        <f t="shared" ref="R2:R65" si="7">J2*$Z$14</f>
        <v>-80570.8</v>
      </c>
      <c r="S2" s="47">
        <f t="shared" ref="S2:S54" ca="1" si="8">SUM(L2:R2)</f>
        <v>81500111.418756843</v>
      </c>
      <c r="T2" s="47">
        <f>'Monthly Data'!Y2</f>
        <v>0</v>
      </c>
      <c r="U2" s="47">
        <f>+'Monthly Data'!Z2</f>
        <v>0</v>
      </c>
      <c r="V2" s="47">
        <f t="shared" ref="V2:V54" ca="1" si="9">S2+T2+U2</f>
        <v>81500111.418756843</v>
      </c>
    </row>
    <row r="3" spans="1:29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Data'!X3</f>
        <v>76632985.030416265</v>
      </c>
      <c r="E3" s="98">
        <f ca="1">Weather!BG47</f>
        <v>680.85501811594202</v>
      </c>
      <c r="F3" s="98">
        <f ca="1">Weather!DL47</f>
        <v>0</v>
      </c>
      <c r="G3">
        <f>'Monthly Data'!EG3</f>
        <v>0</v>
      </c>
      <c r="H3" s="3">
        <f>'Monthly Data'!DQ3</f>
        <v>28</v>
      </c>
      <c r="I3" s="3">
        <f>'Monthly Data'!DL3</f>
        <v>718587</v>
      </c>
      <c r="J3" s="3">
        <f>'Monthly Data'!EH3</f>
        <v>2</v>
      </c>
      <c r="L3" s="3">
        <f t="shared" si="1"/>
        <v>-38000000</v>
      </c>
      <c r="M3" s="3">
        <f t="shared" ca="1" si="2"/>
        <v>12062020.692391848</v>
      </c>
      <c r="N3" s="3">
        <f t="shared" ca="1" si="3"/>
        <v>0</v>
      </c>
      <c r="O3" s="3">
        <f t="shared" si="4"/>
        <v>0</v>
      </c>
      <c r="P3" s="3">
        <f t="shared" si="5"/>
        <v>37022916</v>
      </c>
      <c r="Q3" s="3">
        <f t="shared" si="6"/>
        <v>65138668.394489996</v>
      </c>
      <c r="R3" s="3">
        <f t="shared" si="7"/>
        <v>-161141.6</v>
      </c>
      <c r="S3" s="47">
        <f t="shared" ca="1" si="8"/>
        <v>76062463.486881852</v>
      </c>
      <c r="T3" s="47">
        <f>'Monthly Data'!Y3</f>
        <v>0</v>
      </c>
      <c r="U3" s="47">
        <f>+'Monthly Data'!Z3</f>
        <v>0</v>
      </c>
      <c r="V3" s="47">
        <f t="shared" ca="1" si="9"/>
        <v>76062463.486881852</v>
      </c>
      <c r="Y3" s="3" t="str">
        <f>'VRZ GS 50-2,999'!Z3</f>
        <v>Model 4: Prais-Winsten, using observations 2015:01-2024:12 (T = 120)</v>
      </c>
    </row>
    <row r="4" spans="1:29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Data'!X4</f>
        <v>85961173.667970002</v>
      </c>
      <c r="E4" s="98">
        <f ca="1">Weather!BG48</f>
        <v>608.13298913043479</v>
      </c>
      <c r="F4" s="98">
        <f ca="1">Weather!DL48</f>
        <v>2.9583333333332896E-2</v>
      </c>
      <c r="G4">
        <f>'Monthly Data'!EG4</f>
        <v>1</v>
      </c>
      <c r="H4" s="3">
        <f>'Monthly Data'!DQ4</f>
        <v>31</v>
      </c>
      <c r="I4" s="3">
        <f>'Monthly Data'!DL4</f>
        <v>718587</v>
      </c>
      <c r="J4" s="3">
        <f>'Monthly Data'!EH4</f>
        <v>3</v>
      </c>
      <c r="L4" s="3">
        <f t="shared" si="1"/>
        <v>-38000000</v>
      </c>
      <c r="M4" s="3">
        <f t="shared" ca="1" si="2"/>
        <v>10773677.954104893</v>
      </c>
      <c r="N4" s="3">
        <f t="shared" ca="1" si="3"/>
        <v>1707.7257249999748</v>
      </c>
      <c r="O4" s="3">
        <f t="shared" si="4"/>
        <v>1538400</v>
      </c>
      <c r="P4" s="3">
        <f t="shared" si="5"/>
        <v>40989657</v>
      </c>
      <c r="Q4" s="3">
        <f t="shared" si="6"/>
        <v>65138668.394489996</v>
      </c>
      <c r="R4" s="3">
        <f t="shared" si="7"/>
        <v>-241712.40000000002</v>
      </c>
      <c r="S4" s="47">
        <f t="shared" ca="1" si="8"/>
        <v>80200398.674319878</v>
      </c>
      <c r="T4" s="47">
        <f>'Monthly Data'!Y4</f>
        <v>0</v>
      </c>
      <c r="U4" s="47">
        <f>+'Monthly Data'!Z4</f>
        <v>0</v>
      </c>
      <c r="V4" s="47">
        <f t="shared" ca="1" si="9"/>
        <v>80200398.674319878</v>
      </c>
      <c r="Y4" s="3" t="str">
        <f>'VRZ GS 50-2,999'!Z4</f>
        <v>Dependent variable: VRZ_GS50to2999kWh_No_CDM_AL</v>
      </c>
    </row>
    <row r="5" spans="1:29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Data'!X5</f>
        <v>78651699.97552374</v>
      </c>
      <c r="E5" s="98">
        <f ca="1">Weather!BG49</f>
        <v>412.37941287878795</v>
      </c>
      <c r="F5" s="98">
        <f ca="1">Weather!DL49</f>
        <v>5.6420833333333338</v>
      </c>
      <c r="G5">
        <f>'Monthly Data'!EG5</f>
        <v>1</v>
      </c>
      <c r="H5" s="3">
        <f>'Monthly Data'!DQ5</f>
        <v>30</v>
      </c>
      <c r="I5" s="3">
        <f>'Monthly Data'!DL5</f>
        <v>723726</v>
      </c>
      <c r="J5" s="3">
        <f>'Monthly Data'!EH5</f>
        <v>4</v>
      </c>
      <c r="L5" s="3">
        <f t="shared" si="1"/>
        <v>-38000000</v>
      </c>
      <c r="M5" s="3">
        <f t="shared" ca="1" si="2"/>
        <v>7305709.5547664789</v>
      </c>
      <c r="N5" s="3">
        <f t="shared" ca="1" si="3"/>
        <v>325694.56397500006</v>
      </c>
      <c r="O5" s="3">
        <f t="shared" si="4"/>
        <v>1538400</v>
      </c>
      <c r="P5" s="3">
        <f t="shared" si="5"/>
        <v>39667410</v>
      </c>
      <c r="Q5" s="3">
        <f t="shared" si="6"/>
        <v>65604509.85402</v>
      </c>
      <c r="R5" s="3">
        <f t="shared" si="7"/>
        <v>-322283.2</v>
      </c>
      <c r="S5" s="47">
        <f t="shared" ca="1" si="8"/>
        <v>76119440.772761479</v>
      </c>
      <c r="T5" s="47">
        <f>'Monthly Data'!Y5</f>
        <v>0</v>
      </c>
      <c r="U5" s="47">
        <f>+'Monthly Data'!Z5</f>
        <v>0</v>
      </c>
      <c r="V5" s="47">
        <f t="shared" ca="1" si="9"/>
        <v>76119440.772761479</v>
      </c>
      <c r="Y5" s="3" t="str">
        <f>'VRZ GS 50-2,999'!Z5</f>
        <v>rho = 0.27399</v>
      </c>
    </row>
    <row r="6" spans="1:29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Data'!X6</f>
        <v>80725133.273077473</v>
      </c>
      <c r="E6" s="98">
        <f ca="1">Weather!BG50</f>
        <v>202.70273119310133</v>
      </c>
      <c r="F6" s="98">
        <f ca="1">Weather!DL50</f>
        <v>86.191046176046171</v>
      </c>
      <c r="G6">
        <f>'Monthly Data'!EG6</f>
        <v>1</v>
      </c>
      <c r="H6" s="3">
        <f>'Monthly Data'!DQ6</f>
        <v>31</v>
      </c>
      <c r="I6" s="3">
        <f>'Monthly Data'!DL6</f>
        <v>723726</v>
      </c>
      <c r="J6" s="3">
        <f>'Monthly Data'!EH6</f>
        <v>5</v>
      </c>
      <c r="L6" s="3">
        <f t="shared" si="1"/>
        <v>-38000000</v>
      </c>
      <c r="M6" s="3">
        <f t="shared" ca="1" si="2"/>
        <v>3591079.5587896714</v>
      </c>
      <c r="N6" s="3">
        <f t="shared" ca="1" si="3"/>
        <v>4975459.1600956712</v>
      </c>
      <c r="O6" s="3">
        <f t="shared" si="4"/>
        <v>1538400</v>
      </c>
      <c r="P6" s="3">
        <f t="shared" si="5"/>
        <v>40989657</v>
      </c>
      <c r="Q6" s="3">
        <f t="shared" si="6"/>
        <v>65604509.85402</v>
      </c>
      <c r="R6" s="3">
        <f t="shared" si="7"/>
        <v>-402854</v>
      </c>
      <c r="S6" s="47">
        <f t="shared" ca="1" si="8"/>
        <v>78296251.572905332</v>
      </c>
      <c r="T6" s="47">
        <f>'Monthly Data'!Y6</f>
        <v>0</v>
      </c>
      <c r="U6" s="47">
        <f>+'Monthly Data'!Z6</f>
        <v>0</v>
      </c>
      <c r="V6" s="47">
        <f t="shared" ca="1" si="9"/>
        <v>78296251.572905332</v>
      </c>
    </row>
    <row r="7" spans="1:29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Data'!X7</f>
        <v>81951611.450631216</v>
      </c>
      <c r="E7" s="98">
        <f ca="1">Weather!BG51</f>
        <v>66.09717382617383</v>
      </c>
      <c r="F7" s="98">
        <f ca="1">Weather!DL51</f>
        <v>194.94285087738348</v>
      </c>
      <c r="G7">
        <f>'Monthly Data'!EG7</f>
        <v>0</v>
      </c>
      <c r="H7" s="3">
        <f>'Monthly Data'!DQ7</f>
        <v>30</v>
      </c>
      <c r="I7" s="3">
        <f>'Monthly Data'!DL7</f>
        <v>723726</v>
      </c>
      <c r="J7" s="3">
        <f>'Monthly Data'!EH7</f>
        <v>6</v>
      </c>
      <c r="L7" s="3">
        <f t="shared" si="1"/>
        <v>-38000000</v>
      </c>
      <c r="M7" s="3">
        <f t="shared" ca="1" si="2"/>
        <v>1170976.8705327574</v>
      </c>
      <c r="N7" s="3">
        <f t="shared" ca="1" si="3"/>
        <v>11253259.313176787</v>
      </c>
      <c r="O7" s="3">
        <f t="shared" si="4"/>
        <v>0</v>
      </c>
      <c r="P7" s="3">
        <f t="shared" si="5"/>
        <v>39667410</v>
      </c>
      <c r="Q7" s="3">
        <f t="shared" si="6"/>
        <v>65604509.85402</v>
      </c>
      <c r="R7" s="3">
        <f t="shared" si="7"/>
        <v>-483424.80000000005</v>
      </c>
      <c r="S7" s="47">
        <f t="shared" ca="1" si="8"/>
        <v>79212731.237729549</v>
      </c>
      <c r="T7" s="47">
        <f>'Monthly Data'!Y7</f>
        <v>0</v>
      </c>
      <c r="U7" s="47">
        <f>+'Monthly Data'!Z7</f>
        <v>0</v>
      </c>
      <c r="V7" s="47">
        <f t="shared" ca="1" si="9"/>
        <v>79212731.237729549</v>
      </c>
      <c r="Z7" t="s">
        <v>409</v>
      </c>
      <c r="AA7" t="s">
        <v>410</v>
      </c>
      <c r="AB7" t="s">
        <v>411</v>
      </c>
      <c r="AC7" t="s">
        <v>412</v>
      </c>
    </row>
    <row r="8" spans="1:29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Data'!X8</f>
        <v>84790202.238184944</v>
      </c>
      <c r="E8" s="98">
        <f ca="1">Weather!BG52</f>
        <v>10.249063146997932</v>
      </c>
      <c r="F8" s="98">
        <f ca="1">Weather!DL52</f>
        <v>297.94737858727848</v>
      </c>
      <c r="G8">
        <f>'Monthly Data'!EG8</f>
        <v>0</v>
      </c>
      <c r="H8" s="3">
        <f>'Monthly Data'!DQ8</f>
        <v>31</v>
      </c>
      <c r="I8" s="3">
        <f>'Monthly Data'!DL8</f>
        <v>730341</v>
      </c>
      <c r="J8" s="3">
        <f>'Monthly Data'!EH8</f>
        <v>7</v>
      </c>
      <c r="L8" s="3">
        <f t="shared" si="1"/>
        <v>-38000000</v>
      </c>
      <c r="M8" s="3">
        <f t="shared" ca="1" si="2"/>
        <v>181572.30022158389</v>
      </c>
      <c r="N8" s="3">
        <f t="shared" ca="1" si="3"/>
        <v>17199292.499486525</v>
      </c>
      <c r="O8" s="3">
        <f t="shared" si="4"/>
        <v>0</v>
      </c>
      <c r="P8" s="3">
        <f t="shared" si="5"/>
        <v>40989657</v>
      </c>
      <c r="Q8" s="3">
        <f t="shared" si="6"/>
        <v>66204148.160069995</v>
      </c>
      <c r="R8" s="3">
        <f t="shared" si="7"/>
        <v>-563995.6</v>
      </c>
      <c r="S8" s="47">
        <f t="shared" ca="1" si="8"/>
        <v>86010674.359778106</v>
      </c>
      <c r="T8" s="47">
        <f>'Monthly Data'!Y8</f>
        <v>0</v>
      </c>
      <c r="U8" s="47">
        <f>+'Monthly Data'!Z8</f>
        <v>0</v>
      </c>
      <c r="V8" s="47">
        <f t="shared" ca="1" si="9"/>
        <v>86010674.359778106</v>
      </c>
      <c r="Y8" t="s">
        <v>413</v>
      </c>
      <c r="Z8" s="616">
        <f>'VRZ GS 50-2,999'!AA8</f>
        <v>-38000000</v>
      </c>
      <c r="AA8" s="3">
        <f>'VRZ GS 50-2,999'!AB8</f>
        <v>11244653</v>
      </c>
      <c r="AB8" s="360">
        <f>'VRZ GS 50-2,999'!AC8</f>
        <v>-3.3380000000000001</v>
      </c>
      <c r="AC8" s="370">
        <f>'VRZ GS 50-2,999'!AD8</f>
        <v>1.13986115980826E-3</v>
      </c>
    </row>
    <row r="9" spans="1:29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Data'!X9</f>
        <v>84347090.635738686</v>
      </c>
      <c r="E9" s="98">
        <f ca="1">Weather!BG53</f>
        <v>21.194927536231887</v>
      </c>
      <c r="F9" s="98">
        <f ca="1">Weather!DL53</f>
        <v>272.96558794466404</v>
      </c>
      <c r="G9">
        <f>'Monthly Data'!EG9</f>
        <v>0</v>
      </c>
      <c r="H9" s="3">
        <f>'Monthly Data'!DQ9</f>
        <v>31</v>
      </c>
      <c r="I9" s="3">
        <f>'Monthly Data'!DL9</f>
        <v>730341</v>
      </c>
      <c r="J9" s="3">
        <f>'Monthly Data'!EH9</f>
        <v>8</v>
      </c>
      <c r="L9" s="3">
        <f t="shared" si="1"/>
        <v>-38000000</v>
      </c>
      <c r="M9" s="3">
        <f t="shared" ca="1" si="2"/>
        <v>375489.1242826088</v>
      </c>
      <c r="N9" s="3">
        <f t="shared" ca="1" si="3"/>
        <v>15757195.151758401</v>
      </c>
      <c r="O9" s="3">
        <f t="shared" si="4"/>
        <v>0</v>
      </c>
      <c r="P9" s="3">
        <f t="shared" si="5"/>
        <v>40989657</v>
      </c>
      <c r="Q9" s="3">
        <f t="shared" si="6"/>
        <v>66204148.160069995</v>
      </c>
      <c r="R9" s="3">
        <f t="shared" si="7"/>
        <v>-644566.4</v>
      </c>
      <c r="S9" s="47">
        <f t="shared" ca="1" si="8"/>
        <v>84681923.036110997</v>
      </c>
      <c r="T9" s="47">
        <f>'Monthly Data'!Y9</f>
        <v>0</v>
      </c>
      <c r="U9" s="47">
        <f>+'Monthly Data'!Z9</f>
        <v>0</v>
      </c>
      <c r="V9" s="47">
        <f t="shared" ca="1" si="9"/>
        <v>84681923.036110997</v>
      </c>
      <c r="Y9" t="s">
        <v>40</v>
      </c>
      <c r="Z9" s="3">
        <f>'VRZ GS 50-2,999'!AA9</f>
        <v>17715.990000000002</v>
      </c>
      <c r="AA9" s="3">
        <f>'VRZ GS 50-2,999'!AB9</f>
        <v>2144.9659999999999</v>
      </c>
      <c r="AB9" s="360">
        <f>'VRZ GS 50-2,999'!AC9</f>
        <v>8.2593359999999993</v>
      </c>
      <c r="AC9" s="370">
        <f>'VRZ GS 50-2,999'!AD9</f>
        <v>3.07879061223181E-13</v>
      </c>
    </row>
    <row r="10" spans="1:29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Data'!X10</f>
        <v>83793511.793292418</v>
      </c>
      <c r="E10" s="98">
        <f ca="1">Weather!BG54</f>
        <v>96.735690993788822</v>
      </c>
      <c r="F10" s="98">
        <f ca="1">Weather!DL54</f>
        <v>158.67014233954447</v>
      </c>
      <c r="G10">
        <f>'Monthly Data'!EG10</f>
        <v>1</v>
      </c>
      <c r="H10" s="3">
        <f>'Monthly Data'!DQ10</f>
        <v>30</v>
      </c>
      <c r="I10" s="3">
        <f>'Monthly Data'!DL10</f>
        <v>730341</v>
      </c>
      <c r="J10" s="3">
        <f>'Monthly Data'!EH10</f>
        <v>9</v>
      </c>
      <c r="L10" s="3">
        <f t="shared" si="1"/>
        <v>-38000000</v>
      </c>
      <c r="M10" s="3">
        <f t="shared" ca="1" si="2"/>
        <v>1713768.5342890529</v>
      </c>
      <c r="N10" s="3">
        <f t="shared" ca="1" si="3"/>
        <v>9159383.1164840031</v>
      </c>
      <c r="O10" s="3">
        <f t="shared" si="4"/>
        <v>1538400</v>
      </c>
      <c r="P10" s="3">
        <f t="shared" si="5"/>
        <v>39667410</v>
      </c>
      <c r="Q10" s="3">
        <f t="shared" si="6"/>
        <v>66204148.160069995</v>
      </c>
      <c r="R10" s="3">
        <f t="shared" si="7"/>
        <v>-725137.20000000007</v>
      </c>
      <c r="S10" s="47">
        <f t="shared" ca="1" si="8"/>
        <v>79557972.610843047</v>
      </c>
      <c r="T10" s="47">
        <f>'Monthly Data'!Y10</f>
        <v>0</v>
      </c>
      <c r="U10" s="47">
        <f>+'Monthly Data'!Z10</f>
        <v>0</v>
      </c>
      <c r="V10" s="47">
        <f t="shared" ca="1" si="9"/>
        <v>79557972.610843047</v>
      </c>
      <c r="Y10" t="s">
        <v>49</v>
      </c>
      <c r="Z10" s="3">
        <f>'VRZ GS 50-2,999'!AA10</f>
        <v>57725.94</v>
      </c>
      <c r="AA10" s="3">
        <f>'VRZ GS 50-2,999'!AB10</f>
        <v>5529.4530000000004</v>
      </c>
      <c r="AB10" s="360">
        <f>'VRZ GS 50-2,999'!AC10</f>
        <v>10.439719999999999</v>
      </c>
      <c r="AC10" s="370">
        <f>'VRZ GS 50-2,999'!AD10</f>
        <v>2.7686533185559399E-18</v>
      </c>
    </row>
    <row r="11" spans="1:29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Data'!X11</f>
        <v>79410343.900846153</v>
      </c>
      <c r="E11" s="98">
        <f ca="1">Weather!BG55</f>
        <v>298.21097826086958</v>
      </c>
      <c r="F11" s="98">
        <f ca="1">Weather!DL55</f>
        <v>35.32833333333334</v>
      </c>
      <c r="G11">
        <f>'Monthly Data'!EG11</f>
        <v>1</v>
      </c>
      <c r="H11" s="3">
        <f>'Monthly Data'!DQ11</f>
        <v>31</v>
      </c>
      <c r="I11" s="3">
        <f>'Monthly Data'!DL11</f>
        <v>737784</v>
      </c>
      <c r="J11" s="3">
        <f>'Monthly Data'!EH11</f>
        <v>10</v>
      </c>
      <c r="L11" s="3">
        <f t="shared" si="1"/>
        <v>-38000000</v>
      </c>
      <c r="M11" s="3">
        <f t="shared" ca="1" si="2"/>
        <v>5283102.7087597838</v>
      </c>
      <c r="N11" s="3">
        <f t="shared" ca="1" si="3"/>
        <v>2039361.2503000004</v>
      </c>
      <c r="O11" s="3">
        <f t="shared" si="4"/>
        <v>1538400</v>
      </c>
      <c r="P11" s="3">
        <f t="shared" si="5"/>
        <v>40989657</v>
      </c>
      <c r="Q11" s="3">
        <f t="shared" si="6"/>
        <v>66878843.233679995</v>
      </c>
      <c r="R11" s="3">
        <f t="shared" si="7"/>
        <v>-805708</v>
      </c>
      <c r="S11" s="47">
        <f t="shared" ca="1" si="8"/>
        <v>77923656.192739785</v>
      </c>
      <c r="T11" s="47">
        <f>'Monthly Data'!Y11</f>
        <v>0</v>
      </c>
      <c r="U11" s="47">
        <f>+'Monthly Data'!Z11</f>
        <v>0</v>
      </c>
      <c r="V11" s="47">
        <f t="shared" ca="1" si="9"/>
        <v>77923656.192739785</v>
      </c>
      <c r="Y11" t="s">
        <v>118</v>
      </c>
      <c r="Z11" s="616">
        <f>'VRZ GS 50-2,999'!AA11</f>
        <v>1538400</v>
      </c>
      <c r="AA11" s="3">
        <f>'VRZ GS 50-2,999'!AB11</f>
        <v>593075.1</v>
      </c>
      <c r="AB11" s="360">
        <f>'VRZ GS 50-2,999'!AC11</f>
        <v>2.5939390000000002</v>
      </c>
      <c r="AC11" s="370">
        <f>'VRZ GS 50-2,999'!AD11</f>
        <v>1.06124425857387E-2</v>
      </c>
    </row>
    <row r="12" spans="1:29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Data'!X12</f>
        <v>79052148.718399897</v>
      </c>
      <c r="E12" s="98">
        <f ca="1">Weather!BG56</f>
        <v>486.62991389045737</v>
      </c>
      <c r="F12" s="98">
        <f ca="1">Weather!DL56</f>
        <v>2.2779166666666657</v>
      </c>
      <c r="G12">
        <f>'Monthly Data'!EG12</f>
        <v>1</v>
      </c>
      <c r="H12" s="3">
        <f>'Monthly Data'!DQ12</f>
        <v>30</v>
      </c>
      <c r="I12" s="3">
        <f>'Monthly Data'!DL12</f>
        <v>737784</v>
      </c>
      <c r="J12" s="3">
        <f>'Monthly Data'!EH12</f>
        <v>11</v>
      </c>
      <c r="L12" s="3">
        <f t="shared" si="1"/>
        <v>-38000000</v>
      </c>
      <c r="M12" s="3">
        <f t="shared" ca="1" si="2"/>
        <v>8621130.6881842054</v>
      </c>
      <c r="N12" s="3">
        <f t="shared" ca="1" si="3"/>
        <v>131494.88082499994</v>
      </c>
      <c r="O12" s="3">
        <f t="shared" si="4"/>
        <v>1538400</v>
      </c>
      <c r="P12" s="3">
        <f t="shared" si="5"/>
        <v>39667410</v>
      </c>
      <c r="Q12" s="3">
        <f t="shared" si="6"/>
        <v>66878843.233679995</v>
      </c>
      <c r="R12" s="3">
        <f t="shared" si="7"/>
        <v>-886278.8</v>
      </c>
      <c r="S12" s="47">
        <f t="shared" ca="1" si="8"/>
        <v>77951000.002689198</v>
      </c>
      <c r="T12" s="47">
        <f>'Monthly Data'!Y12</f>
        <v>0</v>
      </c>
      <c r="U12" s="47">
        <f>+'Monthly Data'!Z12</f>
        <v>0</v>
      </c>
      <c r="V12" s="47">
        <f t="shared" ca="1" si="9"/>
        <v>77951000.002689198</v>
      </c>
      <c r="Y12" t="s">
        <v>414</v>
      </c>
      <c r="Z12" s="616">
        <f>'VRZ GS 50-2,999'!AA12</f>
        <v>1322247</v>
      </c>
      <c r="AA12" s="3">
        <f>'VRZ GS 50-2,999'!AB12</f>
        <v>224525.5</v>
      </c>
      <c r="AB12" s="360">
        <f>'VRZ GS 50-2,999'!AC12</f>
        <v>5.8890710000000004</v>
      </c>
      <c r="AC12" s="370">
        <f>'VRZ GS 50-2,999'!AD12</f>
        <v>4.0018498503648803E-8</v>
      </c>
    </row>
    <row r="13" spans="1:29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Data'!X13</f>
        <v>78203185.075953633</v>
      </c>
      <c r="E13" s="98">
        <f ca="1">Weather!BG57</f>
        <v>639.92800724637686</v>
      </c>
      <c r="F13" s="98">
        <f ca="1">Weather!DL57</f>
        <v>0</v>
      </c>
      <c r="G13">
        <f>'Monthly Data'!EG13</f>
        <v>0</v>
      </c>
      <c r="H13" s="3">
        <f>'Monthly Data'!DQ13</f>
        <v>31</v>
      </c>
      <c r="I13" s="3">
        <f>'Monthly Data'!DL13</f>
        <v>737784</v>
      </c>
      <c r="J13" s="3">
        <f>'Monthly Data'!EH13</f>
        <v>12</v>
      </c>
      <c r="L13" s="3">
        <f t="shared" si="1"/>
        <v>-38000000</v>
      </c>
      <c r="M13" s="3">
        <f t="shared" ca="1" si="2"/>
        <v>11336958.177096741</v>
      </c>
      <c r="N13" s="3">
        <f t="shared" ca="1" si="3"/>
        <v>0</v>
      </c>
      <c r="O13" s="3">
        <f t="shared" si="4"/>
        <v>0</v>
      </c>
      <c r="P13" s="3">
        <f t="shared" si="5"/>
        <v>40989657</v>
      </c>
      <c r="Q13" s="3">
        <f t="shared" si="6"/>
        <v>66878843.233679995</v>
      </c>
      <c r="R13" s="3">
        <f t="shared" si="7"/>
        <v>-966849.60000000009</v>
      </c>
      <c r="S13" s="47">
        <f t="shared" ca="1" si="8"/>
        <v>80238608.81077674</v>
      </c>
      <c r="T13" s="47">
        <f>'Monthly Data'!Y13</f>
        <v>0</v>
      </c>
      <c r="U13" s="47">
        <f>+'Monthly Data'!Z13</f>
        <v>0</v>
      </c>
      <c r="V13" s="47">
        <f t="shared" ca="1" si="9"/>
        <v>80238608.81077674</v>
      </c>
      <c r="Y13" t="s">
        <v>130</v>
      </c>
      <c r="Z13" s="3">
        <f>'VRZ GS 50-2,999'!AA13</f>
        <v>90.648269999999997</v>
      </c>
      <c r="AA13" s="3">
        <f>'VRZ GS 50-2,999'!AB13</f>
        <v>13.1792</v>
      </c>
      <c r="AB13" s="360">
        <f>'VRZ GS 50-2,999'!AC13</f>
        <v>6.8781330000000001</v>
      </c>
      <c r="AC13" s="370">
        <f>'VRZ GS 50-2,999'!AD13</f>
        <v>3.6405175047287898E-10</v>
      </c>
    </row>
    <row r="14" spans="1:29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Data'!X14</f>
        <v>85425274.307035491</v>
      </c>
      <c r="E14" s="3">
        <f ca="1">E2</f>
        <v>759.33418478260865</v>
      </c>
      <c r="F14" s="3">
        <f ca="1">F2</f>
        <v>0</v>
      </c>
      <c r="G14">
        <f>'Monthly Data'!EG14</f>
        <v>0</v>
      </c>
      <c r="H14" s="3">
        <f>'Monthly Data'!DQ14</f>
        <v>31</v>
      </c>
      <c r="I14" s="3">
        <f>'Monthly Data'!DL14</f>
        <v>743287</v>
      </c>
      <c r="J14" s="3">
        <f>'Monthly Data'!EH14</f>
        <v>13</v>
      </c>
      <c r="L14" s="3">
        <f t="shared" si="1"/>
        <v>-38000000</v>
      </c>
      <c r="M14" s="3">
        <f t="shared" ca="1" si="2"/>
        <v>13452356.824266847</v>
      </c>
      <c r="N14" s="3">
        <f t="shared" ca="1" si="3"/>
        <v>0</v>
      </c>
      <c r="O14" s="3">
        <f t="shared" si="4"/>
        <v>0</v>
      </c>
      <c r="P14" s="3">
        <f t="shared" si="5"/>
        <v>40989657</v>
      </c>
      <c r="Q14" s="3">
        <f t="shared" si="6"/>
        <v>67377680.663489997</v>
      </c>
      <c r="R14" s="3">
        <f t="shared" si="7"/>
        <v>-1047420.4</v>
      </c>
      <c r="S14" s="47">
        <f t="shared" ca="1" si="8"/>
        <v>82772274.087756842</v>
      </c>
      <c r="T14" s="47">
        <f>'Monthly Data'!Y14</f>
        <v>0</v>
      </c>
      <c r="U14" s="47">
        <f>+'Monthly Data'!Z14</f>
        <v>0</v>
      </c>
      <c r="V14" s="47">
        <f t="shared" ca="1" si="9"/>
        <v>82772274.087756842</v>
      </c>
      <c r="Y14" s="3" t="str">
        <f>'VRZ GS 50-2,999'!Z14</f>
        <v>Trend</v>
      </c>
      <c r="Z14" s="3">
        <f>'VRZ GS 50-2,999'!AA14</f>
        <v>-80570.8</v>
      </c>
      <c r="AA14" s="3">
        <f>'VRZ GS 50-2,999'!AB14</f>
        <v>19524.59</v>
      </c>
      <c r="AB14" s="360">
        <f>'VRZ GS 50-2,999'!AC14</f>
        <v>-4.1266299999999996</v>
      </c>
      <c r="AC14" s="370">
        <f>'VRZ GS 50-2,999'!AD14</f>
        <v>7.6529262623780496E-5</v>
      </c>
    </row>
    <row r="15" spans="1:29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Data'!X15</f>
        <v>81187927.697385803</v>
      </c>
      <c r="E15" s="3">
        <f t="shared" ref="E15:F15" ca="1" si="10">E3</f>
        <v>680.85501811594202</v>
      </c>
      <c r="F15" s="3">
        <f t="shared" ca="1" si="10"/>
        <v>0</v>
      </c>
      <c r="G15">
        <f>'Monthly Data'!EG15</f>
        <v>0</v>
      </c>
      <c r="H15" s="3">
        <f>'Monthly Data'!DQ15</f>
        <v>29</v>
      </c>
      <c r="I15" s="3">
        <f>'Monthly Data'!DL15</f>
        <v>743287</v>
      </c>
      <c r="J15" s="3">
        <f>'Monthly Data'!EH15</f>
        <v>14</v>
      </c>
      <c r="L15" s="3">
        <f t="shared" si="1"/>
        <v>-38000000</v>
      </c>
      <c r="M15" s="3">
        <f t="shared" ca="1" si="2"/>
        <v>12062020.692391848</v>
      </c>
      <c r="N15" s="3">
        <f t="shared" ca="1" si="3"/>
        <v>0</v>
      </c>
      <c r="O15" s="3">
        <f t="shared" si="4"/>
        <v>0</v>
      </c>
      <c r="P15" s="3">
        <f t="shared" si="5"/>
        <v>38345163</v>
      </c>
      <c r="Q15" s="3">
        <f t="shared" si="6"/>
        <v>67377680.663489997</v>
      </c>
      <c r="R15" s="3">
        <f t="shared" si="7"/>
        <v>-1127991.2</v>
      </c>
      <c r="S15" s="47">
        <f t="shared" ca="1" si="8"/>
        <v>78656873.155881837</v>
      </c>
      <c r="T15" s="47">
        <f>'Monthly Data'!Y15</f>
        <v>0</v>
      </c>
      <c r="U15" s="47">
        <f>+'Monthly Data'!Z15</f>
        <v>0</v>
      </c>
      <c r="V15" s="47">
        <f t="shared" ca="1" si="9"/>
        <v>78656873.155881837</v>
      </c>
    </row>
    <row r="16" spans="1:29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Data'!X16</f>
        <v>83345957.967736125</v>
      </c>
      <c r="E16" s="3">
        <f t="shared" ref="E16:F16" ca="1" si="11">E4</f>
        <v>608.13298913043479</v>
      </c>
      <c r="F16" s="3">
        <f t="shared" ca="1" si="11"/>
        <v>2.9583333333332896E-2</v>
      </c>
      <c r="G16">
        <f>'Monthly Data'!EG16</f>
        <v>1</v>
      </c>
      <c r="H16" s="3">
        <f>'Monthly Data'!DQ16</f>
        <v>31</v>
      </c>
      <c r="I16" s="3">
        <f>'Monthly Data'!DL16</f>
        <v>743287</v>
      </c>
      <c r="J16" s="3">
        <f>'Monthly Data'!EH16</f>
        <v>15</v>
      </c>
      <c r="L16" s="3">
        <f t="shared" si="1"/>
        <v>-38000000</v>
      </c>
      <c r="M16" s="3">
        <f t="shared" ca="1" si="2"/>
        <v>10773677.954104893</v>
      </c>
      <c r="N16" s="3">
        <f t="shared" ca="1" si="3"/>
        <v>1707.7257249999748</v>
      </c>
      <c r="O16" s="3">
        <f t="shared" si="4"/>
        <v>1538400</v>
      </c>
      <c r="P16" s="3">
        <f t="shared" si="5"/>
        <v>40989657</v>
      </c>
      <c r="Q16" s="3">
        <f t="shared" si="6"/>
        <v>67377680.663489997</v>
      </c>
      <c r="R16" s="3">
        <f t="shared" si="7"/>
        <v>-1208562</v>
      </c>
      <c r="S16" s="47">
        <f t="shared" ca="1" si="8"/>
        <v>81472561.343319893</v>
      </c>
      <c r="T16" s="47">
        <f>'Monthly Data'!Y16</f>
        <v>0</v>
      </c>
      <c r="U16" s="47">
        <f>+'Monthly Data'!Z16</f>
        <v>0</v>
      </c>
      <c r="V16" s="47">
        <f t="shared" ca="1" si="9"/>
        <v>81472561.343319893</v>
      </c>
      <c r="Y16" t="s">
        <v>407</v>
      </c>
      <c r="Z16" s="3"/>
      <c r="AA16" s="3"/>
      <c r="AB16" s="360"/>
      <c r="AC16" s="108"/>
    </row>
    <row r="17" spans="1:28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Data'!X17</f>
        <v>79087505.848086447</v>
      </c>
      <c r="E17" s="3">
        <f t="shared" ref="E17:F17" ca="1" si="12">E5</f>
        <v>412.37941287878795</v>
      </c>
      <c r="F17" s="3">
        <f t="shared" ca="1" si="12"/>
        <v>5.6420833333333338</v>
      </c>
      <c r="G17">
        <f>'Monthly Data'!EG17</f>
        <v>1</v>
      </c>
      <c r="H17" s="3">
        <f>'Monthly Data'!DQ17</f>
        <v>30</v>
      </c>
      <c r="I17" s="3">
        <f>'Monthly Data'!DL17</f>
        <v>740632</v>
      </c>
      <c r="J17" s="3">
        <f>'Monthly Data'!EH17</f>
        <v>16</v>
      </c>
      <c r="L17" s="3">
        <f t="shared" si="1"/>
        <v>-38000000</v>
      </c>
      <c r="M17" s="3">
        <f t="shared" ca="1" si="2"/>
        <v>7305709.5547664789</v>
      </c>
      <c r="N17" s="3">
        <f t="shared" ca="1" si="3"/>
        <v>325694.56397500006</v>
      </c>
      <c r="O17" s="3">
        <f t="shared" si="4"/>
        <v>1538400</v>
      </c>
      <c r="P17" s="3">
        <f t="shared" si="5"/>
        <v>39667410</v>
      </c>
      <c r="Q17" s="3">
        <f t="shared" si="6"/>
        <v>67137009.506640002</v>
      </c>
      <c r="R17" s="3">
        <f t="shared" si="7"/>
        <v>-1289132.8</v>
      </c>
      <c r="S17" s="47">
        <f t="shared" ca="1" si="8"/>
        <v>76685090.825381488</v>
      </c>
      <c r="T17" s="47">
        <f>'Monthly Data'!Y17</f>
        <v>0</v>
      </c>
      <c r="U17" s="47">
        <f>+'Monthly Data'!Z17</f>
        <v>0</v>
      </c>
      <c r="V17" s="47">
        <f t="shared" ca="1" si="9"/>
        <v>76685090.825381488</v>
      </c>
      <c r="Y17" t="s">
        <v>415</v>
      </c>
      <c r="Z17">
        <v>497391487181216</v>
      </c>
      <c r="AA17" t="s">
        <v>416</v>
      </c>
      <c r="AB17">
        <v>2098021.58635819</v>
      </c>
    </row>
    <row r="18" spans="1:28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Data'!X18</f>
        <v>80476862.198436767</v>
      </c>
      <c r="E18" s="3">
        <f t="shared" ref="E18:F18" ca="1" si="13">E6</f>
        <v>202.70273119310133</v>
      </c>
      <c r="F18" s="3">
        <f t="shared" ca="1" si="13"/>
        <v>86.191046176046171</v>
      </c>
      <c r="G18">
        <f>'Monthly Data'!EG18</f>
        <v>1</v>
      </c>
      <c r="H18" s="3">
        <f>'Monthly Data'!DQ18</f>
        <v>31</v>
      </c>
      <c r="I18" s="3">
        <f>'Monthly Data'!DL18</f>
        <v>740632</v>
      </c>
      <c r="J18" s="3">
        <f>'Monthly Data'!EH18</f>
        <v>17</v>
      </c>
      <c r="L18" s="3">
        <f t="shared" si="1"/>
        <v>-38000000</v>
      </c>
      <c r="M18" s="3">
        <f t="shared" ca="1" si="2"/>
        <v>3591079.5587896714</v>
      </c>
      <c r="N18" s="3">
        <f t="shared" ca="1" si="3"/>
        <v>4975459.1600956712</v>
      </c>
      <c r="O18" s="3">
        <f t="shared" si="4"/>
        <v>1538400</v>
      </c>
      <c r="P18" s="3">
        <f t="shared" si="5"/>
        <v>40989657</v>
      </c>
      <c r="Q18" s="3">
        <f t="shared" si="6"/>
        <v>67137009.506640002</v>
      </c>
      <c r="R18" s="3">
        <f t="shared" si="7"/>
        <v>-1369703.6</v>
      </c>
      <c r="S18" s="47">
        <f t="shared" ca="1" si="8"/>
        <v>78861901.625525355</v>
      </c>
      <c r="T18" s="47">
        <f>'Monthly Data'!Y18</f>
        <v>0</v>
      </c>
      <c r="U18" s="47">
        <f>+'Monthly Data'!Z18</f>
        <v>0</v>
      </c>
      <c r="V18" s="47">
        <f t="shared" ca="1" si="9"/>
        <v>78861901.625525355</v>
      </c>
      <c r="Y18" t="s">
        <v>417</v>
      </c>
      <c r="Z18">
        <v>0.77656724602068505</v>
      </c>
      <c r="AA18" t="s">
        <v>418</v>
      </c>
      <c r="AB18">
        <v>0.76668084097735201</v>
      </c>
    </row>
    <row r="19" spans="1:28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Data'!X19</f>
        <v>83369828.778787091</v>
      </c>
      <c r="E19" s="3">
        <f t="shared" ref="E19:F19" ca="1" si="14">E7</f>
        <v>66.09717382617383</v>
      </c>
      <c r="F19" s="3">
        <f t="shared" ca="1" si="14"/>
        <v>194.94285087738348</v>
      </c>
      <c r="G19">
        <f>'Monthly Data'!EG19</f>
        <v>0</v>
      </c>
      <c r="H19" s="3">
        <f>'Monthly Data'!DQ19</f>
        <v>30</v>
      </c>
      <c r="I19" s="3">
        <f>'Monthly Data'!DL19</f>
        <v>740632</v>
      </c>
      <c r="J19" s="3">
        <f>'Monthly Data'!EH19</f>
        <v>18</v>
      </c>
      <c r="L19" s="3">
        <f t="shared" si="1"/>
        <v>-38000000</v>
      </c>
      <c r="M19" s="3">
        <f t="shared" ca="1" si="2"/>
        <v>1170976.8705327574</v>
      </c>
      <c r="N19" s="3">
        <f t="shared" ca="1" si="3"/>
        <v>11253259.313176787</v>
      </c>
      <c r="O19" s="3">
        <f t="shared" si="4"/>
        <v>0</v>
      </c>
      <c r="P19" s="3">
        <f t="shared" si="5"/>
        <v>39667410</v>
      </c>
      <c r="Q19" s="3">
        <f t="shared" si="6"/>
        <v>67137009.506640002</v>
      </c>
      <c r="R19" s="3">
        <f t="shared" si="7"/>
        <v>-1450274.4000000001</v>
      </c>
      <c r="S19" s="47">
        <f t="shared" ca="1" si="8"/>
        <v>79778381.290349543</v>
      </c>
      <c r="T19" s="47">
        <f>'Monthly Data'!Y19</f>
        <v>0</v>
      </c>
      <c r="U19" s="47">
        <f>+'Monthly Data'!Z19</f>
        <v>0</v>
      </c>
      <c r="V19" s="47">
        <f t="shared" ca="1" si="9"/>
        <v>79778381.290349543</v>
      </c>
      <c r="Y19" t="s">
        <v>546</v>
      </c>
      <c r="Z19">
        <v>96.161948699209603</v>
      </c>
      <c r="AA19" t="s">
        <v>419</v>
      </c>
      <c r="AB19" s="3">
        <v>4.6955757317599699E-39</v>
      </c>
    </row>
    <row r="20" spans="1:28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Data'!X20</f>
        <v>85701375.219137415</v>
      </c>
      <c r="E20" s="3">
        <f t="shared" ref="E20:F20" ca="1" si="15">E8</f>
        <v>10.249063146997932</v>
      </c>
      <c r="F20" s="3">
        <f t="shared" ca="1" si="15"/>
        <v>297.94737858727848</v>
      </c>
      <c r="G20">
        <f>'Monthly Data'!EG20</f>
        <v>0</v>
      </c>
      <c r="H20" s="3">
        <f>'Monthly Data'!DQ20</f>
        <v>31</v>
      </c>
      <c r="I20" s="3">
        <f>'Monthly Data'!DL20</f>
        <v>746606</v>
      </c>
      <c r="J20" s="3">
        <f>'Monthly Data'!EH20</f>
        <v>19</v>
      </c>
      <c r="L20" s="3">
        <f t="shared" si="1"/>
        <v>-38000000</v>
      </c>
      <c r="M20" s="3">
        <f t="shared" ca="1" si="2"/>
        <v>181572.30022158389</v>
      </c>
      <c r="N20" s="3">
        <f t="shared" ca="1" si="3"/>
        <v>17199292.499486525</v>
      </c>
      <c r="O20" s="3">
        <f t="shared" si="4"/>
        <v>0</v>
      </c>
      <c r="P20" s="3">
        <f t="shared" si="5"/>
        <v>40989657</v>
      </c>
      <c r="Q20" s="3">
        <f t="shared" si="6"/>
        <v>67678542.27161999</v>
      </c>
      <c r="R20" s="3">
        <f t="shared" si="7"/>
        <v>-1530845.2</v>
      </c>
      <c r="S20" s="47">
        <f t="shared" ca="1" si="8"/>
        <v>86518218.871328101</v>
      </c>
      <c r="T20" s="47">
        <f>'Monthly Data'!Y20</f>
        <v>0</v>
      </c>
      <c r="U20" s="47">
        <f>+'Monthly Data'!Z20</f>
        <v>0</v>
      </c>
      <c r="V20" s="47">
        <f t="shared" ca="1" si="9"/>
        <v>86518218.871328101</v>
      </c>
      <c r="Y20" t="s">
        <v>420</v>
      </c>
      <c r="Z20" s="107">
        <v>-0.16631129715246001</v>
      </c>
      <c r="AA20" t="s">
        <v>421</v>
      </c>
      <c r="AB20" s="107">
        <v>2.2772842150667598</v>
      </c>
    </row>
    <row r="21" spans="1:28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Data'!X21</f>
        <v>89758205.989487737</v>
      </c>
      <c r="E21" s="3">
        <f t="shared" ref="E21:F21" ca="1" si="16">E9</f>
        <v>21.194927536231887</v>
      </c>
      <c r="F21" s="3">
        <f t="shared" ca="1" si="16"/>
        <v>272.96558794466404</v>
      </c>
      <c r="G21">
        <f>'Monthly Data'!EG21</f>
        <v>0</v>
      </c>
      <c r="H21" s="3">
        <f>'Monthly Data'!DQ21</f>
        <v>31</v>
      </c>
      <c r="I21" s="3">
        <f>'Monthly Data'!DL21</f>
        <v>746606</v>
      </c>
      <c r="J21" s="3">
        <f>'Monthly Data'!EH21</f>
        <v>20</v>
      </c>
      <c r="L21" s="3">
        <f t="shared" si="1"/>
        <v>-38000000</v>
      </c>
      <c r="M21" s="3">
        <f t="shared" ca="1" si="2"/>
        <v>375489.1242826088</v>
      </c>
      <c r="N21" s="3">
        <f t="shared" ca="1" si="3"/>
        <v>15757195.151758401</v>
      </c>
      <c r="O21" s="3">
        <f t="shared" si="4"/>
        <v>0</v>
      </c>
      <c r="P21" s="3">
        <f t="shared" si="5"/>
        <v>40989657</v>
      </c>
      <c r="Q21" s="3">
        <f t="shared" si="6"/>
        <v>67678542.27161999</v>
      </c>
      <c r="R21" s="3">
        <f t="shared" si="7"/>
        <v>-1611416</v>
      </c>
      <c r="S21" s="47">
        <f t="shared" ca="1" si="8"/>
        <v>85189467.547661006</v>
      </c>
      <c r="T21" s="47">
        <f>'Monthly Data'!Y21</f>
        <v>0</v>
      </c>
      <c r="U21" s="47">
        <f>+'Monthly Data'!Z21</f>
        <v>0</v>
      </c>
      <c r="V21" s="47">
        <f t="shared" ca="1" si="9"/>
        <v>85189467.547661006</v>
      </c>
      <c r="Z21" s="360"/>
      <c r="AB21" s="107"/>
    </row>
    <row r="22" spans="1:28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Data'!X22</f>
        <v>81723353.939838052</v>
      </c>
      <c r="E22" s="3">
        <f t="shared" ref="E22:F22" ca="1" si="17">E10</f>
        <v>96.735690993788822</v>
      </c>
      <c r="F22" s="3">
        <f t="shared" ca="1" si="17"/>
        <v>158.67014233954447</v>
      </c>
      <c r="G22">
        <f>'Monthly Data'!EG22</f>
        <v>1</v>
      </c>
      <c r="H22" s="3">
        <f>'Monthly Data'!DQ22</f>
        <v>30</v>
      </c>
      <c r="I22" s="3">
        <f>'Monthly Data'!DL22</f>
        <v>746606</v>
      </c>
      <c r="J22" s="3">
        <f>'Monthly Data'!EH22</f>
        <v>21</v>
      </c>
      <c r="L22" s="3">
        <f t="shared" si="1"/>
        <v>-38000000</v>
      </c>
      <c r="M22" s="3">
        <f t="shared" ca="1" si="2"/>
        <v>1713768.5342890529</v>
      </c>
      <c r="N22" s="3">
        <f t="shared" ca="1" si="3"/>
        <v>9159383.1164840031</v>
      </c>
      <c r="O22" s="3">
        <f t="shared" si="4"/>
        <v>1538400</v>
      </c>
      <c r="P22" s="3">
        <f t="shared" si="5"/>
        <v>39667410</v>
      </c>
      <c r="Q22" s="3">
        <f t="shared" si="6"/>
        <v>67678542.27161999</v>
      </c>
      <c r="R22" s="3">
        <f t="shared" si="7"/>
        <v>-1691986.8</v>
      </c>
      <c r="S22" s="47">
        <f t="shared" ca="1" si="8"/>
        <v>80065517.122393057</v>
      </c>
      <c r="T22" s="47">
        <f>'Monthly Data'!Y22</f>
        <v>0</v>
      </c>
      <c r="U22" s="47">
        <f>+'Monthly Data'!Z22</f>
        <v>0</v>
      </c>
      <c r="V22" s="47">
        <f t="shared" ca="1" si="9"/>
        <v>80065517.122393057</v>
      </c>
      <c r="Y22" t="s">
        <v>408</v>
      </c>
      <c r="Z22" s="107"/>
      <c r="AB22" s="107"/>
    </row>
    <row r="23" spans="1:28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Data'!X23</f>
        <v>79236220.680188373</v>
      </c>
      <c r="E23" s="3">
        <f t="shared" ref="E23:F23" ca="1" si="18">E11</f>
        <v>298.21097826086958</v>
      </c>
      <c r="F23" s="3">
        <f t="shared" ca="1" si="18"/>
        <v>35.32833333333334</v>
      </c>
      <c r="G23">
        <f>'Monthly Data'!EG23</f>
        <v>1</v>
      </c>
      <c r="H23" s="3">
        <f>'Monthly Data'!DQ23</f>
        <v>31</v>
      </c>
      <c r="I23" s="3">
        <f>'Monthly Data'!DL23</f>
        <v>745380</v>
      </c>
      <c r="J23" s="3">
        <f>'Monthly Data'!EH23</f>
        <v>22</v>
      </c>
      <c r="L23" s="3">
        <f t="shared" si="1"/>
        <v>-38000000</v>
      </c>
      <c r="M23" s="3">
        <f t="shared" ca="1" si="2"/>
        <v>5283102.7087597838</v>
      </c>
      <c r="N23" s="3">
        <f t="shared" ca="1" si="3"/>
        <v>2039361.2503000004</v>
      </c>
      <c r="O23" s="3">
        <f t="shared" si="4"/>
        <v>1538400</v>
      </c>
      <c r="P23" s="3">
        <f t="shared" si="5"/>
        <v>40989657</v>
      </c>
      <c r="Q23" s="3">
        <f t="shared" si="6"/>
        <v>67567407.492599994</v>
      </c>
      <c r="R23" s="3">
        <f t="shared" si="7"/>
        <v>-1772557.6</v>
      </c>
      <c r="S23" s="47">
        <f t="shared" ca="1" si="8"/>
        <v>77645370.85165979</v>
      </c>
      <c r="T23" s="47">
        <f>'Monthly Data'!Y23</f>
        <v>0</v>
      </c>
      <c r="U23" s="47">
        <f>+'Monthly Data'!Z23</f>
        <v>0</v>
      </c>
      <c r="V23" s="47">
        <f t="shared" ca="1" si="9"/>
        <v>77645370.85165979</v>
      </c>
      <c r="Y23" t="s">
        <v>422</v>
      </c>
      <c r="Z23">
        <v>82863811.956522107</v>
      </c>
      <c r="AA23" t="s">
        <v>423</v>
      </c>
      <c r="AB23">
        <v>4336222.1146028703</v>
      </c>
    </row>
    <row r="24" spans="1:28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Data'!X24</f>
        <v>79346388.920538694</v>
      </c>
      <c r="E24" s="3">
        <f t="shared" ref="E24:F24" ca="1" si="19">E12</f>
        <v>486.62991389045737</v>
      </c>
      <c r="F24" s="3">
        <f t="shared" ca="1" si="19"/>
        <v>2.2779166666666657</v>
      </c>
      <c r="G24">
        <f>'Monthly Data'!EG24</f>
        <v>1</v>
      </c>
      <c r="H24" s="3">
        <f>'Monthly Data'!DQ24</f>
        <v>30</v>
      </c>
      <c r="I24" s="3">
        <f>'Monthly Data'!DL24</f>
        <v>745380</v>
      </c>
      <c r="J24" s="3">
        <f>'Monthly Data'!EH24</f>
        <v>23</v>
      </c>
      <c r="L24" s="3">
        <f t="shared" si="1"/>
        <v>-38000000</v>
      </c>
      <c r="M24" s="3">
        <f t="shared" ca="1" si="2"/>
        <v>8621130.6881842054</v>
      </c>
      <c r="N24" s="3">
        <f t="shared" ca="1" si="3"/>
        <v>131494.88082499994</v>
      </c>
      <c r="O24" s="3">
        <f t="shared" si="4"/>
        <v>1538400</v>
      </c>
      <c r="P24" s="3">
        <f t="shared" si="5"/>
        <v>39667410</v>
      </c>
      <c r="Q24" s="3">
        <f t="shared" si="6"/>
        <v>67567407.492599994</v>
      </c>
      <c r="R24" s="3">
        <f t="shared" si="7"/>
        <v>-1853128.4000000001</v>
      </c>
      <c r="S24" s="47">
        <f t="shared" ca="1" si="8"/>
        <v>77672714.661609203</v>
      </c>
      <c r="T24" s="47">
        <f>'Monthly Data'!Y24</f>
        <v>0</v>
      </c>
      <c r="U24" s="47">
        <f>+'Monthly Data'!Z24</f>
        <v>0</v>
      </c>
      <c r="V24" s="47">
        <f t="shared" ca="1" si="9"/>
        <v>77672714.661609203</v>
      </c>
    </row>
    <row r="25" spans="1:28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Data'!X25</f>
        <v>80205572.860889018</v>
      </c>
      <c r="E25" s="3">
        <f t="shared" ref="E25:F25" ca="1" si="20">E13</f>
        <v>639.92800724637686</v>
      </c>
      <c r="F25" s="3">
        <f t="shared" ca="1" si="20"/>
        <v>0</v>
      </c>
      <c r="G25">
        <f>'Monthly Data'!EG25</f>
        <v>0</v>
      </c>
      <c r="H25" s="3">
        <f>'Monthly Data'!DQ25</f>
        <v>31</v>
      </c>
      <c r="I25" s="3">
        <f>'Monthly Data'!DL25</f>
        <v>745380</v>
      </c>
      <c r="J25" s="3">
        <f>'Monthly Data'!EH25</f>
        <v>24</v>
      </c>
      <c r="L25" s="3">
        <f t="shared" si="1"/>
        <v>-38000000</v>
      </c>
      <c r="M25" s="3">
        <f t="shared" ca="1" si="2"/>
        <v>11336958.177096741</v>
      </c>
      <c r="N25" s="3">
        <f t="shared" ca="1" si="3"/>
        <v>0</v>
      </c>
      <c r="O25" s="3">
        <f t="shared" si="4"/>
        <v>0</v>
      </c>
      <c r="P25" s="3">
        <f t="shared" si="5"/>
        <v>40989657</v>
      </c>
      <c r="Q25" s="3">
        <f t="shared" si="6"/>
        <v>67567407.492599994</v>
      </c>
      <c r="R25" s="3">
        <f t="shared" si="7"/>
        <v>-1933699.2000000002</v>
      </c>
      <c r="S25" s="47">
        <f t="shared" ca="1" si="8"/>
        <v>79960323.46969673</v>
      </c>
      <c r="T25" s="47">
        <f>'Monthly Data'!Y25</f>
        <v>0</v>
      </c>
      <c r="U25" s="47">
        <f>+'Monthly Data'!Z25</f>
        <v>0</v>
      </c>
      <c r="V25" s="47">
        <f t="shared" ca="1" si="9"/>
        <v>79960323.46969673</v>
      </c>
      <c r="Z25" s="3"/>
      <c r="AB25" s="3"/>
    </row>
    <row r="26" spans="1:28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Data'!X26</f>
        <v>84345594.329790711</v>
      </c>
      <c r="E26" s="3">
        <f t="shared" ref="E26:F26" ca="1" si="21">E14</f>
        <v>759.33418478260865</v>
      </c>
      <c r="F26" s="3">
        <f t="shared" ca="1" si="21"/>
        <v>0</v>
      </c>
      <c r="G26">
        <f>'Monthly Data'!EG26</f>
        <v>0</v>
      </c>
      <c r="H26" s="3">
        <f>'Monthly Data'!DQ26</f>
        <v>31</v>
      </c>
      <c r="I26" s="3">
        <f>'Monthly Data'!DL26</f>
        <v>756702</v>
      </c>
      <c r="J26" s="3">
        <f>'Monthly Data'!EH26</f>
        <v>25</v>
      </c>
      <c r="L26" s="3">
        <f t="shared" si="1"/>
        <v>-38000000</v>
      </c>
      <c r="M26" s="3">
        <f t="shared" ca="1" si="2"/>
        <v>13452356.824266847</v>
      </c>
      <c r="N26" s="3">
        <f t="shared" ca="1" si="3"/>
        <v>0</v>
      </c>
      <c r="O26" s="3">
        <f t="shared" si="4"/>
        <v>0</v>
      </c>
      <c r="P26" s="3">
        <f t="shared" si="5"/>
        <v>40989657</v>
      </c>
      <c r="Q26" s="3">
        <f t="shared" si="6"/>
        <v>68593727.205540001</v>
      </c>
      <c r="R26" s="3">
        <f t="shared" si="7"/>
        <v>-2014270</v>
      </c>
      <c r="S26" s="47">
        <f t="shared" ca="1" si="8"/>
        <v>83021471.029806852</v>
      </c>
      <c r="T26" s="47">
        <f>'Monthly Data'!Y26</f>
        <v>182.33784615384613</v>
      </c>
      <c r="U26" s="47">
        <f>+'Monthly Data'!Z26</f>
        <v>0</v>
      </c>
      <c r="V26" s="47">
        <f t="shared" ca="1" si="9"/>
        <v>83021653.367653012</v>
      </c>
    </row>
    <row r="27" spans="1:28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Data'!X27</f>
        <v>76455949.867234513</v>
      </c>
      <c r="E27" s="3">
        <f t="shared" ref="E27:F27" ca="1" si="22">E15</f>
        <v>680.85501811594202</v>
      </c>
      <c r="F27" s="3">
        <f t="shared" ca="1" si="22"/>
        <v>0</v>
      </c>
      <c r="G27">
        <f>'Monthly Data'!EG27</f>
        <v>0</v>
      </c>
      <c r="H27" s="3">
        <f>'Monthly Data'!DQ27</f>
        <v>28</v>
      </c>
      <c r="I27" s="3">
        <f>'Monthly Data'!DL27</f>
        <v>756702</v>
      </c>
      <c r="J27" s="3">
        <f>'Monthly Data'!EH27</f>
        <v>26</v>
      </c>
      <c r="L27" s="3">
        <f t="shared" si="1"/>
        <v>-38000000</v>
      </c>
      <c r="M27" s="3">
        <f t="shared" ca="1" si="2"/>
        <v>12062020.692391848</v>
      </c>
      <c r="N27" s="3">
        <f t="shared" ca="1" si="3"/>
        <v>0</v>
      </c>
      <c r="O27" s="3">
        <f t="shared" si="4"/>
        <v>0</v>
      </c>
      <c r="P27" s="3">
        <f t="shared" si="5"/>
        <v>37022916</v>
      </c>
      <c r="Q27" s="3">
        <f t="shared" si="6"/>
        <v>68593727.205540001</v>
      </c>
      <c r="R27" s="3">
        <f t="shared" si="7"/>
        <v>-2094840.8</v>
      </c>
      <c r="S27" s="47">
        <f t="shared" ca="1" si="8"/>
        <v>77583823.097931847</v>
      </c>
      <c r="T27" s="47">
        <f>'Monthly Data'!Y27</f>
        <v>364.67569230769226</v>
      </c>
      <c r="U27" s="47">
        <f>+'Monthly Data'!Z27</f>
        <v>0</v>
      </c>
      <c r="V27" s="47">
        <f t="shared" ca="1" si="9"/>
        <v>77584187.773624152</v>
      </c>
    </row>
    <row r="28" spans="1:28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Data'!X28</f>
        <v>85005849.524678305</v>
      </c>
      <c r="E28" s="3">
        <f t="shared" ref="E28:F28" ca="1" si="23">E16</f>
        <v>608.13298913043479</v>
      </c>
      <c r="F28" s="3">
        <f t="shared" ca="1" si="23"/>
        <v>2.9583333333332896E-2</v>
      </c>
      <c r="G28">
        <f>'Monthly Data'!EG28</f>
        <v>1</v>
      </c>
      <c r="H28" s="3">
        <f>'Monthly Data'!DQ28</f>
        <v>31</v>
      </c>
      <c r="I28" s="3">
        <f>'Monthly Data'!DL28</f>
        <v>756702</v>
      </c>
      <c r="J28" s="3">
        <f>'Monthly Data'!EH28</f>
        <v>27</v>
      </c>
      <c r="L28" s="3">
        <f t="shared" si="1"/>
        <v>-38000000</v>
      </c>
      <c r="M28" s="3">
        <f t="shared" ca="1" si="2"/>
        <v>10773677.954104893</v>
      </c>
      <c r="N28" s="3">
        <f t="shared" ca="1" si="3"/>
        <v>1707.7257249999748</v>
      </c>
      <c r="O28" s="3">
        <f t="shared" si="4"/>
        <v>1538400</v>
      </c>
      <c r="P28" s="3">
        <f t="shared" si="5"/>
        <v>40989657</v>
      </c>
      <c r="Q28" s="3">
        <f t="shared" si="6"/>
        <v>68593727.205540001</v>
      </c>
      <c r="R28" s="3">
        <f t="shared" si="7"/>
        <v>-2175411.6</v>
      </c>
      <c r="S28" s="47">
        <f t="shared" ca="1" si="8"/>
        <v>81721758.285369903</v>
      </c>
      <c r="T28" s="47">
        <f>'Monthly Data'!Y28</f>
        <v>547.01353846153847</v>
      </c>
      <c r="U28" s="47">
        <f>+'Monthly Data'!Z28</f>
        <v>0</v>
      </c>
      <c r="V28" s="47">
        <f t="shared" ca="1" si="9"/>
        <v>81722305.298908368</v>
      </c>
    </row>
    <row r="29" spans="1:28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Data'!X29</f>
        <v>75760447.032122105</v>
      </c>
      <c r="E29" s="3">
        <f t="shared" ref="E29:F29" ca="1" si="24">E17</f>
        <v>412.37941287878795</v>
      </c>
      <c r="F29" s="3">
        <f t="shared" ca="1" si="24"/>
        <v>5.6420833333333338</v>
      </c>
      <c r="G29">
        <f>'Monthly Data'!EG29</f>
        <v>1</v>
      </c>
      <c r="H29" s="3">
        <f>'Monthly Data'!DQ29</f>
        <v>30</v>
      </c>
      <c r="I29" s="3">
        <f>'Monthly Data'!DL29</f>
        <v>764644</v>
      </c>
      <c r="J29" s="3">
        <f>'Monthly Data'!EH29</f>
        <v>28</v>
      </c>
      <c r="L29" s="3">
        <f t="shared" si="1"/>
        <v>-38000000</v>
      </c>
      <c r="M29" s="3">
        <f t="shared" ca="1" si="2"/>
        <v>7305709.5547664789</v>
      </c>
      <c r="N29" s="3">
        <f t="shared" ca="1" si="3"/>
        <v>325694.56397500006</v>
      </c>
      <c r="O29" s="3">
        <f t="shared" si="4"/>
        <v>1538400</v>
      </c>
      <c r="P29" s="3">
        <f t="shared" si="5"/>
        <v>39667410</v>
      </c>
      <c r="Q29" s="3">
        <f t="shared" si="6"/>
        <v>69313655.765880004</v>
      </c>
      <c r="R29" s="3">
        <f t="shared" si="7"/>
        <v>-2255982.4</v>
      </c>
      <c r="S29" s="47">
        <f t="shared" ca="1" si="8"/>
        <v>77894887.48462148</v>
      </c>
      <c r="T29" s="47">
        <f>'Monthly Data'!Y29</f>
        <v>729.35138461538452</v>
      </c>
      <c r="U29" s="47">
        <f>+'Monthly Data'!Z29</f>
        <v>0</v>
      </c>
      <c r="V29" s="47">
        <f t="shared" ca="1" si="9"/>
        <v>77895616.83600609</v>
      </c>
    </row>
    <row r="30" spans="1:28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Data'!X30</f>
        <v>79518997.669565901</v>
      </c>
      <c r="E30" s="3">
        <f t="shared" ref="E30:F30" ca="1" si="25">E18</f>
        <v>202.70273119310133</v>
      </c>
      <c r="F30" s="3">
        <f t="shared" ca="1" si="25"/>
        <v>86.191046176046171</v>
      </c>
      <c r="G30">
        <f>'Monthly Data'!EG30</f>
        <v>1</v>
      </c>
      <c r="H30" s="3">
        <f>'Monthly Data'!DQ30</f>
        <v>31</v>
      </c>
      <c r="I30" s="3">
        <f>'Monthly Data'!DL30</f>
        <v>764644</v>
      </c>
      <c r="J30" s="3">
        <f>'Monthly Data'!EH30</f>
        <v>29</v>
      </c>
      <c r="L30" s="3">
        <f t="shared" si="1"/>
        <v>-38000000</v>
      </c>
      <c r="M30" s="3">
        <f t="shared" ca="1" si="2"/>
        <v>3591079.5587896714</v>
      </c>
      <c r="N30" s="3">
        <f t="shared" ca="1" si="3"/>
        <v>4975459.1600956712</v>
      </c>
      <c r="O30" s="3">
        <f t="shared" si="4"/>
        <v>1538400</v>
      </c>
      <c r="P30" s="3">
        <f t="shared" si="5"/>
        <v>40989657</v>
      </c>
      <c r="Q30" s="3">
        <f t="shared" si="6"/>
        <v>69313655.765880004</v>
      </c>
      <c r="R30" s="3">
        <f t="shared" si="7"/>
        <v>-2336553.2000000002</v>
      </c>
      <c r="S30" s="47">
        <f t="shared" ca="1" si="8"/>
        <v>80071698.284765348</v>
      </c>
      <c r="T30" s="47">
        <f>'Monthly Data'!Y30</f>
        <v>911.68923076923068</v>
      </c>
      <c r="U30" s="47">
        <f>+'Monthly Data'!Z30</f>
        <v>0</v>
      </c>
      <c r="V30" s="47">
        <f t="shared" ca="1" si="9"/>
        <v>80072609.973996118</v>
      </c>
    </row>
    <row r="31" spans="1:28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Data'!X31</f>
        <v>80237105.367009684</v>
      </c>
      <c r="E31" s="3">
        <f t="shared" ref="E31:F31" ca="1" si="26">E19</f>
        <v>66.09717382617383</v>
      </c>
      <c r="F31" s="3">
        <f t="shared" ca="1" si="26"/>
        <v>194.94285087738348</v>
      </c>
      <c r="G31">
        <f>'Monthly Data'!EG31</f>
        <v>0</v>
      </c>
      <c r="H31" s="3">
        <f>'Monthly Data'!DQ31</f>
        <v>30</v>
      </c>
      <c r="I31" s="3">
        <f>'Monthly Data'!DL31</f>
        <v>764644</v>
      </c>
      <c r="J31" s="3">
        <f>'Monthly Data'!EH31</f>
        <v>30</v>
      </c>
      <c r="L31" s="3">
        <f t="shared" si="1"/>
        <v>-38000000</v>
      </c>
      <c r="M31" s="3">
        <f t="shared" ca="1" si="2"/>
        <v>1170976.8705327574</v>
      </c>
      <c r="N31" s="3">
        <f t="shared" ca="1" si="3"/>
        <v>11253259.313176787</v>
      </c>
      <c r="O31" s="3">
        <f t="shared" si="4"/>
        <v>0</v>
      </c>
      <c r="P31" s="3">
        <f t="shared" si="5"/>
        <v>39667410</v>
      </c>
      <c r="Q31" s="3">
        <f t="shared" si="6"/>
        <v>69313655.765880004</v>
      </c>
      <c r="R31" s="3">
        <f t="shared" si="7"/>
        <v>-2417124</v>
      </c>
      <c r="S31" s="47">
        <f t="shared" ca="1" si="8"/>
        <v>80988177.94958955</v>
      </c>
      <c r="T31" s="47">
        <f>'Monthly Data'!Y31</f>
        <v>1094.0270769230769</v>
      </c>
      <c r="U31" s="47">
        <f>+'Monthly Data'!Z31</f>
        <v>0</v>
      </c>
      <c r="V31" s="47">
        <f t="shared" ca="1" si="9"/>
        <v>80989271.97666648</v>
      </c>
    </row>
    <row r="32" spans="1:28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Data'!X32</f>
        <v>82269026.564453483</v>
      </c>
      <c r="E32" s="3">
        <f t="shared" ref="E32:F32" ca="1" si="27">E20</f>
        <v>10.249063146997932</v>
      </c>
      <c r="F32" s="3">
        <f t="shared" ca="1" si="27"/>
        <v>297.94737858727848</v>
      </c>
      <c r="G32">
        <f>'Monthly Data'!EG32</f>
        <v>0</v>
      </c>
      <c r="H32" s="3">
        <f>'Monthly Data'!DQ32</f>
        <v>31</v>
      </c>
      <c r="I32" s="3">
        <f>'Monthly Data'!DL32</f>
        <v>765060</v>
      </c>
      <c r="J32" s="3">
        <f>'Monthly Data'!EH32</f>
        <v>31</v>
      </c>
      <c r="L32" s="3">
        <f t="shared" si="1"/>
        <v>-38000000</v>
      </c>
      <c r="M32" s="3">
        <f t="shared" ca="1" si="2"/>
        <v>181572.30022158389</v>
      </c>
      <c r="N32" s="3">
        <f t="shared" ca="1" si="3"/>
        <v>17199292.499486525</v>
      </c>
      <c r="O32" s="3">
        <f t="shared" si="4"/>
        <v>0</v>
      </c>
      <c r="P32" s="3">
        <f t="shared" si="5"/>
        <v>40989657</v>
      </c>
      <c r="Q32" s="3">
        <f t="shared" si="6"/>
        <v>69351365.446199998</v>
      </c>
      <c r="R32" s="3">
        <f t="shared" si="7"/>
        <v>-2497694.8000000003</v>
      </c>
      <c r="S32" s="47">
        <f t="shared" ca="1" si="8"/>
        <v>87224192.445908114</v>
      </c>
      <c r="T32" s="47">
        <f>'Monthly Data'!Y32</f>
        <v>1276.3649230769229</v>
      </c>
      <c r="U32" s="47">
        <f>+'Monthly Data'!Z32</f>
        <v>0</v>
      </c>
      <c r="V32" s="47">
        <f t="shared" ca="1" si="9"/>
        <v>87225468.810831189</v>
      </c>
    </row>
    <row r="33" spans="1:22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Data'!X33</f>
        <v>85309136.221897274</v>
      </c>
      <c r="E33" s="3">
        <f t="shared" ref="E33:F33" ca="1" si="28">E21</f>
        <v>21.194927536231887</v>
      </c>
      <c r="F33" s="3">
        <f t="shared" ca="1" si="28"/>
        <v>272.96558794466404</v>
      </c>
      <c r="G33">
        <f>'Monthly Data'!EG33</f>
        <v>0</v>
      </c>
      <c r="H33" s="3">
        <f>'Monthly Data'!DQ33</f>
        <v>31</v>
      </c>
      <c r="I33" s="3">
        <f>'Monthly Data'!DL33</f>
        <v>765060</v>
      </c>
      <c r="J33" s="3">
        <f>'Monthly Data'!EH33</f>
        <v>32</v>
      </c>
      <c r="L33" s="3">
        <f t="shared" si="1"/>
        <v>-38000000</v>
      </c>
      <c r="M33" s="3">
        <f t="shared" ca="1" si="2"/>
        <v>375489.1242826088</v>
      </c>
      <c r="N33" s="3">
        <f t="shared" ca="1" si="3"/>
        <v>15757195.151758401</v>
      </c>
      <c r="O33" s="3">
        <f t="shared" si="4"/>
        <v>0</v>
      </c>
      <c r="P33" s="3">
        <f t="shared" si="5"/>
        <v>40989657</v>
      </c>
      <c r="Q33" s="3">
        <f t="shared" si="6"/>
        <v>69351365.446199998</v>
      </c>
      <c r="R33" s="3">
        <f t="shared" si="7"/>
        <v>-2578265.6</v>
      </c>
      <c r="S33" s="47">
        <f t="shared" ca="1" si="8"/>
        <v>85895441.12224102</v>
      </c>
      <c r="T33" s="47">
        <f>'Monthly Data'!Y33</f>
        <v>1458.702769230769</v>
      </c>
      <c r="U33" s="47">
        <f>+'Monthly Data'!Z33</f>
        <v>0</v>
      </c>
      <c r="V33" s="47">
        <f t="shared" ca="1" si="9"/>
        <v>85896899.825010255</v>
      </c>
    </row>
    <row r="34" spans="1:22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Data'!X34</f>
        <v>82173288.189341083</v>
      </c>
      <c r="E34" s="3">
        <f t="shared" ref="E34:F34" ca="1" si="29">E22</f>
        <v>96.735690993788822</v>
      </c>
      <c r="F34" s="3">
        <f t="shared" ca="1" si="29"/>
        <v>158.67014233954447</v>
      </c>
      <c r="G34">
        <f>'Monthly Data'!EG34</f>
        <v>1</v>
      </c>
      <c r="H34" s="3">
        <f>'Monthly Data'!DQ34</f>
        <v>30</v>
      </c>
      <c r="I34" s="3">
        <f>'Monthly Data'!DL34</f>
        <v>765060</v>
      </c>
      <c r="J34" s="3">
        <f>'Monthly Data'!EH34</f>
        <v>33</v>
      </c>
      <c r="L34" s="3">
        <f t="shared" si="1"/>
        <v>-38000000</v>
      </c>
      <c r="M34" s="3">
        <f t="shared" ca="1" si="2"/>
        <v>1713768.5342890529</v>
      </c>
      <c r="N34" s="3">
        <f t="shared" ca="1" si="3"/>
        <v>9159383.1164840031</v>
      </c>
      <c r="O34" s="3">
        <f t="shared" si="4"/>
        <v>1538400</v>
      </c>
      <c r="P34" s="3">
        <f t="shared" si="5"/>
        <v>39667410</v>
      </c>
      <c r="Q34" s="3">
        <f t="shared" si="6"/>
        <v>69351365.446199998</v>
      </c>
      <c r="R34" s="3">
        <f t="shared" si="7"/>
        <v>-2658836.4</v>
      </c>
      <c r="S34" s="47">
        <f t="shared" ca="1" si="8"/>
        <v>80771490.696973056</v>
      </c>
      <c r="T34" s="47">
        <f>'Monthly Data'!Y34</f>
        <v>1641.0406153846152</v>
      </c>
      <c r="U34" s="47">
        <f>+'Monthly Data'!Z34</f>
        <v>0</v>
      </c>
      <c r="V34" s="47">
        <f t="shared" ca="1" si="9"/>
        <v>80773131.737588435</v>
      </c>
    </row>
    <row r="35" spans="1:22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Data'!X35</f>
        <v>80084243.886784881</v>
      </c>
      <c r="E35" s="3">
        <f t="shared" ref="E35:F35" ca="1" si="30">E23</f>
        <v>298.21097826086958</v>
      </c>
      <c r="F35" s="3">
        <f t="shared" ca="1" si="30"/>
        <v>35.32833333333334</v>
      </c>
      <c r="G35">
        <f>'Monthly Data'!EG35</f>
        <v>1</v>
      </c>
      <c r="H35" s="3">
        <f>'Monthly Data'!DQ35</f>
        <v>31</v>
      </c>
      <c r="I35" s="3">
        <f>'Monthly Data'!DL35</f>
        <v>771453</v>
      </c>
      <c r="J35" s="3">
        <f>'Monthly Data'!EH35</f>
        <v>34</v>
      </c>
      <c r="L35" s="3">
        <f t="shared" si="1"/>
        <v>-38000000</v>
      </c>
      <c r="M35" s="3">
        <f t="shared" ca="1" si="2"/>
        <v>5283102.7087597838</v>
      </c>
      <c r="N35" s="3">
        <f t="shared" ca="1" si="3"/>
        <v>2039361.2503000004</v>
      </c>
      <c r="O35" s="3">
        <f t="shared" si="4"/>
        <v>1538400</v>
      </c>
      <c r="P35" s="3">
        <f t="shared" si="5"/>
        <v>40989657</v>
      </c>
      <c r="Q35" s="3">
        <f t="shared" si="6"/>
        <v>69930879.836309999</v>
      </c>
      <c r="R35" s="3">
        <f t="shared" si="7"/>
        <v>-2739407.2</v>
      </c>
      <c r="S35" s="47">
        <f t="shared" ca="1" si="8"/>
        <v>79041993.595369786</v>
      </c>
      <c r="T35" s="47">
        <f>'Monthly Data'!Y35</f>
        <v>1823.3784615384614</v>
      </c>
      <c r="U35" s="47">
        <f>+'Monthly Data'!Z35</f>
        <v>0</v>
      </c>
      <c r="V35" s="47">
        <f t="shared" ca="1" si="9"/>
        <v>79043816.973831326</v>
      </c>
    </row>
    <row r="36" spans="1:22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Data'!X36</f>
        <v>81331968.014228672</v>
      </c>
      <c r="E36" s="3">
        <f t="shared" ref="E36:F36" ca="1" si="31">E24</f>
        <v>486.62991389045737</v>
      </c>
      <c r="F36" s="3">
        <f t="shared" ca="1" si="31"/>
        <v>2.2779166666666657</v>
      </c>
      <c r="G36">
        <f>'Monthly Data'!EG36</f>
        <v>1</v>
      </c>
      <c r="H36" s="3">
        <f>'Monthly Data'!DQ36</f>
        <v>30</v>
      </c>
      <c r="I36" s="3">
        <f>'Monthly Data'!DL36</f>
        <v>771453</v>
      </c>
      <c r="J36" s="3">
        <f>'Monthly Data'!EH36</f>
        <v>35</v>
      </c>
      <c r="L36" s="3">
        <f t="shared" si="1"/>
        <v>-38000000</v>
      </c>
      <c r="M36" s="3">
        <f t="shared" ca="1" si="2"/>
        <v>8621130.6881842054</v>
      </c>
      <c r="N36" s="3">
        <f t="shared" ca="1" si="3"/>
        <v>131494.88082499994</v>
      </c>
      <c r="O36" s="3">
        <f t="shared" si="4"/>
        <v>1538400</v>
      </c>
      <c r="P36" s="3">
        <f t="shared" si="5"/>
        <v>39667410</v>
      </c>
      <c r="Q36" s="3">
        <f t="shared" si="6"/>
        <v>69930879.836309999</v>
      </c>
      <c r="R36" s="3">
        <f t="shared" si="7"/>
        <v>-2819978</v>
      </c>
      <c r="S36" s="47">
        <f t="shared" ca="1" si="8"/>
        <v>79069337.405319214</v>
      </c>
      <c r="T36" s="47">
        <f>'Monthly Data'!Y36</f>
        <v>2005.7163076923073</v>
      </c>
      <c r="U36" s="47">
        <f>+'Monthly Data'!Z36</f>
        <v>0</v>
      </c>
      <c r="V36" s="47">
        <f t="shared" ca="1" si="9"/>
        <v>79071343.121626914</v>
      </c>
    </row>
    <row r="37" spans="1:22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Data'!X37</f>
        <v>83169232.251672462</v>
      </c>
      <c r="E37" s="3">
        <f t="shared" ref="E37:F37" ca="1" si="32">E25</f>
        <v>639.92800724637686</v>
      </c>
      <c r="F37" s="3">
        <f t="shared" ca="1" si="32"/>
        <v>0</v>
      </c>
      <c r="G37">
        <f>'Monthly Data'!EG37</f>
        <v>0</v>
      </c>
      <c r="H37" s="3">
        <f>'Monthly Data'!DQ37</f>
        <v>31</v>
      </c>
      <c r="I37" s="3">
        <f>'Monthly Data'!DL37</f>
        <v>771453</v>
      </c>
      <c r="J37" s="3">
        <f>'Monthly Data'!EH37</f>
        <v>36</v>
      </c>
      <c r="L37" s="3">
        <f t="shared" si="1"/>
        <v>-38000000</v>
      </c>
      <c r="M37" s="3">
        <f t="shared" ca="1" si="2"/>
        <v>11336958.177096741</v>
      </c>
      <c r="N37" s="3">
        <f t="shared" ca="1" si="3"/>
        <v>0</v>
      </c>
      <c r="O37" s="3">
        <f t="shared" si="4"/>
        <v>0</v>
      </c>
      <c r="P37" s="3">
        <f t="shared" si="5"/>
        <v>40989657</v>
      </c>
      <c r="Q37" s="3">
        <f t="shared" si="6"/>
        <v>69930879.836309999</v>
      </c>
      <c r="R37" s="3">
        <f t="shared" si="7"/>
        <v>-2900548.8000000003</v>
      </c>
      <c r="S37" s="47">
        <f t="shared" ca="1" si="8"/>
        <v>81356946.213406742</v>
      </c>
      <c r="T37" s="47">
        <f>'Monthly Data'!Y37</f>
        <v>2188.0541538461539</v>
      </c>
      <c r="U37" s="47">
        <f>+'Monthly Data'!Z37</f>
        <v>0</v>
      </c>
      <c r="V37" s="47">
        <f t="shared" ca="1" si="9"/>
        <v>81359134.267560586</v>
      </c>
    </row>
    <row r="38" spans="1:22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Data'!X38</f>
        <v>89219398.42277886</v>
      </c>
      <c r="E38" s="3">
        <f t="shared" ref="E38:F38" ca="1" si="33">E26</f>
        <v>759.33418478260865</v>
      </c>
      <c r="F38" s="3">
        <f t="shared" ca="1" si="33"/>
        <v>0</v>
      </c>
      <c r="G38">
        <f>'Monthly Data'!EG38</f>
        <v>0</v>
      </c>
      <c r="H38" s="3">
        <f>'Monthly Data'!DQ38</f>
        <v>31</v>
      </c>
      <c r="I38" s="3">
        <f>'Monthly Data'!DL38</f>
        <v>779459</v>
      </c>
      <c r="J38" s="3">
        <f>'Monthly Data'!EH38</f>
        <v>37</v>
      </c>
      <c r="L38" s="3">
        <f t="shared" si="1"/>
        <v>-38000000</v>
      </c>
      <c r="M38" s="3">
        <f t="shared" ca="1" si="2"/>
        <v>13452356.824266847</v>
      </c>
      <c r="N38" s="3">
        <f t="shared" ca="1" si="3"/>
        <v>0</v>
      </c>
      <c r="O38" s="3">
        <f t="shared" si="4"/>
        <v>0</v>
      </c>
      <c r="P38" s="3">
        <f t="shared" si="5"/>
        <v>40989657</v>
      </c>
      <c r="Q38" s="3">
        <f t="shared" si="6"/>
        <v>70656609.885930002</v>
      </c>
      <c r="R38" s="3">
        <f t="shared" si="7"/>
        <v>-2981119.6</v>
      </c>
      <c r="S38" s="47">
        <f t="shared" ca="1" si="8"/>
        <v>84117504.110196859</v>
      </c>
      <c r="T38" s="47">
        <f>'Monthly Data'!Y38</f>
        <v>2827.9730769230769</v>
      </c>
      <c r="U38" s="47">
        <f>+'Monthly Data'!Z38</f>
        <v>0</v>
      </c>
      <c r="V38" s="47">
        <f t="shared" ca="1" si="9"/>
        <v>84120332.083273783</v>
      </c>
    </row>
    <row r="39" spans="1:22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Data'!X39</f>
        <v>79210676.167718485</v>
      </c>
      <c r="E39" s="3">
        <f t="shared" ref="E39:F39" ca="1" si="34">E27</f>
        <v>680.85501811594202</v>
      </c>
      <c r="F39" s="3">
        <f t="shared" ca="1" si="34"/>
        <v>0</v>
      </c>
      <c r="G39">
        <f>'Monthly Data'!EG39</f>
        <v>0</v>
      </c>
      <c r="H39" s="3">
        <f>'Monthly Data'!DQ39</f>
        <v>28</v>
      </c>
      <c r="I39" s="3">
        <f>'Monthly Data'!DL39</f>
        <v>779459</v>
      </c>
      <c r="J39" s="3">
        <f>'Monthly Data'!EH39</f>
        <v>38</v>
      </c>
      <c r="L39" s="3">
        <f t="shared" si="1"/>
        <v>-38000000</v>
      </c>
      <c r="M39" s="3">
        <f t="shared" ca="1" si="2"/>
        <v>12062020.692391848</v>
      </c>
      <c r="N39" s="3">
        <f t="shared" ca="1" si="3"/>
        <v>0</v>
      </c>
      <c r="O39" s="3">
        <f t="shared" si="4"/>
        <v>0</v>
      </c>
      <c r="P39" s="3">
        <f t="shared" si="5"/>
        <v>37022916</v>
      </c>
      <c r="Q39" s="3">
        <f t="shared" si="6"/>
        <v>70656609.885930002</v>
      </c>
      <c r="R39" s="3">
        <f t="shared" si="7"/>
        <v>-3061690.4</v>
      </c>
      <c r="S39" s="47">
        <f t="shared" ca="1" si="8"/>
        <v>78679856.178321838</v>
      </c>
      <c r="T39" s="47">
        <f>'Monthly Data'!Y39</f>
        <v>3285.5541538461539</v>
      </c>
      <c r="U39" s="47">
        <f>+'Monthly Data'!Z39</f>
        <v>0</v>
      </c>
      <c r="V39" s="47">
        <f t="shared" ca="1" si="9"/>
        <v>78683141.732475683</v>
      </c>
    </row>
    <row r="40" spans="1:22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Data'!X40</f>
        <v>84410406.562658131</v>
      </c>
      <c r="E40" s="3">
        <f t="shared" ref="E40:F40" ca="1" si="35">E28</f>
        <v>608.13298913043479</v>
      </c>
      <c r="F40" s="3">
        <f t="shared" ca="1" si="35"/>
        <v>2.9583333333332896E-2</v>
      </c>
      <c r="G40">
        <f>'Monthly Data'!EG40</f>
        <v>1</v>
      </c>
      <c r="H40" s="3">
        <f>'Monthly Data'!DQ40</f>
        <v>31</v>
      </c>
      <c r="I40" s="3">
        <f>'Monthly Data'!DL40</f>
        <v>779459</v>
      </c>
      <c r="J40" s="3">
        <f>'Monthly Data'!EH40</f>
        <v>39</v>
      </c>
      <c r="L40" s="3">
        <f t="shared" si="1"/>
        <v>-38000000</v>
      </c>
      <c r="M40" s="3">
        <f t="shared" ca="1" si="2"/>
        <v>10773677.954104893</v>
      </c>
      <c r="N40" s="3">
        <f t="shared" ca="1" si="3"/>
        <v>1707.7257249999748</v>
      </c>
      <c r="O40" s="3">
        <f t="shared" si="4"/>
        <v>1538400</v>
      </c>
      <c r="P40" s="3">
        <f t="shared" si="5"/>
        <v>40989657</v>
      </c>
      <c r="Q40" s="3">
        <f t="shared" si="6"/>
        <v>70656609.885930002</v>
      </c>
      <c r="R40" s="3">
        <f t="shared" si="7"/>
        <v>-3142261.2</v>
      </c>
      <c r="S40" s="47">
        <f t="shared" ca="1" si="8"/>
        <v>82817791.365759894</v>
      </c>
      <c r="T40" s="47">
        <f>'Monthly Data'!Y40</f>
        <v>3743.1352307692309</v>
      </c>
      <c r="U40" s="47">
        <f>+'Monthly Data'!Z40</f>
        <v>0</v>
      </c>
      <c r="V40" s="47">
        <f t="shared" ca="1" si="9"/>
        <v>82821534.500990659</v>
      </c>
    </row>
    <row r="41" spans="1:22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Data'!X41</f>
        <v>80397213.467597783</v>
      </c>
      <c r="E41" s="3">
        <f t="shared" ref="E41:F41" ca="1" si="36">E29</f>
        <v>412.37941287878795</v>
      </c>
      <c r="F41" s="3">
        <f t="shared" ca="1" si="36"/>
        <v>5.6420833333333338</v>
      </c>
      <c r="G41">
        <f>'Monthly Data'!EG41</f>
        <v>1</v>
      </c>
      <c r="H41" s="3">
        <f>'Monthly Data'!DQ41</f>
        <v>30</v>
      </c>
      <c r="I41" s="3">
        <f>'Monthly Data'!DL41</f>
        <v>784896</v>
      </c>
      <c r="J41" s="3">
        <f>'Monthly Data'!EH41</f>
        <v>40</v>
      </c>
      <c r="L41" s="3">
        <f t="shared" si="1"/>
        <v>-38000000</v>
      </c>
      <c r="M41" s="3">
        <f t="shared" ca="1" si="2"/>
        <v>7305709.5547664789</v>
      </c>
      <c r="N41" s="3">
        <f t="shared" ca="1" si="3"/>
        <v>325694.56397500006</v>
      </c>
      <c r="O41" s="3">
        <f t="shared" si="4"/>
        <v>1538400</v>
      </c>
      <c r="P41" s="3">
        <f t="shared" si="5"/>
        <v>39667410</v>
      </c>
      <c r="Q41" s="3">
        <f t="shared" si="6"/>
        <v>71149464.529919997</v>
      </c>
      <c r="R41" s="3">
        <f t="shared" si="7"/>
        <v>-3222832</v>
      </c>
      <c r="S41" s="47">
        <f t="shared" ca="1" si="8"/>
        <v>78763846.648661479</v>
      </c>
      <c r="T41" s="47">
        <f>'Monthly Data'!Y41</f>
        <v>4200.716307692308</v>
      </c>
      <c r="U41" s="47">
        <f>+'Monthly Data'!Z41</f>
        <v>0</v>
      </c>
      <c r="V41" s="47">
        <f t="shared" ca="1" si="9"/>
        <v>78768047.364969179</v>
      </c>
    </row>
    <row r="42" spans="1:22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Data'!X42</f>
        <v>81857156.762537405</v>
      </c>
      <c r="E42" s="3">
        <f t="shared" ref="E42:F42" ca="1" si="37">E30</f>
        <v>202.70273119310133</v>
      </c>
      <c r="F42" s="3">
        <f t="shared" ca="1" si="37"/>
        <v>86.191046176046171</v>
      </c>
      <c r="G42">
        <f>'Monthly Data'!EG42</f>
        <v>1</v>
      </c>
      <c r="H42" s="3">
        <f>'Monthly Data'!DQ42</f>
        <v>31</v>
      </c>
      <c r="I42" s="3">
        <f>'Monthly Data'!DL42</f>
        <v>784896</v>
      </c>
      <c r="J42" s="3">
        <f>'Monthly Data'!EH42</f>
        <v>41</v>
      </c>
      <c r="L42" s="3">
        <f t="shared" si="1"/>
        <v>-38000000</v>
      </c>
      <c r="M42" s="3">
        <f t="shared" ca="1" si="2"/>
        <v>3591079.5587896714</v>
      </c>
      <c r="N42" s="3">
        <f t="shared" ca="1" si="3"/>
        <v>4975459.1600956712</v>
      </c>
      <c r="O42" s="3">
        <f t="shared" si="4"/>
        <v>1538400</v>
      </c>
      <c r="P42" s="3">
        <f t="shared" si="5"/>
        <v>40989657</v>
      </c>
      <c r="Q42" s="3">
        <f t="shared" si="6"/>
        <v>71149464.529919997</v>
      </c>
      <c r="R42" s="3">
        <f t="shared" si="7"/>
        <v>-3303402.8000000003</v>
      </c>
      <c r="S42" s="47">
        <f t="shared" ca="1" si="8"/>
        <v>80940657.448805347</v>
      </c>
      <c r="T42" s="47">
        <f>'Monthly Data'!Y42</f>
        <v>4658.2973846153855</v>
      </c>
      <c r="U42" s="47">
        <f>+'Monthly Data'!Z42</f>
        <v>0</v>
      </c>
      <c r="V42" s="47">
        <f t="shared" ca="1" si="9"/>
        <v>80945315.746189967</v>
      </c>
    </row>
    <row r="43" spans="1:22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Data'!X43</f>
        <v>83028377.88747704</v>
      </c>
      <c r="E43" s="3">
        <f t="shared" ref="E43:F43" ca="1" si="38">E31</f>
        <v>66.09717382617383</v>
      </c>
      <c r="F43" s="3">
        <f t="shared" ca="1" si="38"/>
        <v>194.94285087738348</v>
      </c>
      <c r="G43">
        <f>'Monthly Data'!EG43</f>
        <v>0</v>
      </c>
      <c r="H43" s="3">
        <f>'Monthly Data'!DQ43</f>
        <v>30</v>
      </c>
      <c r="I43" s="3">
        <f>'Monthly Data'!DL43</f>
        <v>784896</v>
      </c>
      <c r="J43" s="3">
        <f>'Monthly Data'!EH43</f>
        <v>42</v>
      </c>
      <c r="L43" s="3">
        <f t="shared" si="1"/>
        <v>-38000000</v>
      </c>
      <c r="M43" s="3">
        <f t="shared" ca="1" si="2"/>
        <v>1170976.8705327574</v>
      </c>
      <c r="N43" s="3">
        <f t="shared" ca="1" si="3"/>
        <v>11253259.313176787</v>
      </c>
      <c r="O43" s="3">
        <f t="shared" si="4"/>
        <v>0</v>
      </c>
      <c r="P43" s="3">
        <f t="shared" si="5"/>
        <v>39667410</v>
      </c>
      <c r="Q43" s="3">
        <f t="shared" si="6"/>
        <v>71149464.529919997</v>
      </c>
      <c r="R43" s="3">
        <f t="shared" si="7"/>
        <v>-3383973.6</v>
      </c>
      <c r="S43" s="47">
        <f t="shared" ca="1" si="8"/>
        <v>81857137.11362955</v>
      </c>
      <c r="T43" s="47">
        <f>'Monthly Data'!Y43</f>
        <v>5115.878461538462</v>
      </c>
      <c r="U43" s="47">
        <f>+'Monthly Data'!Z43</f>
        <v>0</v>
      </c>
      <c r="V43" s="47">
        <f t="shared" ca="1" si="9"/>
        <v>81862252.992091089</v>
      </c>
    </row>
    <row r="44" spans="1:22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Data'!X44</f>
        <v>88716707.202416673</v>
      </c>
      <c r="E44" s="3">
        <f t="shared" ref="E44:F44" ca="1" si="39">E32</f>
        <v>10.249063146997932</v>
      </c>
      <c r="F44" s="3">
        <f t="shared" ca="1" si="39"/>
        <v>297.94737858727848</v>
      </c>
      <c r="G44">
        <f>'Monthly Data'!EG44</f>
        <v>0</v>
      </c>
      <c r="H44" s="3">
        <f>'Monthly Data'!DQ44</f>
        <v>31</v>
      </c>
      <c r="I44" s="3">
        <f>'Monthly Data'!DL44</f>
        <v>794140</v>
      </c>
      <c r="J44" s="3">
        <f>'Monthly Data'!EH44</f>
        <v>43</v>
      </c>
      <c r="L44" s="3">
        <f t="shared" si="1"/>
        <v>-38000000</v>
      </c>
      <c r="M44" s="3">
        <f t="shared" ca="1" si="2"/>
        <v>181572.30022158389</v>
      </c>
      <c r="N44" s="3">
        <f t="shared" ca="1" si="3"/>
        <v>17199292.499486525</v>
      </c>
      <c r="O44" s="3">
        <f t="shared" si="4"/>
        <v>0</v>
      </c>
      <c r="P44" s="3">
        <f t="shared" si="5"/>
        <v>40989657</v>
      </c>
      <c r="Q44" s="3">
        <f t="shared" si="6"/>
        <v>71987417.137799993</v>
      </c>
      <c r="R44" s="3">
        <f t="shared" si="7"/>
        <v>-3464544.4</v>
      </c>
      <c r="S44" s="47">
        <f t="shared" ca="1" si="8"/>
        <v>88893394.5375081</v>
      </c>
      <c r="T44" s="47">
        <f>'Monthly Data'!Y44</f>
        <v>5573.4595384615386</v>
      </c>
      <c r="U44" s="47">
        <f>+'Monthly Data'!Z44</f>
        <v>0</v>
      </c>
      <c r="V44" s="47">
        <f t="shared" ca="1" si="9"/>
        <v>88898967.99704656</v>
      </c>
    </row>
    <row r="45" spans="1:22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Data'!X45</f>
        <v>90790787.837356314</v>
      </c>
      <c r="E45" s="3">
        <f t="shared" ref="E45:F45" ca="1" si="40">E33</f>
        <v>21.194927536231887</v>
      </c>
      <c r="F45" s="3">
        <f t="shared" ca="1" si="40"/>
        <v>272.96558794466404</v>
      </c>
      <c r="G45">
        <f>'Monthly Data'!EG45</f>
        <v>0</v>
      </c>
      <c r="H45" s="3">
        <f>'Monthly Data'!DQ45</f>
        <v>31</v>
      </c>
      <c r="I45" s="3">
        <f>'Monthly Data'!DL45</f>
        <v>794140</v>
      </c>
      <c r="J45" s="3">
        <f>'Monthly Data'!EH45</f>
        <v>44</v>
      </c>
      <c r="L45" s="3">
        <f t="shared" si="1"/>
        <v>-38000000</v>
      </c>
      <c r="M45" s="3">
        <f t="shared" ca="1" si="2"/>
        <v>375489.1242826088</v>
      </c>
      <c r="N45" s="3">
        <f t="shared" ca="1" si="3"/>
        <v>15757195.151758401</v>
      </c>
      <c r="O45" s="3">
        <f t="shared" si="4"/>
        <v>0</v>
      </c>
      <c r="P45" s="3">
        <f t="shared" si="5"/>
        <v>40989657</v>
      </c>
      <c r="Q45" s="3">
        <f t="shared" si="6"/>
        <v>71987417.137799993</v>
      </c>
      <c r="R45" s="3">
        <f t="shared" si="7"/>
        <v>-3545115.2</v>
      </c>
      <c r="S45" s="47">
        <f t="shared" ca="1" si="8"/>
        <v>87564643.213841006</v>
      </c>
      <c r="T45" s="47">
        <f>'Monthly Data'!Y45</f>
        <v>6031.0406153846161</v>
      </c>
      <c r="U45" s="47">
        <f>+'Monthly Data'!Z45</f>
        <v>0</v>
      </c>
      <c r="V45" s="47">
        <f t="shared" ca="1" si="9"/>
        <v>87570674.254456386</v>
      </c>
    </row>
    <row r="46" spans="1:22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Data'!X46</f>
        <v>84518146.232295945</v>
      </c>
      <c r="E46" s="3">
        <f t="shared" ref="E46:F46" ca="1" si="41">E34</f>
        <v>96.735690993788822</v>
      </c>
      <c r="F46" s="3">
        <f t="shared" ca="1" si="41"/>
        <v>158.67014233954447</v>
      </c>
      <c r="G46">
        <f>'Monthly Data'!EG46</f>
        <v>1</v>
      </c>
      <c r="H46" s="3">
        <f>'Monthly Data'!DQ46</f>
        <v>30</v>
      </c>
      <c r="I46" s="3">
        <f>'Monthly Data'!DL46</f>
        <v>794140</v>
      </c>
      <c r="J46" s="3">
        <f>'Monthly Data'!EH46</f>
        <v>45</v>
      </c>
      <c r="L46" s="3">
        <f t="shared" si="1"/>
        <v>-38000000</v>
      </c>
      <c r="M46" s="3">
        <f t="shared" ca="1" si="2"/>
        <v>1713768.5342890529</v>
      </c>
      <c r="N46" s="3">
        <f t="shared" ca="1" si="3"/>
        <v>9159383.1164840031</v>
      </c>
      <c r="O46" s="3">
        <f t="shared" si="4"/>
        <v>1538400</v>
      </c>
      <c r="P46" s="3">
        <f t="shared" si="5"/>
        <v>39667410</v>
      </c>
      <c r="Q46" s="3">
        <f t="shared" si="6"/>
        <v>71987417.137799993</v>
      </c>
      <c r="R46" s="3">
        <f t="shared" si="7"/>
        <v>-3625686</v>
      </c>
      <c r="S46" s="47">
        <f t="shared" ca="1" si="8"/>
        <v>82440692.788573056</v>
      </c>
      <c r="T46" s="47">
        <f>'Monthly Data'!Y46</f>
        <v>6488.6216923076936</v>
      </c>
      <c r="U46" s="47">
        <f>+'Monthly Data'!Z46</f>
        <v>0</v>
      </c>
      <c r="V46" s="47">
        <f t="shared" ca="1" si="9"/>
        <v>82447181.410265371</v>
      </c>
    </row>
    <row r="47" spans="1:22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Data'!X47</f>
        <v>82719001.677235588</v>
      </c>
      <c r="E47" s="3">
        <f t="shared" ref="E47:F47" ca="1" si="42">E35</f>
        <v>298.21097826086958</v>
      </c>
      <c r="F47" s="3">
        <f t="shared" ca="1" si="42"/>
        <v>35.32833333333334</v>
      </c>
      <c r="G47">
        <f>'Monthly Data'!EG47</f>
        <v>1</v>
      </c>
      <c r="H47" s="3">
        <f>'Monthly Data'!DQ47</f>
        <v>31</v>
      </c>
      <c r="I47" s="3">
        <f>'Monthly Data'!DL47</f>
        <v>799632</v>
      </c>
      <c r="J47" s="3">
        <f>'Monthly Data'!EH47</f>
        <v>46</v>
      </c>
      <c r="L47" s="3">
        <f t="shared" si="1"/>
        <v>-38000000</v>
      </c>
      <c r="M47" s="3">
        <f t="shared" ca="1" si="2"/>
        <v>5283102.7087597838</v>
      </c>
      <c r="N47" s="3">
        <f t="shared" ca="1" si="3"/>
        <v>2039361.2503000004</v>
      </c>
      <c r="O47" s="3">
        <f t="shared" si="4"/>
        <v>1538400</v>
      </c>
      <c r="P47" s="3">
        <f t="shared" si="5"/>
        <v>40989657</v>
      </c>
      <c r="Q47" s="3">
        <f t="shared" si="6"/>
        <v>72485257.436639994</v>
      </c>
      <c r="R47" s="3">
        <f t="shared" si="7"/>
        <v>-3706256.8000000003</v>
      </c>
      <c r="S47" s="47">
        <f t="shared" ca="1" si="8"/>
        <v>80629521.595699787</v>
      </c>
      <c r="T47" s="47">
        <f>'Monthly Data'!Y47</f>
        <v>6946.2027692307702</v>
      </c>
      <c r="U47" s="47">
        <f>+'Monthly Data'!Z47</f>
        <v>0</v>
      </c>
      <c r="V47" s="47">
        <f t="shared" ca="1" si="9"/>
        <v>80636467.798469022</v>
      </c>
    </row>
    <row r="48" spans="1:22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Data'!X48</f>
        <v>83098159.202175215</v>
      </c>
      <c r="E48" s="3">
        <f t="shared" ref="E48:F48" ca="1" si="43">E36</f>
        <v>486.62991389045737</v>
      </c>
      <c r="F48" s="3">
        <f t="shared" ca="1" si="43"/>
        <v>2.2779166666666657</v>
      </c>
      <c r="G48">
        <f>'Monthly Data'!EG48</f>
        <v>1</v>
      </c>
      <c r="H48" s="3">
        <f>'Monthly Data'!DQ48</f>
        <v>30</v>
      </c>
      <c r="I48" s="3">
        <f>'Monthly Data'!DL48</f>
        <v>799632</v>
      </c>
      <c r="J48" s="3">
        <f>'Monthly Data'!EH48</f>
        <v>47</v>
      </c>
      <c r="L48" s="3">
        <f t="shared" si="1"/>
        <v>-38000000</v>
      </c>
      <c r="M48" s="3">
        <f t="shared" ca="1" si="2"/>
        <v>8621130.6881842054</v>
      </c>
      <c r="N48" s="3">
        <f t="shared" ca="1" si="3"/>
        <v>131494.88082499994</v>
      </c>
      <c r="O48" s="3">
        <f t="shared" si="4"/>
        <v>1538400</v>
      </c>
      <c r="P48" s="3">
        <f t="shared" si="5"/>
        <v>39667410</v>
      </c>
      <c r="Q48" s="3">
        <f t="shared" si="6"/>
        <v>72485257.436639994</v>
      </c>
      <c r="R48" s="3">
        <f t="shared" si="7"/>
        <v>-3786827.6</v>
      </c>
      <c r="S48" s="47">
        <f t="shared" ca="1" si="8"/>
        <v>80656865.405649215</v>
      </c>
      <c r="T48" s="47">
        <f>'Monthly Data'!Y48</f>
        <v>7403.7838461538468</v>
      </c>
      <c r="U48" s="47">
        <f>+'Monthly Data'!Z48</f>
        <v>0</v>
      </c>
      <c r="V48" s="47">
        <f t="shared" ca="1" si="9"/>
        <v>80664269.18949537</v>
      </c>
    </row>
    <row r="49" spans="1:22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Data'!X49</f>
        <v>81107239.617114857</v>
      </c>
      <c r="E49" s="3">
        <f t="shared" ref="E49:F49" ca="1" si="44">E37</f>
        <v>639.92800724637686</v>
      </c>
      <c r="F49" s="3">
        <f t="shared" ca="1" si="44"/>
        <v>0</v>
      </c>
      <c r="G49">
        <f>'Monthly Data'!EG49</f>
        <v>0</v>
      </c>
      <c r="H49" s="3">
        <f>'Monthly Data'!DQ49</f>
        <v>31</v>
      </c>
      <c r="I49" s="3">
        <f>'Monthly Data'!DL49</f>
        <v>799632</v>
      </c>
      <c r="J49" s="3">
        <f>'Monthly Data'!EH49</f>
        <v>48</v>
      </c>
      <c r="L49" s="3">
        <f t="shared" si="1"/>
        <v>-38000000</v>
      </c>
      <c r="M49" s="3">
        <f t="shared" ca="1" si="2"/>
        <v>11336958.177096741</v>
      </c>
      <c r="N49" s="3">
        <f t="shared" ca="1" si="3"/>
        <v>0</v>
      </c>
      <c r="O49" s="3">
        <f t="shared" si="4"/>
        <v>0</v>
      </c>
      <c r="P49" s="3">
        <f t="shared" si="5"/>
        <v>40989657</v>
      </c>
      <c r="Q49" s="3">
        <f t="shared" si="6"/>
        <v>72485257.436639994</v>
      </c>
      <c r="R49" s="3">
        <f t="shared" si="7"/>
        <v>-3867398.4000000004</v>
      </c>
      <c r="S49" s="47">
        <f t="shared" ca="1" si="8"/>
        <v>82944474.213736728</v>
      </c>
      <c r="T49" s="47">
        <f>'Monthly Data'!Y49</f>
        <v>7861.3649230769242</v>
      </c>
      <c r="U49" s="47">
        <f>+'Monthly Data'!Z49</f>
        <v>0</v>
      </c>
      <c r="V49" s="47">
        <f t="shared" ca="1" si="9"/>
        <v>82952335.578659803</v>
      </c>
    </row>
    <row r="50" spans="1:22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Data'!X50</f>
        <v>89987890.642999917</v>
      </c>
      <c r="E50" s="3">
        <f t="shared" ref="E50:F50" ca="1" si="45">E38</f>
        <v>759.33418478260865</v>
      </c>
      <c r="F50" s="3">
        <f t="shared" ca="1" si="45"/>
        <v>0</v>
      </c>
      <c r="G50">
        <f>'Monthly Data'!EG50</f>
        <v>0</v>
      </c>
      <c r="H50" s="3">
        <f>'Monthly Data'!DQ50</f>
        <v>31</v>
      </c>
      <c r="I50" s="3">
        <f>'Monthly Data'!DL50</f>
        <v>800724</v>
      </c>
      <c r="J50" s="3">
        <f>'Monthly Data'!EH50</f>
        <v>49</v>
      </c>
      <c r="L50" s="3">
        <f t="shared" si="1"/>
        <v>-38000000</v>
      </c>
      <c r="M50" s="3">
        <f t="shared" ca="1" si="2"/>
        <v>13452356.824266847</v>
      </c>
      <c r="N50" s="3">
        <f t="shared" ca="1" si="3"/>
        <v>0</v>
      </c>
      <c r="O50" s="3">
        <f t="shared" si="4"/>
        <v>0</v>
      </c>
      <c r="P50" s="3">
        <f t="shared" si="5"/>
        <v>40989657</v>
      </c>
      <c r="Q50" s="3">
        <f t="shared" si="6"/>
        <v>72584245.347479999</v>
      </c>
      <c r="R50" s="3">
        <f t="shared" si="7"/>
        <v>-3947969.2</v>
      </c>
      <c r="S50" s="47">
        <f t="shared" ca="1" si="8"/>
        <v>85078289.971746847</v>
      </c>
      <c r="T50" s="47">
        <f>'Monthly Data'!Y50</f>
        <v>8541.7221538461545</v>
      </c>
      <c r="U50" s="47">
        <f ca="1">+'Monthly Data'!Z50</f>
        <v>22079.116418653331</v>
      </c>
      <c r="V50" s="47">
        <f t="shared" ca="1" si="9"/>
        <v>85108910.810319349</v>
      </c>
    </row>
    <row r="51" spans="1:22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Data'!X51</f>
        <v>81561175.396740332</v>
      </c>
      <c r="E51" s="3">
        <f t="shared" ref="E51:F51" ca="1" si="46">E39</f>
        <v>680.85501811594202</v>
      </c>
      <c r="F51" s="3">
        <f t="shared" ca="1" si="46"/>
        <v>0</v>
      </c>
      <c r="G51">
        <f>'Monthly Data'!EG51</f>
        <v>0</v>
      </c>
      <c r="H51" s="3">
        <f>'Monthly Data'!DQ51</f>
        <v>28</v>
      </c>
      <c r="I51" s="3">
        <f>'Monthly Data'!DL51</f>
        <v>800724</v>
      </c>
      <c r="J51" s="3">
        <f>'Monthly Data'!EH51</f>
        <v>50</v>
      </c>
      <c r="L51" s="3">
        <f t="shared" si="1"/>
        <v>-38000000</v>
      </c>
      <c r="M51" s="3">
        <f t="shared" ca="1" si="2"/>
        <v>12062020.692391848</v>
      </c>
      <c r="N51" s="3">
        <f t="shared" ca="1" si="3"/>
        <v>0</v>
      </c>
      <c r="O51" s="3">
        <f t="shared" si="4"/>
        <v>0</v>
      </c>
      <c r="P51" s="3">
        <f t="shared" si="5"/>
        <v>37022916</v>
      </c>
      <c r="Q51" s="3">
        <f t="shared" si="6"/>
        <v>72584245.347479999</v>
      </c>
      <c r="R51" s="3">
        <f t="shared" si="7"/>
        <v>-4028540</v>
      </c>
      <c r="S51" s="47">
        <f t="shared" ca="1" si="8"/>
        <v>79640642.039871842</v>
      </c>
      <c r="T51" s="47">
        <f>'Monthly Data'!Y51</f>
        <v>8764.4983076923072</v>
      </c>
      <c r="U51" s="47">
        <f ca="1">+'Monthly Data'!Z51</f>
        <v>18098.048281173789</v>
      </c>
      <c r="V51" s="47">
        <f t="shared" ca="1" si="9"/>
        <v>79667504.58646071</v>
      </c>
    </row>
    <row r="52" spans="1:22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Data'!X52</f>
        <v>86970718.640480727</v>
      </c>
      <c r="E52" s="3">
        <f t="shared" ref="E52:F52" ca="1" si="47">E40</f>
        <v>608.13298913043479</v>
      </c>
      <c r="F52" s="3">
        <f t="shared" ca="1" si="47"/>
        <v>2.9583333333332896E-2</v>
      </c>
      <c r="G52">
        <f>'Monthly Data'!EG52</f>
        <v>1</v>
      </c>
      <c r="H52" s="3">
        <f>'Monthly Data'!DQ52</f>
        <v>31</v>
      </c>
      <c r="I52" s="3">
        <f>'Monthly Data'!DL52</f>
        <v>800724</v>
      </c>
      <c r="J52" s="3">
        <f>'Monthly Data'!EH52</f>
        <v>51</v>
      </c>
      <c r="L52" s="3">
        <f t="shared" si="1"/>
        <v>-38000000</v>
      </c>
      <c r="M52" s="3">
        <f t="shared" ca="1" si="2"/>
        <v>10773677.954104893</v>
      </c>
      <c r="N52" s="3">
        <f t="shared" ca="1" si="3"/>
        <v>1707.7257249999748</v>
      </c>
      <c r="O52" s="3">
        <f t="shared" si="4"/>
        <v>1538400</v>
      </c>
      <c r="P52" s="3">
        <f t="shared" si="5"/>
        <v>40989657</v>
      </c>
      <c r="Q52" s="3">
        <f t="shared" si="6"/>
        <v>72584245.347479999</v>
      </c>
      <c r="R52" s="3">
        <f t="shared" si="7"/>
        <v>-4109110.8000000003</v>
      </c>
      <c r="S52" s="47">
        <f t="shared" ca="1" si="8"/>
        <v>83778577.227309898</v>
      </c>
      <c r="T52" s="47">
        <f>'Monthly Data'!Y52</f>
        <v>8987.2744615384618</v>
      </c>
      <c r="U52" s="47">
        <f ca="1">+'Monthly Data'!Z52</f>
        <v>17309.761167820841</v>
      </c>
      <c r="V52" s="47">
        <f t="shared" ca="1" si="9"/>
        <v>83804874.262939259</v>
      </c>
    </row>
    <row r="53" spans="1:22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Data'!X53</f>
        <v>79359358.704221129</v>
      </c>
      <c r="E53" s="3">
        <f t="shared" ref="E53:F53" ca="1" si="48">E41</f>
        <v>412.37941287878795</v>
      </c>
      <c r="F53" s="3">
        <f t="shared" ca="1" si="48"/>
        <v>5.6420833333333338</v>
      </c>
      <c r="G53">
        <f>'Monthly Data'!EG53</f>
        <v>1</v>
      </c>
      <c r="H53" s="3">
        <f>'Monthly Data'!DQ53</f>
        <v>30</v>
      </c>
      <c r="I53" s="3">
        <f>'Monthly Data'!DL53</f>
        <v>806630</v>
      </c>
      <c r="J53" s="3">
        <f>'Monthly Data'!EH53</f>
        <v>52</v>
      </c>
      <c r="L53" s="3">
        <f t="shared" si="1"/>
        <v>-38000000</v>
      </c>
      <c r="M53" s="3">
        <f t="shared" ca="1" si="2"/>
        <v>7305709.5547664789</v>
      </c>
      <c r="N53" s="3">
        <f t="shared" ca="1" si="3"/>
        <v>325694.56397500006</v>
      </c>
      <c r="O53" s="3">
        <f t="shared" si="4"/>
        <v>1538400</v>
      </c>
      <c r="P53" s="3">
        <f t="shared" si="5"/>
        <v>39667410</v>
      </c>
      <c r="Q53" s="3">
        <f t="shared" si="6"/>
        <v>73119614.030100003</v>
      </c>
      <c r="R53" s="3">
        <f t="shared" si="7"/>
        <v>-4189681.6</v>
      </c>
      <c r="S53" s="47">
        <f t="shared" ca="1" si="8"/>
        <v>79767146.548841491</v>
      </c>
      <c r="T53" s="47">
        <f>'Monthly Data'!Y53</f>
        <v>9210.0506153846163</v>
      </c>
      <c r="U53" s="47">
        <f ca="1">+'Monthly Data'!Z53</f>
        <v>10379.60513447857</v>
      </c>
      <c r="V53" s="47">
        <f t="shared" ca="1" si="9"/>
        <v>79786736.204591349</v>
      </c>
    </row>
    <row r="54" spans="1:22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Data'!X54</f>
        <v>80012440.007961541</v>
      </c>
      <c r="E54" s="3">
        <f t="shared" ref="E54:F54" ca="1" si="49">E42</f>
        <v>202.70273119310133</v>
      </c>
      <c r="F54" s="3">
        <f t="shared" ca="1" si="49"/>
        <v>86.191046176046171</v>
      </c>
      <c r="G54">
        <f>'Monthly Data'!EG54</f>
        <v>1</v>
      </c>
      <c r="H54" s="3">
        <f>'Monthly Data'!DQ54</f>
        <v>31</v>
      </c>
      <c r="I54" s="3">
        <f>'Monthly Data'!DL54</f>
        <v>806630</v>
      </c>
      <c r="J54" s="3">
        <f>'Monthly Data'!EH54</f>
        <v>53</v>
      </c>
      <c r="L54" s="3">
        <f t="shared" si="1"/>
        <v>-38000000</v>
      </c>
      <c r="M54" s="3">
        <f t="shared" ca="1" si="2"/>
        <v>3591079.5587896714</v>
      </c>
      <c r="N54" s="3">
        <f t="shared" ca="1" si="3"/>
        <v>4975459.1600956712</v>
      </c>
      <c r="O54" s="3">
        <f t="shared" si="4"/>
        <v>1538400</v>
      </c>
      <c r="P54" s="3">
        <f t="shared" si="5"/>
        <v>40989657</v>
      </c>
      <c r="Q54" s="3">
        <f t="shared" si="6"/>
        <v>73119614.030100003</v>
      </c>
      <c r="R54" s="3">
        <f t="shared" si="7"/>
        <v>-4270252.4000000004</v>
      </c>
      <c r="S54" s="47">
        <f t="shared" ca="1" si="8"/>
        <v>81943957.348985344</v>
      </c>
      <c r="T54" s="47">
        <f>'Monthly Data'!Y54</f>
        <v>9432.8267692307691</v>
      </c>
      <c r="U54" s="47">
        <f ca="1">+'Monthly Data'!Z54</f>
        <v>5818.4760826346501</v>
      </c>
      <c r="V54" s="47">
        <f t="shared" ca="1" si="9"/>
        <v>81959208.651837215</v>
      </c>
    </row>
    <row r="55" spans="1:22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Data'!X55</f>
        <v>80705233.661701947</v>
      </c>
      <c r="E55" s="3">
        <f t="shared" ref="E55:F55" ca="1" si="50">E43</f>
        <v>66.09717382617383</v>
      </c>
      <c r="F55" s="3">
        <f t="shared" ca="1" si="50"/>
        <v>194.94285087738348</v>
      </c>
      <c r="G55">
        <f>'Monthly Data'!EG55</f>
        <v>0</v>
      </c>
      <c r="H55" s="3">
        <f>'Monthly Data'!DQ55</f>
        <v>30</v>
      </c>
      <c r="I55" s="3">
        <f>'Monthly Data'!DL55</f>
        <v>806630</v>
      </c>
      <c r="J55" s="3">
        <f>'Monthly Data'!EH55</f>
        <v>54</v>
      </c>
      <c r="L55" s="3">
        <f t="shared" si="1"/>
        <v>-38000000</v>
      </c>
      <c r="M55" s="3">
        <f t="shared" ca="1" si="2"/>
        <v>1170976.8705327574</v>
      </c>
      <c r="N55" s="3">
        <f t="shared" ca="1" si="3"/>
        <v>11253259.313176787</v>
      </c>
      <c r="O55" s="3">
        <f t="shared" si="4"/>
        <v>0</v>
      </c>
      <c r="P55" s="3">
        <f t="shared" si="5"/>
        <v>39667410</v>
      </c>
      <c r="Q55" s="3">
        <f t="shared" si="6"/>
        <v>73119614.030100003</v>
      </c>
      <c r="R55" s="3">
        <f t="shared" si="7"/>
        <v>-4350823.2</v>
      </c>
      <c r="S55" s="47">
        <f t="shared" ref="S55:S118" ca="1" si="51">SUM(L55:R55)</f>
        <v>82860437.013809547</v>
      </c>
      <c r="T55" s="47">
        <f>'Monthly Data'!Y55</f>
        <v>9655.6029230769236</v>
      </c>
      <c r="U55" s="47">
        <f ca="1">+'Monthly Data'!Z55</f>
        <v>1305.6337060756996</v>
      </c>
      <c r="V55" s="47">
        <f t="shared" ref="V55:V118" ca="1" si="52">S55+T55+U55</f>
        <v>82871398.250438705</v>
      </c>
    </row>
    <row r="56" spans="1:22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Data'!X56</f>
        <v>89974220.065442368</v>
      </c>
      <c r="E56" s="3">
        <f t="shared" ref="E56:F56" ca="1" si="53">E44</f>
        <v>10.249063146997932</v>
      </c>
      <c r="F56" s="3">
        <f t="shared" ca="1" si="53"/>
        <v>297.94737858727848</v>
      </c>
      <c r="G56">
        <f>'Monthly Data'!EG56</f>
        <v>0</v>
      </c>
      <c r="H56" s="3">
        <f>'Monthly Data'!DQ56</f>
        <v>31</v>
      </c>
      <c r="I56" s="3">
        <f>'Monthly Data'!DL56</f>
        <v>810347</v>
      </c>
      <c r="J56" s="3">
        <f>'Monthly Data'!EH56</f>
        <v>55</v>
      </c>
      <c r="L56" s="3">
        <f t="shared" si="1"/>
        <v>-38000000</v>
      </c>
      <c r="M56" s="3">
        <f t="shared" ca="1" si="2"/>
        <v>181572.30022158389</v>
      </c>
      <c r="N56" s="3">
        <f t="shared" ca="1" si="3"/>
        <v>17199292.499486525</v>
      </c>
      <c r="O56" s="3">
        <f t="shared" si="4"/>
        <v>0</v>
      </c>
      <c r="P56" s="3">
        <f t="shared" si="5"/>
        <v>40989657</v>
      </c>
      <c r="Q56" s="3">
        <f t="shared" si="6"/>
        <v>73456553.649690002</v>
      </c>
      <c r="R56" s="3">
        <f t="shared" si="7"/>
        <v>-4431394</v>
      </c>
      <c r="S56" s="47">
        <f t="shared" ca="1" si="51"/>
        <v>89395681.449398115</v>
      </c>
      <c r="T56" s="47">
        <f>'Monthly Data'!Y56</f>
        <v>9878.3790769230782</v>
      </c>
      <c r="U56" s="47">
        <f ca="1">+'Monthly Data'!Z56</f>
        <v>0</v>
      </c>
      <c r="V56" s="47">
        <f t="shared" ca="1" si="52"/>
        <v>89405559.828475043</v>
      </c>
    </row>
    <row r="57" spans="1:22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Data'!X57</f>
        <v>86788884.969182774</v>
      </c>
      <c r="E57" s="3">
        <f t="shared" ref="E57:F57" ca="1" si="54">E45</f>
        <v>21.194927536231887</v>
      </c>
      <c r="F57" s="3">
        <f t="shared" ca="1" si="54"/>
        <v>272.96558794466404</v>
      </c>
      <c r="G57">
        <f>'Monthly Data'!EG57</f>
        <v>0</v>
      </c>
      <c r="H57" s="3">
        <f>'Monthly Data'!DQ57</f>
        <v>31</v>
      </c>
      <c r="I57" s="3">
        <f>'Monthly Data'!DL57</f>
        <v>810347</v>
      </c>
      <c r="J57" s="3">
        <f>'Monthly Data'!EH57</f>
        <v>56</v>
      </c>
      <c r="L57" s="3">
        <f t="shared" si="1"/>
        <v>-38000000</v>
      </c>
      <c r="M57" s="3">
        <f t="shared" ca="1" si="2"/>
        <v>375489.1242826088</v>
      </c>
      <c r="N57" s="3">
        <f t="shared" ca="1" si="3"/>
        <v>15757195.151758401</v>
      </c>
      <c r="O57" s="3">
        <f t="shared" si="4"/>
        <v>0</v>
      </c>
      <c r="P57" s="3">
        <f t="shared" si="5"/>
        <v>40989657</v>
      </c>
      <c r="Q57" s="3">
        <f t="shared" si="6"/>
        <v>73456553.649690002</v>
      </c>
      <c r="R57" s="3">
        <f t="shared" si="7"/>
        <v>-4511964.8</v>
      </c>
      <c r="S57" s="47">
        <f t="shared" ca="1" si="51"/>
        <v>88066930.125731006</v>
      </c>
      <c r="T57" s="47">
        <f>'Monthly Data'!Y57</f>
        <v>10101.155230769231</v>
      </c>
      <c r="U57" s="47">
        <f ca="1">+'Monthly Data'!Z57</f>
        <v>131.51879865158568</v>
      </c>
      <c r="V57" s="47">
        <f t="shared" ca="1" si="52"/>
        <v>88077162.799760431</v>
      </c>
    </row>
    <row r="58" spans="1:22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Data'!X58</f>
        <v>80260355.412923172</v>
      </c>
      <c r="E58" s="3">
        <f t="shared" ref="E58:F58" ca="1" si="55">E46</f>
        <v>96.735690993788822</v>
      </c>
      <c r="F58" s="3">
        <f t="shared" ca="1" si="55"/>
        <v>158.67014233954447</v>
      </c>
      <c r="G58">
        <f>'Monthly Data'!EG58</f>
        <v>1</v>
      </c>
      <c r="H58" s="3">
        <f>'Monthly Data'!DQ58</f>
        <v>30</v>
      </c>
      <c r="I58" s="3">
        <f>'Monthly Data'!DL58</f>
        <v>810347</v>
      </c>
      <c r="J58" s="3">
        <f>'Monthly Data'!EH58</f>
        <v>57</v>
      </c>
      <c r="L58" s="3">
        <f t="shared" si="1"/>
        <v>-38000000</v>
      </c>
      <c r="M58" s="3">
        <f t="shared" ca="1" si="2"/>
        <v>1713768.5342890529</v>
      </c>
      <c r="N58" s="3">
        <f t="shared" ca="1" si="3"/>
        <v>9159383.1164840031</v>
      </c>
      <c r="O58" s="3">
        <f t="shared" si="4"/>
        <v>1538400</v>
      </c>
      <c r="P58" s="3">
        <f t="shared" si="5"/>
        <v>39667410</v>
      </c>
      <c r="Q58" s="3">
        <f t="shared" si="6"/>
        <v>73456553.649690002</v>
      </c>
      <c r="R58" s="3">
        <f t="shared" si="7"/>
        <v>-4592535.6000000006</v>
      </c>
      <c r="S58" s="47">
        <f t="shared" ca="1" si="51"/>
        <v>82942979.700463057</v>
      </c>
      <c r="T58" s="47">
        <f>'Monthly Data'!Y58</f>
        <v>10323.931384615385</v>
      </c>
      <c r="U58" s="47">
        <f ca="1">+'Monthly Data'!Z58</f>
        <v>1756.6901061148599</v>
      </c>
      <c r="V58" s="47">
        <f t="shared" ca="1" si="52"/>
        <v>82955060.321953773</v>
      </c>
    </row>
    <row r="59" spans="1:22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Data'!X59</f>
        <v>79100092.056663573</v>
      </c>
      <c r="E59" s="3">
        <f t="shared" ref="E59:F59" ca="1" si="56">E47</f>
        <v>298.21097826086958</v>
      </c>
      <c r="F59" s="3">
        <f t="shared" ca="1" si="56"/>
        <v>35.32833333333334</v>
      </c>
      <c r="G59">
        <f>'Monthly Data'!EG59</f>
        <v>1</v>
      </c>
      <c r="H59" s="3">
        <f>'Monthly Data'!DQ59</f>
        <v>31</v>
      </c>
      <c r="I59" s="3">
        <f>'Monthly Data'!DL59</f>
        <v>811397</v>
      </c>
      <c r="J59" s="3">
        <f>'Monthly Data'!EH59</f>
        <v>58</v>
      </c>
      <c r="L59" s="3">
        <f t="shared" si="1"/>
        <v>-38000000</v>
      </c>
      <c r="M59" s="3">
        <f t="shared" ca="1" si="2"/>
        <v>5283102.7087597838</v>
      </c>
      <c r="N59" s="3">
        <f t="shared" ca="1" si="3"/>
        <v>2039361.2503000004</v>
      </c>
      <c r="O59" s="3">
        <f t="shared" si="4"/>
        <v>1538400</v>
      </c>
      <c r="P59" s="3">
        <f t="shared" si="5"/>
        <v>40989657</v>
      </c>
      <c r="Q59" s="3">
        <f t="shared" si="6"/>
        <v>73551734.333189994</v>
      </c>
      <c r="R59" s="3">
        <f t="shared" si="7"/>
        <v>-4673106.4000000004</v>
      </c>
      <c r="S59" s="47">
        <f t="shared" ca="1" si="51"/>
        <v>80729148.892249778</v>
      </c>
      <c r="T59" s="47">
        <f>'Monthly Data'!Y59</f>
        <v>10546.70753846154</v>
      </c>
      <c r="U59" s="47">
        <f ca="1">+'Monthly Data'!Z59</f>
        <v>6901.1393297832619</v>
      </c>
      <c r="V59" s="47">
        <f t="shared" ca="1" si="52"/>
        <v>80746596.73911801</v>
      </c>
    </row>
    <row r="60" spans="1:22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Data'!X60</f>
        <v>81137021.800403982</v>
      </c>
      <c r="E60" s="3">
        <f t="shared" ref="E60:F60" ca="1" si="57">E48</f>
        <v>486.62991389045737</v>
      </c>
      <c r="F60" s="3">
        <f t="shared" ca="1" si="57"/>
        <v>2.2779166666666657</v>
      </c>
      <c r="G60">
        <f>'Monthly Data'!EG60</f>
        <v>1</v>
      </c>
      <c r="H60" s="3">
        <f>'Monthly Data'!DQ60</f>
        <v>30</v>
      </c>
      <c r="I60" s="3">
        <f>'Monthly Data'!DL60</f>
        <v>811397</v>
      </c>
      <c r="J60" s="3">
        <f>'Monthly Data'!EH60</f>
        <v>59</v>
      </c>
      <c r="L60" s="3">
        <f t="shared" si="1"/>
        <v>-38000000</v>
      </c>
      <c r="M60" s="3">
        <f t="shared" ca="1" si="2"/>
        <v>8621130.6881842054</v>
      </c>
      <c r="N60" s="3">
        <f t="shared" ca="1" si="3"/>
        <v>131494.88082499994</v>
      </c>
      <c r="O60" s="3">
        <f t="shared" si="4"/>
        <v>1538400</v>
      </c>
      <c r="P60" s="3">
        <f t="shared" si="5"/>
        <v>39667410</v>
      </c>
      <c r="Q60" s="3">
        <f t="shared" si="6"/>
        <v>73551734.333189994</v>
      </c>
      <c r="R60" s="3">
        <f t="shared" si="7"/>
        <v>-4753677.2</v>
      </c>
      <c r="S60" s="47">
        <f t="shared" ca="1" si="51"/>
        <v>80756492.702199206</v>
      </c>
      <c r="T60" s="47">
        <f>'Monthly Data'!Y60</f>
        <v>10769.483692307693</v>
      </c>
      <c r="U60" s="47">
        <f ca="1">+'Monthly Data'!Z60</f>
        <v>14995.973944188991</v>
      </c>
      <c r="V60" s="47">
        <f t="shared" ca="1" si="52"/>
        <v>80782258.159835696</v>
      </c>
    </row>
    <row r="61" spans="1:22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Data'!X61</f>
        <v>81147803.554144382</v>
      </c>
      <c r="E61" s="3">
        <f t="shared" ref="E61:F61" ca="1" si="58">E49</f>
        <v>639.92800724637686</v>
      </c>
      <c r="F61" s="3">
        <f t="shared" ca="1" si="58"/>
        <v>0</v>
      </c>
      <c r="G61">
        <f>'Monthly Data'!EG61</f>
        <v>0</v>
      </c>
      <c r="H61" s="3">
        <f>'Monthly Data'!DQ61</f>
        <v>31</v>
      </c>
      <c r="I61" s="3">
        <f>'Monthly Data'!DL61</f>
        <v>811397</v>
      </c>
      <c r="J61" s="3">
        <f>'Monthly Data'!EH61</f>
        <v>60</v>
      </c>
      <c r="L61" s="3">
        <f t="shared" si="1"/>
        <v>-38000000</v>
      </c>
      <c r="M61" s="3">
        <f t="shared" ca="1" si="2"/>
        <v>11336958.177096741</v>
      </c>
      <c r="N61" s="3">
        <f t="shared" ca="1" si="3"/>
        <v>0</v>
      </c>
      <c r="O61" s="3">
        <f t="shared" si="4"/>
        <v>0</v>
      </c>
      <c r="P61" s="3">
        <f t="shared" si="5"/>
        <v>40989657</v>
      </c>
      <c r="Q61" s="3">
        <f t="shared" si="6"/>
        <v>73551734.333189994</v>
      </c>
      <c r="R61" s="3">
        <f t="shared" si="7"/>
        <v>-4834248</v>
      </c>
      <c r="S61" s="47">
        <f t="shared" ca="1" si="51"/>
        <v>83044101.510286734</v>
      </c>
      <c r="T61" s="47">
        <f>'Monthly Data'!Y61</f>
        <v>10992.259846153847</v>
      </c>
      <c r="U61" s="47">
        <f ca="1">+'Monthly Data'!Z61</f>
        <v>17393.862426510146</v>
      </c>
      <c r="V61" s="47">
        <f t="shared" ca="1" si="52"/>
        <v>83072487.632559389</v>
      </c>
    </row>
    <row r="62" spans="1:22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Data'!X62</f>
        <v>85581911.003255412</v>
      </c>
      <c r="E62" s="3">
        <f t="shared" ref="E62:F62" ca="1" si="59">E50</f>
        <v>759.33418478260865</v>
      </c>
      <c r="F62" s="3">
        <f t="shared" ca="1" si="59"/>
        <v>0</v>
      </c>
      <c r="G62">
        <f>'Monthly Data'!EG62</f>
        <v>0</v>
      </c>
      <c r="H62" s="3">
        <f>'Monthly Data'!DQ62</f>
        <v>31</v>
      </c>
      <c r="I62" s="3">
        <f>'Monthly Data'!DL62</f>
        <v>800126</v>
      </c>
      <c r="J62" s="3">
        <f>'Monthly Data'!EH62</f>
        <v>61</v>
      </c>
      <c r="L62" s="3">
        <f t="shared" si="1"/>
        <v>-38000000</v>
      </c>
      <c r="M62" s="3">
        <f t="shared" ca="1" si="2"/>
        <v>13452356.824266847</v>
      </c>
      <c r="N62" s="3">
        <f t="shared" ca="1" si="3"/>
        <v>0</v>
      </c>
      <c r="O62" s="3">
        <f t="shared" si="4"/>
        <v>0</v>
      </c>
      <c r="P62" s="3">
        <f t="shared" si="5"/>
        <v>40989657</v>
      </c>
      <c r="Q62" s="3">
        <f t="shared" si="6"/>
        <v>72530037.682019994</v>
      </c>
      <c r="R62" s="3">
        <f t="shared" si="7"/>
        <v>-4914818.8</v>
      </c>
      <c r="S62" s="47">
        <f t="shared" ca="1" si="51"/>
        <v>84057232.706286848</v>
      </c>
      <c r="T62" s="47">
        <f>'Monthly Data'!Y62</f>
        <v>11473.638115384616</v>
      </c>
      <c r="U62" s="47">
        <f ca="1">+'Monthly Data'!Z62</f>
        <v>70995.631039934058</v>
      </c>
      <c r="V62" s="47">
        <f t="shared" ca="1" si="52"/>
        <v>84139701.975442171</v>
      </c>
    </row>
    <row r="63" spans="1:22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Data'!X63</f>
        <v>81388173.433879867</v>
      </c>
      <c r="E63" s="3">
        <f t="shared" ref="E63:F63" ca="1" si="60">E51</f>
        <v>680.85501811594202</v>
      </c>
      <c r="F63" s="3">
        <f t="shared" ca="1" si="60"/>
        <v>0</v>
      </c>
      <c r="G63">
        <f>'Monthly Data'!EG63</f>
        <v>0</v>
      </c>
      <c r="H63" s="3">
        <f>'Monthly Data'!DQ63</f>
        <v>29</v>
      </c>
      <c r="I63" s="3">
        <f>'Monthly Data'!DL63</f>
        <v>800126</v>
      </c>
      <c r="J63" s="3">
        <f>'Monthly Data'!EH63</f>
        <v>62</v>
      </c>
      <c r="L63" s="3">
        <f t="shared" si="1"/>
        <v>-38000000</v>
      </c>
      <c r="M63" s="3">
        <f t="shared" ca="1" si="2"/>
        <v>12062020.692391848</v>
      </c>
      <c r="N63" s="3">
        <f t="shared" ca="1" si="3"/>
        <v>0</v>
      </c>
      <c r="O63" s="3">
        <f t="shared" si="4"/>
        <v>0</v>
      </c>
      <c r="P63" s="3">
        <f t="shared" si="5"/>
        <v>38345163</v>
      </c>
      <c r="Q63" s="3">
        <f t="shared" si="6"/>
        <v>72530037.682019994</v>
      </c>
      <c r="R63" s="3">
        <f t="shared" si="7"/>
        <v>-4995389.6000000006</v>
      </c>
      <c r="S63" s="47">
        <f t="shared" ca="1" si="51"/>
        <v>79941831.774411857</v>
      </c>
      <c r="T63" s="47">
        <f>'Monthly Data'!Y63</f>
        <v>11732.24023076923</v>
      </c>
      <c r="U63" s="47">
        <f ca="1">+'Monthly Data'!Z63</f>
        <v>70044.895401591741</v>
      </c>
      <c r="V63" s="47">
        <f t="shared" ca="1" si="52"/>
        <v>80023608.910044223</v>
      </c>
    </row>
    <row r="64" spans="1:22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Data'!X64</f>
        <v>79674733.704504296</v>
      </c>
      <c r="E64" s="3">
        <f t="shared" ref="E64:F64" ca="1" si="61">E52</f>
        <v>608.13298913043479</v>
      </c>
      <c r="F64" s="3">
        <f t="shared" ca="1" si="61"/>
        <v>2.9583333333332896E-2</v>
      </c>
      <c r="G64">
        <f>'Monthly Data'!EG64</f>
        <v>1</v>
      </c>
      <c r="H64" s="3">
        <f>'Monthly Data'!DQ64</f>
        <v>31</v>
      </c>
      <c r="I64" s="3">
        <f>'Monthly Data'!DL64</f>
        <v>800126</v>
      </c>
      <c r="J64" s="3">
        <f>'Monthly Data'!EH64</f>
        <v>63</v>
      </c>
      <c r="L64" s="3">
        <f t="shared" si="1"/>
        <v>-38000000</v>
      </c>
      <c r="M64" s="3">
        <f t="shared" ca="1" si="2"/>
        <v>10773677.954104893</v>
      </c>
      <c r="N64" s="3">
        <f t="shared" ca="1" si="3"/>
        <v>1707.7257249999748</v>
      </c>
      <c r="O64" s="3">
        <f t="shared" si="4"/>
        <v>1538400</v>
      </c>
      <c r="P64" s="3">
        <f t="shared" si="5"/>
        <v>40989657</v>
      </c>
      <c r="Q64" s="3">
        <f t="shared" si="6"/>
        <v>72530037.682019994</v>
      </c>
      <c r="R64" s="3">
        <f t="shared" si="7"/>
        <v>-5075960.4000000004</v>
      </c>
      <c r="S64" s="47">
        <f t="shared" ca="1" si="51"/>
        <v>82757519.961849883</v>
      </c>
      <c r="T64" s="47">
        <f>'Monthly Data'!Y64</f>
        <v>11990.842346153846</v>
      </c>
      <c r="U64" s="47">
        <f ca="1">+'Monthly Data'!Z64</f>
        <v>54370.694147792885</v>
      </c>
      <c r="V64" s="47">
        <f t="shared" ca="1" si="52"/>
        <v>82823881.498343825</v>
      </c>
    </row>
    <row r="65" spans="1:22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Data'!X65</f>
        <v>66983219.52512873</v>
      </c>
      <c r="E65" s="3">
        <f t="shared" ref="E65:F65" ca="1" si="62">E53</f>
        <v>412.37941287878795</v>
      </c>
      <c r="F65" s="3">
        <f t="shared" ca="1" si="62"/>
        <v>5.6420833333333338</v>
      </c>
      <c r="G65">
        <f>'Monthly Data'!EG65</f>
        <v>1</v>
      </c>
      <c r="H65" s="3">
        <f>'Monthly Data'!DQ65</f>
        <v>30</v>
      </c>
      <c r="I65" s="3">
        <f>'Monthly Data'!DL65</f>
        <v>706539</v>
      </c>
      <c r="J65" s="3">
        <f>'Monthly Data'!EH65</f>
        <v>64</v>
      </c>
      <c r="L65" s="3">
        <f t="shared" si="1"/>
        <v>-38000000</v>
      </c>
      <c r="M65" s="3">
        <f t="shared" ca="1" si="2"/>
        <v>7305709.5547664789</v>
      </c>
      <c r="N65" s="3">
        <f t="shared" ca="1" si="3"/>
        <v>325694.56397500006</v>
      </c>
      <c r="O65" s="3">
        <f t="shared" si="4"/>
        <v>1538400</v>
      </c>
      <c r="P65" s="3">
        <f t="shared" si="5"/>
        <v>39667410</v>
      </c>
      <c r="Q65" s="3">
        <f t="shared" si="6"/>
        <v>64046538.037529998</v>
      </c>
      <c r="R65" s="3">
        <f t="shared" si="7"/>
        <v>-5156531.2</v>
      </c>
      <c r="S65" s="47">
        <f t="shared" ca="1" si="51"/>
        <v>69727220.95627147</v>
      </c>
      <c r="T65" s="47">
        <f>'Monthly Data'!Y65</f>
        <v>12249.444461538462</v>
      </c>
      <c r="U65" s="47">
        <f ca="1">+'Monthly Data'!Z65</f>
        <v>42866.369538361309</v>
      </c>
      <c r="V65" s="47">
        <f t="shared" ca="1" si="52"/>
        <v>69782336.770271376</v>
      </c>
    </row>
    <row r="66" spans="1:22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Data'!X66</f>
        <v>70122728.675753176</v>
      </c>
      <c r="E66" s="3">
        <f t="shared" ref="E66:F66" ca="1" si="63">E54</f>
        <v>202.70273119310133</v>
      </c>
      <c r="F66" s="3">
        <f t="shared" ca="1" si="63"/>
        <v>86.191046176046171</v>
      </c>
      <c r="G66">
        <f>'Monthly Data'!EG66</f>
        <v>1</v>
      </c>
      <c r="H66" s="3">
        <f>'Monthly Data'!DQ66</f>
        <v>31</v>
      </c>
      <c r="I66" s="3">
        <f>'Monthly Data'!DL66</f>
        <v>706539</v>
      </c>
      <c r="J66" s="3">
        <f>'Monthly Data'!EH66</f>
        <v>65</v>
      </c>
      <c r="L66" s="3">
        <f t="shared" ref="L66:L129" si="64">$Z$8</f>
        <v>-38000000</v>
      </c>
      <c r="M66" s="3">
        <f t="shared" ref="M66:M129" ca="1" si="65">E66*$Z$9</f>
        <v>3591079.5587896714</v>
      </c>
      <c r="N66" s="3">
        <f t="shared" ref="N66:N129" ca="1" si="66">F66*$Z$10</f>
        <v>4975459.1600956712</v>
      </c>
      <c r="O66" s="3">
        <f t="shared" ref="O66:O129" si="67">G66*$Z$11</f>
        <v>1538400</v>
      </c>
      <c r="P66" s="3">
        <f t="shared" ref="P66:P129" si="68">H66*$Z$12</f>
        <v>40989657</v>
      </c>
      <c r="Q66" s="3">
        <f t="shared" ref="Q66:Q129" si="69">I66*$Z$13</f>
        <v>64046538.037529998</v>
      </c>
      <c r="R66" s="3">
        <f t="shared" ref="R66:R129" si="70">J66*$Z$14</f>
        <v>-5237102</v>
      </c>
      <c r="S66" s="47">
        <f t="shared" ca="1" si="51"/>
        <v>71904031.756415337</v>
      </c>
      <c r="T66" s="47">
        <f>'Monthly Data'!Y66</f>
        <v>12508.046576923076</v>
      </c>
      <c r="U66" s="47">
        <f ca="1">+'Monthly Data'!Z66</f>
        <v>24018.591621705356</v>
      </c>
      <c r="V66" s="47">
        <f t="shared" ca="1" si="52"/>
        <v>71940558.394613966</v>
      </c>
    </row>
    <row r="67" spans="1:22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Data'!X67</f>
        <v>78130654.066377595</v>
      </c>
      <c r="E67" s="3">
        <f t="shared" ref="E67:F67" ca="1" si="71">E55</f>
        <v>66.09717382617383</v>
      </c>
      <c r="F67" s="3">
        <f t="shared" ca="1" si="71"/>
        <v>194.94285087738348</v>
      </c>
      <c r="G67">
        <f>'Monthly Data'!EG67</f>
        <v>0</v>
      </c>
      <c r="H67" s="3">
        <f>'Monthly Data'!DQ67</f>
        <v>30</v>
      </c>
      <c r="I67" s="3">
        <f>'Monthly Data'!DL67</f>
        <v>706539</v>
      </c>
      <c r="J67" s="3">
        <f>'Monthly Data'!EH67</f>
        <v>66</v>
      </c>
      <c r="L67" s="3">
        <f t="shared" si="64"/>
        <v>-38000000</v>
      </c>
      <c r="M67" s="3">
        <f t="shared" ca="1" si="65"/>
        <v>1170976.8705327574</v>
      </c>
      <c r="N67" s="3">
        <f t="shared" ca="1" si="66"/>
        <v>11253259.313176787</v>
      </c>
      <c r="O67" s="3">
        <f t="shared" si="67"/>
        <v>0</v>
      </c>
      <c r="P67" s="3">
        <f t="shared" si="68"/>
        <v>39667410</v>
      </c>
      <c r="Q67" s="3">
        <f t="shared" si="69"/>
        <v>64046538.037529998</v>
      </c>
      <c r="R67" s="3">
        <f t="shared" si="70"/>
        <v>-5317672.8</v>
      </c>
      <c r="S67" s="47">
        <f t="shared" ca="1" si="51"/>
        <v>72820511.42123954</v>
      </c>
      <c r="T67" s="47">
        <f>'Monthly Data'!Y67</f>
        <v>12766.648692307692</v>
      </c>
      <c r="U67" s="47">
        <f ca="1">+'Monthly Data'!Z67</f>
        <v>3356.9765043101152</v>
      </c>
      <c r="V67" s="47">
        <f t="shared" ca="1" si="52"/>
        <v>72836635.046436161</v>
      </c>
    </row>
    <row r="68" spans="1:22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Data'!X68</f>
        <v>89039486.947002053</v>
      </c>
      <c r="E68" s="3">
        <f t="shared" ref="E68:F68" ca="1" si="72">E56</f>
        <v>10.249063146997932</v>
      </c>
      <c r="F68" s="3">
        <f t="shared" ca="1" si="72"/>
        <v>297.94737858727848</v>
      </c>
      <c r="G68">
        <f>'Monthly Data'!EG68</f>
        <v>0</v>
      </c>
      <c r="H68" s="3">
        <f>'Monthly Data'!DQ68</f>
        <v>31</v>
      </c>
      <c r="I68" s="3">
        <f>'Monthly Data'!DL68</f>
        <v>777225</v>
      </c>
      <c r="J68" s="3">
        <f>'Monthly Data'!EH68</f>
        <v>67</v>
      </c>
      <c r="L68" s="3">
        <f t="shared" si="64"/>
        <v>-38000000</v>
      </c>
      <c r="M68" s="3">
        <f t="shared" ca="1" si="65"/>
        <v>181572.30022158389</v>
      </c>
      <c r="N68" s="3">
        <f t="shared" ca="1" si="66"/>
        <v>17199292.499486525</v>
      </c>
      <c r="O68" s="3">
        <f t="shared" si="67"/>
        <v>0</v>
      </c>
      <c r="P68" s="3">
        <f t="shared" si="68"/>
        <v>40989657</v>
      </c>
      <c r="Q68" s="3">
        <f t="shared" si="69"/>
        <v>70454101.650749996</v>
      </c>
      <c r="R68" s="3">
        <f t="shared" si="70"/>
        <v>-5398243.6000000006</v>
      </c>
      <c r="S68" s="47">
        <f t="shared" ca="1" si="51"/>
        <v>85426379.850458115</v>
      </c>
      <c r="T68" s="47">
        <f>'Monthly Data'!Y68</f>
        <v>13025.250807692308</v>
      </c>
      <c r="U68" s="47">
        <f ca="1">+'Monthly Data'!Z68</f>
        <v>0</v>
      </c>
      <c r="V68" s="47">
        <f t="shared" ca="1" si="52"/>
        <v>85439405.101265803</v>
      </c>
    </row>
    <row r="69" spans="1:22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Data'!X69</f>
        <v>85144234.977626473</v>
      </c>
      <c r="E69" s="3">
        <f t="shared" ref="E69:F69" ca="1" si="73">E57</f>
        <v>21.194927536231887</v>
      </c>
      <c r="F69" s="3">
        <f t="shared" ca="1" si="73"/>
        <v>272.96558794466404</v>
      </c>
      <c r="G69">
        <f>'Monthly Data'!EG69</f>
        <v>0</v>
      </c>
      <c r="H69" s="3">
        <f>'Monthly Data'!DQ69</f>
        <v>31</v>
      </c>
      <c r="I69" s="3">
        <f>'Monthly Data'!DL69</f>
        <v>777225</v>
      </c>
      <c r="J69" s="3">
        <f>'Monthly Data'!EH69</f>
        <v>68</v>
      </c>
      <c r="L69" s="3">
        <f t="shared" si="64"/>
        <v>-38000000</v>
      </c>
      <c r="M69" s="3">
        <f t="shared" ca="1" si="65"/>
        <v>375489.1242826088</v>
      </c>
      <c r="N69" s="3">
        <f t="shared" ca="1" si="66"/>
        <v>15757195.151758401</v>
      </c>
      <c r="O69" s="3">
        <f t="shared" si="67"/>
        <v>0</v>
      </c>
      <c r="P69" s="3">
        <f t="shared" si="68"/>
        <v>40989657</v>
      </c>
      <c r="Q69" s="3">
        <f t="shared" si="69"/>
        <v>70454101.650749996</v>
      </c>
      <c r="R69" s="3">
        <f t="shared" si="70"/>
        <v>-5478814.4000000004</v>
      </c>
      <c r="S69" s="47">
        <f t="shared" ca="1" si="51"/>
        <v>84097628.526791006</v>
      </c>
      <c r="T69" s="47">
        <f>'Monthly Data'!Y69</f>
        <v>13283.852923076924</v>
      </c>
      <c r="U69" s="47">
        <f ca="1">+'Monthly Data'!Z69</f>
        <v>393.74850534018532</v>
      </c>
      <c r="V69" s="47">
        <f t="shared" ca="1" si="52"/>
        <v>84111306.128219426</v>
      </c>
    </row>
    <row r="70" spans="1:22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Data'!X70</f>
        <v>78732260.728250906</v>
      </c>
      <c r="E70" s="3">
        <f t="shared" ref="E70:F70" ca="1" si="74">E58</f>
        <v>96.735690993788822</v>
      </c>
      <c r="F70" s="3">
        <f t="shared" ca="1" si="74"/>
        <v>158.67014233954447</v>
      </c>
      <c r="G70">
        <f>'Monthly Data'!EG70</f>
        <v>1</v>
      </c>
      <c r="H70" s="3">
        <f>'Monthly Data'!DQ70</f>
        <v>30</v>
      </c>
      <c r="I70" s="3">
        <f>'Monthly Data'!DL70</f>
        <v>777225</v>
      </c>
      <c r="J70" s="3">
        <f>'Monthly Data'!EH70</f>
        <v>69</v>
      </c>
      <c r="L70" s="3">
        <f t="shared" si="64"/>
        <v>-38000000</v>
      </c>
      <c r="M70" s="3">
        <f t="shared" ca="1" si="65"/>
        <v>1713768.5342890529</v>
      </c>
      <c r="N70" s="3">
        <f t="shared" ca="1" si="66"/>
        <v>9159383.1164840031</v>
      </c>
      <c r="O70" s="3">
        <f t="shared" si="67"/>
        <v>1538400</v>
      </c>
      <c r="P70" s="3">
        <f t="shared" si="68"/>
        <v>39667410</v>
      </c>
      <c r="Q70" s="3">
        <f t="shared" si="69"/>
        <v>70454101.650749996</v>
      </c>
      <c r="R70" s="3">
        <f t="shared" si="70"/>
        <v>-5559385.2000000002</v>
      </c>
      <c r="S70" s="47">
        <f t="shared" ca="1" si="51"/>
        <v>78973678.101523057</v>
      </c>
      <c r="T70" s="47">
        <f>'Monthly Data'!Y70</f>
        <v>13542.455038461538</v>
      </c>
      <c r="U70" s="47">
        <f ca="1">+'Monthly Data'!Z70</f>
        <v>9601.4829545921802</v>
      </c>
      <c r="V70" s="47">
        <f t="shared" ca="1" si="52"/>
        <v>78996822.039516106</v>
      </c>
    </row>
    <row r="71" spans="1:22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Data'!X71</f>
        <v>78371353.74887535</v>
      </c>
      <c r="E71" s="3">
        <f t="shared" ref="E71:F71" ca="1" si="75">E59</f>
        <v>298.21097826086958</v>
      </c>
      <c r="F71" s="3">
        <f t="shared" ca="1" si="75"/>
        <v>35.32833333333334</v>
      </c>
      <c r="G71">
        <f>'Monthly Data'!EG71</f>
        <v>1</v>
      </c>
      <c r="H71" s="3">
        <f>'Monthly Data'!DQ71</f>
        <v>31</v>
      </c>
      <c r="I71" s="3">
        <f>'Monthly Data'!DL71</f>
        <v>795879</v>
      </c>
      <c r="J71" s="3">
        <f>'Monthly Data'!EH71</f>
        <v>70</v>
      </c>
      <c r="L71" s="3">
        <f t="shared" si="64"/>
        <v>-38000000</v>
      </c>
      <c r="M71" s="3">
        <f t="shared" ca="1" si="65"/>
        <v>5283102.7087597838</v>
      </c>
      <c r="N71" s="3">
        <f t="shared" ca="1" si="66"/>
        <v>2039361.2503000004</v>
      </c>
      <c r="O71" s="3">
        <f t="shared" si="67"/>
        <v>1538400</v>
      </c>
      <c r="P71" s="3">
        <f t="shared" si="68"/>
        <v>40989657</v>
      </c>
      <c r="Q71" s="3">
        <f t="shared" si="69"/>
        <v>72145054.479330003</v>
      </c>
      <c r="R71" s="3">
        <f t="shared" si="70"/>
        <v>-5639956</v>
      </c>
      <c r="S71" s="47">
        <f t="shared" ca="1" si="51"/>
        <v>78355619.438389793</v>
      </c>
      <c r="T71" s="47">
        <f>'Monthly Data'!Y71</f>
        <v>13801.057153846154</v>
      </c>
      <c r="U71" s="47">
        <f ca="1">+'Monthly Data'!Z71</f>
        <v>32497.188469414607</v>
      </c>
      <c r="V71" s="47">
        <f t="shared" ca="1" si="52"/>
        <v>78401917.684013054</v>
      </c>
    </row>
    <row r="72" spans="1:22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Data'!X72</f>
        <v>78233360.389499784</v>
      </c>
      <c r="E72" s="3">
        <f t="shared" ref="E72:F72" ca="1" si="76">E60</f>
        <v>486.62991389045737</v>
      </c>
      <c r="F72" s="3">
        <f t="shared" ca="1" si="76"/>
        <v>2.2779166666666657</v>
      </c>
      <c r="G72">
        <f>'Monthly Data'!EG72</f>
        <v>1</v>
      </c>
      <c r="H72" s="3">
        <f>'Monthly Data'!DQ72</f>
        <v>30</v>
      </c>
      <c r="I72" s="3">
        <f>'Monthly Data'!DL72</f>
        <v>795879</v>
      </c>
      <c r="J72" s="3">
        <f>'Monthly Data'!EH72</f>
        <v>71</v>
      </c>
      <c r="L72" s="3">
        <f t="shared" si="64"/>
        <v>-38000000</v>
      </c>
      <c r="M72" s="3">
        <f t="shared" ca="1" si="65"/>
        <v>8621130.6881842054</v>
      </c>
      <c r="N72" s="3">
        <f t="shared" ca="1" si="66"/>
        <v>131494.88082499994</v>
      </c>
      <c r="O72" s="3">
        <f t="shared" si="67"/>
        <v>1538400</v>
      </c>
      <c r="P72" s="3">
        <f t="shared" si="68"/>
        <v>39667410</v>
      </c>
      <c r="Q72" s="3">
        <f t="shared" si="69"/>
        <v>72145054.479330003</v>
      </c>
      <c r="R72" s="3">
        <f t="shared" si="70"/>
        <v>-5720526.7999999998</v>
      </c>
      <c r="S72" s="47">
        <f t="shared" ca="1" si="51"/>
        <v>78382963.248339221</v>
      </c>
      <c r="T72" s="47">
        <f>'Monthly Data'!Y72</f>
        <v>14059.659269230768</v>
      </c>
      <c r="U72" s="47">
        <f ca="1">+'Monthly Data'!Z72</f>
        <v>41356.376439029074</v>
      </c>
      <c r="V72" s="47">
        <f t="shared" ca="1" si="52"/>
        <v>78438379.284047484</v>
      </c>
    </row>
    <row r="73" spans="1:22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Data'!X73</f>
        <v>80847957.450124219</v>
      </c>
      <c r="E73" s="3">
        <f t="shared" ref="E73:F73" ca="1" si="77">E61</f>
        <v>639.92800724637686</v>
      </c>
      <c r="F73" s="3">
        <f t="shared" ca="1" si="77"/>
        <v>0</v>
      </c>
      <c r="G73">
        <f>'Monthly Data'!EG73</f>
        <v>0</v>
      </c>
      <c r="H73" s="3">
        <f>'Monthly Data'!DQ73</f>
        <v>31</v>
      </c>
      <c r="I73" s="3">
        <f>'Monthly Data'!DL73</f>
        <v>795879</v>
      </c>
      <c r="J73" s="3">
        <f>'Monthly Data'!EH73</f>
        <v>72</v>
      </c>
      <c r="L73" s="3">
        <f t="shared" si="64"/>
        <v>-38000000</v>
      </c>
      <c r="M73" s="3">
        <f t="shared" ca="1" si="65"/>
        <v>11336958.177096741</v>
      </c>
      <c r="N73" s="3">
        <f t="shared" ca="1" si="66"/>
        <v>0</v>
      </c>
      <c r="O73" s="3">
        <f t="shared" si="67"/>
        <v>0</v>
      </c>
      <c r="P73" s="3">
        <f t="shared" si="68"/>
        <v>40989657</v>
      </c>
      <c r="Q73" s="3">
        <f t="shared" si="69"/>
        <v>72145054.479330003</v>
      </c>
      <c r="R73" s="3">
        <f t="shared" si="70"/>
        <v>-5801097.6000000006</v>
      </c>
      <c r="S73" s="47">
        <f t="shared" ca="1" si="51"/>
        <v>80670572.056426749</v>
      </c>
      <c r="T73" s="47">
        <f>'Monthly Data'!Y73</f>
        <v>14318.261384615384</v>
      </c>
      <c r="U73" s="47">
        <f ca="1">+'Monthly Data'!Z73</f>
        <v>65811.510933782527</v>
      </c>
      <c r="V73" s="47">
        <f t="shared" ca="1" si="52"/>
        <v>80750701.828745157</v>
      </c>
    </row>
    <row r="74" spans="1:22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Data'!X74</f>
        <v>83241205.245990917</v>
      </c>
      <c r="E74" s="3">
        <f t="shared" ref="E74:F74" ca="1" si="78">E62</f>
        <v>759.33418478260865</v>
      </c>
      <c r="F74" s="3">
        <f t="shared" ca="1" si="78"/>
        <v>0</v>
      </c>
      <c r="G74">
        <f>'Monthly Data'!EG74</f>
        <v>0</v>
      </c>
      <c r="H74" s="3">
        <f>'Monthly Data'!DQ74</f>
        <v>31</v>
      </c>
      <c r="I74" s="3">
        <f>'Monthly Data'!DL74</f>
        <v>808584</v>
      </c>
      <c r="J74" s="3">
        <f>'Monthly Data'!EH74</f>
        <v>73</v>
      </c>
      <c r="L74" s="3">
        <f t="shared" si="64"/>
        <v>-38000000</v>
      </c>
      <c r="M74" s="3">
        <f t="shared" ca="1" si="65"/>
        <v>13452356.824266847</v>
      </c>
      <c r="N74" s="3">
        <f t="shared" ca="1" si="66"/>
        <v>0</v>
      </c>
      <c r="O74" s="3">
        <f t="shared" si="67"/>
        <v>0</v>
      </c>
      <c r="P74" s="3">
        <f t="shared" si="68"/>
        <v>40989657</v>
      </c>
      <c r="Q74" s="3">
        <f t="shared" si="69"/>
        <v>73296740.749679998</v>
      </c>
      <c r="R74" s="3">
        <f t="shared" si="70"/>
        <v>-5881668.4000000004</v>
      </c>
      <c r="S74" s="47">
        <f t="shared" ca="1" si="51"/>
        <v>83857086.173946843</v>
      </c>
      <c r="T74" s="47">
        <f>'Monthly Data'!Y74</f>
        <v>15091.686038461537</v>
      </c>
      <c r="U74" s="47">
        <f ca="1">+'Monthly Data'!Z74</f>
        <v>132917.92311335597</v>
      </c>
      <c r="V74" s="47">
        <f t="shared" ca="1" si="52"/>
        <v>84005095.783098668</v>
      </c>
    </row>
    <row r="75" spans="1:22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Data'!X75</f>
        <v>78590630.451231077</v>
      </c>
      <c r="E75" s="3">
        <f t="shared" ref="E75:F75" ca="1" si="79">E63</f>
        <v>680.85501811594202</v>
      </c>
      <c r="F75" s="3">
        <f t="shared" ca="1" si="79"/>
        <v>0</v>
      </c>
      <c r="G75">
        <f>'Monthly Data'!EG75</f>
        <v>0</v>
      </c>
      <c r="H75" s="3">
        <f>'Monthly Data'!DQ75</f>
        <v>28</v>
      </c>
      <c r="I75" s="3">
        <f>'Monthly Data'!DL75</f>
        <v>808584</v>
      </c>
      <c r="J75" s="3">
        <f>'Monthly Data'!EH75</f>
        <v>74</v>
      </c>
      <c r="L75" s="3">
        <f t="shared" si="64"/>
        <v>-38000000</v>
      </c>
      <c r="M75" s="3">
        <f t="shared" ca="1" si="65"/>
        <v>12062020.692391848</v>
      </c>
      <c r="N75" s="3">
        <f t="shared" ca="1" si="66"/>
        <v>0</v>
      </c>
      <c r="O75" s="3">
        <f t="shared" si="67"/>
        <v>0</v>
      </c>
      <c r="P75" s="3">
        <f t="shared" si="68"/>
        <v>37022916</v>
      </c>
      <c r="Q75" s="3">
        <f t="shared" si="69"/>
        <v>73296740.749679998</v>
      </c>
      <c r="R75" s="3">
        <f t="shared" si="70"/>
        <v>-5962239.2000000002</v>
      </c>
      <c r="S75" s="47">
        <f t="shared" ca="1" si="51"/>
        <v>78419438.242071852</v>
      </c>
      <c r="T75" s="47">
        <f>'Monthly Data'!Y75</f>
        <v>15606.508576923075</v>
      </c>
      <c r="U75" s="47">
        <f ca="1">+'Monthly Data'!Z75</f>
        <v>132907.75348247268</v>
      </c>
      <c r="V75" s="47">
        <f t="shared" ca="1" si="52"/>
        <v>78567952.504131258</v>
      </c>
    </row>
    <row r="76" spans="1:22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Data'!X76</f>
        <v>83979042.606471211</v>
      </c>
      <c r="E76" s="3">
        <f t="shared" ref="E76:F76" ca="1" si="80">E64</f>
        <v>608.13298913043479</v>
      </c>
      <c r="F76" s="3">
        <f t="shared" ca="1" si="80"/>
        <v>2.9583333333332896E-2</v>
      </c>
      <c r="G76">
        <f>'Monthly Data'!EG76</f>
        <v>1</v>
      </c>
      <c r="H76" s="3">
        <f>'Monthly Data'!DQ76</f>
        <v>31</v>
      </c>
      <c r="I76" s="3">
        <f>'Monthly Data'!DL76</f>
        <v>808584</v>
      </c>
      <c r="J76" s="3">
        <f>'Monthly Data'!EH76</f>
        <v>75</v>
      </c>
      <c r="L76" s="3">
        <f t="shared" si="64"/>
        <v>-38000000</v>
      </c>
      <c r="M76" s="3">
        <f t="shared" ca="1" si="65"/>
        <v>10773677.954104893</v>
      </c>
      <c r="N76" s="3">
        <f t="shared" ca="1" si="66"/>
        <v>1707.7257249999748</v>
      </c>
      <c r="O76" s="3">
        <f t="shared" si="67"/>
        <v>1538400</v>
      </c>
      <c r="P76" s="3">
        <f t="shared" si="68"/>
        <v>40989657</v>
      </c>
      <c r="Q76" s="3">
        <f t="shared" si="69"/>
        <v>73296740.749679998</v>
      </c>
      <c r="R76" s="3">
        <f t="shared" si="70"/>
        <v>-6042810</v>
      </c>
      <c r="S76" s="47">
        <f t="shared" ca="1" si="51"/>
        <v>82557373.429509893</v>
      </c>
      <c r="T76" s="47">
        <f>'Monthly Data'!Y76</f>
        <v>16121.331115384615</v>
      </c>
      <c r="U76" s="47">
        <f ca="1">+'Monthly Data'!Z76</f>
        <v>100190.46653203362</v>
      </c>
      <c r="V76" s="47">
        <f t="shared" ca="1" si="52"/>
        <v>82673685.22715731</v>
      </c>
    </row>
    <row r="77" spans="1:22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Data'!X77</f>
        <v>75391302.341711357</v>
      </c>
      <c r="E77" s="3">
        <f t="shared" ref="E77:F77" ca="1" si="81">E65</f>
        <v>412.37941287878795</v>
      </c>
      <c r="F77" s="3">
        <f t="shared" ca="1" si="81"/>
        <v>5.6420833333333338</v>
      </c>
      <c r="G77">
        <f>'Monthly Data'!EG77</f>
        <v>1</v>
      </c>
      <c r="H77" s="3">
        <f>'Monthly Data'!DQ77</f>
        <v>30</v>
      </c>
      <c r="I77" s="3">
        <f>'Monthly Data'!DL77</f>
        <v>802518</v>
      </c>
      <c r="J77" s="3">
        <f>'Monthly Data'!EH77</f>
        <v>76</v>
      </c>
      <c r="L77" s="3">
        <f t="shared" si="64"/>
        <v>-38000000</v>
      </c>
      <c r="M77" s="3">
        <f t="shared" ca="1" si="65"/>
        <v>7305709.5547664789</v>
      </c>
      <c r="N77" s="3">
        <f t="shared" ca="1" si="66"/>
        <v>325694.56397500006</v>
      </c>
      <c r="O77" s="3">
        <f t="shared" si="67"/>
        <v>1538400</v>
      </c>
      <c r="P77" s="3">
        <f t="shared" si="68"/>
        <v>39667410</v>
      </c>
      <c r="Q77" s="3">
        <f t="shared" si="69"/>
        <v>72746868.34386</v>
      </c>
      <c r="R77" s="3">
        <f t="shared" si="70"/>
        <v>-6123380.7999999998</v>
      </c>
      <c r="S77" s="47">
        <f t="shared" ca="1" si="51"/>
        <v>77460701.662601486</v>
      </c>
      <c r="T77" s="47">
        <f>'Monthly Data'!Y77</f>
        <v>16636.153653846151</v>
      </c>
      <c r="U77" s="47">
        <f ca="1">+'Monthly Data'!Z77</f>
        <v>65044.111660045404</v>
      </c>
      <c r="V77" s="47">
        <f t="shared" ca="1" si="52"/>
        <v>77542381.927915379</v>
      </c>
    </row>
    <row r="78" spans="1:22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Data'!X78</f>
        <v>77766804.946951509</v>
      </c>
      <c r="E78" s="3">
        <f t="shared" ref="E78:F78" ca="1" si="82">E66</f>
        <v>202.70273119310133</v>
      </c>
      <c r="F78" s="3">
        <f t="shared" ca="1" si="82"/>
        <v>86.191046176046171</v>
      </c>
      <c r="G78">
        <f>'Monthly Data'!EG78</f>
        <v>1</v>
      </c>
      <c r="H78" s="3">
        <f>'Monthly Data'!DQ78</f>
        <v>31</v>
      </c>
      <c r="I78" s="3">
        <f>'Monthly Data'!DL78</f>
        <v>802518</v>
      </c>
      <c r="J78" s="3">
        <f>'Monthly Data'!EH78</f>
        <v>77</v>
      </c>
      <c r="L78" s="3">
        <f t="shared" si="64"/>
        <v>-38000000</v>
      </c>
      <c r="M78" s="3">
        <f t="shared" ca="1" si="65"/>
        <v>3591079.5587896714</v>
      </c>
      <c r="N78" s="3">
        <f t="shared" ca="1" si="66"/>
        <v>4975459.1600956712</v>
      </c>
      <c r="O78" s="3">
        <f t="shared" si="67"/>
        <v>1538400</v>
      </c>
      <c r="P78" s="3">
        <f t="shared" si="68"/>
        <v>40989657</v>
      </c>
      <c r="Q78" s="3">
        <f t="shared" si="69"/>
        <v>72746868.34386</v>
      </c>
      <c r="R78" s="3">
        <f t="shared" si="70"/>
        <v>-6203951.6000000006</v>
      </c>
      <c r="S78" s="47">
        <f t="shared" ca="1" si="51"/>
        <v>79637512.462745339</v>
      </c>
      <c r="T78" s="47">
        <f>'Monthly Data'!Y78</f>
        <v>17150.976192307691</v>
      </c>
      <c r="U78" s="47">
        <f ca="1">+'Monthly Data'!Z78</f>
        <v>35317.715608803606</v>
      </c>
      <c r="V78" s="47">
        <f t="shared" ca="1" si="52"/>
        <v>79689981.154546455</v>
      </c>
    </row>
    <row r="79" spans="1:22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Data'!X79</f>
        <v>83059371.182191655</v>
      </c>
      <c r="E79" s="3">
        <f t="shared" ref="E79:F79" ca="1" si="83">E67</f>
        <v>66.09717382617383</v>
      </c>
      <c r="F79" s="3">
        <f t="shared" ca="1" si="83"/>
        <v>194.94285087738348</v>
      </c>
      <c r="G79">
        <f>'Monthly Data'!EG79</f>
        <v>0</v>
      </c>
      <c r="H79" s="3">
        <f>'Monthly Data'!DQ79</f>
        <v>30</v>
      </c>
      <c r="I79" s="3">
        <f>'Monthly Data'!DL79</f>
        <v>802518</v>
      </c>
      <c r="J79" s="3">
        <f>'Monthly Data'!EH79</f>
        <v>78</v>
      </c>
      <c r="L79" s="3">
        <f t="shared" si="64"/>
        <v>-38000000</v>
      </c>
      <c r="M79" s="3">
        <f t="shared" ca="1" si="65"/>
        <v>1170976.8705327574</v>
      </c>
      <c r="N79" s="3">
        <f t="shared" ca="1" si="66"/>
        <v>11253259.313176787</v>
      </c>
      <c r="O79" s="3">
        <f t="shared" si="67"/>
        <v>0</v>
      </c>
      <c r="P79" s="3">
        <f t="shared" si="68"/>
        <v>39667410</v>
      </c>
      <c r="Q79" s="3">
        <f t="shared" si="69"/>
        <v>72746868.34386</v>
      </c>
      <c r="R79" s="3">
        <f t="shared" si="70"/>
        <v>-6284522.4000000004</v>
      </c>
      <c r="S79" s="47">
        <f t="shared" ca="1" si="51"/>
        <v>80553992.127569541</v>
      </c>
      <c r="T79" s="47">
        <f>'Monthly Data'!Y79</f>
        <v>17665.798730769231</v>
      </c>
      <c r="U79" s="47">
        <f ca="1">+'Monthly Data'!Z79</f>
        <v>2899.1922709673559</v>
      </c>
      <c r="V79" s="47">
        <f t="shared" ca="1" si="52"/>
        <v>80574557.118571281</v>
      </c>
    </row>
    <row r="80" spans="1:22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Data'!X80</f>
        <v>84367992.157431811</v>
      </c>
      <c r="E80" s="3">
        <f t="shared" ref="E80:F80" ca="1" si="84">E68</f>
        <v>10.249063146997932</v>
      </c>
      <c r="F80" s="3">
        <f t="shared" ca="1" si="84"/>
        <v>297.94737858727848</v>
      </c>
      <c r="G80">
        <f>'Monthly Data'!EG80</f>
        <v>0</v>
      </c>
      <c r="H80" s="3">
        <f>'Monthly Data'!DQ80</f>
        <v>31</v>
      </c>
      <c r="I80" s="3">
        <f>'Monthly Data'!DL80</f>
        <v>819564</v>
      </c>
      <c r="J80" s="3">
        <f>'Monthly Data'!EH80</f>
        <v>79</v>
      </c>
      <c r="L80" s="3">
        <f t="shared" si="64"/>
        <v>-38000000</v>
      </c>
      <c r="M80" s="3">
        <f t="shared" ca="1" si="65"/>
        <v>181572.30022158389</v>
      </c>
      <c r="N80" s="3">
        <f t="shared" ca="1" si="66"/>
        <v>17199292.499486525</v>
      </c>
      <c r="O80" s="3">
        <f t="shared" si="67"/>
        <v>0</v>
      </c>
      <c r="P80" s="3">
        <f t="shared" si="68"/>
        <v>40989657</v>
      </c>
      <c r="Q80" s="3">
        <f t="shared" si="69"/>
        <v>74292058.754280001</v>
      </c>
      <c r="R80" s="3">
        <f t="shared" si="70"/>
        <v>-6365093.2000000002</v>
      </c>
      <c r="S80" s="47">
        <f t="shared" ca="1" si="51"/>
        <v>88297487.353988111</v>
      </c>
      <c r="T80" s="47">
        <f>'Monthly Data'!Y80</f>
        <v>18180.621269230767</v>
      </c>
      <c r="U80" s="47">
        <f ca="1">+'Monthly Data'!Z80</f>
        <v>1088.9979737483318</v>
      </c>
      <c r="V80" s="47">
        <f t="shared" ca="1" si="52"/>
        <v>88316756.973231092</v>
      </c>
    </row>
    <row r="81" spans="1:22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Data'!X81</f>
        <v>90473728.112671942</v>
      </c>
      <c r="E81" s="3">
        <f t="shared" ref="E81:F81" ca="1" si="85">E69</f>
        <v>21.194927536231887</v>
      </c>
      <c r="F81" s="3">
        <f t="shared" ca="1" si="85"/>
        <v>272.96558794466404</v>
      </c>
      <c r="G81">
        <f>'Monthly Data'!EG81</f>
        <v>0</v>
      </c>
      <c r="H81" s="3">
        <f>'Monthly Data'!DQ81</f>
        <v>31</v>
      </c>
      <c r="I81" s="3">
        <f>'Monthly Data'!DL81</f>
        <v>819564</v>
      </c>
      <c r="J81" s="3">
        <f>'Monthly Data'!EH81</f>
        <v>80</v>
      </c>
      <c r="L81" s="3">
        <f t="shared" si="64"/>
        <v>-38000000</v>
      </c>
      <c r="M81" s="3">
        <f t="shared" ca="1" si="65"/>
        <v>375489.1242826088</v>
      </c>
      <c r="N81" s="3">
        <f t="shared" ca="1" si="66"/>
        <v>15757195.151758401</v>
      </c>
      <c r="O81" s="3">
        <f t="shared" si="67"/>
        <v>0</v>
      </c>
      <c r="P81" s="3">
        <f t="shared" si="68"/>
        <v>40989657</v>
      </c>
      <c r="Q81" s="3">
        <f t="shared" si="69"/>
        <v>74292058.754280001</v>
      </c>
      <c r="R81" s="3">
        <f t="shared" si="70"/>
        <v>-6445664</v>
      </c>
      <c r="S81" s="47">
        <f t="shared" ca="1" si="51"/>
        <v>86968736.030321002</v>
      </c>
      <c r="T81" s="47">
        <f>'Monthly Data'!Y81</f>
        <v>18695.443807692307</v>
      </c>
      <c r="U81" s="47">
        <f ca="1">+'Monthly Data'!Z81</f>
        <v>140.67989388499871</v>
      </c>
      <c r="V81" s="47">
        <f t="shared" ca="1" si="52"/>
        <v>86987572.154022574</v>
      </c>
    </row>
    <row r="82" spans="1:22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Data'!X82</f>
        <v>80952425.807912096</v>
      </c>
      <c r="E82" s="3">
        <f t="shared" ref="E82:F82" ca="1" si="86">E70</f>
        <v>96.735690993788822</v>
      </c>
      <c r="F82" s="3">
        <f t="shared" ca="1" si="86"/>
        <v>158.67014233954447</v>
      </c>
      <c r="G82">
        <f>'Monthly Data'!EG82</f>
        <v>1</v>
      </c>
      <c r="H82" s="3">
        <f>'Monthly Data'!DQ82</f>
        <v>30</v>
      </c>
      <c r="I82" s="3">
        <f>'Monthly Data'!DL82</f>
        <v>819564</v>
      </c>
      <c r="J82" s="3">
        <f>'Monthly Data'!EH82</f>
        <v>81</v>
      </c>
      <c r="L82" s="3">
        <f t="shared" si="64"/>
        <v>-38000000</v>
      </c>
      <c r="M82" s="3">
        <f t="shared" ca="1" si="65"/>
        <v>1713768.5342890529</v>
      </c>
      <c r="N82" s="3">
        <f t="shared" ca="1" si="66"/>
        <v>9159383.1164840031</v>
      </c>
      <c r="O82" s="3">
        <f t="shared" si="67"/>
        <v>1538400</v>
      </c>
      <c r="P82" s="3">
        <f t="shared" si="68"/>
        <v>39667410</v>
      </c>
      <c r="Q82" s="3">
        <f t="shared" si="69"/>
        <v>74292058.754280001</v>
      </c>
      <c r="R82" s="3">
        <f t="shared" si="70"/>
        <v>-6526234.7999999998</v>
      </c>
      <c r="S82" s="47">
        <f t="shared" ca="1" si="51"/>
        <v>81844785.605053052</v>
      </c>
      <c r="T82" s="47">
        <f>'Monthly Data'!Y82</f>
        <v>19210.266346153847</v>
      </c>
      <c r="U82" s="47">
        <f ca="1">+'Monthly Data'!Z82</f>
        <v>9290.8052810918161</v>
      </c>
      <c r="V82" s="47">
        <f t="shared" ca="1" si="52"/>
        <v>81873286.676680297</v>
      </c>
    </row>
    <row r="83" spans="1:22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Data'!X83</f>
        <v>80177254.353152245</v>
      </c>
      <c r="E83" s="3">
        <f t="shared" ref="E83:F83" ca="1" si="87">E71</f>
        <v>298.21097826086958</v>
      </c>
      <c r="F83" s="3">
        <f t="shared" ca="1" si="87"/>
        <v>35.32833333333334</v>
      </c>
      <c r="G83">
        <f>'Monthly Data'!EG83</f>
        <v>1</v>
      </c>
      <c r="H83" s="3">
        <f>'Monthly Data'!DQ83</f>
        <v>31</v>
      </c>
      <c r="I83" s="3">
        <f>'Monthly Data'!DL83</f>
        <v>838397</v>
      </c>
      <c r="J83" s="3">
        <f>'Monthly Data'!EH83</f>
        <v>82</v>
      </c>
      <c r="L83" s="3">
        <f t="shared" si="64"/>
        <v>-38000000</v>
      </c>
      <c r="M83" s="3">
        <f t="shared" ca="1" si="65"/>
        <v>5283102.7087597838</v>
      </c>
      <c r="N83" s="3">
        <f t="shared" ca="1" si="66"/>
        <v>2039361.2503000004</v>
      </c>
      <c r="O83" s="3">
        <f t="shared" si="67"/>
        <v>1538400</v>
      </c>
      <c r="P83" s="3">
        <f t="shared" si="68"/>
        <v>40989657</v>
      </c>
      <c r="Q83" s="3">
        <f t="shared" si="69"/>
        <v>75999237.623190001</v>
      </c>
      <c r="R83" s="3">
        <f t="shared" si="70"/>
        <v>-6606805.6000000006</v>
      </c>
      <c r="S83" s="47">
        <f t="shared" ca="1" si="51"/>
        <v>81242952.982249796</v>
      </c>
      <c r="T83" s="47">
        <f>'Monthly Data'!Y83</f>
        <v>19725.088884615383</v>
      </c>
      <c r="U83" s="47">
        <f ca="1">+'Monthly Data'!Z83</f>
        <v>31215.681996144831</v>
      </c>
      <c r="V83" s="47">
        <f t="shared" ca="1" si="52"/>
        <v>81293893.75313057</v>
      </c>
    </row>
    <row r="84" spans="1:22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Data'!X84</f>
        <v>80700103.788392395</v>
      </c>
      <c r="E84" s="3">
        <f t="shared" ref="E84:F84" ca="1" si="88">E72</f>
        <v>486.62991389045737</v>
      </c>
      <c r="F84" s="3">
        <f t="shared" ca="1" si="88"/>
        <v>2.2779166666666657</v>
      </c>
      <c r="G84">
        <f>'Monthly Data'!EG84</f>
        <v>1</v>
      </c>
      <c r="H84" s="3">
        <f>'Monthly Data'!DQ84</f>
        <v>30</v>
      </c>
      <c r="I84" s="3">
        <f>'Monthly Data'!DL84</f>
        <v>838397</v>
      </c>
      <c r="J84" s="3">
        <f>'Monthly Data'!EH84</f>
        <v>83</v>
      </c>
      <c r="L84" s="3">
        <f t="shared" si="64"/>
        <v>-38000000</v>
      </c>
      <c r="M84" s="3">
        <f t="shared" ca="1" si="65"/>
        <v>8621130.6881842054</v>
      </c>
      <c r="N84" s="3">
        <f t="shared" ca="1" si="66"/>
        <v>131494.88082499994</v>
      </c>
      <c r="O84" s="3">
        <f t="shared" si="67"/>
        <v>1538400</v>
      </c>
      <c r="P84" s="3">
        <f t="shared" si="68"/>
        <v>39667410</v>
      </c>
      <c r="Q84" s="3">
        <f t="shared" si="69"/>
        <v>75999237.623190001</v>
      </c>
      <c r="R84" s="3">
        <f t="shared" si="70"/>
        <v>-6687376.4000000004</v>
      </c>
      <c r="S84" s="47">
        <f t="shared" ca="1" si="51"/>
        <v>81270296.792199194</v>
      </c>
      <c r="T84" s="47">
        <f>'Monthly Data'!Y84</f>
        <v>20239.911423076923</v>
      </c>
      <c r="U84" s="47">
        <f ca="1">+'Monthly Data'!Z84</f>
        <v>90776.688726772787</v>
      </c>
      <c r="V84" s="47">
        <f t="shared" ca="1" si="52"/>
        <v>81381313.392349035</v>
      </c>
    </row>
    <row r="85" spans="1:22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Data'!X85</f>
        <v>81654985.85363254</v>
      </c>
      <c r="E85" s="3">
        <f t="shared" ref="E85:F85" ca="1" si="89">E73</f>
        <v>639.92800724637686</v>
      </c>
      <c r="F85" s="3">
        <f t="shared" ca="1" si="89"/>
        <v>0</v>
      </c>
      <c r="G85">
        <f>'Monthly Data'!EG85</f>
        <v>0</v>
      </c>
      <c r="H85" s="3">
        <f>'Monthly Data'!DQ85</f>
        <v>31</v>
      </c>
      <c r="I85" s="3">
        <f>'Monthly Data'!DL85</f>
        <v>838397</v>
      </c>
      <c r="J85" s="3">
        <f>'Monthly Data'!EH85</f>
        <v>84</v>
      </c>
      <c r="L85" s="3">
        <f t="shared" si="64"/>
        <v>-38000000</v>
      </c>
      <c r="M85" s="3">
        <f t="shared" ca="1" si="65"/>
        <v>11336958.177096741</v>
      </c>
      <c r="N85" s="3">
        <f t="shared" ca="1" si="66"/>
        <v>0</v>
      </c>
      <c r="O85" s="3">
        <f t="shared" si="67"/>
        <v>0</v>
      </c>
      <c r="P85" s="3">
        <f t="shared" si="68"/>
        <v>40989657</v>
      </c>
      <c r="Q85" s="3">
        <f t="shared" si="69"/>
        <v>75999237.623190001</v>
      </c>
      <c r="R85" s="3">
        <f t="shared" si="70"/>
        <v>-6767947.2000000002</v>
      </c>
      <c r="S85" s="47">
        <f t="shared" ca="1" si="51"/>
        <v>83557905.600286737</v>
      </c>
      <c r="T85" s="47">
        <f>'Monthly Data'!Y85</f>
        <v>20754.733961538463</v>
      </c>
      <c r="U85" s="47">
        <f ca="1">+'Monthly Data'!Z85</f>
        <v>108417.58737711915</v>
      </c>
      <c r="V85" s="47">
        <f t="shared" ca="1" si="52"/>
        <v>83687077.921625391</v>
      </c>
    </row>
    <row r="86" spans="1:22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Data'!X86</f>
        <v>87765377.837534875</v>
      </c>
      <c r="E86" s="3">
        <f t="shared" ref="E86:F86" ca="1" si="90">E74</f>
        <v>759.33418478260865</v>
      </c>
      <c r="F86" s="3">
        <f t="shared" ca="1" si="90"/>
        <v>0</v>
      </c>
      <c r="G86">
        <f>'Monthly Data'!EG86</f>
        <v>0</v>
      </c>
      <c r="H86" s="3">
        <f>'Monthly Data'!DQ86</f>
        <v>31</v>
      </c>
      <c r="I86" s="3">
        <f>'Monthly Data'!DL86</f>
        <v>845218</v>
      </c>
      <c r="J86" s="3">
        <f>'Monthly Data'!EH86</f>
        <v>85</v>
      </c>
      <c r="L86" s="3">
        <f t="shared" si="64"/>
        <v>-38000000</v>
      </c>
      <c r="M86" s="3">
        <f t="shared" ca="1" si="65"/>
        <v>13452356.824266847</v>
      </c>
      <c r="N86" s="3">
        <f t="shared" ca="1" si="66"/>
        <v>0</v>
      </c>
      <c r="O86" s="3">
        <f t="shared" si="67"/>
        <v>0</v>
      </c>
      <c r="P86" s="3">
        <f t="shared" si="68"/>
        <v>40989657</v>
      </c>
      <c r="Q86" s="3">
        <f t="shared" si="69"/>
        <v>76617549.472859994</v>
      </c>
      <c r="R86" s="3">
        <f t="shared" si="70"/>
        <v>-6848518</v>
      </c>
      <c r="S86" s="47">
        <f t="shared" ca="1" si="51"/>
        <v>86211045.297126845</v>
      </c>
      <c r="T86" s="47">
        <f>'Monthly Data'!Y86</f>
        <v>22492.035487179484</v>
      </c>
      <c r="U86" s="47">
        <f ca="1">+'Monthly Data'!Z86</f>
        <v>243424.23190083669</v>
      </c>
      <c r="V86" s="47">
        <f t="shared" ca="1" si="52"/>
        <v>86476961.564514861</v>
      </c>
    </row>
    <row r="87" spans="1:22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Data'!X87</f>
        <v>81646689.613897964</v>
      </c>
      <c r="E87" s="3">
        <f t="shared" ref="E87:F87" ca="1" si="91">E75</f>
        <v>680.85501811594202</v>
      </c>
      <c r="F87" s="3">
        <f t="shared" ca="1" si="91"/>
        <v>0</v>
      </c>
      <c r="G87">
        <f>'Monthly Data'!EG87</f>
        <v>0</v>
      </c>
      <c r="H87" s="3">
        <f>'Monthly Data'!DQ87</f>
        <v>28</v>
      </c>
      <c r="I87" s="3">
        <f>'Monthly Data'!DL87</f>
        <v>845218</v>
      </c>
      <c r="J87" s="3">
        <f>'Monthly Data'!EH87</f>
        <v>86</v>
      </c>
      <c r="L87" s="3">
        <f t="shared" si="64"/>
        <v>-38000000</v>
      </c>
      <c r="M87" s="3">
        <f t="shared" ca="1" si="65"/>
        <v>12062020.692391848</v>
      </c>
      <c r="N87" s="3">
        <f t="shared" ca="1" si="66"/>
        <v>0</v>
      </c>
      <c r="O87" s="3">
        <f t="shared" si="67"/>
        <v>0</v>
      </c>
      <c r="P87" s="3">
        <f t="shared" si="68"/>
        <v>37022916</v>
      </c>
      <c r="Q87" s="3">
        <f t="shared" si="69"/>
        <v>76617549.472859994</v>
      </c>
      <c r="R87" s="3">
        <f t="shared" si="70"/>
        <v>-6929088.7999999998</v>
      </c>
      <c r="S87" s="47">
        <f t="shared" ca="1" si="51"/>
        <v>80773397.365251854</v>
      </c>
      <c r="T87" s="47">
        <f>'Monthly Data'!Y87</f>
        <v>23714.514474358974</v>
      </c>
      <c r="U87" s="47">
        <f ca="1">+'Monthly Data'!Z87</f>
        <v>187796.83471795337</v>
      </c>
      <c r="V87" s="47">
        <f t="shared" ca="1" si="52"/>
        <v>80984908.714444175</v>
      </c>
    </row>
    <row r="88" spans="1:22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Data'!X88</f>
        <v>87139508.810261041</v>
      </c>
      <c r="E88" s="3">
        <f t="shared" ref="E88:F88" ca="1" si="92">E76</f>
        <v>608.13298913043479</v>
      </c>
      <c r="F88" s="3">
        <f t="shared" ca="1" si="92"/>
        <v>2.9583333333332896E-2</v>
      </c>
      <c r="G88">
        <f>'Monthly Data'!EG88</f>
        <v>1</v>
      </c>
      <c r="H88" s="3">
        <f>'Monthly Data'!DQ88</f>
        <v>31</v>
      </c>
      <c r="I88" s="3">
        <f>'Monthly Data'!DL88</f>
        <v>845218</v>
      </c>
      <c r="J88" s="3">
        <f>'Monthly Data'!EH88</f>
        <v>87</v>
      </c>
      <c r="L88" s="3">
        <f t="shared" si="64"/>
        <v>-38000000</v>
      </c>
      <c r="M88" s="3">
        <f t="shared" ca="1" si="65"/>
        <v>10773677.954104893</v>
      </c>
      <c r="N88" s="3">
        <f t="shared" ca="1" si="66"/>
        <v>1707.7257249999748</v>
      </c>
      <c r="O88" s="3">
        <f t="shared" si="67"/>
        <v>1538400</v>
      </c>
      <c r="P88" s="3">
        <f t="shared" si="68"/>
        <v>40989657</v>
      </c>
      <c r="Q88" s="3">
        <f t="shared" si="69"/>
        <v>76617549.472859994</v>
      </c>
      <c r="R88" s="3">
        <f t="shared" si="70"/>
        <v>-7009659.6000000006</v>
      </c>
      <c r="S88" s="47">
        <f t="shared" ca="1" si="51"/>
        <v>84911332.552689895</v>
      </c>
      <c r="T88" s="47">
        <f>'Monthly Data'!Y88</f>
        <v>24936.993461538459</v>
      </c>
      <c r="U88" s="47">
        <f ca="1">+'Monthly Data'!Z88</f>
        <v>160629.42341984116</v>
      </c>
      <c r="V88" s="47">
        <f t="shared" ca="1" si="52"/>
        <v>85096898.969571277</v>
      </c>
    </row>
    <row r="89" spans="1:22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Data'!X89</f>
        <v>79174698.18662414</v>
      </c>
      <c r="E89" s="3">
        <f t="shared" ref="E89:F89" ca="1" si="93">E77</f>
        <v>412.37941287878795</v>
      </c>
      <c r="F89" s="3">
        <f t="shared" ca="1" si="93"/>
        <v>5.6420833333333338</v>
      </c>
      <c r="G89">
        <f>'Monthly Data'!EG89</f>
        <v>1</v>
      </c>
      <c r="H89" s="3">
        <f>'Monthly Data'!DQ89</f>
        <v>30</v>
      </c>
      <c r="I89" s="3">
        <f>'Monthly Data'!DL89</f>
        <v>851621</v>
      </c>
      <c r="J89" s="3">
        <f>'Monthly Data'!EH89</f>
        <v>88</v>
      </c>
      <c r="L89" s="3">
        <f t="shared" si="64"/>
        <v>-38000000</v>
      </c>
      <c r="M89" s="3">
        <f t="shared" ca="1" si="65"/>
        <v>7305709.5547664789</v>
      </c>
      <c r="N89" s="3">
        <f t="shared" ca="1" si="66"/>
        <v>325694.56397500006</v>
      </c>
      <c r="O89" s="3">
        <f t="shared" si="67"/>
        <v>1538400</v>
      </c>
      <c r="P89" s="3">
        <f t="shared" si="68"/>
        <v>39667410</v>
      </c>
      <c r="Q89" s="3">
        <f t="shared" si="69"/>
        <v>77197970.34567</v>
      </c>
      <c r="R89" s="3">
        <f t="shared" si="70"/>
        <v>-7090230.4000000004</v>
      </c>
      <c r="S89" s="47">
        <f t="shared" ca="1" si="51"/>
        <v>80944954.064411476</v>
      </c>
      <c r="T89" s="47">
        <f>'Monthly Data'!Y89</f>
        <v>26159.472448717948</v>
      </c>
      <c r="U89" s="47">
        <f ca="1">+'Monthly Data'!Z89</f>
        <v>104487.20803181516</v>
      </c>
      <c r="V89" s="47">
        <f t="shared" ca="1" si="52"/>
        <v>81075600.744892016</v>
      </c>
    </row>
    <row r="90" spans="1:22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Data'!X90</f>
        <v>81586543.102987215</v>
      </c>
      <c r="E90" s="3">
        <f t="shared" ref="E90:F90" ca="1" si="94">E78</f>
        <v>202.70273119310133</v>
      </c>
      <c r="F90" s="3">
        <f t="shared" ca="1" si="94"/>
        <v>86.191046176046171</v>
      </c>
      <c r="G90">
        <f>'Monthly Data'!EG90</f>
        <v>1</v>
      </c>
      <c r="H90" s="3">
        <f>'Monthly Data'!DQ90</f>
        <v>31</v>
      </c>
      <c r="I90" s="3">
        <f>'Monthly Data'!DL90</f>
        <v>851621</v>
      </c>
      <c r="J90" s="3">
        <f>'Monthly Data'!EH90</f>
        <v>89</v>
      </c>
      <c r="L90" s="3">
        <f t="shared" si="64"/>
        <v>-38000000</v>
      </c>
      <c r="M90" s="3">
        <f t="shared" ca="1" si="65"/>
        <v>3591079.5587896714</v>
      </c>
      <c r="N90" s="3">
        <f t="shared" ca="1" si="66"/>
        <v>4975459.1600956712</v>
      </c>
      <c r="O90" s="3">
        <f t="shared" si="67"/>
        <v>1538400</v>
      </c>
      <c r="P90" s="3">
        <f t="shared" si="68"/>
        <v>40989657</v>
      </c>
      <c r="Q90" s="3">
        <f t="shared" si="69"/>
        <v>77197970.34567</v>
      </c>
      <c r="R90" s="3">
        <f t="shared" si="70"/>
        <v>-7170801.2000000002</v>
      </c>
      <c r="S90" s="47">
        <f t="shared" ca="1" si="51"/>
        <v>83121764.864555344</v>
      </c>
      <c r="T90" s="47">
        <f>'Monthly Data'!Y90</f>
        <v>27381.951435897434</v>
      </c>
      <c r="U90" s="47">
        <f ca="1">+'Monthly Data'!Z90</f>
        <v>32292.248371262536</v>
      </c>
      <c r="V90" s="47">
        <f t="shared" ca="1" si="52"/>
        <v>83181439.064362496</v>
      </c>
    </row>
    <row r="91" spans="1:22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Data'!X91</f>
        <v>83368101.109350309</v>
      </c>
      <c r="E91" s="3">
        <f t="shared" ref="E91:F91" ca="1" si="95">E79</f>
        <v>66.09717382617383</v>
      </c>
      <c r="F91" s="3">
        <f t="shared" ca="1" si="95"/>
        <v>194.94285087738348</v>
      </c>
      <c r="G91">
        <f>'Monthly Data'!EG91</f>
        <v>0</v>
      </c>
      <c r="H91" s="3">
        <f>'Monthly Data'!DQ91</f>
        <v>30</v>
      </c>
      <c r="I91" s="3">
        <f>'Monthly Data'!DL91</f>
        <v>851621</v>
      </c>
      <c r="J91" s="3">
        <f>'Monthly Data'!EH91</f>
        <v>90</v>
      </c>
      <c r="L91" s="3">
        <f t="shared" si="64"/>
        <v>-38000000</v>
      </c>
      <c r="M91" s="3">
        <f t="shared" ca="1" si="65"/>
        <v>1170976.8705327574</v>
      </c>
      <c r="N91" s="3">
        <f t="shared" ca="1" si="66"/>
        <v>11253259.313176787</v>
      </c>
      <c r="O91" s="3">
        <f t="shared" si="67"/>
        <v>0</v>
      </c>
      <c r="P91" s="3">
        <f t="shared" si="68"/>
        <v>39667410</v>
      </c>
      <c r="Q91" s="3">
        <f t="shared" si="69"/>
        <v>77197970.34567</v>
      </c>
      <c r="R91" s="3">
        <f t="shared" si="70"/>
        <v>-7251372</v>
      </c>
      <c r="S91" s="47">
        <f t="shared" ca="1" si="51"/>
        <v>84038244.529379547</v>
      </c>
      <c r="T91" s="47">
        <f>'Monthly Data'!Y91</f>
        <v>28604.430423076919</v>
      </c>
      <c r="U91" s="47">
        <f ca="1">+'Monthly Data'!Z91</f>
        <v>10664.923116162898</v>
      </c>
      <c r="V91" s="47">
        <f t="shared" ca="1" si="52"/>
        <v>84077513.88291879</v>
      </c>
    </row>
    <row r="92" spans="1:22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Data'!X92</f>
        <v>87828802.185713395</v>
      </c>
      <c r="E92" s="3">
        <f t="shared" ref="E92:F92" ca="1" si="96">E80</f>
        <v>10.249063146997932</v>
      </c>
      <c r="F92" s="3">
        <f t="shared" ca="1" si="96"/>
        <v>297.94737858727848</v>
      </c>
      <c r="G92">
        <f>'Monthly Data'!EG92</f>
        <v>0</v>
      </c>
      <c r="H92" s="3">
        <f>'Monthly Data'!DQ92</f>
        <v>31</v>
      </c>
      <c r="I92" s="3">
        <f>'Monthly Data'!DL92</f>
        <v>852979</v>
      </c>
      <c r="J92" s="3">
        <f>'Monthly Data'!EH92</f>
        <v>91</v>
      </c>
      <c r="L92" s="3">
        <f t="shared" si="64"/>
        <v>-38000000</v>
      </c>
      <c r="M92" s="3">
        <f t="shared" ca="1" si="65"/>
        <v>181572.30022158389</v>
      </c>
      <c r="N92" s="3">
        <f t="shared" ca="1" si="66"/>
        <v>17199292.499486525</v>
      </c>
      <c r="O92" s="3">
        <f t="shared" si="67"/>
        <v>0</v>
      </c>
      <c r="P92" s="3">
        <f t="shared" si="68"/>
        <v>40989657</v>
      </c>
      <c r="Q92" s="3">
        <f t="shared" si="69"/>
        <v>77321070.696329996</v>
      </c>
      <c r="R92" s="3">
        <f t="shared" si="70"/>
        <v>-7331942.7999999998</v>
      </c>
      <c r="S92" s="47">
        <f t="shared" ca="1" si="51"/>
        <v>90359649.696038112</v>
      </c>
      <c r="T92" s="47">
        <f>'Monthly Data'!Y92</f>
        <v>29826.909410256409</v>
      </c>
      <c r="U92" s="47">
        <f ca="1">+'Monthly Data'!Z92</f>
        <v>183.07377700776652</v>
      </c>
      <c r="V92" s="47">
        <f t="shared" ca="1" si="52"/>
        <v>90389659.67922537</v>
      </c>
    </row>
    <row r="93" spans="1:22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Data'!X93</f>
        <v>90088246.792076468</v>
      </c>
      <c r="E93" s="3">
        <f t="shared" ref="E93:F93" ca="1" si="97">E81</f>
        <v>21.194927536231887</v>
      </c>
      <c r="F93" s="3">
        <f t="shared" ca="1" si="97"/>
        <v>272.96558794466404</v>
      </c>
      <c r="G93">
        <f>'Monthly Data'!EG93</f>
        <v>0</v>
      </c>
      <c r="H93" s="3">
        <f>'Monthly Data'!DQ93</f>
        <v>31</v>
      </c>
      <c r="I93" s="3">
        <f>'Monthly Data'!DL93</f>
        <v>852979</v>
      </c>
      <c r="J93" s="3">
        <f>'Monthly Data'!EH93</f>
        <v>92</v>
      </c>
      <c r="L93" s="3">
        <f t="shared" si="64"/>
        <v>-38000000</v>
      </c>
      <c r="M93" s="3">
        <f t="shared" ca="1" si="65"/>
        <v>375489.1242826088</v>
      </c>
      <c r="N93" s="3">
        <f t="shared" ca="1" si="66"/>
        <v>15757195.151758401</v>
      </c>
      <c r="O93" s="3">
        <f t="shared" si="67"/>
        <v>0</v>
      </c>
      <c r="P93" s="3">
        <f t="shared" si="68"/>
        <v>40989657</v>
      </c>
      <c r="Q93" s="3">
        <f t="shared" si="69"/>
        <v>77321070.696329996</v>
      </c>
      <c r="R93" s="3">
        <f t="shared" si="70"/>
        <v>-7412513.6000000006</v>
      </c>
      <c r="S93" s="47">
        <f t="shared" ca="1" si="51"/>
        <v>89030898.372371018</v>
      </c>
      <c r="T93" s="47">
        <f>'Monthly Data'!Y93</f>
        <v>31049.388397435898</v>
      </c>
      <c r="U93" s="47">
        <f ca="1">+'Monthly Data'!Z93</f>
        <v>224.84900129141869</v>
      </c>
      <c r="V93" s="47">
        <f t="shared" ca="1" si="52"/>
        <v>89062172.609769747</v>
      </c>
    </row>
    <row r="94" spans="1:22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Data'!X94</f>
        <v>81452776.388439566</v>
      </c>
      <c r="E94" s="3">
        <f t="shared" ref="E94:F94" ca="1" si="98">E82</f>
        <v>96.735690993788822</v>
      </c>
      <c r="F94" s="3">
        <f t="shared" ca="1" si="98"/>
        <v>158.67014233954447</v>
      </c>
      <c r="G94">
        <f>'Monthly Data'!EG94</f>
        <v>1</v>
      </c>
      <c r="H94" s="3">
        <f>'Monthly Data'!DQ94</f>
        <v>30</v>
      </c>
      <c r="I94" s="3">
        <f>'Monthly Data'!DL94</f>
        <v>852979</v>
      </c>
      <c r="J94" s="3">
        <f>'Monthly Data'!EH94</f>
        <v>93</v>
      </c>
      <c r="L94" s="3">
        <f t="shared" si="64"/>
        <v>-38000000</v>
      </c>
      <c r="M94" s="3">
        <f t="shared" ca="1" si="65"/>
        <v>1713768.5342890529</v>
      </c>
      <c r="N94" s="3">
        <f t="shared" ca="1" si="66"/>
        <v>9159383.1164840031</v>
      </c>
      <c r="O94" s="3">
        <f t="shared" si="67"/>
        <v>1538400</v>
      </c>
      <c r="P94" s="3">
        <f t="shared" si="68"/>
        <v>39667410</v>
      </c>
      <c r="Q94" s="3">
        <f t="shared" si="69"/>
        <v>77321070.696329996</v>
      </c>
      <c r="R94" s="3">
        <f t="shared" si="70"/>
        <v>-7493084.4000000004</v>
      </c>
      <c r="S94" s="47">
        <f t="shared" ca="1" si="51"/>
        <v>83906947.947103053</v>
      </c>
      <c r="T94" s="47">
        <f>'Monthly Data'!Y94</f>
        <v>32271.867384615383</v>
      </c>
      <c r="U94" s="47">
        <f ca="1">+'Monthly Data'!Z94</f>
        <v>21058.399088161805</v>
      </c>
      <c r="V94" s="47">
        <f t="shared" ca="1" si="52"/>
        <v>83960278.213575825</v>
      </c>
    </row>
    <row r="95" spans="1:22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Data'!X95</f>
        <v>79837057.994802639</v>
      </c>
      <c r="E95" s="3">
        <f t="shared" ref="E95:F95" ca="1" si="99">E83</f>
        <v>298.21097826086958</v>
      </c>
      <c r="F95" s="3">
        <f t="shared" ca="1" si="99"/>
        <v>35.32833333333334</v>
      </c>
      <c r="G95">
        <f>'Monthly Data'!EG95</f>
        <v>1</v>
      </c>
      <c r="H95" s="3">
        <f>'Monthly Data'!DQ95</f>
        <v>31</v>
      </c>
      <c r="I95" s="3">
        <f>'Monthly Data'!DL95</f>
        <v>852029</v>
      </c>
      <c r="J95" s="3">
        <f>'Monthly Data'!EH95</f>
        <v>94</v>
      </c>
      <c r="L95" s="3">
        <f t="shared" si="64"/>
        <v>-38000000</v>
      </c>
      <c r="M95" s="3">
        <f t="shared" ca="1" si="65"/>
        <v>5283102.7087597838</v>
      </c>
      <c r="N95" s="3">
        <f t="shared" ca="1" si="66"/>
        <v>2039361.2503000004</v>
      </c>
      <c r="O95" s="3">
        <f t="shared" si="67"/>
        <v>1538400</v>
      </c>
      <c r="P95" s="3">
        <f t="shared" si="68"/>
        <v>40989657</v>
      </c>
      <c r="Q95" s="3">
        <f t="shared" si="69"/>
        <v>77234954.839829996</v>
      </c>
      <c r="R95" s="3">
        <f t="shared" si="70"/>
        <v>-7573655.2000000002</v>
      </c>
      <c r="S95" s="47">
        <f t="shared" ca="1" si="51"/>
        <v>81511820.598889783</v>
      </c>
      <c r="T95" s="47">
        <f>'Monthly Data'!Y95</f>
        <v>33494.346371794876</v>
      </c>
      <c r="U95" s="47">
        <f ca="1">+'Monthly Data'!Z95</f>
        <v>79281.202276923563</v>
      </c>
      <c r="V95" s="47">
        <f t="shared" ca="1" si="52"/>
        <v>81624596.147538513</v>
      </c>
    </row>
    <row r="96" spans="1:22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Data'!X96</f>
        <v>82129240.641165733</v>
      </c>
      <c r="E96" s="3">
        <f t="shared" ref="E96:F96" ca="1" si="100">E84</f>
        <v>486.62991389045737</v>
      </c>
      <c r="F96" s="3">
        <f t="shared" ca="1" si="100"/>
        <v>2.2779166666666657</v>
      </c>
      <c r="G96">
        <f>'Monthly Data'!EG96</f>
        <v>1</v>
      </c>
      <c r="H96" s="3">
        <f>'Monthly Data'!DQ96</f>
        <v>30</v>
      </c>
      <c r="I96" s="3">
        <f>'Monthly Data'!DL96</f>
        <v>852029</v>
      </c>
      <c r="J96" s="3">
        <f>'Monthly Data'!EH96</f>
        <v>95</v>
      </c>
      <c r="L96" s="3">
        <f t="shared" si="64"/>
        <v>-38000000</v>
      </c>
      <c r="M96" s="3">
        <f t="shared" ca="1" si="65"/>
        <v>8621130.6881842054</v>
      </c>
      <c r="N96" s="3">
        <f t="shared" ca="1" si="66"/>
        <v>131494.88082499994</v>
      </c>
      <c r="O96" s="3">
        <f t="shared" si="67"/>
        <v>1538400</v>
      </c>
      <c r="P96" s="3">
        <f t="shared" si="68"/>
        <v>39667410</v>
      </c>
      <c r="Q96" s="3">
        <f t="shared" si="69"/>
        <v>77234954.839829996</v>
      </c>
      <c r="R96" s="3">
        <f t="shared" si="70"/>
        <v>-7654226</v>
      </c>
      <c r="S96" s="47">
        <f t="shared" ca="1" si="51"/>
        <v>81539164.408839196</v>
      </c>
      <c r="T96" s="47">
        <f>'Monthly Data'!Y96</f>
        <v>34716.825358974362</v>
      </c>
      <c r="U96" s="47">
        <f ca="1">+'Monthly Data'!Z96</f>
        <v>121443.03435870902</v>
      </c>
      <c r="V96" s="47">
        <f t="shared" ca="1" si="52"/>
        <v>81695324.268556878</v>
      </c>
    </row>
    <row r="97" spans="1:22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Data'!X97</f>
        <v>83319692.807528824</v>
      </c>
      <c r="E97" s="3">
        <f t="shared" ref="E97:F97" ca="1" si="101">E85</f>
        <v>639.92800724637686</v>
      </c>
      <c r="F97" s="3">
        <f t="shared" ca="1" si="101"/>
        <v>0</v>
      </c>
      <c r="G97">
        <f>'Monthly Data'!EG97</f>
        <v>0</v>
      </c>
      <c r="H97" s="3">
        <f>'Monthly Data'!DQ97</f>
        <v>31</v>
      </c>
      <c r="I97" s="3">
        <f>'Monthly Data'!DL97</f>
        <v>852029</v>
      </c>
      <c r="J97" s="3">
        <f>'Monthly Data'!EH97</f>
        <v>96</v>
      </c>
      <c r="L97" s="3">
        <f t="shared" si="64"/>
        <v>-38000000</v>
      </c>
      <c r="M97" s="3">
        <f t="shared" ca="1" si="65"/>
        <v>11336958.177096741</v>
      </c>
      <c r="N97" s="3">
        <f t="shared" ca="1" si="66"/>
        <v>0</v>
      </c>
      <c r="O97" s="3">
        <f t="shared" si="67"/>
        <v>0</v>
      </c>
      <c r="P97" s="3">
        <f t="shared" si="68"/>
        <v>40989657</v>
      </c>
      <c r="Q97" s="3">
        <f t="shared" si="69"/>
        <v>77234954.839829996</v>
      </c>
      <c r="R97" s="3">
        <f t="shared" si="70"/>
        <v>-7734796.8000000007</v>
      </c>
      <c r="S97" s="47">
        <f t="shared" ca="1" si="51"/>
        <v>83826773.216926739</v>
      </c>
      <c r="T97" s="47">
        <f>'Monthly Data'!Y97</f>
        <v>35939.304346153847</v>
      </c>
      <c r="U97" s="47">
        <f ca="1">+'Monthly Data'!Z97</f>
        <v>172542.7344390848</v>
      </c>
      <c r="V97" s="47">
        <f t="shared" ca="1" si="52"/>
        <v>84035255.255711988</v>
      </c>
    </row>
    <row r="98" spans="1:22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Data'!X98</f>
        <v>87350703.138980687</v>
      </c>
      <c r="E98" s="3">
        <f t="shared" ref="E98:F98" ca="1" si="102">E86</f>
        <v>759.33418478260865</v>
      </c>
      <c r="F98" s="3">
        <f t="shared" ca="1" si="102"/>
        <v>0</v>
      </c>
      <c r="G98">
        <f>'Monthly Data'!EG98</f>
        <v>0</v>
      </c>
      <c r="H98" s="3">
        <f>'Monthly Data'!DQ98</f>
        <v>31</v>
      </c>
      <c r="I98" s="3">
        <f>'Monthly Data'!DL98</f>
        <v>860658</v>
      </c>
      <c r="J98" s="3">
        <f>'Monthly Data'!EH98</f>
        <v>97</v>
      </c>
      <c r="L98" s="3">
        <f t="shared" si="64"/>
        <v>-38000000</v>
      </c>
      <c r="M98" s="3">
        <f t="shared" ca="1" si="65"/>
        <v>13452356.824266847</v>
      </c>
      <c r="N98" s="3">
        <f t="shared" ca="1" si="66"/>
        <v>0</v>
      </c>
      <c r="O98" s="3">
        <f t="shared" si="67"/>
        <v>0</v>
      </c>
      <c r="P98" s="3">
        <f t="shared" si="68"/>
        <v>40989657</v>
      </c>
      <c r="Q98" s="3">
        <f t="shared" si="69"/>
        <v>78017158.761659995</v>
      </c>
      <c r="R98" s="3">
        <f t="shared" si="70"/>
        <v>-7815367.6000000006</v>
      </c>
      <c r="S98" s="47">
        <f t="shared" ca="1" si="51"/>
        <v>86643804.985926852</v>
      </c>
      <c r="T98" s="47">
        <f>'Monthly Data'!Y98</f>
        <v>38805.539730769233</v>
      </c>
      <c r="U98" s="47">
        <f ca="1">+'Monthly Data'!Z98</f>
        <v>238528.22462243127</v>
      </c>
      <c r="V98" s="47">
        <f t="shared" ca="1" si="52"/>
        <v>86921138.750280052</v>
      </c>
    </row>
    <row r="99" spans="1:22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Data'!X99</f>
        <v>80721380.291840538</v>
      </c>
      <c r="E99" s="3">
        <f t="shared" ref="E99:F99" ca="1" si="103">E87</f>
        <v>680.85501811594202</v>
      </c>
      <c r="F99" s="3">
        <f t="shared" ca="1" si="103"/>
        <v>0</v>
      </c>
      <c r="G99">
        <f>'Monthly Data'!EG99</f>
        <v>0</v>
      </c>
      <c r="H99" s="3">
        <f>'Monthly Data'!DQ99</f>
        <v>28</v>
      </c>
      <c r="I99" s="3">
        <f>'Monthly Data'!DL99</f>
        <v>860658</v>
      </c>
      <c r="J99" s="3">
        <f>'Monthly Data'!EH99</f>
        <v>98</v>
      </c>
      <c r="L99" s="3">
        <f t="shared" si="64"/>
        <v>-38000000</v>
      </c>
      <c r="M99" s="3">
        <f t="shared" ca="1" si="65"/>
        <v>12062020.692391848</v>
      </c>
      <c r="N99" s="3">
        <f t="shared" ca="1" si="66"/>
        <v>0</v>
      </c>
      <c r="O99" s="3">
        <f t="shared" si="67"/>
        <v>0</v>
      </c>
      <c r="P99" s="3">
        <f t="shared" si="68"/>
        <v>37022916</v>
      </c>
      <c r="Q99" s="3">
        <f t="shared" si="69"/>
        <v>78017158.761659995</v>
      </c>
      <c r="R99" s="3">
        <f t="shared" si="70"/>
        <v>-7895938.4000000004</v>
      </c>
      <c r="S99" s="47">
        <f t="shared" ca="1" si="51"/>
        <v>81206157.054051846</v>
      </c>
      <c r="T99" s="47">
        <f>'Monthly Data'!Y99</f>
        <v>40449.296128205126</v>
      </c>
      <c r="U99" s="47">
        <f ca="1">+'Monthly Data'!Z99</f>
        <v>226430.45714449516</v>
      </c>
      <c r="V99" s="47">
        <f t="shared" ca="1" si="52"/>
        <v>81473036.807324544</v>
      </c>
    </row>
    <row r="100" spans="1:22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Data'!X100</f>
        <v>86720127.644700378</v>
      </c>
      <c r="E100" s="3">
        <f t="shared" ref="E100:F100" ca="1" si="104">E88</f>
        <v>608.13298913043479</v>
      </c>
      <c r="F100" s="3">
        <f t="shared" ca="1" si="104"/>
        <v>2.9583333333332896E-2</v>
      </c>
      <c r="G100">
        <f>'Monthly Data'!EG100</f>
        <v>1</v>
      </c>
      <c r="H100" s="3">
        <f>'Monthly Data'!DQ100</f>
        <v>31</v>
      </c>
      <c r="I100" s="3">
        <f>'Monthly Data'!DL100</f>
        <v>860658</v>
      </c>
      <c r="J100" s="3">
        <f>'Monthly Data'!EH100</f>
        <v>99</v>
      </c>
      <c r="L100" s="3">
        <f t="shared" si="64"/>
        <v>-38000000</v>
      </c>
      <c r="M100" s="3">
        <f t="shared" ca="1" si="65"/>
        <v>10773677.954104893</v>
      </c>
      <c r="N100" s="3">
        <f t="shared" ca="1" si="66"/>
        <v>1707.7257249999748</v>
      </c>
      <c r="O100" s="3">
        <f t="shared" si="67"/>
        <v>1538400</v>
      </c>
      <c r="P100" s="3">
        <f t="shared" si="68"/>
        <v>40989657</v>
      </c>
      <c r="Q100" s="3">
        <f t="shared" si="69"/>
        <v>78017158.761659995</v>
      </c>
      <c r="R100" s="3">
        <f t="shared" si="70"/>
        <v>-7976509.2000000002</v>
      </c>
      <c r="S100" s="47">
        <f t="shared" ca="1" si="51"/>
        <v>85344092.241489887</v>
      </c>
      <c r="T100" s="47">
        <f>'Monthly Data'!Y100</f>
        <v>42093.052525641026</v>
      </c>
      <c r="U100" s="47">
        <f ca="1">+'Monthly Data'!Z100</f>
        <v>217585.41458208745</v>
      </c>
      <c r="V100" s="47">
        <f t="shared" ca="1" si="52"/>
        <v>85603770.708597615</v>
      </c>
    </row>
    <row r="101" spans="1:22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Data'!X101</f>
        <v>77963624.177560225</v>
      </c>
      <c r="E101" s="3">
        <f t="shared" ref="E101:F101" ca="1" si="105">E89</f>
        <v>412.37941287878795</v>
      </c>
      <c r="F101" s="3">
        <f t="shared" ca="1" si="105"/>
        <v>5.6420833333333338</v>
      </c>
      <c r="G101">
        <f>'Monthly Data'!EG101</f>
        <v>1</v>
      </c>
      <c r="H101" s="3">
        <f>'Monthly Data'!DQ101</f>
        <v>30</v>
      </c>
      <c r="I101" s="3">
        <f>'Monthly Data'!DL101</f>
        <v>865503</v>
      </c>
      <c r="J101" s="3">
        <f>'Monthly Data'!EH101</f>
        <v>100</v>
      </c>
      <c r="L101" s="3">
        <f t="shared" si="64"/>
        <v>-38000000</v>
      </c>
      <c r="M101" s="3">
        <f t="shared" ca="1" si="65"/>
        <v>7305709.5547664789</v>
      </c>
      <c r="N101" s="3">
        <f t="shared" ca="1" si="66"/>
        <v>325694.56397500006</v>
      </c>
      <c r="O101" s="3">
        <f t="shared" si="67"/>
        <v>1538400</v>
      </c>
      <c r="P101" s="3">
        <f t="shared" si="68"/>
        <v>39667410</v>
      </c>
      <c r="Q101" s="3">
        <f t="shared" si="69"/>
        <v>78456349.629809991</v>
      </c>
      <c r="R101" s="3">
        <f t="shared" si="70"/>
        <v>-8057080</v>
      </c>
      <c r="S101" s="47">
        <f t="shared" ca="1" si="51"/>
        <v>81236483.748551473</v>
      </c>
      <c r="T101" s="47">
        <f>'Monthly Data'!Y101</f>
        <v>43736.808923076918</v>
      </c>
      <c r="U101" s="47">
        <f ca="1">+'Monthly Data'!Z101</f>
        <v>119013.20662096875</v>
      </c>
      <c r="V101" s="47">
        <f t="shared" ca="1" si="52"/>
        <v>81399233.764095515</v>
      </c>
    </row>
    <row r="102" spans="1:22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Data'!X102</f>
        <v>80812976.800420076</v>
      </c>
      <c r="E102" s="3">
        <f t="shared" ref="E102:F102" ca="1" si="106">E90</f>
        <v>202.70273119310133</v>
      </c>
      <c r="F102" s="3">
        <f t="shared" ca="1" si="106"/>
        <v>86.191046176046171</v>
      </c>
      <c r="G102">
        <f>'Monthly Data'!EG102</f>
        <v>1</v>
      </c>
      <c r="H102" s="3">
        <f>'Monthly Data'!DQ102</f>
        <v>31</v>
      </c>
      <c r="I102" s="3">
        <f>'Monthly Data'!DL102</f>
        <v>865503</v>
      </c>
      <c r="J102" s="3">
        <f>'Monthly Data'!EH102</f>
        <v>101</v>
      </c>
      <c r="L102" s="3">
        <f t="shared" si="64"/>
        <v>-38000000</v>
      </c>
      <c r="M102" s="3">
        <f t="shared" ca="1" si="65"/>
        <v>3591079.5587896714</v>
      </c>
      <c r="N102" s="3">
        <f t="shared" ca="1" si="66"/>
        <v>4975459.1600956712</v>
      </c>
      <c r="O102" s="3">
        <f t="shared" si="67"/>
        <v>1538400</v>
      </c>
      <c r="P102" s="3">
        <f t="shared" si="68"/>
        <v>40989657</v>
      </c>
      <c r="Q102" s="3">
        <f t="shared" si="69"/>
        <v>78456349.629809991</v>
      </c>
      <c r="R102" s="3">
        <f t="shared" si="70"/>
        <v>-8137650.8000000007</v>
      </c>
      <c r="S102" s="47">
        <f t="shared" ca="1" si="51"/>
        <v>83413294.548695341</v>
      </c>
      <c r="T102" s="47">
        <f>'Monthly Data'!Y102</f>
        <v>45380.565320512818</v>
      </c>
      <c r="U102" s="47">
        <f ca="1">+'Monthly Data'!Z102</f>
        <v>64586.250707652864</v>
      </c>
      <c r="V102" s="47">
        <f t="shared" ca="1" si="52"/>
        <v>83523261.364723504</v>
      </c>
    </row>
    <row r="103" spans="1:22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Data'!X103</f>
        <v>83900144.093279928</v>
      </c>
      <c r="E103" s="3">
        <f t="shared" ref="E103:F103" ca="1" si="107">E91</f>
        <v>66.09717382617383</v>
      </c>
      <c r="F103" s="3">
        <f t="shared" ca="1" si="107"/>
        <v>194.94285087738348</v>
      </c>
      <c r="G103">
        <f>'Monthly Data'!EG103</f>
        <v>0</v>
      </c>
      <c r="H103" s="3">
        <f>'Monthly Data'!DQ103</f>
        <v>30</v>
      </c>
      <c r="I103" s="3">
        <f>'Monthly Data'!DL103</f>
        <v>865503</v>
      </c>
      <c r="J103" s="3">
        <f>'Monthly Data'!EH103</f>
        <v>102</v>
      </c>
      <c r="L103" s="3">
        <f t="shared" si="64"/>
        <v>-38000000</v>
      </c>
      <c r="M103" s="3">
        <f t="shared" ca="1" si="65"/>
        <v>1170976.8705327574</v>
      </c>
      <c r="N103" s="3">
        <f t="shared" ca="1" si="66"/>
        <v>11253259.313176787</v>
      </c>
      <c r="O103" s="3">
        <f t="shared" si="67"/>
        <v>0</v>
      </c>
      <c r="P103" s="3">
        <f t="shared" si="68"/>
        <v>39667410</v>
      </c>
      <c r="Q103" s="3">
        <f t="shared" si="69"/>
        <v>78456349.629809991</v>
      </c>
      <c r="R103" s="3">
        <f t="shared" si="70"/>
        <v>-8218221.6000000006</v>
      </c>
      <c r="S103" s="47">
        <f t="shared" ca="1" si="51"/>
        <v>84329774.213519543</v>
      </c>
      <c r="T103" s="47">
        <f>'Monthly Data'!Y103</f>
        <v>47024.321717948711</v>
      </c>
      <c r="U103" s="47">
        <f ca="1">+'Monthly Data'!Z103</f>
        <v>8466.6274230190356</v>
      </c>
      <c r="V103" s="47">
        <f t="shared" ca="1" si="52"/>
        <v>84385265.162660509</v>
      </c>
    </row>
    <row r="104" spans="1:22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Data'!X104</f>
        <v>88918844.516139761</v>
      </c>
      <c r="E104" s="3">
        <f t="shared" ref="E104:F104" ca="1" si="108">E92</f>
        <v>10.249063146997932</v>
      </c>
      <c r="F104" s="3">
        <f t="shared" ca="1" si="108"/>
        <v>297.94737858727848</v>
      </c>
      <c r="G104">
        <f>'Monthly Data'!EG104</f>
        <v>0</v>
      </c>
      <c r="H104" s="3">
        <f>'Monthly Data'!DQ104</f>
        <v>31</v>
      </c>
      <c r="I104" s="3">
        <f>'Monthly Data'!DL104</f>
        <v>867701</v>
      </c>
      <c r="J104" s="3">
        <f>'Monthly Data'!EH104</f>
        <v>103</v>
      </c>
      <c r="L104" s="3">
        <f t="shared" si="64"/>
        <v>-38000000</v>
      </c>
      <c r="M104" s="3">
        <f t="shared" ca="1" si="65"/>
        <v>181572.30022158389</v>
      </c>
      <c r="N104" s="3">
        <f t="shared" ca="1" si="66"/>
        <v>17199292.499486525</v>
      </c>
      <c r="O104" s="3">
        <f t="shared" si="67"/>
        <v>0</v>
      </c>
      <c r="P104" s="3">
        <f t="shared" si="68"/>
        <v>40989657</v>
      </c>
      <c r="Q104" s="3">
        <f t="shared" si="69"/>
        <v>78655594.527270004</v>
      </c>
      <c r="R104" s="3">
        <f t="shared" si="70"/>
        <v>-8298792.4000000004</v>
      </c>
      <c r="S104" s="47">
        <f t="shared" ca="1" si="51"/>
        <v>90727323.926978111</v>
      </c>
      <c r="T104" s="47">
        <f>'Monthly Data'!Y104</f>
        <v>48668.078115384611</v>
      </c>
      <c r="U104" s="47">
        <f ca="1">+'Monthly Data'!Z104</f>
        <v>49.358496442006206</v>
      </c>
      <c r="V104" s="47">
        <f t="shared" ca="1" si="52"/>
        <v>90776041.363589942</v>
      </c>
    </row>
    <row r="105" spans="1:22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Data'!X105</f>
        <v>88003177.528999612</v>
      </c>
      <c r="E105" s="3">
        <f t="shared" ref="E105:F105" ca="1" si="109">E93</f>
        <v>21.194927536231887</v>
      </c>
      <c r="F105" s="3">
        <f t="shared" ca="1" si="109"/>
        <v>272.96558794466404</v>
      </c>
      <c r="G105">
        <f>'Monthly Data'!EG105</f>
        <v>0</v>
      </c>
      <c r="H105" s="3">
        <f>'Monthly Data'!DQ105</f>
        <v>31</v>
      </c>
      <c r="I105" s="3">
        <f>'Monthly Data'!DL105</f>
        <v>867701</v>
      </c>
      <c r="J105" s="3">
        <f>'Monthly Data'!EH105</f>
        <v>104</v>
      </c>
      <c r="L105" s="3">
        <f t="shared" si="64"/>
        <v>-38000000</v>
      </c>
      <c r="M105" s="3">
        <f t="shared" ca="1" si="65"/>
        <v>375489.1242826088</v>
      </c>
      <c r="N105" s="3">
        <f t="shared" ca="1" si="66"/>
        <v>15757195.151758401</v>
      </c>
      <c r="O105" s="3">
        <f t="shared" si="67"/>
        <v>0</v>
      </c>
      <c r="P105" s="3">
        <f t="shared" si="68"/>
        <v>40989657</v>
      </c>
      <c r="Q105" s="3">
        <f t="shared" si="69"/>
        <v>78655594.527270004</v>
      </c>
      <c r="R105" s="3">
        <f t="shared" si="70"/>
        <v>-8379363.2000000002</v>
      </c>
      <c r="S105" s="47">
        <f t="shared" ca="1" si="51"/>
        <v>89398572.603311017</v>
      </c>
      <c r="T105" s="47">
        <f>'Monthly Data'!Y105</f>
        <v>50311.834512820511</v>
      </c>
      <c r="U105" s="47">
        <f ca="1">+'Monthly Data'!Z105</f>
        <v>3662.4004359969626</v>
      </c>
      <c r="V105" s="47">
        <f t="shared" ca="1" si="52"/>
        <v>89452546.838259831</v>
      </c>
    </row>
    <row r="106" spans="1:22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Data'!X106</f>
        <v>83339511.051859453</v>
      </c>
      <c r="E106" s="3">
        <f t="shared" ref="E106:F106" ca="1" si="110">E94</f>
        <v>96.735690993788822</v>
      </c>
      <c r="F106" s="3">
        <f t="shared" ca="1" si="110"/>
        <v>158.67014233954447</v>
      </c>
      <c r="G106">
        <f>'Monthly Data'!EG106</f>
        <v>1</v>
      </c>
      <c r="H106" s="3">
        <f>'Monthly Data'!DQ106</f>
        <v>30</v>
      </c>
      <c r="I106" s="3">
        <f>'Monthly Data'!DL106</f>
        <v>867701</v>
      </c>
      <c r="J106" s="3">
        <f>'Monthly Data'!EH106</f>
        <v>105</v>
      </c>
      <c r="L106" s="3">
        <f t="shared" si="64"/>
        <v>-38000000</v>
      </c>
      <c r="M106" s="3">
        <f t="shared" ca="1" si="65"/>
        <v>1713768.5342890529</v>
      </c>
      <c r="N106" s="3">
        <f t="shared" ca="1" si="66"/>
        <v>9159383.1164840031</v>
      </c>
      <c r="O106" s="3">
        <f t="shared" si="67"/>
        <v>1538400</v>
      </c>
      <c r="P106" s="3">
        <f t="shared" si="68"/>
        <v>39667410</v>
      </c>
      <c r="Q106" s="3">
        <f t="shared" si="69"/>
        <v>78655594.527270004</v>
      </c>
      <c r="R106" s="3">
        <f t="shared" si="70"/>
        <v>-8459934</v>
      </c>
      <c r="S106" s="47">
        <f t="shared" ca="1" si="51"/>
        <v>84274622.178043067</v>
      </c>
      <c r="T106" s="47">
        <f>'Monthly Data'!Y106</f>
        <v>51955.590910256404</v>
      </c>
      <c r="U106" s="47">
        <f ca="1">+'Monthly Data'!Z106</f>
        <v>18792.424878687034</v>
      </c>
      <c r="V106" s="47">
        <f t="shared" ca="1" si="52"/>
        <v>84345370.19383201</v>
      </c>
    </row>
    <row r="107" spans="1:22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Data'!X107</f>
        <v>82272945.574719295</v>
      </c>
      <c r="E107" s="3">
        <f t="shared" ref="E107:F107" ca="1" si="111">E95</f>
        <v>298.21097826086958</v>
      </c>
      <c r="F107" s="3">
        <f t="shared" ca="1" si="111"/>
        <v>35.32833333333334</v>
      </c>
      <c r="G107">
        <f>'Monthly Data'!EG107</f>
        <v>1</v>
      </c>
      <c r="H107" s="3">
        <f>'Monthly Data'!DQ107</f>
        <v>31</v>
      </c>
      <c r="I107" s="3">
        <f>'Monthly Data'!DL107</f>
        <v>869576</v>
      </c>
      <c r="J107" s="3">
        <f>'Monthly Data'!EH107</f>
        <v>106</v>
      </c>
      <c r="L107" s="3">
        <f t="shared" si="64"/>
        <v>-38000000</v>
      </c>
      <c r="M107" s="3">
        <f t="shared" ca="1" si="65"/>
        <v>5283102.7087597838</v>
      </c>
      <c r="N107" s="3">
        <f t="shared" ca="1" si="66"/>
        <v>2039361.2503000004</v>
      </c>
      <c r="O107" s="3">
        <f t="shared" si="67"/>
        <v>1538400</v>
      </c>
      <c r="P107" s="3">
        <f t="shared" si="68"/>
        <v>40989657</v>
      </c>
      <c r="Q107" s="3">
        <f t="shared" si="69"/>
        <v>78825560.033519998</v>
      </c>
      <c r="R107" s="3">
        <f t="shared" si="70"/>
        <v>-8540504.8000000007</v>
      </c>
      <c r="S107" s="47">
        <f t="shared" ca="1" si="51"/>
        <v>82135576.192579791</v>
      </c>
      <c r="T107" s="47">
        <f>'Monthly Data'!Y107</f>
        <v>53599.347307692296</v>
      </c>
      <c r="U107" s="47">
        <f ca="1">+'Monthly Data'!Z107</f>
        <v>81798.54558690975</v>
      </c>
      <c r="V107" s="47">
        <f t="shared" ca="1" si="52"/>
        <v>82270974.085474402</v>
      </c>
    </row>
    <row r="108" spans="1:22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Data'!X108</f>
        <v>83045482.417579144</v>
      </c>
      <c r="E108" s="3">
        <f t="shared" ref="E108:F108" ca="1" si="112">E96</f>
        <v>486.62991389045737</v>
      </c>
      <c r="F108" s="3">
        <f t="shared" ca="1" si="112"/>
        <v>2.2779166666666657</v>
      </c>
      <c r="G108">
        <f>'Monthly Data'!EG108</f>
        <v>1</v>
      </c>
      <c r="H108" s="3">
        <f>'Monthly Data'!DQ108</f>
        <v>30</v>
      </c>
      <c r="I108" s="3">
        <f>'Monthly Data'!DL108</f>
        <v>869576</v>
      </c>
      <c r="J108" s="3">
        <f>'Monthly Data'!EH108</f>
        <v>107</v>
      </c>
      <c r="L108" s="3">
        <f t="shared" si="64"/>
        <v>-38000000</v>
      </c>
      <c r="M108" s="3">
        <f t="shared" ca="1" si="65"/>
        <v>8621130.6881842054</v>
      </c>
      <c r="N108" s="3">
        <f t="shared" ca="1" si="66"/>
        <v>131494.88082499994</v>
      </c>
      <c r="O108" s="3">
        <f t="shared" si="67"/>
        <v>1538400</v>
      </c>
      <c r="P108" s="3">
        <f t="shared" si="68"/>
        <v>39667410</v>
      </c>
      <c r="Q108" s="3">
        <f t="shared" si="69"/>
        <v>78825560.033519998</v>
      </c>
      <c r="R108" s="3">
        <f t="shared" si="70"/>
        <v>-8621075.5999999996</v>
      </c>
      <c r="S108" s="47">
        <f t="shared" ca="1" si="51"/>
        <v>82162920.002529204</v>
      </c>
      <c r="T108" s="47">
        <f>'Monthly Data'!Y108</f>
        <v>55243.103705128204</v>
      </c>
      <c r="U108" s="47">
        <f ca="1">+'Monthly Data'!Z108</f>
        <v>177924.7896801421</v>
      </c>
      <c r="V108" s="47">
        <f t="shared" ca="1" si="52"/>
        <v>82396087.895914465</v>
      </c>
    </row>
    <row r="109" spans="1:22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Data'!X109</f>
        <v>82831630.850438997</v>
      </c>
      <c r="E109" s="3">
        <f t="shared" ref="E109:F109" ca="1" si="113">E97</f>
        <v>639.92800724637686</v>
      </c>
      <c r="F109" s="3">
        <f t="shared" ca="1" si="113"/>
        <v>0</v>
      </c>
      <c r="G109">
        <f>'Monthly Data'!EG109</f>
        <v>0</v>
      </c>
      <c r="H109" s="3">
        <f>'Monthly Data'!DQ109</f>
        <v>31</v>
      </c>
      <c r="I109" s="3">
        <f>'Monthly Data'!DL109</f>
        <v>869576</v>
      </c>
      <c r="J109" s="3">
        <f>'Monthly Data'!EH109</f>
        <v>108</v>
      </c>
      <c r="L109" s="3">
        <f t="shared" si="64"/>
        <v>-38000000</v>
      </c>
      <c r="M109" s="3">
        <f t="shared" ca="1" si="65"/>
        <v>11336958.177096741</v>
      </c>
      <c r="N109" s="3">
        <f t="shared" ca="1" si="66"/>
        <v>0</v>
      </c>
      <c r="O109" s="3">
        <f t="shared" si="67"/>
        <v>0</v>
      </c>
      <c r="P109" s="3">
        <f t="shared" si="68"/>
        <v>40989657</v>
      </c>
      <c r="Q109" s="3">
        <f t="shared" si="69"/>
        <v>78825560.033519998</v>
      </c>
      <c r="R109" s="3">
        <f t="shared" si="70"/>
        <v>-8701646.4000000004</v>
      </c>
      <c r="S109" s="47">
        <f t="shared" ca="1" si="51"/>
        <v>84450528.810616732</v>
      </c>
      <c r="T109" s="47">
        <f>'Monthly Data'!Y109</f>
        <v>56886.860102564096</v>
      </c>
      <c r="U109" s="47">
        <f ca="1">+'Monthly Data'!Z109</f>
        <v>193358.61924513534</v>
      </c>
      <c r="V109" s="47">
        <f t="shared" ca="1" si="52"/>
        <v>84700774.289964437</v>
      </c>
    </row>
    <row r="110" spans="1:22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Data'!X110</f>
        <v>92074738.015772477</v>
      </c>
      <c r="E110" s="3">
        <f t="shared" ref="E110:F110" ca="1" si="114">E98</f>
        <v>759.33418478260865</v>
      </c>
      <c r="F110" s="3">
        <f t="shared" ca="1" si="114"/>
        <v>0</v>
      </c>
      <c r="G110">
        <f>'Monthly Data'!EG110</f>
        <v>0</v>
      </c>
      <c r="H110" s="3">
        <f>'Monthly Data'!DQ110</f>
        <v>31</v>
      </c>
      <c r="I110" s="3">
        <f>'Monthly Data'!DL110</f>
        <v>873665</v>
      </c>
      <c r="J110" s="3">
        <f>'Monthly Data'!EH110</f>
        <v>109</v>
      </c>
      <c r="L110" s="3">
        <f t="shared" si="64"/>
        <v>-38000000</v>
      </c>
      <c r="M110" s="3">
        <f t="shared" ca="1" si="65"/>
        <v>13452356.824266847</v>
      </c>
      <c r="N110" s="3">
        <f t="shared" ca="1" si="66"/>
        <v>0</v>
      </c>
      <c r="O110" s="3">
        <f t="shared" si="67"/>
        <v>0</v>
      </c>
      <c r="P110" s="3">
        <f t="shared" si="68"/>
        <v>40989657</v>
      </c>
      <c r="Q110" s="3">
        <f t="shared" si="69"/>
        <v>79196220.809550002</v>
      </c>
      <c r="R110" s="3">
        <f t="shared" si="70"/>
        <v>-8782217.2000000011</v>
      </c>
      <c r="S110" s="47">
        <f t="shared" ca="1" si="51"/>
        <v>86856017.43381685</v>
      </c>
      <c r="T110" s="47">
        <f>'Monthly Data'!Y110</f>
        <v>60675.11484615384</v>
      </c>
      <c r="U110" s="47">
        <f ca="1">+'Monthly Data'!Z110</f>
        <v>316980.25560162979</v>
      </c>
      <c r="V110" s="47">
        <f t="shared" ca="1" si="52"/>
        <v>87233672.804264635</v>
      </c>
    </row>
    <row r="111" spans="1:22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Data'!X111</f>
        <v>85276594.367293775</v>
      </c>
      <c r="E111" s="3">
        <f t="shared" ref="E111:F111" ca="1" si="115">E99</f>
        <v>680.85501811594202</v>
      </c>
      <c r="F111" s="3">
        <f t="shared" ca="1" si="115"/>
        <v>0</v>
      </c>
      <c r="G111">
        <f>'Monthly Data'!EG111</f>
        <v>0</v>
      </c>
      <c r="H111" s="3">
        <f>'Monthly Data'!DQ111</f>
        <v>29</v>
      </c>
      <c r="I111" s="3">
        <f>'Monthly Data'!DL111</f>
        <v>873665</v>
      </c>
      <c r="J111" s="3">
        <f>'Monthly Data'!EH111</f>
        <v>110</v>
      </c>
      <c r="L111" s="3">
        <f t="shared" si="64"/>
        <v>-38000000</v>
      </c>
      <c r="M111" s="3">
        <f t="shared" ca="1" si="65"/>
        <v>12062020.692391848</v>
      </c>
      <c r="N111" s="3">
        <f t="shared" ca="1" si="66"/>
        <v>0</v>
      </c>
      <c r="O111" s="3">
        <f t="shared" si="67"/>
        <v>0</v>
      </c>
      <c r="P111" s="3">
        <f t="shared" si="68"/>
        <v>38345163</v>
      </c>
      <c r="Q111" s="3">
        <f t="shared" si="69"/>
        <v>79196220.809550002</v>
      </c>
      <c r="R111" s="3">
        <f t="shared" si="70"/>
        <v>-8862788</v>
      </c>
      <c r="S111" s="47">
        <f t="shared" ca="1" si="51"/>
        <v>82740616.50194186</v>
      </c>
      <c r="T111" s="47">
        <f>'Monthly Data'!Y111</f>
        <v>62819.61319230769</v>
      </c>
      <c r="U111" s="47">
        <f ca="1">+'Monthly Data'!Z111</f>
        <v>270189.69948756573</v>
      </c>
      <c r="V111" s="47">
        <f t="shared" ca="1" si="52"/>
        <v>83073625.814621732</v>
      </c>
    </row>
    <row r="112" spans="1:22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Data'!X112</f>
        <v>87021487.734541059</v>
      </c>
      <c r="E112" s="3">
        <f t="shared" ref="E112:F112" ca="1" si="116">E100</f>
        <v>608.13298913043479</v>
      </c>
      <c r="F112" s="3">
        <f t="shared" ca="1" si="116"/>
        <v>2.9583333333332896E-2</v>
      </c>
      <c r="G112">
        <f>'Monthly Data'!EG112</f>
        <v>1</v>
      </c>
      <c r="H112" s="3">
        <f>'Monthly Data'!DQ112</f>
        <v>31</v>
      </c>
      <c r="I112" s="3">
        <f>'Monthly Data'!DL112</f>
        <v>873665</v>
      </c>
      <c r="J112" s="3">
        <f>'Monthly Data'!EH112</f>
        <v>111</v>
      </c>
      <c r="L112" s="3">
        <f t="shared" si="64"/>
        <v>-38000000</v>
      </c>
      <c r="M112" s="3">
        <f t="shared" ca="1" si="65"/>
        <v>10773677.954104893</v>
      </c>
      <c r="N112" s="3">
        <f t="shared" ca="1" si="66"/>
        <v>1707.7257249999748</v>
      </c>
      <c r="O112" s="3">
        <f t="shared" si="67"/>
        <v>1538400</v>
      </c>
      <c r="P112" s="3">
        <f t="shared" si="68"/>
        <v>40989657</v>
      </c>
      <c r="Q112" s="3">
        <f t="shared" si="69"/>
        <v>79196220.809550002</v>
      </c>
      <c r="R112" s="3">
        <f t="shared" si="70"/>
        <v>-8943358.8000000007</v>
      </c>
      <c r="S112" s="47">
        <f t="shared" ca="1" si="51"/>
        <v>85556304.689379901</v>
      </c>
      <c r="T112" s="47">
        <f>'Monthly Data'!Y112</f>
        <v>64964.11153846154</v>
      </c>
      <c r="U112" s="47">
        <f ca="1">+'Monthly Data'!Z112</f>
        <v>228960.01861158933</v>
      </c>
      <c r="V112" s="47">
        <f t="shared" ca="1" si="52"/>
        <v>85850228.819529951</v>
      </c>
    </row>
    <row r="113" spans="1:22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Data'!X113</f>
        <v>83404082.335080341</v>
      </c>
      <c r="E113" s="3">
        <f t="shared" ref="E113:F113" ca="1" si="117">E101</f>
        <v>412.37941287878795</v>
      </c>
      <c r="F113" s="3">
        <f t="shared" ca="1" si="117"/>
        <v>5.6420833333333338</v>
      </c>
      <c r="G113">
        <f>'Monthly Data'!EG113</f>
        <v>1</v>
      </c>
      <c r="H113" s="3">
        <f>'Monthly Data'!DQ113</f>
        <v>30</v>
      </c>
      <c r="I113" s="3">
        <f>'Monthly Data'!DL113</f>
        <v>875840</v>
      </c>
      <c r="J113" s="3">
        <f>'Monthly Data'!EH113</f>
        <v>112</v>
      </c>
      <c r="L113" s="3">
        <f t="shared" si="64"/>
        <v>-38000000</v>
      </c>
      <c r="M113" s="3">
        <f t="shared" ca="1" si="65"/>
        <v>7305709.5547664789</v>
      </c>
      <c r="N113" s="3">
        <f t="shared" ca="1" si="66"/>
        <v>325694.56397500006</v>
      </c>
      <c r="O113" s="3">
        <f t="shared" si="67"/>
        <v>1538400</v>
      </c>
      <c r="P113" s="3">
        <f t="shared" si="68"/>
        <v>39667410</v>
      </c>
      <c r="Q113" s="3">
        <f t="shared" si="69"/>
        <v>79393380.796800002</v>
      </c>
      <c r="R113" s="3">
        <f t="shared" si="70"/>
        <v>-9023929.5999999996</v>
      </c>
      <c r="S113" s="47">
        <f t="shared" ca="1" si="51"/>
        <v>81206665.315541491</v>
      </c>
      <c r="T113" s="47">
        <f>'Monthly Data'!Y113</f>
        <v>67108.609884615376</v>
      </c>
      <c r="U113" s="47">
        <f ca="1">+'Monthly Data'!Z113</f>
        <v>153414.42959692297</v>
      </c>
      <c r="V113" s="47">
        <f t="shared" ca="1" si="52"/>
        <v>81427188.355023026</v>
      </c>
    </row>
    <row r="114" spans="1:22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Data'!X114</f>
        <v>86341996.517449632</v>
      </c>
      <c r="E114" s="3">
        <f t="shared" ref="E114:F114" ca="1" si="118">E102</f>
        <v>202.70273119310133</v>
      </c>
      <c r="F114" s="3">
        <f t="shared" ca="1" si="118"/>
        <v>86.191046176046171</v>
      </c>
      <c r="G114">
        <f>'Monthly Data'!EG114</f>
        <v>1</v>
      </c>
      <c r="H114" s="3">
        <f>'Monthly Data'!DQ114</f>
        <v>31</v>
      </c>
      <c r="I114" s="3">
        <f>'Monthly Data'!DL114</f>
        <v>875840</v>
      </c>
      <c r="J114" s="3">
        <f>'Monthly Data'!EH114</f>
        <v>113</v>
      </c>
      <c r="L114" s="3">
        <f t="shared" si="64"/>
        <v>-38000000</v>
      </c>
      <c r="M114" s="3">
        <f t="shared" ca="1" si="65"/>
        <v>3591079.5587896714</v>
      </c>
      <c r="N114" s="3">
        <f t="shared" ca="1" si="66"/>
        <v>4975459.1600956712</v>
      </c>
      <c r="O114" s="3">
        <f t="shared" si="67"/>
        <v>1538400</v>
      </c>
      <c r="P114" s="3">
        <f t="shared" si="68"/>
        <v>40989657</v>
      </c>
      <c r="Q114" s="3">
        <f t="shared" si="69"/>
        <v>79393380.796800002</v>
      </c>
      <c r="R114" s="3">
        <f t="shared" si="70"/>
        <v>-9104500.4000000004</v>
      </c>
      <c r="S114" s="47">
        <f t="shared" ca="1" si="51"/>
        <v>83383476.115685344</v>
      </c>
      <c r="T114" s="47">
        <f>'Monthly Data'!Y114</f>
        <v>69253.108230769227</v>
      </c>
      <c r="U114" s="47">
        <f ca="1">+'Monthly Data'!Z114</f>
        <v>44551.277494699832</v>
      </c>
      <c r="V114" s="47">
        <f t="shared" ca="1" si="52"/>
        <v>83497280.501410812</v>
      </c>
    </row>
    <row r="115" spans="1:22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Data'!X115</f>
        <v>87537209.176320925</v>
      </c>
      <c r="E115" s="3">
        <f t="shared" ref="E115:F115" ca="1" si="119">E103</f>
        <v>66.09717382617383</v>
      </c>
      <c r="F115" s="3">
        <f t="shared" ca="1" si="119"/>
        <v>194.94285087738348</v>
      </c>
      <c r="G115">
        <f>'Monthly Data'!EG115</f>
        <v>0</v>
      </c>
      <c r="H115" s="3">
        <f>'Monthly Data'!DQ115</f>
        <v>30</v>
      </c>
      <c r="I115" s="3">
        <f>'Monthly Data'!DL115</f>
        <v>875840</v>
      </c>
      <c r="J115" s="3">
        <f>'Monthly Data'!EH115</f>
        <v>114</v>
      </c>
      <c r="L115" s="3">
        <f t="shared" si="64"/>
        <v>-38000000</v>
      </c>
      <c r="M115" s="3">
        <f t="shared" ca="1" si="65"/>
        <v>1170976.8705327574</v>
      </c>
      <c r="N115" s="3">
        <f t="shared" ca="1" si="66"/>
        <v>11253259.313176787</v>
      </c>
      <c r="O115" s="3">
        <f t="shared" si="67"/>
        <v>0</v>
      </c>
      <c r="P115" s="3">
        <f t="shared" si="68"/>
        <v>39667410</v>
      </c>
      <c r="Q115" s="3">
        <f t="shared" si="69"/>
        <v>79393380.796800002</v>
      </c>
      <c r="R115" s="3">
        <f t="shared" si="70"/>
        <v>-9185071.2000000011</v>
      </c>
      <c r="S115" s="47">
        <f t="shared" ca="1" si="51"/>
        <v>84299955.780509546</v>
      </c>
      <c r="T115" s="47">
        <f>'Monthly Data'!Y115</f>
        <v>71397.606576923077</v>
      </c>
      <c r="U115" s="47">
        <f ca="1">+'Monthly Data'!Z115</f>
        <v>15710.198239742194</v>
      </c>
      <c r="V115" s="47">
        <f t="shared" ca="1" si="52"/>
        <v>84387063.58532621</v>
      </c>
    </row>
    <row r="116" spans="1:22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Data'!X116</f>
        <v>95283723.75183019</v>
      </c>
      <c r="E116" s="3">
        <f t="shared" ref="E116:F116" ca="1" si="120">E104</f>
        <v>10.249063146997932</v>
      </c>
      <c r="F116" s="3">
        <f t="shared" ca="1" si="120"/>
        <v>297.94737858727848</v>
      </c>
      <c r="G116">
        <f>'Monthly Data'!EG116</f>
        <v>0</v>
      </c>
      <c r="H116" s="3">
        <f>'Monthly Data'!DQ116</f>
        <v>31</v>
      </c>
      <c r="I116" s="3">
        <f>'Monthly Data'!DL116</f>
        <v>876752</v>
      </c>
      <c r="J116" s="3">
        <f>'Monthly Data'!EH116</f>
        <v>115</v>
      </c>
      <c r="L116" s="3">
        <f t="shared" si="64"/>
        <v>-38000000</v>
      </c>
      <c r="M116" s="3">
        <f t="shared" ca="1" si="65"/>
        <v>181572.30022158389</v>
      </c>
      <c r="N116" s="3">
        <f t="shared" ca="1" si="66"/>
        <v>17199292.499486525</v>
      </c>
      <c r="O116" s="3">
        <f t="shared" si="67"/>
        <v>0</v>
      </c>
      <c r="P116" s="3">
        <f t="shared" si="68"/>
        <v>40989657</v>
      </c>
      <c r="Q116" s="3">
        <f t="shared" si="69"/>
        <v>79476052.019040003</v>
      </c>
      <c r="R116" s="3">
        <f t="shared" si="70"/>
        <v>-9265642</v>
      </c>
      <c r="S116" s="47">
        <f t="shared" ca="1" si="51"/>
        <v>90580931.818748116</v>
      </c>
      <c r="T116" s="47">
        <f>'Monthly Data'!Y116</f>
        <v>73542.104923076928</v>
      </c>
      <c r="U116" s="47">
        <f ca="1">+'Monthly Data'!Z116</f>
        <v>163.79908419422514</v>
      </c>
      <c r="V116" s="47">
        <f t="shared" ca="1" si="52"/>
        <v>90654637.722755387</v>
      </c>
    </row>
    <row r="117" spans="1:22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Data'!X117</f>
        <v>92462608.027977481</v>
      </c>
      <c r="E117" s="3">
        <f t="shared" ref="E117:F117" ca="1" si="121">E105</f>
        <v>21.194927536231887</v>
      </c>
      <c r="F117" s="3">
        <f t="shared" ca="1" si="121"/>
        <v>272.96558794466404</v>
      </c>
      <c r="G117">
        <f>'Monthly Data'!EG117</f>
        <v>0</v>
      </c>
      <c r="H117" s="3">
        <f>'Monthly Data'!DQ117</f>
        <v>31</v>
      </c>
      <c r="I117" s="3">
        <f>'Monthly Data'!DL117</f>
        <v>876752</v>
      </c>
      <c r="J117" s="3">
        <f>'Monthly Data'!EH117</f>
        <v>116</v>
      </c>
      <c r="L117" s="3">
        <f t="shared" si="64"/>
        <v>-38000000</v>
      </c>
      <c r="M117" s="3">
        <f t="shared" ca="1" si="65"/>
        <v>375489.1242826088</v>
      </c>
      <c r="N117" s="3">
        <f t="shared" ca="1" si="66"/>
        <v>15757195.151758401</v>
      </c>
      <c r="O117" s="3">
        <f t="shared" si="67"/>
        <v>0</v>
      </c>
      <c r="P117" s="3">
        <f t="shared" si="68"/>
        <v>40989657</v>
      </c>
      <c r="Q117" s="3">
        <f t="shared" si="69"/>
        <v>79476052.019040003</v>
      </c>
      <c r="R117" s="3">
        <f t="shared" si="70"/>
        <v>-9346212.8000000007</v>
      </c>
      <c r="S117" s="47">
        <f t="shared" ca="1" si="51"/>
        <v>89252180.495081022</v>
      </c>
      <c r="T117" s="47">
        <f>'Monthly Data'!Y117</f>
        <v>75686.603269230778</v>
      </c>
      <c r="U117" s="47">
        <f ca="1">+'Monthly Data'!Z117</f>
        <v>4097.0505109846417</v>
      </c>
      <c r="V117" s="47">
        <f t="shared" ca="1" si="52"/>
        <v>89331964.148861244</v>
      </c>
    </row>
    <row r="118" spans="1:22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Data'!X118</f>
        <v>87269640.356196776</v>
      </c>
      <c r="E118" s="3">
        <f t="shared" ref="E118:F118" ca="1" si="122">E106</f>
        <v>96.735690993788822</v>
      </c>
      <c r="F118" s="3">
        <f t="shared" ca="1" si="122"/>
        <v>158.67014233954447</v>
      </c>
      <c r="G118">
        <f>'Monthly Data'!EG118</f>
        <v>1</v>
      </c>
      <c r="H118" s="3">
        <f>'Monthly Data'!DQ118</f>
        <v>30</v>
      </c>
      <c r="I118" s="3">
        <f>'Monthly Data'!DL118</f>
        <v>876752</v>
      </c>
      <c r="J118" s="3">
        <f>'Monthly Data'!EH118</f>
        <v>117</v>
      </c>
      <c r="L118" s="3">
        <f t="shared" si="64"/>
        <v>-38000000</v>
      </c>
      <c r="M118" s="3">
        <f t="shared" ca="1" si="65"/>
        <v>1713768.5342890529</v>
      </c>
      <c r="N118" s="3">
        <f t="shared" ca="1" si="66"/>
        <v>9159383.1164840031</v>
      </c>
      <c r="O118" s="3">
        <f t="shared" si="67"/>
        <v>1538400</v>
      </c>
      <c r="P118" s="3">
        <f t="shared" si="68"/>
        <v>39667410</v>
      </c>
      <c r="Q118" s="3">
        <f t="shared" si="69"/>
        <v>79476052.019040003</v>
      </c>
      <c r="R118" s="3">
        <f t="shared" si="70"/>
        <v>-9426783.5999999996</v>
      </c>
      <c r="S118" s="47">
        <f t="shared" ca="1" si="51"/>
        <v>84128230.069813073</v>
      </c>
      <c r="T118" s="47">
        <f>'Monthly Data'!Y118</f>
        <v>77831.101615384614</v>
      </c>
      <c r="U118" s="47">
        <f ca="1">+'Monthly Data'!Z118</f>
        <v>14613.366397479613</v>
      </c>
      <c r="V118" s="47">
        <f t="shared" ca="1" si="52"/>
        <v>84220674.537825942</v>
      </c>
    </row>
    <row r="119" spans="1:22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Data'!X119</f>
        <v>84352491.580078065</v>
      </c>
      <c r="E119" s="3">
        <f t="shared" ref="E119:F119" ca="1" si="123">E107</f>
        <v>298.21097826086958</v>
      </c>
      <c r="F119" s="3">
        <f t="shared" ca="1" si="123"/>
        <v>35.32833333333334</v>
      </c>
      <c r="G119">
        <f>'Monthly Data'!EG119</f>
        <v>1</v>
      </c>
      <c r="H119" s="3">
        <f>'Monthly Data'!DQ119</f>
        <v>31</v>
      </c>
      <c r="I119" s="3">
        <f>'Monthly Data'!DL119</f>
        <v>880222</v>
      </c>
      <c r="J119" s="3">
        <f>'Monthly Data'!EH119</f>
        <v>118</v>
      </c>
      <c r="L119" s="3">
        <f t="shared" si="64"/>
        <v>-38000000</v>
      </c>
      <c r="M119" s="3">
        <f t="shared" ca="1" si="65"/>
        <v>5283102.7087597838</v>
      </c>
      <c r="N119" s="3">
        <f t="shared" ca="1" si="66"/>
        <v>2039361.2503000004</v>
      </c>
      <c r="O119" s="3">
        <f t="shared" si="67"/>
        <v>1538400</v>
      </c>
      <c r="P119" s="3">
        <f t="shared" si="68"/>
        <v>40989657</v>
      </c>
      <c r="Q119" s="3">
        <f t="shared" si="69"/>
        <v>79790601.515939996</v>
      </c>
      <c r="R119" s="3">
        <f t="shared" si="70"/>
        <v>-9507354.4000000004</v>
      </c>
      <c r="S119" s="47">
        <f t="shared" ref="S119:S182" ca="1" si="124">SUM(L119:R119)</f>
        <v>82133768.074999779</v>
      </c>
      <c r="T119" s="47">
        <f>'Monthly Data'!Y119</f>
        <v>79975.599961538464</v>
      </c>
      <c r="U119" s="47">
        <f ca="1">+'Monthly Data'!Z119</f>
        <v>116413.46052112516</v>
      </c>
      <c r="V119" s="47">
        <f t="shared" ref="V119:V182" ca="1" si="125">S119+T119+U119</f>
        <v>82330157.135482445</v>
      </c>
    </row>
    <row r="120" spans="1:22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Data'!X120</f>
        <v>82396991.622043356</v>
      </c>
      <c r="E120" s="3">
        <f t="shared" ref="E120:F120" ca="1" si="126">E108</f>
        <v>486.62991389045737</v>
      </c>
      <c r="F120" s="3">
        <f t="shared" ca="1" si="126"/>
        <v>2.2779166666666657</v>
      </c>
      <c r="G120">
        <f>'Monthly Data'!EG120</f>
        <v>1</v>
      </c>
      <c r="H120" s="3">
        <f>'Monthly Data'!DQ120</f>
        <v>30</v>
      </c>
      <c r="I120" s="3">
        <f>'Monthly Data'!DL120</f>
        <v>880222</v>
      </c>
      <c r="J120" s="3">
        <f>'Monthly Data'!EH120</f>
        <v>119</v>
      </c>
      <c r="L120" s="3">
        <f t="shared" si="64"/>
        <v>-38000000</v>
      </c>
      <c r="M120" s="3">
        <f t="shared" ca="1" si="65"/>
        <v>8621130.6881842054</v>
      </c>
      <c r="N120" s="3">
        <f t="shared" ca="1" si="66"/>
        <v>131494.88082499994</v>
      </c>
      <c r="O120" s="3">
        <f t="shared" si="67"/>
        <v>1538400</v>
      </c>
      <c r="P120" s="3">
        <f t="shared" si="68"/>
        <v>39667410</v>
      </c>
      <c r="Q120" s="3">
        <f t="shared" si="69"/>
        <v>79790601.515939996</v>
      </c>
      <c r="R120" s="3">
        <f t="shared" si="70"/>
        <v>-9587925.2000000011</v>
      </c>
      <c r="S120" s="47">
        <f t="shared" ca="1" si="124"/>
        <v>82161111.884949192</v>
      </c>
      <c r="T120" s="47">
        <f>'Monthly Data'!Y120</f>
        <v>82120.098307692315</v>
      </c>
      <c r="U120" s="47">
        <f ca="1">+'Monthly Data'!Z120</f>
        <v>182273.13280397741</v>
      </c>
      <c r="V120" s="47">
        <f t="shared" ca="1" si="125"/>
        <v>82425505.116060868</v>
      </c>
    </row>
    <row r="121" spans="1:22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Data'!X121</f>
        <v>86210582.360618636</v>
      </c>
      <c r="E121" s="3">
        <f t="shared" ref="E121:F121" ca="1" si="127">E109</f>
        <v>639.92800724637686</v>
      </c>
      <c r="F121" s="3">
        <f t="shared" ca="1" si="127"/>
        <v>0</v>
      </c>
      <c r="G121">
        <f>'Monthly Data'!EG121</f>
        <v>0</v>
      </c>
      <c r="H121" s="3">
        <f>'Monthly Data'!DQ121</f>
        <v>31</v>
      </c>
      <c r="I121" s="3">
        <f>'Monthly Data'!DL121</f>
        <v>880222</v>
      </c>
      <c r="J121" s="3">
        <f>'Monthly Data'!EH121</f>
        <v>120</v>
      </c>
      <c r="L121" s="3">
        <f t="shared" si="64"/>
        <v>-38000000</v>
      </c>
      <c r="M121" s="3">
        <f t="shared" ca="1" si="65"/>
        <v>11336958.177096741</v>
      </c>
      <c r="N121" s="3">
        <f t="shared" ca="1" si="66"/>
        <v>0</v>
      </c>
      <c r="O121" s="3">
        <f t="shared" si="67"/>
        <v>0</v>
      </c>
      <c r="P121" s="3">
        <f t="shared" si="68"/>
        <v>40989657</v>
      </c>
      <c r="Q121" s="3">
        <f t="shared" si="69"/>
        <v>79790601.515939996</v>
      </c>
      <c r="R121" s="3">
        <f t="shared" si="70"/>
        <v>-9668496</v>
      </c>
      <c r="S121" s="47">
        <f t="shared" ca="1" si="124"/>
        <v>84448720.693036735</v>
      </c>
      <c r="T121" s="47">
        <f>'Monthly Data'!Y121</f>
        <v>84264.596653846151</v>
      </c>
      <c r="U121" s="47">
        <f ca="1">+'Monthly Data'!Z121</f>
        <v>297861.37768574443</v>
      </c>
      <c r="V121" s="47">
        <f t="shared" ca="1" si="125"/>
        <v>84830846.667376325</v>
      </c>
    </row>
    <row r="122" spans="1:22">
      <c r="A122" s="2">
        <f t="shared" ref="A122:A174" si="128">EOMONTH(A121,1)</f>
        <v>45688</v>
      </c>
      <c r="B122">
        <f t="shared" ref="B122:B174" si="129">YEAR(A122)</f>
        <v>2025</v>
      </c>
      <c r="C122">
        <f t="shared" ref="C122:C174" si="130">MONTH(A122)</f>
        <v>1</v>
      </c>
      <c r="E122" s="3">
        <f t="shared" ref="E122:F122" ca="1" si="131">E110</f>
        <v>759.33418478260865</v>
      </c>
      <c r="F122" s="3">
        <f t="shared" ca="1" si="131"/>
        <v>0</v>
      </c>
      <c r="G122">
        <f t="shared" ref="G122:G126" si="132">G110</f>
        <v>0</v>
      </c>
      <c r="H122" s="3">
        <f t="shared" ref="H122:H174" si="133">H86</f>
        <v>31</v>
      </c>
      <c r="I122" s="391">
        <f>I121</f>
        <v>880222</v>
      </c>
      <c r="J122" s="391">
        <f>J121</f>
        <v>120</v>
      </c>
      <c r="L122" s="3">
        <f t="shared" si="64"/>
        <v>-38000000</v>
      </c>
      <c r="M122" s="3">
        <f t="shared" ca="1" si="65"/>
        <v>13452356.824266847</v>
      </c>
      <c r="N122" s="3">
        <f t="shared" ca="1" si="66"/>
        <v>0</v>
      </c>
      <c r="O122" s="3">
        <f t="shared" si="67"/>
        <v>0</v>
      </c>
      <c r="P122" s="3">
        <f t="shared" si="68"/>
        <v>40989657</v>
      </c>
      <c r="Q122" s="3">
        <f t="shared" si="69"/>
        <v>79790601.515939996</v>
      </c>
      <c r="R122" s="3">
        <f t="shared" si="70"/>
        <v>-9668496</v>
      </c>
      <c r="S122" s="47">
        <f t="shared" ca="1" si="124"/>
        <v>86564119.340206847</v>
      </c>
      <c r="T122" s="47">
        <f>IFERROR(HLOOKUP(B122-1,'EV Forecast VRZ'!$F$124:$T$130,5,FALSE)/12,0)+IFERROR(((HLOOKUP(B122,'EV Forecast VRZ'!$F$116:$T$122,5,FALSE)-HLOOKUP(B122-1,'EV Forecast VRZ'!$F$124:$T$130,5,FALSE)))*C122/78,0)</f>
        <v>88684.107339151393</v>
      </c>
      <c r="U122" s="47">
        <f ca="1">HLOOKUP(B122,Heating!$C$102:$O$106,5,FALSE)*INDEX(Weather!$BO$1:$CB$20,MATCH(B122,Weather!$BO$1:$BO$20,0),MATCH(C122,Weather!$BO$1:$CB$1,0))/VLOOKUP(B122,Weather!$BO$2:$CB$20,14,FALSE)</f>
        <v>420641.48636947206</v>
      </c>
      <c r="V122" s="47">
        <f t="shared" ca="1" si="125"/>
        <v>87073444.933915481</v>
      </c>
    </row>
    <row r="123" spans="1:22">
      <c r="A123" s="2">
        <f t="shared" si="128"/>
        <v>45716</v>
      </c>
      <c r="B123">
        <f t="shared" si="129"/>
        <v>2025</v>
      </c>
      <c r="C123">
        <f t="shared" si="130"/>
        <v>2</v>
      </c>
      <c r="E123" s="3">
        <f t="shared" ref="E123:F123" ca="1" si="134">E111</f>
        <v>680.85501811594202</v>
      </c>
      <c r="F123" s="3">
        <f t="shared" ca="1" si="134"/>
        <v>0</v>
      </c>
      <c r="G123">
        <f t="shared" si="132"/>
        <v>0</v>
      </c>
      <c r="H123" s="3">
        <f t="shared" si="133"/>
        <v>28</v>
      </c>
      <c r="I123" s="391">
        <f t="shared" ref="I123:I157" si="135">I122</f>
        <v>880222</v>
      </c>
      <c r="J123" s="391">
        <f t="shared" ref="J123:J157" si="136">J122</f>
        <v>120</v>
      </c>
      <c r="L123" s="3">
        <f t="shared" si="64"/>
        <v>-38000000</v>
      </c>
      <c r="M123" s="3">
        <f t="shared" ca="1" si="65"/>
        <v>12062020.692391848</v>
      </c>
      <c r="N123" s="3">
        <f t="shared" ca="1" si="66"/>
        <v>0</v>
      </c>
      <c r="O123" s="3">
        <f t="shared" si="67"/>
        <v>0</v>
      </c>
      <c r="P123" s="3">
        <f t="shared" si="68"/>
        <v>37022916</v>
      </c>
      <c r="Q123" s="3">
        <f t="shared" si="69"/>
        <v>79790601.515939996</v>
      </c>
      <c r="R123" s="3">
        <f t="shared" si="70"/>
        <v>-9668496</v>
      </c>
      <c r="S123" s="47">
        <f t="shared" ca="1" si="124"/>
        <v>81207042.208331853</v>
      </c>
      <c r="T123" s="47">
        <f>IFERROR(HLOOKUP(B123-1,'EV Forecast VRZ'!$F$124:$T$130,5,FALSE)/12,0)+IFERROR(((HLOOKUP(B123,'EV Forecast VRZ'!$F$116:$T$122,5,FALSE)-HLOOKUP(B123-1,'EV Forecast VRZ'!$F$124:$T$130,5,FALSE)))*C123/78,0)</f>
        <v>90959.119678302799</v>
      </c>
      <c r="U123" s="47">
        <f ca="1">HLOOKUP(B123,Heating!$C$102:$O$106,5,FALSE)*INDEX(Weather!$BO$1:$CB$20,MATCH(B123,Weather!$BO$1:$BO$20,0),MATCH(C123,Weather!$BO$1:$CB$1,0))/VLOOKUP(B123,Weather!$BO$2:$CB$20,14,FALSE)</f>
        <v>376559.13681580394</v>
      </c>
      <c r="V123" s="47">
        <f t="shared" ca="1" si="125"/>
        <v>81674560.464825958</v>
      </c>
    </row>
    <row r="124" spans="1:22">
      <c r="A124" s="2">
        <f t="shared" si="128"/>
        <v>45747</v>
      </c>
      <c r="B124">
        <f t="shared" si="129"/>
        <v>2025</v>
      </c>
      <c r="C124">
        <f t="shared" si="130"/>
        <v>3</v>
      </c>
      <c r="E124" s="3">
        <f t="shared" ref="E124:F124" ca="1" si="137">E112</f>
        <v>608.13298913043479</v>
      </c>
      <c r="F124" s="3">
        <f t="shared" ca="1" si="137"/>
        <v>2.9583333333332896E-2</v>
      </c>
      <c r="G124">
        <f t="shared" si="132"/>
        <v>1</v>
      </c>
      <c r="H124" s="3">
        <f t="shared" si="133"/>
        <v>31</v>
      </c>
      <c r="I124" s="391">
        <f t="shared" si="135"/>
        <v>880222</v>
      </c>
      <c r="J124" s="391">
        <f t="shared" si="136"/>
        <v>120</v>
      </c>
      <c r="L124" s="3">
        <f t="shared" si="64"/>
        <v>-38000000</v>
      </c>
      <c r="M124" s="3">
        <f t="shared" ca="1" si="65"/>
        <v>10773677.954104893</v>
      </c>
      <c r="N124" s="3">
        <f t="shared" ca="1" si="66"/>
        <v>1707.7257249999748</v>
      </c>
      <c r="O124" s="3">
        <f t="shared" si="67"/>
        <v>1538400</v>
      </c>
      <c r="P124" s="3">
        <f t="shared" si="68"/>
        <v>40989657</v>
      </c>
      <c r="Q124" s="3">
        <f t="shared" si="69"/>
        <v>79790601.515939996</v>
      </c>
      <c r="R124" s="3">
        <f t="shared" si="70"/>
        <v>-9668496</v>
      </c>
      <c r="S124" s="47">
        <f t="shared" ca="1" si="124"/>
        <v>85425548.195769891</v>
      </c>
      <c r="T124" s="47">
        <f>IFERROR(HLOOKUP(B124-1,'EV Forecast VRZ'!$F$124:$T$130,5,FALSE)/12,0)+IFERROR(((HLOOKUP(B124,'EV Forecast VRZ'!$F$116:$T$122,5,FALSE)-HLOOKUP(B124-1,'EV Forecast VRZ'!$F$124:$T$130,5,FALSE)))*C124/78,0)</f>
        <v>93234.132017454205</v>
      </c>
      <c r="U124" s="47">
        <f ca="1">HLOOKUP(B124,Heating!$C$102:$O$106,5,FALSE)*INDEX(Weather!$BO$1:$CB$20,MATCH(B124,Weather!$BO$1:$BO$20,0),MATCH(C124,Weather!$BO$1:$CB$1,0))/VLOOKUP(B124,Weather!$BO$2:$CB$20,14,FALSE)</f>
        <v>329434.86396675813</v>
      </c>
      <c r="V124" s="47">
        <f t="shared" ca="1" si="125"/>
        <v>85848217.191754103</v>
      </c>
    </row>
    <row r="125" spans="1:22">
      <c r="A125" s="2">
        <f t="shared" si="128"/>
        <v>45777</v>
      </c>
      <c r="B125">
        <f t="shared" si="129"/>
        <v>2025</v>
      </c>
      <c r="C125">
        <f t="shared" si="130"/>
        <v>4</v>
      </c>
      <c r="E125" s="3">
        <f t="shared" ref="E125:F125" ca="1" si="138">E113</f>
        <v>412.37941287878795</v>
      </c>
      <c r="F125" s="3">
        <f t="shared" ca="1" si="138"/>
        <v>5.6420833333333338</v>
      </c>
      <c r="G125">
        <f t="shared" si="132"/>
        <v>1</v>
      </c>
      <c r="H125" s="3">
        <f t="shared" si="133"/>
        <v>30</v>
      </c>
      <c r="I125" s="391">
        <f t="shared" si="135"/>
        <v>880222</v>
      </c>
      <c r="J125" s="391">
        <f t="shared" si="136"/>
        <v>120</v>
      </c>
      <c r="L125" s="3">
        <f t="shared" si="64"/>
        <v>-38000000</v>
      </c>
      <c r="M125" s="3">
        <f t="shared" ca="1" si="65"/>
        <v>7305709.5547664789</v>
      </c>
      <c r="N125" s="3">
        <f t="shared" ca="1" si="66"/>
        <v>325694.56397500006</v>
      </c>
      <c r="O125" s="3">
        <f t="shared" si="67"/>
        <v>1538400</v>
      </c>
      <c r="P125" s="3">
        <f t="shared" si="68"/>
        <v>39667410</v>
      </c>
      <c r="Q125" s="3">
        <f t="shared" si="69"/>
        <v>79790601.515939996</v>
      </c>
      <c r="R125" s="3">
        <f t="shared" si="70"/>
        <v>-9668496</v>
      </c>
      <c r="S125" s="47">
        <f t="shared" ca="1" si="124"/>
        <v>80959319.634681478</v>
      </c>
      <c r="T125" s="47">
        <f>IFERROR(HLOOKUP(B125-1,'EV Forecast VRZ'!$F$124:$T$130,5,FALSE)/12,0)+IFERROR(((HLOOKUP(B125,'EV Forecast VRZ'!$F$116:$T$122,5,FALSE)-HLOOKUP(B125-1,'EV Forecast VRZ'!$F$124:$T$130,5,FALSE)))*C125/78,0)</f>
        <v>95509.144356605611</v>
      </c>
      <c r="U125" s="47">
        <f ca="1">HLOOKUP(B125,Heating!$C$102:$O$106,5,FALSE)*INDEX(Weather!$BO$1:$CB$20,MATCH(B125,Weather!$BO$1:$BO$20,0),MATCH(C125,Weather!$BO$1:$CB$1,0))/VLOOKUP(B125,Weather!$BO$2:$CB$20,14,FALSE)</f>
        <v>212580.9266475089</v>
      </c>
      <c r="V125" s="47">
        <f t="shared" ca="1" si="125"/>
        <v>81267409.705685601</v>
      </c>
    </row>
    <row r="126" spans="1:22">
      <c r="A126" s="2">
        <f t="shared" si="128"/>
        <v>45808</v>
      </c>
      <c r="B126">
        <f t="shared" si="129"/>
        <v>2025</v>
      </c>
      <c r="C126">
        <f t="shared" si="130"/>
        <v>5</v>
      </c>
      <c r="E126" s="3">
        <f t="shared" ref="E126:F126" ca="1" si="139">E114</f>
        <v>202.70273119310133</v>
      </c>
      <c r="F126" s="3">
        <f t="shared" ca="1" si="139"/>
        <v>86.191046176046171</v>
      </c>
      <c r="G126">
        <f t="shared" si="132"/>
        <v>1</v>
      </c>
      <c r="H126" s="3">
        <f t="shared" si="133"/>
        <v>31</v>
      </c>
      <c r="I126" s="391">
        <f t="shared" si="135"/>
        <v>880222</v>
      </c>
      <c r="J126" s="391">
        <f t="shared" si="136"/>
        <v>120</v>
      </c>
      <c r="L126" s="3">
        <f t="shared" si="64"/>
        <v>-38000000</v>
      </c>
      <c r="M126" s="3">
        <f t="shared" ca="1" si="65"/>
        <v>3591079.5587896714</v>
      </c>
      <c r="N126" s="3">
        <f t="shared" ca="1" si="66"/>
        <v>4975459.1600956712</v>
      </c>
      <c r="O126" s="3">
        <f t="shared" si="67"/>
        <v>1538400</v>
      </c>
      <c r="P126" s="3">
        <f t="shared" si="68"/>
        <v>40989657</v>
      </c>
      <c r="Q126" s="3">
        <f t="shared" si="69"/>
        <v>79790601.515939996</v>
      </c>
      <c r="R126" s="3">
        <f t="shared" si="70"/>
        <v>-9668496</v>
      </c>
      <c r="S126" s="47">
        <f t="shared" ca="1" si="124"/>
        <v>83216701.234825343</v>
      </c>
      <c r="T126" s="47">
        <f>IFERROR(HLOOKUP(B126-1,'EV Forecast VRZ'!$F$124:$T$130,5,FALSE)/12,0)+IFERROR(((HLOOKUP(B126,'EV Forecast VRZ'!$F$116:$T$122,5,FALSE)-HLOOKUP(B126-1,'EV Forecast VRZ'!$F$124:$T$130,5,FALSE)))*C126/78,0)</f>
        <v>97784.156695757032</v>
      </c>
      <c r="U126" s="47">
        <f ca="1">HLOOKUP(B126,Heating!$C$102:$O$106,5,FALSE)*INDEX(Weather!$BO$1:$CB$20,MATCH(B126,Weather!$BO$1:$BO$20,0),MATCH(C126,Weather!$BO$1:$CB$1,0))/VLOOKUP(B126,Weather!$BO$2:$CB$20,14,FALSE)</f>
        <v>90564.623465752462</v>
      </c>
      <c r="V126" s="47">
        <f t="shared" ca="1" si="125"/>
        <v>83405050.014986843</v>
      </c>
    </row>
    <row r="127" spans="1:22">
      <c r="A127" s="2">
        <f t="shared" si="128"/>
        <v>45838</v>
      </c>
      <c r="B127">
        <f t="shared" si="129"/>
        <v>2025</v>
      </c>
      <c r="C127">
        <f t="shared" si="130"/>
        <v>6</v>
      </c>
      <c r="E127" s="3">
        <f t="shared" ref="E127:F127" ca="1" si="140">E115</f>
        <v>66.09717382617383</v>
      </c>
      <c r="F127" s="3">
        <f t="shared" ca="1" si="140"/>
        <v>194.94285087738348</v>
      </c>
      <c r="G127">
        <f t="shared" ref="G127:G142" si="141">G115</f>
        <v>0</v>
      </c>
      <c r="H127" s="3">
        <f t="shared" si="133"/>
        <v>30</v>
      </c>
      <c r="I127" s="391">
        <f t="shared" si="135"/>
        <v>880222</v>
      </c>
      <c r="J127" s="391">
        <f t="shared" si="136"/>
        <v>120</v>
      </c>
      <c r="L127" s="3">
        <f t="shared" si="64"/>
        <v>-38000000</v>
      </c>
      <c r="M127" s="3">
        <f t="shared" ca="1" si="65"/>
        <v>1170976.8705327574</v>
      </c>
      <c r="N127" s="3">
        <f t="shared" ca="1" si="66"/>
        <v>11253259.313176787</v>
      </c>
      <c r="O127" s="3">
        <f t="shared" si="67"/>
        <v>0</v>
      </c>
      <c r="P127" s="3">
        <f t="shared" si="68"/>
        <v>39667410</v>
      </c>
      <c r="Q127" s="3">
        <f t="shared" si="69"/>
        <v>79790601.515939996</v>
      </c>
      <c r="R127" s="3">
        <f t="shared" si="70"/>
        <v>-9668496</v>
      </c>
      <c r="S127" s="47">
        <f t="shared" ca="1" si="124"/>
        <v>84213751.699649543</v>
      </c>
      <c r="T127" s="47">
        <f>IFERROR(HLOOKUP(B127-1,'EV Forecast VRZ'!$F$124:$T$130,5,FALSE)/12,0)+IFERROR(((HLOOKUP(B127,'EV Forecast VRZ'!$F$116:$T$122,5,FALSE)-HLOOKUP(B127-1,'EV Forecast VRZ'!$F$124:$T$130,5,FALSE)))*C127/78,0)</f>
        <v>100059.16903490844</v>
      </c>
      <c r="U127" s="47">
        <f ca="1">HLOOKUP(B127,Heating!$C$102:$O$106,5,FALSE)*INDEX(Weather!$BO$1:$CB$20,MATCH(B127,Weather!$BO$1:$BO$20,0),MATCH(C127,Weather!$BO$1:$CB$1,0))/VLOOKUP(B127,Weather!$BO$2:$CB$20,14,FALSE)</f>
        <v>19617.064579466605</v>
      </c>
      <c r="V127" s="47">
        <f t="shared" ca="1" si="125"/>
        <v>84333427.933263928</v>
      </c>
    </row>
    <row r="128" spans="1:22">
      <c r="A128" s="2">
        <f t="shared" si="128"/>
        <v>45869</v>
      </c>
      <c r="B128">
        <f t="shared" si="129"/>
        <v>2025</v>
      </c>
      <c r="C128">
        <f t="shared" si="130"/>
        <v>7</v>
      </c>
      <c r="E128" s="3">
        <f t="shared" ref="E128:F128" ca="1" si="142">E116</f>
        <v>10.249063146997932</v>
      </c>
      <c r="F128" s="3">
        <f t="shared" ca="1" si="142"/>
        <v>297.94737858727848</v>
      </c>
      <c r="G128">
        <f t="shared" si="141"/>
        <v>0</v>
      </c>
      <c r="H128" s="3">
        <f t="shared" si="133"/>
        <v>31</v>
      </c>
      <c r="I128" s="391">
        <f t="shared" si="135"/>
        <v>880222</v>
      </c>
      <c r="J128" s="391">
        <f t="shared" si="136"/>
        <v>120</v>
      </c>
      <c r="L128" s="3">
        <f t="shared" si="64"/>
        <v>-38000000</v>
      </c>
      <c r="M128" s="3">
        <f t="shared" ca="1" si="65"/>
        <v>181572.30022158389</v>
      </c>
      <c r="N128" s="3">
        <f t="shared" ca="1" si="66"/>
        <v>17199292.499486525</v>
      </c>
      <c r="O128" s="3">
        <f t="shared" si="67"/>
        <v>0</v>
      </c>
      <c r="P128" s="3">
        <f t="shared" si="68"/>
        <v>40989657</v>
      </c>
      <c r="Q128" s="3">
        <f t="shared" si="69"/>
        <v>79790601.515939996</v>
      </c>
      <c r="R128" s="3">
        <f t="shared" si="70"/>
        <v>-9668496</v>
      </c>
      <c r="S128" s="47">
        <f t="shared" ca="1" si="124"/>
        <v>90492627.315648109</v>
      </c>
      <c r="T128" s="47">
        <f>IFERROR(HLOOKUP(B128-1,'EV Forecast VRZ'!$F$124:$T$130,5,FALSE)/12,0)+IFERROR(((HLOOKUP(B128,'EV Forecast VRZ'!$F$116:$T$122,5,FALSE)-HLOOKUP(B128-1,'EV Forecast VRZ'!$F$124:$T$130,5,FALSE)))*C128/78,0)</f>
        <v>102334.18137405984</v>
      </c>
      <c r="U128" s="47">
        <f ca="1">HLOOKUP(B128,Heating!$C$102:$O$106,5,FALSE)*INDEX(Weather!$BO$1:$CB$20,MATCH(B128,Weather!$BO$1:$BO$20,0),MATCH(C128,Weather!$BO$1:$CB$1,0))/VLOOKUP(B128,Weather!$BO$2:$CB$20,14,FALSE)</f>
        <v>975.94938888700915</v>
      </c>
      <c r="V128" s="47">
        <f t="shared" ca="1" si="125"/>
        <v>90595937.446411058</v>
      </c>
    </row>
    <row r="129" spans="1:22">
      <c r="A129" s="2">
        <f t="shared" si="128"/>
        <v>45900</v>
      </c>
      <c r="B129">
        <f t="shared" si="129"/>
        <v>2025</v>
      </c>
      <c r="C129">
        <f t="shared" si="130"/>
        <v>8</v>
      </c>
      <c r="E129" s="3">
        <f t="shared" ref="E129:F129" ca="1" si="143">E117</f>
        <v>21.194927536231887</v>
      </c>
      <c r="F129" s="3">
        <f t="shared" ca="1" si="143"/>
        <v>272.96558794466404</v>
      </c>
      <c r="G129">
        <f t="shared" si="141"/>
        <v>0</v>
      </c>
      <c r="H129" s="3">
        <f t="shared" si="133"/>
        <v>31</v>
      </c>
      <c r="I129" s="391">
        <f t="shared" si="135"/>
        <v>880222</v>
      </c>
      <c r="J129" s="391">
        <f t="shared" si="136"/>
        <v>120</v>
      </c>
      <c r="L129" s="3">
        <f t="shared" si="64"/>
        <v>-38000000</v>
      </c>
      <c r="M129" s="3">
        <f t="shared" ca="1" si="65"/>
        <v>375489.1242826088</v>
      </c>
      <c r="N129" s="3">
        <f t="shared" ca="1" si="66"/>
        <v>15757195.151758401</v>
      </c>
      <c r="O129" s="3">
        <f t="shared" si="67"/>
        <v>0</v>
      </c>
      <c r="P129" s="3">
        <f t="shared" si="68"/>
        <v>40989657</v>
      </c>
      <c r="Q129" s="3">
        <f t="shared" si="69"/>
        <v>79790601.515939996</v>
      </c>
      <c r="R129" s="3">
        <f t="shared" si="70"/>
        <v>-9668496</v>
      </c>
      <c r="S129" s="47">
        <f t="shared" ca="1" si="124"/>
        <v>89244446.791981012</v>
      </c>
      <c r="T129" s="47">
        <f>IFERROR(HLOOKUP(B129-1,'EV Forecast VRZ'!$F$124:$T$130,5,FALSE)/12,0)+IFERROR(((HLOOKUP(B129,'EV Forecast VRZ'!$F$116:$T$122,5,FALSE)-HLOOKUP(B129-1,'EV Forecast VRZ'!$F$124:$T$130,5,FALSE)))*C129/78,0)</f>
        <v>104609.19371321125</v>
      </c>
      <c r="U129" s="47">
        <f ca="1">HLOOKUP(B129,Heating!$C$102:$O$106,5,FALSE)*INDEX(Weather!$BO$1:$CB$20,MATCH(B129,Weather!$BO$1:$BO$20,0),MATCH(C129,Weather!$BO$1:$CB$1,0))/VLOOKUP(B129,Weather!$BO$2:$CB$20,14,FALSE)</f>
        <v>3408.1570211969738</v>
      </c>
      <c r="V129" s="47">
        <f t="shared" ca="1" si="125"/>
        <v>89352464.142715424</v>
      </c>
    </row>
    <row r="130" spans="1:22">
      <c r="A130" s="2">
        <f t="shared" si="128"/>
        <v>45930</v>
      </c>
      <c r="B130">
        <f t="shared" si="129"/>
        <v>2025</v>
      </c>
      <c r="C130">
        <f t="shared" si="130"/>
        <v>9</v>
      </c>
      <c r="E130" s="3">
        <f t="shared" ref="E130:F130" ca="1" si="144">E118</f>
        <v>96.735690993788822</v>
      </c>
      <c r="F130" s="3">
        <f t="shared" ca="1" si="144"/>
        <v>158.67014233954447</v>
      </c>
      <c r="G130">
        <f t="shared" si="141"/>
        <v>1</v>
      </c>
      <c r="H130" s="3">
        <f t="shared" si="133"/>
        <v>30</v>
      </c>
      <c r="I130" s="391">
        <f t="shared" si="135"/>
        <v>880222</v>
      </c>
      <c r="J130" s="391">
        <f t="shared" si="136"/>
        <v>120</v>
      </c>
      <c r="L130" s="3">
        <f t="shared" ref="L130:L193" si="145">$Z$8</f>
        <v>-38000000</v>
      </c>
      <c r="M130" s="3">
        <f t="shared" ref="M130:M193" ca="1" si="146">E130*$Z$9</f>
        <v>1713768.5342890529</v>
      </c>
      <c r="N130" s="3">
        <f t="shared" ref="N130:N193" ca="1" si="147">F130*$Z$10</f>
        <v>9159383.1164840031</v>
      </c>
      <c r="O130" s="3">
        <f t="shared" ref="O130:O193" si="148">G130*$Z$11</f>
        <v>1538400</v>
      </c>
      <c r="P130" s="3">
        <f t="shared" ref="P130:P193" si="149">H130*$Z$12</f>
        <v>39667410</v>
      </c>
      <c r="Q130" s="3">
        <f t="shared" ref="Q130:Q193" si="150">I130*$Z$13</f>
        <v>79790601.515939996</v>
      </c>
      <c r="R130" s="3">
        <f t="shared" ref="R130:R193" si="151">J130*$Z$14</f>
        <v>-9668496</v>
      </c>
      <c r="S130" s="47">
        <f t="shared" ca="1" si="124"/>
        <v>84201067.166713059</v>
      </c>
      <c r="T130" s="47">
        <f>IFERROR(HLOOKUP(B130-1,'EV Forecast VRZ'!$F$124:$T$130,5,FALSE)/12,0)+IFERROR(((HLOOKUP(B130,'EV Forecast VRZ'!$F$116:$T$122,5,FALSE)-HLOOKUP(B130-1,'EV Forecast VRZ'!$F$124:$T$130,5,FALSE)))*C130/78,0)</f>
        <v>106884.20605236266</v>
      </c>
      <c r="U130" s="47">
        <f ca="1">HLOOKUP(B130,Heating!$C$102:$O$106,5,FALSE)*INDEX(Weather!$BO$1:$CB$20,MATCH(B130,Weather!$BO$1:$BO$20,0),MATCH(C130,Weather!$BO$1:$CB$1,0))/VLOOKUP(B130,Weather!$BO$2:$CB$20,14,FALSE)</f>
        <v>33152.284018414561</v>
      </c>
      <c r="V130" s="47">
        <f t="shared" ca="1" si="125"/>
        <v>84341103.656783834</v>
      </c>
    </row>
    <row r="131" spans="1:22">
      <c r="A131" s="2">
        <f t="shared" si="128"/>
        <v>45961</v>
      </c>
      <c r="B131">
        <f t="shared" si="129"/>
        <v>2025</v>
      </c>
      <c r="C131">
        <f t="shared" si="130"/>
        <v>10</v>
      </c>
      <c r="E131" s="3">
        <f t="shared" ref="E131:F131" ca="1" si="152">E119</f>
        <v>298.21097826086958</v>
      </c>
      <c r="F131" s="3">
        <f t="shared" ca="1" si="152"/>
        <v>35.32833333333334</v>
      </c>
      <c r="G131">
        <f t="shared" si="141"/>
        <v>1</v>
      </c>
      <c r="H131" s="3">
        <f t="shared" si="133"/>
        <v>31</v>
      </c>
      <c r="I131" s="391">
        <f t="shared" si="135"/>
        <v>880222</v>
      </c>
      <c r="J131" s="391">
        <f t="shared" si="136"/>
        <v>120</v>
      </c>
      <c r="L131" s="3">
        <f t="shared" si="145"/>
        <v>-38000000</v>
      </c>
      <c r="M131" s="3">
        <f t="shared" ca="1" si="146"/>
        <v>5283102.7087597838</v>
      </c>
      <c r="N131" s="3">
        <f t="shared" ca="1" si="147"/>
        <v>2039361.2503000004</v>
      </c>
      <c r="O131" s="3">
        <f t="shared" si="148"/>
        <v>1538400</v>
      </c>
      <c r="P131" s="3">
        <f t="shared" si="149"/>
        <v>40989657</v>
      </c>
      <c r="Q131" s="3">
        <f t="shared" si="150"/>
        <v>79790601.515939996</v>
      </c>
      <c r="R131" s="3">
        <f t="shared" si="151"/>
        <v>-9668496</v>
      </c>
      <c r="S131" s="47">
        <f t="shared" ca="1" si="124"/>
        <v>81972626.474999785</v>
      </c>
      <c r="T131" s="47">
        <f>IFERROR(HLOOKUP(B131-1,'EV Forecast VRZ'!$F$124:$T$130,5,FALSE)/12,0)+IFERROR(((HLOOKUP(B131,'EV Forecast VRZ'!$F$116:$T$122,5,FALSE)-HLOOKUP(B131-1,'EV Forecast VRZ'!$F$124:$T$130,5,FALSE)))*C131/78,0)</f>
        <v>109159.21839151406</v>
      </c>
      <c r="U131" s="47">
        <f ca="1">HLOOKUP(B131,Heating!$C$102:$O$106,5,FALSE)*INDEX(Weather!$BO$1:$CB$20,MATCH(B131,Weather!$BO$1:$BO$20,0),MATCH(C131,Weather!$BO$1:$CB$1,0))/VLOOKUP(B131,Weather!$BO$2:$CB$20,14,FALSE)</f>
        <v>143502.59977967374</v>
      </c>
      <c r="V131" s="47">
        <f t="shared" ca="1" si="125"/>
        <v>82225288.293170974</v>
      </c>
    </row>
    <row r="132" spans="1:22">
      <c r="A132" s="2">
        <f t="shared" si="128"/>
        <v>45991</v>
      </c>
      <c r="B132">
        <f t="shared" si="129"/>
        <v>2025</v>
      </c>
      <c r="C132">
        <f t="shared" si="130"/>
        <v>11</v>
      </c>
      <c r="E132" s="3">
        <f t="shared" ref="E132:F132" ca="1" si="153">E120</f>
        <v>486.62991389045737</v>
      </c>
      <c r="F132" s="3">
        <f t="shared" ca="1" si="153"/>
        <v>2.2779166666666657</v>
      </c>
      <c r="G132">
        <f t="shared" si="141"/>
        <v>1</v>
      </c>
      <c r="H132" s="3">
        <f t="shared" si="133"/>
        <v>30</v>
      </c>
      <c r="I132" s="391">
        <f t="shared" si="135"/>
        <v>880222</v>
      </c>
      <c r="J132" s="391">
        <f t="shared" si="136"/>
        <v>120</v>
      </c>
      <c r="L132" s="3">
        <f t="shared" si="145"/>
        <v>-38000000</v>
      </c>
      <c r="M132" s="3">
        <f t="shared" ca="1" si="146"/>
        <v>8621130.6881842054</v>
      </c>
      <c r="N132" s="3">
        <f t="shared" ca="1" si="147"/>
        <v>131494.88082499994</v>
      </c>
      <c r="O132" s="3">
        <f t="shared" si="148"/>
        <v>1538400</v>
      </c>
      <c r="P132" s="3">
        <f t="shared" si="149"/>
        <v>39667410</v>
      </c>
      <c r="Q132" s="3">
        <f t="shared" si="150"/>
        <v>79790601.515939996</v>
      </c>
      <c r="R132" s="3">
        <f t="shared" si="151"/>
        <v>-9668496</v>
      </c>
      <c r="S132" s="47">
        <f t="shared" ca="1" si="124"/>
        <v>82080541.084949195</v>
      </c>
      <c r="T132" s="47">
        <f>IFERROR(HLOOKUP(B132-1,'EV Forecast VRZ'!$F$124:$T$130,5,FALSE)/12,0)+IFERROR(((HLOOKUP(B132,'EV Forecast VRZ'!$F$116:$T$122,5,FALSE)-HLOOKUP(B132-1,'EV Forecast VRZ'!$F$124:$T$130,5,FALSE)))*C132/78,0)</f>
        <v>111434.23073066547</v>
      </c>
      <c r="U132" s="47">
        <f ca="1">HLOOKUP(B132,Heating!$C$102:$O$106,5,FALSE)*INDEX(Weather!$BO$1:$CB$20,MATCH(B132,Weather!$BO$1:$BO$20,0),MATCH(C132,Weather!$BO$1:$CB$1,0))/VLOOKUP(B132,Weather!$BO$2:$CB$20,14,FALSE)</f>
        <v>257348.97990768554</v>
      </c>
      <c r="V132" s="47">
        <f t="shared" ca="1" si="125"/>
        <v>82449324.295587555</v>
      </c>
    </row>
    <row r="133" spans="1:22">
      <c r="A133" s="2">
        <f t="shared" si="128"/>
        <v>46022</v>
      </c>
      <c r="B133">
        <f t="shared" si="129"/>
        <v>2025</v>
      </c>
      <c r="C133">
        <f t="shared" si="130"/>
        <v>12</v>
      </c>
      <c r="E133" s="3">
        <f t="shared" ref="E133:F133" ca="1" si="154">E121</f>
        <v>639.92800724637686</v>
      </c>
      <c r="F133" s="3">
        <f t="shared" ca="1" si="154"/>
        <v>0</v>
      </c>
      <c r="G133">
        <f t="shared" si="141"/>
        <v>0</v>
      </c>
      <c r="H133" s="3">
        <f t="shared" si="133"/>
        <v>31</v>
      </c>
      <c r="I133" s="391">
        <f t="shared" si="135"/>
        <v>880222</v>
      </c>
      <c r="J133" s="391">
        <f t="shared" si="136"/>
        <v>120</v>
      </c>
      <c r="L133" s="3">
        <f t="shared" si="145"/>
        <v>-38000000</v>
      </c>
      <c r="M133" s="3">
        <f t="shared" ca="1" si="146"/>
        <v>11336958.177096741</v>
      </c>
      <c r="N133" s="3">
        <f t="shared" ca="1" si="147"/>
        <v>0</v>
      </c>
      <c r="O133" s="3">
        <f t="shared" si="148"/>
        <v>0</v>
      </c>
      <c r="P133" s="3">
        <f t="shared" si="149"/>
        <v>40989657</v>
      </c>
      <c r="Q133" s="3">
        <f t="shared" si="150"/>
        <v>79790601.515939996</v>
      </c>
      <c r="R133" s="3">
        <f t="shared" si="151"/>
        <v>-9668496</v>
      </c>
      <c r="S133" s="47">
        <f t="shared" ca="1" si="124"/>
        <v>84448720.693036735</v>
      </c>
      <c r="T133" s="47">
        <f>IFERROR(HLOOKUP(B133-1,'EV Forecast VRZ'!$F$124:$T$130,5,FALSE)/12,0)+IFERROR(((HLOOKUP(B133,'EV Forecast VRZ'!$F$116:$T$122,5,FALSE)-HLOOKUP(B133-1,'EV Forecast VRZ'!$F$124:$T$130,5,FALSE)))*C133/78,0)</f>
        <v>113709.24306981688</v>
      </c>
      <c r="U133" s="47">
        <f ca="1">HLOOKUP(B133,Heating!$C$102:$O$106,5,FALSE)*INDEX(Weather!$BO$1:$CB$20,MATCH(B133,Weather!$BO$1:$BO$20,0),MATCH(C133,Weather!$BO$1:$CB$1,0))/VLOOKUP(B133,Weather!$BO$2:$CB$20,14,FALSE)</f>
        <v>348614.0523262152</v>
      </c>
      <c r="V133" s="47">
        <f t="shared" ca="1" si="125"/>
        <v>84911043.988432765</v>
      </c>
    </row>
    <row r="134" spans="1:22">
      <c r="A134" s="2">
        <f t="shared" si="128"/>
        <v>46053</v>
      </c>
      <c r="B134">
        <f t="shared" si="129"/>
        <v>2026</v>
      </c>
      <c r="C134">
        <f t="shared" si="130"/>
        <v>1</v>
      </c>
      <c r="E134" s="3">
        <f t="shared" ref="E134:F134" ca="1" si="155">E122</f>
        <v>759.33418478260865</v>
      </c>
      <c r="F134" s="3">
        <f t="shared" ca="1" si="155"/>
        <v>0</v>
      </c>
      <c r="G134">
        <f t="shared" si="141"/>
        <v>0</v>
      </c>
      <c r="H134" s="3">
        <f t="shared" si="133"/>
        <v>31</v>
      </c>
      <c r="I134" s="391">
        <f t="shared" si="135"/>
        <v>880222</v>
      </c>
      <c r="J134" s="391">
        <f t="shared" si="136"/>
        <v>120</v>
      </c>
      <c r="L134" s="3">
        <f t="shared" si="145"/>
        <v>-38000000</v>
      </c>
      <c r="M134" s="3">
        <f t="shared" ca="1" si="146"/>
        <v>13452356.824266847</v>
      </c>
      <c r="N134" s="3">
        <f t="shared" ca="1" si="147"/>
        <v>0</v>
      </c>
      <c r="O134" s="3">
        <f t="shared" si="148"/>
        <v>0</v>
      </c>
      <c r="P134" s="3">
        <f t="shared" si="149"/>
        <v>40989657</v>
      </c>
      <c r="Q134" s="3">
        <f t="shared" si="150"/>
        <v>79790601.515939996</v>
      </c>
      <c r="R134" s="3">
        <f t="shared" si="151"/>
        <v>-9668496</v>
      </c>
      <c r="S134" s="47">
        <f t="shared" ca="1" si="124"/>
        <v>86564119.340206847</v>
      </c>
      <c r="T134" s="47">
        <f>IFERROR(HLOOKUP(B134-1,'EV Forecast VRZ'!$F$124:$T$130,5,FALSE)/12,0)+IFERROR(((HLOOKUP(B134,'EV Forecast VRZ'!$F$116:$T$122,5,FALSE)-HLOOKUP(B134-1,'EV Forecast VRZ'!$F$124:$T$130,5,FALSE)))*C134/78,0)</f>
        <v>118707.77316354077</v>
      </c>
      <c r="U134" s="47">
        <f ca="1">HLOOKUP(B134,Heating!$C$102:$O$106,5,FALSE)*INDEX(Weather!$BO$1:$CB$20,MATCH(B134,Weather!$BO$1:$BO$20,0),MATCH(C134,Weather!$BO$1:$CB$1,0))/VLOOKUP(B134,Weather!$BO$2:$CB$20,14,FALSE)</f>
        <v>498528.75148012704</v>
      </c>
      <c r="V134" s="47">
        <f t="shared" ca="1" si="125"/>
        <v>87181355.864850521</v>
      </c>
    </row>
    <row r="135" spans="1:22">
      <c r="A135" s="2">
        <f t="shared" si="128"/>
        <v>46081</v>
      </c>
      <c r="B135">
        <f t="shared" si="129"/>
        <v>2026</v>
      </c>
      <c r="C135">
        <f t="shared" si="130"/>
        <v>2</v>
      </c>
      <c r="E135" s="3">
        <f t="shared" ref="E135:F135" ca="1" si="156">E123</f>
        <v>680.85501811594202</v>
      </c>
      <c r="F135" s="3">
        <f t="shared" ca="1" si="156"/>
        <v>0</v>
      </c>
      <c r="G135">
        <f t="shared" si="141"/>
        <v>0</v>
      </c>
      <c r="H135" s="3">
        <f t="shared" si="133"/>
        <v>28</v>
      </c>
      <c r="I135" s="391">
        <f t="shared" si="135"/>
        <v>880222</v>
      </c>
      <c r="J135" s="391">
        <f t="shared" si="136"/>
        <v>120</v>
      </c>
      <c r="L135" s="3">
        <f t="shared" si="145"/>
        <v>-38000000</v>
      </c>
      <c r="M135" s="3">
        <f t="shared" ca="1" si="146"/>
        <v>12062020.692391848</v>
      </c>
      <c r="N135" s="3">
        <f t="shared" ca="1" si="147"/>
        <v>0</v>
      </c>
      <c r="O135" s="3">
        <f t="shared" si="148"/>
        <v>0</v>
      </c>
      <c r="P135" s="3">
        <f t="shared" si="149"/>
        <v>37022916</v>
      </c>
      <c r="Q135" s="3">
        <f t="shared" si="150"/>
        <v>79790601.515939996</v>
      </c>
      <c r="R135" s="3">
        <f t="shared" si="151"/>
        <v>-9668496</v>
      </c>
      <c r="S135" s="47">
        <f t="shared" ca="1" si="124"/>
        <v>81207042.208331853</v>
      </c>
      <c r="T135" s="47">
        <f>IFERROR(HLOOKUP(B135-1,'EV Forecast VRZ'!$F$124:$T$130,5,FALSE)/12,0)+IFERROR(((HLOOKUP(B135,'EV Forecast VRZ'!$F$116:$T$122,5,FALSE)-HLOOKUP(B135-1,'EV Forecast VRZ'!$F$124:$T$130,5,FALSE)))*C135/78,0)</f>
        <v>121431.29091811326</v>
      </c>
      <c r="U135" s="47">
        <f ca="1">HLOOKUP(B135,Heating!$C$102:$O$106,5,FALSE)*INDEX(Weather!$BO$1:$CB$20,MATCH(B135,Weather!$BO$1:$BO$20,0),MATCH(C135,Weather!$BO$1:$CB$1,0))/VLOOKUP(B135,Weather!$BO$2:$CB$20,14,FALSE)</f>
        <v>446283.979156368</v>
      </c>
      <c r="V135" s="47">
        <f t="shared" ca="1" si="125"/>
        <v>81774757.47840634</v>
      </c>
    </row>
    <row r="136" spans="1:22">
      <c r="A136" s="2">
        <f t="shared" si="128"/>
        <v>46112</v>
      </c>
      <c r="B136">
        <f t="shared" si="129"/>
        <v>2026</v>
      </c>
      <c r="C136">
        <f t="shared" si="130"/>
        <v>3</v>
      </c>
      <c r="E136" s="3">
        <f t="shared" ref="E136:F136" ca="1" si="157">E124</f>
        <v>608.13298913043479</v>
      </c>
      <c r="F136" s="3">
        <f t="shared" ca="1" si="157"/>
        <v>2.9583333333332896E-2</v>
      </c>
      <c r="G136">
        <f t="shared" si="141"/>
        <v>1</v>
      </c>
      <c r="H136" s="3">
        <f t="shared" si="133"/>
        <v>31</v>
      </c>
      <c r="I136" s="391">
        <f t="shared" si="135"/>
        <v>880222</v>
      </c>
      <c r="J136" s="391">
        <f t="shared" si="136"/>
        <v>120</v>
      </c>
      <c r="L136" s="3">
        <f t="shared" si="145"/>
        <v>-38000000</v>
      </c>
      <c r="M136" s="3">
        <f t="shared" ca="1" si="146"/>
        <v>10773677.954104893</v>
      </c>
      <c r="N136" s="3">
        <f t="shared" ca="1" si="147"/>
        <v>1707.7257249999748</v>
      </c>
      <c r="O136" s="3">
        <f t="shared" si="148"/>
        <v>1538400</v>
      </c>
      <c r="P136" s="3">
        <f t="shared" si="149"/>
        <v>40989657</v>
      </c>
      <c r="Q136" s="3">
        <f t="shared" si="150"/>
        <v>79790601.515939996</v>
      </c>
      <c r="R136" s="3">
        <f t="shared" si="151"/>
        <v>-9668496</v>
      </c>
      <c r="S136" s="47">
        <f t="shared" ca="1" si="124"/>
        <v>85425548.195769891</v>
      </c>
      <c r="T136" s="47">
        <f>IFERROR(HLOOKUP(B136-1,'EV Forecast VRZ'!$F$124:$T$130,5,FALSE)/12,0)+IFERROR(((HLOOKUP(B136,'EV Forecast VRZ'!$F$116:$T$122,5,FALSE)-HLOOKUP(B136-1,'EV Forecast VRZ'!$F$124:$T$130,5,FALSE)))*C136/78,0)</f>
        <v>124154.80867268573</v>
      </c>
      <c r="U136" s="47">
        <f ca="1">HLOOKUP(B136,Heating!$C$102:$O$106,5,FALSE)*INDEX(Weather!$BO$1:$CB$20,MATCH(B136,Weather!$BO$1:$BO$20,0),MATCH(C136,Weather!$BO$1:$CB$1,0))/VLOOKUP(B136,Weather!$BO$2:$CB$20,14,FALSE)</f>
        <v>390434.03170917608</v>
      </c>
      <c r="V136" s="47">
        <f t="shared" ca="1" si="125"/>
        <v>85940137.036151752</v>
      </c>
    </row>
    <row r="137" spans="1:22">
      <c r="A137" s="2">
        <f t="shared" si="128"/>
        <v>46142</v>
      </c>
      <c r="B137">
        <f t="shared" si="129"/>
        <v>2026</v>
      </c>
      <c r="C137">
        <f t="shared" si="130"/>
        <v>4</v>
      </c>
      <c r="E137" s="3">
        <f t="shared" ref="E137:F137" ca="1" si="158">E125</f>
        <v>412.37941287878795</v>
      </c>
      <c r="F137" s="3">
        <f t="shared" ca="1" si="158"/>
        <v>5.6420833333333338</v>
      </c>
      <c r="G137">
        <f t="shared" si="141"/>
        <v>1</v>
      </c>
      <c r="H137" s="3">
        <f t="shared" si="133"/>
        <v>30</v>
      </c>
      <c r="I137" s="391">
        <f t="shared" si="135"/>
        <v>880222</v>
      </c>
      <c r="J137" s="391">
        <f t="shared" si="136"/>
        <v>120</v>
      </c>
      <c r="L137" s="3">
        <f t="shared" si="145"/>
        <v>-38000000</v>
      </c>
      <c r="M137" s="3">
        <f t="shared" ca="1" si="146"/>
        <v>7305709.5547664789</v>
      </c>
      <c r="N137" s="3">
        <f t="shared" ca="1" si="147"/>
        <v>325694.56397500006</v>
      </c>
      <c r="O137" s="3">
        <f t="shared" si="148"/>
        <v>1538400</v>
      </c>
      <c r="P137" s="3">
        <f t="shared" si="149"/>
        <v>39667410</v>
      </c>
      <c r="Q137" s="3">
        <f t="shared" si="150"/>
        <v>79790601.515939996</v>
      </c>
      <c r="R137" s="3">
        <f t="shared" si="151"/>
        <v>-9668496</v>
      </c>
      <c r="S137" s="47">
        <f t="shared" ca="1" si="124"/>
        <v>80959319.634681478</v>
      </c>
      <c r="T137" s="47">
        <f>IFERROR(HLOOKUP(B137-1,'EV Forecast VRZ'!$F$124:$T$130,5,FALSE)/12,0)+IFERROR(((HLOOKUP(B137,'EV Forecast VRZ'!$F$116:$T$122,5,FALSE)-HLOOKUP(B137-1,'EV Forecast VRZ'!$F$124:$T$130,5,FALSE)))*C137/78,0)</f>
        <v>126878.32642725822</v>
      </c>
      <c r="U137" s="47">
        <f ca="1">HLOOKUP(B137,Heating!$C$102:$O$106,5,FALSE)*INDEX(Weather!$BO$1:$CB$20,MATCH(B137,Weather!$BO$1:$BO$20,0),MATCH(C137,Weather!$BO$1:$CB$1,0))/VLOOKUP(B137,Weather!$BO$2:$CB$20,14,FALSE)</f>
        <v>251943.06169074622</v>
      </c>
      <c r="V137" s="47">
        <f t="shared" ca="1" si="125"/>
        <v>81338141.022799477</v>
      </c>
    </row>
    <row r="138" spans="1:22">
      <c r="A138" s="2">
        <f t="shared" si="128"/>
        <v>46173</v>
      </c>
      <c r="B138">
        <f t="shared" si="129"/>
        <v>2026</v>
      </c>
      <c r="C138">
        <f t="shared" si="130"/>
        <v>5</v>
      </c>
      <c r="E138" s="3">
        <f t="shared" ref="E138:F138" ca="1" si="159">E126</f>
        <v>202.70273119310133</v>
      </c>
      <c r="F138" s="3">
        <f t="shared" ca="1" si="159"/>
        <v>86.191046176046171</v>
      </c>
      <c r="G138">
        <f t="shared" si="141"/>
        <v>1</v>
      </c>
      <c r="H138" s="3">
        <f t="shared" si="133"/>
        <v>31</v>
      </c>
      <c r="I138" s="391">
        <f t="shared" si="135"/>
        <v>880222</v>
      </c>
      <c r="J138" s="391">
        <f t="shared" si="136"/>
        <v>120</v>
      </c>
      <c r="L138" s="3">
        <f t="shared" si="145"/>
        <v>-38000000</v>
      </c>
      <c r="M138" s="3">
        <f t="shared" ca="1" si="146"/>
        <v>3591079.5587896714</v>
      </c>
      <c r="N138" s="3">
        <f t="shared" ca="1" si="147"/>
        <v>4975459.1600956712</v>
      </c>
      <c r="O138" s="3">
        <f t="shared" si="148"/>
        <v>1538400</v>
      </c>
      <c r="P138" s="3">
        <f t="shared" si="149"/>
        <v>40989657</v>
      </c>
      <c r="Q138" s="3">
        <f t="shared" si="150"/>
        <v>79790601.515939996</v>
      </c>
      <c r="R138" s="3">
        <f t="shared" si="151"/>
        <v>-9668496</v>
      </c>
      <c r="S138" s="47">
        <f t="shared" ca="1" si="124"/>
        <v>83216701.234825343</v>
      </c>
      <c r="T138" s="47">
        <f>IFERROR(HLOOKUP(B138-1,'EV Forecast VRZ'!$F$124:$T$130,5,FALSE)/12,0)+IFERROR(((HLOOKUP(B138,'EV Forecast VRZ'!$F$116:$T$122,5,FALSE)-HLOOKUP(B138-1,'EV Forecast VRZ'!$F$124:$T$130,5,FALSE)))*C138/78,0)</f>
        <v>129601.84418183069</v>
      </c>
      <c r="U138" s="47">
        <f ca="1">HLOOKUP(B138,Heating!$C$102:$O$106,5,FALSE)*INDEX(Weather!$BO$1:$CB$20,MATCH(B138,Weather!$BO$1:$BO$20,0),MATCH(C138,Weather!$BO$1:$CB$1,0))/VLOOKUP(B138,Weather!$BO$2:$CB$20,14,FALSE)</f>
        <v>107333.84634579896</v>
      </c>
      <c r="V138" s="47">
        <f t="shared" ca="1" si="125"/>
        <v>83453636.925352976</v>
      </c>
    </row>
    <row r="139" spans="1:22">
      <c r="A139" s="2">
        <f t="shared" si="128"/>
        <v>46203</v>
      </c>
      <c r="B139">
        <f t="shared" si="129"/>
        <v>2026</v>
      </c>
      <c r="C139">
        <f t="shared" si="130"/>
        <v>6</v>
      </c>
      <c r="E139" s="3">
        <f t="shared" ref="E139:F139" ca="1" si="160">E127</f>
        <v>66.09717382617383</v>
      </c>
      <c r="F139" s="3">
        <f t="shared" ca="1" si="160"/>
        <v>194.94285087738348</v>
      </c>
      <c r="G139">
        <f t="shared" si="141"/>
        <v>0</v>
      </c>
      <c r="H139" s="3">
        <f t="shared" si="133"/>
        <v>30</v>
      </c>
      <c r="I139" s="391">
        <f t="shared" si="135"/>
        <v>880222</v>
      </c>
      <c r="J139" s="391">
        <f t="shared" si="136"/>
        <v>120</v>
      </c>
      <c r="L139" s="3">
        <f t="shared" si="145"/>
        <v>-38000000</v>
      </c>
      <c r="M139" s="3">
        <f t="shared" ca="1" si="146"/>
        <v>1170976.8705327574</v>
      </c>
      <c r="N139" s="3">
        <f t="shared" ca="1" si="147"/>
        <v>11253259.313176787</v>
      </c>
      <c r="O139" s="3">
        <f t="shared" si="148"/>
        <v>0</v>
      </c>
      <c r="P139" s="3">
        <f t="shared" si="149"/>
        <v>39667410</v>
      </c>
      <c r="Q139" s="3">
        <f t="shared" si="150"/>
        <v>79790601.515939996</v>
      </c>
      <c r="R139" s="3">
        <f t="shared" si="151"/>
        <v>-9668496</v>
      </c>
      <c r="S139" s="47">
        <f t="shared" ca="1" si="124"/>
        <v>84213751.699649543</v>
      </c>
      <c r="T139" s="47">
        <f>IFERROR(HLOOKUP(B139-1,'EV Forecast VRZ'!$F$124:$T$130,5,FALSE)/12,0)+IFERROR(((HLOOKUP(B139,'EV Forecast VRZ'!$F$116:$T$122,5,FALSE)-HLOOKUP(B139-1,'EV Forecast VRZ'!$F$124:$T$130,5,FALSE)))*C139/78,0)</f>
        <v>132325.36193640318</v>
      </c>
      <c r="U139" s="47">
        <f ca="1">HLOOKUP(B139,Heating!$C$102:$O$106,5,FALSE)*INDEX(Weather!$BO$1:$CB$20,MATCH(B139,Weather!$BO$1:$BO$20,0),MATCH(C139,Weather!$BO$1:$CB$1,0))/VLOOKUP(B139,Weather!$BO$2:$CB$20,14,FALSE)</f>
        <v>23249.420300679754</v>
      </c>
      <c r="V139" s="47">
        <f t="shared" ca="1" si="125"/>
        <v>84369326.481886625</v>
      </c>
    </row>
    <row r="140" spans="1:22">
      <c r="A140" s="2">
        <f t="shared" si="128"/>
        <v>46234</v>
      </c>
      <c r="B140">
        <f t="shared" si="129"/>
        <v>2026</v>
      </c>
      <c r="C140">
        <f t="shared" si="130"/>
        <v>7</v>
      </c>
      <c r="E140" s="3">
        <f t="shared" ref="E140:F140" ca="1" si="161">E128</f>
        <v>10.249063146997932</v>
      </c>
      <c r="F140" s="3">
        <f t="shared" ca="1" si="161"/>
        <v>297.94737858727848</v>
      </c>
      <c r="G140">
        <f t="shared" si="141"/>
        <v>0</v>
      </c>
      <c r="H140" s="3">
        <f t="shared" si="133"/>
        <v>31</v>
      </c>
      <c r="I140" s="391">
        <f t="shared" si="135"/>
        <v>880222</v>
      </c>
      <c r="J140" s="391">
        <f t="shared" si="136"/>
        <v>120</v>
      </c>
      <c r="L140" s="3">
        <f t="shared" si="145"/>
        <v>-38000000</v>
      </c>
      <c r="M140" s="3">
        <f t="shared" ca="1" si="146"/>
        <v>181572.30022158389</v>
      </c>
      <c r="N140" s="3">
        <f t="shared" ca="1" si="147"/>
        <v>17199292.499486525</v>
      </c>
      <c r="O140" s="3">
        <f t="shared" si="148"/>
        <v>0</v>
      </c>
      <c r="P140" s="3">
        <f t="shared" si="149"/>
        <v>40989657</v>
      </c>
      <c r="Q140" s="3">
        <f t="shared" si="150"/>
        <v>79790601.515939996</v>
      </c>
      <c r="R140" s="3">
        <f t="shared" si="151"/>
        <v>-9668496</v>
      </c>
      <c r="S140" s="47">
        <f t="shared" ca="1" si="124"/>
        <v>90492627.315648109</v>
      </c>
      <c r="T140" s="47">
        <f>IFERROR(HLOOKUP(B140-1,'EV Forecast VRZ'!$F$124:$T$130,5,FALSE)/12,0)+IFERROR(((HLOOKUP(B140,'EV Forecast VRZ'!$F$116:$T$122,5,FALSE)-HLOOKUP(B140-1,'EV Forecast VRZ'!$F$124:$T$130,5,FALSE)))*C140/78,0)</f>
        <v>135048.87969097565</v>
      </c>
      <c r="U140" s="47">
        <f ca="1">HLOOKUP(B140,Heating!$C$102:$O$106,5,FALSE)*INDEX(Weather!$BO$1:$CB$20,MATCH(B140,Weather!$BO$1:$BO$20,0),MATCH(C140,Weather!$BO$1:$CB$1,0))/VLOOKUP(B140,Weather!$BO$2:$CB$20,14,FALSE)</f>
        <v>1156.6591649076679</v>
      </c>
      <c r="V140" s="47">
        <f t="shared" ca="1" si="125"/>
        <v>90628832.854503989</v>
      </c>
    </row>
    <row r="141" spans="1:22">
      <c r="A141" s="2">
        <f t="shared" si="128"/>
        <v>46265</v>
      </c>
      <c r="B141">
        <f t="shared" si="129"/>
        <v>2026</v>
      </c>
      <c r="C141">
        <f t="shared" si="130"/>
        <v>8</v>
      </c>
      <c r="E141" s="3">
        <f t="shared" ref="E141:F141" ca="1" si="162">E129</f>
        <v>21.194927536231887</v>
      </c>
      <c r="F141" s="3">
        <f t="shared" ca="1" si="162"/>
        <v>272.96558794466404</v>
      </c>
      <c r="G141">
        <f t="shared" si="141"/>
        <v>0</v>
      </c>
      <c r="H141" s="3">
        <f t="shared" si="133"/>
        <v>31</v>
      </c>
      <c r="I141" s="391">
        <f t="shared" si="135"/>
        <v>880222</v>
      </c>
      <c r="J141" s="391">
        <f t="shared" si="136"/>
        <v>120</v>
      </c>
      <c r="L141" s="3">
        <f t="shared" si="145"/>
        <v>-38000000</v>
      </c>
      <c r="M141" s="3">
        <f t="shared" ca="1" si="146"/>
        <v>375489.1242826088</v>
      </c>
      <c r="N141" s="3">
        <f t="shared" ca="1" si="147"/>
        <v>15757195.151758401</v>
      </c>
      <c r="O141" s="3">
        <f t="shared" si="148"/>
        <v>0</v>
      </c>
      <c r="P141" s="3">
        <f t="shared" si="149"/>
        <v>40989657</v>
      </c>
      <c r="Q141" s="3">
        <f t="shared" si="150"/>
        <v>79790601.515939996</v>
      </c>
      <c r="R141" s="3">
        <f t="shared" si="151"/>
        <v>-9668496</v>
      </c>
      <c r="S141" s="47">
        <f t="shared" ca="1" si="124"/>
        <v>89244446.791981012</v>
      </c>
      <c r="T141" s="47">
        <f>IFERROR(HLOOKUP(B141-1,'EV Forecast VRZ'!$F$124:$T$130,5,FALSE)/12,0)+IFERROR(((HLOOKUP(B141,'EV Forecast VRZ'!$F$116:$T$122,5,FALSE)-HLOOKUP(B141-1,'EV Forecast VRZ'!$F$124:$T$130,5,FALSE)))*C141/78,0)</f>
        <v>137772.39744554812</v>
      </c>
      <c r="U141" s="47">
        <f ca="1">HLOOKUP(B141,Heating!$C$102:$O$106,5,FALSE)*INDEX(Weather!$BO$1:$CB$20,MATCH(B141,Weather!$BO$1:$BO$20,0),MATCH(C141,Weather!$BO$1:$CB$1,0))/VLOOKUP(B141,Weather!$BO$2:$CB$20,14,FALSE)</f>
        <v>4039.221806888484</v>
      </c>
      <c r="V141" s="47">
        <f t="shared" ca="1" si="125"/>
        <v>89386258.41123344</v>
      </c>
    </row>
    <row r="142" spans="1:22">
      <c r="A142" s="2">
        <f t="shared" si="128"/>
        <v>46295</v>
      </c>
      <c r="B142">
        <f t="shared" si="129"/>
        <v>2026</v>
      </c>
      <c r="C142">
        <f t="shared" si="130"/>
        <v>9</v>
      </c>
      <c r="E142" s="3">
        <f t="shared" ref="E142:F142" ca="1" si="163">E130</f>
        <v>96.735690993788822</v>
      </c>
      <c r="F142" s="3">
        <f t="shared" ca="1" si="163"/>
        <v>158.67014233954447</v>
      </c>
      <c r="G142">
        <f t="shared" si="141"/>
        <v>1</v>
      </c>
      <c r="H142" s="3">
        <f t="shared" si="133"/>
        <v>30</v>
      </c>
      <c r="I142" s="391">
        <f t="shared" si="135"/>
        <v>880222</v>
      </c>
      <c r="J142" s="391">
        <f t="shared" si="136"/>
        <v>120</v>
      </c>
      <c r="L142" s="3">
        <f t="shared" si="145"/>
        <v>-38000000</v>
      </c>
      <c r="M142" s="3">
        <f t="shared" ca="1" si="146"/>
        <v>1713768.5342890529</v>
      </c>
      <c r="N142" s="3">
        <f t="shared" ca="1" si="147"/>
        <v>9159383.1164840031</v>
      </c>
      <c r="O142" s="3">
        <f t="shared" si="148"/>
        <v>1538400</v>
      </c>
      <c r="P142" s="3">
        <f t="shared" si="149"/>
        <v>39667410</v>
      </c>
      <c r="Q142" s="3">
        <f t="shared" si="150"/>
        <v>79790601.515939996</v>
      </c>
      <c r="R142" s="3">
        <f t="shared" si="151"/>
        <v>-9668496</v>
      </c>
      <c r="S142" s="47">
        <f t="shared" ca="1" si="124"/>
        <v>84201067.166713059</v>
      </c>
      <c r="T142" s="47">
        <f>IFERROR(HLOOKUP(B142-1,'EV Forecast VRZ'!$F$124:$T$130,5,FALSE)/12,0)+IFERROR(((HLOOKUP(B142,'EV Forecast VRZ'!$F$116:$T$122,5,FALSE)-HLOOKUP(B142-1,'EV Forecast VRZ'!$F$124:$T$130,5,FALSE)))*C142/78,0)</f>
        <v>140495.91520012062</v>
      </c>
      <c r="U142" s="47">
        <f ca="1">HLOOKUP(B142,Heating!$C$102:$O$106,5,FALSE)*INDEX(Weather!$BO$1:$CB$20,MATCH(B142,Weather!$BO$1:$BO$20,0),MATCH(C142,Weather!$BO$1:$CB$1,0))/VLOOKUP(B142,Weather!$BO$2:$CB$20,14,FALSE)</f>
        <v>39290.862399382793</v>
      </c>
      <c r="V142" s="47">
        <f t="shared" ca="1" si="125"/>
        <v>84380853.944312558</v>
      </c>
    </row>
    <row r="143" spans="1:22">
      <c r="A143" s="2">
        <f t="shared" si="128"/>
        <v>46326</v>
      </c>
      <c r="B143">
        <f t="shared" si="129"/>
        <v>2026</v>
      </c>
      <c r="C143">
        <f t="shared" si="130"/>
        <v>10</v>
      </c>
      <c r="E143" s="3">
        <f t="shared" ref="E143:F143" ca="1" si="164">E131</f>
        <v>298.21097826086958</v>
      </c>
      <c r="F143" s="3">
        <f t="shared" ca="1" si="164"/>
        <v>35.32833333333334</v>
      </c>
      <c r="G143">
        <f t="shared" ref="G143:G158" si="165">G131</f>
        <v>1</v>
      </c>
      <c r="H143" s="3">
        <f t="shared" si="133"/>
        <v>31</v>
      </c>
      <c r="I143" s="391">
        <f t="shared" si="135"/>
        <v>880222</v>
      </c>
      <c r="J143" s="391">
        <f t="shared" si="136"/>
        <v>120</v>
      </c>
      <c r="L143" s="3">
        <f t="shared" si="145"/>
        <v>-38000000</v>
      </c>
      <c r="M143" s="3">
        <f t="shared" ca="1" si="146"/>
        <v>5283102.7087597838</v>
      </c>
      <c r="N143" s="3">
        <f t="shared" ca="1" si="147"/>
        <v>2039361.2503000004</v>
      </c>
      <c r="O143" s="3">
        <f t="shared" si="148"/>
        <v>1538400</v>
      </c>
      <c r="P143" s="3">
        <f t="shared" si="149"/>
        <v>40989657</v>
      </c>
      <c r="Q143" s="3">
        <f t="shared" si="150"/>
        <v>79790601.515939996</v>
      </c>
      <c r="R143" s="3">
        <f t="shared" si="151"/>
        <v>-9668496</v>
      </c>
      <c r="S143" s="47">
        <f t="shared" ca="1" si="124"/>
        <v>81972626.474999785</v>
      </c>
      <c r="T143" s="47">
        <f>IFERROR(HLOOKUP(B143-1,'EV Forecast VRZ'!$F$124:$T$130,5,FALSE)/12,0)+IFERROR(((HLOOKUP(B143,'EV Forecast VRZ'!$F$116:$T$122,5,FALSE)-HLOOKUP(B143-1,'EV Forecast VRZ'!$F$124:$T$130,5,FALSE)))*C143/78,0)</f>
        <v>143219.4329546931</v>
      </c>
      <c r="U143" s="47">
        <f ca="1">HLOOKUP(B143,Heating!$C$102:$O$106,5,FALSE)*INDEX(Weather!$BO$1:$CB$20,MATCH(B143,Weather!$BO$1:$BO$20,0),MATCH(C143,Weather!$BO$1:$CB$1,0))/VLOOKUP(B143,Weather!$BO$2:$CB$20,14,FALSE)</f>
        <v>170073.98038593732</v>
      </c>
      <c r="V143" s="47">
        <f t="shared" ca="1" si="125"/>
        <v>82285919.888340428</v>
      </c>
    </row>
    <row r="144" spans="1:22">
      <c r="A144" s="2">
        <f t="shared" si="128"/>
        <v>46356</v>
      </c>
      <c r="B144">
        <f t="shared" si="129"/>
        <v>2026</v>
      </c>
      <c r="C144">
        <f t="shared" si="130"/>
        <v>11</v>
      </c>
      <c r="E144" s="3">
        <f t="shared" ref="E144:F144" ca="1" si="166">E132</f>
        <v>486.62991389045737</v>
      </c>
      <c r="F144" s="3">
        <f t="shared" ca="1" si="166"/>
        <v>2.2779166666666657</v>
      </c>
      <c r="G144">
        <f t="shared" si="165"/>
        <v>1</v>
      </c>
      <c r="H144" s="3">
        <f t="shared" si="133"/>
        <v>30</v>
      </c>
      <c r="I144" s="391">
        <f t="shared" si="135"/>
        <v>880222</v>
      </c>
      <c r="J144" s="391">
        <f t="shared" si="136"/>
        <v>120</v>
      </c>
      <c r="L144" s="3">
        <f t="shared" si="145"/>
        <v>-38000000</v>
      </c>
      <c r="M144" s="3">
        <f t="shared" ca="1" si="146"/>
        <v>8621130.6881842054</v>
      </c>
      <c r="N144" s="3">
        <f t="shared" ca="1" si="147"/>
        <v>131494.88082499994</v>
      </c>
      <c r="O144" s="3">
        <f t="shared" si="148"/>
        <v>1538400</v>
      </c>
      <c r="P144" s="3">
        <f t="shared" si="149"/>
        <v>39667410</v>
      </c>
      <c r="Q144" s="3">
        <f t="shared" si="150"/>
        <v>79790601.515939996</v>
      </c>
      <c r="R144" s="3">
        <f t="shared" si="151"/>
        <v>-9668496</v>
      </c>
      <c r="S144" s="47">
        <f t="shared" ca="1" si="124"/>
        <v>82080541.084949195</v>
      </c>
      <c r="T144" s="47">
        <f>IFERROR(HLOOKUP(B144-1,'EV Forecast VRZ'!$F$124:$T$130,5,FALSE)/12,0)+IFERROR(((HLOOKUP(B144,'EV Forecast VRZ'!$F$116:$T$122,5,FALSE)-HLOOKUP(B144-1,'EV Forecast VRZ'!$F$124:$T$130,5,FALSE)))*C144/78,0)</f>
        <v>145942.95070926557</v>
      </c>
      <c r="U144" s="47">
        <f ca="1">HLOOKUP(B144,Heating!$C$102:$O$106,5,FALSE)*INDEX(Weather!$BO$1:$CB$20,MATCH(B144,Weather!$BO$1:$BO$20,0),MATCH(C144,Weather!$BO$1:$CB$1,0))/VLOOKUP(B144,Weather!$BO$2:$CB$20,14,FALSE)</f>
        <v>305000.50471810478</v>
      </c>
      <c r="V144" s="47">
        <f t="shared" ca="1" si="125"/>
        <v>82531484.540376574</v>
      </c>
    </row>
    <row r="145" spans="1:22">
      <c r="A145" s="2">
        <f t="shared" si="128"/>
        <v>46387</v>
      </c>
      <c r="B145">
        <f t="shared" si="129"/>
        <v>2026</v>
      </c>
      <c r="C145">
        <f t="shared" si="130"/>
        <v>12</v>
      </c>
      <c r="E145" s="3">
        <f t="shared" ref="E145:F145" ca="1" si="167">E133</f>
        <v>639.92800724637686</v>
      </c>
      <c r="F145" s="3">
        <f t="shared" ca="1" si="167"/>
        <v>0</v>
      </c>
      <c r="G145">
        <f t="shared" si="165"/>
        <v>0</v>
      </c>
      <c r="H145" s="3">
        <f t="shared" si="133"/>
        <v>31</v>
      </c>
      <c r="I145" s="391">
        <f t="shared" si="135"/>
        <v>880222</v>
      </c>
      <c r="J145" s="391">
        <f t="shared" si="136"/>
        <v>120</v>
      </c>
      <c r="L145" s="3">
        <f t="shared" si="145"/>
        <v>-38000000</v>
      </c>
      <c r="M145" s="3">
        <f t="shared" ca="1" si="146"/>
        <v>11336958.177096741</v>
      </c>
      <c r="N145" s="3">
        <f t="shared" ca="1" si="147"/>
        <v>0</v>
      </c>
      <c r="O145" s="3">
        <f t="shared" si="148"/>
        <v>0</v>
      </c>
      <c r="P145" s="3">
        <f t="shared" si="149"/>
        <v>40989657</v>
      </c>
      <c r="Q145" s="3">
        <f t="shared" si="150"/>
        <v>79790601.515939996</v>
      </c>
      <c r="R145" s="3">
        <f t="shared" si="151"/>
        <v>-9668496</v>
      </c>
      <c r="S145" s="47">
        <f t="shared" ca="1" si="124"/>
        <v>84448720.693036735</v>
      </c>
      <c r="T145" s="47">
        <f>IFERROR(HLOOKUP(B145-1,'EV Forecast VRZ'!$F$124:$T$130,5,FALSE)/12,0)+IFERROR(((HLOOKUP(B145,'EV Forecast VRZ'!$F$116:$T$122,5,FALSE)-HLOOKUP(B145-1,'EV Forecast VRZ'!$F$124:$T$130,5,FALSE)))*C145/78,0)</f>
        <v>148666.46846383804</v>
      </c>
      <c r="U145" s="47">
        <f ca="1">HLOOKUP(B145,Heating!$C$102:$O$106,5,FALSE)*INDEX(Weather!$BO$1:$CB$20,MATCH(B145,Weather!$BO$1:$BO$20,0),MATCH(C145,Weather!$BO$1:$CB$1,0))/VLOOKUP(B145,Weather!$BO$2:$CB$20,14,FALSE)</f>
        <v>413164.49728870299</v>
      </c>
      <c r="V145" s="47">
        <f t="shared" ca="1" si="125"/>
        <v>85010551.658789277</v>
      </c>
    </row>
    <row r="146" spans="1:22">
      <c r="A146" s="2">
        <f t="shared" si="128"/>
        <v>46418</v>
      </c>
      <c r="B146">
        <f t="shared" si="129"/>
        <v>2027</v>
      </c>
      <c r="C146">
        <f t="shared" si="130"/>
        <v>1</v>
      </c>
      <c r="E146" s="3">
        <f t="shared" ref="E146:F146" ca="1" si="168">E134</f>
        <v>759.33418478260865</v>
      </c>
      <c r="F146" s="3">
        <f t="shared" ca="1" si="168"/>
        <v>0</v>
      </c>
      <c r="G146">
        <f t="shared" si="165"/>
        <v>0</v>
      </c>
      <c r="H146" s="3">
        <f t="shared" si="133"/>
        <v>31</v>
      </c>
      <c r="I146" s="391">
        <f t="shared" si="135"/>
        <v>880222</v>
      </c>
      <c r="J146" s="391">
        <f t="shared" si="136"/>
        <v>120</v>
      </c>
      <c r="L146" s="3">
        <f t="shared" si="145"/>
        <v>-38000000</v>
      </c>
      <c r="M146" s="3">
        <f t="shared" ca="1" si="146"/>
        <v>13452356.824266847</v>
      </c>
      <c r="N146" s="3">
        <f t="shared" ca="1" si="147"/>
        <v>0</v>
      </c>
      <c r="O146" s="3">
        <f t="shared" si="148"/>
        <v>0</v>
      </c>
      <c r="P146" s="3">
        <f t="shared" si="149"/>
        <v>40989657</v>
      </c>
      <c r="Q146" s="3">
        <f t="shared" si="150"/>
        <v>79790601.515939996</v>
      </c>
      <c r="R146" s="3">
        <f t="shared" si="151"/>
        <v>-9668496</v>
      </c>
      <c r="S146" s="47">
        <f t="shared" ca="1" si="124"/>
        <v>86564119.340206847</v>
      </c>
      <c r="T146" s="47">
        <f>IFERROR(HLOOKUP(B146-1,'EV Forecast VRZ'!$F$124:$T$130,5,FALSE)/12,0)+IFERROR(((HLOOKUP(B146,'EV Forecast VRZ'!$F$116:$T$122,5,FALSE)-HLOOKUP(B146-1,'EV Forecast VRZ'!$F$124:$T$130,5,FALSE)))*C146/78,0)</f>
        <v>154214.36390777759</v>
      </c>
      <c r="U146" s="47">
        <f ca="1">HLOOKUP(B146,Heating!$C$102:$O$106,5,FALSE)*INDEX(Weather!$BO$1:$CB$20,MATCH(B146,Weather!$BO$1:$BO$20,0),MATCH(C146,Weather!$BO$1:$CB$1,0))/VLOOKUP(B146,Weather!$BO$2:$CB$20,14,FALSE)</f>
        <v>580422.696272559</v>
      </c>
      <c r="V146" s="47">
        <f t="shared" ca="1" si="125"/>
        <v>87298756.400387183</v>
      </c>
    </row>
    <row r="147" spans="1:22">
      <c r="A147" s="2">
        <f t="shared" si="128"/>
        <v>46446</v>
      </c>
      <c r="B147">
        <f t="shared" si="129"/>
        <v>2027</v>
      </c>
      <c r="C147">
        <f t="shared" si="130"/>
        <v>2</v>
      </c>
      <c r="E147" s="3">
        <f t="shared" ref="E147:F147" ca="1" si="169">E135</f>
        <v>680.85501811594202</v>
      </c>
      <c r="F147" s="3">
        <f t="shared" ca="1" si="169"/>
        <v>0</v>
      </c>
      <c r="G147">
        <f t="shared" si="165"/>
        <v>0</v>
      </c>
      <c r="H147" s="3">
        <f t="shared" si="133"/>
        <v>29</v>
      </c>
      <c r="I147" s="391">
        <f t="shared" si="135"/>
        <v>880222</v>
      </c>
      <c r="J147" s="391">
        <f t="shared" si="136"/>
        <v>120</v>
      </c>
      <c r="L147" s="3">
        <f t="shared" si="145"/>
        <v>-38000000</v>
      </c>
      <c r="M147" s="3">
        <f t="shared" ca="1" si="146"/>
        <v>12062020.692391848</v>
      </c>
      <c r="N147" s="3">
        <f t="shared" ca="1" si="147"/>
        <v>0</v>
      </c>
      <c r="O147" s="3">
        <f t="shared" si="148"/>
        <v>0</v>
      </c>
      <c r="P147" s="3">
        <f t="shared" si="149"/>
        <v>38345163</v>
      </c>
      <c r="Q147" s="3">
        <f t="shared" si="150"/>
        <v>79790601.515939996</v>
      </c>
      <c r="R147" s="3">
        <f t="shared" si="151"/>
        <v>-9668496</v>
      </c>
      <c r="S147" s="47">
        <f t="shared" ca="1" si="124"/>
        <v>82529289.208331853</v>
      </c>
      <c r="T147" s="47">
        <f>IFERROR(HLOOKUP(B147-1,'EV Forecast VRZ'!$F$124:$T$130,5,FALSE)/12,0)+IFERROR(((HLOOKUP(B147,'EV Forecast VRZ'!$F$116:$T$122,5,FALSE)-HLOOKUP(B147-1,'EV Forecast VRZ'!$F$124:$T$130,5,FALSE)))*C147/78,0)</f>
        <v>157038.74159714463</v>
      </c>
      <c r="U147" s="47">
        <f ca="1">HLOOKUP(B147,Heating!$C$102:$O$106,5,FALSE)*INDEX(Weather!$BO$1:$CB$20,MATCH(B147,Weather!$BO$1:$BO$20,0),MATCH(C147,Weather!$BO$1:$CB$1,0))/VLOOKUP(B147,Weather!$BO$2:$CB$20,14,FALSE)</f>
        <v>519595.60951322882</v>
      </c>
      <c r="V147" s="47">
        <f t="shared" ca="1" si="125"/>
        <v>83205923.559442222</v>
      </c>
    </row>
    <row r="148" spans="1:22">
      <c r="A148" s="2">
        <f t="shared" si="128"/>
        <v>46477</v>
      </c>
      <c r="B148">
        <f t="shared" si="129"/>
        <v>2027</v>
      </c>
      <c r="C148">
        <f t="shared" si="130"/>
        <v>3</v>
      </c>
      <c r="E148" s="3">
        <f t="shared" ref="E148:F148" ca="1" si="170">E136</f>
        <v>608.13298913043479</v>
      </c>
      <c r="F148" s="3">
        <f t="shared" ca="1" si="170"/>
        <v>2.9583333333332896E-2</v>
      </c>
      <c r="G148">
        <f t="shared" si="165"/>
        <v>1</v>
      </c>
      <c r="H148" s="3">
        <f t="shared" si="133"/>
        <v>31</v>
      </c>
      <c r="I148" s="391">
        <f t="shared" si="135"/>
        <v>880222</v>
      </c>
      <c r="J148" s="391">
        <f t="shared" si="136"/>
        <v>120</v>
      </c>
      <c r="L148" s="3">
        <f t="shared" si="145"/>
        <v>-38000000</v>
      </c>
      <c r="M148" s="3">
        <f t="shared" ca="1" si="146"/>
        <v>10773677.954104893</v>
      </c>
      <c r="N148" s="3">
        <f t="shared" ca="1" si="147"/>
        <v>1707.7257249999748</v>
      </c>
      <c r="O148" s="3">
        <f t="shared" si="148"/>
        <v>1538400</v>
      </c>
      <c r="P148" s="3">
        <f t="shared" si="149"/>
        <v>40989657</v>
      </c>
      <c r="Q148" s="3">
        <f t="shared" si="150"/>
        <v>79790601.515939996</v>
      </c>
      <c r="R148" s="3">
        <f t="shared" si="151"/>
        <v>-9668496</v>
      </c>
      <c r="S148" s="47">
        <f t="shared" ca="1" si="124"/>
        <v>85425548.195769891</v>
      </c>
      <c r="T148" s="47">
        <f>IFERROR(HLOOKUP(B148-1,'EV Forecast VRZ'!$F$124:$T$130,5,FALSE)/12,0)+IFERROR(((HLOOKUP(B148,'EV Forecast VRZ'!$F$116:$T$122,5,FALSE)-HLOOKUP(B148-1,'EV Forecast VRZ'!$F$124:$T$130,5,FALSE)))*C148/78,0)</f>
        <v>159863.11928651168</v>
      </c>
      <c r="U148" s="47">
        <f ca="1">HLOOKUP(B148,Heating!$C$102:$O$106,5,FALSE)*INDEX(Weather!$BO$1:$CB$20,MATCH(B148,Weather!$BO$1:$BO$20,0),MATCH(C148,Weather!$BO$1:$CB$1,0))/VLOOKUP(B148,Weather!$BO$2:$CB$20,14,FALSE)</f>
        <v>454571.12098024983</v>
      </c>
      <c r="V148" s="47">
        <f t="shared" ca="1" si="125"/>
        <v>86039982.436036646</v>
      </c>
    </row>
    <row r="149" spans="1:22">
      <c r="A149" s="2">
        <f t="shared" si="128"/>
        <v>46507</v>
      </c>
      <c r="B149">
        <f t="shared" si="129"/>
        <v>2027</v>
      </c>
      <c r="C149">
        <f t="shared" si="130"/>
        <v>4</v>
      </c>
      <c r="E149" s="3">
        <f t="shared" ref="E149:F149" ca="1" si="171">E137</f>
        <v>412.37941287878795</v>
      </c>
      <c r="F149" s="3">
        <f t="shared" ca="1" si="171"/>
        <v>5.6420833333333338</v>
      </c>
      <c r="G149">
        <f t="shared" si="165"/>
        <v>1</v>
      </c>
      <c r="H149" s="3">
        <f t="shared" si="133"/>
        <v>30</v>
      </c>
      <c r="I149" s="391">
        <f t="shared" si="135"/>
        <v>880222</v>
      </c>
      <c r="J149" s="391">
        <f t="shared" si="136"/>
        <v>120</v>
      </c>
      <c r="L149" s="3">
        <f t="shared" si="145"/>
        <v>-38000000</v>
      </c>
      <c r="M149" s="3">
        <f t="shared" ca="1" si="146"/>
        <v>7305709.5547664789</v>
      </c>
      <c r="N149" s="3">
        <f t="shared" ca="1" si="147"/>
        <v>325694.56397500006</v>
      </c>
      <c r="O149" s="3">
        <f t="shared" si="148"/>
        <v>1538400</v>
      </c>
      <c r="P149" s="3">
        <f t="shared" si="149"/>
        <v>39667410</v>
      </c>
      <c r="Q149" s="3">
        <f t="shared" si="150"/>
        <v>79790601.515939996</v>
      </c>
      <c r="R149" s="3">
        <f t="shared" si="151"/>
        <v>-9668496</v>
      </c>
      <c r="S149" s="47">
        <f t="shared" ca="1" si="124"/>
        <v>80959319.634681478</v>
      </c>
      <c r="T149" s="47">
        <f>IFERROR(HLOOKUP(B149-1,'EV Forecast VRZ'!$F$124:$T$130,5,FALSE)/12,0)+IFERROR(((HLOOKUP(B149,'EV Forecast VRZ'!$F$116:$T$122,5,FALSE)-HLOOKUP(B149-1,'EV Forecast VRZ'!$F$124:$T$130,5,FALSE)))*C149/78,0)</f>
        <v>162687.49697587872</v>
      </c>
      <c r="U149" s="47">
        <f ca="1">HLOOKUP(B149,Heating!$C$102:$O$106,5,FALSE)*INDEX(Weather!$BO$1:$CB$20,MATCH(B149,Weather!$BO$1:$BO$20,0),MATCH(C149,Weather!$BO$1:$CB$1,0))/VLOOKUP(B149,Weather!$BO$2:$CB$20,14,FALSE)</f>
        <v>293330.06519592064</v>
      </c>
      <c r="V149" s="47">
        <f t="shared" ca="1" si="125"/>
        <v>81415337.19685328</v>
      </c>
    </row>
    <row r="150" spans="1:22">
      <c r="A150" s="2">
        <f t="shared" si="128"/>
        <v>46538</v>
      </c>
      <c r="B150">
        <f t="shared" si="129"/>
        <v>2027</v>
      </c>
      <c r="C150">
        <f t="shared" si="130"/>
        <v>5</v>
      </c>
      <c r="E150" s="3">
        <f t="shared" ref="E150:F150" ca="1" si="172">E138</f>
        <v>202.70273119310133</v>
      </c>
      <c r="F150" s="3">
        <f t="shared" ca="1" si="172"/>
        <v>86.191046176046171</v>
      </c>
      <c r="G150">
        <f t="shared" si="165"/>
        <v>1</v>
      </c>
      <c r="H150" s="3">
        <f t="shared" si="133"/>
        <v>31</v>
      </c>
      <c r="I150" s="391">
        <f t="shared" si="135"/>
        <v>880222</v>
      </c>
      <c r="J150" s="391">
        <f t="shared" si="136"/>
        <v>120</v>
      </c>
      <c r="L150" s="3">
        <f t="shared" si="145"/>
        <v>-38000000</v>
      </c>
      <c r="M150" s="3">
        <f t="shared" ca="1" si="146"/>
        <v>3591079.5587896714</v>
      </c>
      <c r="N150" s="3">
        <f t="shared" ca="1" si="147"/>
        <v>4975459.1600956712</v>
      </c>
      <c r="O150" s="3">
        <f t="shared" si="148"/>
        <v>1538400</v>
      </c>
      <c r="P150" s="3">
        <f t="shared" si="149"/>
        <v>40989657</v>
      </c>
      <c r="Q150" s="3">
        <f t="shared" si="150"/>
        <v>79790601.515939996</v>
      </c>
      <c r="R150" s="3">
        <f t="shared" si="151"/>
        <v>-9668496</v>
      </c>
      <c r="S150" s="47">
        <f t="shared" ca="1" si="124"/>
        <v>83216701.234825343</v>
      </c>
      <c r="T150" s="47">
        <f>IFERROR(HLOOKUP(B150-1,'EV Forecast VRZ'!$F$124:$T$130,5,FALSE)/12,0)+IFERROR(((HLOOKUP(B150,'EV Forecast VRZ'!$F$116:$T$122,5,FALSE)-HLOOKUP(B150-1,'EV Forecast VRZ'!$F$124:$T$130,5,FALSE)))*C150/78,0)</f>
        <v>165511.87466524576</v>
      </c>
      <c r="U150" s="47">
        <f ca="1">HLOOKUP(B150,Heating!$C$102:$O$106,5,FALSE)*INDEX(Weather!$BO$1:$CB$20,MATCH(B150,Weather!$BO$1:$BO$20,0),MATCH(C150,Weather!$BO$1:$CB$1,0))/VLOOKUP(B150,Weather!$BO$2:$CB$20,14,FALSE)</f>
        <v>124965.71223298163</v>
      </c>
      <c r="V150" s="47">
        <f t="shared" ca="1" si="125"/>
        <v>83507178.821723565</v>
      </c>
    </row>
    <row r="151" spans="1:22">
      <c r="A151" s="2">
        <f t="shared" si="128"/>
        <v>46568</v>
      </c>
      <c r="B151">
        <f t="shared" si="129"/>
        <v>2027</v>
      </c>
      <c r="C151">
        <f t="shared" si="130"/>
        <v>6</v>
      </c>
      <c r="E151" s="3">
        <f t="shared" ref="E151:F151" ca="1" si="173">E139</f>
        <v>66.09717382617383</v>
      </c>
      <c r="F151" s="3">
        <f t="shared" ca="1" si="173"/>
        <v>194.94285087738348</v>
      </c>
      <c r="G151">
        <f t="shared" si="165"/>
        <v>0</v>
      </c>
      <c r="H151" s="3">
        <f t="shared" si="133"/>
        <v>30</v>
      </c>
      <c r="I151" s="391">
        <f t="shared" si="135"/>
        <v>880222</v>
      </c>
      <c r="J151" s="391">
        <f t="shared" si="136"/>
        <v>120</v>
      </c>
      <c r="L151" s="3">
        <f t="shared" si="145"/>
        <v>-38000000</v>
      </c>
      <c r="M151" s="3">
        <f t="shared" ca="1" si="146"/>
        <v>1170976.8705327574</v>
      </c>
      <c r="N151" s="3">
        <f t="shared" ca="1" si="147"/>
        <v>11253259.313176787</v>
      </c>
      <c r="O151" s="3">
        <f t="shared" si="148"/>
        <v>0</v>
      </c>
      <c r="P151" s="3">
        <f t="shared" si="149"/>
        <v>39667410</v>
      </c>
      <c r="Q151" s="3">
        <f t="shared" si="150"/>
        <v>79790601.515939996</v>
      </c>
      <c r="R151" s="3">
        <f t="shared" si="151"/>
        <v>-9668496</v>
      </c>
      <c r="S151" s="47">
        <f t="shared" ca="1" si="124"/>
        <v>84213751.699649543</v>
      </c>
      <c r="T151" s="47">
        <f>IFERROR(HLOOKUP(B151-1,'EV Forecast VRZ'!$F$124:$T$130,5,FALSE)/12,0)+IFERROR(((HLOOKUP(B151,'EV Forecast VRZ'!$F$116:$T$122,5,FALSE)-HLOOKUP(B151-1,'EV Forecast VRZ'!$F$124:$T$130,5,FALSE)))*C151/78,0)</f>
        <v>168336.25235461278</v>
      </c>
      <c r="U151" s="47">
        <f ca="1">HLOOKUP(B151,Heating!$C$102:$O$106,5,FALSE)*INDEX(Weather!$BO$1:$CB$20,MATCH(B151,Weather!$BO$1:$BO$20,0),MATCH(C151,Weather!$BO$1:$CB$1,0))/VLOOKUP(B151,Weather!$BO$2:$CB$20,14,FALSE)</f>
        <v>27068.631804343273</v>
      </c>
      <c r="V151" s="47">
        <f t="shared" ca="1" si="125"/>
        <v>84409156.583808497</v>
      </c>
    </row>
    <row r="152" spans="1:22">
      <c r="A152" s="2">
        <f t="shared" si="128"/>
        <v>46599</v>
      </c>
      <c r="B152">
        <f t="shared" si="129"/>
        <v>2027</v>
      </c>
      <c r="C152">
        <f t="shared" si="130"/>
        <v>7</v>
      </c>
      <c r="E152" s="3">
        <f t="shared" ref="E152:F152" ca="1" si="174">E140</f>
        <v>10.249063146997932</v>
      </c>
      <c r="F152" s="3">
        <f t="shared" ca="1" si="174"/>
        <v>297.94737858727848</v>
      </c>
      <c r="G152">
        <f t="shared" si="165"/>
        <v>0</v>
      </c>
      <c r="H152" s="3">
        <f t="shared" si="133"/>
        <v>31</v>
      </c>
      <c r="I152" s="391">
        <f t="shared" si="135"/>
        <v>880222</v>
      </c>
      <c r="J152" s="391">
        <f t="shared" si="136"/>
        <v>120</v>
      </c>
      <c r="L152" s="3">
        <f t="shared" si="145"/>
        <v>-38000000</v>
      </c>
      <c r="M152" s="3">
        <f t="shared" ca="1" si="146"/>
        <v>181572.30022158389</v>
      </c>
      <c r="N152" s="3">
        <f t="shared" ca="1" si="147"/>
        <v>17199292.499486525</v>
      </c>
      <c r="O152" s="3">
        <f t="shared" si="148"/>
        <v>0</v>
      </c>
      <c r="P152" s="3">
        <f t="shared" si="149"/>
        <v>40989657</v>
      </c>
      <c r="Q152" s="3">
        <f t="shared" si="150"/>
        <v>79790601.515939996</v>
      </c>
      <c r="R152" s="3">
        <f t="shared" si="151"/>
        <v>-9668496</v>
      </c>
      <c r="S152" s="47">
        <f t="shared" ca="1" si="124"/>
        <v>90492627.315648109</v>
      </c>
      <c r="T152" s="47">
        <f>IFERROR(HLOOKUP(B152-1,'EV Forecast VRZ'!$F$124:$T$130,5,FALSE)/12,0)+IFERROR(((HLOOKUP(B152,'EV Forecast VRZ'!$F$116:$T$122,5,FALSE)-HLOOKUP(B152-1,'EV Forecast VRZ'!$F$124:$T$130,5,FALSE)))*C152/78,0)</f>
        <v>171160.63004397982</v>
      </c>
      <c r="U152" s="47">
        <f ca="1">HLOOKUP(B152,Heating!$C$102:$O$106,5,FALSE)*INDEX(Weather!$BO$1:$CB$20,MATCH(B152,Weather!$BO$1:$BO$20,0),MATCH(C152,Weather!$BO$1:$CB$1,0))/VLOOKUP(B152,Weather!$BO$2:$CB$20,14,FALSE)</f>
        <v>1346.6650201635105</v>
      </c>
      <c r="V152" s="47">
        <f t="shared" ca="1" si="125"/>
        <v>90665134.61071226</v>
      </c>
    </row>
    <row r="153" spans="1:22">
      <c r="A153" s="2">
        <f t="shared" si="128"/>
        <v>46630</v>
      </c>
      <c r="B153">
        <f t="shared" si="129"/>
        <v>2027</v>
      </c>
      <c r="C153">
        <f t="shared" si="130"/>
        <v>8</v>
      </c>
      <c r="E153" s="3">
        <f t="shared" ref="E153:F153" ca="1" si="175">E141</f>
        <v>21.194927536231887</v>
      </c>
      <c r="F153" s="3">
        <f t="shared" ca="1" si="175"/>
        <v>272.96558794466404</v>
      </c>
      <c r="G153">
        <f t="shared" si="165"/>
        <v>0</v>
      </c>
      <c r="H153" s="3">
        <f t="shared" si="133"/>
        <v>31</v>
      </c>
      <c r="I153" s="391">
        <f t="shared" si="135"/>
        <v>880222</v>
      </c>
      <c r="J153" s="391">
        <f t="shared" si="136"/>
        <v>120</v>
      </c>
      <c r="L153" s="3">
        <f t="shared" si="145"/>
        <v>-38000000</v>
      </c>
      <c r="M153" s="3">
        <f t="shared" ca="1" si="146"/>
        <v>375489.1242826088</v>
      </c>
      <c r="N153" s="3">
        <f t="shared" ca="1" si="147"/>
        <v>15757195.151758401</v>
      </c>
      <c r="O153" s="3">
        <f t="shared" si="148"/>
        <v>0</v>
      </c>
      <c r="P153" s="3">
        <f t="shared" si="149"/>
        <v>40989657</v>
      </c>
      <c r="Q153" s="3">
        <f t="shared" si="150"/>
        <v>79790601.515939996</v>
      </c>
      <c r="R153" s="3">
        <f t="shared" si="151"/>
        <v>-9668496</v>
      </c>
      <c r="S153" s="47">
        <f t="shared" ca="1" si="124"/>
        <v>89244446.791981012</v>
      </c>
      <c r="T153" s="47">
        <f>IFERROR(HLOOKUP(B153-1,'EV Forecast VRZ'!$F$124:$T$130,5,FALSE)/12,0)+IFERROR(((HLOOKUP(B153,'EV Forecast VRZ'!$F$116:$T$122,5,FALSE)-HLOOKUP(B153-1,'EV Forecast VRZ'!$F$124:$T$130,5,FALSE)))*C153/78,0)</f>
        <v>173985.00773334687</v>
      </c>
      <c r="U153" s="47">
        <f ca="1">HLOOKUP(B153,Heating!$C$102:$O$106,5,FALSE)*INDEX(Weather!$BO$1:$CB$20,MATCH(B153,Weather!$BO$1:$BO$20,0),MATCH(C153,Weather!$BO$1:$CB$1,0))/VLOOKUP(B153,Weather!$BO$2:$CB$20,14,FALSE)</f>
        <v>4702.7498515109992</v>
      </c>
      <c r="V153" s="47">
        <f t="shared" ca="1" si="125"/>
        <v>89423134.549565867</v>
      </c>
    </row>
    <row r="154" spans="1:22">
      <c r="A154" s="2">
        <f t="shared" si="128"/>
        <v>46660</v>
      </c>
      <c r="B154">
        <f t="shared" si="129"/>
        <v>2027</v>
      </c>
      <c r="C154">
        <f t="shared" si="130"/>
        <v>9</v>
      </c>
      <c r="E154" s="3">
        <f t="shared" ref="E154:F154" ca="1" si="176">E142</f>
        <v>96.735690993788822</v>
      </c>
      <c r="F154" s="3">
        <f t="shared" ca="1" si="176"/>
        <v>158.67014233954447</v>
      </c>
      <c r="G154">
        <f t="shared" si="165"/>
        <v>1</v>
      </c>
      <c r="H154" s="3">
        <f t="shared" si="133"/>
        <v>30</v>
      </c>
      <c r="I154" s="391">
        <f t="shared" si="135"/>
        <v>880222</v>
      </c>
      <c r="J154" s="391">
        <f t="shared" si="136"/>
        <v>120</v>
      </c>
      <c r="L154" s="3">
        <f t="shared" si="145"/>
        <v>-38000000</v>
      </c>
      <c r="M154" s="3">
        <f t="shared" ca="1" si="146"/>
        <v>1713768.5342890529</v>
      </c>
      <c r="N154" s="3">
        <f t="shared" ca="1" si="147"/>
        <v>9159383.1164840031</v>
      </c>
      <c r="O154" s="3">
        <f t="shared" si="148"/>
        <v>1538400</v>
      </c>
      <c r="P154" s="3">
        <f t="shared" si="149"/>
        <v>39667410</v>
      </c>
      <c r="Q154" s="3">
        <f t="shared" si="150"/>
        <v>79790601.515939996</v>
      </c>
      <c r="R154" s="3">
        <f t="shared" si="151"/>
        <v>-9668496</v>
      </c>
      <c r="S154" s="47">
        <f t="shared" ca="1" si="124"/>
        <v>84201067.166713059</v>
      </c>
      <c r="T154" s="47">
        <f>IFERROR(HLOOKUP(B154-1,'EV Forecast VRZ'!$F$124:$T$130,5,FALSE)/12,0)+IFERROR(((HLOOKUP(B154,'EV Forecast VRZ'!$F$116:$T$122,5,FALSE)-HLOOKUP(B154-1,'EV Forecast VRZ'!$F$124:$T$130,5,FALSE)))*C154/78,0)</f>
        <v>176809.38542271391</v>
      </c>
      <c r="U154" s="47">
        <f ca="1">HLOOKUP(B154,Heating!$C$102:$O$106,5,FALSE)*INDEX(Weather!$BO$1:$CB$20,MATCH(B154,Weather!$BO$1:$BO$20,0),MATCH(C154,Weather!$BO$1:$CB$1,0))/VLOOKUP(B154,Weather!$BO$2:$CB$20,14,FALSE)</f>
        <v>45745.221765073984</v>
      </c>
      <c r="V154" s="47">
        <f t="shared" ca="1" si="125"/>
        <v>84423621.773900837</v>
      </c>
    </row>
    <row r="155" spans="1:22">
      <c r="A155" s="2">
        <f t="shared" si="128"/>
        <v>46691</v>
      </c>
      <c r="B155">
        <f t="shared" si="129"/>
        <v>2027</v>
      </c>
      <c r="C155">
        <f t="shared" si="130"/>
        <v>10</v>
      </c>
      <c r="E155" s="3">
        <f t="shared" ref="E155:F155" ca="1" si="177">E143</f>
        <v>298.21097826086958</v>
      </c>
      <c r="F155" s="3">
        <f t="shared" ca="1" si="177"/>
        <v>35.32833333333334</v>
      </c>
      <c r="G155">
        <f t="shared" si="165"/>
        <v>1</v>
      </c>
      <c r="H155" s="3">
        <f t="shared" si="133"/>
        <v>31</v>
      </c>
      <c r="I155" s="391">
        <f t="shared" si="135"/>
        <v>880222</v>
      </c>
      <c r="J155" s="391">
        <f t="shared" si="136"/>
        <v>120</v>
      </c>
      <c r="L155" s="3">
        <f t="shared" si="145"/>
        <v>-38000000</v>
      </c>
      <c r="M155" s="3">
        <f t="shared" ca="1" si="146"/>
        <v>5283102.7087597838</v>
      </c>
      <c r="N155" s="3">
        <f t="shared" ca="1" si="147"/>
        <v>2039361.2503000004</v>
      </c>
      <c r="O155" s="3">
        <f t="shared" si="148"/>
        <v>1538400</v>
      </c>
      <c r="P155" s="3">
        <f t="shared" si="149"/>
        <v>40989657</v>
      </c>
      <c r="Q155" s="3">
        <f t="shared" si="150"/>
        <v>79790601.515939996</v>
      </c>
      <c r="R155" s="3">
        <f t="shared" si="151"/>
        <v>-9668496</v>
      </c>
      <c r="S155" s="47">
        <f t="shared" ca="1" si="124"/>
        <v>81972626.474999785</v>
      </c>
      <c r="T155" s="47">
        <f>IFERROR(HLOOKUP(B155-1,'EV Forecast VRZ'!$F$124:$T$130,5,FALSE)/12,0)+IFERROR(((HLOOKUP(B155,'EV Forecast VRZ'!$F$116:$T$122,5,FALSE)-HLOOKUP(B155-1,'EV Forecast VRZ'!$F$124:$T$130,5,FALSE)))*C155/78,0)</f>
        <v>179633.76311208095</v>
      </c>
      <c r="U155" s="47">
        <f ca="1">HLOOKUP(B155,Heating!$C$102:$O$106,5,FALSE)*INDEX(Weather!$BO$1:$CB$20,MATCH(B155,Weather!$BO$1:$BO$20,0),MATCH(C155,Weather!$BO$1:$CB$1,0))/VLOOKUP(B155,Weather!$BO$2:$CB$20,14,FALSE)</f>
        <v>198012.24697337666</v>
      </c>
      <c r="V155" s="47">
        <f t="shared" ca="1" si="125"/>
        <v>82350272.485085249</v>
      </c>
    </row>
    <row r="156" spans="1:22">
      <c r="A156" s="2">
        <f t="shared" si="128"/>
        <v>46721</v>
      </c>
      <c r="B156">
        <f t="shared" si="129"/>
        <v>2027</v>
      </c>
      <c r="C156">
        <f t="shared" si="130"/>
        <v>11</v>
      </c>
      <c r="E156" s="3">
        <f t="shared" ref="E156:F156" ca="1" si="178">E144</f>
        <v>486.62991389045737</v>
      </c>
      <c r="F156" s="3">
        <f t="shared" ca="1" si="178"/>
        <v>2.2779166666666657</v>
      </c>
      <c r="G156">
        <f t="shared" si="165"/>
        <v>1</v>
      </c>
      <c r="H156" s="3">
        <f t="shared" si="133"/>
        <v>30</v>
      </c>
      <c r="I156" s="391">
        <f t="shared" si="135"/>
        <v>880222</v>
      </c>
      <c r="J156" s="391">
        <f t="shared" si="136"/>
        <v>120</v>
      </c>
      <c r="L156" s="3">
        <f t="shared" si="145"/>
        <v>-38000000</v>
      </c>
      <c r="M156" s="3">
        <f t="shared" ca="1" si="146"/>
        <v>8621130.6881842054</v>
      </c>
      <c r="N156" s="3">
        <f t="shared" ca="1" si="147"/>
        <v>131494.88082499994</v>
      </c>
      <c r="O156" s="3">
        <f t="shared" si="148"/>
        <v>1538400</v>
      </c>
      <c r="P156" s="3">
        <f t="shared" si="149"/>
        <v>39667410</v>
      </c>
      <c r="Q156" s="3">
        <f t="shared" si="150"/>
        <v>79790601.515939996</v>
      </c>
      <c r="R156" s="3">
        <f t="shared" si="151"/>
        <v>-9668496</v>
      </c>
      <c r="S156" s="47">
        <f t="shared" ca="1" si="124"/>
        <v>82080541.084949195</v>
      </c>
      <c r="T156" s="47">
        <f>IFERROR(HLOOKUP(B156-1,'EV Forecast VRZ'!$F$124:$T$130,5,FALSE)/12,0)+IFERROR(((HLOOKUP(B156,'EV Forecast VRZ'!$F$116:$T$122,5,FALSE)-HLOOKUP(B156-1,'EV Forecast VRZ'!$F$124:$T$130,5,FALSE)))*C156/78,0)</f>
        <v>182458.140801448</v>
      </c>
      <c r="U156" s="47">
        <f ca="1">HLOOKUP(B156,Heating!$C$102:$O$106,5,FALSE)*INDEX(Weather!$BO$1:$CB$20,MATCH(B156,Weather!$BO$1:$BO$20,0),MATCH(C156,Weather!$BO$1:$CB$1,0))/VLOOKUP(B156,Weather!$BO$2:$CB$20,14,FALSE)</f>
        <v>355103.32109707955</v>
      </c>
      <c r="V156" s="47">
        <f t="shared" ca="1" si="125"/>
        <v>82618102.546847716</v>
      </c>
    </row>
    <row r="157" spans="1:22">
      <c r="A157" s="2">
        <f t="shared" si="128"/>
        <v>46752</v>
      </c>
      <c r="B157">
        <f t="shared" si="129"/>
        <v>2027</v>
      </c>
      <c r="C157">
        <f t="shared" si="130"/>
        <v>12</v>
      </c>
      <c r="E157" s="3">
        <f t="shared" ref="E157:F157" ca="1" si="179">E145</f>
        <v>639.92800724637686</v>
      </c>
      <c r="F157" s="3">
        <f t="shared" ca="1" si="179"/>
        <v>0</v>
      </c>
      <c r="G157">
        <f t="shared" si="165"/>
        <v>0</v>
      </c>
      <c r="H157" s="3">
        <f t="shared" si="133"/>
        <v>31</v>
      </c>
      <c r="I157" s="391">
        <f t="shared" si="135"/>
        <v>880222</v>
      </c>
      <c r="J157" s="391">
        <f t="shared" si="136"/>
        <v>120</v>
      </c>
      <c r="L157" s="3">
        <f t="shared" si="145"/>
        <v>-38000000</v>
      </c>
      <c r="M157" s="3">
        <f t="shared" ca="1" si="146"/>
        <v>11336958.177096741</v>
      </c>
      <c r="N157" s="3">
        <f t="shared" ca="1" si="147"/>
        <v>0</v>
      </c>
      <c r="O157" s="3">
        <f t="shared" si="148"/>
        <v>0</v>
      </c>
      <c r="P157" s="3">
        <f t="shared" si="149"/>
        <v>40989657</v>
      </c>
      <c r="Q157" s="3">
        <f t="shared" si="150"/>
        <v>79790601.515939996</v>
      </c>
      <c r="R157" s="3">
        <f t="shared" si="151"/>
        <v>-9668496</v>
      </c>
      <c r="S157" s="47">
        <f t="shared" ca="1" si="124"/>
        <v>84448720.693036735</v>
      </c>
      <c r="T157" s="47">
        <f>IFERROR(HLOOKUP(B157-1,'EV Forecast VRZ'!$F$124:$T$130,5,FALSE)/12,0)+IFERROR(((HLOOKUP(B157,'EV Forecast VRZ'!$F$116:$T$122,5,FALSE)-HLOOKUP(B157-1,'EV Forecast VRZ'!$F$124:$T$130,5,FALSE)))*C157/78,0)</f>
        <v>185282.51849081504</v>
      </c>
      <c r="U157" s="47">
        <f ca="1">HLOOKUP(B157,Heating!$C$102:$O$106,5,FALSE)*INDEX(Weather!$BO$1:$CB$20,MATCH(B157,Weather!$BO$1:$BO$20,0),MATCH(C157,Weather!$BO$1:$CB$1,0))/VLOOKUP(B157,Weather!$BO$2:$CB$20,14,FALSE)</f>
        <v>481035.54871892877</v>
      </c>
      <c r="V157" s="47">
        <f t="shared" ca="1" si="125"/>
        <v>85115038.760246485</v>
      </c>
    </row>
    <row r="158" spans="1:22">
      <c r="A158" s="2">
        <f t="shared" si="128"/>
        <v>46783</v>
      </c>
      <c r="B158">
        <f t="shared" si="129"/>
        <v>2028</v>
      </c>
      <c r="C158">
        <f t="shared" si="130"/>
        <v>1</v>
      </c>
      <c r="E158" s="3">
        <f t="shared" ref="E158:F158" ca="1" si="180">E146</f>
        <v>759.33418478260865</v>
      </c>
      <c r="F158" s="3">
        <f t="shared" ca="1" si="180"/>
        <v>0</v>
      </c>
      <c r="G158">
        <f t="shared" si="165"/>
        <v>0</v>
      </c>
      <c r="H158" s="3">
        <f t="shared" si="133"/>
        <v>31</v>
      </c>
      <c r="I158" s="391">
        <f>I146*(1+'Economic Data'!$AC$17)</f>
        <v>896946.21799999988</v>
      </c>
      <c r="J158" s="391">
        <f t="shared" ref="J158:J186" si="181">J157+1</f>
        <v>121</v>
      </c>
      <c r="L158" s="3">
        <f t="shared" si="145"/>
        <v>-38000000</v>
      </c>
      <c r="M158" s="3">
        <f t="shared" ca="1" si="146"/>
        <v>13452356.824266847</v>
      </c>
      <c r="N158" s="3">
        <f t="shared" ca="1" si="147"/>
        <v>0</v>
      </c>
      <c r="O158" s="3">
        <f t="shared" si="148"/>
        <v>0</v>
      </c>
      <c r="P158" s="3">
        <f t="shared" si="149"/>
        <v>40989657</v>
      </c>
      <c r="Q158" s="3">
        <f t="shared" si="150"/>
        <v>81306622.944742844</v>
      </c>
      <c r="R158" s="3">
        <f t="shared" si="151"/>
        <v>-9749066.8000000007</v>
      </c>
      <c r="S158" s="47">
        <f t="shared" ca="1" si="124"/>
        <v>87999569.969009697</v>
      </c>
      <c r="T158" s="47">
        <f>IFERROR(HLOOKUP(B158-1,'EV Forecast VRZ'!$F$124:$T$130,5,FALSE)/12,0)+IFERROR(((HLOOKUP(B158,'EV Forecast VRZ'!$F$116:$T$122,5,FALSE)-HLOOKUP(B158-1,'EV Forecast VRZ'!$F$124:$T$130,5,FALSE)))*C158/78,0)</f>
        <v>193234.24705309523</v>
      </c>
      <c r="U158" s="47">
        <f ca="1">HLOOKUP(B158,Heating!$C$102:$O$106,5,FALSE)*INDEX(Weather!$BO$1:$CB$20,MATCH(B158,Weather!$BO$1:$BO$20,0),MATCH(C158,Weather!$BO$1:$CB$1,0))/VLOOKUP(B158,Weather!$BO$2:$CB$20,14,FALSE)</f>
        <v>665608.76890443417</v>
      </c>
      <c r="V158" s="47">
        <f t="shared" ca="1" si="125"/>
        <v>88858412.984967232</v>
      </c>
    </row>
    <row r="159" spans="1:22">
      <c r="A159" s="2">
        <f t="shared" si="128"/>
        <v>46812</v>
      </c>
      <c r="B159">
        <f t="shared" si="129"/>
        <v>2028</v>
      </c>
      <c r="C159">
        <f t="shared" si="130"/>
        <v>2</v>
      </c>
      <c r="E159" s="3">
        <f t="shared" ref="E159:F159" ca="1" si="182">E147</f>
        <v>680.85501811594202</v>
      </c>
      <c r="F159" s="3">
        <f t="shared" ca="1" si="182"/>
        <v>0</v>
      </c>
      <c r="G159">
        <f t="shared" ref="G159:G174" si="183">G147</f>
        <v>0</v>
      </c>
      <c r="H159" s="3">
        <f t="shared" si="133"/>
        <v>28</v>
      </c>
      <c r="I159" s="391">
        <f>I147*(1+'Economic Data'!$AC$17)</f>
        <v>896946.21799999988</v>
      </c>
      <c r="J159" s="391">
        <f t="shared" si="181"/>
        <v>122</v>
      </c>
      <c r="L159" s="3">
        <f t="shared" si="145"/>
        <v>-38000000</v>
      </c>
      <c r="M159" s="3">
        <f t="shared" ca="1" si="146"/>
        <v>12062020.692391848</v>
      </c>
      <c r="N159" s="3">
        <f t="shared" ca="1" si="147"/>
        <v>0</v>
      </c>
      <c r="O159" s="3">
        <f t="shared" si="148"/>
        <v>0</v>
      </c>
      <c r="P159" s="3">
        <f t="shared" si="149"/>
        <v>37022916</v>
      </c>
      <c r="Q159" s="3">
        <f t="shared" si="150"/>
        <v>81306622.944742844</v>
      </c>
      <c r="R159" s="3">
        <f t="shared" si="151"/>
        <v>-9829637.5999999996</v>
      </c>
      <c r="S159" s="47">
        <f t="shared" ca="1" si="124"/>
        <v>82561922.037134707</v>
      </c>
      <c r="T159" s="47">
        <f>IFERROR(HLOOKUP(B159-1,'EV Forecast VRZ'!$F$124:$T$130,5,FALSE)/12,0)+IFERROR(((HLOOKUP(B159,'EV Forecast VRZ'!$F$116:$T$122,5,FALSE)-HLOOKUP(B159-1,'EV Forecast VRZ'!$F$124:$T$130,5,FALSE)))*C159/78,0)</f>
        <v>195991.20592600832</v>
      </c>
      <c r="U159" s="47">
        <f ca="1">HLOOKUP(B159,Heating!$C$102:$O$106,5,FALSE)*INDEX(Weather!$BO$1:$CB$20,MATCH(B159,Weather!$BO$1:$BO$20,0),MATCH(C159,Weather!$BO$1:$CB$1,0))/VLOOKUP(B159,Weather!$BO$2:$CB$20,14,FALSE)</f>
        <v>595854.35958528379</v>
      </c>
      <c r="V159" s="47">
        <f t="shared" ca="1" si="125"/>
        <v>83353767.602645993</v>
      </c>
    </row>
    <row r="160" spans="1:22">
      <c r="A160" s="2">
        <f t="shared" si="128"/>
        <v>46843</v>
      </c>
      <c r="B160">
        <f t="shared" si="129"/>
        <v>2028</v>
      </c>
      <c r="C160">
        <f t="shared" si="130"/>
        <v>3</v>
      </c>
      <c r="E160" s="3">
        <f t="shared" ref="E160:F160" ca="1" si="184">E148</f>
        <v>608.13298913043479</v>
      </c>
      <c r="F160" s="3">
        <f t="shared" ca="1" si="184"/>
        <v>2.9583333333332896E-2</v>
      </c>
      <c r="G160">
        <f t="shared" si="183"/>
        <v>1</v>
      </c>
      <c r="H160" s="3">
        <f t="shared" si="133"/>
        <v>31</v>
      </c>
      <c r="I160" s="391">
        <f>I148*(1+'Economic Data'!$AC$17)</f>
        <v>896946.21799999988</v>
      </c>
      <c r="J160" s="391">
        <f t="shared" si="181"/>
        <v>123</v>
      </c>
      <c r="L160" s="3">
        <f t="shared" si="145"/>
        <v>-38000000</v>
      </c>
      <c r="M160" s="3">
        <f t="shared" ca="1" si="146"/>
        <v>10773677.954104893</v>
      </c>
      <c r="N160" s="3">
        <f t="shared" ca="1" si="147"/>
        <v>1707.7257249999748</v>
      </c>
      <c r="O160" s="3">
        <f t="shared" si="148"/>
        <v>1538400</v>
      </c>
      <c r="P160" s="3">
        <f t="shared" si="149"/>
        <v>40989657</v>
      </c>
      <c r="Q160" s="3">
        <f t="shared" si="150"/>
        <v>81306622.944742844</v>
      </c>
      <c r="R160" s="3">
        <f t="shared" si="151"/>
        <v>-9910208.4000000004</v>
      </c>
      <c r="S160" s="47">
        <f t="shared" ca="1" si="124"/>
        <v>86699857.224572733</v>
      </c>
      <c r="T160" s="47">
        <f>IFERROR(HLOOKUP(B160-1,'EV Forecast VRZ'!$F$124:$T$130,5,FALSE)/12,0)+IFERROR(((HLOOKUP(B160,'EV Forecast VRZ'!$F$116:$T$122,5,FALSE)-HLOOKUP(B160-1,'EV Forecast VRZ'!$F$124:$T$130,5,FALSE)))*C160/78,0)</f>
        <v>198748.16479892141</v>
      </c>
      <c r="U160" s="47">
        <f ca="1">HLOOKUP(B160,Heating!$C$102:$O$106,5,FALSE)*INDEX(Weather!$BO$1:$CB$20,MATCH(B160,Weather!$BO$1:$BO$20,0),MATCH(C160,Weather!$BO$1:$CB$1,0))/VLOOKUP(B160,Weather!$BO$2:$CB$20,14,FALSE)</f>
        <v>521286.51439414319</v>
      </c>
      <c r="V160" s="47">
        <f t="shared" ca="1" si="125"/>
        <v>87419891.903765798</v>
      </c>
    </row>
    <row r="161" spans="1:22">
      <c r="A161" s="2">
        <f t="shared" si="128"/>
        <v>46873</v>
      </c>
      <c r="B161">
        <f t="shared" si="129"/>
        <v>2028</v>
      </c>
      <c r="C161">
        <f t="shared" si="130"/>
        <v>4</v>
      </c>
      <c r="E161" s="3">
        <f t="shared" ref="E161:F161" ca="1" si="185">E149</f>
        <v>412.37941287878795</v>
      </c>
      <c r="F161" s="3">
        <f t="shared" ca="1" si="185"/>
        <v>5.6420833333333338</v>
      </c>
      <c r="G161">
        <f t="shared" si="183"/>
        <v>1</v>
      </c>
      <c r="H161" s="3">
        <f t="shared" si="133"/>
        <v>30</v>
      </c>
      <c r="I161" s="391">
        <f>I149*(1+'Economic Data'!$AC$17)</f>
        <v>896946.21799999988</v>
      </c>
      <c r="J161" s="391">
        <f t="shared" si="181"/>
        <v>124</v>
      </c>
      <c r="L161" s="3">
        <f t="shared" si="145"/>
        <v>-38000000</v>
      </c>
      <c r="M161" s="3">
        <f t="shared" ca="1" si="146"/>
        <v>7305709.5547664789</v>
      </c>
      <c r="N161" s="3">
        <f t="shared" ca="1" si="147"/>
        <v>325694.56397500006</v>
      </c>
      <c r="O161" s="3">
        <f t="shared" si="148"/>
        <v>1538400</v>
      </c>
      <c r="P161" s="3">
        <f t="shared" si="149"/>
        <v>39667410</v>
      </c>
      <c r="Q161" s="3">
        <f t="shared" si="150"/>
        <v>81306622.944742844</v>
      </c>
      <c r="R161" s="3">
        <f t="shared" si="151"/>
        <v>-9990779.2000000011</v>
      </c>
      <c r="S161" s="47">
        <f t="shared" ca="1" si="124"/>
        <v>82153057.863484323</v>
      </c>
      <c r="T161" s="47">
        <f>IFERROR(HLOOKUP(B161-1,'EV Forecast VRZ'!$F$124:$T$130,5,FALSE)/12,0)+IFERROR(((HLOOKUP(B161,'EV Forecast VRZ'!$F$116:$T$122,5,FALSE)-HLOOKUP(B161-1,'EV Forecast VRZ'!$F$124:$T$130,5,FALSE)))*C161/78,0)</f>
        <v>201505.12367183453</v>
      </c>
      <c r="U161" s="47">
        <f ca="1">HLOOKUP(B161,Heating!$C$102:$O$106,5,FALSE)*INDEX(Weather!$BO$1:$CB$20,MATCH(B161,Weather!$BO$1:$BO$20,0),MATCH(C161,Weather!$BO$1:$CB$1,0))/VLOOKUP(B161,Weather!$BO$2:$CB$20,14,FALSE)</f>
        <v>336380.82182442863</v>
      </c>
      <c r="V161" s="47">
        <f t="shared" ca="1" si="125"/>
        <v>82690943.808980584</v>
      </c>
    </row>
    <row r="162" spans="1:22">
      <c r="A162" s="2">
        <f t="shared" si="128"/>
        <v>46904</v>
      </c>
      <c r="B162">
        <f t="shared" si="129"/>
        <v>2028</v>
      </c>
      <c r="C162">
        <f t="shared" si="130"/>
        <v>5</v>
      </c>
      <c r="E162" s="3">
        <f t="shared" ref="E162:F162" ca="1" si="186">E150</f>
        <v>202.70273119310133</v>
      </c>
      <c r="F162" s="3">
        <f t="shared" ca="1" si="186"/>
        <v>86.191046176046171</v>
      </c>
      <c r="G162">
        <f t="shared" si="183"/>
        <v>1</v>
      </c>
      <c r="H162" s="3">
        <f t="shared" si="133"/>
        <v>31</v>
      </c>
      <c r="I162" s="391">
        <f>I150*(1+'Economic Data'!$AC$17)</f>
        <v>896946.21799999988</v>
      </c>
      <c r="J162" s="391">
        <f t="shared" si="181"/>
        <v>125</v>
      </c>
      <c r="L162" s="3">
        <f t="shared" si="145"/>
        <v>-38000000</v>
      </c>
      <c r="M162" s="3">
        <f t="shared" ca="1" si="146"/>
        <v>3591079.5587896714</v>
      </c>
      <c r="N162" s="3">
        <f t="shared" ca="1" si="147"/>
        <v>4975459.1600956712</v>
      </c>
      <c r="O162" s="3">
        <f t="shared" si="148"/>
        <v>1538400</v>
      </c>
      <c r="P162" s="3">
        <f t="shared" si="149"/>
        <v>40989657</v>
      </c>
      <c r="Q162" s="3">
        <f t="shared" si="150"/>
        <v>81306622.944742844</v>
      </c>
      <c r="R162" s="3">
        <f t="shared" si="151"/>
        <v>-10071350</v>
      </c>
      <c r="S162" s="47">
        <f t="shared" ca="1" si="124"/>
        <v>84329868.663628191</v>
      </c>
      <c r="T162" s="47">
        <f>IFERROR(HLOOKUP(B162-1,'EV Forecast VRZ'!$F$124:$T$130,5,FALSE)/12,0)+IFERROR(((HLOOKUP(B162,'EV Forecast VRZ'!$F$116:$T$122,5,FALSE)-HLOOKUP(B162-1,'EV Forecast VRZ'!$F$124:$T$130,5,FALSE)))*C162/78,0)</f>
        <v>204262.08254474762</v>
      </c>
      <c r="U162" s="47">
        <f ca="1">HLOOKUP(B162,Heating!$C$102:$O$106,5,FALSE)*INDEX(Weather!$BO$1:$CB$20,MATCH(B162,Weather!$BO$1:$BO$20,0),MATCH(C162,Weather!$BO$1:$CB$1,0))/VLOOKUP(B162,Weather!$BO$2:$CB$20,14,FALSE)</f>
        <v>143306.37724683539</v>
      </c>
      <c r="V162" s="47">
        <f t="shared" ca="1" si="125"/>
        <v>84677437.123419777</v>
      </c>
    </row>
    <row r="163" spans="1:22">
      <c r="A163" s="2">
        <f t="shared" si="128"/>
        <v>46934</v>
      </c>
      <c r="B163">
        <f t="shared" si="129"/>
        <v>2028</v>
      </c>
      <c r="C163">
        <f t="shared" si="130"/>
        <v>6</v>
      </c>
      <c r="E163" s="3">
        <f t="shared" ref="E163:F163" ca="1" si="187">E151</f>
        <v>66.09717382617383</v>
      </c>
      <c r="F163" s="3">
        <f t="shared" ca="1" si="187"/>
        <v>194.94285087738348</v>
      </c>
      <c r="G163">
        <f t="shared" si="183"/>
        <v>0</v>
      </c>
      <c r="H163" s="3">
        <f t="shared" si="133"/>
        <v>30</v>
      </c>
      <c r="I163" s="391">
        <f>I151*(1+'Economic Data'!$AC$17)</f>
        <v>896946.21799999988</v>
      </c>
      <c r="J163" s="391">
        <f t="shared" si="181"/>
        <v>126</v>
      </c>
      <c r="L163" s="3">
        <f t="shared" si="145"/>
        <v>-38000000</v>
      </c>
      <c r="M163" s="3">
        <f t="shared" ca="1" si="146"/>
        <v>1170976.8705327574</v>
      </c>
      <c r="N163" s="3">
        <f t="shared" ca="1" si="147"/>
        <v>11253259.313176787</v>
      </c>
      <c r="O163" s="3">
        <f t="shared" si="148"/>
        <v>0</v>
      </c>
      <c r="P163" s="3">
        <f t="shared" si="149"/>
        <v>39667410</v>
      </c>
      <c r="Q163" s="3">
        <f t="shared" si="150"/>
        <v>81306622.944742844</v>
      </c>
      <c r="R163" s="3">
        <f t="shared" si="151"/>
        <v>-10151920.800000001</v>
      </c>
      <c r="S163" s="47">
        <f t="shared" ca="1" si="124"/>
        <v>85246348.328452393</v>
      </c>
      <c r="T163" s="47">
        <f>IFERROR(HLOOKUP(B163-1,'EV Forecast VRZ'!$F$124:$T$130,5,FALSE)/12,0)+IFERROR(((HLOOKUP(B163,'EV Forecast VRZ'!$F$116:$T$122,5,FALSE)-HLOOKUP(B163-1,'EV Forecast VRZ'!$F$124:$T$130,5,FALSE)))*C163/78,0)</f>
        <v>207019.04141766072</v>
      </c>
      <c r="U163" s="47">
        <f ca="1">HLOOKUP(B163,Heating!$C$102:$O$106,5,FALSE)*INDEX(Weather!$BO$1:$CB$20,MATCH(B163,Weather!$BO$1:$BO$20,0),MATCH(C163,Weather!$BO$1:$CB$1,0))/VLOOKUP(B163,Weather!$BO$2:$CB$20,14,FALSE)</f>
        <v>31041.375202798299</v>
      </c>
      <c r="V163" s="47">
        <f t="shared" ca="1" si="125"/>
        <v>85484408.745072857</v>
      </c>
    </row>
    <row r="164" spans="1:22">
      <c r="A164" s="2">
        <f t="shared" si="128"/>
        <v>46965</v>
      </c>
      <c r="B164">
        <f t="shared" si="129"/>
        <v>2028</v>
      </c>
      <c r="C164">
        <f t="shared" si="130"/>
        <v>7</v>
      </c>
      <c r="E164" s="3">
        <f t="shared" ref="E164:F164" ca="1" si="188">E152</f>
        <v>10.249063146997932</v>
      </c>
      <c r="F164" s="3">
        <f t="shared" ca="1" si="188"/>
        <v>297.94737858727848</v>
      </c>
      <c r="G164">
        <f t="shared" si="183"/>
        <v>0</v>
      </c>
      <c r="H164" s="3">
        <f t="shared" si="133"/>
        <v>31</v>
      </c>
      <c r="I164" s="391">
        <f>I152*(1+'Economic Data'!$AC$17)</f>
        <v>896946.21799999988</v>
      </c>
      <c r="J164" s="391">
        <f t="shared" si="181"/>
        <v>127</v>
      </c>
      <c r="L164" s="3">
        <f t="shared" si="145"/>
        <v>-38000000</v>
      </c>
      <c r="M164" s="3">
        <f t="shared" ca="1" si="146"/>
        <v>181572.30022158389</v>
      </c>
      <c r="N164" s="3">
        <f t="shared" ca="1" si="147"/>
        <v>17199292.499486525</v>
      </c>
      <c r="O164" s="3">
        <f t="shared" si="148"/>
        <v>0</v>
      </c>
      <c r="P164" s="3">
        <f t="shared" si="149"/>
        <v>40989657</v>
      </c>
      <c r="Q164" s="3">
        <f t="shared" si="150"/>
        <v>81306622.944742844</v>
      </c>
      <c r="R164" s="3">
        <f t="shared" si="151"/>
        <v>-10232491.6</v>
      </c>
      <c r="S164" s="47">
        <f t="shared" ca="1" si="124"/>
        <v>91444653.144450963</v>
      </c>
      <c r="T164" s="47">
        <f>IFERROR(HLOOKUP(B164-1,'EV Forecast VRZ'!$F$124:$T$130,5,FALSE)/12,0)+IFERROR(((HLOOKUP(B164,'EV Forecast VRZ'!$F$116:$T$122,5,FALSE)-HLOOKUP(B164-1,'EV Forecast VRZ'!$F$124:$T$130,5,FALSE)))*C164/78,0)</f>
        <v>209776.00029057381</v>
      </c>
      <c r="U164" s="47">
        <f ca="1">HLOOKUP(B164,Heating!$C$102:$O$106,5,FALSE)*INDEX(Weather!$BO$1:$CB$20,MATCH(B164,Weather!$BO$1:$BO$20,0),MATCH(C164,Weather!$BO$1:$CB$1,0))/VLOOKUP(B164,Weather!$BO$2:$CB$20,14,FALSE)</f>
        <v>1544.3090905197544</v>
      </c>
      <c r="V164" s="47">
        <f t="shared" ca="1" si="125"/>
        <v>91655973.45383206</v>
      </c>
    </row>
    <row r="165" spans="1:22">
      <c r="A165" s="2">
        <f t="shared" si="128"/>
        <v>46996</v>
      </c>
      <c r="B165">
        <f t="shared" si="129"/>
        <v>2028</v>
      </c>
      <c r="C165">
        <f t="shared" si="130"/>
        <v>8</v>
      </c>
      <c r="E165" s="3">
        <f t="shared" ref="E165:F165" ca="1" si="189">E153</f>
        <v>21.194927536231887</v>
      </c>
      <c r="F165" s="3">
        <f t="shared" ca="1" si="189"/>
        <v>272.96558794466404</v>
      </c>
      <c r="G165">
        <f t="shared" si="183"/>
        <v>0</v>
      </c>
      <c r="H165" s="3">
        <f t="shared" si="133"/>
        <v>31</v>
      </c>
      <c r="I165" s="391">
        <f>I153*(1+'Economic Data'!$AC$17)</f>
        <v>896946.21799999988</v>
      </c>
      <c r="J165" s="391">
        <f t="shared" si="181"/>
        <v>128</v>
      </c>
      <c r="L165" s="3">
        <f t="shared" si="145"/>
        <v>-38000000</v>
      </c>
      <c r="M165" s="3">
        <f t="shared" ca="1" si="146"/>
        <v>375489.1242826088</v>
      </c>
      <c r="N165" s="3">
        <f t="shared" ca="1" si="147"/>
        <v>15757195.151758401</v>
      </c>
      <c r="O165" s="3">
        <f t="shared" si="148"/>
        <v>0</v>
      </c>
      <c r="P165" s="3">
        <f t="shared" si="149"/>
        <v>40989657</v>
      </c>
      <c r="Q165" s="3">
        <f t="shared" si="150"/>
        <v>81306622.944742844</v>
      </c>
      <c r="R165" s="3">
        <f t="shared" si="151"/>
        <v>-10313062.4</v>
      </c>
      <c r="S165" s="47">
        <f t="shared" ca="1" si="124"/>
        <v>90115901.820783854</v>
      </c>
      <c r="T165" s="47">
        <f>IFERROR(HLOOKUP(B165-1,'EV Forecast VRZ'!$F$124:$T$130,5,FALSE)/12,0)+IFERROR(((HLOOKUP(B165,'EV Forecast VRZ'!$F$116:$T$122,5,FALSE)-HLOOKUP(B165-1,'EV Forecast VRZ'!$F$124:$T$130,5,FALSE)))*C165/78,0)</f>
        <v>212532.9591634869</v>
      </c>
      <c r="U165" s="47">
        <f ca="1">HLOOKUP(B165,Heating!$C$102:$O$106,5,FALSE)*INDEX(Weather!$BO$1:$CB$20,MATCH(B165,Weather!$BO$1:$BO$20,0),MATCH(C165,Weather!$BO$1:$CB$1,0))/VLOOKUP(B165,Weather!$BO$2:$CB$20,14,FALSE)</f>
        <v>5392.9516527035485</v>
      </c>
      <c r="V165" s="47">
        <f t="shared" ca="1" si="125"/>
        <v>90333827.731600046</v>
      </c>
    </row>
    <row r="166" spans="1:22">
      <c r="A166" s="2">
        <f t="shared" si="128"/>
        <v>47026</v>
      </c>
      <c r="B166">
        <f t="shared" si="129"/>
        <v>2028</v>
      </c>
      <c r="C166">
        <f t="shared" si="130"/>
        <v>9</v>
      </c>
      <c r="E166" s="3">
        <f t="shared" ref="E166:F166" ca="1" si="190">E154</f>
        <v>96.735690993788822</v>
      </c>
      <c r="F166" s="3">
        <f t="shared" ca="1" si="190"/>
        <v>158.67014233954447</v>
      </c>
      <c r="G166">
        <f t="shared" si="183"/>
        <v>1</v>
      </c>
      <c r="H166" s="3">
        <f t="shared" si="133"/>
        <v>30</v>
      </c>
      <c r="I166" s="391">
        <f>I154*(1+'Economic Data'!$AC$17)</f>
        <v>896946.21799999988</v>
      </c>
      <c r="J166" s="391">
        <f t="shared" si="181"/>
        <v>129</v>
      </c>
      <c r="L166" s="3">
        <f t="shared" si="145"/>
        <v>-38000000</v>
      </c>
      <c r="M166" s="3">
        <f t="shared" ca="1" si="146"/>
        <v>1713768.5342890529</v>
      </c>
      <c r="N166" s="3">
        <f t="shared" ca="1" si="147"/>
        <v>9159383.1164840031</v>
      </c>
      <c r="O166" s="3">
        <f t="shared" si="148"/>
        <v>1538400</v>
      </c>
      <c r="P166" s="3">
        <f t="shared" si="149"/>
        <v>39667410</v>
      </c>
      <c r="Q166" s="3">
        <f t="shared" si="150"/>
        <v>81306622.944742844</v>
      </c>
      <c r="R166" s="3">
        <f t="shared" si="151"/>
        <v>-10393633.200000001</v>
      </c>
      <c r="S166" s="47">
        <f t="shared" ca="1" si="124"/>
        <v>84991951.395515904</v>
      </c>
      <c r="T166" s="47">
        <f>IFERROR(HLOOKUP(B166-1,'EV Forecast VRZ'!$F$124:$T$130,5,FALSE)/12,0)+IFERROR(((HLOOKUP(B166,'EV Forecast VRZ'!$F$116:$T$122,5,FALSE)-HLOOKUP(B166-1,'EV Forecast VRZ'!$F$124:$T$130,5,FALSE)))*C166/78,0)</f>
        <v>215289.91803639999</v>
      </c>
      <c r="U166" s="47">
        <f ca="1">HLOOKUP(B166,Heating!$C$102:$O$106,5,FALSE)*INDEX(Weather!$BO$1:$CB$20,MATCH(B166,Weather!$BO$1:$BO$20,0),MATCH(C166,Weather!$BO$1:$CB$1,0))/VLOOKUP(B166,Weather!$BO$2:$CB$20,14,FALSE)</f>
        <v>52459.04568833924</v>
      </c>
      <c r="V166" s="47">
        <f t="shared" ca="1" si="125"/>
        <v>85259700.359240651</v>
      </c>
    </row>
    <row r="167" spans="1:22">
      <c r="A167" s="2">
        <f t="shared" si="128"/>
        <v>47057</v>
      </c>
      <c r="B167">
        <f t="shared" si="129"/>
        <v>2028</v>
      </c>
      <c r="C167">
        <f t="shared" si="130"/>
        <v>10</v>
      </c>
      <c r="E167" s="3">
        <f t="shared" ref="E167:F167" ca="1" si="191">E155</f>
        <v>298.21097826086958</v>
      </c>
      <c r="F167" s="3">
        <f t="shared" ca="1" si="191"/>
        <v>35.32833333333334</v>
      </c>
      <c r="G167">
        <f t="shared" si="183"/>
        <v>1</v>
      </c>
      <c r="H167" s="3">
        <f t="shared" si="133"/>
        <v>31</v>
      </c>
      <c r="I167" s="391">
        <f>I155*(1+'Economic Data'!$AC$17)</f>
        <v>896946.21799999988</v>
      </c>
      <c r="J167" s="391">
        <f t="shared" si="181"/>
        <v>130</v>
      </c>
      <c r="L167" s="3">
        <f t="shared" si="145"/>
        <v>-38000000</v>
      </c>
      <c r="M167" s="3">
        <f t="shared" ca="1" si="146"/>
        <v>5283102.7087597838</v>
      </c>
      <c r="N167" s="3">
        <f t="shared" ca="1" si="147"/>
        <v>2039361.2503000004</v>
      </c>
      <c r="O167" s="3">
        <f t="shared" si="148"/>
        <v>1538400</v>
      </c>
      <c r="P167" s="3">
        <f t="shared" si="149"/>
        <v>40989657</v>
      </c>
      <c r="Q167" s="3">
        <f t="shared" si="150"/>
        <v>81306622.944742844</v>
      </c>
      <c r="R167" s="3">
        <f t="shared" si="151"/>
        <v>-10474204</v>
      </c>
      <c r="S167" s="47">
        <f t="shared" ca="1" si="124"/>
        <v>82682939.903802633</v>
      </c>
      <c r="T167" s="47">
        <f>IFERROR(HLOOKUP(B167-1,'EV Forecast VRZ'!$F$124:$T$130,5,FALSE)/12,0)+IFERROR(((HLOOKUP(B167,'EV Forecast VRZ'!$F$116:$T$122,5,FALSE)-HLOOKUP(B167-1,'EV Forecast VRZ'!$F$124:$T$130,5,FALSE)))*C167/78,0)</f>
        <v>218046.87690931308</v>
      </c>
      <c r="U167" s="47">
        <f ca="1">HLOOKUP(B167,Heating!$C$102:$O$106,5,FALSE)*INDEX(Weather!$BO$1:$CB$20,MATCH(B167,Weather!$BO$1:$BO$20,0),MATCH(C167,Weather!$BO$1:$CB$1,0))/VLOOKUP(B167,Weather!$BO$2:$CB$20,14,FALSE)</f>
        <v>227073.6288955507</v>
      </c>
      <c r="V167" s="47">
        <f t="shared" ca="1" si="125"/>
        <v>83128060.4096075</v>
      </c>
    </row>
    <row r="168" spans="1:22">
      <c r="A168" s="2">
        <f t="shared" si="128"/>
        <v>47087</v>
      </c>
      <c r="B168">
        <f t="shared" si="129"/>
        <v>2028</v>
      </c>
      <c r="C168">
        <f t="shared" si="130"/>
        <v>11</v>
      </c>
      <c r="E168" s="3">
        <f t="shared" ref="E168:F168" ca="1" si="192">E156</f>
        <v>486.62991389045737</v>
      </c>
      <c r="F168" s="3">
        <f t="shared" ca="1" si="192"/>
        <v>2.2779166666666657</v>
      </c>
      <c r="G168">
        <f t="shared" si="183"/>
        <v>1</v>
      </c>
      <c r="H168" s="3">
        <f t="shared" si="133"/>
        <v>30</v>
      </c>
      <c r="I168" s="391">
        <f>I156*(1+'Economic Data'!$AC$17)</f>
        <v>896946.21799999988</v>
      </c>
      <c r="J168" s="391">
        <f t="shared" si="181"/>
        <v>131</v>
      </c>
      <c r="L168" s="3">
        <f t="shared" si="145"/>
        <v>-38000000</v>
      </c>
      <c r="M168" s="3">
        <f t="shared" ca="1" si="146"/>
        <v>8621130.6881842054</v>
      </c>
      <c r="N168" s="3">
        <f t="shared" ca="1" si="147"/>
        <v>131494.88082499994</v>
      </c>
      <c r="O168" s="3">
        <f t="shared" si="148"/>
        <v>1538400</v>
      </c>
      <c r="P168" s="3">
        <f t="shared" si="149"/>
        <v>39667410</v>
      </c>
      <c r="Q168" s="3">
        <f t="shared" si="150"/>
        <v>81306622.944742844</v>
      </c>
      <c r="R168" s="3">
        <f t="shared" si="151"/>
        <v>-10554774.800000001</v>
      </c>
      <c r="S168" s="47">
        <f t="shared" ca="1" si="124"/>
        <v>82710283.713752046</v>
      </c>
      <c r="T168" s="47">
        <f>IFERROR(HLOOKUP(B168-1,'EV Forecast VRZ'!$F$124:$T$130,5,FALSE)/12,0)+IFERROR(((HLOOKUP(B168,'EV Forecast VRZ'!$F$116:$T$122,5,FALSE)-HLOOKUP(B168-1,'EV Forecast VRZ'!$F$124:$T$130,5,FALSE)))*C168/78,0)</f>
        <v>220803.8357822262</v>
      </c>
      <c r="U168" s="47">
        <f ca="1">HLOOKUP(B168,Heating!$C$102:$O$106,5,FALSE)*INDEX(Weather!$BO$1:$CB$20,MATCH(B168,Weather!$BO$1:$BO$20,0),MATCH(C168,Weather!$BO$1:$CB$1,0))/VLOOKUP(B168,Weather!$BO$2:$CB$20,14,FALSE)</f>
        <v>407220.26534660452</v>
      </c>
      <c r="V168" s="47">
        <f t="shared" ca="1" si="125"/>
        <v>83338307.814880878</v>
      </c>
    </row>
    <row r="169" spans="1:22">
      <c r="A169" s="2">
        <f t="shared" si="128"/>
        <v>47118</v>
      </c>
      <c r="B169">
        <f t="shared" si="129"/>
        <v>2028</v>
      </c>
      <c r="C169">
        <f t="shared" si="130"/>
        <v>12</v>
      </c>
      <c r="E169" s="3">
        <f t="shared" ref="E169:F169" ca="1" si="193">E157</f>
        <v>639.92800724637686</v>
      </c>
      <c r="F169" s="3">
        <f t="shared" ca="1" si="193"/>
        <v>0</v>
      </c>
      <c r="G169">
        <f t="shared" si="183"/>
        <v>0</v>
      </c>
      <c r="H169" s="3">
        <f t="shared" si="133"/>
        <v>31</v>
      </c>
      <c r="I169" s="391">
        <f>I157*(1+'Economic Data'!$AC$17)</f>
        <v>896946.21799999988</v>
      </c>
      <c r="J169" s="391">
        <f t="shared" si="181"/>
        <v>132</v>
      </c>
      <c r="L169" s="3">
        <f t="shared" si="145"/>
        <v>-38000000</v>
      </c>
      <c r="M169" s="3">
        <f t="shared" ca="1" si="146"/>
        <v>11336958.177096741</v>
      </c>
      <c r="N169" s="3">
        <f t="shared" ca="1" si="147"/>
        <v>0</v>
      </c>
      <c r="O169" s="3">
        <f t="shared" si="148"/>
        <v>0</v>
      </c>
      <c r="P169" s="3">
        <f t="shared" si="149"/>
        <v>40989657</v>
      </c>
      <c r="Q169" s="3">
        <f t="shared" si="150"/>
        <v>81306622.944742844</v>
      </c>
      <c r="R169" s="3">
        <f t="shared" si="151"/>
        <v>-10635345.6</v>
      </c>
      <c r="S169" s="47">
        <f t="shared" ca="1" si="124"/>
        <v>84997892.521839589</v>
      </c>
      <c r="T169" s="47">
        <f>IFERROR(HLOOKUP(B169-1,'EV Forecast VRZ'!$F$124:$T$130,5,FALSE)/12,0)+IFERROR(((HLOOKUP(B169,'EV Forecast VRZ'!$F$116:$T$122,5,FALSE)-HLOOKUP(B169-1,'EV Forecast VRZ'!$F$124:$T$130,5,FALSE)))*C169/78,0)</f>
        <v>223560.7946551393</v>
      </c>
      <c r="U169" s="47">
        <f ca="1">HLOOKUP(B169,Heating!$C$102:$O$106,5,FALSE)*INDEX(Weather!$BO$1:$CB$20,MATCH(B169,Weather!$BO$1:$BO$20,0),MATCH(C169,Weather!$BO$1:$CB$1,0))/VLOOKUP(B169,Weather!$BO$2:$CB$20,14,FALSE)</f>
        <v>551635.00917221548</v>
      </c>
      <c r="V169" s="47">
        <f t="shared" ca="1" si="125"/>
        <v>85773088.325666949</v>
      </c>
    </row>
    <row r="170" spans="1:22">
      <c r="A170" s="2">
        <f t="shared" si="128"/>
        <v>47149</v>
      </c>
      <c r="B170">
        <f t="shared" si="129"/>
        <v>2029</v>
      </c>
      <c r="C170">
        <f t="shared" si="130"/>
        <v>1</v>
      </c>
      <c r="E170" s="3">
        <f t="shared" ref="E170:F170" ca="1" si="194">E158</f>
        <v>759.33418478260865</v>
      </c>
      <c r="F170" s="3">
        <f t="shared" ca="1" si="194"/>
        <v>0</v>
      </c>
      <c r="G170">
        <f t="shared" si="183"/>
        <v>0</v>
      </c>
      <c r="H170" s="3">
        <f t="shared" si="133"/>
        <v>31</v>
      </c>
      <c r="I170" s="391">
        <f>I158*(1+'Economic Data'!$AC$17)</f>
        <v>913988.1961419998</v>
      </c>
      <c r="J170" s="391">
        <f t="shared" si="181"/>
        <v>133</v>
      </c>
      <c r="L170" s="3">
        <f t="shared" si="145"/>
        <v>-38000000</v>
      </c>
      <c r="M170" s="3">
        <f t="shared" ca="1" si="146"/>
        <v>13452356.824266847</v>
      </c>
      <c r="N170" s="3">
        <f t="shared" ca="1" si="147"/>
        <v>0</v>
      </c>
      <c r="O170" s="3">
        <f t="shared" si="148"/>
        <v>0</v>
      </c>
      <c r="P170" s="3">
        <f t="shared" si="149"/>
        <v>40989657</v>
      </c>
      <c r="Q170" s="3">
        <f t="shared" si="150"/>
        <v>82851448.78069295</v>
      </c>
      <c r="R170" s="3">
        <f t="shared" si="151"/>
        <v>-10715916.4</v>
      </c>
      <c r="S170" s="47">
        <f t="shared" ca="1" si="124"/>
        <v>88577546.204959795</v>
      </c>
      <c r="T170" s="47">
        <f>IFERROR(HLOOKUP(B170-1,'EV Forecast VRZ'!$F$124:$T$130,5,FALSE)/12,0)+IFERROR(((HLOOKUP(B170,'EV Forecast VRZ'!$F$116:$T$122,5,FALSE)-HLOOKUP(B170-1,'EV Forecast VRZ'!$F$124:$T$130,5,FALSE)))*C170/78,0)</f>
        <v>235993.99097665463</v>
      </c>
      <c r="U170" s="47">
        <f ca="1">HLOOKUP(B170,Heating!$C$102:$O$106,5,FALSE)*INDEX(Weather!$BO$1:$CB$20,MATCH(B170,Weather!$BO$1:$BO$20,0),MATCH(C170,Weather!$BO$1:$CB$1,0))/VLOOKUP(B170,Weather!$BO$2:$CB$20,14,FALSE)</f>
        <v>754086.96937575238</v>
      </c>
      <c r="V170" s="47">
        <f t="shared" ca="1" si="125"/>
        <v>89567627.165312216</v>
      </c>
    </row>
    <row r="171" spans="1:22">
      <c r="A171" s="2">
        <f t="shared" si="128"/>
        <v>47177</v>
      </c>
      <c r="B171">
        <f t="shared" si="129"/>
        <v>2029</v>
      </c>
      <c r="C171">
        <f t="shared" si="130"/>
        <v>2</v>
      </c>
      <c r="E171" s="3">
        <f t="shared" ref="E171:F171" ca="1" si="195">E159</f>
        <v>680.85501811594202</v>
      </c>
      <c r="F171" s="3">
        <f t="shared" ca="1" si="195"/>
        <v>0</v>
      </c>
      <c r="G171">
        <f t="shared" si="183"/>
        <v>0</v>
      </c>
      <c r="H171" s="3">
        <f t="shared" si="133"/>
        <v>28</v>
      </c>
      <c r="I171" s="391">
        <f>I159*(1+'Economic Data'!$AC$17)</f>
        <v>913988.1961419998</v>
      </c>
      <c r="J171" s="391">
        <f t="shared" si="181"/>
        <v>134</v>
      </c>
      <c r="L171" s="3">
        <f t="shared" si="145"/>
        <v>-38000000</v>
      </c>
      <c r="M171" s="3">
        <f t="shared" ca="1" si="146"/>
        <v>12062020.692391848</v>
      </c>
      <c r="N171" s="3">
        <f t="shared" ca="1" si="147"/>
        <v>0</v>
      </c>
      <c r="O171" s="3">
        <f t="shared" si="148"/>
        <v>0</v>
      </c>
      <c r="P171" s="3">
        <f t="shared" si="149"/>
        <v>37022916</v>
      </c>
      <c r="Q171" s="3">
        <f t="shared" si="150"/>
        <v>82851448.78069295</v>
      </c>
      <c r="R171" s="3">
        <f t="shared" si="151"/>
        <v>-10796487.200000001</v>
      </c>
      <c r="S171" s="47">
        <f t="shared" ca="1" si="124"/>
        <v>83139898.273084804</v>
      </c>
      <c r="T171" s="47">
        <f>IFERROR(HLOOKUP(B171-1,'EV Forecast VRZ'!$F$124:$T$130,5,FALSE)/12,0)+IFERROR(((HLOOKUP(B171,'EV Forecast VRZ'!$F$116:$T$122,5,FALSE)-HLOOKUP(B171-1,'EV Forecast VRZ'!$F$124:$T$130,5,FALSE)))*C171/78,0)</f>
        <v>239721.67442525679</v>
      </c>
      <c r="U171" s="47">
        <f ca="1">HLOOKUP(B171,Heating!$C$102:$O$106,5,FALSE)*INDEX(Weather!$BO$1:$CB$20,MATCH(B171,Weather!$BO$1:$BO$20,0),MATCH(C171,Weather!$BO$1:$CB$1,0))/VLOOKUP(B171,Weather!$BO$2:$CB$20,14,FALSE)</f>
        <v>675060.22937253269</v>
      </c>
      <c r="V171" s="47">
        <f t="shared" ca="1" si="125"/>
        <v>84054680.176882595</v>
      </c>
    </row>
    <row r="172" spans="1:22">
      <c r="A172" s="2">
        <f t="shared" si="128"/>
        <v>47208</v>
      </c>
      <c r="B172">
        <f t="shared" si="129"/>
        <v>2029</v>
      </c>
      <c r="C172">
        <f t="shared" si="130"/>
        <v>3</v>
      </c>
      <c r="E172" s="3">
        <f t="shared" ref="E172:F172" ca="1" si="196">E160</f>
        <v>608.13298913043479</v>
      </c>
      <c r="F172" s="3">
        <f t="shared" ca="1" si="196"/>
        <v>2.9583333333332896E-2</v>
      </c>
      <c r="G172">
        <f t="shared" si="183"/>
        <v>1</v>
      </c>
      <c r="H172" s="3">
        <f t="shared" si="133"/>
        <v>31</v>
      </c>
      <c r="I172" s="391">
        <f>I160*(1+'Economic Data'!$AC$17)</f>
        <v>913988.1961419998</v>
      </c>
      <c r="J172" s="391">
        <f t="shared" si="181"/>
        <v>135</v>
      </c>
      <c r="L172" s="3">
        <f t="shared" si="145"/>
        <v>-38000000</v>
      </c>
      <c r="M172" s="3">
        <f t="shared" ca="1" si="146"/>
        <v>10773677.954104893</v>
      </c>
      <c r="N172" s="3">
        <f t="shared" ca="1" si="147"/>
        <v>1707.7257249999748</v>
      </c>
      <c r="O172" s="3">
        <f t="shared" si="148"/>
        <v>1538400</v>
      </c>
      <c r="P172" s="3">
        <f t="shared" si="149"/>
        <v>40989657</v>
      </c>
      <c r="Q172" s="3">
        <f t="shared" si="150"/>
        <v>82851448.78069295</v>
      </c>
      <c r="R172" s="3">
        <f t="shared" si="151"/>
        <v>-10877058</v>
      </c>
      <c r="S172" s="47">
        <f t="shared" ca="1" si="124"/>
        <v>87277833.460522845</v>
      </c>
      <c r="T172" s="47">
        <f>IFERROR(HLOOKUP(B172-1,'EV Forecast VRZ'!$F$124:$T$130,5,FALSE)/12,0)+IFERROR(((HLOOKUP(B172,'EV Forecast VRZ'!$F$116:$T$122,5,FALSE)-HLOOKUP(B172-1,'EV Forecast VRZ'!$F$124:$T$130,5,FALSE)))*C172/78,0)</f>
        <v>243449.35787385897</v>
      </c>
      <c r="U172" s="47">
        <f ca="1">HLOOKUP(B172,Heating!$C$102:$O$106,5,FALSE)*INDEX(Weather!$BO$1:$CB$20,MATCH(B172,Weather!$BO$1:$BO$20,0),MATCH(C172,Weather!$BO$1:$CB$1,0))/VLOOKUP(B172,Weather!$BO$2:$CB$20,14,FALSE)</f>
        <v>590580.21195085591</v>
      </c>
      <c r="V172" s="47">
        <f t="shared" ca="1" si="125"/>
        <v>88111863.030347556</v>
      </c>
    </row>
    <row r="173" spans="1:22">
      <c r="A173" s="2">
        <f t="shared" si="128"/>
        <v>47238</v>
      </c>
      <c r="B173">
        <f t="shared" si="129"/>
        <v>2029</v>
      </c>
      <c r="C173">
        <f t="shared" si="130"/>
        <v>4</v>
      </c>
      <c r="E173" s="3">
        <f t="shared" ref="E173:F173" ca="1" si="197">E161</f>
        <v>412.37941287878795</v>
      </c>
      <c r="F173" s="3">
        <f t="shared" ca="1" si="197"/>
        <v>5.6420833333333338</v>
      </c>
      <c r="G173">
        <f t="shared" si="183"/>
        <v>1</v>
      </c>
      <c r="H173" s="3">
        <f t="shared" si="133"/>
        <v>30</v>
      </c>
      <c r="I173" s="391">
        <f>I161*(1+'Economic Data'!$AC$17)</f>
        <v>913988.1961419998</v>
      </c>
      <c r="J173" s="391">
        <f t="shared" si="181"/>
        <v>136</v>
      </c>
      <c r="L173" s="3">
        <f t="shared" si="145"/>
        <v>-38000000</v>
      </c>
      <c r="M173" s="3">
        <f t="shared" ca="1" si="146"/>
        <v>7305709.5547664789</v>
      </c>
      <c r="N173" s="3">
        <f t="shared" ca="1" si="147"/>
        <v>325694.56397500006</v>
      </c>
      <c r="O173" s="3">
        <f t="shared" si="148"/>
        <v>1538400</v>
      </c>
      <c r="P173" s="3">
        <f t="shared" si="149"/>
        <v>39667410</v>
      </c>
      <c r="Q173" s="3">
        <f t="shared" si="150"/>
        <v>82851448.78069295</v>
      </c>
      <c r="R173" s="3">
        <f t="shared" si="151"/>
        <v>-10957628.800000001</v>
      </c>
      <c r="S173" s="47">
        <f t="shared" ca="1" si="124"/>
        <v>82731034.099434435</v>
      </c>
      <c r="T173" s="47">
        <f>IFERROR(HLOOKUP(B173-1,'EV Forecast VRZ'!$F$124:$T$130,5,FALSE)/12,0)+IFERROR(((HLOOKUP(B173,'EV Forecast VRZ'!$F$116:$T$122,5,FALSE)-HLOOKUP(B173-1,'EV Forecast VRZ'!$F$124:$T$130,5,FALSE)))*C173/78,0)</f>
        <v>247177.04132246113</v>
      </c>
      <c r="U173" s="47">
        <f ca="1">HLOOKUP(B173,Heating!$C$102:$O$106,5,FALSE)*INDEX(Weather!$BO$1:$CB$20,MATCH(B173,Weather!$BO$1:$BO$20,0),MATCH(C173,Weather!$BO$1:$CB$1,0))/VLOOKUP(B173,Weather!$BO$2:$CB$20,14,FALSE)</f>
        <v>381095.33157627023</v>
      </c>
      <c r="V173" s="47">
        <f t="shared" ca="1" si="125"/>
        <v>83359306.472333163</v>
      </c>
    </row>
    <row r="174" spans="1:22">
      <c r="A174" s="2">
        <f t="shared" si="128"/>
        <v>47269</v>
      </c>
      <c r="B174">
        <f t="shared" si="129"/>
        <v>2029</v>
      </c>
      <c r="C174">
        <f t="shared" si="130"/>
        <v>5</v>
      </c>
      <c r="E174" s="3">
        <f t="shared" ref="E174:F174" ca="1" si="198">E162</f>
        <v>202.70273119310133</v>
      </c>
      <c r="F174" s="3">
        <f t="shared" ca="1" si="198"/>
        <v>86.191046176046171</v>
      </c>
      <c r="G174">
        <f t="shared" si="183"/>
        <v>1</v>
      </c>
      <c r="H174" s="3">
        <f t="shared" si="133"/>
        <v>31</v>
      </c>
      <c r="I174" s="391">
        <f>I162*(1+'Economic Data'!$AC$17)</f>
        <v>913988.1961419998</v>
      </c>
      <c r="J174" s="391">
        <f t="shared" si="181"/>
        <v>137</v>
      </c>
      <c r="L174" s="3">
        <f t="shared" si="145"/>
        <v>-38000000</v>
      </c>
      <c r="M174" s="3">
        <f t="shared" ca="1" si="146"/>
        <v>3591079.5587896714</v>
      </c>
      <c r="N174" s="3">
        <f t="shared" ca="1" si="147"/>
        <v>4975459.1600956712</v>
      </c>
      <c r="O174" s="3">
        <f t="shared" si="148"/>
        <v>1538400</v>
      </c>
      <c r="P174" s="3">
        <f t="shared" si="149"/>
        <v>40989657</v>
      </c>
      <c r="Q174" s="3">
        <f t="shared" si="150"/>
        <v>82851448.78069295</v>
      </c>
      <c r="R174" s="3">
        <f t="shared" si="151"/>
        <v>-11038199.6</v>
      </c>
      <c r="S174" s="47">
        <f t="shared" ca="1" si="124"/>
        <v>84907844.899578303</v>
      </c>
      <c r="T174" s="47">
        <f>IFERROR(HLOOKUP(B174-1,'EV Forecast VRZ'!$F$124:$T$130,5,FALSE)/12,0)+IFERROR(((HLOOKUP(B174,'EV Forecast VRZ'!$F$116:$T$122,5,FALSE)-HLOOKUP(B174-1,'EV Forecast VRZ'!$F$124:$T$130,5,FALSE)))*C174/78,0)</f>
        <v>250904.72477106331</v>
      </c>
      <c r="U174" s="47">
        <f ca="1">HLOOKUP(B174,Heating!$C$102:$O$106,5,FALSE)*INDEX(Weather!$BO$1:$CB$20,MATCH(B174,Weather!$BO$1:$BO$20,0),MATCH(C174,Weather!$BO$1:$CB$1,0))/VLOOKUP(B174,Weather!$BO$2:$CB$20,14,FALSE)</f>
        <v>162355.84138736018</v>
      </c>
      <c r="V174" s="47">
        <f t="shared" ca="1" si="125"/>
        <v>85321105.465736732</v>
      </c>
    </row>
    <row r="175" spans="1:22">
      <c r="A175" s="2">
        <f t="shared" ref="A175:A205" si="199">EOMONTH(A174,1)</f>
        <v>47299</v>
      </c>
      <c r="B175">
        <f t="shared" ref="B175:B205" si="200">YEAR(A175)</f>
        <v>2029</v>
      </c>
      <c r="C175">
        <f t="shared" ref="C175:C205" si="201">MONTH(A175)</f>
        <v>6</v>
      </c>
      <c r="E175" s="3">
        <f t="shared" ref="E175:F175" ca="1" si="202">E163</f>
        <v>66.09717382617383</v>
      </c>
      <c r="F175" s="3">
        <f t="shared" ca="1" si="202"/>
        <v>194.94285087738348</v>
      </c>
      <c r="G175">
        <f t="shared" ref="G175:G190" si="203">G163</f>
        <v>0</v>
      </c>
      <c r="H175" s="3">
        <f t="shared" ref="H175:H205" si="204">H139</f>
        <v>30</v>
      </c>
      <c r="I175" s="391">
        <f>I163*(1+'Economic Data'!$AC$17)</f>
        <v>913988.1961419998</v>
      </c>
      <c r="J175" s="391">
        <f t="shared" si="181"/>
        <v>138</v>
      </c>
      <c r="L175" s="3">
        <f t="shared" si="145"/>
        <v>-38000000</v>
      </c>
      <c r="M175" s="3">
        <f t="shared" ca="1" si="146"/>
        <v>1170976.8705327574</v>
      </c>
      <c r="N175" s="3">
        <f t="shared" ca="1" si="147"/>
        <v>11253259.313176787</v>
      </c>
      <c r="O175" s="3">
        <f t="shared" si="148"/>
        <v>0</v>
      </c>
      <c r="P175" s="3">
        <f t="shared" si="149"/>
        <v>39667410</v>
      </c>
      <c r="Q175" s="3">
        <f t="shared" si="150"/>
        <v>82851448.78069295</v>
      </c>
      <c r="R175" s="3">
        <f t="shared" si="151"/>
        <v>-11118770.4</v>
      </c>
      <c r="S175" s="47">
        <f t="shared" ca="1" si="124"/>
        <v>85824324.564402491</v>
      </c>
      <c r="T175" s="47">
        <f>IFERROR(HLOOKUP(B175-1,'EV Forecast VRZ'!$F$124:$T$130,5,FALSE)/12,0)+IFERROR(((HLOOKUP(B175,'EV Forecast VRZ'!$F$116:$T$122,5,FALSE)-HLOOKUP(B175-1,'EV Forecast VRZ'!$F$124:$T$130,5,FALSE)))*C175/78,0)</f>
        <v>254632.40821966546</v>
      </c>
      <c r="U175" s="47">
        <f ca="1">HLOOKUP(B175,Heating!$C$102:$O$106,5,FALSE)*INDEX(Weather!$BO$1:$CB$20,MATCH(B175,Weather!$BO$1:$BO$20,0),MATCH(C175,Weather!$BO$1:$CB$1,0))/VLOOKUP(B175,Weather!$BO$2:$CB$20,14,FALSE)</f>
        <v>35167.650496044807</v>
      </c>
      <c r="V175" s="47">
        <f t="shared" ca="1" si="125"/>
        <v>86114124.623118207</v>
      </c>
    </row>
    <row r="176" spans="1:22">
      <c r="A176" s="2">
        <f t="shared" si="199"/>
        <v>47330</v>
      </c>
      <c r="B176">
        <f t="shared" si="200"/>
        <v>2029</v>
      </c>
      <c r="C176">
        <f t="shared" si="201"/>
        <v>7</v>
      </c>
      <c r="E176" s="3">
        <f t="shared" ref="E176:F176" ca="1" si="205">E164</f>
        <v>10.249063146997932</v>
      </c>
      <c r="F176" s="3">
        <f t="shared" ca="1" si="205"/>
        <v>297.94737858727848</v>
      </c>
      <c r="G176">
        <f t="shared" si="203"/>
        <v>0</v>
      </c>
      <c r="H176" s="3">
        <f t="shared" si="204"/>
        <v>31</v>
      </c>
      <c r="I176" s="391">
        <f>I164*(1+'Economic Data'!$AC$17)</f>
        <v>913988.1961419998</v>
      </c>
      <c r="J176" s="391">
        <f t="shared" si="181"/>
        <v>139</v>
      </c>
      <c r="L176" s="3">
        <f t="shared" si="145"/>
        <v>-38000000</v>
      </c>
      <c r="M176" s="3">
        <f t="shared" ca="1" si="146"/>
        <v>181572.30022158389</v>
      </c>
      <c r="N176" s="3">
        <f t="shared" ca="1" si="147"/>
        <v>17199292.499486525</v>
      </c>
      <c r="O176" s="3">
        <f t="shared" si="148"/>
        <v>0</v>
      </c>
      <c r="P176" s="3">
        <f t="shared" si="149"/>
        <v>40989657</v>
      </c>
      <c r="Q176" s="3">
        <f t="shared" si="150"/>
        <v>82851448.78069295</v>
      </c>
      <c r="R176" s="3">
        <f t="shared" si="151"/>
        <v>-11199341.200000001</v>
      </c>
      <c r="S176" s="47">
        <f t="shared" ca="1" si="124"/>
        <v>92022629.38040106</v>
      </c>
      <c r="T176" s="47">
        <f>IFERROR(HLOOKUP(B176-1,'EV Forecast VRZ'!$F$124:$T$130,5,FALSE)/12,0)+IFERROR(((HLOOKUP(B176,'EV Forecast VRZ'!$F$116:$T$122,5,FALSE)-HLOOKUP(B176-1,'EV Forecast VRZ'!$F$124:$T$130,5,FALSE)))*C176/78,0)</f>
        <v>258360.09166826765</v>
      </c>
      <c r="U176" s="47">
        <f ca="1">HLOOKUP(B176,Heating!$C$102:$O$106,5,FALSE)*INDEX(Weather!$BO$1:$CB$20,MATCH(B176,Weather!$BO$1:$BO$20,0),MATCH(C176,Weather!$BO$1:$CB$1,0))/VLOOKUP(B176,Weather!$BO$2:$CB$20,14,FALSE)</f>
        <v>1749.5913759763989</v>
      </c>
      <c r="V176" s="47">
        <f t="shared" ca="1" si="125"/>
        <v>92282739.0634453</v>
      </c>
    </row>
    <row r="177" spans="1:22">
      <c r="A177" s="2">
        <f t="shared" si="199"/>
        <v>47361</v>
      </c>
      <c r="B177">
        <f t="shared" si="200"/>
        <v>2029</v>
      </c>
      <c r="C177">
        <f t="shared" si="201"/>
        <v>8</v>
      </c>
      <c r="E177" s="3">
        <f t="shared" ref="E177:F177" ca="1" si="206">E165</f>
        <v>21.194927536231887</v>
      </c>
      <c r="F177" s="3">
        <f t="shared" ca="1" si="206"/>
        <v>272.96558794466404</v>
      </c>
      <c r="G177">
        <f t="shared" si="203"/>
        <v>0</v>
      </c>
      <c r="H177" s="3">
        <f t="shared" si="204"/>
        <v>31</v>
      </c>
      <c r="I177" s="391">
        <f>I165*(1+'Economic Data'!$AC$17)</f>
        <v>913988.1961419998</v>
      </c>
      <c r="J177" s="391">
        <f t="shared" si="181"/>
        <v>140</v>
      </c>
      <c r="L177" s="3">
        <f t="shared" si="145"/>
        <v>-38000000</v>
      </c>
      <c r="M177" s="3">
        <f t="shared" ca="1" si="146"/>
        <v>375489.1242826088</v>
      </c>
      <c r="N177" s="3">
        <f t="shared" ca="1" si="147"/>
        <v>15757195.151758401</v>
      </c>
      <c r="O177" s="3">
        <f t="shared" si="148"/>
        <v>0</v>
      </c>
      <c r="P177" s="3">
        <f t="shared" si="149"/>
        <v>40989657</v>
      </c>
      <c r="Q177" s="3">
        <f t="shared" si="150"/>
        <v>82851448.78069295</v>
      </c>
      <c r="R177" s="3">
        <f t="shared" si="151"/>
        <v>-11279912</v>
      </c>
      <c r="S177" s="47">
        <f t="shared" ca="1" si="124"/>
        <v>90693878.056733966</v>
      </c>
      <c r="T177" s="47">
        <f>IFERROR(HLOOKUP(B177-1,'EV Forecast VRZ'!$F$124:$T$130,5,FALSE)/12,0)+IFERROR(((HLOOKUP(B177,'EV Forecast VRZ'!$F$116:$T$122,5,FALSE)-HLOOKUP(B177-1,'EV Forecast VRZ'!$F$124:$T$130,5,FALSE)))*C177/78,0)</f>
        <v>262087.77511686983</v>
      </c>
      <c r="U177" s="47">
        <f ca="1">HLOOKUP(B177,Heating!$C$102:$O$106,5,FALSE)*INDEX(Weather!$BO$1:$CB$20,MATCH(B177,Weather!$BO$1:$BO$20,0),MATCH(C177,Weather!$BO$1:$CB$1,0))/VLOOKUP(B177,Weather!$BO$2:$CB$20,14,FALSE)</f>
        <v>6109.8272104661291</v>
      </c>
      <c r="V177" s="47">
        <f t="shared" ca="1" si="125"/>
        <v>90962075.659061313</v>
      </c>
    </row>
    <row r="178" spans="1:22">
      <c r="A178" s="2">
        <f t="shared" si="199"/>
        <v>47391</v>
      </c>
      <c r="B178">
        <f t="shared" si="200"/>
        <v>2029</v>
      </c>
      <c r="C178">
        <f t="shared" si="201"/>
        <v>9</v>
      </c>
      <c r="E178" s="3">
        <f t="shared" ref="E178:F178" ca="1" si="207">E166</f>
        <v>96.735690993788822</v>
      </c>
      <c r="F178" s="3">
        <f t="shared" ca="1" si="207"/>
        <v>158.67014233954447</v>
      </c>
      <c r="G178">
        <f t="shared" si="203"/>
        <v>1</v>
      </c>
      <c r="H178" s="3">
        <f t="shared" si="204"/>
        <v>30</v>
      </c>
      <c r="I178" s="391">
        <f>I166*(1+'Economic Data'!$AC$17)</f>
        <v>913988.1961419998</v>
      </c>
      <c r="J178" s="391">
        <f t="shared" si="181"/>
        <v>141</v>
      </c>
      <c r="L178" s="3">
        <f t="shared" si="145"/>
        <v>-38000000</v>
      </c>
      <c r="M178" s="3">
        <f t="shared" ca="1" si="146"/>
        <v>1713768.5342890529</v>
      </c>
      <c r="N178" s="3">
        <f t="shared" ca="1" si="147"/>
        <v>9159383.1164840031</v>
      </c>
      <c r="O178" s="3">
        <f t="shared" si="148"/>
        <v>1538400</v>
      </c>
      <c r="P178" s="3">
        <f t="shared" si="149"/>
        <v>39667410</v>
      </c>
      <c r="Q178" s="3">
        <f t="shared" si="150"/>
        <v>82851448.78069295</v>
      </c>
      <c r="R178" s="3">
        <f t="shared" si="151"/>
        <v>-11360482.800000001</v>
      </c>
      <c r="S178" s="47">
        <f t="shared" ca="1" si="124"/>
        <v>85569927.631466016</v>
      </c>
      <c r="T178" s="47">
        <f>IFERROR(HLOOKUP(B178-1,'EV Forecast VRZ'!$F$124:$T$130,5,FALSE)/12,0)+IFERROR(((HLOOKUP(B178,'EV Forecast VRZ'!$F$116:$T$122,5,FALSE)-HLOOKUP(B178-1,'EV Forecast VRZ'!$F$124:$T$130,5,FALSE)))*C178/78,0)</f>
        <v>265815.45856547198</v>
      </c>
      <c r="U178" s="47">
        <f ca="1">HLOOKUP(B178,Heating!$C$102:$O$106,5,FALSE)*INDEX(Weather!$BO$1:$CB$20,MATCH(B178,Weather!$BO$1:$BO$20,0),MATCH(C178,Weather!$BO$1:$CB$1,0))/VLOOKUP(B178,Weather!$BO$2:$CB$20,14,FALSE)</f>
        <v>59432.334169178539</v>
      </c>
      <c r="V178" s="47">
        <f t="shared" ca="1" si="125"/>
        <v>85895175.424200669</v>
      </c>
    </row>
    <row r="179" spans="1:22">
      <c r="A179" s="2">
        <f t="shared" si="199"/>
        <v>47422</v>
      </c>
      <c r="B179">
        <f t="shared" si="200"/>
        <v>2029</v>
      </c>
      <c r="C179">
        <f t="shared" si="201"/>
        <v>10</v>
      </c>
      <c r="E179" s="3">
        <f t="shared" ref="E179:F179" ca="1" si="208">E167</f>
        <v>298.21097826086958</v>
      </c>
      <c r="F179" s="3">
        <f t="shared" ca="1" si="208"/>
        <v>35.32833333333334</v>
      </c>
      <c r="G179">
        <f t="shared" si="203"/>
        <v>1</v>
      </c>
      <c r="H179" s="3">
        <f t="shared" si="204"/>
        <v>31</v>
      </c>
      <c r="I179" s="391">
        <f>I167*(1+'Economic Data'!$AC$17)</f>
        <v>913988.1961419998</v>
      </c>
      <c r="J179" s="391">
        <f t="shared" si="181"/>
        <v>142</v>
      </c>
      <c r="L179" s="3">
        <f t="shared" si="145"/>
        <v>-38000000</v>
      </c>
      <c r="M179" s="3">
        <f t="shared" ca="1" si="146"/>
        <v>5283102.7087597838</v>
      </c>
      <c r="N179" s="3">
        <f t="shared" ca="1" si="147"/>
        <v>2039361.2503000004</v>
      </c>
      <c r="O179" s="3">
        <f t="shared" si="148"/>
        <v>1538400</v>
      </c>
      <c r="P179" s="3">
        <f t="shared" si="149"/>
        <v>40989657</v>
      </c>
      <c r="Q179" s="3">
        <f t="shared" si="150"/>
        <v>82851448.78069295</v>
      </c>
      <c r="R179" s="3">
        <f t="shared" si="151"/>
        <v>-11441053.6</v>
      </c>
      <c r="S179" s="47">
        <f t="shared" ca="1" si="124"/>
        <v>83260916.139752746</v>
      </c>
      <c r="T179" s="47">
        <f>IFERROR(HLOOKUP(B179-1,'EV Forecast VRZ'!$F$124:$T$130,5,FALSE)/12,0)+IFERROR(((HLOOKUP(B179,'EV Forecast VRZ'!$F$116:$T$122,5,FALSE)-HLOOKUP(B179-1,'EV Forecast VRZ'!$F$124:$T$130,5,FALSE)))*C179/78,0)</f>
        <v>269543.14201407414</v>
      </c>
      <c r="U179" s="47">
        <f ca="1">HLOOKUP(B179,Heating!$C$102:$O$106,5,FALSE)*INDEX(Weather!$BO$1:$CB$20,MATCH(B179,Weather!$BO$1:$BO$20,0),MATCH(C179,Weather!$BO$1:$CB$1,0))/VLOOKUP(B179,Weather!$BO$2:$CB$20,14,FALSE)</f>
        <v>257258.12615245939</v>
      </c>
      <c r="V179" s="47">
        <f t="shared" ca="1" si="125"/>
        <v>83787717.407919273</v>
      </c>
    </row>
    <row r="180" spans="1:22">
      <c r="A180" s="2">
        <f t="shared" si="199"/>
        <v>47452</v>
      </c>
      <c r="B180">
        <f t="shared" si="200"/>
        <v>2029</v>
      </c>
      <c r="C180">
        <f t="shared" si="201"/>
        <v>11</v>
      </c>
      <c r="E180" s="3">
        <f t="shared" ref="E180:F180" ca="1" si="209">E168</f>
        <v>486.62991389045737</v>
      </c>
      <c r="F180" s="3">
        <f t="shared" ca="1" si="209"/>
        <v>2.2779166666666657</v>
      </c>
      <c r="G180">
        <f t="shared" si="203"/>
        <v>1</v>
      </c>
      <c r="H180" s="3">
        <f t="shared" si="204"/>
        <v>30</v>
      </c>
      <c r="I180" s="391">
        <f>I168*(1+'Economic Data'!$AC$17)</f>
        <v>913988.1961419998</v>
      </c>
      <c r="J180" s="391">
        <f t="shared" si="181"/>
        <v>143</v>
      </c>
      <c r="L180" s="3">
        <f t="shared" si="145"/>
        <v>-38000000</v>
      </c>
      <c r="M180" s="3">
        <f t="shared" ca="1" si="146"/>
        <v>8621130.6881842054</v>
      </c>
      <c r="N180" s="3">
        <f t="shared" ca="1" si="147"/>
        <v>131494.88082499994</v>
      </c>
      <c r="O180" s="3">
        <f t="shared" si="148"/>
        <v>1538400</v>
      </c>
      <c r="P180" s="3">
        <f t="shared" si="149"/>
        <v>39667410</v>
      </c>
      <c r="Q180" s="3">
        <f t="shared" si="150"/>
        <v>82851448.78069295</v>
      </c>
      <c r="R180" s="3">
        <f t="shared" si="151"/>
        <v>-11521624.4</v>
      </c>
      <c r="S180" s="47">
        <f t="shared" ca="1" si="124"/>
        <v>83288259.949702144</v>
      </c>
      <c r="T180" s="47">
        <f>IFERROR(HLOOKUP(B180-1,'EV Forecast VRZ'!$F$124:$T$130,5,FALSE)/12,0)+IFERROR(((HLOOKUP(B180,'EV Forecast VRZ'!$F$116:$T$122,5,FALSE)-HLOOKUP(B180-1,'EV Forecast VRZ'!$F$124:$T$130,5,FALSE)))*C180/78,0)</f>
        <v>273270.82546267635</v>
      </c>
      <c r="U180" s="47">
        <f ca="1">HLOOKUP(B180,Heating!$C$102:$O$106,5,FALSE)*INDEX(Weather!$BO$1:$CB$20,MATCH(B180,Weather!$BO$1:$BO$20,0),MATCH(C180,Weather!$BO$1:$CB$1,0))/VLOOKUP(B180,Weather!$BO$2:$CB$20,14,FALSE)</f>
        <v>461351.33746667951</v>
      </c>
      <c r="V180" s="47">
        <f t="shared" ca="1" si="125"/>
        <v>84022882.1126315</v>
      </c>
    </row>
    <row r="181" spans="1:22">
      <c r="A181" s="2">
        <f t="shared" si="199"/>
        <v>47483</v>
      </c>
      <c r="B181">
        <f t="shared" si="200"/>
        <v>2029</v>
      </c>
      <c r="C181">
        <f t="shared" si="201"/>
        <v>12</v>
      </c>
      <c r="E181" s="3">
        <f t="shared" ref="E181:F181" ca="1" si="210">E169</f>
        <v>639.92800724637686</v>
      </c>
      <c r="F181" s="3">
        <f t="shared" ca="1" si="210"/>
        <v>0</v>
      </c>
      <c r="G181">
        <f t="shared" si="203"/>
        <v>0</v>
      </c>
      <c r="H181" s="3">
        <f t="shared" si="204"/>
        <v>31</v>
      </c>
      <c r="I181" s="391">
        <f>I169*(1+'Economic Data'!$AC$17)</f>
        <v>913988.1961419998</v>
      </c>
      <c r="J181" s="391">
        <f t="shared" si="181"/>
        <v>144</v>
      </c>
      <c r="L181" s="3">
        <f t="shared" si="145"/>
        <v>-38000000</v>
      </c>
      <c r="M181" s="3">
        <f t="shared" ca="1" si="146"/>
        <v>11336958.177096741</v>
      </c>
      <c r="N181" s="3">
        <f t="shared" ca="1" si="147"/>
        <v>0</v>
      </c>
      <c r="O181" s="3">
        <f t="shared" si="148"/>
        <v>0</v>
      </c>
      <c r="P181" s="3">
        <f t="shared" si="149"/>
        <v>40989657</v>
      </c>
      <c r="Q181" s="3">
        <f t="shared" si="150"/>
        <v>82851448.78069295</v>
      </c>
      <c r="R181" s="3">
        <f t="shared" si="151"/>
        <v>-11602195.200000001</v>
      </c>
      <c r="S181" s="47">
        <f t="shared" ca="1" si="124"/>
        <v>85575868.757789686</v>
      </c>
      <c r="T181" s="47">
        <f>IFERROR(HLOOKUP(B181-1,'EV Forecast VRZ'!$F$124:$T$130,5,FALSE)/12,0)+IFERROR(((HLOOKUP(B181,'EV Forecast VRZ'!$F$116:$T$122,5,FALSE)-HLOOKUP(B181-1,'EV Forecast VRZ'!$F$124:$T$130,5,FALSE)))*C181/78,0)</f>
        <v>276998.50891127851</v>
      </c>
      <c r="U181" s="47">
        <f ca="1">HLOOKUP(B181,Heating!$C$102:$O$106,5,FALSE)*INDEX(Weather!$BO$1:$CB$20,MATCH(B181,Weather!$BO$1:$BO$20,0),MATCH(C181,Weather!$BO$1:$CB$1,0))/VLOOKUP(B181,Weather!$BO$2:$CB$20,14,FALSE)</f>
        <v>624962.87864856306</v>
      </c>
      <c r="V181" s="47">
        <f t="shared" ca="1" si="125"/>
        <v>86477830.145349532</v>
      </c>
    </row>
    <row r="182" spans="1:22">
      <c r="A182" s="2">
        <f t="shared" si="199"/>
        <v>47514</v>
      </c>
      <c r="B182">
        <f t="shared" si="200"/>
        <v>2030</v>
      </c>
      <c r="C182">
        <f t="shared" si="201"/>
        <v>1</v>
      </c>
      <c r="E182" s="3">
        <f t="shared" ref="E182:F182" ca="1" si="211">E170</f>
        <v>759.33418478260865</v>
      </c>
      <c r="F182" s="3">
        <f t="shared" ca="1" si="211"/>
        <v>0</v>
      </c>
      <c r="G182">
        <f t="shared" si="203"/>
        <v>0</v>
      </c>
      <c r="H182" s="3">
        <f t="shared" si="204"/>
        <v>31</v>
      </c>
      <c r="I182" s="391">
        <f>I170*(1+'Economic Data'!$AC$17)</f>
        <v>931353.97186869767</v>
      </c>
      <c r="J182" s="391">
        <f t="shared" si="181"/>
        <v>145</v>
      </c>
      <c r="L182" s="3">
        <f t="shared" si="145"/>
        <v>-38000000</v>
      </c>
      <c r="M182" s="3">
        <f t="shared" ca="1" si="146"/>
        <v>13452356.824266847</v>
      </c>
      <c r="N182" s="3">
        <f t="shared" ca="1" si="147"/>
        <v>0</v>
      </c>
      <c r="O182" s="3">
        <f t="shared" si="148"/>
        <v>0</v>
      </c>
      <c r="P182" s="3">
        <f t="shared" si="149"/>
        <v>40989657</v>
      </c>
      <c r="Q182" s="3">
        <f t="shared" si="150"/>
        <v>84425626.307526112</v>
      </c>
      <c r="R182" s="3">
        <f t="shared" si="151"/>
        <v>-11682766</v>
      </c>
      <c r="S182" s="47">
        <f t="shared" ca="1" si="124"/>
        <v>89184874.131792963</v>
      </c>
      <c r="T182" s="47">
        <f>IFERROR(HLOOKUP(B182-1,'EV Forecast VRZ'!$F$124:$T$130,5,FALSE)/12,0)+IFERROR(((HLOOKUP(B182,'EV Forecast VRZ'!$F$116:$T$122,5,FALSE)-HLOOKUP(B182-1,'EV Forecast VRZ'!$F$124:$T$130,5,FALSE)))*C182/78,0)</f>
        <v>287798.00435571186</v>
      </c>
      <c r="U182" s="47">
        <f ca="1">HLOOKUP(B182,Heating!$C$102:$O$106,5,FALSE)*INDEX(Weather!$BO$1:$CB$20,MATCH(B182,Weather!$BO$1:$BO$20,0),MATCH(C182,Weather!$BO$1:$CB$1,0))/VLOOKUP(B182,Weather!$BO$2:$CB$20,14,FALSE)</f>
        <v>845857.29768651305</v>
      </c>
      <c r="V182" s="47">
        <f t="shared" ca="1" si="125"/>
        <v>90318529.433835194</v>
      </c>
    </row>
    <row r="183" spans="1:22">
      <c r="A183" s="2">
        <f t="shared" si="199"/>
        <v>47542</v>
      </c>
      <c r="B183">
        <f t="shared" si="200"/>
        <v>2030</v>
      </c>
      <c r="C183">
        <f t="shared" si="201"/>
        <v>2</v>
      </c>
      <c r="E183" s="3">
        <f t="shared" ref="E183:F183" ca="1" si="212">E171</f>
        <v>680.85501811594202</v>
      </c>
      <c r="F183" s="3">
        <f t="shared" ca="1" si="212"/>
        <v>0</v>
      </c>
      <c r="G183">
        <f t="shared" si="203"/>
        <v>0</v>
      </c>
      <c r="H183" s="3">
        <f t="shared" si="204"/>
        <v>29</v>
      </c>
      <c r="I183" s="391">
        <f>I171*(1+'Economic Data'!$AC$17)</f>
        <v>931353.97186869767</v>
      </c>
      <c r="J183" s="391">
        <f t="shared" si="181"/>
        <v>146</v>
      </c>
      <c r="L183" s="3">
        <f t="shared" si="145"/>
        <v>-38000000</v>
      </c>
      <c r="M183" s="3">
        <f t="shared" ca="1" si="146"/>
        <v>12062020.692391848</v>
      </c>
      <c r="N183" s="3">
        <f t="shared" ca="1" si="147"/>
        <v>0</v>
      </c>
      <c r="O183" s="3">
        <f t="shared" si="148"/>
        <v>0</v>
      </c>
      <c r="P183" s="3">
        <f t="shared" si="149"/>
        <v>38345163</v>
      </c>
      <c r="Q183" s="3">
        <f t="shared" si="150"/>
        <v>84425626.307526112</v>
      </c>
      <c r="R183" s="3">
        <f t="shared" si="151"/>
        <v>-11763336.800000001</v>
      </c>
      <c r="S183" s="47">
        <f t="shared" ref="S183:S205" ca="1" si="213">SUM(L183:R183)</f>
        <v>85069473.199917957</v>
      </c>
      <c r="T183" s="47">
        <f>IFERROR(HLOOKUP(B183-1,'EV Forecast VRZ'!$F$124:$T$130,5,FALSE)/12,0)+IFERROR(((HLOOKUP(B183,'EV Forecast VRZ'!$F$116:$T$122,5,FALSE)-HLOOKUP(B183-1,'EV Forecast VRZ'!$F$124:$T$130,5,FALSE)))*C183/78,0)</f>
        <v>291973.72635154304</v>
      </c>
      <c r="U183" s="47">
        <f ca="1">HLOOKUP(B183,Heating!$C$102:$O$106,5,FALSE)*INDEX(Weather!$BO$1:$CB$20,MATCH(B183,Weather!$BO$1:$BO$20,0),MATCH(C183,Weather!$BO$1:$CB$1,0))/VLOOKUP(B183,Weather!$BO$2:$CB$20,14,FALSE)</f>
        <v>757213.21887497522</v>
      </c>
      <c r="V183" s="47">
        <f t="shared" ref="V183:V205" ca="1" si="214">S183+T183+U183</f>
        <v>86118660.145144477</v>
      </c>
    </row>
    <row r="184" spans="1:22">
      <c r="A184" s="2">
        <f t="shared" si="199"/>
        <v>47573</v>
      </c>
      <c r="B184">
        <f t="shared" si="200"/>
        <v>2030</v>
      </c>
      <c r="C184">
        <f t="shared" si="201"/>
        <v>3</v>
      </c>
      <c r="E184" s="3">
        <f t="shared" ref="E184:F184" ca="1" si="215">E172</f>
        <v>608.13298913043479</v>
      </c>
      <c r="F184" s="3">
        <f t="shared" ca="1" si="215"/>
        <v>2.9583333333332896E-2</v>
      </c>
      <c r="G184">
        <f t="shared" si="203"/>
        <v>1</v>
      </c>
      <c r="H184" s="3">
        <f t="shared" si="204"/>
        <v>31</v>
      </c>
      <c r="I184" s="391">
        <f>I172*(1+'Economic Data'!$AC$17)</f>
        <v>931353.97186869767</v>
      </c>
      <c r="J184" s="391">
        <f t="shared" si="181"/>
        <v>147</v>
      </c>
      <c r="L184" s="3">
        <f t="shared" si="145"/>
        <v>-38000000</v>
      </c>
      <c r="M184" s="3">
        <f t="shared" ca="1" si="146"/>
        <v>10773677.954104893</v>
      </c>
      <c r="N184" s="3">
        <f t="shared" ca="1" si="147"/>
        <v>1707.7257249999748</v>
      </c>
      <c r="O184" s="3">
        <f t="shared" si="148"/>
        <v>1538400</v>
      </c>
      <c r="P184" s="3">
        <f t="shared" si="149"/>
        <v>40989657</v>
      </c>
      <c r="Q184" s="3">
        <f t="shared" si="150"/>
        <v>84425626.307526112</v>
      </c>
      <c r="R184" s="3">
        <f t="shared" si="151"/>
        <v>-11843907.6</v>
      </c>
      <c r="S184" s="47">
        <f t="shared" ca="1" si="213"/>
        <v>87885161.387356013</v>
      </c>
      <c r="T184" s="47">
        <f>IFERROR(HLOOKUP(B184-1,'EV Forecast VRZ'!$F$124:$T$130,5,FALSE)/12,0)+IFERROR(((HLOOKUP(B184,'EV Forecast VRZ'!$F$116:$T$122,5,FALSE)-HLOOKUP(B184-1,'EV Forecast VRZ'!$F$124:$T$130,5,FALSE)))*C184/78,0)</f>
        <v>296149.44834737427</v>
      </c>
      <c r="U184" s="47">
        <f ca="1">HLOOKUP(B184,Heating!$C$102:$O$106,5,FALSE)*INDEX(Weather!$BO$1:$CB$20,MATCH(B184,Weather!$BO$1:$BO$20,0),MATCH(C184,Weather!$BO$1:$CB$1,0))/VLOOKUP(B184,Weather!$BO$2:$CB$20,14,FALSE)</f>
        <v>662452.21365038748</v>
      </c>
      <c r="V184" s="47">
        <f t="shared" ca="1" si="214"/>
        <v>88843763.049353778</v>
      </c>
    </row>
    <row r="185" spans="1:22">
      <c r="A185" s="2">
        <f t="shared" si="199"/>
        <v>47603</v>
      </c>
      <c r="B185">
        <f t="shared" si="200"/>
        <v>2030</v>
      </c>
      <c r="C185">
        <f t="shared" si="201"/>
        <v>4</v>
      </c>
      <c r="E185" s="3">
        <f t="shared" ref="E185:F185" ca="1" si="216">E173</f>
        <v>412.37941287878795</v>
      </c>
      <c r="F185" s="3">
        <f t="shared" ca="1" si="216"/>
        <v>5.6420833333333338</v>
      </c>
      <c r="G185">
        <f t="shared" si="203"/>
        <v>1</v>
      </c>
      <c r="H185" s="3">
        <f t="shared" si="204"/>
        <v>30</v>
      </c>
      <c r="I185" s="391">
        <f>I173*(1+'Economic Data'!$AC$17)</f>
        <v>931353.97186869767</v>
      </c>
      <c r="J185" s="391">
        <f t="shared" si="181"/>
        <v>148</v>
      </c>
      <c r="L185" s="3">
        <f t="shared" si="145"/>
        <v>-38000000</v>
      </c>
      <c r="M185" s="3">
        <f t="shared" ca="1" si="146"/>
        <v>7305709.5547664789</v>
      </c>
      <c r="N185" s="3">
        <f t="shared" ca="1" si="147"/>
        <v>325694.56397500006</v>
      </c>
      <c r="O185" s="3">
        <f t="shared" si="148"/>
        <v>1538400</v>
      </c>
      <c r="P185" s="3">
        <f t="shared" si="149"/>
        <v>39667410</v>
      </c>
      <c r="Q185" s="3">
        <f t="shared" si="150"/>
        <v>84425626.307526112</v>
      </c>
      <c r="R185" s="3">
        <f t="shared" si="151"/>
        <v>-11924478.4</v>
      </c>
      <c r="S185" s="47">
        <f t="shared" ca="1" si="213"/>
        <v>83338362.026267588</v>
      </c>
      <c r="T185" s="47">
        <f>IFERROR(HLOOKUP(B185-1,'EV Forecast VRZ'!$F$124:$T$130,5,FALSE)/12,0)+IFERROR(((HLOOKUP(B185,'EV Forecast VRZ'!$F$116:$T$122,5,FALSE)-HLOOKUP(B185-1,'EV Forecast VRZ'!$F$124:$T$130,5,FALSE)))*C185/78,0)</f>
        <v>300325.17034320545</v>
      </c>
      <c r="U185" s="47">
        <f ca="1">HLOOKUP(B185,Heating!$C$102:$O$106,5,FALSE)*INDEX(Weather!$BO$1:$CB$20,MATCH(B185,Weather!$BO$1:$BO$20,0),MATCH(C185,Weather!$BO$1:$CB$1,0))/VLOOKUP(B185,Weather!$BO$2:$CB$20,14,FALSE)</f>
        <v>427473.59445144498</v>
      </c>
      <c r="V185" s="47">
        <f t="shared" ca="1" si="214"/>
        <v>84066160.791062236</v>
      </c>
    </row>
    <row r="186" spans="1:22">
      <c r="A186" s="2">
        <f t="shared" si="199"/>
        <v>47634</v>
      </c>
      <c r="B186">
        <f t="shared" si="200"/>
        <v>2030</v>
      </c>
      <c r="C186">
        <f t="shared" si="201"/>
        <v>5</v>
      </c>
      <c r="E186" s="3">
        <f t="shared" ref="E186:F186" ca="1" si="217">E174</f>
        <v>202.70273119310133</v>
      </c>
      <c r="F186" s="3">
        <f t="shared" ca="1" si="217"/>
        <v>86.191046176046171</v>
      </c>
      <c r="G186">
        <f t="shared" si="203"/>
        <v>1</v>
      </c>
      <c r="H186" s="3">
        <f t="shared" si="204"/>
        <v>31</v>
      </c>
      <c r="I186" s="391">
        <f>I174*(1+'Economic Data'!$AC$17)</f>
        <v>931353.97186869767</v>
      </c>
      <c r="J186" s="391">
        <f t="shared" si="181"/>
        <v>149</v>
      </c>
      <c r="L186" s="3">
        <f t="shared" si="145"/>
        <v>-38000000</v>
      </c>
      <c r="M186" s="3">
        <f t="shared" ca="1" si="146"/>
        <v>3591079.5587896714</v>
      </c>
      <c r="N186" s="3">
        <f t="shared" ca="1" si="147"/>
        <v>4975459.1600956712</v>
      </c>
      <c r="O186" s="3">
        <f t="shared" si="148"/>
        <v>1538400</v>
      </c>
      <c r="P186" s="3">
        <f t="shared" si="149"/>
        <v>40989657</v>
      </c>
      <c r="Q186" s="3">
        <f t="shared" si="150"/>
        <v>84425626.307526112</v>
      </c>
      <c r="R186" s="3">
        <f t="shared" si="151"/>
        <v>-12005049.200000001</v>
      </c>
      <c r="S186" s="47">
        <f t="shared" ca="1" si="213"/>
        <v>85515172.826411441</v>
      </c>
      <c r="T186" s="47">
        <f>IFERROR(HLOOKUP(B186-1,'EV Forecast VRZ'!$F$124:$T$130,5,FALSE)/12,0)+IFERROR(((HLOOKUP(B186,'EV Forecast VRZ'!$F$116:$T$122,5,FALSE)-HLOOKUP(B186-1,'EV Forecast VRZ'!$F$124:$T$130,5,FALSE)))*C186/78,0)</f>
        <v>304500.89233903663</v>
      </c>
      <c r="U186" s="47">
        <f ca="1">HLOOKUP(B186,Heating!$C$102:$O$106,5,FALSE)*INDEX(Weather!$BO$1:$CB$20,MATCH(B186,Weather!$BO$1:$BO$20,0),MATCH(C186,Weather!$BO$1:$CB$1,0))/VLOOKUP(B186,Weather!$BO$2:$CB$20,14,FALSE)</f>
        <v>182114.10465455585</v>
      </c>
      <c r="V186" s="47">
        <f t="shared" ca="1" si="214"/>
        <v>86001787.823405027</v>
      </c>
    </row>
    <row r="187" spans="1:22">
      <c r="A187" s="2">
        <f t="shared" si="199"/>
        <v>47664</v>
      </c>
      <c r="B187">
        <f t="shared" si="200"/>
        <v>2030</v>
      </c>
      <c r="C187">
        <f t="shared" si="201"/>
        <v>6</v>
      </c>
      <c r="E187" s="3">
        <f t="shared" ref="E187:F187" ca="1" si="218">E175</f>
        <v>66.09717382617383</v>
      </c>
      <c r="F187" s="3">
        <f t="shared" ca="1" si="218"/>
        <v>194.94285087738348</v>
      </c>
      <c r="G187">
        <f t="shared" si="203"/>
        <v>0</v>
      </c>
      <c r="H187" s="3">
        <f t="shared" si="204"/>
        <v>30</v>
      </c>
      <c r="I187" s="391">
        <f>I175*(1+'Economic Data'!$AC$17)</f>
        <v>931353.97186869767</v>
      </c>
      <c r="J187" s="391">
        <f t="shared" ref="J187:J205" si="219">J186+1</f>
        <v>150</v>
      </c>
      <c r="L187" s="3">
        <f t="shared" si="145"/>
        <v>-38000000</v>
      </c>
      <c r="M187" s="3">
        <f t="shared" ca="1" si="146"/>
        <v>1170976.8705327574</v>
      </c>
      <c r="N187" s="3">
        <f t="shared" ca="1" si="147"/>
        <v>11253259.313176787</v>
      </c>
      <c r="O187" s="3">
        <f t="shared" si="148"/>
        <v>0</v>
      </c>
      <c r="P187" s="3">
        <f t="shared" si="149"/>
        <v>39667410</v>
      </c>
      <c r="Q187" s="3">
        <f t="shared" si="150"/>
        <v>84425626.307526112</v>
      </c>
      <c r="R187" s="3">
        <f t="shared" si="151"/>
        <v>-12085620</v>
      </c>
      <c r="S187" s="47">
        <f t="shared" ca="1" si="213"/>
        <v>86431652.491235659</v>
      </c>
      <c r="T187" s="47">
        <f>IFERROR(HLOOKUP(B187-1,'EV Forecast VRZ'!$F$124:$T$130,5,FALSE)/12,0)+IFERROR(((HLOOKUP(B187,'EV Forecast VRZ'!$F$116:$T$122,5,FALSE)-HLOOKUP(B187-1,'EV Forecast VRZ'!$F$124:$T$130,5,FALSE)))*C187/78,0)</f>
        <v>308676.6143348678</v>
      </c>
      <c r="U187" s="47">
        <f ca="1">HLOOKUP(B187,Heating!$C$102:$O$106,5,FALSE)*INDEX(Weather!$BO$1:$CB$20,MATCH(B187,Weather!$BO$1:$BO$20,0),MATCH(C187,Weather!$BO$1:$CB$1,0))/VLOOKUP(B187,Weather!$BO$2:$CB$20,14,FALSE)</f>
        <v>39447.457684082794</v>
      </c>
      <c r="V187" s="47">
        <f t="shared" ca="1" si="214"/>
        <v>86779776.56325461</v>
      </c>
    </row>
    <row r="188" spans="1:22">
      <c r="A188" s="2">
        <f t="shared" si="199"/>
        <v>47695</v>
      </c>
      <c r="B188">
        <f t="shared" si="200"/>
        <v>2030</v>
      </c>
      <c r="C188">
        <f t="shared" si="201"/>
        <v>7</v>
      </c>
      <c r="E188" s="3">
        <f t="shared" ref="E188:F188" ca="1" si="220">E176</f>
        <v>10.249063146997932</v>
      </c>
      <c r="F188" s="3">
        <f t="shared" ca="1" si="220"/>
        <v>297.94737858727848</v>
      </c>
      <c r="G188">
        <f t="shared" si="203"/>
        <v>0</v>
      </c>
      <c r="H188" s="3">
        <f t="shared" si="204"/>
        <v>31</v>
      </c>
      <c r="I188" s="391">
        <f>I176*(1+'Economic Data'!$AC$17)</f>
        <v>931353.97186869767</v>
      </c>
      <c r="J188" s="391">
        <f t="shared" si="219"/>
        <v>151</v>
      </c>
      <c r="L188" s="3">
        <f t="shared" si="145"/>
        <v>-38000000</v>
      </c>
      <c r="M188" s="3">
        <f t="shared" ca="1" si="146"/>
        <v>181572.30022158389</v>
      </c>
      <c r="N188" s="3">
        <f t="shared" ca="1" si="147"/>
        <v>17199292.499486525</v>
      </c>
      <c r="O188" s="3">
        <f t="shared" si="148"/>
        <v>0</v>
      </c>
      <c r="P188" s="3">
        <f t="shared" si="149"/>
        <v>40989657</v>
      </c>
      <c r="Q188" s="3">
        <f t="shared" si="150"/>
        <v>84425626.307526112</v>
      </c>
      <c r="R188" s="3">
        <f t="shared" si="151"/>
        <v>-12166190.800000001</v>
      </c>
      <c r="S188" s="47">
        <f t="shared" ca="1" si="213"/>
        <v>92629957.307234228</v>
      </c>
      <c r="T188" s="47">
        <f>IFERROR(HLOOKUP(B188-1,'EV Forecast VRZ'!$F$124:$T$130,5,FALSE)/12,0)+IFERROR(((HLOOKUP(B188,'EV Forecast VRZ'!$F$116:$T$122,5,FALSE)-HLOOKUP(B188-1,'EV Forecast VRZ'!$F$124:$T$130,5,FALSE)))*C188/78,0)</f>
        <v>312852.33633069898</v>
      </c>
      <c r="U188" s="47">
        <f ca="1">HLOOKUP(B188,Heating!$C$102:$O$106,5,FALSE)*INDEX(Weather!$BO$1:$CB$20,MATCH(B188,Weather!$BO$1:$BO$20,0),MATCH(C188,Weather!$BO$1:$CB$1,0))/VLOOKUP(B188,Weather!$BO$2:$CB$20,14,FALSE)</f>
        <v>1962.5118765334435</v>
      </c>
      <c r="V188" s="47">
        <f t="shared" ca="1" si="214"/>
        <v>92944772.155441463</v>
      </c>
    </row>
    <row r="189" spans="1:22">
      <c r="A189" s="2">
        <f t="shared" si="199"/>
        <v>47726</v>
      </c>
      <c r="B189">
        <f t="shared" si="200"/>
        <v>2030</v>
      </c>
      <c r="C189">
        <f t="shared" si="201"/>
        <v>8</v>
      </c>
      <c r="E189" s="3">
        <f t="shared" ref="E189:F189" ca="1" si="221">E177</f>
        <v>21.194927536231887</v>
      </c>
      <c r="F189" s="3">
        <f t="shared" ca="1" si="221"/>
        <v>272.96558794466404</v>
      </c>
      <c r="G189">
        <f t="shared" si="203"/>
        <v>0</v>
      </c>
      <c r="H189" s="3">
        <f t="shared" si="204"/>
        <v>31</v>
      </c>
      <c r="I189" s="391">
        <f>I177*(1+'Economic Data'!$AC$17)</f>
        <v>931353.97186869767</v>
      </c>
      <c r="J189" s="391">
        <f t="shared" si="219"/>
        <v>152</v>
      </c>
      <c r="L189" s="3">
        <f t="shared" si="145"/>
        <v>-38000000</v>
      </c>
      <c r="M189" s="3">
        <f t="shared" ca="1" si="146"/>
        <v>375489.1242826088</v>
      </c>
      <c r="N189" s="3">
        <f t="shared" ca="1" si="147"/>
        <v>15757195.151758401</v>
      </c>
      <c r="O189" s="3">
        <f t="shared" si="148"/>
        <v>0</v>
      </c>
      <c r="P189" s="3">
        <f t="shared" si="149"/>
        <v>40989657</v>
      </c>
      <c r="Q189" s="3">
        <f t="shared" si="150"/>
        <v>84425626.307526112</v>
      </c>
      <c r="R189" s="3">
        <f t="shared" si="151"/>
        <v>-12246761.6</v>
      </c>
      <c r="S189" s="47">
        <f t="shared" ca="1" si="213"/>
        <v>91301205.983567119</v>
      </c>
      <c r="T189" s="47">
        <f>IFERROR(HLOOKUP(B189-1,'EV Forecast VRZ'!$F$124:$T$130,5,FALSE)/12,0)+IFERROR(((HLOOKUP(B189,'EV Forecast VRZ'!$F$116:$T$122,5,FALSE)-HLOOKUP(B189-1,'EV Forecast VRZ'!$F$124:$T$130,5,FALSE)))*C189/78,0)</f>
        <v>317028.05832653015</v>
      </c>
      <c r="U189" s="47">
        <f ca="1">HLOOKUP(B189,Heating!$C$102:$O$106,5,FALSE)*INDEX(Weather!$BO$1:$CB$20,MATCH(B189,Weather!$BO$1:$BO$20,0),MATCH(C189,Weather!$BO$1:$CB$1,0))/VLOOKUP(B189,Weather!$BO$2:$CB$20,14,FALSE)</f>
        <v>6853.3765247987394</v>
      </c>
      <c r="V189" s="47">
        <f t="shared" ca="1" si="214"/>
        <v>91625087.418418452</v>
      </c>
    </row>
    <row r="190" spans="1:22">
      <c r="A190" s="2">
        <f t="shared" si="199"/>
        <v>47756</v>
      </c>
      <c r="B190">
        <f t="shared" si="200"/>
        <v>2030</v>
      </c>
      <c r="C190">
        <f t="shared" si="201"/>
        <v>9</v>
      </c>
      <c r="E190" s="3">
        <f t="shared" ref="E190:F190" ca="1" si="222">E178</f>
        <v>96.735690993788822</v>
      </c>
      <c r="F190" s="3">
        <f t="shared" ca="1" si="222"/>
        <v>158.67014233954447</v>
      </c>
      <c r="G190">
        <f t="shared" si="203"/>
        <v>1</v>
      </c>
      <c r="H190" s="3">
        <f t="shared" si="204"/>
        <v>30</v>
      </c>
      <c r="I190" s="391">
        <f>I178*(1+'Economic Data'!$AC$17)</f>
        <v>931353.97186869767</v>
      </c>
      <c r="J190" s="391">
        <f t="shared" si="219"/>
        <v>153</v>
      </c>
      <c r="L190" s="3">
        <f t="shared" si="145"/>
        <v>-38000000</v>
      </c>
      <c r="M190" s="3">
        <f t="shared" ca="1" si="146"/>
        <v>1713768.5342890529</v>
      </c>
      <c r="N190" s="3">
        <f t="shared" ca="1" si="147"/>
        <v>9159383.1164840031</v>
      </c>
      <c r="O190" s="3">
        <f t="shared" si="148"/>
        <v>1538400</v>
      </c>
      <c r="P190" s="3">
        <f t="shared" si="149"/>
        <v>39667410</v>
      </c>
      <c r="Q190" s="3">
        <f t="shared" si="150"/>
        <v>84425626.307526112</v>
      </c>
      <c r="R190" s="3">
        <f t="shared" si="151"/>
        <v>-12327332.4</v>
      </c>
      <c r="S190" s="47">
        <f t="shared" ca="1" si="213"/>
        <v>86177255.558299154</v>
      </c>
      <c r="T190" s="47">
        <f>IFERROR(HLOOKUP(B190-1,'EV Forecast VRZ'!$F$124:$T$130,5,FALSE)/12,0)+IFERROR(((HLOOKUP(B190,'EV Forecast VRZ'!$F$116:$T$122,5,FALSE)-HLOOKUP(B190-1,'EV Forecast VRZ'!$F$124:$T$130,5,FALSE)))*C190/78,0)</f>
        <v>321203.78032236139</v>
      </c>
      <c r="U190" s="47">
        <f ca="1">HLOOKUP(B190,Heating!$C$102:$O$106,5,FALSE)*INDEX(Weather!$BO$1:$CB$20,MATCH(B190,Weather!$BO$1:$BO$20,0),MATCH(C190,Weather!$BO$1:$CB$1,0))/VLOOKUP(B190,Weather!$BO$2:$CB$20,14,FALSE)</f>
        <v>66665.08720759186</v>
      </c>
      <c r="V190" s="47">
        <f t="shared" ca="1" si="214"/>
        <v>86565124.425829098</v>
      </c>
    </row>
    <row r="191" spans="1:22">
      <c r="A191" s="2">
        <f t="shared" si="199"/>
        <v>47787</v>
      </c>
      <c r="B191">
        <f t="shared" si="200"/>
        <v>2030</v>
      </c>
      <c r="C191">
        <f t="shared" si="201"/>
        <v>10</v>
      </c>
      <c r="E191" s="3">
        <f t="shared" ref="E191:F191" ca="1" si="223">E179</f>
        <v>298.21097826086958</v>
      </c>
      <c r="F191" s="3">
        <f t="shared" ca="1" si="223"/>
        <v>35.32833333333334</v>
      </c>
      <c r="G191">
        <f t="shared" ref="G191:G205" si="224">G179</f>
        <v>1</v>
      </c>
      <c r="H191" s="3">
        <f t="shared" si="204"/>
        <v>31</v>
      </c>
      <c r="I191" s="391">
        <f>I179*(1+'Economic Data'!$AC$17)</f>
        <v>931353.97186869767</v>
      </c>
      <c r="J191" s="391">
        <f t="shared" si="219"/>
        <v>154</v>
      </c>
      <c r="L191" s="3">
        <f t="shared" si="145"/>
        <v>-38000000</v>
      </c>
      <c r="M191" s="3">
        <f t="shared" ca="1" si="146"/>
        <v>5283102.7087597838</v>
      </c>
      <c r="N191" s="3">
        <f t="shared" ca="1" si="147"/>
        <v>2039361.2503000004</v>
      </c>
      <c r="O191" s="3">
        <f t="shared" si="148"/>
        <v>1538400</v>
      </c>
      <c r="P191" s="3">
        <f t="shared" si="149"/>
        <v>40989657</v>
      </c>
      <c r="Q191" s="3">
        <f t="shared" si="150"/>
        <v>84425626.307526112</v>
      </c>
      <c r="R191" s="3">
        <f t="shared" si="151"/>
        <v>-12407903.200000001</v>
      </c>
      <c r="S191" s="47">
        <f t="shared" ca="1" si="213"/>
        <v>83868244.066585898</v>
      </c>
      <c r="T191" s="47">
        <f>IFERROR(HLOOKUP(B191-1,'EV Forecast VRZ'!$F$124:$T$130,5,FALSE)/12,0)+IFERROR(((HLOOKUP(B191,'EV Forecast VRZ'!$F$116:$T$122,5,FALSE)-HLOOKUP(B191-1,'EV Forecast VRZ'!$F$124:$T$130,5,FALSE)))*C191/78,0)</f>
        <v>325379.50231819256</v>
      </c>
      <c r="U191" s="47">
        <f ca="1">HLOOKUP(B191,Heating!$C$102:$O$106,5,FALSE)*INDEX(Weather!$BO$1:$CB$20,MATCH(B191,Weather!$BO$1:$BO$20,0),MATCH(C191,Weather!$BO$1:$CB$1,0))/VLOOKUP(B191,Weather!$BO$2:$CB$20,14,FALSE)</f>
        <v>288565.73874410253</v>
      </c>
      <c r="V191" s="47">
        <f t="shared" ca="1" si="214"/>
        <v>84482189.307648197</v>
      </c>
    </row>
    <row r="192" spans="1:22">
      <c r="A192" s="2">
        <f t="shared" si="199"/>
        <v>47817</v>
      </c>
      <c r="B192">
        <f t="shared" si="200"/>
        <v>2030</v>
      </c>
      <c r="C192">
        <f t="shared" si="201"/>
        <v>11</v>
      </c>
      <c r="E192" s="3">
        <f t="shared" ref="E192:F192" ca="1" si="225">E180</f>
        <v>486.62991389045737</v>
      </c>
      <c r="F192" s="3">
        <f t="shared" ca="1" si="225"/>
        <v>2.2779166666666657</v>
      </c>
      <c r="G192">
        <f t="shared" si="224"/>
        <v>1</v>
      </c>
      <c r="H192" s="3">
        <f t="shared" si="204"/>
        <v>30</v>
      </c>
      <c r="I192" s="391">
        <f>I180*(1+'Economic Data'!$AC$17)</f>
        <v>931353.97186869767</v>
      </c>
      <c r="J192" s="391">
        <f t="shared" si="219"/>
        <v>155</v>
      </c>
      <c r="L192" s="3">
        <f t="shared" si="145"/>
        <v>-38000000</v>
      </c>
      <c r="M192" s="3">
        <f t="shared" ca="1" si="146"/>
        <v>8621130.6881842054</v>
      </c>
      <c r="N192" s="3">
        <f t="shared" ca="1" si="147"/>
        <v>131494.88082499994</v>
      </c>
      <c r="O192" s="3">
        <f t="shared" si="148"/>
        <v>1538400</v>
      </c>
      <c r="P192" s="3">
        <f t="shared" si="149"/>
        <v>39667410</v>
      </c>
      <c r="Q192" s="3">
        <f t="shared" si="150"/>
        <v>84425626.307526112</v>
      </c>
      <c r="R192" s="3">
        <f t="shared" si="151"/>
        <v>-12488474</v>
      </c>
      <c r="S192" s="47">
        <f t="shared" ca="1" si="213"/>
        <v>83895587.876535326</v>
      </c>
      <c r="T192" s="47">
        <f>IFERROR(HLOOKUP(B192-1,'EV Forecast VRZ'!$F$124:$T$130,5,FALSE)/12,0)+IFERROR(((HLOOKUP(B192,'EV Forecast VRZ'!$F$116:$T$122,5,FALSE)-HLOOKUP(B192-1,'EV Forecast VRZ'!$F$124:$T$130,5,FALSE)))*C192/78,0)</f>
        <v>329555.22431402374</v>
      </c>
      <c r="U192" s="47">
        <f ca="1">HLOOKUP(B192,Heating!$C$102:$O$106,5,FALSE)*INDEX(Weather!$BO$1:$CB$20,MATCH(B192,Weather!$BO$1:$BO$20,0),MATCH(C192,Weather!$BO$1:$CB$1,0))/VLOOKUP(B192,Weather!$BO$2:$CB$20,14,FALSE)</f>
        <v>517496.53745730431</v>
      </c>
      <c r="V192" s="47">
        <f t="shared" ca="1" si="214"/>
        <v>84742639.638306648</v>
      </c>
    </row>
    <row r="193" spans="1:22">
      <c r="A193" s="2">
        <f t="shared" si="199"/>
        <v>47848</v>
      </c>
      <c r="B193">
        <f t="shared" si="200"/>
        <v>2030</v>
      </c>
      <c r="C193">
        <f t="shared" si="201"/>
        <v>12</v>
      </c>
      <c r="E193" s="3">
        <f t="shared" ref="E193:F193" ca="1" si="226">E181</f>
        <v>639.92800724637686</v>
      </c>
      <c r="F193" s="3">
        <f t="shared" ca="1" si="226"/>
        <v>0</v>
      </c>
      <c r="G193">
        <f t="shared" si="224"/>
        <v>0</v>
      </c>
      <c r="H193" s="3">
        <f t="shared" si="204"/>
        <v>31</v>
      </c>
      <c r="I193" s="391">
        <f>I181*(1+'Economic Data'!$AC$17)</f>
        <v>931353.97186869767</v>
      </c>
      <c r="J193" s="391">
        <f t="shared" si="219"/>
        <v>156</v>
      </c>
      <c r="L193" s="3">
        <f t="shared" si="145"/>
        <v>-38000000</v>
      </c>
      <c r="M193" s="3">
        <f t="shared" ca="1" si="146"/>
        <v>11336958.177096741</v>
      </c>
      <c r="N193" s="3">
        <f t="shared" ca="1" si="147"/>
        <v>0</v>
      </c>
      <c r="O193" s="3">
        <f t="shared" si="148"/>
        <v>0</v>
      </c>
      <c r="P193" s="3">
        <f t="shared" si="149"/>
        <v>40989657</v>
      </c>
      <c r="Q193" s="3">
        <f t="shared" si="150"/>
        <v>84425626.307526112</v>
      </c>
      <c r="R193" s="3">
        <f t="shared" si="151"/>
        <v>-12569044.800000001</v>
      </c>
      <c r="S193" s="47">
        <f t="shared" ca="1" si="213"/>
        <v>86183196.684622854</v>
      </c>
      <c r="T193" s="47">
        <f>IFERROR(HLOOKUP(B193-1,'EV Forecast VRZ'!$F$124:$T$130,5,FALSE)/12,0)+IFERROR(((HLOOKUP(B193,'EV Forecast VRZ'!$F$116:$T$122,5,FALSE)-HLOOKUP(B193-1,'EV Forecast VRZ'!$F$124:$T$130,5,FALSE)))*C193/78,0)</f>
        <v>333730.94630985492</v>
      </c>
      <c r="U193" s="47">
        <f ca="1">HLOOKUP(B193,Heating!$C$102:$O$106,5,FALSE)*INDEX(Weather!$BO$1:$CB$20,MATCH(B193,Weather!$BO$1:$BO$20,0),MATCH(C193,Weather!$BO$1:$CB$1,0))/VLOOKUP(B193,Weather!$BO$2:$CB$20,14,FALSE)</f>
        <v>701019.1571479711</v>
      </c>
      <c r="V193" s="47">
        <f t="shared" ca="1" si="214"/>
        <v>87217946.788080677</v>
      </c>
    </row>
    <row r="194" spans="1:22">
      <c r="A194" s="2">
        <f t="shared" si="199"/>
        <v>47879</v>
      </c>
      <c r="B194">
        <f t="shared" si="200"/>
        <v>2031</v>
      </c>
      <c r="C194">
        <f t="shared" si="201"/>
        <v>1</v>
      </c>
      <c r="E194" s="3">
        <f t="shared" ref="E194:F194" ca="1" si="227">E182</f>
        <v>759.33418478260865</v>
      </c>
      <c r="F194" s="3">
        <f t="shared" ca="1" si="227"/>
        <v>0</v>
      </c>
      <c r="G194">
        <f t="shared" si="224"/>
        <v>0</v>
      </c>
      <c r="H194" s="3">
        <f t="shared" si="204"/>
        <v>31</v>
      </c>
      <c r="I194" s="391">
        <f>I182*(1+'Economic Data'!$AC$17)</f>
        <v>949049.69733420282</v>
      </c>
      <c r="J194" s="391">
        <f t="shared" si="219"/>
        <v>157</v>
      </c>
      <c r="L194" s="3">
        <f t="shared" ref="L194:L205" si="228">$Z$8</f>
        <v>-38000000</v>
      </c>
      <c r="M194" s="3">
        <f t="shared" ref="M194:M205" ca="1" si="229">E194*$Z$9</f>
        <v>13452356.824266847</v>
      </c>
      <c r="N194" s="3">
        <f t="shared" ref="N194:N205" ca="1" si="230">F194*$Z$10</f>
        <v>0</v>
      </c>
      <c r="O194" s="3">
        <f t="shared" ref="O194:O205" si="231">G194*$Z$11</f>
        <v>0</v>
      </c>
      <c r="P194" s="3">
        <f t="shared" ref="P194:P205" si="232">H194*$Z$12</f>
        <v>40989657</v>
      </c>
      <c r="Q194" s="3">
        <f t="shared" ref="Q194:Q205" si="233">I194*$Z$13</f>
        <v>86029713.207369089</v>
      </c>
      <c r="R194" s="3">
        <f t="shared" ref="R194:R205" si="234">J194*$Z$14</f>
        <v>-12649615.6</v>
      </c>
      <c r="S194" s="47">
        <f t="shared" ca="1" si="213"/>
        <v>89822111.431635946</v>
      </c>
      <c r="T194" s="47">
        <f>IFERROR(HLOOKUP(B194-1,'EV Forecast VRZ'!$F$124:$T$130,5,FALSE)/12,0)+IFERROR(((HLOOKUP(B194,'EV Forecast VRZ'!$F$116:$T$122,5,FALSE)-HLOOKUP(B194-1,'EV Forecast VRZ'!$F$124:$T$130,5,FALSE)))*C194/78,0)</f>
        <v>345470.58575017913</v>
      </c>
      <c r="U194" s="47">
        <f ca="1">HLOOKUP(B194,Heating!$C$102:$O$106,5,FALSE)*INDEX(Weather!$BO$1:$CB$20,MATCH(B194,Weather!$BO$1:$BO$20,0),MATCH(C194,Weather!$BO$1:$CB$1,0))/VLOOKUP(B194,Weather!$BO$2:$CB$20,14,FALSE)</f>
        <v>940919.75383671734</v>
      </c>
      <c r="V194" s="47">
        <f t="shared" ca="1" si="214"/>
        <v>91108501.771222845</v>
      </c>
    </row>
    <row r="195" spans="1:22">
      <c r="A195" s="2">
        <f t="shared" si="199"/>
        <v>47907</v>
      </c>
      <c r="B195">
        <f t="shared" si="200"/>
        <v>2031</v>
      </c>
      <c r="C195">
        <f t="shared" si="201"/>
        <v>2</v>
      </c>
      <c r="E195" s="3">
        <f t="shared" ref="E195:F195" ca="1" si="235">E183</f>
        <v>680.85501811594202</v>
      </c>
      <c r="F195" s="3">
        <f t="shared" ca="1" si="235"/>
        <v>0</v>
      </c>
      <c r="G195">
        <f t="shared" si="224"/>
        <v>0</v>
      </c>
      <c r="H195" s="3">
        <f t="shared" si="204"/>
        <v>28</v>
      </c>
      <c r="I195" s="391">
        <f>I183*(1+'Economic Data'!$AC$17)</f>
        <v>949049.69733420282</v>
      </c>
      <c r="J195" s="391">
        <f t="shared" si="219"/>
        <v>158</v>
      </c>
      <c r="L195" s="3">
        <f t="shared" si="228"/>
        <v>-38000000</v>
      </c>
      <c r="M195" s="3">
        <f t="shared" ca="1" si="229"/>
        <v>12062020.692391848</v>
      </c>
      <c r="N195" s="3">
        <f t="shared" ca="1" si="230"/>
        <v>0</v>
      </c>
      <c r="O195" s="3">
        <f t="shared" si="231"/>
        <v>0</v>
      </c>
      <c r="P195" s="3">
        <f t="shared" si="232"/>
        <v>37022916</v>
      </c>
      <c r="Q195" s="3">
        <f t="shared" si="233"/>
        <v>86029713.207369089</v>
      </c>
      <c r="R195" s="3">
        <f t="shared" si="234"/>
        <v>-12730186.4</v>
      </c>
      <c r="S195" s="47">
        <f t="shared" ca="1" si="213"/>
        <v>84384463.499760926</v>
      </c>
      <c r="T195" s="47">
        <f>IFERROR(HLOOKUP(B195-1,'EV Forecast VRZ'!$F$124:$T$130,5,FALSE)/12,0)+IFERROR(((HLOOKUP(B195,'EV Forecast VRZ'!$F$116:$T$122,5,FALSE)-HLOOKUP(B195-1,'EV Forecast VRZ'!$F$124:$T$130,5,FALSE)))*C195/78,0)</f>
        <v>349672.67569467216</v>
      </c>
      <c r="U195" s="47">
        <f ca="1">HLOOKUP(B195,Heating!$C$102:$O$106,5,FALSE)*INDEX(Weather!$BO$1:$CB$20,MATCH(B195,Weather!$BO$1:$BO$20,0),MATCH(C195,Weather!$BO$1:$CB$1,0))/VLOOKUP(B195,Weather!$BO$2:$CB$20,14,FALSE)</f>
        <v>842313.32809261186</v>
      </c>
      <c r="V195" s="47">
        <f t="shared" ca="1" si="214"/>
        <v>85576449.503548205</v>
      </c>
    </row>
    <row r="196" spans="1:22">
      <c r="A196" s="2">
        <f t="shared" si="199"/>
        <v>47938</v>
      </c>
      <c r="B196">
        <f t="shared" si="200"/>
        <v>2031</v>
      </c>
      <c r="C196">
        <f t="shared" si="201"/>
        <v>3</v>
      </c>
      <c r="E196" s="3">
        <f t="shared" ref="E196:F196" ca="1" si="236">E184</f>
        <v>608.13298913043479</v>
      </c>
      <c r="F196" s="3">
        <f t="shared" ca="1" si="236"/>
        <v>2.9583333333332896E-2</v>
      </c>
      <c r="G196">
        <f t="shared" si="224"/>
        <v>1</v>
      </c>
      <c r="H196" s="3">
        <f t="shared" si="204"/>
        <v>31</v>
      </c>
      <c r="I196" s="391">
        <f>I184*(1+'Economic Data'!$AC$17)</f>
        <v>949049.69733420282</v>
      </c>
      <c r="J196" s="391">
        <f t="shared" si="219"/>
        <v>159</v>
      </c>
      <c r="L196" s="3">
        <f t="shared" si="228"/>
        <v>-38000000</v>
      </c>
      <c r="M196" s="3">
        <f t="shared" ca="1" si="229"/>
        <v>10773677.954104893</v>
      </c>
      <c r="N196" s="3">
        <f t="shared" ca="1" si="230"/>
        <v>1707.7257249999748</v>
      </c>
      <c r="O196" s="3">
        <f t="shared" si="231"/>
        <v>1538400</v>
      </c>
      <c r="P196" s="3">
        <f t="shared" si="232"/>
        <v>40989657</v>
      </c>
      <c r="Q196" s="3">
        <f t="shared" si="233"/>
        <v>86029713.207369089</v>
      </c>
      <c r="R196" s="3">
        <f t="shared" si="234"/>
        <v>-12810757.200000001</v>
      </c>
      <c r="S196" s="47">
        <f t="shared" ca="1" si="213"/>
        <v>88522398.687198982</v>
      </c>
      <c r="T196" s="47">
        <f>IFERROR(HLOOKUP(B196-1,'EV Forecast VRZ'!$F$124:$T$130,5,FALSE)/12,0)+IFERROR(((HLOOKUP(B196,'EV Forecast VRZ'!$F$116:$T$122,5,FALSE)-HLOOKUP(B196-1,'EV Forecast VRZ'!$F$124:$T$130,5,FALSE)))*C196/78,0)</f>
        <v>353874.76563916513</v>
      </c>
      <c r="U196" s="47">
        <f ca="1">HLOOKUP(B196,Heating!$C$102:$O$106,5,FALSE)*INDEX(Weather!$BO$1:$CB$20,MATCH(B196,Weather!$BO$1:$BO$20,0),MATCH(C196,Weather!$BO$1:$CB$1,0))/VLOOKUP(B196,Weather!$BO$2:$CB$20,14,FALSE)</f>
        <v>736902.51949273876</v>
      </c>
      <c r="V196" s="47">
        <f t="shared" ca="1" si="214"/>
        <v>89613175.972330898</v>
      </c>
    </row>
    <row r="197" spans="1:22">
      <c r="A197" s="2">
        <f t="shared" si="199"/>
        <v>47968</v>
      </c>
      <c r="B197">
        <f t="shared" si="200"/>
        <v>2031</v>
      </c>
      <c r="C197">
        <f t="shared" si="201"/>
        <v>4</v>
      </c>
      <c r="E197" s="3">
        <f t="shared" ref="E197:F197" ca="1" si="237">E185</f>
        <v>412.37941287878795</v>
      </c>
      <c r="F197" s="3">
        <f t="shared" ca="1" si="237"/>
        <v>5.6420833333333338</v>
      </c>
      <c r="G197">
        <f t="shared" si="224"/>
        <v>1</v>
      </c>
      <c r="H197" s="3">
        <f t="shared" si="204"/>
        <v>30</v>
      </c>
      <c r="I197" s="391">
        <f>I185*(1+'Economic Data'!$AC$17)</f>
        <v>949049.69733420282</v>
      </c>
      <c r="J197" s="391">
        <f t="shared" si="219"/>
        <v>160</v>
      </c>
      <c r="L197" s="3">
        <f t="shared" si="228"/>
        <v>-38000000</v>
      </c>
      <c r="M197" s="3">
        <f t="shared" ca="1" si="229"/>
        <v>7305709.5547664789</v>
      </c>
      <c r="N197" s="3">
        <f t="shared" ca="1" si="230"/>
        <v>325694.56397500006</v>
      </c>
      <c r="O197" s="3">
        <f t="shared" si="231"/>
        <v>1538400</v>
      </c>
      <c r="P197" s="3">
        <f t="shared" si="232"/>
        <v>39667410</v>
      </c>
      <c r="Q197" s="3">
        <f t="shared" si="233"/>
        <v>86029713.207369089</v>
      </c>
      <c r="R197" s="3">
        <f t="shared" si="234"/>
        <v>-12891328</v>
      </c>
      <c r="S197" s="47">
        <f t="shared" ca="1" si="213"/>
        <v>83975599.326110572</v>
      </c>
      <c r="T197" s="47">
        <f>IFERROR(HLOOKUP(B197-1,'EV Forecast VRZ'!$F$124:$T$130,5,FALSE)/12,0)+IFERROR(((HLOOKUP(B197,'EV Forecast VRZ'!$F$116:$T$122,5,FALSE)-HLOOKUP(B197-1,'EV Forecast VRZ'!$F$124:$T$130,5,FALSE)))*C197/78,0)</f>
        <v>358076.85558365815</v>
      </c>
      <c r="U197" s="47">
        <f ca="1">HLOOKUP(B197,Heating!$C$102:$O$106,5,FALSE)*INDEX(Weather!$BO$1:$CB$20,MATCH(B197,Weather!$BO$1:$BO$20,0),MATCH(C197,Weather!$BO$1:$CB$1,0))/VLOOKUP(B197,Weather!$BO$2:$CB$20,14,FALSE)</f>
        <v>475515.61044995359</v>
      </c>
      <c r="V197" s="47">
        <f t="shared" ca="1" si="214"/>
        <v>84809191.792144179</v>
      </c>
    </row>
    <row r="198" spans="1:22">
      <c r="A198" s="2">
        <f t="shared" si="199"/>
        <v>47999</v>
      </c>
      <c r="B198">
        <f t="shared" si="200"/>
        <v>2031</v>
      </c>
      <c r="C198">
        <f t="shared" si="201"/>
        <v>5</v>
      </c>
      <c r="E198" s="3">
        <f t="shared" ref="E198:F198" ca="1" si="238">E186</f>
        <v>202.70273119310133</v>
      </c>
      <c r="F198" s="3">
        <f t="shared" ca="1" si="238"/>
        <v>86.191046176046171</v>
      </c>
      <c r="G198">
        <f t="shared" si="224"/>
        <v>1</v>
      </c>
      <c r="H198" s="3">
        <f t="shared" si="204"/>
        <v>31</v>
      </c>
      <c r="I198" s="391">
        <f>I186*(1+'Economic Data'!$AC$17)</f>
        <v>949049.69733420282</v>
      </c>
      <c r="J198" s="391">
        <f t="shared" si="219"/>
        <v>161</v>
      </c>
      <c r="L198" s="3">
        <f t="shared" si="228"/>
        <v>-38000000</v>
      </c>
      <c r="M198" s="3">
        <f t="shared" ca="1" si="229"/>
        <v>3591079.5587896714</v>
      </c>
      <c r="N198" s="3">
        <f t="shared" ca="1" si="230"/>
        <v>4975459.1600956712</v>
      </c>
      <c r="O198" s="3">
        <f t="shared" si="231"/>
        <v>1538400</v>
      </c>
      <c r="P198" s="3">
        <f t="shared" si="232"/>
        <v>40989657</v>
      </c>
      <c r="Q198" s="3">
        <f t="shared" si="233"/>
        <v>86029713.207369089</v>
      </c>
      <c r="R198" s="3">
        <f t="shared" si="234"/>
        <v>-12971898.800000001</v>
      </c>
      <c r="S198" s="47">
        <f t="shared" ca="1" si="213"/>
        <v>86152410.126254424</v>
      </c>
      <c r="T198" s="47">
        <f>IFERROR(HLOOKUP(B198-1,'EV Forecast VRZ'!$F$124:$T$130,5,FALSE)/12,0)+IFERROR(((HLOOKUP(B198,'EV Forecast VRZ'!$F$116:$T$122,5,FALSE)-HLOOKUP(B198-1,'EV Forecast VRZ'!$F$124:$T$130,5,FALSE)))*C198/78,0)</f>
        <v>362278.94552815112</v>
      </c>
      <c r="U198" s="47">
        <f ca="1">HLOOKUP(B198,Heating!$C$102:$O$106,5,FALSE)*INDEX(Weather!$BO$1:$CB$20,MATCH(B198,Weather!$BO$1:$BO$20,0),MATCH(C198,Weather!$BO$1:$CB$1,0))/VLOOKUP(B198,Weather!$BO$2:$CB$20,14,FALSE)</f>
        <v>202581.16704842262</v>
      </c>
      <c r="V198" s="47">
        <f t="shared" ca="1" si="214"/>
        <v>86717270.238830999</v>
      </c>
    </row>
    <row r="199" spans="1:22">
      <c r="A199" s="2">
        <f t="shared" si="199"/>
        <v>48029</v>
      </c>
      <c r="B199">
        <f t="shared" si="200"/>
        <v>2031</v>
      </c>
      <c r="C199">
        <f t="shared" si="201"/>
        <v>6</v>
      </c>
      <c r="E199" s="3">
        <f t="shared" ref="E199:F199" ca="1" si="239">E187</f>
        <v>66.09717382617383</v>
      </c>
      <c r="F199" s="3">
        <f t="shared" ca="1" si="239"/>
        <v>194.94285087738348</v>
      </c>
      <c r="G199">
        <f t="shared" si="224"/>
        <v>0</v>
      </c>
      <c r="H199" s="3">
        <f t="shared" si="204"/>
        <v>30</v>
      </c>
      <c r="I199" s="391">
        <f>I187*(1+'Economic Data'!$AC$17)</f>
        <v>949049.69733420282</v>
      </c>
      <c r="J199" s="391">
        <f t="shared" si="219"/>
        <v>162</v>
      </c>
      <c r="L199" s="3">
        <f t="shared" si="228"/>
        <v>-38000000</v>
      </c>
      <c r="M199" s="3">
        <f t="shared" ca="1" si="229"/>
        <v>1170976.8705327574</v>
      </c>
      <c r="N199" s="3">
        <f t="shared" ca="1" si="230"/>
        <v>11253259.313176787</v>
      </c>
      <c r="O199" s="3">
        <f t="shared" si="231"/>
        <v>0</v>
      </c>
      <c r="P199" s="3">
        <f t="shared" si="232"/>
        <v>39667410</v>
      </c>
      <c r="Q199" s="3">
        <f t="shared" si="233"/>
        <v>86029713.207369089</v>
      </c>
      <c r="R199" s="3">
        <f t="shared" si="234"/>
        <v>-13052469.6</v>
      </c>
      <c r="S199" s="47">
        <f t="shared" ca="1" si="213"/>
        <v>87068889.791078642</v>
      </c>
      <c r="T199" s="47">
        <f>IFERROR(HLOOKUP(B199-1,'EV Forecast VRZ'!$F$124:$T$130,5,FALSE)/12,0)+IFERROR(((HLOOKUP(B199,'EV Forecast VRZ'!$F$116:$T$122,5,FALSE)-HLOOKUP(B199-1,'EV Forecast VRZ'!$F$124:$T$130,5,FALSE)))*C199/78,0)</f>
        <v>366481.03547264414</v>
      </c>
      <c r="U199" s="47">
        <f ca="1">HLOOKUP(B199,Heating!$C$102:$O$106,5,FALSE)*INDEX(Weather!$BO$1:$CB$20,MATCH(B199,Weather!$BO$1:$BO$20,0),MATCH(C199,Weather!$BO$1:$CB$1,0))/VLOOKUP(B199,Weather!$BO$2:$CB$20,14,FALSE)</f>
        <v>43880.796766912274</v>
      </c>
      <c r="V199" s="47">
        <f t="shared" ca="1" si="214"/>
        <v>87479251.623318195</v>
      </c>
    </row>
    <row r="200" spans="1:22">
      <c r="A200" s="2">
        <f t="shared" si="199"/>
        <v>48060</v>
      </c>
      <c r="B200">
        <f t="shared" si="200"/>
        <v>2031</v>
      </c>
      <c r="C200">
        <f t="shared" si="201"/>
        <v>7</v>
      </c>
      <c r="E200" s="3">
        <f t="shared" ref="E200:F200" ca="1" si="240">E188</f>
        <v>10.249063146997932</v>
      </c>
      <c r="F200" s="3">
        <f t="shared" ca="1" si="240"/>
        <v>297.94737858727848</v>
      </c>
      <c r="G200">
        <f t="shared" si="224"/>
        <v>0</v>
      </c>
      <c r="H200" s="3">
        <f t="shared" si="204"/>
        <v>31</v>
      </c>
      <c r="I200" s="391">
        <f>I188*(1+'Economic Data'!$AC$17)</f>
        <v>949049.69733420282</v>
      </c>
      <c r="J200" s="391">
        <f t="shared" si="219"/>
        <v>163</v>
      </c>
      <c r="L200" s="3">
        <f t="shared" si="228"/>
        <v>-38000000</v>
      </c>
      <c r="M200" s="3">
        <f t="shared" ca="1" si="229"/>
        <v>181572.30022158389</v>
      </c>
      <c r="N200" s="3">
        <f t="shared" ca="1" si="230"/>
        <v>17199292.499486525</v>
      </c>
      <c r="O200" s="3">
        <f t="shared" si="231"/>
        <v>0</v>
      </c>
      <c r="P200" s="3">
        <f t="shared" si="232"/>
        <v>40989657</v>
      </c>
      <c r="Q200" s="3">
        <f t="shared" si="233"/>
        <v>86029713.207369089</v>
      </c>
      <c r="R200" s="3">
        <f t="shared" si="234"/>
        <v>-13133040.4</v>
      </c>
      <c r="S200" s="47">
        <f t="shared" ca="1" si="213"/>
        <v>93267194.607077196</v>
      </c>
      <c r="T200" s="47">
        <f>IFERROR(HLOOKUP(B200-1,'EV Forecast VRZ'!$F$124:$T$130,5,FALSE)/12,0)+IFERROR(((HLOOKUP(B200,'EV Forecast VRZ'!$F$116:$T$122,5,FALSE)-HLOOKUP(B200-1,'EV Forecast VRZ'!$F$124:$T$130,5,FALSE)))*C200/78,0)</f>
        <v>370683.12541713711</v>
      </c>
      <c r="U200" s="47">
        <f ca="1">HLOOKUP(B200,Heating!$C$102:$O$106,5,FALSE)*INDEX(Weather!$BO$1:$CB$20,MATCH(B200,Weather!$BO$1:$BO$20,0),MATCH(C200,Weather!$BO$1:$CB$1,0))/VLOOKUP(B200,Weather!$BO$2:$CB$20,14,FALSE)</f>
        <v>2183.0705921908898</v>
      </c>
      <c r="V200" s="47">
        <f t="shared" ca="1" si="214"/>
        <v>93640060.803086534</v>
      </c>
    </row>
    <row r="201" spans="1:22">
      <c r="A201" s="2">
        <f t="shared" si="199"/>
        <v>48091</v>
      </c>
      <c r="B201">
        <f t="shared" si="200"/>
        <v>2031</v>
      </c>
      <c r="C201">
        <f t="shared" si="201"/>
        <v>8</v>
      </c>
      <c r="E201" s="3">
        <f t="shared" ref="E201:F201" ca="1" si="241">E189</f>
        <v>21.194927536231887</v>
      </c>
      <c r="F201" s="3">
        <f t="shared" ca="1" si="241"/>
        <v>272.96558794466404</v>
      </c>
      <c r="G201">
        <f t="shared" si="224"/>
        <v>0</v>
      </c>
      <c r="H201" s="3">
        <f t="shared" si="204"/>
        <v>31</v>
      </c>
      <c r="I201" s="391">
        <f>I189*(1+'Economic Data'!$AC$17)</f>
        <v>949049.69733420282</v>
      </c>
      <c r="J201" s="391">
        <f t="shared" si="219"/>
        <v>164</v>
      </c>
      <c r="L201" s="3">
        <f t="shared" si="228"/>
        <v>-38000000</v>
      </c>
      <c r="M201" s="3">
        <f t="shared" ca="1" si="229"/>
        <v>375489.1242826088</v>
      </c>
      <c r="N201" s="3">
        <f t="shared" ca="1" si="230"/>
        <v>15757195.151758401</v>
      </c>
      <c r="O201" s="3">
        <f t="shared" si="231"/>
        <v>0</v>
      </c>
      <c r="P201" s="3">
        <f t="shared" si="232"/>
        <v>40989657</v>
      </c>
      <c r="Q201" s="3">
        <f t="shared" si="233"/>
        <v>86029713.207369089</v>
      </c>
      <c r="R201" s="3">
        <f t="shared" si="234"/>
        <v>-13213611.200000001</v>
      </c>
      <c r="S201" s="47">
        <f t="shared" ca="1" si="213"/>
        <v>91938443.283410087</v>
      </c>
      <c r="T201" s="47">
        <f>IFERROR(HLOOKUP(B201-1,'EV Forecast VRZ'!$F$124:$T$130,5,FALSE)/12,0)+IFERROR(((HLOOKUP(B201,'EV Forecast VRZ'!$F$116:$T$122,5,FALSE)-HLOOKUP(B201-1,'EV Forecast VRZ'!$F$124:$T$130,5,FALSE)))*C201/78,0)</f>
        <v>374885.21536163014</v>
      </c>
      <c r="U201" s="47">
        <f ca="1">HLOOKUP(B201,Heating!$C$102:$O$106,5,FALSE)*INDEX(Weather!$BO$1:$CB$20,MATCH(B201,Weather!$BO$1:$BO$20,0),MATCH(C201,Weather!$BO$1:$CB$1,0))/VLOOKUP(B201,Weather!$BO$2:$CB$20,14,FALSE)</f>
        <v>7623.5995957013847</v>
      </c>
      <c r="V201" s="47">
        <f t="shared" ca="1" si="214"/>
        <v>92320952.098367408</v>
      </c>
    </row>
    <row r="202" spans="1:22">
      <c r="A202" s="2">
        <f t="shared" si="199"/>
        <v>48121</v>
      </c>
      <c r="B202">
        <f t="shared" si="200"/>
        <v>2031</v>
      </c>
      <c r="C202">
        <f t="shared" si="201"/>
        <v>9</v>
      </c>
      <c r="E202" s="3">
        <f t="shared" ref="E202:F202" ca="1" si="242">E190</f>
        <v>96.735690993788822</v>
      </c>
      <c r="F202" s="3">
        <f t="shared" ca="1" si="242"/>
        <v>158.67014233954447</v>
      </c>
      <c r="G202">
        <f t="shared" si="224"/>
        <v>1</v>
      </c>
      <c r="H202" s="3">
        <f t="shared" si="204"/>
        <v>30</v>
      </c>
      <c r="I202" s="391">
        <f>I190*(1+'Economic Data'!$AC$17)</f>
        <v>949049.69733420282</v>
      </c>
      <c r="J202" s="391">
        <f t="shared" si="219"/>
        <v>165</v>
      </c>
      <c r="L202" s="3">
        <f t="shared" si="228"/>
        <v>-38000000</v>
      </c>
      <c r="M202" s="3">
        <f t="shared" ca="1" si="229"/>
        <v>1713768.5342890529</v>
      </c>
      <c r="N202" s="3">
        <f t="shared" ca="1" si="230"/>
        <v>9159383.1164840031</v>
      </c>
      <c r="O202" s="3">
        <f t="shared" si="231"/>
        <v>1538400</v>
      </c>
      <c r="P202" s="3">
        <f t="shared" si="232"/>
        <v>39667410</v>
      </c>
      <c r="Q202" s="3">
        <f t="shared" si="233"/>
        <v>86029713.207369089</v>
      </c>
      <c r="R202" s="3">
        <f t="shared" si="234"/>
        <v>-13294182</v>
      </c>
      <c r="S202" s="47">
        <f t="shared" ca="1" si="213"/>
        <v>86814492.858142138</v>
      </c>
      <c r="T202" s="47">
        <f>IFERROR(HLOOKUP(B202-1,'EV Forecast VRZ'!$F$124:$T$130,5,FALSE)/12,0)+IFERROR(((HLOOKUP(B202,'EV Forecast VRZ'!$F$116:$T$122,5,FALSE)-HLOOKUP(B202-1,'EV Forecast VRZ'!$F$124:$T$130,5,FALSE)))*C202/78,0)</f>
        <v>379087.3053061231</v>
      </c>
      <c r="U202" s="47">
        <f ca="1">HLOOKUP(B202,Heating!$C$102:$O$106,5,FALSE)*INDEX(Weather!$BO$1:$CB$20,MATCH(B202,Weather!$BO$1:$BO$20,0),MATCH(C202,Weather!$BO$1:$CB$1,0))/VLOOKUP(B202,Weather!$BO$2:$CB$20,14,FALSE)</f>
        <v>74157.304803579245</v>
      </c>
      <c r="V202" s="47">
        <f t="shared" ca="1" si="214"/>
        <v>87267737.468251839</v>
      </c>
    </row>
    <row r="203" spans="1:22">
      <c r="A203" s="2">
        <f t="shared" si="199"/>
        <v>48152</v>
      </c>
      <c r="B203">
        <f t="shared" si="200"/>
        <v>2031</v>
      </c>
      <c r="C203">
        <f t="shared" si="201"/>
        <v>10</v>
      </c>
      <c r="E203" s="3">
        <f t="shared" ref="E203:F203" ca="1" si="243">E191</f>
        <v>298.21097826086958</v>
      </c>
      <c r="F203" s="3">
        <f t="shared" ca="1" si="243"/>
        <v>35.32833333333334</v>
      </c>
      <c r="G203">
        <f t="shared" si="224"/>
        <v>1</v>
      </c>
      <c r="H203" s="3">
        <f t="shared" si="204"/>
        <v>31</v>
      </c>
      <c r="I203" s="391">
        <f>I191*(1+'Economic Data'!$AC$17)</f>
        <v>949049.69733420282</v>
      </c>
      <c r="J203" s="391">
        <f t="shared" si="219"/>
        <v>166</v>
      </c>
      <c r="L203" s="3">
        <f t="shared" si="228"/>
        <v>-38000000</v>
      </c>
      <c r="M203" s="3">
        <f t="shared" ca="1" si="229"/>
        <v>5283102.7087597838</v>
      </c>
      <c r="N203" s="3">
        <f t="shared" ca="1" si="230"/>
        <v>2039361.2503000004</v>
      </c>
      <c r="O203" s="3">
        <f t="shared" si="231"/>
        <v>1538400</v>
      </c>
      <c r="P203" s="3">
        <f t="shared" si="232"/>
        <v>40989657</v>
      </c>
      <c r="Q203" s="3">
        <f t="shared" si="233"/>
        <v>86029713.207369089</v>
      </c>
      <c r="R203" s="3">
        <f t="shared" si="234"/>
        <v>-13374752.800000001</v>
      </c>
      <c r="S203" s="47">
        <f t="shared" ca="1" si="213"/>
        <v>84505481.366428882</v>
      </c>
      <c r="T203" s="47">
        <f>IFERROR(HLOOKUP(B203-1,'EV Forecast VRZ'!$F$124:$T$130,5,FALSE)/12,0)+IFERROR(((HLOOKUP(B203,'EV Forecast VRZ'!$F$116:$T$122,5,FALSE)-HLOOKUP(B203-1,'EV Forecast VRZ'!$F$124:$T$130,5,FALSE)))*C203/78,0)</f>
        <v>383289.39525061613</v>
      </c>
      <c r="U203" s="47">
        <f ca="1">HLOOKUP(B203,Heating!$C$102:$O$106,5,FALSE)*INDEX(Weather!$BO$1:$CB$20,MATCH(B203,Weather!$BO$1:$BO$20,0),MATCH(C203,Weather!$BO$1:$CB$1,0))/VLOOKUP(B203,Weather!$BO$2:$CB$20,14,FALSE)</f>
        <v>320996.46667048038</v>
      </c>
      <c r="V203" s="47">
        <f t="shared" ca="1" si="214"/>
        <v>85209767.228349984</v>
      </c>
    </row>
    <row r="204" spans="1:22">
      <c r="A204" s="2">
        <f t="shared" si="199"/>
        <v>48182</v>
      </c>
      <c r="B204">
        <f t="shared" si="200"/>
        <v>2031</v>
      </c>
      <c r="C204">
        <f t="shared" si="201"/>
        <v>11</v>
      </c>
      <c r="E204" s="3">
        <f t="shared" ref="E204:F204" ca="1" si="244">E192</f>
        <v>486.62991389045737</v>
      </c>
      <c r="F204" s="3">
        <f t="shared" ca="1" si="244"/>
        <v>2.2779166666666657</v>
      </c>
      <c r="G204">
        <f t="shared" si="224"/>
        <v>1</v>
      </c>
      <c r="H204" s="3">
        <f t="shared" si="204"/>
        <v>30</v>
      </c>
      <c r="I204" s="391">
        <f>I192*(1+'Economic Data'!$AC$17)</f>
        <v>949049.69733420282</v>
      </c>
      <c r="J204" s="391">
        <f t="shared" si="219"/>
        <v>167</v>
      </c>
      <c r="L204" s="3">
        <f t="shared" si="228"/>
        <v>-38000000</v>
      </c>
      <c r="M204" s="3">
        <f t="shared" ca="1" si="229"/>
        <v>8621130.6881842054</v>
      </c>
      <c r="N204" s="3">
        <f t="shared" ca="1" si="230"/>
        <v>131494.88082499994</v>
      </c>
      <c r="O204" s="3">
        <f t="shared" si="231"/>
        <v>1538400</v>
      </c>
      <c r="P204" s="3">
        <f t="shared" si="232"/>
        <v>39667410</v>
      </c>
      <c r="Q204" s="3">
        <f t="shared" si="233"/>
        <v>86029713.207369089</v>
      </c>
      <c r="R204" s="3">
        <f t="shared" si="234"/>
        <v>-13455323.6</v>
      </c>
      <c r="S204" s="47">
        <f t="shared" ca="1" si="213"/>
        <v>84532825.17637831</v>
      </c>
      <c r="T204" s="47">
        <f>IFERROR(HLOOKUP(B204-1,'EV Forecast VRZ'!$F$124:$T$130,5,FALSE)/12,0)+IFERROR(((HLOOKUP(B204,'EV Forecast VRZ'!$F$116:$T$122,5,FALSE)-HLOOKUP(B204-1,'EV Forecast VRZ'!$F$124:$T$130,5,FALSE)))*C204/78,0)</f>
        <v>387491.4851951091</v>
      </c>
      <c r="U204" s="47">
        <f ca="1">HLOOKUP(B204,Heating!$C$102:$O$106,5,FALSE)*INDEX(Weather!$BO$1:$CB$20,MATCH(B204,Weather!$BO$1:$BO$20,0),MATCH(C204,Weather!$BO$1:$CB$1,0))/VLOOKUP(B204,Weather!$BO$2:$CB$20,14,FALSE)</f>
        <v>575655.86531847937</v>
      </c>
      <c r="V204" s="47">
        <f t="shared" ca="1" si="214"/>
        <v>85495972.526891902</v>
      </c>
    </row>
    <row r="205" spans="1:22">
      <c r="A205" s="2">
        <f t="shared" si="199"/>
        <v>48213</v>
      </c>
      <c r="B205">
        <f t="shared" si="200"/>
        <v>2031</v>
      </c>
      <c r="C205">
        <f t="shared" si="201"/>
        <v>12</v>
      </c>
      <c r="E205" s="3">
        <f t="shared" ref="E205:F205" ca="1" si="245">E193</f>
        <v>639.92800724637686</v>
      </c>
      <c r="F205" s="3">
        <f t="shared" ca="1" si="245"/>
        <v>0</v>
      </c>
      <c r="G205">
        <f t="shared" si="224"/>
        <v>0</v>
      </c>
      <c r="H205" s="3">
        <f t="shared" si="204"/>
        <v>31</v>
      </c>
      <c r="I205" s="391">
        <f>I193*(1+'Economic Data'!$AC$17)</f>
        <v>949049.69733420282</v>
      </c>
      <c r="J205" s="391">
        <f t="shared" si="219"/>
        <v>168</v>
      </c>
      <c r="L205" s="3">
        <f t="shared" si="228"/>
        <v>-38000000</v>
      </c>
      <c r="M205" s="3">
        <f t="shared" ca="1" si="229"/>
        <v>11336958.177096741</v>
      </c>
      <c r="N205" s="3">
        <f t="shared" ca="1" si="230"/>
        <v>0</v>
      </c>
      <c r="O205" s="3">
        <f t="shared" si="231"/>
        <v>0</v>
      </c>
      <c r="P205" s="3">
        <f t="shared" si="232"/>
        <v>40989657</v>
      </c>
      <c r="Q205" s="3">
        <f t="shared" si="233"/>
        <v>86029713.207369089</v>
      </c>
      <c r="R205" s="3">
        <f t="shared" si="234"/>
        <v>-13535894.4</v>
      </c>
      <c r="S205" s="47">
        <f t="shared" ca="1" si="213"/>
        <v>86820433.984465823</v>
      </c>
      <c r="T205" s="47">
        <f>IFERROR(HLOOKUP(B205-1,'EV Forecast VRZ'!$F$124:$T$130,5,FALSE)/12,0)+IFERROR(((HLOOKUP(B205,'EV Forecast VRZ'!$F$116:$T$122,5,FALSE)-HLOOKUP(B205-1,'EV Forecast VRZ'!$F$124:$T$130,5,FALSE)))*C205/78,0)</f>
        <v>391693.57513960212</v>
      </c>
      <c r="U205" s="47">
        <f ca="1">HLOOKUP(B205,Heating!$C$102:$O$106,5,FALSE)*INDEX(Weather!$BO$1:$CB$20,MATCH(B205,Weather!$BO$1:$BO$20,0),MATCH(C205,Weather!$BO$1:$CB$1,0))/VLOOKUP(B205,Weather!$BO$2:$CB$20,14,FALSE)</f>
        <v>779803.8446704403</v>
      </c>
      <c r="V205" s="47">
        <f t="shared" ca="1" si="214"/>
        <v>87991931.404275864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F7785-3807-418B-9C93-97655703412A}">
  <sheetPr codeName="Sheet31">
    <tabColor theme="7" tint="0.79998168889431442"/>
  </sheetPr>
  <dimension ref="A1:T205"/>
  <sheetViews>
    <sheetView workbookViewId="0"/>
  </sheetViews>
  <sheetFormatPr defaultRowHeight="15"/>
  <cols>
    <col min="4" max="4" width="28.85546875" customWidth="1"/>
    <col min="5" max="5" width="11.42578125" bestFit="1" customWidth="1"/>
    <col min="6" max="6" width="8.5703125" style="3"/>
    <col min="7" max="7" width="8.5703125" customWidth="1"/>
    <col min="8" max="8" width="13.5703125" bestFit="1" customWidth="1"/>
    <col min="9" max="10" width="11.42578125" bestFit="1" customWidth="1"/>
    <col min="11" max="13" width="12.5703125" customWidth="1"/>
    <col min="17" max="17" width="13.5703125" bestFit="1" customWidth="1"/>
    <col min="18" max="18" width="12.5703125" bestFit="1" customWidth="1"/>
    <col min="19" max="19" width="13.5703125" bestFit="1" customWidth="1"/>
    <col min="20" max="20" width="8.5703125" bestFit="1" customWidth="1"/>
  </cols>
  <sheetData>
    <row r="1" spans="1:20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Data'!AD1</f>
        <v>VRZ_GS3000to4999kWh_No_CDM</v>
      </c>
      <c r="E1" s="760" t="str">
        <f>'Monthly Data'!DL1</f>
        <v>OEA_GDP</v>
      </c>
      <c r="F1" s="760" t="str">
        <f>'Monthly Data'!DR1</f>
        <v>Peak Days</v>
      </c>
      <c r="G1" s="760"/>
      <c r="H1" s="760" t="str">
        <f>P8</f>
        <v>const</v>
      </c>
      <c r="I1" s="760" t="str">
        <f>E1</f>
        <v>OEA_GDP</v>
      </c>
      <c r="J1" s="760" t="str">
        <f>F1</f>
        <v>Peak Days</v>
      </c>
      <c r="K1" s="760" t="s">
        <v>439</v>
      </c>
      <c r="L1" s="760" t="s">
        <v>632</v>
      </c>
      <c r="M1" s="760" t="s">
        <v>635</v>
      </c>
    </row>
    <row r="2" spans="1:20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Data'!AD2</f>
        <v>7337573.8113254756</v>
      </c>
      <c r="E2" s="3">
        <f>'Monthly Data'!DL2</f>
        <v>718587</v>
      </c>
      <c r="F2" s="3">
        <f>'Monthly Data'!DR2</f>
        <v>21</v>
      </c>
      <c r="H2" s="3">
        <f t="shared" ref="H2:H65" si="0">$Q$8</f>
        <v>-5284416</v>
      </c>
      <c r="I2" s="3">
        <f t="shared" ref="I2:I65" si="1">E2*$Q$9</f>
        <v>8770936.39047</v>
      </c>
      <c r="J2" s="3">
        <f t="shared" ref="J2:J65" si="2">F2*$Q$10</f>
        <v>3518214</v>
      </c>
      <c r="K2" s="47">
        <f t="shared" ref="K2:K21" si="3">SUM(H2:J2)</f>
        <v>7004734.39047</v>
      </c>
      <c r="L2" s="47">
        <f>'Monthly Data'!AE2</f>
        <v>0</v>
      </c>
      <c r="M2" s="47">
        <f t="shared" ref="M2:M54" si="4">K2+L2</f>
        <v>7004734.39047</v>
      </c>
    </row>
    <row r="3" spans="1:20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Data'!AD3</f>
        <v>6908695.2852855837</v>
      </c>
      <c r="E3" s="3">
        <f>'Monthly Data'!DL3</f>
        <v>718587</v>
      </c>
      <c r="F3" s="3">
        <f>'Monthly Data'!DR3</f>
        <v>19</v>
      </c>
      <c r="H3" s="3">
        <f t="shared" si="0"/>
        <v>-5284416</v>
      </c>
      <c r="I3" s="3">
        <f t="shared" si="1"/>
        <v>8770936.39047</v>
      </c>
      <c r="J3" s="3">
        <f t="shared" si="2"/>
        <v>3183146</v>
      </c>
      <c r="K3" s="47">
        <f t="shared" si="3"/>
        <v>6669666.39047</v>
      </c>
      <c r="L3" s="47">
        <f>'Monthly Data'!AE3</f>
        <v>0</v>
      </c>
      <c r="M3" s="47">
        <f t="shared" si="4"/>
        <v>6669666.39047</v>
      </c>
      <c r="P3" s="616" t="str">
        <f>'VRZ GS 3,000-4,999'!R3</f>
        <v>Model 5: Prais-Winsten, using observations 2015:01-2024:12 (T = 120)</v>
      </c>
    </row>
    <row r="4" spans="1:20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Data'!AD4</f>
        <v>7383260.6835694443</v>
      </c>
      <c r="E4" s="3">
        <f>'Monthly Data'!DL4</f>
        <v>718587</v>
      </c>
      <c r="F4" s="3">
        <f>'Monthly Data'!DR4</f>
        <v>22</v>
      </c>
      <c r="H4" s="3">
        <f t="shared" si="0"/>
        <v>-5284416</v>
      </c>
      <c r="I4" s="3">
        <f t="shared" si="1"/>
        <v>8770936.39047</v>
      </c>
      <c r="J4" s="3">
        <f t="shared" si="2"/>
        <v>3685748</v>
      </c>
      <c r="K4" s="47">
        <f t="shared" si="3"/>
        <v>7172268.39047</v>
      </c>
      <c r="L4" s="47">
        <f>'Monthly Data'!AE4</f>
        <v>0</v>
      </c>
      <c r="M4" s="47">
        <f t="shared" si="4"/>
        <v>7172268.39047</v>
      </c>
      <c r="P4" s="616" t="str">
        <f>'VRZ GS 3,000-4,999'!R4</f>
        <v>Dependent variable: VRZ_GS3000to4999kWh_No_CDM_AL</v>
      </c>
    </row>
    <row r="5" spans="1:20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Data'!AD5</f>
        <v>7204369.4118533041</v>
      </c>
      <c r="E5" s="3">
        <f>'Monthly Data'!DL5</f>
        <v>723726</v>
      </c>
      <c r="F5" s="3">
        <f>'Monthly Data'!DR5</f>
        <v>20</v>
      </c>
      <c r="H5" s="3">
        <f t="shared" si="0"/>
        <v>-5284416</v>
      </c>
      <c r="I5" s="3">
        <f t="shared" si="1"/>
        <v>8833662.0480599999</v>
      </c>
      <c r="J5" s="3">
        <f t="shared" si="2"/>
        <v>3350680</v>
      </c>
      <c r="K5" s="47">
        <f t="shared" si="3"/>
        <v>6899926.0480599999</v>
      </c>
      <c r="L5" s="47">
        <f>'Monthly Data'!AE5</f>
        <v>0</v>
      </c>
      <c r="M5" s="47">
        <f t="shared" si="4"/>
        <v>6899926.0480599999</v>
      </c>
      <c r="P5" s="616" t="str">
        <f>'VRZ GS 3,000-4,999'!R5</f>
        <v>rho = 0.735428</v>
      </c>
    </row>
    <row r="6" spans="1:20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Data'!AD6</f>
        <v>7345884.0401371643</v>
      </c>
      <c r="E6" s="3">
        <f>'Monthly Data'!DL6</f>
        <v>723726</v>
      </c>
      <c r="F6" s="3">
        <f>'Monthly Data'!DR6</f>
        <v>20</v>
      </c>
      <c r="H6" s="3">
        <f t="shared" si="0"/>
        <v>-5284416</v>
      </c>
      <c r="I6" s="3">
        <f t="shared" si="1"/>
        <v>8833662.0480599999</v>
      </c>
      <c r="J6" s="3">
        <f t="shared" si="2"/>
        <v>3350680</v>
      </c>
      <c r="K6" s="47">
        <f t="shared" si="3"/>
        <v>6899926.0480599999</v>
      </c>
      <c r="L6" s="47">
        <f>'Monthly Data'!AE6</f>
        <v>0</v>
      </c>
      <c r="M6" s="47">
        <f t="shared" si="4"/>
        <v>6899926.0480599999</v>
      </c>
    </row>
    <row r="7" spans="1:20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Data'!AD7</f>
        <v>7533903.6284210244</v>
      </c>
      <c r="E7" s="3">
        <f>'Monthly Data'!DL7</f>
        <v>723726</v>
      </c>
      <c r="F7" s="3">
        <f>'Monthly Data'!DR7</f>
        <v>22</v>
      </c>
      <c r="H7" s="3">
        <f t="shared" si="0"/>
        <v>-5284416</v>
      </c>
      <c r="I7" s="3">
        <f t="shared" si="1"/>
        <v>8833662.0480599999</v>
      </c>
      <c r="J7" s="3">
        <f t="shared" si="2"/>
        <v>3685748</v>
      </c>
      <c r="K7" s="47">
        <f t="shared" si="3"/>
        <v>7234994.0480599999</v>
      </c>
      <c r="L7" s="47">
        <f>'Monthly Data'!AE7</f>
        <v>0</v>
      </c>
      <c r="M7" s="47">
        <f t="shared" si="4"/>
        <v>7234994.0480599999</v>
      </c>
      <c r="Q7" t="s">
        <v>409</v>
      </c>
      <c r="R7" t="s">
        <v>410</v>
      </c>
      <c r="S7" t="s">
        <v>411</v>
      </c>
      <c r="T7" t="s">
        <v>412</v>
      </c>
    </row>
    <row r="8" spans="1:20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Data'!AD8</f>
        <v>6691934.4867048832</v>
      </c>
      <c r="E8" s="3">
        <f>'Monthly Data'!DL8</f>
        <v>730341</v>
      </c>
      <c r="F8" s="3">
        <f>'Monthly Data'!DR8</f>
        <v>22</v>
      </c>
      <c r="H8" s="3">
        <f t="shared" si="0"/>
        <v>-5284416</v>
      </c>
      <c r="I8" s="3">
        <f t="shared" si="1"/>
        <v>8914403.481209999</v>
      </c>
      <c r="J8" s="3">
        <f t="shared" si="2"/>
        <v>3685748</v>
      </c>
      <c r="K8" s="47">
        <f t="shared" si="3"/>
        <v>7315735.481209999</v>
      </c>
      <c r="L8" s="47">
        <f>'Monthly Data'!AE8</f>
        <v>0</v>
      </c>
      <c r="M8" s="47">
        <f t="shared" si="4"/>
        <v>7315735.481209999</v>
      </c>
      <c r="P8" t="s">
        <v>413</v>
      </c>
      <c r="Q8" s="616">
        <f>'VRZ GS 3,000-4,999'!S8</f>
        <v>-5284416</v>
      </c>
      <c r="R8" s="3">
        <f>'VRZ GS 3,000-4,999'!T8</f>
        <v>1850569</v>
      </c>
      <c r="S8" s="3">
        <f>'VRZ GS 3,000-4,999'!U8</f>
        <v>-2.8555600000000001</v>
      </c>
      <c r="T8" s="3">
        <f>'VRZ GS 3,000-4,999'!V8</f>
        <v>5.084E-3</v>
      </c>
    </row>
    <row r="9" spans="1:20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Data'!AD9</f>
        <v>6837981.5249887435</v>
      </c>
      <c r="E9" s="3">
        <f>'Monthly Data'!DL9</f>
        <v>730341</v>
      </c>
      <c r="F9" s="3">
        <f>'Monthly Data'!DR9</f>
        <v>20</v>
      </c>
      <c r="H9" s="3">
        <f t="shared" si="0"/>
        <v>-5284416</v>
      </c>
      <c r="I9" s="3">
        <f t="shared" si="1"/>
        <v>8914403.481209999</v>
      </c>
      <c r="J9" s="3">
        <f t="shared" si="2"/>
        <v>3350680</v>
      </c>
      <c r="K9" s="47">
        <f t="shared" si="3"/>
        <v>6980667.481209999</v>
      </c>
      <c r="L9" s="47">
        <f>'Monthly Data'!AE9</f>
        <v>0</v>
      </c>
      <c r="M9" s="47">
        <f t="shared" si="4"/>
        <v>6980667.481209999</v>
      </c>
      <c r="P9" t="s">
        <v>129</v>
      </c>
      <c r="Q9" s="3">
        <f>'VRZ GS 3,000-4,999'!S9</f>
        <v>12.20581</v>
      </c>
      <c r="R9" s="3">
        <f>'VRZ GS 3,000-4,999'!T9</f>
        <v>2.2256680000000002</v>
      </c>
      <c r="S9" s="3">
        <f>'VRZ GS 3,000-4,999'!U9</f>
        <v>5.4841100000000003</v>
      </c>
      <c r="T9" s="3">
        <f>'VRZ GS 3,000-4,999'!V9</f>
        <v>2.4299999999999999E-7</v>
      </c>
    </row>
    <row r="10" spans="1:20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Data'!AD10</f>
        <v>6292292.093272604</v>
      </c>
      <c r="E10" s="3">
        <f>'Monthly Data'!DL10</f>
        <v>730341</v>
      </c>
      <c r="F10" s="3">
        <f>'Monthly Data'!DR10</f>
        <v>21</v>
      </c>
      <c r="H10" s="3">
        <f t="shared" si="0"/>
        <v>-5284416</v>
      </c>
      <c r="I10" s="3">
        <f t="shared" si="1"/>
        <v>8914403.481209999</v>
      </c>
      <c r="J10" s="3">
        <f t="shared" si="2"/>
        <v>3518214</v>
      </c>
      <c r="K10" s="47">
        <f t="shared" si="3"/>
        <v>7148201.481209999</v>
      </c>
      <c r="L10" s="47">
        <f>'Monthly Data'!AE10</f>
        <v>0</v>
      </c>
      <c r="M10" s="47">
        <f t="shared" si="4"/>
        <v>7148201.481209999</v>
      </c>
      <c r="P10" t="s">
        <v>428</v>
      </c>
      <c r="Q10" s="3">
        <f>'VRZ GS 3,000-4,999'!S10</f>
        <v>167534</v>
      </c>
      <c r="R10" s="3">
        <f>'VRZ GS 3,000-4,999'!T10</f>
        <v>23327.61</v>
      </c>
      <c r="S10" s="3">
        <f>'VRZ GS 3,000-4,999'!U10</f>
        <v>7.1817890000000002</v>
      </c>
      <c r="T10" s="3">
        <f>'VRZ GS 3,000-4,999'!V10</f>
        <v>6.8700000000000006E-11</v>
      </c>
    </row>
    <row r="11" spans="1:20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Data'!AD11</f>
        <v>6565647.9515564637</v>
      </c>
      <c r="E11" s="3">
        <f>'Monthly Data'!DL11</f>
        <v>737784</v>
      </c>
      <c r="F11" s="3">
        <f>'Monthly Data'!DR11</f>
        <v>21</v>
      </c>
      <c r="H11" s="3">
        <f t="shared" si="0"/>
        <v>-5284416</v>
      </c>
      <c r="I11" s="3">
        <f t="shared" si="1"/>
        <v>9005251.3250399996</v>
      </c>
      <c r="J11" s="3">
        <f t="shared" si="2"/>
        <v>3518214</v>
      </c>
      <c r="K11" s="47">
        <f t="shared" si="3"/>
        <v>7239049.3250399996</v>
      </c>
      <c r="L11" s="47">
        <f>'Monthly Data'!AE11</f>
        <v>0</v>
      </c>
      <c r="M11" s="47">
        <f t="shared" si="4"/>
        <v>7239049.3250399996</v>
      </c>
      <c r="Q11" s="3"/>
      <c r="R11" s="3"/>
      <c r="S11" s="360"/>
      <c r="T11" s="108"/>
    </row>
    <row r="12" spans="1:20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Data'!AD12</f>
        <v>6894651.1298403237</v>
      </c>
      <c r="E12" s="3">
        <f>'Monthly Data'!DL12</f>
        <v>737784</v>
      </c>
      <c r="F12" s="3">
        <f>'Monthly Data'!DR12</f>
        <v>21</v>
      </c>
      <c r="H12" s="3">
        <f t="shared" si="0"/>
        <v>-5284416</v>
      </c>
      <c r="I12" s="3">
        <f t="shared" si="1"/>
        <v>9005251.3250399996</v>
      </c>
      <c r="J12" s="3">
        <f t="shared" si="2"/>
        <v>3518214</v>
      </c>
      <c r="K12" s="47">
        <f t="shared" si="3"/>
        <v>7239049.3250399996</v>
      </c>
      <c r="L12" s="47">
        <f>'Monthly Data'!AE12</f>
        <v>0</v>
      </c>
      <c r="M12" s="47">
        <f t="shared" si="4"/>
        <v>7239049.3250399996</v>
      </c>
      <c r="P12" t="s">
        <v>407</v>
      </c>
      <c r="Q12" s="3"/>
      <c r="R12" s="3"/>
      <c r="S12" s="360"/>
      <c r="T12" s="108"/>
    </row>
    <row r="13" spans="1:20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Data'!AD13</f>
        <v>6213677.9281241829</v>
      </c>
      <c r="E13" s="3">
        <f>'Monthly Data'!DL13</f>
        <v>737784</v>
      </c>
      <c r="F13" s="3">
        <f>'Monthly Data'!DR13</f>
        <v>21</v>
      </c>
      <c r="H13" s="3">
        <f t="shared" si="0"/>
        <v>-5284416</v>
      </c>
      <c r="I13" s="3">
        <f t="shared" si="1"/>
        <v>9005251.3250399996</v>
      </c>
      <c r="J13" s="3">
        <f t="shared" si="2"/>
        <v>3518214</v>
      </c>
      <c r="K13" s="47">
        <f t="shared" si="3"/>
        <v>7239049.3250399996</v>
      </c>
      <c r="L13" s="47">
        <f>'Monthly Data'!AE13</f>
        <v>0</v>
      </c>
      <c r="M13" s="47">
        <f t="shared" si="4"/>
        <v>7239049.3250399996</v>
      </c>
      <c r="P13" t="s">
        <v>415</v>
      </c>
      <c r="Q13" s="3">
        <v>21029019335848.801</v>
      </c>
      <c r="R13" s="3" t="s">
        <v>416</v>
      </c>
      <c r="S13" s="360">
        <v>425775.350915213</v>
      </c>
      <c r="T13" s="108"/>
    </row>
    <row r="14" spans="1:20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Data'!AD14</f>
        <v>7082126.2640876807</v>
      </c>
      <c r="E14" s="3">
        <f>'Monthly Data'!DL14</f>
        <v>743287</v>
      </c>
      <c r="F14" s="3">
        <f>'Monthly Data'!DR14</f>
        <v>20</v>
      </c>
      <c r="H14" s="3">
        <f t="shared" si="0"/>
        <v>-5284416</v>
      </c>
      <c r="I14" s="3">
        <f t="shared" si="1"/>
        <v>9072419.8974699993</v>
      </c>
      <c r="J14" s="3">
        <f t="shared" si="2"/>
        <v>3350680</v>
      </c>
      <c r="K14" s="47">
        <f t="shared" si="3"/>
        <v>7138683.8974699993</v>
      </c>
      <c r="L14" s="47">
        <f>'Monthly Data'!AE14</f>
        <v>0</v>
      </c>
      <c r="M14" s="47">
        <f t="shared" si="4"/>
        <v>7138683.8974699993</v>
      </c>
      <c r="P14" t="s">
        <v>417</v>
      </c>
      <c r="Q14" s="3">
        <v>0.82076908454291198</v>
      </c>
      <c r="R14" s="3" t="s">
        <v>418</v>
      </c>
      <c r="S14" s="360">
        <v>0.81767889634537605</v>
      </c>
      <c r="T14" s="108"/>
    </row>
    <row r="15" spans="1:20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Data'!AD15</f>
        <v>6440881.7042909777</v>
      </c>
      <c r="E15" s="3">
        <f>'Monthly Data'!DL15</f>
        <v>743287</v>
      </c>
      <c r="F15" s="3">
        <f>'Monthly Data'!DR15</f>
        <v>20</v>
      </c>
      <c r="H15" s="3">
        <f t="shared" si="0"/>
        <v>-5284416</v>
      </c>
      <c r="I15" s="3">
        <f t="shared" si="1"/>
        <v>9072419.8974699993</v>
      </c>
      <c r="J15" s="3">
        <f t="shared" si="2"/>
        <v>3350680</v>
      </c>
      <c r="K15" s="47">
        <f t="shared" si="3"/>
        <v>7138683.8974699993</v>
      </c>
      <c r="L15" s="47">
        <f>'Monthly Data'!AE15</f>
        <v>0</v>
      </c>
      <c r="M15" s="47">
        <f t="shared" si="4"/>
        <v>7138683.8974699993</v>
      </c>
      <c r="P15" t="s">
        <v>547</v>
      </c>
      <c r="Q15" s="3">
        <v>54.517745961368597</v>
      </c>
      <c r="R15" s="3" t="s">
        <v>419</v>
      </c>
      <c r="S15" s="360">
        <v>2.03237697104365E-17</v>
      </c>
      <c r="T15" s="108"/>
    </row>
    <row r="16" spans="1:20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Data'!AD16</f>
        <v>6559757.1344942749</v>
      </c>
      <c r="E16" s="3">
        <f>'Monthly Data'!DL16</f>
        <v>743287</v>
      </c>
      <c r="F16" s="3">
        <f>'Monthly Data'!DR16</f>
        <v>21</v>
      </c>
      <c r="H16" s="3">
        <f t="shared" si="0"/>
        <v>-5284416</v>
      </c>
      <c r="I16" s="3">
        <f t="shared" si="1"/>
        <v>9072419.8974699993</v>
      </c>
      <c r="J16" s="3">
        <f t="shared" si="2"/>
        <v>3518214</v>
      </c>
      <c r="K16" s="47">
        <f t="shared" si="3"/>
        <v>7306217.8974699993</v>
      </c>
      <c r="L16" s="47">
        <f>'Monthly Data'!AE16</f>
        <v>0</v>
      </c>
      <c r="M16" s="47">
        <f t="shared" si="4"/>
        <v>7306217.8974699993</v>
      </c>
      <c r="P16" t="s">
        <v>420</v>
      </c>
      <c r="Q16">
        <v>-0.164053018205782</v>
      </c>
      <c r="R16" t="s">
        <v>421</v>
      </c>
      <c r="S16">
        <v>2.3260308662116298</v>
      </c>
    </row>
    <row r="17" spans="1:19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Data'!AD17</f>
        <v>6726899.6046975721</v>
      </c>
      <c r="E17" s="3">
        <f>'Monthly Data'!DL17</f>
        <v>740632</v>
      </c>
      <c r="F17" s="3">
        <f>'Monthly Data'!DR17</f>
        <v>21</v>
      </c>
      <c r="H17" s="3">
        <f t="shared" si="0"/>
        <v>-5284416</v>
      </c>
      <c r="I17" s="3">
        <f t="shared" si="1"/>
        <v>9040013.4719200004</v>
      </c>
      <c r="J17" s="3">
        <f t="shared" si="2"/>
        <v>3518214</v>
      </c>
      <c r="K17" s="47">
        <f t="shared" si="3"/>
        <v>7273811.4719200004</v>
      </c>
      <c r="L17" s="47">
        <f>'Monthly Data'!AE17</f>
        <v>0</v>
      </c>
      <c r="M17" s="47">
        <f t="shared" si="4"/>
        <v>7273811.4719200004</v>
      </c>
    </row>
    <row r="18" spans="1:19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Data'!AD18</f>
        <v>5921232.544900869</v>
      </c>
      <c r="E18" s="3">
        <f>'Monthly Data'!DL18</f>
        <v>740632</v>
      </c>
      <c r="F18" s="3">
        <f>'Monthly Data'!DR18</f>
        <v>21</v>
      </c>
      <c r="H18" s="3">
        <f t="shared" si="0"/>
        <v>-5284416</v>
      </c>
      <c r="I18" s="3">
        <f t="shared" si="1"/>
        <v>9040013.4719200004</v>
      </c>
      <c r="J18" s="3">
        <f t="shared" si="2"/>
        <v>3518214</v>
      </c>
      <c r="K18" s="47">
        <f t="shared" si="3"/>
        <v>7273811.4719200004</v>
      </c>
      <c r="L18" s="47">
        <f>'Monthly Data'!AE18</f>
        <v>0</v>
      </c>
      <c r="M18" s="47">
        <f t="shared" si="4"/>
        <v>7273811.4719200004</v>
      </c>
      <c r="P18" t="s">
        <v>408</v>
      </c>
      <c r="S18" s="3"/>
    </row>
    <row r="19" spans="1:19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Data'!AD19</f>
        <v>6589415.2701041661</v>
      </c>
      <c r="E19" s="3">
        <f>'Monthly Data'!DL19</f>
        <v>740632</v>
      </c>
      <c r="F19" s="3">
        <f>'Monthly Data'!DR19</f>
        <v>22</v>
      </c>
      <c r="H19" s="3">
        <f t="shared" si="0"/>
        <v>-5284416</v>
      </c>
      <c r="I19" s="3">
        <f t="shared" si="1"/>
        <v>9040013.4719200004</v>
      </c>
      <c r="J19" s="3">
        <f t="shared" si="2"/>
        <v>3685748</v>
      </c>
      <c r="K19" s="47">
        <f t="shared" si="3"/>
        <v>7441345.4719200004</v>
      </c>
      <c r="L19" s="47">
        <f>'Monthly Data'!AE19</f>
        <v>0</v>
      </c>
      <c r="M19" s="47">
        <f t="shared" si="4"/>
        <v>7441345.4719200004</v>
      </c>
      <c r="P19" t="s">
        <v>422</v>
      </c>
      <c r="Q19" s="107">
        <v>8005978.0185911199</v>
      </c>
      <c r="R19" t="s">
        <v>423</v>
      </c>
      <c r="S19" s="107">
        <v>996112.73743156798</v>
      </c>
    </row>
    <row r="20" spans="1:19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Data'!AD20</f>
        <v>6499451.9953074632</v>
      </c>
      <c r="E20" s="3">
        <f>'Monthly Data'!DL20</f>
        <v>746606</v>
      </c>
      <c r="F20" s="3">
        <f>'Monthly Data'!DR20</f>
        <v>20</v>
      </c>
      <c r="H20" s="3">
        <f t="shared" si="0"/>
        <v>-5284416</v>
      </c>
      <c r="I20" s="3">
        <f t="shared" si="1"/>
        <v>9112930.9808600005</v>
      </c>
      <c r="J20" s="3">
        <f t="shared" si="2"/>
        <v>3350680</v>
      </c>
      <c r="K20" s="47">
        <f t="shared" si="3"/>
        <v>7179194.9808600005</v>
      </c>
      <c r="L20" s="47">
        <f>'Monthly Data'!AE20</f>
        <v>0</v>
      </c>
      <c r="M20" s="47">
        <f t="shared" si="4"/>
        <v>7179194.9808600005</v>
      </c>
      <c r="Q20" s="360"/>
      <c r="S20" s="107"/>
    </row>
    <row r="21" spans="1:19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Data'!AD21</f>
        <v>7598626.2255107602</v>
      </c>
      <c r="E21" s="3">
        <f>'Monthly Data'!DL21</f>
        <v>746606</v>
      </c>
      <c r="F21" s="3">
        <f>'Monthly Data'!DR21</f>
        <v>22</v>
      </c>
      <c r="H21" s="3">
        <f t="shared" si="0"/>
        <v>-5284416</v>
      </c>
      <c r="I21" s="3">
        <f t="shared" si="1"/>
        <v>9112930.9808600005</v>
      </c>
      <c r="J21" s="3">
        <f t="shared" si="2"/>
        <v>3685748</v>
      </c>
      <c r="K21" s="47">
        <f t="shared" si="3"/>
        <v>7514262.9808600005</v>
      </c>
      <c r="L21" s="47">
        <f>'Monthly Data'!AE21</f>
        <v>0</v>
      </c>
      <c r="M21" s="47">
        <f t="shared" si="4"/>
        <v>7514262.9808600005</v>
      </c>
      <c r="Q21" s="107"/>
      <c r="S21" s="107"/>
    </row>
    <row r="22" spans="1:19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Data'!AD22</f>
        <v>7064738.1457140567</v>
      </c>
      <c r="E22" s="3">
        <f>'Monthly Data'!DL22</f>
        <v>746606</v>
      </c>
      <c r="F22" s="3">
        <f>'Monthly Data'!DR22</f>
        <v>21</v>
      </c>
      <c r="H22" s="3">
        <f t="shared" si="0"/>
        <v>-5284416</v>
      </c>
      <c r="I22" s="3">
        <f t="shared" si="1"/>
        <v>9112930.9808600005</v>
      </c>
      <c r="J22" s="3">
        <f t="shared" si="2"/>
        <v>3518214</v>
      </c>
      <c r="K22" s="47">
        <f t="shared" ref="K22:K53" si="5">SUM(H22:J22)</f>
        <v>7346728.9808600005</v>
      </c>
      <c r="L22" s="47">
        <f>'Monthly Data'!AE22</f>
        <v>0</v>
      </c>
      <c r="M22" s="47">
        <f t="shared" si="4"/>
        <v>7346728.9808600005</v>
      </c>
    </row>
    <row r="23" spans="1:19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Data'!AD23</f>
        <v>6821378.0459173536</v>
      </c>
      <c r="E23" s="3">
        <f>'Monthly Data'!DL23</f>
        <v>745380</v>
      </c>
      <c r="F23" s="3">
        <f>'Monthly Data'!DR23</f>
        <v>20</v>
      </c>
      <c r="H23" s="3">
        <f t="shared" si="0"/>
        <v>-5284416</v>
      </c>
      <c r="I23" s="3">
        <f t="shared" si="1"/>
        <v>9097966.6578000002</v>
      </c>
      <c r="J23" s="3">
        <f t="shared" si="2"/>
        <v>3350680</v>
      </c>
      <c r="K23" s="47">
        <f t="shared" si="5"/>
        <v>7164230.6578000002</v>
      </c>
      <c r="L23" s="47">
        <f>'Monthly Data'!AE23</f>
        <v>0</v>
      </c>
      <c r="M23" s="47">
        <f t="shared" si="4"/>
        <v>7164230.6578000002</v>
      </c>
    </row>
    <row r="24" spans="1:19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Data'!AD24</f>
        <v>7472883.2161206501</v>
      </c>
      <c r="E24" s="3">
        <f>'Monthly Data'!DL24</f>
        <v>745380</v>
      </c>
      <c r="F24" s="3">
        <f>'Monthly Data'!DR24</f>
        <v>22</v>
      </c>
      <c r="H24" s="3">
        <f t="shared" si="0"/>
        <v>-5284416</v>
      </c>
      <c r="I24" s="3">
        <f t="shared" si="1"/>
        <v>9097966.6578000002</v>
      </c>
      <c r="J24" s="3">
        <f t="shared" si="2"/>
        <v>3685748</v>
      </c>
      <c r="K24" s="47">
        <f t="shared" si="5"/>
        <v>7499298.6578000002</v>
      </c>
      <c r="L24" s="47">
        <f>'Monthly Data'!AE24</f>
        <v>0</v>
      </c>
      <c r="M24" s="47">
        <f t="shared" si="4"/>
        <v>7499298.6578000002</v>
      </c>
      <c r="Q24" s="3"/>
      <c r="S24" s="3"/>
    </row>
    <row r="25" spans="1:19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Data'!AD25</f>
        <v>6999468.2863239478</v>
      </c>
      <c r="E25" s="3">
        <f>'Monthly Data'!DL25</f>
        <v>745380</v>
      </c>
      <c r="F25" s="3">
        <f>'Monthly Data'!DR25</f>
        <v>20</v>
      </c>
      <c r="H25" s="3">
        <f t="shared" si="0"/>
        <v>-5284416</v>
      </c>
      <c r="I25" s="3">
        <f t="shared" si="1"/>
        <v>9097966.6578000002</v>
      </c>
      <c r="J25" s="3">
        <f t="shared" si="2"/>
        <v>3350680</v>
      </c>
      <c r="K25" s="47">
        <f t="shared" si="5"/>
        <v>7164230.6578000002</v>
      </c>
      <c r="L25" s="47">
        <f>'Monthly Data'!AE25</f>
        <v>0</v>
      </c>
      <c r="M25" s="47">
        <f t="shared" si="4"/>
        <v>7164230.6578000002</v>
      </c>
    </row>
    <row r="26" spans="1:19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Data'!AD26</f>
        <v>7306899.5674993498</v>
      </c>
      <c r="E26" s="3">
        <f>'Monthly Data'!DL26</f>
        <v>756702</v>
      </c>
      <c r="F26" s="3">
        <f>'Monthly Data'!DR26</f>
        <v>22</v>
      </c>
      <c r="H26" s="3">
        <f t="shared" si="0"/>
        <v>-5284416</v>
      </c>
      <c r="I26" s="3">
        <f t="shared" si="1"/>
        <v>9236160.8386199996</v>
      </c>
      <c r="J26" s="3">
        <f t="shared" si="2"/>
        <v>3685748</v>
      </c>
      <c r="K26" s="47">
        <f t="shared" si="5"/>
        <v>7637492.8386199996</v>
      </c>
      <c r="L26" s="47">
        <f>'Monthly Data'!AE26</f>
        <v>28.486256410256409</v>
      </c>
      <c r="M26" s="47">
        <f t="shared" si="4"/>
        <v>7637521.32487641</v>
      </c>
    </row>
    <row r="27" spans="1:19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Data'!AD27</f>
        <v>7018089.4464718215</v>
      </c>
      <c r="E27" s="3">
        <f>'Monthly Data'!DL27</f>
        <v>756702</v>
      </c>
      <c r="F27" s="3">
        <f>'Monthly Data'!DR27</f>
        <v>19</v>
      </c>
      <c r="H27" s="3">
        <f t="shared" si="0"/>
        <v>-5284416</v>
      </c>
      <c r="I27" s="3">
        <f t="shared" si="1"/>
        <v>9236160.8386199996</v>
      </c>
      <c r="J27" s="3">
        <f t="shared" si="2"/>
        <v>3183146</v>
      </c>
      <c r="K27" s="47">
        <f t="shared" si="5"/>
        <v>7134890.8386199996</v>
      </c>
      <c r="L27" s="47">
        <f>'Monthly Data'!AE27</f>
        <v>56.972512820512819</v>
      </c>
      <c r="M27" s="47">
        <f t="shared" si="4"/>
        <v>7134947.8111328203</v>
      </c>
    </row>
    <row r="28" spans="1:19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Data'!AD28</f>
        <v>8411875.3154442925</v>
      </c>
      <c r="E28" s="3">
        <f>'Monthly Data'!DL28</f>
        <v>756702</v>
      </c>
      <c r="F28" s="3">
        <f>'Monthly Data'!DR28</f>
        <v>23</v>
      </c>
      <c r="H28" s="3">
        <f t="shared" si="0"/>
        <v>-5284416</v>
      </c>
      <c r="I28" s="3">
        <f t="shared" si="1"/>
        <v>9236160.8386199996</v>
      </c>
      <c r="J28" s="3">
        <f t="shared" si="2"/>
        <v>3853282</v>
      </c>
      <c r="K28" s="47">
        <f t="shared" si="5"/>
        <v>7805026.8386199996</v>
      </c>
      <c r="L28" s="47">
        <f>'Monthly Data'!AE28</f>
        <v>85.458769230769221</v>
      </c>
      <c r="M28" s="47">
        <f t="shared" si="4"/>
        <v>7805112.2973892307</v>
      </c>
    </row>
    <row r="29" spans="1:19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Data'!AD29</f>
        <v>7618521.6244167639</v>
      </c>
      <c r="E29" s="3">
        <f>'Monthly Data'!DL29</f>
        <v>764644</v>
      </c>
      <c r="F29" s="3">
        <f>'Monthly Data'!DR29</f>
        <v>19</v>
      </c>
      <c r="H29" s="3">
        <f t="shared" si="0"/>
        <v>-5284416</v>
      </c>
      <c r="I29" s="3">
        <f t="shared" si="1"/>
        <v>9333099.3816400003</v>
      </c>
      <c r="J29" s="3">
        <f t="shared" si="2"/>
        <v>3183146</v>
      </c>
      <c r="K29" s="47">
        <f t="shared" si="5"/>
        <v>7231829.3816400003</v>
      </c>
      <c r="L29" s="47">
        <f>'Monthly Data'!AE29</f>
        <v>113.94502564102564</v>
      </c>
      <c r="M29" s="47">
        <f t="shared" si="4"/>
        <v>7231943.3266656417</v>
      </c>
    </row>
    <row r="30" spans="1:19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Data'!AD30</f>
        <v>7699301.0533892354</v>
      </c>
      <c r="E30" s="3">
        <f>'Monthly Data'!DL30</f>
        <v>764644</v>
      </c>
      <c r="F30" s="3">
        <f>'Monthly Data'!DR30</f>
        <v>22</v>
      </c>
      <c r="H30" s="3">
        <f t="shared" si="0"/>
        <v>-5284416</v>
      </c>
      <c r="I30" s="3">
        <f t="shared" si="1"/>
        <v>9333099.3816400003</v>
      </c>
      <c r="J30" s="3">
        <f t="shared" si="2"/>
        <v>3685748</v>
      </c>
      <c r="K30" s="47">
        <f t="shared" si="5"/>
        <v>7734431.3816400003</v>
      </c>
      <c r="L30" s="47">
        <f>'Monthly Data'!AE30</f>
        <v>142.43128205128204</v>
      </c>
      <c r="M30" s="47">
        <f t="shared" si="4"/>
        <v>7734573.8129220512</v>
      </c>
    </row>
    <row r="31" spans="1:19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Data'!AD31</f>
        <v>7586100.4823617069</v>
      </c>
      <c r="E31" s="3">
        <f>'Monthly Data'!DL31</f>
        <v>764644</v>
      </c>
      <c r="F31" s="3">
        <f>'Monthly Data'!DR31</f>
        <v>22</v>
      </c>
      <c r="H31" s="3">
        <f t="shared" si="0"/>
        <v>-5284416</v>
      </c>
      <c r="I31" s="3">
        <f t="shared" si="1"/>
        <v>9333099.3816400003</v>
      </c>
      <c r="J31" s="3">
        <f t="shared" si="2"/>
        <v>3685748</v>
      </c>
      <c r="K31" s="47">
        <f t="shared" si="5"/>
        <v>7734431.3816400003</v>
      </c>
      <c r="L31" s="47">
        <f>'Monthly Data'!AE31</f>
        <v>170.91753846153844</v>
      </c>
      <c r="M31" s="47">
        <f t="shared" si="4"/>
        <v>7734602.2991784615</v>
      </c>
    </row>
    <row r="32" spans="1:19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Data'!AD32</f>
        <v>7167382.2013341775</v>
      </c>
      <c r="E32" s="3">
        <f>'Monthly Data'!DL32</f>
        <v>765060</v>
      </c>
      <c r="F32" s="3">
        <f>'Monthly Data'!DR32</f>
        <v>20</v>
      </c>
      <c r="H32" s="3">
        <f t="shared" si="0"/>
        <v>-5284416</v>
      </c>
      <c r="I32" s="3">
        <f t="shared" si="1"/>
        <v>9338176.9986000005</v>
      </c>
      <c r="J32" s="3">
        <f t="shared" si="2"/>
        <v>3350680</v>
      </c>
      <c r="K32" s="47">
        <f t="shared" si="5"/>
        <v>7404440.9986000005</v>
      </c>
      <c r="L32" s="47">
        <f>'Monthly Data'!AE32</f>
        <v>199.40379487179487</v>
      </c>
      <c r="M32" s="47">
        <f t="shared" si="4"/>
        <v>7404640.4023948722</v>
      </c>
    </row>
    <row r="33" spans="1:13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Data'!AD33</f>
        <v>7952383.9803066496</v>
      </c>
      <c r="E33" s="3">
        <f>'Monthly Data'!DL33</f>
        <v>765060</v>
      </c>
      <c r="F33" s="3">
        <f>'Monthly Data'!DR33</f>
        <v>22</v>
      </c>
      <c r="H33" s="3">
        <f t="shared" si="0"/>
        <v>-5284416</v>
      </c>
      <c r="I33" s="3">
        <f t="shared" si="1"/>
        <v>9338176.9986000005</v>
      </c>
      <c r="J33" s="3">
        <f t="shared" si="2"/>
        <v>3685748</v>
      </c>
      <c r="K33" s="47">
        <f t="shared" si="5"/>
        <v>7739508.9986000005</v>
      </c>
      <c r="L33" s="47">
        <f>'Monthly Data'!AE33</f>
        <v>227.89005128205127</v>
      </c>
      <c r="M33" s="47">
        <f t="shared" si="4"/>
        <v>7739736.8886512825</v>
      </c>
    </row>
    <row r="34" spans="1:13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Data'!AD34</f>
        <v>7521612.7192791207</v>
      </c>
      <c r="E34" s="3">
        <f>'Monthly Data'!DL34</f>
        <v>765060</v>
      </c>
      <c r="F34" s="3">
        <f>'Monthly Data'!DR34</f>
        <v>20</v>
      </c>
      <c r="H34" s="3">
        <f t="shared" si="0"/>
        <v>-5284416</v>
      </c>
      <c r="I34" s="3">
        <f t="shared" si="1"/>
        <v>9338176.9986000005</v>
      </c>
      <c r="J34" s="3">
        <f t="shared" si="2"/>
        <v>3350680</v>
      </c>
      <c r="K34" s="47">
        <f t="shared" si="5"/>
        <v>7404440.9986000005</v>
      </c>
      <c r="L34" s="47">
        <f>'Monthly Data'!AE34</f>
        <v>256.37630769230771</v>
      </c>
      <c r="M34" s="47">
        <f t="shared" si="4"/>
        <v>7404697.3749076929</v>
      </c>
    </row>
    <row r="35" spans="1:13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Data'!AD35</f>
        <v>8062733.3882515915</v>
      </c>
      <c r="E35" s="3">
        <f>'Monthly Data'!DL35</f>
        <v>771453</v>
      </c>
      <c r="F35" s="3">
        <f>'Monthly Data'!DR35</f>
        <v>21</v>
      </c>
      <c r="H35" s="3">
        <f t="shared" si="0"/>
        <v>-5284416</v>
      </c>
      <c r="I35" s="3">
        <f t="shared" si="1"/>
        <v>9416208.7419300005</v>
      </c>
      <c r="J35" s="3">
        <f t="shared" si="2"/>
        <v>3518214</v>
      </c>
      <c r="K35" s="47">
        <f t="shared" si="5"/>
        <v>7650006.7419300005</v>
      </c>
      <c r="L35" s="47">
        <f>'Monthly Data'!AE35</f>
        <v>284.86256410256408</v>
      </c>
      <c r="M35" s="47">
        <f t="shared" si="4"/>
        <v>7650291.6044941032</v>
      </c>
    </row>
    <row r="36" spans="1:13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Data'!AD36</f>
        <v>8208250.5472240634</v>
      </c>
      <c r="E36" s="3">
        <f>'Monthly Data'!DL36</f>
        <v>771453</v>
      </c>
      <c r="F36" s="3">
        <f>'Monthly Data'!DR36</f>
        <v>22</v>
      </c>
      <c r="H36" s="3">
        <f t="shared" si="0"/>
        <v>-5284416</v>
      </c>
      <c r="I36" s="3">
        <f t="shared" si="1"/>
        <v>9416208.7419300005</v>
      </c>
      <c r="J36" s="3">
        <f t="shared" si="2"/>
        <v>3685748</v>
      </c>
      <c r="K36" s="47">
        <f t="shared" si="5"/>
        <v>7817540.7419300005</v>
      </c>
      <c r="L36" s="47">
        <f>'Monthly Data'!AE36</f>
        <v>313.34882051282051</v>
      </c>
      <c r="M36" s="47">
        <f t="shared" si="4"/>
        <v>7817854.0907505136</v>
      </c>
    </row>
    <row r="37" spans="1:13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Data'!AD37</f>
        <v>7371155.7161965342</v>
      </c>
      <c r="E37" s="3">
        <f>'Monthly Data'!DL37</f>
        <v>771453</v>
      </c>
      <c r="F37" s="3">
        <f>'Monthly Data'!DR37</f>
        <v>19</v>
      </c>
      <c r="H37" s="3">
        <f t="shared" si="0"/>
        <v>-5284416</v>
      </c>
      <c r="I37" s="3">
        <f t="shared" si="1"/>
        <v>9416208.7419300005</v>
      </c>
      <c r="J37" s="3">
        <f t="shared" si="2"/>
        <v>3183146</v>
      </c>
      <c r="K37" s="47">
        <f t="shared" si="5"/>
        <v>7314938.7419300005</v>
      </c>
      <c r="L37" s="47">
        <f>'Monthly Data'!AE37</f>
        <v>341.83507692307688</v>
      </c>
      <c r="M37" s="47">
        <f t="shared" si="4"/>
        <v>7315280.577006924</v>
      </c>
    </row>
    <row r="38" spans="1:13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Data'!AD38</f>
        <v>7743986.3491759766</v>
      </c>
      <c r="E38" s="3">
        <f>'Monthly Data'!DL38</f>
        <v>779459</v>
      </c>
      <c r="F38" s="3">
        <f>'Monthly Data'!DR38</f>
        <v>22</v>
      </c>
      <c r="H38" s="3">
        <f t="shared" si="0"/>
        <v>-5284416</v>
      </c>
      <c r="I38" s="3">
        <f t="shared" si="1"/>
        <v>9513928.4567900002</v>
      </c>
      <c r="J38" s="3">
        <f t="shared" si="2"/>
        <v>3685748</v>
      </c>
      <c r="K38" s="47">
        <f t="shared" si="5"/>
        <v>7915260.4567900002</v>
      </c>
      <c r="L38" s="47">
        <f>'Monthly Data'!AE38</f>
        <v>442.10384615384612</v>
      </c>
      <c r="M38" s="47">
        <f t="shared" si="4"/>
        <v>7915702.5606361544</v>
      </c>
    </row>
    <row r="39" spans="1:13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Data'!AD39</f>
        <v>7254443.4608197138</v>
      </c>
      <c r="E39" s="3">
        <f>'Monthly Data'!DL39</f>
        <v>779459</v>
      </c>
      <c r="F39" s="3">
        <f>'Monthly Data'!DR39</f>
        <v>19</v>
      </c>
      <c r="H39" s="3">
        <f t="shared" si="0"/>
        <v>-5284416</v>
      </c>
      <c r="I39" s="3">
        <f t="shared" si="1"/>
        <v>9513928.4567900002</v>
      </c>
      <c r="J39" s="3">
        <f t="shared" si="2"/>
        <v>3183146</v>
      </c>
      <c r="K39" s="47">
        <f t="shared" si="5"/>
        <v>7412658.4567900002</v>
      </c>
      <c r="L39" s="47">
        <f>'Monthly Data'!AE39</f>
        <v>513.88635897435893</v>
      </c>
      <c r="M39" s="47">
        <f t="shared" si="4"/>
        <v>7413172.3431489747</v>
      </c>
    </row>
    <row r="40" spans="1:13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Data'!AD40</f>
        <v>7503924.3424634514</v>
      </c>
      <c r="E40" s="3">
        <f>'Monthly Data'!DL40</f>
        <v>779459</v>
      </c>
      <c r="F40" s="3">
        <f>'Monthly Data'!DR40</f>
        <v>21</v>
      </c>
      <c r="H40" s="3">
        <f t="shared" si="0"/>
        <v>-5284416</v>
      </c>
      <c r="I40" s="3">
        <f t="shared" si="1"/>
        <v>9513928.4567900002</v>
      </c>
      <c r="J40" s="3">
        <f t="shared" si="2"/>
        <v>3518214</v>
      </c>
      <c r="K40" s="47">
        <f t="shared" si="5"/>
        <v>7747726.4567900002</v>
      </c>
      <c r="L40" s="47">
        <f>'Monthly Data'!AE40</f>
        <v>585.66887179487185</v>
      </c>
      <c r="M40" s="47">
        <f t="shared" si="4"/>
        <v>7748312.125661795</v>
      </c>
    </row>
    <row r="41" spans="1:13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Data'!AD41</f>
        <v>7314639.0541071892</v>
      </c>
      <c r="E41" s="3">
        <f>'Monthly Data'!DL41</f>
        <v>784896</v>
      </c>
      <c r="F41" s="3">
        <f>'Monthly Data'!DR41</f>
        <v>21</v>
      </c>
      <c r="H41" s="3">
        <f t="shared" si="0"/>
        <v>-5284416</v>
      </c>
      <c r="I41" s="3">
        <f t="shared" si="1"/>
        <v>9580291.4457600005</v>
      </c>
      <c r="J41" s="3">
        <f t="shared" si="2"/>
        <v>3518214</v>
      </c>
      <c r="K41" s="47">
        <f t="shared" si="5"/>
        <v>7814089.4457600005</v>
      </c>
      <c r="L41" s="47">
        <f>'Monthly Data'!AE41</f>
        <v>657.45138461538454</v>
      </c>
      <c r="M41" s="47">
        <f t="shared" si="4"/>
        <v>7814746.8971446157</v>
      </c>
    </row>
    <row r="42" spans="1:13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Data'!AD42</f>
        <v>7161503.7857509274</v>
      </c>
      <c r="E42" s="3">
        <f>'Monthly Data'!DL42</f>
        <v>784896</v>
      </c>
      <c r="F42" s="3">
        <f>'Monthly Data'!DR42</f>
        <v>22</v>
      </c>
      <c r="H42" s="3">
        <f t="shared" si="0"/>
        <v>-5284416</v>
      </c>
      <c r="I42" s="3">
        <f t="shared" si="1"/>
        <v>9580291.4457600005</v>
      </c>
      <c r="J42" s="3">
        <f t="shared" si="2"/>
        <v>3685748</v>
      </c>
      <c r="K42" s="47">
        <f t="shared" si="5"/>
        <v>7981623.4457600005</v>
      </c>
      <c r="L42" s="47">
        <f>'Monthly Data'!AE42</f>
        <v>729.23389743589746</v>
      </c>
      <c r="M42" s="47">
        <f t="shared" si="4"/>
        <v>7982352.679657436</v>
      </c>
    </row>
    <row r="43" spans="1:13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Data'!AD43</f>
        <v>7276926.087394665</v>
      </c>
      <c r="E43" s="3">
        <f>'Monthly Data'!DL43</f>
        <v>784896</v>
      </c>
      <c r="F43" s="3">
        <f>'Monthly Data'!DR43</f>
        <v>21</v>
      </c>
      <c r="H43" s="3">
        <f t="shared" si="0"/>
        <v>-5284416</v>
      </c>
      <c r="I43" s="3">
        <f t="shared" si="1"/>
        <v>9580291.4457600005</v>
      </c>
      <c r="J43" s="3">
        <f t="shared" si="2"/>
        <v>3518214</v>
      </c>
      <c r="K43" s="47">
        <f t="shared" si="5"/>
        <v>7814089.4457600005</v>
      </c>
      <c r="L43" s="47">
        <f>'Monthly Data'!AE43</f>
        <v>801.01641025641027</v>
      </c>
      <c r="M43" s="47">
        <f t="shared" si="4"/>
        <v>7814890.4621702572</v>
      </c>
    </row>
    <row r="44" spans="1:13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Data'!AD44</f>
        <v>6479499.3490384025</v>
      </c>
      <c r="E44" s="3">
        <f>'Monthly Data'!DL44</f>
        <v>794140</v>
      </c>
      <c r="F44" s="3">
        <f>'Monthly Data'!DR44</f>
        <v>21</v>
      </c>
      <c r="H44" s="3">
        <f t="shared" si="0"/>
        <v>-5284416</v>
      </c>
      <c r="I44" s="3">
        <f t="shared" si="1"/>
        <v>9693121.9533999991</v>
      </c>
      <c r="J44" s="3">
        <f t="shared" si="2"/>
        <v>3518214</v>
      </c>
      <c r="K44" s="47">
        <f t="shared" si="5"/>
        <v>7926919.9533999991</v>
      </c>
      <c r="L44" s="47">
        <f>'Monthly Data'!AE44</f>
        <v>872.79892307692307</v>
      </c>
      <c r="M44" s="47">
        <f t="shared" si="4"/>
        <v>7927792.7523230761</v>
      </c>
    </row>
    <row r="45" spans="1:13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Data'!AD45</f>
        <v>6676254.5106821405</v>
      </c>
      <c r="E45" s="3">
        <f>'Monthly Data'!DL45</f>
        <v>794140</v>
      </c>
      <c r="F45" s="3">
        <f>'Monthly Data'!DR45</f>
        <v>22</v>
      </c>
      <c r="H45" s="3">
        <f t="shared" si="0"/>
        <v>-5284416</v>
      </c>
      <c r="I45" s="3">
        <f t="shared" si="1"/>
        <v>9693121.9533999991</v>
      </c>
      <c r="J45" s="3">
        <f t="shared" si="2"/>
        <v>3685748</v>
      </c>
      <c r="K45" s="47">
        <f t="shared" si="5"/>
        <v>8094453.9533999991</v>
      </c>
      <c r="L45" s="47">
        <f>'Monthly Data'!AE45</f>
        <v>944.58143589743588</v>
      </c>
      <c r="M45" s="47">
        <f t="shared" si="4"/>
        <v>8095398.5348358965</v>
      </c>
    </row>
    <row r="46" spans="1:13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Data'!AD46</f>
        <v>6180243.6823258791</v>
      </c>
      <c r="E46" s="3">
        <f>'Monthly Data'!DL46</f>
        <v>794140</v>
      </c>
      <c r="F46" s="3">
        <f>'Monthly Data'!DR46</f>
        <v>19</v>
      </c>
      <c r="H46" s="3">
        <f t="shared" si="0"/>
        <v>-5284416</v>
      </c>
      <c r="I46" s="3">
        <f t="shared" si="1"/>
        <v>9693121.9533999991</v>
      </c>
      <c r="J46" s="3">
        <f t="shared" si="2"/>
        <v>3183146</v>
      </c>
      <c r="K46" s="47">
        <f t="shared" si="5"/>
        <v>7591851.9533999991</v>
      </c>
      <c r="L46" s="47">
        <f>'Monthly Data'!AE46</f>
        <v>1016.3639487179487</v>
      </c>
      <c r="M46" s="47">
        <f t="shared" si="4"/>
        <v>7592868.3173487168</v>
      </c>
    </row>
    <row r="47" spans="1:13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Data'!AD47</f>
        <v>6941141.1439696169</v>
      </c>
      <c r="E47" s="3">
        <f>'Monthly Data'!DL47</f>
        <v>799632</v>
      </c>
      <c r="F47" s="3">
        <f>'Monthly Data'!DR47</f>
        <v>22</v>
      </c>
      <c r="H47" s="3">
        <f t="shared" si="0"/>
        <v>-5284416</v>
      </c>
      <c r="I47" s="3">
        <f t="shared" si="1"/>
        <v>9760156.2619199995</v>
      </c>
      <c r="J47" s="3">
        <f t="shared" si="2"/>
        <v>3685748</v>
      </c>
      <c r="K47" s="47">
        <f t="shared" si="5"/>
        <v>8161488.2619199995</v>
      </c>
      <c r="L47" s="47">
        <f>'Monthly Data'!AE47</f>
        <v>1088.1464615384616</v>
      </c>
      <c r="M47" s="47">
        <f t="shared" si="4"/>
        <v>8162576.4083815375</v>
      </c>
    </row>
    <row r="48" spans="1:13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Data'!AD48</f>
        <v>7760714.7256133547</v>
      </c>
      <c r="E48" s="3">
        <f>'Monthly Data'!DL48</f>
        <v>799632</v>
      </c>
      <c r="F48" s="3">
        <f>'Monthly Data'!DR48</f>
        <v>22</v>
      </c>
      <c r="H48" s="3">
        <f t="shared" si="0"/>
        <v>-5284416</v>
      </c>
      <c r="I48" s="3">
        <f t="shared" si="1"/>
        <v>9760156.2619199995</v>
      </c>
      <c r="J48" s="3">
        <f t="shared" si="2"/>
        <v>3685748</v>
      </c>
      <c r="K48" s="47">
        <f t="shared" si="5"/>
        <v>8161488.2619199995</v>
      </c>
      <c r="L48" s="47">
        <f>'Monthly Data'!AE48</f>
        <v>1159.9289743589743</v>
      </c>
      <c r="M48" s="47">
        <f t="shared" si="4"/>
        <v>8162648.1908943588</v>
      </c>
    </row>
    <row r="49" spans="1:13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Data'!AD49</f>
        <v>7557452.1172570921</v>
      </c>
      <c r="E49" s="3">
        <f>'Monthly Data'!DL49</f>
        <v>799632</v>
      </c>
      <c r="F49" s="3">
        <f>'Monthly Data'!DR49</f>
        <v>19</v>
      </c>
      <c r="H49" s="3">
        <f t="shared" si="0"/>
        <v>-5284416</v>
      </c>
      <c r="I49" s="3">
        <f t="shared" si="1"/>
        <v>9760156.2619199995</v>
      </c>
      <c r="J49" s="3">
        <f t="shared" si="2"/>
        <v>3183146</v>
      </c>
      <c r="K49" s="47">
        <f t="shared" si="5"/>
        <v>7658886.2619199995</v>
      </c>
      <c r="L49" s="47">
        <f>'Monthly Data'!AE49</f>
        <v>1231.7114871794872</v>
      </c>
      <c r="M49" s="47">
        <f t="shared" si="4"/>
        <v>7660117.9734071791</v>
      </c>
    </row>
    <row r="50" spans="1:13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Data'!AD50</f>
        <v>7954976.6199719748</v>
      </c>
      <c r="E50" s="3">
        <f>'Monthly Data'!DL50</f>
        <v>800724</v>
      </c>
      <c r="F50" s="3">
        <f>'Monthly Data'!DR50</f>
        <v>22</v>
      </c>
      <c r="H50" s="3">
        <f t="shared" si="0"/>
        <v>-5284416</v>
      </c>
      <c r="I50" s="3">
        <f t="shared" si="1"/>
        <v>9773485.0064400006</v>
      </c>
      <c r="J50" s="3">
        <f t="shared" si="2"/>
        <v>3685748</v>
      </c>
      <c r="K50" s="47">
        <f t="shared" si="5"/>
        <v>8174817.0064400006</v>
      </c>
      <c r="L50" s="47">
        <f>'Monthly Data'!AE50</f>
        <v>1328.9947692307692</v>
      </c>
      <c r="M50" s="47">
        <f t="shared" si="4"/>
        <v>8176146.0012092311</v>
      </c>
    </row>
    <row r="51" spans="1:13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Data'!AD51</f>
        <v>7915711.0182060329</v>
      </c>
      <c r="E51" s="3">
        <f>'Monthly Data'!DL51</f>
        <v>800724</v>
      </c>
      <c r="F51" s="3">
        <f>'Monthly Data'!DR51</f>
        <v>19</v>
      </c>
      <c r="H51" s="3">
        <f t="shared" si="0"/>
        <v>-5284416</v>
      </c>
      <c r="I51" s="3">
        <f t="shared" si="1"/>
        <v>9773485.0064400006</v>
      </c>
      <c r="J51" s="3">
        <f t="shared" si="2"/>
        <v>3183146</v>
      </c>
      <c r="K51" s="47">
        <f t="shared" si="5"/>
        <v>7672215.0064400006</v>
      </c>
      <c r="L51" s="47">
        <f>'Monthly Data'!AE51</f>
        <v>1354.4955384615382</v>
      </c>
      <c r="M51" s="47">
        <f t="shared" si="4"/>
        <v>7673569.5019784626</v>
      </c>
    </row>
    <row r="52" spans="1:13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Data'!AD52</f>
        <v>8605305.2464400921</v>
      </c>
      <c r="E52" s="3">
        <f>'Monthly Data'!DL52</f>
        <v>800724</v>
      </c>
      <c r="F52" s="3">
        <f>'Monthly Data'!DR52</f>
        <v>22</v>
      </c>
      <c r="H52" s="3">
        <f t="shared" si="0"/>
        <v>-5284416</v>
      </c>
      <c r="I52" s="3">
        <f t="shared" si="1"/>
        <v>9773485.0064400006</v>
      </c>
      <c r="J52" s="3">
        <f t="shared" si="2"/>
        <v>3685748</v>
      </c>
      <c r="K52" s="47">
        <f t="shared" si="5"/>
        <v>8174817.0064400006</v>
      </c>
      <c r="L52" s="47">
        <f>'Monthly Data'!AE52</f>
        <v>1379.9963076923075</v>
      </c>
      <c r="M52" s="47">
        <f t="shared" si="4"/>
        <v>8176197.0027476931</v>
      </c>
    </row>
    <row r="53" spans="1:13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Data'!AD53</f>
        <v>8149399.3846741505</v>
      </c>
      <c r="E53" s="3">
        <f>'Monthly Data'!DL53</f>
        <v>806630</v>
      </c>
      <c r="F53" s="3">
        <f>'Monthly Data'!DR53</f>
        <v>21</v>
      </c>
      <c r="H53" s="3">
        <f t="shared" si="0"/>
        <v>-5284416</v>
      </c>
      <c r="I53" s="3">
        <f t="shared" si="1"/>
        <v>9845572.520299999</v>
      </c>
      <c r="J53" s="3">
        <f t="shared" si="2"/>
        <v>3518214</v>
      </c>
      <c r="K53" s="47">
        <f t="shared" si="5"/>
        <v>8079370.520299999</v>
      </c>
      <c r="L53" s="47">
        <f>'Monthly Data'!AE53</f>
        <v>1405.4970769230767</v>
      </c>
      <c r="M53" s="47">
        <f t="shared" si="4"/>
        <v>8080776.0173769221</v>
      </c>
    </row>
    <row r="54" spans="1:13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Data'!AD54</f>
        <v>8859608.8629082087</v>
      </c>
      <c r="E54" s="3">
        <f>'Monthly Data'!DL54</f>
        <v>806630</v>
      </c>
      <c r="F54" s="3">
        <f>'Monthly Data'!DR54</f>
        <v>20</v>
      </c>
      <c r="H54" s="3">
        <f t="shared" si="0"/>
        <v>-5284416</v>
      </c>
      <c r="I54" s="3">
        <f t="shared" si="1"/>
        <v>9845572.520299999</v>
      </c>
      <c r="J54" s="3">
        <f t="shared" si="2"/>
        <v>3350680</v>
      </c>
      <c r="K54" s="47">
        <f t="shared" ref="K54:K85" si="6">SUM(H54:J54)</f>
        <v>7911836.520299999</v>
      </c>
      <c r="L54" s="47">
        <f>'Monthly Data'!AE54</f>
        <v>1430.997846153846</v>
      </c>
      <c r="M54" s="47">
        <f t="shared" si="4"/>
        <v>7913267.5181461526</v>
      </c>
    </row>
    <row r="55" spans="1:13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Data'!AD55</f>
        <v>8221801.4811422676</v>
      </c>
      <c r="E55" s="3">
        <f>'Monthly Data'!DL55</f>
        <v>806630</v>
      </c>
      <c r="F55" s="3">
        <f>'Monthly Data'!DR55</f>
        <v>22</v>
      </c>
      <c r="H55" s="3">
        <f t="shared" si="0"/>
        <v>-5284416</v>
      </c>
      <c r="I55" s="3">
        <f t="shared" si="1"/>
        <v>9845572.520299999</v>
      </c>
      <c r="J55" s="3">
        <f t="shared" si="2"/>
        <v>3685748</v>
      </c>
      <c r="K55" s="47">
        <f t="shared" si="6"/>
        <v>8246904.520299999</v>
      </c>
      <c r="L55" s="47">
        <f>'Monthly Data'!AE55</f>
        <v>1456.4986153846151</v>
      </c>
      <c r="M55" s="47">
        <f t="shared" ref="M55:M118" si="7">K55+L55</f>
        <v>8248361.0189153841</v>
      </c>
    </row>
    <row r="56" spans="1:13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Data'!AD56</f>
        <v>7770024.7493763259</v>
      </c>
      <c r="E56" s="3">
        <f>'Monthly Data'!DL56</f>
        <v>810347</v>
      </c>
      <c r="F56" s="3">
        <f>'Monthly Data'!DR56</f>
        <v>22</v>
      </c>
      <c r="H56" s="3">
        <f t="shared" si="0"/>
        <v>-5284416</v>
      </c>
      <c r="I56" s="3">
        <f t="shared" si="1"/>
        <v>9890941.516069999</v>
      </c>
      <c r="J56" s="3">
        <f t="shared" si="2"/>
        <v>3685748</v>
      </c>
      <c r="K56" s="47">
        <f t="shared" si="6"/>
        <v>8292273.516069999</v>
      </c>
      <c r="L56" s="47">
        <f>'Monthly Data'!AE56</f>
        <v>1481.9993846153843</v>
      </c>
      <c r="M56" s="47">
        <f t="shared" si="7"/>
        <v>8293755.5154546145</v>
      </c>
    </row>
    <row r="57" spans="1:13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Data'!AD57</f>
        <v>7725287.7076103855</v>
      </c>
      <c r="E57" s="3">
        <f>'Monthly Data'!DL57</f>
        <v>810347</v>
      </c>
      <c r="F57" s="3">
        <f>'Monthly Data'!DR57</f>
        <v>20</v>
      </c>
      <c r="H57" s="3">
        <f t="shared" si="0"/>
        <v>-5284416</v>
      </c>
      <c r="I57" s="3">
        <f t="shared" si="1"/>
        <v>9890941.516069999</v>
      </c>
      <c r="J57" s="3">
        <f t="shared" si="2"/>
        <v>3350680</v>
      </c>
      <c r="K57" s="47">
        <f t="shared" si="6"/>
        <v>7957205.516069999</v>
      </c>
      <c r="L57" s="47">
        <f>'Monthly Data'!AE57</f>
        <v>1507.5001538461536</v>
      </c>
      <c r="M57" s="47">
        <f t="shared" si="7"/>
        <v>7958713.0162238451</v>
      </c>
    </row>
    <row r="58" spans="1:13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Data'!AD58</f>
        <v>7479338.9358444437</v>
      </c>
      <c r="E58" s="3">
        <f>'Monthly Data'!DL58</f>
        <v>810347</v>
      </c>
      <c r="F58" s="3">
        <f>'Monthly Data'!DR58</f>
        <v>21</v>
      </c>
      <c r="H58" s="3">
        <f t="shared" si="0"/>
        <v>-5284416</v>
      </c>
      <c r="I58" s="3">
        <f t="shared" si="1"/>
        <v>9890941.516069999</v>
      </c>
      <c r="J58" s="3">
        <f t="shared" si="2"/>
        <v>3518214</v>
      </c>
      <c r="K58" s="47">
        <f t="shared" si="6"/>
        <v>8124739.516069999</v>
      </c>
      <c r="L58" s="47">
        <f>'Monthly Data'!AE58</f>
        <v>1533.0009230769228</v>
      </c>
      <c r="M58" s="47">
        <f t="shared" si="7"/>
        <v>8126272.5169930756</v>
      </c>
    </row>
    <row r="59" spans="1:13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Data'!AD59</f>
        <v>7913786.2140785018</v>
      </c>
      <c r="E59" s="3">
        <f>'Monthly Data'!DL59</f>
        <v>811397</v>
      </c>
      <c r="F59" s="3">
        <f>'Monthly Data'!DR59</f>
        <v>21</v>
      </c>
      <c r="H59" s="3">
        <f t="shared" si="0"/>
        <v>-5284416</v>
      </c>
      <c r="I59" s="3">
        <f t="shared" si="1"/>
        <v>9903757.6165699996</v>
      </c>
      <c r="J59" s="3">
        <f t="shared" si="2"/>
        <v>3518214</v>
      </c>
      <c r="K59" s="47">
        <f t="shared" si="6"/>
        <v>8137555.6165699996</v>
      </c>
      <c r="L59" s="47">
        <f>'Monthly Data'!AE59</f>
        <v>1558.5016923076919</v>
      </c>
      <c r="M59" s="47">
        <f t="shared" si="7"/>
        <v>8139114.1182623077</v>
      </c>
    </row>
    <row r="60" spans="1:13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Data'!AD60</f>
        <v>7866138.0823125606</v>
      </c>
      <c r="E60" s="3">
        <f>'Monthly Data'!DL60</f>
        <v>811397</v>
      </c>
      <c r="F60" s="3">
        <f>'Monthly Data'!DR60</f>
        <v>21</v>
      </c>
      <c r="H60" s="3">
        <f t="shared" si="0"/>
        <v>-5284416</v>
      </c>
      <c r="I60" s="3">
        <f t="shared" si="1"/>
        <v>9903757.6165699996</v>
      </c>
      <c r="J60" s="3">
        <f t="shared" si="2"/>
        <v>3518214</v>
      </c>
      <c r="K60" s="47">
        <f t="shared" si="6"/>
        <v>8137555.6165699996</v>
      </c>
      <c r="L60" s="47">
        <f>'Monthly Data'!AE60</f>
        <v>1584.0024615384611</v>
      </c>
      <c r="M60" s="47">
        <f t="shared" si="7"/>
        <v>8139139.6190315383</v>
      </c>
    </row>
    <row r="61" spans="1:13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Data'!AD61</f>
        <v>7329537.7005466195</v>
      </c>
      <c r="E61" s="3">
        <f>'Monthly Data'!DL61</f>
        <v>811397</v>
      </c>
      <c r="F61" s="3">
        <f>'Monthly Data'!DR61</f>
        <v>21</v>
      </c>
      <c r="H61" s="3">
        <f t="shared" si="0"/>
        <v>-5284416</v>
      </c>
      <c r="I61" s="3">
        <f t="shared" si="1"/>
        <v>9903757.6165699996</v>
      </c>
      <c r="J61" s="3">
        <f t="shared" si="2"/>
        <v>3518214</v>
      </c>
      <c r="K61" s="47">
        <f t="shared" si="6"/>
        <v>8137555.6165699996</v>
      </c>
      <c r="L61" s="47">
        <f>'Monthly Data'!AE61</f>
        <v>1609.5032307692304</v>
      </c>
      <c r="M61" s="47">
        <f t="shared" si="7"/>
        <v>8139165.1198007688</v>
      </c>
    </row>
    <row r="62" spans="1:13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Data'!AD62</f>
        <v>7870701.5674031908</v>
      </c>
      <c r="E62" s="3">
        <f>'Monthly Data'!DL62</f>
        <v>800126</v>
      </c>
      <c r="F62" s="3">
        <f>'Monthly Data'!DR62</f>
        <v>22</v>
      </c>
      <c r="H62" s="3">
        <f t="shared" si="0"/>
        <v>-5284416</v>
      </c>
      <c r="I62" s="3">
        <f t="shared" si="1"/>
        <v>9766185.9320599996</v>
      </c>
      <c r="J62" s="3">
        <f t="shared" si="2"/>
        <v>3685748</v>
      </c>
      <c r="K62" s="47">
        <f t="shared" si="6"/>
        <v>8167517.9320599996</v>
      </c>
      <c r="L62" s="47">
        <f>'Monthly Data'!AE62</f>
        <v>1665.2332948717949</v>
      </c>
      <c r="M62" s="47">
        <f t="shared" si="7"/>
        <v>8169183.1653548712</v>
      </c>
    </row>
    <row r="63" spans="1:13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Data'!AD63</f>
        <v>8028309.6590223769</v>
      </c>
      <c r="E63" s="3">
        <f>'Monthly Data'!DL63</f>
        <v>800126</v>
      </c>
      <c r="F63" s="3">
        <f>'Monthly Data'!DR63</f>
        <v>19</v>
      </c>
      <c r="H63" s="3">
        <f t="shared" si="0"/>
        <v>-5284416</v>
      </c>
      <c r="I63" s="3">
        <f t="shared" si="1"/>
        <v>9766185.9320599996</v>
      </c>
      <c r="J63" s="3">
        <f t="shared" si="2"/>
        <v>3183146</v>
      </c>
      <c r="K63" s="47">
        <f t="shared" si="6"/>
        <v>7664915.9320599996</v>
      </c>
      <c r="L63" s="47">
        <f>'Monthly Data'!AE63</f>
        <v>1695.4625897435897</v>
      </c>
      <c r="M63" s="47">
        <f t="shared" si="7"/>
        <v>7666611.3946497431</v>
      </c>
    </row>
    <row r="64" spans="1:13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Data'!AD64</f>
        <v>8307295.9906415632</v>
      </c>
      <c r="E64" s="3">
        <f>'Monthly Data'!DL64</f>
        <v>800126</v>
      </c>
      <c r="F64" s="3">
        <f>'Monthly Data'!DR64</f>
        <v>22</v>
      </c>
      <c r="H64" s="3">
        <f t="shared" si="0"/>
        <v>-5284416</v>
      </c>
      <c r="I64" s="3">
        <f t="shared" si="1"/>
        <v>9766185.9320599996</v>
      </c>
      <c r="J64" s="3">
        <f t="shared" si="2"/>
        <v>3685748</v>
      </c>
      <c r="K64" s="47">
        <f t="shared" si="6"/>
        <v>8167517.9320599996</v>
      </c>
      <c r="L64" s="47">
        <f>'Monthly Data'!AE64</f>
        <v>1725.6918846153847</v>
      </c>
      <c r="M64" s="47">
        <f t="shared" si="7"/>
        <v>8169243.623944615</v>
      </c>
    </row>
    <row r="65" spans="1:13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Data'!AD65</f>
        <v>7082480.5422607493</v>
      </c>
      <c r="E65" s="3">
        <f>'Monthly Data'!DL65</f>
        <v>706539</v>
      </c>
      <c r="F65" s="3">
        <f>'Monthly Data'!DR65</f>
        <v>21</v>
      </c>
      <c r="H65" s="3">
        <f t="shared" si="0"/>
        <v>-5284416</v>
      </c>
      <c r="I65" s="3">
        <f t="shared" si="1"/>
        <v>8623880.7915899996</v>
      </c>
      <c r="J65" s="3">
        <f t="shared" si="2"/>
        <v>3518214</v>
      </c>
      <c r="K65" s="47">
        <f t="shared" si="6"/>
        <v>6857678.7915899996</v>
      </c>
      <c r="L65" s="47">
        <f>'Monthly Data'!AE65</f>
        <v>1755.9211794871794</v>
      </c>
      <c r="M65" s="47">
        <f t="shared" si="7"/>
        <v>6859434.7127694869</v>
      </c>
    </row>
    <row r="66" spans="1:13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Data'!AD66</f>
        <v>7254677.6338799354</v>
      </c>
      <c r="E66" s="3">
        <f>'Monthly Data'!DL66</f>
        <v>706539</v>
      </c>
      <c r="F66" s="3">
        <f>'Monthly Data'!DR66</f>
        <v>20</v>
      </c>
      <c r="H66" s="3">
        <f t="shared" ref="H66:H129" si="8">$Q$8</f>
        <v>-5284416</v>
      </c>
      <c r="I66" s="3">
        <f t="shared" ref="I66:I129" si="9">E66*$Q$9</f>
        <v>8623880.7915899996</v>
      </c>
      <c r="J66" s="3">
        <f t="shared" ref="J66:J129" si="10">F66*$Q$10</f>
        <v>3350680</v>
      </c>
      <c r="K66" s="47">
        <f t="shared" si="6"/>
        <v>6690144.7915899996</v>
      </c>
      <c r="L66" s="47">
        <f>'Monthly Data'!AE66</f>
        <v>1786.1504743589742</v>
      </c>
      <c r="M66" s="47">
        <f t="shared" si="7"/>
        <v>6691930.9420643589</v>
      </c>
    </row>
    <row r="67" spans="1:13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Data'!AD67</f>
        <v>7656070.5154991206</v>
      </c>
      <c r="E67" s="3">
        <f>'Monthly Data'!DL67</f>
        <v>706539</v>
      </c>
      <c r="F67" s="3">
        <f>'Monthly Data'!DR67</f>
        <v>22</v>
      </c>
      <c r="H67" s="3">
        <f t="shared" si="8"/>
        <v>-5284416</v>
      </c>
      <c r="I67" s="3">
        <f t="shared" si="9"/>
        <v>8623880.7915899996</v>
      </c>
      <c r="J67" s="3">
        <f t="shared" si="10"/>
        <v>3685748</v>
      </c>
      <c r="K67" s="47">
        <f t="shared" si="6"/>
        <v>7025212.7915899996</v>
      </c>
      <c r="L67" s="47">
        <f>'Monthly Data'!AE67</f>
        <v>1816.3797692307689</v>
      </c>
      <c r="M67" s="47">
        <f t="shared" si="7"/>
        <v>7027029.1713592308</v>
      </c>
    </row>
    <row r="68" spans="1:13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Data'!AD68</f>
        <v>7971439.8771183062</v>
      </c>
      <c r="E68" s="3">
        <f>'Monthly Data'!DL68</f>
        <v>777225</v>
      </c>
      <c r="F68" s="3">
        <f>'Monthly Data'!DR68</f>
        <v>22</v>
      </c>
      <c r="H68" s="3">
        <f t="shared" si="8"/>
        <v>-5284416</v>
      </c>
      <c r="I68" s="3">
        <f t="shared" si="9"/>
        <v>9486660.6772499997</v>
      </c>
      <c r="J68" s="3">
        <f t="shared" si="10"/>
        <v>3685748</v>
      </c>
      <c r="K68" s="47">
        <f t="shared" si="6"/>
        <v>7887992.6772499997</v>
      </c>
      <c r="L68" s="47">
        <f>'Monthly Data'!AE68</f>
        <v>1846.6090641025637</v>
      </c>
      <c r="M68" s="47">
        <f t="shared" si="7"/>
        <v>7889839.2863141019</v>
      </c>
    </row>
    <row r="69" spans="1:13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Data'!AD69</f>
        <v>7710789.318737492</v>
      </c>
      <c r="E69" s="3">
        <f>'Monthly Data'!DL69</f>
        <v>777225</v>
      </c>
      <c r="F69" s="3">
        <f>'Monthly Data'!DR69</f>
        <v>20</v>
      </c>
      <c r="H69" s="3">
        <f t="shared" si="8"/>
        <v>-5284416</v>
      </c>
      <c r="I69" s="3">
        <f t="shared" si="9"/>
        <v>9486660.6772499997</v>
      </c>
      <c r="J69" s="3">
        <f t="shared" si="10"/>
        <v>3350680</v>
      </c>
      <c r="K69" s="47">
        <f t="shared" si="6"/>
        <v>7552924.6772499997</v>
      </c>
      <c r="L69" s="47">
        <f>'Monthly Data'!AE69</f>
        <v>1876.8383589743585</v>
      </c>
      <c r="M69" s="47">
        <f t="shared" si="7"/>
        <v>7554801.5156089738</v>
      </c>
    </row>
    <row r="70" spans="1:13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Data'!AD70</f>
        <v>7618573.080356678</v>
      </c>
      <c r="E70" s="3">
        <f>'Monthly Data'!DL70</f>
        <v>777225</v>
      </c>
      <c r="F70" s="3">
        <f>'Monthly Data'!DR70</f>
        <v>21</v>
      </c>
      <c r="H70" s="3">
        <f t="shared" si="8"/>
        <v>-5284416</v>
      </c>
      <c r="I70" s="3">
        <f t="shared" si="9"/>
        <v>9486660.6772499997</v>
      </c>
      <c r="J70" s="3">
        <f t="shared" si="10"/>
        <v>3518214</v>
      </c>
      <c r="K70" s="47">
        <f t="shared" si="6"/>
        <v>7720458.6772499997</v>
      </c>
      <c r="L70" s="47">
        <f>'Monthly Data'!AE70</f>
        <v>1907.0676538461535</v>
      </c>
      <c r="M70" s="47">
        <f t="shared" si="7"/>
        <v>7722365.7449038457</v>
      </c>
    </row>
    <row r="71" spans="1:13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Data'!AD71</f>
        <v>7867619.3619758636</v>
      </c>
      <c r="E71" s="3">
        <f>'Monthly Data'!DL71</f>
        <v>795879</v>
      </c>
      <c r="F71" s="3">
        <f>'Monthly Data'!DR71</f>
        <v>21</v>
      </c>
      <c r="H71" s="3">
        <f t="shared" si="8"/>
        <v>-5284416</v>
      </c>
      <c r="I71" s="3">
        <f t="shared" si="9"/>
        <v>9714347.8569900002</v>
      </c>
      <c r="J71" s="3">
        <f t="shared" si="10"/>
        <v>3518214</v>
      </c>
      <c r="K71" s="47">
        <f t="shared" si="6"/>
        <v>7948145.8569900002</v>
      </c>
      <c r="L71" s="47">
        <f>'Monthly Data'!AE71</f>
        <v>1937.2969487179482</v>
      </c>
      <c r="M71" s="47">
        <f t="shared" si="7"/>
        <v>7950083.1539387181</v>
      </c>
    </row>
    <row r="72" spans="1:13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Data'!AD72</f>
        <v>7579020.3835950503</v>
      </c>
      <c r="E72" s="3">
        <f>'Monthly Data'!DL72</f>
        <v>795879</v>
      </c>
      <c r="F72" s="3">
        <f>'Monthly Data'!DR72</f>
        <v>21</v>
      </c>
      <c r="H72" s="3">
        <f t="shared" si="8"/>
        <v>-5284416</v>
      </c>
      <c r="I72" s="3">
        <f t="shared" si="9"/>
        <v>9714347.8569900002</v>
      </c>
      <c r="J72" s="3">
        <f t="shared" si="10"/>
        <v>3518214</v>
      </c>
      <c r="K72" s="47">
        <f t="shared" si="6"/>
        <v>7948145.8569900002</v>
      </c>
      <c r="L72" s="47">
        <f>'Monthly Data'!AE72</f>
        <v>1967.526243589743</v>
      </c>
      <c r="M72" s="47">
        <f t="shared" si="7"/>
        <v>7950113.3832335901</v>
      </c>
    </row>
    <row r="73" spans="1:13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Data'!AD73</f>
        <v>7197190.2952142358</v>
      </c>
      <c r="E73" s="3">
        <f>'Monthly Data'!DL73</f>
        <v>795879</v>
      </c>
      <c r="F73" s="3">
        <f>'Monthly Data'!DR73</f>
        <v>21</v>
      </c>
      <c r="H73" s="3">
        <f t="shared" si="8"/>
        <v>-5284416</v>
      </c>
      <c r="I73" s="3">
        <f t="shared" si="9"/>
        <v>9714347.8569900002</v>
      </c>
      <c r="J73" s="3">
        <f t="shared" si="10"/>
        <v>3518214</v>
      </c>
      <c r="K73" s="47">
        <f t="shared" si="6"/>
        <v>7948145.8569900002</v>
      </c>
      <c r="L73" s="47">
        <f>'Monthly Data'!AE73</f>
        <v>1997.7555384615378</v>
      </c>
      <c r="M73" s="47">
        <f t="shared" si="7"/>
        <v>7950143.612528462</v>
      </c>
    </row>
    <row r="74" spans="1:13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Data'!AD74</f>
        <v>7575178.107578652</v>
      </c>
      <c r="E74" s="3">
        <f>'Monthly Data'!DL74</f>
        <v>808584</v>
      </c>
      <c r="F74" s="3">
        <f>'Monthly Data'!DR74</f>
        <v>20</v>
      </c>
      <c r="H74" s="3">
        <f t="shared" si="8"/>
        <v>-5284416</v>
      </c>
      <c r="I74" s="3">
        <f t="shared" si="9"/>
        <v>9869422.6730399989</v>
      </c>
      <c r="J74" s="3">
        <f t="shared" si="10"/>
        <v>3350680</v>
      </c>
      <c r="K74" s="47">
        <f t="shared" si="6"/>
        <v>7935686.6730399989</v>
      </c>
      <c r="L74" s="47">
        <f>'Monthly Data'!AE74</f>
        <v>2091.1702435897432</v>
      </c>
      <c r="M74" s="47">
        <f t="shared" si="7"/>
        <v>7937777.843283589</v>
      </c>
    </row>
    <row r="75" spans="1:13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Data'!AD75</f>
        <v>7989216.7377479775</v>
      </c>
      <c r="E75" s="3">
        <f>'Monthly Data'!DL75</f>
        <v>808584</v>
      </c>
      <c r="F75" s="3">
        <f>'Monthly Data'!DR75</f>
        <v>19</v>
      </c>
      <c r="H75" s="3">
        <f t="shared" si="8"/>
        <v>-5284416</v>
      </c>
      <c r="I75" s="3">
        <f t="shared" si="9"/>
        <v>9869422.6730399989</v>
      </c>
      <c r="J75" s="3">
        <f t="shared" si="10"/>
        <v>3183146</v>
      </c>
      <c r="K75" s="47">
        <f t="shared" si="6"/>
        <v>7768152.6730399989</v>
      </c>
      <c r="L75" s="47">
        <f>'Monthly Data'!AE75</f>
        <v>2154.3556538461535</v>
      </c>
      <c r="M75" s="47">
        <f t="shared" si="7"/>
        <v>7770307.0286938446</v>
      </c>
    </row>
    <row r="76" spans="1:13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Data'!AD76</f>
        <v>8816218.6979173031</v>
      </c>
      <c r="E76" s="3">
        <f>'Monthly Data'!DL76</f>
        <v>808584</v>
      </c>
      <c r="F76" s="3">
        <f>'Monthly Data'!DR76</f>
        <v>23</v>
      </c>
      <c r="H76" s="3">
        <f t="shared" si="8"/>
        <v>-5284416</v>
      </c>
      <c r="I76" s="3">
        <f t="shared" si="9"/>
        <v>9869422.6730399989</v>
      </c>
      <c r="J76" s="3">
        <f t="shared" si="10"/>
        <v>3853282</v>
      </c>
      <c r="K76" s="47">
        <f t="shared" si="6"/>
        <v>8438288.6730399989</v>
      </c>
      <c r="L76" s="47">
        <f>'Monthly Data'!AE76</f>
        <v>2217.5410641025637</v>
      </c>
      <c r="M76" s="47">
        <f t="shared" si="7"/>
        <v>8440506.2141041011</v>
      </c>
    </row>
    <row r="77" spans="1:13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Data'!AD77</f>
        <v>8129350.3480866272</v>
      </c>
      <c r="E77" s="3">
        <f>'Monthly Data'!DL77</f>
        <v>802518</v>
      </c>
      <c r="F77" s="3">
        <f>'Monthly Data'!DR77</f>
        <v>21</v>
      </c>
      <c r="H77" s="3">
        <f t="shared" si="8"/>
        <v>-5284416</v>
      </c>
      <c r="I77" s="3">
        <f t="shared" si="9"/>
        <v>9795382.22958</v>
      </c>
      <c r="J77" s="3">
        <f t="shared" si="10"/>
        <v>3518214</v>
      </c>
      <c r="K77" s="47">
        <f t="shared" si="6"/>
        <v>8029180.22958</v>
      </c>
      <c r="L77" s="47">
        <f>'Monthly Data'!AE77</f>
        <v>2280.726474358974</v>
      </c>
      <c r="M77" s="47">
        <f t="shared" si="7"/>
        <v>8031460.9560543587</v>
      </c>
    </row>
    <row r="78" spans="1:13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Data'!AD78</f>
        <v>8747457.428255951</v>
      </c>
      <c r="E78" s="3">
        <f>'Monthly Data'!DL78</f>
        <v>802518</v>
      </c>
      <c r="F78" s="3">
        <f>'Monthly Data'!DR78</f>
        <v>20</v>
      </c>
      <c r="H78" s="3">
        <f t="shared" si="8"/>
        <v>-5284416</v>
      </c>
      <c r="I78" s="3">
        <f t="shared" si="9"/>
        <v>9795382.22958</v>
      </c>
      <c r="J78" s="3">
        <f t="shared" si="10"/>
        <v>3350680</v>
      </c>
      <c r="K78" s="47">
        <f t="shared" si="6"/>
        <v>7861646.22958</v>
      </c>
      <c r="L78" s="47">
        <f>'Monthly Data'!AE78</f>
        <v>2343.9118846153842</v>
      </c>
      <c r="M78" s="47">
        <f t="shared" si="7"/>
        <v>7863990.1414646152</v>
      </c>
    </row>
    <row r="79" spans="1:13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Data'!AD79</f>
        <v>8605766.3584252782</v>
      </c>
      <c r="E79" s="3">
        <f>'Monthly Data'!DL79</f>
        <v>802518</v>
      </c>
      <c r="F79" s="3">
        <f>'Monthly Data'!DR79</f>
        <v>22</v>
      </c>
      <c r="H79" s="3">
        <f t="shared" si="8"/>
        <v>-5284416</v>
      </c>
      <c r="I79" s="3">
        <f t="shared" si="9"/>
        <v>9795382.22958</v>
      </c>
      <c r="J79" s="3">
        <f t="shared" si="10"/>
        <v>3685748</v>
      </c>
      <c r="K79" s="47">
        <f t="shared" si="6"/>
        <v>8196714.22958</v>
      </c>
      <c r="L79" s="47">
        <f>'Monthly Data'!AE79</f>
        <v>2407.0972948717945</v>
      </c>
      <c r="M79" s="47">
        <f t="shared" si="7"/>
        <v>8199121.3268748717</v>
      </c>
    </row>
    <row r="80" spans="1:13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Data'!AD80</f>
        <v>8061805.9485946028</v>
      </c>
      <c r="E80" s="3">
        <f>'Monthly Data'!DL80</f>
        <v>819564</v>
      </c>
      <c r="F80" s="3">
        <f>'Monthly Data'!DR80</f>
        <v>21</v>
      </c>
      <c r="H80" s="3">
        <f t="shared" si="8"/>
        <v>-5284416</v>
      </c>
      <c r="I80" s="3">
        <f t="shared" si="9"/>
        <v>10003442.466839999</v>
      </c>
      <c r="J80" s="3">
        <f t="shared" si="10"/>
        <v>3518214</v>
      </c>
      <c r="K80" s="47">
        <f t="shared" si="6"/>
        <v>8237240.466839999</v>
      </c>
      <c r="L80" s="47">
        <f>'Monthly Data'!AE80</f>
        <v>2470.2827051282047</v>
      </c>
      <c r="M80" s="47">
        <f t="shared" si="7"/>
        <v>8239710.7495451272</v>
      </c>
    </row>
    <row r="81" spans="1:13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Data'!AD81</f>
        <v>8450420.8987639267</v>
      </c>
      <c r="E81" s="3">
        <f>'Monthly Data'!DL81</f>
        <v>819564</v>
      </c>
      <c r="F81" s="3">
        <f>'Monthly Data'!DR81</f>
        <v>20</v>
      </c>
      <c r="H81" s="3">
        <f t="shared" si="8"/>
        <v>-5284416</v>
      </c>
      <c r="I81" s="3">
        <f t="shared" si="9"/>
        <v>10003442.466839999</v>
      </c>
      <c r="J81" s="3">
        <f t="shared" si="10"/>
        <v>3350680</v>
      </c>
      <c r="K81" s="47">
        <f t="shared" si="6"/>
        <v>8069706.466839999</v>
      </c>
      <c r="L81" s="47">
        <f>'Monthly Data'!AE81</f>
        <v>2533.468115384615</v>
      </c>
      <c r="M81" s="47">
        <f t="shared" si="7"/>
        <v>8072239.9349553837</v>
      </c>
    </row>
    <row r="82" spans="1:13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Data'!AD82</f>
        <v>8582403.7189332526</v>
      </c>
      <c r="E82" s="3">
        <f>'Monthly Data'!DL82</f>
        <v>819564</v>
      </c>
      <c r="F82" s="3">
        <f>'Monthly Data'!DR82</f>
        <v>20</v>
      </c>
      <c r="H82" s="3">
        <f t="shared" si="8"/>
        <v>-5284416</v>
      </c>
      <c r="I82" s="3">
        <f t="shared" si="9"/>
        <v>10003442.466839999</v>
      </c>
      <c r="J82" s="3">
        <f t="shared" si="10"/>
        <v>3350680</v>
      </c>
      <c r="K82" s="47">
        <f t="shared" si="6"/>
        <v>8069706.466839999</v>
      </c>
      <c r="L82" s="47">
        <f>'Monthly Data'!AE82</f>
        <v>2596.6535256410252</v>
      </c>
      <c r="M82" s="47">
        <f t="shared" si="7"/>
        <v>8072303.1203656401</v>
      </c>
    </row>
    <row r="83" spans="1:13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Data'!AD83</f>
        <v>8341388.0391025776</v>
      </c>
      <c r="E83" s="3">
        <f>'Monthly Data'!DL83</f>
        <v>838397</v>
      </c>
      <c r="F83" s="3">
        <f>'Monthly Data'!DR83</f>
        <v>20</v>
      </c>
      <c r="H83" s="3">
        <f t="shared" si="8"/>
        <v>-5284416</v>
      </c>
      <c r="I83" s="3">
        <f t="shared" si="9"/>
        <v>10233314.486569999</v>
      </c>
      <c r="J83" s="3">
        <f t="shared" si="10"/>
        <v>3350680</v>
      </c>
      <c r="K83" s="47">
        <f t="shared" si="6"/>
        <v>8299578.4865699988</v>
      </c>
      <c r="L83" s="47">
        <f>'Monthly Data'!AE83</f>
        <v>2659.8389358974355</v>
      </c>
      <c r="M83" s="47">
        <f t="shared" si="7"/>
        <v>8302238.3255058965</v>
      </c>
    </row>
    <row r="84" spans="1:13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Data'!AD84</f>
        <v>9126348.5892719049</v>
      </c>
      <c r="E84" s="3">
        <f>'Monthly Data'!DL84</f>
        <v>838397</v>
      </c>
      <c r="F84" s="3">
        <f>'Monthly Data'!DR84</f>
        <v>22</v>
      </c>
      <c r="H84" s="3">
        <f t="shared" si="8"/>
        <v>-5284416</v>
      </c>
      <c r="I84" s="3">
        <f t="shared" si="9"/>
        <v>10233314.486569999</v>
      </c>
      <c r="J84" s="3">
        <f t="shared" si="10"/>
        <v>3685748</v>
      </c>
      <c r="K84" s="47">
        <f t="shared" si="6"/>
        <v>8634646.4865699988</v>
      </c>
      <c r="L84" s="47">
        <f>'Monthly Data'!AE84</f>
        <v>2723.0243461538457</v>
      </c>
      <c r="M84" s="47">
        <f t="shared" si="7"/>
        <v>8637369.510916153</v>
      </c>
    </row>
    <row r="85" spans="1:13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Data'!AD85</f>
        <v>8619676.2294412274</v>
      </c>
      <c r="E85" s="3">
        <f>'Monthly Data'!DL85</f>
        <v>838397</v>
      </c>
      <c r="F85" s="3">
        <f>'Monthly Data'!DR85</f>
        <v>21</v>
      </c>
      <c r="H85" s="3">
        <f t="shared" si="8"/>
        <v>-5284416</v>
      </c>
      <c r="I85" s="3">
        <f t="shared" si="9"/>
        <v>10233314.486569999</v>
      </c>
      <c r="J85" s="3">
        <f t="shared" si="10"/>
        <v>3518214</v>
      </c>
      <c r="K85" s="47">
        <f t="shared" si="6"/>
        <v>8467112.4865699988</v>
      </c>
      <c r="L85" s="47">
        <f>'Monthly Data'!AE85</f>
        <v>2786.209756410256</v>
      </c>
      <c r="M85" s="47">
        <f t="shared" si="7"/>
        <v>8469898.6963264085</v>
      </c>
    </row>
    <row r="86" spans="1:13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Data'!AD86</f>
        <v>8519824.8670041505</v>
      </c>
      <c r="E86" s="3">
        <f>'Monthly Data'!DL86</f>
        <v>845218</v>
      </c>
      <c r="F86" s="3">
        <f>'Monthly Data'!DR86</f>
        <v>20</v>
      </c>
      <c r="H86" s="3">
        <f t="shared" si="8"/>
        <v>-5284416</v>
      </c>
      <c r="I86" s="3">
        <f t="shared" si="9"/>
        <v>10316570.316579999</v>
      </c>
      <c r="J86" s="3">
        <f t="shared" si="10"/>
        <v>3350680</v>
      </c>
      <c r="K86" s="47">
        <f t="shared" ref="K86:K107" si="11">SUM(H86:J86)</f>
        <v>8382834.3165799994</v>
      </c>
      <c r="L86" s="47">
        <f>'Monthly Data'!AE86</f>
        <v>3000.4327179487182</v>
      </c>
      <c r="M86" s="47">
        <f t="shared" si="7"/>
        <v>8385834.7492979486</v>
      </c>
    </row>
    <row r="87" spans="1:13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Data'!AD87</f>
        <v>8886105.1148033775</v>
      </c>
      <c r="E87" s="3">
        <f>'Monthly Data'!DL87</f>
        <v>845218</v>
      </c>
      <c r="F87" s="3">
        <f>'Monthly Data'!DR87</f>
        <v>19</v>
      </c>
      <c r="H87" s="3">
        <f t="shared" si="8"/>
        <v>-5284416</v>
      </c>
      <c r="I87" s="3">
        <f t="shared" si="9"/>
        <v>10316570.316579999</v>
      </c>
      <c r="J87" s="3">
        <f t="shared" si="10"/>
        <v>3183146</v>
      </c>
      <c r="K87" s="47">
        <f t="shared" si="11"/>
        <v>8215300.3165799994</v>
      </c>
      <c r="L87" s="47">
        <f>'Monthly Data'!AE87</f>
        <v>3151.4702692307692</v>
      </c>
      <c r="M87" s="47">
        <f t="shared" si="7"/>
        <v>8218451.7868492305</v>
      </c>
    </row>
    <row r="88" spans="1:13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Data'!AD88</f>
        <v>10078814.662602605</v>
      </c>
      <c r="E88" s="3">
        <f>'Monthly Data'!DL88</f>
        <v>845218</v>
      </c>
      <c r="F88" s="3">
        <f>'Monthly Data'!DR88</f>
        <v>23</v>
      </c>
      <c r="H88" s="3">
        <f t="shared" si="8"/>
        <v>-5284416</v>
      </c>
      <c r="I88" s="3">
        <f t="shared" si="9"/>
        <v>10316570.316579999</v>
      </c>
      <c r="J88" s="3">
        <f t="shared" si="10"/>
        <v>3853282</v>
      </c>
      <c r="K88" s="47">
        <f t="shared" si="11"/>
        <v>8885436.3165799994</v>
      </c>
      <c r="L88" s="47">
        <f>'Monthly Data'!AE88</f>
        <v>3302.5078205128207</v>
      </c>
      <c r="M88" s="47">
        <f t="shared" si="7"/>
        <v>8888738.8244005125</v>
      </c>
    </row>
    <row r="89" spans="1:13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Data'!AD89</f>
        <v>9496936.6904018335</v>
      </c>
      <c r="E89" s="3">
        <f>'Monthly Data'!DL89</f>
        <v>851621</v>
      </c>
      <c r="F89" s="3">
        <f>'Monthly Data'!DR89</f>
        <v>20</v>
      </c>
      <c r="H89" s="3">
        <f t="shared" si="8"/>
        <v>-5284416</v>
      </c>
      <c r="I89" s="3">
        <f t="shared" si="9"/>
        <v>10394724.118009999</v>
      </c>
      <c r="J89" s="3">
        <f t="shared" si="10"/>
        <v>3350680</v>
      </c>
      <c r="K89" s="47">
        <f t="shared" si="11"/>
        <v>8460988.1180099994</v>
      </c>
      <c r="L89" s="47">
        <f>'Monthly Data'!AE89</f>
        <v>3453.5453717948722</v>
      </c>
      <c r="M89" s="47">
        <f t="shared" si="7"/>
        <v>8464441.6633817945</v>
      </c>
    </row>
    <row r="90" spans="1:13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Data'!AD90</f>
        <v>9759376.1182010621</v>
      </c>
      <c r="E90" s="3">
        <f>'Monthly Data'!DL90</f>
        <v>851621</v>
      </c>
      <c r="F90" s="3">
        <f>'Monthly Data'!DR90</f>
        <v>21</v>
      </c>
      <c r="H90" s="3">
        <f t="shared" si="8"/>
        <v>-5284416</v>
      </c>
      <c r="I90" s="3">
        <f t="shared" si="9"/>
        <v>10394724.118009999</v>
      </c>
      <c r="J90" s="3">
        <f t="shared" si="10"/>
        <v>3518214</v>
      </c>
      <c r="K90" s="47">
        <f t="shared" si="11"/>
        <v>8628522.1180099994</v>
      </c>
      <c r="L90" s="47">
        <f>'Monthly Data'!AE90</f>
        <v>3604.5829230769232</v>
      </c>
      <c r="M90" s="47">
        <f t="shared" si="7"/>
        <v>8632126.7009330764</v>
      </c>
    </row>
    <row r="91" spans="1:13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Data'!AD91</f>
        <v>9887492.4060002901</v>
      </c>
      <c r="E91" s="3">
        <f>'Monthly Data'!DL91</f>
        <v>851621</v>
      </c>
      <c r="F91" s="3">
        <f>'Monthly Data'!DR91</f>
        <v>22</v>
      </c>
      <c r="H91" s="3">
        <f t="shared" si="8"/>
        <v>-5284416</v>
      </c>
      <c r="I91" s="3">
        <f t="shared" si="9"/>
        <v>10394724.118009999</v>
      </c>
      <c r="J91" s="3">
        <f t="shared" si="10"/>
        <v>3685748</v>
      </c>
      <c r="K91" s="47">
        <f t="shared" si="11"/>
        <v>8796056.1180099994</v>
      </c>
      <c r="L91" s="47">
        <f>'Monthly Data'!AE91</f>
        <v>3755.6204743589747</v>
      </c>
      <c r="M91" s="47">
        <f t="shared" si="7"/>
        <v>8799811.7384843584</v>
      </c>
    </row>
    <row r="92" spans="1:13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Data'!AD92</f>
        <v>9557343.7237995174</v>
      </c>
      <c r="E92" s="3">
        <f>'Monthly Data'!DL92</f>
        <v>852979</v>
      </c>
      <c r="F92" s="3">
        <f>'Monthly Data'!DR92</f>
        <v>20</v>
      </c>
      <c r="H92" s="3">
        <f t="shared" si="8"/>
        <v>-5284416</v>
      </c>
      <c r="I92" s="3">
        <f t="shared" si="9"/>
        <v>10411299.60799</v>
      </c>
      <c r="J92" s="3">
        <f t="shared" si="10"/>
        <v>3350680</v>
      </c>
      <c r="K92" s="47">
        <f t="shared" si="11"/>
        <v>8477563.6079900004</v>
      </c>
      <c r="L92" s="47">
        <f>'Monthly Data'!AE92</f>
        <v>3906.6580256410261</v>
      </c>
      <c r="M92" s="47">
        <f t="shared" si="7"/>
        <v>8481470.2660156414</v>
      </c>
    </row>
    <row r="93" spans="1:13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Data'!AD93</f>
        <v>9792792.9215987455</v>
      </c>
      <c r="E93" s="3">
        <f>'Monthly Data'!DL93</f>
        <v>852979</v>
      </c>
      <c r="F93" s="3">
        <f>'Monthly Data'!DR93</f>
        <v>22</v>
      </c>
      <c r="H93" s="3">
        <f t="shared" si="8"/>
        <v>-5284416</v>
      </c>
      <c r="I93" s="3">
        <f t="shared" si="9"/>
        <v>10411299.60799</v>
      </c>
      <c r="J93" s="3">
        <f t="shared" si="10"/>
        <v>3685748</v>
      </c>
      <c r="K93" s="47">
        <f t="shared" si="11"/>
        <v>8812631.6079900004</v>
      </c>
      <c r="L93" s="47">
        <f>'Monthly Data'!AE93</f>
        <v>4057.6955769230772</v>
      </c>
      <c r="M93" s="47">
        <f t="shared" si="7"/>
        <v>8816689.3035669234</v>
      </c>
    </row>
    <row r="94" spans="1:13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Data'!AD94</f>
        <v>9114031.1193979736</v>
      </c>
      <c r="E94" s="3">
        <f>'Monthly Data'!DL94</f>
        <v>852979</v>
      </c>
      <c r="F94" s="3">
        <f>'Monthly Data'!DR94</f>
        <v>20</v>
      </c>
      <c r="H94" s="3">
        <f t="shared" si="8"/>
        <v>-5284416</v>
      </c>
      <c r="I94" s="3">
        <f t="shared" si="9"/>
        <v>10411299.60799</v>
      </c>
      <c r="J94" s="3">
        <f t="shared" si="10"/>
        <v>3350680</v>
      </c>
      <c r="K94" s="47">
        <f t="shared" si="11"/>
        <v>8477563.6079900004</v>
      </c>
      <c r="L94" s="47">
        <f>'Monthly Data'!AE94</f>
        <v>4208.7331282051291</v>
      </c>
      <c r="M94" s="47">
        <f t="shared" si="7"/>
        <v>8481772.3411182053</v>
      </c>
    </row>
    <row r="95" spans="1:13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Data'!AD95</f>
        <v>8974145.6371972021</v>
      </c>
      <c r="E95" s="3">
        <f>'Monthly Data'!DL95</f>
        <v>852029</v>
      </c>
      <c r="F95" s="3">
        <f>'Monthly Data'!DR95</f>
        <v>20</v>
      </c>
      <c r="H95" s="3">
        <f t="shared" si="8"/>
        <v>-5284416</v>
      </c>
      <c r="I95" s="3">
        <f t="shared" si="9"/>
        <v>10399704.08849</v>
      </c>
      <c r="J95" s="3">
        <f t="shared" si="10"/>
        <v>3350680</v>
      </c>
      <c r="K95" s="47">
        <f t="shared" si="11"/>
        <v>8465968.08849</v>
      </c>
      <c r="L95" s="47">
        <f>'Monthly Data'!AE95</f>
        <v>4359.7706794871801</v>
      </c>
      <c r="M95" s="47">
        <f t="shared" si="7"/>
        <v>8470327.8591694869</v>
      </c>
    </row>
    <row r="96" spans="1:13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Data'!AD96</f>
        <v>9041182.1249964293</v>
      </c>
      <c r="E96" s="3">
        <f>'Monthly Data'!DL96</f>
        <v>852029</v>
      </c>
      <c r="F96" s="3">
        <f>'Monthly Data'!DR96</f>
        <v>22</v>
      </c>
      <c r="H96" s="3">
        <f t="shared" si="8"/>
        <v>-5284416</v>
      </c>
      <c r="I96" s="3">
        <f t="shared" si="9"/>
        <v>10399704.08849</v>
      </c>
      <c r="J96" s="3">
        <f t="shared" si="10"/>
        <v>3685748</v>
      </c>
      <c r="K96" s="47">
        <f t="shared" si="11"/>
        <v>8801036.08849</v>
      </c>
      <c r="L96" s="47">
        <f>'Monthly Data'!AE96</f>
        <v>4510.8082307692312</v>
      </c>
      <c r="M96" s="47">
        <f t="shared" si="7"/>
        <v>8805546.8967207689</v>
      </c>
    </row>
    <row r="97" spans="1:13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Data'!AD97</f>
        <v>9004236.7627956588</v>
      </c>
      <c r="E97" s="3">
        <f>'Monthly Data'!DL97</f>
        <v>852029</v>
      </c>
      <c r="F97" s="3">
        <f>'Monthly Data'!DR97</f>
        <v>20</v>
      </c>
      <c r="H97" s="3">
        <f t="shared" si="8"/>
        <v>-5284416</v>
      </c>
      <c r="I97" s="3">
        <f t="shared" si="9"/>
        <v>10399704.08849</v>
      </c>
      <c r="J97" s="3">
        <f t="shared" si="10"/>
        <v>3350680</v>
      </c>
      <c r="K97" s="47">
        <f t="shared" si="11"/>
        <v>8465968.08849</v>
      </c>
      <c r="L97" s="47">
        <f>'Monthly Data'!AE97</f>
        <v>4661.8457820512831</v>
      </c>
      <c r="M97" s="47">
        <f t="shared" si="7"/>
        <v>8470629.9342720509</v>
      </c>
    </row>
    <row r="98" spans="1:13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Data'!AD98</f>
        <v>10083931.614909913</v>
      </c>
      <c r="E98" s="3">
        <f>'Monthly Data'!DL98</f>
        <v>860658</v>
      </c>
      <c r="F98" s="3">
        <f>'Monthly Data'!DR98</f>
        <v>21</v>
      </c>
      <c r="H98" s="3">
        <f t="shared" si="8"/>
        <v>-5284416</v>
      </c>
      <c r="I98" s="3">
        <f t="shared" si="9"/>
        <v>10505028.022979999</v>
      </c>
      <c r="J98" s="3">
        <f t="shared" si="10"/>
        <v>3518214</v>
      </c>
      <c r="K98" s="47">
        <f t="shared" si="11"/>
        <v>8738826.022979999</v>
      </c>
      <c r="L98" s="47">
        <f>'Monthly Data'!AE98</f>
        <v>5025.9360384615384</v>
      </c>
      <c r="M98" s="47">
        <f t="shared" si="7"/>
        <v>8743851.9590184614</v>
      </c>
    </row>
    <row r="99" spans="1:13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Data'!AD99</f>
        <v>9261419.562911246</v>
      </c>
      <c r="E99" s="3">
        <f>'Monthly Data'!DL99</f>
        <v>860658</v>
      </c>
      <c r="F99" s="3">
        <f>'Monthly Data'!DR99</f>
        <v>19</v>
      </c>
      <c r="H99" s="3">
        <f t="shared" si="8"/>
        <v>-5284416</v>
      </c>
      <c r="I99" s="3">
        <f t="shared" si="9"/>
        <v>10505028.022979999</v>
      </c>
      <c r="J99" s="3">
        <f t="shared" si="10"/>
        <v>3183146</v>
      </c>
      <c r="K99" s="47">
        <f t="shared" si="11"/>
        <v>8403758.022979999</v>
      </c>
      <c r="L99" s="47">
        <f>'Monthly Data'!AE99</f>
        <v>5238.9887435897435</v>
      </c>
      <c r="M99" s="47">
        <f t="shared" si="7"/>
        <v>8408997.0117235892</v>
      </c>
    </row>
    <row r="100" spans="1:13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Data'!AD100</f>
        <v>10205290.02091258</v>
      </c>
      <c r="E100" s="3">
        <f>'Monthly Data'!DL100</f>
        <v>860658</v>
      </c>
      <c r="F100" s="3">
        <f>'Monthly Data'!DR100</f>
        <v>23</v>
      </c>
      <c r="H100" s="3">
        <f t="shared" si="8"/>
        <v>-5284416</v>
      </c>
      <c r="I100" s="3">
        <f t="shared" si="9"/>
        <v>10505028.022979999</v>
      </c>
      <c r="J100" s="3">
        <f t="shared" si="10"/>
        <v>3853282</v>
      </c>
      <c r="K100" s="47">
        <f t="shared" si="11"/>
        <v>9073894.022979999</v>
      </c>
      <c r="L100" s="47">
        <f>'Monthly Data'!AE100</f>
        <v>5452.0414487179487</v>
      </c>
      <c r="M100" s="47">
        <f t="shared" si="7"/>
        <v>9079346.0644287169</v>
      </c>
    </row>
    <row r="101" spans="1:13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Data'!AD101</f>
        <v>9144969.6689139139</v>
      </c>
      <c r="E101" s="3">
        <f>'Monthly Data'!DL101</f>
        <v>865503</v>
      </c>
      <c r="F101" s="3">
        <f>'Monthly Data'!DR101</f>
        <v>19</v>
      </c>
      <c r="H101" s="3">
        <f t="shared" si="8"/>
        <v>-5284416</v>
      </c>
      <c r="I101" s="3">
        <f t="shared" si="9"/>
        <v>10564165.172429999</v>
      </c>
      <c r="J101" s="3">
        <f t="shared" si="10"/>
        <v>3183146</v>
      </c>
      <c r="K101" s="47">
        <f t="shared" si="11"/>
        <v>8462895.1724299993</v>
      </c>
      <c r="L101" s="47">
        <f>'Monthly Data'!AE101</f>
        <v>5665.0941538461539</v>
      </c>
      <c r="M101" s="47">
        <f t="shared" si="7"/>
        <v>8468560.266583845</v>
      </c>
    </row>
    <row r="102" spans="1:13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Data'!AD102</f>
        <v>9643226.2969152499</v>
      </c>
      <c r="E102" s="3">
        <f>'Monthly Data'!DL102</f>
        <v>865503</v>
      </c>
      <c r="F102" s="3">
        <f>'Monthly Data'!DR102</f>
        <v>22</v>
      </c>
      <c r="H102" s="3">
        <f t="shared" si="8"/>
        <v>-5284416</v>
      </c>
      <c r="I102" s="3">
        <f t="shared" si="9"/>
        <v>10564165.172429999</v>
      </c>
      <c r="J102" s="3">
        <f t="shared" si="10"/>
        <v>3685748</v>
      </c>
      <c r="K102" s="47">
        <f t="shared" si="11"/>
        <v>8965497.1724299993</v>
      </c>
      <c r="L102" s="47">
        <f>'Monthly Data'!AE102</f>
        <v>5878.1468589743599</v>
      </c>
      <c r="M102" s="47">
        <f t="shared" si="7"/>
        <v>8971375.3192889728</v>
      </c>
    </row>
    <row r="103" spans="1:13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Data'!AD103</f>
        <v>9929702.1249165852</v>
      </c>
      <c r="E103" s="3">
        <f>'Monthly Data'!DL103</f>
        <v>865503</v>
      </c>
      <c r="F103" s="3">
        <f>'Monthly Data'!DR103</f>
        <v>22</v>
      </c>
      <c r="H103" s="3">
        <f t="shared" si="8"/>
        <v>-5284416</v>
      </c>
      <c r="I103" s="3">
        <f t="shared" si="9"/>
        <v>10564165.172429999</v>
      </c>
      <c r="J103" s="3">
        <f t="shared" si="10"/>
        <v>3685748</v>
      </c>
      <c r="K103" s="47">
        <f t="shared" si="11"/>
        <v>8965497.1724299993</v>
      </c>
      <c r="L103" s="47">
        <f>'Monthly Data'!AE103</f>
        <v>6091.1995641025651</v>
      </c>
      <c r="M103" s="47">
        <f t="shared" si="7"/>
        <v>8971588.3719941024</v>
      </c>
    </row>
    <row r="104" spans="1:13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Data'!AD104</f>
        <v>9827630.1929179169</v>
      </c>
      <c r="E104" s="3">
        <f>'Monthly Data'!DL104</f>
        <v>867701</v>
      </c>
      <c r="F104" s="3">
        <f>'Monthly Data'!DR104</f>
        <v>20</v>
      </c>
      <c r="H104" s="3">
        <f t="shared" si="8"/>
        <v>-5284416</v>
      </c>
      <c r="I104" s="3">
        <f t="shared" si="9"/>
        <v>10590993.54281</v>
      </c>
      <c r="J104" s="3">
        <f t="shared" si="10"/>
        <v>3350680</v>
      </c>
      <c r="K104" s="47">
        <f t="shared" si="11"/>
        <v>8657257.5428100005</v>
      </c>
      <c r="L104" s="47">
        <f>'Monthly Data'!AE104</f>
        <v>6304.2522692307703</v>
      </c>
      <c r="M104" s="47">
        <f t="shared" si="7"/>
        <v>8663561.7950792313</v>
      </c>
    </row>
    <row r="105" spans="1:13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Data'!AD105</f>
        <v>10040725.140919253</v>
      </c>
      <c r="E105" s="3">
        <f>'Monthly Data'!DL105</f>
        <v>867701</v>
      </c>
      <c r="F105" s="3">
        <f>'Monthly Data'!DR105</f>
        <v>22</v>
      </c>
      <c r="H105" s="3">
        <f t="shared" si="8"/>
        <v>-5284416</v>
      </c>
      <c r="I105" s="3">
        <f t="shared" si="9"/>
        <v>10590993.54281</v>
      </c>
      <c r="J105" s="3">
        <f t="shared" si="10"/>
        <v>3685748</v>
      </c>
      <c r="K105" s="47">
        <f t="shared" si="11"/>
        <v>8992325.5428100005</v>
      </c>
      <c r="L105" s="47">
        <f>'Monthly Data'!AE105</f>
        <v>6517.3049743589754</v>
      </c>
      <c r="M105" s="47">
        <f t="shared" si="7"/>
        <v>8998842.847784359</v>
      </c>
    </row>
    <row r="106" spans="1:13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Data'!AD106</f>
        <v>7986970.2989205867</v>
      </c>
      <c r="E106" s="3">
        <f>'Monthly Data'!DL106</f>
        <v>867701</v>
      </c>
      <c r="F106" s="3">
        <f>'Monthly Data'!DR106</f>
        <v>20</v>
      </c>
      <c r="H106" s="3">
        <f t="shared" si="8"/>
        <v>-5284416</v>
      </c>
      <c r="I106" s="3">
        <f t="shared" si="9"/>
        <v>10590993.54281</v>
      </c>
      <c r="J106" s="3">
        <f t="shared" si="10"/>
        <v>3350680</v>
      </c>
      <c r="K106" s="47">
        <f t="shared" si="11"/>
        <v>8657257.5428100005</v>
      </c>
      <c r="L106" s="47">
        <f>'Monthly Data'!AE106</f>
        <v>6730.3576794871806</v>
      </c>
      <c r="M106" s="47">
        <f t="shared" si="7"/>
        <v>8663987.9004894868</v>
      </c>
    </row>
    <row r="107" spans="1:13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Data'!AD107</f>
        <v>9220703.7869219203</v>
      </c>
      <c r="E107" s="3">
        <f>'Monthly Data'!DL107</f>
        <v>869576</v>
      </c>
      <c r="F107" s="3">
        <f>'Monthly Data'!DR107</f>
        <v>21</v>
      </c>
      <c r="H107" s="3">
        <f t="shared" si="8"/>
        <v>-5284416</v>
      </c>
      <c r="I107" s="3">
        <f t="shared" si="9"/>
        <v>10613879.436559999</v>
      </c>
      <c r="J107" s="3">
        <f t="shared" si="10"/>
        <v>3518214</v>
      </c>
      <c r="K107" s="47">
        <f t="shared" si="11"/>
        <v>8847677.4365599994</v>
      </c>
      <c r="L107" s="47">
        <f>'Monthly Data'!AE107</f>
        <v>6943.4103846153857</v>
      </c>
      <c r="M107" s="47">
        <f t="shared" si="7"/>
        <v>8854620.8469446152</v>
      </c>
    </row>
    <row r="108" spans="1:13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Data'!AD108</f>
        <v>9051879.4449232556</v>
      </c>
      <c r="E108" s="3">
        <f>'Monthly Data'!DL108</f>
        <v>869576</v>
      </c>
      <c r="F108" s="3">
        <f>'Monthly Data'!DR108</f>
        <v>22</v>
      </c>
      <c r="H108" s="3">
        <f t="shared" si="8"/>
        <v>-5284416</v>
      </c>
      <c r="I108" s="3">
        <f t="shared" si="9"/>
        <v>10613879.436559999</v>
      </c>
      <c r="J108" s="3">
        <f t="shared" si="10"/>
        <v>3685748</v>
      </c>
      <c r="K108" s="47">
        <f t="shared" ref="K108:K121" si="12">SUM(H108:J108)</f>
        <v>9015211.4365599994</v>
      </c>
      <c r="L108" s="47">
        <f>'Monthly Data'!AE108</f>
        <v>7156.4630897435909</v>
      </c>
      <c r="M108" s="47">
        <f t="shared" si="7"/>
        <v>9022367.899649743</v>
      </c>
    </row>
    <row r="109" spans="1:13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Data'!AD109</f>
        <v>8948824.2429245897</v>
      </c>
      <c r="E109" s="3">
        <f>'Monthly Data'!DL109</f>
        <v>869576</v>
      </c>
      <c r="F109" s="3">
        <f>'Monthly Data'!DR109</f>
        <v>19</v>
      </c>
      <c r="H109" s="3">
        <f t="shared" si="8"/>
        <v>-5284416</v>
      </c>
      <c r="I109" s="3">
        <f t="shared" si="9"/>
        <v>10613879.436559999</v>
      </c>
      <c r="J109" s="3">
        <f t="shared" si="10"/>
        <v>3183146</v>
      </c>
      <c r="K109" s="47">
        <f t="shared" si="12"/>
        <v>8512609.4365599994</v>
      </c>
      <c r="L109" s="47">
        <f>'Monthly Data'!AE109</f>
        <v>7369.515794871797</v>
      </c>
      <c r="M109" s="47">
        <f t="shared" si="7"/>
        <v>8519978.9523548707</v>
      </c>
    </row>
    <row r="110" spans="1:13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Data'!AD110</f>
        <v>9018112.8831079192</v>
      </c>
      <c r="E110" s="3">
        <f>'Monthly Data'!DL110</f>
        <v>873665</v>
      </c>
      <c r="F110" s="3">
        <f>'Monthly Data'!DR110</f>
        <v>22</v>
      </c>
      <c r="H110" s="3">
        <f t="shared" si="8"/>
        <v>-5284416</v>
      </c>
      <c r="I110" s="3">
        <f t="shared" si="9"/>
        <v>10663788.993650001</v>
      </c>
      <c r="J110" s="3">
        <f t="shared" si="10"/>
        <v>3685748</v>
      </c>
      <c r="K110" s="47">
        <f t="shared" si="12"/>
        <v>9065120.9936500005</v>
      </c>
      <c r="L110" s="47">
        <f>'Monthly Data'!AE110</f>
        <v>7863.0469487179498</v>
      </c>
      <c r="M110" s="47">
        <f t="shared" si="7"/>
        <v>9072984.0405987184</v>
      </c>
    </row>
    <row r="111" spans="1:13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Data'!AD111</f>
        <v>8378602.3150000079</v>
      </c>
      <c r="E111" s="3">
        <f>'Monthly Data'!DL111</f>
        <v>873665</v>
      </c>
      <c r="F111" s="3">
        <f>'Monthly Data'!DR111</f>
        <v>20</v>
      </c>
      <c r="H111" s="3">
        <f t="shared" si="8"/>
        <v>-5284416</v>
      </c>
      <c r="I111" s="3">
        <f t="shared" si="9"/>
        <v>10663788.993650001</v>
      </c>
      <c r="J111" s="3">
        <f t="shared" si="10"/>
        <v>3350680</v>
      </c>
      <c r="K111" s="47">
        <f t="shared" si="12"/>
        <v>8730052.9936500005</v>
      </c>
      <c r="L111" s="47">
        <f>'Monthly Data'!AE111</f>
        <v>8143.5253974358984</v>
      </c>
      <c r="M111" s="47">
        <f t="shared" si="7"/>
        <v>8738196.5190474372</v>
      </c>
    </row>
    <row r="112" spans="1:13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Data'!AD112</f>
        <v>8983294.9268920962</v>
      </c>
      <c r="E112" s="3">
        <f>'Monthly Data'!DL112</f>
        <v>873665</v>
      </c>
      <c r="F112" s="3">
        <f>'Monthly Data'!DR112</f>
        <v>20</v>
      </c>
      <c r="H112" s="3">
        <f t="shared" si="8"/>
        <v>-5284416</v>
      </c>
      <c r="I112" s="3">
        <f t="shared" si="9"/>
        <v>10663788.993650001</v>
      </c>
      <c r="J112" s="3">
        <f t="shared" si="10"/>
        <v>3350680</v>
      </c>
      <c r="K112" s="47">
        <f t="shared" si="12"/>
        <v>8730052.9936500005</v>
      </c>
      <c r="L112" s="47">
        <f>'Monthly Data'!AE112</f>
        <v>8424.0038461538461</v>
      </c>
      <c r="M112" s="47">
        <f t="shared" si="7"/>
        <v>8738476.9974961542</v>
      </c>
    </row>
    <row r="113" spans="1:13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Data'!AD113</f>
        <v>8797830.018784184</v>
      </c>
      <c r="E113" s="3">
        <f>'Monthly Data'!DL113</f>
        <v>875840</v>
      </c>
      <c r="F113" s="3">
        <f>'Monthly Data'!DR113</f>
        <v>22</v>
      </c>
      <c r="H113" s="3">
        <f t="shared" si="8"/>
        <v>-5284416</v>
      </c>
      <c r="I113" s="3">
        <f t="shared" si="9"/>
        <v>10690336.6304</v>
      </c>
      <c r="J113" s="3">
        <f t="shared" si="10"/>
        <v>3685748</v>
      </c>
      <c r="K113" s="47">
        <f t="shared" si="12"/>
        <v>9091668.6304000001</v>
      </c>
      <c r="L113" s="47">
        <f>'Monthly Data'!AE113</f>
        <v>8704.4822948717956</v>
      </c>
      <c r="M113" s="47">
        <f t="shared" si="7"/>
        <v>9100373.1126948725</v>
      </c>
    </row>
    <row r="114" spans="1:13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Data'!AD114</f>
        <v>8757454.2606762759</v>
      </c>
      <c r="E114" s="3">
        <f>'Monthly Data'!DL114</f>
        <v>875840</v>
      </c>
      <c r="F114" s="3">
        <f>'Monthly Data'!DR114</f>
        <v>22</v>
      </c>
      <c r="H114" s="3">
        <f t="shared" si="8"/>
        <v>-5284416</v>
      </c>
      <c r="I114" s="3">
        <f t="shared" si="9"/>
        <v>10690336.6304</v>
      </c>
      <c r="J114" s="3">
        <f t="shared" si="10"/>
        <v>3685748</v>
      </c>
      <c r="K114" s="47">
        <f t="shared" si="12"/>
        <v>9091668.6304000001</v>
      </c>
      <c r="L114" s="47">
        <f>'Monthly Data'!AE114</f>
        <v>8984.9607435897433</v>
      </c>
      <c r="M114" s="47">
        <f t="shared" si="7"/>
        <v>9100653.5911435895</v>
      </c>
    </row>
    <row r="115" spans="1:13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Data'!AD115</f>
        <v>8510080.842568364</v>
      </c>
      <c r="E115" s="3">
        <f>'Monthly Data'!DL115</f>
        <v>875840</v>
      </c>
      <c r="F115" s="3">
        <f>'Monthly Data'!DR115</f>
        <v>20</v>
      </c>
      <c r="H115" s="3">
        <f t="shared" si="8"/>
        <v>-5284416</v>
      </c>
      <c r="I115" s="3">
        <f t="shared" si="9"/>
        <v>10690336.6304</v>
      </c>
      <c r="J115" s="3">
        <f t="shared" si="10"/>
        <v>3350680</v>
      </c>
      <c r="K115" s="47">
        <f t="shared" si="12"/>
        <v>8756600.6304000001</v>
      </c>
      <c r="L115" s="47">
        <f>'Monthly Data'!AE115</f>
        <v>9265.4391923076928</v>
      </c>
      <c r="M115" s="47">
        <f t="shared" si="7"/>
        <v>8765866.0695923083</v>
      </c>
    </row>
    <row r="116" spans="1:13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Data'!AD116</f>
        <v>8531713.0544604529</v>
      </c>
      <c r="E116" s="3">
        <f>'Monthly Data'!DL116</f>
        <v>876752</v>
      </c>
      <c r="F116" s="3">
        <f>'Monthly Data'!DR116</f>
        <v>22</v>
      </c>
      <c r="H116" s="3">
        <f t="shared" si="8"/>
        <v>-5284416</v>
      </c>
      <c r="I116" s="3">
        <f t="shared" si="9"/>
        <v>10701468.329119999</v>
      </c>
      <c r="J116" s="3">
        <f t="shared" si="10"/>
        <v>3685748</v>
      </c>
      <c r="K116" s="47">
        <f t="shared" si="12"/>
        <v>9102800.329119999</v>
      </c>
      <c r="L116" s="47">
        <f>'Monthly Data'!AE116</f>
        <v>9545.9176410256405</v>
      </c>
      <c r="M116" s="47">
        <f t="shared" si="7"/>
        <v>9112346.246761024</v>
      </c>
    </row>
    <row r="117" spans="1:13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Data'!AD117</f>
        <v>7901915.296352542</v>
      </c>
      <c r="E117" s="3">
        <f>'Monthly Data'!DL117</f>
        <v>876752</v>
      </c>
      <c r="F117" s="3">
        <f>'Monthly Data'!DR117</f>
        <v>21</v>
      </c>
      <c r="H117" s="3">
        <f t="shared" si="8"/>
        <v>-5284416</v>
      </c>
      <c r="I117" s="3">
        <f t="shared" si="9"/>
        <v>10701468.329119999</v>
      </c>
      <c r="J117" s="3">
        <f t="shared" si="10"/>
        <v>3518214</v>
      </c>
      <c r="K117" s="47">
        <f t="shared" si="12"/>
        <v>8935266.329119999</v>
      </c>
      <c r="L117" s="47">
        <f>'Monthly Data'!AE117</f>
        <v>9826.39608974359</v>
      </c>
      <c r="M117" s="47">
        <f t="shared" si="7"/>
        <v>8945092.7252097428</v>
      </c>
    </row>
    <row r="118" spans="1:13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Data'!AD118</f>
        <v>8046857.6182446303</v>
      </c>
      <c r="E118" s="3">
        <f>'Monthly Data'!DL118</f>
        <v>876752</v>
      </c>
      <c r="F118" s="3">
        <f>'Monthly Data'!DR118</f>
        <v>20</v>
      </c>
      <c r="H118" s="3">
        <f t="shared" si="8"/>
        <v>-5284416</v>
      </c>
      <c r="I118" s="3">
        <f t="shared" si="9"/>
        <v>10701468.329119999</v>
      </c>
      <c r="J118" s="3">
        <f t="shared" si="10"/>
        <v>3350680</v>
      </c>
      <c r="K118" s="47">
        <f t="shared" si="12"/>
        <v>8767732.329119999</v>
      </c>
      <c r="L118" s="47">
        <f>'Monthly Data'!AE118</f>
        <v>10106.874538461539</v>
      </c>
      <c r="M118" s="47">
        <f t="shared" si="7"/>
        <v>8777839.2036584597</v>
      </c>
    </row>
    <row r="119" spans="1:13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Data'!AD119</f>
        <v>8539291.4101367202</v>
      </c>
      <c r="E119" s="3">
        <f>'Monthly Data'!DL119</f>
        <v>880222</v>
      </c>
      <c r="F119" s="3">
        <f>'Monthly Data'!DR119</f>
        <v>22</v>
      </c>
      <c r="H119" s="3">
        <f t="shared" si="8"/>
        <v>-5284416</v>
      </c>
      <c r="I119" s="3">
        <f t="shared" si="9"/>
        <v>10743822.48982</v>
      </c>
      <c r="J119" s="3">
        <f t="shared" si="10"/>
        <v>3685748</v>
      </c>
      <c r="K119" s="47">
        <f t="shared" si="12"/>
        <v>9145154.4898199998</v>
      </c>
      <c r="L119" s="47">
        <f>'Monthly Data'!AE119</f>
        <v>10387.352987179487</v>
      </c>
      <c r="M119" s="47">
        <f t="shared" ref="M119:M182" si="13">K119+L119</f>
        <v>9155541.8428071793</v>
      </c>
    </row>
    <row r="120" spans="1:13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Data'!AD120</f>
        <v>8437583.3520288095</v>
      </c>
      <c r="E120" s="3">
        <f>'Monthly Data'!DL120</f>
        <v>880222</v>
      </c>
      <c r="F120" s="3">
        <f>'Monthly Data'!DR120</f>
        <v>21</v>
      </c>
      <c r="H120" s="3">
        <f t="shared" si="8"/>
        <v>-5284416</v>
      </c>
      <c r="I120" s="3">
        <f t="shared" si="9"/>
        <v>10743822.48982</v>
      </c>
      <c r="J120" s="3">
        <f t="shared" si="10"/>
        <v>3518214</v>
      </c>
      <c r="K120" s="47">
        <f t="shared" si="12"/>
        <v>8977620.4898199998</v>
      </c>
      <c r="L120" s="47">
        <f>'Monthly Data'!AE120</f>
        <v>10667.831435897435</v>
      </c>
      <c r="M120" s="47">
        <f t="shared" si="13"/>
        <v>8988288.3212558981</v>
      </c>
    </row>
    <row r="121" spans="1:13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Data'!AD121</f>
        <v>8513748.5339208972</v>
      </c>
      <c r="E121" s="3">
        <f>'Monthly Data'!DL121</f>
        <v>880222</v>
      </c>
      <c r="F121" s="3">
        <f>'Monthly Data'!DR121</f>
        <v>20</v>
      </c>
      <c r="H121" s="3">
        <f t="shared" si="8"/>
        <v>-5284416</v>
      </c>
      <c r="I121" s="3">
        <f t="shared" si="9"/>
        <v>10743822.48982</v>
      </c>
      <c r="J121" s="3">
        <f t="shared" si="10"/>
        <v>3350680</v>
      </c>
      <c r="K121" s="47">
        <f t="shared" si="12"/>
        <v>8810086.4898199998</v>
      </c>
      <c r="L121" s="47">
        <f>'Monthly Data'!AE121</f>
        <v>10948.309884615384</v>
      </c>
      <c r="M121" s="47">
        <f t="shared" si="13"/>
        <v>8821034.799704615</v>
      </c>
    </row>
    <row r="122" spans="1:13">
      <c r="A122" s="2">
        <f t="shared" ref="A122:A174" si="14">EOMONTH(A121,1)</f>
        <v>45688</v>
      </c>
      <c r="B122">
        <f t="shared" ref="B122:B174" si="15">YEAR(A122)</f>
        <v>2025</v>
      </c>
      <c r="C122">
        <f t="shared" ref="C122:C174" si="16">MONTH(A122)</f>
        <v>1</v>
      </c>
      <c r="E122" s="391">
        <f>E121</f>
        <v>880222</v>
      </c>
      <c r="F122" s="3">
        <v>22</v>
      </c>
      <c r="H122" s="3">
        <f t="shared" si="8"/>
        <v>-5284416</v>
      </c>
      <c r="I122" s="3">
        <f t="shared" si="9"/>
        <v>10743822.48982</v>
      </c>
      <c r="J122" s="3">
        <f t="shared" si="10"/>
        <v>3685748</v>
      </c>
      <c r="K122" s="47">
        <f t="shared" ref="K122:K173" si="17">SUM(H122:J122)</f>
        <v>9145154.4898199998</v>
      </c>
      <c r="L122" s="47">
        <f>IFERROR(HLOOKUP(B122-1,'EV Forecast VRZ'!$F$124:$T$130,6,FALSE)/12,0)+IFERROR(((HLOOKUP(B122,'EV Forecast VRZ'!$F$116:$T$122,6,FALSE)-HLOOKUP(B122-1,'EV Forecast VRZ'!$F$124:$T$130,6,FALSE)))*C122/78,0)</f>
        <v>11524.321954070372</v>
      </c>
      <c r="M122" s="47">
        <f t="shared" si="13"/>
        <v>9156678.8117740694</v>
      </c>
    </row>
    <row r="123" spans="1:13">
      <c r="A123" s="2">
        <f t="shared" si="14"/>
        <v>45716</v>
      </c>
      <c r="B123">
        <f t="shared" si="15"/>
        <v>2025</v>
      </c>
      <c r="C123">
        <f t="shared" si="16"/>
        <v>2</v>
      </c>
      <c r="E123" s="391">
        <f t="shared" ref="E123:E157" si="18">E122</f>
        <v>880222</v>
      </c>
      <c r="F123" s="3">
        <v>19</v>
      </c>
      <c r="H123" s="3">
        <f t="shared" si="8"/>
        <v>-5284416</v>
      </c>
      <c r="I123" s="3">
        <f t="shared" si="9"/>
        <v>10743822.48982</v>
      </c>
      <c r="J123" s="3">
        <f t="shared" si="10"/>
        <v>3183146</v>
      </c>
      <c r="K123" s="47">
        <f t="shared" si="17"/>
        <v>8642552.4898199998</v>
      </c>
      <c r="L123" s="47">
        <f>IFERROR(HLOOKUP(B123-1,'EV Forecast VRZ'!$F$124:$T$130,6,FALSE)/12,0)+IFERROR(((HLOOKUP(B123,'EV Forecast VRZ'!$F$116:$T$122,6,FALSE)-HLOOKUP(B123-1,'EV Forecast VRZ'!$F$124:$T$130,6,FALSE)))*C123/78,0)</f>
        <v>11819.855574807407</v>
      </c>
      <c r="M123" s="47">
        <f t="shared" si="13"/>
        <v>8654372.3453948069</v>
      </c>
    </row>
    <row r="124" spans="1:13">
      <c r="A124" s="2">
        <f t="shared" si="14"/>
        <v>45747</v>
      </c>
      <c r="B124">
        <f t="shared" si="15"/>
        <v>2025</v>
      </c>
      <c r="C124">
        <f t="shared" si="16"/>
        <v>3</v>
      </c>
      <c r="E124" s="391">
        <f t="shared" si="18"/>
        <v>880222</v>
      </c>
      <c r="F124" s="3">
        <v>21</v>
      </c>
      <c r="H124" s="3">
        <f t="shared" si="8"/>
        <v>-5284416</v>
      </c>
      <c r="I124" s="3">
        <f t="shared" si="9"/>
        <v>10743822.48982</v>
      </c>
      <c r="J124" s="3">
        <f t="shared" si="10"/>
        <v>3518214</v>
      </c>
      <c r="K124" s="47">
        <f t="shared" si="17"/>
        <v>8977620.4898199998</v>
      </c>
      <c r="L124" s="47">
        <f>IFERROR(HLOOKUP(B124-1,'EV Forecast VRZ'!$F$124:$T$130,6,FALSE)/12,0)+IFERROR(((HLOOKUP(B124,'EV Forecast VRZ'!$F$116:$T$122,6,FALSE)-HLOOKUP(B124-1,'EV Forecast VRZ'!$F$124:$T$130,6,FALSE)))*C124/78,0)</f>
        <v>12115.389195544443</v>
      </c>
      <c r="M124" s="47">
        <f t="shared" si="13"/>
        <v>8989735.8790155444</v>
      </c>
    </row>
    <row r="125" spans="1:13">
      <c r="A125" s="2">
        <f t="shared" si="14"/>
        <v>45777</v>
      </c>
      <c r="B125">
        <f t="shared" si="15"/>
        <v>2025</v>
      </c>
      <c r="C125">
        <f t="shared" si="16"/>
        <v>4</v>
      </c>
      <c r="E125" s="391">
        <f t="shared" si="18"/>
        <v>880222</v>
      </c>
      <c r="F125" s="3">
        <v>21</v>
      </c>
      <c r="H125" s="3">
        <f t="shared" si="8"/>
        <v>-5284416</v>
      </c>
      <c r="I125" s="3">
        <f t="shared" si="9"/>
        <v>10743822.48982</v>
      </c>
      <c r="J125" s="3">
        <f t="shared" si="10"/>
        <v>3518214</v>
      </c>
      <c r="K125" s="47">
        <f t="shared" si="17"/>
        <v>8977620.4898199998</v>
      </c>
      <c r="L125" s="47">
        <f>IFERROR(HLOOKUP(B125-1,'EV Forecast VRZ'!$F$124:$T$130,6,FALSE)/12,0)+IFERROR(((HLOOKUP(B125,'EV Forecast VRZ'!$F$116:$T$122,6,FALSE)-HLOOKUP(B125-1,'EV Forecast VRZ'!$F$124:$T$130,6,FALSE)))*C125/78,0)</f>
        <v>12410.92281628148</v>
      </c>
      <c r="M125" s="47">
        <f t="shared" si="13"/>
        <v>8990031.4126362819</v>
      </c>
    </row>
    <row r="126" spans="1:13">
      <c r="A126" s="2">
        <f t="shared" si="14"/>
        <v>45808</v>
      </c>
      <c r="B126">
        <f t="shared" si="15"/>
        <v>2025</v>
      </c>
      <c r="C126">
        <f t="shared" si="16"/>
        <v>5</v>
      </c>
      <c r="E126" s="391">
        <f t="shared" si="18"/>
        <v>880222</v>
      </c>
      <c r="F126" s="3">
        <v>21</v>
      </c>
      <c r="H126" s="3">
        <f t="shared" si="8"/>
        <v>-5284416</v>
      </c>
      <c r="I126" s="3">
        <f t="shared" si="9"/>
        <v>10743822.48982</v>
      </c>
      <c r="J126" s="3">
        <f t="shared" si="10"/>
        <v>3518214</v>
      </c>
      <c r="K126" s="47">
        <f t="shared" si="17"/>
        <v>8977620.4898199998</v>
      </c>
      <c r="L126" s="47">
        <f>IFERROR(HLOOKUP(B126-1,'EV Forecast VRZ'!$F$124:$T$130,6,FALSE)/12,0)+IFERROR(((HLOOKUP(B126,'EV Forecast VRZ'!$F$116:$T$122,6,FALSE)-HLOOKUP(B126-1,'EV Forecast VRZ'!$F$124:$T$130,6,FALSE)))*C126/78,0)</f>
        <v>12706.456437018516</v>
      </c>
      <c r="M126" s="47">
        <f t="shared" si="13"/>
        <v>8990326.9462570176</v>
      </c>
    </row>
    <row r="127" spans="1:13">
      <c r="A127" s="2">
        <f t="shared" si="14"/>
        <v>45838</v>
      </c>
      <c r="B127">
        <f t="shared" si="15"/>
        <v>2025</v>
      </c>
      <c r="C127">
        <f t="shared" si="16"/>
        <v>6</v>
      </c>
      <c r="E127" s="391">
        <f t="shared" si="18"/>
        <v>880222</v>
      </c>
      <c r="F127" s="3">
        <v>21</v>
      </c>
      <c r="H127" s="3">
        <f t="shared" si="8"/>
        <v>-5284416</v>
      </c>
      <c r="I127" s="3">
        <f t="shared" si="9"/>
        <v>10743822.48982</v>
      </c>
      <c r="J127" s="3">
        <f t="shared" si="10"/>
        <v>3518214</v>
      </c>
      <c r="K127" s="47">
        <f t="shared" si="17"/>
        <v>8977620.4898199998</v>
      </c>
      <c r="L127" s="47">
        <f>IFERROR(HLOOKUP(B127-1,'EV Forecast VRZ'!$F$124:$T$130,6,FALSE)/12,0)+IFERROR(((HLOOKUP(B127,'EV Forecast VRZ'!$F$116:$T$122,6,FALSE)-HLOOKUP(B127-1,'EV Forecast VRZ'!$F$124:$T$130,6,FALSE)))*C127/78,0)</f>
        <v>13001.990057755551</v>
      </c>
      <c r="M127" s="47">
        <f t="shared" si="13"/>
        <v>8990622.479877755</v>
      </c>
    </row>
    <row r="128" spans="1:13">
      <c r="A128" s="2">
        <f t="shared" si="14"/>
        <v>45869</v>
      </c>
      <c r="B128">
        <f t="shared" si="15"/>
        <v>2025</v>
      </c>
      <c r="C128">
        <f t="shared" si="16"/>
        <v>7</v>
      </c>
      <c r="E128" s="391">
        <f t="shared" si="18"/>
        <v>880222</v>
      </c>
      <c r="F128" s="3">
        <v>22</v>
      </c>
      <c r="H128" s="3">
        <f t="shared" si="8"/>
        <v>-5284416</v>
      </c>
      <c r="I128" s="3">
        <f t="shared" si="9"/>
        <v>10743822.48982</v>
      </c>
      <c r="J128" s="3">
        <f t="shared" si="10"/>
        <v>3685748</v>
      </c>
      <c r="K128" s="47">
        <f t="shared" si="17"/>
        <v>9145154.4898199998</v>
      </c>
      <c r="L128" s="47">
        <f>IFERROR(HLOOKUP(B128-1,'EV Forecast VRZ'!$F$124:$T$130,6,FALSE)/12,0)+IFERROR(((HLOOKUP(B128,'EV Forecast VRZ'!$F$116:$T$122,6,FALSE)-HLOOKUP(B128-1,'EV Forecast VRZ'!$F$124:$T$130,6,FALSE)))*C128/78,0)</f>
        <v>13297.523678492587</v>
      </c>
      <c r="M128" s="47">
        <f t="shared" si="13"/>
        <v>9158452.0134984925</v>
      </c>
    </row>
    <row r="129" spans="1:13">
      <c r="A129" s="2">
        <f t="shared" si="14"/>
        <v>45900</v>
      </c>
      <c r="B129">
        <f t="shared" si="15"/>
        <v>2025</v>
      </c>
      <c r="C129">
        <f t="shared" si="16"/>
        <v>8</v>
      </c>
      <c r="E129" s="391">
        <f t="shared" si="18"/>
        <v>880222</v>
      </c>
      <c r="F129" s="3">
        <v>20</v>
      </c>
      <c r="H129" s="3">
        <f t="shared" si="8"/>
        <v>-5284416</v>
      </c>
      <c r="I129" s="3">
        <f t="shared" si="9"/>
        <v>10743822.48982</v>
      </c>
      <c r="J129" s="3">
        <f t="shared" si="10"/>
        <v>3350680</v>
      </c>
      <c r="K129" s="47">
        <f t="shared" si="17"/>
        <v>8810086.4898199998</v>
      </c>
      <c r="L129" s="47">
        <f>IFERROR(HLOOKUP(B129-1,'EV Forecast VRZ'!$F$124:$T$130,6,FALSE)/12,0)+IFERROR(((HLOOKUP(B129,'EV Forecast VRZ'!$F$116:$T$122,6,FALSE)-HLOOKUP(B129-1,'EV Forecast VRZ'!$F$124:$T$130,6,FALSE)))*C129/78,0)</f>
        <v>13593.057299229624</v>
      </c>
      <c r="M129" s="47">
        <f t="shared" si="13"/>
        <v>8823679.54711923</v>
      </c>
    </row>
    <row r="130" spans="1:13">
      <c r="A130" s="2">
        <f t="shared" si="14"/>
        <v>45930</v>
      </c>
      <c r="B130">
        <f t="shared" si="15"/>
        <v>2025</v>
      </c>
      <c r="C130">
        <f t="shared" si="16"/>
        <v>9</v>
      </c>
      <c r="E130" s="391">
        <f t="shared" si="18"/>
        <v>880222</v>
      </c>
      <c r="F130" s="3">
        <v>21</v>
      </c>
      <c r="H130" s="3">
        <f t="shared" ref="H130:H193" si="19">$Q$8</f>
        <v>-5284416</v>
      </c>
      <c r="I130" s="3">
        <f t="shared" ref="I130:I193" si="20">E130*$Q$9</f>
        <v>10743822.48982</v>
      </c>
      <c r="J130" s="3">
        <f t="shared" ref="J130:J193" si="21">F130*$Q$10</f>
        <v>3518214</v>
      </c>
      <c r="K130" s="47">
        <f t="shared" si="17"/>
        <v>8977620.4898199998</v>
      </c>
      <c r="L130" s="47">
        <f>IFERROR(HLOOKUP(B130-1,'EV Forecast VRZ'!$F$124:$T$130,6,FALSE)/12,0)+IFERROR(((HLOOKUP(B130,'EV Forecast VRZ'!$F$116:$T$122,6,FALSE)-HLOOKUP(B130-1,'EV Forecast VRZ'!$F$124:$T$130,6,FALSE)))*C130/78,0)</f>
        <v>13888.59091996666</v>
      </c>
      <c r="M130" s="47">
        <f t="shared" si="13"/>
        <v>8991509.0807399657</v>
      </c>
    </row>
    <row r="131" spans="1:13">
      <c r="A131" s="2">
        <f t="shared" si="14"/>
        <v>45961</v>
      </c>
      <c r="B131">
        <f t="shared" si="15"/>
        <v>2025</v>
      </c>
      <c r="C131">
        <f t="shared" si="16"/>
        <v>10</v>
      </c>
      <c r="E131" s="391">
        <f t="shared" si="18"/>
        <v>880222</v>
      </c>
      <c r="F131" s="3">
        <v>22</v>
      </c>
      <c r="H131" s="3">
        <f t="shared" si="19"/>
        <v>-5284416</v>
      </c>
      <c r="I131" s="3">
        <f t="shared" si="20"/>
        <v>10743822.48982</v>
      </c>
      <c r="J131" s="3">
        <f t="shared" si="21"/>
        <v>3685748</v>
      </c>
      <c r="K131" s="47">
        <f t="shared" si="17"/>
        <v>9145154.4898199998</v>
      </c>
      <c r="L131" s="47">
        <f>IFERROR(HLOOKUP(B131-1,'EV Forecast VRZ'!$F$124:$T$130,6,FALSE)/12,0)+IFERROR(((HLOOKUP(B131,'EV Forecast VRZ'!$F$116:$T$122,6,FALSE)-HLOOKUP(B131-1,'EV Forecast VRZ'!$F$124:$T$130,6,FALSE)))*C131/78,0)</f>
        <v>14184.124540703695</v>
      </c>
      <c r="M131" s="47">
        <f t="shared" si="13"/>
        <v>9159338.6143607032</v>
      </c>
    </row>
    <row r="132" spans="1:13">
      <c r="A132" s="2">
        <f t="shared" si="14"/>
        <v>45991</v>
      </c>
      <c r="B132">
        <f t="shared" si="15"/>
        <v>2025</v>
      </c>
      <c r="C132">
        <f t="shared" si="16"/>
        <v>11</v>
      </c>
      <c r="E132" s="391">
        <f t="shared" si="18"/>
        <v>880222</v>
      </c>
      <c r="F132" s="3">
        <v>20</v>
      </c>
      <c r="H132" s="3">
        <f t="shared" si="19"/>
        <v>-5284416</v>
      </c>
      <c r="I132" s="3">
        <f t="shared" si="20"/>
        <v>10743822.48982</v>
      </c>
      <c r="J132" s="3">
        <f t="shared" si="21"/>
        <v>3350680</v>
      </c>
      <c r="K132" s="47">
        <f t="shared" si="17"/>
        <v>8810086.4898199998</v>
      </c>
      <c r="L132" s="47">
        <f>IFERROR(HLOOKUP(B132-1,'EV Forecast VRZ'!$F$124:$T$130,6,FALSE)/12,0)+IFERROR(((HLOOKUP(B132,'EV Forecast VRZ'!$F$116:$T$122,6,FALSE)-HLOOKUP(B132-1,'EV Forecast VRZ'!$F$124:$T$130,6,FALSE)))*C132/78,0)</f>
        <v>14479.658161440731</v>
      </c>
      <c r="M132" s="47">
        <f t="shared" si="13"/>
        <v>8824566.1479814406</v>
      </c>
    </row>
    <row r="133" spans="1:13">
      <c r="A133" s="2">
        <f t="shared" si="14"/>
        <v>46022</v>
      </c>
      <c r="B133">
        <f t="shared" si="15"/>
        <v>2025</v>
      </c>
      <c r="C133">
        <f t="shared" si="16"/>
        <v>12</v>
      </c>
      <c r="E133" s="391">
        <f t="shared" si="18"/>
        <v>880222</v>
      </c>
      <c r="F133" s="3">
        <v>21</v>
      </c>
      <c r="H133" s="3">
        <f t="shared" si="19"/>
        <v>-5284416</v>
      </c>
      <c r="I133" s="3">
        <f t="shared" si="20"/>
        <v>10743822.48982</v>
      </c>
      <c r="J133" s="3">
        <f t="shared" si="21"/>
        <v>3518214</v>
      </c>
      <c r="K133" s="47">
        <f t="shared" si="17"/>
        <v>8977620.4898199998</v>
      </c>
      <c r="L133" s="47">
        <f>IFERROR(HLOOKUP(B133-1,'EV Forecast VRZ'!$F$124:$T$130,6,FALSE)/12,0)+IFERROR(((HLOOKUP(B133,'EV Forecast VRZ'!$F$116:$T$122,6,FALSE)-HLOOKUP(B133-1,'EV Forecast VRZ'!$F$124:$T$130,6,FALSE)))*C133/78,0)</f>
        <v>14775.191782177768</v>
      </c>
      <c r="M133" s="47">
        <f t="shared" si="13"/>
        <v>8992395.6816021781</v>
      </c>
    </row>
    <row r="134" spans="1:13">
      <c r="A134" s="2">
        <f t="shared" si="14"/>
        <v>46053</v>
      </c>
      <c r="B134">
        <f t="shared" si="15"/>
        <v>2026</v>
      </c>
      <c r="C134">
        <f t="shared" si="16"/>
        <v>1</v>
      </c>
      <c r="E134" s="391">
        <f t="shared" si="18"/>
        <v>880222</v>
      </c>
      <c r="F134" s="3">
        <v>21</v>
      </c>
      <c r="H134" s="3">
        <f t="shared" si="19"/>
        <v>-5284416</v>
      </c>
      <c r="I134" s="3">
        <f t="shared" si="20"/>
        <v>10743822.48982</v>
      </c>
      <c r="J134" s="3">
        <f t="shared" si="21"/>
        <v>3518214</v>
      </c>
      <c r="K134" s="47">
        <f t="shared" si="17"/>
        <v>8977620.4898199998</v>
      </c>
      <c r="L134" s="47">
        <f>IFERROR(HLOOKUP(B134-1,'EV Forecast VRZ'!$F$124:$T$130,6,FALSE)/12,0)+IFERROR(((HLOOKUP(B134,'EV Forecast VRZ'!$F$116:$T$122,6,FALSE)-HLOOKUP(B134-1,'EV Forecast VRZ'!$F$124:$T$130,6,FALSE)))*C134/78,0)</f>
        <v>15424.521753509825</v>
      </c>
      <c r="M134" s="47">
        <f t="shared" si="13"/>
        <v>8993045.0115735102</v>
      </c>
    </row>
    <row r="135" spans="1:13">
      <c r="A135" s="2">
        <f t="shared" si="14"/>
        <v>46081</v>
      </c>
      <c r="B135">
        <f t="shared" si="15"/>
        <v>2026</v>
      </c>
      <c r="C135">
        <f t="shared" si="16"/>
        <v>2</v>
      </c>
      <c r="E135" s="391">
        <f t="shared" si="18"/>
        <v>880222</v>
      </c>
      <c r="F135" s="3">
        <v>19</v>
      </c>
      <c r="H135" s="3">
        <f t="shared" si="19"/>
        <v>-5284416</v>
      </c>
      <c r="I135" s="3">
        <f t="shared" si="20"/>
        <v>10743822.48982</v>
      </c>
      <c r="J135" s="3">
        <f t="shared" si="21"/>
        <v>3183146</v>
      </c>
      <c r="K135" s="47">
        <f t="shared" si="17"/>
        <v>8642552.4898199998</v>
      </c>
      <c r="L135" s="47">
        <f>IFERROR(HLOOKUP(B135-1,'EV Forecast VRZ'!$F$124:$T$130,6,FALSE)/12,0)+IFERROR(((HLOOKUP(B135,'EV Forecast VRZ'!$F$116:$T$122,6,FALSE)-HLOOKUP(B135-1,'EV Forecast VRZ'!$F$124:$T$130,6,FALSE)))*C135/78,0)</f>
        <v>15778.318104104845</v>
      </c>
      <c r="M135" s="47">
        <f t="shared" si="13"/>
        <v>8658330.8079241049</v>
      </c>
    </row>
    <row r="136" spans="1:13">
      <c r="A136" s="2">
        <f t="shared" si="14"/>
        <v>46112</v>
      </c>
      <c r="B136">
        <f t="shared" si="15"/>
        <v>2026</v>
      </c>
      <c r="C136">
        <f t="shared" si="16"/>
        <v>3</v>
      </c>
      <c r="E136" s="391">
        <f t="shared" si="18"/>
        <v>880222</v>
      </c>
      <c r="F136" s="3">
        <v>22</v>
      </c>
      <c r="H136" s="3">
        <f t="shared" si="19"/>
        <v>-5284416</v>
      </c>
      <c r="I136" s="3">
        <f t="shared" si="20"/>
        <v>10743822.48982</v>
      </c>
      <c r="J136" s="3">
        <f t="shared" si="21"/>
        <v>3685748</v>
      </c>
      <c r="K136" s="47">
        <f t="shared" si="17"/>
        <v>9145154.4898199998</v>
      </c>
      <c r="L136" s="47">
        <f>IFERROR(HLOOKUP(B136-1,'EV Forecast VRZ'!$F$124:$T$130,6,FALSE)/12,0)+IFERROR(((HLOOKUP(B136,'EV Forecast VRZ'!$F$116:$T$122,6,FALSE)-HLOOKUP(B136-1,'EV Forecast VRZ'!$F$124:$T$130,6,FALSE)))*C136/78,0)</f>
        <v>16132.114454699866</v>
      </c>
      <c r="M136" s="47">
        <f t="shared" si="13"/>
        <v>9161286.6042746995</v>
      </c>
    </row>
    <row r="137" spans="1:13">
      <c r="A137" s="2">
        <f t="shared" si="14"/>
        <v>46142</v>
      </c>
      <c r="B137">
        <f t="shared" si="15"/>
        <v>2026</v>
      </c>
      <c r="C137">
        <f t="shared" si="16"/>
        <v>4</v>
      </c>
      <c r="E137" s="391">
        <f t="shared" si="18"/>
        <v>880222</v>
      </c>
      <c r="F137" s="3">
        <v>22</v>
      </c>
      <c r="H137" s="3">
        <f t="shared" si="19"/>
        <v>-5284416</v>
      </c>
      <c r="I137" s="3">
        <f t="shared" si="20"/>
        <v>10743822.48982</v>
      </c>
      <c r="J137" s="3">
        <f t="shared" si="21"/>
        <v>3685748</v>
      </c>
      <c r="K137" s="47">
        <f t="shared" si="17"/>
        <v>9145154.4898199998</v>
      </c>
      <c r="L137" s="47">
        <f>IFERROR(HLOOKUP(B137-1,'EV Forecast VRZ'!$F$124:$T$130,6,FALSE)/12,0)+IFERROR(((HLOOKUP(B137,'EV Forecast VRZ'!$F$116:$T$122,6,FALSE)-HLOOKUP(B137-1,'EV Forecast VRZ'!$F$124:$T$130,6,FALSE)))*C137/78,0)</f>
        <v>16485.910805294887</v>
      </c>
      <c r="M137" s="47">
        <f t="shared" si="13"/>
        <v>9161640.4006252941</v>
      </c>
    </row>
    <row r="138" spans="1:13">
      <c r="A138" s="2">
        <f t="shared" si="14"/>
        <v>46173</v>
      </c>
      <c r="B138">
        <f t="shared" si="15"/>
        <v>2026</v>
      </c>
      <c r="C138">
        <f t="shared" si="16"/>
        <v>5</v>
      </c>
      <c r="E138" s="391">
        <f t="shared" si="18"/>
        <v>880222</v>
      </c>
      <c r="F138" s="3">
        <v>20</v>
      </c>
      <c r="H138" s="3">
        <f t="shared" si="19"/>
        <v>-5284416</v>
      </c>
      <c r="I138" s="3">
        <f t="shared" si="20"/>
        <v>10743822.48982</v>
      </c>
      <c r="J138" s="3">
        <f t="shared" si="21"/>
        <v>3350680</v>
      </c>
      <c r="K138" s="47">
        <f t="shared" si="17"/>
        <v>8810086.4898199998</v>
      </c>
      <c r="L138" s="47">
        <f>IFERROR(HLOOKUP(B138-1,'EV Forecast VRZ'!$F$124:$T$130,6,FALSE)/12,0)+IFERROR(((HLOOKUP(B138,'EV Forecast VRZ'!$F$116:$T$122,6,FALSE)-HLOOKUP(B138-1,'EV Forecast VRZ'!$F$124:$T$130,6,FALSE)))*C138/78,0)</f>
        <v>16839.707155889908</v>
      </c>
      <c r="M138" s="47">
        <f t="shared" si="13"/>
        <v>8826926.1969758905</v>
      </c>
    </row>
    <row r="139" spans="1:13">
      <c r="A139" s="2">
        <f t="shared" si="14"/>
        <v>46203</v>
      </c>
      <c r="B139">
        <f t="shared" si="15"/>
        <v>2026</v>
      </c>
      <c r="C139">
        <f t="shared" si="16"/>
        <v>6</v>
      </c>
      <c r="E139" s="391">
        <f t="shared" si="18"/>
        <v>880222</v>
      </c>
      <c r="F139" s="3">
        <v>22</v>
      </c>
      <c r="H139" s="3">
        <f t="shared" si="19"/>
        <v>-5284416</v>
      </c>
      <c r="I139" s="3">
        <f t="shared" si="20"/>
        <v>10743822.48982</v>
      </c>
      <c r="J139" s="3">
        <f t="shared" si="21"/>
        <v>3685748</v>
      </c>
      <c r="K139" s="47">
        <f t="shared" si="17"/>
        <v>9145154.4898199998</v>
      </c>
      <c r="L139" s="47">
        <f>IFERROR(HLOOKUP(B139-1,'EV Forecast VRZ'!$F$124:$T$130,6,FALSE)/12,0)+IFERROR(((HLOOKUP(B139,'EV Forecast VRZ'!$F$116:$T$122,6,FALSE)-HLOOKUP(B139-1,'EV Forecast VRZ'!$F$124:$T$130,6,FALSE)))*C139/78,0)</f>
        <v>17193.503506484925</v>
      </c>
      <c r="M139" s="47">
        <f t="shared" si="13"/>
        <v>9162347.9933264852</v>
      </c>
    </row>
    <row r="140" spans="1:13">
      <c r="A140" s="2">
        <f t="shared" si="14"/>
        <v>46234</v>
      </c>
      <c r="B140">
        <f t="shared" si="15"/>
        <v>2026</v>
      </c>
      <c r="C140">
        <f t="shared" si="16"/>
        <v>7</v>
      </c>
      <c r="E140" s="391">
        <f t="shared" si="18"/>
        <v>880222</v>
      </c>
      <c r="F140" s="3">
        <v>22</v>
      </c>
      <c r="H140" s="3">
        <f t="shared" si="19"/>
        <v>-5284416</v>
      </c>
      <c r="I140" s="3">
        <f t="shared" si="20"/>
        <v>10743822.48982</v>
      </c>
      <c r="J140" s="3">
        <f t="shared" si="21"/>
        <v>3685748</v>
      </c>
      <c r="K140" s="47">
        <f t="shared" si="17"/>
        <v>9145154.4898199998</v>
      </c>
      <c r="L140" s="47">
        <f>IFERROR(HLOOKUP(B140-1,'EV Forecast VRZ'!$F$124:$T$130,6,FALSE)/12,0)+IFERROR(((HLOOKUP(B140,'EV Forecast VRZ'!$F$116:$T$122,6,FALSE)-HLOOKUP(B140-1,'EV Forecast VRZ'!$F$124:$T$130,6,FALSE)))*C140/78,0)</f>
        <v>17547.299857079946</v>
      </c>
      <c r="M140" s="47">
        <f t="shared" si="13"/>
        <v>9162701.7896770798</v>
      </c>
    </row>
    <row r="141" spans="1:13">
      <c r="A141" s="2">
        <f t="shared" si="14"/>
        <v>46265</v>
      </c>
      <c r="B141">
        <f t="shared" si="15"/>
        <v>2026</v>
      </c>
      <c r="C141">
        <f t="shared" si="16"/>
        <v>8</v>
      </c>
      <c r="E141" s="391">
        <f t="shared" si="18"/>
        <v>880222</v>
      </c>
      <c r="F141" s="3">
        <v>20</v>
      </c>
      <c r="H141" s="3">
        <f t="shared" si="19"/>
        <v>-5284416</v>
      </c>
      <c r="I141" s="3">
        <f t="shared" si="20"/>
        <v>10743822.48982</v>
      </c>
      <c r="J141" s="3">
        <f t="shared" si="21"/>
        <v>3350680</v>
      </c>
      <c r="K141" s="47">
        <f t="shared" si="17"/>
        <v>8810086.4898199998</v>
      </c>
      <c r="L141" s="47">
        <f>IFERROR(HLOOKUP(B141-1,'EV Forecast VRZ'!$F$124:$T$130,6,FALSE)/12,0)+IFERROR(((HLOOKUP(B141,'EV Forecast VRZ'!$F$116:$T$122,6,FALSE)-HLOOKUP(B141-1,'EV Forecast VRZ'!$F$124:$T$130,6,FALSE)))*C141/78,0)</f>
        <v>17901.096207674967</v>
      </c>
      <c r="M141" s="47">
        <f t="shared" si="13"/>
        <v>8827987.5860276744</v>
      </c>
    </row>
    <row r="142" spans="1:13">
      <c r="A142" s="2">
        <f t="shared" si="14"/>
        <v>46295</v>
      </c>
      <c r="B142">
        <f t="shared" si="15"/>
        <v>2026</v>
      </c>
      <c r="C142">
        <f t="shared" si="16"/>
        <v>9</v>
      </c>
      <c r="E142" s="391">
        <f t="shared" si="18"/>
        <v>880222</v>
      </c>
      <c r="F142" s="3">
        <v>21</v>
      </c>
      <c r="H142" s="3">
        <f t="shared" si="19"/>
        <v>-5284416</v>
      </c>
      <c r="I142" s="3">
        <f t="shared" si="20"/>
        <v>10743822.48982</v>
      </c>
      <c r="J142" s="3">
        <f t="shared" si="21"/>
        <v>3518214</v>
      </c>
      <c r="K142" s="47">
        <f t="shared" si="17"/>
        <v>8977620.4898199998</v>
      </c>
      <c r="L142" s="47">
        <f>IFERROR(HLOOKUP(B142-1,'EV Forecast VRZ'!$F$124:$T$130,6,FALSE)/12,0)+IFERROR(((HLOOKUP(B142,'EV Forecast VRZ'!$F$116:$T$122,6,FALSE)-HLOOKUP(B142-1,'EV Forecast VRZ'!$F$124:$T$130,6,FALSE)))*C142/78,0)</f>
        <v>18254.892558269989</v>
      </c>
      <c r="M142" s="47">
        <f t="shared" si="13"/>
        <v>8995875.382378269</v>
      </c>
    </row>
    <row r="143" spans="1:13">
      <c r="A143" s="2">
        <f t="shared" si="14"/>
        <v>46326</v>
      </c>
      <c r="B143">
        <f t="shared" si="15"/>
        <v>2026</v>
      </c>
      <c r="C143">
        <f t="shared" si="16"/>
        <v>10</v>
      </c>
      <c r="E143" s="391">
        <f t="shared" si="18"/>
        <v>880222</v>
      </c>
      <c r="F143" s="3">
        <v>21</v>
      </c>
      <c r="H143" s="3">
        <f t="shared" si="19"/>
        <v>-5284416</v>
      </c>
      <c r="I143" s="3">
        <f t="shared" si="20"/>
        <v>10743822.48982</v>
      </c>
      <c r="J143" s="3">
        <f t="shared" si="21"/>
        <v>3518214</v>
      </c>
      <c r="K143" s="47">
        <f t="shared" si="17"/>
        <v>8977620.4898199998</v>
      </c>
      <c r="L143" s="47">
        <f>IFERROR(HLOOKUP(B143-1,'EV Forecast VRZ'!$F$124:$T$130,6,FALSE)/12,0)+IFERROR(((HLOOKUP(B143,'EV Forecast VRZ'!$F$116:$T$122,6,FALSE)-HLOOKUP(B143-1,'EV Forecast VRZ'!$F$124:$T$130,6,FALSE)))*C143/78,0)</f>
        <v>18608.68890886501</v>
      </c>
      <c r="M143" s="47">
        <f t="shared" si="13"/>
        <v>8996229.1787288655</v>
      </c>
    </row>
    <row r="144" spans="1:13">
      <c r="A144" s="2">
        <f t="shared" si="14"/>
        <v>46356</v>
      </c>
      <c r="B144">
        <f t="shared" si="15"/>
        <v>2026</v>
      </c>
      <c r="C144">
        <f t="shared" si="16"/>
        <v>11</v>
      </c>
      <c r="E144" s="391">
        <f t="shared" si="18"/>
        <v>880222</v>
      </c>
      <c r="F144" s="3">
        <v>21</v>
      </c>
      <c r="H144" s="3">
        <f t="shared" si="19"/>
        <v>-5284416</v>
      </c>
      <c r="I144" s="3">
        <f t="shared" si="20"/>
        <v>10743822.48982</v>
      </c>
      <c r="J144" s="3">
        <f t="shared" si="21"/>
        <v>3518214</v>
      </c>
      <c r="K144" s="47">
        <f t="shared" si="17"/>
        <v>8977620.4898199998</v>
      </c>
      <c r="L144" s="47">
        <f>IFERROR(HLOOKUP(B144-1,'EV Forecast VRZ'!$F$124:$T$130,6,FALSE)/12,0)+IFERROR(((HLOOKUP(B144,'EV Forecast VRZ'!$F$116:$T$122,6,FALSE)-HLOOKUP(B144-1,'EV Forecast VRZ'!$F$124:$T$130,6,FALSE)))*C144/78,0)</f>
        <v>18962.485259460031</v>
      </c>
      <c r="M144" s="47">
        <f t="shared" si="13"/>
        <v>8996582.9750794601</v>
      </c>
    </row>
    <row r="145" spans="1:13">
      <c r="A145" s="2">
        <f t="shared" si="14"/>
        <v>46387</v>
      </c>
      <c r="B145">
        <f t="shared" si="15"/>
        <v>2026</v>
      </c>
      <c r="C145">
        <f t="shared" si="16"/>
        <v>12</v>
      </c>
      <c r="E145" s="391">
        <f t="shared" si="18"/>
        <v>880222</v>
      </c>
      <c r="F145" s="3">
        <v>21</v>
      </c>
      <c r="H145" s="3">
        <f t="shared" si="19"/>
        <v>-5284416</v>
      </c>
      <c r="I145" s="3">
        <f t="shared" si="20"/>
        <v>10743822.48982</v>
      </c>
      <c r="J145" s="3">
        <f t="shared" si="21"/>
        <v>3518214</v>
      </c>
      <c r="K145" s="47">
        <f t="shared" si="17"/>
        <v>8977620.4898199998</v>
      </c>
      <c r="L145" s="47">
        <f>IFERROR(HLOOKUP(B145-1,'EV Forecast VRZ'!$F$124:$T$130,6,FALSE)/12,0)+IFERROR(((HLOOKUP(B145,'EV Forecast VRZ'!$F$116:$T$122,6,FALSE)-HLOOKUP(B145-1,'EV Forecast VRZ'!$F$124:$T$130,6,FALSE)))*C145/78,0)</f>
        <v>19316.281610055048</v>
      </c>
      <c r="M145" s="47">
        <f t="shared" si="13"/>
        <v>8996936.7714300547</v>
      </c>
    </row>
    <row r="146" spans="1:13">
      <c r="A146" s="2">
        <f t="shared" si="14"/>
        <v>46418</v>
      </c>
      <c r="B146">
        <f t="shared" si="15"/>
        <v>2027</v>
      </c>
      <c r="C146">
        <f t="shared" si="16"/>
        <v>1</v>
      </c>
      <c r="E146" s="391">
        <f t="shared" si="18"/>
        <v>880222</v>
      </c>
      <c r="F146" s="3">
        <v>20</v>
      </c>
      <c r="H146" s="3">
        <f t="shared" si="19"/>
        <v>-5284416</v>
      </c>
      <c r="I146" s="3">
        <f t="shared" si="20"/>
        <v>10743822.48982</v>
      </c>
      <c r="J146" s="3">
        <f t="shared" si="21"/>
        <v>3350680</v>
      </c>
      <c r="K146" s="47">
        <f t="shared" si="17"/>
        <v>8810086.4898199998</v>
      </c>
      <c r="L146" s="47">
        <f>IFERROR(HLOOKUP(B146-1,'EV Forecast VRZ'!$F$124:$T$130,6,FALSE)/12,0)+IFERROR(((HLOOKUP(B146,'EV Forecast VRZ'!$F$116:$T$122,6,FALSE)-HLOOKUP(B146-1,'EV Forecast VRZ'!$F$124:$T$130,6,FALSE)))*C146/78,0)</f>
        <v>20027.376824028586</v>
      </c>
      <c r="M146" s="47">
        <f t="shared" si="13"/>
        <v>8830113.8666440286</v>
      </c>
    </row>
    <row r="147" spans="1:13">
      <c r="A147" s="2">
        <f t="shared" si="14"/>
        <v>46446</v>
      </c>
      <c r="B147">
        <f t="shared" si="15"/>
        <v>2027</v>
      </c>
      <c r="C147">
        <f t="shared" si="16"/>
        <v>2</v>
      </c>
      <c r="E147" s="391">
        <f t="shared" si="18"/>
        <v>880222</v>
      </c>
      <c r="F147" s="3">
        <v>19</v>
      </c>
      <c r="H147" s="3">
        <f t="shared" si="19"/>
        <v>-5284416</v>
      </c>
      <c r="I147" s="3">
        <f t="shared" si="20"/>
        <v>10743822.48982</v>
      </c>
      <c r="J147" s="3">
        <f t="shared" si="21"/>
        <v>3183146</v>
      </c>
      <c r="K147" s="47">
        <f t="shared" si="17"/>
        <v>8642552.4898199998</v>
      </c>
      <c r="L147" s="47">
        <f>IFERROR(HLOOKUP(B147-1,'EV Forecast VRZ'!$F$124:$T$130,6,FALSE)/12,0)+IFERROR(((HLOOKUP(B147,'EV Forecast VRZ'!$F$116:$T$122,6,FALSE)-HLOOKUP(B147-1,'EV Forecast VRZ'!$F$124:$T$130,6,FALSE)))*C147/78,0)</f>
        <v>20384.6756874071</v>
      </c>
      <c r="M147" s="47">
        <f t="shared" si="13"/>
        <v>8662937.165507406</v>
      </c>
    </row>
    <row r="148" spans="1:13">
      <c r="A148" s="2">
        <f t="shared" si="14"/>
        <v>46477</v>
      </c>
      <c r="B148">
        <f t="shared" si="15"/>
        <v>2027</v>
      </c>
      <c r="C148">
        <f t="shared" si="16"/>
        <v>3</v>
      </c>
      <c r="E148" s="391">
        <f t="shared" si="18"/>
        <v>880222</v>
      </c>
      <c r="F148" s="3">
        <v>22</v>
      </c>
      <c r="H148" s="3">
        <f t="shared" si="19"/>
        <v>-5284416</v>
      </c>
      <c r="I148" s="3">
        <f t="shared" si="20"/>
        <v>10743822.48982</v>
      </c>
      <c r="J148" s="3">
        <f t="shared" si="21"/>
        <v>3685748</v>
      </c>
      <c r="K148" s="47">
        <f t="shared" si="17"/>
        <v>9145154.4898199998</v>
      </c>
      <c r="L148" s="47">
        <f>IFERROR(HLOOKUP(B148-1,'EV Forecast VRZ'!$F$124:$T$130,6,FALSE)/12,0)+IFERROR(((HLOOKUP(B148,'EV Forecast VRZ'!$F$116:$T$122,6,FALSE)-HLOOKUP(B148-1,'EV Forecast VRZ'!$F$124:$T$130,6,FALSE)))*C148/78,0)</f>
        <v>20741.974550785617</v>
      </c>
      <c r="M148" s="47">
        <f t="shared" si="13"/>
        <v>9165896.4643707853</v>
      </c>
    </row>
    <row r="149" spans="1:13">
      <c r="A149" s="2">
        <f t="shared" si="14"/>
        <v>46507</v>
      </c>
      <c r="B149">
        <f t="shared" si="15"/>
        <v>2027</v>
      </c>
      <c r="C149">
        <f t="shared" si="16"/>
        <v>4</v>
      </c>
      <c r="E149" s="391">
        <f t="shared" si="18"/>
        <v>880222</v>
      </c>
      <c r="F149" s="3">
        <v>22</v>
      </c>
      <c r="H149" s="3">
        <f t="shared" si="19"/>
        <v>-5284416</v>
      </c>
      <c r="I149" s="3">
        <f t="shared" si="20"/>
        <v>10743822.48982</v>
      </c>
      <c r="J149" s="3">
        <f t="shared" si="21"/>
        <v>3685748</v>
      </c>
      <c r="K149" s="47">
        <f t="shared" si="17"/>
        <v>9145154.4898199998</v>
      </c>
      <c r="L149" s="47">
        <f>IFERROR(HLOOKUP(B149-1,'EV Forecast VRZ'!$F$124:$T$130,6,FALSE)/12,0)+IFERROR(((HLOOKUP(B149,'EV Forecast VRZ'!$F$116:$T$122,6,FALSE)-HLOOKUP(B149-1,'EV Forecast VRZ'!$F$124:$T$130,6,FALSE)))*C149/78,0)</f>
        <v>21099.27341416413</v>
      </c>
      <c r="M149" s="47">
        <f t="shared" si="13"/>
        <v>9166253.7632341646</v>
      </c>
    </row>
    <row r="150" spans="1:13">
      <c r="A150" s="2">
        <f t="shared" si="14"/>
        <v>46538</v>
      </c>
      <c r="B150">
        <f t="shared" si="15"/>
        <v>2027</v>
      </c>
      <c r="C150">
        <f t="shared" si="16"/>
        <v>5</v>
      </c>
      <c r="E150" s="391">
        <f t="shared" si="18"/>
        <v>880222</v>
      </c>
      <c r="F150" s="3">
        <v>20</v>
      </c>
      <c r="H150" s="3">
        <f t="shared" si="19"/>
        <v>-5284416</v>
      </c>
      <c r="I150" s="3">
        <f t="shared" si="20"/>
        <v>10743822.48982</v>
      </c>
      <c r="J150" s="3">
        <f t="shared" si="21"/>
        <v>3350680</v>
      </c>
      <c r="K150" s="47">
        <f t="shared" si="17"/>
        <v>8810086.4898199998</v>
      </c>
      <c r="L150" s="47">
        <f>IFERROR(HLOOKUP(B150-1,'EV Forecast VRZ'!$F$124:$T$130,6,FALSE)/12,0)+IFERROR(((HLOOKUP(B150,'EV Forecast VRZ'!$F$116:$T$122,6,FALSE)-HLOOKUP(B150-1,'EV Forecast VRZ'!$F$124:$T$130,6,FALSE)))*C150/78,0)</f>
        <v>21456.572277542647</v>
      </c>
      <c r="M150" s="47">
        <f t="shared" si="13"/>
        <v>8831543.062097542</v>
      </c>
    </row>
    <row r="151" spans="1:13">
      <c r="A151" s="2">
        <f t="shared" si="14"/>
        <v>46568</v>
      </c>
      <c r="B151">
        <f t="shared" si="15"/>
        <v>2027</v>
      </c>
      <c r="C151">
        <f t="shared" si="16"/>
        <v>6</v>
      </c>
      <c r="E151" s="391">
        <f t="shared" si="18"/>
        <v>880222</v>
      </c>
      <c r="F151" s="3">
        <v>22</v>
      </c>
      <c r="H151" s="3">
        <f t="shared" si="19"/>
        <v>-5284416</v>
      </c>
      <c r="I151" s="3">
        <f t="shared" si="20"/>
        <v>10743822.48982</v>
      </c>
      <c r="J151" s="3">
        <f t="shared" si="21"/>
        <v>3685748</v>
      </c>
      <c r="K151" s="47">
        <f t="shared" si="17"/>
        <v>9145154.4898199998</v>
      </c>
      <c r="L151" s="47">
        <f>IFERROR(HLOOKUP(B151-1,'EV Forecast VRZ'!$F$124:$T$130,6,FALSE)/12,0)+IFERROR(((HLOOKUP(B151,'EV Forecast VRZ'!$F$116:$T$122,6,FALSE)-HLOOKUP(B151-1,'EV Forecast VRZ'!$F$124:$T$130,6,FALSE)))*C151/78,0)</f>
        <v>21813.871140921165</v>
      </c>
      <c r="M151" s="47">
        <f t="shared" si="13"/>
        <v>9166968.3609609213</v>
      </c>
    </row>
    <row r="152" spans="1:13">
      <c r="A152" s="2">
        <f t="shared" si="14"/>
        <v>46599</v>
      </c>
      <c r="B152">
        <f t="shared" si="15"/>
        <v>2027</v>
      </c>
      <c r="C152">
        <f t="shared" si="16"/>
        <v>7</v>
      </c>
      <c r="E152" s="391">
        <f t="shared" si="18"/>
        <v>880222</v>
      </c>
      <c r="F152" s="3">
        <v>21</v>
      </c>
      <c r="H152" s="3">
        <f t="shared" si="19"/>
        <v>-5284416</v>
      </c>
      <c r="I152" s="3">
        <f t="shared" si="20"/>
        <v>10743822.48982</v>
      </c>
      <c r="J152" s="3">
        <f t="shared" si="21"/>
        <v>3518214</v>
      </c>
      <c r="K152" s="47">
        <f t="shared" si="17"/>
        <v>8977620.4898199998</v>
      </c>
      <c r="L152" s="47">
        <f>IFERROR(HLOOKUP(B152-1,'EV Forecast VRZ'!$F$124:$T$130,6,FALSE)/12,0)+IFERROR(((HLOOKUP(B152,'EV Forecast VRZ'!$F$116:$T$122,6,FALSE)-HLOOKUP(B152-1,'EV Forecast VRZ'!$F$124:$T$130,6,FALSE)))*C152/78,0)</f>
        <v>22171.170004299678</v>
      </c>
      <c r="M152" s="47">
        <f t="shared" si="13"/>
        <v>8999791.6598242987</v>
      </c>
    </row>
    <row r="153" spans="1:13">
      <c r="A153" s="2">
        <f t="shared" si="14"/>
        <v>46630</v>
      </c>
      <c r="B153">
        <f t="shared" si="15"/>
        <v>2027</v>
      </c>
      <c r="C153">
        <f t="shared" si="16"/>
        <v>8</v>
      </c>
      <c r="E153" s="391">
        <f t="shared" si="18"/>
        <v>880222</v>
      </c>
      <c r="F153" s="3">
        <v>21</v>
      </c>
      <c r="H153" s="3">
        <f t="shared" si="19"/>
        <v>-5284416</v>
      </c>
      <c r="I153" s="3">
        <f t="shared" si="20"/>
        <v>10743822.48982</v>
      </c>
      <c r="J153" s="3">
        <f t="shared" si="21"/>
        <v>3518214</v>
      </c>
      <c r="K153" s="47">
        <f t="shared" si="17"/>
        <v>8977620.4898199998</v>
      </c>
      <c r="L153" s="47">
        <f>IFERROR(HLOOKUP(B153-1,'EV Forecast VRZ'!$F$124:$T$130,6,FALSE)/12,0)+IFERROR(((HLOOKUP(B153,'EV Forecast VRZ'!$F$116:$T$122,6,FALSE)-HLOOKUP(B153-1,'EV Forecast VRZ'!$F$124:$T$130,6,FALSE)))*C153/78,0)</f>
        <v>22528.468867678195</v>
      </c>
      <c r="M153" s="47">
        <f t="shared" si="13"/>
        <v>9000148.958687678</v>
      </c>
    </row>
    <row r="154" spans="1:13">
      <c r="A154" s="2">
        <f t="shared" si="14"/>
        <v>46660</v>
      </c>
      <c r="B154">
        <f t="shared" si="15"/>
        <v>2027</v>
      </c>
      <c r="C154">
        <f t="shared" si="16"/>
        <v>9</v>
      </c>
      <c r="E154" s="391">
        <f t="shared" si="18"/>
        <v>880222</v>
      </c>
      <c r="F154" s="3">
        <v>21</v>
      </c>
      <c r="H154" s="3">
        <f t="shared" si="19"/>
        <v>-5284416</v>
      </c>
      <c r="I154" s="3">
        <f t="shared" si="20"/>
        <v>10743822.48982</v>
      </c>
      <c r="J154" s="3">
        <f t="shared" si="21"/>
        <v>3518214</v>
      </c>
      <c r="K154" s="47">
        <f t="shared" si="17"/>
        <v>8977620.4898199998</v>
      </c>
      <c r="L154" s="47">
        <f>IFERROR(HLOOKUP(B154-1,'EV Forecast VRZ'!$F$124:$T$130,6,FALSE)/12,0)+IFERROR(((HLOOKUP(B154,'EV Forecast VRZ'!$F$116:$T$122,6,FALSE)-HLOOKUP(B154-1,'EV Forecast VRZ'!$F$124:$T$130,6,FALSE)))*C154/78,0)</f>
        <v>22885.767731056709</v>
      </c>
      <c r="M154" s="47">
        <f t="shared" si="13"/>
        <v>9000506.2575510573</v>
      </c>
    </row>
    <row r="155" spans="1:13">
      <c r="A155" s="2">
        <f t="shared" si="14"/>
        <v>46691</v>
      </c>
      <c r="B155">
        <f t="shared" si="15"/>
        <v>2027</v>
      </c>
      <c r="C155">
        <f t="shared" si="16"/>
        <v>10</v>
      </c>
      <c r="E155" s="391">
        <f t="shared" si="18"/>
        <v>880222</v>
      </c>
      <c r="F155" s="3">
        <v>20</v>
      </c>
      <c r="H155" s="3">
        <f t="shared" si="19"/>
        <v>-5284416</v>
      </c>
      <c r="I155" s="3">
        <f t="shared" si="20"/>
        <v>10743822.48982</v>
      </c>
      <c r="J155" s="3">
        <f t="shared" si="21"/>
        <v>3350680</v>
      </c>
      <c r="K155" s="47">
        <f t="shared" si="17"/>
        <v>8810086.4898199998</v>
      </c>
      <c r="L155" s="47">
        <f>IFERROR(HLOOKUP(B155-1,'EV Forecast VRZ'!$F$124:$T$130,6,FALSE)/12,0)+IFERROR(((HLOOKUP(B155,'EV Forecast VRZ'!$F$116:$T$122,6,FALSE)-HLOOKUP(B155-1,'EV Forecast VRZ'!$F$124:$T$130,6,FALSE)))*C155/78,0)</f>
        <v>23243.066594435226</v>
      </c>
      <c r="M155" s="47">
        <f t="shared" si="13"/>
        <v>8833329.5564144347</v>
      </c>
    </row>
    <row r="156" spans="1:13">
      <c r="A156" s="2">
        <f t="shared" si="14"/>
        <v>46721</v>
      </c>
      <c r="B156">
        <f t="shared" si="15"/>
        <v>2027</v>
      </c>
      <c r="C156">
        <f t="shared" si="16"/>
        <v>11</v>
      </c>
      <c r="E156" s="391">
        <f t="shared" si="18"/>
        <v>880222</v>
      </c>
      <c r="F156" s="3">
        <v>22</v>
      </c>
      <c r="H156" s="3">
        <f t="shared" si="19"/>
        <v>-5284416</v>
      </c>
      <c r="I156" s="3">
        <f t="shared" si="20"/>
        <v>10743822.48982</v>
      </c>
      <c r="J156" s="3">
        <f t="shared" si="21"/>
        <v>3685748</v>
      </c>
      <c r="K156" s="47">
        <f t="shared" si="17"/>
        <v>9145154.4898199998</v>
      </c>
      <c r="L156" s="47">
        <f>IFERROR(HLOOKUP(B156-1,'EV Forecast VRZ'!$F$124:$T$130,6,FALSE)/12,0)+IFERROR(((HLOOKUP(B156,'EV Forecast VRZ'!$F$116:$T$122,6,FALSE)-HLOOKUP(B156-1,'EV Forecast VRZ'!$F$124:$T$130,6,FALSE)))*C156/78,0)</f>
        <v>23600.365457813743</v>
      </c>
      <c r="M156" s="47">
        <f t="shared" si="13"/>
        <v>9168754.855277814</v>
      </c>
    </row>
    <row r="157" spans="1:13">
      <c r="A157" s="2">
        <f t="shared" si="14"/>
        <v>46752</v>
      </c>
      <c r="B157">
        <f t="shared" si="15"/>
        <v>2027</v>
      </c>
      <c r="C157">
        <f t="shared" si="16"/>
        <v>12</v>
      </c>
      <c r="E157" s="391">
        <f t="shared" si="18"/>
        <v>880222</v>
      </c>
      <c r="F157" s="3">
        <v>20</v>
      </c>
      <c r="H157" s="3">
        <f t="shared" si="19"/>
        <v>-5284416</v>
      </c>
      <c r="I157" s="3">
        <f t="shared" si="20"/>
        <v>10743822.48982</v>
      </c>
      <c r="J157" s="3">
        <f t="shared" si="21"/>
        <v>3350680</v>
      </c>
      <c r="K157" s="47">
        <f t="shared" si="17"/>
        <v>8810086.4898199998</v>
      </c>
      <c r="L157" s="47">
        <f>IFERROR(HLOOKUP(B157-1,'EV Forecast VRZ'!$F$124:$T$130,6,FALSE)/12,0)+IFERROR(((HLOOKUP(B157,'EV Forecast VRZ'!$F$116:$T$122,6,FALSE)-HLOOKUP(B157-1,'EV Forecast VRZ'!$F$124:$T$130,6,FALSE)))*C157/78,0)</f>
        <v>23957.664321192256</v>
      </c>
      <c r="M157" s="47">
        <f t="shared" si="13"/>
        <v>8834044.1541411914</v>
      </c>
    </row>
    <row r="158" spans="1:13">
      <c r="A158" s="2">
        <f t="shared" si="14"/>
        <v>46783</v>
      </c>
      <c r="B158">
        <f t="shared" si="15"/>
        <v>2028</v>
      </c>
      <c r="C158">
        <f t="shared" si="16"/>
        <v>1</v>
      </c>
      <c r="E158" s="391">
        <f>E146*(1+'Economic Data'!$AC$17)</f>
        <v>896946.21799999988</v>
      </c>
      <c r="F158" s="3">
        <v>20</v>
      </c>
      <c r="H158" s="3">
        <f t="shared" si="19"/>
        <v>-5284416</v>
      </c>
      <c r="I158" s="3">
        <f t="shared" si="20"/>
        <v>10947955.117126578</v>
      </c>
      <c r="J158" s="3">
        <f t="shared" si="21"/>
        <v>3350680</v>
      </c>
      <c r="K158" s="47">
        <f t="shared" si="17"/>
        <v>9014219.1171265785</v>
      </c>
      <c r="L158" s="47">
        <f>IFERROR(HLOOKUP(B158-1,'EV Forecast VRZ'!$F$124:$T$130,6,FALSE)/12,0)+IFERROR(((HLOOKUP(B158,'EV Forecast VRZ'!$F$116:$T$122,6,FALSE)-HLOOKUP(B158-1,'EV Forecast VRZ'!$F$124:$T$130,6,FALSE)))*C158/78,0)</f>
        <v>25018.743376550039</v>
      </c>
      <c r="M158" s="47">
        <f t="shared" si="13"/>
        <v>9039237.8605031278</v>
      </c>
    </row>
    <row r="159" spans="1:13">
      <c r="A159" s="2">
        <f t="shared" si="14"/>
        <v>46812</v>
      </c>
      <c r="B159">
        <f t="shared" si="15"/>
        <v>2028</v>
      </c>
      <c r="C159">
        <f t="shared" si="16"/>
        <v>2</v>
      </c>
      <c r="E159" s="391">
        <f>E147*(1+'Economic Data'!$AC$17)</f>
        <v>896946.21799999988</v>
      </c>
      <c r="F159" s="3">
        <v>21</v>
      </c>
      <c r="H159" s="3">
        <f t="shared" si="19"/>
        <v>-5284416</v>
      </c>
      <c r="I159" s="3">
        <f t="shared" si="20"/>
        <v>10947955.117126578</v>
      </c>
      <c r="J159" s="3">
        <f t="shared" si="21"/>
        <v>3518214</v>
      </c>
      <c r="K159" s="47">
        <f t="shared" si="17"/>
        <v>9181753.1171265785</v>
      </c>
      <c r="L159" s="47">
        <f>IFERROR(HLOOKUP(B159-1,'EV Forecast VRZ'!$F$124:$T$130,6,FALSE)/12,0)+IFERROR(((HLOOKUP(B159,'EV Forecast VRZ'!$F$116:$T$122,6,FALSE)-HLOOKUP(B159-1,'EV Forecast VRZ'!$F$124:$T$130,6,FALSE)))*C159/78,0)</f>
        <v>25352.202235195975</v>
      </c>
      <c r="M159" s="47">
        <f t="shared" si="13"/>
        <v>9207105.3193617743</v>
      </c>
    </row>
    <row r="160" spans="1:13">
      <c r="A160" s="2">
        <f t="shared" si="14"/>
        <v>46843</v>
      </c>
      <c r="B160">
        <f t="shared" si="15"/>
        <v>2028</v>
      </c>
      <c r="C160">
        <f t="shared" si="16"/>
        <v>3</v>
      </c>
      <c r="E160" s="391">
        <f>E148*(1+'Economic Data'!$AC$17)</f>
        <v>896946.21799999988</v>
      </c>
      <c r="F160" s="3">
        <v>23</v>
      </c>
      <c r="H160" s="3">
        <f t="shared" si="19"/>
        <v>-5284416</v>
      </c>
      <c r="I160" s="3">
        <f t="shared" si="20"/>
        <v>10947955.117126578</v>
      </c>
      <c r="J160" s="3">
        <f t="shared" si="21"/>
        <v>3853282</v>
      </c>
      <c r="K160" s="47">
        <f t="shared" si="17"/>
        <v>9516821.1171265785</v>
      </c>
      <c r="L160" s="47">
        <f>IFERROR(HLOOKUP(B160-1,'EV Forecast VRZ'!$F$124:$T$130,6,FALSE)/12,0)+IFERROR(((HLOOKUP(B160,'EV Forecast VRZ'!$F$116:$T$122,6,FALSE)-HLOOKUP(B160-1,'EV Forecast VRZ'!$F$124:$T$130,6,FALSE)))*C160/78,0)</f>
        <v>25685.661093841907</v>
      </c>
      <c r="M160" s="47">
        <f t="shared" si="13"/>
        <v>9542506.7782204207</v>
      </c>
    </row>
    <row r="161" spans="1:13">
      <c r="A161" s="2">
        <f t="shared" si="14"/>
        <v>46873</v>
      </c>
      <c r="B161">
        <f t="shared" si="15"/>
        <v>2028</v>
      </c>
      <c r="C161">
        <f t="shared" si="16"/>
        <v>4</v>
      </c>
      <c r="E161" s="391">
        <f>E149*(1+'Economic Data'!$AC$17)</f>
        <v>896946.21799999988</v>
      </c>
      <c r="F161" s="3">
        <v>19</v>
      </c>
      <c r="H161" s="3">
        <f t="shared" si="19"/>
        <v>-5284416</v>
      </c>
      <c r="I161" s="3">
        <f t="shared" si="20"/>
        <v>10947955.117126578</v>
      </c>
      <c r="J161" s="3">
        <f t="shared" si="21"/>
        <v>3183146</v>
      </c>
      <c r="K161" s="47">
        <f t="shared" si="17"/>
        <v>8846685.1171265785</v>
      </c>
      <c r="L161" s="47">
        <f>IFERROR(HLOOKUP(B161-1,'EV Forecast VRZ'!$F$124:$T$130,6,FALSE)/12,0)+IFERROR(((HLOOKUP(B161,'EV Forecast VRZ'!$F$116:$T$122,6,FALSE)-HLOOKUP(B161-1,'EV Forecast VRZ'!$F$124:$T$130,6,FALSE)))*C161/78,0)</f>
        <v>26019.119952487843</v>
      </c>
      <c r="M161" s="47">
        <f t="shared" si="13"/>
        <v>8872704.2370790672</v>
      </c>
    </row>
    <row r="162" spans="1:13">
      <c r="A162" s="2">
        <f t="shared" si="14"/>
        <v>46904</v>
      </c>
      <c r="B162">
        <f t="shared" si="15"/>
        <v>2028</v>
      </c>
      <c r="C162">
        <f t="shared" si="16"/>
        <v>5</v>
      </c>
      <c r="E162" s="391">
        <f>E150*(1+'Economic Data'!$AC$17)</f>
        <v>896946.21799999988</v>
      </c>
      <c r="F162" s="3">
        <v>22</v>
      </c>
      <c r="H162" s="3">
        <f t="shared" si="19"/>
        <v>-5284416</v>
      </c>
      <c r="I162" s="3">
        <f t="shared" si="20"/>
        <v>10947955.117126578</v>
      </c>
      <c r="J162" s="3">
        <f t="shared" si="21"/>
        <v>3685748</v>
      </c>
      <c r="K162" s="47">
        <f t="shared" si="17"/>
        <v>9349287.1171265785</v>
      </c>
      <c r="L162" s="47">
        <f>IFERROR(HLOOKUP(B162-1,'EV Forecast VRZ'!$F$124:$T$130,6,FALSE)/12,0)+IFERROR(((HLOOKUP(B162,'EV Forecast VRZ'!$F$116:$T$122,6,FALSE)-HLOOKUP(B162-1,'EV Forecast VRZ'!$F$124:$T$130,6,FALSE)))*C162/78,0)</f>
        <v>26352.578811133775</v>
      </c>
      <c r="M162" s="47">
        <f t="shared" si="13"/>
        <v>9375639.6959377117</v>
      </c>
    </row>
    <row r="163" spans="1:13">
      <c r="A163" s="2">
        <f t="shared" si="14"/>
        <v>46934</v>
      </c>
      <c r="B163">
        <f t="shared" si="15"/>
        <v>2028</v>
      </c>
      <c r="C163">
        <f t="shared" si="16"/>
        <v>6</v>
      </c>
      <c r="E163" s="391">
        <f>E151*(1+'Economic Data'!$AC$17)</f>
        <v>896946.21799999988</v>
      </c>
      <c r="F163" s="3">
        <v>22</v>
      </c>
      <c r="H163" s="3">
        <f t="shared" si="19"/>
        <v>-5284416</v>
      </c>
      <c r="I163" s="3">
        <f t="shared" si="20"/>
        <v>10947955.117126578</v>
      </c>
      <c r="J163" s="3">
        <f t="shared" si="21"/>
        <v>3685748</v>
      </c>
      <c r="K163" s="47">
        <f t="shared" si="17"/>
        <v>9349287.1171265785</v>
      </c>
      <c r="L163" s="47">
        <f>IFERROR(HLOOKUP(B163-1,'EV Forecast VRZ'!$F$124:$T$130,6,FALSE)/12,0)+IFERROR(((HLOOKUP(B163,'EV Forecast VRZ'!$F$116:$T$122,6,FALSE)-HLOOKUP(B163-1,'EV Forecast VRZ'!$F$124:$T$130,6,FALSE)))*C163/78,0)</f>
        <v>26686.037669779711</v>
      </c>
      <c r="M163" s="47">
        <f t="shared" si="13"/>
        <v>9375973.1547963582</v>
      </c>
    </row>
    <row r="164" spans="1:13">
      <c r="A164" s="2">
        <f t="shared" si="14"/>
        <v>46965</v>
      </c>
      <c r="B164">
        <f t="shared" si="15"/>
        <v>2028</v>
      </c>
      <c r="C164">
        <f t="shared" si="16"/>
        <v>7</v>
      </c>
      <c r="E164" s="391">
        <f>E152*(1+'Economic Data'!$AC$17)</f>
        <v>896946.21799999988</v>
      </c>
      <c r="F164" s="3">
        <v>20</v>
      </c>
      <c r="H164" s="3">
        <f t="shared" si="19"/>
        <v>-5284416</v>
      </c>
      <c r="I164" s="3">
        <f t="shared" si="20"/>
        <v>10947955.117126578</v>
      </c>
      <c r="J164" s="3">
        <f t="shared" si="21"/>
        <v>3350680</v>
      </c>
      <c r="K164" s="47">
        <f t="shared" si="17"/>
        <v>9014219.1171265785</v>
      </c>
      <c r="L164" s="47">
        <f>IFERROR(HLOOKUP(B164-1,'EV Forecast VRZ'!$F$124:$T$130,6,FALSE)/12,0)+IFERROR(((HLOOKUP(B164,'EV Forecast VRZ'!$F$116:$T$122,6,FALSE)-HLOOKUP(B164-1,'EV Forecast VRZ'!$F$124:$T$130,6,FALSE)))*C164/78,0)</f>
        <v>27019.496528425643</v>
      </c>
      <c r="M164" s="47">
        <f t="shared" si="13"/>
        <v>9041238.6136550047</v>
      </c>
    </row>
    <row r="165" spans="1:13">
      <c r="A165" s="2">
        <f t="shared" si="14"/>
        <v>46996</v>
      </c>
      <c r="B165">
        <f t="shared" si="15"/>
        <v>2028</v>
      </c>
      <c r="C165">
        <f t="shared" si="16"/>
        <v>8</v>
      </c>
      <c r="E165" s="391">
        <f>E153*(1+'Economic Data'!$AC$17)</f>
        <v>896946.21799999988</v>
      </c>
      <c r="F165" s="3">
        <v>22</v>
      </c>
      <c r="H165" s="3">
        <f t="shared" si="19"/>
        <v>-5284416</v>
      </c>
      <c r="I165" s="3">
        <f t="shared" si="20"/>
        <v>10947955.117126578</v>
      </c>
      <c r="J165" s="3">
        <f t="shared" si="21"/>
        <v>3685748</v>
      </c>
      <c r="K165" s="47">
        <f t="shared" si="17"/>
        <v>9349287.1171265785</v>
      </c>
      <c r="L165" s="47">
        <f>IFERROR(HLOOKUP(B165-1,'EV Forecast VRZ'!$F$124:$T$130,6,FALSE)/12,0)+IFERROR(((HLOOKUP(B165,'EV Forecast VRZ'!$F$116:$T$122,6,FALSE)-HLOOKUP(B165-1,'EV Forecast VRZ'!$F$124:$T$130,6,FALSE)))*C165/78,0)</f>
        <v>27352.955387071575</v>
      </c>
      <c r="M165" s="47">
        <f t="shared" si="13"/>
        <v>9376640.0725136492</v>
      </c>
    </row>
    <row r="166" spans="1:13">
      <c r="A166" s="2">
        <f t="shared" si="14"/>
        <v>47026</v>
      </c>
      <c r="B166">
        <f t="shared" si="15"/>
        <v>2028</v>
      </c>
      <c r="C166">
        <f t="shared" si="16"/>
        <v>9</v>
      </c>
      <c r="E166" s="391">
        <f>E154*(1+'Economic Data'!$AC$17)</f>
        <v>896946.21799999988</v>
      </c>
      <c r="F166" s="3">
        <v>20</v>
      </c>
      <c r="H166" s="3">
        <f t="shared" si="19"/>
        <v>-5284416</v>
      </c>
      <c r="I166" s="3">
        <f t="shared" si="20"/>
        <v>10947955.117126578</v>
      </c>
      <c r="J166" s="3">
        <f t="shared" si="21"/>
        <v>3350680</v>
      </c>
      <c r="K166" s="47">
        <f t="shared" si="17"/>
        <v>9014219.1171265785</v>
      </c>
      <c r="L166" s="47">
        <f>IFERROR(HLOOKUP(B166-1,'EV Forecast VRZ'!$F$124:$T$130,6,FALSE)/12,0)+IFERROR(((HLOOKUP(B166,'EV Forecast VRZ'!$F$116:$T$122,6,FALSE)-HLOOKUP(B166-1,'EV Forecast VRZ'!$F$124:$T$130,6,FALSE)))*C166/78,0)</f>
        <v>27686.414245717511</v>
      </c>
      <c r="M166" s="47">
        <f t="shared" si="13"/>
        <v>9041905.5313722957</v>
      </c>
    </row>
    <row r="167" spans="1:13">
      <c r="A167" s="2">
        <f t="shared" si="14"/>
        <v>47057</v>
      </c>
      <c r="B167">
        <f t="shared" si="15"/>
        <v>2028</v>
      </c>
      <c r="C167">
        <f t="shared" si="16"/>
        <v>10</v>
      </c>
      <c r="E167" s="391">
        <f>E155*(1+'Economic Data'!$AC$17)</f>
        <v>896946.21799999988</v>
      </c>
      <c r="F167" s="3">
        <v>21</v>
      </c>
      <c r="H167" s="3">
        <f t="shared" si="19"/>
        <v>-5284416</v>
      </c>
      <c r="I167" s="3">
        <f t="shared" si="20"/>
        <v>10947955.117126578</v>
      </c>
      <c r="J167" s="3">
        <f t="shared" si="21"/>
        <v>3518214</v>
      </c>
      <c r="K167" s="47">
        <f t="shared" si="17"/>
        <v>9181753.1171265785</v>
      </c>
      <c r="L167" s="47">
        <f>IFERROR(HLOOKUP(B167-1,'EV Forecast VRZ'!$F$124:$T$130,6,FALSE)/12,0)+IFERROR(((HLOOKUP(B167,'EV Forecast VRZ'!$F$116:$T$122,6,FALSE)-HLOOKUP(B167-1,'EV Forecast VRZ'!$F$124:$T$130,6,FALSE)))*C167/78,0)</f>
        <v>28019.873104363443</v>
      </c>
      <c r="M167" s="47">
        <f t="shared" si="13"/>
        <v>9209772.9902309421</v>
      </c>
    </row>
    <row r="168" spans="1:13">
      <c r="A168" s="2">
        <f t="shared" si="14"/>
        <v>47087</v>
      </c>
      <c r="B168">
        <f t="shared" si="15"/>
        <v>2028</v>
      </c>
      <c r="C168">
        <f t="shared" si="16"/>
        <v>11</v>
      </c>
      <c r="E168" s="391">
        <f>E156*(1+'Economic Data'!$AC$17)</f>
        <v>896946.21799999988</v>
      </c>
      <c r="F168" s="3">
        <v>22</v>
      </c>
      <c r="H168" s="3">
        <f t="shared" si="19"/>
        <v>-5284416</v>
      </c>
      <c r="I168" s="3">
        <f t="shared" si="20"/>
        <v>10947955.117126578</v>
      </c>
      <c r="J168" s="3">
        <f t="shared" si="21"/>
        <v>3685748</v>
      </c>
      <c r="K168" s="47">
        <f t="shared" si="17"/>
        <v>9349287.1171265785</v>
      </c>
      <c r="L168" s="47">
        <f>IFERROR(HLOOKUP(B168-1,'EV Forecast VRZ'!$F$124:$T$130,6,FALSE)/12,0)+IFERROR(((HLOOKUP(B168,'EV Forecast VRZ'!$F$116:$T$122,6,FALSE)-HLOOKUP(B168-1,'EV Forecast VRZ'!$F$124:$T$130,6,FALSE)))*C168/78,0)</f>
        <v>28353.331963009379</v>
      </c>
      <c r="M168" s="47">
        <f t="shared" si="13"/>
        <v>9377640.4490895886</v>
      </c>
    </row>
    <row r="169" spans="1:13">
      <c r="A169" s="2">
        <f t="shared" si="14"/>
        <v>47118</v>
      </c>
      <c r="B169">
        <f t="shared" si="15"/>
        <v>2028</v>
      </c>
      <c r="C169">
        <f t="shared" si="16"/>
        <v>12</v>
      </c>
      <c r="E169" s="391">
        <f>E157*(1+'Economic Data'!$AC$17)</f>
        <v>896946.21799999988</v>
      </c>
      <c r="F169" s="3">
        <v>19</v>
      </c>
      <c r="H169" s="3">
        <f t="shared" si="19"/>
        <v>-5284416</v>
      </c>
      <c r="I169" s="3">
        <f t="shared" si="20"/>
        <v>10947955.117126578</v>
      </c>
      <c r="J169" s="3">
        <f t="shared" si="21"/>
        <v>3183146</v>
      </c>
      <c r="K169" s="47">
        <f t="shared" si="17"/>
        <v>8846685.1171265785</v>
      </c>
      <c r="L169" s="47">
        <f>IFERROR(HLOOKUP(B169-1,'EV Forecast VRZ'!$F$124:$T$130,6,FALSE)/12,0)+IFERROR(((HLOOKUP(B169,'EV Forecast VRZ'!$F$116:$T$122,6,FALSE)-HLOOKUP(B169-1,'EV Forecast VRZ'!$F$124:$T$130,6,FALSE)))*C169/78,0)</f>
        <v>28686.790821655311</v>
      </c>
      <c r="M169" s="47">
        <f t="shared" si="13"/>
        <v>8875371.9079482332</v>
      </c>
    </row>
    <row r="170" spans="1:13">
      <c r="A170" s="2">
        <f t="shared" si="14"/>
        <v>47149</v>
      </c>
      <c r="B170">
        <f t="shared" si="15"/>
        <v>2029</v>
      </c>
      <c r="C170">
        <f t="shared" si="16"/>
        <v>1</v>
      </c>
      <c r="E170" s="391">
        <f>E158*(1+'Economic Data'!$AC$17)</f>
        <v>913988.1961419998</v>
      </c>
      <c r="F170" s="3">
        <v>22</v>
      </c>
      <c r="H170" s="3">
        <f t="shared" si="19"/>
        <v>-5284416</v>
      </c>
      <c r="I170" s="3">
        <f t="shared" si="20"/>
        <v>11155966.264351983</v>
      </c>
      <c r="J170" s="3">
        <f t="shared" si="21"/>
        <v>3685748</v>
      </c>
      <c r="K170" s="47">
        <f t="shared" si="17"/>
        <v>9557298.2643519826</v>
      </c>
      <c r="L170" s="47">
        <f>IFERROR(HLOOKUP(B170-1,'EV Forecast VRZ'!$F$124:$T$130,6,FALSE)/12,0)+IFERROR(((HLOOKUP(B170,'EV Forecast VRZ'!$F$116:$T$122,6,FALSE)-HLOOKUP(B170-1,'EV Forecast VRZ'!$F$124:$T$130,6,FALSE)))*C170/78,0)</f>
        <v>30444.541592654306</v>
      </c>
      <c r="M170" s="47">
        <f t="shared" si="13"/>
        <v>9587742.8059446365</v>
      </c>
    </row>
    <row r="171" spans="1:13">
      <c r="A171" s="2">
        <f t="shared" si="14"/>
        <v>47177</v>
      </c>
      <c r="B171">
        <f t="shared" si="15"/>
        <v>2029</v>
      </c>
      <c r="C171">
        <f t="shared" si="16"/>
        <v>2</v>
      </c>
      <c r="E171" s="391">
        <f>E159*(1+'Economic Data'!$AC$17)</f>
        <v>913988.1961419998</v>
      </c>
      <c r="F171" s="3">
        <v>19</v>
      </c>
      <c r="H171" s="3">
        <f t="shared" si="19"/>
        <v>-5284416</v>
      </c>
      <c r="I171" s="3">
        <f t="shared" si="20"/>
        <v>11155966.264351983</v>
      </c>
      <c r="J171" s="3">
        <f t="shared" si="21"/>
        <v>3183146</v>
      </c>
      <c r="K171" s="47">
        <f t="shared" si="17"/>
        <v>9054696.2643519826</v>
      </c>
      <c r="L171" s="47">
        <f>IFERROR(HLOOKUP(B171-1,'EV Forecast VRZ'!$F$124:$T$130,6,FALSE)/12,0)+IFERROR(((HLOOKUP(B171,'EV Forecast VRZ'!$F$116:$T$122,6,FALSE)-HLOOKUP(B171-1,'EV Forecast VRZ'!$F$124:$T$130,6,FALSE)))*C171/78,0)</f>
        <v>30935.660838340697</v>
      </c>
      <c r="M171" s="47">
        <f t="shared" si="13"/>
        <v>9085631.925190324</v>
      </c>
    </row>
    <row r="172" spans="1:13">
      <c r="A172" s="2">
        <f t="shared" si="14"/>
        <v>47208</v>
      </c>
      <c r="B172">
        <f t="shared" si="15"/>
        <v>2029</v>
      </c>
      <c r="C172">
        <f t="shared" si="16"/>
        <v>3</v>
      </c>
      <c r="E172" s="391">
        <f>E160*(1+'Economic Data'!$AC$17)</f>
        <v>913988.1961419998</v>
      </c>
      <c r="F172" s="3">
        <v>21</v>
      </c>
      <c r="H172" s="3">
        <f t="shared" si="19"/>
        <v>-5284416</v>
      </c>
      <c r="I172" s="3">
        <f t="shared" si="20"/>
        <v>11155966.264351983</v>
      </c>
      <c r="J172" s="3">
        <f t="shared" si="21"/>
        <v>3518214</v>
      </c>
      <c r="K172" s="47">
        <f t="shared" si="17"/>
        <v>9389764.2643519826</v>
      </c>
      <c r="L172" s="47">
        <f>IFERROR(HLOOKUP(B172-1,'EV Forecast VRZ'!$F$124:$T$130,6,FALSE)/12,0)+IFERROR(((HLOOKUP(B172,'EV Forecast VRZ'!$F$116:$T$122,6,FALSE)-HLOOKUP(B172-1,'EV Forecast VRZ'!$F$124:$T$130,6,FALSE)))*C172/78,0)</f>
        <v>31426.780084027083</v>
      </c>
      <c r="M172" s="47">
        <f t="shared" si="13"/>
        <v>9421191.0444360096</v>
      </c>
    </row>
    <row r="173" spans="1:13">
      <c r="A173" s="2">
        <f t="shared" si="14"/>
        <v>47238</v>
      </c>
      <c r="B173">
        <f t="shared" si="15"/>
        <v>2029</v>
      </c>
      <c r="C173">
        <f t="shared" si="16"/>
        <v>4</v>
      </c>
      <c r="E173" s="391">
        <f>E161*(1+'Economic Data'!$AC$17)</f>
        <v>913988.1961419998</v>
      </c>
      <c r="F173" s="3">
        <v>21</v>
      </c>
      <c r="H173" s="3">
        <f t="shared" si="19"/>
        <v>-5284416</v>
      </c>
      <c r="I173" s="3">
        <f t="shared" si="20"/>
        <v>11155966.264351983</v>
      </c>
      <c r="J173" s="3">
        <f t="shared" si="21"/>
        <v>3518214</v>
      </c>
      <c r="K173" s="47">
        <f t="shared" si="17"/>
        <v>9389764.2643519826</v>
      </c>
      <c r="L173" s="47">
        <f>IFERROR(HLOOKUP(B173-1,'EV Forecast VRZ'!$F$124:$T$130,6,FALSE)/12,0)+IFERROR(((HLOOKUP(B173,'EV Forecast VRZ'!$F$116:$T$122,6,FALSE)-HLOOKUP(B173-1,'EV Forecast VRZ'!$F$124:$T$130,6,FALSE)))*C173/78,0)</f>
        <v>31917.899329713473</v>
      </c>
      <c r="M173" s="47">
        <f t="shared" si="13"/>
        <v>9421682.1636816952</v>
      </c>
    </row>
    <row r="174" spans="1:13">
      <c r="A174" s="2">
        <f t="shared" si="14"/>
        <v>47269</v>
      </c>
      <c r="B174">
        <f t="shared" si="15"/>
        <v>2029</v>
      </c>
      <c r="C174">
        <f t="shared" si="16"/>
        <v>5</v>
      </c>
      <c r="E174" s="391">
        <f>E162*(1+'Economic Data'!$AC$17)</f>
        <v>913988.1961419998</v>
      </c>
      <c r="F174" s="3">
        <v>22</v>
      </c>
      <c r="H174" s="3">
        <f t="shared" si="19"/>
        <v>-5284416</v>
      </c>
      <c r="I174" s="3">
        <f t="shared" si="20"/>
        <v>11155966.264351983</v>
      </c>
      <c r="J174" s="3">
        <f t="shared" si="21"/>
        <v>3685748</v>
      </c>
      <c r="K174" s="47">
        <f t="shared" ref="K174:K205" si="22">SUM(H174:J174)</f>
        <v>9557298.2643519826</v>
      </c>
      <c r="L174" s="47">
        <f>IFERROR(HLOOKUP(B174-1,'EV Forecast VRZ'!$F$124:$T$130,6,FALSE)/12,0)+IFERROR(((HLOOKUP(B174,'EV Forecast VRZ'!$F$116:$T$122,6,FALSE)-HLOOKUP(B174-1,'EV Forecast VRZ'!$F$124:$T$130,6,FALSE)))*C174/78,0)</f>
        <v>32409.018575399863</v>
      </c>
      <c r="M174" s="47">
        <f t="shared" si="13"/>
        <v>9589707.2829273827</v>
      </c>
    </row>
    <row r="175" spans="1:13">
      <c r="A175" s="2">
        <f t="shared" ref="A175:A205" si="23">EOMONTH(A174,1)</f>
        <v>47299</v>
      </c>
      <c r="B175">
        <f t="shared" ref="B175:B205" si="24">YEAR(A175)</f>
        <v>2029</v>
      </c>
      <c r="C175">
        <f t="shared" ref="C175:C205" si="25">MONTH(A175)</f>
        <v>6</v>
      </c>
      <c r="E175" s="391">
        <f>E163*(1+'Economic Data'!$AC$17)</f>
        <v>913988.1961419998</v>
      </c>
      <c r="F175" s="3">
        <v>21</v>
      </c>
      <c r="H175" s="3">
        <f t="shared" si="19"/>
        <v>-5284416</v>
      </c>
      <c r="I175" s="3">
        <f t="shared" si="20"/>
        <v>11155966.264351983</v>
      </c>
      <c r="J175" s="3">
        <f t="shared" si="21"/>
        <v>3518214</v>
      </c>
      <c r="K175" s="47">
        <f t="shared" si="22"/>
        <v>9389764.2643519826</v>
      </c>
      <c r="L175" s="47">
        <f>IFERROR(HLOOKUP(B175-1,'EV Forecast VRZ'!$F$124:$T$130,6,FALSE)/12,0)+IFERROR(((HLOOKUP(B175,'EV Forecast VRZ'!$F$116:$T$122,6,FALSE)-HLOOKUP(B175-1,'EV Forecast VRZ'!$F$124:$T$130,6,FALSE)))*C175/78,0)</f>
        <v>32900.137821086253</v>
      </c>
      <c r="M175" s="47">
        <f t="shared" si="13"/>
        <v>9422664.4021730684</v>
      </c>
    </row>
    <row r="176" spans="1:13">
      <c r="A176" s="2">
        <f t="shared" si="23"/>
        <v>47330</v>
      </c>
      <c r="B176">
        <f t="shared" si="24"/>
        <v>2029</v>
      </c>
      <c r="C176">
        <f t="shared" si="25"/>
        <v>7</v>
      </c>
      <c r="E176" s="391">
        <f>E164*(1+'Economic Data'!$AC$17)</f>
        <v>913988.1961419998</v>
      </c>
      <c r="F176" s="3">
        <v>21</v>
      </c>
      <c r="H176" s="3">
        <f t="shared" si="19"/>
        <v>-5284416</v>
      </c>
      <c r="I176" s="3">
        <f t="shared" si="20"/>
        <v>11155966.264351983</v>
      </c>
      <c r="J176" s="3">
        <f t="shared" si="21"/>
        <v>3518214</v>
      </c>
      <c r="K176" s="47">
        <f t="shared" si="22"/>
        <v>9389764.2643519826</v>
      </c>
      <c r="L176" s="47">
        <f>IFERROR(HLOOKUP(B176-1,'EV Forecast VRZ'!$F$124:$T$130,6,FALSE)/12,0)+IFERROR(((HLOOKUP(B176,'EV Forecast VRZ'!$F$116:$T$122,6,FALSE)-HLOOKUP(B176-1,'EV Forecast VRZ'!$F$124:$T$130,6,FALSE)))*C176/78,0)</f>
        <v>33391.25706677264</v>
      </c>
      <c r="M176" s="47">
        <f t="shared" si="13"/>
        <v>9423155.5214187559</v>
      </c>
    </row>
    <row r="177" spans="1:13">
      <c r="A177" s="2">
        <f t="shared" si="23"/>
        <v>47361</v>
      </c>
      <c r="B177">
        <f t="shared" si="24"/>
        <v>2029</v>
      </c>
      <c r="C177">
        <f t="shared" si="25"/>
        <v>8</v>
      </c>
      <c r="E177" s="391">
        <f>E165*(1+'Economic Data'!$AC$17)</f>
        <v>913988.1961419998</v>
      </c>
      <c r="F177" s="3">
        <v>22</v>
      </c>
      <c r="H177" s="3">
        <f t="shared" si="19"/>
        <v>-5284416</v>
      </c>
      <c r="I177" s="3">
        <f t="shared" si="20"/>
        <v>11155966.264351983</v>
      </c>
      <c r="J177" s="3">
        <f t="shared" si="21"/>
        <v>3685748</v>
      </c>
      <c r="K177" s="47">
        <f t="shared" si="22"/>
        <v>9557298.2643519826</v>
      </c>
      <c r="L177" s="47">
        <f>IFERROR(HLOOKUP(B177-1,'EV Forecast VRZ'!$F$124:$T$130,6,FALSE)/12,0)+IFERROR(((HLOOKUP(B177,'EV Forecast VRZ'!$F$116:$T$122,6,FALSE)-HLOOKUP(B177-1,'EV Forecast VRZ'!$F$124:$T$130,6,FALSE)))*C177/78,0)</f>
        <v>33882.376312459033</v>
      </c>
      <c r="M177" s="47">
        <f t="shared" si="13"/>
        <v>9591180.6406644415</v>
      </c>
    </row>
    <row r="178" spans="1:13">
      <c r="A178" s="2">
        <f t="shared" si="23"/>
        <v>47391</v>
      </c>
      <c r="B178">
        <f t="shared" si="24"/>
        <v>2029</v>
      </c>
      <c r="C178">
        <f t="shared" si="25"/>
        <v>9</v>
      </c>
      <c r="E178" s="391">
        <f>E166*(1+'Economic Data'!$AC$17)</f>
        <v>913988.1961419998</v>
      </c>
      <c r="F178" s="3">
        <v>19</v>
      </c>
      <c r="H178" s="3">
        <f t="shared" si="19"/>
        <v>-5284416</v>
      </c>
      <c r="I178" s="3">
        <f t="shared" si="20"/>
        <v>11155966.264351983</v>
      </c>
      <c r="J178" s="3">
        <f t="shared" si="21"/>
        <v>3183146</v>
      </c>
      <c r="K178" s="47">
        <f t="shared" si="22"/>
        <v>9054696.2643519826</v>
      </c>
      <c r="L178" s="47">
        <f>IFERROR(HLOOKUP(B178-1,'EV Forecast VRZ'!$F$124:$T$130,6,FALSE)/12,0)+IFERROR(((HLOOKUP(B178,'EV Forecast VRZ'!$F$116:$T$122,6,FALSE)-HLOOKUP(B178-1,'EV Forecast VRZ'!$F$124:$T$130,6,FALSE)))*C178/78,0)</f>
        <v>34373.49555814542</v>
      </c>
      <c r="M178" s="47">
        <f t="shared" si="13"/>
        <v>9089069.7599101271</v>
      </c>
    </row>
    <row r="179" spans="1:13">
      <c r="A179" s="2">
        <f t="shared" si="23"/>
        <v>47422</v>
      </c>
      <c r="B179">
        <f t="shared" si="24"/>
        <v>2029</v>
      </c>
      <c r="C179">
        <f t="shared" si="25"/>
        <v>10</v>
      </c>
      <c r="E179" s="391">
        <f>E167*(1+'Economic Data'!$AC$17)</f>
        <v>913988.1961419998</v>
      </c>
      <c r="F179" s="3">
        <v>22</v>
      </c>
      <c r="H179" s="3">
        <f t="shared" si="19"/>
        <v>-5284416</v>
      </c>
      <c r="I179" s="3">
        <f t="shared" si="20"/>
        <v>11155966.264351983</v>
      </c>
      <c r="J179" s="3">
        <f t="shared" si="21"/>
        <v>3685748</v>
      </c>
      <c r="K179" s="47">
        <f t="shared" si="22"/>
        <v>9557298.2643519826</v>
      </c>
      <c r="L179" s="47">
        <f>IFERROR(HLOOKUP(B179-1,'EV Forecast VRZ'!$F$124:$T$130,6,FALSE)/12,0)+IFERROR(((HLOOKUP(B179,'EV Forecast VRZ'!$F$116:$T$122,6,FALSE)-HLOOKUP(B179-1,'EV Forecast VRZ'!$F$124:$T$130,6,FALSE)))*C179/78,0)</f>
        <v>34864.614803831806</v>
      </c>
      <c r="M179" s="47">
        <f t="shared" si="13"/>
        <v>9592162.8791558146</v>
      </c>
    </row>
    <row r="180" spans="1:13">
      <c r="A180" s="2">
        <f t="shared" si="23"/>
        <v>47452</v>
      </c>
      <c r="B180">
        <f t="shared" si="24"/>
        <v>2029</v>
      </c>
      <c r="C180">
        <f t="shared" si="25"/>
        <v>11</v>
      </c>
      <c r="E180" s="391">
        <f>E168*(1+'Economic Data'!$AC$17)</f>
        <v>913988.1961419998</v>
      </c>
      <c r="F180" s="3">
        <v>22</v>
      </c>
      <c r="H180" s="3">
        <f t="shared" si="19"/>
        <v>-5284416</v>
      </c>
      <c r="I180" s="3">
        <f t="shared" si="20"/>
        <v>11155966.264351983</v>
      </c>
      <c r="J180" s="3">
        <f t="shared" si="21"/>
        <v>3685748</v>
      </c>
      <c r="K180" s="47">
        <f t="shared" si="22"/>
        <v>9557298.2643519826</v>
      </c>
      <c r="L180" s="47">
        <f>IFERROR(HLOOKUP(B180-1,'EV Forecast VRZ'!$F$124:$T$130,6,FALSE)/12,0)+IFERROR(((HLOOKUP(B180,'EV Forecast VRZ'!$F$116:$T$122,6,FALSE)-HLOOKUP(B180-1,'EV Forecast VRZ'!$F$124:$T$130,6,FALSE)))*C180/78,0)</f>
        <v>35355.7340495182</v>
      </c>
      <c r="M180" s="47">
        <f t="shared" si="13"/>
        <v>9592653.9984015003</v>
      </c>
    </row>
    <row r="181" spans="1:13">
      <c r="A181" s="2">
        <f t="shared" si="23"/>
        <v>47483</v>
      </c>
      <c r="B181">
        <f t="shared" si="24"/>
        <v>2029</v>
      </c>
      <c r="C181">
        <f t="shared" si="25"/>
        <v>12</v>
      </c>
      <c r="E181" s="391">
        <f>E169*(1+'Economic Data'!$AC$17)</f>
        <v>913988.1961419998</v>
      </c>
      <c r="F181" s="3">
        <v>19</v>
      </c>
      <c r="H181" s="3">
        <f t="shared" si="19"/>
        <v>-5284416</v>
      </c>
      <c r="I181" s="3">
        <f t="shared" si="20"/>
        <v>11155966.264351983</v>
      </c>
      <c r="J181" s="3">
        <f t="shared" si="21"/>
        <v>3183146</v>
      </c>
      <c r="K181" s="47">
        <f t="shared" si="22"/>
        <v>9054696.2643519826</v>
      </c>
      <c r="L181" s="47">
        <f>IFERROR(HLOOKUP(B181-1,'EV Forecast VRZ'!$F$124:$T$130,6,FALSE)/12,0)+IFERROR(((HLOOKUP(B181,'EV Forecast VRZ'!$F$116:$T$122,6,FALSE)-HLOOKUP(B181-1,'EV Forecast VRZ'!$F$124:$T$130,6,FALSE)))*C181/78,0)</f>
        <v>35846.853295204586</v>
      </c>
      <c r="M181" s="47">
        <f t="shared" si="13"/>
        <v>9090543.1176471878</v>
      </c>
    </row>
    <row r="182" spans="1:13">
      <c r="A182" s="2">
        <f t="shared" si="23"/>
        <v>47514</v>
      </c>
      <c r="B182">
        <f t="shared" si="24"/>
        <v>2030</v>
      </c>
      <c r="C182">
        <f t="shared" si="25"/>
        <v>1</v>
      </c>
      <c r="E182" s="391">
        <f>E170*(1+'Economic Data'!$AC$17)</f>
        <v>931353.97186869767</v>
      </c>
      <c r="F182" s="3">
        <v>22</v>
      </c>
      <c r="H182" s="3">
        <f t="shared" si="19"/>
        <v>-5284416</v>
      </c>
      <c r="I182" s="3">
        <f t="shared" si="20"/>
        <v>11367929.623374669</v>
      </c>
      <c r="J182" s="3">
        <f t="shared" si="21"/>
        <v>3685748</v>
      </c>
      <c r="K182" s="47">
        <f t="shared" si="22"/>
        <v>9769261.6233746689</v>
      </c>
      <c r="L182" s="47">
        <f>IFERROR(HLOOKUP(B182-1,'EV Forecast VRZ'!$F$124:$T$130,6,FALSE)/12,0)+IFERROR(((HLOOKUP(B182,'EV Forecast VRZ'!$F$116:$T$122,6,FALSE)-HLOOKUP(B182-1,'EV Forecast VRZ'!$F$124:$T$130,6,FALSE)))*C182/78,0)</f>
        <v>37218.654701597021</v>
      </c>
      <c r="M182" s="47">
        <f t="shared" si="13"/>
        <v>9806480.278076265</v>
      </c>
    </row>
    <row r="183" spans="1:13">
      <c r="A183" s="2">
        <f t="shared" si="23"/>
        <v>47542</v>
      </c>
      <c r="B183">
        <f t="shared" si="24"/>
        <v>2030</v>
      </c>
      <c r="C183">
        <f t="shared" si="25"/>
        <v>2</v>
      </c>
      <c r="E183" s="391">
        <f>E171*(1+'Economic Data'!$AC$17)</f>
        <v>931353.97186869767</v>
      </c>
      <c r="F183" s="3">
        <v>19</v>
      </c>
      <c r="H183" s="3">
        <f t="shared" si="19"/>
        <v>-5284416</v>
      </c>
      <c r="I183" s="3">
        <f t="shared" si="20"/>
        <v>11367929.623374669</v>
      </c>
      <c r="J183" s="3">
        <f t="shared" si="21"/>
        <v>3183146</v>
      </c>
      <c r="K183" s="47">
        <f t="shared" si="22"/>
        <v>9266659.6233746689</v>
      </c>
      <c r="L183" s="47">
        <f>IFERROR(HLOOKUP(B183-1,'EV Forecast VRZ'!$F$124:$T$130,6,FALSE)/12,0)+IFERROR(((HLOOKUP(B183,'EV Forecast VRZ'!$F$116:$T$122,6,FALSE)-HLOOKUP(B183-1,'EV Forecast VRZ'!$F$124:$T$130,6,FALSE)))*C183/78,0)</f>
        <v>37767.826862303053</v>
      </c>
      <c r="M183" s="47">
        <f t="shared" ref="M183:M205" si="26">K183+L183</f>
        <v>9304427.4502369724</v>
      </c>
    </row>
    <row r="184" spans="1:13">
      <c r="A184" s="2">
        <f t="shared" si="23"/>
        <v>47573</v>
      </c>
      <c r="B184">
        <f t="shared" si="24"/>
        <v>2030</v>
      </c>
      <c r="C184">
        <f t="shared" si="25"/>
        <v>3</v>
      </c>
      <c r="E184" s="391">
        <f>E172*(1+'Economic Data'!$AC$17)</f>
        <v>931353.97186869767</v>
      </c>
      <c r="F184" s="3">
        <v>21</v>
      </c>
      <c r="H184" s="3">
        <f t="shared" si="19"/>
        <v>-5284416</v>
      </c>
      <c r="I184" s="3">
        <f t="shared" si="20"/>
        <v>11367929.623374669</v>
      </c>
      <c r="J184" s="3">
        <f t="shared" si="21"/>
        <v>3518214</v>
      </c>
      <c r="K184" s="47">
        <f t="shared" si="22"/>
        <v>9601727.6233746689</v>
      </c>
      <c r="L184" s="47">
        <f>IFERROR(HLOOKUP(B184-1,'EV Forecast VRZ'!$F$124:$T$130,6,FALSE)/12,0)+IFERROR(((HLOOKUP(B184,'EV Forecast VRZ'!$F$116:$T$122,6,FALSE)-HLOOKUP(B184-1,'EV Forecast VRZ'!$F$124:$T$130,6,FALSE)))*C184/78,0)</f>
        <v>38316.999023009084</v>
      </c>
      <c r="M184" s="47">
        <f t="shared" si="26"/>
        <v>9640044.622397678</v>
      </c>
    </row>
    <row r="185" spans="1:13">
      <c r="A185" s="2">
        <f t="shared" si="23"/>
        <v>47603</v>
      </c>
      <c r="B185">
        <f t="shared" si="24"/>
        <v>2030</v>
      </c>
      <c r="C185">
        <f t="shared" si="25"/>
        <v>4</v>
      </c>
      <c r="E185" s="391">
        <f>E173*(1+'Economic Data'!$AC$17)</f>
        <v>931353.97186869767</v>
      </c>
      <c r="F185" s="3">
        <v>21</v>
      </c>
      <c r="H185" s="3">
        <f t="shared" si="19"/>
        <v>-5284416</v>
      </c>
      <c r="I185" s="3">
        <f t="shared" si="20"/>
        <v>11367929.623374669</v>
      </c>
      <c r="J185" s="3">
        <f t="shared" si="21"/>
        <v>3518214</v>
      </c>
      <c r="K185" s="47">
        <f t="shared" si="22"/>
        <v>9601727.6233746689</v>
      </c>
      <c r="L185" s="47">
        <f>IFERROR(HLOOKUP(B185-1,'EV Forecast VRZ'!$F$124:$T$130,6,FALSE)/12,0)+IFERROR(((HLOOKUP(B185,'EV Forecast VRZ'!$F$116:$T$122,6,FALSE)-HLOOKUP(B185-1,'EV Forecast VRZ'!$F$124:$T$130,6,FALSE)))*C185/78,0)</f>
        <v>38866.171183715109</v>
      </c>
      <c r="M185" s="47">
        <f t="shared" si="26"/>
        <v>9640593.7945583835</v>
      </c>
    </row>
    <row r="186" spans="1:13">
      <c r="A186" s="2">
        <f t="shared" si="23"/>
        <v>47634</v>
      </c>
      <c r="B186">
        <f t="shared" si="24"/>
        <v>2030</v>
      </c>
      <c r="C186">
        <f t="shared" si="25"/>
        <v>5</v>
      </c>
      <c r="E186" s="391">
        <f>E174*(1+'Economic Data'!$AC$17)</f>
        <v>931353.97186869767</v>
      </c>
      <c r="F186" s="3">
        <v>22</v>
      </c>
      <c r="H186" s="3">
        <f t="shared" si="19"/>
        <v>-5284416</v>
      </c>
      <c r="I186" s="3">
        <f t="shared" si="20"/>
        <v>11367929.623374669</v>
      </c>
      <c r="J186" s="3">
        <f t="shared" si="21"/>
        <v>3685748</v>
      </c>
      <c r="K186" s="47">
        <f t="shared" si="22"/>
        <v>9769261.6233746689</v>
      </c>
      <c r="L186" s="47">
        <f>IFERROR(HLOOKUP(B186-1,'EV Forecast VRZ'!$F$124:$T$130,6,FALSE)/12,0)+IFERROR(((HLOOKUP(B186,'EV Forecast VRZ'!$F$116:$T$122,6,FALSE)-HLOOKUP(B186-1,'EV Forecast VRZ'!$F$124:$T$130,6,FALSE)))*C186/78,0)</f>
        <v>39415.343344421141</v>
      </c>
      <c r="M186" s="47">
        <f t="shared" si="26"/>
        <v>9808676.9667190909</v>
      </c>
    </row>
    <row r="187" spans="1:13">
      <c r="A187" s="2">
        <f t="shared" si="23"/>
        <v>47664</v>
      </c>
      <c r="B187">
        <f t="shared" si="24"/>
        <v>2030</v>
      </c>
      <c r="C187">
        <f t="shared" si="25"/>
        <v>6</v>
      </c>
      <c r="E187" s="391">
        <f>E175*(1+'Economic Data'!$AC$17)</f>
        <v>931353.97186869767</v>
      </c>
      <c r="F187" s="3">
        <v>20</v>
      </c>
      <c r="H187" s="3">
        <f t="shared" si="19"/>
        <v>-5284416</v>
      </c>
      <c r="I187" s="3">
        <f t="shared" si="20"/>
        <v>11367929.623374669</v>
      </c>
      <c r="J187" s="3">
        <f t="shared" si="21"/>
        <v>3350680</v>
      </c>
      <c r="K187" s="47">
        <f t="shared" si="22"/>
        <v>9434193.6233746689</v>
      </c>
      <c r="L187" s="47">
        <f>IFERROR(HLOOKUP(B187-1,'EV Forecast VRZ'!$F$124:$T$130,6,FALSE)/12,0)+IFERROR(((HLOOKUP(B187,'EV Forecast VRZ'!$F$116:$T$122,6,FALSE)-HLOOKUP(B187-1,'EV Forecast VRZ'!$F$124:$T$130,6,FALSE)))*C187/78,0)</f>
        <v>39964.515505127172</v>
      </c>
      <c r="M187" s="47">
        <f t="shared" si="26"/>
        <v>9474158.1388797965</v>
      </c>
    </row>
    <row r="188" spans="1:13">
      <c r="A188" s="2">
        <f t="shared" si="23"/>
        <v>47695</v>
      </c>
      <c r="B188">
        <f t="shared" si="24"/>
        <v>2030</v>
      </c>
      <c r="C188">
        <f t="shared" si="25"/>
        <v>7</v>
      </c>
      <c r="E188" s="391">
        <f>E176*(1+'Economic Data'!$AC$17)</f>
        <v>931353.97186869767</v>
      </c>
      <c r="F188" s="3">
        <v>22</v>
      </c>
      <c r="H188" s="3">
        <f t="shared" si="19"/>
        <v>-5284416</v>
      </c>
      <c r="I188" s="3">
        <f t="shared" si="20"/>
        <v>11367929.623374669</v>
      </c>
      <c r="J188" s="3">
        <f t="shared" si="21"/>
        <v>3685748</v>
      </c>
      <c r="K188" s="47">
        <f t="shared" si="22"/>
        <v>9769261.6233746689</v>
      </c>
      <c r="L188" s="47">
        <f>IFERROR(HLOOKUP(B188-1,'EV Forecast VRZ'!$F$124:$T$130,6,FALSE)/12,0)+IFERROR(((HLOOKUP(B188,'EV Forecast VRZ'!$F$116:$T$122,6,FALSE)-HLOOKUP(B188-1,'EV Forecast VRZ'!$F$124:$T$130,6,FALSE)))*C188/78,0)</f>
        <v>40513.687665833204</v>
      </c>
      <c r="M188" s="47">
        <f t="shared" si="26"/>
        <v>9809775.311040502</v>
      </c>
    </row>
    <row r="189" spans="1:13">
      <c r="A189" s="2">
        <f t="shared" si="23"/>
        <v>47726</v>
      </c>
      <c r="B189">
        <f t="shared" si="24"/>
        <v>2030</v>
      </c>
      <c r="C189">
        <f t="shared" si="25"/>
        <v>8</v>
      </c>
      <c r="E189" s="391">
        <f>E177*(1+'Economic Data'!$AC$17)</f>
        <v>931353.97186869767</v>
      </c>
      <c r="F189" s="3">
        <v>21</v>
      </c>
      <c r="H189" s="3">
        <f t="shared" si="19"/>
        <v>-5284416</v>
      </c>
      <c r="I189" s="3">
        <f t="shared" si="20"/>
        <v>11367929.623374669</v>
      </c>
      <c r="J189" s="3">
        <f t="shared" si="21"/>
        <v>3518214</v>
      </c>
      <c r="K189" s="47">
        <f t="shared" si="22"/>
        <v>9601727.6233746689</v>
      </c>
      <c r="L189" s="47">
        <f>IFERROR(HLOOKUP(B189-1,'EV Forecast VRZ'!$F$124:$T$130,6,FALSE)/12,0)+IFERROR(((HLOOKUP(B189,'EV Forecast VRZ'!$F$116:$T$122,6,FALSE)-HLOOKUP(B189-1,'EV Forecast VRZ'!$F$124:$T$130,6,FALSE)))*C189/78,0)</f>
        <v>41062.859826539236</v>
      </c>
      <c r="M189" s="47">
        <f t="shared" si="26"/>
        <v>9642790.4832012076</v>
      </c>
    </row>
    <row r="190" spans="1:13">
      <c r="A190" s="2">
        <f t="shared" si="23"/>
        <v>47756</v>
      </c>
      <c r="B190">
        <f t="shared" si="24"/>
        <v>2030</v>
      </c>
      <c r="C190">
        <f t="shared" si="25"/>
        <v>9</v>
      </c>
      <c r="E190" s="391">
        <f>E178*(1+'Economic Data'!$AC$17)</f>
        <v>931353.97186869767</v>
      </c>
      <c r="F190" s="3">
        <v>20</v>
      </c>
      <c r="H190" s="3">
        <f t="shared" si="19"/>
        <v>-5284416</v>
      </c>
      <c r="I190" s="3">
        <f t="shared" si="20"/>
        <v>11367929.623374669</v>
      </c>
      <c r="J190" s="3">
        <f t="shared" si="21"/>
        <v>3350680</v>
      </c>
      <c r="K190" s="47">
        <f t="shared" si="22"/>
        <v>9434193.6233746689</v>
      </c>
      <c r="L190" s="47">
        <f>IFERROR(HLOOKUP(B190-1,'EV Forecast VRZ'!$F$124:$T$130,6,FALSE)/12,0)+IFERROR(((HLOOKUP(B190,'EV Forecast VRZ'!$F$116:$T$122,6,FALSE)-HLOOKUP(B190-1,'EV Forecast VRZ'!$F$124:$T$130,6,FALSE)))*C190/78,0)</f>
        <v>41612.031987245267</v>
      </c>
      <c r="M190" s="47">
        <f t="shared" si="26"/>
        <v>9475805.655361915</v>
      </c>
    </row>
    <row r="191" spans="1:13">
      <c r="A191" s="2">
        <f t="shared" si="23"/>
        <v>47787</v>
      </c>
      <c r="B191">
        <f t="shared" si="24"/>
        <v>2030</v>
      </c>
      <c r="C191">
        <f t="shared" si="25"/>
        <v>10</v>
      </c>
      <c r="E191" s="391">
        <f>E179*(1+'Economic Data'!$AC$17)</f>
        <v>931353.97186869767</v>
      </c>
      <c r="F191" s="3">
        <v>22</v>
      </c>
      <c r="H191" s="3">
        <f t="shared" si="19"/>
        <v>-5284416</v>
      </c>
      <c r="I191" s="3">
        <f t="shared" si="20"/>
        <v>11367929.623374669</v>
      </c>
      <c r="J191" s="3">
        <f t="shared" si="21"/>
        <v>3685748</v>
      </c>
      <c r="K191" s="47">
        <f t="shared" si="22"/>
        <v>9769261.6233746689</v>
      </c>
      <c r="L191" s="47">
        <f>IFERROR(HLOOKUP(B191-1,'EV Forecast VRZ'!$F$124:$T$130,6,FALSE)/12,0)+IFERROR(((HLOOKUP(B191,'EV Forecast VRZ'!$F$116:$T$122,6,FALSE)-HLOOKUP(B191-1,'EV Forecast VRZ'!$F$124:$T$130,6,FALSE)))*C191/78,0)</f>
        <v>42161.204147951299</v>
      </c>
      <c r="M191" s="47">
        <f t="shared" si="26"/>
        <v>9811422.8275226206</v>
      </c>
    </row>
    <row r="192" spans="1:13">
      <c r="A192" s="2">
        <f t="shared" si="23"/>
        <v>47817</v>
      </c>
      <c r="B192">
        <f t="shared" si="24"/>
        <v>2030</v>
      </c>
      <c r="C192">
        <f t="shared" si="25"/>
        <v>11</v>
      </c>
      <c r="E192" s="391">
        <f>E180*(1+'Economic Data'!$AC$17)</f>
        <v>931353.97186869767</v>
      </c>
      <c r="F192" s="3">
        <v>21</v>
      </c>
      <c r="H192" s="3">
        <f t="shared" si="19"/>
        <v>-5284416</v>
      </c>
      <c r="I192" s="3">
        <f t="shared" si="20"/>
        <v>11367929.623374669</v>
      </c>
      <c r="J192" s="3">
        <f t="shared" si="21"/>
        <v>3518214</v>
      </c>
      <c r="K192" s="47">
        <f t="shared" si="22"/>
        <v>9601727.6233746689</v>
      </c>
      <c r="L192" s="47">
        <f>IFERROR(HLOOKUP(B192-1,'EV Forecast VRZ'!$F$124:$T$130,6,FALSE)/12,0)+IFERROR(((HLOOKUP(B192,'EV Forecast VRZ'!$F$116:$T$122,6,FALSE)-HLOOKUP(B192-1,'EV Forecast VRZ'!$F$124:$T$130,6,FALSE)))*C192/78,0)</f>
        <v>42710.376308657324</v>
      </c>
      <c r="M192" s="47">
        <f t="shared" si="26"/>
        <v>9644437.9996833261</v>
      </c>
    </row>
    <row r="193" spans="1:13">
      <c r="A193" s="2">
        <f t="shared" si="23"/>
        <v>47848</v>
      </c>
      <c r="B193">
        <f t="shared" si="24"/>
        <v>2030</v>
      </c>
      <c r="C193">
        <f t="shared" si="25"/>
        <v>12</v>
      </c>
      <c r="E193" s="391">
        <f>E181*(1+'Economic Data'!$AC$17)</f>
        <v>931353.97186869767</v>
      </c>
      <c r="F193" s="3">
        <v>20</v>
      </c>
      <c r="H193" s="3">
        <f t="shared" si="19"/>
        <v>-5284416</v>
      </c>
      <c r="I193" s="3">
        <f t="shared" si="20"/>
        <v>11367929.623374669</v>
      </c>
      <c r="J193" s="3">
        <f t="shared" si="21"/>
        <v>3350680</v>
      </c>
      <c r="K193" s="47">
        <f t="shared" si="22"/>
        <v>9434193.6233746689</v>
      </c>
      <c r="L193" s="47">
        <f>IFERROR(HLOOKUP(B193-1,'EV Forecast VRZ'!$F$124:$T$130,6,FALSE)/12,0)+IFERROR(((HLOOKUP(B193,'EV Forecast VRZ'!$F$116:$T$122,6,FALSE)-HLOOKUP(B193-1,'EV Forecast VRZ'!$F$124:$T$130,6,FALSE)))*C193/78,0)</f>
        <v>43259.548469363355</v>
      </c>
      <c r="M193" s="47">
        <f t="shared" si="26"/>
        <v>9477453.1718440317</v>
      </c>
    </row>
    <row r="194" spans="1:13">
      <c r="A194" s="2">
        <f t="shared" si="23"/>
        <v>47879</v>
      </c>
      <c r="B194">
        <f t="shared" si="24"/>
        <v>2031</v>
      </c>
      <c r="C194">
        <f t="shared" si="25"/>
        <v>1</v>
      </c>
      <c r="E194" s="391">
        <f>E182*(1+'Economic Data'!$AC$17)</f>
        <v>949049.69733420282</v>
      </c>
      <c r="F194" s="3">
        <v>22</v>
      </c>
      <c r="H194" s="3">
        <f t="shared" ref="H194:H205" si="27">$Q$8</f>
        <v>-5284416</v>
      </c>
      <c r="I194" s="3">
        <f t="shared" ref="I194:I205" si="28">E194*$Q$9</f>
        <v>11583920.286218787</v>
      </c>
      <c r="J194" s="3">
        <f t="shared" ref="J194:J205" si="29">F194*$Q$10</f>
        <v>3685748</v>
      </c>
      <c r="K194" s="47">
        <f t="shared" si="22"/>
        <v>9985252.2862187866</v>
      </c>
      <c r="L194" s="47">
        <f>IFERROR(HLOOKUP(B194-1,'EV Forecast VRZ'!$F$124:$T$130,6,FALSE)/12,0)+IFERROR(((HLOOKUP(B194,'EV Forecast VRZ'!$F$116:$T$122,6,FALSE)-HLOOKUP(B194-1,'EV Forecast VRZ'!$F$124:$T$130,6,FALSE)))*C194/78,0)</f>
        <v>44754.95490997962</v>
      </c>
      <c r="M194" s="47">
        <f t="shared" si="26"/>
        <v>10030007.241128767</v>
      </c>
    </row>
    <row r="195" spans="1:13">
      <c r="A195" s="2">
        <f t="shared" si="23"/>
        <v>47907</v>
      </c>
      <c r="B195">
        <f t="shared" si="24"/>
        <v>2031</v>
      </c>
      <c r="C195">
        <f t="shared" si="25"/>
        <v>2</v>
      </c>
      <c r="E195" s="391">
        <f>E183*(1+'Economic Data'!$AC$17)</f>
        <v>949049.69733420282</v>
      </c>
      <c r="F195" s="3">
        <v>19</v>
      </c>
      <c r="H195" s="3">
        <f t="shared" si="27"/>
        <v>-5284416</v>
      </c>
      <c r="I195" s="3">
        <f t="shared" si="28"/>
        <v>11583920.286218787</v>
      </c>
      <c r="J195" s="3">
        <f t="shared" si="29"/>
        <v>3183146</v>
      </c>
      <c r="K195" s="47">
        <f t="shared" si="22"/>
        <v>9482650.2862187866</v>
      </c>
      <c r="L195" s="47">
        <f>IFERROR(HLOOKUP(B195-1,'EV Forecast VRZ'!$F$124:$T$130,6,FALSE)/12,0)+IFERROR(((HLOOKUP(B195,'EV Forecast VRZ'!$F$116:$T$122,6,FALSE)-HLOOKUP(B195-1,'EV Forecast VRZ'!$F$124:$T$130,6,FALSE)))*C195/78,0)</f>
        <v>45308.208356556526</v>
      </c>
      <c r="M195" s="47">
        <f t="shared" si="26"/>
        <v>9527958.494575344</v>
      </c>
    </row>
    <row r="196" spans="1:13">
      <c r="A196" s="2">
        <f t="shared" si="23"/>
        <v>47938</v>
      </c>
      <c r="B196">
        <f t="shared" si="24"/>
        <v>2031</v>
      </c>
      <c r="C196">
        <f t="shared" si="25"/>
        <v>3</v>
      </c>
      <c r="E196" s="391">
        <f>E184*(1+'Economic Data'!$AC$17)</f>
        <v>949049.69733420282</v>
      </c>
      <c r="F196" s="3">
        <v>21</v>
      </c>
      <c r="H196" s="3">
        <f t="shared" si="27"/>
        <v>-5284416</v>
      </c>
      <c r="I196" s="3">
        <f t="shared" si="28"/>
        <v>11583920.286218787</v>
      </c>
      <c r="J196" s="3">
        <f t="shared" si="29"/>
        <v>3518214</v>
      </c>
      <c r="K196" s="47">
        <f t="shared" si="22"/>
        <v>9817718.2862187866</v>
      </c>
      <c r="L196" s="47">
        <f>IFERROR(HLOOKUP(B196-1,'EV Forecast VRZ'!$F$124:$T$130,6,FALSE)/12,0)+IFERROR(((HLOOKUP(B196,'EV Forecast VRZ'!$F$116:$T$122,6,FALSE)-HLOOKUP(B196-1,'EV Forecast VRZ'!$F$124:$T$130,6,FALSE)))*C196/78,0)</f>
        <v>45861.461803133425</v>
      </c>
      <c r="M196" s="47">
        <f t="shared" si="26"/>
        <v>9863579.7480219193</v>
      </c>
    </row>
    <row r="197" spans="1:13">
      <c r="A197" s="2">
        <f t="shared" si="23"/>
        <v>47968</v>
      </c>
      <c r="B197">
        <f t="shared" si="24"/>
        <v>2031</v>
      </c>
      <c r="C197">
        <f t="shared" si="25"/>
        <v>4</v>
      </c>
      <c r="E197" s="391">
        <f>E185*(1+'Economic Data'!$AC$17)</f>
        <v>949049.69733420282</v>
      </c>
      <c r="F197" s="3">
        <v>21</v>
      </c>
      <c r="H197" s="3">
        <f t="shared" si="27"/>
        <v>-5284416</v>
      </c>
      <c r="I197" s="3">
        <f t="shared" si="28"/>
        <v>11583920.286218787</v>
      </c>
      <c r="J197" s="3">
        <f t="shared" si="29"/>
        <v>3518214</v>
      </c>
      <c r="K197" s="47">
        <f t="shared" si="22"/>
        <v>9817718.2862187866</v>
      </c>
      <c r="L197" s="47">
        <f>IFERROR(HLOOKUP(B197-1,'EV Forecast VRZ'!$F$124:$T$130,6,FALSE)/12,0)+IFERROR(((HLOOKUP(B197,'EV Forecast VRZ'!$F$116:$T$122,6,FALSE)-HLOOKUP(B197-1,'EV Forecast VRZ'!$F$124:$T$130,6,FALSE)))*C197/78,0)</f>
        <v>46414.715249710323</v>
      </c>
      <c r="M197" s="47">
        <f t="shared" si="26"/>
        <v>9864133.0014684964</v>
      </c>
    </row>
    <row r="198" spans="1:13">
      <c r="A198" s="2">
        <f t="shared" si="23"/>
        <v>47999</v>
      </c>
      <c r="B198">
        <f t="shared" si="24"/>
        <v>2031</v>
      </c>
      <c r="C198">
        <f t="shared" si="25"/>
        <v>5</v>
      </c>
      <c r="E198" s="391">
        <f>E186*(1+'Economic Data'!$AC$17)</f>
        <v>949049.69733420282</v>
      </c>
      <c r="F198" s="3">
        <v>21</v>
      </c>
      <c r="H198" s="3">
        <f t="shared" si="27"/>
        <v>-5284416</v>
      </c>
      <c r="I198" s="3">
        <f t="shared" si="28"/>
        <v>11583920.286218787</v>
      </c>
      <c r="J198" s="3">
        <f t="shared" si="29"/>
        <v>3518214</v>
      </c>
      <c r="K198" s="47">
        <f t="shared" si="22"/>
        <v>9817718.2862187866</v>
      </c>
      <c r="L198" s="47">
        <f>IFERROR(HLOOKUP(B198-1,'EV Forecast VRZ'!$F$124:$T$130,6,FALSE)/12,0)+IFERROR(((HLOOKUP(B198,'EV Forecast VRZ'!$F$116:$T$122,6,FALSE)-HLOOKUP(B198-1,'EV Forecast VRZ'!$F$124:$T$130,6,FALSE)))*C198/78,0)</f>
        <v>46967.968696287222</v>
      </c>
      <c r="M198" s="47">
        <f t="shared" si="26"/>
        <v>9864686.2549150735</v>
      </c>
    </row>
    <row r="199" spans="1:13">
      <c r="A199" s="2">
        <f t="shared" si="23"/>
        <v>48029</v>
      </c>
      <c r="B199">
        <f t="shared" si="24"/>
        <v>2031</v>
      </c>
      <c r="C199">
        <f t="shared" si="25"/>
        <v>6</v>
      </c>
      <c r="E199" s="391">
        <f>E187*(1+'Economic Data'!$AC$17)</f>
        <v>949049.69733420282</v>
      </c>
      <c r="F199" s="3">
        <v>21</v>
      </c>
      <c r="H199" s="3">
        <f t="shared" si="27"/>
        <v>-5284416</v>
      </c>
      <c r="I199" s="3">
        <f t="shared" si="28"/>
        <v>11583920.286218787</v>
      </c>
      <c r="J199" s="3">
        <f t="shared" si="29"/>
        <v>3518214</v>
      </c>
      <c r="K199" s="47">
        <f t="shared" si="22"/>
        <v>9817718.2862187866</v>
      </c>
      <c r="L199" s="47">
        <f>IFERROR(HLOOKUP(B199-1,'EV Forecast VRZ'!$F$124:$T$130,6,FALSE)/12,0)+IFERROR(((HLOOKUP(B199,'EV Forecast VRZ'!$F$116:$T$122,6,FALSE)-HLOOKUP(B199-1,'EV Forecast VRZ'!$F$124:$T$130,6,FALSE)))*C199/78,0)</f>
        <v>47521.222142864128</v>
      </c>
      <c r="M199" s="47">
        <f t="shared" si="26"/>
        <v>9865239.5083616506</v>
      </c>
    </row>
    <row r="200" spans="1:13">
      <c r="A200" s="2">
        <f t="shared" si="23"/>
        <v>48060</v>
      </c>
      <c r="B200">
        <f t="shared" si="24"/>
        <v>2031</v>
      </c>
      <c r="C200">
        <f t="shared" si="25"/>
        <v>7</v>
      </c>
      <c r="E200" s="391">
        <f>E188*(1+'Economic Data'!$AC$17)</f>
        <v>949049.69733420282</v>
      </c>
      <c r="F200" s="3">
        <v>22</v>
      </c>
      <c r="H200" s="3">
        <f t="shared" si="27"/>
        <v>-5284416</v>
      </c>
      <c r="I200" s="3">
        <f t="shared" si="28"/>
        <v>11583920.286218787</v>
      </c>
      <c r="J200" s="3">
        <f t="shared" si="29"/>
        <v>3685748</v>
      </c>
      <c r="K200" s="47">
        <f t="shared" si="22"/>
        <v>9985252.2862187866</v>
      </c>
      <c r="L200" s="47">
        <f>IFERROR(HLOOKUP(B200-1,'EV Forecast VRZ'!$F$124:$T$130,6,FALSE)/12,0)+IFERROR(((HLOOKUP(B200,'EV Forecast VRZ'!$F$116:$T$122,6,FALSE)-HLOOKUP(B200-1,'EV Forecast VRZ'!$F$124:$T$130,6,FALSE)))*C200/78,0)</f>
        <v>48074.475589441026</v>
      </c>
      <c r="M200" s="47">
        <f t="shared" si="26"/>
        <v>10033326.761808228</v>
      </c>
    </row>
    <row r="201" spans="1:13">
      <c r="A201" s="2">
        <f t="shared" si="23"/>
        <v>48091</v>
      </c>
      <c r="B201">
        <f t="shared" si="24"/>
        <v>2031</v>
      </c>
      <c r="C201">
        <f t="shared" si="25"/>
        <v>8</v>
      </c>
      <c r="E201" s="391">
        <f>E189*(1+'Economic Data'!$AC$17)</f>
        <v>949049.69733420282</v>
      </c>
      <c r="F201" s="3">
        <v>20</v>
      </c>
      <c r="H201" s="3">
        <f t="shared" si="27"/>
        <v>-5284416</v>
      </c>
      <c r="I201" s="3">
        <f t="shared" si="28"/>
        <v>11583920.286218787</v>
      </c>
      <c r="J201" s="3">
        <f t="shared" si="29"/>
        <v>3350680</v>
      </c>
      <c r="K201" s="47">
        <f t="shared" si="22"/>
        <v>9650184.2862187866</v>
      </c>
      <c r="L201" s="47">
        <f>IFERROR(HLOOKUP(B201-1,'EV Forecast VRZ'!$F$124:$T$130,6,FALSE)/12,0)+IFERROR(((HLOOKUP(B201,'EV Forecast VRZ'!$F$116:$T$122,6,FALSE)-HLOOKUP(B201-1,'EV Forecast VRZ'!$F$124:$T$130,6,FALSE)))*C201/78,0)</f>
        <v>48627.729036017925</v>
      </c>
      <c r="M201" s="47">
        <f t="shared" si="26"/>
        <v>9698812.0152548049</v>
      </c>
    </row>
    <row r="202" spans="1:13">
      <c r="A202" s="2">
        <f t="shared" si="23"/>
        <v>48121</v>
      </c>
      <c r="B202">
        <f t="shared" si="24"/>
        <v>2031</v>
      </c>
      <c r="C202">
        <f t="shared" si="25"/>
        <v>9</v>
      </c>
      <c r="E202" s="391">
        <f>E190*(1+'Economic Data'!$AC$17)</f>
        <v>949049.69733420282</v>
      </c>
      <c r="F202" s="3">
        <v>21</v>
      </c>
      <c r="H202" s="3">
        <f t="shared" si="27"/>
        <v>-5284416</v>
      </c>
      <c r="I202" s="3">
        <f t="shared" si="28"/>
        <v>11583920.286218787</v>
      </c>
      <c r="J202" s="3">
        <f t="shared" si="29"/>
        <v>3518214</v>
      </c>
      <c r="K202" s="47">
        <f t="shared" si="22"/>
        <v>9817718.2862187866</v>
      </c>
      <c r="L202" s="47">
        <f>IFERROR(HLOOKUP(B202-1,'EV Forecast VRZ'!$F$124:$T$130,6,FALSE)/12,0)+IFERROR(((HLOOKUP(B202,'EV Forecast VRZ'!$F$116:$T$122,6,FALSE)-HLOOKUP(B202-1,'EV Forecast VRZ'!$F$124:$T$130,6,FALSE)))*C202/78,0)</f>
        <v>49180.982482594824</v>
      </c>
      <c r="M202" s="47">
        <f t="shared" si="26"/>
        <v>9866899.268701382</v>
      </c>
    </row>
    <row r="203" spans="1:13">
      <c r="A203" s="2">
        <f t="shared" si="23"/>
        <v>48152</v>
      </c>
      <c r="B203">
        <f t="shared" si="24"/>
        <v>2031</v>
      </c>
      <c r="C203">
        <f t="shared" si="25"/>
        <v>10</v>
      </c>
      <c r="E203" s="391">
        <f>E191*(1+'Economic Data'!$AC$17)</f>
        <v>949049.69733420282</v>
      </c>
      <c r="F203" s="3">
        <v>22</v>
      </c>
      <c r="H203" s="3">
        <f t="shared" si="27"/>
        <v>-5284416</v>
      </c>
      <c r="I203" s="3">
        <f t="shared" si="28"/>
        <v>11583920.286218787</v>
      </c>
      <c r="J203" s="3">
        <f t="shared" si="29"/>
        <v>3685748</v>
      </c>
      <c r="K203" s="47">
        <f t="shared" si="22"/>
        <v>9985252.2862187866</v>
      </c>
      <c r="L203" s="47">
        <f>IFERROR(HLOOKUP(B203-1,'EV Forecast VRZ'!$F$124:$T$130,6,FALSE)/12,0)+IFERROR(((HLOOKUP(B203,'EV Forecast VRZ'!$F$116:$T$122,6,FALSE)-HLOOKUP(B203-1,'EV Forecast VRZ'!$F$124:$T$130,6,FALSE)))*C203/78,0)</f>
        <v>49734.235929171729</v>
      </c>
      <c r="M203" s="47">
        <f t="shared" si="26"/>
        <v>10034986.522147959</v>
      </c>
    </row>
    <row r="204" spans="1:13">
      <c r="A204" s="2">
        <f t="shared" si="23"/>
        <v>48182</v>
      </c>
      <c r="B204">
        <f t="shared" si="24"/>
        <v>2031</v>
      </c>
      <c r="C204">
        <f t="shared" si="25"/>
        <v>11</v>
      </c>
      <c r="E204" s="391">
        <f>E192*(1+'Economic Data'!$AC$17)</f>
        <v>949049.69733420282</v>
      </c>
      <c r="F204" s="3">
        <v>20</v>
      </c>
      <c r="H204" s="3">
        <f t="shared" si="27"/>
        <v>-5284416</v>
      </c>
      <c r="I204" s="3">
        <f t="shared" si="28"/>
        <v>11583920.286218787</v>
      </c>
      <c r="J204" s="3">
        <f t="shared" si="29"/>
        <v>3350680</v>
      </c>
      <c r="K204" s="47">
        <f t="shared" si="22"/>
        <v>9650184.2862187866</v>
      </c>
      <c r="L204" s="47">
        <f>IFERROR(HLOOKUP(B204-1,'EV Forecast VRZ'!$F$124:$T$130,6,FALSE)/12,0)+IFERROR(((HLOOKUP(B204,'EV Forecast VRZ'!$F$116:$T$122,6,FALSE)-HLOOKUP(B204-1,'EV Forecast VRZ'!$F$124:$T$130,6,FALSE)))*C204/78,0)</f>
        <v>50287.489375748628</v>
      </c>
      <c r="M204" s="47">
        <f t="shared" si="26"/>
        <v>9700471.7755945344</v>
      </c>
    </row>
    <row r="205" spans="1:13">
      <c r="A205" s="2">
        <f t="shared" si="23"/>
        <v>48213</v>
      </c>
      <c r="B205">
        <f t="shared" si="24"/>
        <v>2031</v>
      </c>
      <c r="C205">
        <f t="shared" si="25"/>
        <v>12</v>
      </c>
      <c r="E205" s="391">
        <f>E193*(1+'Economic Data'!$AC$17)</f>
        <v>949049.69733420282</v>
      </c>
      <c r="F205" s="3">
        <v>21</v>
      </c>
      <c r="H205" s="3">
        <f t="shared" si="27"/>
        <v>-5284416</v>
      </c>
      <c r="I205" s="3">
        <f t="shared" si="28"/>
        <v>11583920.286218787</v>
      </c>
      <c r="J205" s="3">
        <f t="shared" si="29"/>
        <v>3518214</v>
      </c>
      <c r="K205" s="47">
        <f t="shared" si="22"/>
        <v>9817718.2862187866</v>
      </c>
      <c r="L205" s="47">
        <f>IFERROR(HLOOKUP(B205-1,'EV Forecast VRZ'!$F$124:$T$130,6,FALSE)/12,0)+IFERROR(((HLOOKUP(B205,'EV Forecast VRZ'!$F$116:$T$122,6,FALSE)-HLOOKUP(B205-1,'EV Forecast VRZ'!$F$124:$T$130,6,FALSE)))*C205/78,0)</f>
        <v>50840.742822325527</v>
      </c>
      <c r="M205" s="47">
        <f t="shared" si="26"/>
        <v>9868559.0290411115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AC49-7259-4E30-B197-4BC4CC238F3F}">
  <sheetPr codeName="Sheet32">
    <tabColor theme="7" tint="0.79998168889431442"/>
  </sheetPr>
  <dimension ref="A1:X205"/>
  <sheetViews>
    <sheetView workbookViewId="0">
      <selection activeCell="G6" sqref="G6"/>
    </sheetView>
  </sheetViews>
  <sheetFormatPr defaultRowHeight="15"/>
  <cols>
    <col min="4" max="4" width="24.85546875" customWidth="1"/>
    <col min="5" max="5" width="8.5703125" style="3"/>
    <col min="6" max="6" width="10.42578125" style="3" bestFit="1" customWidth="1"/>
    <col min="7" max="8" width="8.5703125" style="3"/>
    <col min="9" max="9" width="8.5703125" customWidth="1"/>
    <col min="10" max="10" width="13.5703125" bestFit="1" customWidth="1"/>
    <col min="11" max="11" width="11.42578125" bestFit="1" customWidth="1"/>
    <col min="12" max="14" width="11.42578125" customWidth="1"/>
    <col min="15" max="17" width="12.5703125" customWidth="1"/>
    <col min="21" max="21" width="13.5703125" bestFit="1" customWidth="1"/>
    <col min="22" max="22" width="12.5703125" bestFit="1" customWidth="1"/>
    <col min="23" max="23" width="13.5703125" bestFit="1" customWidth="1"/>
    <col min="24" max="24" width="8.5703125" bestFit="1" customWidth="1"/>
  </cols>
  <sheetData>
    <row r="1" spans="1:24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Data'!AI1</f>
        <v>VRZ_LargeUsekWh_No_CDM</v>
      </c>
      <c r="E1" s="760" t="str">
        <f>'Monthly Data'!DR1</f>
        <v>Peak Days</v>
      </c>
      <c r="F1" s="760" t="str">
        <f>'Monthly Data'!DL1</f>
        <v>OEA_GDP</v>
      </c>
      <c r="G1" s="760" t="str">
        <f>'Monthly Data'!EE1</f>
        <v>Spring</v>
      </c>
      <c r="H1" s="760" t="str">
        <f>'Monthly Data'!EJ1</f>
        <v>COVID_AM</v>
      </c>
      <c r="I1" s="760"/>
      <c r="J1" s="760" t="str">
        <f>T8</f>
        <v>const</v>
      </c>
      <c r="K1" s="760" t="str">
        <f>E1</f>
        <v>Peak Days</v>
      </c>
      <c r="L1" s="760" t="str">
        <f t="shared" ref="L1:N1" si="0">F1</f>
        <v>OEA_GDP</v>
      </c>
      <c r="M1" s="760" t="str">
        <f t="shared" si="0"/>
        <v>Spring</v>
      </c>
      <c r="N1" s="760" t="str">
        <f t="shared" si="0"/>
        <v>COVID_AM</v>
      </c>
      <c r="O1" s="760" t="s">
        <v>439</v>
      </c>
      <c r="P1" s="760" t="s">
        <v>632</v>
      </c>
      <c r="Q1" s="760" t="s">
        <v>635</v>
      </c>
    </row>
    <row r="2" spans="1:24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Data'!AI2</f>
        <v>16031581.465118166</v>
      </c>
      <c r="E2" s="3">
        <f>'Monthly Data'!DR2</f>
        <v>21</v>
      </c>
      <c r="F2" s="3">
        <f>'Monthly Data'!DL2</f>
        <v>718587</v>
      </c>
      <c r="G2" s="3">
        <f>'Monthly Data'!EE2</f>
        <v>0</v>
      </c>
      <c r="H2" s="3">
        <f>'Monthly Data'!EJ2</f>
        <v>0</v>
      </c>
      <c r="J2" s="3">
        <f t="shared" ref="J2:J65" si="1">$U$8</f>
        <v>-37000000</v>
      </c>
      <c r="K2" s="3">
        <f t="shared" ref="K2:K65" si="2">E2*$U$9</f>
        <v>7313025.2999999998</v>
      </c>
      <c r="L2" s="3">
        <f t="shared" ref="L2:L65" si="3">F2*$U$10</f>
        <v>47361285.910170004</v>
      </c>
      <c r="M2" s="3">
        <f t="shared" ref="M2:M65" si="4">G2*$U$11</f>
        <v>0</v>
      </c>
      <c r="N2" s="3">
        <f t="shared" ref="N2:N65" si="5">H2*$U$12</f>
        <v>0</v>
      </c>
      <c r="O2" s="47">
        <f t="shared" ref="O2:O54" si="6">SUM(J2:N2)</f>
        <v>17674311.210170005</v>
      </c>
      <c r="P2" s="47">
        <f>'Monthly Data'!AJ2</f>
        <v>0</v>
      </c>
      <c r="Q2" s="47">
        <f t="shared" ref="Q2:Q54" si="7">O2+P2</f>
        <v>17674311.210170005</v>
      </c>
    </row>
    <row r="3" spans="1:24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Data'!AI3</f>
        <v>15127536.492662676</v>
      </c>
      <c r="E3" s="3">
        <f>'Monthly Data'!DR3</f>
        <v>19</v>
      </c>
      <c r="F3" s="3">
        <f>'Monthly Data'!DL3</f>
        <v>718587</v>
      </c>
      <c r="G3" s="3">
        <f>'Monthly Data'!EE3</f>
        <v>0</v>
      </c>
      <c r="H3" s="3">
        <f>'Monthly Data'!EJ3</f>
        <v>0</v>
      </c>
      <c r="J3" s="3">
        <f t="shared" si="1"/>
        <v>-37000000</v>
      </c>
      <c r="K3" s="3">
        <f t="shared" si="2"/>
        <v>6616546.7000000002</v>
      </c>
      <c r="L3" s="3">
        <f t="shared" si="3"/>
        <v>47361285.910170004</v>
      </c>
      <c r="M3" s="3">
        <f t="shared" si="4"/>
        <v>0</v>
      </c>
      <c r="N3" s="3">
        <f t="shared" si="5"/>
        <v>0</v>
      </c>
      <c r="O3" s="47">
        <f t="shared" si="6"/>
        <v>16977832.610170003</v>
      </c>
      <c r="P3" s="47">
        <f>'Monthly Data'!AJ3</f>
        <v>0</v>
      </c>
      <c r="Q3" s="47">
        <f t="shared" si="7"/>
        <v>16977832.610170003</v>
      </c>
      <c r="T3" t="s">
        <v>548</v>
      </c>
    </row>
    <row r="4" spans="1:24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Data'!AI4</f>
        <v>19473356.95555957</v>
      </c>
      <c r="E4" s="3">
        <f>'Monthly Data'!DR4</f>
        <v>22</v>
      </c>
      <c r="F4" s="3">
        <f>'Monthly Data'!DL4</f>
        <v>718587</v>
      </c>
      <c r="G4" s="3">
        <f>'Monthly Data'!EE4</f>
        <v>1</v>
      </c>
      <c r="H4" s="3">
        <f>'Monthly Data'!EJ4</f>
        <v>0</v>
      </c>
      <c r="J4" s="3">
        <f t="shared" si="1"/>
        <v>-37000000</v>
      </c>
      <c r="K4" s="3">
        <f t="shared" si="2"/>
        <v>7661264.5999999996</v>
      </c>
      <c r="L4" s="3">
        <f t="shared" si="3"/>
        <v>47361285.910170004</v>
      </c>
      <c r="M4" s="3">
        <f t="shared" si="4"/>
        <v>793454.7</v>
      </c>
      <c r="N4" s="3">
        <f t="shared" si="5"/>
        <v>0</v>
      </c>
      <c r="O4" s="47">
        <f t="shared" si="6"/>
        <v>18816005.210170005</v>
      </c>
      <c r="P4" s="47">
        <f>'Monthly Data'!AJ4</f>
        <v>0</v>
      </c>
      <c r="Q4" s="47">
        <f t="shared" si="7"/>
        <v>18816005.210170005</v>
      </c>
      <c r="T4" t="s">
        <v>429</v>
      </c>
    </row>
    <row r="5" spans="1:24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Data'!AI5</f>
        <v>17840672.838456467</v>
      </c>
      <c r="E5" s="3">
        <f>'Monthly Data'!DR5</f>
        <v>20</v>
      </c>
      <c r="F5" s="3">
        <f>'Monthly Data'!DL5</f>
        <v>723726</v>
      </c>
      <c r="G5" s="3">
        <f>'Monthly Data'!EE5</f>
        <v>1</v>
      </c>
      <c r="H5" s="3">
        <f>'Monthly Data'!EJ5</f>
        <v>0</v>
      </c>
      <c r="J5" s="3">
        <f t="shared" si="1"/>
        <v>-37000000</v>
      </c>
      <c r="K5" s="3">
        <f t="shared" si="2"/>
        <v>6964786</v>
      </c>
      <c r="L5" s="3">
        <f t="shared" si="3"/>
        <v>47699991.798660003</v>
      </c>
      <c r="M5" s="3">
        <f t="shared" si="4"/>
        <v>793454.7</v>
      </c>
      <c r="N5" s="3">
        <f t="shared" si="5"/>
        <v>0</v>
      </c>
      <c r="O5" s="47">
        <f t="shared" si="6"/>
        <v>18458232.498660002</v>
      </c>
      <c r="P5" s="47">
        <f>'Monthly Data'!AJ5</f>
        <v>0</v>
      </c>
      <c r="Q5" s="47">
        <f t="shared" si="7"/>
        <v>18458232.498660002</v>
      </c>
      <c r="T5" t="s">
        <v>549</v>
      </c>
    </row>
    <row r="6" spans="1:24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Data'!AI6</f>
        <v>20013820.86135336</v>
      </c>
      <c r="E6" s="3">
        <f>'Monthly Data'!DR6</f>
        <v>20</v>
      </c>
      <c r="F6" s="3">
        <f>'Monthly Data'!DL6</f>
        <v>723726</v>
      </c>
      <c r="G6" s="3">
        <f>'Monthly Data'!EE6</f>
        <v>1</v>
      </c>
      <c r="H6" s="3">
        <f>'Monthly Data'!EJ6</f>
        <v>0</v>
      </c>
      <c r="J6" s="3">
        <f t="shared" si="1"/>
        <v>-37000000</v>
      </c>
      <c r="K6" s="3">
        <f t="shared" si="2"/>
        <v>6964786</v>
      </c>
      <c r="L6" s="3">
        <f t="shared" si="3"/>
        <v>47699991.798660003</v>
      </c>
      <c r="M6" s="3">
        <f t="shared" si="4"/>
        <v>793454.7</v>
      </c>
      <c r="N6" s="3">
        <f t="shared" si="5"/>
        <v>0</v>
      </c>
      <c r="O6" s="47">
        <f t="shared" si="6"/>
        <v>18458232.498660002</v>
      </c>
      <c r="P6" s="47">
        <f>'Monthly Data'!AJ6</f>
        <v>0</v>
      </c>
      <c r="Q6" s="47">
        <f t="shared" si="7"/>
        <v>18458232.498660002</v>
      </c>
    </row>
    <row r="7" spans="1:24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Data'!AI7</f>
        <v>16306258.224250255</v>
      </c>
      <c r="E7" s="3">
        <f>'Monthly Data'!DR7</f>
        <v>22</v>
      </c>
      <c r="F7" s="3">
        <f>'Monthly Data'!DL7</f>
        <v>723726</v>
      </c>
      <c r="G7" s="3">
        <f>'Monthly Data'!EE7</f>
        <v>0</v>
      </c>
      <c r="H7" s="3">
        <f>'Monthly Data'!EJ7</f>
        <v>0</v>
      </c>
      <c r="J7" s="3">
        <f t="shared" si="1"/>
        <v>-37000000</v>
      </c>
      <c r="K7" s="3">
        <f t="shared" si="2"/>
        <v>7661264.5999999996</v>
      </c>
      <c r="L7" s="3">
        <f t="shared" si="3"/>
        <v>47699991.798660003</v>
      </c>
      <c r="M7" s="3">
        <f t="shared" si="4"/>
        <v>0</v>
      </c>
      <c r="N7" s="3">
        <f t="shared" si="5"/>
        <v>0</v>
      </c>
      <c r="O7" s="47">
        <f t="shared" si="6"/>
        <v>18361256.398660004</v>
      </c>
      <c r="P7" s="47">
        <f>'Monthly Data'!AJ7</f>
        <v>0</v>
      </c>
      <c r="Q7" s="47">
        <f t="shared" si="7"/>
        <v>18361256.398660004</v>
      </c>
      <c r="U7" t="s">
        <v>409</v>
      </c>
      <c r="V7" t="s">
        <v>410</v>
      </c>
      <c r="W7" t="s">
        <v>411</v>
      </c>
      <c r="X7" t="s">
        <v>412</v>
      </c>
    </row>
    <row r="8" spans="1:24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Data'!AI8</f>
        <v>16838315.127147149</v>
      </c>
      <c r="E8" s="3">
        <f>'Monthly Data'!DR8</f>
        <v>22</v>
      </c>
      <c r="F8" s="3">
        <f>'Monthly Data'!DL8</f>
        <v>730341</v>
      </c>
      <c r="G8" s="3">
        <f>'Monthly Data'!EE8</f>
        <v>0</v>
      </c>
      <c r="H8" s="3">
        <f>'Monthly Data'!EJ8</f>
        <v>0</v>
      </c>
      <c r="J8" s="3">
        <f t="shared" si="1"/>
        <v>-37000000</v>
      </c>
      <c r="K8" s="3">
        <f t="shared" si="2"/>
        <v>7661264.5999999996</v>
      </c>
      <c r="L8" s="3">
        <f t="shared" si="3"/>
        <v>48135979.238310002</v>
      </c>
      <c r="M8" s="3">
        <f t="shared" si="4"/>
        <v>0</v>
      </c>
      <c r="N8" s="3">
        <f t="shared" si="5"/>
        <v>0</v>
      </c>
      <c r="O8" s="47">
        <f t="shared" si="6"/>
        <v>18797243.838310003</v>
      </c>
      <c r="P8" s="47">
        <f>'Monthly Data'!AJ8</f>
        <v>0</v>
      </c>
      <c r="Q8" s="47">
        <f t="shared" si="7"/>
        <v>18797243.838310003</v>
      </c>
      <c r="T8" t="s">
        <v>413</v>
      </c>
      <c r="U8" s="616">
        <f>'VRZ Large Use'!W8</f>
        <v>-37000000</v>
      </c>
      <c r="V8" s="3">
        <f>'VRZ Large Use'!X8</f>
        <v>3805691</v>
      </c>
      <c r="W8" s="3">
        <f>'VRZ Large Use'!Y8</f>
        <v>-9.8494100000000007</v>
      </c>
      <c r="X8" s="3">
        <f>'VRZ Large Use'!Z8</f>
        <v>5.7600000000000002E-17</v>
      </c>
    </row>
    <row r="9" spans="1:24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Data'!AI9</f>
        <v>16420142.510044046</v>
      </c>
      <c r="E9" s="3">
        <f>'Monthly Data'!DR9</f>
        <v>20</v>
      </c>
      <c r="F9" s="3">
        <f>'Monthly Data'!DL9</f>
        <v>730341</v>
      </c>
      <c r="G9" s="3">
        <f>'Monthly Data'!EE9</f>
        <v>0</v>
      </c>
      <c r="H9" s="3">
        <f>'Monthly Data'!EJ9</f>
        <v>0</v>
      </c>
      <c r="J9" s="3">
        <f t="shared" si="1"/>
        <v>-37000000</v>
      </c>
      <c r="K9" s="3">
        <f t="shared" si="2"/>
        <v>6964786</v>
      </c>
      <c r="L9" s="3">
        <f t="shared" si="3"/>
        <v>48135979.238310002</v>
      </c>
      <c r="M9" s="3">
        <f t="shared" si="4"/>
        <v>0</v>
      </c>
      <c r="N9" s="3">
        <f t="shared" si="5"/>
        <v>0</v>
      </c>
      <c r="O9" s="47">
        <f t="shared" si="6"/>
        <v>18100765.238310002</v>
      </c>
      <c r="P9" s="47">
        <f>'Monthly Data'!AJ9</f>
        <v>0</v>
      </c>
      <c r="Q9" s="47">
        <f t="shared" si="7"/>
        <v>18100765.238310002</v>
      </c>
      <c r="T9" t="s">
        <v>428</v>
      </c>
      <c r="U9" s="3">
        <f>'VRZ Large Use'!W9</f>
        <v>348239.3</v>
      </c>
      <c r="V9" s="3">
        <f>'VRZ Large Use'!X9</f>
        <v>102611.2</v>
      </c>
      <c r="W9" s="3">
        <f>'VRZ Large Use'!Y9</f>
        <v>3.3937740000000001</v>
      </c>
      <c r="X9" s="3">
        <f>'VRZ Large Use'!Z9</f>
        <v>9.4600000000000001E-4</v>
      </c>
    </row>
    <row r="10" spans="1:24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Data'!AI10</f>
        <v>17567910.81294094</v>
      </c>
      <c r="E10" s="3">
        <f>'Monthly Data'!DR10</f>
        <v>21</v>
      </c>
      <c r="F10" s="3">
        <f>'Monthly Data'!DL10</f>
        <v>730341</v>
      </c>
      <c r="G10" s="3">
        <f>'Monthly Data'!EE10</f>
        <v>0</v>
      </c>
      <c r="H10" s="3">
        <f>'Monthly Data'!EJ10</f>
        <v>0</v>
      </c>
      <c r="J10" s="3">
        <f t="shared" si="1"/>
        <v>-37000000</v>
      </c>
      <c r="K10" s="3">
        <f t="shared" si="2"/>
        <v>7313025.2999999998</v>
      </c>
      <c r="L10" s="3">
        <f t="shared" si="3"/>
        <v>48135979.238310002</v>
      </c>
      <c r="M10" s="3">
        <f t="shared" si="4"/>
        <v>0</v>
      </c>
      <c r="N10" s="3">
        <f t="shared" si="5"/>
        <v>0</v>
      </c>
      <c r="O10" s="47">
        <f t="shared" si="6"/>
        <v>18449004.538310003</v>
      </c>
      <c r="P10" s="47">
        <f>'Monthly Data'!AJ10</f>
        <v>0</v>
      </c>
      <c r="Q10" s="47">
        <f t="shared" si="7"/>
        <v>18449004.538310003</v>
      </c>
      <c r="T10" t="s">
        <v>129</v>
      </c>
      <c r="U10" s="3">
        <f>'VRZ Large Use'!W10</f>
        <v>65.908910000000006</v>
      </c>
      <c r="V10" s="3">
        <f>'VRZ Large Use'!X10</f>
        <v>3.9355820000000001</v>
      </c>
      <c r="W10" s="3">
        <f>'VRZ Large Use'!Y10</f>
        <v>16.746929999999999</v>
      </c>
      <c r="X10" s="3">
        <f>'VRZ Large Use'!Z10</f>
        <v>1.2599999999999999E-32</v>
      </c>
    </row>
    <row r="11" spans="1:24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Data'!AI11</f>
        <v>21861401.855837833</v>
      </c>
      <c r="E11" s="3">
        <f>'Monthly Data'!DR11</f>
        <v>21</v>
      </c>
      <c r="F11" s="3">
        <f>'Monthly Data'!DL11</f>
        <v>737784</v>
      </c>
      <c r="G11" s="3">
        <f>'Monthly Data'!EE11</f>
        <v>0</v>
      </c>
      <c r="H11" s="3">
        <f>'Monthly Data'!EJ11</f>
        <v>0</v>
      </c>
      <c r="J11" s="3">
        <f t="shared" si="1"/>
        <v>-37000000</v>
      </c>
      <c r="K11" s="3">
        <f t="shared" si="2"/>
        <v>7313025.2999999998</v>
      </c>
      <c r="L11" s="3">
        <f t="shared" si="3"/>
        <v>48626539.255440004</v>
      </c>
      <c r="M11" s="3">
        <f t="shared" si="4"/>
        <v>0</v>
      </c>
      <c r="N11" s="3">
        <f t="shared" si="5"/>
        <v>0</v>
      </c>
      <c r="O11" s="47">
        <f t="shared" si="6"/>
        <v>18939564.555440005</v>
      </c>
      <c r="P11" s="47">
        <f>'Monthly Data'!AJ11</f>
        <v>0</v>
      </c>
      <c r="Q11" s="47">
        <f t="shared" si="7"/>
        <v>18939564.555440005</v>
      </c>
      <c r="T11" t="s">
        <v>116</v>
      </c>
      <c r="U11" s="3">
        <f>'VRZ Large Use'!W11</f>
        <v>793454.7</v>
      </c>
      <c r="V11" s="3">
        <f>'VRZ Large Use'!X11</f>
        <v>368216.7</v>
      </c>
      <c r="W11" s="3">
        <f>'VRZ Large Use'!Y11</f>
        <v>2.1548579999999999</v>
      </c>
      <c r="X11" s="3">
        <f>'VRZ Large Use'!Z11</f>
        <v>3.3258000000000003E-2</v>
      </c>
    </row>
    <row r="12" spans="1:24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Data'!AI12</f>
        <v>19695563.348734729</v>
      </c>
      <c r="E12" s="3">
        <f>'Monthly Data'!DR12</f>
        <v>21</v>
      </c>
      <c r="F12" s="3">
        <f>'Monthly Data'!DL12</f>
        <v>737784</v>
      </c>
      <c r="G12" s="3">
        <f>'Monthly Data'!EE12</f>
        <v>0</v>
      </c>
      <c r="H12" s="3">
        <f>'Monthly Data'!EJ12</f>
        <v>0</v>
      </c>
      <c r="J12" s="3">
        <f t="shared" si="1"/>
        <v>-37000000</v>
      </c>
      <c r="K12" s="3">
        <f t="shared" si="2"/>
        <v>7313025.2999999998</v>
      </c>
      <c r="L12" s="3">
        <f t="shared" si="3"/>
        <v>48626539.255440004</v>
      </c>
      <c r="M12" s="3">
        <f t="shared" si="4"/>
        <v>0</v>
      </c>
      <c r="N12" s="3">
        <f t="shared" si="5"/>
        <v>0</v>
      </c>
      <c r="O12" s="47">
        <f t="shared" si="6"/>
        <v>18939564.555440005</v>
      </c>
      <c r="P12" s="47">
        <f>'Monthly Data'!AJ12</f>
        <v>0</v>
      </c>
      <c r="Q12" s="47">
        <f t="shared" si="7"/>
        <v>18939564.555440005</v>
      </c>
      <c r="T12" t="s">
        <v>213</v>
      </c>
      <c r="U12" s="616">
        <f>'VRZ Large Use'!W12</f>
        <v>3508715</v>
      </c>
      <c r="V12" s="3">
        <f>'VRZ Large Use'!X12</f>
        <v>879344.1</v>
      </c>
      <c r="W12" s="3">
        <f>'VRZ Large Use'!Y12</f>
        <v>3.990151</v>
      </c>
      <c r="X12" s="3">
        <f>'VRZ Large Use'!Z12</f>
        <v>1.17E-4</v>
      </c>
    </row>
    <row r="13" spans="1:24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Data'!AI13</f>
        <v>17625407.721631624</v>
      </c>
      <c r="E13" s="3">
        <f>'Monthly Data'!DR13</f>
        <v>21</v>
      </c>
      <c r="F13" s="3">
        <f>'Monthly Data'!DL13</f>
        <v>737784</v>
      </c>
      <c r="G13" s="3">
        <f>'Monthly Data'!EE13</f>
        <v>0</v>
      </c>
      <c r="H13" s="3">
        <f>'Monthly Data'!EJ13</f>
        <v>0</v>
      </c>
      <c r="J13" s="3">
        <f t="shared" si="1"/>
        <v>-37000000</v>
      </c>
      <c r="K13" s="3">
        <f t="shared" si="2"/>
        <v>7313025.2999999998</v>
      </c>
      <c r="L13" s="3">
        <f t="shared" si="3"/>
        <v>48626539.255440004</v>
      </c>
      <c r="M13" s="3">
        <f t="shared" si="4"/>
        <v>0</v>
      </c>
      <c r="N13" s="3">
        <f t="shared" si="5"/>
        <v>0</v>
      </c>
      <c r="O13" s="47">
        <f t="shared" si="6"/>
        <v>18939564.555440005</v>
      </c>
      <c r="P13" s="47">
        <f>'Monthly Data'!AJ13</f>
        <v>0</v>
      </c>
      <c r="Q13" s="47">
        <f t="shared" si="7"/>
        <v>18939564.555440005</v>
      </c>
      <c r="U13" s="3"/>
      <c r="V13" s="3"/>
      <c r="W13" s="360"/>
      <c r="X13" s="108"/>
    </row>
    <row r="14" spans="1:24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Data'!AI14</f>
        <v>17986495.162116073</v>
      </c>
      <c r="E14" s="3">
        <f>'Monthly Data'!DR14</f>
        <v>20</v>
      </c>
      <c r="F14" s="3">
        <f>'Monthly Data'!DL14</f>
        <v>743287</v>
      </c>
      <c r="G14" s="3">
        <f>'Monthly Data'!EE14</f>
        <v>0</v>
      </c>
      <c r="H14" s="3">
        <f>'Monthly Data'!EJ14</f>
        <v>0</v>
      </c>
      <c r="J14" s="3">
        <f t="shared" si="1"/>
        <v>-37000000</v>
      </c>
      <c r="K14" s="3">
        <f t="shared" si="2"/>
        <v>6964786</v>
      </c>
      <c r="L14" s="3">
        <f t="shared" si="3"/>
        <v>48989235.987170003</v>
      </c>
      <c r="M14" s="3">
        <f t="shared" si="4"/>
        <v>0</v>
      </c>
      <c r="N14" s="3">
        <f t="shared" si="5"/>
        <v>0</v>
      </c>
      <c r="O14" s="47">
        <f t="shared" si="6"/>
        <v>18954021.987170003</v>
      </c>
      <c r="P14" s="47">
        <f>'Monthly Data'!AJ14</f>
        <v>0</v>
      </c>
      <c r="Q14" s="47">
        <f t="shared" si="7"/>
        <v>18954021.987170003</v>
      </c>
      <c r="T14" t="s">
        <v>407</v>
      </c>
      <c r="U14" s="3"/>
      <c r="V14" s="3"/>
      <c r="W14" s="360"/>
      <c r="X14" s="108"/>
    </row>
    <row r="15" spans="1:24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Data'!AI15</f>
        <v>19032838.175638389</v>
      </c>
      <c r="E15" s="3">
        <f>'Monthly Data'!DR15</f>
        <v>20</v>
      </c>
      <c r="F15" s="3">
        <f>'Monthly Data'!DL15</f>
        <v>743287</v>
      </c>
      <c r="G15" s="3">
        <f>'Monthly Data'!EE15</f>
        <v>0</v>
      </c>
      <c r="H15" s="3">
        <f>'Monthly Data'!EJ15</f>
        <v>0</v>
      </c>
      <c r="J15" s="3">
        <f t="shared" si="1"/>
        <v>-37000000</v>
      </c>
      <c r="K15" s="3">
        <f t="shared" si="2"/>
        <v>6964786</v>
      </c>
      <c r="L15" s="3">
        <f t="shared" si="3"/>
        <v>48989235.987170003</v>
      </c>
      <c r="M15" s="3">
        <f t="shared" si="4"/>
        <v>0</v>
      </c>
      <c r="N15" s="3">
        <f t="shared" si="5"/>
        <v>0</v>
      </c>
      <c r="O15" s="47">
        <f t="shared" si="6"/>
        <v>18954021.987170003</v>
      </c>
      <c r="P15" s="47">
        <f>'Monthly Data'!AJ15</f>
        <v>0</v>
      </c>
      <c r="Q15" s="47">
        <f t="shared" si="7"/>
        <v>18954021.987170003</v>
      </c>
      <c r="T15" t="s">
        <v>415</v>
      </c>
      <c r="U15" s="3">
        <v>252641270642456</v>
      </c>
      <c r="V15" s="3" t="s">
        <v>416</v>
      </c>
      <c r="W15" s="360">
        <v>1488674.4092862101</v>
      </c>
      <c r="X15" s="108"/>
    </row>
    <row r="16" spans="1:24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Data'!AI16</f>
        <v>19631448.439160705</v>
      </c>
      <c r="E16" s="3">
        <f>'Monthly Data'!DR16</f>
        <v>21</v>
      </c>
      <c r="F16" s="3">
        <f>'Monthly Data'!DL16</f>
        <v>743287</v>
      </c>
      <c r="G16" s="3">
        <f>'Monthly Data'!EE16</f>
        <v>1</v>
      </c>
      <c r="H16" s="3">
        <f>'Monthly Data'!EJ16</f>
        <v>0</v>
      </c>
      <c r="J16" s="3">
        <f t="shared" si="1"/>
        <v>-37000000</v>
      </c>
      <c r="K16" s="3">
        <f t="shared" si="2"/>
        <v>7313025.2999999998</v>
      </c>
      <c r="L16" s="3">
        <f t="shared" si="3"/>
        <v>48989235.987170003</v>
      </c>
      <c r="M16" s="3">
        <f t="shared" si="4"/>
        <v>793454.7</v>
      </c>
      <c r="N16" s="3">
        <f t="shared" si="5"/>
        <v>0</v>
      </c>
      <c r="O16" s="47">
        <f t="shared" si="6"/>
        <v>20095715.987170003</v>
      </c>
      <c r="P16" s="47">
        <f>'Monthly Data'!AJ16</f>
        <v>0</v>
      </c>
      <c r="Q16" s="47">
        <f t="shared" si="7"/>
        <v>20095715.987170003</v>
      </c>
      <c r="T16" t="s">
        <v>417</v>
      </c>
      <c r="U16">
        <v>0.85245320695433702</v>
      </c>
      <c r="V16" t="s">
        <v>418</v>
      </c>
      <c r="W16">
        <v>0.84727612649659501</v>
      </c>
    </row>
    <row r="17" spans="1:23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Data'!AI17</f>
        <v>19572853.982683018</v>
      </c>
      <c r="E17" s="3">
        <f>'Monthly Data'!DR17</f>
        <v>21</v>
      </c>
      <c r="F17" s="3">
        <f>'Monthly Data'!DL17</f>
        <v>740632</v>
      </c>
      <c r="G17" s="3">
        <f>'Monthly Data'!EE17</f>
        <v>1</v>
      </c>
      <c r="H17" s="3">
        <f>'Monthly Data'!EJ17</f>
        <v>0</v>
      </c>
      <c r="J17" s="3">
        <f t="shared" si="1"/>
        <v>-37000000</v>
      </c>
      <c r="K17" s="3">
        <f t="shared" si="2"/>
        <v>7313025.2999999998</v>
      </c>
      <c r="L17" s="3">
        <f t="shared" si="3"/>
        <v>48814247.831120007</v>
      </c>
      <c r="M17" s="3">
        <f t="shared" si="4"/>
        <v>793454.7</v>
      </c>
      <c r="N17" s="3">
        <f t="shared" si="5"/>
        <v>0</v>
      </c>
      <c r="O17" s="47">
        <f t="shared" si="6"/>
        <v>19920727.831120007</v>
      </c>
      <c r="P17" s="47">
        <f>'Monthly Data'!AJ17</f>
        <v>0</v>
      </c>
      <c r="Q17" s="47">
        <f t="shared" si="7"/>
        <v>19920727.831120007</v>
      </c>
      <c r="T17" t="s">
        <v>550</v>
      </c>
      <c r="U17">
        <v>63.212832286360197</v>
      </c>
      <c r="V17" t="s">
        <v>419</v>
      </c>
      <c r="W17">
        <v>4.7076810938331504E-28</v>
      </c>
    </row>
    <row r="18" spans="1:23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Data'!AI18</f>
        <v>18540822.151205339</v>
      </c>
      <c r="E18" s="3">
        <f>'Monthly Data'!DR18</f>
        <v>21</v>
      </c>
      <c r="F18" s="3">
        <f>'Monthly Data'!DL18</f>
        <v>740632</v>
      </c>
      <c r="G18" s="3">
        <f>'Monthly Data'!EE18</f>
        <v>1</v>
      </c>
      <c r="H18" s="3">
        <f>'Monthly Data'!EJ18</f>
        <v>0</v>
      </c>
      <c r="J18" s="3">
        <f t="shared" si="1"/>
        <v>-37000000</v>
      </c>
      <c r="K18" s="3">
        <f t="shared" si="2"/>
        <v>7313025.2999999998</v>
      </c>
      <c r="L18" s="3">
        <f t="shared" si="3"/>
        <v>48814247.831120007</v>
      </c>
      <c r="M18" s="3">
        <f t="shared" si="4"/>
        <v>793454.7</v>
      </c>
      <c r="N18" s="3">
        <f t="shared" si="5"/>
        <v>0</v>
      </c>
      <c r="O18" s="47">
        <f t="shared" si="6"/>
        <v>19920727.831120007</v>
      </c>
      <c r="P18" s="47">
        <f>'Monthly Data'!AJ18</f>
        <v>0</v>
      </c>
      <c r="Q18" s="47">
        <f t="shared" si="7"/>
        <v>19920727.831120007</v>
      </c>
      <c r="T18" t="s">
        <v>420</v>
      </c>
      <c r="U18">
        <v>-7.9293071971009692E-3</v>
      </c>
      <c r="V18" t="s">
        <v>421</v>
      </c>
      <c r="W18" s="3">
        <v>2.0081465518372901</v>
      </c>
    </row>
    <row r="19" spans="1:23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Data'!AI19</f>
        <v>16427130.404727653</v>
      </c>
      <c r="E19" s="3">
        <f>'Monthly Data'!DR19</f>
        <v>22</v>
      </c>
      <c r="F19" s="3">
        <f>'Monthly Data'!DL19</f>
        <v>740632</v>
      </c>
      <c r="G19" s="3">
        <f>'Monthly Data'!EE19</f>
        <v>0</v>
      </c>
      <c r="H19" s="3">
        <f>'Monthly Data'!EJ19</f>
        <v>0</v>
      </c>
      <c r="J19" s="3">
        <f t="shared" si="1"/>
        <v>-37000000</v>
      </c>
      <c r="K19" s="3">
        <f t="shared" si="2"/>
        <v>7661264.5999999996</v>
      </c>
      <c r="L19" s="3">
        <f t="shared" si="3"/>
        <v>48814247.831120007</v>
      </c>
      <c r="M19" s="3">
        <f t="shared" si="4"/>
        <v>0</v>
      </c>
      <c r="N19" s="3">
        <f t="shared" si="5"/>
        <v>0</v>
      </c>
      <c r="O19" s="47">
        <f t="shared" si="6"/>
        <v>19475512.431120008</v>
      </c>
      <c r="P19" s="47">
        <f>'Monthly Data'!AJ19</f>
        <v>0</v>
      </c>
      <c r="Q19" s="47">
        <f t="shared" si="7"/>
        <v>19475512.431120008</v>
      </c>
      <c r="U19" s="107"/>
      <c r="W19" s="107"/>
    </row>
    <row r="20" spans="1:23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Data'!AI20</f>
        <v>18258132.893249966</v>
      </c>
      <c r="E20" s="3">
        <f>'Monthly Data'!DR20</f>
        <v>20</v>
      </c>
      <c r="F20" s="3">
        <f>'Monthly Data'!DL20</f>
        <v>746606</v>
      </c>
      <c r="G20" s="3">
        <f>'Monthly Data'!EE20</f>
        <v>0</v>
      </c>
      <c r="H20" s="3">
        <f>'Monthly Data'!EJ20</f>
        <v>0</v>
      </c>
      <c r="J20" s="3">
        <f t="shared" si="1"/>
        <v>-37000000</v>
      </c>
      <c r="K20" s="3">
        <f t="shared" si="2"/>
        <v>6964786</v>
      </c>
      <c r="L20" s="3">
        <f t="shared" si="3"/>
        <v>49207987.659460001</v>
      </c>
      <c r="M20" s="3">
        <f t="shared" si="4"/>
        <v>0</v>
      </c>
      <c r="N20" s="3">
        <f t="shared" si="5"/>
        <v>0</v>
      </c>
      <c r="O20" s="47">
        <f t="shared" si="6"/>
        <v>19172773.659460001</v>
      </c>
      <c r="P20" s="47">
        <f>'Monthly Data'!AJ20</f>
        <v>0</v>
      </c>
      <c r="Q20" s="47">
        <f t="shared" si="7"/>
        <v>19172773.659460001</v>
      </c>
      <c r="T20" t="s">
        <v>408</v>
      </c>
      <c r="U20" s="360"/>
      <c r="W20" s="107"/>
    </row>
    <row r="21" spans="1:23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Data'!AI21</f>
        <v>19624575.076772284</v>
      </c>
      <c r="E21" s="3">
        <f>'Monthly Data'!DR21</f>
        <v>22</v>
      </c>
      <c r="F21" s="3">
        <f>'Monthly Data'!DL21</f>
        <v>746606</v>
      </c>
      <c r="G21" s="3">
        <f>'Monthly Data'!EE21</f>
        <v>0</v>
      </c>
      <c r="H21" s="3">
        <f>'Monthly Data'!EJ21</f>
        <v>0</v>
      </c>
      <c r="J21" s="3">
        <f t="shared" si="1"/>
        <v>-37000000</v>
      </c>
      <c r="K21" s="3">
        <f t="shared" si="2"/>
        <v>7661264.5999999996</v>
      </c>
      <c r="L21" s="3">
        <f t="shared" si="3"/>
        <v>49207987.659460001</v>
      </c>
      <c r="M21" s="3">
        <f t="shared" si="4"/>
        <v>0</v>
      </c>
      <c r="N21" s="3">
        <f t="shared" si="5"/>
        <v>0</v>
      </c>
      <c r="O21" s="47">
        <f t="shared" si="6"/>
        <v>19869252.259460002</v>
      </c>
      <c r="P21" s="47">
        <f>'Monthly Data'!AJ21</f>
        <v>0</v>
      </c>
      <c r="Q21" s="47">
        <f t="shared" si="7"/>
        <v>19869252.259460002</v>
      </c>
      <c r="T21" t="s">
        <v>422</v>
      </c>
      <c r="U21" s="107">
        <v>23332118.1769448</v>
      </c>
      <c r="V21" t="s">
        <v>423</v>
      </c>
      <c r="W21" s="107">
        <v>3808903.2293846798</v>
      </c>
    </row>
    <row r="22" spans="1:23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Data'!AI22</f>
        <v>18116451.120294601</v>
      </c>
      <c r="E22" s="3">
        <f>'Monthly Data'!DR22</f>
        <v>21</v>
      </c>
      <c r="F22" s="3">
        <f>'Monthly Data'!DL22</f>
        <v>746606</v>
      </c>
      <c r="G22" s="3">
        <f>'Monthly Data'!EE22</f>
        <v>0</v>
      </c>
      <c r="H22" s="3">
        <f>'Monthly Data'!EJ22</f>
        <v>0</v>
      </c>
      <c r="J22" s="3">
        <f t="shared" si="1"/>
        <v>-37000000</v>
      </c>
      <c r="K22" s="3">
        <f t="shared" si="2"/>
        <v>7313025.2999999998</v>
      </c>
      <c r="L22" s="3">
        <f t="shared" si="3"/>
        <v>49207987.659460001</v>
      </c>
      <c r="M22" s="3">
        <f t="shared" si="4"/>
        <v>0</v>
      </c>
      <c r="N22" s="3">
        <f t="shared" si="5"/>
        <v>0</v>
      </c>
      <c r="O22" s="47">
        <f t="shared" si="6"/>
        <v>19521012.959460001</v>
      </c>
      <c r="P22" s="47">
        <f>'Monthly Data'!AJ22</f>
        <v>0</v>
      </c>
      <c r="Q22" s="47">
        <f t="shared" si="7"/>
        <v>19521012.959460001</v>
      </c>
    </row>
    <row r="23" spans="1:23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Data'!AI23</f>
        <v>18246862.423816919</v>
      </c>
      <c r="E23" s="3">
        <f>'Monthly Data'!DR23</f>
        <v>20</v>
      </c>
      <c r="F23" s="3">
        <f>'Monthly Data'!DL23</f>
        <v>745380</v>
      </c>
      <c r="G23" s="3">
        <f>'Monthly Data'!EE23</f>
        <v>0</v>
      </c>
      <c r="H23" s="3">
        <f>'Monthly Data'!EJ23</f>
        <v>0</v>
      </c>
      <c r="J23" s="3">
        <f t="shared" si="1"/>
        <v>-37000000</v>
      </c>
      <c r="K23" s="3">
        <f t="shared" si="2"/>
        <v>6964786</v>
      </c>
      <c r="L23" s="3">
        <f t="shared" si="3"/>
        <v>49127183.335800007</v>
      </c>
      <c r="M23" s="3">
        <f t="shared" si="4"/>
        <v>0</v>
      </c>
      <c r="N23" s="3">
        <f t="shared" si="5"/>
        <v>0</v>
      </c>
      <c r="O23" s="47">
        <f t="shared" si="6"/>
        <v>19091969.335800007</v>
      </c>
      <c r="P23" s="47">
        <f>'Monthly Data'!AJ23</f>
        <v>0</v>
      </c>
      <c r="Q23" s="47">
        <f t="shared" si="7"/>
        <v>19091969.335800007</v>
      </c>
    </row>
    <row r="24" spans="1:23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Data'!AI24</f>
        <v>18591910.007339232</v>
      </c>
      <c r="E24" s="3">
        <f>'Monthly Data'!DR24</f>
        <v>22</v>
      </c>
      <c r="F24" s="3">
        <f>'Monthly Data'!DL24</f>
        <v>745380</v>
      </c>
      <c r="G24" s="3">
        <f>'Monthly Data'!EE24</f>
        <v>0</v>
      </c>
      <c r="H24" s="3">
        <f>'Monthly Data'!EJ24</f>
        <v>0</v>
      </c>
      <c r="J24" s="3">
        <f t="shared" si="1"/>
        <v>-37000000</v>
      </c>
      <c r="K24" s="3">
        <f t="shared" si="2"/>
        <v>7661264.5999999996</v>
      </c>
      <c r="L24" s="3">
        <f t="shared" si="3"/>
        <v>49127183.335800007</v>
      </c>
      <c r="M24" s="3">
        <f t="shared" si="4"/>
        <v>0</v>
      </c>
      <c r="N24" s="3">
        <f t="shared" si="5"/>
        <v>0</v>
      </c>
      <c r="O24" s="47">
        <f t="shared" si="6"/>
        <v>19788447.935800008</v>
      </c>
      <c r="P24" s="47">
        <f>'Monthly Data'!AJ24</f>
        <v>0</v>
      </c>
      <c r="Q24" s="47">
        <f t="shared" si="7"/>
        <v>19788447.935800008</v>
      </c>
      <c r="U24" s="3"/>
      <c r="W24" s="3"/>
    </row>
    <row r="25" spans="1:23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Data'!AI25</f>
        <v>18899816.410861548</v>
      </c>
      <c r="E25" s="3">
        <f>'Monthly Data'!DR25</f>
        <v>20</v>
      </c>
      <c r="F25" s="3">
        <f>'Monthly Data'!DL25</f>
        <v>745380</v>
      </c>
      <c r="G25" s="3">
        <f>'Monthly Data'!EE25</f>
        <v>0</v>
      </c>
      <c r="H25" s="3">
        <f>'Monthly Data'!EJ25</f>
        <v>0</v>
      </c>
      <c r="J25" s="3">
        <f t="shared" si="1"/>
        <v>-37000000</v>
      </c>
      <c r="K25" s="3">
        <f t="shared" si="2"/>
        <v>6964786</v>
      </c>
      <c r="L25" s="3">
        <f t="shared" si="3"/>
        <v>49127183.335800007</v>
      </c>
      <c r="M25" s="3">
        <f t="shared" si="4"/>
        <v>0</v>
      </c>
      <c r="N25" s="3">
        <f t="shared" si="5"/>
        <v>0</v>
      </c>
      <c r="O25" s="47">
        <f t="shared" si="6"/>
        <v>19091969.335800007</v>
      </c>
      <c r="P25" s="47">
        <f>'Monthly Data'!AJ25</f>
        <v>0</v>
      </c>
      <c r="Q25" s="47">
        <f t="shared" si="7"/>
        <v>19091969.335800007</v>
      </c>
    </row>
    <row r="26" spans="1:23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Data'!AI26</f>
        <v>18995737.177371185</v>
      </c>
      <c r="E26" s="3">
        <f>'Monthly Data'!DR26</f>
        <v>22</v>
      </c>
      <c r="F26" s="3">
        <f>'Monthly Data'!DL26</f>
        <v>756702</v>
      </c>
      <c r="G26" s="3">
        <f>'Monthly Data'!EE26</f>
        <v>0</v>
      </c>
      <c r="H26" s="3">
        <f>'Monthly Data'!EJ26</f>
        <v>0</v>
      </c>
      <c r="J26" s="3">
        <f t="shared" si="1"/>
        <v>-37000000</v>
      </c>
      <c r="K26" s="3">
        <f t="shared" si="2"/>
        <v>7661264.5999999996</v>
      </c>
      <c r="L26" s="3">
        <f t="shared" si="3"/>
        <v>49873404.014820002</v>
      </c>
      <c r="M26" s="3">
        <f t="shared" si="4"/>
        <v>0</v>
      </c>
      <c r="N26" s="3">
        <f t="shared" si="5"/>
        <v>0</v>
      </c>
      <c r="O26" s="47">
        <f t="shared" si="6"/>
        <v>20534668.614820004</v>
      </c>
      <c r="P26" s="47">
        <f>'Monthly Data'!AJ26</f>
        <v>0</v>
      </c>
      <c r="Q26" s="47">
        <f t="shared" si="7"/>
        <v>20534668.614820004</v>
      </c>
    </row>
    <row r="27" spans="1:23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Data'!AI27</f>
        <v>17415379.920155503</v>
      </c>
      <c r="E27" s="3">
        <f>'Monthly Data'!DR27</f>
        <v>19</v>
      </c>
      <c r="F27" s="3">
        <f>'Monthly Data'!DL27</f>
        <v>756702</v>
      </c>
      <c r="G27" s="3">
        <f>'Monthly Data'!EE27</f>
        <v>0</v>
      </c>
      <c r="H27" s="3">
        <f>'Monthly Data'!EJ27</f>
        <v>0</v>
      </c>
      <c r="J27" s="3">
        <f t="shared" si="1"/>
        <v>-37000000</v>
      </c>
      <c r="K27" s="3">
        <f t="shared" si="2"/>
        <v>6616546.7000000002</v>
      </c>
      <c r="L27" s="3">
        <f t="shared" si="3"/>
        <v>49873404.014820002</v>
      </c>
      <c r="M27" s="3">
        <f t="shared" si="4"/>
        <v>0</v>
      </c>
      <c r="N27" s="3">
        <f t="shared" si="5"/>
        <v>0</v>
      </c>
      <c r="O27" s="47">
        <f t="shared" si="6"/>
        <v>19489950.714820001</v>
      </c>
      <c r="P27" s="47">
        <f>'Monthly Data'!AJ27</f>
        <v>0</v>
      </c>
      <c r="Q27" s="47">
        <f t="shared" si="7"/>
        <v>19489950.714820001</v>
      </c>
    </row>
    <row r="28" spans="1:23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Data'!AI28</f>
        <v>20610151.262939818</v>
      </c>
      <c r="E28" s="3">
        <f>'Monthly Data'!DR28</f>
        <v>23</v>
      </c>
      <c r="F28" s="3">
        <f>'Monthly Data'!DL28</f>
        <v>756702</v>
      </c>
      <c r="G28" s="3">
        <f>'Monthly Data'!EE28</f>
        <v>1</v>
      </c>
      <c r="H28" s="3">
        <f>'Monthly Data'!EJ28</f>
        <v>0</v>
      </c>
      <c r="J28" s="3">
        <f t="shared" si="1"/>
        <v>-37000000</v>
      </c>
      <c r="K28" s="3">
        <f t="shared" si="2"/>
        <v>8009503.8999999994</v>
      </c>
      <c r="L28" s="3">
        <f t="shared" si="3"/>
        <v>49873404.014820002</v>
      </c>
      <c r="M28" s="3">
        <f t="shared" si="4"/>
        <v>793454.7</v>
      </c>
      <c r="N28" s="3">
        <f t="shared" si="5"/>
        <v>0</v>
      </c>
      <c r="O28" s="47">
        <f t="shared" si="6"/>
        <v>21676362.61482</v>
      </c>
      <c r="P28" s="47">
        <f>'Monthly Data'!AJ28</f>
        <v>0</v>
      </c>
      <c r="Q28" s="47">
        <f t="shared" si="7"/>
        <v>21676362.61482</v>
      </c>
    </row>
    <row r="29" spans="1:23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Data'!AI29</f>
        <v>17700259.675724134</v>
      </c>
      <c r="E29" s="3">
        <f>'Monthly Data'!DR29</f>
        <v>19</v>
      </c>
      <c r="F29" s="3">
        <f>'Monthly Data'!DL29</f>
        <v>764644</v>
      </c>
      <c r="G29" s="3">
        <f>'Monthly Data'!EE29</f>
        <v>1</v>
      </c>
      <c r="H29" s="3">
        <f>'Monthly Data'!EJ29</f>
        <v>0</v>
      </c>
      <c r="J29" s="3">
        <f t="shared" si="1"/>
        <v>-37000000</v>
      </c>
      <c r="K29" s="3">
        <f t="shared" si="2"/>
        <v>6616546.7000000002</v>
      </c>
      <c r="L29" s="3">
        <f t="shared" si="3"/>
        <v>50396852.578040004</v>
      </c>
      <c r="M29" s="3">
        <f t="shared" si="4"/>
        <v>793454.7</v>
      </c>
      <c r="N29" s="3">
        <f t="shared" si="5"/>
        <v>0</v>
      </c>
      <c r="O29" s="47">
        <f t="shared" si="6"/>
        <v>20806853.978040002</v>
      </c>
      <c r="P29" s="47">
        <f>'Monthly Data'!AJ29</f>
        <v>0</v>
      </c>
      <c r="Q29" s="47">
        <f t="shared" si="7"/>
        <v>20806853.978040002</v>
      </c>
    </row>
    <row r="30" spans="1:23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Data'!AI30</f>
        <v>21988021.618508454</v>
      </c>
      <c r="E30" s="3">
        <f>'Monthly Data'!DR30</f>
        <v>22</v>
      </c>
      <c r="F30" s="3">
        <f>'Monthly Data'!DL30</f>
        <v>764644</v>
      </c>
      <c r="G30" s="3">
        <f>'Monthly Data'!EE30</f>
        <v>1</v>
      </c>
      <c r="H30" s="3">
        <f>'Monthly Data'!EJ30</f>
        <v>0</v>
      </c>
      <c r="J30" s="3">
        <f t="shared" si="1"/>
        <v>-37000000</v>
      </c>
      <c r="K30" s="3">
        <f t="shared" si="2"/>
        <v>7661264.5999999996</v>
      </c>
      <c r="L30" s="3">
        <f t="shared" si="3"/>
        <v>50396852.578040004</v>
      </c>
      <c r="M30" s="3">
        <f t="shared" si="4"/>
        <v>793454.7</v>
      </c>
      <c r="N30" s="3">
        <f t="shared" si="5"/>
        <v>0</v>
      </c>
      <c r="O30" s="47">
        <f t="shared" si="6"/>
        <v>21851571.878040005</v>
      </c>
      <c r="P30" s="47">
        <f>'Monthly Data'!AJ30</f>
        <v>0</v>
      </c>
      <c r="Q30" s="47">
        <f t="shared" si="7"/>
        <v>21851571.878040005</v>
      </c>
    </row>
    <row r="31" spans="1:23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Data'!AI31</f>
        <v>20111494.601292767</v>
      </c>
      <c r="E31" s="3">
        <f>'Monthly Data'!DR31</f>
        <v>22</v>
      </c>
      <c r="F31" s="3">
        <f>'Monthly Data'!DL31</f>
        <v>764644</v>
      </c>
      <c r="G31" s="3">
        <f>'Monthly Data'!EE31</f>
        <v>0</v>
      </c>
      <c r="H31" s="3">
        <f>'Monthly Data'!EJ31</f>
        <v>0</v>
      </c>
      <c r="J31" s="3">
        <f t="shared" si="1"/>
        <v>-37000000</v>
      </c>
      <c r="K31" s="3">
        <f t="shared" si="2"/>
        <v>7661264.5999999996</v>
      </c>
      <c r="L31" s="3">
        <f t="shared" si="3"/>
        <v>50396852.578040004</v>
      </c>
      <c r="M31" s="3">
        <f t="shared" si="4"/>
        <v>0</v>
      </c>
      <c r="N31" s="3">
        <f t="shared" si="5"/>
        <v>0</v>
      </c>
      <c r="O31" s="47">
        <f t="shared" si="6"/>
        <v>21058117.178040005</v>
      </c>
      <c r="P31" s="47">
        <f>'Monthly Data'!AJ31</f>
        <v>0</v>
      </c>
      <c r="Q31" s="47">
        <f t="shared" si="7"/>
        <v>21058117.178040005</v>
      </c>
    </row>
    <row r="32" spans="1:23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Data'!AI32</f>
        <v>18711614.894077085</v>
      </c>
      <c r="E32" s="3">
        <f>'Monthly Data'!DR32</f>
        <v>20</v>
      </c>
      <c r="F32" s="3">
        <f>'Monthly Data'!DL32</f>
        <v>765060</v>
      </c>
      <c r="G32" s="3">
        <f>'Monthly Data'!EE32</f>
        <v>0</v>
      </c>
      <c r="H32" s="3">
        <f>'Monthly Data'!EJ32</f>
        <v>0</v>
      </c>
      <c r="J32" s="3">
        <f t="shared" si="1"/>
        <v>-37000000</v>
      </c>
      <c r="K32" s="3">
        <f t="shared" si="2"/>
        <v>6964786</v>
      </c>
      <c r="L32" s="3">
        <f t="shared" si="3"/>
        <v>50424270.684600003</v>
      </c>
      <c r="M32" s="3">
        <f t="shared" si="4"/>
        <v>0</v>
      </c>
      <c r="N32" s="3">
        <f t="shared" si="5"/>
        <v>0</v>
      </c>
      <c r="O32" s="47">
        <f t="shared" si="6"/>
        <v>20389056.684600003</v>
      </c>
      <c r="P32" s="47">
        <f>'Monthly Data'!AJ32</f>
        <v>0</v>
      </c>
      <c r="Q32" s="47">
        <f t="shared" si="7"/>
        <v>20389056.684600003</v>
      </c>
    </row>
    <row r="33" spans="1:17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Data'!AI33</f>
        <v>18982375.466861401</v>
      </c>
      <c r="E33" s="3">
        <f>'Monthly Data'!DR33</f>
        <v>22</v>
      </c>
      <c r="F33" s="3">
        <f>'Monthly Data'!DL33</f>
        <v>765060</v>
      </c>
      <c r="G33" s="3">
        <f>'Monthly Data'!EE33</f>
        <v>0</v>
      </c>
      <c r="H33" s="3">
        <f>'Monthly Data'!EJ33</f>
        <v>0</v>
      </c>
      <c r="J33" s="3">
        <f t="shared" si="1"/>
        <v>-37000000</v>
      </c>
      <c r="K33" s="3">
        <f t="shared" si="2"/>
        <v>7661264.5999999996</v>
      </c>
      <c r="L33" s="3">
        <f t="shared" si="3"/>
        <v>50424270.684600003</v>
      </c>
      <c r="M33" s="3">
        <f t="shared" si="4"/>
        <v>0</v>
      </c>
      <c r="N33" s="3">
        <f t="shared" si="5"/>
        <v>0</v>
      </c>
      <c r="O33" s="47">
        <f t="shared" si="6"/>
        <v>21085535.284600005</v>
      </c>
      <c r="P33" s="47">
        <f>'Monthly Data'!AJ33</f>
        <v>0</v>
      </c>
      <c r="Q33" s="47">
        <f t="shared" si="7"/>
        <v>21085535.284600005</v>
      </c>
    </row>
    <row r="34" spans="1:17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Data'!AI34</f>
        <v>18015462.37964572</v>
      </c>
      <c r="E34" s="3">
        <f>'Monthly Data'!DR34</f>
        <v>20</v>
      </c>
      <c r="F34" s="3">
        <f>'Monthly Data'!DL34</f>
        <v>765060</v>
      </c>
      <c r="G34" s="3">
        <f>'Monthly Data'!EE34</f>
        <v>0</v>
      </c>
      <c r="H34" s="3">
        <f>'Monthly Data'!EJ34</f>
        <v>0</v>
      </c>
      <c r="J34" s="3">
        <f t="shared" si="1"/>
        <v>-37000000</v>
      </c>
      <c r="K34" s="3">
        <f t="shared" si="2"/>
        <v>6964786</v>
      </c>
      <c r="L34" s="3">
        <f t="shared" si="3"/>
        <v>50424270.684600003</v>
      </c>
      <c r="M34" s="3">
        <f t="shared" si="4"/>
        <v>0</v>
      </c>
      <c r="N34" s="3">
        <f t="shared" si="5"/>
        <v>0</v>
      </c>
      <c r="O34" s="47">
        <f t="shared" si="6"/>
        <v>20389056.684600003</v>
      </c>
      <c r="P34" s="47">
        <f>'Monthly Data'!AJ34</f>
        <v>0</v>
      </c>
      <c r="Q34" s="47">
        <f t="shared" si="7"/>
        <v>20389056.684600003</v>
      </c>
    </row>
    <row r="35" spans="1:17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Data'!AI35</f>
        <v>19247093.682430036</v>
      </c>
      <c r="E35" s="3">
        <f>'Monthly Data'!DR35</f>
        <v>21</v>
      </c>
      <c r="F35" s="3">
        <f>'Monthly Data'!DL35</f>
        <v>771453</v>
      </c>
      <c r="G35" s="3">
        <f>'Monthly Data'!EE35</f>
        <v>0</v>
      </c>
      <c r="H35" s="3">
        <f>'Monthly Data'!EJ35</f>
        <v>0</v>
      </c>
      <c r="J35" s="3">
        <f t="shared" si="1"/>
        <v>-37000000</v>
      </c>
      <c r="K35" s="3">
        <f t="shared" si="2"/>
        <v>7313025.2999999998</v>
      </c>
      <c r="L35" s="3">
        <f t="shared" si="3"/>
        <v>50845626.346230008</v>
      </c>
      <c r="M35" s="3">
        <f t="shared" si="4"/>
        <v>0</v>
      </c>
      <c r="N35" s="3">
        <f t="shared" si="5"/>
        <v>0</v>
      </c>
      <c r="O35" s="47">
        <f t="shared" si="6"/>
        <v>21158651.646230008</v>
      </c>
      <c r="P35" s="47">
        <f>'Monthly Data'!AJ35</f>
        <v>0</v>
      </c>
      <c r="Q35" s="47">
        <f t="shared" si="7"/>
        <v>21158651.646230008</v>
      </c>
    </row>
    <row r="36" spans="1:17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Data'!AI36</f>
        <v>21526624.655214354</v>
      </c>
      <c r="E36" s="3">
        <f>'Monthly Data'!DR36</f>
        <v>22</v>
      </c>
      <c r="F36" s="3">
        <f>'Monthly Data'!DL36</f>
        <v>771453</v>
      </c>
      <c r="G36" s="3">
        <f>'Monthly Data'!EE36</f>
        <v>0</v>
      </c>
      <c r="H36" s="3">
        <f>'Monthly Data'!EJ36</f>
        <v>0</v>
      </c>
      <c r="J36" s="3">
        <f t="shared" si="1"/>
        <v>-37000000</v>
      </c>
      <c r="K36" s="3">
        <f t="shared" si="2"/>
        <v>7661264.5999999996</v>
      </c>
      <c r="L36" s="3">
        <f t="shared" si="3"/>
        <v>50845626.346230008</v>
      </c>
      <c r="M36" s="3">
        <f t="shared" si="4"/>
        <v>0</v>
      </c>
      <c r="N36" s="3">
        <f t="shared" si="5"/>
        <v>0</v>
      </c>
      <c r="O36" s="47">
        <f t="shared" si="6"/>
        <v>21506890.946230009</v>
      </c>
      <c r="P36" s="47">
        <f>'Monthly Data'!AJ36</f>
        <v>0</v>
      </c>
      <c r="Q36" s="47">
        <f t="shared" si="7"/>
        <v>21506890.946230009</v>
      </c>
    </row>
    <row r="37" spans="1:17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Data'!AI37</f>
        <v>20411227.547998667</v>
      </c>
      <c r="E37" s="3">
        <f>'Monthly Data'!DR37</f>
        <v>19</v>
      </c>
      <c r="F37" s="3">
        <f>'Monthly Data'!DL37</f>
        <v>771453</v>
      </c>
      <c r="G37" s="3">
        <f>'Monthly Data'!EE37</f>
        <v>0</v>
      </c>
      <c r="H37" s="3">
        <f>'Monthly Data'!EJ37</f>
        <v>0</v>
      </c>
      <c r="J37" s="3">
        <f t="shared" si="1"/>
        <v>-37000000</v>
      </c>
      <c r="K37" s="3">
        <f t="shared" si="2"/>
        <v>6616546.7000000002</v>
      </c>
      <c r="L37" s="3">
        <f t="shared" si="3"/>
        <v>50845626.346230008</v>
      </c>
      <c r="M37" s="3">
        <f t="shared" si="4"/>
        <v>0</v>
      </c>
      <c r="N37" s="3">
        <f t="shared" si="5"/>
        <v>0</v>
      </c>
      <c r="O37" s="47">
        <f t="shared" si="6"/>
        <v>20462173.046230007</v>
      </c>
      <c r="P37" s="47">
        <f>'Monthly Data'!AJ37</f>
        <v>0</v>
      </c>
      <c r="Q37" s="47">
        <f t="shared" si="7"/>
        <v>20462173.046230007</v>
      </c>
    </row>
    <row r="38" spans="1:17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Data'!AI38</f>
        <v>22700558.545727149</v>
      </c>
      <c r="E38" s="3">
        <f>'Monthly Data'!DR38</f>
        <v>22</v>
      </c>
      <c r="F38" s="3">
        <f>'Monthly Data'!DL38</f>
        <v>779459</v>
      </c>
      <c r="G38" s="3">
        <f>'Monthly Data'!EE38</f>
        <v>0</v>
      </c>
      <c r="H38" s="3">
        <f>'Monthly Data'!EJ38</f>
        <v>0</v>
      </c>
      <c r="J38" s="3">
        <f t="shared" si="1"/>
        <v>-37000000</v>
      </c>
      <c r="K38" s="3">
        <f t="shared" si="2"/>
        <v>7661264.5999999996</v>
      </c>
      <c r="L38" s="3">
        <f t="shared" si="3"/>
        <v>51373293.079690002</v>
      </c>
      <c r="M38" s="3">
        <f t="shared" si="4"/>
        <v>0</v>
      </c>
      <c r="N38" s="3">
        <f t="shared" si="5"/>
        <v>0</v>
      </c>
      <c r="O38" s="47">
        <f t="shared" si="6"/>
        <v>22034557.679690003</v>
      </c>
      <c r="P38" s="47">
        <f>'Monthly Data'!AJ38</f>
        <v>0</v>
      </c>
      <c r="Q38" s="47">
        <f t="shared" si="7"/>
        <v>22034557.679690003</v>
      </c>
    </row>
    <row r="39" spans="1:17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Data'!AI39</f>
        <v>20894926.983466111</v>
      </c>
      <c r="E39" s="3">
        <f>'Monthly Data'!DR39</f>
        <v>19</v>
      </c>
      <c r="F39" s="3">
        <f>'Monthly Data'!DL39</f>
        <v>779459</v>
      </c>
      <c r="G39" s="3">
        <f>'Monthly Data'!EE39</f>
        <v>0</v>
      </c>
      <c r="H39" s="3">
        <f>'Monthly Data'!EJ39</f>
        <v>0</v>
      </c>
      <c r="J39" s="3">
        <f t="shared" si="1"/>
        <v>-37000000</v>
      </c>
      <c r="K39" s="3">
        <f t="shared" si="2"/>
        <v>6616546.7000000002</v>
      </c>
      <c r="L39" s="3">
        <f t="shared" si="3"/>
        <v>51373293.079690002</v>
      </c>
      <c r="M39" s="3">
        <f t="shared" si="4"/>
        <v>0</v>
      </c>
      <c r="N39" s="3">
        <f t="shared" si="5"/>
        <v>0</v>
      </c>
      <c r="O39" s="47">
        <f t="shared" si="6"/>
        <v>20989839.779690001</v>
      </c>
      <c r="P39" s="47">
        <f>'Monthly Data'!AJ39</f>
        <v>0</v>
      </c>
      <c r="Q39" s="47">
        <f t="shared" si="7"/>
        <v>20989839.779690001</v>
      </c>
    </row>
    <row r="40" spans="1:17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Data'!AI40</f>
        <v>23946224.311205074</v>
      </c>
      <c r="E40" s="3">
        <f>'Monthly Data'!DR40</f>
        <v>21</v>
      </c>
      <c r="F40" s="3">
        <f>'Monthly Data'!DL40</f>
        <v>779459</v>
      </c>
      <c r="G40" s="3">
        <f>'Monthly Data'!EE40</f>
        <v>1</v>
      </c>
      <c r="H40" s="3">
        <f>'Monthly Data'!EJ40</f>
        <v>0</v>
      </c>
      <c r="J40" s="3">
        <f t="shared" si="1"/>
        <v>-37000000</v>
      </c>
      <c r="K40" s="3">
        <f t="shared" si="2"/>
        <v>7313025.2999999998</v>
      </c>
      <c r="L40" s="3">
        <f t="shared" si="3"/>
        <v>51373293.079690002</v>
      </c>
      <c r="M40" s="3">
        <f t="shared" si="4"/>
        <v>793454.7</v>
      </c>
      <c r="N40" s="3">
        <f t="shared" si="5"/>
        <v>0</v>
      </c>
      <c r="O40" s="47">
        <f t="shared" si="6"/>
        <v>22479773.079690002</v>
      </c>
      <c r="P40" s="47">
        <f>'Monthly Data'!AJ40</f>
        <v>0</v>
      </c>
      <c r="Q40" s="47">
        <f t="shared" si="7"/>
        <v>22479773.079690002</v>
      </c>
    </row>
    <row r="41" spans="1:17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Data'!AI41</f>
        <v>23051903.368944038</v>
      </c>
      <c r="E41" s="3">
        <f>'Monthly Data'!DR41</f>
        <v>21</v>
      </c>
      <c r="F41" s="3">
        <f>'Monthly Data'!DL41</f>
        <v>784896</v>
      </c>
      <c r="G41" s="3">
        <f>'Monthly Data'!EE41</f>
        <v>1</v>
      </c>
      <c r="H41" s="3">
        <f>'Monthly Data'!EJ41</f>
        <v>0</v>
      </c>
      <c r="J41" s="3">
        <f t="shared" si="1"/>
        <v>-37000000</v>
      </c>
      <c r="K41" s="3">
        <f t="shared" si="2"/>
        <v>7313025.2999999998</v>
      </c>
      <c r="L41" s="3">
        <f t="shared" si="3"/>
        <v>51731639.823360004</v>
      </c>
      <c r="M41" s="3">
        <f t="shared" si="4"/>
        <v>793454.7</v>
      </c>
      <c r="N41" s="3">
        <f t="shared" si="5"/>
        <v>0</v>
      </c>
      <c r="O41" s="47">
        <f t="shared" si="6"/>
        <v>22838119.823360004</v>
      </c>
      <c r="P41" s="47">
        <f>'Monthly Data'!AJ41</f>
        <v>0</v>
      </c>
      <c r="Q41" s="47">
        <f t="shared" si="7"/>
        <v>22838119.823360004</v>
      </c>
    </row>
    <row r="42" spans="1:17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Data'!AI42</f>
        <v>22607475.776682999</v>
      </c>
      <c r="E42" s="3">
        <f>'Monthly Data'!DR42</f>
        <v>22</v>
      </c>
      <c r="F42" s="3">
        <f>'Monthly Data'!DL42</f>
        <v>784896</v>
      </c>
      <c r="G42" s="3">
        <f>'Monthly Data'!EE42</f>
        <v>1</v>
      </c>
      <c r="H42" s="3">
        <f>'Monthly Data'!EJ42</f>
        <v>0</v>
      </c>
      <c r="J42" s="3">
        <f t="shared" si="1"/>
        <v>-37000000</v>
      </c>
      <c r="K42" s="3">
        <f t="shared" si="2"/>
        <v>7661264.5999999996</v>
      </c>
      <c r="L42" s="3">
        <f t="shared" si="3"/>
        <v>51731639.823360004</v>
      </c>
      <c r="M42" s="3">
        <f t="shared" si="4"/>
        <v>793454.7</v>
      </c>
      <c r="N42" s="3">
        <f t="shared" si="5"/>
        <v>0</v>
      </c>
      <c r="O42" s="47">
        <f t="shared" si="6"/>
        <v>23186359.123360004</v>
      </c>
      <c r="P42" s="47">
        <f>'Monthly Data'!AJ42</f>
        <v>0</v>
      </c>
      <c r="Q42" s="47">
        <f t="shared" si="7"/>
        <v>23186359.123360004</v>
      </c>
    </row>
    <row r="43" spans="1:17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Data'!AI43</f>
        <v>20050986.104421962</v>
      </c>
      <c r="E43" s="3">
        <f>'Monthly Data'!DR43</f>
        <v>21</v>
      </c>
      <c r="F43" s="3">
        <f>'Monthly Data'!DL43</f>
        <v>784896</v>
      </c>
      <c r="G43" s="3">
        <f>'Monthly Data'!EE43</f>
        <v>0</v>
      </c>
      <c r="H43" s="3">
        <f>'Monthly Data'!EJ43</f>
        <v>0</v>
      </c>
      <c r="J43" s="3">
        <f t="shared" si="1"/>
        <v>-37000000</v>
      </c>
      <c r="K43" s="3">
        <f t="shared" si="2"/>
        <v>7313025.2999999998</v>
      </c>
      <c r="L43" s="3">
        <f t="shared" si="3"/>
        <v>51731639.823360004</v>
      </c>
      <c r="M43" s="3">
        <f t="shared" si="4"/>
        <v>0</v>
      </c>
      <c r="N43" s="3">
        <f t="shared" si="5"/>
        <v>0</v>
      </c>
      <c r="O43" s="47">
        <f t="shared" si="6"/>
        <v>22044665.123360004</v>
      </c>
      <c r="P43" s="47">
        <f>'Monthly Data'!AJ43</f>
        <v>0</v>
      </c>
      <c r="Q43" s="47">
        <f t="shared" si="7"/>
        <v>22044665.123360004</v>
      </c>
    </row>
    <row r="44" spans="1:17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Data'!AI44</f>
        <v>21034495.652160924</v>
      </c>
      <c r="E44" s="3">
        <f>'Monthly Data'!DR44</f>
        <v>21</v>
      </c>
      <c r="F44" s="3">
        <f>'Monthly Data'!DL44</f>
        <v>794140</v>
      </c>
      <c r="G44" s="3">
        <f>'Monthly Data'!EE44</f>
        <v>0</v>
      </c>
      <c r="H44" s="3">
        <f>'Monthly Data'!EJ44</f>
        <v>0</v>
      </c>
      <c r="J44" s="3">
        <f t="shared" si="1"/>
        <v>-37000000</v>
      </c>
      <c r="K44" s="3">
        <f t="shared" si="2"/>
        <v>7313025.2999999998</v>
      </c>
      <c r="L44" s="3">
        <f t="shared" si="3"/>
        <v>52340901.787400007</v>
      </c>
      <c r="M44" s="3">
        <f t="shared" si="4"/>
        <v>0</v>
      </c>
      <c r="N44" s="3">
        <f t="shared" si="5"/>
        <v>0</v>
      </c>
      <c r="O44" s="47">
        <f t="shared" si="6"/>
        <v>22653927.087400008</v>
      </c>
      <c r="P44" s="47">
        <f>'Monthly Data'!AJ44</f>
        <v>0</v>
      </c>
      <c r="Q44" s="47">
        <f t="shared" si="7"/>
        <v>22653927.087400008</v>
      </c>
    </row>
    <row r="45" spans="1:17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Data'!AI45</f>
        <v>22017899.699899886</v>
      </c>
      <c r="E45" s="3">
        <f>'Monthly Data'!DR45</f>
        <v>22</v>
      </c>
      <c r="F45" s="3">
        <f>'Monthly Data'!DL45</f>
        <v>794140</v>
      </c>
      <c r="G45" s="3">
        <f>'Monthly Data'!EE45</f>
        <v>0</v>
      </c>
      <c r="H45" s="3">
        <f>'Monthly Data'!EJ45</f>
        <v>0</v>
      </c>
      <c r="J45" s="3">
        <f t="shared" si="1"/>
        <v>-37000000</v>
      </c>
      <c r="K45" s="3">
        <f t="shared" si="2"/>
        <v>7661264.5999999996</v>
      </c>
      <c r="L45" s="3">
        <f t="shared" si="3"/>
        <v>52340901.787400007</v>
      </c>
      <c r="M45" s="3">
        <f t="shared" si="4"/>
        <v>0</v>
      </c>
      <c r="N45" s="3">
        <f t="shared" si="5"/>
        <v>0</v>
      </c>
      <c r="O45" s="47">
        <f t="shared" si="6"/>
        <v>23002166.387400009</v>
      </c>
      <c r="P45" s="47">
        <f>'Monthly Data'!AJ45</f>
        <v>0</v>
      </c>
      <c r="Q45" s="47">
        <f t="shared" si="7"/>
        <v>23002166.387400009</v>
      </c>
    </row>
    <row r="46" spans="1:17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Data'!AI46</f>
        <v>21380898.21763885</v>
      </c>
      <c r="E46" s="3">
        <f>'Monthly Data'!DR46</f>
        <v>19</v>
      </c>
      <c r="F46" s="3">
        <f>'Monthly Data'!DL46</f>
        <v>794140</v>
      </c>
      <c r="G46" s="3">
        <f>'Monthly Data'!EE46</f>
        <v>0</v>
      </c>
      <c r="H46" s="3">
        <f>'Monthly Data'!EJ46</f>
        <v>0</v>
      </c>
      <c r="J46" s="3">
        <f t="shared" si="1"/>
        <v>-37000000</v>
      </c>
      <c r="K46" s="3">
        <f t="shared" si="2"/>
        <v>6616546.7000000002</v>
      </c>
      <c r="L46" s="3">
        <f t="shared" si="3"/>
        <v>52340901.787400007</v>
      </c>
      <c r="M46" s="3">
        <f t="shared" si="4"/>
        <v>0</v>
      </c>
      <c r="N46" s="3">
        <f t="shared" si="5"/>
        <v>0</v>
      </c>
      <c r="O46" s="47">
        <f t="shared" si="6"/>
        <v>21957448.487400007</v>
      </c>
      <c r="P46" s="47">
        <f>'Monthly Data'!AJ46</f>
        <v>0</v>
      </c>
      <c r="Q46" s="47">
        <f t="shared" si="7"/>
        <v>21957448.487400007</v>
      </c>
    </row>
    <row r="47" spans="1:17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Data'!AI47</f>
        <v>23909832.305377811</v>
      </c>
      <c r="E47" s="3">
        <f>'Monthly Data'!DR47</f>
        <v>22</v>
      </c>
      <c r="F47" s="3">
        <f>'Monthly Data'!DL47</f>
        <v>799632</v>
      </c>
      <c r="G47" s="3">
        <f>'Monthly Data'!EE47</f>
        <v>0</v>
      </c>
      <c r="H47" s="3">
        <f>'Monthly Data'!EJ47</f>
        <v>0</v>
      </c>
      <c r="J47" s="3">
        <f t="shared" si="1"/>
        <v>-37000000</v>
      </c>
      <c r="K47" s="3">
        <f t="shared" si="2"/>
        <v>7661264.5999999996</v>
      </c>
      <c r="L47" s="3">
        <f t="shared" si="3"/>
        <v>52702873.521120004</v>
      </c>
      <c r="M47" s="3">
        <f t="shared" si="4"/>
        <v>0</v>
      </c>
      <c r="N47" s="3">
        <f t="shared" si="5"/>
        <v>0</v>
      </c>
      <c r="O47" s="47">
        <f t="shared" si="6"/>
        <v>23364138.121120006</v>
      </c>
      <c r="P47" s="47">
        <f>'Monthly Data'!AJ47</f>
        <v>0</v>
      </c>
      <c r="Q47" s="47">
        <f t="shared" si="7"/>
        <v>23364138.121120006</v>
      </c>
    </row>
    <row r="48" spans="1:17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Data'!AI48</f>
        <v>22343773.023116775</v>
      </c>
      <c r="E48" s="3">
        <f>'Monthly Data'!DR48</f>
        <v>22</v>
      </c>
      <c r="F48" s="3">
        <f>'Monthly Data'!DL48</f>
        <v>799632</v>
      </c>
      <c r="G48" s="3">
        <f>'Monthly Data'!EE48</f>
        <v>0</v>
      </c>
      <c r="H48" s="3">
        <f>'Monthly Data'!EJ48</f>
        <v>0</v>
      </c>
      <c r="J48" s="3">
        <f t="shared" si="1"/>
        <v>-37000000</v>
      </c>
      <c r="K48" s="3">
        <f t="shared" si="2"/>
        <v>7661264.5999999996</v>
      </c>
      <c r="L48" s="3">
        <f t="shared" si="3"/>
        <v>52702873.521120004</v>
      </c>
      <c r="M48" s="3">
        <f t="shared" si="4"/>
        <v>0</v>
      </c>
      <c r="N48" s="3">
        <f t="shared" si="5"/>
        <v>0</v>
      </c>
      <c r="O48" s="47">
        <f t="shared" si="6"/>
        <v>23364138.121120006</v>
      </c>
      <c r="P48" s="47">
        <f>'Monthly Data'!AJ48</f>
        <v>0</v>
      </c>
      <c r="Q48" s="47">
        <f t="shared" si="7"/>
        <v>23364138.121120006</v>
      </c>
    </row>
    <row r="49" spans="1:17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Data'!AI49</f>
        <v>22527640.480855737</v>
      </c>
      <c r="E49" s="3">
        <f>'Monthly Data'!DR49</f>
        <v>19</v>
      </c>
      <c r="F49" s="3">
        <f>'Monthly Data'!DL49</f>
        <v>799632</v>
      </c>
      <c r="G49" s="3">
        <f>'Monthly Data'!EE49</f>
        <v>0</v>
      </c>
      <c r="H49" s="3">
        <f>'Monthly Data'!EJ49</f>
        <v>0</v>
      </c>
      <c r="J49" s="3">
        <f t="shared" si="1"/>
        <v>-37000000</v>
      </c>
      <c r="K49" s="3">
        <f t="shared" si="2"/>
        <v>6616546.7000000002</v>
      </c>
      <c r="L49" s="3">
        <f t="shared" si="3"/>
        <v>52702873.521120004</v>
      </c>
      <c r="M49" s="3">
        <f t="shared" si="4"/>
        <v>0</v>
      </c>
      <c r="N49" s="3">
        <f t="shared" si="5"/>
        <v>0</v>
      </c>
      <c r="O49" s="47">
        <f t="shared" si="6"/>
        <v>22319420.221120004</v>
      </c>
      <c r="P49" s="47">
        <f>'Monthly Data'!AJ49</f>
        <v>0</v>
      </c>
      <c r="Q49" s="47">
        <f t="shared" si="7"/>
        <v>22319420.221120004</v>
      </c>
    </row>
    <row r="50" spans="1:17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Data'!AI50</f>
        <v>23254687.7332283</v>
      </c>
      <c r="E50" s="3">
        <f>'Monthly Data'!DR50</f>
        <v>22</v>
      </c>
      <c r="F50" s="3">
        <f>'Monthly Data'!DL50</f>
        <v>800724</v>
      </c>
      <c r="G50" s="3">
        <f>'Monthly Data'!EE50</f>
        <v>0</v>
      </c>
      <c r="H50" s="3">
        <f>'Monthly Data'!EJ50</f>
        <v>0</v>
      </c>
      <c r="J50" s="3">
        <f t="shared" si="1"/>
        <v>-37000000</v>
      </c>
      <c r="K50" s="3">
        <f t="shared" si="2"/>
        <v>7661264.5999999996</v>
      </c>
      <c r="L50" s="3">
        <f t="shared" si="3"/>
        <v>52774846.050840005</v>
      </c>
      <c r="M50" s="3">
        <f t="shared" si="4"/>
        <v>0</v>
      </c>
      <c r="N50" s="3">
        <f t="shared" si="5"/>
        <v>0</v>
      </c>
      <c r="O50" s="47">
        <f t="shared" si="6"/>
        <v>23436110.650840007</v>
      </c>
      <c r="P50" s="47">
        <f>'Monthly Data'!AJ50</f>
        <v>0</v>
      </c>
      <c r="Q50" s="47">
        <f t="shared" si="7"/>
        <v>23436110.650840007</v>
      </c>
    </row>
    <row r="51" spans="1:17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Data'!AI51</f>
        <v>21455519.847219884</v>
      </c>
      <c r="E51" s="3">
        <f>'Monthly Data'!DR51</f>
        <v>19</v>
      </c>
      <c r="F51" s="3">
        <f>'Monthly Data'!DL51</f>
        <v>800724</v>
      </c>
      <c r="G51" s="3">
        <f>'Monthly Data'!EE51</f>
        <v>0</v>
      </c>
      <c r="H51" s="3">
        <f>'Monthly Data'!EJ51</f>
        <v>0</v>
      </c>
      <c r="J51" s="3">
        <f t="shared" si="1"/>
        <v>-37000000</v>
      </c>
      <c r="K51" s="3">
        <f t="shared" si="2"/>
        <v>6616546.7000000002</v>
      </c>
      <c r="L51" s="3">
        <f t="shared" si="3"/>
        <v>52774846.050840005</v>
      </c>
      <c r="M51" s="3">
        <f t="shared" si="4"/>
        <v>0</v>
      </c>
      <c r="N51" s="3">
        <f t="shared" si="5"/>
        <v>0</v>
      </c>
      <c r="O51" s="47">
        <f t="shared" si="6"/>
        <v>22391392.750840005</v>
      </c>
      <c r="P51" s="47">
        <f>'Monthly Data'!AJ51</f>
        <v>0</v>
      </c>
      <c r="Q51" s="47">
        <f t="shared" si="7"/>
        <v>22391392.750840005</v>
      </c>
    </row>
    <row r="52" spans="1:17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Data'!AI52</f>
        <v>22430559.581211463</v>
      </c>
      <c r="E52" s="3">
        <f>'Monthly Data'!DR52</f>
        <v>22</v>
      </c>
      <c r="F52" s="3">
        <f>'Monthly Data'!DL52</f>
        <v>800724</v>
      </c>
      <c r="G52" s="3">
        <f>'Monthly Data'!EE52</f>
        <v>1</v>
      </c>
      <c r="H52" s="3">
        <f>'Monthly Data'!EJ52</f>
        <v>0</v>
      </c>
      <c r="J52" s="3">
        <f t="shared" si="1"/>
        <v>-37000000</v>
      </c>
      <c r="K52" s="3">
        <f t="shared" si="2"/>
        <v>7661264.5999999996</v>
      </c>
      <c r="L52" s="3">
        <f t="shared" si="3"/>
        <v>52774846.050840005</v>
      </c>
      <c r="M52" s="3">
        <f t="shared" si="4"/>
        <v>793454.7</v>
      </c>
      <c r="N52" s="3">
        <f t="shared" si="5"/>
        <v>0</v>
      </c>
      <c r="O52" s="47">
        <f t="shared" si="6"/>
        <v>24229565.350840006</v>
      </c>
      <c r="P52" s="47">
        <f>'Monthly Data'!AJ52</f>
        <v>0</v>
      </c>
      <c r="Q52" s="47">
        <f t="shared" si="7"/>
        <v>24229565.350840006</v>
      </c>
    </row>
    <row r="53" spans="1:17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Data'!AI53</f>
        <v>22683057.095203046</v>
      </c>
      <c r="E53" s="3">
        <f>'Monthly Data'!DR53</f>
        <v>21</v>
      </c>
      <c r="F53" s="3">
        <f>'Monthly Data'!DL53</f>
        <v>806630</v>
      </c>
      <c r="G53" s="3">
        <f>'Monthly Data'!EE53</f>
        <v>1</v>
      </c>
      <c r="H53" s="3">
        <f>'Monthly Data'!EJ53</f>
        <v>0</v>
      </c>
      <c r="J53" s="3">
        <f t="shared" si="1"/>
        <v>-37000000</v>
      </c>
      <c r="K53" s="3">
        <f t="shared" si="2"/>
        <v>7313025.2999999998</v>
      </c>
      <c r="L53" s="3">
        <f t="shared" si="3"/>
        <v>53164104.073300004</v>
      </c>
      <c r="M53" s="3">
        <f t="shared" si="4"/>
        <v>793454.7</v>
      </c>
      <c r="N53" s="3">
        <f t="shared" si="5"/>
        <v>0</v>
      </c>
      <c r="O53" s="47">
        <f t="shared" si="6"/>
        <v>24270584.073300004</v>
      </c>
      <c r="P53" s="47">
        <f>'Monthly Data'!AJ53</f>
        <v>0</v>
      </c>
      <c r="Q53" s="47">
        <f t="shared" si="7"/>
        <v>24270584.073300004</v>
      </c>
    </row>
    <row r="54" spans="1:17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Data'!AI54</f>
        <v>23578242.549194623</v>
      </c>
      <c r="E54" s="3">
        <f>'Monthly Data'!DR54</f>
        <v>20</v>
      </c>
      <c r="F54" s="3">
        <f>'Monthly Data'!DL54</f>
        <v>806630</v>
      </c>
      <c r="G54" s="3">
        <f>'Monthly Data'!EE54</f>
        <v>1</v>
      </c>
      <c r="H54" s="3">
        <f>'Monthly Data'!EJ54</f>
        <v>0</v>
      </c>
      <c r="J54" s="3">
        <f t="shared" si="1"/>
        <v>-37000000</v>
      </c>
      <c r="K54" s="3">
        <f t="shared" si="2"/>
        <v>6964786</v>
      </c>
      <c r="L54" s="3">
        <f t="shared" si="3"/>
        <v>53164104.073300004</v>
      </c>
      <c r="M54" s="3">
        <f t="shared" si="4"/>
        <v>793454.7</v>
      </c>
      <c r="N54" s="3">
        <f t="shared" si="5"/>
        <v>0</v>
      </c>
      <c r="O54" s="47">
        <f t="shared" si="6"/>
        <v>23922344.773300003</v>
      </c>
      <c r="P54" s="47">
        <f>'Monthly Data'!AJ54</f>
        <v>0</v>
      </c>
      <c r="Q54" s="47">
        <f t="shared" si="7"/>
        <v>23922344.773300003</v>
      </c>
    </row>
    <row r="55" spans="1:17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Data'!AI55</f>
        <v>24271225.513186205</v>
      </c>
      <c r="E55" s="3">
        <f>'Monthly Data'!DR55</f>
        <v>22</v>
      </c>
      <c r="F55" s="3">
        <f>'Monthly Data'!DL55</f>
        <v>806630</v>
      </c>
      <c r="G55" s="3">
        <f>'Monthly Data'!EE55</f>
        <v>0</v>
      </c>
      <c r="H55" s="3">
        <f>'Monthly Data'!EJ55</f>
        <v>0</v>
      </c>
      <c r="J55" s="3">
        <f t="shared" si="1"/>
        <v>-37000000</v>
      </c>
      <c r="K55" s="3">
        <f t="shared" si="2"/>
        <v>7661264.5999999996</v>
      </c>
      <c r="L55" s="3">
        <f t="shared" si="3"/>
        <v>53164104.073300004</v>
      </c>
      <c r="M55" s="3">
        <f t="shared" si="4"/>
        <v>0</v>
      </c>
      <c r="N55" s="3">
        <f t="shared" si="5"/>
        <v>0</v>
      </c>
      <c r="O55" s="47">
        <f t="shared" ref="O55:O109" si="8">SUM(J55:N55)</f>
        <v>23825368.673300005</v>
      </c>
      <c r="P55" s="47">
        <f>'Monthly Data'!AJ55</f>
        <v>0</v>
      </c>
      <c r="Q55" s="47">
        <f t="shared" ref="Q55:Q118" si="9">O55+P55</f>
        <v>23825368.673300005</v>
      </c>
    </row>
    <row r="56" spans="1:17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Data'!AI56</f>
        <v>24318443.21717779</v>
      </c>
      <c r="E56" s="3">
        <f>'Monthly Data'!DR56</f>
        <v>22</v>
      </c>
      <c r="F56" s="3">
        <f>'Monthly Data'!DL56</f>
        <v>810347</v>
      </c>
      <c r="G56" s="3">
        <f>'Monthly Data'!EE56</f>
        <v>0</v>
      </c>
      <c r="H56" s="3">
        <f>'Monthly Data'!EJ56</f>
        <v>0</v>
      </c>
      <c r="J56" s="3">
        <f t="shared" si="1"/>
        <v>-37000000</v>
      </c>
      <c r="K56" s="3">
        <f t="shared" si="2"/>
        <v>7661264.5999999996</v>
      </c>
      <c r="L56" s="3">
        <f t="shared" si="3"/>
        <v>53409087.491770007</v>
      </c>
      <c r="M56" s="3">
        <f t="shared" si="4"/>
        <v>0</v>
      </c>
      <c r="N56" s="3">
        <f t="shared" si="5"/>
        <v>0</v>
      </c>
      <c r="O56" s="47">
        <f t="shared" si="8"/>
        <v>24070352.091770008</v>
      </c>
      <c r="P56" s="47">
        <f>'Monthly Data'!AJ56</f>
        <v>0</v>
      </c>
      <c r="Q56" s="47">
        <f t="shared" si="9"/>
        <v>24070352.091770008</v>
      </c>
    </row>
    <row r="57" spans="1:17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Data'!AI57</f>
        <v>20694735.791169368</v>
      </c>
      <c r="E57" s="3">
        <f>'Monthly Data'!DR57</f>
        <v>20</v>
      </c>
      <c r="F57" s="3">
        <f>'Monthly Data'!DL57</f>
        <v>810347</v>
      </c>
      <c r="G57" s="3">
        <f>'Monthly Data'!EE57</f>
        <v>0</v>
      </c>
      <c r="H57" s="3">
        <f>'Monthly Data'!EJ57</f>
        <v>0</v>
      </c>
      <c r="J57" s="3">
        <f t="shared" si="1"/>
        <v>-37000000</v>
      </c>
      <c r="K57" s="3">
        <f t="shared" si="2"/>
        <v>6964786</v>
      </c>
      <c r="L57" s="3">
        <f t="shared" si="3"/>
        <v>53409087.491770007</v>
      </c>
      <c r="M57" s="3">
        <f t="shared" si="4"/>
        <v>0</v>
      </c>
      <c r="N57" s="3">
        <f t="shared" si="5"/>
        <v>0</v>
      </c>
      <c r="O57" s="47">
        <f t="shared" si="8"/>
        <v>23373873.491770007</v>
      </c>
      <c r="P57" s="47">
        <f>'Monthly Data'!AJ57</f>
        <v>0</v>
      </c>
      <c r="Q57" s="47">
        <f t="shared" si="9"/>
        <v>23373873.491770007</v>
      </c>
    </row>
    <row r="58" spans="1:17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Data'!AI58</f>
        <v>22814918.555160951</v>
      </c>
      <c r="E58" s="3">
        <f>'Monthly Data'!DR58</f>
        <v>21</v>
      </c>
      <c r="F58" s="3">
        <f>'Monthly Data'!DL58</f>
        <v>810347</v>
      </c>
      <c r="G58" s="3">
        <f>'Monthly Data'!EE58</f>
        <v>0</v>
      </c>
      <c r="H58" s="3">
        <f>'Monthly Data'!EJ58</f>
        <v>0</v>
      </c>
      <c r="J58" s="3">
        <f t="shared" si="1"/>
        <v>-37000000</v>
      </c>
      <c r="K58" s="3">
        <f t="shared" si="2"/>
        <v>7313025.2999999998</v>
      </c>
      <c r="L58" s="3">
        <f t="shared" si="3"/>
        <v>53409087.491770007</v>
      </c>
      <c r="M58" s="3">
        <f t="shared" si="4"/>
        <v>0</v>
      </c>
      <c r="N58" s="3">
        <f t="shared" si="5"/>
        <v>0</v>
      </c>
      <c r="O58" s="47">
        <f t="shared" si="8"/>
        <v>23722112.791770007</v>
      </c>
      <c r="P58" s="47">
        <f>'Monthly Data'!AJ58</f>
        <v>0</v>
      </c>
      <c r="Q58" s="47">
        <f t="shared" si="9"/>
        <v>23722112.791770007</v>
      </c>
    </row>
    <row r="59" spans="1:17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Data'!AI59</f>
        <v>25066615.31915253</v>
      </c>
      <c r="E59" s="3">
        <f>'Monthly Data'!DR59</f>
        <v>21</v>
      </c>
      <c r="F59" s="3">
        <f>'Monthly Data'!DL59</f>
        <v>811397</v>
      </c>
      <c r="G59" s="3">
        <f>'Monthly Data'!EE59</f>
        <v>0</v>
      </c>
      <c r="H59" s="3">
        <f>'Monthly Data'!EJ59</f>
        <v>0</v>
      </c>
      <c r="J59" s="3">
        <f t="shared" si="1"/>
        <v>-37000000</v>
      </c>
      <c r="K59" s="3">
        <f t="shared" si="2"/>
        <v>7313025.2999999998</v>
      </c>
      <c r="L59" s="3">
        <f t="shared" si="3"/>
        <v>53478291.847270004</v>
      </c>
      <c r="M59" s="3">
        <f t="shared" si="4"/>
        <v>0</v>
      </c>
      <c r="N59" s="3">
        <f t="shared" si="5"/>
        <v>0</v>
      </c>
      <c r="O59" s="47">
        <f t="shared" si="8"/>
        <v>23791317.147270005</v>
      </c>
      <c r="P59" s="47">
        <f>'Monthly Data'!AJ59</f>
        <v>0</v>
      </c>
      <c r="Q59" s="47">
        <f t="shared" si="9"/>
        <v>23791317.147270005</v>
      </c>
    </row>
    <row r="60" spans="1:17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Data'!AI60</f>
        <v>23697963.563144114</v>
      </c>
      <c r="E60" s="3">
        <f>'Monthly Data'!DR60</f>
        <v>21</v>
      </c>
      <c r="F60" s="3">
        <f>'Monthly Data'!DL60</f>
        <v>811397</v>
      </c>
      <c r="G60" s="3">
        <f>'Monthly Data'!EE60</f>
        <v>0</v>
      </c>
      <c r="H60" s="3">
        <f>'Monthly Data'!EJ60</f>
        <v>0</v>
      </c>
      <c r="J60" s="3">
        <f t="shared" si="1"/>
        <v>-37000000</v>
      </c>
      <c r="K60" s="3">
        <f t="shared" si="2"/>
        <v>7313025.2999999998</v>
      </c>
      <c r="L60" s="3">
        <f t="shared" si="3"/>
        <v>53478291.847270004</v>
      </c>
      <c r="M60" s="3">
        <f t="shared" si="4"/>
        <v>0</v>
      </c>
      <c r="N60" s="3">
        <f t="shared" si="5"/>
        <v>0</v>
      </c>
      <c r="O60" s="47">
        <f t="shared" si="8"/>
        <v>23791317.147270005</v>
      </c>
      <c r="P60" s="47">
        <f>'Monthly Data'!AJ60</f>
        <v>0</v>
      </c>
      <c r="Q60" s="47">
        <f t="shared" si="9"/>
        <v>23791317.147270005</v>
      </c>
    </row>
    <row r="61" spans="1:17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Data'!AI61</f>
        <v>24075320.597135697</v>
      </c>
      <c r="E61" s="3">
        <f>'Monthly Data'!DR61</f>
        <v>21</v>
      </c>
      <c r="F61" s="3">
        <f>'Monthly Data'!DL61</f>
        <v>811397</v>
      </c>
      <c r="G61" s="3">
        <f>'Monthly Data'!EE61</f>
        <v>0</v>
      </c>
      <c r="H61" s="3">
        <f>'Monthly Data'!EJ61</f>
        <v>0</v>
      </c>
      <c r="J61" s="3">
        <f t="shared" si="1"/>
        <v>-37000000</v>
      </c>
      <c r="K61" s="3">
        <f t="shared" si="2"/>
        <v>7313025.2999999998</v>
      </c>
      <c r="L61" s="3">
        <f t="shared" si="3"/>
        <v>53478291.847270004</v>
      </c>
      <c r="M61" s="3">
        <f t="shared" si="4"/>
        <v>0</v>
      </c>
      <c r="N61" s="3">
        <f t="shared" si="5"/>
        <v>0</v>
      </c>
      <c r="O61" s="47">
        <f t="shared" si="8"/>
        <v>23791317.147270005</v>
      </c>
      <c r="P61" s="47">
        <f>'Monthly Data'!AJ61</f>
        <v>0</v>
      </c>
      <c r="Q61" s="47">
        <f t="shared" si="9"/>
        <v>23791317.147270005</v>
      </c>
    </row>
    <row r="62" spans="1:17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Data'!AI62</f>
        <v>24860920.582266245</v>
      </c>
      <c r="E62" s="3">
        <f>'Monthly Data'!DR62</f>
        <v>22</v>
      </c>
      <c r="F62" s="3">
        <f>'Monthly Data'!DL62</f>
        <v>800126</v>
      </c>
      <c r="G62" s="3">
        <f>'Monthly Data'!EE62</f>
        <v>0</v>
      </c>
      <c r="H62" s="3">
        <f>'Monthly Data'!EJ62</f>
        <v>0</v>
      </c>
      <c r="J62" s="3">
        <f t="shared" si="1"/>
        <v>-37000000</v>
      </c>
      <c r="K62" s="3">
        <f t="shared" si="2"/>
        <v>7661264.5999999996</v>
      </c>
      <c r="L62" s="3">
        <f t="shared" si="3"/>
        <v>52735432.522660002</v>
      </c>
      <c r="M62" s="3">
        <f t="shared" si="4"/>
        <v>0</v>
      </c>
      <c r="N62" s="3">
        <f t="shared" si="5"/>
        <v>0</v>
      </c>
      <c r="O62" s="47">
        <f t="shared" si="8"/>
        <v>23396697.122660004</v>
      </c>
      <c r="P62" s="47">
        <f>'Monthly Data'!AJ62</f>
        <v>0</v>
      </c>
      <c r="Q62" s="47">
        <f t="shared" si="9"/>
        <v>23396697.122660004</v>
      </c>
    </row>
    <row r="63" spans="1:17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Data'!AI63</f>
        <v>23006116.64187748</v>
      </c>
      <c r="E63" s="3">
        <f>'Monthly Data'!DR63</f>
        <v>19</v>
      </c>
      <c r="F63" s="3">
        <f>'Monthly Data'!DL63</f>
        <v>800126</v>
      </c>
      <c r="G63" s="3">
        <f>'Monthly Data'!EE63</f>
        <v>0</v>
      </c>
      <c r="H63" s="3">
        <f>'Monthly Data'!EJ63</f>
        <v>0</v>
      </c>
      <c r="J63" s="3">
        <f t="shared" si="1"/>
        <v>-37000000</v>
      </c>
      <c r="K63" s="3">
        <f t="shared" si="2"/>
        <v>6616546.7000000002</v>
      </c>
      <c r="L63" s="3">
        <f t="shared" si="3"/>
        <v>52735432.522660002</v>
      </c>
      <c r="M63" s="3">
        <f t="shared" si="4"/>
        <v>0</v>
      </c>
      <c r="N63" s="3">
        <f t="shared" si="5"/>
        <v>0</v>
      </c>
      <c r="O63" s="47">
        <f t="shared" si="8"/>
        <v>22351979.222660001</v>
      </c>
      <c r="P63" s="47">
        <f>'Monthly Data'!AJ63</f>
        <v>0</v>
      </c>
      <c r="Q63" s="47">
        <f t="shared" si="9"/>
        <v>22351979.222660001</v>
      </c>
    </row>
    <row r="64" spans="1:17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Data'!AI64</f>
        <v>24886891.501488712</v>
      </c>
      <c r="E64" s="3">
        <f>'Monthly Data'!DR64</f>
        <v>22</v>
      </c>
      <c r="F64" s="3">
        <f>'Monthly Data'!DL64</f>
        <v>800126</v>
      </c>
      <c r="G64" s="3">
        <f>'Monthly Data'!EE64</f>
        <v>1</v>
      </c>
      <c r="H64" s="3">
        <f>'Monthly Data'!EJ64</f>
        <v>0.5</v>
      </c>
      <c r="J64" s="3">
        <f t="shared" si="1"/>
        <v>-37000000</v>
      </c>
      <c r="K64" s="3">
        <f t="shared" si="2"/>
        <v>7661264.5999999996</v>
      </c>
      <c r="L64" s="3">
        <f t="shared" si="3"/>
        <v>52735432.522660002</v>
      </c>
      <c r="M64" s="3">
        <f t="shared" si="4"/>
        <v>793454.7</v>
      </c>
      <c r="N64" s="3">
        <f t="shared" si="5"/>
        <v>1754357.5</v>
      </c>
      <c r="O64" s="47">
        <f t="shared" si="8"/>
        <v>25944509.322660003</v>
      </c>
      <c r="P64" s="47">
        <f>'Monthly Data'!AJ64</f>
        <v>0</v>
      </c>
      <c r="Q64" s="47">
        <f t="shared" si="9"/>
        <v>25944509.322660003</v>
      </c>
    </row>
    <row r="65" spans="1:17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Data'!AI65</f>
        <v>21019565.131099943</v>
      </c>
      <c r="E65" s="3">
        <f>'Monthly Data'!DR65</f>
        <v>21</v>
      </c>
      <c r="F65" s="3">
        <f>'Monthly Data'!DL65</f>
        <v>706539</v>
      </c>
      <c r="G65" s="3">
        <f>'Monthly Data'!EE65</f>
        <v>1</v>
      </c>
      <c r="H65" s="3">
        <f>'Monthly Data'!EJ65</f>
        <v>1</v>
      </c>
      <c r="J65" s="3">
        <f t="shared" si="1"/>
        <v>-37000000</v>
      </c>
      <c r="K65" s="3">
        <f t="shared" si="2"/>
        <v>7313025.2999999998</v>
      </c>
      <c r="L65" s="3">
        <f t="shared" si="3"/>
        <v>46567215.362490006</v>
      </c>
      <c r="M65" s="3">
        <f t="shared" si="4"/>
        <v>793454.7</v>
      </c>
      <c r="N65" s="3">
        <f t="shared" si="5"/>
        <v>3508715</v>
      </c>
      <c r="O65" s="47">
        <f t="shared" si="8"/>
        <v>21182410.362490006</v>
      </c>
      <c r="P65" s="47">
        <f>'Monthly Data'!AJ65</f>
        <v>0</v>
      </c>
      <c r="Q65" s="47">
        <f t="shared" si="9"/>
        <v>21182410.362490006</v>
      </c>
    </row>
    <row r="66" spans="1:17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Data'!AI66</f>
        <v>22320082.640711177</v>
      </c>
      <c r="E66" s="3">
        <f>'Monthly Data'!DR66</f>
        <v>20</v>
      </c>
      <c r="F66" s="3">
        <f>'Monthly Data'!DL66</f>
        <v>706539</v>
      </c>
      <c r="G66" s="3">
        <f>'Monthly Data'!EE66</f>
        <v>1</v>
      </c>
      <c r="H66" s="3">
        <f>'Monthly Data'!EJ66</f>
        <v>1</v>
      </c>
      <c r="J66" s="3">
        <f t="shared" ref="J66:J129" si="10">$U$8</f>
        <v>-37000000</v>
      </c>
      <c r="K66" s="3">
        <f t="shared" ref="K66:K129" si="11">E66*$U$9</f>
        <v>6964786</v>
      </c>
      <c r="L66" s="3">
        <f t="shared" ref="L66:L129" si="12">F66*$U$10</f>
        <v>46567215.362490006</v>
      </c>
      <c r="M66" s="3">
        <f t="shared" ref="M66:M129" si="13">G66*$U$11</f>
        <v>793454.7</v>
      </c>
      <c r="N66" s="3">
        <f t="shared" ref="N66:N129" si="14">H66*$U$12</f>
        <v>3508715</v>
      </c>
      <c r="O66" s="47">
        <f t="shared" si="8"/>
        <v>20834171.062490005</v>
      </c>
      <c r="P66" s="47">
        <f>'Monthly Data'!AJ66</f>
        <v>0</v>
      </c>
      <c r="Q66" s="47">
        <f t="shared" si="9"/>
        <v>20834171.062490005</v>
      </c>
    </row>
    <row r="67" spans="1:17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Data'!AI67</f>
        <v>24287597.85032241</v>
      </c>
      <c r="E67" s="3">
        <f>'Monthly Data'!DR67</f>
        <v>22</v>
      </c>
      <c r="F67" s="3">
        <f>'Monthly Data'!DL67</f>
        <v>706539</v>
      </c>
      <c r="G67" s="3">
        <f>'Monthly Data'!EE67</f>
        <v>0</v>
      </c>
      <c r="H67" s="3">
        <f>'Monthly Data'!EJ67</f>
        <v>0.5</v>
      </c>
      <c r="J67" s="3">
        <f t="shared" si="10"/>
        <v>-37000000</v>
      </c>
      <c r="K67" s="3">
        <f t="shared" si="11"/>
        <v>7661264.5999999996</v>
      </c>
      <c r="L67" s="3">
        <f t="shared" si="12"/>
        <v>46567215.362490006</v>
      </c>
      <c r="M67" s="3">
        <f t="shared" si="13"/>
        <v>0</v>
      </c>
      <c r="N67" s="3">
        <f t="shared" si="14"/>
        <v>1754357.5</v>
      </c>
      <c r="O67" s="47">
        <f t="shared" si="8"/>
        <v>18982837.462490007</v>
      </c>
      <c r="P67" s="47">
        <f>'Monthly Data'!AJ67</f>
        <v>0</v>
      </c>
      <c r="Q67" s="47">
        <f t="shared" si="9"/>
        <v>18982837.462490007</v>
      </c>
    </row>
    <row r="68" spans="1:17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Data'!AI68</f>
        <v>24989245.119933646</v>
      </c>
      <c r="E68" s="3">
        <f>'Monthly Data'!DR68</f>
        <v>22</v>
      </c>
      <c r="F68" s="3">
        <f>'Monthly Data'!DL68</f>
        <v>777225</v>
      </c>
      <c r="G68" s="3">
        <f>'Monthly Data'!EE68</f>
        <v>0</v>
      </c>
      <c r="H68" s="3">
        <f>'Monthly Data'!EJ68</f>
        <v>0.5</v>
      </c>
      <c r="J68" s="3">
        <f t="shared" si="10"/>
        <v>-37000000</v>
      </c>
      <c r="K68" s="3">
        <f t="shared" si="11"/>
        <v>7661264.5999999996</v>
      </c>
      <c r="L68" s="3">
        <f t="shared" si="12"/>
        <v>51226052.574750006</v>
      </c>
      <c r="M68" s="3">
        <f t="shared" si="13"/>
        <v>0</v>
      </c>
      <c r="N68" s="3">
        <f t="shared" si="14"/>
        <v>1754357.5</v>
      </c>
      <c r="O68" s="47">
        <f t="shared" si="8"/>
        <v>23641674.674750008</v>
      </c>
      <c r="P68" s="47">
        <f>'Monthly Data'!AJ68</f>
        <v>0</v>
      </c>
      <c r="Q68" s="47">
        <f t="shared" si="9"/>
        <v>23641674.674750008</v>
      </c>
    </row>
    <row r="69" spans="1:17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Data'!AI69</f>
        <v>22664637.549544878</v>
      </c>
      <c r="E69" s="3">
        <f>'Monthly Data'!DR69</f>
        <v>20</v>
      </c>
      <c r="F69" s="3">
        <f>'Monthly Data'!DL69</f>
        <v>777225</v>
      </c>
      <c r="G69" s="3">
        <f>'Monthly Data'!EE69</f>
        <v>0</v>
      </c>
      <c r="H69" s="3">
        <f>'Monthly Data'!EJ69</f>
        <v>0.5</v>
      </c>
      <c r="J69" s="3">
        <f t="shared" si="10"/>
        <v>-37000000</v>
      </c>
      <c r="K69" s="3">
        <f t="shared" si="11"/>
        <v>6964786</v>
      </c>
      <c r="L69" s="3">
        <f t="shared" si="12"/>
        <v>51226052.574750006</v>
      </c>
      <c r="M69" s="3">
        <f t="shared" si="13"/>
        <v>0</v>
      </c>
      <c r="N69" s="3">
        <f t="shared" si="14"/>
        <v>1754357.5</v>
      </c>
      <c r="O69" s="47">
        <f t="shared" si="8"/>
        <v>22945196.074750006</v>
      </c>
      <c r="P69" s="47">
        <f>'Monthly Data'!AJ69</f>
        <v>0</v>
      </c>
      <c r="Q69" s="47">
        <f t="shared" si="9"/>
        <v>22945196.074750006</v>
      </c>
    </row>
    <row r="70" spans="1:17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Data'!AI70</f>
        <v>23255974.439156111</v>
      </c>
      <c r="E70" s="3">
        <f>'Monthly Data'!DR70</f>
        <v>21</v>
      </c>
      <c r="F70" s="3">
        <f>'Monthly Data'!DL70</f>
        <v>777225</v>
      </c>
      <c r="G70" s="3">
        <f>'Monthly Data'!EE70</f>
        <v>0</v>
      </c>
      <c r="H70" s="3">
        <f>'Monthly Data'!EJ70</f>
        <v>0.5</v>
      </c>
      <c r="J70" s="3">
        <f t="shared" si="10"/>
        <v>-37000000</v>
      </c>
      <c r="K70" s="3">
        <f t="shared" si="11"/>
        <v>7313025.2999999998</v>
      </c>
      <c r="L70" s="3">
        <f t="shared" si="12"/>
        <v>51226052.574750006</v>
      </c>
      <c r="M70" s="3">
        <f t="shared" si="13"/>
        <v>0</v>
      </c>
      <c r="N70" s="3">
        <f t="shared" si="14"/>
        <v>1754357.5</v>
      </c>
      <c r="O70" s="47">
        <f t="shared" si="8"/>
        <v>23293435.374750007</v>
      </c>
      <c r="P70" s="47">
        <f>'Monthly Data'!AJ70</f>
        <v>0</v>
      </c>
      <c r="Q70" s="47">
        <f t="shared" si="9"/>
        <v>23293435.374750007</v>
      </c>
    </row>
    <row r="71" spans="1:17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Data'!AI71</f>
        <v>24269954.798767343</v>
      </c>
      <c r="E71" s="3">
        <f>'Monthly Data'!DR71</f>
        <v>21</v>
      </c>
      <c r="F71" s="3">
        <f>'Monthly Data'!DL71</f>
        <v>795879</v>
      </c>
      <c r="G71" s="3">
        <f>'Monthly Data'!EE71</f>
        <v>0</v>
      </c>
      <c r="H71" s="3">
        <f>'Monthly Data'!EJ71</f>
        <v>0.5</v>
      </c>
      <c r="J71" s="3">
        <f t="shared" si="10"/>
        <v>-37000000</v>
      </c>
      <c r="K71" s="3">
        <f t="shared" si="11"/>
        <v>7313025.2999999998</v>
      </c>
      <c r="L71" s="3">
        <f t="shared" si="12"/>
        <v>52455517.381890006</v>
      </c>
      <c r="M71" s="3">
        <f t="shared" si="13"/>
        <v>0</v>
      </c>
      <c r="N71" s="3">
        <f t="shared" si="14"/>
        <v>1754357.5</v>
      </c>
      <c r="O71" s="47">
        <f t="shared" si="8"/>
        <v>24522900.181890007</v>
      </c>
      <c r="P71" s="47">
        <f>'Monthly Data'!AJ71</f>
        <v>0</v>
      </c>
      <c r="Q71" s="47">
        <f t="shared" si="9"/>
        <v>24522900.181890007</v>
      </c>
    </row>
    <row r="72" spans="1:17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Data'!AI72</f>
        <v>24094335.568378575</v>
      </c>
      <c r="E72" s="3">
        <f>'Monthly Data'!DR72</f>
        <v>21</v>
      </c>
      <c r="F72" s="3">
        <f>'Monthly Data'!DL72</f>
        <v>795879</v>
      </c>
      <c r="G72" s="3">
        <f>'Monthly Data'!EE72</f>
        <v>0</v>
      </c>
      <c r="H72" s="3">
        <f>'Monthly Data'!EJ72</f>
        <v>0.5</v>
      </c>
      <c r="J72" s="3">
        <f t="shared" si="10"/>
        <v>-37000000</v>
      </c>
      <c r="K72" s="3">
        <f t="shared" si="11"/>
        <v>7313025.2999999998</v>
      </c>
      <c r="L72" s="3">
        <f t="shared" si="12"/>
        <v>52455517.381890006</v>
      </c>
      <c r="M72" s="3">
        <f t="shared" si="13"/>
        <v>0</v>
      </c>
      <c r="N72" s="3">
        <f t="shared" si="14"/>
        <v>1754357.5</v>
      </c>
      <c r="O72" s="47">
        <f t="shared" si="8"/>
        <v>24522900.181890007</v>
      </c>
      <c r="P72" s="47">
        <f>'Monthly Data'!AJ72</f>
        <v>0</v>
      </c>
      <c r="Q72" s="47">
        <f t="shared" si="9"/>
        <v>24522900.181890007</v>
      </c>
    </row>
    <row r="73" spans="1:17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Data'!AI73</f>
        <v>24121161.447989807</v>
      </c>
      <c r="E73" s="3">
        <f>'Monthly Data'!DR73</f>
        <v>21</v>
      </c>
      <c r="F73" s="3">
        <f>'Monthly Data'!DL73</f>
        <v>795879</v>
      </c>
      <c r="G73" s="3">
        <f>'Monthly Data'!EE73</f>
        <v>0</v>
      </c>
      <c r="H73" s="3">
        <f>'Monthly Data'!EJ73</f>
        <v>0.5</v>
      </c>
      <c r="J73" s="3">
        <f t="shared" si="10"/>
        <v>-37000000</v>
      </c>
      <c r="K73" s="3">
        <f t="shared" si="11"/>
        <v>7313025.2999999998</v>
      </c>
      <c r="L73" s="3">
        <f t="shared" si="12"/>
        <v>52455517.381890006</v>
      </c>
      <c r="M73" s="3">
        <f t="shared" si="13"/>
        <v>0</v>
      </c>
      <c r="N73" s="3">
        <f t="shared" si="14"/>
        <v>1754357.5</v>
      </c>
      <c r="O73" s="47">
        <f t="shared" si="8"/>
        <v>24522900.181890007</v>
      </c>
      <c r="P73" s="47">
        <f>'Monthly Data'!AJ73</f>
        <v>0</v>
      </c>
      <c r="Q73" s="47">
        <f t="shared" si="9"/>
        <v>24522900.181890007</v>
      </c>
    </row>
    <row r="74" spans="1:17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Data'!AI74</f>
        <v>26363972.396958388</v>
      </c>
      <c r="E74" s="3">
        <f>'Monthly Data'!DR74</f>
        <v>20</v>
      </c>
      <c r="F74" s="3">
        <f>'Monthly Data'!DL74</f>
        <v>808584</v>
      </c>
      <c r="G74" s="3">
        <f>'Monthly Data'!EE74</f>
        <v>0</v>
      </c>
      <c r="H74" s="3">
        <f>'Monthly Data'!EJ74</f>
        <v>0.5</v>
      </c>
      <c r="J74" s="3">
        <f t="shared" si="10"/>
        <v>-37000000</v>
      </c>
      <c r="K74" s="3">
        <f t="shared" si="11"/>
        <v>6964786</v>
      </c>
      <c r="L74" s="3">
        <f t="shared" si="12"/>
        <v>53292890.083440006</v>
      </c>
      <c r="M74" s="3">
        <f t="shared" si="13"/>
        <v>0</v>
      </c>
      <c r="N74" s="3">
        <f t="shared" si="14"/>
        <v>1754357.5</v>
      </c>
      <c r="O74" s="47">
        <f t="shared" si="8"/>
        <v>25012033.583440006</v>
      </c>
      <c r="P74" s="47">
        <f>'Monthly Data'!AJ74</f>
        <v>0</v>
      </c>
      <c r="Q74" s="47">
        <f t="shared" si="9"/>
        <v>25012033.583440006</v>
      </c>
    </row>
    <row r="75" spans="1:17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Data'!AI75</f>
        <v>24301621.442535765</v>
      </c>
      <c r="E75" s="3">
        <f>'Monthly Data'!DR75</f>
        <v>19</v>
      </c>
      <c r="F75" s="3">
        <f>'Monthly Data'!DL75</f>
        <v>808584</v>
      </c>
      <c r="G75" s="3">
        <f>'Monthly Data'!EE75</f>
        <v>0</v>
      </c>
      <c r="H75" s="3">
        <f>'Monthly Data'!EJ75</f>
        <v>0.5</v>
      </c>
      <c r="J75" s="3">
        <f t="shared" si="10"/>
        <v>-37000000</v>
      </c>
      <c r="K75" s="3">
        <f t="shared" si="11"/>
        <v>6616546.7000000002</v>
      </c>
      <c r="L75" s="3">
        <f t="shared" si="12"/>
        <v>53292890.083440006</v>
      </c>
      <c r="M75" s="3">
        <f t="shared" si="13"/>
        <v>0</v>
      </c>
      <c r="N75" s="3">
        <f t="shared" si="14"/>
        <v>1754357.5</v>
      </c>
      <c r="O75" s="47">
        <f t="shared" si="8"/>
        <v>24663794.283440005</v>
      </c>
      <c r="P75" s="47">
        <f>'Monthly Data'!AJ75</f>
        <v>0</v>
      </c>
      <c r="Q75" s="47">
        <f t="shared" si="9"/>
        <v>24663794.283440005</v>
      </c>
    </row>
    <row r="76" spans="1:17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Data'!AI76</f>
        <v>26409043.07811315</v>
      </c>
      <c r="E76" s="3">
        <f>'Monthly Data'!DR76</f>
        <v>23</v>
      </c>
      <c r="F76" s="3">
        <f>'Monthly Data'!DL76</f>
        <v>808584</v>
      </c>
      <c r="G76" s="3">
        <f>'Monthly Data'!EE76</f>
        <v>1</v>
      </c>
      <c r="H76" s="3">
        <f>'Monthly Data'!EJ76</f>
        <v>0.5</v>
      </c>
      <c r="J76" s="3">
        <f t="shared" si="10"/>
        <v>-37000000</v>
      </c>
      <c r="K76" s="3">
        <f t="shared" si="11"/>
        <v>8009503.8999999994</v>
      </c>
      <c r="L76" s="3">
        <f t="shared" si="12"/>
        <v>53292890.083440006</v>
      </c>
      <c r="M76" s="3">
        <f t="shared" si="13"/>
        <v>793454.7</v>
      </c>
      <c r="N76" s="3">
        <f t="shared" si="14"/>
        <v>1754357.5</v>
      </c>
      <c r="O76" s="47">
        <f t="shared" si="8"/>
        <v>26850206.183440004</v>
      </c>
      <c r="P76" s="47">
        <f>'Monthly Data'!AJ76</f>
        <v>0</v>
      </c>
      <c r="Q76" s="47">
        <f t="shared" si="9"/>
        <v>26850206.183440004</v>
      </c>
    </row>
    <row r="77" spans="1:17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Data'!AI77</f>
        <v>24423424.653690528</v>
      </c>
      <c r="E77" s="3">
        <f>'Monthly Data'!DR77</f>
        <v>21</v>
      </c>
      <c r="F77" s="3">
        <f>'Monthly Data'!DL77</f>
        <v>802518</v>
      </c>
      <c r="G77" s="3">
        <f>'Monthly Data'!EE77</f>
        <v>1</v>
      </c>
      <c r="H77" s="3">
        <f>'Monthly Data'!EJ77</f>
        <v>0.5</v>
      </c>
      <c r="J77" s="3">
        <f t="shared" si="10"/>
        <v>-37000000</v>
      </c>
      <c r="K77" s="3">
        <f t="shared" si="11"/>
        <v>7313025.2999999998</v>
      </c>
      <c r="L77" s="3">
        <f t="shared" si="12"/>
        <v>52893086.635380007</v>
      </c>
      <c r="M77" s="3">
        <f t="shared" si="13"/>
        <v>793454.7</v>
      </c>
      <c r="N77" s="3">
        <f t="shared" si="14"/>
        <v>1754357.5</v>
      </c>
      <c r="O77" s="47">
        <f t="shared" si="8"/>
        <v>25753924.135380007</v>
      </c>
      <c r="P77" s="47">
        <f>'Monthly Data'!AJ77</f>
        <v>0</v>
      </c>
      <c r="Q77" s="47">
        <f t="shared" si="9"/>
        <v>25753924.135380007</v>
      </c>
    </row>
    <row r="78" spans="1:17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Data'!AI78</f>
        <v>27390546.649267908</v>
      </c>
      <c r="E78" s="3">
        <f>'Monthly Data'!DR78</f>
        <v>20</v>
      </c>
      <c r="F78" s="3">
        <f>'Monthly Data'!DL78</f>
        <v>802518</v>
      </c>
      <c r="G78" s="3">
        <f>'Monthly Data'!EE78</f>
        <v>1</v>
      </c>
      <c r="H78" s="3">
        <f>'Monthly Data'!EJ78</f>
        <v>0.5</v>
      </c>
      <c r="J78" s="3">
        <f t="shared" si="10"/>
        <v>-37000000</v>
      </c>
      <c r="K78" s="3">
        <f t="shared" si="11"/>
        <v>6964786</v>
      </c>
      <c r="L78" s="3">
        <f t="shared" si="12"/>
        <v>52893086.635380007</v>
      </c>
      <c r="M78" s="3">
        <f t="shared" si="13"/>
        <v>793454.7</v>
      </c>
      <c r="N78" s="3">
        <f t="shared" si="14"/>
        <v>1754357.5</v>
      </c>
      <c r="O78" s="47">
        <f t="shared" si="8"/>
        <v>25405684.835380007</v>
      </c>
      <c r="P78" s="47">
        <f>'Monthly Data'!AJ78</f>
        <v>0</v>
      </c>
      <c r="Q78" s="47">
        <f t="shared" si="9"/>
        <v>25405684.835380007</v>
      </c>
    </row>
    <row r="79" spans="1:17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Data'!AI79</f>
        <v>26669341.04484529</v>
      </c>
      <c r="E79" s="3">
        <f>'Monthly Data'!DR79</f>
        <v>22</v>
      </c>
      <c r="F79" s="3">
        <f>'Monthly Data'!DL79</f>
        <v>802518</v>
      </c>
      <c r="G79" s="3">
        <f>'Monthly Data'!EE79</f>
        <v>0</v>
      </c>
      <c r="H79" s="3">
        <f>'Monthly Data'!EJ79</f>
        <v>0.5</v>
      </c>
      <c r="J79" s="3">
        <f t="shared" si="10"/>
        <v>-37000000</v>
      </c>
      <c r="K79" s="3">
        <f t="shared" si="11"/>
        <v>7661264.5999999996</v>
      </c>
      <c r="L79" s="3">
        <f t="shared" si="12"/>
        <v>52893086.635380007</v>
      </c>
      <c r="M79" s="3">
        <f t="shared" si="13"/>
        <v>0</v>
      </c>
      <c r="N79" s="3">
        <f t="shared" si="14"/>
        <v>1754357.5</v>
      </c>
      <c r="O79" s="47">
        <f t="shared" si="8"/>
        <v>25308708.735380009</v>
      </c>
      <c r="P79" s="47">
        <f>'Monthly Data'!AJ79</f>
        <v>0</v>
      </c>
      <c r="Q79" s="47">
        <f t="shared" si="9"/>
        <v>25308708.735380009</v>
      </c>
    </row>
    <row r="80" spans="1:17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Data'!AI80</f>
        <v>26952721.480422672</v>
      </c>
      <c r="E80" s="3">
        <f>'Monthly Data'!DR80</f>
        <v>21</v>
      </c>
      <c r="F80" s="3">
        <f>'Monthly Data'!DL80</f>
        <v>819564</v>
      </c>
      <c r="G80" s="3">
        <f>'Monthly Data'!EE80</f>
        <v>0</v>
      </c>
      <c r="H80" s="3">
        <f>'Monthly Data'!EJ80</f>
        <v>0.5</v>
      </c>
      <c r="J80" s="3">
        <f t="shared" si="10"/>
        <v>-37000000</v>
      </c>
      <c r="K80" s="3">
        <f t="shared" si="11"/>
        <v>7313025.2999999998</v>
      </c>
      <c r="L80" s="3">
        <f t="shared" si="12"/>
        <v>54016569.915240005</v>
      </c>
      <c r="M80" s="3">
        <f t="shared" si="13"/>
        <v>0</v>
      </c>
      <c r="N80" s="3">
        <f t="shared" si="14"/>
        <v>1754357.5</v>
      </c>
      <c r="O80" s="47">
        <f t="shared" si="8"/>
        <v>26083952.715240005</v>
      </c>
      <c r="P80" s="47">
        <f>'Monthly Data'!AJ80</f>
        <v>0</v>
      </c>
      <c r="Q80" s="47">
        <f t="shared" si="9"/>
        <v>26083952.715240005</v>
      </c>
    </row>
    <row r="81" spans="1:17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Data'!AI81</f>
        <v>23791332.306000054</v>
      </c>
      <c r="E81" s="3">
        <f>'Monthly Data'!DR81</f>
        <v>20</v>
      </c>
      <c r="F81" s="3">
        <f>'Monthly Data'!DL81</f>
        <v>819564</v>
      </c>
      <c r="G81" s="3">
        <f>'Monthly Data'!EE81</f>
        <v>0</v>
      </c>
      <c r="H81" s="3">
        <f>'Monthly Data'!EJ81</f>
        <v>0.5</v>
      </c>
      <c r="J81" s="3">
        <f t="shared" si="10"/>
        <v>-37000000</v>
      </c>
      <c r="K81" s="3">
        <f t="shared" si="11"/>
        <v>6964786</v>
      </c>
      <c r="L81" s="3">
        <f t="shared" si="12"/>
        <v>54016569.915240005</v>
      </c>
      <c r="M81" s="3">
        <f t="shared" si="13"/>
        <v>0</v>
      </c>
      <c r="N81" s="3">
        <f t="shared" si="14"/>
        <v>1754357.5</v>
      </c>
      <c r="O81" s="47">
        <f t="shared" si="8"/>
        <v>25735713.415240005</v>
      </c>
      <c r="P81" s="47">
        <f>'Monthly Data'!AJ81</f>
        <v>0</v>
      </c>
      <c r="Q81" s="47">
        <f t="shared" si="9"/>
        <v>25735713.415240005</v>
      </c>
    </row>
    <row r="82" spans="1:17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Data'!AI82</f>
        <v>24729050.251577433</v>
      </c>
      <c r="E82" s="3">
        <f>'Monthly Data'!DR82</f>
        <v>20</v>
      </c>
      <c r="F82" s="3">
        <f>'Monthly Data'!DL82</f>
        <v>819564</v>
      </c>
      <c r="G82" s="3">
        <f>'Monthly Data'!EE82</f>
        <v>0</v>
      </c>
      <c r="H82" s="3">
        <f>'Monthly Data'!EJ82</f>
        <v>0.5</v>
      </c>
      <c r="J82" s="3">
        <f t="shared" si="10"/>
        <v>-37000000</v>
      </c>
      <c r="K82" s="3">
        <f t="shared" si="11"/>
        <v>6964786</v>
      </c>
      <c r="L82" s="3">
        <f t="shared" si="12"/>
        <v>54016569.915240005</v>
      </c>
      <c r="M82" s="3">
        <f t="shared" si="13"/>
        <v>0</v>
      </c>
      <c r="N82" s="3">
        <f t="shared" si="14"/>
        <v>1754357.5</v>
      </c>
      <c r="O82" s="47">
        <f t="shared" si="8"/>
        <v>25735713.415240005</v>
      </c>
      <c r="P82" s="47">
        <f>'Monthly Data'!AJ82</f>
        <v>0</v>
      </c>
      <c r="Q82" s="47">
        <f t="shared" si="9"/>
        <v>25735713.415240005</v>
      </c>
    </row>
    <row r="83" spans="1:17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Data'!AI83</f>
        <v>25149627.987154819</v>
      </c>
      <c r="E83" s="3">
        <f>'Monthly Data'!DR83</f>
        <v>20</v>
      </c>
      <c r="F83" s="3">
        <f>'Monthly Data'!DL83</f>
        <v>838397</v>
      </c>
      <c r="G83" s="3">
        <f>'Monthly Data'!EE83</f>
        <v>0</v>
      </c>
      <c r="H83" s="3">
        <f>'Monthly Data'!EJ83</f>
        <v>0.5</v>
      </c>
      <c r="J83" s="3">
        <f t="shared" si="10"/>
        <v>-37000000</v>
      </c>
      <c r="K83" s="3">
        <f t="shared" si="11"/>
        <v>6964786</v>
      </c>
      <c r="L83" s="3">
        <f t="shared" si="12"/>
        <v>55257832.417270005</v>
      </c>
      <c r="M83" s="3">
        <f t="shared" si="13"/>
        <v>0</v>
      </c>
      <c r="N83" s="3">
        <f t="shared" si="14"/>
        <v>1754357.5</v>
      </c>
      <c r="O83" s="47">
        <f t="shared" si="8"/>
        <v>26976975.917270005</v>
      </c>
      <c r="P83" s="47">
        <f>'Monthly Data'!AJ83</f>
        <v>0</v>
      </c>
      <c r="Q83" s="47">
        <f t="shared" si="9"/>
        <v>26976975.917270005</v>
      </c>
    </row>
    <row r="84" spans="1:17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Data'!AI84</f>
        <v>25060594.782732196</v>
      </c>
      <c r="E84" s="3">
        <f>'Monthly Data'!DR84</f>
        <v>22</v>
      </c>
      <c r="F84" s="3">
        <f>'Monthly Data'!DL84</f>
        <v>838397</v>
      </c>
      <c r="G84" s="3">
        <f>'Monthly Data'!EE84</f>
        <v>0</v>
      </c>
      <c r="H84" s="3">
        <f>'Monthly Data'!EJ84</f>
        <v>0.5</v>
      </c>
      <c r="J84" s="3">
        <f t="shared" si="10"/>
        <v>-37000000</v>
      </c>
      <c r="K84" s="3">
        <f t="shared" si="11"/>
        <v>7661264.5999999996</v>
      </c>
      <c r="L84" s="3">
        <f t="shared" si="12"/>
        <v>55257832.417270005</v>
      </c>
      <c r="M84" s="3">
        <f t="shared" si="13"/>
        <v>0</v>
      </c>
      <c r="N84" s="3">
        <f t="shared" si="14"/>
        <v>1754357.5</v>
      </c>
      <c r="O84" s="47">
        <f t="shared" si="8"/>
        <v>27673454.517270006</v>
      </c>
      <c r="P84" s="47">
        <f>'Monthly Data'!AJ84</f>
        <v>0</v>
      </c>
      <c r="Q84" s="47">
        <f t="shared" si="9"/>
        <v>27673454.517270006</v>
      </c>
    </row>
    <row r="85" spans="1:17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Data'!AI85</f>
        <v>24248030.318309579</v>
      </c>
      <c r="E85" s="3">
        <f>'Monthly Data'!DR85</f>
        <v>21</v>
      </c>
      <c r="F85" s="3">
        <f>'Monthly Data'!DL85</f>
        <v>838397</v>
      </c>
      <c r="G85" s="3">
        <f>'Monthly Data'!EE85</f>
        <v>0</v>
      </c>
      <c r="H85" s="3">
        <f>'Monthly Data'!EJ85</f>
        <v>0.5</v>
      </c>
      <c r="J85" s="3">
        <f t="shared" si="10"/>
        <v>-37000000</v>
      </c>
      <c r="K85" s="3">
        <f t="shared" si="11"/>
        <v>7313025.2999999998</v>
      </c>
      <c r="L85" s="3">
        <f t="shared" si="12"/>
        <v>55257832.417270005</v>
      </c>
      <c r="M85" s="3">
        <f t="shared" si="13"/>
        <v>0</v>
      </c>
      <c r="N85" s="3">
        <f t="shared" si="14"/>
        <v>1754357.5</v>
      </c>
      <c r="O85" s="47">
        <f t="shared" si="8"/>
        <v>27325215.217270005</v>
      </c>
      <c r="P85" s="47">
        <f>'Monthly Data'!AJ85</f>
        <v>0</v>
      </c>
      <c r="Q85" s="47">
        <f t="shared" si="9"/>
        <v>27325215.217270005</v>
      </c>
    </row>
    <row r="86" spans="1:17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Data'!AI86</f>
        <v>25889185.031195279</v>
      </c>
      <c r="E86" s="3">
        <f>'Monthly Data'!DR86</f>
        <v>20</v>
      </c>
      <c r="F86" s="3">
        <f>'Monthly Data'!DL86</f>
        <v>845218</v>
      </c>
      <c r="G86" s="3">
        <f>'Monthly Data'!EE86</f>
        <v>0</v>
      </c>
      <c r="H86" s="3">
        <f>'Monthly Data'!EJ86</f>
        <v>0.25</v>
      </c>
      <c r="J86" s="3">
        <f t="shared" si="10"/>
        <v>-37000000</v>
      </c>
      <c r="K86" s="3">
        <f t="shared" si="11"/>
        <v>6964786</v>
      </c>
      <c r="L86" s="3">
        <f t="shared" si="12"/>
        <v>55707397.092380002</v>
      </c>
      <c r="M86" s="3">
        <f t="shared" si="13"/>
        <v>0</v>
      </c>
      <c r="N86" s="3">
        <f t="shared" si="14"/>
        <v>877178.75</v>
      </c>
      <c r="O86" s="47">
        <f t="shared" si="8"/>
        <v>26549361.842380002</v>
      </c>
      <c r="P86" s="47">
        <f>'Monthly Data'!AJ86</f>
        <v>13.461538461538462</v>
      </c>
      <c r="Q86" s="47">
        <f t="shared" si="9"/>
        <v>26549375.303918462</v>
      </c>
    </row>
    <row r="87" spans="1:17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Data'!AI87</f>
        <v>24800569.304336783</v>
      </c>
      <c r="E87" s="3">
        <f>'Monthly Data'!DR87</f>
        <v>19</v>
      </c>
      <c r="F87" s="3">
        <f>'Monthly Data'!DL87</f>
        <v>845218</v>
      </c>
      <c r="G87" s="3">
        <f>'Monthly Data'!EE87</f>
        <v>0</v>
      </c>
      <c r="H87" s="3">
        <f>'Monthly Data'!EJ87</f>
        <v>0.25</v>
      </c>
      <c r="J87" s="3">
        <f t="shared" si="10"/>
        <v>-37000000</v>
      </c>
      <c r="K87" s="3">
        <f t="shared" si="11"/>
        <v>6616546.7000000002</v>
      </c>
      <c r="L87" s="3">
        <f t="shared" si="12"/>
        <v>55707397.092380002</v>
      </c>
      <c r="M87" s="3">
        <f t="shared" si="13"/>
        <v>0</v>
      </c>
      <c r="N87" s="3">
        <f t="shared" si="14"/>
        <v>877178.75</v>
      </c>
      <c r="O87" s="47">
        <f t="shared" si="8"/>
        <v>26201122.542380001</v>
      </c>
      <c r="P87" s="47">
        <f>'Monthly Data'!AJ87</f>
        <v>26.923076923076923</v>
      </c>
      <c r="Q87" s="47">
        <f t="shared" si="9"/>
        <v>26201149.465456925</v>
      </c>
    </row>
    <row r="88" spans="1:17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Data'!AI88</f>
        <v>28025826.257478289</v>
      </c>
      <c r="E88" s="3">
        <f>'Monthly Data'!DR88</f>
        <v>23</v>
      </c>
      <c r="F88" s="3">
        <f>'Monthly Data'!DL88</f>
        <v>845218</v>
      </c>
      <c r="G88" s="3">
        <f>'Monthly Data'!EE88</f>
        <v>1</v>
      </c>
      <c r="H88" s="3">
        <f>'Monthly Data'!EJ88</f>
        <v>0.25</v>
      </c>
      <c r="J88" s="3">
        <f t="shared" si="10"/>
        <v>-37000000</v>
      </c>
      <c r="K88" s="3">
        <f t="shared" si="11"/>
        <v>8009503.8999999994</v>
      </c>
      <c r="L88" s="3">
        <f t="shared" si="12"/>
        <v>55707397.092380002</v>
      </c>
      <c r="M88" s="3">
        <f t="shared" si="13"/>
        <v>793454.7</v>
      </c>
      <c r="N88" s="3">
        <f t="shared" si="14"/>
        <v>877178.75</v>
      </c>
      <c r="O88" s="47">
        <f t="shared" si="8"/>
        <v>28387534.44238</v>
      </c>
      <c r="P88" s="47">
        <f>'Monthly Data'!AJ88</f>
        <v>40.384615384615387</v>
      </c>
      <c r="Q88" s="47">
        <f t="shared" si="9"/>
        <v>28387574.826995384</v>
      </c>
    </row>
    <row r="89" spans="1:17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Data'!AI89</f>
        <v>26398387.400619797</v>
      </c>
      <c r="E89" s="3">
        <f>'Monthly Data'!DR89</f>
        <v>20</v>
      </c>
      <c r="F89" s="3">
        <f>'Monthly Data'!DL89</f>
        <v>851621</v>
      </c>
      <c r="G89" s="3">
        <f>'Monthly Data'!EE89</f>
        <v>1</v>
      </c>
      <c r="H89" s="3">
        <f>'Monthly Data'!EJ89</f>
        <v>0.25</v>
      </c>
      <c r="J89" s="3">
        <f t="shared" si="10"/>
        <v>-37000000</v>
      </c>
      <c r="K89" s="3">
        <f t="shared" si="11"/>
        <v>6964786</v>
      </c>
      <c r="L89" s="3">
        <f t="shared" si="12"/>
        <v>56129411.843110003</v>
      </c>
      <c r="M89" s="3">
        <f t="shared" si="13"/>
        <v>793454.7</v>
      </c>
      <c r="N89" s="3">
        <f t="shared" si="14"/>
        <v>877178.75</v>
      </c>
      <c r="O89" s="47">
        <f t="shared" si="8"/>
        <v>27764831.293110002</v>
      </c>
      <c r="P89" s="47">
        <f>'Monthly Data'!AJ89</f>
        <v>53.846153846153847</v>
      </c>
      <c r="Q89" s="47">
        <f t="shared" si="9"/>
        <v>27764885.13926385</v>
      </c>
    </row>
    <row r="90" spans="1:17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Data'!AI90</f>
        <v>27376559.903761301</v>
      </c>
      <c r="E90" s="3">
        <f>'Monthly Data'!DR90</f>
        <v>21</v>
      </c>
      <c r="F90" s="3">
        <f>'Monthly Data'!DL90</f>
        <v>851621</v>
      </c>
      <c r="G90" s="3">
        <f>'Monthly Data'!EE90</f>
        <v>1</v>
      </c>
      <c r="H90" s="3">
        <f>'Monthly Data'!EJ90</f>
        <v>0.25</v>
      </c>
      <c r="J90" s="3">
        <f t="shared" si="10"/>
        <v>-37000000</v>
      </c>
      <c r="K90" s="3">
        <f t="shared" si="11"/>
        <v>7313025.2999999998</v>
      </c>
      <c r="L90" s="3">
        <f t="shared" si="12"/>
        <v>56129411.843110003</v>
      </c>
      <c r="M90" s="3">
        <f t="shared" si="13"/>
        <v>793454.7</v>
      </c>
      <c r="N90" s="3">
        <f t="shared" si="14"/>
        <v>877178.75</v>
      </c>
      <c r="O90" s="47">
        <f t="shared" si="8"/>
        <v>28113070.593110003</v>
      </c>
      <c r="P90" s="47">
        <f>'Monthly Data'!AJ90</f>
        <v>67.307692307692307</v>
      </c>
      <c r="Q90" s="47">
        <f t="shared" si="9"/>
        <v>28113137.900802311</v>
      </c>
    </row>
    <row r="91" spans="1:17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Data'!AI91</f>
        <v>27030450.36690281</v>
      </c>
      <c r="E91" s="3">
        <f>'Monthly Data'!DR91</f>
        <v>22</v>
      </c>
      <c r="F91" s="3">
        <f>'Monthly Data'!DL91</f>
        <v>851621</v>
      </c>
      <c r="G91" s="3">
        <f>'Monthly Data'!EE91</f>
        <v>0</v>
      </c>
      <c r="H91" s="3">
        <f>'Monthly Data'!EJ91</f>
        <v>0.25</v>
      </c>
      <c r="J91" s="3">
        <f t="shared" si="10"/>
        <v>-37000000</v>
      </c>
      <c r="K91" s="3">
        <f t="shared" si="11"/>
        <v>7661264.5999999996</v>
      </c>
      <c r="L91" s="3">
        <f t="shared" si="12"/>
        <v>56129411.843110003</v>
      </c>
      <c r="M91" s="3">
        <f t="shared" si="13"/>
        <v>0</v>
      </c>
      <c r="N91" s="3">
        <f t="shared" si="14"/>
        <v>877178.75</v>
      </c>
      <c r="O91" s="47">
        <f t="shared" si="8"/>
        <v>27667855.193110004</v>
      </c>
      <c r="P91" s="47">
        <f>'Monthly Data'!AJ91</f>
        <v>80.769230769230774</v>
      </c>
      <c r="Q91" s="47">
        <f t="shared" si="9"/>
        <v>27667935.962340772</v>
      </c>
    </row>
    <row r="92" spans="1:17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Data'!AI92</f>
        <v>26761214.380044315</v>
      </c>
      <c r="E92" s="3">
        <f>'Monthly Data'!DR92</f>
        <v>20</v>
      </c>
      <c r="F92" s="3">
        <f>'Monthly Data'!DL92</f>
        <v>852979</v>
      </c>
      <c r="G92" s="3">
        <f>'Monthly Data'!EE92</f>
        <v>0</v>
      </c>
      <c r="H92" s="3">
        <f>'Monthly Data'!EJ92</f>
        <v>0.25</v>
      </c>
      <c r="J92" s="3">
        <f t="shared" si="10"/>
        <v>-37000000</v>
      </c>
      <c r="K92" s="3">
        <f t="shared" si="11"/>
        <v>6964786</v>
      </c>
      <c r="L92" s="3">
        <f t="shared" si="12"/>
        <v>56218916.142890006</v>
      </c>
      <c r="M92" s="3">
        <f t="shared" si="13"/>
        <v>0</v>
      </c>
      <c r="N92" s="3">
        <f t="shared" si="14"/>
        <v>877178.75</v>
      </c>
      <c r="O92" s="47">
        <f t="shared" si="8"/>
        <v>27060880.892890006</v>
      </c>
      <c r="P92" s="47">
        <f>'Monthly Data'!AJ92</f>
        <v>94.230769230769226</v>
      </c>
      <c r="Q92" s="47">
        <f t="shared" si="9"/>
        <v>27060975.123659238</v>
      </c>
    </row>
    <row r="93" spans="1:17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Data'!AI93</f>
        <v>21137571.013185821</v>
      </c>
      <c r="E93" s="3">
        <f>'Monthly Data'!DR93</f>
        <v>22</v>
      </c>
      <c r="F93" s="3">
        <f>'Monthly Data'!DL93</f>
        <v>852979</v>
      </c>
      <c r="G93" s="3">
        <f>'Monthly Data'!EE93</f>
        <v>0</v>
      </c>
      <c r="H93" s="3">
        <f>'Monthly Data'!EJ93</f>
        <v>0.25</v>
      </c>
      <c r="J93" s="3">
        <f t="shared" si="10"/>
        <v>-37000000</v>
      </c>
      <c r="K93" s="3">
        <f t="shared" si="11"/>
        <v>7661264.5999999996</v>
      </c>
      <c r="L93" s="3">
        <f t="shared" si="12"/>
        <v>56218916.142890006</v>
      </c>
      <c r="M93" s="3">
        <f t="shared" si="13"/>
        <v>0</v>
      </c>
      <c r="N93" s="3">
        <f t="shared" si="14"/>
        <v>877178.75</v>
      </c>
      <c r="O93" s="47">
        <f t="shared" si="8"/>
        <v>27757359.492890008</v>
      </c>
      <c r="P93" s="47">
        <f>'Monthly Data'!AJ93</f>
        <v>107.69230769230769</v>
      </c>
      <c r="Q93" s="47">
        <f t="shared" si="9"/>
        <v>27757467.1851977</v>
      </c>
    </row>
    <row r="94" spans="1:17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Data'!AI94</f>
        <v>25625478.616327327</v>
      </c>
      <c r="E94" s="3">
        <f>'Monthly Data'!DR94</f>
        <v>20</v>
      </c>
      <c r="F94" s="3">
        <f>'Monthly Data'!DL94</f>
        <v>852979</v>
      </c>
      <c r="G94" s="3">
        <f>'Monthly Data'!EE94</f>
        <v>0</v>
      </c>
      <c r="H94" s="3">
        <f>'Monthly Data'!EJ94</f>
        <v>0.25</v>
      </c>
      <c r="J94" s="3">
        <f t="shared" si="10"/>
        <v>-37000000</v>
      </c>
      <c r="K94" s="3">
        <f t="shared" si="11"/>
        <v>6964786</v>
      </c>
      <c r="L94" s="3">
        <f t="shared" si="12"/>
        <v>56218916.142890006</v>
      </c>
      <c r="M94" s="3">
        <f t="shared" si="13"/>
        <v>0</v>
      </c>
      <c r="N94" s="3">
        <f t="shared" si="14"/>
        <v>877178.75</v>
      </c>
      <c r="O94" s="47">
        <f t="shared" si="8"/>
        <v>27060880.892890006</v>
      </c>
      <c r="P94" s="47">
        <f>'Monthly Data'!AJ94</f>
        <v>121.15384615384616</v>
      </c>
      <c r="Q94" s="47">
        <f t="shared" si="9"/>
        <v>27061002.046736158</v>
      </c>
    </row>
    <row r="95" spans="1:17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Data'!AI95</f>
        <v>26108763.799468834</v>
      </c>
      <c r="E95" s="3">
        <f>'Monthly Data'!DR95</f>
        <v>20</v>
      </c>
      <c r="F95" s="3">
        <f>'Monthly Data'!DL95</f>
        <v>852029</v>
      </c>
      <c r="G95" s="3">
        <f>'Monthly Data'!EE95</f>
        <v>0</v>
      </c>
      <c r="H95" s="3">
        <f>'Monthly Data'!EJ95</f>
        <v>0.25</v>
      </c>
      <c r="J95" s="3">
        <f t="shared" si="10"/>
        <v>-37000000</v>
      </c>
      <c r="K95" s="3">
        <f t="shared" si="11"/>
        <v>6964786</v>
      </c>
      <c r="L95" s="3">
        <f t="shared" si="12"/>
        <v>56156302.678390004</v>
      </c>
      <c r="M95" s="3">
        <f t="shared" si="13"/>
        <v>0</v>
      </c>
      <c r="N95" s="3">
        <f t="shared" si="14"/>
        <v>877178.75</v>
      </c>
      <c r="O95" s="47">
        <f t="shared" si="8"/>
        <v>26998267.428390004</v>
      </c>
      <c r="P95" s="47">
        <f>'Monthly Data'!AJ95</f>
        <v>134.61538461538461</v>
      </c>
      <c r="Q95" s="47">
        <f t="shared" si="9"/>
        <v>26998402.04377462</v>
      </c>
    </row>
    <row r="96" spans="1:17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Data'!AI96</f>
        <v>25284473.632610343</v>
      </c>
      <c r="E96" s="3">
        <f>'Monthly Data'!DR96</f>
        <v>22</v>
      </c>
      <c r="F96" s="3">
        <f>'Monthly Data'!DL96</f>
        <v>852029</v>
      </c>
      <c r="G96" s="3">
        <f>'Monthly Data'!EE96</f>
        <v>0</v>
      </c>
      <c r="H96" s="3">
        <f>'Monthly Data'!EJ96</f>
        <v>0.25</v>
      </c>
      <c r="J96" s="3">
        <f t="shared" si="10"/>
        <v>-37000000</v>
      </c>
      <c r="K96" s="3">
        <f t="shared" si="11"/>
        <v>7661264.5999999996</v>
      </c>
      <c r="L96" s="3">
        <f t="shared" si="12"/>
        <v>56156302.678390004</v>
      </c>
      <c r="M96" s="3">
        <f t="shared" si="13"/>
        <v>0</v>
      </c>
      <c r="N96" s="3">
        <f t="shared" si="14"/>
        <v>877178.75</v>
      </c>
      <c r="O96" s="47">
        <f t="shared" si="8"/>
        <v>27694746.028390005</v>
      </c>
      <c r="P96" s="47">
        <f>'Monthly Data'!AJ96</f>
        <v>148.07692307692307</v>
      </c>
      <c r="Q96" s="47">
        <f t="shared" si="9"/>
        <v>27694894.105313081</v>
      </c>
    </row>
    <row r="97" spans="1:17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Data'!AI97</f>
        <v>25733301.045751847</v>
      </c>
      <c r="E97" s="3">
        <f>'Monthly Data'!DR97</f>
        <v>20</v>
      </c>
      <c r="F97" s="3">
        <f>'Monthly Data'!DL97</f>
        <v>852029</v>
      </c>
      <c r="G97" s="3">
        <f>'Monthly Data'!EE97</f>
        <v>0</v>
      </c>
      <c r="H97" s="3">
        <f>'Monthly Data'!EJ97</f>
        <v>0.25</v>
      </c>
      <c r="J97" s="3">
        <f t="shared" si="10"/>
        <v>-37000000</v>
      </c>
      <c r="K97" s="3">
        <f t="shared" si="11"/>
        <v>6964786</v>
      </c>
      <c r="L97" s="3">
        <f t="shared" si="12"/>
        <v>56156302.678390004</v>
      </c>
      <c r="M97" s="3">
        <f t="shared" si="13"/>
        <v>0</v>
      </c>
      <c r="N97" s="3">
        <f t="shared" si="14"/>
        <v>877178.75</v>
      </c>
      <c r="O97" s="47">
        <f t="shared" si="8"/>
        <v>26998267.428390004</v>
      </c>
      <c r="P97" s="47">
        <f>'Monthly Data'!AJ97</f>
        <v>161.53846153846155</v>
      </c>
      <c r="Q97" s="47">
        <f t="shared" si="9"/>
        <v>26998428.966851544</v>
      </c>
    </row>
    <row r="98" spans="1:17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Data'!AI98</f>
        <v>26848494.080928087</v>
      </c>
      <c r="E98" s="3">
        <f>'Monthly Data'!DR98</f>
        <v>21</v>
      </c>
      <c r="F98" s="3">
        <f>'Monthly Data'!DL98</f>
        <v>860658</v>
      </c>
      <c r="G98" s="3">
        <f>'Monthly Data'!EE98</f>
        <v>0</v>
      </c>
      <c r="H98" s="3">
        <f>'Monthly Data'!EJ98</f>
        <v>0</v>
      </c>
      <c r="J98" s="3">
        <f t="shared" si="10"/>
        <v>-37000000</v>
      </c>
      <c r="K98" s="3">
        <f t="shared" si="11"/>
        <v>7313025.2999999998</v>
      </c>
      <c r="L98" s="3">
        <f t="shared" si="12"/>
        <v>56725030.662780002</v>
      </c>
      <c r="M98" s="3">
        <f t="shared" si="13"/>
        <v>0</v>
      </c>
      <c r="N98" s="3">
        <f t="shared" si="14"/>
        <v>0</v>
      </c>
      <c r="O98" s="47">
        <f t="shared" si="8"/>
        <v>27038055.962780003</v>
      </c>
      <c r="P98" s="47">
        <f>'Monthly Data'!AJ98</f>
        <v>215.38461538461539</v>
      </c>
      <c r="Q98" s="47">
        <f t="shared" si="9"/>
        <v>27038271.347395387</v>
      </c>
    </row>
    <row r="99" spans="1:17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Data'!AI99</f>
        <v>24971581.589255359</v>
      </c>
      <c r="E99" s="3">
        <f>'Monthly Data'!DR99</f>
        <v>19</v>
      </c>
      <c r="F99" s="3">
        <f>'Monthly Data'!DL99</f>
        <v>860658</v>
      </c>
      <c r="G99" s="3">
        <f>'Monthly Data'!EE99</f>
        <v>0</v>
      </c>
      <c r="H99" s="3">
        <f>'Monthly Data'!EJ99</f>
        <v>0</v>
      </c>
      <c r="J99" s="3">
        <f t="shared" si="10"/>
        <v>-37000000</v>
      </c>
      <c r="K99" s="3">
        <f t="shared" si="11"/>
        <v>6616546.7000000002</v>
      </c>
      <c r="L99" s="3">
        <f t="shared" si="12"/>
        <v>56725030.662780002</v>
      </c>
      <c r="M99" s="3">
        <f t="shared" si="13"/>
        <v>0</v>
      </c>
      <c r="N99" s="3">
        <f t="shared" si="14"/>
        <v>0</v>
      </c>
      <c r="O99" s="47">
        <f t="shared" si="8"/>
        <v>26341577.362780001</v>
      </c>
      <c r="P99" s="47">
        <f>'Monthly Data'!AJ99</f>
        <v>255.76923076923077</v>
      </c>
      <c r="Q99" s="47">
        <f t="shared" si="9"/>
        <v>26341833.132010769</v>
      </c>
    </row>
    <row r="100" spans="1:17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Data'!AI100</f>
        <v>28122083.777582631</v>
      </c>
      <c r="E100" s="3">
        <f>'Monthly Data'!DR100</f>
        <v>23</v>
      </c>
      <c r="F100" s="3">
        <f>'Monthly Data'!DL100</f>
        <v>860658</v>
      </c>
      <c r="G100" s="3">
        <f>'Monthly Data'!EE100</f>
        <v>1</v>
      </c>
      <c r="H100" s="3">
        <f>'Monthly Data'!EJ100</f>
        <v>0</v>
      </c>
      <c r="J100" s="3">
        <f t="shared" si="10"/>
        <v>-37000000</v>
      </c>
      <c r="K100" s="3">
        <f t="shared" si="11"/>
        <v>8009503.8999999994</v>
      </c>
      <c r="L100" s="3">
        <f t="shared" si="12"/>
        <v>56725030.662780002</v>
      </c>
      <c r="M100" s="3">
        <f t="shared" si="13"/>
        <v>793454.7</v>
      </c>
      <c r="N100" s="3">
        <f t="shared" si="14"/>
        <v>0</v>
      </c>
      <c r="O100" s="47">
        <f t="shared" si="8"/>
        <v>28527989.26278</v>
      </c>
      <c r="P100" s="47">
        <f>'Monthly Data'!AJ100</f>
        <v>296.15384615384619</v>
      </c>
      <c r="Q100" s="47">
        <f t="shared" si="9"/>
        <v>28528285.416626152</v>
      </c>
    </row>
    <row r="101" spans="1:17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Data'!AI101</f>
        <v>26286289.105909899</v>
      </c>
      <c r="E101" s="3">
        <f>'Monthly Data'!DR101</f>
        <v>19</v>
      </c>
      <c r="F101" s="3">
        <f>'Monthly Data'!DL101</f>
        <v>865503</v>
      </c>
      <c r="G101" s="3">
        <f>'Monthly Data'!EE101</f>
        <v>1</v>
      </c>
      <c r="H101" s="3">
        <f>'Monthly Data'!EJ101</f>
        <v>0</v>
      </c>
      <c r="J101" s="3">
        <f t="shared" si="10"/>
        <v>-37000000</v>
      </c>
      <c r="K101" s="3">
        <f t="shared" si="11"/>
        <v>6616546.7000000002</v>
      </c>
      <c r="L101" s="3">
        <f t="shared" si="12"/>
        <v>57044359.331730008</v>
      </c>
      <c r="M101" s="3">
        <f t="shared" si="13"/>
        <v>793454.7</v>
      </c>
      <c r="N101" s="3">
        <f t="shared" si="14"/>
        <v>0</v>
      </c>
      <c r="O101" s="47">
        <f t="shared" si="8"/>
        <v>27454360.731730007</v>
      </c>
      <c r="P101" s="47">
        <f>'Monthly Data'!AJ101</f>
        <v>336.53846153846155</v>
      </c>
      <c r="Q101" s="47">
        <f t="shared" si="9"/>
        <v>27454697.270191547</v>
      </c>
    </row>
    <row r="102" spans="1:17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Data'!AI102</f>
        <v>25206995.22423717</v>
      </c>
      <c r="E102" s="3">
        <f>'Monthly Data'!DR102</f>
        <v>22</v>
      </c>
      <c r="F102" s="3">
        <f>'Monthly Data'!DL102</f>
        <v>865503</v>
      </c>
      <c r="G102" s="3">
        <f>'Monthly Data'!EE102</f>
        <v>1</v>
      </c>
      <c r="H102" s="3">
        <f>'Monthly Data'!EJ102</f>
        <v>0</v>
      </c>
      <c r="J102" s="3">
        <f t="shared" si="10"/>
        <v>-37000000</v>
      </c>
      <c r="K102" s="3">
        <f t="shared" si="11"/>
        <v>7661264.5999999996</v>
      </c>
      <c r="L102" s="3">
        <f t="shared" si="12"/>
        <v>57044359.331730008</v>
      </c>
      <c r="M102" s="3">
        <f t="shared" si="13"/>
        <v>793454.7</v>
      </c>
      <c r="N102" s="3">
        <f t="shared" si="14"/>
        <v>0</v>
      </c>
      <c r="O102" s="47">
        <f t="shared" si="8"/>
        <v>28499078.631730009</v>
      </c>
      <c r="P102" s="47">
        <f>'Monthly Data'!AJ102</f>
        <v>376.92307692307691</v>
      </c>
      <c r="Q102" s="47">
        <f t="shared" si="9"/>
        <v>28499455.554806933</v>
      </c>
    </row>
    <row r="103" spans="1:17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Data'!AI103</f>
        <v>27134163.662564438</v>
      </c>
      <c r="E103" s="3">
        <f>'Monthly Data'!DR103</f>
        <v>22</v>
      </c>
      <c r="F103" s="3">
        <f>'Monthly Data'!DL103</f>
        <v>865503</v>
      </c>
      <c r="G103" s="3">
        <f>'Monthly Data'!EE103</f>
        <v>0</v>
      </c>
      <c r="H103" s="3">
        <f>'Monthly Data'!EJ103</f>
        <v>0</v>
      </c>
      <c r="J103" s="3">
        <f t="shared" si="10"/>
        <v>-37000000</v>
      </c>
      <c r="K103" s="3">
        <f t="shared" si="11"/>
        <v>7661264.5999999996</v>
      </c>
      <c r="L103" s="3">
        <f t="shared" si="12"/>
        <v>57044359.331730008</v>
      </c>
      <c r="M103" s="3">
        <f t="shared" si="13"/>
        <v>0</v>
      </c>
      <c r="N103" s="3">
        <f t="shared" si="14"/>
        <v>0</v>
      </c>
      <c r="O103" s="47">
        <f t="shared" si="8"/>
        <v>27705623.93173001</v>
      </c>
      <c r="P103" s="47">
        <f>'Monthly Data'!AJ103</f>
        <v>417.30769230769232</v>
      </c>
      <c r="Q103" s="47">
        <f t="shared" si="9"/>
        <v>27706041.239422318</v>
      </c>
    </row>
    <row r="104" spans="1:17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Data'!AI104</f>
        <v>25550301.100891709</v>
      </c>
      <c r="E104" s="3">
        <f>'Monthly Data'!DR104</f>
        <v>20</v>
      </c>
      <c r="F104" s="3">
        <f>'Monthly Data'!DL104</f>
        <v>867701</v>
      </c>
      <c r="G104" s="3">
        <f>'Monthly Data'!EE104</f>
        <v>0</v>
      </c>
      <c r="H104" s="3">
        <f>'Monthly Data'!EJ104</f>
        <v>0</v>
      </c>
      <c r="J104" s="3">
        <f t="shared" si="10"/>
        <v>-37000000</v>
      </c>
      <c r="K104" s="3">
        <f t="shared" si="11"/>
        <v>6964786</v>
      </c>
      <c r="L104" s="3">
        <f t="shared" si="12"/>
        <v>57189227.115910009</v>
      </c>
      <c r="M104" s="3">
        <f t="shared" si="13"/>
        <v>0</v>
      </c>
      <c r="N104" s="3">
        <f t="shared" si="14"/>
        <v>0</v>
      </c>
      <c r="O104" s="47">
        <f t="shared" si="8"/>
        <v>27154013.115910009</v>
      </c>
      <c r="P104" s="47">
        <f>'Monthly Data'!AJ104</f>
        <v>457.69230769230768</v>
      </c>
      <c r="Q104" s="47">
        <f t="shared" si="9"/>
        <v>27154470.808217701</v>
      </c>
    </row>
    <row r="105" spans="1:17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Data'!AI105</f>
        <v>27642879.539218981</v>
      </c>
      <c r="E105" s="3">
        <f>'Monthly Data'!DR105</f>
        <v>22</v>
      </c>
      <c r="F105" s="3">
        <f>'Monthly Data'!DL105</f>
        <v>867701</v>
      </c>
      <c r="G105" s="3">
        <f>'Monthly Data'!EE105</f>
        <v>0</v>
      </c>
      <c r="H105" s="3">
        <f>'Monthly Data'!EJ105</f>
        <v>0</v>
      </c>
      <c r="J105" s="3">
        <f t="shared" si="10"/>
        <v>-37000000</v>
      </c>
      <c r="K105" s="3">
        <f t="shared" si="11"/>
        <v>7661264.5999999996</v>
      </c>
      <c r="L105" s="3">
        <f t="shared" si="12"/>
        <v>57189227.115910009</v>
      </c>
      <c r="M105" s="3">
        <f t="shared" si="13"/>
        <v>0</v>
      </c>
      <c r="N105" s="3">
        <f t="shared" si="14"/>
        <v>0</v>
      </c>
      <c r="O105" s="47">
        <f t="shared" si="8"/>
        <v>27850491.71591001</v>
      </c>
      <c r="P105" s="47">
        <f>'Monthly Data'!AJ105</f>
        <v>498.07692307692309</v>
      </c>
      <c r="Q105" s="47">
        <f t="shared" si="9"/>
        <v>27850989.792833086</v>
      </c>
    </row>
    <row r="106" spans="1:17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Data'!AI106</f>
        <v>28271627.977546249</v>
      </c>
      <c r="E106" s="3">
        <f>'Monthly Data'!DR106</f>
        <v>20</v>
      </c>
      <c r="F106" s="3">
        <f>'Monthly Data'!DL106</f>
        <v>867701</v>
      </c>
      <c r="G106" s="3">
        <f>'Monthly Data'!EE106</f>
        <v>0</v>
      </c>
      <c r="H106" s="3">
        <f>'Monthly Data'!EJ106</f>
        <v>0</v>
      </c>
      <c r="J106" s="3">
        <f t="shared" si="10"/>
        <v>-37000000</v>
      </c>
      <c r="K106" s="3">
        <f t="shared" si="11"/>
        <v>6964786</v>
      </c>
      <c r="L106" s="3">
        <f t="shared" si="12"/>
        <v>57189227.115910009</v>
      </c>
      <c r="M106" s="3">
        <f t="shared" si="13"/>
        <v>0</v>
      </c>
      <c r="N106" s="3">
        <f t="shared" si="14"/>
        <v>0</v>
      </c>
      <c r="O106" s="47">
        <f t="shared" si="8"/>
        <v>27154013.115910009</v>
      </c>
      <c r="P106" s="47">
        <f>'Monthly Data'!AJ106</f>
        <v>538.46153846153845</v>
      </c>
      <c r="Q106" s="47">
        <f t="shared" si="9"/>
        <v>27154551.577448469</v>
      </c>
    </row>
    <row r="107" spans="1:17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Data'!AI107</f>
        <v>30049218.41587352</v>
      </c>
      <c r="E107" s="3">
        <f>'Monthly Data'!DR107</f>
        <v>21</v>
      </c>
      <c r="F107" s="3">
        <f>'Monthly Data'!DL107</f>
        <v>869576</v>
      </c>
      <c r="G107" s="3">
        <f>'Monthly Data'!EE107</f>
        <v>0</v>
      </c>
      <c r="H107" s="3">
        <f>'Monthly Data'!EJ107</f>
        <v>0</v>
      </c>
      <c r="J107" s="3">
        <f t="shared" si="10"/>
        <v>-37000000</v>
      </c>
      <c r="K107" s="3">
        <f t="shared" si="11"/>
        <v>7313025.2999999998</v>
      </c>
      <c r="L107" s="3">
        <f t="shared" si="12"/>
        <v>57312806.322160006</v>
      </c>
      <c r="M107" s="3">
        <f t="shared" si="13"/>
        <v>0</v>
      </c>
      <c r="N107" s="3">
        <f t="shared" si="14"/>
        <v>0</v>
      </c>
      <c r="O107" s="47">
        <f t="shared" si="8"/>
        <v>27625831.622160006</v>
      </c>
      <c r="P107" s="47">
        <f>'Monthly Data'!AJ107</f>
        <v>578.84615384615381</v>
      </c>
      <c r="Q107" s="47">
        <f t="shared" si="9"/>
        <v>27626410.468313854</v>
      </c>
    </row>
    <row r="108" spans="1:17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Data'!AI108</f>
        <v>28437604.854200792</v>
      </c>
      <c r="E108" s="3">
        <f>'Monthly Data'!DR108</f>
        <v>22</v>
      </c>
      <c r="F108" s="3">
        <f>'Monthly Data'!DL108</f>
        <v>869576</v>
      </c>
      <c r="G108" s="3">
        <f>'Monthly Data'!EE108</f>
        <v>0</v>
      </c>
      <c r="H108" s="3">
        <f>'Monthly Data'!EJ108</f>
        <v>0</v>
      </c>
      <c r="J108" s="3">
        <f t="shared" si="10"/>
        <v>-37000000</v>
      </c>
      <c r="K108" s="3">
        <f t="shared" si="11"/>
        <v>7661264.5999999996</v>
      </c>
      <c r="L108" s="3">
        <f t="shared" si="12"/>
        <v>57312806.322160006</v>
      </c>
      <c r="M108" s="3">
        <f t="shared" si="13"/>
        <v>0</v>
      </c>
      <c r="N108" s="3">
        <f t="shared" si="14"/>
        <v>0</v>
      </c>
      <c r="O108" s="47">
        <f t="shared" si="8"/>
        <v>27974070.922160007</v>
      </c>
      <c r="P108" s="47">
        <f>'Monthly Data'!AJ108</f>
        <v>619.23076923076928</v>
      </c>
      <c r="Q108" s="47">
        <f t="shared" si="9"/>
        <v>27974690.152929239</v>
      </c>
    </row>
    <row r="109" spans="1:17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Data'!AI109</f>
        <v>27770736.198852059</v>
      </c>
      <c r="E109" s="3">
        <f>'Monthly Data'!DR109</f>
        <v>19</v>
      </c>
      <c r="F109" s="3">
        <f>'Monthly Data'!DL109</f>
        <v>869576</v>
      </c>
      <c r="G109" s="3">
        <f>'Monthly Data'!EE109</f>
        <v>0</v>
      </c>
      <c r="H109" s="3">
        <f>'Monthly Data'!EJ109</f>
        <v>0</v>
      </c>
      <c r="J109" s="3">
        <f t="shared" si="10"/>
        <v>-37000000</v>
      </c>
      <c r="K109" s="3">
        <f t="shared" si="11"/>
        <v>6616546.7000000002</v>
      </c>
      <c r="L109" s="3">
        <f t="shared" si="12"/>
        <v>57312806.322160006</v>
      </c>
      <c r="M109" s="3">
        <f t="shared" si="13"/>
        <v>0</v>
      </c>
      <c r="N109" s="3">
        <f t="shared" si="14"/>
        <v>0</v>
      </c>
      <c r="O109" s="47">
        <f t="shared" si="8"/>
        <v>26929353.022160005</v>
      </c>
      <c r="P109" s="47">
        <f>'Monthly Data'!AJ109</f>
        <v>659.61538461538464</v>
      </c>
      <c r="Q109" s="47">
        <f t="shared" si="9"/>
        <v>26930012.637544621</v>
      </c>
    </row>
    <row r="110" spans="1:17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Data'!AI110</f>
        <v>28703322.494997554</v>
      </c>
      <c r="E110" s="3">
        <f>'Monthly Data'!DR110</f>
        <v>22</v>
      </c>
      <c r="F110" s="3">
        <f>'Monthly Data'!DL110</f>
        <v>873665</v>
      </c>
      <c r="G110" s="3">
        <f>'Monthly Data'!EE110</f>
        <v>0</v>
      </c>
      <c r="H110" s="3">
        <f>'Monthly Data'!EJ110</f>
        <v>0</v>
      </c>
      <c r="J110" s="3">
        <f t="shared" si="10"/>
        <v>-37000000</v>
      </c>
      <c r="K110" s="3">
        <f t="shared" si="11"/>
        <v>7661264.5999999996</v>
      </c>
      <c r="L110" s="3">
        <f t="shared" si="12"/>
        <v>57582307.855150007</v>
      </c>
      <c r="M110" s="3">
        <f t="shared" si="13"/>
        <v>0</v>
      </c>
      <c r="N110" s="3">
        <f t="shared" si="14"/>
        <v>0</v>
      </c>
      <c r="O110" s="47">
        <f t="shared" ref="O110:O121" si="15">SUM(J110:N110)</f>
        <v>28243572.455150008</v>
      </c>
      <c r="P110" s="47">
        <f>'Monthly Data'!AJ110</f>
        <v>788.46153846153845</v>
      </c>
      <c r="Q110" s="47">
        <f t="shared" si="9"/>
        <v>28244360.916688468</v>
      </c>
    </row>
    <row r="111" spans="1:17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Data'!AI111</f>
        <v>28821021.381847482</v>
      </c>
      <c r="E111" s="3">
        <f>'Monthly Data'!DR111</f>
        <v>20</v>
      </c>
      <c r="F111" s="3">
        <f>'Monthly Data'!DL111</f>
        <v>873665</v>
      </c>
      <c r="G111" s="3">
        <f>'Monthly Data'!EE111</f>
        <v>0</v>
      </c>
      <c r="H111" s="3">
        <f>'Monthly Data'!EJ111</f>
        <v>0</v>
      </c>
      <c r="J111" s="3">
        <f t="shared" si="10"/>
        <v>-37000000</v>
      </c>
      <c r="K111" s="3">
        <f t="shared" si="11"/>
        <v>6964786</v>
      </c>
      <c r="L111" s="3">
        <f t="shared" si="12"/>
        <v>57582307.855150007</v>
      </c>
      <c r="M111" s="3">
        <f t="shared" si="13"/>
        <v>0</v>
      </c>
      <c r="N111" s="3">
        <f t="shared" si="14"/>
        <v>0</v>
      </c>
      <c r="O111" s="47">
        <f t="shared" si="15"/>
        <v>27547093.855150007</v>
      </c>
      <c r="P111" s="47">
        <f>'Monthly Data'!AJ111</f>
        <v>876.92307692307691</v>
      </c>
      <c r="Q111" s="47">
        <f t="shared" si="9"/>
        <v>27547970.778226931</v>
      </c>
    </row>
    <row r="112" spans="1:17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Data'!AI112</f>
        <v>29589166.552851412</v>
      </c>
      <c r="E112" s="3">
        <f>'Monthly Data'!DR112</f>
        <v>20</v>
      </c>
      <c r="F112" s="3">
        <f>'Monthly Data'!DL112</f>
        <v>873665</v>
      </c>
      <c r="G112" s="3">
        <f>'Monthly Data'!EE112</f>
        <v>1</v>
      </c>
      <c r="H112" s="3">
        <f>'Monthly Data'!EJ112</f>
        <v>0</v>
      </c>
      <c r="J112" s="3">
        <f t="shared" si="10"/>
        <v>-37000000</v>
      </c>
      <c r="K112" s="3">
        <f t="shared" si="11"/>
        <v>6964786</v>
      </c>
      <c r="L112" s="3">
        <f t="shared" si="12"/>
        <v>57582307.855150007</v>
      </c>
      <c r="M112" s="3">
        <f t="shared" si="13"/>
        <v>793454.7</v>
      </c>
      <c r="N112" s="3">
        <f t="shared" si="14"/>
        <v>0</v>
      </c>
      <c r="O112" s="47">
        <f t="shared" si="15"/>
        <v>28340548.555150006</v>
      </c>
      <c r="P112" s="47">
        <f>'Monthly Data'!AJ112</f>
        <v>965.38461538461536</v>
      </c>
      <c r="Q112" s="47">
        <f t="shared" si="9"/>
        <v>28341513.93976539</v>
      </c>
    </row>
    <row r="113" spans="1:17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Data'!AI113</f>
        <v>24547789.641781345</v>
      </c>
      <c r="E113" s="3">
        <f>'Monthly Data'!DR113</f>
        <v>22</v>
      </c>
      <c r="F113" s="3">
        <f>'Monthly Data'!DL113</f>
        <v>875840</v>
      </c>
      <c r="G113" s="3">
        <f>'Monthly Data'!EE113</f>
        <v>1</v>
      </c>
      <c r="H113" s="3">
        <f>'Monthly Data'!EJ113</f>
        <v>0</v>
      </c>
      <c r="J113" s="3">
        <f t="shared" si="10"/>
        <v>-37000000</v>
      </c>
      <c r="K113" s="3">
        <f t="shared" si="11"/>
        <v>7661264.5999999996</v>
      </c>
      <c r="L113" s="3">
        <f t="shared" si="12"/>
        <v>57725659.734400004</v>
      </c>
      <c r="M113" s="3">
        <f t="shared" si="13"/>
        <v>793454.7</v>
      </c>
      <c r="N113" s="3">
        <f t="shared" si="14"/>
        <v>0</v>
      </c>
      <c r="O113" s="47">
        <f t="shared" si="15"/>
        <v>29180379.034400005</v>
      </c>
      <c r="P113" s="47">
        <f>'Monthly Data'!AJ113</f>
        <v>1053.8461538461538</v>
      </c>
      <c r="Q113" s="47">
        <f t="shared" si="9"/>
        <v>29181432.880553853</v>
      </c>
    </row>
    <row r="114" spans="1:17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Data'!AI114</f>
        <v>29304032.249793276</v>
      </c>
      <c r="E114" s="3">
        <f>'Monthly Data'!DR114</f>
        <v>22</v>
      </c>
      <c r="F114" s="3">
        <f>'Monthly Data'!DL114</f>
        <v>875840</v>
      </c>
      <c r="G114" s="3">
        <f>'Monthly Data'!EE114</f>
        <v>1</v>
      </c>
      <c r="H114" s="3">
        <f>'Monthly Data'!EJ114</f>
        <v>0</v>
      </c>
      <c r="J114" s="3">
        <f t="shared" si="10"/>
        <v>-37000000</v>
      </c>
      <c r="K114" s="3">
        <f t="shared" si="11"/>
        <v>7661264.5999999996</v>
      </c>
      <c r="L114" s="3">
        <f t="shared" si="12"/>
        <v>57725659.734400004</v>
      </c>
      <c r="M114" s="3">
        <f t="shared" si="13"/>
        <v>793454.7</v>
      </c>
      <c r="N114" s="3">
        <f t="shared" si="14"/>
        <v>0</v>
      </c>
      <c r="O114" s="47">
        <f t="shared" si="15"/>
        <v>29180379.034400005</v>
      </c>
      <c r="P114" s="47">
        <f>'Monthly Data'!AJ114</f>
        <v>1142.3076923076924</v>
      </c>
      <c r="Q114" s="47">
        <f t="shared" si="9"/>
        <v>29181521.342092313</v>
      </c>
    </row>
    <row r="115" spans="1:17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Data'!AI115</f>
        <v>29180397.123913202</v>
      </c>
      <c r="E115" s="3">
        <f>'Monthly Data'!DR115</f>
        <v>20</v>
      </c>
      <c r="F115" s="3">
        <f>'Monthly Data'!DL115</f>
        <v>875840</v>
      </c>
      <c r="G115" s="3">
        <f>'Monthly Data'!EE115</f>
        <v>0</v>
      </c>
      <c r="H115" s="3">
        <f>'Monthly Data'!EJ115</f>
        <v>0</v>
      </c>
      <c r="J115" s="3">
        <f t="shared" si="10"/>
        <v>-37000000</v>
      </c>
      <c r="K115" s="3">
        <f t="shared" si="11"/>
        <v>6964786</v>
      </c>
      <c r="L115" s="3">
        <f t="shared" si="12"/>
        <v>57725659.734400004</v>
      </c>
      <c r="M115" s="3">
        <f t="shared" si="13"/>
        <v>0</v>
      </c>
      <c r="N115" s="3">
        <f t="shared" si="14"/>
        <v>0</v>
      </c>
      <c r="O115" s="47">
        <f t="shared" si="15"/>
        <v>27690445.734400004</v>
      </c>
      <c r="P115" s="47">
        <f>'Monthly Data'!AJ115</f>
        <v>1230.7692307692307</v>
      </c>
      <c r="Q115" s="47">
        <f t="shared" si="9"/>
        <v>27691676.503630772</v>
      </c>
    </row>
    <row r="116" spans="1:17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Data'!AI116</f>
        <v>30326898.628413133</v>
      </c>
      <c r="E116" s="3">
        <f>'Monthly Data'!DR116</f>
        <v>22</v>
      </c>
      <c r="F116" s="3">
        <f>'Monthly Data'!DL116</f>
        <v>876752</v>
      </c>
      <c r="G116" s="3">
        <f>'Monthly Data'!EE116</f>
        <v>0</v>
      </c>
      <c r="H116" s="3">
        <f>'Monthly Data'!EJ116</f>
        <v>0</v>
      </c>
      <c r="J116" s="3">
        <f t="shared" si="10"/>
        <v>-37000000</v>
      </c>
      <c r="K116" s="3">
        <f t="shared" si="11"/>
        <v>7661264.5999999996</v>
      </c>
      <c r="L116" s="3">
        <f t="shared" si="12"/>
        <v>57785768.660320006</v>
      </c>
      <c r="M116" s="3">
        <f t="shared" si="13"/>
        <v>0</v>
      </c>
      <c r="N116" s="3">
        <f t="shared" si="14"/>
        <v>0</v>
      </c>
      <c r="O116" s="47">
        <f t="shared" si="15"/>
        <v>28447033.260320008</v>
      </c>
      <c r="P116" s="47">
        <f>'Monthly Data'!AJ116</f>
        <v>1319.2307692307693</v>
      </c>
      <c r="Q116" s="47">
        <f t="shared" si="9"/>
        <v>28448352.49108924</v>
      </c>
    </row>
    <row r="117" spans="1:17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Data'!AI117</f>
        <v>29538167.184481066</v>
      </c>
      <c r="E117" s="3">
        <f>'Monthly Data'!DR117</f>
        <v>21</v>
      </c>
      <c r="F117" s="3">
        <f>'Monthly Data'!DL117</f>
        <v>876752</v>
      </c>
      <c r="G117" s="3">
        <f>'Monthly Data'!EE117</f>
        <v>0</v>
      </c>
      <c r="H117" s="3">
        <f>'Monthly Data'!EJ117</f>
        <v>0</v>
      </c>
      <c r="J117" s="3">
        <f t="shared" si="10"/>
        <v>-37000000</v>
      </c>
      <c r="K117" s="3">
        <f t="shared" si="11"/>
        <v>7313025.2999999998</v>
      </c>
      <c r="L117" s="3">
        <f t="shared" si="12"/>
        <v>57785768.660320006</v>
      </c>
      <c r="M117" s="3">
        <f t="shared" si="13"/>
        <v>0</v>
      </c>
      <c r="N117" s="3">
        <f t="shared" si="14"/>
        <v>0</v>
      </c>
      <c r="O117" s="47">
        <f t="shared" si="15"/>
        <v>28098793.960320007</v>
      </c>
      <c r="P117" s="47">
        <f>'Monthly Data'!AJ117</f>
        <v>1407.6923076923076</v>
      </c>
      <c r="Q117" s="47">
        <f t="shared" si="9"/>
        <v>28100201.652627699</v>
      </c>
    </row>
    <row r="118" spans="1:17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Data'!AI118</f>
        <v>29577241.498880997</v>
      </c>
      <c r="E118" s="3">
        <f>'Monthly Data'!DR118</f>
        <v>20</v>
      </c>
      <c r="F118" s="3">
        <f>'Monthly Data'!DL118</f>
        <v>876752</v>
      </c>
      <c r="G118" s="3">
        <f>'Monthly Data'!EE118</f>
        <v>0</v>
      </c>
      <c r="H118" s="3">
        <f>'Monthly Data'!EJ118</f>
        <v>0</v>
      </c>
      <c r="J118" s="3">
        <f t="shared" si="10"/>
        <v>-37000000</v>
      </c>
      <c r="K118" s="3">
        <f t="shared" si="11"/>
        <v>6964786</v>
      </c>
      <c r="L118" s="3">
        <f t="shared" si="12"/>
        <v>57785768.660320006</v>
      </c>
      <c r="M118" s="3">
        <f t="shared" si="13"/>
        <v>0</v>
      </c>
      <c r="N118" s="3">
        <f t="shared" si="14"/>
        <v>0</v>
      </c>
      <c r="O118" s="47">
        <f t="shared" si="15"/>
        <v>27750554.660320006</v>
      </c>
      <c r="P118" s="47">
        <f>'Monthly Data'!AJ118</f>
        <v>1496.1538461538462</v>
      </c>
      <c r="Q118" s="47">
        <f t="shared" si="9"/>
        <v>27752050.814166158</v>
      </c>
    </row>
    <row r="119" spans="1:17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Data'!AI119</f>
        <v>29333152.548002928</v>
      </c>
      <c r="E119" s="3">
        <f>'Monthly Data'!DR119</f>
        <v>22</v>
      </c>
      <c r="F119" s="3">
        <f>'Monthly Data'!DL119</f>
        <v>880222</v>
      </c>
      <c r="G119" s="3">
        <f>'Monthly Data'!EE119</f>
        <v>0</v>
      </c>
      <c r="H119" s="3">
        <f>'Monthly Data'!EJ119</f>
        <v>0</v>
      </c>
      <c r="J119" s="3">
        <f t="shared" si="10"/>
        <v>-37000000</v>
      </c>
      <c r="K119" s="3">
        <f t="shared" si="11"/>
        <v>7661264.5999999996</v>
      </c>
      <c r="L119" s="3">
        <f t="shared" si="12"/>
        <v>58014472.578020006</v>
      </c>
      <c r="M119" s="3">
        <f t="shared" si="13"/>
        <v>0</v>
      </c>
      <c r="N119" s="3">
        <f t="shared" si="14"/>
        <v>0</v>
      </c>
      <c r="O119" s="47">
        <f t="shared" si="15"/>
        <v>28675737.178020008</v>
      </c>
      <c r="P119" s="47">
        <f>'Monthly Data'!AJ119</f>
        <v>1584.6153846153848</v>
      </c>
      <c r="Q119" s="47">
        <f t="shared" ref="Q119:Q182" si="16">O119+P119</f>
        <v>28677321.793404624</v>
      </c>
    </row>
    <row r="120" spans="1:17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Data'!AI120</f>
        <v>29104458.706610855</v>
      </c>
      <c r="E120" s="3">
        <f>'Monthly Data'!DR120</f>
        <v>21</v>
      </c>
      <c r="F120" s="3">
        <f>'Monthly Data'!DL120</f>
        <v>880222</v>
      </c>
      <c r="G120" s="3">
        <f>'Monthly Data'!EE120</f>
        <v>0</v>
      </c>
      <c r="H120" s="3">
        <f>'Monthly Data'!EJ120</f>
        <v>0</v>
      </c>
      <c r="J120" s="3">
        <f t="shared" si="10"/>
        <v>-37000000</v>
      </c>
      <c r="K120" s="3">
        <f t="shared" si="11"/>
        <v>7313025.2999999998</v>
      </c>
      <c r="L120" s="3">
        <f t="shared" si="12"/>
        <v>58014472.578020006</v>
      </c>
      <c r="M120" s="3">
        <f t="shared" si="13"/>
        <v>0</v>
      </c>
      <c r="N120" s="3">
        <f t="shared" si="14"/>
        <v>0</v>
      </c>
      <c r="O120" s="47">
        <f t="shared" si="15"/>
        <v>28327497.878020007</v>
      </c>
      <c r="P120" s="47">
        <f>'Monthly Data'!AJ120</f>
        <v>1673.0769230769231</v>
      </c>
      <c r="Q120" s="47">
        <f t="shared" si="16"/>
        <v>28329170.954943083</v>
      </c>
    </row>
    <row r="121" spans="1:17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Data'!AI121</f>
        <v>28630335.082198784</v>
      </c>
      <c r="E121" s="3">
        <f>'Monthly Data'!DR121</f>
        <v>20</v>
      </c>
      <c r="F121" s="3">
        <f>'Monthly Data'!DL121</f>
        <v>880222</v>
      </c>
      <c r="G121" s="3">
        <f>'Monthly Data'!EE121</f>
        <v>0</v>
      </c>
      <c r="H121" s="3">
        <f>'Monthly Data'!EJ121</f>
        <v>0</v>
      </c>
      <c r="J121" s="3">
        <f t="shared" si="10"/>
        <v>-37000000</v>
      </c>
      <c r="K121" s="3">
        <f t="shared" si="11"/>
        <v>6964786</v>
      </c>
      <c r="L121" s="3">
        <f t="shared" si="12"/>
        <v>58014472.578020006</v>
      </c>
      <c r="M121" s="3">
        <f t="shared" si="13"/>
        <v>0</v>
      </c>
      <c r="N121" s="3">
        <f t="shared" si="14"/>
        <v>0</v>
      </c>
      <c r="O121" s="47">
        <f t="shared" si="15"/>
        <v>27979258.578020006</v>
      </c>
      <c r="P121" s="47">
        <f>'Monthly Data'!AJ121</f>
        <v>1761.5384615384614</v>
      </c>
      <c r="Q121" s="47">
        <f t="shared" si="16"/>
        <v>27981020.116481546</v>
      </c>
    </row>
    <row r="122" spans="1:17">
      <c r="A122" s="2">
        <f t="shared" ref="A122:A174" si="17">EOMONTH(A121,1)</f>
        <v>45688</v>
      </c>
      <c r="B122">
        <f t="shared" ref="B122:B174" si="18">YEAR(A122)</f>
        <v>2025</v>
      </c>
      <c r="C122">
        <f t="shared" ref="C122:C174" si="19">MONTH(A122)</f>
        <v>1</v>
      </c>
      <c r="E122" s="3">
        <v>22</v>
      </c>
      <c r="F122" s="391">
        <f>F121</f>
        <v>880222</v>
      </c>
      <c r="G122" s="3">
        <f t="shared" ref="G122:G174" si="20">G110</f>
        <v>0</v>
      </c>
      <c r="J122" s="3">
        <f t="shared" si="10"/>
        <v>-37000000</v>
      </c>
      <c r="K122" s="3">
        <f t="shared" si="11"/>
        <v>7661264.5999999996</v>
      </c>
      <c r="L122" s="3">
        <f t="shared" si="12"/>
        <v>58014472.578020006</v>
      </c>
      <c r="M122" s="3">
        <f t="shared" si="13"/>
        <v>0</v>
      </c>
      <c r="N122" s="3">
        <f t="shared" si="14"/>
        <v>0</v>
      </c>
      <c r="O122" s="47">
        <f t="shared" ref="O122:O173" si="21">SUM(J122:N122)</f>
        <v>28675737.178020008</v>
      </c>
      <c r="P122" s="47">
        <f>IFERROR(HLOOKUP(B122-1,'EV Forecast VRZ'!$F$124:$T$130,7,FALSE)/12,0)+IFERROR(((HLOOKUP(B122,'EV Forecast VRZ'!$F$116:$T$122,7,FALSE)-HLOOKUP(B122-1,'EV Forecast VRZ'!$F$124:$T$130,7,FALSE)))*C122/78,0)</f>
        <v>1898.7573741924384</v>
      </c>
      <c r="Q122" s="47">
        <f t="shared" si="16"/>
        <v>28677635.935394201</v>
      </c>
    </row>
    <row r="123" spans="1:17">
      <c r="A123" s="2">
        <f t="shared" si="17"/>
        <v>45716</v>
      </c>
      <c r="B123">
        <f t="shared" si="18"/>
        <v>2025</v>
      </c>
      <c r="C123">
        <f t="shared" si="19"/>
        <v>2</v>
      </c>
      <c r="E123" s="3">
        <v>19</v>
      </c>
      <c r="F123" s="391">
        <f t="shared" ref="F123:F157" si="22">F122</f>
        <v>880222</v>
      </c>
      <c r="G123" s="3">
        <f t="shared" si="20"/>
        <v>0</v>
      </c>
      <c r="J123" s="3">
        <f t="shared" si="10"/>
        <v>-37000000</v>
      </c>
      <c r="K123" s="3">
        <f t="shared" si="11"/>
        <v>6616546.7000000002</v>
      </c>
      <c r="L123" s="3">
        <f t="shared" si="12"/>
        <v>58014472.578020006</v>
      </c>
      <c r="M123" s="3">
        <f t="shared" si="13"/>
        <v>0</v>
      </c>
      <c r="N123" s="3">
        <f t="shared" si="14"/>
        <v>0</v>
      </c>
      <c r="O123" s="47">
        <f t="shared" si="21"/>
        <v>27631019.278020006</v>
      </c>
      <c r="P123" s="47">
        <f>IFERROR(HLOOKUP(B123-1,'EV Forecast VRZ'!$F$124:$T$130,7,FALSE)/12,0)+IFERROR(((HLOOKUP(B123,'EV Forecast VRZ'!$F$116:$T$122,7,FALSE)-HLOOKUP(B123-1,'EV Forecast VRZ'!$F$124:$T$130,7,FALSE)))*C123/78,0)</f>
        <v>1947.5147483848766</v>
      </c>
      <c r="Q123" s="47">
        <f t="shared" si="16"/>
        <v>27632966.792768389</v>
      </c>
    </row>
    <row r="124" spans="1:17">
      <c r="A124" s="2">
        <f t="shared" si="17"/>
        <v>45747</v>
      </c>
      <c r="B124">
        <f t="shared" si="18"/>
        <v>2025</v>
      </c>
      <c r="C124">
        <f t="shared" si="19"/>
        <v>3</v>
      </c>
      <c r="E124" s="3">
        <v>21</v>
      </c>
      <c r="F124" s="391">
        <f t="shared" si="22"/>
        <v>880222</v>
      </c>
      <c r="G124" s="3">
        <f t="shared" si="20"/>
        <v>1</v>
      </c>
      <c r="J124" s="3">
        <f t="shared" si="10"/>
        <v>-37000000</v>
      </c>
      <c r="K124" s="3">
        <f t="shared" si="11"/>
        <v>7313025.2999999998</v>
      </c>
      <c r="L124" s="3">
        <f t="shared" si="12"/>
        <v>58014472.578020006</v>
      </c>
      <c r="M124" s="3">
        <f t="shared" si="13"/>
        <v>793454.7</v>
      </c>
      <c r="N124" s="3">
        <f t="shared" si="14"/>
        <v>0</v>
      </c>
      <c r="O124" s="47">
        <f t="shared" si="21"/>
        <v>29120952.578020006</v>
      </c>
      <c r="P124" s="47">
        <f>IFERROR(HLOOKUP(B124-1,'EV Forecast VRZ'!$F$124:$T$130,7,FALSE)/12,0)+IFERROR(((HLOOKUP(B124,'EV Forecast VRZ'!$F$116:$T$122,7,FALSE)-HLOOKUP(B124-1,'EV Forecast VRZ'!$F$124:$T$130,7,FALSE)))*C124/78,0)</f>
        <v>1996.272122577315</v>
      </c>
      <c r="Q124" s="47">
        <f t="shared" si="16"/>
        <v>29122948.850142583</v>
      </c>
    </row>
    <row r="125" spans="1:17">
      <c r="A125" s="2">
        <f t="shared" si="17"/>
        <v>45777</v>
      </c>
      <c r="B125">
        <f t="shared" si="18"/>
        <v>2025</v>
      </c>
      <c r="C125">
        <f t="shared" si="19"/>
        <v>4</v>
      </c>
      <c r="E125" s="3">
        <v>21</v>
      </c>
      <c r="F125" s="391">
        <f t="shared" si="22"/>
        <v>880222</v>
      </c>
      <c r="G125" s="3">
        <f t="shared" si="20"/>
        <v>1</v>
      </c>
      <c r="J125" s="3">
        <f t="shared" si="10"/>
        <v>-37000000</v>
      </c>
      <c r="K125" s="3">
        <f t="shared" si="11"/>
        <v>7313025.2999999998</v>
      </c>
      <c r="L125" s="3">
        <f t="shared" si="12"/>
        <v>58014472.578020006</v>
      </c>
      <c r="M125" s="3">
        <f t="shared" si="13"/>
        <v>793454.7</v>
      </c>
      <c r="N125" s="3">
        <f t="shared" si="14"/>
        <v>0</v>
      </c>
      <c r="O125" s="47">
        <f t="shared" si="21"/>
        <v>29120952.578020006</v>
      </c>
      <c r="P125" s="47">
        <f>IFERROR(HLOOKUP(B125-1,'EV Forecast VRZ'!$F$124:$T$130,7,FALSE)/12,0)+IFERROR(((HLOOKUP(B125,'EV Forecast VRZ'!$F$116:$T$122,7,FALSE)-HLOOKUP(B125-1,'EV Forecast VRZ'!$F$124:$T$130,7,FALSE)))*C125/78,0)</f>
        <v>2045.0294967697532</v>
      </c>
      <c r="Q125" s="47">
        <f t="shared" si="16"/>
        <v>29122997.607516777</v>
      </c>
    </row>
    <row r="126" spans="1:17">
      <c r="A126" s="2">
        <f t="shared" si="17"/>
        <v>45808</v>
      </c>
      <c r="B126">
        <f t="shared" si="18"/>
        <v>2025</v>
      </c>
      <c r="C126">
        <f t="shared" si="19"/>
        <v>5</v>
      </c>
      <c r="E126" s="3">
        <v>21</v>
      </c>
      <c r="F126" s="391">
        <f t="shared" si="22"/>
        <v>880222</v>
      </c>
      <c r="G126" s="3">
        <f t="shared" si="20"/>
        <v>1</v>
      </c>
      <c r="J126" s="3">
        <f t="shared" si="10"/>
        <v>-37000000</v>
      </c>
      <c r="K126" s="3">
        <f t="shared" si="11"/>
        <v>7313025.2999999998</v>
      </c>
      <c r="L126" s="3">
        <f t="shared" si="12"/>
        <v>58014472.578020006</v>
      </c>
      <c r="M126" s="3">
        <f t="shared" si="13"/>
        <v>793454.7</v>
      </c>
      <c r="N126" s="3">
        <f t="shared" si="14"/>
        <v>0</v>
      </c>
      <c r="O126" s="47">
        <f t="shared" si="21"/>
        <v>29120952.578020006</v>
      </c>
      <c r="P126" s="47">
        <f>IFERROR(HLOOKUP(B126-1,'EV Forecast VRZ'!$F$124:$T$130,7,FALSE)/12,0)+IFERROR(((HLOOKUP(B126,'EV Forecast VRZ'!$F$116:$T$122,7,FALSE)-HLOOKUP(B126-1,'EV Forecast VRZ'!$F$124:$T$130,7,FALSE)))*C126/78,0)</f>
        <v>2093.7868709621916</v>
      </c>
      <c r="Q126" s="47">
        <f t="shared" si="16"/>
        <v>29123046.36489097</v>
      </c>
    </row>
    <row r="127" spans="1:17">
      <c r="A127" s="2">
        <f t="shared" si="17"/>
        <v>45838</v>
      </c>
      <c r="B127">
        <f t="shared" si="18"/>
        <v>2025</v>
      </c>
      <c r="C127">
        <f t="shared" si="19"/>
        <v>6</v>
      </c>
      <c r="E127" s="3">
        <v>21</v>
      </c>
      <c r="F127" s="391">
        <f t="shared" si="22"/>
        <v>880222</v>
      </c>
      <c r="G127" s="3">
        <f t="shared" si="20"/>
        <v>0</v>
      </c>
      <c r="J127" s="3">
        <f t="shared" si="10"/>
        <v>-37000000</v>
      </c>
      <c r="K127" s="3">
        <f t="shared" si="11"/>
        <v>7313025.2999999998</v>
      </c>
      <c r="L127" s="3">
        <f t="shared" si="12"/>
        <v>58014472.578020006</v>
      </c>
      <c r="M127" s="3">
        <f t="shared" si="13"/>
        <v>0</v>
      </c>
      <c r="N127" s="3">
        <f t="shared" si="14"/>
        <v>0</v>
      </c>
      <c r="O127" s="47">
        <f t="shared" si="21"/>
        <v>28327497.878020007</v>
      </c>
      <c r="P127" s="47">
        <f>IFERROR(HLOOKUP(B127-1,'EV Forecast VRZ'!$F$124:$T$130,7,FALSE)/12,0)+IFERROR(((HLOOKUP(B127,'EV Forecast VRZ'!$F$116:$T$122,7,FALSE)-HLOOKUP(B127-1,'EV Forecast VRZ'!$F$124:$T$130,7,FALSE)))*C127/78,0)</f>
        <v>2142.5442451546301</v>
      </c>
      <c r="Q127" s="47">
        <f t="shared" si="16"/>
        <v>28329640.422265161</v>
      </c>
    </row>
    <row r="128" spans="1:17">
      <c r="A128" s="2">
        <f t="shared" si="17"/>
        <v>45869</v>
      </c>
      <c r="B128">
        <f t="shared" si="18"/>
        <v>2025</v>
      </c>
      <c r="C128">
        <f t="shared" si="19"/>
        <v>7</v>
      </c>
      <c r="E128" s="3">
        <v>22</v>
      </c>
      <c r="F128" s="391">
        <f t="shared" si="22"/>
        <v>880222</v>
      </c>
      <c r="G128" s="3">
        <f t="shared" si="20"/>
        <v>0</v>
      </c>
      <c r="J128" s="3">
        <f t="shared" si="10"/>
        <v>-37000000</v>
      </c>
      <c r="K128" s="3">
        <f t="shared" si="11"/>
        <v>7661264.5999999996</v>
      </c>
      <c r="L128" s="3">
        <f t="shared" si="12"/>
        <v>58014472.578020006</v>
      </c>
      <c r="M128" s="3">
        <f t="shared" si="13"/>
        <v>0</v>
      </c>
      <c r="N128" s="3">
        <f t="shared" si="14"/>
        <v>0</v>
      </c>
      <c r="O128" s="47">
        <f t="shared" si="21"/>
        <v>28675737.178020008</v>
      </c>
      <c r="P128" s="47">
        <f>IFERROR(HLOOKUP(B128-1,'EV Forecast VRZ'!$F$124:$T$130,7,FALSE)/12,0)+IFERROR(((HLOOKUP(B128,'EV Forecast VRZ'!$F$116:$T$122,7,FALSE)-HLOOKUP(B128-1,'EV Forecast VRZ'!$F$124:$T$130,7,FALSE)))*C128/78,0)</f>
        <v>2191.301619347068</v>
      </c>
      <c r="Q128" s="47">
        <f t="shared" si="16"/>
        <v>28677928.479639355</v>
      </c>
    </row>
    <row r="129" spans="1:17">
      <c r="A129" s="2">
        <f t="shared" si="17"/>
        <v>45900</v>
      </c>
      <c r="B129">
        <f t="shared" si="18"/>
        <v>2025</v>
      </c>
      <c r="C129">
        <f t="shared" si="19"/>
        <v>8</v>
      </c>
      <c r="E129" s="3">
        <v>20</v>
      </c>
      <c r="F129" s="391">
        <f t="shared" si="22"/>
        <v>880222</v>
      </c>
      <c r="G129" s="3">
        <f t="shared" si="20"/>
        <v>0</v>
      </c>
      <c r="J129" s="3">
        <f t="shared" si="10"/>
        <v>-37000000</v>
      </c>
      <c r="K129" s="3">
        <f t="shared" si="11"/>
        <v>6964786</v>
      </c>
      <c r="L129" s="3">
        <f t="shared" si="12"/>
        <v>58014472.578020006</v>
      </c>
      <c r="M129" s="3">
        <f t="shared" si="13"/>
        <v>0</v>
      </c>
      <c r="N129" s="3">
        <f t="shared" si="14"/>
        <v>0</v>
      </c>
      <c r="O129" s="47">
        <f t="shared" si="21"/>
        <v>27979258.578020006</v>
      </c>
      <c r="P129" s="47">
        <f>IFERROR(HLOOKUP(B129-1,'EV Forecast VRZ'!$F$124:$T$130,7,FALSE)/12,0)+IFERROR(((HLOOKUP(B129,'EV Forecast VRZ'!$F$116:$T$122,7,FALSE)-HLOOKUP(B129-1,'EV Forecast VRZ'!$F$124:$T$130,7,FALSE)))*C129/78,0)</f>
        <v>2240.0589935395064</v>
      </c>
      <c r="Q129" s="47">
        <f t="shared" si="16"/>
        <v>27981498.637013547</v>
      </c>
    </row>
    <row r="130" spans="1:17">
      <c r="A130" s="2">
        <f t="shared" si="17"/>
        <v>45930</v>
      </c>
      <c r="B130">
        <f t="shared" si="18"/>
        <v>2025</v>
      </c>
      <c r="C130">
        <f t="shared" si="19"/>
        <v>9</v>
      </c>
      <c r="E130" s="3">
        <v>21</v>
      </c>
      <c r="F130" s="391">
        <f t="shared" si="22"/>
        <v>880222</v>
      </c>
      <c r="G130" s="3">
        <f t="shared" si="20"/>
        <v>0</v>
      </c>
      <c r="J130" s="3">
        <f t="shared" ref="J130:J193" si="23">$U$8</f>
        <v>-37000000</v>
      </c>
      <c r="K130" s="3">
        <f t="shared" ref="K130:K193" si="24">E130*$U$9</f>
        <v>7313025.2999999998</v>
      </c>
      <c r="L130" s="3">
        <f t="shared" ref="L130:L193" si="25">F130*$U$10</f>
        <v>58014472.578020006</v>
      </c>
      <c r="M130" s="3">
        <f t="shared" ref="M130:M193" si="26">G130*$U$11</f>
        <v>0</v>
      </c>
      <c r="N130" s="3">
        <f t="shared" ref="N130:N193" si="27">H130*$U$12</f>
        <v>0</v>
      </c>
      <c r="O130" s="47">
        <f t="shared" si="21"/>
        <v>28327497.878020007</v>
      </c>
      <c r="P130" s="47">
        <f>IFERROR(HLOOKUP(B130-1,'EV Forecast VRZ'!$F$124:$T$130,7,FALSE)/12,0)+IFERROR(((HLOOKUP(B130,'EV Forecast VRZ'!$F$116:$T$122,7,FALSE)-HLOOKUP(B130-1,'EV Forecast VRZ'!$F$124:$T$130,7,FALSE)))*C130/78,0)</f>
        <v>2288.8163677319449</v>
      </c>
      <c r="Q130" s="47">
        <f t="shared" si="16"/>
        <v>28329786.694387738</v>
      </c>
    </row>
    <row r="131" spans="1:17">
      <c r="A131" s="2">
        <f t="shared" si="17"/>
        <v>45961</v>
      </c>
      <c r="B131">
        <f t="shared" si="18"/>
        <v>2025</v>
      </c>
      <c r="C131">
        <f t="shared" si="19"/>
        <v>10</v>
      </c>
      <c r="E131" s="3">
        <v>22</v>
      </c>
      <c r="F131" s="391">
        <f t="shared" si="22"/>
        <v>880222</v>
      </c>
      <c r="G131" s="3">
        <f t="shared" si="20"/>
        <v>0</v>
      </c>
      <c r="J131" s="3">
        <f t="shared" si="23"/>
        <v>-37000000</v>
      </c>
      <c r="K131" s="3">
        <f t="shared" si="24"/>
        <v>7661264.5999999996</v>
      </c>
      <c r="L131" s="3">
        <f t="shared" si="25"/>
        <v>58014472.578020006</v>
      </c>
      <c r="M131" s="3">
        <f t="shared" si="26"/>
        <v>0</v>
      </c>
      <c r="N131" s="3">
        <f t="shared" si="27"/>
        <v>0</v>
      </c>
      <c r="O131" s="47">
        <f t="shared" si="21"/>
        <v>28675737.178020008</v>
      </c>
      <c r="P131" s="47">
        <f>IFERROR(HLOOKUP(B131-1,'EV Forecast VRZ'!$F$124:$T$130,7,FALSE)/12,0)+IFERROR(((HLOOKUP(B131,'EV Forecast VRZ'!$F$116:$T$122,7,FALSE)-HLOOKUP(B131-1,'EV Forecast VRZ'!$F$124:$T$130,7,FALSE)))*C131/78,0)</f>
        <v>2337.5737419243833</v>
      </c>
      <c r="Q131" s="47">
        <f t="shared" si="16"/>
        <v>28678074.751761932</v>
      </c>
    </row>
    <row r="132" spans="1:17">
      <c r="A132" s="2">
        <f t="shared" si="17"/>
        <v>45991</v>
      </c>
      <c r="B132">
        <f t="shared" si="18"/>
        <v>2025</v>
      </c>
      <c r="C132">
        <f t="shared" si="19"/>
        <v>11</v>
      </c>
      <c r="E132" s="3">
        <v>20</v>
      </c>
      <c r="F132" s="391">
        <f t="shared" si="22"/>
        <v>880222</v>
      </c>
      <c r="G132" s="3">
        <f t="shared" si="20"/>
        <v>0</v>
      </c>
      <c r="J132" s="3">
        <f t="shared" si="23"/>
        <v>-37000000</v>
      </c>
      <c r="K132" s="3">
        <f t="shared" si="24"/>
        <v>6964786</v>
      </c>
      <c r="L132" s="3">
        <f t="shared" si="25"/>
        <v>58014472.578020006</v>
      </c>
      <c r="M132" s="3">
        <f t="shared" si="26"/>
        <v>0</v>
      </c>
      <c r="N132" s="3">
        <f t="shared" si="27"/>
        <v>0</v>
      </c>
      <c r="O132" s="47">
        <f t="shared" si="21"/>
        <v>27979258.578020006</v>
      </c>
      <c r="P132" s="47">
        <f>IFERROR(HLOOKUP(B132-1,'EV Forecast VRZ'!$F$124:$T$130,7,FALSE)/12,0)+IFERROR(((HLOOKUP(B132,'EV Forecast VRZ'!$F$116:$T$122,7,FALSE)-HLOOKUP(B132-1,'EV Forecast VRZ'!$F$124:$T$130,7,FALSE)))*C132/78,0)</f>
        <v>2386.3311161168212</v>
      </c>
      <c r="Q132" s="47">
        <f t="shared" si="16"/>
        <v>27981644.909136124</v>
      </c>
    </row>
    <row r="133" spans="1:17">
      <c r="A133" s="2">
        <f t="shared" si="17"/>
        <v>46022</v>
      </c>
      <c r="B133">
        <f t="shared" si="18"/>
        <v>2025</v>
      </c>
      <c r="C133">
        <f t="shared" si="19"/>
        <v>12</v>
      </c>
      <c r="E133" s="3">
        <v>21</v>
      </c>
      <c r="F133" s="391">
        <f t="shared" si="22"/>
        <v>880222</v>
      </c>
      <c r="G133" s="3">
        <f t="shared" si="20"/>
        <v>0</v>
      </c>
      <c r="J133" s="3">
        <f t="shared" si="23"/>
        <v>-37000000</v>
      </c>
      <c r="K133" s="3">
        <f t="shared" si="24"/>
        <v>7313025.2999999998</v>
      </c>
      <c r="L133" s="3">
        <f t="shared" si="25"/>
        <v>58014472.578020006</v>
      </c>
      <c r="M133" s="3">
        <f t="shared" si="26"/>
        <v>0</v>
      </c>
      <c r="N133" s="3">
        <f t="shared" si="27"/>
        <v>0</v>
      </c>
      <c r="O133" s="47">
        <f t="shared" si="21"/>
        <v>28327497.878020007</v>
      </c>
      <c r="P133" s="47">
        <f>IFERROR(HLOOKUP(B133-1,'EV Forecast VRZ'!$F$124:$T$130,7,FALSE)/12,0)+IFERROR(((HLOOKUP(B133,'EV Forecast VRZ'!$F$116:$T$122,7,FALSE)-HLOOKUP(B133-1,'EV Forecast VRZ'!$F$124:$T$130,7,FALSE)))*C133/78,0)</f>
        <v>2435.0884903092597</v>
      </c>
      <c r="Q133" s="47">
        <f t="shared" si="16"/>
        <v>28329932.966510318</v>
      </c>
    </row>
    <row r="134" spans="1:17">
      <c r="A134" s="2">
        <f t="shared" si="17"/>
        <v>46053</v>
      </c>
      <c r="B134">
        <f t="shared" si="18"/>
        <v>2026</v>
      </c>
      <c r="C134">
        <f t="shared" si="19"/>
        <v>1</v>
      </c>
      <c r="E134" s="3">
        <v>21</v>
      </c>
      <c r="F134" s="391">
        <f t="shared" si="22"/>
        <v>880222</v>
      </c>
      <c r="G134" s="3">
        <f t="shared" si="20"/>
        <v>0</v>
      </c>
      <c r="J134" s="3">
        <f t="shared" si="23"/>
        <v>-37000000</v>
      </c>
      <c r="K134" s="3">
        <f t="shared" si="24"/>
        <v>7313025.2999999998</v>
      </c>
      <c r="L134" s="3">
        <f t="shared" si="25"/>
        <v>58014472.578020006</v>
      </c>
      <c r="M134" s="3">
        <f t="shared" si="26"/>
        <v>0</v>
      </c>
      <c r="N134" s="3">
        <f t="shared" si="27"/>
        <v>0</v>
      </c>
      <c r="O134" s="47">
        <f t="shared" si="21"/>
        <v>28327497.878020007</v>
      </c>
      <c r="P134" s="47">
        <f>IFERROR(HLOOKUP(B134-1,'EV Forecast VRZ'!$F$124:$T$130,7,FALSE)/12,0)+IFERROR(((HLOOKUP(B134,'EV Forecast VRZ'!$F$116:$T$122,7,FALSE)-HLOOKUP(B134-1,'EV Forecast VRZ'!$F$124:$T$130,7,FALSE)))*C134/78,0)</f>
        <v>2542.2154706766573</v>
      </c>
      <c r="Q134" s="47">
        <f t="shared" si="16"/>
        <v>28330040.093490683</v>
      </c>
    </row>
    <row r="135" spans="1:17">
      <c r="A135" s="2">
        <f t="shared" si="17"/>
        <v>46081</v>
      </c>
      <c r="B135">
        <f t="shared" si="18"/>
        <v>2026</v>
      </c>
      <c r="C135">
        <f t="shared" si="19"/>
        <v>2</v>
      </c>
      <c r="E135" s="3">
        <v>19</v>
      </c>
      <c r="F135" s="391">
        <f t="shared" si="22"/>
        <v>880222</v>
      </c>
      <c r="G135" s="3">
        <f t="shared" si="20"/>
        <v>0</v>
      </c>
      <c r="J135" s="3">
        <f t="shared" si="23"/>
        <v>-37000000</v>
      </c>
      <c r="K135" s="3">
        <f t="shared" si="24"/>
        <v>6616546.7000000002</v>
      </c>
      <c r="L135" s="3">
        <f t="shared" si="25"/>
        <v>58014472.578020006</v>
      </c>
      <c r="M135" s="3">
        <f t="shared" si="26"/>
        <v>0</v>
      </c>
      <c r="N135" s="3">
        <f t="shared" si="27"/>
        <v>0</v>
      </c>
      <c r="O135" s="47">
        <f t="shared" si="21"/>
        <v>27631019.278020006</v>
      </c>
      <c r="P135" s="47">
        <f>IFERROR(HLOOKUP(B135-1,'EV Forecast VRZ'!$F$124:$T$130,7,FALSE)/12,0)+IFERROR(((HLOOKUP(B135,'EV Forecast VRZ'!$F$116:$T$122,7,FALSE)-HLOOKUP(B135-1,'EV Forecast VRZ'!$F$124:$T$130,7,FALSE)))*C135/78,0)</f>
        <v>2600.5850768516166</v>
      </c>
      <c r="Q135" s="47">
        <f t="shared" si="16"/>
        <v>27633619.863096856</v>
      </c>
    </row>
    <row r="136" spans="1:17">
      <c r="A136" s="2">
        <f t="shared" si="17"/>
        <v>46112</v>
      </c>
      <c r="B136">
        <f t="shared" si="18"/>
        <v>2026</v>
      </c>
      <c r="C136">
        <f t="shared" si="19"/>
        <v>3</v>
      </c>
      <c r="E136" s="3">
        <v>22</v>
      </c>
      <c r="F136" s="391">
        <f t="shared" si="22"/>
        <v>880222</v>
      </c>
      <c r="G136" s="3">
        <f t="shared" si="20"/>
        <v>1</v>
      </c>
      <c r="J136" s="3">
        <f t="shared" si="23"/>
        <v>-37000000</v>
      </c>
      <c r="K136" s="3">
        <f t="shared" si="24"/>
        <v>7661264.5999999996</v>
      </c>
      <c r="L136" s="3">
        <f t="shared" si="25"/>
        <v>58014472.578020006</v>
      </c>
      <c r="M136" s="3">
        <f t="shared" si="26"/>
        <v>793454.7</v>
      </c>
      <c r="N136" s="3">
        <f t="shared" si="27"/>
        <v>0</v>
      </c>
      <c r="O136" s="47">
        <f t="shared" si="21"/>
        <v>29469191.878020007</v>
      </c>
      <c r="P136" s="47">
        <f>IFERROR(HLOOKUP(B136-1,'EV Forecast VRZ'!$F$124:$T$130,7,FALSE)/12,0)+IFERROR(((HLOOKUP(B136,'EV Forecast VRZ'!$F$116:$T$122,7,FALSE)-HLOOKUP(B136-1,'EV Forecast VRZ'!$F$124:$T$130,7,FALSE)))*C136/78,0)</f>
        <v>2658.9546830265754</v>
      </c>
      <c r="Q136" s="47">
        <f t="shared" si="16"/>
        <v>29471850.832703035</v>
      </c>
    </row>
    <row r="137" spans="1:17">
      <c r="A137" s="2">
        <f t="shared" si="17"/>
        <v>46142</v>
      </c>
      <c r="B137">
        <f t="shared" si="18"/>
        <v>2026</v>
      </c>
      <c r="C137">
        <f t="shared" si="19"/>
        <v>4</v>
      </c>
      <c r="E137" s="3">
        <v>22</v>
      </c>
      <c r="F137" s="391">
        <f t="shared" si="22"/>
        <v>880222</v>
      </c>
      <c r="G137" s="3">
        <f t="shared" si="20"/>
        <v>1</v>
      </c>
      <c r="J137" s="3">
        <f t="shared" si="23"/>
        <v>-37000000</v>
      </c>
      <c r="K137" s="3">
        <f t="shared" si="24"/>
        <v>7661264.5999999996</v>
      </c>
      <c r="L137" s="3">
        <f t="shared" si="25"/>
        <v>58014472.578020006</v>
      </c>
      <c r="M137" s="3">
        <f t="shared" si="26"/>
        <v>793454.7</v>
      </c>
      <c r="N137" s="3">
        <f t="shared" si="27"/>
        <v>0</v>
      </c>
      <c r="O137" s="47">
        <f t="shared" si="21"/>
        <v>29469191.878020007</v>
      </c>
      <c r="P137" s="47">
        <f>IFERROR(HLOOKUP(B137-1,'EV Forecast VRZ'!$F$124:$T$130,7,FALSE)/12,0)+IFERROR(((HLOOKUP(B137,'EV Forecast VRZ'!$F$116:$T$122,7,FALSE)-HLOOKUP(B137-1,'EV Forecast VRZ'!$F$124:$T$130,7,FALSE)))*C137/78,0)</f>
        <v>2717.3242892015342</v>
      </c>
      <c r="Q137" s="47">
        <f t="shared" si="16"/>
        <v>29471909.20230921</v>
      </c>
    </row>
    <row r="138" spans="1:17">
      <c r="A138" s="2">
        <f t="shared" si="17"/>
        <v>46173</v>
      </c>
      <c r="B138">
        <f t="shared" si="18"/>
        <v>2026</v>
      </c>
      <c r="C138">
        <f t="shared" si="19"/>
        <v>5</v>
      </c>
      <c r="E138" s="3">
        <v>20</v>
      </c>
      <c r="F138" s="391">
        <f t="shared" si="22"/>
        <v>880222</v>
      </c>
      <c r="G138" s="3">
        <f t="shared" si="20"/>
        <v>1</v>
      </c>
      <c r="J138" s="3">
        <f t="shared" si="23"/>
        <v>-37000000</v>
      </c>
      <c r="K138" s="3">
        <f t="shared" si="24"/>
        <v>6964786</v>
      </c>
      <c r="L138" s="3">
        <f t="shared" si="25"/>
        <v>58014472.578020006</v>
      </c>
      <c r="M138" s="3">
        <f t="shared" si="26"/>
        <v>793454.7</v>
      </c>
      <c r="N138" s="3">
        <f t="shared" si="27"/>
        <v>0</v>
      </c>
      <c r="O138" s="47">
        <f t="shared" si="21"/>
        <v>28772713.278020006</v>
      </c>
      <c r="P138" s="47">
        <f>IFERROR(HLOOKUP(B138-1,'EV Forecast VRZ'!$F$124:$T$130,7,FALSE)/12,0)+IFERROR(((HLOOKUP(B138,'EV Forecast VRZ'!$F$116:$T$122,7,FALSE)-HLOOKUP(B138-1,'EV Forecast VRZ'!$F$124:$T$130,7,FALSE)))*C138/78,0)</f>
        <v>2775.6938953764934</v>
      </c>
      <c r="Q138" s="47">
        <f t="shared" si="16"/>
        <v>28775488.971915383</v>
      </c>
    </row>
    <row r="139" spans="1:17">
      <c r="A139" s="2">
        <f t="shared" si="17"/>
        <v>46203</v>
      </c>
      <c r="B139">
        <f t="shared" si="18"/>
        <v>2026</v>
      </c>
      <c r="C139">
        <f t="shared" si="19"/>
        <v>6</v>
      </c>
      <c r="E139" s="3">
        <v>22</v>
      </c>
      <c r="F139" s="391">
        <f t="shared" si="22"/>
        <v>880222</v>
      </c>
      <c r="G139" s="3">
        <f t="shared" si="20"/>
        <v>0</v>
      </c>
      <c r="J139" s="3">
        <f t="shared" si="23"/>
        <v>-37000000</v>
      </c>
      <c r="K139" s="3">
        <f t="shared" si="24"/>
        <v>7661264.5999999996</v>
      </c>
      <c r="L139" s="3">
        <f t="shared" si="25"/>
        <v>58014472.578020006</v>
      </c>
      <c r="M139" s="3">
        <f t="shared" si="26"/>
        <v>0</v>
      </c>
      <c r="N139" s="3">
        <f t="shared" si="27"/>
        <v>0</v>
      </c>
      <c r="O139" s="47">
        <f t="shared" si="21"/>
        <v>28675737.178020008</v>
      </c>
      <c r="P139" s="47">
        <f>IFERROR(HLOOKUP(B139-1,'EV Forecast VRZ'!$F$124:$T$130,7,FALSE)/12,0)+IFERROR(((HLOOKUP(B139,'EV Forecast VRZ'!$F$116:$T$122,7,FALSE)-HLOOKUP(B139-1,'EV Forecast VRZ'!$F$124:$T$130,7,FALSE)))*C139/78,0)</f>
        <v>2834.0635015514522</v>
      </c>
      <c r="Q139" s="47">
        <f t="shared" si="16"/>
        <v>28678571.24152156</v>
      </c>
    </row>
    <row r="140" spans="1:17">
      <c r="A140" s="2">
        <f t="shared" si="17"/>
        <v>46234</v>
      </c>
      <c r="B140">
        <f t="shared" si="18"/>
        <v>2026</v>
      </c>
      <c r="C140">
        <f t="shared" si="19"/>
        <v>7</v>
      </c>
      <c r="E140" s="3">
        <v>22</v>
      </c>
      <c r="F140" s="391">
        <f t="shared" si="22"/>
        <v>880222</v>
      </c>
      <c r="G140" s="3">
        <f t="shared" si="20"/>
        <v>0</v>
      </c>
      <c r="J140" s="3">
        <f t="shared" si="23"/>
        <v>-37000000</v>
      </c>
      <c r="K140" s="3">
        <f t="shared" si="24"/>
        <v>7661264.5999999996</v>
      </c>
      <c r="L140" s="3">
        <f t="shared" si="25"/>
        <v>58014472.578020006</v>
      </c>
      <c r="M140" s="3">
        <f t="shared" si="26"/>
        <v>0</v>
      </c>
      <c r="N140" s="3">
        <f t="shared" si="27"/>
        <v>0</v>
      </c>
      <c r="O140" s="47">
        <f t="shared" si="21"/>
        <v>28675737.178020008</v>
      </c>
      <c r="P140" s="47">
        <f>IFERROR(HLOOKUP(B140-1,'EV Forecast VRZ'!$F$124:$T$130,7,FALSE)/12,0)+IFERROR(((HLOOKUP(B140,'EV Forecast VRZ'!$F$116:$T$122,7,FALSE)-HLOOKUP(B140-1,'EV Forecast VRZ'!$F$124:$T$130,7,FALSE)))*C140/78,0)</f>
        <v>2892.4331077264114</v>
      </c>
      <c r="Q140" s="47">
        <f t="shared" si="16"/>
        <v>28678629.611127734</v>
      </c>
    </row>
    <row r="141" spans="1:17">
      <c r="A141" s="2">
        <f t="shared" si="17"/>
        <v>46265</v>
      </c>
      <c r="B141">
        <f t="shared" si="18"/>
        <v>2026</v>
      </c>
      <c r="C141">
        <f t="shared" si="19"/>
        <v>8</v>
      </c>
      <c r="E141" s="3">
        <v>20</v>
      </c>
      <c r="F141" s="391">
        <f t="shared" si="22"/>
        <v>880222</v>
      </c>
      <c r="G141" s="3">
        <f t="shared" si="20"/>
        <v>0</v>
      </c>
      <c r="J141" s="3">
        <f t="shared" si="23"/>
        <v>-37000000</v>
      </c>
      <c r="K141" s="3">
        <f t="shared" si="24"/>
        <v>6964786</v>
      </c>
      <c r="L141" s="3">
        <f t="shared" si="25"/>
        <v>58014472.578020006</v>
      </c>
      <c r="M141" s="3">
        <f t="shared" si="26"/>
        <v>0</v>
      </c>
      <c r="N141" s="3">
        <f t="shared" si="27"/>
        <v>0</v>
      </c>
      <c r="O141" s="47">
        <f t="shared" si="21"/>
        <v>27979258.578020006</v>
      </c>
      <c r="P141" s="47">
        <f>IFERROR(HLOOKUP(B141-1,'EV Forecast VRZ'!$F$124:$T$130,7,FALSE)/12,0)+IFERROR(((HLOOKUP(B141,'EV Forecast VRZ'!$F$116:$T$122,7,FALSE)-HLOOKUP(B141-1,'EV Forecast VRZ'!$F$124:$T$130,7,FALSE)))*C141/78,0)</f>
        <v>2950.8027139013702</v>
      </c>
      <c r="Q141" s="47">
        <f t="shared" si="16"/>
        <v>27982209.380733907</v>
      </c>
    </row>
    <row r="142" spans="1:17">
      <c r="A142" s="2">
        <f t="shared" si="17"/>
        <v>46295</v>
      </c>
      <c r="B142">
        <f t="shared" si="18"/>
        <v>2026</v>
      </c>
      <c r="C142">
        <f t="shared" si="19"/>
        <v>9</v>
      </c>
      <c r="E142" s="3">
        <v>21</v>
      </c>
      <c r="F142" s="391">
        <f t="shared" si="22"/>
        <v>880222</v>
      </c>
      <c r="G142" s="3">
        <f t="shared" si="20"/>
        <v>0</v>
      </c>
      <c r="J142" s="3">
        <f t="shared" si="23"/>
        <v>-37000000</v>
      </c>
      <c r="K142" s="3">
        <f t="shared" si="24"/>
        <v>7313025.2999999998</v>
      </c>
      <c r="L142" s="3">
        <f t="shared" si="25"/>
        <v>58014472.578020006</v>
      </c>
      <c r="M142" s="3">
        <f t="shared" si="26"/>
        <v>0</v>
      </c>
      <c r="N142" s="3">
        <f t="shared" si="27"/>
        <v>0</v>
      </c>
      <c r="O142" s="47">
        <f t="shared" si="21"/>
        <v>28327497.878020007</v>
      </c>
      <c r="P142" s="47">
        <f>IFERROR(HLOOKUP(B142-1,'EV Forecast VRZ'!$F$124:$T$130,7,FALSE)/12,0)+IFERROR(((HLOOKUP(B142,'EV Forecast VRZ'!$F$116:$T$122,7,FALSE)-HLOOKUP(B142-1,'EV Forecast VRZ'!$F$124:$T$130,7,FALSE)))*C142/78,0)</f>
        <v>3009.172320076329</v>
      </c>
      <c r="Q142" s="47">
        <f t="shared" si="16"/>
        <v>28330507.050340082</v>
      </c>
    </row>
    <row r="143" spans="1:17">
      <c r="A143" s="2">
        <f t="shared" si="17"/>
        <v>46326</v>
      </c>
      <c r="B143">
        <f t="shared" si="18"/>
        <v>2026</v>
      </c>
      <c r="C143">
        <f t="shared" si="19"/>
        <v>10</v>
      </c>
      <c r="E143" s="3">
        <v>21</v>
      </c>
      <c r="F143" s="391">
        <f t="shared" si="22"/>
        <v>880222</v>
      </c>
      <c r="G143" s="3">
        <f t="shared" si="20"/>
        <v>0</v>
      </c>
      <c r="J143" s="3">
        <f t="shared" si="23"/>
        <v>-37000000</v>
      </c>
      <c r="K143" s="3">
        <f t="shared" si="24"/>
        <v>7313025.2999999998</v>
      </c>
      <c r="L143" s="3">
        <f t="shared" si="25"/>
        <v>58014472.578020006</v>
      </c>
      <c r="M143" s="3">
        <f t="shared" si="26"/>
        <v>0</v>
      </c>
      <c r="N143" s="3">
        <f t="shared" si="27"/>
        <v>0</v>
      </c>
      <c r="O143" s="47">
        <f t="shared" si="21"/>
        <v>28327497.878020007</v>
      </c>
      <c r="P143" s="47">
        <f>IFERROR(HLOOKUP(B143-1,'EV Forecast VRZ'!$F$124:$T$130,7,FALSE)/12,0)+IFERROR(((HLOOKUP(B143,'EV Forecast VRZ'!$F$116:$T$122,7,FALSE)-HLOOKUP(B143-1,'EV Forecast VRZ'!$F$124:$T$130,7,FALSE)))*C143/78,0)</f>
        <v>3067.5419262512878</v>
      </c>
      <c r="Q143" s="47">
        <f t="shared" si="16"/>
        <v>28330565.419946257</v>
      </c>
    </row>
    <row r="144" spans="1:17">
      <c r="A144" s="2">
        <f t="shared" si="17"/>
        <v>46356</v>
      </c>
      <c r="B144">
        <f t="shared" si="18"/>
        <v>2026</v>
      </c>
      <c r="C144">
        <f t="shared" si="19"/>
        <v>11</v>
      </c>
      <c r="E144" s="3">
        <v>21</v>
      </c>
      <c r="F144" s="391">
        <f t="shared" si="22"/>
        <v>880222</v>
      </c>
      <c r="G144" s="3">
        <f t="shared" si="20"/>
        <v>0</v>
      </c>
      <c r="J144" s="3">
        <f t="shared" si="23"/>
        <v>-37000000</v>
      </c>
      <c r="K144" s="3">
        <f t="shared" si="24"/>
        <v>7313025.2999999998</v>
      </c>
      <c r="L144" s="3">
        <f t="shared" si="25"/>
        <v>58014472.578020006</v>
      </c>
      <c r="M144" s="3">
        <f t="shared" si="26"/>
        <v>0</v>
      </c>
      <c r="N144" s="3">
        <f t="shared" si="27"/>
        <v>0</v>
      </c>
      <c r="O144" s="47">
        <f t="shared" si="21"/>
        <v>28327497.878020007</v>
      </c>
      <c r="P144" s="47">
        <f>IFERROR(HLOOKUP(B144-1,'EV Forecast VRZ'!$F$124:$T$130,7,FALSE)/12,0)+IFERROR(((HLOOKUP(B144,'EV Forecast VRZ'!$F$116:$T$122,7,FALSE)-HLOOKUP(B144-1,'EV Forecast VRZ'!$F$124:$T$130,7,FALSE)))*C144/78,0)</f>
        <v>3125.911532426247</v>
      </c>
      <c r="Q144" s="47">
        <f t="shared" si="16"/>
        <v>28330623.789552432</v>
      </c>
    </row>
    <row r="145" spans="1:17">
      <c r="A145" s="2">
        <f t="shared" si="17"/>
        <v>46387</v>
      </c>
      <c r="B145">
        <f t="shared" si="18"/>
        <v>2026</v>
      </c>
      <c r="C145">
        <f t="shared" si="19"/>
        <v>12</v>
      </c>
      <c r="E145" s="3">
        <v>21</v>
      </c>
      <c r="F145" s="391">
        <f t="shared" si="22"/>
        <v>880222</v>
      </c>
      <c r="G145" s="3">
        <f t="shared" si="20"/>
        <v>0</v>
      </c>
      <c r="J145" s="3">
        <f t="shared" si="23"/>
        <v>-37000000</v>
      </c>
      <c r="K145" s="3">
        <f t="shared" si="24"/>
        <v>7313025.2999999998</v>
      </c>
      <c r="L145" s="3">
        <f t="shared" si="25"/>
        <v>58014472.578020006</v>
      </c>
      <c r="M145" s="3">
        <f t="shared" si="26"/>
        <v>0</v>
      </c>
      <c r="N145" s="3">
        <f t="shared" si="27"/>
        <v>0</v>
      </c>
      <c r="O145" s="47">
        <f t="shared" si="21"/>
        <v>28327497.878020007</v>
      </c>
      <c r="P145" s="47">
        <f>IFERROR(HLOOKUP(B145-1,'EV Forecast VRZ'!$F$124:$T$130,7,FALSE)/12,0)+IFERROR(((HLOOKUP(B145,'EV Forecast VRZ'!$F$116:$T$122,7,FALSE)-HLOOKUP(B145-1,'EV Forecast VRZ'!$F$124:$T$130,7,FALSE)))*C145/78,0)</f>
        <v>3184.2811386012058</v>
      </c>
      <c r="Q145" s="47">
        <f t="shared" si="16"/>
        <v>28330682.15915861</v>
      </c>
    </row>
    <row r="146" spans="1:17">
      <c r="A146" s="2">
        <f t="shared" si="17"/>
        <v>46418</v>
      </c>
      <c r="B146">
        <f t="shared" si="18"/>
        <v>2027</v>
      </c>
      <c r="C146">
        <f t="shared" si="19"/>
        <v>1</v>
      </c>
      <c r="E146" s="3">
        <v>20</v>
      </c>
      <c r="F146" s="391">
        <f t="shared" si="22"/>
        <v>880222</v>
      </c>
      <c r="G146" s="3">
        <f t="shared" si="20"/>
        <v>0</v>
      </c>
      <c r="J146" s="3">
        <f t="shared" si="23"/>
        <v>-37000000</v>
      </c>
      <c r="K146" s="3">
        <f t="shared" si="24"/>
        <v>6964786</v>
      </c>
      <c r="L146" s="3">
        <f t="shared" si="25"/>
        <v>58014472.578020006</v>
      </c>
      <c r="M146" s="3">
        <f t="shared" si="26"/>
        <v>0</v>
      </c>
      <c r="N146" s="3">
        <f t="shared" si="27"/>
        <v>0</v>
      </c>
      <c r="O146" s="47">
        <f t="shared" si="21"/>
        <v>27979258.578020006</v>
      </c>
      <c r="P146" s="47">
        <f>IFERROR(HLOOKUP(B146-1,'EV Forecast VRZ'!$F$124:$T$130,7,FALSE)/12,0)+IFERROR(((HLOOKUP(B146,'EV Forecast VRZ'!$F$116:$T$122,7,FALSE)-HLOOKUP(B146-1,'EV Forecast VRZ'!$F$124:$T$130,7,FALSE)))*C146/78,0)</f>
        <v>3310.9975692632684</v>
      </c>
      <c r="Q146" s="47">
        <f t="shared" si="16"/>
        <v>27982569.575589269</v>
      </c>
    </row>
    <row r="147" spans="1:17">
      <c r="A147" s="2">
        <f t="shared" si="17"/>
        <v>46446</v>
      </c>
      <c r="B147">
        <f t="shared" si="18"/>
        <v>2027</v>
      </c>
      <c r="C147">
        <f t="shared" si="19"/>
        <v>2</v>
      </c>
      <c r="E147" s="3">
        <v>19</v>
      </c>
      <c r="F147" s="391">
        <f t="shared" si="22"/>
        <v>880222</v>
      </c>
      <c r="G147" s="3">
        <f t="shared" si="20"/>
        <v>0</v>
      </c>
      <c r="J147" s="3">
        <f t="shared" si="23"/>
        <v>-37000000</v>
      </c>
      <c r="K147" s="3">
        <f t="shared" si="24"/>
        <v>6616546.7000000002</v>
      </c>
      <c r="L147" s="3">
        <f t="shared" si="25"/>
        <v>58014472.578020006</v>
      </c>
      <c r="M147" s="3">
        <f t="shared" si="26"/>
        <v>0</v>
      </c>
      <c r="N147" s="3">
        <f t="shared" si="27"/>
        <v>0</v>
      </c>
      <c r="O147" s="47">
        <f t="shared" si="21"/>
        <v>27631019.278020006</v>
      </c>
      <c r="P147" s="47">
        <f>IFERROR(HLOOKUP(B147-1,'EV Forecast VRZ'!$F$124:$T$130,7,FALSE)/12,0)+IFERROR(((HLOOKUP(B147,'EV Forecast VRZ'!$F$116:$T$122,7,FALSE)-HLOOKUP(B147-1,'EV Forecast VRZ'!$F$124:$T$130,7,FALSE)))*C147/78,0)</f>
        <v>3379.3443937503721</v>
      </c>
      <c r="Q147" s="47">
        <f t="shared" si="16"/>
        <v>27634398.622413754</v>
      </c>
    </row>
    <row r="148" spans="1:17">
      <c r="A148" s="2">
        <f t="shared" si="17"/>
        <v>46477</v>
      </c>
      <c r="B148">
        <f t="shared" si="18"/>
        <v>2027</v>
      </c>
      <c r="C148">
        <f t="shared" si="19"/>
        <v>3</v>
      </c>
      <c r="E148" s="3">
        <v>22</v>
      </c>
      <c r="F148" s="391">
        <f t="shared" si="22"/>
        <v>880222</v>
      </c>
      <c r="G148" s="3">
        <f t="shared" si="20"/>
        <v>1</v>
      </c>
      <c r="J148" s="3">
        <f t="shared" si="23"/>
        <v>-37000000</v>
      </c>
      <c r="K148" s="3">
        <f t="shared" si="24"/>
        <v>7661264.5999999996</v>
      </c>
      <c r="L148" s="3">
        <f t="shared" si="25"/>
        <v>58014472.578020006</v>
      </c>
      <c r="M148" s="3">
        <f t="shared" si="26"/>
        <v>793454.7</v>
      </c>
      <c r="N148" s="3">
        <f t="shared" si="27"/>
        <v>0</v>
      </c>
      <c r="O148" s="47">
        <f t="shared" si="21"/>
        <v>29469191.878020007</v>
      </c>
      <c r="P148" s="47">
        <f>IFERROR(HLOOKUP(B148-1,'EV Forecast VRZ'!$F$124:$T$130,7,FALSE)/12,0)+IFERROR(((HLOOKUP(B148,'EV Forecast VRZ'!$F$116:$T$122,7,FALSE)-HLOOKUP(B148-1,'EV Forecast VRZ'!$F$124:$T$130,7,FALSE)))*C148/78,0)</f>
        <v>3447.6912182374754</v>
      </c>
      <c r="Q148" s="47">
        <f t="shared" si="16"/>
        <v>29472639.569238245</v>
      </c>
    </row>
    <row r="149" spans="1:17">
      <c r="A149" s="2">
        <f t="shared" si="17"/>
        <v>46507</v>
      </c>
      <c r="B149">
        <f t="shared" si="18"/>
        <v>2027</v>
      </c>
      <c r="C149">
        <f t="shared" si="19"/>
        <v>4</v>
      </c>
      <c r="E149" s="3">
        <v>22</v>
      </c>
      <c r="F149" s="391">
        <f t="shared" si="22"/>
        <v>880222</v>
      </c>
      <c r="G149" s="3">
        <f t="shared" si="20"/>
        <v>1</v>
      </c>
      <c r="J149" s="3">
        <f t="shared" si="23"/>
        <v>-37000000</v>
      </c>
      <c r="K149" s="3">
        <f t="shared" si="24"/>
        <v>7661264.5999999996</v>
      </c>
      <c r="L149" s="3">
        <f t="shared" si="25"/>
        <v>58014472.578020006</v>
      </c>
      <c r="M149" s="3">
        <f t="shared" si="26"/>
        <v>793454.7</v>
      </c>
      <c r="N149" s="3">
        <f t="shared" si="27"/>
        <v>0</v>
      </c>
      <c r="O149" s="47">
        <f t="shared" si="21"/>
        <v>29469191.878020007</v>
      </c>
      <c r="P149" s="47">
        <f>IFERROR(HLOOKUP(B149-1,'EV Forecast VRZ'!$F$124:$T$130,7,FALSE)/12,0)+IFERROR(((HLOOKUP(B149,'EV Forecast VRZ'!$F$116:$T$122,7,FALSE)-HLOOKUP(B149-1,'EV Forecast VRZ'!$F$124:$T$130,7,FALSE)))*C149/78,0)</f>
        <v>3516.0380427245791</v>
      </c>
      <c r="Q149" s="47">
        <f t="shared" si="16"/>
        <v>29472707.916062731</v>
      </c>
    </row>
    <row r="150" spans="1:17">
      <c r="A150" s="2">
        <f t="shared" si="17"/>
        <v>46538</v>
      </c>
      <c r="B150">
        <f t="shared" si="18"/>
        <v>2027</v>
      </c>
      <c r="C150">
        <f t="shared" si="19"/>
        <v>5</v>
      </c>
      <c r="E150" s="3">
        <v>20</v>
      </c>
      <c r="F150" s="391">
        <f t="shared" si="22"/>
        <v>880222</v>
      </c>
      <c r="G150" s="3">
        <f t="shared" si="20"/>
        <v>1</v>
      </c>
      <c r="J150" s="3">
        <f t="shared" si="23"/>
        <v>-37000000</v>
      </c>
      <c r="K150" s="3">
        <f t="shared" si="24"/>
        <v>6964786</v>
      </c>
      <c r="L150" s="3">
        <f t="shared" si="25"/>
        <v>58014472.578020006</v>
      </c>
      <c r="M150" s="3">
        <f t="shared" si="26"/>
        <v>793454.7</v>
      </c>
      <c r="N150" s="3">
        <f t="shared" si="27"/>
        <v>0</v>
      </c>
      <c r="O150" s="47">
        <f t="shared" si="21"/>
        <v>28772713.278020006</v>
      </c>
      <c r="P150" s="47">
        <f>IFERROR(HLOOKUP(B150-1,'EV Forecast VRZ'!$F$124:$T$130,7,FALSE)/12,0)+IFERROR(((HLOOKUP(B150,'EV Forecast VRZ'!$F$116:$T$122,7,FALSE)-HLOOKUP(B150-1,'EV Forecast VRZ'!$F$124:$T$130,7,FALSE)))*C150/78,0)</f>
        <v>3584.3848672116824</v>
      </c>
      <c r="Q150" s="47">
        <f t="shared" si="16"/>
        <v>28776297.662887216</v>
      </c>
    </row>
    <row r="151" spans="1:17">
      <c r="A151" s="2">
        <f t="shared" si="17"/>
        <v>46568</v>
      </c>
      <c r="B151">
        <f t="shared" si="18"/>
        <v>2027</v>
      </c>
      <c r="C151">
        <f t="shared" si="19"/>
        <v>6</v>
      </c>
      <c r="E151" s="3">
        <v>22</v>
      </c>
      <c r="F151" s="391">
        <f t="shared" si="22"/>
        <v>880222</v>
      </c>
      <c r="G151" s="3">
        <f t="shared" si="20"/>
        <v>0</v>
      </c>
      <c r="J151" s="3">
        <f t="shared" si="23"/>
        <v>-37000000</v>
      </c>
      <c r="K151" s="3">
        <f t="shared" si="24"/>
        <v>7661264.5999999996</v>
      </c>
      <c r="L151" s="3">
        <f t="shared" si="25"/>
        <v>58014472.578020006</v>
      </c>
      <c r="M151" s="3">
        <f t="shared" si="26"/>
        <v>0</v>
      </c>
      <c r="N151" s="3">
        <f t="shared" si="27"/>
        <v>0</v>
      </c>
      <c r="O151" s="47">
        <f t="shared" si="21"/>
        <v>28675737.178020008</v>
      </c>
      <c r="P151" s="47">
        <f>IFERROR(HLOOKUP(B151-1,'EV Forecast VRZ'!$F$124:$T$130,7,FALSE)/12,0)+IFERROR(((HLOOKUP(B151,'EV Forecast VRZ'!$F$116:$T$122,7,FALSE)-HLOOKUP(B151-1,'EV Forecast VRZ'!$F$124:$T$130,7,FALSE)))*C151/78,0)</f>
        <v>3652.7316916987857</v>
      </c>
      <c r="Q151" s="47">
        <f t="shared" si="16"/>
        <v>28679389.909711707</v>
      </c>
    </row>
    <row r="152" spans="1:17">
      <c r="A152" s="2">
        <f t="shared" si="17"/>
        <v>46599</v>
      </c>
      <c r="B152">
        <f t="shared" si="18"/>
        <v>2027</v>
      </c>
      <c r="C152">
        <f t="shared" si="19"/>
        <v>7</v>
      </c>
      <c r="E152" s="3">
        <v>21</v>
      </c>
      <c r="F152" s="391">
        <f t="shared" si="22"/>
        <v>880222</v>
      </c>
      <c r="G152" s="3">
        <f t="shared" si="20"/>
        <v>0</v>
      </c>
      <c r="J152" s="3">
        <f t="shared" si="23"/>
        <v>-37000000</v>
      </c>
      <c r="K152" s="3">
        <f t="shared" si="24"/>
        <v>7313025.2999999998</v>
      </c>
      <c r="L152" s="3">
        <f t="shared" si="25"/>
        <v>58014472.578020006</v>
      </c>
      <c r="M152" s="3">
        <f t="shared" si="26"/>
        <v>0</v>
      </c>
      <c r="N152" s="3">
        <f t="shared" si="27"/>
        <v>0</v>
      </c>
      <c r="O152" s="47">
        <f t="shared" si="21"/>
        <v>28327497.878020007</v>
      </c>
      <c r="P152" s="47">
        <f>IFERROR(HLOOKUP(B152-1,'EV Forecast VRZ'!$F$124:$T$130,7,FALSE)/12,0)+IFERROR(((HLOOKUP(B152,'EV Forecast VRZ'!$F$116:$T$122,7,FALSE)-HLOOKUP(B152-1,'EV Forecast VRZ'!$F$124:$T$130,7,FALSE)))*C152/78,0)</f>
        <v>3721.0785161858894</v>
      </c>
      <c r="Q152" s="47">
        <f t="shared" si="16"/>
        <v>28331218.956536192</v>
      </c>
    </row>
    <row r="153" spans="1:17">
      <c r="A153" s="2">
        <f t="shared" si="17"/>
        <v>46630</v>
      </c>
      <c r="B153">
        <f t="shared" si="18"/>
        <v>2027</v>
      </c>
      <c r="C153">
        <f t="shared" si="19"/>
        <v>8</v>
      </c>
      <c r="E153" s="3">
        <v>21</v>
      </c>
      <c r="F153" s="391">
        <f t="shared" si="22"/>
        <v>880222</v>
      </c>
      <c r="G153" s="3">
        <f t="shared" si="20"/>
        <v>0</v>
      </c>
      <c r="J153" s="3">
        <f t="shared" si="23"/>
        <v>-37000000</v>
      </c>
      <c r="K153" s="3">
        <f t="shared" si="24"/>
        <v>7313025.2999999998</v>
      </c>
      <c r="L153" s="3">
        <f t="shared" si="25"/>
        <v>58014472.578020006</v>
      </c>
      <c r="M153" s="3">
        <f t="shared" si="26"/>
        <v>0</v>
      </c>
      <c r="N153" s="3">
        <f t="shared" si="27"/>
        <v>0</v>
      </c>
      <c r="O153" s="47">
        <f t="shared" si="21"/>
        <v>28327497.878020007</v>
      </c>
      <c r="P153" s="47">
        <f>IFERROR(HLOOKUP(B153-1,'EV Forecast VRZ'!$F$124:$T$130,7,FALSE)/12,0)+IFERROR(((HLOOKUP(B153,'EV Forecast VRZ'!$F$116:$T$122,7,FALSE)-HLOOKUP(B153-1,'EV Forecast VRZ'!$F$124:$T$130,7,FALSE)))*C153/78,0)</f>
        <v>3789.4253406729927</v>
      </c>
      <c r="Q153" s="47">
        <f t="shared" si="16"/>
        <v>28331287.303360682</v>
      </c>
    </row>
    <row r="154" spans="1:17">
      <c r="A154" s="2">
        <f t="shared" si="17"/>
        <v>46660</v>
      </c>
      <c r="B154">
        <f t="shared" si="18"/>
        <v>2027</v>
      </c>
      <c r="C154">
        <f t="shared" si="19"/>
        <v>9</v>
      </c>
      <c r="E154" s="3">
        <v>21</v>
      </c>
      <c r="F154" s="391">
        <f t="shared" si="22"/>
        <v>880222</v>
      </c>
      <c r="G154" s="3">
        <f t="shared" si="20"/>
        <v>0</v>
      </c>
      <c r="J154" s="3">
        <f t="shared" si="23"/>
        <v>-37000000</v>
      </c>
      <c r="K154" s="3">
        <f t="shared" si="24"/>
        <v>7313025.2999999998</v>
      </c>
      <c r="L154" s="3">
        <f t="shared" si="25"/>
        <v>58014472.578020006</v>
      </c>
      <c r="M154" s="3">
        <f t="shared" si="26"/>
        <v>0</v>
      </c>
      <c r="N154" s="3">
        <f t="shared" si="27"/>
        <v>0</v>
      </c>
      <c r="O154" s="47">
        <f t="shared" si="21"/>
        <v>28327497.878020007</v>
      </c>
      <c r="P154" s="47">
        <f>IFERROR(HLOOKUP(B154-1,'EV Forecast VRZ'!$F$124:$T$130,7,FALSE)/12,0)+IFERROR(((HLOOKUP(B154,'EV Forecast VRZ'!$F$116:$T$122,7,FALSE)-HLOOKUP(B154-1,'EV Forecast VRZ'!$F$124:$T$130,7,FALSE)))*C154/78,0)</f>
        <v>3857.7721651600959</v>
      </c>
      <c r="Q154" s="47">
        <f t="shared" si="16"/>
        <v>28331355.650185168</v>
      </c>
    </row>
    <row r="155" spans="1:17">
      <c r="A155" s="2">
        <f t="shared" si="17"/>
        <v>46691</v>
      </c>
      <c r="B155">
        <f t="shared" si="18"/>
        <v>2027</v>
      </c>
      <c r="C155">
        <f t="shared" si="19"/>
        <v>10</v>
      </c>
      <c r="E155" s="3">
        <v>20</v>
      </c>
      <c r="F155" s="391">
        <f t="shared" si="22"/>
        <v>880222</v>
      </c>
      <c r="G155" s="3">
        <f t="shared" si="20"/>
        <v>0</v>
      </c>
      <c r="J155" s="3">
        <f t="shared" si="23"/>
        <v>-37000000</v>
      </c>
      <c r="K155" s="3">
        <f t="shared" si="24"/>
        <v>6964786</v>
      </c>
      <c r="L155" s="3">
        <f t="shared" si="25"/>
        <v>58014472.578020006</v>
      </c>
      <c r="M155" s="3">
        <f t="shared" si="26"/>
        <v>0</v>
      </c>
      <c r="N155" s="3">
        <f t="shared" si="27"/>
        <v>0</v>
      </c>
      <c r="O155" s="47">
        <f t="shared" si="21"/>
        <v>27979258.578020006</v>
      </c>
      <c r="P155" s="47">
        <f>IFERROR(HLOOKUP(B155-1,'EV Forecast VRZ'!$F$124:$T$130,7,FALSE)/12,0)+IFERROR(((HLOOKUP(B155,'EV Forecast VRZ'!$F$116:$T$122,7,FALSE)-HLOOKUP(B155-1,'EV Forecast VRZ'!$F$124:$T$130,7,FALSE)))*C155/78,0)</f>
        <v>3926.1189896471997</v>
      </c>
      <c r="Q155" s="47">
        <f t="shared" si="16"/>
        <v>27983184.697009653</v>
      </c>
    </row>
    <row r="156" spans="1:17">
      <c r="A156" s="2">
        <f t="shared" si="17"/>
        <v>46721</v>
      </c>
      <c r="B156">
        <f t="shared" si="18"/>
        <v>2027</v>
      </c>
      <c r="C156">
        <f t="shared" si="19"/>
        <v>11</v>
      </c>
      <c r="E156" s="3">
        <v>22</v>
      </c>
      <c r="F156" s="391">
        <f t="shared" si="22"/>
        <v>880222</v>
      </c>
      <c r="G156" s="3">
        <f t="shared" si="20"/>
        <v>0</v>
      </c>
      <c r="J156" s="3">
        <f t="shared" si="23"/>
        <v>-37000000</v>
      </c>
      <c r="K156" s="3">
        <f t="shared" si="24"/>
        <v>7661264.5999999996</v>
      </c>
      <c r="L156" s="3">
        <f t="shared" si="25"/>
        <v>58014472.578020006</v>
      </c>
      <c r="M156" s="3">
        <f t="shared" si="26"/>
        <v>0</v>
      </c>
      <c r="N156" s="3">
        <f t="shared" si="27"/>
        <v>0</v>
      </c>
      <c r="O156" s="47">
        <f t="shared" si="21"/>
        <v>28675737.178020008</v>
      </c>
      <c r="P156" s="47">
        <f>IFERROR(HLOOKUP(B156-1,'EV Forecast VRZ'!$F$124:$T$130,7,FALSE)/12,0)+IFERROR(((HLOOKUP(B156,'EV Forecast VRZ'!$F$116:$T$122,7,FALSE)-HLOOKUP(B156-1,'EV Forecast VRZ'!$F$124:$T$130,7,FALSE)))*C156/78,0)</f>
        <v>3994.4658141343029</v>
      </c>
      <c r="Q156" s="47">
        <f t="shared" si="16"/>
        <v>28679731.643834144</v>
      </c>
    </row>
    <row r="157" spans="1:17">
      <c r="A157" s="2">
        <f t="shared" si="17"/>
        <v>46752</v>
      </c>
      <c r="B157">
        <f t="shared" si="18"/>
        <v>2027</v>
      </c>
      <c r="C157">
        <f t="shared" si="19"/>
        <v>12</v>
      </c>
      <c r="E157" s="3">
        <v>20</v>
      </c>
      <c r="F157" s="391">
        <f t="shared" si="22"/>
        <v>880222</v>
      </c>
      <c r="G157" s="3">
        <f t="shared" si="20"/>
        <v>0</v>
      </c>
      <c r="J157" s="3">
        <f t="shared" si="23"/>
        <v>-37000000</v>
      </c>
      <c r="K157" s="3">
        <f t="shared" si="24"/>
        <v>6964786</v>
      </c>
      <c r="L157" s="3">
        <f t="shared" si="25"/>
        <v>58014472.578020006</v>
      </c>
      <c r="M157" s="3">
        <f t="shared" si="26"/>
        <v>0</v>
      </c>
      <c r="N157" s="3">
        <f t="shared" si="27"/>
        <v>0</v>
      </c>
      <c r="O157" s="47">
        <f t="shared" si="21"/>
        <v>27979258.578020006</v>
      </c>
      <c r="P157" s="47">
        <f>IFERROR(HLOOKUP(B157-1,'EV Forecast VRZ'!$F$124:$T$130,7,FALSE)/12,0)+IFERROR(((HLOOKUP(B157,'EV Forecast VRZ'!$F$116:$T$122,7,FALSE)-HLOOKUP(B157-1,'EV Forecast VRZ'!$F$124:$T$130,7,FALSE)))*C157/78,0)</f>
        <v>4062.8126386214062</v>
      </c>
      <c r="Q157" s="47">
        <f t="shared" si="16"/>
        <v>27983321.390658628</v>
      </c>
    </row>
    <row r="158" spans="1:17">
      <c r="A158" s="2">
        <f t="shared" si="17"/>
        <v>46783</v>
      </c>
      <c r="B158">
        <f t="shared" si="18"/>
        <v>2028</v>
      </c>
      <c r="C158">
        <f t="shared" si="19"/>
        <v>1</v>
      </c>
      <c r="E158" s="3">
        <v>20</v>
      </c>
      <c r="F158" s="391">
        <f>F146*(1+'Economic Data'!$AC$17)</f>
        <v>896946.21799999988</v>
      </c>
      <c r="G158" s="3">
        <f t="shared" si="20"/>
        <v>0</v>
      </c>
      <c r="J158" s="3">
        <f t="shared" si="23"/>
        <v>-37000000</v>
      </c>
      <c r="K158" s="3">
        <f t="shared" si="24"/>
        <v>6964786</v>
      </c>
      <c r="L158" s="3">
        <f t="shared" si="25"/>
        <v>59116747.55700238</v>
      </c>
      <c r="M158" s="3">
        <f t="shared" si="26"/>
        <v>0</v>
      </c>
      <c r="N158" s="3">
        <f t="shared" si="27"/>
        <v>0</v>
      </c>
      <c r="O158" s="47">
        <f t="shared" si="21"/>
        <v>29081533.55700238</v>
      </c>
      <c r="P158" s="47">
        <f>IFERROR(HLOOKUP(B158-1,'EV Forecast VRZ'!$F$124:$T$130,7,FALSE)/12,0)+IFERROR(((HLOOKUP(B158,'EV Forecast VRZ'!$F$116:$T$122,7,FALSE)-HLOOKUP(B158-1,'EV Forecast VRZ'!$F$124:$T$130,7,FALSE)))*C158/78,0)</f>
        <v>4209.8592467977733</v>
      </c>
      <c r="Q158" s="47">
        <f t="shared" si="16"/>
        <v>29085743.416249178</v>
      </c>
    </row>
    <row r="159" spans="1:17">
      <c r="A159" s="2">
        <f t="shared" si="17"/>
        <v>46812</v>
      </c>
      <c r="B159">
        <f t="shared" si="18"/>
        <v>2028</v>
      </c>
      <c r="C159">
        <f t="shared" si="19"/>
        <v>2</v>
      </c>
      <c r="E159" s="3">
        <v>21</v>
      </c>
      <c r="F159" s="391">
        <f>F147*(1+'Economic Data'!$AC$17)</f>
        <v>896946.21799999988</v>
      </c>
      <c r="G159" s="3">
        <f t="shared" si="20"/>
        <v>0</v>
      </c>
      <c r="J159" s="3">
        <f t="shared" si="23"/>
        <v>-37000000</v>
      </c>
      <c r="K159" s="3">
        <f t="shared" si="24"/>
        <v>7313025.2999999998</v>
      </c>
      <c r="L159" s="3">
        <f t="shared" si="25"/>
        <v>59116747.55700238</v>
      </c>
      <c r="M159" s="3">
        <f t="shared" si="26"/>
        <v>0</v>
      </c>
      <c r="N159" s="3">
        <f t="shared" si="27"/>
        <v>0</v>
      </c>
      <c r="O159" s="47">
        <f t="shared" si="21"/>
        <v>29429772.857002381</v>
      </c>
      <c r="P159" s="47">
        <f>IFERROR(HLOOKUP(B159-1,'EV Forecast VRZ'!$F$124:$T$130,7,FALSE)/12,0)+IFERROR(((HLOOKUP(B159,'EV Forecast VRZ'!$F$116:$T$122,7,FALSE)-HLOOKUP(B159-1,'EV Forecast VRZ'!$F$124:$T$130,7,FALSE)))*C159/78,0)</f>
        <v>4288.5590304870375</v>
      </c>
      <c r="Q159" s="47">
        <f t="shared" si="16"/>
        <v>29434061.416032869</v>
      </c>
    </row>
    <row r="160" spans="1:17">
      <c r="A160" s="2">
        <f t="shared" si="17"/>
        <v>46843</v>
      </c>
      <c r="B160">
        <f t="shared" si="18"/>
        <v>2028</v>
      </c>
      <c r="C160">
        <f t="shared" si="19"/>
        <v>3</v>
      </c>
      <c r="E160" s="3">
        <v>23</v>
      </c>
      <c r="F160" s="391">
        <f>F148*(1+'Economic Data'!$AC$17)</f>
        <v>896946.21799999988</v>
      </c>
      <c r="G160" s="3">
        <f t="shared" si="20"/>
        <v>1</v>
      </c>
      <c r="J160" s="3">
        <f t="shared" si="23"/>
        <v>-37000000</v>
      </c>
      <c r="K160" s="3">
        <f t="shared" si="24"/>
        <v>8009503.8999999994</v>
      </c>
      <c r="L160" s="3">
        <f t="shared" si="25"/>
        <v>59116747.55700238</v>
      </c>
      <c r="M160" s="3">
        <f t="shared" si="26"/>
        <v>793454.7</v>
      </c>
      <c r="N160" s="3">
        <f t="shared" si="27"/>
        <v>0</v>
      </c>
      <c r="O160" s="47">
        <f t="shared" si="21"/>
        <v>30919706.157002378</v>
      </c>
      <c r="P160" s="47">
        <f>IFERROR(HLOOKUP(B160-1,'EV Forecast VRZ'!$F$124:$T$130,7,FALSE)/12,0)+IFERROR(((HLOOKUP(B160,'EV Forecast VRZ'!$F$116:$T$122,7,FALSE)-HLOOKUP(B160-1,'EV Forecast VRZ'!$F$124:$T$130,7,FALSE)))*C160/78,0)</f>
        <v>4367.2588141763008</v>
      </c>
      <c r="Q160" s="47">
        <f t="shared" si="16"/>
        <v>30924073.415816553</v>
      </c>
    </row>
    <row r="161" spans="1:17">
      <c r="A161" s="2">
        <f t="shared" si="17"/>
        <v>46873</v>
      </c>
      <c r="B161">
        <f t="shared" si="18"/>
        <v>2028</v>
      </c>
      <c r="C161">
        <f t="shared" si="19"/>
        <v>4</v>
      </c>
      <c r="E161" s="3">
        <v>19</v>
      </c>
      <c r="F161" s="391">
        <f>F149*(1+'Economic Data'!$AC$17)</f>
        <v>896946.21799999988</v>
      </c>
      <c r="G161" s="3">
        <f t="shared" si="20"/>
        <v>1</v>
      </c>
      <c r="J161" s="3">
        <f t="shared" si="23"/>
        <v>-37000000</v>
      </c>
      <c r="K161" s="3">
        <f t="shared" si="24"/>
        <v>6616546.7000000002</v>
      </c>
      <c r="L161" s="3">
        <f t="shared" si="25"/>
        <v>59116747.55700238</v>
      </c>
      <c r="M161" s="3">
        <f t="shared" si="26"/>
        <v>793454.7</v>
      </c>
      <c r="N161" s="3">
        <f t="shared" si="27"/>
        <v>0</v>
      </c>
      <c r="O161" s="47">
        <f t="shared" si="21"/>
        <v>29526748.957002379</v>
      </c>
      <c r="P161" s="47">
        <f>IFERROR(HLOOKUP(B161-1,'EV Forecast VRZ'!$F$124:$T$130,7,FALSE)/12,0)+IFERROR(((HLOOKUP(B161,'EV Forecast VRZ'!$F$116:$T$122,7,FALSE)-HLOOKUP(B161-1,'EV Forecast VRZ'!$F$124:$T$130,7,FALSE)))*C161/78,0)</f>
        <v>4445.958597865565</v>
      </c>
      <c r="Q161" s="47">
        <f t="shared" si="16"/>
        <v>29531194.915600244</v>
      </c>
    </row>
    <row r="162" spans="1:17">
      <c r="A162" s="2">
        <f t="shared" si="17"/>
        <v>46904</v>
      </c>
      <c r="B162">
        <f t="shared" si="18"/>
        <v>2028</v>
      </c>
      <c r="C162">
        <f t="shared" si="19"/>
        <v>5</v>
      </c>
      <c r="E162" s="3">
        <v>22</v>
      </c>
      <c r="F162" s="391">
        <f>F150*(1+'Economic Data'!$AC$17)</f>
        <v>896946.21799999988</v>
      </c>
      <c r="G162" s="3">
        <f t="shared" si="20"/>
        <v>1</v>
      </c>
      <c r="J162" s="3">
        <f t="shared" si="23"/>
        <v>-37000000</v>
      </c>
      <c r="K162" s="3">
        <f t="shared" si="24"/>
        <v>7661264.5999999996</v>
      </c>
      <c r="L162" s="3">
        <f t="shared" si="25"/>
        <v>59116747.55700238</v>
      </c>
      <c r="M162" s="3">
        <f t="shared" si="26"/>
        <v>793454.7</v>
      </c>
      <c r="N162" s="3">
        <f t="shared" si="27"/>
        <v>0</v>
      </c>
      <c r="O162" s="47">
        <f t="shared" si="21"/>
        <v>30571466.857002381</v>
      </c>
      <c r="P162" s="47">
        <f>IFERROR(HLOOKUP(B162-1,'EV Forecast VRZ'!$F$124:$T$130,7,FALSE)/12,0)+IFERROR(((HLOOKUP(B162,'EV Forecast VRZ'!$F$116:$T$122,7,FALSE)-HLOOKUP(B162-1,'EV Forecast VRZ'!$F$124:$T$130,7,FALSE)))*C162/78,0)</f>
        <v>4524.6583815548283</v>
      </c>
      <c r="Q162" s="47">
        <f t="shared" si="16"/>
        <v>30575991.515383936</v>
      </c>
    </row>
    <row r="163" spans="1:17">
      <c r="A163" s="2">
        <f t="shared" si="17"/>
        <v>46934</v>
      </c>
      <c r="B163">
        <f t="shared" si="18"/>
        <v>2028</v>
      </c>
      <c r="C163">
        <f t="shared" si="19"/>
        <v>6</v>
      </c>
      <c r="E163" s="3">
        <v>22</v>
      </c>
      <c r="F163" s="391">
        <f>F151*(1+'Economic Data'!$AC$17)</f>
        <v>896946.21799999988</v>
      </c>
      <c r="G163" s="3">
        <f t="shared" si="20"/>
        <v>0</v>
      </c>
      <c r="J163" s="3">
        <f t="shared" si="23"/>
        <v>-37000000</v>
      </c>
      <c r="K163" s="3">
        <f t="shared" si="24"/>
        <v>7661264.5999999996</v>
      </c>
      <c r="L163" s="3">
        <f t="shared" si="25"/>
        <v>59116747.55700238</v>
      </c>
      <c r="M163" s="3">
        <f t="shared" si="26"/>
        <v>0</v>
      </c>
      <c r="N163" s="3">
        <f t="shared" si="27"/>
        <v>0</v>
      </c>
      <c r="O163" s="47">
        <f t="shared" si="21"/>
        <v>29778012.157002382</v>
      </c>
      <c r="P163" s="47">
        <f>IFERROR(HLOOKUP(B163-1,'EV Forecast VRZ'!$F$124:$T$130,7,FALSE)/12,0)+IFERROR(((HLOOKUP(B163,'EV Forecast VRZ'!$F$116:$T$122,7,FALSE)-HLOOKUP(B163-1,'EV Forecast VRZ'!$F$124:$T$130,7,FALSE)))*C163/78,0)</f>
        <v>4603.3581652440926</v>
      </c>
      <c r="Q163" s="47">
        <f t="shared" si="16"/>
        <v>29782615.515167627</v>
      </c>
    </row>
    <row r="164" spans="1:17">
      <c r="A164" s="2">
        <f t="shared" si="17"/>
        <v>46965</v>
      </c>
      <c r="B164">
        <f t="shared" si="18"/>
        <v>2028</v>
      </c>
      <c r="C164">
        <f t="shared" si="19"/>
        <v>7</v>
      </c>
      <c r="E164" s="3">
        <v>20</v>
      </c>
      <c r="F164" s="391">
        <f>F152*(1+'Economic Data'!$AC$17)</f>
        <v>896946.21799999988</v>
      </c>
      <c r="G164" s="3">
        <f t="shared" si="20"/>
        <v>0</v>
      </c>
      <c r="J164" s="3">
        <f t="shared" si="23"/>
        <v>-37000000</v>
      </c>
      <c r="K164" s="3">
        <f t="shared" si="24"/>
        <v>6964786</v>
      </c>
      <c r="L164" s="3">
        <f t="shared" si="25"/>
        <v>59116747.55700238</v>
      </c>
      <c r="M164" s="3">
        <f t="shared" si="26"/>
        <v>0</v>
      </c>
      <c r="N164" s="3">
        <f t="shared" si="27"/>
        <v>0</v>
      </c>
      <c r="O164" s="47">
        <f t="shared" si="21"/>
        <v>29081533.55700238</v>
      </c>
      <c r="P164" s="47">
        <f>IFERROR(HLOOKUP(B164-1,'EV Forecast VRZ'!$F$124:$T$130,7,FALSE)/12,0)+IFERROR(((HLOOKUP(B164,'EV Forecast VRZ'!$F$116:$T$122,7,FALSE)-HLOOKUP(B164-1,'EV Forecast VRZ'!$F$124:$T$130,7,FALSE)))*C164/78,0)</f>
        <v>4682.0579489333559</v>
      </c>
      <c r="Q164" s="47">
        <f t="shared" si="16"/>
        <v>29086215.614951313</v>
      </c>
    </row>
    <row r="165" spans="1:17">
      <c r="A165" s="2">
        <f t="shared" si="17"/>
        <v>46996</v>
      </c>
      <c r="B165">
        <f t="shared" si="18"/>
        <v>2028</v>
      </c>
      <c r="C165">
        <f t="shared" si="19"/>
        <v>8</v>
      </c>
      <c r="E165" s="3">
        <v>22</v>
      </c>
      <c r="F165" s="391">
        <f>F153*(1+'Economic Data'!$AC$17)</f>
        <v>896946.21799999988</v>
      </c>
      <c r="G165" s="3">
        <f t="shared" si="20"/>
        <v>0</v>
      </c>
      <c r="J165" s="3">
        <f t="shared" si="23"/>
        <v>-37000000</v>
      </c>
      <c r="K165" s="3">
        <f t="shared" si="24"/>
        <v>7661264.5999999996</v>
      </c>
      <c r="L165" s="3">
        <f t="shared" si="25"/>
        <v>59116747.55700238</v>
      </c>
      <c r="M165" s="3">
        <f t="shared" si="26"/>
        <v>0</v>
      </c>
      <c r="N165" s="3">
        <f t="shared" si="27"/>
        <v>0</v>
      </c>
      <c r="O165" s="47">
        <f t="shared" si="21"/>
        <v>29778012.157002382</v>
      </c>
      <c r="P165" s="47">
        <f>IFERROR(HLOOKUP(B165-1,'EV Forecast VRZ'!$F$124:$T$130,7,FALSE)/12,0)+IFERROR(((HLOOKUP(B165,'EV Forecast VRZ'!$F$116:$T$122,7,FALSE)-HLOOKUP(B165-1,'EV Forecast VRZ'!$F$124:$T$130,7,FALSE)))*C165/78,0)</f>
        <v>4760.7577326226201</v>
      </c>
      <c r="Q165" s="47">
        <f t="shared" si="16"/>
        <v>29782772.914735004</v>
      </c>
    </row>
    <row r="166" spans="1:17">
      <c r="A166" s="2">
        <f t="shared" si="17"/>
        <v>47026</v>
      </c>
      <c r="B166">
        <f t="shared" si="18"/>
        <v>2028</v>
      </c>
      <c r="C166">
        <f t="shared" si="19"/>
        <v>9</v>
      </c>
      <c r="E166" s="3">
        <v>20</v>
      </c>
      <c r="F166" s="391">
        <f>F154*(1+'Economic Data'!$AC$17)</f>
        <v>896946.21799999988</v>
      </c>
      <c r="G166" s="3">
        <f t="shared" si="20"/>
        <v>0</v>
      </c>
      <c r="J166" s="3">
        <f t="shared" si="23"/>
        <v>-37000000</v>
      </c>
      <c r="K166" s="3">
        <f t="shared" si="24"/>
        <v>6964786</v>
      </c>
      <c r="L166" s="3">
        <f t="shared" si="25"/>
        <v>59116747.55700238</v>
      </c>
      <c r="M166" s="3">
        <f t="shared" si="26"/>
        <v>0</v>
      </c>
      <c r="N166" s="3">
        <f t="shared" si="27"/>
        <v>0</v>
      </c>
      <c r="O166" s="47">
        <f t="shared" si="21"/>
        <v>29081533.55700238</v>
      </c>
      <c r="P166" s="47">
        <f>IFERROR(HLOOKUP(B166-1,'EV Forecast VRZ'!$F$124:$T$130,7,FALSE)/12,0)+IFERROR(((HLOOKUP(B166,'EV Forecast VRZ'!$F$116:$T$122,7,FALSE)-HLOOKUP(B166-1,'EV Forecast VRZ'!$F$124:$T$130,7,FALSE)))*C166/78,0)</f>
        <v>4839.4575163118834</v>
      </c>
      <c r="Q166" s="47">
        <f t="shared" si="16"/>
        <v>29086373.014518693</v>
      </c>
    </row>
    <row r="167" spans="1:17">
      <c r="A167" s="2">
        <f t="shared" si="17"/>
        <v>47057</v>
      </c>
      <c r="B167">
        <f t="shared" si="18"/>
        <v>2028</v>
      </c>
      <c r="C167">
        <f t="shared" si="19"/>
        <v>10</v>
      </c>
      <c r="E167" s="3">
        <v>21</v>
      </c>
      <c r="F167" s="391">
        <f>F155*(1+'Economic Data'!$AC$17)</f>
        <v>896946.21799999988</v>
      </c>
      <c r="G167" s="3">
        <f t="shared" si="20"/>
        <v>0</v>
      </c>
      <c r="J167" s="3">
        <f t="shared" si="23"/>
        <v>-37000000</v>
      </c>
      <c r="K167" s="3">
        <f t="shared" si="24"/>
        <v>7313025.2999999998</v>
      </c>
      <c r="L167" s="3">
        <f t="shared" si="25"/>
        <v>59116747.55700238</v>
      </c>
      <c r="M167" s="3">
        <f t="shared" si="26"/>
        <v>0</v>
      </c>
      <c r="N167" s="3">
        <f t="shared" si="27"/>
        <v>0</v>
      </c>
      <c r="O167" s="47">
        <f t="shared" si="21"/>
        <v>29429772.857002381</v>
      </c>
      <c r="P167" s="47">
        <f>IFERROR(HLOOKUP(B167-1,'EV Forecast VRZ'!$F$124:$T$130,7,FALSE)/12,0)+IFERROR(((HLOOKUP(B167,'EV Forecast VRZ'!$F$116:$T$122,7,FALSE)-HLOOKUP(B167-1,'EV Forecast VRZ'!$F$124:$T$130,7,FALSE)))*C167/78,0)</f>
        <v>4918.1573000011467</v>
      </c>
      <c r="Q167" s="47">
        <f t="shared" si="16"/>
        <v>29434691.014302384</v>
      </c>
    </row>
    <row r="168" spans="1:17">
      <c r="A168" s="2">
        <f t="shared" si="17"/>
        <v>47087</v>
      </c>
      <c r="B168">
        <f t="shared" si="18"/>
        <v>2028</v>
      </c>
      <c r="C168">
        <f t="shared" si="19"/>
        <v>11</v>
      </c>
      <c r="E168" s="3">
        <v>22</v>
      </c>
      <c r="F168" s="391">
        <f>F156*(1+'Economic Data'!$AC$17)</f>
        <v>896946.21799999988</v>
      </c>
      <c r="G168" s="3">
        <f t="shared" si="20"/>
        <v>0</v>
      </c>
      <c r="J168" s="3">
        <f t="shared" si="23"/>
        <v>-37000000</v>
      </c>
      <c r="K168" s="3">
        <f t="shared" si="24"/>
        <v>7661264.5999999996</v>
      </c>
      <c r="L168" s="3">
        <f t="shared" si="25"/>
        <v>59116747.55700238</v>
      </c>
      <c r="M168" s="3">
        <f t="shared" si="26"/>
        <v>0</v>
      </c>
      <c r="N168" s="3">
        <f t="shared" si="27"/>
        <v>0</v>
      </c>
      <c r="O168" s="47">
        <f t="shared" si="21"/>
        <v>29778012.157002382</v>
      </c>
      <c r="P168" s="47">
        <f>IFERROR(HLOOKUP(B168-1,'EV Forecast VRZ'!$F$124:$T$130,7,FALSE)/12,0)+IFERROR(((HLOOKUP(B168,'EV Forecast VRZ'!$F$116:$T$122,7,FALSE)-HLOOKUP(B168-1,'EV Forecast VRZ'!$F$124:$T$130,7,FALSE)))*C168/78,0)</f>
        <v>4996.8570836904109</v>
      </c>
      <c r="Q168" s="47">
        <f t="shared" si="16"/>
        <v>29783009.014086071</v>
      </c>
    </row>
    <row r="169" spans="1:17">
      <c r="A169" s="2">
        <f t="shared" si="17"/>
        <v>47118</v>
      </c>
      <c r="B169">
        <f t="shared" si="18"/>
        <v>2028</v>
      </c>
      <c r="C169">
        <f t="shared" si="19"/>
        <v>12</v>
      </c>
      <c r="E169" s="3">
        <v>19</v>
      </c>
      <c r="F169" s="391">
        <f>F157*(1+'Economic Data'!$AC$17)</f>
        <v>896946.21799999988</v>
      </c>
      <c r="G169" s="3">
        <f t="shared" si="20"/>
        <v>0</v>
      </c>
      <c r="J169" s="3">
        <f t="shared" si="23"/>
        <v>-37000000</v>
      </c>
      <c r="K169" s="3">
        <f t="shared" si="24"/>
        <v>6616546.7000000002</v>
      </c>
      <c r="L169" s="3">
        <f t="shared" si="25"/>
        <v>59116747.55700238</v>
      </c>
      <c r="M169" s="3">
        <f t="shared" si="26"/>
        <v>0</v>
      </c>
      <c r="N169" s="3">
        <f t="shared" si="27"/>
        <v>0</v>
      </c>
      <c r="O169" s="47">
        <f t="shared" si="21"/>
        <v>28733294.25700238</v>
      </c>
      <c r="P169" s="47">
        <f>IFERROR(HLOOKUP(B169-1,'EV Forecast VRZ'!$F$124:$T$130,7,FALSE)/12,0)+IFERROR(((HLOOKUP(B169,'EV Forecast VRZ'!$F$116:$T$122,7,FALSE)-HLOOKUP(B169-1,'EV Forecast VRZ'!$F$124:$T$130,7,FALSE)))*C169/78,0)</f>
        <v>5075.5568673796743</v>
      </c>
      <c r="Q169" s="47">
        <f t="shared" si="16"/>
        <v>28738369.813869759</v>
      </c>
    </row>
    <row r="170" spans="1:17">
      <c r="A170" s="2">
        <f t="shared" si="17"/>
        <v>47149</v>
      </c>
      <c r="B170">
        <f t="shared" si="18"/>
        <v>2029</v>
      </c>
      <c r="C170">
        <f t="shared" si="19"/>
        <v>1</v>
      </c>
      <c r="E170" s="3">
        <v>22</v>
      </c>
      <c r="F170" s="391">
        <f>F158*(1+'Economic Data'!$AC$17)</f>
        <v>913988.1961419998</v>
      </c>
      <c r="G170" s="3">
        <f t="shared" si="20"/>
        <v>0</v>
      </c>
      <c r="J170" s="3">
        <f t="shared" si="23"/>
        <v>-37000000</v>
      </c>
      <c r="K170" s="3">
        <f t="shared" si="24"/>
        <v>7661264.5999999996</v>
      </c>
      <c r="L170" s="3">
        <f t="shared" si="25"/>
        <v>60239965.76058542</v>
      </c>
      <c r="M170" s="3">
        <f t="shared" si="26"/>
        <v>0</v>
      </c>
      <c r="N170" s="3">
        <f t="shared" si="27"/>
        <v>0</v>
      </c>
      <c r="O170" s="47">
        <f t="shared" si="21"/>
        <v>30901230.360585421</v>
      </c>
      <c r="P170" s="47">
        <f>IFERROR(HLOOKUP(B170-1,'EV Forecast VRZ'!$F$124:$T$130,7,FALSE)/12,0)+IFERROR(((HLOOKUP(B170,'EV Forecast VRZ'!$F$116:$T$122,7,FALSE)-HLOOKUP(B170-1,'EV Forecast VRZ'!$F$124:$T$130,7,FALSE)))*C170/78,0)</f>
        <v>5243.6961735986542</v>
      </c>
      <c r="Q170" s="47">
        <f t="shared" si="16"/>
        <v>30906474.056759018</v>
      </c>
    </row>
    <row r="171" spans="1:17">
      <c r="A171" s="2">
        <f t="shared" si="17"/>
        <v>47177</v>
      </c>
      <c r="B171">
        <f t="shared" si="18"/>
        <v>2029</v>
      </c>
      <c r="C171">
        <f t="shared" si="19"/>
        <v>2</v>
      </c>
      <c r="E171" s="3">
        <v>19</v>
      </c>
      <c r="F171" s="391">
        <f>F159*(1+'Economic Data'!$AC$17)</f>
        <v>913988.1961419998</v>
      </c>
      <c r="G171" s="3">
        <f t="shared" si="20"/>
        <v>0</v>
      </c>
      <c r="J171" s="3">
        <f t="shared" si="23"/>
        <v>-37000000</v>
      </c>
      <c r="K171" s="3">
        <f t="shared" si="24"/>
        <v>6616546.7000000002</v>
      </c>
      <c r="L171" s="3">
        <f t="shared" si="25"/>
        <v>60239965.76058542</v>
      </c>
      <c r="M171" s="3">
        <f t="shared" si="26"/>
        <v>0</v>
      </c>
      <c r="N171" s="3">
        <f t="shared" si="27"/>
        <v>0</v>
      </c>
      <c r="O171" s="47">
        <f t="shared" si="21"/>
        <v>29856512.460585419</v>
      </c>
      <c r="P171" s="47">
        <f>IFERROR(HLOOKUP(B171-1,'EV Forecast VRZ'!$F$124:$T$130,7,FALSE)/12,0)+IFERROR(((HLOOKUP(B171,'EV Forecast VRZ'!$F$116:$T$122,7,FALSE)-HLOOKUP(B171-1,'EV Forecast VRZ'!$F$124:$T$130,7,FALSE)))*C171/78,0)</f>
        <v>5333.13569612837</v>
      </c>
      <c r="Q171" s="47">
        <f t="shared" si="16"/>
        <v>29861845.596281547</v>
      </c>
    </row>
    <row r="172" spans="1:17">
      <c r="A172" s="2">
        <f t="shared" si="17"/>
        <v>47208</v>
      </c>
      <c r="B172">
        <f t="shared" si="18"/>
        <v>2029</v>
      </c>
      <c r="C172">
        <f t="shared" si="19"/>
        <v>3</v>
      </c>
      <c r="E172" s="3">
        <v>21</v>
      </c>
      <c r="F172" s="391">
        <f>F160*(1+'Economic Data'!$AC$17)</f>
        <v>913988.1961419998</v>
      </c>
      <c r="G172" s="3">
        <f t="shared" si="20"/>
        <v>1</v>
      </c>
      <c r="J172" s="3">
        <f t="shared" si="23"/>
        <v>-37000000</v>
      </c>
      <c r="K172" s="3">
        <f t="shared" si="24"/>
        <v>7313025.2999999998</v>
      </c>
      <c r="L172" s="3">
        <f t="shared" si="25"/>
        <v>60239965.76058542</v>
      </c>
      <c r="M172" s="3">
        <f t="shared" si="26"/>
        <v>793454.7</v>
      </c>
      <c r="N172" s="3">
        <f t="shared" si="27"/>
        <v>0</v>
      </c>
      <c r="O172" s="47">
        <f t="shared" si="21"/>
        <v>31346445.76058542</v>
      </c>
      <c r="P172" s="47">
        <f>IFERROR(HLOOKUP(B172-1,'EV Forecast VRZ'!$F$124:$T$130,7,FALSE)/12,0)+IFERROR(((HLOOKUP(B172,'EV Forecast VRZ'!$F$116:$T$122,7,FALSE)-HLOOKUP(B172-1,'EV Forecast VRZ'!$F$124:$T$130,7,FALSE)))*C172/78,0)</f>
        <v>5422.5752186580849</v>
      </c>
      <c r="Q172" s="47">
        <f t="shared" si="16"/>
        <v>31351868.335804079</v>
      </c>
    </row>
    <row r="173" spans="1:17">
      <c r="A173" s="2">
        <f t="shared" si="17"/>
        <v>47238</v>
      </c>
      <c r="B173">
        <f t="shared" si="18"/>
        <v>2029</v>
      </c>
      <c r="C173">
        <f t="shared" si="19"/>
        <v>4</v>
      </c>
      <c r="E173" s="3">
        <v>21</v>
      </c>
      <c r="F173" s="391">
        <f>F161*(1+'Economic Data'!$AC$17)</f>
        <v>913988.1961419998</v>
      </c>
      <c r="G173" s="3">
        <f t="shared" si="20"/>
        <v>1</v>
      </c>
      <c r="J173" s="3">
        <f t="shared" si="23"/>
        <v>-37000000</v>
      </c>
      <c r="K173" s="3">
        <f t="shared" si="24"/>
        <v>7313025.2999999998</v>
      </c>
      <c r="L173" s="3">
        <f t="shared" si="25"/>
        <v>60239965.76058542</v>
      </c>
      <c r="M173" s="3">
        <f t="shared" si="26"/>
        <v>793454.7</v>
      </c>
      <c r="N173" s="3">
        <f t="shared" si="27"/>
        <v>0</v>
      </c>
      <c r="O173" s="47">
        <f t="shared" si="21"/>
        <v>31346445.76058542</v>
      </c>
      <c r="P173" s="47">
        <f>IFERROR(HLOOKUP(B173-1,'EV Forecast VRZ'!$F$124:$T$130,7,FALSE)/12,0)+IFERROR(((HLOOKUP(B173,'EV Forecast VRZ'!$F$116:$T$122,7,FALSE)-HLOOKUP(B173-1,'EV Forecast VRZ'!$F$124:$T$130,7,FALSE)))*C173/78,0)</f>
        <v>5512.0147411878006</v>
      </c>
      <c r="Q173" s="47">
        <f t="shared" si="16"/>
        <v>31351957.775326606</v>
      </c>
    </row>
    <row r="174" spans="1:17">
      <c r="A174" s="2">
        <f t="shared" si="17"/>
        <v>47269</v>
      </c>
      <c r="B174">
        <f t="shared" si="18"/>
        <v>2029</v>
      </c>
      <c r="C174">
        <f t="shared" si="19"/>
        <v>5</v>
      </c>
      <c r="E174" s="3">
        <v>22</v>
      </c>
      <c r="F174" s="391">
        <f>F162*(1+'Economic Data'!$AC$17)</f>
        <v>913988.1961419998</v>
      </c>
      <c r="G174" s="3">
        <f t="shared" si="20"/>
        <v>1</v>
      </c>
      <c r="J174" s="3">
        <f t="shared" si="23"/>
        <v>-37000000</v>
      </c>
      <c r="K174" s="3">
        <f t="shared" si="24"/>
        <v>7661264.5999999996</v>
      </c>
      <c r="L174" s="3">
        <f t="shared" si="25"/>
        <v>60239965.76058542</v>
      </c>
      <c r="M174" s="3">
        <f t="shared" si="26"/>
        <v>793454.7</v>
      </c>
      <c r="N174" s="3">
        <f t="shared" si="27"/>
        <v>0</v>
      </c>
      <c r="O174" s="47">
        <f t="shared" ref="O174:O205" si="28">SUM(J174:N174)</f>
        <v>31694685.060585421</v>
      </c>
      <c r="P174" s="47">
        <f>IFERROR(HLOOKUP(B174-1,'EV Forecast VRZ'!$F$124:$T$130,7,FALSE)/12,0)+IFERROR(((HLOOKUP(B174,'EV Forecast VRZ'!$F$116:$T$122,7,FALSE)-HLOOKUP(B174-1,'EV Forecast VRZ'!$F$124:$T$130,7,FALSE)))*C174/78,0)</f>
        <v>5601.4542637175164</v>
      </c>
      <c r="Q174" s="47">
        <f t="shared" si="16"/>
        <v>31700286.514849138</v>
      </c>
    </row>
    <row r="175" spans="1:17">
      <c r="A175" s="2">
        <f t="shared" ref="A175:A205" si="29">EOMONTH(A174,1)</f>
        <v>47299</v>
      </c>
      <c r="B175">
        <f t="shared" ref="B175:B205" si="30">YEAR(A175)</f>
        <v>2029</v>
      </c>
      <c r="C175">
        <f t="shared" ref="C175:C205" si="31">MONTH(A175)</f>
        <v>6</v>
      </c>
      <c r="E175" s="3">
        <v>21</v>
      </c>
      <c r="F175" s="391">
        <f>F163*(1+'Economic Data'!$AC$17)</f>
        <v>913988.1961419998</v>
      </c>
      <c r="G175" s="3">
        <f t="shared" ref="G175:G205" si="32">G163</f>
        <v>0</v>
      </c>
      <c r="J175" s="3">
        <f t="shared" si="23"/>
        <v>-37000000</v>
      </c>
      <c r="K175" s="3">
        <f t="shared" si="24"/>
        <v>7313025.2999999998</v>
      </c>
      <c r="L175" s="3">
        <f t="shared" si="25"/>
        <v>60239965.76058542</v>
      </c>
      <c r="M175" s="3">
        <f t="shared" si="26"/>
        <v>0</v>
      </c>
      <c r="N175" s="3">
        <f t="shared" si="27"/>
        <v>0</v>
      </c>
      <c r="O175" s="47">
        <f t="shared" si="28"/>
        <v>30552991.060585421</v>
      </c>
      <c r="P175" s="47">
        <f>IFERROR(HLOOKUP(B175-1,'EV Forecast VRZ'!$F$124:$T$130,7,FALSE)/12,0)+IFERROR(((HLOOKUP(B175,'EV Forecast VRZ'!$F$116:$T$122,7,FALSE)-HLOOKUP(B175-1,'EV Forecast VRZ'!$F$124:$T$130,7,FALSE)))*C175/78,0)</f>
        <v>5690.8937862472321</v>
      </c>
      <c r="Q175" s="47">
        <f t="shared" si="16"/>
        <v>30558681.954371668</v>
      </c>
    </row>
    <row r="176" spans="1:17">
      <c r="A176" s="2">
        <f t="shared" si="29"/>
        <v>47330</v>
      </c>
      <c r="B176">
        <f t="shared" si="30"/>
        <v>2029</v>
      </c>
      <c r="C176">
        <f t="shared" si="31"/>
        <v>7</v>
      </c>
      <c r="E176" s="3">
        <v>21</v>
      </c>
      <c r="F176" s="391">
        <f>F164*(1+'Economic Data'!$AC$17)</f>
        <v>913988.1961419998</v>
      </c>
      <c r="G176" s="3">
        <f t="shared" si="32"/>
        <v>0</v>
      </c>
      <c r="J176" s="3">
        <f t="shared" si="23"/>
        <v>-37000000</v>
      </c>
      <c r="K176" s="3">
        <f t="shared" si="24"/>
        <v>7313025.2999999998</v>
      </c>
      <c r="L176" s="3">
        <f t="shared" si="25"/>
        <v>60239965.76058542</v>
      </c>
      <c r="M176" s="3">
        <f t="shared" si="26"/>
        <v>0</v>
      </c>
      <c r="N176" s="3">
        <f t="shared" si="27"/>
        <v>0</v>
      </c>
      <c r="O176" s="47">
        <f t="shared" si="28"/>
        <v>30552991.060585421</v>
      </c>
      <c r="P176" s="47">
        <f>IFERROR(HLOOKUP(B176-1,'EV Forecast VRZ'!$F$124:$T$130,7,FALSE)/12,0)+IFERROR(((HLOOKUP(B176,'EV Forecast VRZ'!$F$116:$T$122,7,FALSE)-HLOOKUP(B176-1,'EV Forecast VRZ'!$F$124:$T$130,7,FALSE)))*C176/78,0)</f>
        <v>5780.3333087769479</v>
      </c>
      <c r="Q176" s="47">
        <f t="shared" si="16"/>
        <v>30558771.393894199</v>
      </c>
    </row>
    <row r="177" spans="1:17">
      <c r="A177" s="2">
        <f t="shared" si="29"/>
        <v>47361</v>
      </c>
      <c r="B177">
        <f t="shared" si="30"/>
        <v>2029</v>
      </c>
      <c r="C177">
        <f t="shared" si="31"/>
        <v>8</v>
      </c>
      <c r="E177" s="3">
        <v>22</v>
      </c>
      <c r="F177" s="391">
        <f>F165*(1+'Economic Data'!$AC$17)</f>
        <v>913988.1961419998</v>
      </c>
      <c r="G177" s="3">
        <f t="shared" si="32"/>
        <v>0</v>
      </c>
      <c r="J177" s="3">
        <f t="shared" si="23"/>
        <v>-37000000</v>
      </c>
      <c r="K177" s="3">
        <f t="shared" si="24"/>
        <v>7661264.5999999996</v>
      </c>
      <c r="L177" s="3">
        <f t="shared" si="25"/>
        <v>60239965.76058542</v>
      </c>
      <c r="M177" s="3">
        <f t="shared" si="26"/>
        <v>0</v>
      </c>
      <c r="N177" s="3">
        <f t="shared" si="27"/>
        <v>0</v>
      </c>
      <c r="O177" s="47">
        <f t="shared" si="28"/>
        <v>30901230.360585421</v>
      </c>
      <c r="P177" s="47">
        <f>IFERROR(HLOOKUP(B177-1,'EV Forecast VRZ'!$F$124:$T$130,7,FALSE)/12,0)+IFERROR(((HLOOKUP(B177,'EV Forecast VRZ'!$F$116:$T$122,7,FALSE)-HLOOKUP(B177-1,'EV Forecast VRZ'!$F$124:$T$130,7,FALSE)))*C177/78,0)</f>
        <v>5869.7728313066627</v>
      </c>
      <c r="Q177" s="47">
        <f t="shared" si="16"/>
        <v>30907100.133416727</v>
      </c>
    </row>
    <row r="178" spans="1:17">
      <c r="A178" s="2">
        <f t="shared" si="29"/>
        <v>47391</v>
      </c>
      <c r="B178">
        <f t="shared" si="30"/>
        <v>2029</v>
      </c>
      <c r="C178">
        <f t="shared" si="31"/>
        <v>9</v>
      </c>
      <c r="E178" s="3">
        <v>19</v>
      </c>
      <c r="F178" s="391">
        <f>F166*(1+'Economic Data'!$AC$17)</f>
        <v>913988.1961419998</v>
      </c>
      <c r="G178" s="3">
        <f t="shared" si="32"/>
        <v>0</v>
      </c>
      <c r="J178" s="3">
        <f t="shared" si="23"/>
        <v>-37000000</v>
      </c>
      <c r="K178" s="3">
        <f t="shared" si="24"/>
        <v>6616546.7000000002</v>
      </c>
      <c r="L178" s="3">
        <f t="shared" si="25"/>
        <v>60239965.76058542</v>
      </c>
      <c r="M178" s="3">
        <f t="shared" si="26"/>
        <v>0</v>
      </c>
      <c r="N178" s="3">
        <f t="shared" si="27"/>
        <v>0</v>
      </c>
      <c r="O178" s="47">
        <f t="shared" si="28"/>
        <v>29856512.460585419</v>
      </c>
      <c r="P178" s="47">
        <f>IFERROR(HLOOKUP(B178-1,'EV Forecast VRZ'!$F$124:$T$130,7,FALSE)/12,0)+IFERROR(((HLOOKUP(B178,'EV Forecast VRZ'!$F$116:$T$122,7,FALSE)-HLOOKUP(B178-1,'EV Forecast VRZ'!$F$124:$T$130,7,FALSE)))*C178/78,0)</f>
        <v>5959.2123538363785</v>
      </c>
      <c r="Q178" s="47">
        <f t="shared" si="16"/>
        <v>29862471.672939256</v>
      </c>
    </row>
    <row r="179" spans="1:17">
      <c r="A179" s="2">
        <f t="shared" si="29"/>
        <v>47422</v>
      </c>
      <c r="B179">
        <f t="shared" si="30"/>
        <v>2029</v>
      </c>
      <c r="C179">
        <f t="shared" si="31"/>
        <v>10</v>
      </c>
      <c r="E179" s="3">
        <v>22</v>
      </c>
      <c r="F179" s="391">
        <f>F167*(1+'Economic Data'!$AC$17)</f>
        <v>913988.1961419998</v>
      </c>
      <c r="G179" s="3">
        <f t="shared" si="32"/>
        <v>0</v>
      </c>
      <c r="J179" s="3">
        <f t="shared" si="23"/>
        <v>-37000000</v>
      </c>
      <c r="K179" s="3">
        <f t="shared" si="24"/>
        <v>7661264.5999999996</v>
      </c>
      <c r="L179" s="3">
        <f t="shared" si="25"/>
        <v>60239965.76058542</v>
      </c>
      <c r="M179" s="3">
        <f t="shared" si="26"/>
        <v>0</v>
      </c>
      <c r="N179" s="3">
        <f t="shared" si="27"/>
        <v>0</v>
      </c>
      <c r="O179" s="47">
        <f t="shared" si="28"/>
        <v>30901230.360585421</v>
      </c>
      <c r="P179" s="47">
        <f>IFERROR(HLOOKUP(B179-1,'EV Forecast VRZ'!$F$124:$T$130,7,FALSE)/12,0)+IFERROR(((HLOOKUP(B179,'EV Forecast VRZ'!$F$116:$T$122,7,FALSE)-HLOOKUP(B179-1,'EV Forecast VRZ'!$F$124:$T$130,7,FALSE)))*C179/78,0)</f>
        <v>6048.6518763660943</v>
      </c>
      <c r="Q179" s="47">
        <f t="shared" si="16"/>
        <v>30907279.012461789</v>
      </c>
    </row>
    <row r="180" spans="1:17">
      <c r="A180" s="2">
        <f t="shared" si="29"/>
        <v>47452</v>
      </c>
      <c r="B180">
        <f t="shared" si="30"/>
        <v>2029</v>
      </c>
      <c r="C180">
        <f t="shared" si="31"/>
        <v>11</v>
      </c>
      <c r="E180" s="3">
        <v>22</v>
      </c>
      <c r="F180" s="391">
        <f>F168*(1+'Economic Data'!$AC$17)</f>
        <v>913988.1961419998</v>
      </c>
      <c r="G180" s="3">
        <f t="shared" si="32"/>
        <v>0</v>
      </c>
      <c r="J180" s="3">
        <f t="shared" si="23"/>
        <v>-37000000</v>
      </c>
      <c r="K180" s="3">
        <f t="shared" si="24"/>
        <v>7661264.5999999996</v>
      </c>
      <c r="L180" s="3">
        <f t="shared" si="25"/>
        <v>60239965.76058542</v>
      </c>
      <c r="M180" s="3">
        <f t="shared" si="26"/>
        <v>0</v>
      </c>
      <c r="N180" s="3">
        <f t="shared" si="27"/>
        <v>0</v>
      </c>
      <c r="O180" s="47">
        <f t="shared" si="28"/>
        <v>30901230.360585421</v>
      </c>
      <c r="P180" s="47">
        <f>IFERROR(HLOOKUP(B180-1,'EV Forecast VRZ'!$F$124:$T$130,7,FALSE)/12,0)+IFERROR(((HLOOKUP(B180,'EV Forecast VRZ'!$F$116:$T$122,7,FALSE)-HLOOKUP(B180-1,'EV Forecast VRZ'!$F$124:$T$130,7,FALSE)))*C180/78,0)</f>
        <v>6138.09139889581</v>
      </c>
      <c r="Q180" s="47">
        <f t="shared" si="16"/>
        <v>30907368.451984316</v>
      </c>
    </row>
    <row r="181" spans="1:17">
      <c r="A181" s="2">
        <f t="shared" si="29"/>
        <v>47483</v>
      </c>
      <c r="B181">
        <f t="shared" si="30"/>
        <v>2029</v>
      </c>
      <c r="C181">
        <f t="shared" si="31"/>
        <v>12</v>
      </c>
      <c r="E181" s="3">
        <v>19</v>
      </c>
      <c r="F181" s="391">
        <f>F169*(1+'Economic Data'!$AC$17)</f>
        <v>913988.1961419998</v>
      </c>
      <c r="G181" s="3">
        <f t="shared" si="32"/>
        <v>0</v>
      </c>
      <c r="J181" s="3">
        <f t="shared" si="23"/>
        <v>-37000000</v>
      </c>
      <c r="K181" s="3">
        <f t="shared" si="24"/>
        <v>6616546.7000000002</v>
      </c>
      <c r="L181" s="3">
        <f t="shared" si="25"/>
        <v>60239965.76058542</v>
      </c>
      <c r="M181" s="3">
        <f t="shared" si="26"/>
        <v>0</v>
      </c>
      <c r="N181" s="3">
        <f t="shared" si="27"/>
        <v>0</v>
      </c>
      <c r="O181" s="47">
        <f t="shared" si="28"/>
        <v>29856512.460585419</v>
      </c>
      <c r="P181" s="47">
        <f>IFERROR(HLOOKUP(B181-1,'EV Forecast VRZ'!$F$124:$T$130,7,FALSE)/12,0)+IFERROR(((HLOOKUP(B181,'EV Forecast VRZ'!$F$116:$T$122,7,FALSE)-HLOOKUP(B181-1,'EV Forecast VRZ'!$F$124:$T$130,7,FALSE)))*C181/78,0)</f>
        <v>6227.5309214255249</v>
      </c>
      <c r="Q181" s="47">
        <f t="shared" si="16"/>
        <v>29862739.991506845</v>
      </c>
    </row>
    <row r="182" spans="1:17">
      <c r="A182" s="2">
        <f t="shared" si="29"/>
        <v>47514</v>
      </c>
      <c r="B182">
        <f t="shared" si="30"/>
        <v>2030</v>
      </c>
      <c r="C182">
        <f t="shared" si="31"/>
        <v>1</v>
      </c>
      <c r="E182" s="3">
        <v>22</v>
      </c>
      <c r="F182" s="391">
        <f>F170*(1+'Economic Data'!$AC$17)</f>
        <v>931353.97186869767</v>
      </c>
      <c r="G182" s="3">
        <f t="shared" si="32"/>
        <v>0</v>
      </c>
      <c r="J182" s="3">
        <f t="shared" si="23"/>
        <v>-37000000</v>
      </c>
      <c r="K182" s="3">
        <f t="shared" si="24"/>
        <v>7661264.5999999996</v>
      </c>
      <c r="L182" s="3">
        <f t="shared" si="25"/>
        <v>61384525.11003653</v>
      </c>
      <c r="M182" s="3">
        <f t="shared" si="26"/>
        <v>0</v>
      </c>
      <c r="N182" s="3">
        <f t="shared" si="27"/>
        <v>0</v>
      </c>
      <c r="O182" s="47">
        <f t="shared" si="28"/>
        <v>32045789.710036531</v>
      </c>
      <c r="P182" s="47">
        <f>IFERROR(HLOOKUP(B182-1,'EV Forecast VRZ'!$F$124:$T$130,7,FALSE)/12,0)+IFERROR(((HLOOKUP(B182,'EV Forecast VRZ'!$F$116:$T$122,7,FALSE)-HLOOKUP(B182-1,'EV Forecast VRZ'!$F$124:$T$130,7,FALSE)))*C182/78,0)</f>
        <v>6417.5478149655537</v>
      </c>
      <c r="Q182" s="47">
        <f t="shared" si="16"/>
        <v>32052207.257851496</v>
      </c>
    </row>
    <row r="183" spans="1:17">
      <c r="A183" s="2">
        <f t="shared" si="29"/>
        <v>47542</v>
      </c>
      <c r="B183">
        <f t="shared" si="30"/>
        <v>2030</v>
      </c>
      <c r="C183">
        <f t="shared" si="31"/>
        <v>2</v>
      </c>
      <c r="E183" s="3">
        <v>19</v>
      </c>
      <c r="F183" s="391">
        <f>F171*(1+'Economic Data'!$AC$17)</f>
        <v>931353.97186869767</v>
      </c>
      <c r="G183" s="3">
        <f t="shared" si="32"/>
        <v>0</v>
      </c>
      <c r="J183" s="3">
        <f t="shared" si="23"/>
        <v>-37000000</v>
      </c>
      <c r="K183" s="3">
        <f t="shared" si="24"/>
        <v>6616546.7000000002</v>
      </c>
      <c r="L183" s="3">
        <f t="shared" si="25"/>
        <v>61384525.11003653</v>
      </c>
      <c r="M183" s="3">
        <f t="shared" si="26"/>
        <v>0</v>
      </c>
      <c r="N183" s="3">
        <f t="shared" si="27"/>
        <v>0</v>
      </c>
      <c r="O183" s="47">
        <f t="shared" si="28"/>
        <v>31001071.810036529</v>
      </c>
      <c r="P183" s="47">
        <f>IFERROR(HLOOKUP(B183-1,'EV Forecast VRZ'!$F$124:$T$130,7,FALSE)/12,0)+IFERROR(((HLOOKUP(B183,'EV Forecast VRZ'!$F$116:$T$122,7,FALSE)-HLOOKUP(B183-1,'EV Forecast VRZ'!$F$124:$T$130,7,FALSE)))*C183/78,0)</f>
        <v>6518.1251859758631</v>
      </c>
      <c r="Q183" s="47">
        <f t="shared" ref="Q183:Q205" si="33">O183+P183</f>
        <v>31007589.935222507</v>
      </c>
    </row>
    <row r="184" spans="1:17">
      <c r="A184" s="2">
        <f t="shared" si="29"/>
        <v>47573</v>
      </c>
      <c r="B184">
        <f t="shared" si="30"/>
        <v>2030</v>
      </c>
      <c r="C184">
        <f t="shared" si="31"/>
        <v>3</v>
      </c>
      <c r="E184" s="3">
        <v>21</v>
      </c>
      <c r="F184" s="391">
        <f>F172*(1+'Economic Data'!$AC$17)</f>
        <v>931353.97186869767</v>
      </c>
      <c r="G184" s="3">
        <f t="shared" si="32"/>
        <v>1</v>
      </c>
      <c r="J184" s="3">
        <f t="shared" si="23"/>
        <v>-37000000</v>
      </c>
      <c r="K184" s="3">
        <f t="shared" si="24"/>
        <v>7313025.2999999998</v>
      </c>
      <c r="L184" s="3">
        <f t="shared" si="25"/>
        <v>61384525.11003653</v>
      </c>
      <c r="M184" s="3">
        <f t="shared" si="26"/>
        <v>793454.7</v>
      </c>
      <c r="N184" s="3">
        <f t="shared" si="27"/>
        <v>0</v>
      </c>
      <c r="O184" s="47">
        <f t="shared" si="28"/>
        <v>32491005.11003653</v>
      </c>
      <c r="P184" s="47">
        <f>IFERROR(HLOOKUP(B184-1,'EV Forecast VRZ'!$F$124:$T$130,7,FALSE)/12,0)+IFERROR(((HLOOKUP(B184,'EV Forecast VRZ'!$F$116:$T$122,7,FALSE)-HLOOKUP(B184-1,'EV Forecast VRZ'!$F$124:$T$130,7,FALSE)))*C184/78,0)</f>
        <v>6618.7025569861735</v>
      </c>
      <c r="Q184" s="47">
        <f t="shared" si="33"/>
        <v>32497623.812593516</v>
      </c>
    </row>
    <row r="185" spans="1:17">
      <c r="A185" s="2">
        <f t="shared" si="29"/>
        <v>47603</v>
      </c>
      <c r="B185">
        <f t="shared" si="30"/>
        <v>2030</v>
      </c>
      <c r="C185">
        <f t="shared" si="31"/>
        <v>4</v>
      </c>
      <c r="E185" s="3">
        <v>21</v>
      </c>
      <c r="F185" s="391">
        <f>F173*(1+'Economic Data'!$AC$17)</f>
        <v>931353.97186869767</v>
      </c>
      <c r="G185" s="3">
        <f t="shared" si="32"/>
        <v>1</v>
      </c>
      <c r="J185" s="3">
        <f t="shared" si="23"/>
        <v>-37000000</v>
      </c>
      <c r="K185" s="3">
        <f t="shared" si="24"/>
        <v>7313025.2999999998</v>
      </c>
      <c r="L185" s="3">
        <f t="shared" si="25"/>
        <v>61384525.11003653</v>
      </c>
      <c r="M185" s="3">
        <f t="shared" si="26"/>
        <v>793454.7</v>
      </c>
      <c r="N185" s="3">
        <f t="shared" si="27"/>
        <v>0</v>
      </c>
      <c r="O185" s="47">
        <f t="shared" si="28"/>
        <v>32491005.11003653</v>
      </c>
      <c r="P185" s="47">
        <f>IFERROR(HLOOKUP(B185-1,'EV Forecast VRZ'!$F$124:$T$130,7,FALSE)/12,0)+IFERROR(((HLOOKUP(B185,'EV Forecast VRZ'!$F$116:$T$122,7,FALSE)-HLOOKUP(B185-1,'EV Forecast VRZ'!$F$124:$T$130,7,FALSE)))*C185/78,0)</f>
        <v>6719.2799279964829</v>
      </c>
      <c r="Q185" s="47">
        <f t="shared" si="33"/>
        <v>32497724.389964525</v>
      </c>
    </row>
    <row r="186" spans="1:17">
      <c r="A186" s="2">
        <f t="shared" si="29"/>
        <v>47634</v>
      </c>
      <c r="B186">
        <f t="shared" si="30"/>
        <v>2030</v>
      </c>
      <c r="C186">
        <f t="shared" si="31"/>
        <v>5</v>
      </c>
      <c r="E186" s="3">
        <v>22</v>
      </c>
      <c r="F186" s="391">
        <f>F174*(1+'Economic Data'!$AC$17)</f>
        <v>931353.97186869767</v>
      </c>
      <c r="G186" s="3">
        <f t="shared" si="32"/>
        <v>1</v>
      </c>
      <c r="J186" s="3">
        <f t="shared" si="23"/>
        <v>-37000000</v>
      </c>
      <c r="K186" s="3">
        <f t="shared" si="24"/>
        <v>7661264.5999999996</v>
      </c>
      <c r="L186" s="3">
        <f t="shared" si="25"/>
        <v>61384525.11003653</v>
      </c>
      <c r="M186" s="3">
        <f t="shared" si="26"/>
        <v>793454.7</v>
      </c>
      <c r="N186" s="3">
        <f t="shared" si="27"/>
        <v>0</v>
      </c>
      <c r="O186" s="47">
        <f t="shared" si="28"/>
        <v>32839244.41003653</v>
      </c>
      <c r="P186" s="47">
        <f>IFERROR(HLOOKUP(B186-1,'EV Forecast VRZ'!$F$124:$T$130,7,FALSE)/12,0)+IFERROR(((HLOOKUP(B186,'EV Forecast VRZ'!$F$116:$T$122,7,FALSE)-HLOOKUP(B186-1,'EV Forecast VRZ'!$F$124:$T$130,7,FALSE)))*C186/78,0)</f>
        <v>6819.8572990067933</v>
      </c>
      <c r="Q186" s="47">
        <f t="shared" si="33"/>
        <v>32846064.267335538</v>
      </c>
    </row>
    <row r="187" spans="1:17">
      <c r="A187" s="2">
        <f t="shared" si="29"/>
        <v>47664</v>
      </c>
      <c r="B187">
        <f t="shared" si="30"/>
        <v>2030</v>
      </c>
      <c r="C187">
        <f t="shared" si="31"/>
        <v>6</v>
      </c>
      <c r="E187" s="3">
        <v>20</v>
      </c>
      <c r="F187" s="391">
        <f>F175*(1+'Economic Data'!$AC$17)</f>
        <v>931353.97186869767</v>
      </c>
      <c r="G187" s="3">
        <f t="shared" si="32"/>
        <v>0</v>
      </c>
      <c r="J187" s="3">
        <f t="shared" si="23"/>
        <v>-37000000</v>
      </c>
      <c r="K187" s="3">
        <f t="shared" si="24"/>
        <v>6964786</v>
      </c>
      <c r="L187" s="3">
        <f t="shared" si="25"/>
        <v>61384525.11003653</v>
      </c>
      <c r="M187" s="3">
        <f t="shared" si="26"/>
        <v>0</v>
      </c>
      <c r="N187" s="3">
        <f t="shared" si="27"/>
        <v>0</v>
      </c>
      <c r="O187" s="47">
        <f t="shared" si="28"/>
        <v>31349311.11003653</v>
      </c>
      <c r="P187" s="47">
        <f>IFERROR(HLOOKUP(B187-1,'EV Forecast VRZ'!$F$124:$T$130,7,FALSE)/12,0)+IFERROR(((HLOOKUP(B187,'EV Forecast VRZ'!$F$116:$T$122,7,FALSE)-HLOOKUP(B187-1,'EV Forecast VRZ'!$F$124:$T$130,7,FALSE)))*C187/78,0)</f>
        <v>6920.4346700171036</v>
      </c>
      <c r="Q187" s="47">
        <f t="shared" si="33"/>
        <v>31356231.544706546</v>
      </c>
    </row>
    <row r="188" spans="1:17">
      <c r="A188" s="2">
        <f t="shared" si="29"/>
        <v>47695</v>
      </c>
      <c r="B188">
        <f t="shared" si="30"/>
        <v>2030</v>
      </c>
      <c r="C188">
        <f t="shared" si="31"/>
        <v>7</v>
      </c>
      <c r="E188" s="3">
        <v>22</v>
      </c>
      <c r="F188" s="391">
        <f>F176*(1+'Economic Data'!$AC$17)</f>
        <v>931353.97186869767</v>
      </c>
      <c r="G188" s="3">
        <f t="shared" si="32"/>
        <v>0</v>
      </c>
      <c r="J188" s="3">
        <f t="shared" si="23"/>
        <v>-37000000</v>
      </c>
      <c r="K188" s="3">
        <f t="shared" si="24"/>
        <v>7661264.5999999996</v>
      </c>
      <c r="L188" s="3">
        <f t="shared" si="25"/>
        <v>61384525.11003653</v>
      </c>
      <c r="M188" s="3">
        <f t="shared" si="26"/>
        <v>0</v>
      </c>
      <c r="N188" s="3">
        <f t="shared" si="27"/>
        <v>0</v>
      </c>
      <c r="O188" s="47">
        <f t="shared" si="28"/>
        <v>32045789.710036531</v>
      </c>
      <c r="P188" s="47">
        <f>IFERROR(HLOOKUP(B188-1,'EV Forecast VRZ'!$F$124:$T$130,7,FALSE)/12,0)+IFERROR(((HLOOKUP(B188,'EV Forecast VRZ'!$F$116:$T$122,7,FALSE)-HLOOKUP(B188-1,'EV Forecast VRZ'!$F$124:$T$130,7,FALSE)))*C188/78,0)</f>
        <v>7021.012041027413</v>
      </c>
      <c r="Q188" s="47">
        <f t="shared" si="33"/>
        <v>32052810.72207756</v>
      </c>
    </row>
    <row r="189" spans="1:17">
      <c r="A189" s="2">
        <f t="shared" si="29"/>
        <v>47726</v>
      </c>
      <c r="B189">
        <f t="shared" si="30"/>
        <v>2030</v>
      </c>
      <c r="C189">
        <f t="shared" si="31"/>
        <v>8</v>
      </c>
      <c r="E189" s="3">
        <v>21</v>
      </c>
      <c r="F189" s="391">
        <f>F177*(1+'Economic Data'!$AC$17)</f>
        <v>931353.97186869767</v>
      </c>
      <c r="G189" s="3">
        <f t="shared" si="32"/>
        <v>0</v>
      </c>
      <c r="J189" s="3">
        <f t="shared" si="23"/>
        <v>-37000000</v>
      </c>
      <c r="K189" s="3">
        <f t="shared" si="24"/>
        <v>7313025.2999999998</v>
      </c>
      <c r="L189" s="3">
        <f t="shared" si="25"/>
        <v>61384525.11003653</v>
      </c>
      <c r="M189" s="3">
        <f t="shared" si="26"/>
        <v>0</v>
      </c>
      <c r="N189" s="3">
        <f t="shared" si="27"/>
        <v>0</v>
      </c>
      <c r="O189" s="47">
        <f t="shared" si="28"/>
        <v>31697550.41003653</v>
      </c>
      <c r="P189" s="47">
        <f>IFERROR(HLOOKUP(B189-1,'EV Forecast VRZ'!$F$124:$T$130,7,FALSE)/12,0)+IFERROR(((HLOOKUP(B189,'EV Forecast VRZ'!$F$116:$T$122,7,FALSE)-HLOOKUP(B189-1,'EV Forecast VRZ'!$F$124:$T$130,7,FALSE)))*C189/78,0)</f>
        <v>7121.5894120377234</v>
      </c>
      <c r="Q189" s="47">
        <f t="shared" si="33"/>
        <v>31704671.999448568</v>
      </c>
    </row>
    <row r="190" spans="1:17">
      <c r="A190" s="2">
        <f t="shared" si="29"/>
        <v>47756</v>
      </c>
      <c r="B190">
        <f t="shared" si="30"/>
        <v>2030</v>
      </c>
      <c r="C190">
        <f t="shared" si="31"/>
        <v>9</v>
      </c>
      <c r="E190" s="3">
        <v>20</v>
      </c>
      <c r="F190" s="391">
        <f>F178*(1+'Economic Data'!$AC$17)</f>
        <v>931353.97186869767</v>
      </c>
      <c r="G190" s="3">
        <f t="shared" si="32"/>
        <v>0</v>
      </c>
      <c r="J190" s="3">
        <f t="shared" si="23"/>
        <v>-37000000</v>
      </c>
      <c r="K190" s="3">
        <f t="shared" si="24"/>
        <v>6964786</v>
      </c>
      <c r="L190" s="3">
        <f t="shared" si="25"/>
        <v>61384525.11003653</v>
      </c>
      <c r="M190" s="3">
        <f t="shared" si="26"/>
        <v>0</v>
      </c>
      <c r="N190" s="3">
        <f t="shared" si="27"/>
        <v>0</v>
      </c>
      <c r="O190" s="47">
        <f t="shared" si="28"/>
        <v>31349311.11003653</v>
      </c>
      <c r="P190" s="47">
        <f>IFERROR(HLOOKUP(B190-1,'EV Forecast VRZ'!$F$124:$T$130,7,FALSE)/12,0)+IFERROR(((HLOOKUP(B190,'EV Forecast VRZ'!$F$116:$T$122,7,FALSE)-HLOOKUP(B190-1,'EV Forecast VRZ'!$F$124:$T$130,7,FALSE)))*C190/78,0)</f>
        <v>7222.1667830480328</v>
      </c>
      <c r="Q190" s="47">
        <f t="shared" si="33"/>
        <v>31356533.276819579</v>
      </c>
    </row>
    <row r="191" spans="1:17">
      <c r="A191" s="2">
        <f t="shared" si="29"/>
        <v>47787</v>
      </c>
      <c r="B191">
        <f t="shared" si="30"/>
        <v>2030</v>
      </c>
      <c r="C191">
        <f t="shared" si="31"/>
        <v>10</v>
      </c>
      <c r="E191" s="3">
        <v>22</v>
      </c>
      <c r="F191" s="391">
        <f>F179*(1+'Economic Data'!$AC$17)</f>
        <v>931353.97186869767</v>
      </c>
      <c r="G191" s="3">
        <f t="shared" si="32"/>
        <v>0</v>
      </c>
      <c r="J191" s="3">
        <f t="shared" si="23"/>
        <v>-37000000</v>
      </c>
      <c r="K191" s="3">
        <f t="shared" si="24"/>
        <v>7661264.5999999996</v>
      </c>
      <c r="L191" s="3">
        <f t="shared" si="25"/>
        <v>61384525.11003653</v>
      </c>
      <c r="M191" s="3">
        <f t="shared" si="26"/>
        <v>0</v>
      </c>
      <c r="N191" s="3">
        <f t="shared" si="27"/>
        <v>0</v>
      </c>
      <c r="O191" s="47">
        <f t="shared" si="28"/>
        <v>32045789.710036531</v>
      </c>
      <c r="P191" s="47">
        <f>IFERROR(HLOOKUP(B191-1,'EV Forecast VRZ'!$F$124:$T$130,7,FALSE)/12,0)+IFERROR(((HLOOKUP(B191,'EV Forecast VRZ'!$F$116:$T$122,7,FALSE)-HLOOKUP(B191-1,'EV Forecast VRZ'!$F$124:$T$130,7,FALSE)))*C191/78,0)</f>
        <v>7322.7441540583432</v>
      </c>
      <c r="Q191" s="47">
        <f t="shared" si="33"/>
        <v>32053112.454190589</v>
      </c>
    </row>
    <row r="192" spans="1:17">
      <c r="A192" s="2">
        <f t="shared" si="29"/>
        <v>47817</v>
      </c>
      <c r="B192">
        <f t="shared" si="30"/>
        <v>2030</v>
      </c>
      <c r="C192">
        <f t="shared" si="31"/>
        <v>11</v>
      </c>
      <c r="E192" s="3">
        <v>21</v>
      </c>
      <c r="F192" s="391">
        <f>F180*(1+'Economic Data'!$AC$17)</f>
        <v>931353.97186869767</v>
      </c>
      <c r="G192" s="3">
        <f t="shared" si="32"/>
        <v>0</v>
      </c>
      <c r="J192" s="3">
        <f t="shared" si="23"/>
        <v>-37000000</v>
      </c>
      <c r="K192" s="3">
        <f t="shared" si="24"/>
        <v>7313025.2999999998</v>
      </c>
      <c r="L192" s="3">
        <f t="shared" si="25"/>
        <v>61384525.11003653</v>
      </c>
      <c r="M192" s="3">
        <f t="shared" si="26"/>
        <v>0</v>
      </c>
      <c r="N192" s="3">
        <f t="shared" si="27"/>
        <v>0</v>
      </c>
      <c r="O192" s="47">
        <f t="shared" si="28"/>
        <v>31697550.41003653</v>
      </c>
      <c r="P192" s="47">
        <f>IFERROR(HLOOKUP(B192-1,'EV Forecast VRZ'!$F$124:$T$130,7,FALSE)/12,0)+IFERROR(((HLOOKUP(B192,'EV Forecast VRZ'!$F$116:$T$122,7,FALSE)-HLOOKUP(B192-1,'EV Forecast VRZ'!$F$124:$T$130,7,FALSE)))*C192/78,0)</f>
        <v>7423.3215250686535</v>
      </c>
      <c r="Q192" s="47">
        <f t="shared" si="33"/>
        <v>31704973.731561597</v>
      </c>
    </row>
    <row r="193" spans="1:17">
      <c r="A193" s="2">
        <f t="shared" si="29"/>
        <v>47848</v>
      </c>
      <c r="B193">
        <f t="shared" si="30"/>
        <v>2030</v>
      </c>
      <c r="C193">
        <f t="shared" si="31"/>
        <v>12</v>
      </c>
      <c r="E193" s="3">
        <v>20</v>
      </c>
      <c r="F193" s="391">
        <f>F181*(1+'Economic Data'!$AC$17)</f>
        <v>931353.97186869767</v>
      </c>
      <c r="G193" s="3">
        <f t="shared" si="32"/>
        <v>0</v>
      </c>
      <c r="J193" s="3">
        <f t="shared" si="23"/>
        <v>-37000000</v>
      </c>
      <c r="K193" s="3">
        <f t="shared" si="24"/>
        <v>6964786</v>
      </c>
      <c r="L193" s="3">
        <f t="shared" si="25"/>
        <v>61384525.11003653</v>
      </c>
      <c r="M193" s="3">
        <f t="shared" si="26"/>
        <v>0</v>
      </c>
      <c r="N193" s="3">
        <f t="shared" si="27"/>
        <v>0</v>
      </c>
      <c r="O193" s="47">
        <f t="shared" si="28"/>
        <v>31349311.11003653</v>
      </c>
      <c r="P193" s="47">
        <f>IFERROR(HLOOKUP(B193-1,'EV Forecast VRZ'!$F$124:$T$130,7,FALSE)/12,0)+IFERROR(((HLOOKUP(B193,'EV Forecast VRZ'!$F$116:$T$122,7,FALSE)-HLOOKUP(B193-1,'EV Forecast VRZ'!$F$124:$T$130,7,FALSE)))*C193/78,0)</f>
        <v>7523.8988960789629</v>
      </c>
      <c r="Q193" s="47">
        <f t="shared" si="33"/>
        <v>31356835.008932609</v>
      </c>
    </row>
    <row r="194" spans="1:17">
      <c r="A194" s="2">
        <f t="shared" si="29"/>
        <v>47879</v>
      </c>
      <c r="B194">
        <f t="shared" si="30"/>
        <v>2031</v>
      </c>
      <c r="C194">
        <f t="shared" si="31"/>
        <v>1</v>
      </c>
      <c r="E194" s="3">
        <v>22</v>
      </c>
      <c r="F194" s="391">
        <f>F182*(1+'Economic Data'!$AC$17)</f>
        <v>949049.69733420282</v>
      </c>
      <c r="G194" s="3">
        <f t="shared" si="32"/>
        <v>0</v>
      </c>
      <c r="J194" s="3">
        <f t="shared" ref="J194:J205" si="34">$U$8</f>
        <v>-37000000</v>
      </c>
      <c r="K194" s="3">
        <f t="shared" ref="K194:K205" si="35">E194*$U$9</f>
        <v>7661264.5999999996</v>
      </c>
      <c r="L194" s="3">
        <f t="shared" ref="L194:L205" si="36">F194*$U$10</f>
        <v>62550831.087127216</v>
      </c>
      <c r="M194" s="3">
        <f t="shared" ref="M194:M205" si="37">G194*$U$11</f>
        <v>0</v>
      </c>
      <c r="N194" s="3">
        <f t="shared" ref="N194:N205" si="38">H194*$U$12</f>
        <v>0</v>
      </c>
      <c r="O194" s="47">
        <f t="shared" si="28"/>
        <v>33212095.687127218</v>
      </c>
      <c r="P194" s="47">
        <f>IFERROR(HLOOKUP(B194-1,'EV Forecast VRZ'!$F$124:$T$130,7,FALSE)/12,0)+IFERROR(((HLOOKUP(B194,'EV Forecast VRZ'!$F$116:$T$122,7,FALSE)-HLOOKUP(B194-1,'EV Forecast VRZ'!$F$124:$T$130,7,FALSE)))*C194/78,0)</f>
        <v>7736.601224710389</v>
      </c>
      <c r="Q194" s="47">
        <f t="shared" si="33"/>
        <v>33219832.288351927</v>
      </c>
    </row>
    <row r="195" spans="1:17">
      <c r="A195" s="2">
        <f t="shared" si="29"/>
        <v>47907</v>
      </c>
      <c r="B195">
        <f t="shared" si="30"/>
        <v>2031</v>
      </c>
      <c r="C195">
        <f t="shared" si="31"/>
        <v>2</v>
      </c>
      <c r="E195" s="3">
        <v>19</v>
      </c>
      <c r="F195" s="391">
        <f>F183*(1+'Economic Data'!$AC$17)</f>
        <v>949049.69733420282</v>
      </c>
      <c r="G195" s="3">
        <f t="shared" si="32"/>
        <v>0</v>
      </c>
      <c r="J195" s="3">
        <f t="shared" si="34"/>
        <v>-37000000</v>
      </c>
      <c r="K195" s="3">
        <f t="shared" si="35"/>
        <v>6616546.7000000002</v>
      </c>
      <c r="L195" s="3">
        <f t="shared" si="36"/>
        <v>62550831.087127216</v>
      </c>
      <c r="M195" s="3">
        <f t="shared" si="37"/>
        <v>0</v>
      </c>
      <c r="N195" s="3">
        <f t="shared" si="38"/>
        <v>0</v>
      </c>
      <c r="O195" s="47">
        <f t="shared" si="28"/>
        <v>32167377.787127215</v>
      </c>
      <c r="P195" s="47">
        <f>IFERROR(HLOOKUP(B195-1,'EV Forecast VRZ'!$F$124:$T$130,7,FALSE)/12,0)+IFERROR(((HLOOKUP(B195,'EV Forecast VRZ'!$F$116:$T$122,7,FALSE)-HLOOKUP(B195-1,'EV Forecast VRZ'!$F$124:$T$130,7,FALSE)))*C195/78,0)</f>
        <v>7848.7261823315048</v>
      </c>
      <c r="Q195" s="47">
        <f t="shared" si="33"/>
        <v>32175226.513309546</v>
      </c>
    </row>
    <row r="196" spans="1:17">
      <c r="A196" s="2">
        <f t="shared" si="29"/>
        <v>47938</v>
      </c>
      <c r="B196">
        <f t="shared" si="30"/>
        <v>2031</v>
      </c>
      <c r="C196">
        <f t="shared" si="31"/>
        <v>3</v>
      </c>
      <c r="E196" s="3">
        <v>21</v>
      </c>
      <c r="F196" s="391">
        <f>F184*(1+'Economic Data'!$AC$17)</f>
        <v>949049.69733420282</v>
      </c>
      <c r="G196" s="3">
        <f t="shared" si="32"/>
        <v>1</v>
      </c>
      <c r="J196" s="3">
        <f t="shared" si="34"/>
        <v>-37000000</v>
      </c>
      <c r="K196" s="3">
        <f t="shared" si="35"/>
        <v>7313025.2999999998</v>
      </c>
      <c r="L196" s="3">
        <f t="shared" si="36"/>
        <v>62550831.087127216</v>
      </c>
      <c r="M196" s="3">
        <f t="shared" si="37"/>
        <v>793454.7</v>
      </c>
      <c r="N196" s="3">
        <f t="shared" si="38"/>
        <v>0</v>
      </c>
      <c r="O196" s="47">
        <f t="shared" si="28"/>
        <v>33657311.087127216</v>
      </c>
      <c r="P196" s="47">
        <f>IFERROR(HLOOKUP(B196-1,'EV Forecast VRZ'!$F$124:$T$130,7,FALSE)/12,0)+IFERROR(((HLOOKUP(B196,'EV Forecast VRZ'!$F$116:$T$122,7,FALSE)-HLOOKUP(B196-1,'EV Forecast VRZ'!$F$124:$T$130,7,FALSE)))*C196/78,0)</f>
        <v>7960.8511399526205</v>
      </c>
      <c r="Q196" s="47">
        <f t="shared" si="33"/>
        <v>33665271.938267171</v>
      </c>
    </row>
    <row r="197" spans="1:17">
      <c r="A197" s="2">
        <f t="shared" si="29"/>
        <v>47968</v>
      </c>
      <c r="B197">
        <f t="shared" si="30"/>
        <v>2031</v>
      </c>
      <c r="C197">
        <f t="shared" si="31"/>
        <v>4</v>
      </c>
      <c r="E197" s="3">
        <v>21</v>
      </c>
      <c r="F197" s="391">
        <f>F185*(1+'Economic Data'!$AC$17)</f>
        <v>949049.69733420282</v>
      </c>
      <c r="G197" s="3">
        <f t="shared" si="32"/>
        <v>1</v>
      </c>
      <c r="J197" s="3">
        <f t="shared" si="34"/>
        <v>-37000000</v>
      </c>
      <c r="K197" s="3">
        <f t="shared" si="35"/>
        <v>7313025.2999999998</v>
      </c>
      <c r="L197" s="3">
        <f t="shared" si="36"/>
        <v>62550831.087127216</v>
      </c>
      <c r="M197" s="3">
        <f t="shared" si="37"/>
        <v>793454.7</v>
      </c>
      <c r="N197" s="3">
        <f t="shared" si="38"/>
        <v>0</v>
      </c>
      <c r="O197" s="47">
        <f t="shared" si="28"/>
        <v>33657311.087127216</v>
      </c>
      <c r="P197" s="47">
        <f>IFERROR(HLOOKUP(B197-1,'EV Forecast VRZ'!$F$124:$T$130,7,FALSE)/12,0)+IFERROR(((HLOOKUP(B197,'EV Forecast VRZ'!$F$116:$T$122,7,FALSE)-HLOOKUP(B197-1,'EV Forecast VRZ'!$F$124:$T$130,7,FALSE)))*C197/78,0)</f>
        <v>8072.9760975737363</v>
      </c>
      <c r="Q197" s="47">
        <f t="shared" si="33"/>
        <v>33665384.063224792</v>
      </c>
    </row>
    <row r="198" spans="1:17">
      <c r="A198" s="2">
        <f t="shared" si="29"/>
        <v>47999</v>
      </c>
      <c r="B198">
        <f t="shared" si="30"/>
        <v>2031</v>
      </c>
      <c r="C198">
        <f t="shared" si="31"/>
        <v>5</v>
      </c>
      <c r="E198" s="3">
        <v>21</v>
      </c>
      <c r="F198" s="391">
        <f>F186*(1+'Economic Data'!$AC$17)</f>
        <v>949049.69733420282</v>
      </c>
      <c r="G198" s="3">
        <f t="shared" si="32"/>
        <v>1</v>
      </c>
      <c r="J198" s="3">
        <f t="shared" si="34"/>
        <v>-37000000</v>
      </c>
      <c r="K198" s="3">
        <f t="shared" si="35"/>
        <v>7313025.2999999998</v>
      </c>
      <c r="L198" s="3">
        <f t="shared" si="36"/>
        <v>62550831.087127216</v>
      </c>
      <c r="M198" s="3">
        <f t="shared" si="37"/>
        <v>793454.7</v>
      </c>
      <c r="N198" s="3">
        <f t="shared" si="38"/>
        <v>0</v>
      </c>
      <c r="O198" s="47">
        <f t="shared" si="28"/>
        <v>33657311.087127216</v>
      </c>
      <c r="P198" s="47">
        <f>IFERROR(HLOOKUP(B198-1,'EV Forecast VRZ'!$F$124:$T$130,7,FALSE)/12,0)+IFERROR(((HLOOKUP(B198,'EV Forecast VRZ'!$F$116:$T$122,7,FALSE)-HLOOKUP(B198-1,'EV Forecast VRZ'!$F$124:$T$130,7,FALSE)))*C198/78,0)</f>
        <v>8185.101055194853</v>
      </c>
      <c r="Q198" s="47">
        <f t="shared" si="33"/>
        <v>33665496.188182414</v>
      </c>
    </row>
    <row r="199" spans="1:17">
      <c r="A199" s="2">
        <f t="shared" si="29"/>
        <v>48029</v>
      </c>
      <c r="B199">
        <f t="shared" si="30"/>
        <v>2031</v>
      </c>
      <c r="C199">
        <f t="shared" si="31"/>
        <v>6</v>
      </c>
      <c r="E199" s="3">
        <v>21</v>
      </c>
      <c r="F199" s="391">
        <f>F187*(1+'Economic Data'!$AC$17)</f>
        <v>949049.69733420282</v>
      </c>
      <c r="G199" s="3">
        <f t="shared" si="32"/>
        <v>0</v>
      </c>
      <c r="J199" s="3">
        <f t="shared" si="34"/>
        <v>-37000000</v>
      </c>
      <c r="K199" s="3">
        <f t="shared" si="35"/>
        <v>7313025.2999999998</v>
      </c>
      <c r="L199" s="3">
        <f t="shared" si="36"/>
        <v>62550831.087127216</v>
      </c>
      <c r="M199" s="3">
        <f t="shared" si="37"/>
        <v>0</v>
      </c>
      <c r="N199" s="3">
        <f t="shared" si="38"/>
        <v>0</v>
      </c>
      <c r="O199" s="47">
        <f t="shared" si="28"/>
        <v>32863856.387127217</v>
      </c>
      <c r="P199" s="47">
        <f>IFERROR(HLOOKUP(B199-1,'EV Forecast VRZ'!$F$124:$T$130,7,FALSE)/12,0)+IFERROR(((HLOOKUP(B199,'EV Forecast VRZ'!$F$116:$T$122,7,FALSE)-HLOOKUP(B199-1,'EV Forecast VRZ'!$F$124:$T$130,7,FALSE)))*C199/78,0)</f>
        <v>8297.2260128159687</v>
      </c>
      <c r="Q199" s="47">
        <f t="shared" si="33"/>
        <v>32872153.613140032</v>
      </c>
    </row>
    <row r="200" spans="1:17">
      <c r="A200" s="2">
        <f t="shared" si="29"/>
        <v>48060</v>
      </c>
      <c r="B200">
        <f t="shared" si="30"/>
        <v>2031</v>
      </c>
      <c r="C200">
        <f t="shared" si="31"/>
        <v>7</v>
      </c>
      <c r="E200" s="3">
        <v>22</v>
      </c>
      <c r="F200" s="391">
        <f>F188*(1+'Economic Data'!$AC$17)</f>
        <v>949049.69733420282</v>
      </c>
      <c r="G200" s="3">
        <f t="shared" si="32"/>
        <v>0</v>
      </c>
      <c r="J200" s="3">
        <f t="shared" si="34"/>
        <v>-37000000</v>
      </c>
      <c r="K200" s="3">
        <f t="shared" si="35"/>
        <v>7661264.5999999996</v>
      </c>
      <c r="L200" s="3">
        <f t="shared" si="36"/>
        <v>62550831.087127216</v>
      </c>
      <c r="M200" s="3">
        <f t="shared" si="37"/>
        <v>0</v>
      </c>
      <c r="N200" s="3">
        <f t="shared" si="38"/>
        <v>0</v>
      </c>
      <c r="O200" s="47">
        <f t="shared" si="28"/>
        <v>33212095.687127218</v>
      </c>
      <c r="P200" s="47">
        <f>IFERROR(HLOOKUP(B200-1,'EV Forecast VRZ'!$F$124:$T$130,7,FALSE)/12,0)+IFERROR(((HLOOKUP(B200,'EV Forecast VRZ'!$F$116:$T$122,7,FALSE)-HLOOKUP(B200-1,'EV Forecast VRZ'!$F$124:$T$130,7,FALSE)))*C200/78,0)</f>
        <v>8409.3509704370845</v>
      </c>
      <c r="Q200" s="47">
        <f t="shared" si="33"/>
        <v>33220505.038097654</v>
      </c>
    </row>
    <row r="201" spans="1:17">
      <c r="A201" s="2">
        <f t="shared" si="29"/>
        <v>48091</v>
      </c>
      <c r="B201">
        <f t="shared" si="30"/>
        <v>2031</v>
      </c>
      <c r="C201">
        <f t="shared" si="31"/>
        <v>8</v>
      </c>
      <c r="E201" s="3">
        <v>20</v>
      </c>
      <c r="F201" s="391">
        <f>F189*(1+'Economic Data'!$AC$17)</f>
        <v>949049.69733420282</v>
      </c>
      <c r="G201" s="3">
        <f t="shared" si="32"/>
        <v>0</v>
      </c>
      <c r="J201" s="3">
        <f t="shared" si="34"/>
        <v>-37000000</v>
      </c>
      <c r="K201" s="3">
        <f t="shared" si="35"/>
        <v>6964786</v>
      </c>
      <c r="L201" s="3">
        <f t="shared" si="36"/>
        <v>62550831.087127216</v>
      </c>
      <c r="M201" s="3">
        <f t="shared" si="37"/>
        <v>0</v>
      </c>
      <c r="N201" s="3">
        <f t="shared" si="38"/>
        <v>0</v>
      </c>
      <c r="O201" s="47">
        <f t="shared" si="28"/>
        <v>32515617.087127216</v>
      </c>
      <c r="P201" s="47">
        <f>IFERROR(HLOOKUP(B201-1,'EV Forecast VRZ'!$F$124:$T$130,7,FALSE)/12,0)+IFERROR(((HLOOKUP(B201,'EV Forecast VRZ'!$F$116:$T$122,7,FALSE)-HLOOKUP(B201-1,'EV Forecast VRZ'!$F$124:$T$130,7,FALSE)))*C201/78,0)</f>
        <v>8521.4759280582002</v>
      </c>
      <c r="Q201" s="47">
        <f t="shared" si="33"/>
        <v>32524138.563055273</v>
      </c>
    </row>
    <row r="202" spans="1:17">
      <c r="A202" s="2">
        <f t="shared" si="29"/>
        <v>48121</v>
      </c>
      <c r="B202">
        <f t="shared" si="30"/>
        <v>2031</v>
      </c>
      <c r="C202">
        <f t="shared" si="31"/>
        <v>9</v>
      </c>
      <c r="E202" s="3">
        <v>21</v>
      </c>
      <c r="F202" s="391">
        <f>F190*(1+'Economic Data'!$AC$17)</f>
        <v>949049.69733420282</v>
      </c>
      <c r="G202" s="3">
        <f t="shared" si="32"/>
        <v>0</v>
      </c>
      <c r="J202" s="3">
        <f t="shared" si="34"/>
        <v>-37000000</v>
      </c>
      <c r="K202" s="3">
        <f t="shared" si="35"/>
        <v>7313025.2999999998</v>
      </c>
      <c r="L202" s="3">
        <f t="shared" si="36"/>
        <v>62550831.087127216</v>
      </c>
      <c r="M202" s="3">
        <f t="shared" si="37"/>
        <v>0</v>
      </c>
      <c r="N202" s="3">
        <f t="shared" si="38"/>
        <v>0</v>
      </c>
      <c r="O202" s="47">
        <f t="shared" si="28"/>
        <v>32863856.387127217</v>
      </c>
      <c r="P202" s="47">
        <f>IFERROR(HLOOKUP(B202-1,'EV Forecast VRZ'!$F$124:$T$130,7,FALSE)/12,0)+IFERROR(((HLOOKUP(B202,'EV Forecast VRZ'!$F$116:$T$122,7,FALSE)-HLOOKUP(B202-1,'EV Forecast VRZ'!$F$124:$T$130,7,FALSE)))*C202/78,0)</f>
        <v>8633.600885679316</v>
      </c>
      <c r="Q202" s="47">
        <f t="shared" si="33"/>
        <v>32872489.988012895</v>
      </c>
    </row>
    <row r="203" spans="1:17">
      <c r="A203" s="2">
        <f t="shared" si="29"/>
        <v>48152</v>
      </c>
      <c r="B203">
        <f t="shared" si="30"/>
        <v>2031</v>
      </c>
      <c r="C203">
        <f t="shared" si="31"/>
        <v>10</v>
      </c>
      <c r="E203" s="3">
        <v>22</v>
      </c>
      <c r="F203" s="391">
        <f>F191*(1+'Economic Data'!$AC$17)</f>
        <v>949049.69733420282</v>
      </c>
      <c r="G203" s="3">
        <f t="shared" si="32"/>
        <v>0</v>
      </c>
      <c r="J203" s="3">
        <f t="shared" si="34"/>
        <v>-37000000</v>
      </c>
      <c r="K203" s="3">
        <f t="shared" si="35"/>
        <v>7661264.5999999996</v>
      </c>
      <c r="L203" s="3">
        <f t="shared" si="36"/>
        <v>62550831.087127216</v>
      </c>
      <c r="M203" s="3">
        <f t="shared" si="37"/>
        <v>0</v>
      </c>
      <c r="N203" s="3">
        <f t="shared" si="38"/>
        <v>0</v>
      </c>
      <c r="O203" s="47">
        <f t="shared" si="28"/>
        <v>33212095.687127218</v>
      </c>
      <c r="P203" s="47">
        <f>IFERROR(HLOOKUP(B203-1,'EV Forecast VRZ'!$F$124:$T$130,7,FALSE)/12,0)+IFERROR(((HLOOKUP(B203,'EV Forecast VRZ'!$F$116:$T$122,7,FALSE)-HLOOKUP(B203-1,'EV Forecast VRZ'!$F$124:$T$130,7,FALSE)))*C203/78,0)</f>
        <v>8745.7258433004317</v>
      </c>
      <c r="Q203" s="47">
        <f t="shared" si="33"/>
        <v>33220841.412970517</v>
      </c>
    </row>
    <row r="204" spans="1:17">
      <c r="A204" s="2">
        <f t="shared" si="29"/>
        <v>48182</v>
      </c>
      <c r="B204">
        <f t="shared" si="30"/>
        <v>2031</v>
      </c>
      <c r="C204">
        <f t="shared" si="31"/>
        <v>11</v>
      </c>
      <c r="E204" s="3">
        <v>20</v>
      </c>
      <c r="F204" s="391">
        <f>F192*(1+'Economic Data'!$AC$17)</f>
        <v>949049.69733420282</v>
      </c>
      <c r="G204" s="3">
        <f t="shared" si="32"/>
        <v>0</v>
      </c>
      <c r="J204" s="3">
        <f t="shared" si="34"/>
        <v>-37000000</v>
      </c>
      <c r="K204" s="3">
        <f t="shared" si="35"/>
        <v>6964786</v>
      </c>
      <c r="L204" s="3">
        <f t="shared" si="36"/>
        <v>62550831.087127216</v>
      </c>
      <c r="M204" s="3">
        <f t="shared" si="37"/>
        <v>0</v>
      </c>
      <c r="N204" s="3">
        <f t="shared" si="38"/>
        <v>0</v>
      </c>
      <c r="O204" s="47">
        <f t="shared" si="28"/>
        <v>32515617.087127216</v>
      </c>
      <c r="P204" s="47">
        <f>IFERROR(HLOOKUP(B204-1,'EV Forecast VRZ'!$F$124:$T$130,7,FALSE)/12,0)+IFERROR(((HLOOKUP(B204,'EV Forecast VRZ'!$F$116:$T$122,7,FALSE)-HLOOKUP(B204-1,'EV Forecast VRZ'!$F$124:$T$130,7,FALSE)))*C204/78,0)</f>
        <v>8857.8508009215475</v>
      </c>
      <c r="Q204" s="47">
        <f t="shared" si="33"/>
        <v>32524474.937928136</v>
      </c>
    </row>
    <row r="205" spans="1:17">
      <c r="A205" s="2">
        <f t="shared" si="29"/>
        <v>48213</v>
      </c>
      <c r="B205">
        <f t="shared" si="30"/>
        <v>2031</v>
      </c>
      <c r="C205">
        <f t="shared" si="31"/>
        <v>12</v>
      </c>
      <c r="E205" s="3">
        <v>21</v>
      </c>
      <c r="F205" s="391">
        <f>F193*(1+'Economic Data'!$AC$17)</f>
        <v>949049.69733420282</v>
      </c>
      <c r="G205" s="3">
        <f t="shared" si="32"/>
        <v>0</v>
      </c>
      <c r="J205" s="3">
        <f t="shared" si="34"/>
        <v>-37000000</v>
      </c>
      <c r="K205" s="3">
        <f t="shared" si="35"/>
        <v>7313025.2999999998</v>
      </c>
      <c r="L205" s="3">
        <f t="shared" si="36"/>
        <v>62550831.087127216</v>
      </c>
      <c r="M205" s="3">
        <f t="shared" si="37"/>
        <v>0</v>
      </c>
      <c r="N205" s="3">
        <f t="shared" si="38"/>
        <v>0</v>
      </c>
      <c r="O205" s="47">
        <f t="shared" si="28"/>
        <v>32863856.387127217</v>
      </c>
      <c r="P205" s="47">
        <f>IFERROR(HLOOKUP(B205-1,'EV Forecast VRZ'!$F$124:$T$130,7,FALSE)/12,0)+IFERROR(((HLOOKUP(B205,'EV Forecast VRZ'!$F$116:$T$122,7,FALSE)-HLOOKUP(B205-1,'EV Forecast VRZ'!$F$124:$T$130,7,FALSE)))*C205/78,0)</f>
        <v>8969.9757585426632</v>
      </c>
      <c r="Q205" s="47">
        <f t="shared" si="33"/>
        <v>32872826.362885758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BC82A-8CFE-4C10-BED2-A84CAF483902}">
  <sheetPr codeName="Sheet6">
    <tabColor theme="2" tint="-9.9978637043366805E-2"/>
  </sheetPr>
  <dimension ref="A1:AD248"/>
  <sheetViews>
    <sheetView workbookViewId="0"/>
  </sheetViews>
  <sheetFormatPr defaultRowHeight="15"/>
  <cols>
    <col min="1" max="1" width="10.5703125" bestFit="1" customWidth="1"/>
    <col min="2" max="2" width="10.5703125" customWidth="1"/>
    <col min="3" max="3" width="3.42578125" customWidth="1"/>
    <col min="4" max="4" width="19.5703125" bestFit="1" customWidth="1"/>
    <col min="5" max="5" width="16.42578125" bestFit="1" customWidth="1"/>
    <col min="6" max="9" width="13.5703125" customWidth="1"/>
    <col min="10" max="10" width="17" style="14" customWidth="1"/>
    <col min="11" max="12" width="11.5703125" style="14" bestFit="1" customWidth="1"/>
    <col min="13" max="13" width="10.5703125" style="14" bestFit="1" customWidth="1"/>
    <col min="14" max="14" width="12.5703125" style="14" bestFit="1" customWidth="1"/>
    <col min="15" max="19" width="10.5703125" style="14" customWidth="1"/>
    <col min="20" max="21" width="14.5703125" customWidth="1"/>
    <col min="22" max="22" width="9.42578125" customWidth="1"/>
    <col min="23" max="24" width="14.5703125" customWidth="1"/>
    <col min="25" max="25" width="9.5703125" bestFit="1" customWidth="1"/>
    <col min="26" max="26" width="10" bestFit="1" customWidth="1"/>
    <col min="27" max="27" width="10.42578125" customWidth="1"/>
    <col min="28" max="28" width="3.85546875" customWidth="1"/>
  </cols>
  <sheetData>
    <row r="1" spans="1:30">
      <c r="D1" s="825" t="s">
        <v>68</v>
      </c>
      <c r="E1" s="825"/>
      <c r="F1" s="825" t="s">
        <v>83</v>
      </c>
      <c r="G1" s="825"/>
      <c r="H1" s="825" t="s">
        <v>84</v>
      </c>
      <c r="I1" s="825"/>
      <c r="J1" s="826" t="s">
        <v>69</v>
      </c>
      <c r="K1" s="826"/>
      <c r="L1" s="826"/>
      <c r="M1" s="826"/>
      <c r="N1" s="826" t="s">
        <v>70</v>
      </c>
      <c r="O1" s="826"/>
      <c r="P1" s="826"/>
      <c r="Q1" s="826"/>
      <c r="R1" s="13"/>
      <c r="S1" s="13"/>
    </row>
    <row r="2" spans="1:30">
      <c r="D2" t="s">
        <v>71</v>
      </c>
      <c r="E2" t="s">
        <v>72</v>
      </c>
      <c r="F2" t="s">
        <v>71</v>
      </c>
      <c r="G2" t="s">
        <v>72</v>
      </c>
      <c r="H2" t="s">
        <v>71</v>
      </c>
      <c r="I2" t="s">
        <v>72</v>
      </c>
      <c r="J2" s="14" t="s">
        <v>73</v>
      </c>
      <c r="K2" s="14" t="s">
        <v>89</v>
      </c>
      <c r="L2" s="14" t="s">
        <v>90</v>
      </c>
      <c r="M2" s="14" t="s">
        <v>91</v>
      </c>
      <c r="N2" s="14" t="s">
        <v>74</v>
      </c>
      <c r="O2" s="14" t="s">
        <v>99</v>
      </c>
      <c r="P2" s="14" t="s">
        <v>100</v>
      </c>
      <c r="Q2" s="14" t="s">
        <v>101</v>
      </c>
      <c r="R2" s="14" t="s">
        <v>102</v>
      </c>
    </row>
    <row r="3" spans="1:30" ht="15.75">
      <c r="D3" s="828" t="s">
        <v>670</v>
      </c>
      <c r="E3" s="828"/>
      <c r="F3" s="828"/>
      <c r="G3" s="828"/>
      <c r="H3" s="828"/>
      <c r="I3" s="828"/>
      <c r="J3" s="827" t="s">
        <v>75</v>
      </c>
      <c r="K3" s="827"/>
      <c r="L3" s="827"/>
      <c r="M3" s="827"/>
      <c r="N3" s="826" t="s">
        <v>76</v>
      </c>
      <c r="O3" s="826"/>
      <c r="P3" s="826"/>
      <c r="Q3" s="13"/>
      <c r="R3" s="13"/>
      <c r="S3" s="13"/>
    </row>
    <row r="4" spans="1:30" ht="15.75">
      <c r="A4" s="2">
        <v>41640</v>
      </c>
      <c r="B4">
        <f t="shared" ref="B4:B43" si="0">YEAR(A4)</f>
        <v>2014</v>
      </c>
      <c r="C4" s="2" t="s">
        <v>77</v>
      </c>
      <c r="D4" s="15">
        <v>6794.1</v>
      </c>
      <c r="E4" s="15">
        <v>6752.6</v>
      </c>
      <c r="F4" s="15">
        <v>187.7</v>
      </c>
      <c r="G4" s="15">
        <v>187.7</v>
      </c>
      <c r="H4">
        <v>30.9</v>
      </c>
      <c r="I4">
        <v>30.9</v>
      </c>
      <c r="J4" s="25">
        <v>708787.6</v>
      </c>
      <c r="K4" s="25">
        <v>544049.6</v>
      </c>
      <c r="L4" s="25">
        <v>88755.3</v>
      </c>
      <c r="M4" s="25">
        <v>28059</v>
      </c>
      <c r="N4" s="25">
        <v>699057</v>
      </c>
      <c r="O4" s="25">
        <v>86971</v>
      </c>
      <c r="P4" s="25">
        <v>19586</v>
      </c>
      <c r="Q4" s="25">
        <v>536675</v>
      </c>
      <c r="R4" s="25">
        <v>27142</v>
      </c>
      <c r="S4" s="25"/>
      <c r="T4" s="36"/>
      <c r="U4" s="36"/>
    </row>
    <row r="5" spans="1:30" ht="15.75">
      <c r="A5" s="2">
        <v>41671</v>
      </c>
      <c r="B5">
        <f t="shared" si="0"/>
        <v>2014</v>
      </c>
      <c r="C5" s="2" t="s">
        <v>77</v>
      </c>
      <c r="D5" s="15">
        <v>6790.1</v>
      </c>
      <c r="E5" s="15">
        <v>6713</v>
      </c>
      <c r="F5" s="15">
        <v>188</v>
      </c>
      <c r="G5" s="15">
        <v>188</v>
      </c>
      <c r="H5">
        <v>31.6</v>
      </c>
      <c r="I5">
        <v>31.6</v>
      </c>
      <c r="J5" s="25">
        <v>708787.6</v>
      </c>
      <c r="K5" s="25">
        <v>544049.6</v>
      </c>
      <c r="L5" s="25">
        <v>88755.3</v>
      </c>
      <c r="M5" s="25">
        <v>28059</v>
      </c>
      <c r="N5" s="25">
        <v>699057</v>
      </c>
      <c r="O5" s="25">
        <v>86971</v>
      </c>
      <c r="P5" s="25">
        <v>19586</v>
      </c>
      <c r="Q5" s="25">
        <v>536675</v>
      </c>
      <c r="R5" s="25">
        <v>27142</v>
      </c>
      <c r="S5" s="25"/>
      <c r="T5" s="36"/>
      <c r="U5" s="36"/>
    </row>
    <row r="6" spans="1:30" ht="15.75">
      <c r="A6" s="2">
        <v>41699</v>
      </c>
      <c r="B6">
        <f t="shared" si="0"/>
        <v>2014</v>
      </c>
      <c r="C6" s="2" t="s">
        <v>77</v>
      </c>
      <c r="D6" s="15">
        <v>6792.1</v>
      </c>
      <c r="E6" s="15">
        <v>6684.3</v>
      </c>
      <c r="F6" s="15">
        <v>189.9</v>
      </c>
      <c r="G6" s="15">
        <v>187.9</v>
      </c>
      <c r="H6">
        <v>31.6</v>
      </c>
      <c r="I6">
        <v>31.6</v>
      </c>
      <c r="J6" s="25">
        <v>708787.6</v>
      </c>
      <c r="K6" s="25">
        <v>544049.6</v>
      </c>
      <c r="L6" s="25">
        <v>88755.3</v>
      </c>
      <c r="M6" s="25">
        <v>28059</v>
      </c>
      <c r="N6" s="25">
        <v>699057</v>
      </c>
      <c r="O6" s="25">
        <v>86971</v>
      </c>
      <c r="P6" s="25">
        <v>19586</v>
      </c>
      <c r="Q6" s="25">
        <v>536675</v>
      </c>
      <c r="R6" s="25">
        <v>27142</v>
      </c>
      <c r="S6" s="25"/>
      <c r="T6" s="36"/>
      <c r="U6" s="36"/>
    </row>
    <row r="7" spans="1:30" ht="15.75">
      <c r="A7" s="2">
        <v>41730</v>
      </c>
      <c r="B7">
        <f t="shared" si="0"/>
        <v>2014</v>
      </c>
      <c r="C7" s="2" t="s">
        <v>78</v>
      </c>
      <c r="D7" s="15">
        <v>6801.5</v>
      </c>
      <c r="E7" s="15">
        <v>6712.1</v>
      </c>
      <c r="F7" s="15">
        <v>192.7</v>
      </c>
      <c r="G7" s="15">
        <v>190.2</v>
      </c>
      <c r="H7">
        <v>31.8</v>
      </c>
      <c r="I7">
        <v>31.8</v>
      </c>
      <c r="J7" s="25">
        <v>708787.6</v>
      </c>
      <c r="K7" s="25">
        <v>544049.6</v>
      </c>
      <c r="L7" s="25">
        <v>88755.3</v>
      </c>
      <c r="M7" s="25">
        <v>28059</v>
      </c>
      <c r="N7" s="25">
        <v>705966</v>
      </c>
      <c r="O7" s="25">
        <v>88821</v>
      </c>
      <c r="P7" s="25">
        <v>20514</v>
      </c>
      <c r="Q7" s="25">
        <v>541346</v>
      </c>
      <c r="R7" s="25">
        <v>27915</v>
      </c>
      <c r="S7" s="25"/>
      <c r="T7" s="36"/>
      <c r="U7" s="36"/>
    </row>
    <row r="8" spans="1:30" ht="15.75">
      <c r="A8" s="2">
        <v>41760</v>
      </c>
      <c r="B8">
        <f t="shared" si="0"/>
        <v>2014</v>
      </c>
      <c r="C8" s="2" t="s">
        <v>78</v>
      </c>
      <c r="D8" s="15">
        <v>6805.4</v>
      </c>
      <c r="E8" s="15">
        <v>6772</v>
      </c>
      <c r="F8" s="15">
        <v>194.6</v>
      </c>
      <c r="G8" s="15">
        <v>192.6</v>
      </c>
      <c r="H8">
        <v>32.6</v>
      </c>
      <c r="I8">
        <v>32.6</v>
      </c>
      <c r="J8" s="25">
        <v>708787.6</v>
      </c>
      <c r="K8" s="25">
        <v>544049.6</v>
      </c>
      <c r="L8" s="25">
        <v>88755.3</v>
      </c>
      <c r="M8" s="25">
        <v>28059</v>
      </c>
      <c r="N8" s="25">
        <v>705966</v>
      </c>
      <c r="O8" s="25">
        <v>88821</v>
      </c>
      <c r="P8" s="25">
        <v>20514</v>
      </c>
      <c r="Q8" s="25">
        <v>541346</v>
      </c>
      <c r="R8" s="25">
        <v>27915</v>
      </c>
      <c r="S8" s="25"/>
      <c r="T8" s="36"/>
      <c r="W8" t="s">
        <v>709</v>
      </c>
    </row>
    <row r="9" spans="1:30" ht="15.75">
      <c r="A9" s="2">
        <v>41791</v>
      </c>
      <c r="B9">
        <f t="shared" si="0"/>
        <v>2014</v>
      </c>
      <c r="C9" s="2" t="s">
        <v>78</v>
      </c>
      <c r="D9" s="15">
        <v>6810.4</v>
      </c>
      <c r="E9" s="15">
        <v>6856.7</v>
      </c>
      <c r="F9" s="15">
        <v>197.6</v>
      </c>
      <c r="G9" s="15">
        <v>197.8</v>
      </c>
      <c r="H9">
        <v>32.6</v>
      </c>
      <c r="I9">
        <v>32.6</v>
      </c>
      <c r="J9" s="25">
        <v>708787.6</v>
      </c>
      <c r="K9" s="25">
        <v>544049.6</v>
      </c>
      <c r="L9" s="25">
        <v>88755.3</v>
      </c>
      <c r="M9" s="25">
        <v>28059</v>
      </c>
      <c r="N9" s="25">
        <v>705966</v>
      </c>
      <c r="O9" s="25">
        <v>88821</v>
      </c>
      <c r="P9" s="25">
        <v>20514</v>
      </c>
      <c r="Q9" s="25">
        <v>541346</v>
      </c>
      <c r="R9" s="25">
        <v>27915</v>
      </c>
      <c r="S9" s="25"/>
      <c r="T9" s="36"/>
      <c r="AA9" t="s">
        <v>92</v>
      </c>
      <c r="AD9" s="37"/>
    </row>
    <row r="10" spans="1:30" ht="15.75">
      <c r="A10" s="2">
        <v>41821</v>
      </c>
      <c r="B10">
        <f t="shared" si="0"/>
        <v>2014</v>
      </c>
      <c r="C10" s="2" t="s">
        <v>80</v>
      </c>
      <c r="D10" s="15">
        <v>6820</v>
      </c>
      <c r="E10" s="15">
        <v>6912.1</v>
      </c>
      <c r="F10" s="15">
        <v>199.5</v>
      </c>
      <c r="G10" s="15">
        <v>202</v>
      </c>
      <c r="H10">
        <v>33.1</v>
      </c>
      <c r="I10">
        <v>33.1</v>
      </c>
      <c r="J10" s="25">
        <v>708787.6</v>
      </c>
      <c r="K10" s="25">
        <v>544049.6</v>
      </c>
      <c r="L10" s="25">
        <v>88755.3</v>
      </c>
      <c r="M10" s="25">
        <v>28059</v>
      </c>
      <c r="N10" s="25">
        <v>713152</v>
      </c>
      <c r="O10" s="25">
        <v>89646</v>
      </c>
      <c r="P10" s="25">
        <v>20892</v>
      </c>
      <c r="Q10" s="25">
        <v>547090</v>
      </c>
      <c r="R10" s="25">
        <v>28402</v>
      </c>
      <c r="S10" s="25"/>
      <c r="T10" s="36"/>
      <c r="V10" s="251"/>
      <c r="W10" s="420" t="s">
        <v>56</v>
      </c>
      <c r="X10" s="253" t="s">
        <v>58</v>
      </c>
      <c r="Y10" s="253" t="s">
        <v>57</v>
      </c>
      <c r="Z10" s="253" t="s">
        <v>55</v>
      </c>
      <c r="AA10" s="421" t="s">
        <v>93</v>
      </c>
      <c r="AB10" s="422"/>
      <c r="AC10" s="253" t="s">
        <v>79</v>
      </c>
      <c r="AD10" s="423"/>
    </row>
    <row r="11" spans="1:30" ht="15.75">
      <c r="A11" s="2">
        <v>41852</v>
      </c>
      <c r="B11">
        <f t="shared" si="0"/>
        <v>2014</v>
      </c>
      <c r="C11" s="2" t="s">
        <v>80</v>
      </c>
      <c r="D11" s="15">
        <v>6825.2</v>
      </c>
      <c r="E11" s="15">
        <v>6927.1</v>
      </c>
      <c r="F11" s="15">
        <v>200.7</v>
      </c>
      <c r="G11" s="15">
        <v>203.3</v>
      </c>
      <c r="H11">
        <v>35.200000000000003</v>
      </c>
      <c r="I11">
        <v>35.200000000000003</v>
      </c>
      <c r="J11" s="25">
        <v>708787.6</v>
      </c>
      <c r="K11" s="25">
        <v>544049.6</v>
      </c>
      <c r="L11" s="25">
        <v>88755.3</v>
      </c>
      <c r="M11" s="25">
        <v>28059</v>
      </c>
      <c r="N11" s="25">
        <v>713152</v>
      </c>
      <c r="O11" s="25">
        <v>89646</v>
      </c>
      <c r="P11" s="25">
        <v>20892</v>
      </c>
      <c r="Q11" s="25">
        <v>547090</v>
      </c>
      <c r="R11" s="25">
        <v>28402</v>
      </c>
      <c r="S11" s="25"/>
      <c r="T11" s="36"/>
      <c r="V11" s="250"/>
      <c r="W11" s="424">
        <v>45884</v>
      </c>
      <c r="X11" s="424">
        <v>45821</v>
      </c>
      <c r="Y11" s="424">
        <v>45825</v>
      </c>
      <c r="Z11" s="424">
        <v>45826</v>
      </c>
      <c r="AA11" s="425">
        <v>45792</v>
      </c>
      <c r="AB11" s="426"/>
      <c r="AD11" s="31"/>
    </row>
    <row r="12" spans="1:30" ht="15.75">
      <c r="A12" s="2">
        <v>41883</v>
      </c>
      <c r="B12">
        <f t="shared" si="0"/>
        <v>2014</v>
      </c>
      <c r="C12" s="2" t="s">
        <v>80</v>
      </c>
      <c r="D12" s="15">
        <v>6836.3</v>
      </c>
      <c r="E12" s="15">
        <v>6900.6</v>
      </c>
      <c r="F12" s="15">
        <v>201.2</v>
      </c>
      <c r="G12" s="15">
        <v>202.5</v>
      </c>
      <c r="H12">
        <v>38.5</v>
      </c>
      <c r="I12">
        <v>38.5</v>
      </c>
      <c r="J12" s="25">
        <v>708787.6</v>
      </c>
      <c r="K12" s="25">
        <v>544049.6</v>
      </c>
      <c r="L12" s="25">
        <v>88755.3</v>
      </c>
      <c r="M12" s="25">
        <v>28059</v>
      </c>
      <c r="N12" s="25">
        <v>713152</v>
      </c>
      <c r="O12" s="25">
        <v>89646</v>
      </c>
      <c r="P12" s="25">
        <v>20892</v>
      </c>
      <c r="Q12" s="25">
        <v>547090</v>
      </c>
      <c r="R12" s="25">
        <v>28402</v>
      </c>
      <c r="S12" s="25"/>
      <c r="T12" s="36"/>
      <c r="U12" s="16"/>
      <c r="V12" s="250">
        <v>2023</v>
      </c>
      <c r="W12" s="17">
        <v>1.7000000000000001E-2</v>
      </c>
      <c r="X12" s="17">
        <v>1.7000000000000001E-2</v>
      </c>
      <c r="Y12" s="17">
        <v>1.7000000000000001E-2</v>
      </c>
      <c r="Z12" s="17"/>
      <c r="AA12" s="17"/>
      <c r="AB12" s="17"/>
      <c r="AC12" s="38">
        <f>AVERAGE(W12:Z12)</f>
        <v>1.7000000000000001E-2</v>
      </c>
      <c r="AD12" s="39"/>
    </row>
    <row r="13" spans="1:30" ht="15.75">
      <c r="A13" s="2">
        <v>41913</v>
      </c>
      <c r="B13">
        <f t="shared" si="0"/>
        <v>2014</v>
      </c>
      <c r="C13" s="2" t="s">
        <v>81</v>
      </c>
      <c r="D13" s="15">
        <v>6842.3</v>
      </c>
      <c r="E13" s="15">
        <v>6886.7</v>
      </c>
      <c r="F13" s="15">
        <v>201.8</v>
      </c>
      <c r="G13" s="15">
        <v>202.2</v>
      </c>
      <c r="H13">
        <v>38.799999999999997</v>
      </c>
      <c r="I13">
        <v>38.799999999999997</v>
      </c>
      <c r="J13" s="25">
        <v>708787.6</v>
      </c>
      <c r="K13" s="25">
        <v>544049.6</v>
      </c>
      <c r="L13" s="25">
        <v>88755.3</v>
      </c>
      <c r="M13" s="25">
        <v>28059</v>
      </c>
      <c r="N13" s="25">
        <v>716976</v>
      </c>
      <c r="O13" s="25">
        <v>89584</v>
      </c>
      <c r="P13" s="25">
        <v>21417</v>
      </c>
      <c r="Q13" s="25">
        <v>551087</v>
      </c>
      <c r="R13" s="25">
        <v>28776</v>
      </c>
      <c r="S13" s="25"/>
      <c r="T13" s="36"/>
      <c r="U13" s="32" t="s">
        <v>54</v>
      </c>
      <c r="V13" s="250">
        <v>2024</v>
      </c>
      <c r="W13" s="17">
        <v>1.4E-2</v>
      </c>
      <c r="X13" s="17">
        <v>1.2E-2</v>
      </c>
      <c r="Y13" s="17">
        <v>1.2E-2</v>
      </c>
      <c r="Z13" s="17">
        <v>1.4E-2</v>
      </c>
      <c r="AA13" s="17">
        <v>1.4999999999999999E-2</v>
      </c>
      <c r="AB13" s="17"/>
      <c r="AC13" s="38">
        <f>AVERAGE(W13:Z13)</f>
        <v>1.3000000000000001E-2</v>
      </c>
      <c r="AD13" s="39"/>
    </row>
    <row r="14" spans="1:30" ht="15.75">
      <c r="A14" s="2">
        <v>41944</v>
      </c>
      <c r="B14">
        <f t="shared" si="0"/>
        <v>2014</v>
      </c>
      <c r="C14" s="2" t="s">
        <v>81</v>
      </c>
      <c r="D14" s="15">
        <v>6846.2</v>
      </c>
      <c r="E14" s="15">
        <v>6861.5</v>
      </c>
      <c r="F14" s="15">
        <v>203.2</v>
      </c>
      <c r="G14" s="15">
        <v>203.1</v>
      </c>
      <c r="H14">
        <v>39.200000000000003</v>
      </c>
      <c r="I14">
        <v>39.200000000000003</v>
      </c>
      <c r="J14" s="25">
        <v>708787.6</v>
      </c>
      <c r="K14" s="25">
        <v>544049.6</v>
      </c>
      <c r="L14" s="25">
        <v>88755.3</v>
      </c>
      <c r="M14" s="25">
        <v>28059</v>
      </c>
      <c r="N14" s="25">
        <v>716976</v>
      </c>
      <c r="O14" s="25">
        <v>89584</v>
      </c>
      <c r="P14" s="25">
        <v>21417</v>
      </c>
      <c r="Q14" s="25">
        <v>551087</v>
      </c>
      <c r="R14" s="25">
        <v>28776</v>
      </c>
      <c r="S14" s="25"/>
      <c r="T14" s="36"/>
      <c r="U14" s="16"/>
      <c r="V14" s="250">
        <v>2025</v>
      </c>
      <c r="W14" s="33">
        <v>8.9999999999999993E-3</v>
      </c>
      <c r="X14" s="33">
        <v>1.2999999999999999E-2</v>
      </c>
      <c r="Y14" s="33">
        <v>1.0999999999999999E-2</v>
      </c>
      <c r="Z14" s="33">
        <v>6.0000000000000001E-3</v>
      </c>
      <c r="AA14" s="33">
        <v>8.0000000000000002E-3</v>
      </c>
      <c r="AC14" s="38">
        <f>AVERAGE(W14:Z14)</f>
        <v>9.75E-3</v>
      </c>
      <c r="AD14" s="39"/>
    </row>
    <row r="15" spans="1:30" ht="15.75">
      <c r="A15" s="2">
        <v>41974</v>
      </c>
      <c r="B15">
        <f t="shared" si="0"/>
        <v>2014</v>
      </c>
      <c r="C15" s="2" t="s">
        <v>81</v>
      </c>
      <c r="D15" s="15">
        <v>6847.4</v>
      </c>
      <c r="E15" s="15">
        <v>6852.1</v>
      </c>
      <c r="F15" s="15">
        <v>201.9</v>
      </c>
      <c r="G15" s="15">
        <v>202.8</v>
      </c>
      <c r="H15">
        <v>38.799999999999997</v>
      </c>
      <c r="I15">
        <v>38.799999999999997</v>
      </c>
      <c r="J15" s="25">
        <v>708787.6</v>
      </c>
      <c r="K15" s="25">
        <v>544049.6</v>
      </c>
      <c r="L15" s="25">
        <v>88755.3</v>
      </c>
      <c r="M15" s="25">
        <v>28059</v>
      </c>
      <c r="N15" s="25">
        <v>716976</v>
      </c>
      <c r="O15" s="25">
        <v>89584</v>
      </c>
      <c r="P15" s="25">
        <v>21417</v>
      </c>
      <c r="Q15" s="25">
        <v>551087</v>
      </c>
      <c r="R15" s="25">
        <v>28776</v>
      </c>
      <c r="S15" s="25"/>
      <c r="T15" s="36"/>
      <c r="V15" s="250">
        <v>2026</v>
      </c>
      <c r="W15" s="35">
        <v>1.0999999999999999E-2</v>
      </c>
      <c r="X15" s="35">
        <v>1.0999999999999999E-2</v>
      </c>
      <c r="Y15" s="35">
        <v>8.9999999999999993E-3</v>
      </c>
      <c r="Z15" s="35">
        <v>8.9999999999999993E-3</v>
      </c>
      <c r="AA15" s="17">
        <v>0.01</v>
      </c>
      <c r="AC15" s="38">
        <f>AVERAGE(W15:Z15)</f>
        <v>0.01</v>
      </c>
      <c r="AD15" s="31"/>
    </row>
    <row r="16" spans="1:30" ht="15.75">
      <c r="A16" s="2">
        <v>42005</v>
      </c>
      <c r="B16">
        <f t="shared" si="0"/>
        <v>2015</v>
      </c>
      <c r="C16" s="2" t="s">
        <v>77</v>
      </c>
      <c r="D16" s="15">
        <v>6833</v>
      </c>
      <c r="E16" s="15">
        <v>6793.4</v>
      </c>
      <c r="F16" s="15">
        <v>201</v>
      </c>
      <c r="G16" s="15">
        <v>201.1</v>
      </c>
      <c r="H16">
        <v>39.4</v>
      </c>
      <c r="I16">
        <v>39.4</v>
      </c>
      <c r="J16" s="25">
        <v>727609.6</v>
      </c>
      <c r="K16" s="25">
        <v>557474</v>
      </c>
      <c r="L16" s="25">
        <v>90490.8</v>
      </c>
      <c r="M16" s="25">
        <v>29069.3</v>
      </c>
      <c r="N16" s="25">
        <v>718587</v>
      </c>
      <c r="O16" s="25">
        <v>88879</v>
      </c>
      <c r="P16" s="25">
        <v>19856</v>
      </c>
      <c r="Q16" s="25">
        <v>551679</v>
      </c>
      <c r="R16" s="25">
        <v>28860</v>
      </c>
      <c r="S16" s="25">
        <f>O16-O4</f>
        <v>1908</v>
      </c>
      <c r="T16" s="36"/>
      <c r="V16" s="250">
        <v>2027</v>
      </c>
      <c r="AA16" s="17">
        <v>1.9E-2</v>
      </c>
      <c r="AC16" s="38">
        <f>AA16</f>
        <v>1.9E-2</v>
      </c>
      <c r="AD16" s="31"/>
    </row>
    <row r="17" spans="1:30" ht="15.75">
      <c r="A17" s="2">
        <v>42036</v>
      </c>
      <c r="B17">
        <f t="shared" si="0"/>
        <v>2015</v>
      </c>
      <c r="C17" s="2" t="s">
        <v>77</v>
      </c>
      <c r="D17" s="15">
        <v>6837.7</v>
      </c>
      <c r="E17" s="15">
        <v>6762.6</v>
      </c>
      <c r="F17" s="15">
        <v>199.5</v>
      </c>
      <c r="G17" s="15">
        <v>198.2</v>
      </c>
      <c r="H17">
        <v>40.200000000000003</v>
      </c>
      <c r="I17">
        <v>40.200000000000003</v>
      </c>
      <c r="J17" s="25">
        <v>727609.6</v>
      </c>
      <c r="K17" s="25">
        <v>557474</v>
      </c>
      <c r="L17" s="25">
        <v>90490.8</v>
      </c>
      <c r="M17" s="25">
        <v>29069.3</v>
      </c>
      <c r="N17" s="25">
        <v>718587</v>
      </c>
      <c r="O17" s="25">
        <v>88879</v>
      </c>
      <c r="P17" s="25">
        <v>19856</v>
      </c>
      <c r="Q17" s="25">
        <v>551679</v>
      </c>
      <c r="R17" s="25">
        <v>28860</v>
      </c>
      <c r="S17" s="25">
        <f t="shared" ref="S17:S80" si="1">O17-O5</f>
        <v>1908</v>
      </c>
      <c r="T17" s="36"/>
      <c r="V17" s="250">
        <v>2028</v>
      </c>
      <c r="AA17" s="17">
        <v>1.9E-2</v>
      </c>
      <c r="AC17" s="38">
        <f>AA17</f>
        <v>1.9E-2</v>
      </c>
      <c r="AD17" s="31"/>
    </row>
    <row r="18" spans="1:30" ht="15.75">
      <c r="A18" s="2">
        <v>42064</v>
      </c>
      <c r="B18">
        <f t="shared" si="0"/>
        <v>2015</v>
      </c>
      <c r="C18" s="2" t="s">
        <v>77</v>
      </c>
      <c r="D18" s="15">
        <v>6840.5</v>
      </c>
      <c r="E18" s="15">
        <v>6737.8</v>
      </c>
      <c r="F18" s="15">
        <v>197.7</v>
      </c>
      <c r="G18" s="15">
        <v>195.4</v>
      </c>
      <c r="H18">
        <v>42.3</v>
      </c>
      <c r="I18">
        <v>42.3</v>
      </c>
      <c r="J18" s="25">
        <v>727609.6</v>
      </c>
      <c r="K18" s="25">
        <v>557474</v>
      </c>
      <c r="L18" s="25">
        <v>90490.8</v>
      </c>
      <c r="M18" s="25">
        <v>29069.3</v>
      </c>
      <c r="N18" s="25">
        <v>718587</v>
      </c>
      <c r="O18" s="25">
        <v>88879</v>
      </c>
      <c r="P18" s="25">
        <v>19856</v>
      </c>
      <c r="Q18" s="25">
        <v>551679</v>
      </c>
      <c r="R18" s="25">
        <v>28860</v>
      </c>
      <c r="S18" s="25">
        <f t="shared" si="1"/>
        <v>1908</v>
      </c>
      <c r="T18" s="36"/>
      <c r="V18" s="250">
        <v>2029</v>
      </c>
      <c r="AC18" s="38">
        <f>AC17</f>
        <v>1.9E-2</v>
      </c>
      <c r="AD18" s="31"/>
    </row>
    <row r="19" spans="1:30" ht="15.75">
      <c r="A19" s="2">
        <v>42095</v>
      </c>
      <c r="B19">
        <f t="shared" si="0"/>
        <v>2015</v>
      </c>
      <c r="C19" s="2" t="s">
        <v>78</v>
      </c>
      <c r="D19" s="15">
        <v>6846.6</v>
      </c>
      <c r="E19" s="15">
        <v>6760.9</v>
      </c>
      <c r="F19" s="15">
        <v>194.9</v>
      </c>
      <c r="G19" s="15">
        <v>192.5</v>
      </c>
      <c r="H19">
        <v>44.3</v>
      </c>
      <c r="I19">
        <v>44.3</v>
      </c>
      <c r="J19" s="25">
        <v>727609.6</v>
      </c>
      <c r="K19" s="25">
        <v>557474</v>
      </c>
      <c r="L19" s="25">
        <v>90490.8</v>
      </c>
      <c r="M19" s="25">
        <v>29069.3</v>
      </c>
      <c r="N19" s="25">
        <v>723726</v>
      </c>
      <c r="O19" s="25">
        <v>89003</v>
      </c>
      <c r="P19" s="25">
        <v>19757</v>
      </c>
      <c r="Q19" s="25">
        <v>555651</v>
      </c>
      <c r="R19" s="25">
        <v>28915</v>
      </c>
      <c r="S19" s="25">
        <f t="shared" si="1"/>
        <v>182</v>
      </c>
      <c r="T19" s="36"/>
      <c r="V19" s="250">
        <v>2030</v>
      </c>
      <c r="AC19" s="38">
        <f>AC18</f>
        <v>1.9E-2</v>
      </c>
      <c r="AD19" s="31"/>
    </row>
    <row r="20" spans="1:30" ht="15.75">
      <c r="A20" s="2">
        <v>42125</v>
      </c>
      <c r="B20">
        <f t="shared" si="0"/>
        <v>2015</v>
      </c>
      <c r="C20" s="2" t="s">
        <v>78</v>
      </c>
      <c r="D20" s="15">
        <v>6853.6</v>
      </c>
      <c r="E20" s="15">
        <v>6823.2</v>
      </c>
      <c r="F20" s="15">
        <v>192.7</v>
      </c>
      <c r="G20" s="15">
        <v>191.9</v>
      </c>
      <c r="H20">
        <v>37.9</v>
      </c>
      <c r="I20">
        <v>37.9</v>
      </c>
      <c r="J20" s="25">
        <v>727609.6</v>
      </c>
      <c r="K20" s="25">
        <v>557474</v>
      </c>
      <c r="L20" s="25">
        <v>90490.8</v>
      </c>
      <c r="M20" s="25">
        <v>29069.3</v>
      </c>
      <c r="N20" s="25">
        <v>723726</v>
      </c>
      <c r="O20" s="25">
        <v>89003</v>
      </c>
      <c r="P20" s="25">
        <v>19757</v>
      </c>
      <c r="Q20" s="25">
        <v>555651</v>
      </c>
      <c r="R20" s="25">
        <v>28915</v>
      </c>
      <c r="S20" s="25">
        <f t="shared" si="1"/>
        <v>182</v>
      </c>
      <c r="T20" s="36"/>
      <c r="V20" s="250">
        <v>2031</v>
      </c>
      <c r="AC20" s="38">
        <f>AC19</f>
        <v>1.9E-2</v>
      </c>
      <c r="AD20" s="31"/>
    </row>
    <row r="21" spans="1:30" ht="15.75">
      <c r="A21" s="2">
        <v>42156</v>
      </c>
      <c r="B21">
        <f t="shared" si="0"/>
        <v>2015</v>
      </c>
      <c r="C21" s="2" t="s">
        <v>78</v>
      </c>
      <c r="D21" s="15">
        <v>6861.1</v>
      </c>
      <c r="E21" s="15">
        <v>6905.4</v>
      </c>
      <c r="F21" s="15">
        <v>190.5</v>
      </c>
      <c r="G21" s="15">
        <v>191.1</v>
      </c>
      <c r="H21">
        <v>32.9</v>
      </c>
      <c r="I21">
        <v>32.9</v>
      </c>
      <c r="J21" s="25">
        <v>727609.6</v>
      </c>
      <c r="K21" s="25">
        <v>557474</v>
      </c>
      <c r="L21" s="25">
        <v>90490.8</v>
      </c>
      <c r="M21" s="25">
        <v>29069.3</v>
      </c>
      <c r="N21" s="25">
        <v>723726</v>
      </c>
      <c r="O21" s="25">
        <v>89003</v>
      </c>
      <c r="P21" s="25">
        <v>19757</v>
      </c>
      <c r="Q21" s="25">
        <v>555651</v>
      </c>
      <c r="R21" s="25">
        <v>28915</v>
      </c>
      <c r="S21" s="25">
        <f t="shared" si="1"/>
        <v>182</v>
      </c>
      <c r="T21" s="36"/>
      <c r="V21" s="251"/>
      <c r="W21" s="253"/>
      <c r="X21" s="253"/>
      <c r="Y21" s="253"/>
      <c r="Z21" s="253"/>
      <c r="AA21" s="253"/>
      <c r="AB21" s="253"/>
      <c r="AC21" s="253"/>
      <c r="AD21" s="252"/>
    </row>
    <row r="22" spans="1:30" ht="15.75">
      <c r="A22" s="2">
        <v>42186</v>
      </c>
      <c r="B22">
        <f t="shared" si="0"/>
        <v>2015</v>
      </c>
      <c r="C22" s="2" t="s">
        <v>80</v>
      </c>
      <c r="D22" s="15">
        <v>6872.7</v>
      </c>
      <c r="E22" s="15">
        <v>6963</v>
      </c>
      <c r="F22" s="15">
        <v>185.8</v>
      </c>
      <c r="G22" s="15">
        <v>187.8</v>
      </c>
      <c r="H22">
        <v>28.8</v>
      </c>
      <c r="I22">
        <v>28.8</v>
      </c>
      <c r="J22" s="25">
        <v>727609.6</v>
      </c>
      <c r="K22" s="25">
        <v>557474</v>
      </c>
      <c r="L22" s="25">
        <v>90490.8</v>
      </c>
      <c r="M22" s="25">
        <v>29069.3</v>
      </c>
      <c r="N22" s="25">
        <v>730341</v>
      </c>
      <c r="O22" s="25">
        <v>91774</v>
      </c>
      <c r="P22" s="25">
        <v>20733</v>
      </c>
      <c r="Q22" s="25">
        <v>558510</v>
      </c>
      <c r="R22" s="25">
        <v>29147</v>
      </c>
      <c r="S22" s="25">
        <f t="shared" si="1"/>
        <v>2128</v>
      </c>
      <c r="T22" s="36"/>
      <c r="U22" s="16"/>
      <c r="V22" s="250"/>
      <c r="W22" s="424">
        <v>45884</v>
      </c>
      <c r="X22" s="424">
        <v>45821</v>
      </c>
      <c r="Y22" s="424">
        <v>45825</v>
      </c>
      <c r="Z22" s="424">
        <v>45826</v>
      </c>
      <c r="AA22" s="425"/>
      <c r="AB22" s="426"/>
      <c r="AD22" s="39"/>
    </row>
    <row r="23" spans="1:30" ht="15.75">
      <c r="A23" s="2">
        <v>42217</v>
      </c>
      <c r="B23">
        <f t="shared" si="0"/>
        <v>2015</v>
      </c>
      <c r="C23" s="2" t="s">
        <v>80</v>
      </c>
      <c r="D23" s="15">
        <v>6878.1</v>
      </c>
      <c r="E23" s="15">
        <v>6977.5</v>
      </c>
      <c r="F23" s="15">
        <v>183.2</v>
      </c>
      <c r="G23" s="15">
        <v>185.2</v>
      </c>
      <c r="H23">
        <v>29</v>
      </c>
      <c r="I23">
        <v>29</v>
      </c>
      <c r="J23" s="25">
        <v>727609.6</v>
      </c>
      <c r="K23" s="25">
        <v>557474</v>
      </c>
      <c r="L23" s="25">
        <v>90490.8</v>
      </c>
      <c r="M23" s="25">
        <v>29069.3</v>
      </c>
      <c r="N23" s="25">
        <v>730341</v>
      </c>
      <c r="O23" s="25">
        <v>91774</v>
      </c>
      <c r="P23" s="25">
        <v>20733</v>
      </c>
      <c r="Q23" s="25">
        <v>558510</v>
      </c>
      <c r="R23" s="25">
        <v>29147</v>
      </c>
      <c r="S23" s="25">
        <f t="shared" si="1"/>
        <v>2128</v>
      </c>
      <c r="T23" s="36"/>
      <c r="U23" s="16"/>
      <c r="V23" s="250">
        <v>2023</v>
      </c>
      <c r="W23" s="17">
        <v>3.1E-2</v>
      </c>
      <c r="X23" s="17">
        <v>3.1E-2</v>
      </c>
      <c r="Y23" s="17">
        <v>3.1E-2</v>
      </c>
      <c r="Z23" s="17"/>
      <c r="AA23" s="17"/>
      <c r="AB23" s="17"/>
      <c r="AC23" s="38">
        <f>AVERAGE(W23:Z23)</f>
        <v>3.1E-2</v>
      </c>
      <c r="AD23" s="39"/>
    </row>
    <row r="24" spans="1:30" ht="15.75">
      <c r="A24" s="2">
        <v>42248</v>
      </c>
      <c r="B24">
        <f t="shared" si="0"/>
        <v>2015</v>
      </c>
      <c r="C24" s="2" t="s">
        <v>80</v>
      </c>
      <c r="D24" s="15">
        <v>6871</v>
      </c>
      <c r="E24" s="15">
        <v>6930.7</v>
      </c>
      <c r="F24" s="15">
        <v>181.9</v>
      </c>
      <c r="G24" s="15">
        <v>182.5</v>
      </c>
      <c r="H24">
        <v>26.5</v>
      </c>
      <c r="I24">
        <v>26.5</v>
      </c>
      <c r="J24" s="25">
        <v>727609.6</v>
      </c>
      <c r="K24" s="25">
        <v>557474</v>
      </c>
      <c r="L24" s="25">
        <v>90490.8</v>
      </c>
      <c r="M24" s="25">
        <v>29069.3</v>
      </c>
      <c r="N24" s="25">
        <v>730341</v>
      </c>
      <c r="O24" s="25">
        <v>91774</v>
      </c>
      <c r="P24" s="25">
        <v>20733</v>
      </c>
      <c r="Q24" s="25">
        <v>558510</v>
      </c>
      <c r="R24" s="25">
        <v>29147</v>
      </c>
      <c r="S24" s="25">
        <f t="shared" si="1"/>
        <v>2128</v>
      </c>
      <c r="T24" s="36"/>
      <c r="U24" s="32" t="s">
        <v>60</v>
      </c>
      <c r="V24" s="250">
        <v>2024</v>
      </c>
      <c r="W24" s="17">
        <v>1.7000000000000001E-2</v>
      </c>
      <c r="X24" s="17">
        <v>1.7000000000000001E-2</v>
      </c>
      <c r="Y24" s="17">
        <v>1.7000000000000001E-2</v>
      </c>
      <c r="Z24" s="17">
        <v>1.7000000000000001E-2</v>
      </c>
      <c r="AA24" s="17">
        <v>1.7000000000000001E-2</v>
      </c>
      <c r="AB24" s="34"/>
      <c r="AC24" s="38">
        <f>AVERAGE(W24:Z24)</f>
        <v>1.7000000000000001E-2</v>
      </c>
      <c r="AD24" s="39"/>
    </row>
    <row r="25" spans="1:30" ht="15.75">
      <c r="A25" s="2">
        <v>42278</v>
      </c>
      <c r="B25">
        <f t="shared" si="0"/>
        <v>2015</v>
      </c>
      <c r="C25" s="2" t="s">
        <v>81</v>
      </c>
      <c r="D25" s="15">
        <v>6867.3</v>
      </c>
      <c r="E25" s="15">
        <v>6908.6</v>
      </c>
      <c r="F25" s="15">
        <v>187.1</v>
      </c>
      <c r="G25" s="15">
        <v>187</v>
      </c>
      <c r="H25">
        <v>25.6</v>
      </c>
      <c r="I25">
        <v>25.6</v>
      </c>
      <c r="J25" s="25">
        <v>727609.6</v>
      </c>
      <c r="K25" s="25">
        <v>557474</v>
      </c>
      <c r="L25" s="25">
        <v>90490.8</v>
      </c>
      <c r="M25" s="25">
        <v>29069.3</v>
      </c>
      <c r="N25" s="25">
        <v>737784</v>
      </c>
      <c r="O25" s="25">
        <v>92307</v>
      </c>
      <c r="P25" s="25">
        <v>20650</v>
      </c>
      <c r="Q25" s="25">
        <v>564056</v>
      </c>
      <c r="R25" s="25">
        <v>29355</v>
      </c>
      <c r="S25" s="25">
        <f t="shared" si="1"/>
        <v>2723</v>
      </c>
      <c r="T25" s="36"/>
      <c r="U25" s="16"/>
      <c r="V25" s="250">
        <v>2025</v>
      </c>
      <c r="W25" s="17">
        <v>8.9999999999999993E-3</v>
      </c>
      <c r="X25" s="17">
        <v>8.9999999999999993E-3</v>
      </c>
      <c r="Y25" s="17">
        <v>8.0000000000000002E-3</v>
      </c>
      <c r="Z25" s="17">
        <v>7.0000000000000001E-3</v>
      </c>
      <c r="AA25" s="17">
        <v>8.9999999999999993E-3</v>
      </c>
      <c r="AB25" s="17"/>
      <c r="AC25" s="38">
        <f>AVERAGE(W25:Z25)</f>
        <v>8.2500000000000004E-3</v>
      </c>
      <c r="AD25" s="39"/>
    </row>
    <row r="26" spans="1:30" ht="15.75">
      <c r="A26" s="2">
        <v>42309</v>
      </c>
      <c r="B26">
        <f t="shared" si="0"/>
        <v>2015</v>
      </c>
      <c r="C26" s="2" t="s">
        <v>81</v>
      </c>
      <c r="D26" s="15">
        <v>6858.8</v>
      </c>
      <c r="E26" s="15">
        <v>6872.9</v>
      </c>
      <c r="F26" s="15">
        <v>192</v>
      </c>
      <c r="G26" s="15">
        <v>191.5</v>
      </c>
      <c r="H26">
        <v>25.7</v>
      </c>
      <c r="I26">
        <v>25.7</v>
      </c>
      <c r="J26" s="25">
        <v>727609.6</v>
      </c>
      <c r="K26" s="25">
        <v>557474</v>
      </c>
      <c r="L26" s="25">
        <v>90490.8</v>
      </c>
      <c r="M26" s="25">
        <v>29069.3</v>
      </c>
      <c r="N26" s="25">
        <v>737784</v>
      </c>
      <c r="O26" s="25">
        <v>92307</v>
      </c>
      <c r="P26" s="25">
        <v>20650</v>
      </c>
      <c r="Q26" s="25">
        <v>564056</v>
      </c>
      <c r="R26" s="25">
        <v>29355</v>
      </c>
      <c r="S26" s="25">
        <f t="shared" si="1"/>
        <v>2723</v>
      </c>
      <c r="T26" s="36"/>
      <c r="U26" s="16"/>
      <c r="V26" s="250">
        <v>2026</v>
      </c>
      <c r="W26" s="17">
        <v>0.01</v>
      </c>
      <c r="X26" s="17">
        <v>0</v>
      </c>
      <c r="Y26" s="17">
        <v>2E-3</v>
      </c>
      <c r="Z26" s="17">
        <v>4.0000000000000001E-3</v>
      </c>
      <c r="AA26" s="17">
        <v>4.0000000000000001E-3</v>
      </c>
      <c r="AB26" s="17"/>
      <c r="AC26" s="38">
        <f>AVERAGE(W26:Z26)</f>
        <v>4.0000000000000001E-3</v>
      </c>
      <c r="AD26" s="39"/>
    </row>
    <row r="27" spans="1:30" ht="15.75">
      <c r="A27" s="2">
        <v>42339</v>
      </c>
      <c r="B27">
        <f t="shared" si="0"/>
        <v>2015</v>
      </c>
      <c r="C27" s="2" t="s">
        <v>81</v>
      </c>
      <c r="D27" s="15">
        <v>6868.5</v>
      </c>
      <c r="E27" s="15">
        <v>6877</v>
      </c>
      <c r="F27" s="15">
        <v>198.5</v>
      </c>
      <c r="G27" s="15">
        <v>198.9</v>
      </c>
      <c r="H27">
        <v>28.1</v>
      </c>
      <c r="I27">
        <v>28.1</v>
      </c>
      <c r="J27" s="25">
        <v>727609.6</v>
      </c>
      <c r="K27" s="25">
        <v>557474</v>
      </c>
      <c r="L27" s="25">
        <v>90490.8</v>
      </c>
      <c r="M27" s="25">
        <v>29069.3</v>
      </c>
      <c r="N27" s="25">
        <v>737784</v>
      </c>
      <c r="O27" s="25">
        <v>92307</v>
      </c>
      <c r="P27" s="25">
        <v>20650</v>
      </c>
      <c r="Q27" s="25">
        <v>564056</v>
      </c>
      <c r="R27" s="25">
        <v>29355</v>
      </c>
      <c r="S27" s="25">
        <f t="shared" si="1"/>
        <v>2723</v>
      </c>
      <c r="T27" s="36"/>
      <c r="V27" s="250">
        <v>2027</v>
      </c>
      <c r="W27" s="17"/>
      <c r="X27" s="17"/>
      <c r="Y27" s="17"/>
      <c r="Z27" s="17"/>
      <c r="AA27" s="17">
        <v>8.9999999999999993E-3</v>
      </c>
      <c r="AB27" s="17"/>
      <c r="AC27" s="38">
        <f>AA27</f>
        <v>8.9999999999999993E-3</v>
      </c>
      <c r="AD27" s="39"/>
    </row>
    <row r="28" spans="1:30" ht="15.75">
      <c r="A28" s="2">
        <v>42370</v>
      </c>
      <c r="B28">
        <f t="shared" si="0"/>
        <v>2016</v>
      </c>
      <c r="C28" s="2" t="s">
        <v>77</v>
      </c>
      <c r="D28" s="15">
        <v>6882.9</v>
      </c>
      <c r="E28" s="15">
        <v>6848.3</v>
      </c>
      <c r="F28" s="15">
        <v>203.1</v>
      </c>
      <c r="G28" s="15">
        <v>203.1</v>
      </c>
      <c r="H28">
        <v>30.6</v>
      </c>
      <c r="I28">
        <v>30.6</v>
      </c>
      <c r="J28" s="25">
        <v>743976.2</v>
      </c>
      <c r="K28" s="25">
        <v>571846.40000000002</v>
      </c>
      <c r="L28" s="25">
        <v>91511.8</v>
      </c>
      <c r="M28" s="25">
        <v>29814.5</v>
      </c>
      <c r="N28" s="25">
        <v>743287</v>
      </c>
      <c r="O28" s="25">
        <v>92688</v>
      </c>
      <c r="P28" s="25">
        <v>21180</v>
      </c>
      <c r="Q28" s="25">
        <v>568664</v>
      </c>
      <c r="R28" s="25">
        <v>29546</v>
      </c>
      <c r="S28" s="25">
        <f t="shared" si="1"/>
        <v>3809</v>
      </c>
      <c r="T28" s="36"/>
      <c r="V28" s="250">
        <v>2028</v>
      </c>
      <c r="W28" s="17"/>
      <c r="X28" s="17"/>
      <c r="Y28" s="17"/>
      <c r="Z28" s="17"/>
      <c r="AA28" s="17">
        <v>8.9999999999999993E-3</v>
      </c>
      <c r="AB28" s="17"/>
      <c r="AC28" s="38">
        <f>AA28</f>
        <v>8.9999999999999993E-3</v>
      </c>
      <c r="AD28" s="39"/>
    </row>
    <row r="29" spans="1:30" ht="15.75">
      <c r="A29" s="2">
        <v>42401</v>
      </c>
      <c r="B29">
        <f t="shared" si="0"/>
        <v>2016</v>
      </c>
      <c r="C29" s="2" t="s">
        <v>77</v>
      </c>
      <c r="D29" s="15">
        <v>6899.5</v>
      </c>
      <c r="E29" s="15">
        <v>6829.1</v>
      </c>
      <c r="F29" s="15">
        <v>204.7</v>
      </c>
      <c r="G29" s="15">
        <v>203.6</v>
      </c>
      <c r="H29">
        <v>33.4</v>
      </c>
      <c r="I29">
        <v>33.4</v>
      </c>
      <c r="J29" s="25">
        <v>743976.2</v>
      </c>
      <c r="K29" s="25">
        <v>571846.40000000002</v>
      </c>
      <c r="L29" s="25">
        <v>91511.8</v>
      </c>
      <c r="M29" s="25">
        <v>29814.5</v>
      </c>
      <c r="N29" s="25">
        <v>743287</v>
      </c>
      <c r="O29" s="25">
        <v>92688</v>
      </c>
      <c r="P29" s="25">
        <v>21180</v>
      </c>
      <c r="Q29" s="25">
        <v>568664</v>
      </c>
      <c r="R29" s="25">
        <v>29546</v>
      </c>
      <c r="S29" s="25">
        <f t="shared" si="1"/>
        <v>3809</v>
      </c>
      <c r="T29" s="36"/>
      <c r="V29" s="250">
        <v>2029</v>
      </c>
      <c r="AC29" s="38">
        <f>AC28</f>
        <v>8.9999999999999993E-3</v>
      </c>
      <c r="AD29" s="31"/>
    </row>
    <row r="30" spans="1:30" ht="15.75">
      <c r="A30" s="2">
        <v>42430</v>
      </c>
      <c r="B30">
        <f t="shared" si="0"/>
        <v>2016</v>
      </c>
      <c r="C30" s="2" t="s">
        <v>77</v>
      </c>
      <c r="D30" s="15">
        <v>6908.6</v>
      </c>
      <c r="E30" s="15">
        <v>6808.7</v>
      </c>
      <c r="F30" s="15">
        <v>205.8</v>
      </c>
      <c r="G30" s="15">
        <v>203.7</v>
      </c>
      <c r="H30">
        <v>34.700000000000003</v>
      </c>
      <c r="I30">
        <v>34.700000000000003</v>
      </c>
      <c r="J30" s="25">
        <v>743976.2</v>
      </c>
      <c r="K30" s="25">
        <v>571846.40000000002</v>
      </c>
      <c r="L30" s="25">
        <v>91511.8</v>
      </c>
      <c r="M30" s="25">
        <v>29814.5</v>
      </c>
      <c r="N30" s="25">
        <v>743287</v>
      </c>
      <c r="O30" s="25">
        <v>92688</v>
      </c>
      <c r="P30" s="25">
        <v>21180</v>
      </c>
      <c r="Q30" s="25">
        <v>568664</v>
      </c>
      <c r="R30" s="25">
        <v>29546</v>
      </c>
      <c r="S30" s="25">
        <f t="shared" si="1"/>
        <v>3809</v>
      </c>
      <c r="T30" s="36"/>
      <c r="V30" s="250">
        <v>2030</v>
      </c>
      <c r="W30" s="17"/>
      <c r="X30" s="17"/>
      <c r="Y30" s="17"/>
      <c r="Z30" s="17"/>
      <c r="AA30" s="17"/>
      <c r="AB30" s="17"/>
      <c r="AC30" s="38">
        <f>AC29</f>
        <v>8.9999999999999993E-3</v>
      </c>
      <c r="AD30" s="39"/>
    </row>
    <row r="31" spans="1:30" ht="15.75">
      <c r="A31" s="2">
        <v>42461</v>
      </c>
      <c r="B31">
        <f t="shared" si="0"/>
        <v>2016</v>
      </c>
      <c r="C31" s="2" t="s">
        <v>78</v>
      </c>
      <c r="D31" s="15">
        <v>6909</v>
      </c>
      <c r="E31" s="15">
        <v>6823.1</v>
      </c>
      <c r="F31" s="15">
        <v>205.3</v>
      </c>
      <c r="G31" s="15">
        <v>203.4</v>
      </c>
      <c r="H31">
        <v>33</v>
      </c>
      <c r="I31">
        <v>33</v>
      </c>
      <c r="J31" s="25">
        <v>743976.2</v>
      </c>
      <c r="K31" s="25">
        <v>571846.40000000002</v>
      </c>
      <c r="L31" s="25">
        <v>91511.8</v>
      </c>
      <c r="M31" s="25">
        <v>29814.5</v>
      </c>
      <c r="N31" s="25">
        <v>740632</v>
      </c>
      <c r="O31" s="25">
        <v>90391</v>
      </c>
      <c r="P31" s="25">
        <v>20746</v>
      </c>
      <c r="Q31" s="25">
        <v>569815</v>
      </c>
      <c r="R31" s="25">
        <v>29474</v>
      </c>
      <c r="S31" s="25">
        <f t="shared" si="1"/>
        <v>1388</v>
      </c>
      <c r="T31" s="36"/>
      <c r="V31" s="427">
        <v>2031</v>
      </c>
      <c r="W31" s="428"/>
      <c r="X31" s="428"/>
      <c r="Y31" s="428"/>
      <c r="Z31" s="428"/>
      <c r="AA31" s="428"/>
      <c r="AB31" s="428"/>
      <c r="AC31" s="429">
        <f>AC30</f>
        <v>8.9999999999999993E-3</v>
      </c>
      <c r="AD31" s="430"/>
    </row>
    <row r="32" spans="1:30" ht="15.75">
      <c r="A32" s="2">
        <v>42491</v>
      </c>
      <c r="B32">
        <f t="shared" si="0"/>
        <v>2016</v>
      </c>
      <c r="C32" s="2" t="s">
        <v>78</v>
      </c>
      <c r="D32" s="15">
        <v>6919.1</v>
      </c>
      <c r="E32" s="15">
        <v>6889.6</v>
      </c>
      <c r="F32" s="15">
        <v>204.8</v>
      </c>
      <c r="G32" s="15">
        <v>205.4</v>
      </c>
      <c r="H32">
        <v>32</v>
      </c>
      <c r="I32">
        <v>32</v>
      </c>
      <c r="J32" s="25">
        <v>743976.2</v>
      </c>
      <c r="K32" s="25">
        <v>571846.40000000002</v>
      </c>
      <c r="L32" s="25">
        <v>91511.8</v>
      </c>
      <c r="M32" s="25">
        <v>29814.5</v>
      </c>
      <c r="N32" s="25">
        <v>740632</v>
      </c>
      <c r="O32" s="25">
        <v>90391</v>
      </c>
      <c r="P32" s="25">
        <v>20746</v>
      </c>
      <c r="Q32" s="25">
        <v>569815</v>
      </c>
      <c r="R32" s="25">
        <v>29474</v>
      </c>
      <c r="S32" s="25">
        <f t="shared" si="1"/>
        <v>1388</v>
      </c>
      <c r="T32" s="36"/>
    </row>
    <row r="33" spans="1:30" ht="15.75">
      <c r="A33" s="2">
        <v>42522</v>
      </c>
      <c r="B33">
        <f t="shared" si="0"/>
        <v>2016</v>
      </c>
      <c r="C33" s="2" t="s">
        <v>78</v>
      </c>
      <c r="D33" s="15">
        <v>6930</v>
      </c>
      <c r="E33" s="15">
        <v>6973</v>
      </c>
      <c r="F33" s="15">
        <v>203.4</v>
      </c>
      <c r="G33" s="15">
        <v>206</v>
      </c>
      <c r="H33">
        <v>29.3</v>
      </c>
      <c r="I33">
        <v>29.3</v>
      </c>
      <c r="J33" s="25">
        <v>743976.2</v>
      </c>
      <c r="K33" s="25">
        <v>571846.40000000002</v>
      </c>
      <c r="L33" s="25">
        <v>91511.8</v>
      </c>
      <c r="M33" s="25">
        <v>29814.5</v>
      </c>
      <c r="N33" s="25">
        <v>740632</v>
      </c>
      <c r="O33" s="25">
        <v>90391</v>
      </c>
      <c r="P33" s="25">
        <v>20746</v>
      </c>
      <c r="Q33" s="25">
        <v>569815</v>
      </c>
      <c r="R33" s="25">
        <v>29474</v>
      </c>
      <c r="S33" s="25">
        <f t="shared" si="1"/>
        <v>1388</v>
      </c>
      <c r="T33" s="36"/>
    </row>
    <row r="34" spans="1:30" ht="15.75">
      <c r="A34" s="2">
        <v>42552</v>
      </c>
      <c r="B34">
        <f t="shared" si="0"/>
        <v>2016</v>
      </c>
      <c r="C34" s="2" t="s">
        <v>80</v>
      </c>
      <c r="D34" s="15">
        <v>6933.8</v>
      </c>
      <c r="E34" s="15">
        <v>7021.7</v>
      </c>
      <c r="F34" s="15">
        <v>205.8</v>
      </c>
      <c r="G34" s="15">
        <v>208.5</v>
      </c>
      <c r="H34">
        <v>28.4</v>
      </c>
      <c r="I34">
        <v>28.4</v>
      </c>
      <c r="J34" s="25">
        <v>743976.2</v>
      </c>
      <c r="K34" s="25">
        <v>571846.40000000002</v>
      </c>
      <c r="L34" s="25">
        <v>91511.8</v>
      </c>
      <c r="M34" s="25">
        <v>29814.5</v>
      </c>
      <c r="N34" s="25">
        <v>746606</v>
      </c>
      <c r="O34" s="25">
        <v>91685</v>
      </c>
      <c r="P34" s="25">
        <v>20823</v>
      </c>
      <c r="Q34" s="25">
        <v>574136</v>
      </c>
      <c r="R34" s="25">
        <v>30035</v>
      </c>
      <c r="S34" s="25">
        <f t="shared" si="1"/>
        <v>-89</v>
      </c>
      <c r="T34" s="36"/>
      <c r="U34" s="40"/>
      <c r="V34" s="41"/>
      <c r="W34" s="42" t="s">
        <v>526</v>
      </c>
      <c r="X34" s="42" t="s">
        <v>525</v>
      </c>
      <c r="Y34" s="42" t="s">
        <v>527</v>
      </c>
      <c r="Z34" s="42" t="s">
        <v>94</v>
      </c>
      <c r="AA34" s="42"/>
      <c r="AB34" s="42" t="s">
        <v>574</v>
      </c>
      <c r="AC34" s="42"/>
      <c r="AD34" s="42"/>
    </row>
    <row r="35" spans="1:30" ht="15.75">
      <c r="A35" s="2">
        <v>42583</v>
      </c>
      <c r="B35">
        <f t="shared" si="0"/>
        <v>2016</v>
      </c>
      <c r="C35" s="2" t="s">
        <v>80</v>
      </c>
      <c r="D35" s="15">
        <v>6931.2</v>
      </c>
      <c r="E35" s="15">
        <v>7018.7</v>
      </c>
      <c r="F35" s="15">
        <v>208.7</v>
      </c>
      <c r="G35" s="15">
        <v>210.5</v>
      </c>
      <c r="H35">
        <v>28.2</v>
      </c>
      <c r="I35">
        <v>28.2</v>
      </c>
      <c r="J35" s="25">
        <v>743976.2</v>
      </c>
      <c r="K35" s="25">
        <v>571846.40000000002</v>
      </c>
      <c r="L35" s="25">
        <v>91511.8</v>
      </c>
      <c r="M35" s="25">
        <v>29814.5</v>
      </c>
      <c r="N35" s="25">
        <v>746606</v>
      </c>
      <c r="O35" s="25">
        <v>91685</v>
      </c>
      <c r="P35" s="25">
        <v>20823</v>
      </c>
      <c r="Q35" s="25">
        <v>574136</v>
      </c>
      <c r="R35" s="25">
        <v>30035</v>
      </c>
      <c r="S35" s="25">
        <f t="shared" si="1"/>
        <v>-89</v>
      </c>
      <c r="T35" s="36"/>
      <c r="V35" s="43"/>
      <c r="W35" s="42"/>
      <c r="X35" s="42"/>
      <c r="Y35" s="42"/>
      <c r="Z35" s="42"/>
      <c r="AA35" s="42"/>
      <c r="AB35" s="42" t="s">
        <v>575</v>
      </c>
      <c r="AC35" s="42"/>
      <c r="AD35" s="42"/>
    </row>
    <row r="36" spans="1:30" ht="15.75">
      <c r="A36" s="2">
        <v>42614</v>
      </c>
      <c r="B36">
        <f t="shared" si="0"/>
        <v>2016</v>
      </c>
      <c r="C36" s="2" t="s">
        <v>80</v>
      </c>
      <c r="D36" s="15">
        <v>6929.7</v>
      </c>
      <c r="E36" s="15">
        <v>6973.4</v>
      </c>
      <c r="F36" s="15">
        <v>213</v>
      </c>
      <c r="G36" s="15">
        <v>212.7</v>
      </c>
      <c r="H36">
        <v>31.1</v>
      </c>
      <c r="I36">
        <v>31.1</v>
      </c>
      <c r="J36" s="25">
        <v>743976.2</v>
      </c>
      <c r="K36" s="25">
        <v>571846.40000000002</v>
      </c>
      <c r="L36" s="25">
        <v>91511.8</v>
      </c>
      <c r="M36" s="25">
        <v>29814.5</v>
      </c>
      <c r="N36" s="25">
        <v>746606</v>
      </c>
      <c r="O36" s="25">
        <v>91685</v>
      </c>
      <c r="P36" s="25">
        <v>20823</v>
      </c>
      <c r="Q36" s="25">
        <v>574136</v>
      </c>
      <c r="R36" s="25">
        <v>30035</v>
      </c>
      <c r="S36" s="25">
        <f t="shared" si="1"/>
        <v>-89</v>
      </c>
      <c r="T36" s="36"/>
      <c r="U36" s="34"/>
      <c r="V36" s="44"/>
      <c r="W36" s="42"/>
      <c r="X36" s="42"/>
      <c r="Y36" s="42"/>
      <c r="Z36" s="42"/>
      <c r="AA36" s="42"/>
      <c r="AB36" s="42"/>
      <c r="AC36" s="42"/>
      <c r="AD36" s="42"/>
    </row>
    <row r="37" spans="1:30" ht="15.75">
      <c r="A37" s="2">
        <v>42644</v>
      </c>
      <c r="B37">
        <f t="shared" si="0"/>
        <v>2016</v>
      </c>
      <c r="C37" s="2" t="s">
        <v>81</v>
      </c>
      <c r="D37" s="15">
        <v>6942</v>
      </c>
      <c r="E37" s="15">
        <v>6966.9</v>
      </c>
      <c r="F37" s="15">
        <v>213.6</v>
      </c>
      <c r="G37" s="15">
        <v>212.8</v>
      </c>
      <c r="H37">
        <v>34.299999999999997</v>
      </c>
      <c r="I37">
        <v>34.299999999999997</v>
      </c>
      <c r="J37" s="25">
        <v>743976.2</v>
      </c>
      <c r="K37" s="25">
        <v>571846.40000000002</v>
      </c>
      <c r="L37" s="25">
        <v>91511.8</v>
      </c>
      <c r="M37" s="25">
        <v>29814.5</v>
      </c>
      <c r="N37" s="25">
        <v>745380</v>
      </c>
      <c r="O37" s="25">
        <v>91284</v>
      </c>
      <c r="P37" s="25">
        <v>20669</v>
      </c>
      <c r="Q37" s="25">
        <v>574771</v>
      </c>
      <c r="R37" s="25">
        <v>30202</v>
      </c>
      <c r="S37" s="25">
        <f t="shared" si="1"/>
        <v>-1023</v>
      </c>
      <c r="T37" s="36"/>
      <c r="U37" s="36"/>
    </row>
    <row r="38" spans="1:30" ht="15.75">
      <c r="A38" s="2">
        <v>42675</v>
      </c>
      <c r="B38">
        <f t="shared" si="0"/>
        <v>2016</v>
      </c>
      <c r="C38" s="2" t="s">
        <v>81</v>
      </c>
      <c r="D38" s="15">
        <v>6959</v>
      </c>
      <c r="E38" s="15">
        <v>6964.3</v>
      </c>
      <c r="F38" s="15">
        <v>214.7</v>
      </c>
      <c r="G38" s="15">
        <v>213.5</v>
      </c>
      <c r="H38">
        <v>37.1</v>
      </c>
      <c r="I38">
        <v>37.1</v>
      </c>
      <c r="J38" s="25">
        <v>743976.2</v>
      </c>
      <c r="K38" s="25">
        <v>571846.40000000002</v>
      </c>
      <c r="L38" s="25">
        <v>91511.8</v>
      </c>
      <c r="M38" s="25">
        <v>29814.5</v>
      </c>
      <c r="N38" s="25">
        <v>745380</v>
      </c>
      <c r="O38" s="25">
        <v>91284</v>
      </c>
      <c r="P38" s="25">
        <v>20669</v>
      </c>
      <c r="Q38" s="25">
        <v>574771</v>
      </c>
      <c r="R38" s="25">
        <v>30202</v>
      </c>
      <c r="S38" s="25">
        <f t="shared" si="1"/>
        <v>-1023</v>
      </c>
      <c r="T38" s="36"/>
      <c r="U38" s="36"/>
    </row>
    <row r="39" spans="1:30" ht="15.75">
      <c r="A39" s="2">
        <v>42705</v>
      </c>
      <c r="B39">
        <f t="shared" si="0"/>
        <v>2016</v>
      </c>
      <c r="C39" s="2" t="s">
        <v>81</v>
      </c>
      <c r="D39" s="15">
        <v>6974.4</v>
      </c>
      <c r="E39" s="15">
        <v>6983</v>
      </c>
      <c r="F39" s="15">
        <v>215.4</v>
      </c>
      <c r="G39" s="15">
        <v>214.8</v>
      </c>
      <c r="H39">
        <v>38</v>
      </c>
      <c r="I39">
        <v>38</v>
      </c>
      <c r="J39" s="25">
        <v>743976.2</v>
      </c>
      <c r="K39" s="25">
        <v>571846.40000000002</v>
      </c>
      <c r="L39" s="25">
        <v>91511.8</v>
      </c>
      <c r="M39" s="25">
        <v>29814.5</v>
      </c>
      <c r="N39" s="25">
        <v>745380</v>
      </c>
      <c r="O39" s="25">
        <v>91284</v>
      </c>
      <c r="P39" s="25">
        <v>20669</v>
      </c>
      <c r="Q39" s="25">
        <v>574771</v>
      </c>
      <c r="R39" s="25">
        <v>30202</v>
      </c>
      <c r="S39" s="25">
        <f t="shared" si="1"/>
        <v>-1023</v>
      </c>
      <c r="T39" s="36"/>
      <c r="U39" s="36"/>
    </row>
    <row r="40" spans="1:30" ht="15.75">
      <c r="A40" s="2">
        <v>42736</v>
      </c>
      <c r="B40">
        <f t="shared" si="0"/>
        <v>2017</v>
      </c>
      <c r="C40" s="2" t="s">
        <v>77</v>
      </c>
      <c r="D40" s="15">
        <v>6998.9</v>
      </c>
      <c r="E40" s="15">
        <v>6968.1</v>
      </c>
      <c r="F40" s="15">
        <v>215.3</v>
      </c>
      <c r="G40" s="15">
        <v>213.8</v>
      </c>
      <c r="H40">
        <v>39.5</v>
      </c>
      <c r="I40">
        <v>39.5</v>
      </c>
      <c r="J40" s="25">
        <v>764464.8</v>
      </c>
      <c r="K40" s="25">
        <v>590729.4</v>
      </c>
      <c r="L40" s="25">
        <v>91847.6</v>
      </c>
      <c r="M40" s="25">
        <v>31122.7</v>
      </c>
      <c r="N40" s="25">
        <v>756702</v>
      </c>
      <c r="O40" s="25">
        <v>92757</v>
      </c>
      <c r="P40" s="25">
        <v>20577</v>
      </c>
      <c r="Q40" s="25">
        <v>583158</v>
      </c>
      <c r="R40" s="25">
        <v>30665</v>
      </c>
      <c r="S40" s="25">
        <f t="shared" si="1"/>
        <v>69</v>
      </c>
      <c r="T40" s="36"/>
      <c r="U40" s="36"/>
    </row>
    <row r="41" spans="1:30" ht="15.75">
      <c r="A41" s="2">
        <v>42767</v>
      </c>
      <c r="B41">
        <f t="shared" si="0"/>
        <v>2017</v>
      </c>
      <c r="C41" s="2" t="s">
        <v>77</v>
      </c>
      <c r="D41" s="15">
        <v>7017.3</v>
      </c>
      <c r="E41" s="15">
        <v>6948.4</v>
      </c>
      <c r="F41" s="15">
        <v>209.7</v>
      </c>
      <c r="G41" s="15">
        <v>207.4</v>
      </c>
      <c r="H41">
        <v>35.799999999999997</v>
      </c>
      <c r="I41">
        <v>35.799999999999997</v>
      </c>
      <c r="J41" s="25">
        <v>764464.8</v>
      </c>
      <c r="K41" s="25">
        <v>590729.4</v>
      </c>
      <c r="L41" s="25">
        <v>91847.6</v>
      </c>
      <c r="M41" s="25">
        <v>31122.7</v>
      </c>
      <c r="N41" s="25">
        <v>756702</v>
      </c>
      <c r="O41" s="25">
        <v>92757</v>
      </c>
      <c r="P41" s="25">
        <v>20577</v>
      </c>
      <c r="Q41" s="25">
        <v>583158</v>
      </c>
      <c r="R41" s="25">
        <v>30665</v>
      </c>
      <c r="S41" s="25">
        <f t="shared" si="1"/>
        <v>69</v>
      </c>
      <c r="T41" s="36"/>
      <c r="U41" s="36"/>
    </row>
    <row r="42" spans="1:30" ht="15.75">
      <c r="A42" s="2">
        <v>42795</v>
      </c>
      <c r="B42">
        <f t="shared" si="0"/>
        <v>2017</v>
      </c>
      <c r="C42" s="2" t="s">
        <v>77</v>
      </c>
      <c r="D42" s="15">
        <v>7035.4</v>
      </c>
      <c r="E42" s="15">
        <v>6933.2</v>
      </c>
      <c r="F42" s="15">
        <v>202.9</v>
      </c>
      <c r="G42" s="15">
        <v>200.2</v>
      </c>
      <c r="H42">
        <v>35.1</v>
      </c>
      <c r="I42">
        <v>35.1</v>
      </c>
      <c r="J42" s="25">
        <v>764464.8</v>
      </c>
      <c r="K42" s="25">
        <v>590729.4</v>
      </c>
      <c r="L42" s="25">
        <v>91847.6</v>
      </c>
      <c r="M42" s="25">
        <v>31122.7</v>
      </c>
      <c r="N42" s="25">
        <v>756702</v>
      </c>
      <c r="O42" s="25">
        <v>92757</v>
      </c>
      <c r="P42" s="25">
        <v>20577</v>
      </c>
      <c r="Q42" s="25">
        <v>583158</v>
      </c>
      <c r="R42" s="25">
        <v>30665</v>
      </c>
      <c r="S42" s="25">
        <f t="shared" si="1"/>
        <v>69</v>
      </c>
      <c r="T42" s="36"/>
      <c r="U42" s="36"/>
    </row>
    <row r="43" spans="1:30" ht="15.75">
      <c r="A43" s="2">
        <v>42826</v>
      </c>
      <c r="B43">
        <f t="shared" si="0"/>
        <v>2017</v>
      </c>
      <c r="C43" s="2" t="s">
        <v>78</v>
      </c>
      <c r="D43" s="15">
        <v>7041.8</v>
      </c>
      <c r="E43" s="15">
        <v>6951.9</v>
      </c>
      <c r="F43" s="15">
        <v>199</v>
      </c>
      <c r="G43" s="15">
        <v>198.3</v>
      </c>
      <c r="H43">
        <v>33.9</v>
      </c>
      <c r="I43">
        <v>33.9</v>
      </c>
      <c r="J43" s="25">
        <v>764464.8</v>
      </c>
      <c r="K43" s="25">
        <v>590729.4</v>
      </c>
      <c r="L43" s="25">
        <v>91847.6</v>
      </c>
      <c r="M43" s="25">
        <v>31122.7</v>
      </c>
      <c r="N43" s="25">
        <v>764644</v>
      </c>
      <c r="O43" s="25">
        <v>92585</v>
      </c>
      <c r="P43" s="25">
        <v>20379</v>
      </c>
      <c r="Q43" s="25">
        <v>590485</v>
      </c>
      <c r="R43" s="25">
        <v>31148</v>
      </c>
      <c r="S43" s="25">
        <f t="shared" si="1"/>
        <v>2194</v>
      </c>
      <c r="T43" s="36"/>
      <c r="U43" s="36"/>
    </row>
    <row r="44" spans="1:30" ht="15.75">
      <c r="A44" s="2">
        <v>42856</v>
      </c>
      <c r="B44">
        <f t="shared" ref="B44:B107" si="2">YEAR(A44)</f>
        <v>2017</v>
      </c>
      <c r="C44" s="2" t="s">
        <v>78</v>
      </c>
      <c r="D44" s="15">
        <v>7055.9</v>
      </c>
      <c r="E44" s="15">
        <v>7023.7</v>
      </c>
      <c r="F44" s="15">
        <v>201.8</v>
      </c>
      <c r="G44" s="15">
        <v>203.3</v>
      </c>
      <c r="H44">
        <v>37.799999999999997</v>
      </c>
      <c r="I44">
        <v>37.799999999999997</v>
      </c>
      <c r="J44" s="25">
        <v>764464.8</v>
      </c>
      <c r="K44" s="25">
        <v>590729.4</v>
      </c>
      <c r="L44" s="25">
        <v>91847.6</v>
      </c>
      <c r="M44" s="25">
        <v>31122.7</v>
      </c>
      <c r="N44" s="25">
        <v>764644</v>
      </c>
      <c r="O44" s="25">
        <v>92585</v>
      </c>
      <c r="P44" s="25">
        <v>20379</v>
      </c>
      <c r="Q44" s="25">
        <v>590485</v>
      </c>
      <c r="R44" s="25">
        <v>31148</v>
      </c>
      <c r="S44" s="25">
        <f t="shared" si="1"/>
        <v>2194</v>
      </c>
      <c r="T44" s="36"/>
      <c r="U44" s="36"/>
    </row>
    <row r="45" spans="1:30" ht="15.75">
      <c r="A45" s="2">
        <v>42887</v>
      </c>
      <c r="B45">
        <f t="shared" si="2"/>
        <v>2017</v>
      </c>
      <c r="C45" s="2" t="s">
        <v>78</v>
      </c>
      <c r="D45" s="15">
        <v>7071</v>
      </c>
      <c r="E45" s="15">
        <v>7112.9</v>
      </c>
      <c r="F45" s="15">
        <v>205.5</v>
      </c>
      <c r="G45" s="15">
        <v>209</v>
      </c>
      <c r="H45">
        <v>42.4</v>
      </c>
      <c r="I45">
        <v>42.4</v>
      </c>
      <c r="J45" s="25">
        <v>764464.8</v>
      </c>
      <c r="K45" s="25">
        <v>590729.4</v>
      </c>
      <c r="L45" s="25">
        <v>91847.6</v>
      </c>
      <c r="M45" s="25">
        <v>31122.7</v>
      </c>
      <c r="N45" s="25">
        <v>764644</v>
      </c>
      <c r="O45" s="25">
        <v>92585</v>
      </c>
      <c r="P45" s="25">
        <v>20379</v>
      </c>
      <c r="Q45" s="25">
        <v>590485</v>
      </c>
      <c r="R45" s="25">
        <v>31148</v>
      </c>
      <c r="S45" s="25">
        <f t="shared" si="1"/>
        <v>2194</v>
      </c>
      <c r="T45" s="36"/>
      <c r="U45" s="36"/>
    </row>
    <row r="46" spans="1:30" ht="15.75">
      <c r="A46" s="2">
        <v>42917</v>
      </c>
      <c r="B46">
        <f t="shared" si="2"/>
        <v>2017</v>
      </c>
      <c r="C46" s="2" t="s">
        <v>80</v>
      </c>
      <c r="D46" s="15">
        <v>7099.1</v>
      </c>
      <c r="E46" s="15">
        <v>7186.7</v>
      </c>
      <c r="F46" s="15">
        <v>206.4</v>
      </c>
      <c r="G46" s="15">
        <v>209.1</v>
      </c>
      <c r="H46">
        <v>47.3</v>
      </c>
      <c r="I46">
        <v>47.3</v>
      </c>
      <c r="J46" s="25">
        <v>764464.8</v>
      </c>
      <c r="K46" s="25">
        <v>590729.4</v>
      </c>
      <c r="L46" s="25">
        <v>91847.6</v>
      </c>
      <c r="M46" s="25">
        <v>31122.7</v>
      </c>
      <c r="N46" s="25">
        <v>765060</v>
      </c>
      <c r="O46" s="25">
        <v>90464</v>
      </c>
      <c r="P46" s="25">
        <v>18662</v>
      </c>
      <c r="Q46" s="25">
        <v>592461</v>
      </c>
      <c r="R46" s="25">
        <v>31156</v>
      </c>
      <c r="S46" s="25">
        <f t="shared" si="1"/>
        <v>-1221</v>
      </c>
      <c r="T46" s="36"/>
      <c r="U46" s="36"/>
    </row>
    <row r="47" spans="1:30" ht="15.75">
      <c r="A47" s="2">
        <v>42948</v>
      </c>
      <c r="B47">
        <f t="shared" si="2"/>
        <v>2017</v>
      </c>
      <c r="C47" s="2" t="s">
        <v>80</v>
      </c>
      <c r="D47" s="15">
        <v>7118</v>
      </c>
      <c r="E47" s="15">
        <v>7207.6</v>
      </c>
      <c r="F47" s="15">
        <v>207.5</v>
      </c>
      <c r="G47" s="15">
        <v>209</v>
      </c>
      <c r="H47">
        <v>49.6</v>
      </c>
      <c r="I47">
        <v>49.6</v>
      </c>
      <c r="J47" s="25">
        <v>764464.8</v>
      </c>
      <c r="K47" s="25">
        <v>590729.4</v>
      </c>
      <c r="L47" s="25">
        <v>91847.6</v>
      </c>
      <c r="M47" s="25">
        <v>31122.7</v>
      </c>
      <c r="N47" s="25">
        <v>765060</v>
      </c>
      <c r="O47" s="25">
        <v>90464</v>
      </c>
      <c r="P47" s="25">
        <v>18662</v>
      </c>
      <c r="Q47" s="25">
        <v>592461</v>
      </c>
      <c r="R47" s="25">
        <v>31156</v>
      </c>
      <c r="S47" s="25">
        <f t="shared" si="1"/>
        <v>-1221</v>
      </c>
      <c r="T47" s="36"/>
      <c r="U47" s="36"/>
    </row>
    <row r="48" spans="1:30" ht="15.75">
      <c r="A48" s="2">
        <v>42979</v>
      </c>
      <c r="B48">
        <f t="shared" si="2"/>
        <v>2017</v>
      </c>
      <c r="C48" s="2" t="s">
        <v>80</v>
      </c>
      <c r="D48" s="15">
        <v>7143.3</v>
      </c>
      <c r="E48" s="15">
        <v>7185.7</v>
      </c>
      <c r="F48" s="15">
        <v>207.7</v>
      </c>
      <c r="G48" s="15">
        <v>206.8</v>
      </c>
      <c r="H48">
        <v>47.3</v>
      </c>
      <c r="I48">
        <v>47.3</v>
      </c>
      <c r="J48" s="25">
        <v>764464.8</v>
      </c>
      <c r="K48" s="25">
        <v>590729.4</v>
      </c>
      <c r="L48" s="25">
        <v>91847.6</v>
      </c>
      <c r="M48" s="25">
        <v>31122.7</v>
      </c>
      <c r="N48" s="25">
        <v>765060</v>
      </c>
      <c r="O48" s="25">
        <v>90464</v>
      </c>
      <c r="P48" s="25">
        <v>18662</v>
      </c>
      <c r="Q48" s="25">
        <v>592461</v>
      </c>
      <c r="R48" s="25">
        <v>31156</v>
      </c>
      <c r="S48" s="25">
        <f t="shared" si="1"/>
        <v>-1221</v>
      </c>
      <c r="T48" s="36"/>
      <c r="U48" s="36"/>
    </row>
    <row r="49" spans="1:21" ht="15.75">
      <c r="A49" s="19">
        <v>43009</v>
      </c>
      <c r="B49">
        <f t="shared" si="2"/>
        <v>2017</v>
      </c>
      <c r="C49" s="2" t="s">
        <v>81</v>
      </c>
      <c r="D49" s="15">
        <v>7158.3</v>
      </c>
      <c r="E49" s="15">
        <v>7179.8</v>
      </c>
      <c r="F49" s="15">
        <v>209.3</v>
      </c>
      <c r="G49" s="15">
        <v>208</v>
      </c>
      <c r="H49">
        <v>43.8</v>
      </c>
      <c r="I49">
        <v>43.8</v>
      </c>
      <c r="J49" s="25">
        <v>764464.8</v>
      </c>
      <c r="K49" s="25">
        <v>590729.4</v>
      </c>
      <c r="L49" s="25">
        <v>91847.6</v>
      </c>
      <c r="M49" s="25">
        <v>31122.7</v>
      </c>
      <c r="N49" s="25">
        <v>771453</v>
      </c>
      <c r="O49" s="25">
        <v>91583</v>
      </c>
      <c r="P49" s="25">
        <v>19133</v>
      </c>
      <c r="Q49" s="25">
        <v>596813</v>
      </c>
      <c r="R49" s="25">
        <v>31522</v>
      </c>
      <c r="S49" s="25">
        <f t="shared" si="1"/>
        <v>299</v>
      </c>
      <c r="T49" s="36"/>
      <c r="U49" s="36"/>
    </row>
    <row r="50" spans="1:21" ht="15.75">
      <c r="A50" s="19">
        <v>43040</v>
      </c>
      <c r="B50">
        <f t="shared" si="2"/>
        <v>2017</v>
      </c>
      <c r="C50" s="2" t="s">
        <v>81</v>
      </c>
      <c r="D50" s="15">
        <v>7182.2</v>
      </c>
      <c r="E50" s="15">
        <v>7182.5</v>
      </c>
      <c r="F50" s="15">
        <v>208.6</v>
      </c>
      <c r="G50" s="15">
        <v>206.8</v>
      </c>
      <c r="H50">
        <v>41.1</v>
      </c>
      <c r="I50">
        <v>41.1</v>
      </c>
      <c r="J50" s="25">
        <v>764464.8</v>
      </c>
      <c r="K50" s="25">
        <v>590729.4</v>
      </c>
      <c r="L50" s="25">
        <v>91847.6</v>
      </c>
      <c r="M50" s="25">
        <v>31122.7</v>
      </c>
      <c r="N50" s="25">
        <v>771453</v>
      </c>
      <c r="O50" s="25">
        <v>91583</v>
      </c>
      <c r="P50" s="25">
        <v>19133</v>
      </c>
      <c r="Q50" s="25">
        <v>596813</v>
      </c>
      <c r="R50" s="25">
        <v>31522</v>
      </c>
      <c r="S50" s="25">
        <f t="shared" si="1"/>
        <v>299</v>
      </c>
      <c r="T50" s="36"/>
      <c r="U50" s="36"/>
    </row>
    <row r="51" spans="1:21" ht="15.75">
      <c r="A51" s="19">
        <v>43070</v>
      </c>
      <c r="B51">
        <f t="shared" si="2"/>
        <v>2017</v>
      </c>
      <c r="C51" s="2" t="s">
        <v>81</v>
      </c>
      <c r="D51" s="15">
        <v>7196.8</v>
      </c>
      <c r="E51" s="15">
        <v>7205</v>
      </c>
      <c r="F51" s="15">
        <v>207.8</v>
      </c>
      <c r="G51" s="15">
        <v>206.3</v>
      </c>
      <c r="H51">
        <v>39</v>
      </c>
      <c r="I51">
        <v>39</v>
      </c>
      <c r="J51" s="25">
        <v>764464.8</v>
      </c>
      <c r="K51" s="25">
        <v>590729.4</v>
      </c>
      <c r="L51" s="25">
        <v>91847.6</v>
      </c>
      <c r="M51" s="25">
        <v>31122.7</v>
      </c>
      <c r="N51" s="25">
        <v>771453</v>
      </c>
      <c r="O51" s="25">
        <v>91583</v>
      </c>
      <c r="P51" s="25">
        <v>19133</v>
      </c>
      <c r="Q51" s="25">
        <v>596813</v>
      </c>
      <c r="R51" s="25">
        <v>31522</v>
      </c>
      <c r="S51" s="25">
        <f t="shared" si="1"/>
        <v>299</v>
      </c>
      <c r="T51" s="36"/>
      <c r="U51" s="36"/>
    </row>
    <row r="52" spans="1:21" ht="15.75">
      <c r="A52" s="19">
        <v>43101</v>
      </c>
      <c r="B52">
        <f t="shared" si="2"/>
        <v>2018</v>
      </c>
      <c r="C52" s="2" t="s">
        <v>77</v>
      </c>
      <c r="D52" s="15">
        <v>7195</v>
      </c>
      <c r="E52" s="15">
        <v>7165</v>
      </c>
      <c r="F52" s="15">
        <v>206.5</v>
      </c>
      <c r="G52" s="15">
        <v>204.6</v>
      </c>
      <c r="H52">
        <v>39</v>
      </c>
      <c r="I52">
        <v>39</v>
      </c>
      <c r="J52" s="25">
        <v>789531.6</v>
      </c>
      <c r="K52" s="25">
        <v>608429.30000000005</v>
      </c>
      <c r="L52" s="25">
        <v>95137.5</v>
      </c>
      <c r="M52" s="25">
        <v>31658.2</v>
      </c>
      <c r="N52" s="25">
        <v>779459</v>
      </c>
      <c r="O52" s="25">
        <v>94076</v>
      </c>
      <c r="P52" s="25">
        <v>20117</v>
      </c>
      <c r="Q52" s="25">
        <v>600187</v>
      </c>
      <c r="R52" s="25">
        <v>31723</v>
      </c>
      <c r="S52" s="25">
        <f t="shared" si="1"/>
        <v>1319</v>
      </c>
      <c r="T52" s="36"/>
      <c r="U52" s="36"/>
    </row>
    <row r="53" spans="1:21" ht="15.75">
      <c r="A53" s="19">
        <v>43132</v>
      </c>
      <c r="B53">
        <f t="shared" si="2"/>
        <v>2018</v>
      </c>
      <c r="C53" s="2" t="s">
        <v>77</v>
      </c>
      <c r="D53" s="15">
        <v>7183.9</v>
      </c>
      <c r="E53" s="15">
        <v>7116</v>
      </c>
      <c r="F53" s="15">
        <v>206.7</v>
      </c>
      <c r="G53" s="15">
        <v>204.6</v>
      </c>
      <c r="H53">
        <v>39.5</v>
      </c>
      <c r="I53">
        <v>39.5</v>
      </c>
      <c r="J53" s="25">
        <v>789531.6</v>
      </c>
      <c r="K53" s="25">
        <v>608429.30000000005</v>
      </c>
      <c r="L53" s="25">
        <v>95137.5</v>
      </c>
      <c r="M53" s="25">
        <v>31658.2</v>
      </c>
      <c r="N53" s="25">
        <v>779459</v>
      </c>
      <c r="O53" s="25">
        <v>94076</v>
      </c>
      <c r="P53" s="25">
        <v>20117</v>
      </c>
      <c r="Q53" s="25">
        <v>600187</v>
      </c>
      <c r="R53" s="25">
        <v>31723</v>
      </c>
      <c r="S53" s="25">
        <f t="shared" si="1"/>
        <v>1319</v>
      </c>
      <c r="T53" s="36"/>
      <c r="U53" s="36"/>
    </row>
    <row r="54" spans="1:21" ht="15.75">
      <c r="A54" s="19">
        <v>43160</v>
      </c>
      <c r="B54">
        <f t="shared" si="2"/>
        <v>2018</v>
      </c>
      <c r="C54" s="2" t="s">
        <v>77</v>
      </c>
      <c r="D54" s="15">
        <v>7183.7</v>
      </c>
      <c r="E54" s="15">
        <v>7080.1</v>
      </c>
      <c r="F54" s="15">
        <v>209.4</v>
      </c>
      <c r="G54" s="15">
        <v>207.3</v>
      </c>
      <c r="H54">
        <v>40.9</v>
      </c>
      <c r="I54">
        <v>40.9</v>
      </c>
      <c r="J54" s="25">
        <v>789531.6</v>
      </c>
      <c r="K54" s="25">
        <v>608429.30000000005</v>
      </c>
      <c r="L54" s="25">
        <v>95137.5</v>
      </c>
      <c r="M54" s="25">
        <v>31658.2</v>
      </c>
      <c r="N54" s="25">
        <v>779459</v>
      </c>
      <c r="O54" s="25">
        <v>94076</v>
      </c>
      <c r="P54" s="25">
        <v>20117</v>
      </c>
      <c r="Q54" s="25">
        <v>600187</v>
      </c>
      <c r="R54" s="25">
        <v>31723</v>
      </c>
      <c r="S54" s="25">
        <f t="shared" si="1"/>
        <v>1319</v>
      </c>
      <c r="T54" s="36"/>
      <c r="U54" s="36"/>
    </row>
    <row r="55" spans="1:21" ht="15.75">
      <c r="A55" s="19">
        <v>43191</v>
      </c>
      <c r="B55">
        <f t="shared" si="2"/>
        <v>2018</v>
      </c>
      <c r="C55" s="2" t="s">
        <v>78</v>
      </c>
      <c r="D55" s="15">
        <v>7196</v>
      </c>
      <c r="E55" s="15">
        <v>7107.1</v>
      </c>
      <c r="F55" s="15">
        <v>213.7</v>
      </c>
      <c r="G55" s="15">
        <v>212.2</v>
      </c>
      <c r="H55">
        <v>41</v>
      </c>
      <c r="I55">
        <v>41</v>
      </c>
      <c r="J55" s="25">
        <v>789531.6</v>
      </c>
      <c r="K55" s="25">
        <v>608429.30000000005</v>
      </c>
      <c r="L55" s="25">
        <v>95137.5</v>
      </c>
      <c r="M55" s="25">
        <v>31658.2</v>
      </c>
      <c r="N55" s="25">
        <v>784896</v>
      </c>
      <c r="O55" s="25">
        <v>94306</v>
      </c>
      <c r="P55" s="25">
        <v>19819</v>
      </c>
      <c r="Q55" s="25">
        <v>604446</v>
      </c>
      <c r="R55" s="25">
        <v>31589</v>
      </c>
      <c r="S55" s="25">
        <f t="shared" si="1"/>
        <v>1721</v>
      </c>
      <c r="T55" s="36"/>
      <c r="U55" s="36"/>
    </row>
    <row r="56" spans="1:21" ht="15.75">
      <c r="A56" s="19">
        <v>43221</v>
      </c>
      <c r="B56">
        <f t="shared" si="2"/>
        <v>2018</v>
      </c>
      <c r="C56" s="2" t="s">
        <v>78</v>
      </c>
      <c r="D56" s="15">
        <v>7205</v>
      </c>
      <c r="E56" s="15">
        <v>7172.4</v>
      </c>
      <c r="F56" s="15">
        <v>217.6</v>
      </c>
      <c r="G56" s="15">
        <v>218.1</v>
      </c>
      <c r="H56">
        <v>39.299999999999997</v>
      </c>
      <c r="I56">
        <v>39.299999999999997</v>
      </c>
      <c r="J56" s="25">
        <v>789531.6</v>
      </c>
      <c r="K56" s="25">
        <v>608429.30000000005</v>
      </c>
      <c r="L56" s="25">
        <v>95137.5</v>
      </c>
      <c r="M56" s="25">
        <v>31658.2</v>
      </c>
      <c r="N56" s="25">
        <v>784896</v>
      </c>
      <c r="O56" s="25">
        <v>94306</v>
      </c>
      <c r="P56" s="25">
        <v>19819</v>
      </c>
      <c r="Q56" s="25">
        <v>604446</v>
      </c>
      <c r="R56" s="25">
        <v>31589</v>
      </c>
      <c r="S56" s="25">
        <f t="shared" si="1"/>
        <v>1721</v>
      </c>
      <c r="T56" s="36"/>
      <c r="U56" s="36"/>
    </row>
    <row r="57" spans="1:21" ht="15.75">
      <c r="A57" s="19">
        <v>43252</v>
      </c>
      <c r="B57">
        <f t="shared" si="2"/>
        <v>2018</v>
      </c>
      <c r="C57" s="2" t="s">
        <v>78</v>
      </c>
      <c r="D57" s="15">
        <v>7216.7</v>
      </c>
      <c r="E57" s="15">
        <v>7258</v>
      </c>
      <c r="F57" s="15">
        <v>219.5</v>
      </c>
      <c r="G57" s="15">
        <v>222.3</v>
      </c>
      <c r="H57">
        <v>38</v>
      </c>
      <c r="I57">
        <v>38</v>
      </c>
      <c r="J57" s="25">
        <v>789531.6</v>
      </c>
      <c r="K57" s="25">
        <v>608429.30000000005</v>
      </c>
      <c r="L57" s="25">
        <v>95137.5</v>
      </c>
      <c r="M57" s="25">
        <v>31658.2</v>
      </c>
      <c r="N57" s="25">
        <v>784896</v>
      </c>
      <c r="O57" s="25">
        <v>94306</v>
      </c>
      <c r="P57" s="25">
        <v>19819</v>
      </c>
      <c r="Q57" s="25">
        <v>604446</v>
      </c>
      <c r="R57" s="25">
        <v>31589</v>
      </c>
      <c r="S57" s="25">
        <f t="shared" si="1"/>
        <v>1721</v>
      </c>
      <c r="T57" s="36"/>
      <c r="U57" s="36"/>
    </row>
    <row r="58" spans="1:21" ht="15.75">
      <c r="A58" s="19">
        <v>43282</v>
      </c>
      <c r="B58">
        <f t="shared" si="2"/>
        <v>2018</v>
      </c>
      <c r="C58" s="2" t="s">
        <v>80</v>
      </c>
      <c r="D58" s="15">
        <v>7249.1</v>
      </c>
      <c r="E58" s="15">
        <v>7338.7</v>
      </c>
      <c r="F58" s="15">
        <v>218.7</v>
      </c>
      <c r="G58" s="15">
        <v>223.5</v>
      </c>
      <c r="H58">
        <v>35.1</v>
      </c>
      <c r="I58">
        <v>35.1</v>
      </c>
      <c r="J58" s="25">
        <v>789531.6</v>
      </c>
      <c r="K58" s="25">
        <v>608429.30000000005</v>
      </c>
      <c r="L58" s="25">
        <v>95137.5</v>
      </c>
      <c r="M58" s="25">
        <v>31658.2</v>
      </c>
      <c r="N58" s="25">
        <v>794140</v>
      </c>
      <c r="O58" s="25">
        <v>96069</v>
      </c>
      <c r="P58" s="25">
        <v>19703</v>
      </c>
      <c r="Q58" s="25">
        <v>611579</v>
      </c>
      <c r="R58" s="25">
        <v>31769</v>
      </c>
      <c r="S58" s="25">
        <f t="shared" si="1"/>
        <v>5605</v>
      </c>
      <c r="T58" s="36"/>
      <c r="U58" s="36"/>
    </row>
    <row r="59" spans="1:21" ht="15.75">
      <c r="A59" s="19">
        <v>43313</v>
      </c>
      <c r="B59">
        <f t="shared" si="2"/>
        <v>2018</v>
      </c>
      <c r="C59" s="2" t="s">
        <v>80</v>
      </c>
      <c r="D59" s="15">
        <v>7257.7</v>
      </c>
      <c r="E59" s="15">
        <v>7350.2</v>
      </c>
      <c r="F59" s="15">
        <v>217.1</v>
      </c>
      <c r="G59" s="15">
        <v>220.5</v>
      </c>
      <c r="H59">
        <v>35.5</v>
      </c>
      <c r="I59">
        <v>35.5</v>
      </c>
      <c r="J59" s="25">
        <v>789531.6</v>
      </c>
      <c r="K59" s="25">
        <v>608429.30000000005</v>
      </c>
      <c r="L59" s="25">
        <v>95137.5</v>
      </c>
      <c r="M59" s="25">
        <v>31658.2</v>
      </c>
      <c r="N59" s="25">
        <v>794140</v>
      </c>
      <c r="O59" s="25">
        <v>96069</v>
      </c>
      <c r="P59" s="25">
        <v>19703</v>
      </c>
      <c r="Q59" s="25">
        <v>611579</v>
      </c>
      <c r="R59" s="25">
        <v>31769</v>
      </c>
      <c r="S59" s="25">
        <f t="shared" si="1"/>
        <v>5605</v>
      </c>
      <c r="T59" s="36"/>
      <c r="U59" s="36"/>
    </row>
    <row r="60" spans="1:21" ht="15.75">
      <c r="A60" s="19">
        <v>43344</v>
      </c>
      <c r="B60">
        <f t="shared" si="2"/>
        <v>2018</v>
      </c>
      <c r="C60" s="2" t="s">
        <v>80</v>
      </c>
      <c r="D60" s="15">
        <v>7273.8</v>
      </c>
      <c r="E60" s="15">
        <v>7316.6</v>
      </c>
      <c r="F60" s="15">
        <v>215.6</v>
      </c>
      <c r="G60" s="15">
        <v>216.3</v>
      </c>
      <c r="H60">
        <v>36.6</v>
      </c>
      <c r="I60">
        <v>36.6</v>
      </c>
      <c r="J60" s="25">
        <v>789531.6</v>
      </c>
      <c r="K60" s="25">
        <v>608429.30000000005</v>
      </c>
      <c r="L60" s="25">
        <v>95137.5</v>
      </c>
      <c r="M60" s="25">
        <v>31658.2</v>
      </c>
      <c r="N60" s="25">
        <v>794140</v>
      </c>
      <c r="O60" s="25">
        <v>96069</v>
      </c>
      <c r="P60" s="25">
        <v>19703</v>
      </c>
      <c r="Q60" s="25">
        <v>611579</v>
      </c>
      <c r="R60" s="25">
        <v>31769</v>
      </c>
      <c r="S60" s="25">
        <f t="shared" si="1"/>
        <v>5605</v>
      </c>
      <c r="T60" s="36"/>
      <c r="U60" s="36"/>
    </row>
    <row r="61" spans="1:21" ht="15.75">
      <c r="A61" s="19">
        <v>43374</v>
      </c>
      <c r="B61">
        <f t="shared" si="2"/>
        <v>2018</v>
      </c>
      <c r="C61" s="2" t="s">
        <v>81</v>
      </c>
      <c r="D61" s="15">
        <v>7269.1</v>
      </c>
      <c r="E61" s="15">
        <v>7285.3</v>
      </c>
      <c r="F61" s="15">
        <v>214.7</v>
      </c>
      <c r="G61" s="15">
        <v>213</v>
      </c>
      <c r="H61">
        <v>39.5</v>
      </c>
      <c r="I61">
        <v>39.5</v>
      </c>
      <c r="J61" s="25">
        <v>789531.6</v>
      </c>
      <c r="K61" s="25">
        <v>608429.30000000005</v>
      </c>
      <c r="L61" s="25">
        <v>95137.5</v>
      </c>
      <c r="M61" s="25">
        <v>31658.2</v>
      </c>
      <c r="N61" s="25">
        <v>799632</v>
      </c>
      <c r="O61" s="25">
        <v>96099</v>
      </c>
      <c r="P61" s="25">
        <v>19929</v>
      </c>
      <c r="Q61" s="25">
        <v>617505</v>
      </c>
      <c r="R61" s="25">
        <v>31552</v>
      </c>
      <c r="S61" s="25">
        <f t="shared" si="1"/>
        <v>4516</v>
      </c>
      <c r="T61" s="36"/>
      <c r="U61" s="36"/>
    </row>
    <row r="62" spans="1:21" ht="15.75">
      <c r="A62" s="19">
        <v>43405</v>
      </c>
      <c r="B62">
        <f t="shared" si="2"/>
        <v>2018</v>
      </c>
      <c r="C62" s="2" t="s">
        <v>81</v>
      </c>
      <c r="D62" s="15">
        <v>7289.9</v>
      </c>
      <c r="E62" s="15">
        <v>7286.3</v>
      </c>
      <c r="F62" s="15">
        <v>214.8</v>
      </c>
      <c r="G62" s="15">
        <v>212.5</v>
      </c>
      <c r="H62">
        <v>45.9</v>
      </c>
      <c r="I62">
        <v>45.9</v>
      </c>
      <c r="J62" s="25">
        <v>789531.6</v>
      </c>
      <c r="K62" s="25">
        <v>608429.30000000005</v>
      </c>
      <c r="L62" s="25">
        <v>95137.5</v>
      </c>
      <c r="M62" s="25">
        <v>31658.2</v>
      </c>
      <c r="N62" s="25">
        <v>799632</v>
      </c>
      <c r="O62" s="25">
        <v>96099</v>
      </c>
      <c r="P62" s="25">
        <v>19929</v>
      </c>
      <c r="Q62" s="25">
        <v>617505</v>
      </c>
      <c r="R62" s="25">
        <v>31552</v>
      </c>
      <c r="S62" s="25">
        <f t="shared" si="1"/>
        <v>4516</v>
      </c>
      <c r="T62" s="36"/>
      <c r="U62" s="36"/>
    </row>
    <row r="63" spans="1:21" ht="15.75">
      <c r="A63" s="19">
        <v>43435</v>
      </c>
      <c r="B63">
        <f t="shared" si="2"/>
        <v>2018</v>
      </c>
      <c r="C63" s="2" t="s">
        <v>81</v>
      </c>
      <c r="D63" s="15">
        <v>7296.4</v>
      </c>
      <c r="E63" s="15">
        <v>7306.9</v>
      </c>
      <c r="F63" s="15">
        <v>214.1</v>
      </c>
      <c r="G63" s="15">
        <v>211.9</v>
      </c>
      <c r="H63">
        <v>51.7</v>
      </c>
      <c r="I63">
        <v>51.7</v>
      </c>
      <c r="J63" s="25">
        <v>789531.6</v>
      </c>
      <c r="K63" s="25">
        <v>608429.30000000005</v>
      </c>
      <c r="L63" s="25">
        <v>95137.5</v>
      </c>
      <c r="M63" s="25">
        <v>31658.2</v>
      </c>
      <c r="N63" s="25">
        <v>799632</v>
      </c>
      <c r="O63" s="25">
        <v>96099</v>
      </c>
      <c r="P63" s="25">
        <v>19929</v>
      </c>
      <c r="Q63" s="25">
        <v>617505</v>
      </c>
      <c r="R63" s="25">
        <v>31552</v>
      </c>
      <c r="S63" s="25">
        <f t="shared" si="1"/>
        <v>4516</v>
      </c>
      <c r="T63" s="36"/>
      <c r="U63" s="36"/>
    </row>
    <row r="64" spans="1:21" ht="15.75">
      <c r="A64" s="19">
        <v>43466</v>
      </c>
      <c r="B64">
        <f t="shared" si="2"/>
        <v>2019</v>
      </c>
      <c r="C64" s="2" t="s">
        <v>77</v>
      </c>
      <c r="D64" s="15">
        <v>7306.5</v>
      </c>
      <c r="E64" s="15">
        <v>7280.1</v>
      </c>
      <c r="F64" s="15">
        <v>216.3</v>
      </c>
      <c r="G64" s="15">
        <v>214</v>
      </c>
      <c r="H64">
        <v>59.6</v>
      </c>
      <c r="I64">
        <v>59.6</v>
      </c>
      <c r="J64" s="25">
        <v>807274.5</v>
      </c>
      <c r="K64" s="25">
        <v>626103.1</v>
      </c>
      <c r="L64" s="25">
        <v>94599.6</v>
      </c>
      <c r="M64" s="25">
        <v>32860.800000000003</v>
      </c>
      <c r="N64" s="25">
        <v>800724</v>
      </c>
      <c r="O64" s="25">
        <v>95863</v>
      </c>
      <c r="P64" s="25">
        <v>19895</v>
      </c>
      <c r="Q64" s="25">
        <v>619045</v>
      </c>
      <c r="R64" s="25">
        <v>31743</v>
      </c>
      <c r="S64" s="25">
        <f t="shared" si="1"/>
        <v>1787</v>
      </c>
      <c r="T64" s="36"/>
      <c r="U64" s="36"/>
    </row>
    <row r="65" spans="1:21" ht="15.75">
      <c r="A65" s="19">
        <v>43497</v>
      </c>
      <c r="B65">
        <f t="shared" si="2"/>
        <v>2019</v>
      </c>
      <c r="C65" s="2" t="s">
        <v>77</v>
      </c>
      <c r="D65" s="15">
        <v>7329.7</v>
      </c>
      <c r="E65" s="15">
        <v>7264.2</v>
      </c>
      <c r="F65" s="15">
        <v>218</v>
      </c>
      <c r="G65" s="15">
        <v>215.9</v>
      </c>
      <c r="H65">
        <v>58.2</v>
      </c>
      <c r="I65">
        <v>58.2</v>
      </c>
      <c r="J65" s="25">
        <v>807274.5</v>
      </c>
      <c r="K65" s="25">
        <v>626103.1</v>
      </c>
      <c r="L65" s="25">
        <v>94599.6</v>
      </c>
      <c r="M65" s="25">
        <v>32860.800000000003</v>
      </c>
      <c r="N65" s="25">
        <v>800724</v>
      </c>
      <c r="O65" s="25">
        <v>95863</v>
      </c>
      <c r="P65" s="25">
        <v>19895</v>
      </c>
      <c r="Q65" s="25">
        <v>619045</v>
      </c>
      <c r="R65" s="25">
        <v>31743</v>
      </c>
      <c r="S65" s="25">
        <f t="shared" si="1"/>
        <v>1787</v>
      </c>
      <c r="T65" s="36"/>
      <c r="U65" s="36"/>
    </row>
    <row r="66" spans="1:21" ht="15.75">
      <c r="A66" s="19">
        <v>43525</v>
      </c>
      <c r="B66">
        <f t="shared" si="2"/>
        <v>2019</v>
      </c>
      <c r="C66" s="2" t="s">
        <v>77</v>
      </c>
      <c r="D66" s="15">
        <v>7341.9</v>
      </c>
      <c r="E66" s="15">
        <v>7239.5</v>
      </c>
      <c r="F66" s="15">
        <v>220.1</v>
      </c>
      <c r="G66" s="15">
        <v>218.5</v>
      </c>
      <c r="H66">
        <v>60.6</v>
      </c>
      <c r="I66">
        <v>60.6</v>
      </c>
      <c r="J66" s="25">
        <v>807274.5</v>
      </c>
      <c r="K66" s="25">
        <v>626103.1</v>
      </c>
      <c r="L66" s="25">
        <v>94599.6</v>
      </c>
      <c r="M66" s="25">
        <v>32860.800000000003</v>
      </c>
      <c r="N66" s="25">
        <v>800724</v>
      </c>
      <c r="O66" s="25">
        <v>95863</v>
      </c>
      <c r="P66" s="25">
        <v>19895</v>
      </c>
      <c r="Q66" s="25">
        <v>619045</v>
      </c>
      <c r="R66" s="25">
        <v>31743</v>
      </c>
      <c r="S66" s="25">
        <f t="shared" si="1"/>
        <v>1787</v>
      </c>
      <c r="T66" s="36"/>
      <c r="U66" s="36"/>
    </row>
    <row r="67" spans="1:21" ht="15.75">
      <c r="A67" s="19">
        <v>43556</v>
      </c>
      <c r="B67">
        <f t="shared" si="2"/>
        <v>2019</v>
      </c>
      <c r="C67" s="2" t="s">
        <v>78</v>
      </c>
      <c r="D67" s="15">
        <v>7361.6</v>
      </c>
      <c r="E67" s="15">
        <v>7275.7</v>
      </c>
      <c r="F67" s="15">
        <v>219.6</v>
      </c>
      <c r="G67" s="15">
        <v>219</v>
      </c>
      <c r="H67">
        <v>58.5</v>
      </c>
      <c r="I67">
        <v>58.5</v>
      </c>
      <c r="J67" s="25">
        <v>807274.5</v>
      </c>
      <c r="K67" s="25">
        <v>626103.1</v>
      </c>
      <c r="L67" s="25">
        <v>94599.6</v>
      </c>
      <c r="M67" s="25">
        <v>32860.800000000003</v>
      </c>
      <c r="N67" s="25">
        <v>806630</v>
      </c>
      <c r="O67" s="25">
        <v>95078</v>
      </c>
      <c r="P67" s="25">
        <v>19873</v>
      </c>
      <c r="Q67" s="25">
        <v>624723</v>
      </c>
      <c r="R67" s="25">
        <v>32769</v>
      </c>
      <c r="S67" s="25">
        <f t="shared" si="1"/>
        <v>772</v>
      </c>
      <c r="T67" s="36"/>
      <c r="U67" s="36"/>
    </row>
    <row r="68" spans="1:21" ht="15.75">
      <c r="A68" s="19">
        <v>43586</v>
      </c>
      <c r="B68">
        <f t="shared" si="2"/>
        <v>2019</v>
      </c>
      <c r="C68" s="2" t="s">
        <v>78</v>
      </c>
      <c r="D68" s="15">
        <v>7376.4</v>
      </c>
      <c r="E68" s="15">
        <v>7345.7</v>
      </c>
      <c r="F68" s="15">
        <v>218.7</v>
      </c>
      <c r="G68" s="15">
        <v>219.7</v>
      </c>
      <c r="H68">
        <v>59</v>
      </c>
      <c r="I68">
        <v>59</v>
      </c>
      <c r="J68" s="25">
        <v>807274.5</v>
      </c>
      <c r="K68" s="25">
        <v>626103.1</v>
      </c>
      <c r="L68" s="25">
        <v>94599.6</v>
      </c>
      <c r="M68" s="25">
        <v>32860.800000000003</v>
      </c>
      <c r="N68" s="25">
        <v>806630</v>
      </c>
      <c r="O68" s="25">
        <v>95078</v>
      </c>
      <c r="P68" s="25">
        <v>19873</v>
      </c>
      <c r="Q68" s="25">
        <v>624723</v>
      </c>
      <c r="R68" s="25">
        <v>32769</v>
      </c>
      <c r="S68" s="25">
        <f t="shared" si="1"/>
        <v>772</v>
      </c>
      <c r="T68" s="36"/>
      <c r="U68" s="36"/>
    </row>
    <row r="69" spans="1:21" ht="15.75">
      <c r="A69" s="19">
        <v>43617</v>
      </c>
      <c r="B69">
        <f t="shared" si="2"/>
        <v>2019</v>
      </c>
      <c r="C69" s="2" t="s">
        <v>78</v>
      </c>
      <c r="D69" s="15">
        <v>7396.1</v>
      </c>
      <c r="E69" s="15">
        <v>7436.8</v>
      </c>
      <c r="F69" s="15">
        <v>217.8</v>
      </c>
      <c r="G69" s="15">
        <v>220.9</v>
      </c>
      <c r="H69">
        <v>52.8</v>
      </c>
      <c r="I69">
        <v>52.8</v>
      </c>
      <c r="J69" s="25">
        <v>807274.5</v>
      </c>
      <c r="K69" s="25">
        <v>626103.1</v>
      </c>
      <c r="L69" s="25">
        <v>94599.6</v>
      </c>
      <c r="M69" s="25">
        <v>32860.800000000003</v>
      </c>
      <c r="N69" s="25">
        <v>806630</v>
      </c>
      <c r="O69" s="25">
        <v>95078</v>
      </c>
      <c r="P69" s="25">
        <v>19873</v>
      </c>
      <c r="Q69" s="25">
        <v>624723</v>
      </c>
      <c r="R69" s="25">
        <v>32769</v>
      </c>
      <c r="S69" s="25">
        <f t="shared" si="1"/>
        <v>772</v>
      </c>
      <c r="T69" s="36"/>
      <c r="U69" s="36"/>
    </row>
    <row r="70" spans="1:21" ht="15.75">
      <c r="A70" s="19">
        <v>43647</v>
      </c>
      <c r="B70">
        <f t="shared" si="2"/>
        <v>2019</v>
      </c>
      <c r="C70" s="2" t="s">
        <v>80</v>
      </c>
      <c r="D70" s="15">
        <v>7399.6</v>
      </c>
      <c r="E70" s="15">
        <v>7484.5</v>
      </c>
      <c r="F70" s="15">
        <v>216.2</v>
      </c>
      <c r="G70" s="15">
        <v>220.4</v>
      </c>
      <c r="H70">
        <v>46.2</v>
      </c>
      <c r="I70">
        <v>46.2</v>
      </c>
      <c r="J70" s="25">
        <v>807274.5</v>
      </c>
      <c r="K70" s="25">
        <v>626103.1</v>
      </c>
      <c r="L70" s="25">
        <v>94599.6</v>
      </c>
      <c r="M70" s="25">
        <v>32860.800000000003</v>
      </c>
      <c r="N70" s="25">
        <v>810347</v>
      </c>
      <c r="O70" s="25">
        <v>94469</v>
      </c>
      <c r="P70" s="25">
        <v>19976</v>
      </c>
      <c r="Q70" s="25">
        <v>628879</v>
      </c>
      <c r="R70" s="25">
        <v>33162</v>
      </c>
      <c r="S70" s="25">
        <f t="shared" si="1"/>
        <v>-1600</v>
      </c>
      <c r="T70" s="36"/>
      <c r="U70" s="36"/>
    </row>
    <row r="71" spans="1:21" ht="15.75">
      <c r="A71" s="19">
        <v>43678</v>
      </c>
      <c r="B71">
        <f t="shared" si="2"/>
        <v>2019</v>
      </c>
      <c r="C71" s="2" t="s">
        <v>80</v>
      </c>
      <c r="D71" s="15">
        <v>7414</v>
      </c>
      <c r="E71" s="15">
        <v>7501.5</v>
      </c>
      <c r="F71" s="15">
        <v>213.3</v>
      </c>
      <c r="G71" s="15">
        <v>216.2</v>
      </c>
      <c r="H71">
        <v>41.4</v>
      </c>
      <c r="I71">
        <v>41.4</v>
      </c>
      <c r="J71" s="25">
        <v>807274.5</v>
      </c>
      <c r="K71" s="25">
        <v>626103.1</v>
      </c>
      <c r="L71" s="25">
        <v>94599.6</v>
      </c>
      <c r="M71" s="25">
        <v>32860.800000000003</v>
      </c>
      <c r="N71" s="25">
        <v>810347</v>
      </c>
      <c r="O71" s="25">
        <v>94469</v>
      </c>
      <c r="P71" s="25">
        <v>19976</v>
      </c>
      <c r="Q71" s="25">
        <v>628879</v>
      </c>
      <c r="R71" s="25">
        <v>33162</v>
      </c>
      <c r="S71" s="25">
        <f t="shared" si="1"/>
        <v>-1600</v>
      </c>
      <c r="T71" s="36"/>
      <c r="U71" s="36"/>
    </row>
    <row r="72" spans="1:21" ht="15.75">
      <c r="A72" s="19">
        <v>43709</v>
      </c>
      <c r="B72">
        <f t="shared" si="2"/>
        <v>2019</v>
      </c>
      <c r="C72" s="2" t="s">
        <v>80</v>
      </c>
      <c r="D72" s="15">
        <v>7432.4</v>
      </c>
      <c r="E72" s="15">
        <v>7489.3</v>
      </c>
      <c r="F72" s="15">
        <v>209.5</v>
      </c>
      <c r="G72" s="15">
        <v>209.9</v>
      </c>
      <c r="H72">
        <v>40.1</v>
      </c>
      <c r="I72">
        <v>40.1</v>
      </c>
      <c r="J72" s="25">
        <v>807274.5</v>
      </c>
      <c r="K72" s="25">
        <v>626103.1</v>
      </c>
      <c r="L72" s="25">
        <v>94599.6</v>
      </c>
      <c r="M72" s="25">
        <v>32860.800000000003</v>
      </c>
      <c r="N72" s="25">
        <v>810347</v>
      </c>
      <c r="O72" s="25">
        <v>94469</v>
      </c>
      <c r="P72" s="25">
        <v>19976</v>
      </c>
      <c r="Q72" s="25">
        <v>628879</v>
      </c>
      <c r="R72" s="25">
        <v>33162</v>
      </c>
      <c r="S72" s="25">
        <f t="shared" si="1"/>
        <v>-1600</v>
      </c>
      <c r="T72" s="36"/>
      <c r="U72" s="36"/>
    </row>
    <row r="73" spans="1:21" ht="15.75">
      <c r="A73" s="19">
        <v>43739</v>
      </c>
      <c r="B73">
        <f t="shared" si="2"/>
        <v>2019</v>
      </c>
      <c r="C73" s="2" t="s">
        <v>81</v>
      </c>
      <c r="D73" s="15">
        <v>7450</v>
      </c>
      <c r="E73" s="15">
        <v>7491.1</v>
      </c>
      <c r="F73" s="15">
        <v>206.9</v>
      </c>
      <c r="G73" s="15">
        <v>205.6</v>
      </c>
      <c r="H73">
        <v>44.6</v>
      </c>
      <c r="I73">
        <v>44.6</v>
      </c>
      <c r="J73" s="25">
        <v>807274.5</v>
      </c>
      <c r="K73" s="25">
        <v>626103.1</v>
      </c>
      <c r="L73" s="25">
        <v>94599.6</v>
      </c>
      <c r="M73" s="25">
        <v>32860.800000000003</v>
      </c>
      <c r="N73" s="25">
        <v>811397</v>
      </c>
      <c r="O73" s="25">
        <v>92989</v>
      </c>
      <c r="P73" s="25">
        <v>19323</v>
      </c>
      <c r="Q73" s="25">
        <v>631766</v>
      </c>
      <c r="R73" s="25">
        <v>33770</v>
      </c>
      <c r="S73" s="25">
        <f t="shared" si="1"/>
        <v>-3110</v>
      </c>
      <c r="T73" s="36"/>
      <c r="U73" s="36"/>
    </row>
    <row r="74" spans="1:21" ht="15.75">
      <c r="A74" s="19">
        <v>43770</v>
      </c>
      <c r="B74">
        <f t="shared" si="2"/>
        <v>2019</v>
      </c>
      <c r="C74" s="2" t="s">
        <v>81</v>
      </c>
      <c r="D74" s="15">
        <v>7458.2</v>
      </c>
      <c r="E74" s="15">
        <v>7479.5</v>
      </c>
      <c r="F74" s="15">
        <v>205.5</v>
      </c>
      <c r="G74" s="15">
        <v>203.3</v>
      </c>
      <c r="H74">
        <v>48.4</v>
      </c>
      <c r="I74">
        <v>48.4</v>
      </c>
      <c r="J74" s="25">
        <v>807274.5</v>
      </c>
      <c r="K74" s="25">
        <v>626103.1</v>
      </c>
      <c r="L74" s="25">
        <v>94599.6</v>
      </c>
      <c r="M74" s="25">
        <v>32860.800000000003</v>
      </c>
      <c r="N74" s="25">
        <v>811397</v>
      </c>
      <c r="O74" s="25">
        <v>92989</v>
      </c>
      <c r="P74" s="25">
        <v>19323</v>
      </c>
      <c r="Q74" s="25">
        <v>631766</v>
      </c>
      <c r="R74" s="25">
        <v>33770</v>
      </c>
      <c r="S74" s="25">
        <f t="shared" si="1"/>
        <v>-3110</v>
      </c>
      <c r="T74" s="36"/>
      <c r="U74" s="36"/>
    </row>
    <row r="75" spans="1:21" ht="15.75">
      <c r="A75" s="19">
        <v>43800</v>
      </c>
      <c r="B75">
        <f t="shared" si="2"/>
        <v>2019</v>
      </c>
      <c r="C75" s="2" t="s">
        <v>81</v>
      </c>
      <c r="D75" s="15">
        <v>7474</v>
      </c>
      <c r="E75" s="15">
        <v>7485.8</v>
      </c>
      <c r="F75" s="15">
        <v>206.4</v>
      </c>
      <c r="G75" s="15">
        <v>204.9</v>
      </c>
      <c r="H75">
        <v>53.6</v>
      </c>
      <c r="I75">
        <v>53.6</v>
      </c>
      <c r="J75" s="25">
        <v>807274.5</v>
      </c>
      <c r="K75" s="25">
        <v>626103.1</v>
      </c>
      <c r="L75" s="25">
        <v>94599.6</v>
      </c>
      <c r="M75" s="25">
        <v>32860.800000000003</v>
      </c>
      <c r="N75" s="25">
        <v>811397</v>
      </c>
      <c r="O75" s="25">
        <v>92989</v>
      </c>
      <c r="P75" s="25">
        <v>19323</v>
      </c>
      <c r="Q75" s="25">
        <v>631766</v>
      </c>
      <c r="R75" s="25">
        <v>33770</v>
      </c>
      <c r="S75" s="25">
        <f t="shared" si="1"/>
        <v>-3110</v>
      </c>
      <c r="T75" s="36"/>
      <c r="U75" s="36"/>
    </row>
    <row r="76" spans="1:21" ht="15.75">
      <c r="A76" s="19">
        <v>43831</v>
      </c>
      <c r="B76">
        <f t="shared" si="2"/>
        <v>2020</v>
      </c>
      <c r="C76" s="2" t="s">
        <v>77</v>
      </c>
      <c r="D76" s="15">
        <v>7498.1</v>
      </c>
      <c r="E76" s="15">
        <v>7464.7</v>
      </c>
      <c r="F76" s="15">
        <v>207.2</v>
      </c>
      <c r="G76" s="15">
        <v>205.8</v>
      </c>
      <c r="H76">
        <v>55.9</v>
      </c>
      <c r="I76">
        <v>55.9</v>
      </c>
      <c r="J76" s="25">
        <v>769942</v>
      </c>
      <c r="K76" s="25">
        <v>596521.6</v>
      </c>
      <c r="L76" s="25">
        <v>85928.9</v>
      </c>
      <c r="M76" s="25">
        <v>23899.8</v>
      </c>
      <c r="N76" s="25">
        <v>800126</v>
      </c>
      <c r="O76" s="25">
        <v>90795</v>
      </c>
      <c r="P76" s="25">
        <v>17100</v>
      </c>
      <c r="Q76" s="25">
        <v>621238</v>
      </c>
      <c r="R76" s="25">
        <v>30738</v>
      </c>
      <c r="S76" s="25">
        <f t="shared" si="1"/>
        <v>-5068</v>
      </c>
      <c r="T76" s="36"/>
      <c r="U76" s="36"/>
    </row>
    <row r="77" spans="1:21" ht="15.75">
      <c r="A77" s="19">
        <v>43862</v>
      </c>
      <c r="B77">
        <f t="shared" si="2"/>
        <v>2020</v>
      </c>
      <c r="C77" s="2" t="s">
        <v>77</v>
      </c>
      <c r="D77" s="15">
        <v>7508</v>
      </c>
      <c r="E77" s="15">
        <v>7439</v>
      </c>
      <c r="F77" s="15">
        <v>209.7</v>
      </c>
      <c r="G77" s="15">
        <v>209.4</v>
      </c>
      <c r="H77">
        <v>58</v>
      </c>
      <c r="I77">
        <v>58</v>
      </c>
      <c r="J77" s="25">
        <v>769942</v>
      </c>
      <c r="K77" s="25">
        <v>596521.6</v>
      </c>
      <c r="L77" s="25">
        <v>85928.9</v>
      </c>
      <c r="M77" s="25">
        <v>23899.8</v>
      </c>
      <c r="N77" s="25">
        <v>800126</v>
      </c>
      <c r="O77" s="25">
        <v>90795</v>
      </c>
      <c r="P77" s="25">
        <v>17100</v>
      </c>
      <c r="Q77" s="25">
        <v>621238</v>
      </c>
      <c r="R77" s="25">
        <v>30738</v>
      </c>
      <c r="S77" s="25">
        <f t="shared" si="1"/>
        <v>-5068</v>
      </c>
      <c r="T77" s="36"/>
      <c r="U77" s="36"/>
    </row>
    <row r="78" spans="1:21" ht="15.75">
      <c r="A78" s="19">
        <v>43891</v>
      </c>
      <c r="B78">
        <f t="shared" si="2"/>
        <v>2020</v>
      </c>
      <c r="C78" s="2" t="s">
        <v>77</v>
      </c>
      <c r="D78" s="15">
        <v>7351.6</v>
      </c>
      <c r="E78" s="15">
        <v>7258.8</v>
      </c>
      <c r="F78" s="15">
        <v>208.2</v>
      </c>
      <c r="G78" s="15">
        <v>208.2</v>
      </c>
      <c r="H78">
        <v>53.3</v>
      </c>
      <c r="I78">
        <v>53.3</v>
      </c>
      <c r="J78" s="25">
        <v>769942</v>
      </c>
      <c r="K78" s="25">
        <v>596521.6</v>
      </c>
      <c r="L78" s="25">
        <v>85928.9</v>
      </c>
      <c r="M78" s="25">
        <v>23899.8</v>
      </c>
      <c r="N78" s="25">
        <v>800126</v>
      </c>
      <c r="O78" s="25">
        <v>90795</v>
      </c>
      <c r="P78" s="25">
        <v>17100</v>
      </c>
      <c r="Q78" s="25">
        <v>621238</v>
      </c>
      <c r="R78" s="25">
        <v>30738</v>
      </c>
      <c r="S78" s="25">
        <f t="shared" si="1"/>
        <v>-5068</v>
      </c>
      <c r="T78" s="36"/>
      <c r="U78" s="36"/>
    </row>
    <row r="79" spans="1:21" ht="15.75">
      <c r="A79" s="19">
        <v>43922</v>
      </c>
      <c r="B79">
        <f t="shared" si="2"/>
        <v>2020</v>
      </c>
      <c r="C79" s="2" t="s">
        <v>78</v>
      </c>
      <c r="D79" s="15">
        <v>6961.6</v>
      </c>
      <c r="E79" s="15">
        <v>6893.7</v>
      </c>
      <c r="F79" s="15">
        <v>202.5</v>
      </c>
      <c r="G79" s="15">
        <v>203.5</v>
      </c>
      <c r="H79">
        <v>47.5</v>
      </c>
      <c r="I79">
        <v>47.5</v>
      </c>
      <c r="J79" s="25">
        <v>769942</v>
      </c>
      <c r="K79" s="25">
        <v>596521.6</v>
      </c>
      <c r="L79" s="25">
        <v>85928.9</v>
      </c>
      <c r="M79" s="25">
        <v>23899.8</v>
      </c>
      <c r="N79" s="25">
        <v>706539</v>
      </c>
      <c r="O79" s="25">
        <v>72582</v>
      </c>
      <c r="P79" s="25">
        <v>8855</v>
      </c>
      <c r="Q79" s="25">
        <v>552481</v>
      </c>
      <c r="R79" s="25">
        <v>20965</v>
      </c>
      <c r="S79" s="25">
        <f t="shared" si="1"/>
        <v>-22496</v>
      </c>
      <c r="T79" s="36"/>
      <c r="U79" s="36"/>
    </row>
    <row r="80" spans="1:21" ht="15.75">
      <c r="A80" s="19">
        <v>43952</v>
      </c>
      <c r="B80">
        <f t="shared" si="2"/>
        <v>2020</v>
      </c>
      <c r="C80" s="2" t="s">
        <v>78</v>
      </c>
      <c r="D80" s="15">
        <v>6572.6</v>
      </c>
      <c r="E80" s="15">
        <v>6550.9</v>
      </c>
      <c r="F80" s="15">
        <v>195.4</v>
      </c>
      <c r="G80" s="15">
        <v>197</v>
      </c>
      <c r="H80">
        <v>43.9</v>
      </c>
      <c r="I80">
        <v>43.9</v>
      </c>
      <c r="J80" s="25">
        <v>769942</v>
      </c>
      <c r="K80" s="25">
        <v>596521.6</v>
      </c>
      <c r="L80" s="25">
        <v>85928.9</v>
      </c>
      <c r="M80" s="25">
        <v>23899.8</v>
      </c>
      <c r="N80" s="25">
        <v>706539</v>
      </c>
      <c r="O80" s="25">
        <v>72582</v>
      </c>
      <c r="P80" s="25">
        <v>8855</v>
      </c>
      <c r="Q80" s="25">
        <v>552481</v>
      </c>
      <c r="R80" s="25">
        <v>20965</v>
      </c>
      <c r="S80" s="25">
        <f t="shared" si="1"/>
        <v>-22496</v>
      </c>
      <c r="T80" s="36"/>
      <c r="U80" s="36"/>
    </row>
    <row r="81" spans="1:21" ht="15.75">
      <c r="A81" s="19">
        <v>43983</v>
      </c>
      <c r="B81">
        <f t="shared" si="2"/>
        <v>2020</v>
      </c>
      <c r="C81" s="2" t="s">
        <v>78</v>
      </c>
      <c r="D81" s="15">
        <v>6477.4</v>
      </c>
      <c r="E81" s="15">
        <v>6515.6</v>
      </c>
      <c r="F81" s="15">
        <v>193</v>
      </c>
      <c r="G81" s="15">
        <v>195.5</v>
      </c>
      <c r="H81">
        <v>44.1</v>
      </c>
      <c r="I81">
        <v>44.1</v>
      </c>
      <c r="J81" s="25">
        <v>769942</v>
      </c>
      <c r="K81" s="25">
        <v>596521.6</v>
      </c>
      <c r="L81" s="25">
        <v>85928.9</v>
      </c>
      <c r="M81" s="25">
        <v>23899.8</v>
      </c>
      <c r="N81" s="25">
        <v>706539</v>
      </c>
      <c r="O81" s="25">
        <v>72582</v>
      </c>
      <c r="P81" s="25">
        <v>8855</v>
      </c>
      <c r="Q81" s="25">
        <v>552481</v>
      </c>
      <c r="R81" s="25">
        <v>20965</v>
      </c>
      <c r="S81" s="25">
        <f t="shared" ref="S81:S144" si="3">O81-O69</f>
        <v>-22496</v>
      </c>
      <c r="T81" s="36"/>
      <c r="U81" s="36"/>
    </row>
    <row r="82" spans="1:21" ht="15.75">
      <c r="A82" s="19">
        <v>44013</v>
      </c>
      <c r="B82">
        <f t="shared" si="2"/>
        <v>2020</v>
      </c>
      <c r="C82" s="2" t="s">
        <v>80</v>
      </c>
      <c r="D82" s="15">
        <v>6666.4</v>
      </c>
      <c r="E82" s="15">
        <v>6730.9</v>
      </c>
      <c r="F82" s="15">
        <v>198.5</v>
      </c>
      <c r="G82" s="15">
        <v>201.2</v>
      </c>
      <c r="H82">
        <v>44.4</v>
      </c>
      <c r="I82">
        <v>44.4</v>
      </c>
      <c r="J82" s="25">
        <v>769942</v>
      </c>
      <c r="K82" s="25">
        <v>596521.6</v>
      </c>
      <c r="L82" s="25">
        <v>85928.9</v>
      </c>
      <c r="M82" s="25">
        <v>23899.8</v>
      </c>
      <c r="N82" s="25">
        <v>777225</v>
      </c>
      <c r="O82" s="25">
        <v>89887</v>
      </c>
      <c r="P82" s="25">
        <v>17609</v>
      </c>
      <c r="Q82" s="25">
        <v>598852</v>
      </c>
      <c r="R82" s="25">
        <v>22145</v>
      </c>
      <c r="S82" s="25">
        <f t="shared" si="3"/>
        <v>-4582</v>
      </c>
      <c r="T82" s="36"/>
      <c r="U82" s="36"/>
    </row>
    <row r="83" spans="1:21" ht="15.75">
      <c r="A83" s="19">
        <v>44044</v>
      </c>
      <c r="B83">
        <f t="shared" si="2"/>
        <v>2020</v>
      </c>
      <c r="C83" s="2" t="s">
        <v>80</v>
      </c>
      <c r="D83" s="15">
        <v>6904.3</v>
      </c>
      <c r="E83" s="15">
        <v>6971.5</v>
      </c>
      <c r="F83" s="15">
        <v>205.7</v>
      </c>
      <c r="G83" s="15">
        <v>207.4</v>
      </c>
      <c r="H83">
        <v>45.9</v>
      </c>
      <c r="I83">
        <v>45.9</v>
      </c>
      <c r="J83" s="25">
        <v>769942</v>
      </c>
      <c r="K83" s="25">
        <v>596521.6</v>
      </c>
      <c r="L83" s="25">
        <v>85928.9</v>
      </c>
      <c r="M83" s="25">
        <v>23899.8</v>
      </c>
      <c r="N83" s="25">
        <v>777225</v>
      </c>
      <c r="O83" s="25">
        <v>89887</v>
      </c>
      <c r="P83" s="25">
        <v>17609</v>
      </c>
      <c r="Q83" s="25">
        <v>598852</v>
      </c>
      <c r="R83" s="25">
        <v>22145</v>
      </c>
      <c r="S83" s="25">
        <f t="shared" si="3"/>
        <v>-4582</v>
      </c>
      <c r="T83" s="36"/>
      <c r="U83" s="36"/>
    </row>
    <row r="84" spans="1:21" ht="15.75">
      <c r="A84" s="19">
        <v>44075</v>
      </c>
      <c r="B84">
        <f t="shared" si="2"/>
        <v>2020</v>
      </c>
      <c r="C84" s="2" t="s">
        <v>80</v>
      </c>
      <c r="D84" s="15">
        <v>7065.2</v>
      </c>
      <c r="E84" s="15">
        <v>7098.8</v>
      </c>
      <c r="F84" s="15">
        <v>211.9</v>
      </c>
      <c r="G84" s="15">
        <v>211.3</v>
      </c>
      <c r="H84">
        <v>49.4</v>
      </c>
      <c r="I84">
        <v>49.4</v>
      </c>
      <c r="J84" s="25">
        <v>769942</v>
      </c>
      <c r="K84" s="25">
        <v>596521.6</v>
      </c>
      <c r="L84" s="25">
        <v>85928.9</v>
      </c>
      <c r="M84" s="25">
        <v>23899.8</v>
      </c>
      <c r="N84" s="25">
        <v>777225</v>
      </c>
      <c r="O84" s="25">
        <v>89887</v>
      </c>
      <c r="P84" s="25">
        <v>17609</v>
      </c>
      <c r="Q84" s="25">
        <v>598852</v>
      </c>
      <c r="R84" s="25">
        <v>22145</v>
      </c>
      <c r="S84" s="25">
        <f t="shared" si="3"/>
        <v>-4582</v>
      </c>
      <c r="T84" s="36"/>
      <c r="U84" s="36"/>
    </row>
    <row r="85" spans="1:21" ht="15.75">
      <c r="A85" s="19">
        <v>44105</v>
      </c>
      <c r="B85">
        <f t="shared" si="2"/>
        <v>2020</v>
      </c>
      <c r="C85" s="2" t="s">
        <v>81</v>
      </c>
      <c r="D85" s="15">
        <v>7186.6</v>
      </c>
      <c r="E85" s="15">
        <v>7210.7</v>
      </c>
      <c r="F85" s="15">
        <v>216.7</v>
      </c>
      <c r="G85" s="15">
        <v>214.7</v>
      </c>
      <c r="H85">
        <v>52.7</v>
      </c>
      <c r="I85">
        <v>52.7</v>
      </c>
      <c r="J85" s="25">
        <v>769942</v>
      </c>
      <c r="K85" s="25">
        <v>596521.6</v>
      </c>
      <c r="L85" s="25">
        <v>85928.9</v>
      </c>
      <c r="M85" s="25">
        <v>23899.8</v>
      </c>
      <c r="N85" s="25">
        <v>795879</v>
      </c>
      <c r="O85" s="25">
        <v>90451</v>
      </c>
      <c r="P85" s="25">
        <v>16831</v>
      </c>
      <c r="Q85" s="25">
        <v>613516</v>
      </c>
      <c r="R85" s="25">
        <v>21752</v>
      </c>
      <c r="S85" s="25">
        <f t="shared" si="3"/>
        <v>-2538</v>
      </c>
      <c r="T85" s="36"/>
      <c r="U85" s="36"/>
    </row>
    <row r="86" spans="1:21" ht="15.75">
      <c r="A86" s="19">
        <v>44136</v>
      </c>
      <c r="B86">
        <f t="shared" si="2"/>
        <v>2020</v>
      </c>
      <c r="C86" s="2" t="s">
        <v>81</v>
      </c>
      <c r="D86" s="15">
        <v>7271.8</v>
      </c>
      <c r="E86" s="15">
        <v>7283</v>
      </c>
      <c r="F86" s="15">
        <v>217</v>
      </c>
      <c r="G86" s="15">
        <v>214.6</v>
      </c>
      <c r="H86">
        <v>53.6</v>
      </c>
      <c r="I86">
        <v>53.6</v>
      </c>
      <c r="J86" s="25">
        <v>769942</v>
      </c>
      <c r="K86" s="25">
        <v>596521.6</v>
      </c>
      <c r="L86" s="25">
        <v>85928.9</v>
      </c>
      <c r="M86" s="25">
        <v>23899.8</v>
      </c>
      <c r="N86" s="25">
        <v>795879</v>
      </c>
      <c r="O86" s="25">
        <v>90451</v>
      </c>
      <c r="P86" s="25">
        <v>16831</v>
      </c>
      <c r="Q86" s="25">
        <v>613516</v>
      </c>
      <c r="R86" s="25">
        <v>21752</v>
      </c>
      <c r="S86" s="25">
        <f t="shared" si="3"/>
        <v>-2538</v>
      </c>
      <c r="T86" s="36"/>
      <c r="U86" s="36"/>
    </row>
    <row r="87" spans="1:21" ht="15.75">
      <c r="A87" s="19">
        <v>44166</v>
      </c>
      <c r="B87">
        <f t="shared" si="2"/>
        <v>2020</v>
      </c>
      <c r="C87" s="2" t="s">
        <v>81</v>
      </c>
      <c r="D87" s="15">
        <v>7289.8</v>
      </c>
      <c r="E87" s="15">
        <v>7300.6</v>
      </c>
      <c r="F87" s="15">
        <v>216.1</v>
      </c>
      <c r="G87" s="15">
        <v>214.5</v>
      </c>
      <c r="H87">
        <v>55.5</v>
      </c>
      <c r="I87">
        <v>55.5</v>
      </c>
      <c r="J87" s="25">
        <v>769942</v>
      </c>
      <c r="K87" s="25">
        <v>596521.6</v>
      </c>
      <c r="L87" s="25">
        <v>85928.9</v>
      </c>
      <c r="M87" s="25">
        <v>23899.8</v>
      </c>
      <c r="N87" s="25">
        <v>795879</v>
      </c>
      <c r="O87" s="25">
        <v>90451</v>
      </c>
      <c r="P87" s="25">
        <v>16831</v>
      </c>
      <c r="Q87" s="25">
        <v>613516</v>
      </c>
      <c r="R87" s="25">
        <v>21752</v>
      </c>
      <c r="S87" s="25">
        <f t="shared" si="3"/>
        <v>-2538</v>
      </c>
      <c r="T87" s="36"/>
      <c r="U87" s="36"/>
    </row>
    <row r="88" spans="1:21" ht="15.75">
      <c r="A88" s="19">
        <v>44197</v>
      </c>
      <c r="B88">
        <f t="shared" si="2"/>
        <v>2021</v>
      </c>
      <c r="C88" s="2" t="s">
        <v>77</v>
      </c>
      <c r="D88" s="15">
        <v>7234.6</v>
      </c>
      <c r="E88" s="15">
        <v>7207.2</v>
      </c>
      <c r="F88" s="15">
        <v>209.4</v>
      </c>
      <c r="G88" s="15">
        <v>208.7</v>
      </c>
      <c r="H88">
        <v>56.1</v>
      </c>
      <c r="I88">
        <v>56.1</v>
      </c>
      <c r="J88" s="25">
        <v>817265.5</v>
      </c>
      <c r="K88" s="25">
        <v>634181.69999999995</v>
      </c>
      <c r="L88" s="25">
        <v>92312.5</v>
      </c>
      <c r="M88" s="25">
        <v>25225.4</v>
      </c>
      <c r="N88" s="25">
        <v>808584</v>
      </c>
      <c r="O88" s="25">
        <v>91502</v>
      </c>
      <c r="P88" s="25">
        <v>15844</v>
      </c>
      <c r="Q88" s="25">
        <v>622695</v>
      </c>
      <c r="R88" s="25">
        <v>23185</v>
      </c>
      <c r="S88" s="25">
        <f t="shared" si="3"/>
        <v>707</v>
      </c>
      <c r="T88" s="36"/>
      <c r="U88" s="36"/>
    </row>
    <row r="89" spans="1:21" ht="15.75">
      <c r="A89" s="19">
        <v>44228</v>
      </c>
      <c r="B89">
        <f t="shared" si="2"/>
        <v>2021</v>
      </c>
      <c r="C89" s="2" t="s">
        <v>77</v>
      </c>
      <c r="D89" s="15">
        <v>7209.5</v>
      </c>
      <c r="E89" s="15">
        <v>7151.3</v>
      </c>
      <c r="F89" s="15">
        <v>208.2</v>
      </c>
      <c r="G89" s="15">
        <v>207.5</v>
      </c>
      <c r="H89">
        <v>56.2</v>
      </c>
      <c r="I89">
        <v>56.2</v>
      </c>
      <c r="J89" s="25">
        <v>817265.5</v>
      </c>
      <c r="K89" s="25">
        <v>634181.69999999995</v>
      </c>
      <c r="L89" s="25">
        <v>92312.5</v>
      </c>
      <c r="M89" s="25">
        <v>25225.4</v>
      </c>
      <c r="N89" s="25">
        <v>808584</v>
      </c>
      <c r="O89" s="25">
        <v>91502</v>
      </c>
      <c r="P89" s="25">
        <v>15844</v>
      </c>
      <c r="Q89" s="25">
        <v>622695</v>
      </c>
      <c r="R89" s="25">
        <v>23185</v>
      </c>
      <c r="S89" s="25">
        <f t="shared" si="3"/>
        <v>707</v>
      </c>
      <c r="T89" s="36"/>
      <c r="U89" s="36"/>
    </row>
    <row r="90" spans="1:21" ht="15.75">
      <c r="A90" s="19">
        <v>44256</v>
      </c>
      <c r="B90">
        <f t="shared" si="2"/>
        <v>2021</v>
      </c>
      <c r="C90" s="2" t="s">
        <v>77</v>
      </c>
      <c r="D90" s="15">
        <v>7237.4</v>
      </c>
      <c r="E90" s="15">
        <v>7153.7</v>
      </c>
      <c r="F90" s="15">
        <v>207.5</v>
      </c>
      <c r="G90" s="15">
        <v>207.1</v>
      </c>
      <c r="H90">
        <v>53</v>
      </c>
      <c r="I90">
        <v>53</v>
      </c>
      <c r="J90" s="25">
        <v>817265.5</v>
      </c>
      <c r="K90" s="25">
        <v>634181.69999999995</v>
      </c>
      <c r="L90" s="25">
        <v>92312.5</v>
      </c>
      <c r="M90" s="25">
        <v>25225.4</v>
      </c>
      <c r="N90" s="25">
        <v>808584</v>
      </c>
      <c r="O90" s="25">
        <v>91502</v>
      </c>
      <c r="P90" s="25">
        <v>15844</v>
      </c>
      <c r="Q90" s="25">
        <v>622695</v>
      </c>
      <c r="R90" s="25">
        <v>23185</v>
      </c>
      <c r="S90" s="25">
        <f t="shared" si="3"/>
        <v>707</v>
      </c>
      <c r="T90" s="36"/>
      <c r="U90" s="36"/>
    </row>
    <row r="91" spans="1:21" ht="15.75">
      <c r="A91" s="19">
        <v>44287</v>
      </c>
      <c r="B91">
        <f t="shared" si="2"/>
        <v>2021</v>
      </c>
      <c r="C91" s="2" t="s">
        <v>78</v>
      </c>
      <c r="D91" s="15">
        <v>7276.1</v>
      </c>
      <c r="E91" s="15">
        <v>7213.2</v>
      </c>
      <c r="F91" s="15">
        <v>209.2</v>
      </c>
      <c r="G91" s="15">
        <v>209.5</v>
      </c>
      <c r="H91">
        <v>51</v>
      </c>
      <c r="I91">
        <v>51</v>
      </c>
      <c r="J91" s="25">
        <v>817265.5</v>
      </c>
      <c r="K91" s="25">
        <v>634181.69999999995</v>
      </c>
      <c r="L91" s="25">
        <v>92312.5</v>
      </c>
      <c r="M91" s="25">
        <v>25225.4</v>
      </c>
      <c r="N91" s="25">
        <v>802518</v>
      </c>
      <c r="O91" s="25">
        <v>89676</v>
      </c>
      <c r="P91" s="25">
        <v>14052</v>
      </c>
      <c r="Q91" s="25">
        <v>620093</v>
      </c>
      <c r="R91" s="25">
        <v>24138</v>
      </c>
      <c r="S91" s="25">
        <f t="shared" si="3"/>
        <v>17094</v>
      </c>
      <c r="T91" s="36"/>
      <c r="U91" s="36"/>
    </row>
    <row r="92" spans="1:21" ht="15.75">
      <c r="A92" s="19">
        <v>44317</v>
      </c>
      <c r="B92">
        <f t="shared" si="2"/>
        <v>2021</v>
      </c>
      <c r="C92" s="2" t="s">
        <v>78</v>
      </c>
      <c r="D92" s="15">
        <v>7265.7</v>
      </c>
      <c r="E92" s="15">
        <v>7247.3</v>
      </c>
      <c r="F92" s="15">
        <v>207.8</v>
      </c>
      <c r="G92" s="15">
        <v>209.3</v>
      </c>
      <c r="H92">
        <v>49.5</v>
      </c>
      <c r="I92">
        <v>49.5</v>
      </c>
      <c r="J92" s="25">
        <v>817265.5</v>
      </c>
      <c r="K92" s="25">
        <v>634181.69999999995</v>
      </c>
      <c r="L92" s="25">
        <v>92312.5</v>
      </c>
      <c r="M92" s="25">
        <v>25225.4</v>
      </c>
      <c r="N92" s="25">
        <v>802518</v>
      </c>
      <c r="O92" s="25">
        <v>89676</v>
      </c>
      <c r="P92" s="25">
        <v>14052</v>
      </c>
      <c r="Q92" s="25">
        <v>620093</v>
      </c>
      <c r="R92" s="25">
        <v>24138</v>
      </c>
      <c r="S92" s="25">
        <f t="shared" si="3"/>
        <v>17094</v>
      </c>
      <c r="T92" s="36"/>
      <c r="U92" s="36"/>
    </row>
    <row r="93" spans="1:21">
      <c r="A93" s="19">
        <v>44348</v>
      </c>
      <c r="B93">
        <f t="shared" si="2"/>
        <v>2021</v>
      </c>
      <c r="C93" s="2" t="s">
        <v>78</v>
      </c>
      <c r="D93" s="15">
        <v>7250</v>
      </c>
      <c r="E93" s="15">
        <v>7295.8</v>
      </c>
      <c r="F93" s="15">
        <v>208</v>
      </c>
      <c r="G93" s="15">
        <v>210.4</v>
      </c>
      <c r="H93">
        <v>45.3</v>
      </c>
      <c r="I93">
        <v>45.3</v>
      </c>
      <c r="J93" s="25">
        <v>817265.5</v>
      </c>
      <c r="K93" s="25">
        <v>634181.69999999995</v>
      </c>
      <c r="L93" s="25">
        <v>92312.5</v>
      </c>
      <c r="M93" s="25">
        <v>25225.4</v>
      </c>
      <c r="N93" s="25">
        <v>802518</v>
      </c>
      <c r="O93" s="25">
        <v>89676</v>
      </c>
      <c r="P93" s="25">
        <v>14052</v>
      </c>
      <c r="Q93" s="25">
        <v>620093</v>
      </c>
      <c r="R93" s="25">
        <v>24138</v>
      </c>
      <c r="S93" s="25">
        <f t="shared" si="3"/>
        <v>17094</v>
      </c>
    </row>
    <row r="94" spans="1:21">
      <c r="A94" s="19">
        <v>44378</v>
      </c>
      <c r="B94">
        <f t="shared" si="2"/>
        <v>2021</v>
      </c>
      <c r="C94" s="2" t="s">
        <v>80</v>
      </c>
      <c r="D94" s="15">
        <v>7317</v>
      </c>
      <c r="E94" s="15">
        <v>7392.6</v>
      </c>
      <c r="F94" s="15">
        <v>210.4</v>
      </c>
      <c r="G94" s="15">
        <v>212.2</v>
      </c>
      <c r="H94">
        <v>46.8</v>
      </c>
      <c r="I94">
        <v>46.8</v>
      </c>
      <c r="J94" s="25">
        <v>817265.5</v>
      </c>
      <c r="K94" s="25">
        <v>634181.69999999995</v>
      </c>
      <c r="L94" s="25">
        <v>92312.5</v>
      </c>
      <c r="M94" s="25">
        <v>25225.4</v>
      </c>
      <c r="N94" s="25">
        <v>819564</v>
      </c>
      <c r="O94" s="25">
        <v>91574</v>
      </c>
      <c r="P94" s="25">
        <v>13797</v>
      </c>
      <c r="Q94" s="25">
        <v>639578</v>
      </c>
      <c r="R94" s="25">
        <v>25974</v>
      </c>
      <c r="S94" s="25">
        <f t="shared" si="3"/>
        <v>1687</v>
      </c>
    </row>
    <row r="95" spans="1:21">
      <c r="A95" s="19">
        <v>44409</v>
      </c>
      <c r="B95">
        <f t="shared" si="2"/>
        <v>2021</v>
      </c>
      <c r="C95" s="2" t="s">
        <v>80</v>
      </c>
      <c r="D95" s="15">
        <v>7405.9</v>
      </c>
      <c r="E95" s="15">
        <v>7474.7</v>
      </c>
      <c r="F95" s="15">
        <v>212.2</v>
      </c>
      <c r="G95" s="15">
        <v>213.1</v>
      </c>
      <c r="H95">
        <v>49.2</v>
      </c>
      <c r="I95">
        <v>49.2</v>
      </c>
      <c r="J95" s="25">
        <v>817265.5</v>
      </c>
      <c r="K95" s="25">
        <v>634181.69999999995</v>
      </c>
      <c r="L95" s="25">
        <v>92312.5</v>
      </c>
      <c r="M95" s="25">
        <v>25225.4</v>
      </c>
      <c r="N95" s="25">
        <v>819564</v>
      </c>
      <c r="O95" s="25">
        <v>91574</v>
      </c>
      <c r="P95" s="25">
        <v>13797</v>
      </c>
      <c r="Q95" s="25">
        <v>639578</v>
      </c>
      <c r="R95" s="25">
        <v>25974</v>
      </c>
      <c r="S95" s="25">
        <f t="shared" si="3"/>
        <v>1687</v>
      </c>
    </row>
    <row r="96" spans="1:21">
      <c r="A96" s="19">
        <v>44440</v>
      </c>
      <c r="B96">
        <f t="shared" si="2"/>
        <v>2021</v>
      </c>
      <c r="C96" s="2" t="s">
        <v>80</v>
      </c>
      <c r="D96" s="15">
        <v>7482</v>
      </c>
      <c r="E96" s="15">
        <v>7507</v>
      </c>
      <c r="F96" s="15">
        <v>216.7</v>
      </c>
      <c r="G96" s="15">
        <v>215.5</v>
      </c>
      <c r="H96">
        <v>52.6</v>
      </c>
      <c r="I96">
        <v>52.6</v>
      </c>
      <c r="J96" s="25">
        <v>817265.5</v>
      </c>
      <c r="K96" s="25">
        <v>634181.69999999995</v>
      </c>
      <c r="L96" s="25">
        <v>92312.5</v>
      </c>
      <c r="M96" s="25">
        <v>25225.4</v>
      </c>
      <c r="N96" s="25">
        <v>819564</v>
      </c>
      <c r="O96" s="25">
        <v>91574</v>
      </c>
      <c r="P96" s="25">
        <v>13797</v>
      </c>
      <c r="Q96" s="25">
        <v>639578</v>
      </c>
      <c r="R96" s="25">
        <v>25974</v>
      </c>
      <c r="S96" s="25">
        <f t="shared" si="3"/>
        <v>1687</v>
      </c>
    </row>
    <row r="97" spans="1:19">
      <c r="A97" s="19">
        <v>44470</v>
      </c>
      <c r="B97">
        <f t="shared" si="2"/>
        <v>2021</v>
      </c>
      <c r="C97" s="2" t="s">
        <v>81</v>
      </c>
      <c r="D97" s="15">
        <v>7537.7</v>
      </c>
      <c r="E97" s="15">
        <v>7547.1</v>
      </c>
      <c r="F97" s="15">
        <v>221.3</v>
      </c>
      <c r="G97" s="15">
        <v>218.9</v>
      </c>
      <c r="H97">
        <v>50.3</v>
      </c>
      <c r="I97">
        <v>50.3</v>
      </c>
      <c r="J97" s="25">
        <v>817265.5</v>
      </c>
      <c r="K97" s="25">
        <v>634181.69999999995</v>
      </c>
      <c r="L97" s="25">
        <v>92312.5</v>
      </c>
      <c r="M97" s="25">
        <v>25225.4</v>
      </c>
      <c r="N97" s="25">
        <v>838397</v>
      </c>
      <c r="O97" s="25">
        <v>96497</v>
      </c>
      <c r="P97" s="25">
        <v>15415</v>
      </c>
      <c r="Q97" s="25">
        <v>654360</v>
      </c>
      <c r="R97" s="25">
        <v>27605</v>
      </c>
      <c r="S97" s="25">
        <f t="shared" si="3"/>
        <v>6046</v>
      </c>
    </row>
    <row r="98" spans="1:19">
      <c r="A98" s="19">
        <v>44501</v>
      </c>
      <c r="B98">
        <f t="shared" si="2"/>
        <v>2021</v>
      </c>
      <c r="C98" s="2" t="s">
        <v>81</v>
      </c>
      <c r="D98" s="15">
        <v>7604</v>
      </c>
      <c r="E98" s="15">
        <v>7604.8</v>
      </c>
      <c r="F98" s="15">
        <v>227.6</v>
      </c>
      <c r="G98" s="15">
        <v>225.2</v>
      </c>
      <c r="H98">
        <v>50.4</v>
      </c>
      <c r="I98">
        <v>50.4</v>
      </c>
      <c r="J98" s="25">
        <v>817265.5</v>
      </c>
      <c r="K98" s="25">
        <v>634181.69999999995</v>
      </c>
      <c r="L98" s="25">
        <v>92312.5</v>
      </c>
      <c r="M98" s="25">
        <v>25225.4</v>
      </c>
      <c r="N98" s="25">
        <v>838397</v>
      </c>
      <c r="O98" s="25">
        <v>96497</v>
      </c>
      <c r="P98" s="25">
        <v>15415</v>
      </c>
      <c r="Q98" s="25">
        <v>654360</v>
      </c>
      <c r="R98" s="25">
        <v>27605</v>
      </c>
      <c r="S98" s="25">
        <f t="shared" si="3"/>
        <v>6046</v>
      </c>
    </row>
    <row r="99" spans="1:19">
      <c r="A99" s="19">
        <v>44531</v>
      </c>
      <c r="B99">
        <f t="shared" si="2"/>
        <v>2021</v>
      </c>
      <c r="C99" s="2" t="s">
        <v>81</v>
      </c>
      <c r="D99" s="15">
        <v>7658.5</v>
      </c>
      <c r="E99" s="15">
        <v>7662.8</v>
      </c>
      <c r="F99" s="15">
        <v>228.8</v>
      </c>
      <c r="G99" s="15">
        <v>227.5</v>
      </c>
      <c r="H99">
        <v>55.6</v>
      </c>
      <c r="I99">
        <v>55.6</v>
      </c>
      <c r="J99" s="25">
        <v>817265.5</v>
      </c>
      <c r="K99" s="25">
        <v>634181.69999999995</v>
      </c>
      <c r="L99" s="25">
        <v>92312.5</v>
      </c>
      <c r="M99" s="25">
        <v>25225.4</v>
      </c>
      <c r="N99" s="25">
        <v>838397</v>
      </c>
      <c r="O99" s="25">
        <v>96497</v>
      </c>
      <c r="P99" s="25">
        <v>15415</v>
      </c>
      <c r="Q99" s="25">
        <v>654360</v>
      </c>
      <c r="R99" s="25">
        <v>27605</v>
      </c>
      <c r="S99" s="25">
        <f t="shared" si="3"/>
        <v>6046</v>
      </c>
    </row>
    <row r="100" spans="1:19">
      <c r="A100" s="19">
        <v>44562</v>
      </c>
      <c r="B100">
        <f t="shared" si="2"/>
        <v>2022</v>
      </c>
      <c r="C100" s="2" t="s">
        <v>77</v>
      </c>
      <c r="D100" s="15">
        <v>7643.6</v>
      </c>
      <c r="E100" s="15">
        <v>7611.7</v>
      </c>
      <c r="F100" s="15">
        <v>226.2</v>
      </c>
      <c r="G100" s="15">
        <v>226.3</v>
      </c>
      <c r="H100">
        <v>57.8</v>
      </c>
      <c r="I100">
        <v>57.8</v>
      </c>
      <c r="J100" s="25">
        <v>850461.9</v>
      </c>
      <c r="K100" s="25">
        <v>662856.4</v>
      </c>
      <c r="L100" s="25">
        <v>96870.8</v>
      </c>
      <c r="M100" s="25">
        <v>30149.3</v>
      </c>
      <c r="N100" s="25">
        <v>845218</v>
      </c>
      <c r="O100" s="25">
        <v>97384</v>
      </c>
      <c r="P100" s="25">
        <v>16017</v>
      </c>
      <c r="Q100" s="25">
        <v>657318</v>
      </c>
      <c r="R100" s="25">
        <v>28188</v>
      </c>
      <c r="S100" s="25">
        <f t="shared" si="3"/>
        <v>5882</v>
      </c>
    </row>
    <row r="101" spans="1:19">
      <c r="A101" s="19">
        <v>44593</v>
      </c>
      <c r="B101">
        <f t="shared" si="2"/>
        <v>2022</v>
      </c>
      <c r="C101" s="2" t="s">
        <v>77</v>
      </c>
      <c r="D101" s="15">
        <v>7668.9</v>
      </c>
      <c r="E101" s="15">
        <v>7606.7</v>
      </c>
      <c r="F101" s="15">
        <v>226.3</v>
      </c>
      <c r="G101" s="15">
        <v>226.6</v>
      </c>
      <c r="H101">
        <v>58</v>
      </c>
      <c r="I101">
        <v>58</v>
      </c>
      <c r="J101" s="25">
        <v>850461.9</v>
      </c>
      <c r="K101" s="25">
        <v>662856.4</v>
      </c>
      <c r="L101" s="25">
        <v>96870.8</v>
      </c>
      <c r="M101" s="25">
        <v>30149.3</v>
      </c>
      <c r="N101" s="25">
        <v>845218</v>
      </c>
      <c r="O101" s="25">
        <v>97384</v>
      </c>
      <c r="P101" s="25">
        <v>16017</v>
      </c>
      <c r="Q101" s="25">
        <v>657318</v>
      </c>
      <c r="R101" s="25">
        <v>28188</v>
      </c>
      <c r="S101" s="25">
        <f t="shared" si="3"/>
        <v>5882</v>
      </c>
    </row>
    <row r="102" spans="1:19">
      <c r="A102" s="19">
        <v>44621</v>
      </c>
      <c r="B102">
        <f t="shared" si="2"/>
        <v>2022</v>
      </c>
      <c r="C102" s="2" t="s">
        <v>77</v>
      </c>
      <c r="D102" s="15">
        <v>7681.1</v>
      </c>
      <c r="E102" s="15">
        <v>7595.3</v>
      </c>
      <c r="F102" s="15">
        <v>227.8</v>
      </c>
      <c r="G102" s="15">
        <v>228</v>
      </c>
      <c r="H102">
        <v>56</v>
      </c>
      <c r="I102">
        <v>56</v>
      </c>
      <c r="J102" s="25">
        <v>850461.9</v>
      </c>
      <c r="K102" s="25">
        <v>662856.4</v>
      </c>
      <c r="L102" s="25">
        <v>96870.8</v>
      </c>
      <c r="M102" s="25">
        <v>30149.3</v>
      </c>
      <c r="N102" s="25">
        <v>845218</v>
      </c>
      <c r="O102" s="25">
        <v>97384</v>
      </c>
      <c r="P102" s="25">
        <v>16017</v>
      </c>
      <c r="Q102" s="25">
        <v>657318</v>
      </c>
      <c r="R102" s="25">
        <v>28188</v>
      </c>
      <c r="S102" s="25">
        <f t="shared" si="3"/>
        <v>5882</v>
      </c>
    </row>
    <row r="103" spans="1:19">
      <c r="A103" s="19">
        <v>44652</v>
      </c>
      <c r="B103">
        <f t="shared" si="2"/>
        <v>2022</v>
      </c>
      <c r="C103" s="2" t="s">
        <v>78</v>
      </c>
      <c r="D103" s="15">
        <v>7758.4</v>
      </c>
      <c r="E103" s="15">
        <v>7694.2</v>
      </c>
      <c r="F103" s="15">
        <v>232.8</v>
      </c>
      <c r="G103" s="15">
        <v>233.6</v>
      </c>
      <c r="H103">
        <v>56.8</v>
      </c>
      <c r="I103">
        <v>56.8</v>
      </c>
      <c r="J103" s="25">
        <v>850461.9</v>
      </c>
      <c r="K103" s="25">
        <v>662856.4</v>
      </c>
      <c r="L103" s="25">
        <v>96870.8</v>
      </c>
      <c r="M103" s="25">
        <v>30149.3</v>
      </c>
      <c r="N103" s="25">
        <v>851621</v>
      </c>
      <c r="O103" s="25">
        <v>97519</v>
      </c>
      <c r="P103" s="25">
        <v>16842</v>
      </c>
      <c r="Q103" s="25">
        <v>664186</v>
      </c>
      <c r="R103" s="25">
        <v>30079</v>
      </c>
      <c r="S103" s="25">
        <f t="shared" si="3"/>
        <v>7843</v>
      </c>
    </row>
    <row r="104" spans="1:19">
      <c r="A104" s="19">
        <v>44682</v>
      </c>
      <c r="B104">
        <f t="shared" si="2"/>
        <v>2022</v>
      </c>
      <c r="C104" s="2" t="s">
        <v>78</v>
      </c>
      <c r="D104" s="15">
        <v>7776.1</v>
      </c>
      <c r="E104" s="15">
        <v>7765</v>
      </c>
      <c r="F104" s="15">
        <v>235</v>
      </c>
      <c r="G104" s="15">
        <v>237.4</v>
      </c>
      <c r="H104">
        <v>60.5</v>
      </c>
      <c r="I104">
        <v>60.5</v>
      </c>
      <c r="J104" s="25">
        <v>850461.9</v>
      </c>
      <c r="K104" s="25">
        <v>662856.4</v>
      </c>
      <c r="L104" s="25">
        <v>96870.8</v>
      </c>
      <c r="M104" s="25">
        <v>30149.3</v>
      </c>
      <c r="N104" s="25">
        <v>851621</v>
      </c>
      <c r="O104" s="25">
        <v>97519</v>
      </c>
      <c r="P104" s="25">
        <v>16842</v>
      </c>
      <c r="Q104" s="25">
        <v>664186</v>
      </c>
      <c r="R104" s="25">
        <v>30079</v>
      </c>
      <c r="S104" s="25">
        <f t="shared" si="3"/>
        <v>7843</v>
      </c>
    </row>
    <row r="105" spans="1:19">
      <c r="A105" s="19">
        <v>44713</v>
      </c>
      <c r="B105">
        <f t="shared" si="2"/>
        <v>2022</v>
      </c>
      <c r="C105" s="2" t="s">
        <v>78</v>
      </c>
      <c r="D105" s="15">
        <v>7782.8</v>
      </c>
      <c r="E105" s="15">
        <v>7838.7</v>
      </c>
      <c r="F105" s="15">
        <v>236.3</v>
      </c>
      <c r="G105" s="15">
        <v>239.6</v>
      </c>
      <c r="H105">
        <v>62.5</v>
      </c>
      <c r="I105">
        <v>62.5</v>
      </c>
      <c r="J105" s="25">
        <v>850461.9</v>
      </c>
      <c r="K105" s="25">
        <v>662856.4</v>
      </c>
      <c r="L105" s="25">
        <v>96870.8</v>
      </c>
      <c r="M105" s="25">
        <v>30149.3</v>
      </c>
      <c r="N105" s="25">
        <v>851621</v>
      </c>
      <c r="O105" s="25">
        <v>97519</v>
      </c>
      <c r="P105" s="25">
        <v>16842</v>
      </c>
      <c r="Q105" s="25">
        <v>664186</v>
      </c>
      <c r="R105" s="25">
        <v>30079</v>
      </c>
      <c r="S105" s="25">
        <f t="shared" si="3"/>
        <v>7843</v>
      </c>
    </row>
    <row r="106" spans="1:19">
      <c r="A106" s="19">
        <v>44743</v>
      </c>
      <c r="B106">
        <f t="shared" si="2"/>
        <v>2022</v>
      </c>
      <c r="C106" s="2" t="s">
        <v>80</v>
      </c>
      <c r="D106" s="15">
        <v>7784.1</v>
      </c>
      <c r="E106" s="15">
        <v>7872.1</v>
      </c>
      <c r="F106" s="15">
        <v>236.4</v>
      </c>
      <c r="G106" s="15">
        <v>238.3</v>
      </c>
      <c r="H106">
        <v>64.7</v>
      </c>
      <c r="I106">
        <v>64.7</v>
      </c>
      <c r="J106" s="25">
        <v>850461.9</v>
      </c>
      <c r="K106" s="25">
        <v>662856.4</v>
      </c>
      <c r="L106" s="25">
        <v>96870.8</v>
      </c>
      <c r="M106" s="25">
        <v>30149.3</v>
      </c>
      <c r="N106" s="25">
        <v>852979</v>
      </c>
      <c r="O106" s="25">
        <v>97268</v>
      </c>
      <c r="P106" s="25">
        <v>16485</v>
      </c>
      <c r="Q106" s="25">
        <v>664978</v>
      </c>
      <c r="R106" s="25">
        <v>30634</v>
      </c>
      <c r="S106" s="25">
        <f t="shared" si="3"/>
        <v>5694</v>
      </c>
    </row>
    <row r="107" spans="1:19">
      <c r="A107" s="19">
        <v>44774</v>
      </c>
      <c r="B107">
        <f t="shared" si="2"/>
        <v>2022</v>
      </c>
      <c r="C107" s="2" t="s">
        <v>80</v>
      </c>
      <c r="D107" s="15">
        <v>7778</v>
      </c>
      <c r="E107" s="15">
        <v>7852.4</v>
      </c>
      <c r="F107" s="15">
        <v>235.2</v>
      </c>
      <c r="G107" s="15">
        <v>235.2</v>
      </c>
      <c r="H107">
        <v>64.5</v>
      </c>
      <c r="I107">
        <v>64.5</v>
      </c>
      <c r="J107" s="25">
        <v>850461.9</v>
      </c>
      <c r="K107" s="25">
        <v>662856.4</v>
      </c>
      <c r="L107" s="25">
        <v>96870.8</v>
      </c>
      <c r="M107" s="25">
        <v>30149.3</v>
      </c>
      <c r="N107" s="25">
        <v>852979</v>
      </c>
      <c r="O107" s="25">
        <v>97268</v>
      </c>
      <c r="P107" s="25">
        <v>16485</v>
      </c>
      <c r="Q107" s="25">
        <v>664978</v>
      </c>
      <c r="R107" s="25">
        <v>30634</v>
      </c>
      <c r="S107" s="25">
        <f t="shared" si="3"/>
        <v>5694</v>
      </c>
    </row>
    <row r="108" spans="1:19">
      <c r="A108" s="19">
        <v>44805</v>
      </c>
      <c r="B108">
        <f t="shared" ref="B108:B123" si="4">YEAR(A108)</f>
        <v>2022</v>
      </c>
      <c r="C108" s="2" t="s">
        <v>80</v>
      </c>
      <c r="D108" s="15">
        <v>7770.7</v>
      </c>
      <c r="E108" s="15">
        <v>7793.8</v>
      </c>
      <c r="F108" s="15">
        <v>233.8</v>
      </c>
      <c r="G108" s="15">
        <v>231.9</v>
      </c>
      <c r="H108">
        <v>64.8</v>
      </c>
      <c r="I108">
        <v>64.8</v>
      </c>
      <c r="J108" s="25">
        <v>850461.9</v>
      </c>
      <c r="K108" s="25">
        <v>662856.4</v>
      </c>
      <c r="L108" s="25">
        <v>96870.8</v>
      </c>
      <c r="M108" s="25">
        <v>30149.3</v>
      </c>
      <c r="N108" s="25">
        <v>852979</v>
      </c>
      <c r="O108" s="25">
        <v>97268</v>
      </c>
      <c r="P108" s="25">
        <v>16485</v>
      </c>
      <c r="Q108" s="25">
        <v>664978</v>
      </c>
      <c r="R108" s="25">
        <v>30634</v>
      </c>
      <c r="S108" s="25">
        <f t="shared" si="3"/>
        <v>5694</v>
      </c>
    </row>
    <row r="109" spans="1:19">
      <c r="A109" s="19">
        <v>44835</v>
      </c>
      <c r="B109">
        <f t="shared" si="4"/>
        <v>2022</v>
      </c>
      <c r="C109" s="2" t="s">
        <v>81</v>
      </c>
      <c r="D109" s="15">
        <v>7776.1</v>
      </c>
      <c r="E109" s="15">
        <v>7778.7</v>
      </c>
      <c r="F109" s="15">
        <v>234</v>
      </c>
      <c r="G109" s="15">
        <v>231.3</v>
      </c>
      <c r="H109">
        <v>64.7</v>
      </c>
      <c r="I109">
        <v>64.7</v>
      </c>
      <c r="J109" s="25">
        <v>850461.9</v>
      </c>
      <c r="K109" s="25">
        <v>662856.4</v>
      </c>
      <c r="L109" s="25">
        <v>96870.8</v>
      </c>
      <c r="M109" s="25">
        <v>30149.3</v>
      </c>
      <c r="N109" s="25">
        <v>852029</v>
      </c>
      <c r="O109" s="25">
        <v>95313</v>
      </c>
      <c r="P109" s="25">
        <v>16737</v>
      </c>
      <c r="Q109" s="25">
        <v>664944</v>
      </c>
      <c r="R109" s="25">
        <v>31696</v>
      </c>
      <c r="S109" s="25">
        <f t="shared" si="3"/>
        <v>-1184</v>
      </c>
    </row>
    <row r="110" spans="1:19">
      <c r="A110" s="19">
        <v>44866</v>
      </c>
      <c r="B110">
        <f t="shared" si="4"/>
        <v>2022</v>
      </c>
      <c r="C110" s="2" t="s">
        <v>81</v>
      </c>
      <c r="D110" s="15">
        <v>7791.7</v>
      </c>
      <c r="E110" s="15">
        <v>7783.8</v>
      </c>
      <c r="F110" s="15">
        <v>234.2</v>
      </c>
      <c r="G110" s="15">
        <v>232</v>
      </c>
      <c r="H110">
        <v>59.2</v>
      </c>
      <c r="I110">
        <v>59.2</v>
      </c>
      <c r="J110" s="25">
        <v>850461.9</v>
      </c>
      <c r="K110" s="25">
        <v>662856.4</v>
      </c>
      <c r="L110" s="25">
        <v>96870.8</v>
      </c>
      <c r="M110" s="25">
        <v>30149.3</v>
      </c>
      <c r="N110" s="25">
        <v>852029</v>
      </c>
      <c r="O110" s="25">
        <v>95313</v>
      </c>
      <c r="P110" s="25">
        <v>16737</v>
      </c>
      <c r="Q110" s="25">
        <v>664944</v>
      </c>
      <c r="R110" s="25">
        <v>31696</v>
      </c>
      <c r="S110" s="25">
        <f t="shared" si="3"/>
        <v>-1184</v>
      </c>
    </row>
    <row r="111" spans="1:19">
      <c r="A111" s="19">
        <v>44896</v>
      </c>
      <c r="B111">
        <f t="shared" si="4"/>
        <v>2022</v>
      </c>
      <c r="C111" s="2" t="s">
        <v>81</v>
      </c>
      <c r="D111" s="15">
        <v>7829.3</v>
      </c>
      <c r="E111" s="15">
        <v>7828.5</v>
      </c>
      <c r="F111" s="15">
        <v>236.7</v>
      </c>
      <c r="G111" s="15">
        <v>235.8</v>
      </c>
      <c r="H111">
        <v>58.9</v>
      </c>
      <c r="I111">
        <v>58.9</v>
      </c>
      <c r="J111" s="25">
        <v>850461.9</v>
      </c>
      <c r="K111" s="25">
        <v>662856.4</v>
      </c>
      <c r="L111" s="25">
        <v>96870.8</v>
      </c>
      <c r="M111" s="25">
        <v>30149.3</v>
      </c>
      <c r="N111" s="25">
        <v>852029</v>
      </c>
      <c r="O111" s="25">
        <v>95313</v>
      </c>
      <c r="P111" s="25">
        <v>16737</v>
      </c>
      <c r="Q111" s="25">
        <v>664944</v>
      </c>
      <c r="R111" s="25">
        <v>31696</v>
      </c>
      <c r="S111" s="25">
        <f t="shared" si="3"/>
        <v>-1184</v>
      </c>
    </row>
    <row r="112" spans="1:19">
      <c r="A112" s="2">
        <v>44927</v>
      </c>
      <c r="B112">
        <f t="shared" si="4"/>
        <v>2023</v>
      </c>
      <c r="C112" s="2" t="s">
        <v>77</v>
      </c>
      <c r="D112" s="15">
        <v>7864.6</v>
      </c>
      <c r="E112" s="15">
        <v>7829.1</v>
      </c>
      <c r="F112" s="15">
        <v>238.7</v>
      </c>
      <c r="G112" s="15">
        <v>238.2</v>
      </c>
      <c r="H112">
        <v>61.2</v>
      </c>
      <c r="I112">
        <v>61.2</v>
      </c>
      <c r="J112" s="25">
        <v>865859.6</v>
      </c>
      <c r="K112" s="25">
        <v>679067</v>
      </c>
      <c r="L112" s="25">
        <v>96987.199999999997</v>
      </c>
      <c r="M112" s="25">
        <v>32826.199999999997</v>
      </c>
      <c r="N112" s="25">
        <v>860658</v>
      </c>
      <c r="O112" s="25">
        <v>97288</v>
      </c>
      <c r="P112" s="25">
        <v>18250</v>
      </c>
      <c r="Q112" s="25">
        <v>671794</v>
      </c>
      <c r="R112" s="25">
        <v>32304</v>
      </c>
      <c r="S112" s="25">
        <f t="shared" si="3"/>
        <v>-96</v>
      </c>
    </row>
    <row r="113" spans="1:19">
      <c r="A113" s="2">
        <v>44958</v>
      </c>
      <c r="B113">
        <f t="shared" si="4"/>
        <v>2023</v>
      </c>
      <c r="C113" s="2" t="s">
        <v>77</v>
      </c>
      <c r="D113" s="15">
        <v>7904.4</v>
      </c>
      <c r="E113" s="15">
        <v>7839</v>
      </c>
      <c r="F113" s="15">
        <v>239.4</v>
      </c>
      <c r="G113" s="15">
        <v>239</v>
      </c>
      <c r="H113">
        <v>66.400000000000006</v>
      </c>
      <c r="I113">
        <v>66.400000000000006</v>
      </c>
      <c r="J113" s="25">
        <v>865859.6</v>
      </c>
      <c r="K113" s="25">
        <v>679067</v>
      </c>
      <c r="L113" s="25">
        <v>96987.199999999997</v>
      </c>
      <c r="M113" s="25">
        <v>32826.199999999997</v>
      </c>
      <c r="N113" s="25">
        <v>860658</v>
      </c>
      <c r="O113" s="25">
        <v>97288</v>
      </c>
      <c r="P113" s="25">
        <v>18250</v>
      </c>
      <c r="Q113" s="25">
        <v>671794</v>
      </c>
      <c r="R113" s="25">
        <v>32304</v>
      </c>
      <c r="S113" s="25">
        <f t="shared" si="3"/>
        <v>-96</v>
      </c>
    </row>
    <row r="114" spans="1:19">
      <c r="A114" s="2">
        <v>44986</v>
      </c>
      <c r="B114">
        <f t="shared" si="4"/>
        <v>2023</v>
      </c>
      <c r="C114" s="2" t="s">
        <v>77</v>
      </c>
      <c r="D114" s="15">
        <v>7936.8</v>
      </c>
      <c r="E114" s="15">
        <v>7848.5</v>
      </c>
      <c r="F114" s="15">
        <v>236.5</v>
      </c>
      <c r="G114" s="15">
        <v>235.6</v>
      </c>
      <c r="H114">
        <v>67.7</v>
      </c>
      <c r="I114">
        <v>67.7</v>
      </c>
      <c r="J114" s="25">
        <v>865859.6</v>
      </c>
      <c r="K114" s="25">
        <v>679067</v>
      </c>
      <c r="L114" s="25">
        <v>96987.199999999997</v>
      </c>
      <c r="M114" s="25">
        <v>32826.199999999997</v>
      </c>
      <c r="N114" s="25">
        <v>860658</v>
      </c>
      <c r="O114" s="25">
        <v>97288</v>
      </c>
      <c r="P114" s="25">
        <v>18250</v>
      </c>
      <c r="Q114" s="25">
        <v>671794</v>
      </c>
      <c r="R114" s="25">
        <v>32304</v>
      </c>
      <c r="S114" s="25">
        <f t="shared" si="3"/>
        <v>-96</v>
      </c>
    </row>
    <row r="115" spans="1:19">
      <c r="A115" s="2">
        <v>45017</v>
      </c>
      <c r="B115">
        <f t="shared" si="4"/>
        <v>2023</v>
      </c>
      <c r="C115" s="2" t="s">
        <v>78</v>
      </c>
      <c r="D115" s="15">
        <v>7963.7</v>
      </c>
      <c r="E115" s="15">
        <v>7899.3</v>
      </c>
      <c r="F115" s="15">
        <v>233.1</v>
      </c>
      <c r="G115" s="15">
        <v>234.2</v>
      </c>
      <c r="H115">
        <v>67.400000000000006</v>
      </c>
      <c r="I115">
        <v>67.400000000000006</v>
      </c>
      <c r="J115" s="25">
        <v>865859.6</v>
      </c>
      <c r="K115" s="25">
        <v>679067</v>
      </c>
      <c r="L115" s="25">
        <v>96987.199999999997</v>
      </c>
      <c r="M115" s="25">
        <v>32826.199999999997</v>
      </c>
      <c r="N115" s="25">
        <v>865503</v>
      </c>
      <c r="O115" s="25">
        <v>99736</v>
      </c>
      <c r="P115" s="25">
        <v>19421</v>
      </c>
      <c r="Q115" s="25">
        <v>675983</v>
      </c>
      <c r="R115" s="25">
        <v>32660</v>
      </c>
      <c r="S115" s="25">
        <f t="shared" si="3"/>
        <v>2217</v>
      </c>
    </row>
    <row r="116" spans="1:19">
      <c r="A116" s="2">
        <v>45047</v>
      </c>
      <c r="B116">
        <f t="shared" si="4"/>
        <v>2023</v>
      </c>
      <c r="C116" s="2" t="s">
        <v>78</v>
      </c>
      <c r="D116" s="15">
        <v>7975.3</v>
      </c>
      <c r="E116" s="15">
        <v>7966.2</v>
      </c>
      <c r="F116" s="15">
        <v>230</v>
      </c>
      <c r="G116" s="15">
        <v>232</v>
      </c>
      <c r="H116">
        <v>68.2</v>
      </c>
      <c r="I116">
        <v>68.2</v>
      </c>
      <c r="J116" s="25">
        <v>865859.6</v>
      </c>
      <c r="K116" s="25">
        <v>679067</v>
      </c>
      <c r="L116" s="25">
        <v>96987.199999999997</v>
      </c>
      <c r="M116" s="25">
        <v>32826.199999999997</v>
      </c>
      <c r="N116" s="25">
        <v>865503</v>
      </c>
      <c r="O116" s="25">
        <v>99736</v>
      </c>
      <c r="P116" s="25">
        <v>19421</v>
      </c>
      <c r="Q116" s="25">
        <v>675983</v>
      </c>
      <c r="R116" s="25">
        <v>32660</v>
      </c>
      <c r="S116" s="25">
        <f t="shared" si="3"/>
        <v>2217</v>
      </c>
    </row>
    <row r="117" spans="1:19">
      <c r="A117" s="2">
        <v>45078</v>
      </c>
      <c r="B117">
        <f t="shared" si="4"/>
        <v>2023</v>
      </c>
      <c r="C117" s="2" t="s">
        <v>78</v>
      </c>
      <c r="D117" s="15">
        <v>7998.9</v>
      </c>
      <c r="E117" s="15">
        <v>8058.5</v>
      </c>
      <c r="F117" s="15">
        <v>231</v>
      </c>
      <c r="G117" s="15">
        <v>234</v>
      </c>
      <c r="H117">
        <v>70.5</v>
      </c>
      <c r="I117">
        <v>70.5</v>
      </c>
      <c r="J117" s="25">
        <v>865859.6</v>
      </c>
      <c r="K117" s="25">
        <v>679067</v>
      </c>
      <c r="L117" s="25">
        <v>96987.199999999997</v>
      </c>
      <c r="M117" s="25">
        <v>32826.199999999997</v>
      </c>
      <c r="N117" s="25">
        <v>865503</v>
      </c>
      <c r="O117" s="25">
        <v>99736</v>
      </c>
      <c r="P117" s="25">
        <v>19421</v>
      </c>
      <c r="Q117" s="25">
        <v>675983</v>
      </c>
      <c r="R117" s="25">
        <v>32660</v>
      </c>
      <c r="S117" s="25">
        <f t="shared" si="3"/>
        <v>2217</v>
      </c>
    </row>
    <row r="118" spans="1:19">
      <c r="A118" s="2">
        <v>45108</v>
      </c>
      <c r="B118">
        <f t="shared" si="4"/>
        <v>2023</v>
      </c>
      <c r="C118" s="2" t="s">
        <v>80</v>
      </c>
      <c r="D118" s="15">
        <v>8014.7</v>
      </c>
      <c r="E118" s="15">
        <v>8107</v>
      </c>
      <c r="F118" s="15">
        <v>232.9</v>
      </c>
      <c r="G118" s="15">
        <v>233.8</v>
      </c>
      <c r="H118">
        <v>68.8</v>
      </c>
      <c r="I118">
        <v>68.8</v>
      </c>
      <c r="J118" s="25">
        <v>865859.6</v>
      </c>
      <c r="K118" s="25">
        <v>679067</v>
      </c>
      <c r="L118" s="25">
        <v>96987.199999999997</v>
      </c>
      <c r="M118" s="25">
        <v>32826.199999999997</v>
      </c>
      <c r="N118" s="25">
        <v>867701</v>
      </c>
      <c r="O118" s="25">
        <v>96601</v>
      </c>
      <c r="P118" s="25">
        <v>19084</v>
      </c>
      <c r="Q118" s="25">
        <v>682077</v>
      </c>
      <c r="R118" s="25">
        <v>32844</v>
      </c>
      <c r="S118" s="25">
        <f t="shared" si="3"/>
        <v>-667</v>
      </c>
    </row>
    <row r="119" spans="1:19">
      <c r="A119" s="2">
        <v>45139</v>
      </c>
      <c r="B119">
        <f t="shared" si="4"/>
        <v>2023</v>
      </c>
      <c r="C119" s="2" t="s">
        <v>80</v>
      </c>
      <c r="D119" s="15">
        <v>8038.9</v>
      </c>
      <c r="E119" s="15">
        <v>8115.6</v>
      </c>
      <c r="F119" s="15">
        <v>236.1</v>
      </c>
      <c r="G119" s="15">
        <v>235.3</v>
      </c>
      <c r="H119">
        <v>68.5</v>
      </c>
      <c r="I119">
        <v>68.5</v>
      </c>
      <c r="J119" s="25">
        <v>865859.6</v>
      </c>
      <c r="K119" s="25">
        <v>679067</v>
      </c>
      <c r="L119" s="25">
        <v>96987.199999999997</v>
      </c>
      <c r="M119" s="25">
        <v>32826.199999999997</v>
      </c>
      <c r="N119" s="25">
        <v>867701</v>
      </c>
      <c r="O119" s="25">
        <v>96601</v>
      </c>
      <c r="P119" s="25">
        <v>19084</v>
      </c>
      <c r="Q119" s="25">
        <v>682077</v>
      </c>
      <c r="R119" s="25">
        <v>32844</v>
      </c>
      <c r="S119" s="25">
        <f t="shared" si="3"/>
        <v>-667</v>
      </c>
    </row>
    <row r="120" spans="1:19">
      <c r="A120" s="2">
        <v>45170</v>
      </c>
      <c r="B120">
        <f t="shared" si="4"/>
        <v>2023</v>
      </c>
      <c r="C120" s="2" t="s">
        <v>80</v>
      </c>
      <c r="D120" s="15">
        <v>8049</v>
      </c>
      <c r="E120" s="15">
        <v>8068.5</v>
      </c>
      <c r="F120" s="15">
        <v>236.5</v>
      </c>
      <c r="G120" s="15">
        <v>233.9</v>
      </c>
      <c r="H120">
        <v>64.2</v>
      </c>
      <c r="I120">
        <v>64.2</v>
      </c>
      <c r="J120" s="25">
        <v>865859.6</v>
      </c>
      <c r="K120" s="25">
        <v>679067</v>
      </c>
      <c r="L120" s="25">
        <v>96987.199999999997</v>
      </c>
      <c r="M120" s="25">
        <v>32826.199999999997</v>
      </c>
      <c r="N120" s="25">
        <v>867701</v>
      </c>
      <c r="O120" s="25">
        <v>96601</v>
      </c>
      <c r="P120" s="25">
        <v>19084</v>
      </c>
      <c r="Q120" s="25">
        <v>682077</v>
      </c>
      <c r="R120" s="25">
        <v>32844</v>
      </c>
      <c r="S120" s="25">
        <f t="shared" si="3"/>
        <v>-667</v>
      </c>
    </row>
    <row r="121" spans="1:19">
      <c r="A121" s="2">
        <v>45200</v>
      </c>
      <c r="B121">
        <f t="shared" si="4"/>
        <v>2023</v>
      </c>
      <c r="C121" s="2" t="s">
        <v>81</v>
      </c>
      <c r="D121" s="15">
        <v>8054.4</v>
      </c>
      <c r="E121" s="15">
        <v>8050.1</v>
      </c>
      <c r="F121" s="15">
        <v>235.5</v>
      </c>
      <c r="G121" s="15">
        <v>232.7</v>
      </c>
      <c r="H121">
        <v>61.6</v>
      </c>
      <c r="I121">
        <v>61.6</v>
      </c>
      <c r="J121" s="25">
        <v>865859.6</v>
      </c>
      <c r="K121" s="25">
        <v>679067</v>
      </c>
      <c r="L121" s="25">
        <v>96987.199999999997</v>
      </c>
      <c r="M121" s="25">
        <v>32826.199999999997</v>
      </c>
      <c r="N121" s="25">
        <v>869576</v>
      </c>
      <c r="O121" s="25">
        <v>94324</v>
      </c>
      <c r="P121" s="25">
        <v>17937</v>
      </c>
      <c r="Q121" s="25">
        <v>686415</v>
      </c>
      <c r="R121" s="25">
        <v>33497</v>
      </c>
      <c r="S121" s="25">
        <f t="shared" si="3"/>
        <v>-989</v>
      </c>
    </row>
    <row r="122" spans="1:19">
      <c r="A122" s="2">
        <v>45231</v>
      </c>
      <c r="B122">
        <f t="shared" si="4"/>
        <v>2023</v>
      </c>
      <c r="C122" s="2" t="s">
        <v>81</v>
      </c>
      <c r="D122" s="15">
        <v>8061.4</v>
      </c>
      <c r="E122" s="15">
        <v>8046.2</v>
      </c>
      <c r="F122" s="15">
        <v>237.3</v>
      </c>
      <c r="G122" s="15">
        <v>235.3</v>
      </c>
      <c r="H122">
        <v>56.9</v>
      </c>
      <c r="I122">
        <v>56.9</v>
      </c>
      <c r="J122" s="25">
        <v>865859.6</v>
      </c>
      <c r="K122" s="25">
        <v>679067</v>
      </c>
      <c r="L122" s="25">
        <v>96987.199999999997</v>
      </c>
      <c r="M122" s="25">
        <v>32826.199999999997</v>
      </c>
      <c r="N122" s="25">
        <v>869576</v>
      </c>
      <c r="O122" s="25">
        <v>94324</v>
      </c>
      <c r="P122" s="25">
        <v>17937</v>
      </c>
      <c r="Q122" s="25">
        <v>686415</v>
      </c>
      <c r="R122" s="25">
        <v>33497</v>
      </c>
      <c r="S122" s="25">
        <f t="shared" si="3"/>
        <v>-989</v>
      </c>
    </row>
    <row r="123" spans="1:19">
      <c r="A123" s="2">
        <v>45261</v>
      </c>
      <c r="B123">
        <f t="shared" si="4"/>
        <v>2023</v>
      </c>
      <c r="C123" s="2" t="s">
        <v>81</v>
      </c>
      <c r="D123" s="15">
        <v>8052.9</v>
      </c>
      <c r="E123" s="15">
        <v>8049</v>
      </c>
      <c r="F123" s="15">
        <v>239.4</v>
      </c>
      <c r="G123" s="15">
        <v>238.8</v>
      </c>
      <c r="H123">
        <v>50</v>
      </c>
      <c r="I123">
        <v>50</v>
      </c>
      <c r="J123" s="25">
        <v>865859.6</v>
      </c>
      <c r="K123" s="25">
        <v>679067</v>
      </c>
      <c r="L123" s="25">
        <v>96987.199999999997</v>
      </c>
      <c r="M123" s="25">
        <v>32826.199999999997</v>
      </c>
      <c r="N123" s="25">
        <v>869576</v>
      </c>
      <c r="O123" s="25">
        <v>94324</v>
      </c>
      <c r="P123" s="25">
        <v>17937</v>
      </c>
      <c r="Q123" s="25">
        <v>686415</v>
      </c>
      <c r="R123" s="25">
        <v>33497</v>
      </c>
      <c r="S123" s="25">
        <f t="shared" si="3"/>
        <v>-989</v>
      </c>
    </row>
    <row r="124" spans="1:19">
      <c r="A124" s="2">
        <v>45292</v>
      </c>
      <c r="B124">
        <f>YEAR(A124)</f>
        <v>2024</v>
      </c>
      <c r="C124" s="2" t="str">
        <f>C112</f>
        <v>Q1</v>
      </c>
      <c r="D124" s="15">
        <v>8056</v>
      </c>
      <c r="E124" s="15">
        <v>8019.7</v>
      </c>
      <c r="F124" s="15">
        <v>242.1</v>
      </c>
      <c r="G124" s="15">
        <v>242.1</v>
      </c>
      <c r="H124">
        <v>46.4</v>
      </c>
      <c r="I124">
        <v>46.4</v>
      </c>
      <c r="J124" s="25">
        <v>876619.7</v>
      </c>
      <c r="K124" s="25">
        <v>694601.3</v>
      </c>
      <c r="L124" s="572">
        <v>92436.4</v>
      </c>
      <c r="M124" s="572">
        <v>33851.4</v>
      </c>
      <c r="N124" s="25">
        <v>873665</v>
      </c>
      <c r="O124" s="25">
        <v>94007</v>
      </c>
      <c r="P124" s="25">
        <v>17303</v>
      </c>
      <c r="Q124" s="25">
        <v>690531</v>
      </c>
      <c r="R124" s="25">
        <v>33782</v>
      </c>
      <c r="S124" s="25">
        <f t="shared" si="3"/>
        <v>-3281</v>
      </c>
    </row>
    <row r="125" spans="1:19">
      <c r="A125" s="2">
        <v>45323</v>
      </c>
      <c r="B125">
        <f t="shared" ref="B125:B147" si="5">YEAR(A125)</f>
        <v>2024</v>
      </c>
      <c r="C125" s="2" t="str">
        <f t="shared" ref="C125:C188" si="6">C113</f>
        <v>Q1</v>
      </c>
      <c r="D125" s="15">
        <v>8055.7</v>
      </c>
      <c r="E125" s="15">
        <v>7991.4</v>
      </c>
      <c r="F125" s="15">
        <v>243.2</v>
      </c>
      <c r="G125" s="15">
        <v>243.5</v>
      </c>
      <c r="H125">
        <v>41.6</v>
      </c>
      <c r="I125">
        <v>41.6</v>
      </c>
      <c r="J125" s="25">
        <v>876619.7</v>
      </c>
      <c r="K125" s="25">
        <v>694601.3</v>
      </c>
      <c r="L125" s="572">
        <v>92436.4</v>
      </c>
      <c r="M125" s="572">
        <v>33851.4</v>
      </c>
      <c r="N125" s="25">
        <v>873665</v>
      </c>
      <c r="O125" s="25">
        <v>94007</v>
      </c>
      <c r="P125" s="25">
        <v>17303</v>
      </c>
      <c r="Q125" s="25">
        <v>690531</v>
      </c>
      <c r="R125" s="25">
        <v>33782</v>
      </c>
      <c r="S125" s="25">
        <f t="shared" si="3"/>
        <v>-3281</v>
      </c>
    </row>
    <row r="126" spans="1:19">
      <c r="A126" s="2">
        <v>45352</v>
      </c>
      <c r="B126">
        <f t="shared" si="5"/>
        <v>2024</v>
      </c>
      <c r="C126" s="2" t="str">
        <f t="shared" si="6"/>
        <v>Q1</v>
      </c>
      <c r="D126" s="15">
        <v>8075.3</v>
      </c>
      <c r="E126" s="15">
        <v>7988.6</v>
      </c>
      <c r="F126" s="15">
        <v>244.6</v>
      </c>
      <c r="G126" s="15">
        <v>244</v>
      </c>
      <c r="H126">
        <v>42.2</v>
      </c>
      <c r="I126">
        <v>42.2</v>
      </c>
      <c r="J126" s="25">
        <v>876619.7</v>
      </c>
      <c r="K126" s="25">
        <v>694601.3</v>
      </c>
      <c r="L126" s="572">
        <v>92436.4</v>
      </c>
      <c r="M126" s="572">
        <v>33851.4</v>
      </c>
      <c r="N126" s="25">
        <v>873665</v>
      </c>
      <c r="O126" s="25">
        <v>94007</v>
      </c>
      <c r="P126" s="25">
        <v>17303</v>
      </c>
      <c r="Q126" s="25">
        <v>690531</v>
      </c>
      <c r="R126" s="25">
        <v>33782</v>
      </c>
      <c r="S126" s="25">
        <f t="shared" si="3"/>
        <v>-3281</v>
      </c>
    </row>
    <row r="127" spans="1:19">
      <c r="A127" s="2">
        <v>45383</v>
      </c>
      <c r="B127">
        <f t="shared" si="5"/>
        <v>2024</v>
      </c>
      <c r="C127" s="2" t="str">
        <f t="shared" si="6"/>
        <v>Q2</v>
      </c>
      <c r="D127" s="15">
        <v>8093.4</v>
      </c>
      <c r="E127" s="15">
        <v>8033.3</v>
      </c>
      <c r="F127" s="15">
        <v>246.7</v>
      </c>
      <c r="G127" s="15">
        <v>246.5</v>
      </c>
      <c r="H127">
        <v>42.5</v>
      </c>
      <c r="I127">
        <v>42.5</v>
      </c>
      <c r="J127" s="25">
        <v>876619.7</v>
      </c>
      <c r="K127" s="25">
        <v>694601.3</v>
      </c>
      <c r="L127" s="572">
        <v>92436.4</v>
      </c>
      <c r="M127" s="572">
        <v>33851.4</v>
      </c>
      <c r="N127" s="25">
        <v>875840</v>
      </c>
      <c r="O127" s="25">
        <v>93171</v>
      </c>
      <c r="P127" s="25">
        <v>16760</v>
      </c>
      <c r="Q127" s="25">
        <v>693472</v>
      </c>
      <c r="R127" s="25">
        <v>34037</v>
      </c>
      <c r="S127" s="25">
        <f t="shared" si="3"/>
        <v>-6565</v>
      </c>
    </row>
    <row r="128" spans="1:19">
      <c r="A128" s="2">
        <v>45413</v>
      </c>
      <c r="B128">
        <f t="shared" si="5"/>
        <v>2024</v>
      </c>
      <c r="C128" s="2" t="str">
        <f t="shared" si="6"/>
        <v>Q2</v>
      </c>
      <c r="D128" s="15">
        <v>8119.3</v>
      </c>
      <c r="E128" s="15">
        <v>8113.6</v>
      </c>
      <c r="F128" s="15">
        <v>247</v>
      </c>
      <c r="G128" s="15">
        <v>247.1</v>
      </c>
      <c r="H128">
        <v>45.7</v>
      </c>
      <c r="I128">
        <v>45.7</v>
      </c>
      <c r="J128" s="25">
        <v>876619.7</v>
      </c>
      <c r="K128" s="25">
        <v>694601.3</v>
      </c>
      <c r="L128" s="572">
        <v>92436.4</v>
      </c>
      <c r="M128" s="572">
        <v>33851.4</v>
      </c>
      <c r="N128" s="25">
        <v>875840</v>
      </c>
      <c r="O128" s="25">
        <v>93171</v>
      </c>
      <c r="P128" s="25">
        <v>16760</v>
      </c>
      <c r="Q128" s="25">
        <v>693472</v>
      </c>
      <c r="R128" s="25">
        <v>34037</v>
      </c>
      <c r="S128" s="25">
        <f t="shared" si="3"/>
        <v>-6565</v>
      </c>
    </row>
    <row r="129" spans="1:19">
      <c r="A129" s="2">
        <v>45444</v>
      </c>
      <c r="B129">
        <f t="shared" si="5"/>
        <v>2024</v>
      </c>
      <c r="C129" s="2" t="str">
        <f t="shared" si="6"/>
        <v>Q2</v>
      </c>
      <c r="D129" s="15">
        <v>8139.9</v>
      </c>
      <c r="E129" s="15">
        <v>8202.2000000000007</v>
      </c>
      <c r="F129" s="15">
        <v>244.4</v>
      </c>
      <c r="G129" s="15">
        <v>245.9</v>
      </c>
      <c r="H129">
        <v>50.4</v>
      </c>
      <c r="I129">
        <v>50.4</v>
      </c>
      <c r="J129" s="25">
        <v>876619.7</v>
      </c>
      <c r="K129" s="25">
        <v>694601.3</v>
      </c>
      <c r="L129" s="572">
        <v>92436.4</v>
      </c>
      <c r="M129" s="572">
        <v>33851.4</v>
      </c>
      <c r="N129" s="25">
        <v>875840</v>
      </c>
      <c r="O129" s="25">
        <v>93171</v>
      </c>
      <c r="P129" s="25">
        <v>16760</v>
      </c>
      <c r="Q129" s="25">
        <v>693472</v>
      </c>
      <c r="R129" s="25">
        <v>34037</v>
      </c>
      <c r="S129" s="25">
        <f t="shared" si="3"/>
        <v>-6565</v>
      </c>
    </row>
    <row r="130" spans="1:19">
      <c r="A130" s="2">
        <v>45474</v>
      </c>
      <c r="B130">
        <f t="shared" si="5"/>
        <v>2024</v>
      </c>
      <c r="C130" s="2" t="str">
        <f t="shared" si="6"/>
        <v>Q3</v>
      </c>
      <c r="D130" s="15">
        <v>8157.9</v>
      </c>
      <c r="E130" s="15">
        <v>8253.1</v>
      </c>
      <c r="F130" s="15">
        <v>240.9</v>
      </c>
      <c r="G130" s="15">
        <v>243</v>
      </c>
      <c r="H130">
        <v>52.8</v>
      </c>
      <c r="I130">
        <v>52.8</v>
      </c>
      <c r="J130" s="25">
        <v>876619.7</v>
      </c>
      <c r="K130" s="25">
        <v>694601.3</v>
      </c>
      <c r="L130" s="572">
        <v>92436.4</v>
      </c>
      <c r="M130" s="572">
        <v>33851.4</v>
      </c>
      <c r="N130" s="25">
        <v>876752</v>
      </c>
      <c r="O130" s="25">
        <v>91498</v>
      </c>
      <c r="P130" s="25">
        <v>16373</v>
      </c>
      <c r="Q130" s="25">
        <v>695809</v>
      </c>
      <c r="R130" s="25">
        <v>33820</v>
      </c>
      <c r="S130" s="25">
        <f t="shared" si="3"/>
        <v>-5103</v>
      </c>
    </row>
    <row r="131" spans="1:19">
      <c r="A131" s="2">
        <v>45505</v>
      </c>
      <c r="B131">
        <f t="shared" si="5"/>
        <v>2024</v>
      </c>
      <c r="C131" s="2" t="str">
        <f t="shared" si="6"/>
        <v>Q3</v>
      </c>
      <c r="D131" s="15">
        <v>8164.1</v>
      </c>
      <c r="E131" s="15">
        <v>8245.1</v>
      </c>
      <c r="F131" s="15">
        <v>238.3</v>
      </c>
      <c r="G131" s="15">
        <v>239.1</v>
      </c>
      <c r="H131">
        <v>53.7</v>
      </c>
      <c r="I131">
        <v>53.7</v>
      </c>
      <c r="J131" s="25">
        <v>876619.7</v>
      </c>
      <c r="K131" s="25">
        <v>694601.3</v>
      </c>
      <c r="L131" s="572">
        <v>92436.4</v>
      </c>
      <c r="M131" s="572">
        <v>33851.4</v>
      </c>
      <c r="N131" s="25">
        <v>876752</v>
      </c>
      <c r="O131" s="25">
        <v>91498</v>
      </c>
      <c r="P131" s="25">
        <v>16373</v>
      </c>
      <c r="Q131" s="25">
        <v>695809</v>
      </c>
      <c r="R131" s="25">
        <v>33820</v>
      </c>
      <c r="S131" s="25">
        <f t="shared" si="3"/>
        <v>-5103</v>
      </c>
    </row>
    <row r="132" spans="1:19">
      <c r="A132" s="2">
        <v>45536</v>
      </c>
      <c r="B132">
        <f t="shared" si="5"/>
        <v>2024</v>
      </c>
      <c r="C132" s="2" t="str">
        <f t="shared" si="6"/>
        <v>Q3</v>
      </c>
      <c r="D132" s="15">
        <v>8177.5</v>
      </c>
      <c r="E132" s="15">
        <v>8217.2000000000007</v>
      </c>
      <c r="F132" s="15">
        <v>240.5</v>
      </c>
      <c r="G132" s="15">
        <v>239.6</v>
      </c>
      <c r="H132">
        <v>51.7</v>
      </c>
      <c r="I132">
        <v>51.7</v>
      </c>
      <c r="J132" s="572">
        <v>876619.7</v>
      </c>
      <c r="K132" s="572">
        <v>694601.3</v>
      </c>
      <c r="L132" s="572">
        <v>92436.4</v>
      </c>
      <c r="M132" s="572">
        <v>33851.4</v>
      </c>
      <c r="N132" s="25">
        <v>876752</v>
      </c>
      <c r="O132" s="25">
        <v>91498</v>
      </c>
      <c r="P132" s="25">
        <v>16373</v>
      </c>
      <c r="Q132" s="25">
        <v>695809</v>
      </c>
      <c r="R132" s="25">
        <v>33820</v>
      </c>
      <c r="S132" s="25">
        <f t="shared" si="3"/>
        <v>-5103</v>
      </c>
    </row>
    <row r="133" spans="1:19">
      <c r="A133" s="2">
        <v>45566</v>
      </c>
      <c r="B133">
        <f t="shared" si="5"/>
        <v>2024</v>
      </c>
      <c r="C133" s="2" t="str">
        <f t="shared" si="6"/>
        <v>Q4</v>
      </c>
      <c r="D133" s="15">
        <v>8179.8</v>
      </c>
      <c r="E133" s="15">
        <v>8197.6</v>
      </c>
      <c r="F133" s="15">
        <v>242.1</v>
      </c>
      <c r="G133" s="15">
        <v>239.7</v>
      </c>
      <c r="H133">
        <v>46.4</v>
      </c>
      <c r="I133">
        <v>46.4</v>
      </c>
      <c r="J133" s="572">
        <v>876619.7</v>
      </c>
      <c r="K133" s="572">
        <v>694601.3</v>
      </c>
      <c r="L133" s="572">
        <v>92436.4</v>
      </c>
      <c r="M133" s="572">
        <v>33851.4</v>
      </c>
      <c r="N133" s="25">
        <v>880222</v>
      </c>
      <c r="O133" s="25">
        <v>91070</v>
      </c>
      <c r="P133" s="25">
        <v>16405</v>
      </c>
      <c r="Q133" s="25">
        <v>698594</v>
      </c>
      <c r="R133" s="25">
        <v>33766</v>
      </c>
      <c r="S133" s="25">
        <f t="shared" si="3"/>
        <v>-3254</v>
      </c>
    </row>
    <row r="134" spans="1:19">
      <c r="A134" s="2">
        <v>45597</v>
      </c>
      <c r="B134">
        <f t="shared" si="5"/>
        <v>2024</v>
      </c>
      <c r="C134" s="2" t="str">
        <f t="shared" si="6"/>
        <v>Q4</v>
      </c>
      <c r="D134" s="15">
        <v>8182</v>
      </c>
      <c r="E134" s="15">
        <v>8185.1</v>
      </c>
      <c r="F134" s="15">
        <v>241.6</v>
      </c>
      <c r="G134" s="15">
        <v>239.7</v>
      </c>
      <c r="H134">
        <v>41.7</v>
      </c>
      <c r="I134">
        <v>41.7</v>
      </c>
      <c r="J134" s="572">
        <v>876619.7</v>
      </c>
      <c r="K134" s="572">
        <v>694601.3</v>
      </c>
      <c r="L134" s="572">
        <v>92436.4</v>
      </c>
      <c r="M134" s="572">
        <v>33851.4</v>
      </c>
      <c r="N134" s="25">
        <v>880222</v>
      </c>
      <c r="O134" s="25">
        <v>91070</v>
      </c>
      <c r="P134" s="25">
        <v>16405</v>
      </c>
      <c r="Q134" s="25">
        <v>698594</v>
      </c>
      <c r="R134" s="25">
        <v>33766</v>
      </c>
      <c r="S134" s="25">
        <f t="shared" si="3"/>
        <v>-3254</v>
      </c>
    </row>
    <row r="135" spans="1:19">
      <c r="A135" s="2">
        <v>45627</v>
      </c>
      <c r="B135" s="584">
        <f t="shared" si="5"/>
        <v>2024</v>
      </c>
      <c r="C135" s="19" t="str">
        <f t="shared" si="6"/>
        <v>Q4</v>
      </c>
      <c r="D135" s="15">
        <v>8183.3</v>
      </c>
      <c r="E135" s="15">
        <v>8176.6</v>
      </c>
      <c r="F135" s="15">
        <v>239.5</v>
      </c>
      <c r="G135" s="15">
        <v>239.7</v>
      </c>
      <c r="H135">
        <v>35.1</v>
      </c>
      <c r="I135">
        <v>35.1</v>
      </c>
      <c r="J135" s="572">
        <v>876619.7</v>
      </c>
      <c r="K135" s="572">
        <v>694601.3</v>
      </c>
      <c r="L135" s="572">
        <v>92436.4</v>
      </c>
      <c r="M135" s="572">
        <v>33851.4</v>
      </c>
      <c r="N135" s="25">
        <v>880222</v>
      </c>
      <c r="O135" s="25">
        <v>91070</v>
      </c>
      <c r="P135" s="25">
        <v>16405</v>
      </c>
      <c r="Q135" s="25">
        <v>698594</v>
      </c>
      <c r="R135" s="25">
        <v>33766</v>
      </c>
      <c r="S135" s="25">
        <f t="shared" si="3"/>
        <v>-3254</v>
      </c>
    </row>
    <row r="136" spans="1:19">
      <c r="A136" s="28">
        <v>45658</v>
      </c>
      <c r="B136" s="29">
        <f t="shared" si="5"/>
        <v>2025</v>
      </c>
      <c r="C136" s="28" t="str">
        <f t="shared" si="6"/>
        <v>Q1</v>
      </c>
      <c r="D136" s="15">
        <v>8203.9</v>
      </c>
      <c r="E136" s="15">
        <v>8161.4</v>
      </c>
      <c r="F136" s="15">
        <v>241.5</v>
      </c>
      <c r="G136" s="15">
        <v>243.4</v>
      </c>
      <c r="H136">
        <v>29.7</v>
      </c>
      <c r="I136">
        <v>29.7</v>
      </c>
      <c r="J136" s="30">
        <f>J124*(1+$AC$14)</f>
        <v>885166.74207499984</v>
      </c>
      <c r="K136" s="30">
        <f t="shared" ref="K136:M136" si="7">K124*(1+$AC$14)</f>
        <v>701373.66267500003</v>
      </c>
      <c r="L136" s="30">
        <f t="shared" si="7"/>
        <v>93337.654899999994</v>
      </c>
      <c r="M136" s="30">
        <f t="shared" si="7"/>
        <v>34181.451150000001</v>
      </c>
      <c r="N136" s="25">
        <v>884217</v>
      </c>
      <c r="O136" s="25">
        <v>91906</v>
      </c>
      <c r="P136" s="25">
        <v>16867</v>
      </c>
      <c r="Q136" s="25">
        <v>702341</v>
      </c>
      <c r="R136" s="25">
        <v>33800</v>
      </c>
      <c r="S136" s="25">
        <f t="shared" si="3"/>
        <v>-2101</v>
      </c>
    </row>
    <row r="137" spans="1:19">
      <c r="A137" s="28">
        <v>45689</v>
      </c>
      <c r="B137" s="29">
        <f t="shared" si="5"/>
        <v>2025</v>
      </c>
      <c r="C137" s="28" t="str">
        <f t="shared" si="6"/>
        <v>Q1</v>
      </c>
      <c r="D137" s="15">
        <v>8233</v>
      </c>
      <c r="E137" s="15">
        <v>8165.5</v>
      </c>
      <c r="F137" s="15">
        <v>243.3</v>
      </c>
      <c r="G137" s="15">
        <v>246.7</v>
      </c>
      <c r="H137">
        <v>27.9</v>
      </c>
      <c r="I137">
        <v>27.9</v>
      </c>
      <c r="J137" s="30">
        <f t="shared" ref="J137:M137" si="8">J125*(1+$AC$14)</f>
        <v>885166.74207499984</v>
      </c>
      <c r="K137" s="30">
        <f t="shared" si="8"/>
        <v>701373.66267500003</v>
      </c>
      <c r="L137" s="30">
        <f t="shared" si="8"/>
        <v>93337.654899999994</v>
      </c>
      <c r="M137" s="30">
        <f t="shared" si="8"/>
        <v>34181.451150000001</v>
      </c>
      <c r="N137" s="25">
        <v>884217</v>
      </c>
      <c r="O137" s="25">
        <v>91906</v>
      </c>
      <c r="P137" s="25">
        <v>16867</v>
      </c>
      <c r="Q137" s="25">
        <v>702341</v>
      </c>
      <c r="R137" s="25">
        <v>33800</v>
      </c>
      <c r="S137" s="25">
        <f t="shared" si="3"/>
        <v>-2101</v>
      </c>
    </row>
    <row r="138" spans="1:19">
      <c r="A138" s="28">
        <v>45717</v>
      </c>
      <c r="B138" s="29">
        <f t="shared" si="5"/>
        <v>2025</v>
      </c>
      <c r="C138" s="28" t="str">
        <f t="shared" si="6"/>
        <v>Q1</v>
      </c>
      <c r="D138" s="15">
        <v>8242.5</v>
      </c>
      <c r="E138" s="15">
        <v>8155.5</v>
      </c>
      <c r="F138" s="15">
        <v>245.8</v>
      </c>
      <c r="G138" s="15">
        <v>247.3</v>
      </c>
      <c r="H138">
        <v>31.7</v>
      </c>
      <c r="I138">
        <v>31.7</v>
      </c>
      <c r="J138" s="30">
        <f t="shared" ref="J138:M138" si="9">J126*(1+$AC$14)</f>
        <v>885166.74207499984</v>
      </c>
      <c r="K138" s="30">
        <f t="shared" si="9"/>
        <v>701373.66267500003</v>
      </c>
      <c r="L138" s="30">
        <f t="shared" si="9"/>
        <v>93337.654899999994</v>
      </c>
      <c r="M138" s="30">
        <f t="shared" si="9"/>
        <v>34181.451150000001</v>
      </c>
      <c r="N138" s="25">
        <v>884217</v>
      </c>
      <c r="O138" s="25">
        <v>91906</v>
      </c>
      <c r="P138" s="25">
        <v>16867</v>
      </c>
      <c r="Q138" s="25">
        <v>702341</v>
      </c>
      <c r="R138" s="25">
        <v>33800</v>
      </c>
      <c r="S138" s="25">
        <f t="shared" si="3"/>
        <v>-2101</v>
      </c>
    </row>
    <row r="139" spans="1:19">
      <c r="A139" s="28">
        <v>45748</v>
      </c>
      <c r="B139" s="29">
        <f t="shared" si="5"/>
        <v>2025</v>
      </c>
      <c r="C139" s="28" t="str">
        <f t="shared" si="6"/>
        <v>Q2</v>
      </c>
      <c r="D139" s="15">
        <v>8227.4</v>
      </c>
      <c r="E139" s="15">
        <v>8165.3</v>
      </c>
      <c r="F139" s="15">
        <v>241.9</v>
      </c>
      <c r="G139" s="15">
        <v>242.7</v>
      </c>
      <c r="H139">
        <v>41.2</v>
      </c>
      <c r="I139">
        <v>41.2</v>
      </c>
      <c r="J139" s="30">
        <f t="shared" ref="J139:R139" si="10">J127*(1+$AC$14)</f>
        <v>885166.74207499984</v>
      </c>
      <c r="K139" s="30">
        <f t="shared" si="10"/>
        <v>701373.66267500003</v>
      </c>
      <c r="L139" s="30">
        <f t="shared" si="10"/>
        <v>93337.654899999994</v>
      </c>
      <c r="M139" s="30">
        <f t="shared" si="10"/>
        <v>34181.451150000001</v>
      </c>
      <c r="N139" s="30">
        <f t="shared" si="10"/>
        <v>884379.44</v>
      </c>
      <c r="O139" s="30">
        <f t="shared" si="10"/>
        <v>94079.417249999999</v>
      </c>
      <c r="P139" s="30">
        <f t="shared" si="10"/>
        <v>16923.41</v>
      </c>
      <c r="Q139" s="30">
        <f t="shared" si="10"/>
        <v>700233.35199999996</v>
      </c>
      <c r="R139" s="30">
        <f t="shared" si="10"/>
        <v>34368.86075</v>
      </c>
      <c r="S139" s="30">
        <f t="shared" si="3"/>
        <v>908.4172499999986</v>
      </c>
    </row>
    <row r="140" spans="1:19">
      <c r="A140" s="28">
        <v>45778</v>
      </c>
      <c r="B140" s="29">
        <f t="shared" si="5"/>
        <v>2025</v>
      </c>
      <c r="C140" s="28" t="str">
        <f t="shared" si="6"/>
        <v>Q2</v>
      </c>
      <c r="D140" s="15">
        <v>8207.9</v>
      </c>
      <c r="E140" s="15">
        <v>8198.1</v>
      </c>
      <c r="F140" s="15">
        <v>241</v>
      </c>
      <c r="G140" s="15">
        <v>240.7</v>
      </c>
      <c r="H140">
        <v>48.5</v>
      </c>
      <c r="I140">
        <v>48.5</v>
      </c>
      <c r="J140" s="30">
        <f t="shared" ref="J140:R140" si="11">J128*(1+$AC$14)</f>
        <v>885166.74207499984</v>
      </c>
      <c r="K140" s="30">
        <f t="shared" si="11"/>
        <v>701373.66267500003</v>
      </c>
      <c r="L140" s="30">
        <f t="shared" si="11"/>
        <v>93337.654899999994</v>
      </c>
      <c r="M140" s="30">
        <f t="shared" si="11"/>
        <v>34181.451150000001</v>
      </c>
      <c r="N140" s="30">
        <f t="shared" si="11"/>
        <v>884379.44</v>
      </c>
      <c r="O140" s="30">
        <f t="shared" si="11"/>
        <v>94079.417249999999</v>
      </c>
      <c r="P140" s="30">
        <f t="shared" si="11"/>
        <v>16923.41</v>
      </c>
      <c r="Q140" s="30">
        <f t="shared" si="11"/>
        <v>700233.35199999996</v>
      </c>
      <c r="R140" s="30">
        <f t="shared" si="11"/>
        <v>34368.86075</v>
      </c>
      <c r="S140" s="30">
        <f t="shared" si="3"/>
        <v>908.4172499999986</v>
      </c>
    </row>
    <row r="141" spans="1:19">
      <c r="A141" s="28">
        <v>45809</v>
      </c>
      <c r="B141" s="29">
        <f t="shared" si="5"/>
        <v>2025</v>
      </c>
      <c r="C141" s="28" t="str">
        <f t="shared" si="6"/>
        <v>Q2</v>
      </c>
      <c r="D141" s="15">
        <v>8204.6</v>
      </c>
      <c r="E141" s="15">
        <v>8270</v>
      </c>
      <c r="F141" s="15">
        <v>239.6</v>
      </c>
      <c r="G141" s="15">
        <v>240</v>
      </c>
      <c r="H141">
        <v>55.2</v>
      </c>
      <c r="I141">
        <v>55.2</v>
      </c>
      <c r="J141" s="30">
        <f t="shared" ref="J141:R141" si="12">J129*(1+$AC$14)</f>
        <v>885166.74207499984</v>
      </c>
      <c r="K141" s="30">
        <f t="shared" si="12"/>
        <v>701373.66267500003</v>
      </c>
      <c r="L141" s="30">
        <f t="shared" si="12"/>
        <v>93337.654899999994</v>
      </c>
      <c r="M141" s="30">
        <f t="shared" si="12"/>
        <v>34181.451150000001</v>
      </c>
      <c r="N141" s="30">
        <f t="shared" si="12"/>
        <v>884379.44</v>
      </c>
      <c r="O141" s="30">
        <f t="shared" si="12"/>
        <v>94079.417249999999</v>
      </c>
      <c r="P141" s="30">
        <f t="shared" si="12"/>
        <v>16923.41</v>
      </c>
      <c r="Q141" s="30">
        <f t="shared" si="12"/>
        <v>700233.35199999996</v>
      </c>
      <c r="R141" s="30">
        <f t="shared" si="12"/>
        <v>34368.86075</v>
      </c>
      <c r="S141" s="30">
        <f t="shared" si="3"/>
        <v>908.4172499999986</v>
      </c>
    </row>
    <row r="142" spans="1:19">
      <c r="A142" s="28">
        <v>45839</v>
      </c>
      <c r="B142" s="29">
        <f t="shared" si="5"/>
        <v>2025</v>
      </c>
      <c r="C142" s="28" t="str">
        <f t="shared" si="6"/>
        <v>Q3</v>
      </c>
      <c r="D142" s="23">
        <f t="shared" ref="D142:I147" si="13">D130*(1+$AC$25)</f>
        <v>8225.2026750000005</v>
      </c>
      <c r="E142" s="23">
        <f t="shared" si="13"/>
        <v>8321.1880750000018</v>
      </c>
      <c r="F142" s="23">
        <f t="shared" si="13"/>
        <v>242.88742500000004</v>
      </c>
      <c r="G142" s="23">
        <f t="shared" si="13"/>
        <v>245.00475000000003</v>
      </c>
      <c r="H142" s="23">
        <f t="shared" si="13"/>
        <v>53.235600000000005</v>
      </c>
      <c r="I142" s="23">
        <f t="shared" si="13"/>
        <v>53.235600000000005</v>
      </c>
      <c r="J142" s="30">
        <f t="shared" ref="J142:R142" si="14">J130*(1+$AC$14)</f>
        <v>885166.74207499984</v>
      </c>
      <c r="K142" s="30">
        <f t="shared" si="14"/>
        <v>701373.66267500003</v>
      </c>
      <c r="L142" s="30">
        <f t="shared" si="14"/>
        <v>93337.654899999994</v>
      </c>
      <c r="M142" s="30">
        <f t="shared" si="14"/>
        <v>34181.451150000001</v>
      </c>
      <c r="N142" s="30">
        <f t="shared" si="14"/>
        <v>885300.33199999994</v>
      </c>
      <c r="O142" s="30">
        <f t="shared" si="14"/>
        <v>92390.105499999991</v>
      </c>
      <c r="P142" s="30">
        <f t="shared" si="14"/>
        <v>16532.636749999998</v>
      </c>
      <c r="Q142" s="30">
        <f t="shared" si="14"/>
        <v>702593.13774999999</v>
      </c>
      <c r="R142" s="30">
        <f t="shared" si="14"/>
        <v>34149.744999999995</v>
      </c>
      <c r="S142" s="30">
        <f t="shared" si="3"/>
        <v>892.10549999999057</v>
      </c>
    </row>
    <row r="143" spans="1:19">
      <c r="A143" s="28">
        <v>45870</v>
      </c>
      <c r="B143" s="29">
        <f t="shared" si="5"/>
        <v>2025</v>
      </c>
      <c r="C143" s="28" t="str">
        <f t="shared" si="6"/>
        <v>Q3</v>
      </c>
      <c r="D143" s="23">
        <f t="shared" si="13"/>
        <v>8231.4538250000005</v>
      </c>
      <c r="E143" s="23">
        <f t="shared" si="13"/>
        <v>8313.1220750000011</v>
      </c>
      <c r="F143" s="23">
        <f t="shared" si="13"/>
        <v>240.26597500000003</v>
      </c>
      <c r="G143" s="23">
        <f t="shared" si="13"/>
        <v>241.07257500000003</v>
      </c>
      <c r="H143" s="23">
        <f t="shared" si="13"/>
        <v>54.143025000000009</v>
      </c>
      <c r="I143" s="23">
        <f t="shared" si="13"/>
        <v>54.143025000000009</v>
      </c>
      <c r="J143" s="30">
        <f t="shared" ref="J143:R143" si="15">J131*(1+$AC$14)</f>
        <v>885166.74207499984</v>
      </c>
      <c r="K143" s="30">
        <f t="shared" si="15"/>
        <v>701373.66267500003</v>
      </c>
      <c r="L143" s="30">
        <f t="shared" si="15"/>
        <v>93337.654899999994</v>
      </c>
      <c r="M143" s="30">
        <f t="shared" si="15"/>
        <v>34181.451150000001</v>
      </c>
      <c r="N143" s="30">
        <f t="shared" si="15"/>
        <v>885300.33199999994</v>
      </c>
      <c r="O143" s="30">
        <f t="shared" si="15"/>
        <v>92390.105499999991</v>
      </c>
      <c r="P143" s="30">
        <f t="shared" si="15"/>
        <v>16532.636749999998</v>
      </c>
      <c r="Q143" s="30">
        <f t="shared" si="15"/>
        <v>702593.13774999999</v>
      </c>
      <c r="R143" s="30">
        <f t="shared" si="15"/>
        <v>34149.744999999995</v>
      </c>
      <c r="S143" s="30">
        <f t="shared" si="3"/>
        <v>892.10549999999057</v>
      </c>
    </row>
    <row r="144" spans="1:19">
      <c r="A144" s="28">
        <v>45901</v>
      </c>
      <c r="B144" s="29">
        <f t="shared" si="5"/>
        <v>2025</v>
      </c>
      <c r="C144" s="28" t="str">
        <f t="shared" si="6"/>
        <v>Q3</v>
      </c>
      <c r="D144" s="23">
        <f t="shared" si="13"/>
        <v>8244.9643750000014</v>
      </c>
      <c r="E144" s="23">
        <f t="shared" si="13"/>
        <v>8284.9919000000009</v>
      </c>
      <c r="F144" s="23">
        <f t="shared" si="13"/>
        <v>242.48412500000003</v>
      </c>
      <c r="G144" s="23">
        <f t="shared" si="13"/>
        <v>241.57670000000002</v>
      </c>
      <c r="H144" s="23">
        <f t="shared" si="13"/>
        <v>52.126525000000008</v>
      </c>
      <c r="I144" s="23">
        <f t="shared" si="13"/>
        <v>52.126525000000008</v>
      </c>
      <c r="J144" s="30">
        <f t="shared" ref="J144:R144" si="16">J132*(1+$AC$14)</f>
        <v>885166.74207499984</v>
      </c>
      <c r="K144" s="30">
        <f t="shared" si="16"/>
        <v>701373.66267500003</v>
      </c>
      <c r="L144" s="30">
        <f t="shared" si="16"/>
        <v>93337.654899999994</v>
      </c>
      <c r="M144" s="30">
        <f t="shared" si="16"/>
        <v>34181.451150000001</v>
      </c>
      <c r="N144" s="30">
        <f t="shared" si="16"/>
        <v>885300.33199999994</v>
      </c>
      <c r="O144" s="30">
        <f t="shared" si="16"/>
        <v>92390.105499999991</v>
      </c>
      <c r="P144" s="30">
        <f t="shared" si="16"/>
        <v>16532.636749999998</v>
      </c>
      <c r="Q144" s="30">
        <f t="shared" si="16"/>
        <v>702593.13774999999</v>
      </c>
      <c r="R144" s="30">
        <f t="shared" si="16"/>
        <v>34149.744999999995</v>
      </c>
      <c r="S144" s="30">
        <f t="shared" si="3"/>
        <v>892.10549999999057</v>
      </c>
    </row>
    <row r="145" spans="1:19">
      <c r="A145" s="28">
        <v>45931</v>
      </c>
      <c r="B145" s="29">
        <f t="shared" si="5"/>
        <v>2025</v>
      </c>
      <c r="C145" s="28" t="str">
        <f t="shared" si="6"/>
        <v>Q4</v>
      </c>
      <c r="D145" s="23">
        <f t="shared" si="13"/>
        <v>8247.2833500000015</v>
      </c>
      <c r="E145" s="23">
        <f t="shared" si="13"/>
        <v>8265.2302000000018</v>
      </c>
      <c r="F145" s="23">
        <f t="shared" si="13"/>
        <v>244.09732500000001</v>
      </c>
      <c r="G145" s="23">
        <f t="shared" si="13"/>
        <v>241.677525</v>
      </c>
      <c r="H145" s="23">
        <f t="shared" si="13"/>
        <v>46.782800000000002</v>
      </c>
      <c r="I145" s="23">
        <f t="shared" si="13"/>
        <v>46.782800000000002</v>
      </c>
      <c r="J145" s="30">
        <f t="shared" ref="J145:R145" si="17">J133*(1+$AC$14)</f>
        <v>885166.74207499984</v>
      </c>
      <c r="K145" s="30">
        <f t="shared" si="17"/>
        <v>701373.66267500003</v>
      </c>
      <c r="L145" s="30">
        <f t="shared" si="17"/>
        <v>93337.654899999994</v>
      </c>
      <c r="M145" s="30">
        <f t="shared" si="17"/>
        <v>34181.451150000001</v>
      </c>
      <c r="N145" s="30">
        <f t="shared" si="17"/>
        <v>888804.16449999996</v>
      </c>
      <c r="O145" s="30">
        <f t="shared" si="17"/>
        <v>91957.932499999995</v>
      </c>
      <c r="P145" s="30">
        <f t="shared" si="17"/>
        <v>16564.94875</v>
      </c>
      <c r="Q145" s="30">
        <f t="shared" si="17"/>
        <v>705405.29149999993</v>
      </c>
      <c r="R145" s="30">
        <f t="shared" si="17"/>
        <v>34095.218499999995</v>
      </c>
      <c r="S145" s="30">
        <f t="shared" ref="S145:S208" si="18">O145-O133</f>
        <v>887.93249999999534</v>
      </c>
    </row>
    <row r="146" spans="1:19">
      <c r="A146" s="28">
        <v>45962</v>
      </c>
      <c r="B146" s="29">
        <f t="shared" si="5"/>
        <v>2025</v>
      </c>
      <c r="C146" s="28" t="str">
        <f t="shared" si="6"/>
        <v>Q4</v>
      </c>
      <c r="D146" s="23">
        <f t="shared" si="13"/>
        <v>8249.5015000000003</v>
      </c>
      <c r="E146" s="23">
        <f t="shared" si="13"/>
        <v>8252.6270750000003</v>
      </c>
      <c r="F146" s="23">
        <f t="shared" si="13"/>
        <v>243.59320000000002</v>
      </c>
      <c r="G146" s="23">
        <f t="shared" si="13"/>
        <v>241.677525</v>
      </c>
      <c r="H146" s="23">
        <f t="shared" si="13"/>
        <v>42.044025000000005</v>
      </c>
      <c r="I146" s="23">
        <f t="shared" si="13"/>
        <v>42.044025000000005</v>
      </c>
      <c r="J146" s="30">
        <f t="shared" ref="J146:R146" si="19">J134*(1+$AC$14)</f>
        <v>885166.74207499984</v>
      </c>
      <c r="K146" s="30">
        <f t="shared" si="19"/>
        <v>701373.66267500003</v>
      </c>
      <c r="L146" s="30">
        <f t="shared" si="19"/>
        <v>93337.654899999994</v>
      </c>
      <c r="M146" s="30">
        <f t="shared" si="19"/>
        <v>34181.451150000001</v>
      </c>
      <c r="N146" s="30">
        <f t="shared" si="19"/>
        <v>888804.16449999996</v>
      </c>
      <c r="O146" s="30">
        <f t="shared" si="19"/>
        <v>91957.932499999995</v>
      </c>
      <c r="P146" s="30">
        <f t="shared" si="19"/>
        <v>16564.94875</v>
      </c>
      <c r="Q146" s="30">
        <f t="shared" si="19"/>
        <v>705405.29149999993</v>
      </c>
      <c r="R146" s="30">
        <f t="shared" si="19"/>
        <v>34095.218499999995</v>
      </c>
      <c r="S146" s="30">
        <f t="shared" si="18"/>
        <v>887.93249999999534</v>
      </c>
    </row>
    <row r="147" spans="1:19">
      <c r="A147" s="28">
        <v>45992</v>
      </c>
      <c r="B147" s="29">
        <f t="shared" si="5"/>
        <v>2025</v>
      </c>
      <c r="C147" s="28" t="str">
        <f t="shared" si="6"/>
        <v>Q4</v>
      </c>
      <c r="D147" s="23">
        <f t="shared" si="13"/>
        <v>8250.8122250000015</v>
      </c>
      <c r="E147" s="23">
        <f t="shared" si="13"/>
        <v>8244.056950000002</v>
      </c>
      <c r="F147" s="23">
        <f t="shared" si="13"/>
        <v>241.47587500000003</v>
      </c>
      <c r="G147" s="23">
        <f t="shared" si="13"/>
        <v>241.677525</v>
      </c>
      <c r="H147" s="23">
        <f t="shared" si="13"/>
        <v>35.389575000000008</v>
      </c>
      <c r="I147" s="23">
        <f t="shared" si="13"/>
        <v>35.389575000000008</v>
      </c>
      <c r="J147" s="30">
        <f t="shared" ref="J147:R147" si="20">J135*(1+$AC$14)</f>
        <v>885166.74207499984</v>
      </c>
      <c r="K147" s="30">
        <f t="shared" si="20"/>
        <v>701373.66267500003</v>
      </c>
      <c r="L147" s="30">
        <f t="shared" si="20"/>
        <v>93337.654899999994</v>
      </c>
      <c r="M147" s="30">
        <f t="shared" si="20"/>
        <v>34181.451150000001</v>
      </c>
      <c r="N147" s="30">
        <f t="shared" si="20"/>
        <v>888804.16449999996</v>
      </c>
      <c r="O147" s="30">
        <f t="shared" si="20"/>
        <v>91957.932499999995</v>
      </c>
      <c r="P147" s="30">
        <f t="shared" si="20"/>
        <v>16564.94875</v>
      </c>
      <c r="Q147" s="30">
        <f t="shared" si="20"/>
        <v>705405.29149999993</v>
      </c>
      <c r="R147" s="30">
        <f t="shared" si="20"/>
        <v>34095.218499999995</v>
      </c>
      <c r="S147" s="30">
        <f t="shared" si="18"/>
        <v>887.93249999999534</v>
      </c>
    </row>
    <row r="148" spans="1:19">
      <c r="A148" s="28">
        <v>46023</v>
      </c>
      <c r="B148" s="29">
        <f t="shared" ref="B148:B171" si="21">YEAR(A148)</f>
        <v>2026</v>
      </c>
      <c r="C148" s="28" t="str">
        <f t="shared" si="6"/>
        <v>Q1</v>
      </c>
      <c r="D148" s="23">
        <f t="shared" ref="D148:I159" si="22">D136*(1+$AC$26)</f>
        <v>8236.7155999999995</v>
      </c>
      <c r="E148" s="23">
        <f t="shared" si="22"/>
        <v>8194.0455999999995</v>
      </c>
      <c r="F148" s="23">
        <f t="shared" si="22"/>
        <v>242.46600000000001</v>
      </c>
      <c r="G148" s="23">
        <f t="shared" si="22"/>
        <v>244.37360000000001</v>
      </c>
      <c r="H148" s="23">
        <f t="shared" si="22"/>
        <v>29.8188</v>
      </c>
      <c r="I148" s="23">
        <f t="shared" si="22"/>
        <v>29.8188</v>
      </c>
      <c r="J148" s="30">
        <f>J136*(1+$AC$15)</f>
        <v>894018.40949574986</v>
      </c>
      <c r="K148" s="30">
        <f t="shared" ref="K148:R148" si="23">K136*(1+$AC$15)</f>
        <v>708387.39930175</v>
      </c>
      <c r="L148" s="30">
        <f t="shared" si="23"/>
        <v>94271.031449000002</v>
      </c>
      <c r="M148" s="30">
        <f t="shared" si="23"/>
        <v>34523.265661500001</v>
      </c>
      <c r="N148" s="30">
        <f t="shared" si="23"/>
        <v>893059.17</v>
      </c>
      <c r="O148" s="30">
        <f t="shared" si="23"/>
        <v>92825.06</v>
      </c>
      <c r="P148" s="30">
        <f t="shared" si="23"/>
        <v>17035.670000000002</v>
      </c>
      <c r="Q148" s="30">
        <f t="shared" si="23"/>
        <v>709364.41</v>
      </c>
      <c r="R148" s="30">
        <f t="shared" si="23"/>
        <v>34138</v>
      </c>
      <c r="S148" s="30">
        <f t="shared" si="18"/>
        <v>919.05999999999767</v>
      </c>
    </row>
    <row r="149" spans="1:19">
      <c r="A149" s="28">
        <v>46054</v>
      </c>
      <c r="B149" s="29">
        <f t="shared" si="21"/>
        <v>2026</v>
      </c>
      <c r="C149" s="28" t="str">
        <f t="shared" si="6"/>
        <v>Q1</v>
      </c>
      <c r="D149" s="23">
        <f t="shared" si="22"/>
        <v>8265.9320000000007</v>
      </c>
      <c r="E149" s="23">
        <f t="shared" si="22"/>
        <v>8198.1620000000003</v>
      </c>
      <c r="F149" s="23">
        <f t="shared" si="22"/>
        <v>244.2732</v>
      </c>
      <c r="G149" s="23">
        <f t="shared" si="22"/>
        <v>247.68679999999998</v>
      </c>
      <c r="H149" s="23">
        <f t="shared" si="22"/>
        <v>28.011599999999998</v>
      </c>
      <c r="I149" s="23">
        <f t="shared" si="22"/>
        <v>28.011599999999998</v>
      </c>
      <c r="J149" s="30">
        <f t="shared" ref="J149:R149" si="24">J137*(1+$AC$15)</f>
        <v>894018.40949574986</v>
      </c>
      <c r="K149" s="30">
        <f t="shared" si="24"/>
        <v>708387.39930175</v>
      </c>
      <c r="L149" s="30">
        <f t="shared" si="24"/>
        <v>94271.031449000002</v>
      </c>
      <c r="M149" s="30">
        <f t="shared" si="24"/>
        <v>34523.265661500001</v>
      </c>
      <c r="N149" s="30">
        <f t="shared" si="24"/>
        <v>893059.17</v>
      </c>
      <c r="O149" s="30">
        <f t="shared" si="24"/>
        <v>92825.06</v>
      </c>
      <c r="P149" s="30">
        <f t="shared" si="24"/>
        <v>17035.670000000002</v>
      </c>
      <c r="Q149" s="30">
        <f t="shared" si="24"/>
        <v>709364.41</v>
      </c>
      <c r="R149" s="30">
        <f t="shared" si="24"/>
        <v>34138</v>
      </c>
      <c r="S149" s="30">
        <f t="shared" si="18"/>
        <v>919.05999999999767</v>
      </c>
    </row>
    <row r="150" spans="1:19">
      <c r="A150" s="28">
        <v>46082</v>
      </c>
      <c r="B150" s="29">
        <f t="shared" si="21"/>
        <v>2026</v>
      </c>
      <c r="C150" s="28" t="str">
        <f t="shared" si="6"/>
        <v>Q1</v>
      </c>
      <c r="D150" s="23">
        <f t="shared" si="22"/>
        <v>8275.4699999999993</v>
      </c>
      <c r="E150" s="23">
        <f t="shared" si="22"/>
        <v>8188.1220000000003</v>
      </c>
      <c r="F150" s="23">
        <f t="shared" si="22"/>
        <v>246.78320000000002</v>
      </c>
      <c r="G150" s="23">
        <f t="shared" si="22"/>
        <v>248.28920000000002</v>
      </c>
      <c r="H150" s="23">
        <f t="shared" si="22"/>
        <v>31.826799999999999</v>
      </c>
      <c r="I150" s="23">
        <f t="shared" si="22"/>
        <v>31.826799999999999</v>
      </c>
      <c r="J150" s="30">
        <f t="shared" ref="J150:R150" si="25">J138*(1+$AC$15)</f>
        <v>894018.40949574986</v>
      </c>
      <c r="K150" s="30">
        <f t="shared" si="25"/>
        <v>708387.39930175</v>
      </c>
      <c r="L150" s="30">
        <f t="shared" si="25"/>
        <v>94271.031449000002</v>
      </c>
      <c r="M150" s="30">
        <f t="shared" si="25"/>
        <v>34523.265661500001</v>
      </c>
      <c r="N150" s="30">
        <f t="shared" si="25"/>
        <v>893059.17</v>
      </c>
      <c r="O150" s="30">
        <f t="shared" si="25"/>
        <v>92825.06</v>
      </c>
      <c r="P150" s="30">
        <f t="shared" si="25"/>
        <v>17035.670000000002</v>
      </c>
      <c r="Q150" s="30">
        <f t="shared" si="25"/>
        <v>709364.41</v>
      </c>
      <c r="R150" s="30">
        <f t="shared" si="25"/>
        <v>34138</v>
      </c>
      <c r="S150" s="30">
        <f t="shared" si="18"/>
        <v>919.05999999999767</v>
      </c>
    </row>
    <row r="151" spans="1:19">
      <c r="A151" s="28">
        <v>46113</v>
      </c>
      <c r="B151" s="29">
        <f t="shared" si="21"/>
        <v>2026</v>
      </c>
      <c r="C151" s="28" t="str">
        <f t="shared" si="6"/>
        <v>Q2</v>
      </c>
      <c r="D151" s="23">
        <f t="shared" si="22"/>
        <v>8260.3096000000005</v>
      </c>
      <c r="E151" s="23">
        <f t="shared" si="22"/>
        <v>8197.9611999999997</v>
      </c>
      <c r="F151" s="23">
        <f t="shared" si="22"/>
        <v>242.86760000000001</v>
      </c>
      <c r="G151" s="23">
        <f t="shared" si="22"/>
        <v>243.67079999999999</v>
      </c>
      <c r="H151" s="23">
        <f t="shared" si="22"/>
        <v>41.364800000000002</v>
      </c>
      <c r="I151" s="23">
        <f t="shared" si="22"/>
        <v>41.364800000000002</v>
      </c>
      <c r="J151" s="30">
        <f t="shared" ref="J151:R151" si="26">J139*(1+$AC$15)</f>
        <v>894018.40949574986</v>
      </c>
      <c r="K151" s="30">
        <f t="shared" si="26"/>
        <v>708387.39930175</v>
      </c>
      <c r="L151" s="30">
        <f t="shared" si="26"/>
        <v>94271.031449000002</v>
      </c>
      <c r="M151" s="30">
        <f t="shared" si="26"/>
        <v>34523.265661500001</v>
      </c>
      <c r="N151" s="30">
        <f t="shared" si="26"/>
        <v>893223.23439999996</v>
      </c>
      <c r="O151" s="30">
        <f t="shared" si="26"/>
        <v>95020.211422499997</v>
      </c>
      <c r="P151" s="30">
        <f t="shared" si="26"/>
        <v>17092.644100000001</v>
      </c>
      <c r="Q151" s="30">
        <f t="shared" si="26"/>
        <v>707235.68551999994</v>
      </c>
      <c r="R151" s="30">
        <f t="shared" si="26"/>
        <v>34712.5493575</v>
      </c>
      <c r="S151" s="30">
        <f t="shared" si="18"/>
        <v>940.79417249999824</v>
      </c>
    </row>
    <row r="152" spans="1:19">
      <c r="A152" s="28">
        <v>46143</v>
      </c>
      <c r="B152" s="29">
        <f t="shared" si="21"/>
        <v>2026</v>
      </c>
      <c r="C152" s="28" t="str">
        <f t="shared" si="6"/>
        <v>Q2</v>
      </c>
      <c r="D152" s="23">
        <f t="shared" si="22"/>
        <v>8240.7315999999992</v>
      </c>
      <c r="E152" s="23">
        <f t="shared" si="22"/>
        <v>8230.8924000000006</v>
      </c>
      <c r="F152" s="23">
        <f t="shared" si="22"/>
        <v>241.964</v>
      </c>
      <c r="G152" s="23">
        <f t="shared" si="22"/>
        <v>241.66279999999998</v>
      </c>
      <c r="H152" s="23">
        <f t="shared" si="22"/>
        <v>48.694000000000003</v>
      </c>
      <c r="I152" s="23">
        <f t="shared" si="22"/>
        <v>48.694000000000003</v>
      </c>
      <c r="J152" s="30">
        <f t="shared" ref="J152:R152" si="27">J140*(1+$AC$15)</f>
        <v>894018.40949574986</v>
      </c>
      <c r="K152" s="30">
        <f t="shared" si="27"/>
        <v>708387.39930175</v>
      </c>
      <c r="L152" s="30">
        <f t="shared" si="27"/>
        <v>94271.031449000002</v>
      </c>
      <c r="M152" s="30">
        <f t="shared" si="27"/>
        <v>34523.265661500001</v>
      </c>
      <c r="N152" s="30">
        <f t="shared" si="27"/>
        <v>893223.23439999996</v>
      </c>
      <c r="O152" s="30">
        <f t="shared" si="27"/>
        <v>95020.211422499997</v>
      </c>
      <c r="P152" s="30">
        <f t="shared" si="27"/>
        <v>17092.644100000001</v>
      </c>
      <c r="Q152" s="30">
        <f t="shared" si="27"/>
        <v>707235.68551999994</v>
      </c>
      <c r="R152" s="30">
        <f t="shared" si="27"/>
        <v>34712.5493575</v>
      </c>
      <c r="S152" s="30">
        <f t="shared" si="18"/>
        <v>940.79417249999824</v>
      </c>
    </row>
    <row r="153" spans="1:19">
      <c r="A153" s="28">
        <v>46174</v>
      </c>
      <c r="B153" s="29">
        <f t="shared" si="21"/>
        <v>2026</v>
      </c>
      <c r="C153" s="28" t="str">
        <f t="shared" si="6"/>
        <v>Q2</v>
      </c>
      <c r="D153" s="23">
        <f t="shared" si="22"/>
        <v>8237.4184000000005</v>
      </c>
      <c r="E153" s="23">
        <f t="shared" si="22"/>
        <v>8303.08</v>
      </c>
      <c r="F153" s="23">
        <f t="shared" si="22"/>
        <v>240.55840000000001</v>
      </c>
      <c r="G153" s="23">
        <f t="shared" si="22"/>
        <v>240.96</v>
      </c>
      <c r="H153" s="23">
        <f t="shared" si="22"/>
        <v>55.4208</v>
      </c>
      <c r="I153" s="23">
        <f t="shared" si="22"/>
        <v>55.4208</v>
      </c>
      <c r="J153" s="30">
        <f t="shared" ref="J153:R153" si="28">J141*(1+$AC$15)</f>
        <v>894018.40949574986</v>
      </c>
      <c r="K153" s="30">
        <f t="shared" si="28"/>
        <v>708387.39930175</v>
      </c>
      <c r="L153" s="30">
        <f t="shared" si="28"/>
        <v>94271.031449000002</v>
      </c>
      <c r="M153" s="30">
        <f t="shared" si="28"/>
        <v>34523.265661500001</v>
      </c>
      <c r="N153" s="30">
        <f t="shared" si="28"/>
        <v>893223.23439999996</v>
      </c>
      <c r="O153" s="30">
        <f t="shared" si="28"/>
        <v>95020.211422499997</v>
      </c>
      <c r="P153" s="30">
        <f t="shared" si="28"/>
        <v>17092.644100000001</v>
      </c>
      <c r="Q153" s="30">
        <f t="shared" si="28"/>
        <v>707235.68551999994</v>
      </c>
      <c r="R153" s="30">
        <f t="shared" si="28"/>
        <v>34712.5493575</v>
      </c>
      <c r="S153" s="30">
        <f t="shared" si="18"/>
        <v>940.79417249999824</v>
      </c>
    </row>
    <row r="154" spans="1:19">
      <c r="A154" s="28">
        <v>46204</v>
      </c>
      <c r="B154" s="29">
        <f t="shared" si="21"/>
        <v>2026</v>
      </c>
      <c r="C154" s="28" t="str">
        <f t="shared" si="6"/>
        <v>Q3</v>
      </c>
      <c r="D154" s="23">
        <f t="shared" si="22"/>
        <v>8258.1034857000013</v>
      </c>
      <c r="E154" s="23">
        <f t="shared" si="22"/>
        <v>8354.4728273000019</v>
      </c>
      <c r="F154" s="23">
        <f t="shared" si="22"/>
        <v>243.85897470000003</v>
      </c>
      <c r="G154" s="23">
        <f t="shared" si="22"/>
        <v>245.98476900000003</v>
      </c>
      <c r="H154" s="23">
        <f t="shared" si="22"/>
        <v>53.448542400000008</v>
      </c>
      <c r="I154" s="23">
        <f t="shared" si="22"/>
        <v>53.448542400000008</v>
      </c>
      <c r="J154" s="30">
        <f t="shared" ref="J154:R154" si="29">J142*(1+$AC$15)</f>
        <v>894018.40949574986</v>
      </c>
      <c r="K154" s="30">
        <f t="shared" si="29"/>
        <v>708387.39930175</v>
      </c>
      <c r="L154" s="30">
        <f t="shared" si="29"/>
        <v>94271.031449000002</v>
      </c>
      <c r="M154" s="30">
        <f t="shared" si="29"/>
        <v>34523.265661500001</v>
      </c>
      <c r="N154" s="30">
        <f t="shared" si="29"/>
        <v>894153.33531999995</v>
      </c>
      <c r="O154" s="30">
        <f t="shared" si="29"/>
        <v>93314.006554999985</v>
      </c>
      <c r="P154" s="30">
        <f t="shared" si="29"/>
        <v>16697.963117499999</v>
      </c>
      <c r="Q154" s="30">
        <f t="shared" si="29"/>
        <v>709619.06912750006</v>
      </c>
      <c r="R154" s="30">
        <f t="shared" si="29"/>
        <v>34491.242449999998</v>
      </c>
      <c r="S154" s="30">
        <f t="shared" si="18"/>
        <v>923.90105499999481</v>
      </c>
    </row>
    <row r="155" spans="1:19">
      <c r="A155" s="28">
        <v>46235</v>
      </c>
      <c r="B155" s="29">
        <f t="shared" si="21"/>
        <v>2026</v>
      </c>
      <c r="C155" s="28" t="str">
        <f t="shared" si="6"/>
        <v>Q3</v>
      </c>
      <c r="D155" s="23">
        <f t="shared" si="22"/>
        <v>8264.3796402999997</v>
      </c>
      <c r="E155" s="23">
        <f t="shared" si="22"/>
        <v>8346.3745633000017</v>
      </c>
      <c r="F155" s="23">
        <f t="shared" si="22"/>
        <v>241.22703890000003</v>
      </c>
      <c r="G155" s="23">
        <f t="shared" si="22"/>
        <v>242.03686530000002</v>
      </c>
      <c r="H155" s="23">
        <f t="shared" si="22"/>
        <v>54.359597100000009</v>
      </c>
      <c r="I155" s="23">
        <f t="shared" si="22"/>
        <v>54.359597100000009</v>
      </c>
      <c r="J155" s="30">
        <f t="shared" ref="J155:R155" si="30">J143*(1+$AC$15)</f>
        <v>894018.40949574986</v>
      </c>
      <c r="K155" s="30">
        <f t="shared" si="30"/>
        <v>708387.39930175</v>
      </c>
      <c r="L155" s="30">
        <f t="shared" si="30"/>
        <v>94271.031449000002</v>
      </c>
      <c r="M155" s="30">
        <f t="shared" si="30"/>
        <v>34523.265661500001</v>
      </c>
      <c r="N155" s="30">
        <f t="shared" si="30"/>
        <v>894153.33531999995</v>
      </c>
      <c r="O155" s="30">
        <f t="shared" si="30"/>
        <v>93314.006554999985</v>
      </c>
      <c r="P155" s="30">
        <f t="shared" si="30"/>
        <v>16697.963117499999</v>
      </c>
      <c r="Q155" s="30">
        <f t="shared" si="30"/>
        <v>709619.06912750006</v>
      </c>
      <c r="R155" s="30">
        <f t="shared" si="30"/>
        <v>34491.242449999998</v>
      </c>
      <c r="S155" s="30">
        <f t="shared" si="18"/>
        <v>923.90105499999481</v>
      </c>
    </row>
    <row r="156" spans="1:19">
      <c r="A156" s="28">
        <v>46266</v>
      </c>
      <c r="B156" s="29">
        <f t="shared" si="21"/>
        <v>2026</v>
      </c>
      <c r="C156" s="28" t="str">
        <f t="shared" si="6"/>
        <v>Q3</v>
      </c>
      <c r="D156" s="23">
        <f t="shared" si="22"/>
        <v>8277.9442325000018</v>
      </c>
      <c r="E156" s="23">
        <f t="shared" si="22"/>
        <v>8318.131867600001</v>
      </c>
      <c r="F156" s="23">
        <f t="shared" si="22"/>
        <v>243.45406150000002</v>
      </c>
      <c r="G156" s="23">
        <f t="shared" si="22"/>
        <v>242.54300680000003</v>
      </c>
      <c r="H156" s="23">
        <f t="shared" si="22"/>
        <v>52.335031100000009</v>
      </c>
      <c r="I156" s="23">
        <f t="shared" si="22"/>
        <v>52.335031100000009</v>
      </c>
      <c r="J156" s="30">
        <f t="shared" ref="J156:R156" si="31">J144*(1+$AC$15)</f>
        <v>894018.40949574986</v>
      </c>
      <c r="K156" s="30">
        <f t="shared" si="31"/>
        <v>708387.39930175</v>
      </c>
      <c r="L156" s="30">
        <f t="shared" si="31"/>
        <v>94271.031449000002</v>
      </c>
      <c r="M156" s="30">
        <f t="shared" si="31"/>
        <v>34523.265661500001</v>
      </c>
      <c r="N156" s="30">
        <f t="shared" si="31"/>
        <v>894153.33531999995</v>
      </c>
      <c r="O156" s="30">
        <f t="shared" si="31"/>
        <v>93314.006554999985</v>
      </c>
      <c r="P156" s="30">
        <f t="shared" si="31"/>
        <v>16697.963117499999</v>
      </c>
      <c r="Q156" s="30">
        <f t="shared" si="31"/>
        <v>709619.06912750006</v>
      </c>
      <c r="R156" s="30">
        <f t="shared" si="31"/>
        <v>34491.242449999998</v>
      </c>
      <c r="S156" s="30">
        <f t="shared" si="18"/>
        <v>923.90105499999481</v>
      </c>
    </row>
    <row r="157" spans="1:19">
      <c r="A157" s="28">
        <v>46296</v>
      </c>
      <c r="B157" s="29">
        <f t="shared" si="21"/>
        <v>2026</v>
      </c>
      <c r="C157" s="28" t="str">
        <f t="shared" si="6"/>
        <v>Q4</v>
      </c>
      <c r="D157" s="23">
        <f t="shared" si="22"/>
        <v>8280.2724834000019</v>
      </c>
      <c r="E157" s="23">
        <f t="shared" si="22"/>
        <v>8298.2911208000023</v>
      </c>
      <c r="F157" s="23">
        <f t="shared" si="22"/>
        <v>245.07371430000001</v>
      </c>
      <c r="G157" s="23">
        <f t="shared" si="22"/>
        <v>242.6442351</v>
      </c>
      <c r="H157" s="23">
        <f t="shared" si="22"/>
        <v>46.969931200000005</v>
      </c>
      <c r="I157" s="23">
        <f t="shared" si="22"/>
        <v>46.969931200000005</v>
      </c>
      <c r="J157" s="30">
        <f t="shared" ref="J157:R157" si="32">J145*(1+$AC$15)</f>
        <v>894018.40949574986</v>
      </c>
      <c r="K157" s="30">
        <f t="shared" si="32"/>
        <v>708387.39930175</v>
      </c>
      <c r="L157" s="30">
        <f t="shared" si="32"/>
        <v>94271.031449000002</v>
      </c>
      <c r="M157" s="30">
        <f t="shared" si="32"/>
        <v>34523.265661500001</v>
      </c>
      <c r="N157" s="30">
        <f t="shared" si="32"/>
        <v>897692.20614499995</v>
      </c>
      <c r="O157" s="30">
        <f t="shared" si="32"/>
        <v>92877.511824999994</v>
      </c>
      <c r="P157" s="30">
        <f t="shared" si="32"/>
        <v>16730.598237499999</v>
      </c>
      <c r="Q157" s="30">
        <f t="shared" si="32"/>
        <v>712459.34441499994</v>
      </c>
      <c r="R157" s="30">
        <f t="shared" si="32"/>
        <v>34436.170684999997</v>
      </c>
      <c r="S157" s="30">
        <f t="shared" si="18"/>
        <v>919.57932499999879</v>
      </c>
    </row>
    <row r="158" spans="1:19">
      <c r="A158" s="28">
        <v>46327</v>
      </c>
      <c r="B158" s="29">
        <f t="shared" si="21"/>
        <v>2026</v>
      </c>
      <c r="C158" s="28" t="str">
        <f t="shared" si="6"/>
        <v>Q4</v>
      </c>
      <c r="D158" s="23">
        <f t="shared" si="22"/>
        <v>8282.4995060000001</v>
      </c>
      <c r="E158" s="23">
        <f t="shared" si="22"/>
        <v>8285.6375833000002</v>
      </c>
      <c r="F158" s="23">
        <f t="shared" si="22"/>
        <v>244.56757280000002</v>
      </c>
      <c r="G158" s="23">
        <f t="shared" si="22"/>
        <v>242.6442351</v>
      </c>
      <c r="H158" s="23">
        <f t="shared" si="22"/>
        <v>42.212201100000009</v>
      </c>
      <c r="I158" s="23">
        <f t="shared" si="22"/>
        <v>42.212201100000009</v>
      </c>
      <c r="J158" s="30">
        <f t="shared" ref="J158:R158" si="33">J146*(1+$AC$15)</f>
        <v>894018.40949574986</v>
      </c>
      <c r="K158" s="30">
        <f t="shared" si="33"/>
        <v>708387.39930175</v>
      </c>
      <c r="L158" s="30">
        <f t="shared" si="33"/>
        <v>94271.031449000002</v>
      </c>
      <c r="M158" s="30">
        <f t="shared" si="33"/>
        <v>34523.265661500001</v>
      </c>
      <c r="N158" s="30">
        <f t="shared" si="33"/>
        <v>897692.20614499995</v>
      </c>
      <c r="O158" s="30">
        <f t="shared" si="33"/>
        <v>92877.511824999994</v>
      </c>
      <c r="P158" s="30">
        <f t="shared" si="33"/>
        <v>16730.598237499999</v>
      </c>
      <c r="Q158" s="30">
        <f t="shared" si="33"/>
        <v>712459.34441499994</v>
      </c>
      <c r="R158" s="30">
        <f t="shared" si="33"/>
        <v>34436.170684999997</v>
      </c>
      <c r="S158" s="30">
        <f t="shared" si="18"/>
        <v>919.57932499999879</v>
      </c>
    </row>
    <row r="159" spans="1:19">
      <c r="A159" s="28">
        <v>46357</v>
      </c>
      <c r="B159" s="29">
        <f t="shared" si="21"/>
        <v>2026</v>
      </c>
      <c r="C159" s="28" t="str">
        <f t="shared" si="6"/>
        <v>Q4</v>
      </c>
      <c r="D159" s="23">
        <f t="shared" si="22"/>
        <v>8283.815473900002</v>
      </c>
      <c r="E159" s="23">
        <f t="shared" si="22"/>
        <v>8277.0331778000018</v>
      </c>
      <c r="F159" s="23">
        <f t="shared" si="22"/>
        <v>242.44177850000003</v>
      </c>
      <c r="G159" s="23">
        <f t="shared" si="22"/>
        <v>242.6442351</v>
      </c>
      <c r="H159" s="23">
        <f t="shared" si="22"/>
        <v>35.531133300000008</v>
      </c>
      <c r="I159" s="23">
        <f t="shared" si="22"/>
        <v>35.531133300000008</v>
      </c>
      <c r="J159" s="30">
        <f t="shared" ref="J159:R159" si="34">J147*(1+$AC$15)</f>
        <v>894018.40949574986</v>
      </c>
      <c r="K159" s="30">
        <f t="shared" si="34"/>
        <v>708387.39930175</v>
      </c>
      <c r="L159" s="30">
        <f t="shared" si="34"/>
        <v>94271.031449000002</v>
      </c>
      <c r="M159" s="30">
        <f t="shared" si="34"/>
        <v>34523.265661500001</v>
      </c>
      <c r="N159" s="30">
        <f t="shared" si="34"/>
        <v>897692.20614499995</v>
      </c>
      <c r="O159" s="30">
        <f t="shared" si="34"/>
        <v>92877.511824999994</v>
      </c>
      <c r="P159" s="30">
        <f t="shared" si="34"/>
        <v>16730.598237499999</v>
      </c>
      <c r="Q159" s="30">
        <f t="shared" si="34"/>
        <v>712459.34441499994</v>
      </c>
      <c r="R159" s="30">
        <f t="shared" si="34"/>
        <v>34436.170684999997</v>
      </c>
      <c r="S159" s="30">
        <f t="shared" si="18"/>
        <v>919.57932499999879</v>
      </c>
    </row>
    <row r="160" spans="1:19">
      <c r="A160" s="28">
        <v>46388</v>
      </c>
      <c r="B160" s="29">
        <f t="shared" si="21"/>
        <v>2027</v>
      </c>
      <c r="C160" s="28" t="str">
        <f t="shared" si="6"/>
        <v>Q1</v>
      </c>
      <c r="D160" s="23">
        <f t="shared" ref="D160:D171" si="35">D148*(1+$AC$27)</f>
        <v>8310.8460403999979</v>
      </c>
      <c r="E160" s="23">
        <f t="shared" ref="E160:I160" si="36">E148*(1+$AC$27)</f>
        <v>8267.7920103999986</v>
      </c>
      <c r="F160" s="23">
        <f t="shared" si="36"/>
        <v>244.64819399999999</v>
      </c>
      <c r="G160" s="23">
        <f t="shared" si="36"/>
        <v>246.57296239999999</v>
      </c>
      <c r="H160" s="23">
        <f t="shared" si="36"/>
        <v>30.087169199999998</v>
      </c>
      <c r="I160" s="23">
        <f t="shared" si="36"/>
        <v>30.087169199999998</v>
      </c>
      <c r="J160" s="30">
        <f>J148*(1+$AC$16)</f>
        <v>911004.759276169</v>
      </c>
      <c r="K160" s="30">
        <f t="shared" ref="K160:R160" si="37">K148*(1+$AC$16)</f>
        <v>721846.75988848321</v>
      </c>
      <c r="L160" s="30">
        <f t="shared" si="37"/>
        <v>96062.181046530997</v>
      </c>
      <c r="M160" s="30">
        <f t="shared" si="37"/>
        <v>35179.207709068498</v>
      </c>
      <c r="N160" s="30">
        <f t="shared" si="37"/>
        <v>910027.29423</v>
      </c>
      <c r="O160" s="30">
        <f t="shared" si="37"/>
        <v>94588.736139999994</v>
      </c>
      <c r="P160" s="30">
        <f t="shared" si="37"/>
        <v>17359.347730000001</v>
      </c>
      <c r="Q160" s="30">
        <f t="shared" si="37"/>
        <v>722842.33378999995</v>
      </c>
      <c r="R160" s="30">
        <f t="shared" si="37"/>
        <v>34786.621999999996</v>
      </c>
      <c r="S160" s="30">
        <f t="shared" si="18"/>
        <v>1763.6761399999959</v>
      </c>
    </row>
    <row r="161" spans="1:19">
      <c r="A161" s="28">
        <v>46419</v>
      </c>
      <c r="B161" s="29">
        <f t="shared" si="21"/>
        <v>2027</v>
      </c>
      <c r="C161" s="28" t="str">
        <f t="shared" si="6"/>
        <v>Q1</v>
      </c>
      <c r="D161" s="23">
        <f t="shared" si="35"/>
        <v>8340.3253879999993</v>
      </c>
      <c r="E161" s="23">
        <f t="shared" ref="E161:I161" si="38">E149*(1+$AC$27)</f>
        <v>8271.9454580000001</v>
      </c>
      <c r="F161" s="23">
        <f t="shared" si="38"/>
        <v>246.47165879999997</v>
      </c>
      <c r="G161" s="23">
        <f t="shared" si="38"/>
        <v>249.91598119999995</v>
      </c>
      <c r="H161" s="23">
        <f t="shared" si="38"/>
        <v>28.263704399999995</v>
      </c>
      <c r="I161" s="23">
        <f t="shared" si="38"/>
        <v>28.263704399999995</v>
      </c>
      <c r="J161" s="30">
        <f t="shared" ref="J161:R161" si="39">J149*(1+$AC$16)</f>
        <v>911004.759276169</v>
      </c>
      <c r="K161" s="30">
        <f t="shared" si="39"/>
        <v>721846.75988848321</v>
      </c>
      <c r="L161" s="30">
        <f t="shared" si="39"/>
        <v>96062.181046530997</v>
      </c>
      <c r="M161" s="30">
        <f t="shared" si="39"/>
        <v>35179.207709068498</v>
      </c>
      <c r="N161" s="30">
        <f t="shared" si="39"/>
        <v>910027.29423</v>
      </c>
      <c r="O161" s="30">
        <f t="shared" si="39"/>
        <v>94588.736139999994</v>
      </c>
      <c r="P161" s="30">
        <f t="shared" si="39"/>
        <v>17359.347730000001</v>
      </c>
      <c r="Q161" s="30">
        <f t="shared" si="39"/>
        <v>722842.33378999995</v>
      </c>
      <c r="R161" s="30">
        <f t="shared" si="39"/>
        <v>34786.621999999996</v>
      </c>
      <c r="S161" s="30">
        <f t="shared" si="18"/>
        <v>1763.6761399999959</v>
      </c>
    </row>
    <row r="162" spans="1:19">
      <c r="A162" s="28">
        <v>46447</v>
      </c>
      <c r="B162" s="29">
        <f t="shared" si="21"/>
        <v>2027</v>
      </c>
      <c r="C162" s="28" t="str">
        <f t="shared" si="6"/>
        <v>Q1</v>
      </c>
      <c r="D162" s="23">
        <f t="shared" si="35"/>
        <v>8349.9492299999984</v>
      </c>
      <c r="E162" s="23">
        <f t="shared" ref="E162:I162" si="40">E150*(1+$AC$27)</f>
        <v>8261.8150979999991</v>
      </c>
      <c r="F162" s="23">
        <f t="shared" si="40"/>
        <v>249.0042488</v>
      </c>
      <c r="G162" s="23">
        <f t="shared" si="40"/>
        <v>250.5238028</v>
      </c>
      <c r="H162" s="23">
        <f t="shared" si="40"/>
        <v>32.113241199999997</v>
      </c>
      <c r="I162" s="23">
        <f t="shared" si="40"/>
        <v>32.113241199999997</v>
      </c>
      <c r="J162" s="30">
        <f t="shared" ref="J162:R162" si="41">J150*(1+$AC$16)</f>
        <v>911004.759276169</v>
      </c>
      <c r="K162" s="30">
        <f t="shared" si="41"/>
        <v>721846.75988848321</v>
      </c>
      <c r="L162" s="30">
        <f t="shared" si="41"/>
        <v>96062.181046530997</v>
      </c>
      <c r="M162" s="30">
        <f t="shared" si="41"/>
        <v>35179.207709068498</v>
      </c>
      <c r="N162" s="30">
        <f t="shared" si="41"/>
        <v>910027.29423</v>
      </c>
      <c r="O162" s="30">
        <f t="shared" si="41"/>
        <v>94588.736139999994</v>
      </c>
      <c r="P162" s="30">
        <f t="shared" si="41"/>
        <v>17359.347730000001</v>
      </c>
      <c r="Q162" s="30">
        <f t="shared" si="41"/>
        <v>722842.33378999995</v>
      </c>
      <c r="R162" s="30">
        <f t="shared" si="41"/>
        <v>34786.621999999996</v>
      </c>
      <c r="S162" s="30">
        <f t="shared" si="18"/>
        <v>1763.6761399999959</v>
      </c>
    </row>
    <row r="163" spans="1:19">
      <c r="A163" s="28">
        <v>46478</v>
      </c>
      <c r="B163" s="29">
        <f t="shared" si="21"/>
        <v>2027</v>
      </c>
      <c r="C163" s="28" t="str">
        <f t="shared" si="6"/>
        <v>Q2</v>
      </c>
      <c r="D163" s="23">
        <f t="shared" si="35"/>
        <v>8334.6523863999992</v>
      </c>
      <c r="E163" s="23">
        <f t="shared" ref="E163:I163" si="42">E151*(1+$AC$27)</f>
        <v>8271.7428507999994</v>
      </c>
      <c r="F163" s="23">
        <f t="shared" si="42"/>
        <v>245.0534084</v>
      </c>
      <c r="G163" s="23">
        <f t="shared" si="42"/>
        <v>245.86383719999995</v>
      </c>
      <c r="H163" s="23">
        <f t="shared" si="42"/>
        <v>41.737083200000001</v>
      </c>
      <c r="I163" s="23">
        <f t="shared" si="42"/>
        <v>41.737083200000001</v>
      </c>
      <c r="J163" s="30">
        <f t="shared" ref="J163:R163" si="43">J151*(1+$AC$16)</f>
        <v>911004.759276169</v>
      </c>
      <c r="K163" s="30">
        <f t="shared" si="43"/>
        <v>721846.75988848321</v>
      </c>
      <c r="L163" s="30">
        <f t="shared" si="43"/>
        <v>96062.181046530997</v>
      </c>
      <c r="M163" s="30">
        <f t="shared" si="43"/>
        <v>35179.207709068498</v>
      </c>
      <c r="N163" s="30">
        <f t="shared" si="43"/>
        <v>910194.47585359984</v>
      </c>
      <c r="O163" s="30">
        <f t="shared" si="43"/>
        <v>96825.595439527489</v>
      </c>
      <c r="P163" s="30">
        <f t="shared" si="43"/>
        <v>17417.4043379</v>
      </c>
      <c r="Q163" s="30">
        <f t="shared" si="43"/>
        <v>720673.16354487988</v>
      </c>
      <c r="R163" s="30">
        <f t="shared" si="43"/>
        <v>35372.0877952925</v>
      </c>
      <c r="S163" s="30">
        <f t="shared" si="18"/>
        <v>1805.3840170274925</v>
      </c>
    </row>
    <row r="164" spans="1:19">
      <c r="A164" s="28">
        <v>46508</v>
      </c>
      <c r="B164" s="29">
        <f t="shared" si="21"/>
        <v>2027</v>
      </c>
      <c r="C164" s="28" t="str">
        <f t="shared" si="6"/>
        <v>Q2</v>
      </c>
      <c r="D164" s="23">
        <f t="shared" si="35"/>
        <v>8314.8981843999991</v>
      </c>
      <c r="E164" s="23">
        <f t="shared" ref="E164:I164" si="44">E152*(1+$AC$27)</f>
        <v>8304.9704316000007</v>
      </c>
      <c r="F164" s="23">
        <f t="shared" si="44"/>
        <v>244.14167599999996</v>
      </c>
      <c r="G164" s="23">
        <f t="shared" si="44"/>
        <v>243.83776519999995</v>
      </c>
      <c r="H164" s="23">
        <f t="shared" si="44"/>
        <v>49.132245999999995</v>
      </c>
      <c r="I164" s="23">
        <f t="shared" si="44"/>
        <v>49.132245999999995</v>
      </c>
      <c r="J164" s="30">
        <f t="shared" ref="J164:R164" si="45">J152*(1+$AC$16)</f>
        <v>911004.759276169</v>
      </c>
      <c r="K164" s="30">
        <f t="shared" si="45"/>
        <v>721846.75988848321</v>
      </c>
      <c r="L164" s="30">
        <f>L152*(1+$AC$16)</f>
        <v>96062.181046530997</v>
      </c>
      <c r="M164" s="30">
        <f t="shared" si="45"/>
        <v>35179.207709068498</v>
      </c>
      <c r="N164" s="30">
        <f t="shared" si="45"/>
        <v>910194.47585359984</v>
      </c>
      <c r="O164" s="30">
        <f t="shared" si="45"/>
        <v>96825.595439527489</v>
      </c>
      <c r="P164" s="30">
        <f t="shared" si="45"/>
        <v>17417.4043379</v>
      </c>
      <c r="Q164" s="30">
        <f t="shared" si="45"/>
        <v>720673.16354487988</v>
      </c>
      <c r="R164" s="30">
        <f t="shared" si="45"/>
        <v>35372.0877952925</v>
      </c>
      <c r="S164" s="30">
        <f t="shared" si="18"/>
        <v>1805.3840170274925</v>
      </c>
    </row>
    <row r="165" spans="1:19">
      <c r="A165" s="28">
        <v>46539</v>
      </c>
      <c r="B165" s="29">
        <f t="shared" si="21"/>
        <v>2027</v>
      </c>
      <c r="C165" s="28" t="str">
        <f t="shared" si="6"/>
        <v>Q2</v>
      </c>
      <c r="D165" s="23">
        <f t="shared" si="35"/>
        <v>8311.5551655999989</v>
      </c>
      <c r="E165" s="23">
        <f t="shared" ref="E165:I165" si="46">E153*(1+$AC$27)</f>
        <v>8377.8077199999989</v>
      </c>
      <c r="F165" s="23">
        <f t="shared" si="46"/>
        <v>242.72342559999998</v>
      </c>
      <c r="G165" s="23">
        <f t="shared" si="46"/>
        <v>243.12863999999999</v>
      </c>
      <c r="H165" s="23">
        <f t="shared" si="46"/>
        <v>55.919587199999995</v>
      </c>
      <c r="I165" s="23">
        <f t="shared" si="46"/>
        <v>55.919587199999995</v>
      </c>
      <c r="J165" s="30">
        <f t="shared" ref="J165:R165" si="47">J153*(1+$AC$16)</f>
        <v>911004.759276169</v>
      </c>
      <c r="K165" s="30">
        <f t="shared" si="47"/>
        <v>721846.75988848321</v>
      </c>
      <c r="L165" s="30">
        <f t="shared" si="47"/>
        <v>96062.181046530997</v>
      </c>
      <c r="M165" s="30">
        <f t="shared" si="47"/>
        <v>35179.207709068498</v>
      </c>
      <c r="N165" s="30">
        <f t="shared" si="47"/>
        <v>910194.47585359984</v>
      </c>
      <c r="O165" s="30">
        <f t="shared" si="47"/>
        <v>96825.595439527489</v>
      </c>
      <c r="P165" s="30">
        <f t="shared" si="47"/>
        <v>17417.4043379</v>
      </c>
      <c r="Q165" s="30">
        <f t="shared" si="47"/>
        <v>720673.16354487988</v>
      </c>
      <c r="R165" s="30">
        <f t="shared" si="47"/>
        <v>35372.0877952925</v>
      </c>
      <c r="S165" s="30">
        <f t="shared" si="18"/>
        <v>1805.3840170274925</v>
      </c>
    </row>
    <row r="166" spans="1:19">
      <c r="A166" s="28">
        <v>46569</v>
      </c>
      <c r="B166" s="29">
        <f t="shared" si="21"/>
        <v>2027</v>
      </c>
      <c r="C166" s="28" t="str">
        <f t="shared" si="6"/>
        <v>Q3</v>
      </c>
      <c r="D166" s="23">
        <f t="shared" si="35"/>
        <v>8332.4264170713013</v>
      </c>
      <c r="E166" s="23">
        <f t="shared" ref="E166:I166" si="48">E154*(1+$AC$27)</f>
        <v>8429.6630827457011</v>
      </c>
      <c r="F166" s="23">
        <f t="shared" si="48"/>
        <v>246.05370547230001</v>
      </c>
      <c r="G166" s="23">
        <f t="shared" si="48"/>
        <v>248.19863192100001</v>
      </c>
      <c r="H166" s="23">
        <f t="shared" si="48"/>
        <v>53.929579281600006</v>
      </c>
      <c r="I166" s="23">
        <f t="shared" si="48"/>
        <v>53.929579281600006</v>
      </c>
      <c r="J166" s="30">
        <f t="shared" ref="J166:R166" si="49">J154*(1+$AC$16)</f>
        <v>911004.759276169</v>
      </c>
      <c r="K166" s="30">
        <f t="shared" si="49"/>
        <v>721846.75988848321</v>
      </c>
      <c r="L166" s="30">
        <f t="shared" si="49"/>
        <v>96062.181046530997</v>
      </c>
      <c r="M166" s="30">
        <f t="shared" si="49"/>
        <v>35179.207709068498</v>
      </c>
      <c r="N166" s="30">
        <f t="shared" si="49"/>
        <v>911142.24869107991</v>
      </c>
      <c r="O166" s="30">
        <f t="shared" si="49"/>
        <v>95086.972679544982</v>
      </c>
      <c r="P166" s="30">
        <f t="shared" si="49"/>
        <v>17015.224416732497</v>
      </c>
      <c r="Q166" s="30">
        <f t="shared" si="49"/>
        <v>723101.83144092245</v>
      </c>
      <c r="R166" s="30">
        <f t="shared" si="49"/>
        <v>35146.576056549995</v>
      </c>
      <c r="S166" s="30">
        <f t="shared" si="18"/>
        <v>1772.966124544997</v>
      </c>
    </row>
    <row r="167" spans="1:19">
      <c r="A167" s="28">
        <v>46600</v>
      </c>
      <c r="B167" s="29">
        <f t="shared" si="21"/>
        <v>2027</v>
      </c>
      <c r="C167" s="28" t="str">
        <f t="shared" si="6"/>
        <v>Q3</v>
      </c>
      <c r="D167" s="23">
        <f t="shared" si="35"/>
        <v>8338.759057062698</v>
      </c>
      <c r="E167" s="23">
        <f t="shared" ref="E167:I167" si="50">E155*(1+$AC$27)</f>
        <v>8421.4919343697002</v>
      </c>
      <c r="F167" s="23">
        <f t="shared" si="50"/>
        <v>243.3980822501</v>
      </c>
      <c r="G167" s="23">
        <f t="shared" si="50"/>
        <v>244.21519708770001</v>
      </c>
      <c r="H167" s="23">
        <f t="shared" si="50"/>
        <v>54.848833473900001</v>
      </c>
      <c r="I167" s="23">
        <f t="shared" si="50"/>
        <v>54.848833473900001</v>
      </c>
      <c r="J167" s="30">
        <f t="shared" ref="J167:R167" si="51">J155*(1+$AC$16)</f>
        <v>911004.759276169</v>
      </c>
      <c r="K167" s="30">
        <f t="shared" si="51"/>
        <v>721846.75988848321</v>
      </c>
      <c r="L167" s="30">
        <f t="shared" si="51"/>
        <v>96062.181046530997</v>
      </c>
      <c r="M167" s="30">
        <f t="shared" si="51"/>
        <v>35179.207709068498</v>
      </c>
      <c r="N167" s="30">
        <f t="shared" si="51"/>
        <v>911142.24869107991</v>
      </c>
      <c r="O167" s="30">
        <f t="shared" si="51"/>
        <v>95086.972679544982</v>
      </c>
      <c r="P167" s="30">
        <f t="shared" si="51"/>
        <v>17015.224416732497</v>
      </c>
      <c r="Q167" s="30">
        <f t="shared" si="51"/>
        <v>723101.83144092245</v>
      </c>
      <c r="R167" s="30">
        <f t="shared" si="51"/>
        <v>35146.576056549995</v>
      </c>
      <c r="S167" s="30">
        <f t="shared" si="18"/>
        <v>1772.966124544997</v>
      </c>
    </row>
    <row r="168" spans="1:19">
      <c r="A168" s="28">
        <v>46631</v>
      </c>
      <c r="B168" s="29">
        <f t="shared" si="21"/>
        <v>2027</v>
      </c>
      <c r="C168" s="28" t="str">
        <f t="shared" si="6"/>
        <v>Q3</v>
      </c>
      <c r="D168" s="23">
        <f t="shared" si="35"/>
        <v>8352.4457305925007</v>
      </c>
      <c r="E168" s="23">
        <f t="shared" ref="E168:I168" si="52">E156*(1+$AC$27)</f>
        <v>8392.9950544084004</v>
      </c>
      <c r="F168" s="23">
        <f t="shared" si="52"/>
        <v>245.64514805350001</v>
      </c>
      <c r="G168" s="23">
        <f t="shared" si="52"/>
        <v>244.72589386120001</v>
      </c>
      <c r="H168" s="23">
        <f t="shared" si="52"/>
        <v>52.806046379900003</v>
      </c>
      <c r="I168" s="23">
        <f t="shared" si="52"/>
        <v>52.806046379900003</v>
      </c>
      <c r="J168" s="30">
        <f t="shared" ref="J168:R168" si="53">J156*(1+$AC$16)</f>
        <v>911004.759276169</v>
      </c>
      <c r="K168" s="30">
        <f t="shared" si="53"/>
        <v>721846.75988848321</v>
      </c>
      <c r="L168" s="30">
        <f t="shared" si="53"/>
        <v>96062.181046530997</v>
      </c>
      <c r="M168" s="30">
        <f t="shared" si="53"/>
        <v>35179.207709068498</v>
      </c>
      <c r="N168" s="30">
        <f t="shared" si="53"/>
        <v>911142.24869107991</v>
      </c>
      <c r="O168" s="30">
        <f t="shared" si="53"/>
        <v>95086.972679544982</v>
      </c>
      <c r="P168" s="30">
        <f t="shared" si="53"/>
        <v>17015.224416732497</v>
      </c>
      <c r="Q168" s="30">
        <f t="shared" si="53"/>
        <v>723101.83144092245</v>
      </c>
      <c r="R168" s="30">
        <f t="shared" si="53"/>
        <v>35146.576056549995</v>
      </c>
      <c r="S168" s="30">
        <f t="shared" si="18"/>
        <v>1772.966124544997</v>
      </c>
    </row>
    <row r="169" spans="1:19">
      <c r="A169" s="28">
        <v>46661</v>
      </c>
      <c r="B169" s="29">
        <f t="shared" si="21"/>
        <v>2027</v>
      </c>
      <c r="C169" s="28" t="str">
        <f t="shared" si="6"/>
        <v>Q4</v>
      </c>
      <c r="D169" s="23">
        <f t="shared" si="35"/>
        <v>8354.7949357506004</v>
      </c>
      <c r="E169" s="23">
        <f t="shared" ref="E169:I169" si="54">E157*(1+$AC$27)</f>
        <v>8372.975740887201</v>
      </c>
      <c r="F169" s="23">
        <f t="shared" si="54"/>
        <v>247.27937772869998</v>
      </c>
      <c r="G169" s="23">
        <f t="shared" si="54"/>
        <v>244.82803321589998</v>
      </c>
      <c r="H169" s="23">
        <f t="shared" si="54"/>
        <v>47.392660580799998</v>
      </c>
      <c r="I169" s="23">
        <f t="shared" si="54"/>
        <v>47.392660580799998</v>
      </c>
      <c r="J169" s="30">
        <f t="shared" ref="J169:R169" si="55">J157*(1+$AC$16)</f>
        <v>911004.759276169</v>
      </c>
      <c r="K169" s="30">
        <f t="shared" si="55"/>
        <v>721846.75988848321</v>
      </c>
      <c r="L169" s="30">
        <f t="shared" si="55"/>
        <v>96062.181046530997</v>
      </c>
      <c r="M169" s="30">
        <f t="shared" si="55"/>
        <v>35179.207709068498</v>
      </c>
      <c r="N169" s="30">
        <f t="shared" si="55"/>
        <v>914748.35806175484</v>
      </c>
      <c r="O169" s="30">
        <f t="shared" si="55"/>
        <v>94642.184549674988</v>
      </c>
      <c r="P169" s="30">
        <f t="shared" si="55"/>
        <v>17048.479604012497</v>
      </c>
      <c r="Q169" s="30">
        <f t="shared" si="55"/>
        <v>725996.07195888483</v>
      </c>
      <c r="R169" s="30">
        <f t="shared" si="55"/>
        <v>35090.457928014992</v>
      </c>
      <c r="S169" s="30">
        <f t="shared" si="18"/>
        <v>1764.6727246749942</v>
      </c>
    </row>
    <row r="170" spans="1:19">
      <c r="A170" s="28">
        <v>46692</v>
      </c>
      <c r="B170" s="29">
        <f t="shared" si="21"/>
        <v>2027</v>
      </c>
      <c r="C170" s="28" t="str">
        <f t="shared" si="6"/>
        <v>Q4</v>
      </c>
      <c r="D170" s="23">
        <f t="shared" si="35"/>
        <v>8357.0420015539985</v>
      </c>
      <c r="E170" s="23">
        <f t="shared" ref="E170:I170" si="56">E158*(1+$AC$27)</f>
        <v>8360.2083215496987</v>
      </c>
      <c r="F170" s="23">
        <f t="shared" si="56"/>
        <v>246.76868095519998</v>
      </c>
      <c r="G170" s="23">
        <f t="shared" si="56"/>
        <v>244.82803321589998</v>
      </c>
      <c r="H170" s="23">
        <f t="shared" si="56"/>
        <v>42.592110909900008</v>
      </c>
      <c r="I170" s="23">
        <f t="shared" si="56"/>
        <v>42.592110909900008</v>
      </c>
      <c r="J170" s="30">
        <f t="shared" ref="J170:R170" si="57">J158*(1+$AC$16)</f>
        <v>911004.759276169</v>
      </c>
      <c r="K170" s="30">
        <f t="shared" si="57"/>
        <v>721846.75988848321</v>
      </c>
      <c r="L170" s="30">
        <f t="shared" si="57"/>
        <v>96062.181046530997</v>
      </c>
      <c r="M170" s="30">
        <f t="shared" si="57"/>
        <v>35179.207709068498</v>
      </c>
      <c r="N170" s="30">
        <f t="shared" si="57"/>
        <v>914748.35806175484</v>
      </c>
      <c r="O170" s="30">
        <f t="shared" si="57"/>
        <v>94642.184549674988</v>
      </c>
      <c r="P170" s="30">
        <f t="shared" si="57"/>
        <v>17048.479604012497</v>
      </c>
      <c r="Q170" s="30">
        <f t="shared" si="57"/>
        <v>725996.07195888483</v>
      </c>
      <c r="R170" s="30">
        <f t="shared" si="57"/>
        <v>35090.457928014992</v>
      </c>
      <c r="S170" s="30">
        <f t="shared" si="18"/>
        <v>1764.6727246749942</v>
      </c>
    </row>
    <row r="171" spans="1:19">
      <c r="A171" s="28">
        <v>46722</v>
      </c>
      <c r="B171" s="29">
        <f t="shared" si="21"/>
        <v>2027</v>
      </c>
      <c r="C171" s="28" t="str">
        <f t="shared" si="6"/>
        <v>Q4</v>
      </c>
      <c r="D171" s="23">
        <f t="shared" si="35"/>
        <v>8358.3698131651017</v>
      </c>
      <c r="E171" s="23">
        <f t="shared" ref="E171:I171" si="58">E159*(1+$AC$27)</f>
        <v>8351.5264764002004</v>
      </c>
      <c r="F171" s="23">
        <f t="shared" si="58"/>
        <v>244.62375450650001</v>
      </c>
      <c r="G171" s="23">
        <f t="shared" si="58"/>
        <v>244.82803321589998</v>
      </c>
      <c r="H171" s="23">
        <f t="shared" si="58"/>
        <v>35.850913499700006</v>
      </c>
      <c r="I171" s="23">
        <f t="shared" si="58"/>
        <v>35.850913499700006</v>
      </c>
      <c r="J171" s="30">
        <f>J159*(1+$AC$16)</f>
        <v>911004.759276169</v>
      </c>
      <c r="K171" s="30">
        <f t="shared" ref="K171:R171" si="59">K159*(1+$AC$16)</f>
        <v>721846.75988848321</v>
      </c>
      <c r="L171" s="30">
        <f t="shared" si="59"/>
        <v>96062.181046530997</v>
      </c>
      <c r="M171" s="30">
        <f t="shared" si="59"/>
        <v>35179.207709068498</v>
      </c>
      <c r="N171" s="30">
        <f t="shared" si="59"/>
        <v>914748.35806175484</v>
      </c>
      <c r="O171" s="30">
        <f t="shared" si="59"/>
        <v>94642.184549674988</v>
      </c>
      <c r="P171" s="30">
        <f t="shared" si="59"/>
        <v>17048.479604012497</v>
      </c>
      <c r="Q171" s="30">
        <f t="shared" si="59"/>
        <v>725996.07195888483</v>
      </c>
      <c r="R171" s="30">
        <f t="shared" si="59"/>
        <v>35090.457928014992</v>
      </c>
      <c r="S171" s="30">
        <f t="shared" si="18"/>
        <v>1764.6727246749942</v>
      </c>
    </row>
    <row r="172" spans="1:19">
      <c r="A172" s="28">
        <v>46753</v>
      </c>
      <c r="B172" s="29">
        <f t="shared" ref="B172:B187" si="60">YEAR(A172)</f>
        <v>2028</v>
      </c>
      <c r="C172" s="28" t="str">
        <f t="shared" si="6"/>
        <v>Q1</v>
      </c>
      <c r="D172" s="23">
        <f>D160*(1+$AC$28)</f>
        <v>8385.6436547635967</v>
      </c>
      <c r="E172" s="23">
        <f t="shared" ref="E172:I172" si="61">E160*(1+$AC$28)</f>
        <v>8342.2021384935979</v>
      </c>
      <c r="F172" s="23">
        <f t="shared" si="61"/>
        <v>246.85002774599997</v>
      </c>
      <c r="G172" s="23">
        <f t="shared" si="61"/>
        <v>248.79211906159998</v>
      </c>
      <c r="H172" s="23">
        <f t="shared" si="61"/>
        <v>30.357953722799994</v>
      </c>
      <c r="I172" s="23">
        <f t="shared" si="61"/>
        <v>30.357953722799994</v>
      </c>
      <c r="J172" s="30">
        <f>J160*(1+$AC$17)</f>
        <v>928313.8497024161</v>
      </c>
      <c r="K172" s="30">
        <f t="shared" ref="K172:R172" si="62">K160*(1+$AC$17)</f>
        <v>735561.8483263643</v>
      </c>
      <c r="L172" s="30">
        <f t="shared" si="62"/>
        <v>97887.362486415077</v>
      </c>
      <c r="M172" s="30">
        <f t="shared" si="62"/>
        <v>35847.612655540797</v>
      </c>
      <c r="N172" s="30">
        <f t="shared" si="62"/>
        <v>927317.81282036996</v>
      </c>
      <c r="O172" s="30">
        <f t="shared" si="62"/>
        <v>96385.922126659978</v>
      </c>
      <c r="P172" s="30">
        <f t="shared" si="62"/>
        <v>17689.175336870001</v>
      </c>
      <c r="Q172" s="30">
        <f t="shared" si="62"/>
        <v>736576.33813200984</v>
      </c>
      <c r="R172" s="30">
        <f t="shared" si="62"/>
        <v>35447.567817999996</v>
      </c>
      <c r="S172" s="30">
        <f t="shared" si="18"/>
        <v>1797.1859866599843</v>
      </c>
    </row>
    <row r="173" spans="1:19">
      <c r="A173" s="28">
        <v>46784</v>
      </c>
      <c r="B173" s="29">
        <f t="shared" si="60"/>
        <v>2028</v>
      </c>
      <c r="C173" s="28" t="str">
        <f t="shared" si="6"/>
        <v>Q1</v>
      </c>
      <c r="D173" s="23">
        <f t="shared" ref="D173:I183" si="63">D161*(1+$AC$28)</f>
        <v>8415.3883164919989</v>
      </c>
      <c r="E173" s="23">
        <f t="shared" si="63"/>
        <v>8346.3929671219994</v>
      </c>
      <c r="F173" s="23">
        <f t="shared" si="63"/>
        <v>248.68990372919995</v>
      </c>
      <c r="G173" s="23">
        <f t="shared" si="63"/>
        <v>252.16522503079992</v>
      </c>
      <c r="H173" s="23">
        <f t="shared" si="63"/>
        <v>28.518077739599992</v>
      </c>
      <c r="I173" s="23">
        <f t="shared" si="63"/>
        <v>28.518077739599992</v>
      </c>
      <c r="J173" s="30">
        <f t="shared" ref="J173:R183" si="64">J161*(1+$AC$17)</f>
        <v>928313.8497024161</v>
      </c>
      <c r="K173" s="30">
        <f t="shared" si="64"/>
        <v>735561.8483263643</v>
      </c>
      <c r="L173" s="30">
        <f t="shared" si="64"/>
        <v>97887.362486415077</v>
      </c>
      <c r="M173" s="30">
        <f t="shared" si="64"/>
        <v>35847.612655540797</v>
      </c>
      <c r="N173" s="30">
        <f t="shared" si="64"/>
        <v>927317.81282036996</v>
      </c>
      <c r="O173" s="30">
        <f t="shared" si="64"/>
        <v>96385.922126659978</v>
      </c>
      <c r="P173" s="30">
        <f t="shared" si="64"/>
        <v>17689.175336870001</v>
      </c>
      <c r="Q173" s="30">
        <f t="shared" si="64"/>
        <v>736576.33813200984</v>
      </c>
      <c r="R173" s="30">
        <f t="shared" si="64"/>
        <v>35447.567817999996</v>
      </c>
      <c r="S173" s="30">
        <f t="shared" si="18"/>
        <v>1797.1859866599843</v>
      </c>
    </row>
    <row r="174" spans="1:19">
      <c r="A174" s="28">
        <v>46813</v>
      </c>
      <c r="B174" s="29">
        <f t="shared" si="60"/>
        <v>2028</v>
      </c>
      <c r="C174" s="28" t="str">
        <f t="shared" si="6"/>
        <v>Q1</v>
      </c>
      <c r="D174" s="23">
        <f t="shared" si="63"/>
        <v>8425.0987730699981</v>
      </c>
      <c r="E174" s="23">
        <f t="shared" si="63"/>
        <v>8336.1714338819984</v>
      </c>
      <c r="F174" s="23">
        <f t="shared" si="63"/>
        <v>251.24528703919998</v>
      </c>
      <c r="G174" s="23">
        <f t="shared" si="63"/>
        <v>252.77851702519996</v>
      </c>
      <c r="H174" s="23">
        <f t="shared" si="63"/>
        <v>32.402260370799993</v>
      </c>
      <c r="I174" s="23">
        <f t="shared" si="63"/>
        <v>32.402260370799993</v>
      </c>
      <c r="J174" s="30">
        <f t="shared" si="64"/>
        <v>928313.8497024161</v>
      </c>
      <c r="K174" s="30">
        <f t="shared" si="64"/>
        <v>735561.8483263643</v>
      </c>
      <c r="L174" s="30">
        <f t="shared" si="64"/>
        <v>97887.362486415077</v>
      </c>
      <c r="M174" s="30">
        <f t="shared" si="64"/>
        <v>35847.612655540797</v>
      </c>
      <c r="N174" s="30">
        <f t="shared" si="64"/>
        <v>927317.81282036996</v>
      </c>
      <c r="O174" s="30">
        <f t="shared" si="64"/>
        <v>96385.922126659978</v>
      </c>
      <c r="P174" s="30">
        <f t="shared" si="64"/>
        <v>17689.175336870001</v>
      </c>
      <c r="Q174" s="30">
        <f t="shared" si="64"/>
        <v>736576.33813200984</v>
      </c>
      <c r="R174" s="30">
        <f t="shared" si="64"/>
        <v>35447.567817999996</v>
      </c>
      <c r="S174" s="30">
        <f t="shared" si="18"/>
        <v>1797.1859866599843</v>
      </c>
    </row>
    <row r="175" spans="1:19">
      <c r="A175" s="28">
        <v>46844</v>
      </c>
      <c r="B175" s="29">
        <f t="shared" si="60"/>
        <v>2028</v>
      </c>
      <c r="C175" s="28" t="str">
        <f t="shared" si="6"/>
        <v>Q2</v>
      </c>
      <c r="D175" s="23">
        <f t="shared" si="63"/>
        <v>8409.6642578775991</v>
      </c>
      <c r="E175" s="23">
        <f t="shared" si="63"/>
        <v>8346.188536457199</v>
      </c>
      <c r="F175" s="23">
        <f t="shared" si="63"/>
        <v>247.25888907559997</v>
      </c>
      <c r="G175" s="23">
        <f t="shared" si="63"/>
        <v>248.07661173479991</v>
      </c>
      <c r="H175" s="23">
        <f t="shared" si="63"/>
        <v>42.112716948799999</v>
      </c>
      <c r="I175" s="23">
        <f t="shared" si="63"/>
        <v>42.112716948799999</v>
      </c>
      <c r="J175" s="30">
        <f t="shared" si="64"/>
        <v>928313.8497024161</v>
      </c>
      <c r="K175" s="30">
        <f t="shared" si="64"/>
        <v>735561.8483263643</v>
      </c>
      <c r="L175" s="30">
        <f t="shared" si="64"/>
        <v>97887.362486415077</v>
      </c>
      <c r="M175" s="30">
        <f t="shared" si="64"/>
        <v>35847.612655540797</v>
      </c>
      <c r="N175" s="30">
        <f t="shared" si="64"/>
        <v>927488.17089481815</v>
      </c>
      <c r="O175" s="30">
        <f t="shared" si="64"/>
        <v>98665.281752878509</v>
      </c>
      <c r="P175" s="30">
        <f t="shared" si="64"/>
        <v>17748.335020320097</v>
      </c>
      <c r="Q175" s="30">
        <f t="shared" si="64"/>
        <v>734365.95365223254</v>
      </c>
      <c r="R175" s="30">
        <f t="shared" si="64"/>
        <v>36044.157463403055</v>
      </c>
      <c r="S175" s="30">
        <f t="shared" si="18"/>
        <v>1839.6863133510196</v>
      </c>
    </row>
    <row r="176" spans="1:19">
      <c r="A176" s="28">
        <v>46874</v>
      </c>
      <c r="B176" s="29">
        <f t="shared" si="60"/>
        <v>2028</v>
      </c>
      <c r="C176" s="28" t="str">
        <f t="shared" si="6"/>
        <v>Q2</v>
      </c>
      <c r="D176" s="23">
        <f t="shared" si="63"/>
        <v>8389.7322680595989</v>
      </c>
      <c r="E176" s="23">
        <f t="shared" si="63"/>
        <v>8379.7151654844001</v>
      </c>
      <c r="F176" s="23">
        <f t="shared" si="63"/>
        <v>246.33895108399994</v>
      </c>
      <c r="G176" s="23">
        <f t="shared" si="63"/>
        <v>246.03230508679994</v>
      </c>
      <c r="H176" s="23">
        <f t="shared" si="63"/>
        <v>49.574436213999988</v>
      </c>
      <c r="I176" s="23">
        <f t="shared" si="63"/>
        <v>49.574436213999988</v>
      </c>
      <c r="J176" s="30">
        <f t="shared" si="64"/>
        <v>928313.8497024161</v>
      </c>
      <c r="K176" s="30">
        <f t="shared" si="64"/>
        <v>735561.8483263643</v>
      </c>
      <c r="L176" s="30">
        <f t="shared" si="64"/>
        <v>97887.362486415077</v>
      </c>
      <c r="M176" s="30">
        <f t="shared" si="64"/>
        <v>35847.612655540797</v>
      </c>
      <c r="N176" s="30">
        <f t="shared" si="64"/>
        <v>927488.17089481815</v>
      </c>
      <c r="O176" s="30">
        <f t="shared" si="64"/>
        <v>98665.281752878509</v>
      </c>
      <c r="P176" s="30">
        <f t="shared" si="64"/>
        <v>17748.335020320097</v>
      </c>
      <c r="Q176" s="30">
        <f t="shared" si="64"/>
        <v>734365.95365223254</v>
      </c>
      <c r="R176" s="30">
        <f t="shared" si="64"/>
        <v>36044.157463403055</v>
      </c>
      <c r="S176" s="30">
        <f t="shared" si="18"/>
        <v>1839.6863133510196</v>
      </c>
    </row>
    <row r="177" spans="1:19">
      <c r="A177" s="28">
        <v>46905</v>
      </c>
      <c r="B177" s="29">
        <f t="shared" si="60"/>
        <v>2028</v>
      </c>
      <c r="C177" s="28" t="str">
        <f t="shared" si="6"/>
        <v>Q2</v>
      </c>
      <c r="D177" s="23">
        <f t="shared" si="63"/>
        <v>8386.3591620903971</v>
      </c>
      <c r="E177" s="23">
        <f t="shared" si="63"/>
        <v>8453.2079894799972</v>
      </c>
      <c r="F177" s="23">
        <f t="shared" si="63"/>
        <v>244.90793643039996</v>
      </c>
      <c r="G177" s="23">
        <f t="shared" si="63"/>
        <v>245.31679775999996</v>
      </c>
      <c r="H177" s="23">
        <f t="shared" si="63"/>
        <v>56.42286348479999</v>
      </c>
      <c r="I177" s="23">
        <f t="shared" si="63"/>
        <v>56.42286348479999</v>
      </c>
      <c r="J177" s="30">
        <f t="shared" si="64"/>
        <v>928313.8497024161</v>
      </c>
      <c r="K177" s="30">
        <f t="shared" si="64"/>
        <v>735561.8483263643</v>
      </c>
      <c r="L177" s="30">
        <f t="shared" si="64"/>
        <v>97887.362486415077</v>
      </c>
      <c r="M177" s="30">
        <f t="shared" si="64"/>
        <v>35847.612655540797</v>
      </c>
      <c r="N177" s="30">
        <f t="shared" si="64"/>
        <v>927488.17089481815</v>
      </c>
      <c r="O177" s="30">
        <f t="shared" si="64"/>
        <v>98665.281752878509</v>
      </c>
      <c r="P177" s="30">
        <f t="shared" si="64"/>
        <v>17748.335020320097</v>
      </c>
      <c r="Q177" s="30">
        <f t="shared" si="64"/>
        <v>734365.95365223254</v>
      </c>
      <c r="R177" s="30">
        <f t="shared" si="64"/>
        <v>36044.157463403055</v>
      </c>
      <c r="S177" s="30">
        <f t="shared" si="18"/>
        <v>1839.6863133510196</v>
      </c>
    </row>
    <row r="178" spans="1:19">
      <c r="A178" s="28">
        <v>46935</v>
      </c>
      <c r="B178" s="29">
        <f t="shared" si="60"/>
        <v>2028</v>
      </c>
      <c r="C178" s="28" t="str">
        <f t="shared" si="6"/>
        <v>Q3</v>
      </c>
      <c r="D178" s="23">
        <f t="shared" si="63"/>
        <v>8407.4182548249428</v>
      </c>
      <c r="E178" s="23">
        <f t="shared" si="63"/>
        <v>8505.5300504904117</v>
      </c>
      <c r="F178" s="23">
        <f t="shared" si="63"/>
        <v>248.26818882155069</v>
      </c>
      <c r="G178" s="23">
        <f t="shared" si="63"/>
        <v>250.432419608289</v>
      </c>
      <c r="H178" s="23">
        <f t="shared" si="63"/>
        <v>54.414945495134397</v>
      </c>
      <c r="I178" s="23">
        <f t="shared" si="63"/>
        <v>54.414945495134397</v>
      </c>
      <c r="J178" s="30">
        <f t="shared" si="64"/>
        <v>928313.8497024161</v>
      </c>
      <c r="K178" s="30">
        <f t="shared" si="64"/>
        <v>735561.8483263643</v>
      </c>
      <c r="L178" s="30">
        <f t="shared" si="64"/>
        <v>97887.362486415077</v>
      </c>
      <c r="M178" s="30">
        <f t="shared" si="64"/>
        <v>35847.612655540797</v>
      </c>
      <c r="N178" s="30">
        <f t="shared" si="64"/>
        <v>928453.95141621039</v>
      </c>
      <c r="O178" s="30">
        <f t="shared" si="64"/>
        <v>96893.625160456329</v>
      </c>
      <c r="P178" s="30">
        <f t="shared" si="64"/>
        <v>17338.513680650412</v>
      </c>
      <c r="Q178" s="30">
        <f t="shared" si="64"/>
        <v>736840.7662382999</v>
      </c>
      <c r="R178" s="30">
        <f t="shared" si="64"/>
        <v>35814.361001624442</v>
      </c>
      <c r="S178" s="30">
        <f t="shared" si="18"/>
        <v>1806.6524809113471</v>
      </c>
    </row>
    <row r="179" spans="1:19">
      <c r="A179" s="28">
        <v>46966</v>
      </c>
      <c r="B179" s="29">
        <f t="shared" si="60"/>
        <v>2028</v>
      </c>
      <c r="C179" s="28" t="str">
        <f t="shared" si="6"/>
        <v>Q3</v>
      </c>
      <c r="D179" s="23">
        <f t="shared" si="63"/>
        <v>8413.8078885762607</v>
      </c>
      <c r="E179" s="23">
        <f t="shared" si="63"/>
        <v>8497.2853617790261</v>
      </c>
      <c r="F179" s="23">
        <f t="shared" si="63"/>
        <v>245.58866499035088</v>
      </c>
      <c r="G179" s="23">
        <f t="shared" si="63"/>
        <v>246.41313386148929</v>
      </c>
      <c r="H179" s="23">
        <f t="shared" si="63"/>
        <v>55.342472975165094</v>
      </c>
      <c r="I179" s="23">
        <f t="shared" si="63"/>
        <v>55.342472975165094</v>
      </c>
      <c r="J179" s="30">
        <f t="shared" si="64"/>
        <v>928313.8497024161</v>
      </c>
      <c r="K179" s="30">
        <f t="shared" si="64"/>
        <v>735561.8483263643</v>
      </c>
      <c r="L179" s="30">
        <f t="shared" si="64"/>
        <v>97887.362486415077</v>
      </c>
      <c r="M179" s="30">
        <f t="shared" si="64"/>
        <v>35847.612655540797</v>
      </c>
      <c r="N179" s="30">
        <f t="shared" si="64"/>
        <v>928453.95141621039</v>
      </c>
      <c r="O179" s="30">
        <f t="shared" si="64"/>
        <v>96893.625160456329</v>
      </c>
      <c r="P179" s="30">
        <f t="shared" si="64"/>
        <v>17338.513680650412</v>
      </c>
      <c r="Q179" s="30">
        <f t="shared" si="64"/>
        <v>736840.7662382999</v>
      </c>
      <c r="R179" s="30">
        <f t="shared" si="64"/>
        <v>35814.361001624442</v>
      </c>
      <c r="S179" s="30">
        <f t="shared" si="18"/>
        <v>1806.6524809113471</v>
      </c>
    </row>
    <row r="180" spans="1:19">
      <c r="A180" s="28">
        <v>46997</v>
      </c>
      <c r="B180" s="29">
        <f t="shared" si="60"/>
        <v>2028</v>
      </c>
      <c r="C180" s="28" t="str">
        <f t="shared" si="6"/>
        <v>Q3</v>
      </c>
      <c r="D180" s="23">
        <f t="shared" si="63"/>
        <v>8427.6177421678331</v>
      </c>
      <c r="E180" s="23">
        <f t="shared" si="63"/>
        <v>8468.5320098980756</v>
      </c>
      <c r="F180" s="23">
        <f t="shared" si="63"/>
        <v>247.85595438598148</v>
      </c>
      <c r="G180" s="23">
        <f t="shared" si="63"/>
        <v>246.92842690595077</v>
      </c>
      <c r="H180" s="23">
        <f t="shared" si="63"/>
        <v>53.281300797319098</v>
      </c>
      <c r="I180" s="23">
        <f t="shared" si="63"/>
        <v>53.281300797319098</v>
      </c>
      <c r="J180" s="30">
        <f t="shared" si="64"/>
        <v>928313.8497024161</v>
      </c>
      <c r="K180" s="30">
        <f t="shared" si="64"/>
        <v>735561.8483263643</v>
      </c>
      <c r="L180" s="30">
        <f t="shared" si="64"/>
        <v>97887.362486415077</v>
      </c>
      <c r="M180" s="30">
        <f t="shared" si="64"/>
        <v>35847.612655540797</v>
      </c>
      <c r="N180" s="30">
        <f t="shared" si="64"/>
        <v>928453.95141621039</v>
      </c>
      <c r="O180" s="30">
        <f t="shared" si="64"/>
        <v>96893.625160456329</v>
      </c>
      <c r="P180" s="30">
        <f t="shared" si="64"/>
        <v>17338.513680650412</v>
      </c>
      <c r="Q180" s="30">
        <f t="shared" si="64"/>
        <v>736840.7662382999</v>
      </c>
      <c r="R180" s="30">
        <f t="shared" si="64"/>
        <v>35814.361001624442</v>
      </c>
      <c r="S180" s="30">
        <f t="shared" si="18"/>
        <v>1806.6524809113471</v>
      </c>
    </row>
    <row r="181" spans="1:19">
      <c r="A181" s="28">
        <v>47027</v>
      </c>
      <c r="B181" s="29">
        <f t="shared" si="60"/>
        <v>2028</v>
      </c>
      <c r="C181" s="28" t="str">
        <f t="shared" si="6"/>
        <v>Q4</v>
      </c>
      <c r="D181" s="23">
        <f t="shared" si="63"/>
        <v>8429.9880901723554</v>
      </c>
      <c r="E181" s="23">
        <f t="shared" si="63"/>
        <v>8448.3325225551853</v>
      </c>
      <c r="F181" s="23">
        <f t="shared" si="63"/>
        <v>249.50489212825826</v>
      </c>
      <c r="G181" s="23">
        <f t="shared" si="63"/>
        <v>247.03148551484304</v>
      </c>
      <c r="H181" s="23">
        <f t="shared" si="63"/>
        <v>47.819194526027189</v>
      </c>
      <c r="I181" s="23">
        <f t="shared" si="63"/>
        <v>47.819194526027189</v>
      </c>
      <c r="J181" s="30">
        <f t="shared" si="64"/>
        <v>928313.8497024161</v>
      </c>
      <c r="K181" s="30">
        <f t="shared" si="64"/>
        <v>735561.8483263643</v>
      </c>
      <c r="L181" s="30">
        <f t="shared" si="64"/>
        <v>97887.362486415077</v>
      </c>
      <c r="M181" s="30">
        <f t="shared" si="64"/>
        <v>35847.612655540797</v>
      </c>
      <c r="N181" s="30">
        <f t="shared" si="64"/>
        <v>932128.57686492812</v>
      </c>
      <c r="O181" s="30">
        <f t="shared" si="64"/>
        <v>96440.386056118805</v>
      </c>
      <c r="P181" s="30">
        <f t="shared" si="64"/>
        <v>17372.400716488733</v>
      </c>
      <c r="Q181" s="30">
        <f t="shared" si="64"/>
        <v>739789.99732610362</v>
      </c>
      <c r="R181" s="30">
        <f t="shared" si="64"/>
        <v>35757.17662864727</v>
      </c>
      <c r="S181" s="30">
        <f t="shared" si="18"/>
        <v>1798.2015064438165</v>
      </c>
    </row>
    <row r="182" spans="1:19">
      <c r="A182" s="28">
        <v>47058</v>
      </c>
      <c r="B182" s="29">
        <f t="shared" si="60"/>
        <v>2028</v>
      </c>
      <c r="C182" s="28" t="str">
        <f t="shared" si="6"/>
        <v>Q4</v>
      </c>
      <c r="D182" s="23">
        <f t="shared" si="63"/>
        <v>8432.2553795679833</v>
      </c>
      <c r="E182" s="23">
        <f t="shared" si="63"/>
        <v>8435.4501964436458</v>
      </c>
      <c r="F182" s="23">
        <f t="shared" si="63"/>
        <v>248.98959908379675</v>
      </c>
      <c r="G182" s="23">
        <f t="shared" si="63"/>
        <v>247.03148551484304</v>
      </c>
      <c r="H182" s="23">
        <f t="shared" si="63"/>
        <v>42.975439908089101</v>
      </c>
      <c r="I182" s="23">
        <f t="shared" si="63"/>
        <v>42.975439908089101</v>
      </c>
      <c r="J182" s="30">
        <f t="shared" si="64"/>
        <v>928313.8497024161</v>
      </c>
      <c r="K182" s="30">
        <f t="shared" si="64"/>
        <v>735561.8483263643</v>
      </c>
      <c r="L182" s="30">
        <f t="shared" si="64"/>
        <v>97887.362486415077</v>
      </c>
      <c r="M182" s="30">
        <f t="shared" si="64"/>
        <v>35847.612655540797</v>
      </c>
      <c r="N182" s="30">
        <f t="shared" si="64"/>
        <v>932128.57686492812</v>
      </c>
      <c r="O182" s="30">
        <f t="shared" si="64"/>
        <v>96440.386056118805</v>
      </c>
      <c r="P182" s="30">
        <f t="shared" si="64"/>
        <v>17372.400716488733</v>
      </c>
      <c r="Q182" s="30">
        <f t="shared" si="64"/>
        <v>739789.99732610362</v>
      </c>
      <c r="R182" s="30">
        <f t="shared" si="64"/>
        <v>35757.17662864727</v>
      </c>
      <c r="S182" s="30">
        <f t="shared" si="18"/>
        <v>1798.2015064438165</v>
      </c>
    </row>
    <row r="183" spans="1:19">
      <c r="A183" s="28">
        <v>47088</v>
      </c>
      <c r="B183" s="29">
        <f t="shared" si="60"/>
        <v>2028</v>
      </c>
      <c r="C183" s="28" t="str">
        <f t="shared" si="6"/>
        <v>Q4</v>
      </c>
      <c r="D183" s="23">
        <f t="shared" si="63"/>
        <v>8433.5951414835872</v>
      </c>
      <c r="E183" s="23">
        <f t="shared" si="63"/>
        <v>8426.6902146878019</v>
      </c>
      <c r="F183" s="23">
        <f t="shared" si="63"/>
        <v>246.82536829705847</v>
      </c>
      <c r="G183" s="23">
        <f t="shared" si="63"/>
        <v>247.03148551484304</v>
      </c>
      <c r="H183" s="23">
        <f t="shared" si="63"/>
        <v>36.173571721197305</v>
      </c>
      <c r="I183" s="23">
        <f t="shared" si="63"/>
        <v>36.173571721197305</v>
      </c>
      <c r="J183" s="30">
        <f t="shared" si="64"/>
        <v>928313.8497024161</v>
      </c>
      <c r="K183" s="30">
        <f t="shared" si="64"/>
        <v>735561.8483263643</v>
      </c>
      <c r="L183" s="30">
        <f t="shared" si="64"/>
        <v>97887.362486415077</v>
      </c>
      <c r="M183" s="30">
        <f t="shared" si="64"/>
        <v>35847.612655540797</v>
      </c>
      <c r="N183" s="30">
        <f t="shared" si="64"/>
        <v>932128.57686492812</v>
      </c>
      <c r="O183" s="30">
        <f t="shared" si="64"/>
        <v>96440.386056118805</v>
      </c>
      <c r="P183" s="30">
        <f t="shared" si="64"/>
        <v>17372.400716488733</v>
      </c>
      <c r="Q183" s="30">
        <f t="shared" si="64"/>
        <v>739789.99732610362</v>
      </c>
      <c r="R183" s="30">
        <f t="shared" si="64"/>
        <v>35757.17662864727</v>
      </c>
      <c r="S183" s="30">
        <f t="shared" si="18"/>
        <v>1798.2015064438165</v>
      </c>
    </row>
    <row r="184" spans="1:19">
      <c r="A184" s="28">
        <v>47119</v>
      </c>
      <c r="B184" s="29">
        <f t="shared" si="60"/>
        <v>2029</v>
      </c>
      <c r="C184" s="28" t="str">
        <f t="shared" si="6"/>
        <v>Q1</v>
      </c>
      <c r="D184" s="23">
        <f>D172*(1+$AC$29)</f>
        <v>8461.1144476564677</v>
      </c>
      <c r="E184" s="23">
        <f t="shared" ref="E184:I184" si="65">E172*(1+$AC$29)</f>
        <v>8417.2819577400387</v>
      </c>
      <c r="F184" s="23">
        <f t="shared" si="65"/>
        <v>249.07167799571394</v>
      </c>
      <c r="G184" s="23">
        <f t="shared" si="65"/>
        <v>251.03124813315435</v>
      </c>
      <c r="H184" s="23">
        <f t="shared" si="65"/>
        <v>30.631175306305192</v>
      </c>
      <c r="I184" s="23">
        <f t="shared" si="65"/>
        <v>30.631175306305192</v>
      </c>
      <c r="J184" s="30">
        <f>J172*(1+$AC$18)</f>
        <v>945951.8128467619</v>
      </c>
      <c r="K184" s="30">
        <f t="shared" ref="K184:R184" si="66">K172*(1+$AC$18)</f>
        <v>749537.52344456513</v>
      </c>
      <c r="L184" s="30">
        <f t="shared" si="66"/>
        <v>99747.222373656958</v>
      </c>
      <c r="M184" s="30">
        <f t="shared" si="66"/>
        <v>36528.717295996066</v>
      </c>
      <c r="N184" s="30">
        <f t="shared" si="66"/>
        <v>944936.85126395687</v>
      </c>
      <c r="O184" s="30">
        <f t="shared" si="66"/>
        <v>98217.254647066511</v>
      </c>
      <c r="P184" s="30">
        <f t="shared" si="66"/>
        <v>18025.269668270528</v>
      </c>
      <c r="Q184" s="30">
        <f t="shared" si="66"/>
        <v>750571.28855651792</v>
      </c>
      <c r="R184" s="30">
        <f t="shared" si="66"/>
        <v>36121.071606541991</v>
      </c>
      <c r="S184" s="30">
        <f t="shared" si="18"/>
        <v>1831.3325204065331</v>
      </c>
    </row>
    <row r="185" spans="1:19">
      <c r="A185" s="28">
        <v>47150</v>
      </c>
      <c r="B185" s="29">
        <f t="shared" si="60"/>
        <v>2029</v>
      </c>
      <c r="C185" s="28" t="str">
        <f t="shared" si="6"/>
        <v>Q1</v>
      </c>
      <c r="D185" s="23">
        <f t="shared" ref="D185:I195" si="67">D173*(1+$AC$29)</f>
        <v>8491.1268113404258</v>
      </c>
      <c r="E185" s="23">
        <f t="shared" si="67"/>
        <v>8421.5105038260972</v>
      </c>
      <c r="F185" s="23">
        <f t="shared" si="67"/>
        <v>250.92811286276273</v>
      </c>
      <c r="G185" s="23">
        <f t="shared" si="67"/>
        <v>254.4347120560771</v>
      </c>
      <c r="H185" s="23">
        <f t="shared" si="67"/>
        <v>28.774740439256387</v>
      </c>
      <c r="I185" s="23">
        <f t="shared" si="67"/>
        <v>28.774740439256387</v>
      </c>
      <c r="J185" s="30">
        <f t="shared" ref="J185:R195" si="68">J173*(1+$AC$18)</f>
        <v>945951.8128467619</v>
      </c>
      <c r="K185" s="30">
        <f t="shared" si="68"/>
        <v>749537.52344456513</v>
      </c>
      <c r="L185" s="30">
        <f t="shared" si="68"/>
        <v>99747.222373656958</v>
      </c>
      <c r="M185" s="30">
        <f t="shared" si="68"/>
        <v>36528.717295996066</v>
      </c>
      <c r="N185" s="30">
        <f t="shared" si="68"/>
        <v>944936.85126395687</v>
      </c>
      <c r="O185" s="30">
        <f t="shared" si="68"/>
        <v>98217.254647066511</v>
      </c>
      <c r="P185" s="30">
        <f t="shared" si="68"/>
        <v>18025.269668270528</v>
      </c>
      <c r="Q185" s="30">
        <f t="shared" si="68"/>
        <v>750571.28855651792</v>
      </c>
      <c r="R185" s="30">
        <f t="shared" si="68"/>
        <v>36121.071606541991</v>
      </c>
      <c r="S185" s="30">
        <f t="shared" si="18"/>
        <v>1831.3325204065331</v>
      </c>
    </row>
    <row r="186" spans="1:19">
      <c r="A186" s="28">
        <v>47178</v>
      </c>
      <c r="B186" s="29">
        <f t="shared" si="60"/>
        <v>2029</v>
      </c>
      <c r="C186" s="28" t="str">
        <f t="shared" si="6"/>
        <v>Q1</v>
      </c>
      <c r="D186" s="23">
        <f t="shared" si="67"/>
        <v>8500.9246620276281</v>
      </c>
      <c r="E186" s="23">
        <f t="shared" si="67"/>
        <v>8411.1969767869359</v>
      </c>
      <c r="F186" s="23">
        <f t="shared" si="67"/>
        <v>253.50649462255276</v>
      </c>
      <c r="G186" s="23">
        <f t="shared" si="67"/>
        <v>255.05352367842673</v>
      </c>
      <c r="H186" s="23">
        <f t="shared" si="67"/>
        <v>32.693880714137187</v>
      </c>
      <c r="I186" s="23">
        <f t="shared" si="67"/>
        <v>32.693880714137187</v>
      </c>
      <c r="J186" s="30">
        <f t="shared" si="68"/>
        <v>945951.8128467619</v>
      </c>
      <c r="K186" s="30">
        <f t="shared" si="68"/>
        <v>749537.52344456513</v>
      </c>
      <c r="L186" s="30">
        <f t="shared" si="68"/>
        <v>99747.222373656958</v>
      </c>
      <c r="M186" s="30">
        <f t="shared" si="68"/>
        <v>36528.717295996066</v>
      </c>
      <c r="N186" s="30">
        <f t="shared" si="68"/>
        <v>944936.85126395687</v>
      </c>
      <c r="O186" s="30">
        <f t="shared" si="68"/>
        <v>98217.254647066511</v>
      </c>
      <c r="P186" s="30">
        <f t="shared" si="68"/>
        <v>18025.269668270528</v>
      </c>
      <c r="Q186" s="30">
        <f t="shared" si="68"/>
        <v>750571.28855651792</v>
      </c>
      <c r="R186" s="30">
        <f t="shared" si="68"/>
        <v>36121.071606541991</v>
      </c>
      <c r="S186" s="30">
        <f t="shared" si="18"/>
        <v>1831.3325204065331</v>
      </c>
    </row>
    <row r="187" spans="1:19">
      <c r="A187" s="28">
        <v>47209</v>
      </c>
      <c r="B187" s="29">
        <f t="shared" si="60"/>
        <v>2029</v>
      </c>
      <c r="C187" s="28" t="str">
        <f t="shared" si="6"/>
        <v>Q2</v>
      </c>
      <c r="D187" s="23">
        <f t="shared" si="67"/>
        <v>8485.3512361984958</v>
      </c>
      <c r="E187" s="23">
        <f t="shared" si="67"/>
        <v>8421.3042332853129</v>
      </c>
      <c r="F187" s="23">
        <f t="shared" si="67"/>
        <v>249.48421907728033</v>
      </c>
      <c r="G187" s="23">
        <f t="shared" si="67"/>
        <v>250.30930124041308</v>
      </c>
      <c r="H187" s="23">
        <f t="shared" si="67"/>
        <v>42.491731401339194</v>
      </c>
      <c r="I187" s="23">
        <f t="shared" si="67"/>
        <v>42.491731401339194</v>
      </c>
      <c r="J187" s="30">
        <f t="shared" si="68"/>
        <v>945951.8128467619</v>
      </c>
      <c r="K187" s="30">
        <f t="shared" si="68"/>
        <v>749537.52344456513</v>
      </c>
      <c r="L187" s="30">
        <f t="shared" si="68"/>
        <v>99747.222373656958</v>
      </c>
      <c r="M187" s="30">
        <f t="shared" si="68"/>
        <v>36528.717295996066</v>
      </c>
      <c r="N187" s="30">
        <f t="shared" si="68"/>
        <v>945110.44614181959</v>
      </c>
      <c r="O187" s="30">
        <f t="shared" si="68"/>
        <v>100539.92210618319</v>
      </c>
      <c r="P187" s="30">
        <f t="shared" si="68"/>
        <v>18085.553385706178</v>
      </c>
      <c r="Q187" s="30">
        <f t="shared" si="68"/>
        <v>748318.90677162493</v>
      </c>
      <c r="R187" s="30">
        <f t="shared" si="68"/>
        <v>36728.996455207707</v>
      </c>
      <c r="S187" s="30">
        <f t="shared" si="18"/>
        <v>1874.6403533046832</v>
      </c>
    </row>
    <row r="188" spans="1:19">
      <c r="A188" s="28">
        <v>47239</v>
      </c>
      <c r="B188" s="29">
        <f t="shared" ref="B188:B219" si="69">YEAR(A188)</f>
        <v>2029</v>
      </c>
      <c r="C188" s="28" t="str">
        <f t="shared" si="6"/>
        <v>Q2</v>
      </c>
      <c r="D188" s="23">
        <f t="shared" si="67"/>
        <v>8465.2398584721341</v>
      </c>
      <c r="E188" s="23">
        <f t="shared" si="67"/>
        <v>8455.1326019737589</v>
      </c>
      <c r="F188" s="23">
        <f t="shared" si="67"/>
        <v>248.55600164375591</v>
      </c>
      <c r="G188" s="23">
        <f t="shared" si="67"/>
        <v>248.24659583258111</v>
      </c>
      <c r="H188" s="23">
        <f t="shared" si="67"/>
        <v>50.020606139925981</v>
      </c>
      <c r="I188" s="23">
        <f t="shared" si="67"/>
        <v>50.020606139925981</v>
      </c>
      <c r="J188" s="30">
        <f t="shared" si="68"/>
        <v>945951.8128467619</v>
      </c>
      <c r="K188" s="30">
        <f t="shared" si="68"/>
        <v>749537.52344456513</v>
      </c>
      <c r="L188" s="30">
        <f t="shared" si="68"/>
        <v>99747.222373656958</v>
      </c>
      <c r="M188" s="30">
        <f t="shared" si="68"/>
        <v>36528.717295996066</v>
      </c>
      <c r="N188" s="30">
        <f t="shared" si="68"/>
        <v>945110.44614181959</v>
      </c>
      <c r="O188" s="30">
        <f t="shared" si="68"/>
        <v>100539.92210618319</v>
      </c>
      <c r="P188" s="30">
        <f t="shared" si="68"/>
        <v>18085.553385706178</v>
      </c>
      <c r="Q188" s="30">
        <f t="shared" si="68"/>
        <v>748318.90677162493</v>
      </c>
      <c r="R188" s="30">
        <f t="shared" si="68"/>
        <v>36728.996455207707</v>
      </c>
      <c r="S188" s="30">
        <f t="shared" si="18"/>
        <v>1874.6403533046832</v>
      </c>
    </row>
    <row r="189" spans="1:19">
      <c r="A189" s="28">
        <v>47270</v>
      </c>
      <c r="B189" s="29">
        <f t="shared" si="69"/>
        <v>2029</v>
      </c>
      <c r="C189" s="28" t="str">
        <f t="shared" ref="C189:C219" si="70">C177</f>
        <v>Q2</v>
      </c>
      <c r="D189" s="23">
        <f t="shared" si="67"/>
        <v>8461.8363945492092</v>
      </c>
      <c r="E189" s="23">
        <f t="shared" si="67"/>
        <v>8529.286861385317</v>
      </c>
      <c r="F189" s="23">
        <f t="shared" si="67"/>
        <v>247.11210785827353</v>
      </c>
      <c r="G189" s="23">
        <f t="shared" si="67"/>
        <v>247.52464893983992</v>
      </c>
      <c r="H189" s="23">
        <f t="shared" si="67"/>
        <v>56.930669256163185</v>
      </c>
      <c r="I189" s="23">
        <f t="shared" si="67"/>
        <v>56.930669256163185</v>
      </c>
      <c r="J189" s="30">
        <f t="shared" si="68"/>
        <v>945951.8128467619</v>
      </c>
      <c r="K189" s="30">
        <f t="shared" si="68"/>
        <v>749537.52344456513</v>
      </c>
      <c r="L189" s="30">
        <f t="shared" si="68"/>
        <v>99747.222373656958</v>
      </c>
      <c r="M189" s="30">
        <f t="shared" si="68"/>
        <v>36528.717295996066</v>
      </c>
      <c r="N189" s="30">
        <f t="shared" si="68"/>
        <v>945110.44614181959</v>
      </c>
      <c r="O189" s="30">
        <f t="shared" si="68"/>
        <v>100539.92210618319</v>
      </c>
      <c r="P189" s="30">
        <f t="shared" si="68"/>
        <v>18085.553385706178</v>
      </c>
      <c r="Q189" s="30">
        <f t="shared" si="68"/>
        <v>748318.90677162493</v>
      </c>
      <c r="R189" s="30">
        <f t="shared" si="68"/>
        <v>36728.996455207707</v>
      </c>
      <c r="S189" s="30">
        <f t="shared" si="18"/>
        <v>1874.6403533046832</v>
      </c>
    </row>
    <row r="190" spans="1:19">
      <c r="A190" s="28">
        <v>47300</v>
      </c>
      <c r="B190" s="29">
        <f t="shared" si="69"/>
        <v>2029</v>
      </c>
      <c r="C190" s="28" t="str">
        <f t="shared" si="70"/>
        <v>Q3</v>
      </c>
      <c r="D190" s="23">
        <f t="shared" si="67"/>
        <v>8483.0850191183672</v>
      </c>
      <c r="E190" s="23">
        <f t="shared" si="67"/>
        <v>8582.079820944824</v>
      </c>
      <c r="F190" s="23">
        <f t="shared" si="67"/>
        <v>250.50260252094463</v>
      </c>
      <c r="G190" s="23">
        <f t="shared" si="67"/>
        <v>252.68631138476357</v>
      </c>
      <c r="H190" s="23">
        <f t="shared" si="67"/>
        <v>54.904680004590602</v>
      </c>
      <c r="I190" s="23">
        <f t="shared" si="67"/>
        <v>54.904680004590602</v>
      </c>
      <c r="J190" s="30">
        <f t="shared" si="68"/>
        <v>945951.8128467619</v>
      </c>
      <c r="K190" s="30">
        <f t="shared" si="68"/>
        <v>749537.52344456513</v>
      </c>
      <c r="L190" s="30">
        <f t="shared" si="68"/>
        <v>99747.222373656958</v>
      </c>
      <c r="M190" s="30">
        <f t="shared" si="68"/>
        <v>36528.717295996066</v>
      </c>
      <c r="N190" s="30">
        <f t="shared" si="68"/>
        <v>946094.57649311831</v>
      </c>
      <c r="O190" s="30">
        <f t="shared" si="68"/>
        <v>98734.604038504986</v>
      </c>
      <c r="P190" s="30">
        <f t="shared" si="68"/>
        <v>17667.945440582767</v>
      </c>
      <c r="Q190" s="30">
        <f t="shared" si="68"/>
        <v>750840.74079682748</v>
      </c>
      <c r="R190" s="30">
        <f t="shared" si="68"/>
        <v>36494.833860655301</v>
      </c>
      <c r="S190" s="30">
        <f t="shared" si="18"/>
        <v>1840.978878048656</v>
      </c>
    </row>
    <row r="191" spans="1:19">
      <c r="A191" s="28">
        <v>47331</v>
      </c>
      <c r="B191" s="29">
        <f t="shared" si="69"/>
        <v>2029</v>
      </c>
      <c r="C191" s="28" t="str">
        <f t="shared" si="70"/>
        <v>Q3</v>
      </c>
      <c r="D191" s="23">
        <f t="shared" si="67"/>
        <v>8489.5321595734458</v>
      </c>
      <c r="E191" s="23">
        <f t="shared" si="67"/>
        <v>8573.7609300350359</v>
      </c>
      <c r="F191" s="23">
        <f t="shared" si="67"/>
        <v>247.798962975264</v>
      </c>
      <c r="G191" s="23">
        <f t="shared" si="67"/>
        <v>248.63085206624265</v>
      </c>
      <c r="H191" s="23">
        <f t="shared" si="67"/>
        <v>55.840555231941572</v>
      </c>
      <c r="I191" s="23">
        <f t="shared" si="67"/>
        <v>55.840555231941572</v>
      </c>
      <c r="J191" s="30">
        <f t="shared" si="68"/>
        <v>945951.8128467619</v>
      </c>
      <c r="K191" s="30">
        <f t="shared" si="68"/>
        <v>749537.52344456513</v>
      </c>
      <c r="L191" s="30">
        <f t="shared" si="68"/>
        <v>99747.222373656958</v>
      </c>
      <c r="M191" s="30">
        <f t="shared" si="68"/>
        <v>36528.717295996066</v>
      </c>
      <c r="N191" s="30">
        <f t="shared" si="68"/>
        <v>946094.57649311831</v>
      </c>
      <c r="O191" s="30">
        <f t="shared" si="68"/>
        <v>98734.604038504986</v>
      </c>
      <c r="P191" s="30">
        <f t="shared" si="68"/>
        <v>17667.945440582767</v>
      </c>
      <c r="Q191" s="30">
        <f t="shared" si="68"/>
        <v>750840.74079682748</v>
      </c>
      <c r="R191" s="30">
        <f t="shared" si="68"/>
        <v>36494.833860655301</v>
      </c>
      <c r="S191" s="30">
        <f t="shared" si="18"/>
        <v>1840.978878048656</v>
      </c>
    </row>
    <row r="192" spans="1:19">
      <c r="A192" s="28">
        <v>47362</v>
      </c>
      <c r="B192" s="29">
        <f t="shared" si="69"/>
        <v>2029</v>
      </c>
      <c r="C192" s="28" t="str">
        <f t="shared" si="70"/>
        <v>Q3</v>
      </c>
      <c r="D192" s="23">
        <f t="shared" si="67"/>
        <v>8503.466301847342</v>
      </c>
      <c r="E192" s="23">
        <f t="shared" si="67"/>
        <v>8544.7487979871566</v>
      </c>
      <c r="F192" s="23">
        <f t="shared" si="67"/>
        <v>250.0866579754553</v>
      </c>
      <c r="G192" s="23">
        <f t="shared" si="67"/>
        <v>249.15078274810429</v>
      </c>
      <c r="H192" s="23">
        <f t="shared" si="67"/>
        <v>53.760832504494964</v>
      </c>
      <c r="I192" s="23">
        <f t="shared" si="67"/>
        <v>53.760832504494964</v>
      </c>
      <c r="J192" s="30">
        <f t="shared" si="68"/>
        <v>945951.8128467619</v>
      </c>
      <c r="K192" s="30">
        <f t="shared" si="68"/>
        <v>749537.52344456513</v>
      </c>
      <c r="L192" s="30">
        <f t="shared" si="68"/>
        <v>99747.222373656958</v>
      </c>
      <c r="M192" s="30">
        <f t="shared" si="68"/>
        <v>36528.717295996066</v>
      </c>
      <c r="N192" s="30">
        <f t="shared" si="68"/>
        <v>946094.57649311831</v>
      </c>
      <c r="O192" s="30">
        <f t="shared" si="68"/>
        <v>98734.604038504986</v>
      </c>
      <c r="P192" s="30">
        <f t="shared" si="68"/>
        <v>17667.945440582767</v>
      </c>
      <c r="Q192" s="30">
        <f t="shared" si="68"/>
        <v>750840.74079682748</v>
      </c>
      <c r="R192" s="30">
        <f t="shared" si="68"/>
        <v>36494.833860655301</v>
      </c>
      <c r="S192" s="30">
        <f t="shared" si="18"/>
        <v>1840.978878048656</v>
      </c>
    </row>
    <row r="193" spans="1:19">
      <c r="A193" s="28">
        <v>47392</v>
      </c>
      <c r="B193" s="29">
        <f t="shared" si="69"/>
        <v>2029</v>
      </c>
      <c r="C193" s="28" t="str">
        <f t="shared" si="70"/>
        <v>Q4</v>
      </c>
      <c r="D193" s="23">
        <f t="shared" si="67"/>
        <v>8505.8579829839055</v>
      </c>
      <c r="E193" s="23">
        <f t="shared" si="67"/>
        <v>8524.3675152581818</v>
      </c>
      <c r="F193" s="23">
        <f t="shared" si="67"/>
        <v>251.75043615741257</v>
      </c>
      <c r="G193" s="23">
        <f t="shared" si="67"/>
        <v>249.25476888447659</v>
      </c>
      <c r="H193" s="23">
        <f t="shared" si="67"/>
        <v>48.249567276761432</v>
      </c>
      <c r="I193" s="23">
        <f t="shared" si="67"/>
        <v>48.249567276761432</v>
      </c>
      <c r="J193" s="30">
        <f t="shared" si="68"/>
        <v>945951.8128467619</v>
      </c>
      <c r="K193" s="30">
        <f t="shared" si="68"/>
        <v>749537.52344456513</v>
      </c>
      <c r="L193" s="30">
        <f t="shared" si="68"/>
        <v>99747.222373656958</v>
      </c>
      <c r="M193" s="30">
        <f t="shared" si="68"/>
        <v>36528.717295996066</v>
      </c>
      <c r="N193" s="30">
        <f t="shared" si="68"/>
        <v>949839.01982536167</v>
      </c>
      <c r="O193" s="30">
        <f t="shared" si="68"/>
        <v>98272.753391185048</v>
      </c>
      <c r="P193" s="30">
        <f t="shared" si="68"/>
        <v>17702.476330102018</v>
      </c>
      <c r="Q193" s="30">
        <f t="shared" si="68"/>
        <v>753846.00727529952</v>
      </c>
      <c r="R193" s="30">
        <f t="shared" si="68"/>
        <v>36436.562984591568</v>
      </c>
      <c r="S193" s="30">
        <f t="shared" si="18"/>
        <v>1832.367335066243</v>
      </c>
    </row>
    <row r="194" spans="1:19">
      <c r="A194" s="28">
        <v>47423</v>
      </c>
      <c r="B194" s="29">
        <f t="shared" si="69"/>
        <v>2029</v>
      </c>
      <c r="C194" s="28" t="str">
        <f t="shared" si="70"/>
        <v>Q4</v>
      </c>
      <c r="D194" s="23">
        <f t="shared" si="67"/>
        <v>8508.1456779840937</v>
      </c>
      <c r="E194" s="23">
        <f t="shared" si="67"/>
        <v>8511.3692482116385</v>
      </c>
      <c r="F194" s="23">
        <f t="shared" si="67"/>
        <v>251.2305054755509</v>
      </c>
      <c r="G194" s="23">
        <f t="shared" si="67"/>
        <v>249.25476888447659</v>
      </c>
      <c r="H194" s="23">
        <f t="shared" si="67"/>
        <v>43.362218867261895</v>
      </c>
      <c r="I194" s="23">
        <f t="shared" si="67"/>
        <v>43.362218867261895</v>
      </c>
      <c r="J194" s="30">
        <f t="shared" si="68"/>
        <v>945951.8128467619</v>
      </c>
      <c r="K194" s="30">
        <f t="shared" si="68"/>
        <v>749537.52344456513</v>
      </c>
      <c r="L194" s="30">
        <f t="shared" si="68"/>
        <v>99747.222373656958</v>
      </c>
      <c r="M194" s="30">
        <f t="shared" si="68"/>
        <v>36528.717295996066</v>
      </c>
      <c r="N194" s="30">
        <f t="shared" si="68"/>
        <v>949839.01982536167</v>
      </c>
      <c r="O194" s="30">
        <f t="shared" si="68"/>
        <v>98272.753391185048</v>
      </c>
      <c r="P194" s="30">
        <f t="shared" si="68"/>
        <v>17702.476330102018</v>
      </c>
      <c r="Q194" s="30">
        <f t="shared" si="68"/>
        <v>753846.00727529952</v>
      </c>
      <c r="R194" s="30">
        <f t="shared" si="68"/>
        <v>36436.562984591568</v>
      </c>
      <c r="S194" s="30">
        <f t="shared" si="18"/>
        <v>1832.367335066243</v>
      </c>
    </row>
    <row r="195" spans="1:19">
      <c r="A195" s="28">
        <v>47453</v>
      </c>
      <c r="B195" s="29">
        <f t="shared" si="69"/>
        <v>2029</v>
      </c>
      <c r="C195" s="28" t="str">
        <f t="shared" si="70"/>
        <v>Q4</v>
      </c>
      <c r="D195" s="23">
        <f t="shared" si="67"/>
        <v>8509.4974977569382</v>
      </c>
      <c r="E195" s="23">
        <f t="shared" si="67"/>
        <v>8502.530426619991</v>
      </c>
      <c r="F195" s="23">
        <f t="shared" si="67"/>
        <v>249.04679661173196</v>
      </c>
      <c r="G195" s="23">
        <f t="shared" si="67"/>
        <v>249.25476888447659</v>
      </c>
      <c r="H195" s="23">
        <f t="shared" si="67"/>
        <v>36.499133866688076</v>
      </c>
      <c r="I195" s="23">
        <f t="shared" si="67"/>
        <v>36.499133866688076</v>
      </c>
      <c r="J195" s="30">
        <f t="shared" si="68"/>
        <v>945951.8128467619</v>
      </c>
      <c r="K195" s="30">
        <f t="shared" si="68"/>
        <v>749537.52344456513</v>
      </c>
      <c r="L195" s="30">
        <f t="shared" si="68"/>
        <v>99747.222373656958</v>
      </c>
      <c r="M195" s="30">
        <f t="shared" si="68"/>
        <v>36528.717295996066</v>
      </c>
      <c r="N195" s="30">
        <f t="shared" si="68"/>
        <v>949839.01982536167</v>
      </c>
      <c r="O195" s="30">
        <f t="shared" si="68"/>
        <v>98272.753391185048</v>
      </c>
      <c r="P195" s="30">
        <f t="shared" si="68"/>
        <v>17702.476330102018</v>
      </c>
      <c r="Q195" s="30">
        <f t="shared" si="68"/>
        <v>753846.00727529952</v>
      </c>
      <c r="R195" s="30">
        <f t="shared" si="68"/>
        <v>36436.562984591568</v>
      </c>
      <c r="S195" s="30">
        <f t="shared" si="18"/>
        <v>1832.367335066243</v>
      </c>
    </row>
    <row r="196" spans="1:19">
      <c r="A196" s="28">
        <v>47484</v>
      </c>
      <c r="B196" s="29">
        <f t="shared" si="69"/>
        <v>2030</v>
      </c>
      <c r="C196" s="28" t="str">
        <f t="shared" si="70"/>
        <v>Q1</v>
      </c>
      <c r="D196" s="23">
        <f>D184*(1+$AC$30)</f>
        <v>8537.2644776853758</v>
      </c>
      <c r="E196" s="23">
        <f t="shared" ref="E196:I196" si="71">E184*(1+$AC$30)</f>
        <v>8493.0374953596984</v>
      </c>
      <c r="F196" s="23">
        <f t="shared" si="71"/>
        <v>251.31332309767535</v>
      </c>
      <c r="G196" s="23">
        <f t="shared" si="71"/>
        <v>253.2905293663527</v>
      </c>
      <c r="H196" s="23">
        <f t="shared" si="71"/>
        <v>30.906855884061937</v>
      </c>
      <c r="I196" s="23">
        <f t="shared" si="71"/>
        <v>30.906855884061937</v>
      </c>
      <c r="J196" s="30">
        <f>J184*(1+$AC$19)</f>
        <v>963924.89729085029</v>
      </c>
      <c r="K196" s="30">
        <f t="shared" ref="K196:R196" si="72">K184*(1+$AC$19)</f>
        <v>763778.73639001185</v>
      </c>
      <c r="L196" s="30">
        <f t="shared" si="72"/>
        <v>101642.41959875643</v>
      </c>
      <c r="M196" s="30">
        <f t="shared" si="72"/>
        <v>37222.762924619987</v>
      </c>
      <c r="N196" s="30">
        <f t="shared" si="72"/>
        <v>962890.65143797197</v>
      </c>
      <c r="O196" s="30">
        <f t="shared" si="72"/>
        <v>100083.38248536077</v>
      </c>
      <c r="P196" s="30">
        <f t="shared" si="72"/>
        <v>18367.749791967668</v>
      </c>
      <c r="Q196" s="30">
        <f t="shared" si="72"/>
        <v>764832.14303909172</v>
      </c>
      <c r="R196" s="30">
        <f t="shared" si="72"/>
        <v>36807.371967066283</v>
      </c>
      <c r="S196" s="30">
        <f t="shared" si="18"/>
        <v>1866.1278382942546</v>
      </c>
    </row>
    <row r="197" spans="1:19">
      <c r="A197" s="28">
        <v>47515</v>
      </c>
      <c r="B197" s="29">
        <f t="shared" si="69"/>
        <v>2030</v>
      </c>
      <c r="C197" s="28" t="str">
        <f t="shared" si="70"/>
        <v>Q1</v>
      </c>
      <c r="D197" s="23">
        <f t="shared" ref="D197:I207" si="73">D185*(1+$AC$30)</f>
        <v>8567.5469526424895</v>
      </c>
      <c r="E197" s="23">
        <f t="shared" si="73"/>
        <v>8497.3040983605315</v>
      </c>
      <c r="F197" s="23">
        <f t="shared" si="73"/>
        <v>253.18646587852757</v>
      </c>
      <c r="G197" s="23">
        <f t="shared" si="73"/>
        <v>256.72462446458178</v>
      </c>
      <c r="H197" s="23">
        <f t="shared" si="73"/>
        <v>29.033713103209692</v>
      </c>
      <c r="I197" s="23">
        <f t="shared" si="73"/>
        <v>29.033713103209692</v>
      </c>
      <c r="J197" s="30">
        <f t="shared" ref="J197:R207" si="74">J185*(1+$AC$19)</f>
        <v>963924.89729085029</v>
      </c>
      <c r="K197" s="30">
        <f t="shared" si="74"/>
        <v>763778.73639001185</v>
      </c>
      <c r="L197" s="30">
        <f t="shared" si="74"/>
        <v>101642.41959875643</v>
      </c>
      <c r="M197" s="30">
        <f t="shared" si="74"/>
        <v>37222.762924619987</v>
      </c>
      <c r="N197" s="30">
        <f t="shared" si="74"/>
        <v>962890.65143797197</v>
      </c>
      <c r="O197" s="30">
        <f t="shared" si="74"/>
        <v>100083.38248536077</v>
      </c>
      <c r="P197" s="30">
        <f t="shared" si="74"/>
        <v>18367.749791967668</v>
      </c>
      <c r="Q197" s="30">
        <f t="shared" si="74"/>
        <v>764832.14303909172</v>
      </c>
      <c r="R197" s="30">
        <f t="shared" si="74"/>
        <v>36807.371967066283</v>
      </c>
      <c r="S197" s="30">
        <f t="shared" si="18"/>
        <v>1866.1278382942546</v>
      </c>
    </row>
    <row r="198" spans="1:19">
      <c r="A198" s="28">
        <v>47543</v>
      </c>
      <c r="B198" s="29">
        <f t="shared" si="69"/>
        <v>2030</v>
      </c>
      <c r="C198" s="28" t="str">
        <f t="shared" si="70"/>
        <v>Q1</v>
      </c>
      <c r="D198" s="23">
        <f t="shared" si="73"/>
        <v>8577.4329839858765</v>
      </c>
      <c r="E198" s="23">
        <f t="shared" si="73"/>
        <v>8486.8977495780182</v>
      </c>
      <c r="F198" s="23">
        <f t="shared" si="73"/>
        <v>255.78805307415573</v>
      </c>
      <c r="G198" s="23">
        <f t="shared" si="73"/>
        <v>257.34900539153256</v>
      </c>
      <c r="H198" s="23">
        <f t="shared" si="73"/>
        <v>32.988125640564419</v>
      </c>
      <c r="I198" s="23">
        <f t="shared" si="73"/>
        <v>32.988125640564419</v>
      </c>
      <c r="J198" s="30">
        <f t="shared" si="74"/>
        <v>963924.89729085029</v>
      </c>
      <c r="K198" s="30">
        <f t="shared" si="74"/>
        <v>763778.73639001185</v>
      </c>
      <c r="L198" s="30">
        <f t="shared" si="74"/>
        <v>101642.41959875643</v>
      </c>
      <c r="M198" s="30">
        <f t="shared" si="74"/>
        <v>37222.762924619987</v>
      </c>
      <c r="N198" s="30">
        <f t="shared" si="74"/>
        <v>962890.65143797197</v>
      </c>
      <c r="O198" s="30">
        <f t="shared" si="74"/>
        <v>100083.38248536077</v>
      </c>
      <c r="P198" s="30">
        <f t="shared" si="74"/>
        <v>18367.749791967668</v>
      </c>
      <c r="Q198" s="30">
        <f t="shared" si="74"/>
        <v>764832.14303909172</v>
      </c>
      <c r="R198" s="30">
        <f t="shared" si="74"/>
        <v>36807.371967066283</v>
      </c>
      <c r="S198" s="30">
        <f t="shared" si="18"/>
        <v>1866.1278382942546</v>
      </c>
    </row>
    <row r="199" spans="1:19">
      <c r="A199" s="28">
        <v>47574</v>
      </c>
      <c r="B199" s="29">
        <f t="shared" si="69"/>
        <v>2030</v>
      </c>
      <c r="C199" s="28" t="str">
        <f t="shared" si="70"/>
        <v>Q2</v>
      </c>
      <c r="D199" s="23">
        <f t="shared" si="73"/>
        <v>8561.7193973242811</v>
      </c>
      <c r="E199" s="23">
        <f t="shared" si="73"/>
        <v>8497.0959713848806</v>
      </c>
      <c r="F199" s="23">
        <f t="shared" si="73"/>
        <v>251.72957704897581</v>
      </c>
      <c r="G199" s="23">
        <f t="shared" si="73"/>
        <v>252.56208495157676</v>
      </c>
      <c r="H199" s="23">
        <f t="shared" si="73"/>
        <v>42.874156983951245</v>
      </c>
      <c r="I199" s="23">
        <f t="shared" si="73"/>
        <v>42.874156983951245</v>
      </c>
      <c r="J199" s="30">
        <f t="shared" si="74"/>
        <v>963924.89729085029</v>
      </c>
      <c r="K199" s="30">
        <f t="shared" si="74"/>
        <v>763778.73639001185</v>
      </c>
      <c r="L199" s="30">
        <f t="shared" si="74"/>
        <v>101642.41959875643</v>
      </c>
      <c r="M199" s="30">
        <f t="shared" si="74"/>
        <v>37222.762924619987</v>
      </c>
      <c r="N199" s="30">
        <f t="shared" si="74"/>
        <v>963067.54461851402</v>
      </c>
      <c r="O199" s="30">
        <f t="shared" si="74"/>
        <v>102450.18062620066</v>
      </c>
      <c r="P199" s="30">
        <f t="shared" si="74"/>
        <v>18429.178900034593</v>
      </c>
      <c r="Q199" s="30">
        <f t="shared" si="74"/>
        <v>762536.9660002857</v>
      </c>
      <c r="R199" s="30">
        <f t="shared" si="74"/>
        <v>37426.847387856651</v>
      </c>
      <c r="S199" s="30">
        <f t="shared" si="18"/>
        <v>1910.2585200174653</v>
      </c>
    </row>
    <row r="200" spans="1:19">
      <c r="A200" s="28">
        <v>47604</v>
      </c>
      <c r="B200" s="29">
        <f t="shared" si="69"/>
        <v>2030</v>
      </c>
      <c r="C200" s="28" t="str">
        <f t="shared" si="70"/>
        <v>Q2</v>
      </c>
      <c r="D200" s="23">
        <f t="shared" si="73"/>
        <v>8541.4270171983826</v>
      </c>
      <c r="E200" s="23">
        <f t="shared" si="73"/>
        <v>8531.228795391522</v>
      </c>
      <c r="F200" s="23">
        <f t="shared" si="73"/>
        <v>250.79300565854967</v>
      </c>
      <c r="G200" s="23">
        <f t="shared" si="73"/>
        <v>250.48081519507431</v>
      </c>
      <c r="H200" s="23">
        <f t="shared" si="73"/>
        <v>50.470791595185311</v>
      </c>
      <c r="I200" s="23">
        <f t="shared" si="73"/>
        <v>50.470791595185311</v>
      </c>
      <c r="J200" s="30">
        <f t="shared" si="74"/>
        <v>963924.89729085029</v>
      </c>
      <c r="K200" s="30">
        <f t="shared" si="74"/>
        <v>763778.73639001185</v>
      </c>
      <c r="L200" s="30">
        <f t="shared" si="74"/>
        <v>101642.41959875643</v>
      </c>
      <c r="M200" s="30">
        <f t="shared" si="74"/>
        <v>37222.762924619987</v>
      </c>
      <c r="N200" s="30">
        <f t="shared" si="74"/>
        <v>963067.54461851402</v>
      </c>
      <c r="O200" s="30">
        <f t="shared" si="74"/>
        <v>102450.18062620066</v>
      </c>
      <c r="P200" s="30">
        <f t="shared" si="74"/>
        <v>18429.178900034593</v>
      </c>
      <c r="Q200" s="30">
        <f t="shared" si="74"/>
        <v>762536.9660002857</v>
      </c>
      <c r="R200" s="30">
        <f t="shared" si="74"/>
        <v>37426.847387856651</v>
      </c>
      <c r="S200" s="30">
        <f t="shared" si="18"/>
        <v>1910.2585200174653</v>
      </c>
    </row>
    <row r="201" spans="1:19">
      <c r="A201" s="28">
        <v>47635</v>
      </c>
      <c r="B201" s="29">
        <f t="shared" si="69"/>
        <v>2030</v>
      </c>
      <c r="C201" s="28" t="str">
        <f t="shared" si="70"/>
        <v>Q2</v>
      </c>
      <c r="D201" s="23">
        <f t="shared" si="73"/>
        <v>8537.9929221001512</v>
      </c>
      <c r="E201" s="23">
        <f t="shared" si="73"/>
        <v>8606.0504431377849</v>
      </c>
      <c r="F201" s="23">
        <f t="shared" si="73"/>
        <v>249.33611682899797</v>
      </c>
      <c r="G201" s="23">
        <f t="shared" si="73"/>
        <v>249.75237078029846</v>
      </c>
      <c r="H201" s="23">
        <f t="shared" si="73"/>
        <v>57.443045279468649</v>
      </c>
      <c r="I201" s="23">
        <f t="shared" si="73"/>
        <v>57.443045279468649</v>
      </c>
      <c r="J201" s="30">
        <f t="shared" si="74"/>
        <v>963924.89729085029</v>
      </c>
      <c r="K201" s="30">
        <f t="shared" si="74"/>
        <v>763778.73639001185</v>
      </c>
      <c r="L201" s="30">
        <f t="shared" si="74"/>
        <v>101642.41959875643</v>
      </c>
      <c r="M201" s="30">
        <f t="shared" si="74"/>
        <v>37222.762924619987</v>
      </c>
      <c r="N201" s="30">
        <f t="shared" si="74"/>
        <v>963067.54461851402</v>
      </c>
      <c r="O201" s="30">
        <f t="shared" si="74"/>
        <v>102450.18062620066</v>
      </c>
      <c r="P201" s="30">
        <f t="shared" si="74"/>
        <v>18429.178900034593</v>
      </c>
      <c r="Q201" s="30">
        <f t="shared" si="74"/>
        <v>762536.9660002857</v>
      </c>
      <c r="R201" s="30">
        <f t="shared" si="74"/>
        <v>37426.847387856651</v>
      </c>
      <c r="S201" s="30">
        <f t="shared" si="18"/>
        <v>1910.2585200174653</v>
      </c>
    </row>
    <row r="202" spans="1:19">
      <c r="A202" s="28">
        <v>47665</v>
      </c>
      <c r="B202" s="29">
        <f t="shared" si="69"/>
        <v>2030</v>
      </c>
      <c r="C202" s="28" t="str">
        <f t="shared" si="70"/>
        <v>Q3</v>
      </c>
      <c r="D202" s="23">
        <f t="shared" si="73"/>
        <v>8559.4327842904313</v>
      </c>
      <c r="E202" s="23">
        <f t="shared" si="73"/>
        <v>8659.318539333326</v>
      </c>
      <c r="F202" s="23">
        <f t="shared" si="73"/>
        <v>252.7571259436331</v>
      </c>
      <c r="G202" s="23">
        <f t="shared" si="73"/>
        <v>254.96048818722642</v>
      </c>
      <c r="H202" s="23">
        <f t="shared" si="73"/>
        <v>55.398822124631913</v>
      </c>
      <c r="I202" s="23">
        <f t="shared" si="73"/>
        <v>55.398822124631913</v>
      </c>
      <c r="J202" s="30">
        <f t="shared" si="74"/>
        <v>963924.89729085029</v>
      </c>
      <c r="K202" s="30">
        <f t="shared" si="74"/>
        <v>763778.73639001185</v>
      </c>
      <c r="L202" s="30">
        <f t="shared" si="74"/>
        <v>101642.41959875643</v>
      </c>
      <c r="M202" s="30">
        <f t="shared" si="74"/>
        <v>37222.762924619987</v>
      </c>
      <c r="N202" s="30">
        <f t="shared" si="74"/>
        <v>964070.37344648747</v>
      </c>
      <c r="O202" s="30">
        <f t="shared" si="74"/>
        <v>100610.56151523656</v>
      </c>
      <c r="P202" s="30">
        <f t="shared" si="74"/>
        <v>18003.636403953838</v>
      </c>
      <c r="Q202" s="30">
        <f t="shared" si="74"/>
        <v>765106.71487196709</v>
      </c>
      <c r="R202" s="30">
        <f t="shared" si="74"/>
        <v>37188.235704007748</v>
      </c>
      <c r="S202" s="30">
        <f t="shared" si="18"/>
        <v>1875.9574767315789</v>
      </c>
    </row>
    <row r="203" spans="1:19">
      <c r="A203" s="28">
        <v>47696</v>
      </c>
      <c r="B203" s="29">
        <f t="shared" si="69"/>
        <v>2030</v>
      </c>
      <c r="C203" s="28" t="str">
        <f t="shared" si="70"/>
        <v>Q3</v>
      </c>
      <c r="D203" s="23">
        <f t="shared" si="73"/>
        <v>8565.9379490096053</v>
      </c>
      <c r="E203" s="23">
        <f t="shared" si="73"/>
        <v>8650.9247784053496</v>
      </c>
      <c r="F203" s="23">
        <f t="shared" si="73"/>
        <v>250.02915364204136</v>
      </c>
      <c r="G203" s="23">
        <f t="shared" si="73"/>
        <v>250.8685297348388</v>
      </c>
      <c r="H203" s="23">
        <f t="shared" si="73"/>
        <v>56.34312022902904</v>
      </c>
      <c r="I203" s="23">
        <f t="shared" si="73"/>
        <v>56.34312022902904</v>
      </c>
      <c r="J203" s="30">
        <f t="shared" si="74"/>
        <v>963924.89729085029</v>
      </c>
      <c r="K203" s="30">
        <f t="shared" si="74"/>
        <v>763778.73639001185</v>
      </c>
      <c r="L203" s="30">
        <f t="shared" si="74"/>
        <v>101642.41959875643</v>
      </c>
      <c r="M203" s="30">
        <f t="shared" si="74"/>
        <v>37222.762924619987</v>
      </c>
      <c r="N203" s="30">
        <f t="shared" si="74"/>
        <v>964070.37344648747</v>
      </c>
      <c r="O203" s="30">
        <f t="shared" si="74"/>
        <v>100610.56151523656</v>
      </c>
      <c r="P203" s="30">
        <f t="shared" si="74"/>
        <v>18003.636403953838</v>
      </c>
      <c r="Q203" s="30">
        <f t="shared" si="74"/>
        <v>765106.71487196709</v>
      </c>
      <c r="R203" s="30">
        <f t="shared" si="74"/>
        <v>37188.235704007748</v>
      </c>
      <c r="S203" s="30">
        <f t="shared" si="18"/>
        <v>1875.9574767315789</v>
      </c>
    </row>
    <row r="204" spans="1:19">
      <c r="A204" s="28">
        <v>47727</v>
      </c>
      <c r="B204" s="29">
        <f t="shared" si="69"/>
        <v>2030</v>
      </c>
      <c r="C204" s="28" t="str">
        <f t="shared" si="70"/>
        <v>Q3</v>
      </c>
      <c r="D204" s="23">
        <f t="shared" si="73"/>
        <v>8579.9974985639674</v>
      </c>
      <c r="E204" s="23">
        <f t="shared" si="73"/>
        <v>8621.6515371690402</v>
      </c>
      <c r="F204" s="23">
        <f t="shared" si="73"/>
        <v>252.33743789723437</v>
      </c>
      <c r="G204" s="23">
        <f t="shared" si="73"/>
        <v>251.39313979283722</v>
      </c>
      <c r="H204" s="23">
        <f t="shared" si="73"/>
        <v>54.244679997035412</v>
      </c>
      <c r="I204" s="23">
        <f t="shared" si="73"/>
        <v>54.244679997035412</v>
      </c>
      <c r="J204" s="30">
        <f t="shared" si="74"/>
        <v>963924.89729085029</v>
      </c>
      <c r="K204" s="30">
        <f t="shared" si="74"/>
        <v>763778.73639001185</v>
      </c>
      <c r="L204" s="30">
        <f t="shared" si="74"/>
        <v>101642.41959875643</v>
      </c>
      <c r="M204" s="30">
        <f t="shared" si="74"/>
        <v>37222.762924619987</v>
      </c>
      <c r="N204" s="30">
        <f t="shared" si="74"/>
        <v>964070.37344648747</v>
      </c>
      <c r="O204" s="30">
        <f t="shared" si="74"/>
        <v>100610.56151523656</v>
      </c>
      <c r="P204" s="30">
        <f t="shared" si="74"/>
        <v>18003.636403953838</v>
      </c>
      <c r="Q204" s="30">
        <f t="shared" si="74"/>
        <v>765106.71487196709</v>
      </c>
      <c r="R204" s="30">
        <f t="shared" si="74"/>
        <v>37188.235704007748</v>
      </c>
      <c r="S204" s="30">
        <f t="shared" si="18"/>
        <v>1875.9574767315789</v>
      </c>
    </row>
    <row r="205" spans="1:19">
      <c r="A205" s="28">
        <v>47757</v>
      </c>
      <c r="B205" s="29">
        <f t="shared" si="69"/>
        <v>2030</v>
      </c>
      <c r="C205" s="28" t="str">
        <f t="shared" si="70"/>
        <v>Q4</v>
      </c>
      <c r="D205" s="23">
        <f t="shared" si="73"/>
        <v>8582.4107048307596</v>
      </c>
      <c r="E205" s="23">
        <f t="shared" si="73"/>
        <v>8601.0868228955042</v>
      </c>
      <c r="F205" s="23">
        <f t="shared" si="73"/>
        <v>254.01619008282924</v>
      </c>
      <c r="G205" s="23">
        <f t="shared" si="73"/>
        <v>251.49806180443684</v>
      </c>
      <c r="H205" s="23">
        <f t="shared" si="73"/>
        <v>48.683813382252282</v>
      </c>
      <c r="I205" s="23">
        <f t="shared" si="73"/>
        <v>48.683813382252282</v>
      </c>
      <c r="J205" s="30">
        <f t="shared" si="74"/>
        <v>963924.89729085029</v>
      </c>
      <c r="K205" s="30">
        <f t="shared" si="74"/>
        <v>763778.73639001185</v>
      </c>
      <c r="L205" s="30">
        <f t="shared" si="74"/>
        <v>101642.41959875643</v>
      </c>
      <c r="M205" s="30">
        <f t="shared" si="74"/>
        <v>37222.762924619987</v>
      </c>
      <c r="N205" s="30">
        <f t="shared" si="74"/>
        <v>967885.96120204346</v>
      </c>
      <c r="O205" s="30">
        <f t="shared" si="74"/>
        <v>100139.93570561755</v>
      </c>
      <c r="P205" s="30">
        <f t="shared" si="74"/>
        <v>18038.823380373953</v>
      </c>
      <c r="Q205" s="30">
        <f t="shared" si="74"/>
        <v>768169.08141353016</v>
      </c>
      <c r="R205" s="30">
        <f t="shared" si="74"/>
        <v>37128.857681298803</v>
      </c>
      <c r="S205" s="30">
        <f t="shared" si="18"/>
        <v>1867.1823144325026</v>
      </c>
    </row>
    <row r="206" spans="1:19">
      <c r="A206" s="28">
        <v>47788</v>
      </c>
      <c r="B206" s="29">
        <f t="shared" si="69"/>
        <v>2030</v>
      </c>
      <c r="C206" s="28" t="str">
        <f t="shared" si="70"/>
        <v>Q4</v>
      </c>
      <c r="D206" s="23">
        <f t="shared" si="73"/>
        <v>8584.7189890859499</v>
      </c>
      <c r="E206" s="23">
        <f t="shared" si="73"/>
        <v>8587.9715714455415</v>
      </c>
      <c r="F206" s="23">
        <f t="shared" si="73"/>
        <v>253.49158002483082</v>
      </c>
      <c r="G206" s="23">
        <f t="shared" si="73"/>
        <v>251.49806180443684</v>
      </c>
      <c r="H206" s="23">
        <f t="shared" si="73"/>
        <v>43.752478837067244</v>
      </c>
      <c r="I206" s="23">
        <f t="shared" si="73"/>
        <v>43.752478837067244</v>
      </c>
      <c r="J206" s="30">
        <f t="shared" si="74"/>
        <v>963924.89729085029</v>
      </c>
      <c r="K206" s="30">
        <f t="shared" si="74"/>
        <v>763778.73639001185</v>
      </c>
      <c r="L206" s="30">
        <f t="shared" si="74"/>
        <v>101642.41959875643</v>
      </c>
      <c r="M206" s="30">
        <f t="shared" si="74"/>
        <v>37222.762924619987</v>
      </c>
      <c r="N206" s="30">
        <f t="shared" si="74"/>
        <v>967885.96120204346</v>
      </c>
      <c r="O206" s="30">
        <f t="shared" si="74"/>
        <v>100139.93570561755</v>
      </c>
      <c r="P206" s="30">
        <f t="shared" si="74"/>
        <v>18038.823380373953</v>
      </c>
      <c r="Q206" s="30">
        <f t="shared" si="74"/>
        <v>768169.08141353016</v>
      </c>
      <c r="R206" s="30">
        <f t="shared" si="74"/>
        <v>37128.857681298803</v>
      </c>
      <c r="S206" s="30">
        <f t="shared" si="18"/>
        <v>1867.1823144325026</v>
      </c>
    </row>
    <row r="207" spans="1:19">
      <c r="A207" s="28">
        <v>47818</v>
      </c>
      <c r="B207" s="29">
        <f t="shared" si="69"/>
        <v>2030</v>
      </c>
      <c r="C207" s="28" t="str">
        <f t="shared" si="70"/>
        <v>Q4</v>
      </c>
      <c r="D207" s="23">
        <f t="shared" si="73"/>
        <v>8586.0829752367499</v>
      </c>
      <c r="E207" s="23">
        <f t="shared" si="73"/>
        <v>8579.0532004595698</v>
      </c>
      <c r="F207" s="23">
        <f t="shared" si="73"/>
        <v>251.28821778123753</v>
      </c>
      <c r="G207" s="23">
        <f t="shared" si="73"/>
        <v>251.49806180443684</v>
      </c>
      <c r="H207" s="23">
        <f t="shared" si="73"/>
        <v>36.827626071488268</v>
      </c>
      <c r="I207" s="23">
        <f t="shared" si="73"/>
        <v>36.827626071488268</v>
      </c>
      <c r="J207" s="30">
        <f t="shared" si="74"/>
        <v>963924.89729085029</v>
      </c>
      <c r="K207" s="30">
        <f t="shared" si="74"/>
        <v>763778.73639001185</v>
      </c>
      <c r="L207" s="30">
        <f t="shared" si="74"/>
        <v>101642.41959875643</v>
      </c>
      <c r="M207" s="30">
        <f t="shared" si="74"/>
        <v>37222.762924619987</v>
      </c>
      <c r="N207" s="30">
        <f t="shared" si="74"/>
        <v>967885.96120204346</v>
      </c>
      <c r="O207" s="30">
        <f t="shared" si="74"/>
        <v>100139.93570561755</v>
      </c>
      <c r="P207" s="30">
        <f t="shared" si="74"/>
        <v>18038.823380373953</v>
      </c>
      <c r="Q207" s="30">
        <f t="shared" si="74"/>
        <v>768169.08141353016</v>
      </c>
      <c r="R207" s="30">
        <f t="shared" si="74"/>
        <v>37128.857681298803</v>
      </c>
      <c r="S207" s="30">
        <f t="shared" si="18"/>
        <v>1867.1823144325026</v>
      </c>
    </row>
    <row r="208" spans="1:19">
      <c r="A208" s="28">
        <v>47849</v>
      </c>
      <c r="B208" s="29">
        <f t="shared" si="69"/>
        <v>2031</v>
      </c>
      <c r="C208" s="28" t="str">
        <f t="shared" si="70"/>
        <v>Q1</v>
      </c>
      <c r="D208" s="23">
        <f>D196*(1+$AC$31)</f>
        <v>8614.0998579845436</v>
      </c>
      <c r="E208" s="23">
        <f t="shared" ref="E208:I208" si="75">E196*(1+$AC$31)</f>
        <v>8569.4748328179339</v>
      </c>
      <c r="F208" s="23">
        <f t="shared" si="75"/>
        <v>253.57514300555439</v>
      </c>
      <c r="G208" s="23">
        <f t="shared" si="75"/>
        <v>255.57014413064985</v>
      </c>
      <c r="H208" s="23">
        <f t="shared" si="75"/>
        <v>31.185017587018493</v>
      </c>
      <c r="I208" s="23">
        <f t="shared" si="75"/>
        <v>31.185017587018493</v>
      </c>
      <c r="J208" s="30">
        <f>J196*(1+$AC$20)</f>
        <v>982239.47033937636</v>
      </c>
      <c r="K208" s="30">
        <f t="shared" ref="K208:R208" si="76">K196*(1+$AC$20)</f>
        <v>778290.532381422</v>
      </c>
      <c r="L208" s="30">
        <f t="shared" si="76"/>
        <v>103573.6255711328</v>
      </c>
      <c r="M208" s="30">
        <f t="shared" si="76"/>
        <v>37929.995420187763</v>
      </c>
      <c r="N208" s="30">
        <f t="shared" si="76"/>
        <v>981185.57381529338</v>
      </c>
      <c r="O208" s="30">
        <f t="shared" si="76"/>
        <v>101984.96675258261</v>
      </c>
      <c r="P208" s="30">
        <f t="shared" si="76"/>
        <v>18716.737038015053</v>
      </c>
      <c r="Q208" s="30">
        <f t="shared" si="76"/>
        <v>779363.95375683438</v>
      </c>
      <c r="R208" s="30">
        <f t="shared" si="76"/>
        <v>37506.712034440541</v>
      </c>
      <c r="S208" s="30">
        <f t="shared" si="18"/>
        <v>1901.5842672218423</v>
      </c>
    </row>
    <row r="209" spans="1:19">
      <c r="A209" s="28">
        <v>47880</v>
      </c>
      <c r="B209" s="29">
        <f t="shared" si="69"/>
        <v>2031</v>
      </c>
      <c r="C209" s="28" t="str">
        <f t="shared" si="70"/>
        <v>Q1</v>
      </c>
      <c r="D209" s="23">
        <f t="shared" ref="D209:I219" si="77">D197*(1+$AC$31)</f>
        <v>8644.6548752162707</v>
      </c>
      <c r="E209" s="23">
        <f t="shared" si="77"/>
        <v>8573.7798352457758</v>
      </c>
      <c r="F209" s="23">
        <f t="shared" si="77"/>
        <v>255.46514407143428</v>
      </c>
      <c r="G209" s="23">
        <f t="shared" si="77"/>
        <v>259.03514608476297</v>
      </c>
      <c r="H209" s="23">
        <f t="shared" si="77"/>
        <v>29.295016521138578</v>
      </c>
      <c r="I209" s="23">
        <f t="shared" si="77"/>
        <v>29.295016521138578</v>
      </c>
      <c r="J209" s="30">
        <f t="shared" ref="J209:R219" si="78">J197*(1+$AC$20)</f>
        <v>982239.47033937636</v>
      </c>
      <c r="K209" s="30">
        <f t="shared" si="78"/>
        <v>778290.532381422</v>
      </c>
      <c r="L209" s="30">
        <f t="shared" si="78"/>
        <v>103573.6255711328</v>
      </c>
      <c r="M209" s="30">
        <f t="shared" si="78"/>
        <v>37929.995420187763</v>
      </c>
      <c r="N209" s="30">
        <f t="shared" si="78"/>
        <v>981185.57381529338</v>
      </c>
      <c r="O209" s="30">
        <f t="shared" si="78"/>
        <v>101984.96675258261</v>
      </c>
      <c r="P209" s="30">
        <f t="shared" si="78"/>
        <v>18716.737038015053</v>
      </c>
      <c r="Q209" s="30">
        <f t="shared" si="78"/>
        <v>779363.95375683438</v>
      </c>
      <c r="R209" s="30">
        <f t="shared" si="78"/>
        <v>37506.712034440541</v>
      </c>
      <c r="S209" s="30">
        <f t="shared" ref="S209:S219" si="79">O209-O197</f>
        <v>1901.5842672218423</v>
      </c>
    </row>
    <row r="210" spans="1:19">
      <c r="A210" s="28">
        <v>47908</v>
      </c>
      <c r="B210" s="29">
        <f t="shared" si="69"/>
        <v>2031</v>
      </c>
      <c r="C210" s="28" t="str">
        <f t="shared" si="70"/>
        <v>Q1</v>
      </c>
      <c r="D210" s="23">
        <f t="shared" si="77"/>
        <v>8654.6298808417487</v>
      </c>
      <c r="E210" s="23">
        <f t="shared" si="77"/>
        <v>8563.2798293242195</v>
      </c>
      <c r="F210" s="23">
        <f t="shared" si="77"/>
        <v>258.09014555182313</v>
      </c>
      <c r="G210" s="23">
        <f t="shared" si="77"/>
        <v>259.66514644005633</v>
      </c>
      <c r="H210" s="23">
        <f t="shared" si="77"/>
        <v>33.285018771329497</v>
      </c>
      <c r="I210" s="23">
        <f t="shared" si="77"/>
        <v>33.285018771329497</v>
      </c>
      <c r="J210" s="30">
        <f t="shared" si="78"/>
        <v>982239.47033937636</v>
      </c>
      <c r="K210" s="30">
        <f t="shared" si="78"/>
        <v>778290.532381422</v>
      </c>
      <c r="L210" s="30">
        <f t="shared" si="78"/>
        <v>103573.6255711328</v>
      </c>
      <c r="M210" s="30">
        <f t="shared" si="78"/>
        <v>37929.995420187763</v>
      </c>
      <c r="N210" s="30">
        <f t="shared" si="78"/>
        <v>981185.57381529338</v>
      </c>
      <c r="O210" s="30">
        <f t="shared" si="78"/>
        <v>101984.96675258261</v>
      </c>
      <c r="P210" s="30">
        <f t="shared" si="78"/>
        <v>18716.737038015053</v>
      </c>
      <c r="Q210" s="30">
        <f t="shared" si="78"/>
        <v>779363.95375683438</v>
      </c>
      <c r="R210" s="30">
        <f t="shared" si="78"/>
        <v>37506.712034440541</v>
      </c>
      <c r="S210" s="30">
        <f t="shared" si="79"/>
        <v>1901.5842672218423</v>
      </c>
    </row>
    <row r="211" spans="1:19">
      <c r="A211" s="28">
        <v>47939</v>
      </c>
      <c r="B211" s="29">
        <f t="shared" si="69"/>
        <v>2031</v>
      </c>
      <c r="C211" s="28" t="str">
        <f t="shared" si="70"/>
        <v>Q2</v>
      </c>
      <c r="D211" s="23">
        <f t="shared" si="77"/>
        <v>8638.7748719001993</v>
      </c>
      <c r="E211" s="23">
        <f t="shared" si="77"/>
        <v>8573.569835127344</v>
      </c>
      <c r="F211" s="23">
        <f t="shared" si="77"/>
        <v>253.99514324241656</v>
      </c>
      <c r="G211" s="23">
        <f t="shared" si="77"/>
        <v>254.83514371614092</v>
      </c>
      <c r="H211" s="23">
        <f t="shared" si="77"/>
        <v>43.260024396806799</v>
      </c>
      <c r="I211" s="23">
        <f t="shared" si="77"/>
        <v>43.260024396806799</v>
      </c>
      <c r="J211" s="30">
        <f t="shared" si="78"/>
        <v>982239.47033937636</v>
      </c>
      <c r="K211" s="30">
        <f t="shared" si="78"/>
        <v>778290.532381422</v>
      </c>
      <c r="L211" s="30">
        <f t="shared" si="78"/>
        <v>103573.6255711328</v>
      </c>
      <c r="M211" s="30">
        <f t="shared" si="78"/>
        <v>37929.995420187763</v>
      </c>
      <c r="N211" s="30">
        <f t="shared" si="78"/>
        <v>981365.82796626573</v>
      </c>
      <c r="O211" s="30">
        <f t="shared" si="78"/>
        <v>104396.73405809846</v>
      </c>
      <c r="P211" s="30">
        <f t="shared" si="78"/>
        <v>18779.333299135247</v>
      </c>
      <c r="Q211" s="30">
        <f t="shared" si="78"/>
        <v>777025.168354291</v>
      </c>
      <c r="R211" s="30">
        <f t="shared" si="78"/>
        <v>38137.957488225926</v>
      </c>
      <c r="S211" s="30">
        <f t="shared" si="79"/>
        <v>1946.5534318978025</v>
      </c>
    </row>
    <row r="212" spans="1:19">
      <c r="A212" s="28">
        <v>47969</v>
      </c>
      <c r="B212" s="29">
        <f t="shared" si="69"/>
        <v>2031</v>
      </c>
      <c r="C212" s="28" t="str">
        <f t="shared" si="70"/>
        <v>Q2</v>
      </c>
      <c r="D212" s="23">
        <f t="shared" si="77"/>
        <v>8618.2998603531669</v>
      </c>
      <c r="E212" s="23">
        <f t="shared" si="77"/>
        <v>8608.0098545500441</v>
      </c>
      <c r="F212" s="23">
        <f t="shared" si="77"/>
        <v>253.0501427094766</v>
      </c>
      <c r="G212" s="23">
        <f t="shared" si="77"/>
        <v>252.73514253182995</v>
      </c>
      <c r="H212" s="23">
        <f t="shared" si="77"/>
        <v>50.92502871954197</v>
      </c>
      <c r="I212" s="23">
        <f t="shared" si="77"/>
        <v>50.92502871954197</v>
      </c>
      <c r="J212" s="30">
        <f>J200*(1+$AC$20)</f>
        <v>982239.47033937636</v>
      </c>
      <c r="K212" s="30">
        <f t="shared" ref="K212:R212" si="80">K200*(1+$AC$20)</f>
        <v>778290.532381422</v>
      </c>
      <c r="L212" s="30">
        <f t="shared" si="80"/>
        <v>103573.6255711328</v>
      </c>
      <c r="M212" s="30">
        <f t="shared" si="80"/>
        <v>37929.995420187763</v>
      </c>
      <c r="N212" s="30">
        <f t="shared" si="80"/>
        <v>981365.82796626573</v>
      </c>
      <c r="O212" s="30">
        <f t="shared" si="80"/>
        <v>104396.73405809846</v>
      </c>
      <c r="P212" s="30">
        <f t="shared" si="80"/>
        <v>18779.333299135247</v>
      </c>
      <c r="Q212" s="30">
        <f t="shared" si="80"/>
        <v>777025.168354291</v>
      </c>
      <c r="R212" s="30">
        <f t="shared" si="80"/>
        <v>38137.957488225926</v>
      </c>
      <c r="S212" s="30">
        <f t="shared" si="79"/>
        <v>1946.5534318978025</v>
      </c>
    </row>
    <row r="213" spans="1:19">
      <c r="A213" s="28">
        <v>48000</v>
      </c>
      <c r="B213" s="29">
        <f t="shared" si="69"/>
        <v>2031</v>
      </c>
      <c r="C213" s="28" t="str">
        <f t="shared" si="70"/>
        <v>Q2</v>
      </c>
      <c r="D213" s="23">
        <f t="shared" si="77"/>
        <v>8614.8348583990519</v>
      </c>
      <c r="E213" s="23">
        <f t="shared" si="77"/>
        <v>8683.5048971260239</v>
      </c>
      <c r="F213" s="23">
        <f t="shared" si="77"/>
        <v>251.58014188045894</v>
      </c>
      <c r="G213" s="23">
        <f t="shared" si="77"/>
        <v>252.00014211732113</v>
      </c>
      <c r="H213" s="23">
        <f t="shared" si="77"/>
        <v>57.960032686983858</v>
      </c>
      <c r="I213" s="23">
        <f t="shared" si="77"/>
        <v>57.960032686983858</v>
      </c>
      <c r="J213" s="30">
        <f t="shared" si="78"/>
        <v>982239.47033937636</v>
      </c>
      <c r="K213" s="30">
        <f t="shared" si="78"/>
        <v>778290.532381422</v>
      </c>
      <c r="L213" s="30">
        <f t="shared" si="78"/>
        <v>103573.6255711328</v>
      </c>
      <c r="M213" s="30">
        <f t="shared" si="78"/>
        <v>37929.995420187763</v>
      </c>
      <c r="N213" s="30">
        <f t="shared" si="78"/>
        <v>981365.82796626573</v>
      </c>
      <c r="O213" s="30">
        <f t="shared" si="78"/>
        <v>104396.73405809846</v>
      </c>
      <c r="P213" s="30">
        <f t="shared" si="78"/>
        <v>18779.333299135247</v>
      </c>
      <c r="Q213" s="30">
        <f t="shared" si="78"/>
        <v>777025.168354291</v>
      </c>
      <c r="R213" s="30">
        <f t="shared" si="78"/>
        <v>38137.957488225926</v>
      </c>
      <c r="S213" s="30">
        <f t="shared" si="79"/>
        <v>1946.5534318978025</v>
      </c>
    </row>
    <row r="214" spans="1:19">
      <c r="A214" s="28">
        <v>48030</v>
      </c>
      <c r="B214" s="29">
        <f t="shared" si="69"/>
        <v>2031</v>
      </c>
      <c r="C214" s="28" t="str">
        <f t="shared" si="70"/>
        <v>Q3</v>
      </c>
      <c r="D214" s="23">
        <f t="shared" si="77"/>
        <v>8636.4676793490435</v>
      </c>
      <c r="E214" s="23">
        <f t="shared" si="77"/>
        <v>8737.2524061873246</v>
      </c>
      <c r="F214" s="23">
        <f t="shared" si="77"/>
        <v>255.03194007712577</v>
      </c>
      <c r="G214" s="23">
        <f t="shared" si="77"/>
        <v>257.25513258091144</v>
      </c>
      <c r="H214" s="23">
        <f t="shared" si="77"/>
        <v>55.897411523753597</v>
      </c>
      <c r="I214" s="23">
        <f t="shared" si="77"/>
        <v>55.897411523753597</v>
      </c>
      <c r="J214" s="30">
        <f t="shared" si="78"/>
        <v>982239.47033937636</v>
      </c>
      <c r="K214" s="30">
        <f t="shared" si="78"/>
        <v>778290.532381422</v>
      </c>
      <c r="L214" s="30">
        <f t="shared" si="78"/>
        <v>103573.6255711328</v>
      </c>
      <c r="M214" s="30">
        <f t="shared" si="78"/>
        <v>37929.995420187763</v>
      </c>
      <c r="N214" s="30">
        <f t="shared" si="78"/>
        <v>982387.71054197068</v>
      </c>
      <c r="O214" s="30">
        <f t="shared" si="78"/>
        <v>102522.16218402605</v>
      </c>
      <c r="P214" s="30">
        <f t="shared" si="78"/>
        <v>18345.705495628961</v>
      </c>
      <c r="Q214" s="30">
        <f t="shared" si="78"/>
        <v>779643.7424545344</v>
      </c>
      <c r="R214" s="30">
        <f t="shared" si="78"/>
        <v>37894.812182383888</v>
      </c>
      <c r="S214" s="30">
        <f t="shared" si="79"/>
        <v>1911.6006687894842</v>
      </c>
    </row>
    <row r="215" spans="1:19">
      <c r="A215" s="28">
        <v>48061</v>
      </c>
      <c r="B215" s="29">
        <f t="shared" si="69"/>
        <v>2031</v>
      </c>
      <c r="C215" s="28" t="str">
        <f t="shared" si="70"/>
        <v>Q3</v>
      </c>
      <c r="D215" s="23">
        <f t="shared" si="77"/>
        <v>8643.03139055069</v>
      </c>
      <c r="E215" s="23">
        <f t="shared" si="77"/>
        <v>8728.7831014109961</v>
      </c>
      <c r="F215" s="23">
        <f t="shared" si="77"/>
        <v>252.27941602481971</v>
      </c>
      <c r="G215" s="23">
        <f t="shared" si="77"/>
        <v>253.12634650245232</v>
      </c>
      <c r="H215" s="23">
        <f t="shared" si="77"/>
        <v>56.850208311090299</v>
      </c>
      <c r="I215" s="23">
        <f t="shared" si="77"/>
        <v>56.850208311090299</v>
      </c>
      <c r="J215" s="30">
        <f t="shared" si="78"/>
        <v>982239.47033937636</v>
      </c>
      <c r="K215" s="30">
        <f t="shared" si="78"/>
        <v>778290.532381422</v>
      </c>
      <c r="L215" s="30">
        <f t="shared" si="78"/>
        <v>103573.6255711328</v>
      </c>
      <c r="M215" s="30">
        <f t="shared" si="78"/>
        <v>37929.995420187763</v>
      </c>
      <c r="N215" s="30">
        <f t="shared" si="78"/>
        <v>982387.71054197068</v>
      </c>
      <c r="O215" s="30">
        <f t="shared" si="78"/>
        <v>102522.16218402605</v>
      </c>
      <c r="P215" s="30">
        <f t="shared" si="78"/>
        <v>18345.705495628961</v>
      </c>
      <c r="Q215" s="30">
        <f t="shared" si="78"/>
        <v>779643.7424545344</v>
      </c>
      <c r="R215" s="30">
        <f t="shared" si="78"/>
        <v>37894.812182383888</v>
      </c>
      <c r="S215" s="30">
        <f t="shared" si="79"/>
        <v>1911.6006687894842</v>
      </c>
    </row>
    <row r="216" spans="1:19">
      <c r="A216" s="28">
        <v>48092</v>
      </c>
      <c r="B216" s="29">
        <f t="shared" si="69"/>
        <v>2031</v>
      </c>
      <c r="C216" s="28" t="str">
        <f t="shared" si="70"/>
        <v>Q3</v>
      </c>
      <c r="D216" s="23">
        <f t="shared" si="77"/>
        <v>8657.2174760510425</v>
      </c>
      <c r="E216" s="23">
        <f t="shared" si="77"/>
        <v>8699.2464010035601</v>
      </c>
      <c r="F216" s="23">
        <f t="shared" si="77"/>
        <v>254.60847483830946</v>
      </c>
      <c r="G216" s="23">
        <f t="shared" si="77"/>
        <v>253.65567805097274</v>
      </c>
      <c r="H216" s="23">
        <f t="shared" si="77"/>
        <v>54.732882117008728</v>
      </c>
      <c r="I216" s="23">
        <f t="shared" si="77"/>
        <v>54.732882117008728</v>
      </c>
      <c r="J216" s="30">
        <f t="shared" si="78"/>
        <v>982239.47033937636</v>
      </c>
      <c r="K216" s="30">
        <f t="shared" si="78"/>
        <v>778290.532381422</v>
      </c>
      <c r="L216" s="30">
        <f t="shared" si="78"/>
        <v>103573.6255711328</v>
      </c>
      <c r="M216" s="30">
        <f t="shared" si="78"/>
        <v>37929.995420187763</v>
      </c>
      <c r="N216" s="30">
        <f t="shared" si="78"/>
        <v>982387.71054197068</v>
      </c>
      <c r="O216" s="30">
        <f t="shared" si="78"/>
        <v>102522.16218402605</v>
      </c>
      <c r="P216" s="30">
        <f t="shared" si="78"/>
        <v>18345.705495628961</v>
      </c>
      <c r="Q216" s="30">
        <f t="shared" si="78"/>
        <v>779643.7424545344</v>
      </c>
      <c r="R216" s="30">
        <f t="shared" si="78"/>
        <v>37894.812182383888</v>
      </c>
      <c r="S216" s="30">
        <f t="shared" si="79"/>
        <v>1911.6006687894842</v>
      </c>
    </row>
    <row r="217" spans="1:19">
      <c r="A217" s="28">
        <v>48122</v>
      </c>
      <c r="B217" s="29">
        <f t="shared" si="69"/>
        <v>2031</v>
      </c>
      <c r="C217" s="28" t="str">
        <f t="shared" si="70"/>
        <v>Q4</v>
      </c>
      <c r="D217" s="23">
        <f t="shared" si="77"/>
        <v>8659.6524011742349</v>
      </c>
      <c r="E217" s="23">
        <f t="shared" si="77"/>
        <v>8678.4966043015629</v>
      </c>
      <c r="F217" s="23">
        <f t="shared" si="77"/>
        <v>256.30233579357468</v>
      </c>
      <c r="G217" s="23">
        <f t="shared" si="77"/>
        <v>253.76154436067674</v>
      </c>
      <c r="H217" s="23">
        <f t="shared" si="77"/>
        <v>49.121967702692551</v>
      </c>
      <c r="I217" s="23">
        <f t="shared" si="77"/>
        <v>49.121967702692551</v>
      </c>
      <c r="J217" s="30">
        <f t="shared" si="78"/>
        <v>982239.47033937636</v>
      </c>
      <c r="K217" s="30">
        <f t="shared" si="78"/>
        <v>778290.532381422</v>
      </c>
      <c r="L217" s="30">
        <f t="shared" si="78"/>
        <v>103573.6255711328</v>
      </c>
      <c r="M217" s="30">
        <f t="shared" si="78"/>
        <v>37929.995420187763</v>
      </c>
      <c r="N217" s="30">
        <f t="shared" si="78"/>
        <v>986275.79446488223</v>
      </c>
      <c r="O217" s="30">
        <f t="shared" si="78"/>
        <v>102042.59448402427</v>
      </c>
      <c r="P217" s="30">
        <f t="shared" si="78"/>
        <v>18381.561024601058</v>
      </c>
      <c r="Q217" s="30">
        <f t="shared" si="78"/>
        <v>782764.29396038712</v>
      </c>
      <c r="R217" s="30">
        <f t="shared" si="78"/>
        <v>37834.305977243479</v>
      </c>
      <c r="S217" s="30">
        <f t="shared" si="79"/>
        <v>1902.6587784067233</v>
      </c>
    </row>
    <row r="218" spans="1:19">
      <c r="A218" s="28">
        <v>48153</v>
      </c>
      <c r="B218" s="29">
        <f t="shared" si="69"/>
        <v>2031</v>
      </c>
      <c r="C218" s="28" t="str">
        <f t="shared" si="70"/>
        <v>Q4</v>
      </c>
      <c r="D218" s="23">
        <f t="shared" si="77"/>
        <v>8661.9814599877227</v>
      </c>
      <c r="E218" s="23">
        <f t="shared" si="77"/>
        <v>8665.2633155885505</v>
      </c>
      <c r="F218" s="23">
        <f t="shared" si="77"/>
        <v>255.77300424505427</v>
      </c>
      <c r="G218" s="23">
        <f t="shared" si="77"/>
        <v>253.76154436067674</v>
      </c>
      <c r="H218" s="23">
        <f t="shared" si="77"/>
        <v>44.146251146600846</v>
      </c>
      <c r="I218" s="23">
        <f t="shared" si="77"/>
        <v>44.146251146600846</v>
      </c>
      <c r="J218" s="30">
        <f t="shared" si="78"/>
        <v>982239.47033937636</v>
      </c>
      <c r="K218" s="30">
        <f t="shared" si="78"/>
        <v>778290.532381422</v>
      </c>
      <c r="L218" s="30">
        <f t="shared" si="78"/>
        <v>103573.6255711328</v>
      </c>
      <c r="M218" s="30">
        <f t="shared" si="78"/>
        <v>37929.995420187763</v>
      </c>
      <c r="N218" s="30">
        <f t="shared" si="78"/>
        <v>986275.79446488223</v>
      </c>
      <c r="O218" s="30">
        <f t="shared" si="78"/>
        <v>102042.59448402427</v>
      </c>
      <c r="P218" s="30">
        <f t="shared" si="78"/>
        <v>18381.561024601058</v>
      </c>
      <c r="Q218" s="30">
        <f t="shared" si="78"/>
        <v>782764.29396038712</v>
      </c>
      <c r="R218" s="30">
        <f t="shared" si="78"/>
        <v>37834.305977243479</v>
      </c>
      <c r="S218" s="30">
        <f t="shared" si="79"/>
        <v>1902.6587784067233</v>
      </c>
    </row>
    <row r="219" spans="1:19">
      <c r="A219" s="28">
        <v>48183</v>
      </c>
      <c r="B219" s="29">
        <f t="shared" si="69"/>
        <v>2031</v>
      </c>
      <c r="C219" s="28" t="str">
        <f t="shared" si="70"/>
        <v>Q4</v>
      </c>
      <c r="D219" s="23">
        <f t="shared" si="77"/>
        <v>8663.3577220138795</v>
      </c>
      <c r="E219" s="23">
        <f t="shared" si="77"/>
        <v>8656.2646792637042</v>
      </c>
      <c r="F219" s="23">
        <f t="shared" si="77"/>
        <v>253.54981174126866</v>
      </c>
      <c r="G219" s="23">
        <f t="shared" si="77"/>
        <v>253.76154436067674</v>
      </c>
      <c r="H219" s="23">
        <f t="shared" si="77"/>
        <v>37.159074706131662</v>
      </c>
      <c r="I219" s="23">
        <f t="shared" si="77"/>
        <v>37.159074706131662</v>
      </c>
      <c r="J219" s="30">
        <f t="shared" si="78"/>
        <v>982239.47033937636</v>
      </c>
      <c r="K219" s="30">
        <f t="shared" si="78"/>
        <v>778290.532381422</v>
      </c>
      <c r="L219" s="30">
        <f t="shared" si="78"/>
        <v>103573.6255711328</v>
      </c>
      <c r="M219" s="30">
        <f t="shared" si="78"/>
        <v>37929.995420187763</v>
      </c>
      <c r="N219" s="30">
        <f t="shared" si="78"/>
        <v>986275.79446488223</v>
      </c>
      <c r="O219" s="30">
        <f t="shared" si="78"/>
        <v>102042.59448402427</v>
      </c>
      <c r="P219" s="30">
        <f t="shared" si="78"/>
        <v>18381.561024601058</v>
      </c>
      <c r="Q219" s="30">
        <f t="shared" si="78"/>
        <v>782764.29396038712</v>
      </c>
      <c r="R219" s="30">
        <f t="shared" si="78"/>
        <v>37834.305977243479</v>
      </c>
      <c r="S219" s="30">
        <f t="shared" si="79"/>
        <v>1902.6587784067233</v>
      </c>
    </row>
    <row r="220" spans="1:19">
      <c r="A220" s="21"/>
      <c r="B220" s="22"/>
      <c r="C220" s="21"/>
      <c r="D220" s="20"/>
      <c r="E220" s="20"/>
      <c r="F220" s="20"/>
      <c r="G220" s="20"/>
      <c r="H220" s="20"/>
      <c r="I220" s="20"/>
      <c r="J220" s="27"/>
      <c r="K220" s="27"/>
      <c r="L220" s="27"/>
      <c r="M220" s="27"/>
      <c r="N220" s="27"/>
      <c r="O220" s="27"/>
      <c r="P220" s="27"/>
      <c r="Q220" s="27"/>
      <c r="R220" s="27"/>
    </row>
    <row r="221" spans="1:19" ht="108.75" customHeight="1">
      <c r="C221" s="2"/>
      <c r="J221" s="1" t="s">
        <v>82</v>
      </c>
      <c r="K221" s="1" t="s">
        <v>85</v>
      </c>
      <c r="L221" s="1" t="s">
        <v>86</v>
      </c>
      <c r="M221" s="1" t="s">
        <v>87</v>
      </c>
      <c r="N221" s="14" t="s">
        <v>74</v>
      </c>
      <c r="O221" s="14" t="s">
        <v>95</v>
      </c>
      <c r="P221" s="14" t="s">
        <v>96</v>
      </c>
      <c r="Q221" s="14" t="s">
        <v>97</v>
      </c>
      <c r="R221" s="14" t="s">
        <v>98</v>
      </c>
      <c r="S221" s="24"/>
    </row>
    <row r="227" spans="1:29" s="14" customFormat="1">
      <c r="A227"/>
      <c r="B227">
        <v>2014</v>
      </c>
      <c r="C227"/>
      <c r="D227" s="25">
        <f t="shared" ref="D227:G237" si="81">SUMIFS(D$4:D$147,$B$4:$B$147,$B227)</f>
        <v>81811</v>
      </c>
      <c r="E227" s="25">
        <f t="shared" si="81"/>
        <v>81830.8</v>
      </c>
      <c r="F227" s="25">
        <f t="shared" si="81"/>
        <v>2358.8000000000002</v>
      </c>
      <c r="G227" s="25">
        <f t="shared" si="81"/>
        <v>2360.1000000000004</v>
      </c>
      <c r="H227" s="25">
        <f t="shared" ref="H227:I237" si="82">SUMIFS(H$4:H$147,$B$4:$B$147,$B227)</f>
        <v>414.7</v>
      </c>
      <c r="I227" s="25">
        <f t="shared" si="82"/>
        <v>414.7</v>
      </c>
      <c r="J227" s="25">
        <f t="shared" ref="J227:M237" si="83">SUMIFS(J$4:J$147,$B$4:$B$147,$B227)</f>
        <v>8505451.1999999974</v>
      </c>
      <c r="K227" s="25">
        <f t="shared" si="83"/>
        <v>6528595.1999999983</v>
      </c>
      <c r="L227" s="25">
        <f t="shared" si="83"/>
        <v>1065063.6000000003</v>
      </c>
      <c r="M227" s="25">
        <f t="shared" si="83"/>
        <v>336708</v>
      </c>
      <c r="N227" s="25">
        <f t="shared" ref="N227:R237" si="84">SUMIFS(N$4:N$147,$B$4:$B$147,$B227)</f>
        <v>8505453</v>
      </c>
      <c r="O227" s="25">
        <f t="shared" si="84"/>
        <v>1065066</v>
      </c>
      <c r="P227" s="25">
        <f t="shared" si="84"/>
        <v>247227</v>
      </c>
      <c r="Q227" s="25">
        <f t="shared" si="84"/>
        <v>6528594</v>
      </c>
      <c r="R227" s="25">
        <f t="shared" si="84"/>
        <v>336705</v>
      </c>
      <c r="T227"/>
      <c r="U227"/>
      <c r="V227"/>
      <c r="W227"/>
      <c r="X227"/>
      <c r="Y227"/>
      <c r="Z227"/>
      <c r="AA227"/>
      <c r="AB227"/>
      <c r="AC227"/>
    </row>
    <row r="228" spans="1:29" s="14" customFormat="1">
      <c r="A228"/>
      <c r="B228">
        <f>B227+1</f>
        <v>2015</v>
      </c>
      <c r="C228"/>
      <c r="D228" s="25">
        <f t="shared" si="81"/>
        <v>82288.899999999994</v>
      </c>
      <c r="E228" s="25">
        <f t="shared" si="81"/>
        <v>82312.999999999985</v>
      </c>
      <c r="F228" s="25">
        <f t="shared" si="81"/>
        <v>2304.8000000000002</v>
      </c>
      <c r="G228" s="25">
        <f t="shared" si="81"/>
        <v>2303.1</v>
      </c>
      <c r="H228" s="25">
        <f t="shared" si="82"/>
        <v>400.70000000000005</v>
      </c>
      <c r="I228" s="25">
        <f t="shared" si="82"/>
        <v>400.70000000000005</v>
      </c>
      <c r="J228" s="25">
        <f t="shared" si="83"/>
        <v>8731315.1999999974</v>
      </c>
      <c r="K228" s="25">
        <f t="shared" si="83"/>
        <v>6689688</v>
      </c>
      <c r="L228" s="25">
        <f t="shared" si="83"/>
        <v>1085889.6000000003</v>
      </c>
      <c r="M228" s="25">
        <f t="shared" si="83"/>
        <v>348831.59999999992</v>
      </c>
      <c r="N228" s="25">
        <f t="shared" si="84"/>
        <v>8731314</v>
      </c>
      <c r="O228" s="25">
        <f t="shared" si="84"/>
        <v>1085889</v>
      </c>
      <c r="P228" s="25">
        <f t="shared" si="84"/>
        <v>242988</v>
      </c>
      <c r="Q228" s="25">
        <f t="shared" si="84"/>
        <v>6689688</v>
      </c>
      <c r="R228" s="25">
        <f t="shared" si="84"/>
        <v>348831</v>
      </c>
      <c r="T228"/>
      <c r="U228"/>
      <c r="V228"/>
      <c r="W228"/>
      <c r="X228"/>
      <c r="Y228"/>
      <c r="Z228"/>
      <c r="AA228"/>
      <c r="AB228"/>
      <c r="AC228"/>
    </row>
    <row r="229" spans="1:29" s="14" customFormat="1">
      <c r="A229"/>
      <c r="B229">
        <f t="shared" ref="B229:B237" si="85">B228+1</f>
        <v>2016</v>
      </c>
      <c r="C229"/>
      <c r="D229" s="25">
        <f t="shared" si="81"/>
        <v>83119.199999999983</v>
      </c>
      <c r="E229" s="25">
        <f t="shared" si="81"/>
        <v>83099.8</v>
      </c>
      <c r="F229" s="25">
        <f t="shared" si="81"/>
        <v>2498.2999999999997</v>
      </c>
      <c r="G229" s="25">
        <f t="shared" si="81"/>
        <v>2498</v>
      </c>
      <c r="H229" s="25">
        <f t="shared" si="82"/>
        <v>390.1</v>
      </c>
      <c r="I229" s="25">
        <f t="shared" si="82"/>
        <v>390.1</v>
      </c>
      <c r="J229" s="25">
        <f t="shared" si="83"/>
        <v>8927714.4000000004</v>
      </c>
      <c r="K229" s="25">
        <f t="shared" si="83"/>
        <v>6862156.8000000017</v>
      </c>
      <c r="L229" s="25">
        <f t="shared" si="83"/>
        <v>1098141.6000000003</v>
      </c>
      <c r="M229" s="25">
        <f t="shared" si="83"/>
        <v>357774</v>
      </c>
      <c r="N229" s="25">
        <f t="shared" si="84"/>
        <v>8927715</v>
      </c>
      <c r="O229" s="25">
        <f t="shared" si="84"/>
        <v>1098144</v>
      </c>
      <c r="P229" s="25">
        <f t="shared" si="84"/>
        <v>250254</v>
      </c>
      <c r="Q229" s="25">
        <f t="shared" si="84"/>
        <v>6862158</v>
      </c>
      <c r="R229" s="25">
        <f t="shared" si="84"/>
        <v>357771</v>
      </c>
      <c r="T229"/>
      <c r="U229"/>
      <c r="V229"/>
      <c r="W229"/>
      <c r="X229"/>
      <c r="Y229"/>
      <c r="Z229"/>
      <c r="AA229"/>
      <c r="AB229"/>
      <c r="AC229"/>
    </row>
    <row r="230" spans="1:29" s="14" customFormat="1">
      <c r="A230"/>
      <c r="B230">
        <f t="shared" si="85"/>
        <v>2017</v>
      </c>
      <c r="C230"/>
      <c r="D230" s="25">
        <f t="shared" si="81"/>
        <v>85118</v>
      </c>
      <c r="E230" s="25">
        <f t="shared" si="81"/>
        <v>85085.499999999985</v>
      </c>
      <c r="F230" s="25">
        <f t="shared" si="81"/>
        <v>2481.5000000000005</v>
      </c>
      <c r="G230" s="25">
        <f t="shared" si="81"/>
        <v>2478</v>
      </c>
      <c r="H230" s="25">
        <f t="shared" si="82"/>
        <v>492.60000000000008</v>
      </c>
      <c r="I230" s="25">
        <f t="shared" si="82"/>
        <v>492.60000000000008</v>
      </c>
      <c r="J230" s="25">
        <f t="shared" si="83"/>
        <v>9173577.5999999996</v>
      </c>
      <c r="K230" s="25">
        <f t="shared" si="83"/>
        <v>7088752.8000000017</v>
      </c>
      <c r="L230" s="25">
        <f t="shared" si="83"/>
        <v>1102171.2</v>
      </c>
      <c r="M230" s="25">
        <f t="shared" si="83"/>
        <v>373472.40000000008</v>
      </c>
      <c r="N230" s="25">
        <f t="shared" si="84"/>
        <v>9173577</v>
      </c>
      <c r="O230" s="25">
        <f t="shared" si="84"/>
        <v>1102167</v>
      </c>
      <c r="P230" s="25">
        <f t="shared" si="84"/>
        <v>236253</v>
      </c>
      <c r="Q230" s="25">
        <f t="shared" si="84"/>
        <v>7088751</v>
      </c>
      <c r="R230" s="25">
        <f t="shared" si="84"/>
        <v>373473</v>
      </c>
      <c r="T230"/>
      <c r="U230"/>
      <c r="V230"/>
      <c r="W230"/>
      <c r="X230"/>
      <c r="Y230"/>
      <c r="Z230"/>
      <c r="AA230"/>
      <c r="AB230"/>
      <c r="AC230"/>
    </row>
    <row r="231" spans="1:29" s="14" customFormat="1">
      <c r="A231"/>
      <c r="B231">
        <f t="shared" si="85"/>
        <v>2018</v>
      </c>
      <c r="C231"/>
      <c r="D231" s="25">
        <f t="shared" si="81"/>
        <v>86816.299999999988</v>
      </c>
      <c r="E231" s="25">
        <f t="shared" si="81"/>
        <v>86782.599999999991</v>
      </c>
      <c r="F231" s="25">
        <f t="shared" si="81"/>
        <v>2568.3999999999996</v>
      </c>
      <c r="G231" s="25">
        <f t="shared" si="81"/>
        <v>2566.7999999999997</v>
      </c>
      <c r="H231" s="25">
        <f t="shared" si="82"/>
        <v>482</v>
      </c>
      <c r="I231" s="25">
        <f t="shared" si="82"/>
        <v>482</v>
      </c>
      <c r="J231" s="25">
        <f t="shared" si="83"/>
        <v>9474379.1999999974</v>
      </c>
      <c r="K231" s="25">
        <f t="shared" si="83"/>
        <v>7301151.5999999987</v>
      </c>
      <c r="L231" s="25">
        <f t="shared" si="83"/>
        <v>1141650</v>
      </c>
      <c r="M231" s="25">
        <f t="shared" si="83"/>
        <v>379898.40000000008</v>
      </c>
      <c r="N231" s="25">
        <f t="shared" si="84"/>
        <v>9474381</v>
      </c>
      <c r="O231" s="25">
        <f t="shared" si="84"/>
        <v>1141650</v>
      </c>
      <c r="P231" s="25">
        <f t="shared" si="84"/>
        <v>238704</v>
      </c>
      <c r="Q231" s="25">
        <f t="shared" si="84"/>
        <v>7301151</v>
      </c>
      <c r="R231" s="25">
        <f t="shared" si="84"/>
        <v>379899</v>
      </c>
      <c r="T231"/>
      <c r="U231"/>
      <c r="V231"/>
      <c r="W231"/>
      <c r="X231"/>
      <c r="Y231"/>
      <c r="Z231"/>
      <c r="AA231"/>
      <c r="AB231"/>
      <c r="AC231"/>
    </row>
    <row r="232" spans="1:29" s="14" customFormat="1">
      <c r="A232"/>
      <c r="B232">
        <f t="shared" si="85"/>
        <v>2019</v>
      </c>
      <c r="C232"/>
      <c r="D232" s="25">
        <f t="shared" si="81"/>
        <v>88740.4</v>
      </c>
      <c r="E232" s="25">
        <f t="shared" si="81"/>
        <v>88773.700000000012</v>
      </c>
      <c r="F232" s="25">
        <f t="shared" si="81"/>
        <v>2568.3000000000002</v>
      </c>
      <c r="G232" s="25">
        <f t="shared" si="81"/>
        <v>2568.3000000000006</v>
      </c>
      <c r="H232" s="25">
        <f t="shared" si="82"/>
        <v>623</v>
      </c>
      <c r="I232" s="25">
        <f t="shared" si="82"/>
        <v>623</v>
      </c>
      <c r="J232" s="25">
        <f t="shared" si="83"/>
        <v>9687294</v>
      </c>
      <c r="K232" s="25">
        <f t="shared" si="83"/>
        <v>7513237.1999999983</v>
      </c>
      <c r="L232" s="25">
        <f t="shared" si="83"/>
        <v>1135195.2</v>
      </c>
      <c r="M232" s="25">
        <f t="shared" si="83"/>
        <v>394329.59999999992</v>
      </c>
      <c r="N232" s="25">
        <f t="shared" si="84"/>
        <v>9687294</v>
      </c>
      <c r="O232" s="25">
        <f t="shared" si="84"/>
        <v>1135197</v>
      </c>
      <c r="P232" s="25">
        <f t="shared" si="84"/>
        <v>237201</v>
      </c>
      <c r="Q232" s="25">
        <f t="shared" si="84"/>
        <v>7513239</v>
      </c>
      <c r="R232" s="25">
        <f t="shared" si="84"/>
        <v>394332</v>
      </c>
      <c r="T232"/>
      <c r="U232"/>
      <c r="V232"/>
      <c r="W232"/>
      <c r="X232"/>
      <c r="Y232"/>
      <c r="Z232"/>
      <c r="AA232"/>
      <c r="AB232"/>
      <c r="AC232"/>
    </row>
    <row r="233" spans="1:29" s="14" customFormat="1">
      <c r="A233"/>
      <c r="B233">
        <f t="shared" si="85"/>
        <v>2020</v>
      </c>
      <c r="C233"/>
      <c r="D233" s="25">
        <f t="shared" si="81"/>
        <v>84753.400000000009</v>
      </c>
      <c r="E233" s="25">
        <f t="shared" si="81"/>
        <v>84718.200000000012</v>
      </c>
      <c r="F233" s="25">
        <f t="shared" si="81"/>
        <v>2481.9</v>
      </c>
      <c r="G233" s="25">
        <f t="shared" si="81"/>
        <v>2483.1</v>
      </c>
      <c r="H233" s="25">
        <f t="shared" si="82"/>
        <v>604.19999999999993</v>
      </c>
      <c r="I233" s="25">
        <f t="shared" si="82"/>
        <v>604.19999999999993</v>
      </c>
      <c r="J233" s="25">
        <f t="shared" si="83"/>
        <v>9239304</v>
      </c>
      <c r="K233" s="25">
        <f t="shared" si="83"/>
        <v>7158259.1999999983</v>
      </c>
      <c r="L233" s="25">
        <f t="shared" si="83"/>
        <v>1031146.8000000002</v>
      </c>
      <c r="M233" s="25">
        <f t="shared" si="83"/>
        <v>286797.59999999992</v>
      </c>
      <c r="N233" s="25">
        <f t="shared" si="84"/>
        <v>9239307</v>
      </c>
      <c r="O233" s="25">
        <f t="shared" si="84"/>
        <v>1031145</v>
      </c>
      <c r="P233" s="25">
        <f t="shared" si="84"/>
        <v>181185</v>
      </c>
      <c r="Q233" s="25">
        <f t="shared" si="84"/>
        <v>7158261</v>
      </c>
      <c r="R233" s="25">
        <f t="shared" si="84"/>
        <v>286800</v>
      </c>
      <c r="T233"/>
      <c r="U233"/>
      <c r="V233"/>
      <c r="W233"/>
      <c r="X233"/>
      <c r="Y233"/>
      <c r="Z233"/>
      <c r="AA233"/>
      <c r="AB233"/>
      <c r="AC233"/>
    </row>
    <row r="234" spans="1:29" s="14" customFormat="1">
      <c r="A234"/>
      <c r="B234">
        <f t="shared" si="85"/>
        <v>2021</v>
      </c>
      <c r="C234"/>
      <c r="D234" s="25">
        <f t="shared" si="81"/>
        <v>88478.399999999994</v>
      </c>
      <c r="E234" s="25">
        <f t="shared" si="81"/>
        <v>88457.500000000015</v>
      </c>
      <c r="F234" s="25">
        <f t="shared" si="81"/>
        <v>2567.1000000000004</v>
      </c>
      <c r="G234" s="25">
        <f t="shared" si="81"/>
        <v>2564.8999999999996</v>
      </c>
      <c r="H234" s="25">
        <f t="shared" si="82"/>
        <v>616.00000000000011</v>
      </c>
      <c r="I234" s="25">
        <f t="shared" si="82"/>
        <v>616.00000000000011</v>
      </c>
      <c r="J234" s="25">
        <f t="shared" si="83"/>
        <v>9807186</v>
      </c>
      <c r="K234" s="25">
        <f t="shared" si="83"/>
        <v>7610180.4000000013</v>
      </c>
      <c r="L234" s="25">
        <f t="shared" si="83"/>
        <v>1107750</v>
      </c>
      <c r="M234" s="25">
        <f t="shared" si="83"/>
        <v>302704.8</v>
      </c>
      <c r="N234" s="25">
        <f t="shared" si="84"/>
        <v>9807189</v>
      </c>
      <c r="O234" s="25">
        <f t="shared" si="84"/>
        <v>1107747</v>
      </c>
      <c r="P234" s="25">
        <f t="shared" si="84"/>
        <v>177324</v>
      </c>
      <c r="Q234" s="25">
        <f t="shared" si="84"/>
        <v>7610178</v>
      </c>
      <c r="R234" s="25">
        <f t="shared" si="84"/>
        <v>302706</v>
      </c>
      <c r="T234"/>
      <c r="U234"/>
      <c r="V234"/>
      <c r="W234"/>
      <c r="X234"/>
      <c r="Y234"/>
      <c r="Z234"/>
      <c r="AA234"/>
      <c r="AB234"/>
      <c r="AC234"/>
    </row>
    <row r="235" spans="1:29" s="14" customFormat="1">
      <c r="A235"/>
      <c r="B235">
        <f t="shared" si="85"/>
        <v>2022</v>
      </c>
      <c r="C235"/>
      <c r="D235" s="25">
        <f t="shared" si="81"/>
        <v>93040.8</v>
      </c>
      <c r="E235" s="25">
        <f t="shared" si="81"/>
        <v>93020.9</v>
      </c>
      <c r="F235" s="25">
        <f t="shared" si="81"/>
        <v>2794.7</v>
      </c>
      <c r="G235" s="25">
        <f t="shared" si="81"/>
        <v>2796.0000000000005</v>
      </c>
      <c r="H235" s="25">
        <f t="shared" si="82"/>
        <v>728.40000000000009</v>
      </c>
      <c r="I235" s="25">
        <f t="shared" si="82"/>
        <v>728.40000000000009</v>
      </c>
      <c r="J235" s="25">
        <f t="shared" si="83"/>
        <v>10205542.800000003</v>
      </c>
      <c r="K235" s="25">
        <f t="shared" si="83"/>
        <v>7954276.8000000017</v>
      </c>
      <c r="L235" s="25">
        <f t="shared" si="83"/>
        <v>1162449.6000000003</v>
      </c>
      <c r="M235" s="25">
        <f t="shared" si="83"/>
        <v>361791.59999999992</v>
      </c>
      <c r="N235" s="25">
        <f t="shared" si="84"/>
        <v>10205541</v>
      </c>
      <c r="O235" s="25">
        <f t="shared" si="84"/>
        <v>1162452</v>
      </c>
      <c r="P235" s="25">
        <f t="shared" si="84"/>
        <v>198243</v>
      </c>
      <c r="Q235" s="25">
        <f t="shared" si="84"/>
        <v>7954278</v>
      </c>
      <c r="R235" s="25">
        <f t="shared" si="84"/>
        <v>361791</v>
      </c>
      <c r="T235"/>
      <c r="U235"/>
      <c r="V235"/>
      <c r="W235"/>
      <c r="X235"/>
      <c r="Y235"/>
      <c r="Z235"/>
      <c r="AA235"/>
      <c r="AB235"/>
      <c r="AC235"/>
    </row>
    <row r="236" spans="1:29" s="14" customFormat="1">
      <c r="A236"/>
      <c r="B236">
        <f t="shared" si="85"/>
        <v>2023</v>
      </c>
      <c r="C236"/>
      <c r="D236" s="25">
        <f t="shared" si="81"/>
        <v>95914.999999999985</v>
      </c>
      <c r="E236" s="25">
        <f t="shared" si="81"/>
        <v>95877</v>
      </c>
      <c r="F236" s="25">
        <f t="shared" si="81"/>
        <v>2826.4</v>
      </c>
      <c r="G236" s="25">
        <f t="shared" si="81"/>
        <v>2822.8</v>
      </c>
      <c r="H236" s="25">
        <f t="shared" si="82"/>
        <v>771.40000000000009</v>
      </c>
      <c r="I236" s="25">
        <f t="shared" si="82"/>
        <v>771.40000000000009</v>
      </c>
      <c r="J236" s="25">
        <f t="shared" si="83"/>
        <v>10390315.199999997</v>
      </c>
      <c r="K236" s="25">
        <f t="shared" si="83"/>
        <v>8148804</v>
      </c>
      <c r="L236" s="25">
        <f t="shared" si="83"/>
        <v>1163846.3999999997</v>
      </c>
      <c r="M236" s="25">
        <f t="shared" si="83"/>
        <v>393914.40000000008</v>
      </c>
      <c r="N236" s="25">
        <f t="shared" si="84"/>
        <v>10390314</v>
      </c>
      <c r="O236" s="25">
        <f t="shared" si="84"/>
        <v>1163847</v>
      </c>
      <c r="P236" s="25">
        <f t="shared" si="84"/>
        <v>224076</v>
      </c>
      <c r="Q236" s="25">
        <f t="shared" si="84"/>
        <v>8148807</v>
      </c>
      <c r="R236" s="25">
        <f t="shared" si="84"/>
        <v>393915</v>
      </c>
      <c r="T236"/>
      <c r="U236"/>
      <c r="V236"/>
      <c r="W236"/>
      <c r="X236"/>
      <c r="Y236"/>
      <c r="Z236"/>
      <c r="AA236"/>
      <c r="AB236"/>
      <c r="AC236"/>
    </row>
    <row r="237" spans="1:29" s="14" customFormat="1">
      <c r="A237"/>
      <c r="B237">
        <f t="shared" si="85"/>
        <v>2024</v>
      </c>
      <c r="C237"/>
      <c r="D237" s="25">
        <f t="shared" si="81"/>
        <v>97584.200000000012</v>
      </c>
      <c r="E237" s="25">
        <f t="shared" si="81"/>
        <v>97623.500000000015</v>
      </c>
      <c r="F237" s="25">
        <f t="shared" si="81"/>
        <v>2910.8999999999996</v>
      </c>
      <c r="G237" s="25">
        <f t="shared" si="81"/>
        <v>2909.8999999999996</v>
      </c>
      <c r="H237" s="25">
        <f t="shared" si="82"/>
        <v>550.19999999999993</v>
      </c>
      <c r="I237" s="25">
        <f t="shared" si="82"/>
        <v>550.19999999999993</v>
      </c>
      <c r="J237" s="25">
        <f t="shared" si="83"/>
        <v>10519436.399999999</v>
      </c>
      <c r="K237" s="25">
        <f t="shared" si="83"/>
        <v>8335215.5999999987</v>
      </c>
      <c r="L237" s="25">
        <f t="shared" si="83"/>
        <v>1109236.8</v>
      </c>
      <c r="M237" s="25">
        <f t="shared" si="83"/>
        <v>406216.8000000001</v>
      </c>
      <c r="N237" s="25">
        <f t="shared" si="84"/>
        <v>10519437</v>
      </c>
      <c r="O237" s="25">
        <f t="shared" si="84"/>
        <v>1109238</v>
      </c>
      <c r="P237" s="25">
        <f t="shared" si="84"/>
        <v>200523</v>
      </c>
      <c r="Q237" s="25">
        <f t="shared" si="84"/>
        <v>8335218</v>
      </c>
      <c r="R237" s="25">
        <f t="shared" si="84"/>
        <v>406215</v>
      </c>
      <c r="T237"/>
      <c r="U237"/>
      <c r="V237"/>
      <c r="W237"/>
      <c r="X237"/>
      <c r="Y237"/>
      <c r="Z237"/>
      <c r="AA237"/>
      <c r="AB237"/>
      <c r="AC237"/>
    </row>
    <row r="238" spans="1:29" s="14" customFormat="1">
      <c r="A238"/>
      <c r="B238"/>
      <c r="C238"/>
      <c r="D238" s="25"/>
      <c r="E238" s="25"/>
      <c r="F238" s="25"/>
      <c r="G238" s="25"/>
      <c r="H238" s="25"/>
      <c r="I238" s="25"/>
      <c r="T238"/>
      <c r="U238"/>
      <c r="V238"/>
      <c r="W238"/>
      <c r="X238"/>
      <c r="Y238"/>
      <c r="Z238"/>
      <c r="AA238"/>
      <c r="AB238"/>
      <c r="AC238"/>
    </row>
    <row r="239" spans="1:29" s="14" customFormat="1">
      <c r="A239"/>
      <c r="B239">
        <f>B228</f>
        <v>2015</v>
      </c>
      <c r="C239"/>
      <c r="D239" s="26">
        <f t="shared" ref="D239:M248" si="86">D228/D227-1</f>
        <v>5.8415127550084378E-3</v>
      </c>
      <c r="E239" s="26">
        <f t="shared" si="86"/>
        <v>5.8926467784743419E-3</v>
      </c>
      <c r="F239" s="26">
        <f t="shared" si="86"/>
        <v>-2.2892996438867219E-2</v>
      </c>
      <c r="G239" s="26">
        <f t="shared" si="86"/>
        <v>-2.4151519003432265E-2</v>
      </c>
      <c r="H239" s="26">
        <f t="shared" ref="H239:I239" si="87">H228/H227-1</f>
        <v>-3.3759344104171585E-2</v>
      </c>
      <c r="I239" s="26">
        <f t="shared" si="87"/>
        <v>-3.3759344104171585E-2</v>
      </c>
      <c r="J239" s="14">
        <f t="shared" si="86"/>
        <v>2.6555204972547486E-2</v>
      </c>
      <c r="K239" s="14">
        <f t="shared" si="86"/>
        <v>2.467495610694348E-2</v>
      </c>
      <c r="L239" s="14">
        <f t="shared" si="86"/>
        <v>1.9553761859855134E-2</v>
      </c>
      <c r="M239" s="14">
        <f t="shared" si="86"/>
        <v>3.6006272497237646E-2</v>
      </c>
      <c r="N239" s="14">
        <f t="shared" ref="N239:R239" si="88">N228/N227-1</f>
        <v>2.6554846637798057E-2</v>
      </c>
      <c r="O239" s="14">
        <f t="shared" si="88"/>
        <v>1.9550901070919613E-2</v>
      </c>
      <c r="P239" s="14">
        <f t="shared" si="88"/>
        <v>-1.7146185489449017E-2</v>
      </c>
      <c r="Q239" s="14">
        <f t="shared" si="88"/>
        <v>2.4675144449172404E-2</v>
      </c>
      <c r="R239" s="14">
        <f t="shared" si="88"/>
        <v>3.6013721209961158E-2</v>
      </c>
      <c r="T239"/>
      <c r="U239"/>
      <c r="V239"/>
      <c r="W239"/>
      <c r="X239"/>
      <c r="Y239"/>
      <c r="Z239"/>
      <c r="AA239"/>
      <c r="AB239"/>
      <c r="AC239"/>
    </row>
    <row r="240" spans="1:29" s="14" customFormat="1">
      <c r="A240"/>
      <c r="B240">
        <f t="shared" ref="B240:B248" si="89">B229</f>
        <v>2016</v>
      </c>
      <c r="C240"/>
      <c r="D240" s="26">
        <f t="shared" si="86"/>
        <v>1.0090060749384122E-2</v>
      </c>
      <c r="E240" s="26">
        <f t="shared" si="86"/>
        <v>9.5586359384303154E-3</v>
      </c>
      <c r="F240" s="26">
        <f t="shared" si="86"/>
        <v>8.395522388059673E-2</v>
      </c>
      <c r="G240" s="26">
        <f t="shared" si="86"/>
        <v>8.4625070557075244E-2</v>
      </c>
      <c r="H240" s="26">
        <f t="shared" ref="H240:I240" si="90">H229/H228-1</f>
        <v>-2.645370601447472E-2</v>
      </c>
      <c r="I240" s="26">
        <f t="shared" si="90"/>
        <v>-2.645370601447472E-2</v>
      </c>
      <c r="J240" s="14">
        <f t="shared" si="86"/>
        <v>2.2493655938569557E-2</v>
      </c>
      <c r="K240" s="14">
        <f t="shared" si="86"/>
        <v>2.5781292042319714E-2</v>
      </c>
      <c r="L240" s="14">
        <f t="shared" si="86"/>
        <v>1.1282914948259837E-2</v>
      </c>
      <c r="M240" s="14">
        <f t="shared" si="86"/>
        <v>2.5635292215498984E-2</v>
      </c>
      <c r="N240" s="14">
        <f t="shared" ref="N240:R240" si="91">N229/N228-1</f>
        <v>2.2493865184552986E-2</v>
      </c>
      <c r="O240" s="14">
        <f t="shared" si="91"/>
        <v>1.1285683895867704E-2</v>
      </c>
      <c r="P240" s="14">
        <f t="shared" si="91"/>
        <v>2.9902711244999658E-2</v>
      </c>
      <c r="Q240" s="14">
        <f t="shared" si="91"/>
        <v>2.5781471422882563E-2</v>
      </c>
      <c r="R240" s="14">
        <f t="shared" si="91"/>
        <v>2.5628456186520099E-2</v>
      </c>
      <c r="T240"/>
      <c r="U240"/>
      <c r="V240"/>
      <c r="W240"/>
      <c r="X240"/>
      <c r="Y240"/>
      <c r="Z240"/>
      <c r="AA240"/>
      <c r="AB240"/>
      <c r="AC240"/>
    </row>
    <row r="241" spans="1:29" s="14" customFormat="1">
      <c r="A241"/>
      <c r="B241">
        <f t="shared" si="89"/>
        <v>2017</v>
      </c>
      <c r="C241"/>
      <c r="D241" s="26">
        <f t="shared" si="86"/>
        <v>2.404739217894325E-2</v>
      </c>
      <c r="E241" s="26">
        <f t="shared" si="86"/>
        <v>2.3895364369107774E-2</v>
      </c>
      <c r="F241" s="26">
        <f t="shared" si="86"/>
        <v>-6.7245727094421559E-3</v>
      </c>
      <c r="G241" s="26">
        <f t="shared" si="86"/>
        <v>-8.0064051240992251E-3</v>
      </c>
      <c r="H241" s="26">
        <f t="shared" ref="H241:I241" si="92">H230/H229-1</f>
        <v>0.26275314022045637</v>
      </c>
      <c r="I241" s="26">
        <f t="shared" si="92"/>
        <v>0.26275314022045637</v>
      </c>
      <c r="J241" s="14">
        <f t="shared" si="86"/>
        <v>2.7539321822391605E-2</v>
      </c>
      <c r="K241" s="14">
        <f t="shared" si="86"/>
        <v>3.3021104968047332E-2</v>
      </c>
      <c r="L241" s="14">
        <f t="shared" si="86"/>
        <v>3.6694721336480995E-3</v>
      </c>
      <c r="M241" s="14">
        <f t="shared" si="86"/>
        <v>4.387797883580169E-2</v>
      </c>
      <c r="N241" s="14">
        <f t="shared" ref="N241:R241" si="93">N230/N229-1</f>
        <v>2.7539185558678847E-2</v>
      </c>
      <c r="O241" s="14">
        <f t="shared" si="93"/>
        <v>3.6634539732494087E-3</v>
      </c>
      <c r="P241" s="14">
        <f t="shared" si="93"/>
        <v>-5.594715768778924E-2</v>
      </c>
      <c r="Q241" s="14">
        <f t="shared" si="93"/>
        <v>3.302066201331999E-2</v>
      </c>
      <c r="R241" s="14">
        <f t="shared" si="93"/>
        <v>4.3888409066134448E-2</v>
      </c>
      <c r="T241"/>
      <c r="U241"/>
      <c r="V241"/>
      <c r="W241"/>
      <c r="X241"/>
      <c r="Y241"/>
      <c r="Z241"/>
      <c r="AA241"/>
      <c r="AB241"/>
      <c r="AC241"/>
    </row>
    <row r="242" spans="1:29" s="14" customFormat="1">
      <c r="A242"/>
      <c r="B242">
        <f t="shared" si="89"/>
        <v>2018</v>
      </c>
      <c r="C242"/>
      <c r="D242" s="26">
        <f t="shared" si="86"/>
        <v>1.9952301510843595E-2</v>
      </c>
      <c r="E242" s="26">
        <f t="shared" si="86"/>
        <v>1.9945819205387627E-2</v>
      </c>
      <c r="F242" s="26">
        <f t="shared" si="86"/>
        <v>3.5019141648196417E-2</v>
      </c>
      <c r="G242" s="26">
        <f t="shared" si="86"/>
        <v>3.5835351089588352E-2</v>
      </c>
      <c r="H242" s="26">
        <f t="shared" ref="H242:I242" si="94">H231/H230-1</f>
        <v>-2.1518473406415106E-2</v>
      </c>
      <c r="I242" s="26">
        <f t="shared" si="94"/>
        <v>-2.1518473406415106E-2</v>
      </c>
      <c r="J242" s="14">
        <f t="shared" si="86"/>
        <v>3.2789998963980826E-2</v>
      </c>
      <c r="K242" s="14">
        <f t="shared" si="86"/>
        <v>2.9962788376538763E-2</v>
      </c>
      <c r="L242" s="14">
        <f t="shared" si="86"/>
        <v>3.5819117755934826E-2</v>
      </c>
      <c r="M242" s="14">
        <f t="shared" si="86"/>
        <v>1.7206090731202606E-2</v>
      </c>
      <c r="N242" s="14">
        <f t="shared" ref="N242:R242" si="95">N231/N230-1</f>
        <v>3.2790262729576414E-2</v>
      </c>
      <c r="O242" s="14">
        <f t="shared" si="95"/>
        <v>3.5823064925732728E-2</v>
      </c>
      <c r="P242" s="14">
        <f t="shared" si="95"/>
        <v>1.0374471435283361E-2</v>
      </c>
      <c r="Q242" s="14">
        <f t="shared" si="95"/>
        <v>2.9962965267082975E-2</v>
      </c>
      <c r="R242" s="14">
        <f t="shared" si="95"/>
        <v>1.7206063088897938E-2</v>
      </c>
      <c r="T242"/>
      <c r="U242"/>
      <c r="V242"/>
      <c r="W242"/>
      <c r="X242"/>
      <c r="Y242"/>
      <c r="Z242"/>
      <c r="AA242"/>
      <c r="AB242"/>
      <c r="AC242"/>
    </row>
    <row r="243" spans="1:29" s="14" customFormat="1">
      <c r="A243"/>
      <c r="B243">
        <f t="shared" si="89"/>
        <v>2019</v>
      </c>
      <c r="C243"/>
      <c r="D243" s="26">
        <f t="shared" si="86"/>
        <v>2.2162888766280142E-2</v>
      </c>
      <c r="E243" s="26">
        <f t="shared" si="86"/>
        <v>2.2943539373100341E-2</v>
      </c>
      <c r="F243" s="26">
        <f t="shared" si="86"/>
        <v>-3.8934745366536738E-5</v>
      </c>
      <c r="G243" s="26">
        <f t="shared" si="86"/>
        <v>5.8438522674175708E-4</v>
      </c>
      <c r="H243" s="26">
        <f t="shared" ref="H243:I243" si="96">H232/H231-1</f>
        <v>0.29253112033195028</v>
      </c>
      <c r="I243" s="26">
        <f t="shared" si="96"/>
        <v>0.29253112033195028</v>
      </c>
      <c r="J243" s="14">
        <f t="shared" si="86"/>
        <v>2.2472691403358835E-2</v>
      </c>
      <c r="K243" s="14">
        <f t="shared" si="86"/>
        <v>2.9048239458553393E-2</v>
      </c>
      <c r="L243" s="14">
        <f t="shared" si="86"/>
        <v>-5.6539219550650888E-3</v>
      </c>
      <c r="M243" s="14">
        <f t="shared" si="86"/>
        <v>3.7986998629106816E-2</v>
      </c>
      <c r="N243" s="14">
        <f t="shared" ref="N243:R243" si="97">N232/N231-1</f>
        <v>2.2472497147834725E-2</v>
      </c>
      <c r="O243" s="14">
        <f t="shared" si="97"/>
        <v>-5.6523452897122572E-3</v>
      </c>
      <c r="P243" s="14">
        <f t="shared" si="97"/>
        <v>-6.2965011059722409E-3</v>
      </c>
      <c r="Q243" s="14">
        <f t="shared" si="97"/>
        <v>2.9048570560997744E-2</v>
      </c>
      <c r="R243" s="14">
        <f t="shared" si="97"/>
        <v>3.7991676735132263E-2</v>
      </c>
      <c r="T243"/>
      <c r="U243"/>
      <c r="V243"/>
      <c r="W243"/>
      <c r="X243"/>
      <c r="Y243"/>
      <c r="Z243"/>
      <c r="AA243"/>
      <c r="AB243"/>
      <c r="AC243"/>
    </row>
    <row r="244" spans="1:29" s="14" customFormat="1">
      <c r="A244"/>
      <c r="B244">
        <f t="shared" si="89"/>
        <v>2020</v>
      </c>
      <c r="C244"/>
      <c r="D244" s="26">
        <f t="shared" si="86"/>
        <v>-4.4928803566357423E-2</v>
      </c>
      <c r="E244" s="26">
        <f t="shared" si="86"/>
        <v>-4.5683575203016247E-2</v>
      </c>
      <c r="F244" s="26">
        <f t="shared" si="86"/>
        <v>-3.3640929797920882E-2</v>
      </c>
      <c r="G244" s="26">
        <f t="shared" si="86"/>
        <v>-3.3173694661838837E-2</v>
      </c>
      <c r="H244" s="26">
        <f t="shared" ref="H244:I244" si="98">H233/H232-1</f>
        <v>-3.0176565008025791E-2</v>
      </c>
      <c r="I244" s="26">
        <f t="shared" si="98"/>
        <v>-3.0176565008025791E-2</v>
      </c>
      <c r="J244" s="14">
        <f t="shared" si="86"/>
        <v>-4.6245112412196865E-2</v>
      </c>
      <c r="K244" s="14">
        <f t="shared" si="86"/>
        <v>-4.724701091561434E-2</v>
      </c>
      <c r="L244" s="14">
        <f t="shared" si="86"/>
        <v>-9.1656835758290534E-2</v>
      </c>
      <c r="M244" s="14">
        <f t="shared" si="86"/>
        <v>-0.27269573473561204</v>
      </c>
      <c r="N244" s="14">
        <f t="shared" ref="N244:R244" si="99">N233/N232-1</f>
        <v>-4.6244802728192203E-2</v>
      </c>
      <c r="O244" s="14">
        <f t="shared" si="99"/>
        <v>-9.1659861680395527E-2</v>
      </c>
      <c r="P244" s="14">
        <f t="shared" si="99"/>
        <v>-0.23615414774811239</v>
      </c>
      <c r="Q244" s="14">
        <f t="shared" si="99"/>
        <v>-4.7246999596312622E-2</v>
      </c>
      <c r="R244" s="14">
        <f t="shared" si="99"/>
        <v>-0.27269407504336451</v>
      </c>
      <c r="T244"/>
      <c r="U244"/>
      <c r="V244"/>
      <c r="W244"/>
      <c r="X244"/>
      <c r="Y244"/>
      <c r="Z244"/>
      <c r="AA244"/>
      <c r="AB244"/>
      <c r="AC244"/>
    </row>
    <row r="245" spans="1:29" s="14" customFormat="1">
      <c r="A245"/>
      <c r="B245">
        <f t="shared" si="89"/>
        <v>2021</v>
      </c>
      <c r="C245"/>
      <c r="D245" s="26">
        <f t="shared" si="86"/>
        <v>4.3951039132353209E-2</v>
      </c>
      <c r="E245" s="26">
        <f t="shared" si="86"/>
        <v>4.4138095474172134E-2</v>
      </c>
      <c r="F245" s="26">
        <f t="shared" si="86"/>
        <v>3.4328538619606164E-2</v>
      </c>
      <c r="G245" s="26">
        <f t="shared" si="86"/>
        <v>3.2942692601989343E-2</v>
      </c>
      <c r="H245" s="26">
        <f t="shared" ref="H245:I245" si="100">H234/H233-1</f>
        <v>1.9529956967891726E-2</v>
      </c>
      <c r="I245" s="26">
        <f t="shared" si="100"/>
        <v>1.9529956967891726E-2</v>
      </c>
      <c r="J245" s="14">
        <f t="shared" si="86"/>
        <v>6.1463720643892605E-2</v>
      </c>
      <c r="K245" s="14">
        <f t="shared" si="86"/>
        <v>6.3132835424568379E-2</v>
      </c>
      <c r="L245" s="14">
        <f t="shared" si="86"/>
        <v>7.4289325244475179E-2</v>
      </c>
      <c r="M245" s="14">
        <f t="shared" si="86"/>
        <v>5.5464899287860359E-2</v>
      </c>
      <c r="N245" s="14">
        <f t="shared" ref="N245:R245" si="101">N234/N233-1</f>
        <v>6.1463700686642309E-2</v>
      </c>
      <c r="O245" s="14">
        <f t="shared" si="101"/>
        <v>7.4288291171464627E-2</v>
      </c>
      <c r="P245" s="14">
        <f t="shared" si="101"/>
        <v>-2.1309711068797088E-2</v>
      </c>
      <c r="Q245" s="14">
        <f t="shared" si="101"/>
        <v>6.3132232814645972E-2</v>
      </c>
      <c r="R245" s="14">
        <f t="shared" si="101"/>
        <v>5.5460251046025144E-2</v>
      </c>
      <c r="T245"/>
      <c r="U245"/>
      <c r="V245"/>
      <c r="W245"/>
      <c r="X245"/>
      <c r="Y245"/>
      <c r="Z245"/>
      <c r="AA245"/>
      <c r="AB245"/>
      <c r="AC245"/>
    </row>
    <row r="246" spans="1:29" s="14" customFormat="1">
      <c r="A246"/>
      <c r="B246">
        <f t="shared" si="89"/>
        <v>2022</v>
      </c>
      <c r="C246"/>
      <c r="D246" s="26">
        <f t="shared" si="86"/>
        <v>5.1565127759995777E-2</v>
      </c>
      <c r="E246" s="26">
        <f t="shared" si="86"/>
        <v>5.1588616002034682E-2</v>
      </c>
      <c r="F246" s="26">
        <f t="shared" si="86"/>
        <v>8.8660356043784638E-2</v>
      </c>
      <c r="G246" s="26">
        <f t="shared" si="86"/>
        <v>9.0100978595657022E-2</v>
      </c>
      <c r="H246" s="26">
        <f t="shared" ref="H246:I246" si="102">H235/H234-1</f>
        <v>0.18246753246753245</v>
      </c>
      <c r="I246" s="26">
        <f t="shared" si="102"/>
        <v>0.18246753246753245</v>
      </c>
      <c r="J246" s="14">
        <f t="shared" si="86"/>
        <v>4.061886865406672E-2</v>
      </c>
      <c r="K246" s="14">
        <f t="shared" si="86"/>
        <v>4.5215275054452109E-2</v>
      </c>
      <c r="L246" s="14">
        <f t="shared" si="86"/>
        <v>4.9379011509817383E-2</v>
      </c>
      <c r="M246" s="14">
        <f t="shared" si="86"/>
        <v>0.19519611185551056</v>
      </c>
      <c r="N246" s="14">
        <f t="shared" ref="N246:R246" si="103">N235/N234-1</f>
        <v>4.0618366791952409E-2</v>
      </c>
      <c r="O246" s="14">
        <f t="shared" si="103"/>
        <v>4.9384019997345874E-2</v>
      </c>
      <c r="P246" s="14">
        <f t="shared" si="103"/>
        <v>0.11797049468769027</v>
      </c>
      <c r="Q246" s="14">
        <f t="shared" si="103"/>
        <v>4.5215762364559708E-2</v>
      </c>
      <c r="R246" s="14">
        <f t="shared" si="103"/>
        <v>0.19518939168698335</v>
      </c>
      <c r="T246"/>
      <c r="U246"/>
      <c r="V246"/>
      <c r="W246"/>
      <c r="X246"/>
      <c r="Y246"/>
      <c r="Z246"/>
      <c r="AA246"/>
      <c r="AB246"/>
      <c r="AC246"/>
    </row>
    <row r="247" spans="1:29" s="14" customFormat="1">
      <c r="A247"/>
      <c r="B247">
        <f t="shared" si="89"/>
        <v>2023</v>
      </c>
      <c r="C247"/>
      <c r="D247" s="26">
        <f t="shared" si="86"/>
        <v>3.0891823802030816E-2</v>
      </c>
      <c r="E247" s="26">
        <f t="shared" si="86"/>
        <v>3.070385257506647E-2</v>
      </c>
      <c r="F247" s="26">
        <f t="shared" si="86"/>
        <v>1.1342899058933043E-2</v>
      </c>
      <c r="G247" s="26">
        <f t="shared" si="86"/>
        <v>9.5851216022888597E-3</v>
      </c>
      <c r="H247" s="26">
        <f t="shared" ref="H247:I247" si="104">H236/H235-1</f>
        <v>5.9033498077979196E-2</v>
      </c>
      <c r="I247" s="26">
        <f t="shared" si="104"/>
        <v>5.9033498077979196E-2</v>
      </c>
      <c r="J247" s="14">
        <f t="shared" si="86"/>
        <v>1.8105102650688432E-2</v>
      </c>
      <c r="K247" s="14">
        <f t="shared" si="86"/>
        <v>2.4455673958944768E-2</v>
      </c>
      <c r="L247" s="14">
        <f t="shared" si="86"/>
        <v>1.2016004822912318E-3</v>
      </c>
      <c r="M247" s="14">
        <f t="shared" si="86"/>
        <v>8.87881310677201E-2</v>
      </c>
      <c r="N247" s="14">
        <f t="shared" ref="N247:R247" si="105">N236/N235-1</f>
        <v>1.8105164635564108E-2</v>
      </c>
      <c r="O247" s="14">
        <f t="shared" si="105"/>
        <v>1.2000495504329578E-3</v>
      </c>
      <c r="P247" s="14">
        <f t="shared" si="105"/>
        <v>0.13030977134123267</v>
      </c>
      <c r="Q247" s="14">
        <f t="shared" si="105"/>
        <v>2.4455896562830759E-2</v>
      </c>
      <c r="R247" s="14">
        <f t="shared" si="105"/>
        <v>8.87915951474747E-2</v>
      </c>
      <c r="T247"/>
      <c r="U247"/>
      <c r="V247"/>
      <c r="W247"/>
      <c r="X247"/>
      <c r="Y247"/>
      <c r="Z247"/>
      <c r="AA247"/>
      <c r="AB247"/>
      <c r="AC247"/>
    </row>
    <row r="248" spans="1:29" s="14" customFormat="1">
      <c r="A248"/>
      <c r="B248">
        <f t="shared" si="89"/>
        <v>2024</v>
      </c>
      <c r="C248"/>
      <c r="D248" s="26">
        <f t="shared" si="86"/>
        <v>1.7402908825522978E-2</v>
      </c>
      <c r="E248" s="26">
        <f t="shared" si="86"/>
        <v>1.8216047644377786E-2</v>
      </c>
      <c r="F248" s="26">
        <f t="shared" si="86"/>
        <v>2.9896688366826796E-2</v>
      </c>
      <c r="G248" s="26">
        <f t="shared" si="86"/>
        <v>3.0855887771007229E-2</v>
      </c>
      <c r="H248" s="26">
        <f t="shared" ref="H248:I248" si="106">H237/H236-1</f>
        <v>-0.28675136116152466</v>
      </c>
      <c r="I248" s="26">
        <f t="shared" si="106"/>
        <v>-0.28675136116152466</v>
      </c>
      <c r="J248" s="14">
        <f t="shared" si="86"/>
        <v>1.2427072472257716E-2</v>
      </c>
      <c r="K248" s="14">
        <f t="shared" si="86"/>
        <v>2.2875945967040012E-2</v>
      </c>
      <c r="L248" s="14">
        <f t="shared" si="86"/>
        <v>-4.6921655641156468E-2</v>
      </c>
      <c r="M248" s="14">
        <f t="shared" si="86"/>
        <v>3.1231150727163204E-2</v>
      </c>
      <c r="N248" s="14">
        <f t="shared" ref="N248:R248" si="107">N237/N236-1</f>
        <v>1.242724714575516E-2</v>
      </c>
      <c r="O248" s="14">
        <f t="shared" si="107"/>
        <v>-4.6921115919876022E-2</v>
      </c>
      <c r="P248" s="14">
        <f t="shared" si="107"/>
        <v>-0.10511165854442239</v>
      </c>
      <c r="Q248" s="14">
        <f t="shared" si="107"/>
        <v>2.2875863914803674E-2</v>
      </c>
      <c r="R248" s="14">
        <f t="shared" si="107"/>
        <v>3.1225010471802372E-2</v>
      </c>
      <c r="T248"/>
      <c r="U248"/>
      <c r="V248"/>
      <c r="W248"/>
      <c r="X248"/>
      <c r="Y248"/>
      <c r="Z248"/>
      <c r="AA248"/>
      <c r="AB248"/>
      <c r="AC248"/>
    </row>
  </sheetData>
  <mergeCells count="8">
    <mergeCell ref="D1:E1"/>
    <mergeCell ref="F1:G1"/>
    <mergeCell ref="J1:M1"/>
    <mergeCell ref="N1:Q1"/>
    <mergeCell ref="J3:M3"/>
    <mergeCell ref="N3:P3"/>
    <mergeCell ref="H1:I1"/>
    <mergeCell ref="D3:I3"/>
  </mergeCells>
  <pageMargins left="0.7" right="0.7" top="0.75" bottom="0.75" header="0.3" footer="0.3"/>
  <pageSetup orientation="portrait" r:id="rId1"/>
  <ignoredErrors>
    <ignoredError sqref="AC23:AC26 AC12:AC15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17475-6D2D-4EE9-91C8-4F2F6712C5E7}">
  <sheetPr codeName="Sheet33">
    <tabColor theme="7" tint="0.79998168889431442"/>
  </sheetPr>
  <dimension ref="A1:AE205"/>
  <sheetViews>
    <sheetView workbookViewId="0"/>
  </sheetViews>
  <sheetFormatPr defaultRowHeight="15"/>
  <cols>
    <col min="4" max="4" width="16" customWidth="1"/>
    <col min="13" max="13" width="13.5703125" bestFit="1" customWidth="1"/>
    <col min="14" max="15" width="11.42578125" bestFit="1" customWidth="1"/>
    <col min="16" max="18" width="10.42578125" bestFit="1" customWidth="1"/>
    <col min="19" max="20" width="11.42578125" bestFit="1" customWidth="1"/>
    <col min="21" max="24" width="12.5703125" customWidth="1"/>
    <col min="28" max="28" width="13.5703125" bestFit="1" customWidth="1"/>
    <col min="29" max="29" width="12.5703125" bestFit="1" customWidth="1"/>
    <col min="30" max="30" width="13.5703125" bestFit="1" customWidth="1"/>
    <col min="31" max="31" width="8.5703125" bestFit="1" customWidth="1"/>
  </cols>
  <sheetData>
    <row r="1" spans="1:31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Data'!BE1</f>
        <v>WRZ_ResidentialkWh_No_CDM</v>
      </c>
      <c r="E1" s="761" t="str">
        <f>'Monthly Data'!CP1</f>
        <v>HDD18</v>
      </c>
      <c r="F1" s="761" t="str">
        <f>'Monthly Data'!CU1</f>
        <v>CDD14</v>
      </c>
      <c r="G1" s="761" t="str">
        <f>'Monthly Data'!EM1</f>
        <v>CovHDD20</v>
      </c>
      <c r="H1" s="762" t="str">
        <f>'Monthly Data'!ET1</f>
        <v>CovCDD14</v>
      </c>
      <c r="I1" s="762" t="str">
        <f>'Monthly Data'!EG1</f>
        <v>Shoulder</v>
      </c>
      <c r="J1" s="760" t="str">
        <f>'Monthly Data'!EH1</f>
        <v>Trend</v>
      </c>
      <c r="K1" s="760" t="str">
        <f>'Monthly Data'!DQ1</f>
        <v>Month Days</v>
      </c>
      <c r="L1" s="760"/>
      <c r="M1" s="760" t="str">
        <f>AA8</f>
        <v>const</v>
      </c>
      <c r="N1" s="760" t="str">
        <f>E1</f>
        <v>HDD18</v>
      </c>
      <c r="O1" s="760" t="str">
        <f>F1</f>
        <v>CDD14</v>
      </c>
      <c r="P1" s="760" t="str">
        <f>G1</f>
        <v>CovHDD20</v>
      </c>
      <c r="Q1" s="760" t="str">
        <f>H1</f>
        <v>CovCDD14</v>
      </c>
      <c r="R1" s="760" t="str">
        <f>I1</f>
        <v>Shoulder</v>
      </c>
      <c r="S1" s="760" t="str">
        <f t="shared" ref="S1:T1" si="0">J1</f>
        <v>Trend</v>
      </c>
      <c r="T1" s="760" t="str">
        <f t="shared" si="0"/>
        <v>Month Days</v>
      </c>
      <c r="U1" s="760" t="s">
        <v>439</v>
      </c>
      <c r="V1" s="760" t="s">
        <v>632</v>
      </c>
      <c r="W1" s="760" t="s">
        <v>347</v>
      </c>
      <c r="X1" s="760" t="s">
        <v>634</v>
      </c>
    </row>
    <row r="2" spans="1:31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Data'!BE2</f>
        <v>31516891.693563402</v>
      </c>
      <c r="E2" s="98">
        <f ca="1">Weather!BU46</f>
        <v>697.33418478260876</v>
      </c>
      <c r="F2" s="98">
        <f ca="1">Weather!CX46</f>
        <v>0</v>
      </c>
      <c r="G2" s="3">
        <f>'Monthly Data'!EM2</f>
        <v>0</v>
      </c>
      <c r="H2" s="3">
        <f>'Monthly Data'!ET2</f>
        <v>0</v>
      </c>
      <c r="I2" s="3">
        <f>'Monthly Data'!EG2</f>
        <v>0</v>
      </c>
      <c r="J2">
        <f>'Monthly Data'!EH2</f>
        <v>1</v>
      </c>
      <c r="K2" s="3">
        <f>'Monthly Data'!DQ2</f>
        <v>31</v>
      </c>
      <c r="M2" s="3">
        <f t="shared" ref="M2:M65" si="1">$AB$8</f>
        <v>-6000764.6164411902</v>
      </c>
      <c r="N2" s="3">
        <f t="shared" ref="N2:N65" ca="1" si="2">E2*$AB$9</f>
        <v>10161658.837309167</v>
      </c>
      <c r="O2" s="3">
        <f t="shared" ref="O2:O65" ca="1" si="3">F2*$AB$10</f>
        <v>0</v>
      </c>
      <c r="P2" s="3">
        <f t="shared" ref="P2:P65" si="4">G2*$AB$11</f>
        <v>0</v>
      </c>
      <c r="Q2" s="3">
        <f t="shared" ref="Q2:Q65" si="5">H2*$AB$12</f>
        <v>0</v>
      </c>
      <c r="R2" s="3">
        <f t="shared" ref="R2:R65" si="6">I2*$AB$13</f>
        <v>0</v>
      </c>
      <c r="S2" s="3">
        <f t="shared" ref="S2:S65" si="7">J2*$AB$14</f>
        <v>53862.562320768498</v>
      </c>
      <c r="T2" s="3">
        <f t="shared" ref="T2:T65" si="8">K2*$AB$15</f>
        <v>25469342.489254653</v>
      </c>
      <c r="U2" s="47">
        <f t="shared" ref="U2:U54" ca="1" si="9">SUM(M2:T2)</f>
        <v>29684099.272443399</v>
      </c>
      <c r="V2" s="47">
        <f>'Monthly Data'!BF2</f>
        <v>0</v>
      </c>
      <c r="W2" s="47">
        <f>+'Monthly Data'!BG2</f>
        <v>0</v>
      </c>
      <c r="X2" s="47">
        <f t="shared" ref="X2:X54" ca="1" si="10">U2+V2+W2</f>
        <v>29684099.272443399</v>
      </c>
    </row>
    <row r="3" spans="1:31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Data'!BE3</f>
        <v>28542104.544935308</v>
      </c>
      <c r="E3" s="98">
        <f ca="1">Weather!BU47</f>
        <v>624.25501811594188</v>
      </c>
      <c r="F3" s="98">
        <f ca="1">Weather!CX47</f>
        <v>0</v>
      </c>
      <c r="G3" s="3">
        <f>'Monthly Data'!EM3</f>
        <v>0</v>
      </c>
      <c r="H3" s="3">
        <f>'Monthly Data'!ET3</f>
        <v>0</v>
      </c>
      <c r="I3" s="3">
        <f>'Monthly Data'!EG3</f>
        <v>0</v>
      </c>
      <c r="J3">
        <f>'Monthly Data'!EH3</f>
        <v>2</v>
      </c>
      <c r="K3" s="3">
        <f>'Monthly Data'!DQ3</f>
        <v>28</v>
      </c>
      <c r="M3" s="3">
        <f t="shared" si="1"/>
        <v>-6000764.6164411902</v>
      </c>
      <c r="N3" s="3">
        <f t="shared" ca="1" si="2"/>
        <v>9096738.2067322657</v>
      </c>
      <c r="O3" s="3">
        <f t="shared" ca="1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107725.124641537</v>
      </c>
      <c r="T3" s="3">
        <f t="shared" si="8"/>
        <v>23004567.409649365</v>
      </c>
      <c r="U3" s="47">
        <f t="shared" ca="1" si="9"/>
        <v>26208266.124581978</v>
      </c>
      <c r="V3" s="47">
        <f>'Monthly Data'!BF3</f>
        <v>0</v>
      </c>
      <c r="W3" s="47">
        <f>+'Monthly Data'!BG3</f>
        <v>0</v>
      </c>
      <c r="X3" s="47">
        <f t="shared" ca="1" si="10"/>
        <v>26208266.124581978</v>
      </c>
      <c r="AA3" t="s">
        <v>638</v>
      </c>
    </row>
    <row r="4" spans="1:31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Data'!BE4</f>
        <v>27187379.621047426</v>
      </c>
      <c r="E4" s="98">
        <f ca="1">Weather!BU48</f>
        <v>546.13298913043491</v>
      </c>
      <c r="F4" s="98">
        <f ca="1">Weather!CX48</f>
        <v>0</v>
      </c>
      <c r="G4" s="3">
        <f>'Monthly Data'!EM4</f>
        <v>0</v>
      </c>
      <c r="H4" s="3">
        <f>'Monthly Data'!ET4</f>
        <v>0</v>
      </c>
      <c r="I4" s="3">
        <f>'Monthly Data'!EG4</f>
        <v>1</v>
      </c>
      <c r="J4">
        <f>'Monthly Data'!EH4</f>
        <v>3</v>
      </c>
      <c r="K4" s="3">
        <f>'Monthly Data'!DQ4</f>
        <v>31</v>
      </c>
      <c r="M4" s="3">
        <f t="shared" si="1"/>
        <v>-6000764.6164411902</v>
      </c>
      <c r="N4" s="3">
        <f t="shared" ca="1" si="2"/>
        <v>7958332.2264251634</v>
      </c>
      <c r="O4" s="3">
        <f t="shared" ca="1" si="3"/>
        <v>0</v>
      </c>
      <c r="P4" s="3">
        <f t="shared" si="4"/>
        <v>0</v>
      </c>
      <c r="Q4" s="3">
        <f t="shared" si="5"/>
        <v>0</v>
      </c>
      <c r="R4" s="3">
        <f t="shared" si="6"/>
        <v>-815229.51419000898</v>
      </c>
      <c r="S4" s="3">
        <f t="shared" si="7"/>
        <v>161587.68696230551</v>
      </c>
      <c r="T4" s="3">
        <f t="shared" si="8"/>
        <v>25469342.489254653</v>
      </c>
      <c r="U4" s="47">
        <f t="shared" ca="1" si="9"/>
        <v>26773268.272010922</v>
      </c>
      <c r="V4" s="47">
        <f>'Monthly Data'!BF4</f>
        <v>0</v>
      </c>
      <c r="W4" s="47">
        <f>+'Monthly Data'!BG4</f>
        <v>0</v>
      </c>
      <c r="X4" s="47">
        <f t="shared" ca="1" si="10"/>
        <v>26773268.272010922</v>
      </c>
      <c r="AA4" t="s">
        <v>639</v>
      </c>
    </row>
    <row r="5" spans="1:31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Data'!BE5</f>
        <v>23251375.536629245</v>
      </c>
      <c r="E5" s="98">
        <f ca="1">Weather!BU49</f>
        <v>352.41399621212122</v>
      </c>
      <c r="F5" s="98">
        <f ca="1">Weather!CX49</f>
        <v>2.1908333333333347</v>
      </c>
      <c r="G5" s="3">
        <f>'Monthly Data'!EM5</f>
        <v>0</v>
      </c>
      <c r="H5" s="3">
        <f>'Monthly Data'!ET5</f>
        <v>0</v>
      </c>
      <c r="I5" s="3">
        <f>'Monthly Data'!EG5</f>
        <v>1</v>
      </c>
      <c r="J5">
        <f>'Monthly Data'!EH5</f>
        <v>4</v>
      </c>
      <c r="K5" s="3">
        <f>'Monthly Data'!DQ5</f>
        <v>30</v>
      </c>
      <c r="M5" s="3">
        <f t="shared" si="1"/>
        <v>-6000764.6164411902</v>
      </c>
      <c r="N5" s="3">
        <f t="shared" ca="1" si="2"/>
        <v>5135429.8658350417</v>
      </c>
      <c r="O5" s="3">
        <f t="shared" ca="1" si="3"/>
        <v>202274.20050016907</v>
      </c>
      <c r="P5" s="3">
        <f t="shared" si="4"/>
        <v>0</v>
      </c>
      <c r="Q5" s="3">
        <f t="shared" si="5"/>
        <v>0</v>
      </c>
      <c r="R5" s="3">
        <f t="shared" si="6"/>
        <v>-815229.51419000898</v>
      </c>
      <c r="S5" s="3">
        <f t="shared" si="7"/>
        <v>215450.24928307399</v>
      </c>
      <c r="T5" s="3">
        <f t="shared" si="8"/>
        <v>24647750.796052888</v>
      </c>
      <c r="U5" s="47">
        <f t="shared" ca="1" si="9"/>
        <v>23384910.981039975</v>
      </c>
      <c r="V5" s="47">
        <f>'Monthly Data'!BF5</f>
        <v>0</v>
      </c>
      <c r="W5" s="47">
        <f>+'Monthly Data'!BG5</f>
        <v>0</v>
      </c>
      <c r="X5" s="47">
        <f t="shared" ca="1" si="10"/>
        <v>23384910.981039975</v>
      </c>
      <c r="AA5" t="s">
        <v>640</v>
      </c>
    </row>
    <row r="6" spans="1:31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Data'!BE6</f>
        <v>24785625.220071364</v>
      </c>
      <c r="E6" s="98">
        <f ca="1">Weather!BU50</f>
        <v>150.136897859768</v>
      </c>
      <c r="F6" s="98">
        <f ca="1">Weather!CX50</f>
        <v>52.487435064935063</v>
      </c>
      <c r="G6" s="3">
        <f>'Monthly Data'!EM6</f>
        <v>0</v>
      </c>
      <c r="H6" s="3">
        <f>'Monthly Data'!ET6</f>
        <v>0</v>
      </c>
      <c r="I6" s="3">
        <f>'Monthly Data'!EG6</f>
        <v>1</v>
      </c>
      <c r="J6">
        <f>'Monthly Data'!EH6</f>
        <v>5</v>
      </c>
      <c r="K6" s="3">
        <f>'Monthly Data'!DQ6</f>
        <v>31</v>
      </c>
      <c r="M6" s="3">
        <f t="shared" si="1"/>
        <v>-6000764.6164411902</v>
      </c>
      <c r="N6" s="3">
        <f t="shared" ca="1" si="2"/>
        <v>2187817.503050575</v>
      </c>
      <c r="O6" s="3">
        <f t="shared" ca="1" si="3"/>
        <v>4846034.5214443235</v>
      </c>
      <c r="P6" s="3">
        <f t="shared" si="4"/>
        <v>0</v>
      </c>
      <c r="Q6" s="3">
        <f t="shared" si="5"/>
        <v>0</v>
      </c>
      <c r="R6" s="3">
        <f t="shared" si="6"/>
        <v>-815229.51419000898</v>
      </c>
      <c r="S6" s="3">
        <f t="shared" si="7"/>
        <v>269312.81160384248</v>
      </c>
      <c r="T6" s="3">
        <f t="shared" si="8"/>
        <v>25469342.489254653</v>
      </c>
      <c r="U6" s="47">
        <f t="shared" ca="1" si="9"/>
        <v>25956513.194722194</v>
      </c>
      <c r="V6" s="47">
        <f>'Monthly Data'!BF6</f>
        <v>0</v>
      </c>
      <c r="W6" s="47">
        <f>+'Monthly Data'!BG6</f>
        <v>0</v>
      </c>
      <c r="X6" s="47">
        <f t="shared" ca="1" si="10"/>
        <v>25956513.194722194</v>
      </c>
    </row>
    <row r="7" spans="1:31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Data'!BE7</f>
        <v>26939319.427072883</v>
      </c>
      <c r="E7" s="98">
        <f ca="1">Weather!BU51</f>
        <v>32.520923826173821</v>
      </c>
      <c r="F7" s="98">
        <f ca="1">Weather!CX51</f>
        <v>137.65451754405018</v>
      </c>
      <c r="G7" s="3">
        <f>'Monthly Data'!EM7</f>
        <v>0</v>
      </c>
      <c r="H7" s="3">
        <f>'Monthly Data'!ET7</f>
        <v>0</v>
      </c>
      <c r="I7" s="3">
        <f>'Monthly Data'!EG7</f>
        <v>0</v>
      </c>
      <c r="J7">
        <f>'Monthly Data'!EH7</f>
        <v>6</v>
      </c>
      <c r="K7" s="3">
        <f>'Monthly Data'!DQ7</f>
        <v>30</v>
      </c>
      <c r="M7" s="3">
        <f t="shared" si="1"/>
        <v>-6000764.6164411902</v>
      </c>
      <c r="N7" s="3">
        <f t="shared" ca="1" si="2"/>
        <v>473899.80328975141</v>
      </c>
      <c r="O7" s="3">
        <f t="shared" ca="1" si="3"/>
        <v>12709299.72527618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323175.37392461102</v>
      </c>
      <c r="T7" s="3">
        <f t="shared" si="8"/>
        <v>24647750.796052888</v>
      </c>
      <c r="U7" s="47">
        <f t="shared" ca="1" si="9"/>
        <v>32153361.082102239</v>
      </c>
      <c r="V7" s="47">
        <f>'Monthly Data'!BF7</f>
        <v>0</v>
      </c>
      <c r="W7" s="47">
        <f>+'Monthly Data'!BG7</f>
        <v>0</v>
      </c>
      <c r="X7" s="47">
        <f t="shared" ca="1" si="10"/>
        <v>32153361.082102239</v>
      </c>
      <c r="AB7" t="s">
        <v>409</v>
      </c>
      <c r="AC7" t="s">
        <v>410</v>
      </c>
      <c r="AD7" t="s">
        <v>411</v>
      </c>
      <c r="AE7" t="s">
        <v>412</v>
      </c>
    </row>
    <row r="8" spans="1:31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Data'!BE8</f>
        <v>37076912.149965301</v>
      </c>
      <c r="E8" s="98">
        <f ca="1">Weather!BU52</f>
        <v>1.6179166666666653</v>
      </c>
      <c r="F8" s="98">
        <f ca="1">Weather!CX52</f>
        <v>235.94737858727848</v>
      </c>
      <c r="G8" s="3">
        <f>'Monthly Data'!EM8</f>
        <v>0</v>
      </c>
      <c r="H8" s="3">
        <f>'Monthly Data'!ET8</f>
        <v>0</v>
      </c>
      <c r="I8" s="3">
        <f>'Monthly Data'!EG8</f>
        <v>0</v>
      </c>
      <c r="J8">
        <f>'Monthly Data'!EH8</f>
        <v>7</v>
      </c>
      <c r="K8" s="3">
        <f>'Monthly Data'!DQ8</f>
        <v>31</v>
      </c>
      <c r="M8" s="3">
        <f t="shared" si="1"/>
        <v>-6000764.6164411902</v>
      </c>
      <c r="N8" s="3">
        <f t="shared" ca="1" si="2"/>
        <v>23576.525506186736</v>
      </c>
      <c r="O8" s="3">
        <f t="shared" ca="1" si="3"/>
        <v>21784435.464672089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377037.9362453795</v>
      </c>
      <c r="T8" s="3">
        <f t="shared" si="8"/>
        <v>25469342.489254653</v>
      </c>
      <c r="U8" s="47">
        <f t="shared" ca="1" si="9"/>
        <v>41653627.799237117</v>
      </c>
      <c r="V8" s="47">
        <f>'Monthly Data'!BF8</f>
        <v>0</v>
      </c>
      <c r="W8" s="47">
        <f>+'Monthly Data'!BG8</f>
        <v>0</v>
      </c>
      <c r="X8" s="47">
        <f t="shared" ca="1" si="10"/>
        <v>41653627.799237117</v>
      </c>
      <c r="AA8" t="s">
        <v>413</v>
      </c>
      <c r="AB8" s="616">
        <f>'WRZ Residential'!AC8</f>
        <v>-6000764.6164411902</v>
      </c>
      <c r="AC8" s="3">
        <f>'WRZ Residential'!AD8</f>
        <v>2372755.2862757202</v>
      </c>
      <c r="AD8" s="360">
        <f>'WRZ Residential'!AE8</f>
        <v>-2.5290280254142798</v>
      </c>
      <c r="AE8" s="370">
        <f>'WRZ Residential'!AF8</f>
        <v>1.28296741362545E-2</v>
      </c>
    </row>
    <row r="9" spans="1:31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Data'!BE9</f>
        <v>33838120.556036919</v>
      </c>
      <c r="E9" s="98">
        <f ca="1">Weather!BU53</f>
        <v>5.6499999999999977</v>
      </c>
      <c r="F9" s="98">
        <f ca="1">Weather!CX53</f>
        <v>210.96558794466404</v>
      </c>
      <c r="G9" s="3">
        <f>'Monthly Data'!EM9</f>
        <v>0</v>
      </c>
      <c r="H9" s="3">
        <f>'Monthly Data'!ET9</f>
        <v>0</v>
      </c>
      <c r="I9" s="3">
        <f>'Monthly Data'!EG9</f>
        <v>0</v>
      </c>
      <c r="J9">
        <f>'Monthly Data'!EH9</f>
        <v>8</v>
      </c>
      <c r="K9" s="3">
        <f>'Monthly Data'!DQ9</f>
        <v>31</v>
      </c>
      <c r="M9" s="3">
        <f t="shared" si="1"/>
        <v>-6000764.6164411902</v>
      </c>
      <c r="N9" s="3">
        <f t="shared" ca="1" si="2"/>
        <v>82332.651523021443</v>
      </c>
      <c r="O9" s="3">
        <f t="shared" ca="1" si="3"/>
        <v>19477928.77956105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430900.49856614799</v>
      </c>
      <c r="T9" s="3">
        <f t="shared" si="8"/>
        <v>25469342.489254653</v>
      </c>
      <c r="U9" s="47">
        <f t="shared" ca="1" si="9"/>
        <v>39459739.802463681</v>
      </c>
      <c r="V9" s="47">
        <f>'Monthly Data'!BF9</f>
        <v>0</v>
      </c>
      <c r="W9" s="47">
        <f>+'Monthly Data'!BG9</f>
        <v>0</v>
      </c>
      <c r="X9" s="47">
        <f t="shared" ca="1" si="10"/>
        <v>39459739.802463681</v>
      </c>
      <c r="AA9" t="s">
        <v>40</v>
      </c>
      <c r="AB9" s="3">
        <f>'WRZ Residential'!AC9</f>
        <v>14572.1507120392</v>
      </c>
      <c r="AC9" s="3">
        <f>'WRZ Residential'!AD9</f>
        <v>737.28841685356804</v>
      </c>
      <c r="AD9" s="360">
        <f>'WRZ Residential'!AE9</f>
        <v>19.764518713350899</v>
      </c>
      <c r="AE9" s="370">
        <f>'WRZ Residential'!AF9</f>
        <v>2.6062447902020701E-38</v>
      </c>
    </row>
    <row r="10" spans="1:31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Data'!BE10</f>
        <v>31510740.237148736</v>
      </c>
      <c r="E10" s="98">
        <f ca="1">Weather!BU54</f>
        <v>54.959440993788824</v>
      </c>
      <c r="F10" s="98">
        <f ca="1">Weather!CX54</f>
        <v>106.4160119047619</v>
      </c>
      <c r="G10" s="3">
        <f>'Monthly Data'!EM10</f>
        <v>0</v>
      </c>
      <c r="H10" s="3">
        <f>'Monthly Data'!ET10</f>
        <v>0</v>
      </c>
      <c r="I10" s="3">
        <f>'Monthly Data'!EG10</f>
        <v>1</v>
      </c>
      <c r="J10">
        <f>'Monthly Data'!EH10</f>
        <v>9</v>
      </c>
      <c r="K10" s="3">
        <f>'Monthly Data'!DQ10</f>
        <v>30</v>
      </c>
      <c r="M10" s="3">
        <f t="shared" si="1"/>
        <v>-6000764.6164411902</v>
      </c>
      <c r="N10" s="3">
        <f t="shared" ca="1" si="2"/>
        <v>800877.25721091626</v>
      </c>
      <c r="O10" s="3">
        <f t="shared" ca="1" si="3"/>
        <v>9825126.083736252</v>
      </c>
      <c r="P10" s="3">
        <f t="shared" si="4"/>
        <v>0</v>
      </c>
      <c r="Q10" s="3">
        <f t="shared" si="5"/>
        <v>0</v>
      </c>
      <c r="R10" s="3">
        <f t="shared" si="6"/>
        <v>-815229.51419000898</v>
      </c>
      <c r="S10" s="3">
        <f t="shared" si="7"/>
        <v>484763.06088691647</v>
      </c>
      <c r="T10" s="3">
        <f t="shared" si="8"/>
        <v>24647750.796052888</v>
      </c>
      <c r="U10" s="47">
        <f t="shared" ca="1" si="9"/>
        <v>28942523.067255773</v>
      </c>
      <c r="V10" s="47">
        <f>'Monthly Data'!BF10</f>
        <v>0</v>
      </c>
      <c r="W10" s="47">
        <f>+'Monthly Data'!BG10</f>
        <v>0</v>
      </c>
      <c r="X10" s="47">
        <f t="shared" ca="1" si="10"/>
        <v>28942523.067255773</v>
      </c>
      <c r="AA10" t="s">
        <v>47</v>
      </c>
      <c r="AB10" s="3">
        <f>'WRZ Residential'!AC10</f>
        <v>92327.516394143298</v>
      </c>
      <c r="AC10" s="3">
        <f>'WRZ Residential'!AD10</f>
        <v>2402.1266341256401</v>
      </c>
      <c r="AD10" s="360">
        <f>'WRZ Residential'!AE10</f>
        <v>38.4357406818187</v>
      </c>
      <c r="AE10" s="370">
        <f>'WRZ Residential'!AF10</f>
        <v>2.4017474716236102E-66</v>
      </c>
    </row>
    <row r="11" spans="1:31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Data'!BE11</f>
        <v>24349104.451610852</v>
      </c>
      <c r="E11" s="98">
        <f ca="1">Weather!BU55</f>
        <v>237.89681159420289</v>
      </c>
      <c r="F11" s="98">
        <f ca="1">Weather!CX55</f>
        <v>17.987083333333334</v>
      </c>
      <c r="G11" s="3">
        <f>'Monthly Data'!EM11</f>
        <v>0</v>
      </c>
      <c r="H11" s="3">
        <f>'Monthly Data'!ET11</f>
        <v>0</v>
      </c>
      <c r="I11" s="3">
        <f>'Monthly Data'!EG11</f>
        <v>1</v>
      </c>
      <c r="J11">
        <f>'Monthly Data'!EH11</f>
        <v>10</v>
      </c>
      <c r="K11" s="3">
        <f>'Monthly Data'!DQ11</f>
        <v>31</v>
      </c>
      <c r="M11" s="3">
        <f t="shared" si="1"/>
        <v>-6000764.6164411902</v>
      </c>
      <c r="N11" s="3">
        <f t="shared" ca="1" si="2"/>
        <v>3466668.1924643191</v>
      </c>
      <c r="O11" s="3">
        <f t="shared" ca="1" si="3"/>
        <v>1660702.731341155</v>
      </c>
      <c r="P11" s="3">
        <f t="shared" si="4"/>
        <v>0</v>
      </c>
      <c r="Q11" s="3">
        <f t="shared" si="5"/>
        <v>0</v>
      </c>
      <c r="R11" s="3">
        <f t="shared" si="6"/>
        <v>-815229.51419000898</v>
      </c>
      <c r="S11" s="3">
        <f t="shared" si="7"/>
        <v>538625.62320768496</v>
      </c>
      <c r="T11" s="3">
        <f t="shared" si="8"/>
        <v>25469342.489254653</v>
      </c>
      <c r="U11" s="47">
        <f t="shared" ca="1" si="9"/>
        <v>24319344.905636612</v>
      </c>
      <c r="V11" s="47">
        <f>'Monthly Data'!BF11</f>
        <v>0</v>
      </c>
      <c r="W11" s="47">
        <f>+'Monthly Data'!BG11</f>
        <v>0</v>
      </c>
      <c r="X11" s="47">
        <f t="shared" ca="1" si="10"/>
        <v>24319344.905636612</v>
      </c>
      <c r="AA11" t="s">
        <v>216</v>
      </c>
      <c r="AB11" s="3">
        <f>'WRZ Residential'!AC11</f>
        <v>4698.1543523521996</v>
      </c>
      <c r="AC11" s="3">
        <f>'WRZ Residential'!AD11</f>
        <v>1516.88438604967</v>
      </c>
      <c r="AD11" s="360">
        <f>'WRZ Residential'!AE11</f>
        <v>3.0972395757776399</v>
      </c>
      <c r="AE11" s="370">
        <f>'WRZ Residential'!AF11</f>
        <v>2.46902798197086E-3</v>
      </c>
    </row>
    <row r="12" spans="1:31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Data'!BE12</f>
        <v>24508802.526932873</v>
      </c>
      <c r="E12" s="98">
        <f ca="1">Weather!BU56</f>
        <v>426.62991389045737</v>
      </c>
      <c r="F12" s="98">
        <f ca="1">Weather!CX56</f>
        <v>0.8083333333333329</v>
      </c>
      <c r="G12" s="3">
        <f>'Monthly Data'!EM12</f>
        <v>0</v>
      </c>
      <c r="H12" s="3">
        <f>'Monthly Data'!ET12</f>
        <v>0</v>
      </c>
      <c r="I12" s="3">
        <f>'Monthly Data'!EG12</f>
        <v>1</v>
      </c>
      <c r="J12">
        <f>'Monthly Data'!EH12</f>
        <v>11</v>
      </c>
      <c r="K12" s="3">
        <f>'Monthly Data'!DQ12</f>
        <v>30</v>
      </c>
      <c r="M12" s="3">
        <f t="shared" si="1"/>
        <v>-6000764.6164411902</v>
      </c>
      <c r="N12" s="3">
        <f t="shared" ca="1" si="2"/>
        <v>6216915.4034760511</v>
      </c>
      <c r="O12" s="3">
        <f t="shared" ca="1" si="3"/>
        <v>74631.409085265797</v>
      </c>
      <c r="P12" s="3">
        <f t="shared" si="4"/>
        <v>0</v>
      </c>
      <c r="Q12" s="3">
        <f t="shared" si="5"/>
        <v>0</v>
      </c>
      <c r="R12" s="3">
        <f t="shared" si="6"/>
        <v>-815229.51419000898</v>
      </c>
      <c r="S12" s="3">
        <f t="shared" si="7"/>
        <v>592488.18552845344</v>
      </c>
      <c r="T12" s="3">
        <f t="shared" si="8"/>
        <v>24647750.796052888</v>
      </c>
      <c r="U12" s="47">
        <f t="shared" ca="1" si="9"/>
        <v>24715791.663511459</v>
      </c>
      <c r="V12" s="47">
        <f>'Monthly Data'!BF12</f>
        <v>0</v>
      </c>
      <c r="W12" s="47">
        <f>+'Monthly Data'!BG12</f>
        <v>0</v>
      </c>
      <c r="X12" s="47">
        <f t="shared" ca="1" si="10"/>
        <v>24715791.663511459</v>
      </c>
      <c r="AA12" t="s">
        <v>400</v>
      </c>
      <c r="AB12" s="3">
        <f>'WRZ Residential'!AC12</f>
        <v>16615.388505770701</v>
      </c>
      <c r="AC12" s="3">
        <f>'WRZ Residential'!AD12</f>
        <v>5063.3511022550401</v>
      </c>
      <c r="AD12" s="360">
        <f>'WRZ Residential'!AE12</f>
        <v>3.2815003680804899</v>
      </c>
      <c r="AE12" s="370">
        <f>'WRZ Residential'!AF12</f>
        <v>1.37718449213677E-3</v>
      </c>
    </row>
    <row r="13" spans="1:31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Data'!BE13</f>
        <v>28313275.283504494</v>
      </c>
      <c r="E13" s="98">
        <f ca="1">Weather!BU57</f>
        <v>577.92800724637686</v>
      </c>
      <c r="F13" s="98">
        <f ca="1">Weather!CX57</f>
        <v>0</v>
      </c>
      <c r="G13" s="3">
        <f>'Monthly Data'!EM13</f>
        <v>0</v>
      </c>
      <c r="H13" s="3">
        <f>'Monthly Data'!ET13</f>
        <v>0</v>
      </c>
      <c r="I13" s="3">
        <f>'Monthly Data'!EG13</f>
        <v>0</v>
      </c>
      <c r="J13">
        <f>'Monthly Data'!EH13</f>
        <v>12</v>
      </c>
      <c r="K13" s="3">
        <f>'Monthly Data'!DQ13</f>
        <v>31</v>
      </c>
      <c r="M13" s="3">
        <f t="shared" si="1"/>
        <v>-6000764.6164411902</v>
      </c>
      <c r="N13" s="3">
        <f t="shared" ca="1" si="2"/>
        <v>8421654.0223026872</v>
      </c>
      <c r="O13" s="3">
        <f t="shared" ca="1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646350.74784922204</v>
      </c>
      <c r="T13" s="3">
        <f t="shared" si="8"/>
        <v>25469342.489254653</v>
      </c>
      <c r="U13" s="47">
        <f t="shared" ca="1" si="9"/>
        <v>28536582.642965373</v>
      </c>
      <c r="V13" s="47">
        <f>'Monthly Data'!BF13</f>
        <v>0</v>
      </c>
      <c r="W13" s="47">
        <f>+'Monthly Data'!BG13</f>
        <v>0</v>
      </c>
      <c r="X13" s="47">
        <f t="shared" ca="1" si="10"/>
        <v>28536582.642965373</v>
      </c>
      <c r="AA13" t="s">
        <v>118</v>
      </c>
      <c r="AB13" s="3">
        <f>'WRZ Residential'!AC13</f>
        <v>-815229.51419000898</v>
      </c>
      <c r="AC13" s="3">
        <f>'WRZ Residential'!AD13</f>
        <v>216651.41231479001</v>
      </c>
      <c r="AD13" s="360">
        <f>'WRZ Residential'!AE13</f>
        <v>-3.7628626810218901</v>
      </c>
      <c r="AE13" s="370">
        <f>'WRZ Residential'!AF13</f>
        <v>2.6907424757995302E-4</v>
      </c>
    </row>
    <row r="14" spans="1:31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Data'!BE14</f>
        <v>31299065.574683364</v>
      </c>
      <c r="E14" s="3">
        <f ca="1">E2</f>
        <v>697.33418478260876</v>
      </c>
      <c r="F14" s="3">
        <f ca="1">F2</f>
        <v>0</v>
      </c>
      <c r="G14" s="3">
        <f>'Monthly Data'!EM14</f>
        <v>0</v>
      </c>
      <c r="H14" s="3">
        <f>'Monthly Data'!ET14</f>
        <v>0</v>
      </c>
      <c r="I14" s="3">
        <f>'Monthly Data'!EG14</f>
        <v>0</v>
      </c>
      <c r="J14">
        <f>'Monthly Data'!EH14</f>
        <v>13</v>
      </c>
      <c r="K14" s="3">
        <f>'Monthly Data'!DQ14</f>
        <v>31</v>
      </c>
      <c r="M14" s="3">
        <f t="shared" si="1"/>
        <v>-6000764.6164411902</v>
      </c>
      <c r="N14" s="3">
        <f t="shared" ca="1" si="2"/>
        <v>10161658.837309167</v>
      </c>
      <c r="O14" s="3">
        <f t="shared" ca="1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700213.31016999052</v>
      </c>
      <c r="T14" s="3">
        <f t="shared" si="8"/>
        <v>25469342.489254653</v>
      </c>
      <c r="U14" s="47">
        <f t="shared" ca="1" si="9"/>
        <v>30330450.020292621</v>
      </c>
      <c r="V14" s="47">
        <f>'Monthly Data'!BF14</f>
        <v>0</v>
      </c>
      <c r="W14" s="47">
        <f>+'Monthly Data'!BG14</f>
        <v>0</v>
      </c>
      <c r="X14" s="47">
        <f t="shared" ca="1" si="10"/>
        <v>30330450.020292621</v>
      </c>
      <c r="AA14" t="s">
        <v>119</v>
      </c>
      <c r="AB14" s="3">
        <f>'WRZ Residential'!AC14</f>
        <v>53862.562320768498</v>
      </c>
      <c r="AC14" s="3">
        <f>'WRZ Residential'!AD14</f>
        <v>4162.0552554138803</v>
      </c>
      <c r="AD14" s="360">
        <f>'WRZ Residential'!AE14</f>
        <v>12.9413376361848</v>
      </c>
      <c r="AE14" s="370">
        <f>'WRZ Residential'!AF14</f>
        <v>5.5688751341649098E-24</v>
      </c>
    </row>
    <row r="15" spans="1:31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Data'!BE15</f>
        <v>28107655.444630712</v>
      </c>
      <c r="E15" s="3">
        <f t="shared" ref="E15:F15" ca="1" si="11">E3</f>
        <v>624.25501811594188</v>
      </c>
      <c r="F15" s="3">
        <f t="shared" ca="1" si="11"/>
        <v>0</v>
      </c>
      <c r="G15" s="3">
        <f>'Monthly Data'!EM15</f>
        <v>0</v>
      </c>
      <c r="H15" s="3">
        <f>'Monthly Data'!ET15</f>
        <v>0</v>
      </c>
      <c r="I15" s="3">
        <f>'Monthly Data'!EG15</f>
        <v>0</v>
      </c>
      <c r="J15">
        <f>'Monthly Data'!EH15</f>
        <v>14</v>
      </c>
      <c r="K15" s="3">
        <f>'Monthly Data'!DQ15</f>
        <v>29</v>
      </c>
      <c r="M15" s="3">
        <f t="shared" si="1"/>
        <v>-6000764.6164411902</v>
      </c>
      <c r="N15" s="3">
        <f t="shared" ca="1" si="2"/>
        <v>9096738.2067322657</v>
      </c>
      <c r="O15" s="3">
        <f t="shared" ca="1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754075.87249075901</v>
      </c>
      <c r="T15" s="3">
        <f t="shared" si="8"/>
        <v>23826159.102851126</v>
      </c>
      <c r="U15" s="47">
        <f t="shared" ca="1" si="9"/>
        <v>27676208.565632962</v>
      </c>
      <c r="V15" s="47">
        <f>'Monthly Data'!BF15</f>
        <v>0</v>
      </c>
      <c r="W15" s="47">
        <f>+'Monthly Data'!BG15</f>
        <v>0</v>
      </c>
      <c r="X15" s="47">
        <f t="shared" ca="1" si="10"/>
        <v>27676208.565632962</v>
      </c>
      <c r="AA15" t="s">
        <v>414</v>
      </c>
      <c r="AB15" s="3">
        <f>'WRZ Residential'!AC15</f>
        <v>821591.69320176297</v>
      </c>
      <c r="AC15" s="3">
        <f>'WRZ Residential'!AD15</f>
        <v>80238.120466586304</v>
      </c>
      <c r="AD15" s="360">
        <f>'WRZ Residential'!AE15</f>
        <v>10.2394184762079</v>
      </c>
      <c r="AE15" s="370">
        <f>'WRZ Residential'!AF15</f>
        <v>9.1610731093050006E-18</v>
      </c>
    </row>
    <row r="16" spans="1:31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Data'!BE16</f>
        <v>27483932.055567756</v>
      </c>
      <c r="E16" s="3">
        <f t="shared" ref="E16:F16" ca="1" si="12">E4</f>
        <v>546.13298913043491</v>
      </c>
      <c r="F16" s="3">
        <f t="shared" ca="1" si="12"/>
        <v>0</v>
      </c>
      <c r="G16" s="3">
        <f>'Monthly Data'!EM16</f>
        <v>0</v>
      </c>
      <c r="H16" s="3">
        <f>'Monthly Data'!ET16</f>
        <v>0</v>
      </c>
      <c r="I16" s="3">
        <f>'Monthly Data'!EG16</f>
        <v>1</v>
      </c>
      <c r="J16">
        <f>'Monthly Data'!EH16</f>
        <v>15</v>
      </c>
      <c r="K16" s="3">
        <f>'Monthly Data'!DQ16</f>
        <v>31</v>
      </c>
      <c r="M16" s="3">
        <f t="shared" si="1"/>
        <v>-6000764.6164411902</v>
      </c>
      <c r="N16" s="3">
        <f t="shared" ca="1" si="2"/>
        <v>7958332.2264251634</v>
      </c>
      <c r="O16" s="3">
        <f t="shared" ca="1" si="3"/>
        <v>0</v>
      </c>
      <c r="P16" s="3">
        <f t="shared" si="4"/>
        <v>0</v>
      </c>
      <c r="Q16" s="3">
        <f t="shared" si="5"/>
        <v>0</v>
      </c>
      <c r="R16" s="3">
        <f t="shared" si="6"/>
        <v>-815229.51419000898</v>
      </c>
      <c r="S16" s="3">
        <f t="shared" si="7"/>
        <v>807938.43481152749</v>
      </c>
      <c r="T16" s="3">
        <f t="shared" si="8"/>
        <v>25469342.489254653</v>
      </c>
      <c r="U16" s="47">
        <f t="shared" ca="1" si="9"/>
        <v>27419619.019860145</v>
      </c>
      <c r="V16" s="47">
        <f>'Monthly Data'!BF16</f>
        <v>0</v>
      </c>
      <c r="W16" s="47">
        <f>+'Monthly Data'!BG16</f>
        <v>0</v>
      </c>
      <c r="X16" s="47">
        <f t="shared" ca="1" si="10"/>
        <v>27419619.019860145</v>
      </c>
      <c r="AD16" s="380"/>
      <c r="AE16" s="380"/>
    </row>
    <row r="17" spans="1:30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Data'!BE17</f>
        <v>24945174.944504999</v>
      </c>
      <c r="E17" s="3">
        <f t="shared" ref="E17:F17" ca="1" si="13">E5</f>
        <v>352.41399621212122</v>
      </c>
      <c r="F17" s="3">
        <f t="shared" ca="1" si="13"/>
        <v>2.1908333333333347</v>
      </c>
      <c r="G17" s="3">
        <f>'Monthly Data'!EM17</f>
        <v>0</v>
      </c>
      <c r="H17" s="3">
        <f>'Monthly Data'!ET17</f>
        <v>0</v>
      </c>
      <c r="I17" s="3">
        <f>'Monthly Data'!EG17</f>
        <v>1</v>
      </c>
      <c r="J17">
        <f>'Monthly Data'!EH17</f>
        <v>16</v>
      </c>
      <c r="K17" s="3">
        <f>'Monthly Data'!DQ17</f>
        <v>30</v>
      </c>
      <c r="M17" s="3">
        <f t="shared" si="1"/>
        <v>-6000764.6164411902</v>
      </c>
      <c r="N17" s="3">
        <f t="shared" ca="1" si="2"/>
        <v>5135429.8658350417</v>
      </c>
      <c r="O17" s="3">
        <f t="shared" ca="1" si="3"/>
        <v>202274.20050016907</v>
      </c>
      <c r="P17" s="3">
        <f t="shared" si="4"/>
        <v>0</v>
      </c>
      <c r="Q17" s="3">
        <f t="shared" si="5"/>
        <v>0</v>
      </c>
      <c r="R17" s="3">
        <f t="shared" si="6"/>
        <v>-815229.51419000898</v>
      </c>
      <c r="S17" s="3">
        <f t="shared" si="7"/>
        <v>861800.99713229598</v>
      </c>
      <c r="T17" s="3">
        <f t="shared" si="8"/>
        <v>24647750.796052888</v>
      </c>
      <c r="U17" s="47">
        <f t="shared" ca="1" si="9"/>
        <v>24031261.728889197</v>
      </c>
      <c r="V17" s="47">
        <f>'Monthly Data'!BF17</f>
        <v>0</v>
      </c>
      <c r="W17" s="47">
        <f>+'Monthly Data'!BG17</f>
        <v>0</v>
      </c>
      <c r="X17" s="47">
        <f t="shared" ca="1" si="10"/>
        <v>24031261.728889197</v>
      </c>
      <c r="AA17" t="s">
        <v>407</v>
      </c>
    </row>
    <row r="18" spans="1:30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Data'!BE18</f>
        <v>27521939.867072541</v>
      </c>
      <c r="E18" s="3">
        <f t="shared" ref="E18:F18" ca="1" si="14">E6</f>
        <v>150.136897859768</v>
      </c>
      <c r="F18" s="3">
        <f t="shared" ca="1" si="14"/>
        <v>52.487435064935063</v>
      </c>
      <c r="G18" s="3">
        <f>'Monthly Data'!EM18</f>
        <v>0</v>
      </c>
      <c r="H18" s="3">
        <f>'Monthly Data'!ET18</f>
        <v>0</v>
      </c>
      <c r="I18" s="3">
        <f>'Monthly Data'!EG18</f>
        <v>1</v>
      </c>
      <c r="J18">
        <f>'Monthly Data'!EH18</f>
        <v>17</v>
      </c>
      <c r="K18" s="3">
        <f>'Monthly Data'!DQ18</f>
        <v>31</v>
      </c>
      <c r="M18" s="3">
        <f t="shared" si="1"/>
        <v>-6000764.6164411902</v>
      </c>
      <c r="N18" s="3">
        <f t="shared" ca="1" si="2"/>
        <v>2187817.503050575</v>
      </c>
      <c r="O18" s="3">
        <f t="shared" ca="1" si="3"/>
        <v>4846034.5214443235</v>
      </c>
      <c r="P18" s="3">
        <f t="shared" si="4"/>
        <v>0</v>
      </c>
      <c r="Q18" s="3">
        <f t="shared" si="5"/>
        <v>0</v>
      </c>
      <c r="R18" s="3">
        <f t="shared" si="6"/>
        <v>-815229.51419000898</v>
      </c>
      <c r="S18" s="3">
        <f t="shared" si="7"/>
        <v>915663.55945306446</v>
      </c>
      <c r="T18" s="3">
        <f t="shared" si="8"/>
        <v>25469342.489254653</v>
      </c>
      <c r="U18" s="47">
        <f t="shared" ca="1" si="9"/>
        <v>26602863.942571416</v>
      </c>
      <c r="V18" s="47">
        <f>'Monthly Data'!BF18</f>
        <v>0</v>
      </c>
      <c r="W18" s="47">
        <f>+'Monthly Data'!BG18</f>
        <v>0</v>
      </c>
      <c r="X18" s="47">
        <f t="shared" ca="1" si="10"/>
        <v>26602863.942571416</v>
      </c>
      <c r="AA18" t="s">
        <v>415</v>
      </c>
      <c r="AB18">
        <v>88449289928544</v>
      </c>
      <c r="AC18" t="s">
        <v>416</v>
      </c>
      <c r="AD18" s="3">
        <v>888665.18044392206</v>
      </c>
    </row>
    <row r="19" spans="1:30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Data'!BE19</f>
        <v>33531214.931869484</v>
      </c>
      <c r="E19" s="3">
        <f t="shared" ref="E19:F19" ca="1" si="15">E7</f>
        <v>32.520923826173821</v>
      </c>
      <c r="F19" s="3">
        <f t="shared" ca="1" si="15"/>
        <v>137.65451754405018</v>
      </c>
      <c r="G19" s="3">
        <f>'Monthly Data'!EM19</f>
        <v>0</v>
      </c>
      <c r="H19" s="3">
        <f>'Monthly Data'!ET19</f>
        <v>0</v>
      </c>
      <c r="I19" s="3">
        <f>'Monthly Data'!EG19</f>
        <v>0</v>
      </c>
      <c r="J19">
        <f>'Monthly Data'!EH19</f>
        <v>18</v>
      </c>
      <c r="K19" s="3">
        <f>'Monthly Data'!DQ19</f>
        <v>30</v>
      </c>
      <c r="M19" s="3">
        <f t="shared" si="1"/>
        <v>-6000764.6164411902</v>
      </c>
      <c r="N19" s="3">
        <f t="shared" ca="1" si="2"/>
        <v>473899.80328975141</v>
      </c>
      <c r="O19" s="3">
        <f t="shared" ca="1" si="3"/>
        <v>12709299.72527618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969526.12177383294</v>
      </c>
      <c r="T19" s="3">
        <f t="shared" si="8"/>
        <v>24647750.796052888</v>
      </c>
      <c r="U19" s="47">
        <f t="shared" ca="1" si="9"/>
        <v>32799711.829951461</v>
      </c>
      <c r="V19" s="47">
        <f>'Monthly Data'!BF19</f>
        <v>0</v>
      </c>
      <c r="W19" s="47">
        <f>+'Monthly Data'!BG19</f>
        <v>0</v>
      </c>
      <c r="X19" s="47">
        <f t="shared" ca="1" si="10"/>
        <v>32799711.829951461</v>
      </c>
      <c r="AA19" t="s">
        <v>417</v>
      </c>
      <c r="AB19" s="107">
        <v>0.98194094280728905</v>
      </c>
      <c r="AC19" t="s">
        <v>418</v>
      </c>
      <c r="AD19" s="107">
        <v>0.980812251732745</v>
      </c>
    </row>
    <row r="20" spans="1:30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Data'!BE20</f>
        <v>43681699.208446927</v>
      </c>
      <c r="E20" s="3">
        <f t="shared" ref="E20:F20" ca="1" si="16">E8</f>
        <v>1.6179166666666653</v>
      </c>
      <c r="F20" s="3">
        <f t="shared" ca="1" si="16"/>
        <v>235.94737858727848</v>
      </c>
      <c r="G20" s="3">
        <f>'Monthly Data'!EM20</f>
        <v>0</v>
      </c>
      <c r="H20" s="3">
        <f>'Monthly Data'!ET20</f>
        <v>0</v>
      </c>
      <c r="I20" s="3">
        <f>'Monthly Data'!EG20</f>
        <v>0</v>
      </c>
      <c r="J20">
        <f>'Monthly Data'!EH20</f>
        <v>19</v>
      </c>
      <c r="K20" s="3">
        <f>'Monthly Data'!DQ20</f>
        <v>31</v>
      </c>
      <c r="M20" s="3">
        <f t="shared" si="1"/>
        <v>-6000764.6164411902</v>
      </c>
      <c r="N20" s="3">
        <f t="shared" ca="1" si="2"/>
        <v>23576.525506186736</v>
      </c>
      <c r="O20" s="3">
        <f t="shared" ca="1" si="3"/>
        <v>21784435.464672089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1023388.6840946014</v>
      </c>
      <c r="T20" s="3">
        <f t="shared" si="8"/>
        <v>25469342.489254653</v>
      </c>
      <c r="U20" s="47">
        <f t="shared" ca="1" si="9"/>
        <v>42299978.547086343</v>
      </c>
      <c r="V20" s="47">
        <f>'Monthly Data'!BF20</f>
        <v>0</v>
      </c>
      <c r="W20" s="47">
        <f>+'Monthly Data'!BG20</f>
        <v>0</v>
      </c>
      <c r="X20" s="47">
        <f t="shared" ca="1" si="10"/>
        <v>42299978.547086343</v>
      </c>
      <c r="AA20" t="s">
        <v>543</v>
      </c>
      <c r="AB20" s="360">
        <v>588.61723381153695</v>
      </c>
      <c r="AC20" t="s">
        <v>419</v>
      </c>
      <c r="AD20" s="107">
        <v>3.32231870968886E-85</v>
      </c>
    </row>
    <row r="21" spans="1:30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Data'!BE21</f>
        <v>46283926.15929427</v>
      </c>
      <c r="E21" s="3">
        <f t="shared" ref="E21:F21" ca="1" si="17">E9</f>
        <v>5.6499999999999977</v>
      </c>
      <c r="F21" s="3">
        <f t="shared" ca="1" si="17"/>
        <v>210.96558794466404</v>
      </c>
      <c r="G21" s="3">
        <f>'Monthly Data'!EM21</f>
        <v>0</v>
      </c>
      <c r="H21" s="3">
        <f>'Monthly Data'!ET21</f>
        <v>0</v>
      </c>
      <c r="I21" s="3">
        <f>'Monthly Data'!EG21</f>
        <v>0</v>
      </c>
      <c r="J21">
        <f>'Monthly Data'!EH21</f>
        <v>20</v>
      </c>
      <c r="K21" s="3">
        <f>'Monthly Data'!DQ21</f>
        <v>31</v>
      </c>
      <c r="M21" s="3">
        <f t="shared" si="1"/>
        <v>-6000764.6164411902</v>
      </c>
      <c r="N21" s="3">
        <f t="shared" ca="1" si="2"/>
        <v>82332.651523021443</v>
      </c>
      <c r="O21" s="3">
        <f t="shared" ca="1" si="3"/>
        <v>19477928.77956105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1077251.2464153699</v>
      </c>
      <c r="T21" s="3">
        <f t="shared" si="8"/>
        <v>25469342.489254653</v>
      </c>
      <c r="U21" s="47">
        <f t="shared" ca="1" si="9"/>
        <v>40106090.550312907</v>
      </c>
      <c r="V21" s="47">
        <f>'Monthly Data'!BF21</f>
        <v>0</v>
      </c>
      <c r="W21" s="47">
        <f>+'Monthly Data'!BG21</f>
        <v>0</v>
      </c>
      <c r="X21" s="47">
        <f t="shared" ca="1" si="10"/>
        <v>40106090.550312907</v>
      </c>
      <c r="AA21" t="s">
        <v>420</v>
      </c>
      <c r="AB21" s="107">
        <v>-2.1215046071531098E-2</v>
      </c>
      <c r="AC21" t="s">
        <v>421</v>
      </c>
      <c r="AD21" s="107">
        <v>2.0350659603210701</v>
      </c>
    </row>
    <row r="22" spans="1:30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Data'!BE22</f>
        <v>32267263.271041319</v>
      </c>
      <c r="E22" s="3">
        <f t="shared" ref="E22:F22" ca="1" si="18">E10</f>
        <v>54.959440993788824</v>
      </c>
      <c r="F22" s="3">
        <f t="shared" ca="1" si="18"/>
        <v>106.4160119047619</v>
      </c>
      <c r="G22" s="3">
        <f>'Monthly Data'!EM22</f>
        <v>0</v>
      </c>
      <c r="H22" s="3">
        <f>'Monthly Data'!ET22</f>
        <v>0</v>
      </c>
      <c r="I22" s="3">
        <f>'Monthly Data'!EG22</f>
        <v>1</v>
      </c>
      <c r="J22">
        <f>'Monthly Data'!EH22</f>
        <v>21</v>
      </c>
      <c r="K22" s="3">
        <f>'Monthly Data'!DQ22</f>
        <v>30</v>
      </c>
      <c r="M22" s="3">
        <f t="shared" si="1"/>
        <v>-6000764.6164411902</v>
      </c>
      <c r="N22" s="3">
        <f t="shared" ca="1" si="2"/>
        <v>800877.25721091626</v>
      </c>
      <c r="O22" s="3">
        <f t="shared" ca="1" si="3"/>
        <v>9825126.083736252</v>
      </c>
      <c r="P22" s="3">
        <f t="shared" si="4"/>
        <v>0</v>
      </c>
      <c r="Q22" s="3">
        <f t="shared" si="5"/>
        <v>0</v>
      </c>
      <c r="R22" s="3">
        <f t="shared" si="6"/>
        <v>-815229.51419000898</v>
      </c>
      <c r="S22" s="3">
        <f t="shared" si="7"/>
        <v>1131113.8087361385</v>
      </c>
      <c r="T22" s="3">
        <f t="shared" si="8"/>
        <v>24647750.796052888</v>
      </c>
      <c r="U22" s="47">
        <f t="shared" ca="1" si="9"/>
        <v>29588873.815104995</v>
      </c>
      <c r="V22" s="47">
        <f>'Monthly Data'!BF22</f>
        <v>0</v>
      </c>
      <c r="W22" s="47">
        <f>+'Monthly Data'!BG22</f>
        <v>0</v>
      </c>
      <c r="X22" s="47">
        <f t="shared" ca="1" si="10"/>
        <v>29588873.815104995</v>
      </c>
    </row>
    <row r="23" spans="1:30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Data'!BE23</f>
        <v>25862800.392748661</v>
      </c>
      <c r="E23" s="3">
        <f t="shared" ref="E23:F23" ca="1" si="19">E11</f>
        <v>237.89681159420289</v>
      </c>
      <c r="F23" s="3">
        <f t="shared" ca="1" si="19"/>
        <v>17.987083333333334</v>
      </c>
      <c r="G23" s="3">
        <f>'Monthly Data'!EM23</f>
        <v>0</v>
      </c>
      <c r="H23" s="3">
        <f>'Monthly Data'!ET23</f>
        <v>0</v>
      </c>
      <c r="I23" s="3">
        <f>'Monthly Data'!EG23</f>
        <v>1</v>
      </c>
      <c r="J23">
        <f>'Monthly Data'!EH23</f>
        <v>22</v>
      </c>
      <c r="K23" s="3">
        <f>'Monthly Data'!DQ23</f>
        <v>31</v>
      </c>
      <c r="M23" s="3">
        <f t="shared" si="1"/>
        <v>-6000764.6164411902</v>
      </c>
      <c r="N23" s="3">
        <f t="shared" ca="1" si="2"/>
        <v>3466668.1924643191</v>
      </c>
      <c r="O23" s="3">
        <f t="shared" ca="1" si="3"/>
        <v>1660702.731341155</v>
      </c>
      <c r="P23" s="3">
        <f t="shared" si="4"/>
        <v>0</v>
      </c>
      <c r="Q23" s="3">
        <f t="shared" si="5"/>
        <v>0</v>
      </c>
      <c r="R23" s="3">
        <f t="shared" si="6"/>
        <v>-815229.51419000898</v>
      </c>
      <c r="S23" s="3">
        <f t="shared" si="7"/>
        <v>1184976.3710569069</v>
      </c>
      <c r="T23" s="3">
        <f t="shared" si="8"/>
        <v>25469342.489254653</v>
      </c>
      <c r="U23" s="47">
        <f t="shared" ca="1" si="9"/>
        <v>24965695.653485835</v>
      </c>
      <c r="V23" s="47">
        <f>'Monthly Data'!BF23</f>
        <v>0</v>
      </c>
      <c r="W23" s="47">
        <f>+'Monthly Data'!BG23</f>
        <v>0</v>
      </c>
      <c r="X23" s="47">
        <f t="shared" ca="1" si="10"/>
        <v>24965695.653485835</v>
      </c>
      <c r="AA23" t="s">
        <v>408</v>
      </c>
    </row>
    <row r="24" spans="1:30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Data'!BE24</f>
        <v>25641526.930705804</v>
      </c>
      <c r="E24" s="3">
        <f t="shared" ref="E24:F24" ca="1" si="20">E12</f>
        <v>426.62991389045737</v>
      </c>
      <c r="F24" s="3">
        <f t="shared" ca="1" si="20"/>
        <v>0.8083333333333329</v>
      </c>
      <c r="G24" s="3">
        <f>'Monthly Data'!EM24</f>
        <v>0</v>
      </c>
      <c r="H24" s="3">
        <f>'Monthly Data'!ET24</f>
        <v>0</v>
      </c>
      <c r="I24" s="3">
        <f>'Monthly Data'!EG24</f>
        <v>1</v>
      </c>
      <c r="J24">
        <f>'Monthly Data'!EH24</f>
        <v>23</v>
      </c>
      <c r="K24" s="3">
        <f>'Monthly Data'!DQ24</f>
        <v>30</v>
      </c>
      <c r="M24" s="3">
        <f t="shared" si="1"/>
        <v>-6000764.6164411902</v>
      </c>
      <c r="N24" s="3">
        <f t="shared" ca="1" si="2"/>
        <v>6216915.4034760511</v>
      </c>
      <c r="O24" s="3">
        <f t="shared" ca="1" si="3"/>
        <v>74631.409085265797</v>
      </c>
      <c r="P24" s="3">
        <f t="shared" si="4"/>
        <v>0</v>
      </c>
      <c r="Q24" s="3">
        <f t="shared" si="5"/>
        <v>0</v>
      </c>
      <c r="R24" s="3">
        <f t="shared" si="6"/>
        <v>-815229.51419000898</v>
      </c>
      <c r="S24" s="3">
        <f t="shared" si="7"/>
        <v>1238838.9333776755</v>
      </c>
      <c r="T24" s="3">
        <f t="shared" si="8"/>
        <v>24647750.796052888</v>
      </c>
      <c r="U24" s="47">
        <f t="shared" ca="1" si="9"/>
        <v>25362142.411360681</v>
      </c>
      <c r="V24" s="47">
        <f>'Monthly Data'!BF24</f>
        <v>0</v>
      </c>
      <c r="W24" s="47">
        <f>+'Monthly Data'!BG24</f>
        <v>0</v>
      </c>
      <c r="X24" s="47">
        <f t="shared" ca="1" si="10"/>
        <v>25362142.411360681</v>
      </c>
      <c r="AA24" t="s">
        <v>422</v>
      </c>
      <c r="AB24" s="3">
        <v>32438040.771402001</v>
      </c>
      <c r="AC24" t="s">
        <v>423</v>
      </c>
      <c r="AD24" s="3">
        <v>6404571.7979269503</v>
      </c>
    </row>
    <row r="25" spans="1:30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Data'!BE25</f>
        <v>31547108.264423046</v>
      </c>
      <c r="E25" s="3">
        <f t="shared" ref="E25:F25" ca="1" si="21">E13</f>
        <v>577.92800724637686</v>
      </c>
      <c r="F25" s="3">
        <f t="shared" ca="1" si="21"/>
        <v>0</v>
      </c>
      <c r="G25" s="3">
        <f>'Monthly Data'!EM25</f>
        <v>0</v>
      </c>
      <c r="H25" s="3">
        <f>'Monthly Data'!ET25</f>
        <v>0</v>
      </c>
      <c r="I25" s="3">
        <f>'Monthly Data'!EG25</f>
        <v>0</v>
      </c>
      <c r="J25">
        <f>'Monthly Data'!EH25</f>
        <v>24</v>
      </c>
      <c r="K25" s="3">
        <f>'Monthly Data'!DQ25</f>
        <v>31</v>
      </c>
      <c r="M25" s="3">
        <f t="shared" si="1"/>
        <v>-6000764.6164411902</v>
      </c>
      <c r="N25" s="3">
        <f t="shared" ca="1" si="2"/>
        <v>8421654.0223026872</v>
      </c>
      <c r="O25" s="3">
        <f t="shared" ca="1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1292701.4956984441</v>
      </c>
      <c r="T25" s="3">
        <f t="shared" si="8"/>
        <v>25469342.489254653</v>
      </c>
      <c r="U25" s="47">
        <f t="shared" ca="1" si="9"/>
        <v>29182933.390814595</v>
      </c>
      <c r="V25" s="47">
        <f>'Monthly Data'!BF25</f>
        <v>0</v>
      </c>
      <c r="W25" s="47">
        <f>+'Monthly Data'!BG25</f>
        <v>0</v>
      </c>
      <c r="X25" s="47">
        <f t="shared" ca="1" si="10"/>
        <v>29182933.390814595</v>
      </c>
    </row>
    <row r="26" spans="1:30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Data'!BE26</f>
        <v>30485456.806415159</v>
      </c>
      <c r="E26" s="3">
        <f t="shared" ref="E26:F26" ca="1" si="22">E14</f>
        <v>697.33418478260876</v>
      </c>
      <c r="F26" s="3">
        <f t="shared" ca="1" si="22"/>
        <v>0</v>
      </c>
      <c r="G26" s="3">
        <f>'Monthly Data'!EM26</f>
        <v>0</v>
      </c>
      <c r="H26" s="3">
        <f>'Monthly Data'!ET26</f>
        <v>0</v>
      </c>
      <c r="I26" s="3">
        <f>'Monthly Data'!EG26</f>
        <v>0</v>
      </c>
      <c r="J26">
        <f>'Monthly Data'!EH26</f>
        <v>25</v>
      </c>
      <c r="K26" s="3">
        <f>'Monthly Data'!DQ26</f>
        <v>31</v>
      </c>
      <c r="M26" s="3">
        <f t="shared" si="1"/>
        <v>-6000764.6164411902</v>
      </c>
      <c r="N26" s="3">
        <f t="shared" ca="1" si="2"/>
        <v>10161658.837309167</v>
      </c>
      <c r="O26" s="3">
        <f t="shared" ca="1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1346564.0580192124</v>
      </c>
      <c r="T26" s="3">
        <f t="shared" si="8"/>
        <v>25469342.489254653</v>
      </c>
      <c r="U26" s="47">
        <f t="shared" ca="1" si="9"/>
        <v>30976800.768141843</v>
      </c>
      <c r="V26" s="47">
        <f>'Monthly Data'!BF26</f>
        <v>1012.7023076923077</v>
      </c>
      <c r="W26" s="47">
        <f>+'Monthly Data'!BG26</f>
        <v>0</v>
      </c>
      <c r="X26" s="47">
        <f t="shared" ca="1" si="10"/>
        <v>30977813.470449537</v>
      </c>
    </row>
    <row r="27" spans="1:30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Data'!BE27</f>
        <v>26391860.978880726</v>
      </c>
      <c r="E27" s="3">
        <f t="shared" ref="E27:F27" ca="1" si="23">E15</f>
        <v>624.25501811594188</v>
      </c>
      <c r="F27" s="3">
        <f t="shared" ca="1" si="23"/>
        <v>0</v>
      </c>
      <c r="G27" s="3">
        <f>'Monthly Data'!EM27</f>
        <v>0</v>
      </c>
      <c r="H27" s="3">
        <f>'Monthly Data'!ET27</f>
        <v>0</v>
      </c>
      <c r="I27" s="3">
        <f>'Monthly Data'!EG27</f>
        <v>0</v>
      </c>
      <c r="J27">
        <f>'Monthly Data'!EH27</f>
        <v>26</v>
      </c>
      <c r="K27" s="3">
        <f>'Monthly Data'!DQ27</f>
        <v>28</v>
      </c>
      <c r="M27" s="3">
        <f t="shared" si="1"/>
        <v>-6000764.6164411902</v>
      </c>
      <c r="N27" s="3">
        <f t="shared" ca="1" si="2"/>
        <v>9096738.2067322657</v>
      </c>
      <c r="O27" s="3">
        <f t="shared" ca="1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1400426.620339981</v>
      </c>
      <c r="T27" s="3">
        <f t="shared" si="8"/>
        <v>23004567.409649365</v>
      </c>
      <c r="U27" s="47">
        <f t="shared" ca="1" si="9"/>
        <v>27500967.620280422</v>
      </c>
      <c r="V27" s="47">
        <f>'Monthly Data'!BF27</f>
        <v>2025.4046153846155</v>
      </c>
      <c r="W27" s="47">
        <f>+'Monthly Data'!BG27</f>
        <v>0</v>
      </c>
      <c r="X27" s="47">
        <f t="shared" ca="1" si="10"/>
        <v>27502993.024895806</v>
      </c>
    </row>
    <row r="28" spans="1:30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Data'!BE28</f>
        <v>28587408.144225992</v>
      </c>
      <c r="E28" s="3">
        <f t="shared" ref="E28:F28" ca="1" si="24">E16</f>
        <v>546.13298913043491</v>
      </c>
      <c r="F28" s="3">
        <f t="shared" ca="1" si="24"/>
        <v>0</v>
      </c>
      <c r="G28" s="3">
        <f>'Monthly Data'!EM28</f>
        <v>0</v>
      </c>
      <c r="H28" s="3">
        <f>'Monthly Data'!ET28</f>
        <v>0</v>
      </c>
      <c r="I28" s="3">
        <f>'Monthly Data'!EG28</f>
        <v>1</v>
      </c>
      <c r="J28">
        <f>'Monthly Data'!EH28</f>
        <v>27</v>
      </c>
      <c r="K28" s="3">
        <f>'Monthly Data'!DQ28</f>
        <v>31</v>
      </c>
      <c r="M28" s="3">
        <f t="shared" si="1"/>
        <v>-6000764.6164411902</v>
      </c>
      <c r="N28" s="3">
        <f t="shared" ca="1" si="2"/>
        <v>7958332.2264251634</v>
      </c>
      <c r="O28" s="3">
        <f t="shared" ca="1" si="3"/>
        <v>0</v>
      </c>
      <c r="P28" s="3">
        <f t="shared" si="4"/>
        <v>0</v>
      </c>
      <c r="Q28" s="3">
        <f t="shared" si="5"/>
        <v>0</v>
      </c>
      <c r="R28" s="3">
        <f t="shared" si="6"/>
        <v>-815229.51419000898</v>
      </c>
      <c r="S28" s="3">
        <f t="shared" si="7"/>
        <v>1454289.1826607494</v>
      </c>
      <c r="T28" s="3">
        <f t="shared" si="8"/>
        <v>25469342.489254653</v>
      </c>
      <c r="U28" s="47">
        <f t="shared" ca="1" si="9"/>
        <v>28065969.767709367</v>
      </c>
      <c r="V28" s="47">
        <f>'Monthly Data'!BF28</f>
        <v>3038.1069230769231</v>
      </c>
      <c r="W28" s="47">
        <f>+'Monthly Data'!BG28</f>
        <v>0</v>
      </c>
      <c r="X28" s="47">
        <f t="shared" ca="1" si="10"/>
        <v>28069007.874632444</v>
      </c>
    </row>
    <row r="29" spans="1:30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Data'!BE29</f>
        <v>24574299.531381663</v>
      </c>
      <c r="E29" s="3">
        <f t="shared" ref="E29:F29" ca="1" si="25">E17</f>
        <v>352.41399621212122</v>
      </c>
      <c r="F29" s="3">
        <f t="shared" ca="1" si="25"/>
        <v>2.1908333333333347</v>
      </c>
      <c r="G29" s="3">
        <f>'Monthly Data'!EM29</f>
        <v>0</v>
      </c>
      <c r="H29" s="3">
        <f>'Monthly Data'!ET29</f>
        <v>0</v>
      </c>
      <c r="I29" s="3">
        <f>'Monthly Data'!EG29</f>
        <v>1</v>
      </c>
      <c r="J29">
        <f>'Monthly Data'!EH29</f>
        <v>28</v>
      </c>
      <c r="K29" s="3">
        <f>'Monthly Data'!DQ29</f>
        <v>30</v>
      </c>
      <c r="M29" s="3">
        <f t="shared" si="1"/>
        <v>-6000764.6164411902</v>
      </c>
      <c r="N29" s="3">
        <f t="shared" ca="1" si="2"/>
        <v>5135429.8658350417</v>
      </c>
      <c r="O29" s="3">
        <f t="shared" ca="1" si="3"/>
        <v>202274.20050016907</v>
      </c>
      <c r="P29" s="3">
        <f t="shared" si="4"/>
        <v>0</v>
      </c>
      <c r="Q29" s="3">
        <f t="shared" si="5"/>
        <v>0</v>
      </c>
      <c r="R29" s="3">
        <f t="shared" si="6"/>
        <v>-815229.51419000898</v>
      </c>
      <c r="S29" s="3">
        <f t="shared" si="7"/>
        <v>1508151.744981518</v>
      </c>
      <c r="T29" s="3">
        <f t="shared" si="8"/>
        <v>24647750.796052888</v>
      </c>
      <c r="U29" s="47">
        <f t="shared" ca="1" si="9"/>
        <v>24677612.476738416</v>
      </c>
      <c r="V29" s="47">
        <f>'Monthly Data'!BF29</f>
        <v>4050.8092307692309</v>
      </c>
      <c r="W29" s="47">
        <f>+'Monthly Data'!BG29</f>
        <v>0</v>
      </c>
      <c r="X29" s="47">
        <f t="shared" ca="1" si="10"/>
        <v>24681663.285969187</v>
      </c>
    </row>
    <row r="30" spans="1:30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Data'!BE30</f>
        <v>25554562.015087429</v>
      </c>
      <c r="E30" s="3">
        <f t="shared" ref="E30:F30" ca="1" si="26">E18</f>
        <v>150.136897859768</v>
      </c>
      <c r="F30" s="3">
        <f t="shared" ca="1" si="26"/>
        <v>52.487435064935063</v>
      </c>
      <c r="G30" s="3">
        <f>'Monthly Data'!EM30</f>
        <v>0</v>
      </c>
      <c r="H30" s="3">
        <f>'Monthly Data'!ET30</f>
        <v>0</v>
      </c>
      <c r="I30" s="3">
        <f>'Monthly Data'!EG30</f>
        <v>1</v>
      </c>
      <c r="J30">
        <f>'Monthly Data'!EH30</f>
        <v>29</v>
      </c>
      <c r="K30" s="3">
        <f>'Monthly Data'!DQ30</f>
        <v>31</v>
      </c>
      <c r="M30" s="3">
        <f t="shared" si="1"/>
        <v>-6000764.6164411902</v>
      </c>
      <c r="N30" s="3">
        <f t="shared" ca="1" si="2"/>
        <v>2187817.503050575</v>
      </c>
      <c r="O30" s="3">
        <f t="shared" ca="1" si="3"/>
        <v>4846034.5214443235</v>
      </c>
      <c r="P30" s="3">
        <f t="shared" si="4"/>
        <v>0</v>
      </c>
      <c r="Q30" s="3">
        <f t="shared" si="5"/>
        <v>0</v>
      </c>
      <c r="R30" s="3">
        <f t="shared" si="6"/>
        <v>-815229.51419000898</v>
      </c>
      <c r="S30" s="3">
        <f t="shared" si="7"/>
        <v>1562014.3073022864</v>
      </c>
      <c r="T30" s="3">
        <f t="shared" si="8"/>
        <v>25469342.489254653</v>
      </c>
      <c r="U30" s="47">
        <f t="shared" ca="1" si="9"/>
        <v>27249214.690420639</v>
      </c>
      <c r="V30" s="47">
        <f>'Monthly Data'!BF30</f>
        <v>5063.5115384615392</v>
      </c>
      <c r="W30" s="47">
        <f>+'Monthly Data'!BG30</f>
        <v>0</v>
      </c>
      <c r="X30" s="47">
        <f t="shared" ca="1" si="10"/>
        <v>27254278.2019591</v>
      </c>
    </row>
    <row r="31" spans="1:30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Data'!BE31</f>
        <v>30588200.153912894</v>
      </c>
      <c r="E31" s="3">
        <f t="shared" ref="E31:F31" ca="1" si="27">E19</f>
        <v>32.520923826173821</v>
      </c>
      <c r="F31" s="3">
        <f t="shared" ca="1" si="27"/>
        <v>137.65451754405018</v>
      </c>
      <c r="G31" s="3">
        <f>'Monthly Data'!EM31</f>
        <v>0</v>
      </c>
      <c r="H31" s="3">
        <f>'Monthly Data'!ET31</f>
        <v>0</v>
      </c>
      <c r="I31" s="3">
        <f>'Monthly Data'!EG31</f>
        <v>0</v>
      </c>
      <c r="J31">
        <f>'Monthly Data'!EH31</f>
        <v>30</v>
      </c>
      <c r="K31" s="3">
        <f>'Monthly Data'!DQ31</f>
        <v>30</v>
      </c>
      <c r="M31" s="3">
        <f t="shared" si="1"/>
        <v>-6000764.6164411902</v>
      </c>
      <c r="N31" s="3">
        <f t="shared" ca="1" si="2"/>
        <v>473899.80328975141</v>
      </c>
      <c r="O31" s="3">
        <f t="shared" ca="1" si="3"/>
        <v>12709299.72527618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1615876.869623055</v>
      </c>
      <c r="T31" s="3">
        <f t="shared" si="8"/>
        <v>24647750.796052888</v>
      </c>
      <c r="U31" s="47">
        <f t="shared" ca="1" si="9"/>
        <v>33446062.577800684</v>
      </c>
      <c r="V31" s="47">
        <f>'Monthly Data'!BF31</f>
        <v>6076.2138461538461</v>
      </c>
      <c r="W31" s="47">
        <f>+'Monthly Data'!BG31</f>
        <v>0</v>
      </c>
      <c r="X31" s="47">
        <f t="shared" ca="1" si="10"/>
        <v>33452138.791646838</v>
      </c>
    </row>
    <row r="32" spans="1:30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Data'!BE32</f>
        <v>37992744.147648364</v>
      </c>
      <c r="E32" s="3">
        <f t="shared" ref="E32:F32" ca="1" si="28">E20</f>
        <v>1.6179166666666653</v>
      </c>
      <c r="F32" s="3">
        <f t="shared" ca="1" si="28"/>
        <v>235.94737858727848</v>
      </c>
      <c r="G32" s="3">
        <f>'Monthly Data'!EM32</f>
        <v>0</v>
      </c>
      <c r="H32" s="3">
        <f>'Monthly Data'!ET32</f>
        <v>0</v>
      </c>
      <c r="I32" s="3">
        <f>'Monthly Data'!EG32</f>
        <v>0</v>
      </c>
      <c r="J32">
        <f>'Monthly Data'!EH32</f>
        <v>31</v>
      </c>
      <c r="K32" s="3">
        <f>'Monthly Data'!DQ32</f>
        <v>31</v>
      </c>
      <c r="M32" s="3">
        <f t="shared" si="1"/>
        <v>-6000764.6164411902</v>
      </c>
      <c r="N32" s="3">
        <f t="shared" ca="1" si="2"/>
        <v>23576.525506186736</v>
      </c>
      <c r="O32" s="3">
        <f t="shared" ca="1" si="3"/>
        <v>21784435.464672089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1669739.4319438234</v>
      </c>
      <c r="T32" s="3">
        <f t="shared" si="8"/>
        <v>25469342.489254653</v>
      </c>
      <c r="U32" s="47">
        <f t="shared" ca="1" si="9"/>
        <v>42946329.294935562</v>
      </c>
      <c r="V32" s="47">
        <f>'Monthly Data'!BF32</f>
        <v>7088.9161538461531</v>
      </c>
      <c r="W32" s="47">
        <f>+'Monthly Data'!BG32</f>
        <v>0</v>
      </c>
      <c r="X32" s="47">
        <f t="shared" ca="1" si="10"/>
        <v>42953418.21108941</v>
      </c>
    </row>
    <row r="33" spans="1:24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Data'!BE33</f>
        <v>35156430.481603831</v>
      </c>
      <c r="E33" s="3">
        <f t="shared" ref="E33:F33" ca="1" si="29">E21</f>
        <v>5.6499999999999977</v>
      </c>
      <c r="F33" s="3">
        <f t="shared" ca="1" si="29"/>
        <v>210.96558794466404</v>
      </c>
      <c r="G33" s="3">
        <f>'Monthly Data'!EM33</f>
        <v>0</v>
      </c>
      <c r="H33" s="3">
        <f>'Monthly Data'!ET33</f>
        <v>0</v>
      </c>
      <c r="I33" s="3">
        <f>'Monthly Data'!EG33</f>
        <v>0</v>
      </c>
      <c r="J33">
        <f>'Monthly Data'!EH33</f>
        <v>32</v>
      </c>
      <c r="K33" s="3">
        <f>'Monthly Data'!DQ33</f>
        <v>31</v>
      </c>
      <c r="M33" s="3">
        <f t="shared" si="1"/>
        <v>-6000764.6164411902</v>
      </c>
      <c r="N33" s="3">
        <f t="shared" ca="1" si="2"/>
        <v>82332.651523021443</v>
      </c>
      <c r="O33" s="3">
        <f t="shared" ca="1" si="3"/>
        <v>19477928.77956105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1723601.994264592</v>
      </c>
      <c r="T33" s="3">
        <f t="shared" si="8"/>
        <v>25469342.489254653</v>
      </c>
      <c r="U33" s="47">
        <f t="shared" ca="1" si="9"/>
        <v>40752441.298162125</v>
      </c>
      <c r="V33" s="47">
        <f>'Monthly Data'!BF33</f>
        <v>8101.6184615384618</v>
      </c>
      <c r="W33" s="47">
        <f>+'Monthly Data'!BG33</f>
        <v>0</v>
      </c>
      <c r="X33" s="47">
        <f t="shared" ca="1" si="10"/>
        <v>40760542.916623667</v>
      </c>
    </row>
    <row r="34" spans="1:24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Data'!BE34</f>
        <v>32580189.603249595</v>
      </c>
      <c r="E34" s="3">
        <f t="shared" ref="E34:F34" ca="1" si="30">E22</f>
        <v>54.959440993788824</v>
      </c>
      <c r="F34" s="3">
        <f t="shared" ca="1" si="30"/>
        <v>106.4160119047619</v>
      </c>
      <c r="G34" s="3">
        <f>'Monthly Data'!EM34</f>
        <v>0</v>
      </c>
      <c r="H34" s="3">
        <f>'Monthly Data'!ET34</f>
        <v>0</v>
      </c>
      <c r="I34" s="3">
        <f>'Monthly Data'!EG34</f>
        <v>1</v>
      </c>
      <c r="J34">
        <f>'Monthly Data'!EH34</f>
        <v>33</v>
      </c>
      <c r="K34" s="3">
        <f>'Monthly Data'!DQ34</f>
        <v>30</v>
      </c>
      <c r="M34" s="3">
        <f t="shared" si="1"/>
        <v>-6000764.6164411902</v>
      </c>
      <c r="N34" s="3">
        <f t="shared" ca="1" si="2"/>
        <v>800877.25721091626</v>
      </c>
      <c r="O34" s="3">
        <f t="shared" ca="1" si="3"/>
        <v>9825126.083736252</v>
      </c>
      <c r="P34" s="3">
        <f t="shared" si="4"/>
        <v>0</v>
      </c>
      <c r="Q34" s="3">
        <f t="shared" si="5"/>
        <v>0</v>
      </c>
      <c r="R34" s="3">
        <f t="shared" si="6"/>
        <v>-815229.51419000898</v>
      </c>
      <c r="S34" s="3">
        <f t="shared" si="7"/>
        <v>1777464.5565853606</v>
      </c>
      <c r="T34" s="3">
        <f t="shared" si="8"/>
        <v>24647750.796052888</v>
      </c>
      <c r="U34" s="47">
        <f t="shared" ca="1" si="9"/>
        <v>30235224.562954217</v>
      </c>
      <c r="V34" s="47">
        <f>'Monthly Data'!BF34</f>
        <v>9114.3207692307697</v>
      </c>
      <c r="W34" s="47">
        <f>+'Monthly Data'!BG34</f>
        <v>0</v>
      </c>
      <c r="X34" s="47">
        <f t="shared" ca="1" si="10"/>
        <v>30244338.883723449</v>
      </c>
    </row>
    <row r="35" spans="1:24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Data'!BE35</f>
        <v>26468289.330095068</v>
      </c>
      <c r="E35" s="3">
        <f t="shared" ref="E35:F35" ca="1" si="31">E23</f>
        <v>237.89681159420289</v>
      </c>
      <c r="F35" s="3">
        <f t="shared" ca="1" si="31"/>
        <v>17.987083333333334</v>
      </c>
      <c r="G35" s="3">
        <f>'Monthly Data'!EM35</f>
        <v>0</v>
      </c>
      <c r="H35" s="3">
        <f>'Monthly Data'!ET35</f>
        <v>0</v>
      </c>
      <c r="I35" s="3">
        <f>'Monthly Data'!EG35</f>
        <v>1</v>
      </c>
      <c r="J35">
        <f>'Monthly Data'!EH35</f>
        <v>34</v>
      </c>
      <c r="K35" s="3">
        <f>'Monthly Data'!DQ35</f>
        <v>31</v>
      </c>
      <c r="M35" s="3">
        <f t="shared" si="1"/>
        <v>-6000764.6164411902</v>
      </c>
      <c r="N35" s="3">
        <f t="shared" ca="1" si="2"/>
        <v>3466668.1924643191</v>
      </c>
      <c r="O35" s="3">
        <f t="shared" ca="1" si="3"/>
        <v>1660702.731341155</v>
      </c>
      <c r="P35" s="3">
        <f t="shared" si="4"/>
        <v>0</v>
      </c>
      <c r="Q35" s="3">
        <f t="shared" si="5"/>
        <v>0</v>
      </c>
      <c r="R35" s="3">
        <f t="shared" si="6"/>
        <v>-815229.51419000898</v>
      </c>
      <c r="S35" s="3">
        <f t="shared" si="7"/>
        <v>1831327.1189061289</v>
      </c>
      <c r="T35" s="3">
        <f t="shared" si="8"/>
        <v>25469342.489254653</v>
      </c>
      <c r="U35" s="47">
        <f t="shared" ca="1" si="9"/>
        <v>25612046.401335057</v>
      </c>
      <c r="V35" s="47">
        <f>'Monthly Data'!BF35</f>
        <v>10127.023076923078</v>
      </c>
      <c r="W35" s="47">
        <f>+'Monthly Data'!BG35</f>
        <v>0</v>
      </c>
      <c r="X35" s="47">
        <f t="shared" ca="1" si="10"/>
        <v>25622173.424411979</v>
      </c>
    </row>
    <row r="36" spans="1:24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Data'!BE36</f>
        <v>27549828.038040731</v>
      </c>
      <c r="E36" s="3">
        <f t="shared" ref="E36:F36" ca="1" si="32">E24</f>
        <v>426.62991389045737</v>
      </c>
      <c r="F36" s="3">
        <f t="shared" ca="1" si="32"/>
        <v>0.8083333333333329</v>
      </c>
      <c r="G36" s="3">
        <f>'Monthly Data'!EM36</f>
        <v>0</v>
      </c>
      <c r="H36" s="3">
        <f>'Monthly Data'!ET36</f>
        <v>0</v>
      </c>
      <c r="I36" s="3">
        <f>'Monthly Data'!EG36</f>
        <v>1</v>
      </c>
      <c r="J36">
        <f>'Monthly Data'!EH36</f>
        <v>35</v>
      </c>
      <c r="K36" s="3">
        <f>'Monthly Data'!DQ36</f>
        <v>30</v>
      </c>
      <c r="M36" s="3">
        <f t="shared" si="1"/>
        <v>-6000764.6164411902</v>
      </c>
      <c r="N36" s="3">
        <f t="shared" ca="1" si="2"/>
        <v>6216915.4034760511</v>
      </c>
      <c r="O36" s="3">
        <f t="shared" ca="1" si="3"/>
        <v>74631.409085265797</v>
      </c>
      <c r="P36" s="3">
        <f t="shared" si="4"/>
        <v>0</v>
      </c>
      <c r="Q36" s="3">
        <f t="shared" si="5"/>
        <v>0</v>
      </c>
      <c r="R36" s="3">
        <f t="shared" si="6"/>
        <v>-815229.51419000898</v>
      </c>
      <c r="S36" s="3">
        <f t="shared" si="7"/>
        <v>1885189.6812268975</v>
      </c>
      <c r="T36" s="3">
        <f t="shared" si="8"/>
        <v>24647750.796052888</v>
      </c>
      <c r="U36" s="47">
        <f t="shared" ca="1" si="9"/>
        <v>26008493.159209903</v>
      </c>
      <c r="V36" s="47">
        <f>'Monthly Data'!BF36</f>
        <v>11139.725384615384</v>
      </c>
      <c r="W36" s="47">
        <f>+'Monthly Data'!BG36</f>
        <v>0</v>
      </c>
      <c r="X36" s="47">
        <f t="shared" ca="1" si="10"/>
        <v>26019632.884594519</v>
      </c>
    </row>
    <row r="37" spans="1:24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Data'!BE37</f>
        <v>33598624.644266002</v>
      </c>
      <c r="E37" s="3">
        <f t="shared" ref="E37:F37" ca="1" si="33">E25</f>
        <v>577.92800724637686</v>
      </c>
      <c r="F37" s="3">
        <f t="shared" ca="1" si="33"/>
        <v>0</v>
      </c>
      <c r="G37" s="3">
        <f>'Monthly Data'!EM37</f>
        <v>0</v>
      </c>
      <c r="H37" s="3">
        <f>'Monthly Data'!ET37</f>
        <v>0</v>
      </c>
      <c r="I37" s="3">
        <f>'Monthly Data'!EG37</f>
        <v>0</v>
      </c>
      <c r="J37">
        <f>'Monthly Data'!EH37</f>
        <v>36</v>
      </c>
      <c r="K37" s="3">
        <f>'Monthly Data'!DQ37</f>
        <v>31</v>
      </c>
      <c r="M37" s="3">
        <f t="shared" si="1"/>
        <v>-6000764.6164411902</v>
      </c>
      <c r="N37" s="3">
        <f t="shared" ca="1" si="2"/>
        <v>8421654.0223026872</v>
      </c>
      <c r="O37" s="3">
        <f t="shared" ca="1" si="3"/>
        <v>0</v>
      </c>
      <c r="P37" s="3">
        <f t="shared" si="4"/>
        <v>0</v>
      </c>
      <c r="Q37" s="3">
        <f t="shared" si="5"/>
        <v>0</v>
      </c>
      <c r="R37" s="3">
        <f t="shared" si="6"/>
        <v>0</v>
      </c>
      <c r="S37" s="3">
        <f t="shared" si="7"/>
        <v>1939052.2435476659</v>
      </c>
      <c r="T37" s="3">
        <f t="shared" si="8"/>
        <v>25469342.489254653</v>
      </c>
      <c r="U37" s="47">
        <f t="shared" ca="1" si="9"/>
        <v>29829284.138663817</v>
      </c>
      <c r="V37" s="47">
        <f>'Monthly Data'!BF37</f>
        <v>12152.427692307692</v>
      </c>
      <c r="W37" s="47">
        <f>+'Monthly Data'!BG37</f>
        <v>0</v>
      </c>
      <c r="X37" s="47">
        <f t="shared" ca="1" si="10"/>
        <v>29841436.566356126</v>
      </c>
    </row>
    <row r="38" spans="1:24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Data'!BE38</f>
        <v>32620888.624295734</v>
      </c>
      <c r="E38" s="3">
        <f t="shared" ref="E38:F38" ca="1" si="34">E26</f>
        <v>697.33418478260876</v>
      </c>
      <c r="F38" s="3">
        <f t="shared" ca="1" si="34"/>
        <v>0</v>
      </c>
      <c r="G38" s="3">
        <f>'Monthly Data'!EM38</f>
        <v>0</v>
      </c>
      <c r="H38" s="3">
        <f>'Monthly Data'!ET38</f>
        <v>0</v>
      </c>
      <c r="I38" s="3">
        <f>'Monthly Data'!EG38</f>
        <v>0</v>
      </c>
      <c r="J38">
        <f>'Monthly Data'!EH38</f>
        <v>37</v>
      </c>
      <c r="K38" s="3">
        <f>'Monthly Data'!DQ38</f>
        <v>31</v>
      </c>
      <c r="M38" s="3">
        <f t="shared" si="1"/>
        <v>-6000764.6164411902</v>
      </c>
      <c r="N38" s="3">
        <f t="shared" ca="1" si="2"/>
        <v>10161658.837309167</v>
      </c>
      <c r="O38" s="3">
        <f t="shared" ca="1" si="3"/>
        <v>0</v>
      </c>
      <c r="P38" s="3">
        <f t="shared" si="4"/>
        <v>0</v>
      </c>
      <c r="Q38" s="3">
        <f t="shared" si="5"/>
        <v>0</v>
      </c>
      <c r="R38" s="3">
        <f t="shared" si="6"/>
        <v>0</v>
      </c>
      <c r="S38" s="3">
        <f t="shared" si="7"/>
        <v>1992914.8058684345</v>
      </c>
      <c r="T38" s="3">
        <f t="shared" si="8"/>
        <v>25469342.489254653</v>
      </c>
      <c r="U38" s="47">
        <f t="shared" ca="1" si="9"/>
        <v>31623151.515991066</v>
      </c>
      <c r="V38" s="47">
        <f>'Monthly Data'!BF38</f>
        <v>15248.211666666666</v>
      </c>
      <c r="W38" s="47">
        <f>+'Monthly Data'!BG38</f>
        <v>0</v>
      </c>
      <c r="X38" s="47">
        <f t="shared" ca="1" si="10"/>
        <v>31638399.727657732</v>
      </c>
    </row>
    <row r="39" spans="1:24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Data'!BE39</f>
        <v>27553017.604186989</v>
      </c>
      <c r="E39" s="3">
        <f t="shared" ref="E39:F39" ca="1" si="35">E27</f>
        <v>624.25501811594188</v>
      </c>
      <c r="F39" s="3">
        <f t="shared" ca="1" si="35"/>
        <v>0</v>
      </c>
      <c r="G39" s="3">
        <f>'Monthly Data'!EM39</f>
        <v>0</v>
      </c>
      <c r="H39" s="3">
        <f>'Monthly Data'!ET39</f>
        <v>0</v>
      </c>
      <c r="I39" s="3">
        <f>'Monthly Data'!EG39</f>
        <v>0</v>
      </c>
      <c r="J39">
        <f>'Monthly Data'!EH39</f>
        <v>38</v>
      </c>
      <c r="K39" s="3">
        <f>'Monthly Data'!DQ39</f>
        <v>28</v>
      </c>
      <c r="M39" s="3">
        <f t="shared" si="1"/>
        <v>-6000764.6164411902</v>
      </c>
      <c r="N39" s="3">
        <f t="shared" ca="1" si="2"/>
        <v>9096738.2067322657</v>
      </c>
      <c r="O39" s="3">
        <f t="shared" ca="1" si="3"/>
        <v>0</v>
      </c>
      <c r="P39" s="3">
        <f t="shared" si="4"/>
        <v>0</v>
      </c>
      <c r="Q39" s="3">
        <f t="shared" si="5"/>
        <v>0</v>
      </c>
      <c r="R39" s="3">
        <f t="shared" si="6"/>
        <v>0</v>
      </c>
      <c r="S39" s="3">
        <f t="shared" si="7"/>
        <v>2046777.3681892029</v>
      </c>
      <c r="T39" s="3">
        <f t="shared" si="8"/>
        <v>23004567.409649365</v>
      </c>
      <c r="U39" s="47">
        <f t="shared" ca="1" si="9"/>
        <v>28147318.368129641</v>
      </c>
      <c r="V39" s="47">
        <f>'Monthly Data'!BF39</f>
        <v>17331.293333333335</v>
      </c>
      <c r="W39" s="47">
        <f>+'Monthly Data'!BG39</f>
        <v>0</v>
      </c>
      <c r="X39" s="47">
        <f t="shared" ca="1" si="10"/>
        <v>28164649.661462974</v>
      </c>
    </row>
    <row r="40" spans="1:24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Data'!BE40</f>
        <v>28570971.462648444</v>
      </c>
      <c r="E40" s="3">
        <f t="shared" ref="E40:F40" ca="1" si="36">E28</f>
        <v>546.13298913043491</v>
      </c>
      <c r="F40" s="3">
        <f t="shared" ca="1" si="36"/>
        <v>0</v>
      </c>
      <c r="G40" s="3">
        <f>'Monthly Data'!EM40</f>
        <v>0</v>
      </c>
      <c r="H40" s="3">
        <f>'Monthly Data'!ET40</f>
        <v>0</v>
      </c>
      <c r="I40" s="3">
        <f>'Monthly Data'!EG40</f>
        <v>1</v>
      </c>
      <c r="J40">
        <f>'Monthly Data'!EH40</f>
        <v>39</v>
      </c>
      <c r="K40" s="3">
        <f>'Monthly Data'!DQ40</f>
        <v>31</v>
      </c>
      <c r="M40" s="3">
        <f t="shared" si="1"/>
        <v>-6000764.6164411902</v>
      </c>
      <c r="N40" s="3">
        <f t="shared" ca="1" si="2"/>
        <v>7958332.2264251634</v>
      </c>
      <c r="O40" s="3">
        <f t="shared" ca="1" si="3"/>
        <v>0</v>
      </c>
      <c r="P40" s="3">
        <f t="shared" si="4"/>
        <v>0</v>
      </c>
      <c r="Q40" s="3">
        <f t="shared" si="5"/>
        <v>0</v>
      </c>
      <c r="R40" s="3">
        <f t="shared" si="6"/>
        <v>-815229.51419000898</v>
      </c>
      <c r="S40" s="3">
        <f t="shared" si="7"/>
        <v>2100639.9305099715</v>
      </c>
      <c r="T40" s="3">
        <f t="shared" si="8"/>
        <v>25469342.489254653</v>
      </c>
      <c r="U40" s="47">
        <f t="shared" ca="1" si="9"/>
        <v>28712320.515558589</v>
      </c>
      <c r="V40" s="47">
        <f>'Monthly Data'!BF40</f>
        <v>19414.375</v>
      </c>
      <c r="W40" s="47">
        <f>+'Monthly Data'!BG40</f>
        <v>0</v>
      </c>
      <c r="X40" s="47">
        <f t="shared" ca="1" si="10"/>
        <v>28731734.890558589</v>
      </c>
    </row>
    <row r="41" spans="1:24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Data'!BE41</f>
        <v>26969894.908629999</v>
      </c>
      <c r="E41" s="3">
        <f t="shared" ref="E41:F41" ca="1" si="37">E29</f>
        <v>352.41399621212122</v>
      </c>
      <c r="F41" s="3">
        <f t="shared" ca="1" si="37"/>
        <v>2.1908333333333347</v>
      </c>
      <c r="G41" s="3">
        <f>'Monthly Data'!EM41</f>
        <v>0</v>
      </c>
      <c r="H41" s="3">
        <f>'Monthly Data'!ET41</f>
        <v>0</v>
      </c>
      <c r="I41" s="3">
        <f>'Monthly Data'!EG41</f>
        <v>1</v>
      </c>
      <c r="J41">
        <f>'Monthly Data'!EH41</f>
        <v>40</v>
      </c>
      <c r="K41" s="3">
        <f>'Monthly Data'!DQ41</f>
        <v>30</v>
      </c>
      <c r="M41" s="3">
        <f t="shared" si="1"/>
        <v>-6000764.6164411902</v>
      </c>
      <c r="N41" s="3">
        <f t="shared" ca="1" si="2"/>
        <v>5135429.8658350417</v>
      </c>
      <c r="O41" s="3">
        <f t="shared" ca="1" si="3"/>
        <v>202274.20050016907</v>
      </c>
      <c r="P41" s="3">
        <f t="shared" si="4"/>
        <v>0</v>
      </c>
      <c r="Q41" s="3">
        <f t="shared" si="5"/>
        <v>0</v>
      </c>
      <c r="R41" s="3">
        <f t="shared" si="6"/>
        <v>-815229.51419000898</v>
      </c>
      <c r="S41" s="3">
        <f t="shared" si="7"/>
        <v>2154502.4928307398</v>
      </c>
      <c r="T41" s="3">
        <f t="shared" si="8"/>
        <v>24647750.796052888</v>
      </c>
      <c r="U41" s="47">
        <f t="shared" ca="1" si="9"/>
        <v>25323963.224587638</v>
      </c>
      <c r="V41" s="47">
        <f>'Monthly Data'!BF41</f>
        <v>21497.456666666669</v>
      </c>
      <c r="W41" s="47">
        <f>+'Monthly Data'!BG41</f>
        <v>0</v>
      </c>
      <c r="X41" s="47">
        <f t="shared" ca="1" si="10"/>
        <v>25345460.681254305</v>
      </c>
    </row>
    <row r="42" spans="1:24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Data'!BE42</f>
        <v>28042931.996401049</v>
      </c>
      <c r="E42" s="3">
        <f t="shared" ref="E42:F42" ca="1" si="38">E30</f>
        <v>150.136897859768</v>
      </c>
      <c r="F42" s="3">
        <f t="shared" ca="1" si="38"/>
        <v>52.487435064935063</v>
      </c>
      <c r="G42" s="3">
        <f>'Monthly Data'!EM42</f>
        <v>0</v>
      </c>
      <c r="H42" s="3">
        <f>'Monthly Data'!ET42</f>
        <v>0</v>
      </c>
      <c r="I42" s="3">
        <f>'Monthly Data'!EG42</f>
        <v>1</v>
      </c>
      <c r="J42">
        <f>'Monthly Data'!EH42</f>
        <v>41</v>
      </c>
      <c r="K42" s="3">
        <f>'Monthly Data'!DQ42</f>
        <v>31</v>
      </c>
      <c r="M42" s="3">
        <f t="shared" si="1"/>
        <v>-6000764.6164411902</v>
      </c>
      <c r="N42" s="3">
        <f t="shared" ca="1" si="2"/>
        <v>2187817.503050575</v>
      </c>
      <c r="O42" s="3">
        <f t="shared" ca="1" si="3"/>
        <v>4846034.5214443235</v>
      </c>
      <c r="P42" s="3">
        <f t="shared" si="4"/>
        <v>0</v>
      </c>
      <c r="Q42" s="3">
        <f t="shared" si="5"/>
        <v>0</v>
      </c>
      <c r="R42" s="3">
        <f t="shared" si="6"/>
        <v>-815229.51419000898</v>
      </c>
      <c r="S42" s="3">
        <f t="shared" si="7"/>
        <v>2208365.0551515087</v>
      </c>
      <c r="T42" s="3">
        <f t="shared" si="8"/>
        <v>25469342.489254653</v>
      </c>
      <c r="U42" s="47">
        <f t="shared" ca="1" si="9"/>
        <v>27895565.438269861</v>
      </c>
      <c r="V42" s="47">
        <f>'Monthly Data'!BF42</f>
        <v>23580.538333333338</v>
      </c>
      <c r="W42" s="47">
        <f>+'Monthly Data'!BG42</f>
        <v>0</v>
      </c>
      <c r="X42" s="47">
        <f t="shared" ca="1" si="10"/>
        <v>27919145.976603195</v>
      </c>
    </row>
    <row r="43" spans="1:24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Data'!BE43</f>
        <v>33320135.514722604</v>
      </c>
      <c r="E43" s="3">
        <f t="shared" ref="E43:F43" ca="1" si="39">E31</f>
        <v>32.520923826173821</v>
      </c>
      <c r="F43" s="3">
        <f t="shared" ca="1" si="39"/>
        <v>137.65451754405018</v>
      </c>
      <c r="G43" s="3">
        <f>'Monthly Data'!EM43</f>
        <v>0</v>
      </c>
      <c r="H43" s="3">
        <f>'Monthly Data'!ET43</f>
        <v>0</v>
      </c>
      <c r="I43" s="3">
        <f>'Monthly Data'!EG43</f>
        <v>0</v>
      </c>
      <c r="J43">
        <f>'Monthly Data'!EH43</f>
        <v>42</v>
      </c>
      <c r="K43" s="3">
        <f>'Monthly Data'!DQ43</f>
        <v>30</v>
      </c>
      <c r="M43" s="3">
        <f t="shared" si="1"/>
        <v>-6000764.6164411902</v>
      </c>
      <c r="N43" s="3">
        <f t="shared" ca="1" si="2"/>
        <v>473899.80328975141</v>
      </c>
      <c r="O43" s="3">
        <f t="shared" ca="1" si="3"/>
        <v>12709299.72527618</v>
      </c>
      <c r="P43" s="3">
        <f t="shared" si="4"/>
        <v>0</v>
      </c>
      <c r="Q43" s="3">
        <f t="shared" si="5"/>
        <v>0</v>
      </c>
      <c r="R43" s="3">
        <f t="shared" si="6"/>
        <v>0</v>
      </c>
      <c r="S43" s="3">
        <f t="shared" si="7"/>
        <v>2262227.617472277</v>
      </c>
      <c r="T43" s="3">
        <f t="shared" si="8"/>
        <v>24647750.796052888</v>
      </c>
      <c r="U43" s="47">
        <f t="shared" ca="1" si="9"/>
        <v>34092413.325649902</v>
      </c>
      <c r="V43" s="47">
        <f>'Monthly Data'!BF43</f>
        <v>25663.620000000003</v>
      </c>
      <c r="W43" s="47">
        <f>+'Monthly Data'!BG43</f>
        <v>0</v>
      </c>
      <c r="X43" s="47">
        <f t="shared" ca="1" si="10"/>
        <v>34118076.9456499</v>
      </c>
    </row>
    <row r="44" spans="1:24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Data'!BE44</f>
        <v>45378411.689653657</v>
      </c>
      <c r="E44" s="3">
        <f t="shared" ref="E44:F44" ca="1" si="40">E32</f>
        <v>1.6179166666666653</v>
      </c>
      <c r="F44" s="3">
        <f t="shared" ca="1" si="40"/>
        <v>235.94737858727848</v>
      </c>
      <c r="G44" s="3">
        <f>'Monthly Data'!EM44</f>
        <v>0</v>
      </c>
      <c r="H44" s="3">
        <f>'Monthly Data'!ET44</f>
        <v>0</v>
      </c>
      <c r="I44" s="3">
        <f>'Monthly Data'!EG44</f>
        <v>0</v>
      </c>
      <c r="J44">
        <f>'Monthly Data'!EH44</f>
        <v>43</v>
      </c>
      <c r="K44" s="3">
        <f>'Monthly Data'!DQ44</f>
        <v>31</v>
      </c>
      <c r="M44" s="3">
        <f t="shared" si="1"/>
        <v>-6000764.6164411902</v>
      </c>
      <c r="N44" s="3">
        <f t="shared" ca="1" si="2"/>
        <v>23576.525506186736</v>
      </c>
      <c r="O44" s="3">
        <f t="shared" ca="1" si="3"/>
        <v>21784435.464672089</v>
      </c>
      <c r="P44" s="3">
        <f t="shared" si="4"/>
        <v>0</v>
      </c>
      <c r="Q44" s="3">
        <f t="shared" si="5"/>
        <v>0</v>
      </c>
      <c r="R44" s="3">
        <f t="shared" si="6"/>
        <v>0</v>
      </c>
      <c r="S44" s="3">
        <f t="shared" si="7"/>
        <v>2316090.1797930454</v>
      </c>
      <c r="T44" s="3">
        <f t="shared" si="8"/>
        <v>25469342.489254653</v>
      </c>
      <c r="U44" s="47">
        <f t="shared" ca="1" si="9"/>
        <v>43592680.04278478</v>
      </c>
      <c r="V44" s="47">
        <f>'Monthly Data'!BF44</f>
        <v>27746.701666666668</v>
      </c>
      <c r="W44" s="47">
        <f>+'Monthly Data'!BG44</f>
        <v>0</v>
      </c>
      <c r="X44" s="47">
        <f t="shared" ca="1" si="10"/>
        <v>43620426.744451448</v>
      </c>
    </row>
    <row r="45" spans="1:24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Data'!BE45</f>
        <v>44407910.204294905</v>
      </c>
      <c r="E45" s="3">
        <f t="shared" ref="E45:F45" ca="1" si="41">E33</f>
        <v>5.6499999999999977</v>
      </c>
      <c r="F45" s="3">
        <f t="shared" ca="1" si="41"/>
        <v>210.96558794466404</v>
      </c>
      <c r="G45" s="3">
        <f>'Monthly Data'!EM45</f>
        <v>0</v>
      </c>
      <c r="H45" s="3">
        <f>'Monthly Data'!ET45</f>
        <v>0</v>
      </c>
      <c r="I45" s="3">
        <f>'Monthly Data'!EG45</f>
        <v>0</v>
      </c>
      <c r="J45">
        <f>'Monthly Data'!EH45</f>
        <v>44</v>
      </c>
      <c r="K45" s="3">
        <f>'Monthly Data'!DQ45</f>
        <v>31</v>
      </c>
      <c r="M45" s="3">
        <f t="shared" si="1"/>
        <v>-6000764.6164411902</v>
      </c>
      <c r="N45" s="3">
        <f t="shared" ca="1" si="2"/>
        <v>82332.651523021443</v>
      </c>
      <c r="O45" s="3">
        <f t="shared" ca="1" si="3"/>
        <v>19477928.77956105</v>
      </c>
      <c r="P45" s="3">
        <f t="shared" si="4"/>
        <v>0</v>
      </c>
      <c r="Q45" s="3">
        <f t="shared" si="5"/>
        <v>0</v>
      </c>
      <c r="R45" s="3">
        <f t="shared" si="6"/>
        <v>0</v>
      </c>
      <c r="S45" s="3">
        <f t="shared" si="7"/>
        <v>2369952.7421138138</v>
      </c>
      <c r="T45" s="3">
        <f t="shared" si="8"/>
        <v>25469342.489254653</v>
      </c>
      <c r="U45" s="47">
        <f t="shared" ca="1" si="9"/>
        <v>41398792.046011344</v>
      </c>
      <c r="V45" s="47">
        <f>'Monthly Data'!BF45</f>
        <v>29829.78333333334</v>
      </c>
      <c r="W45" s="47">
        <f>+'Monthly Data'!BG45</f>
        <v>0</v>
      </c>
      <c r="X45" s="47">
        <f t="shared" ca="1" si="10"/>
        <v>41428621.829344675</v>
      </c>
    </row>
    <row r="46" spans="1:24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Data'!BE46</f>
        <v>35278903.309966564</v>
      </c>
      <c r="E46" s="3">
        <f t="shared" ref="E46:F46" ca="1" si="42">E34</f>
        <v>54.959440993788824</v>
      </c>
      <c r="F46" s="3">
        <f t="shared" ca="1" si="42"/>
        <v>106.4160119047619</v>
      </c>
      <c r="G46" s="3">
        <f>'Monthly Data'!EM46</f>
        <v>0</v>
      </c>
      <c r="H46" s="3">
        <f>'Monthly Data'!ET46</f>
        <v>0</v>
      </c>
      <c r="I46" s="3">
        <f>'Monthly Data'!EG46</f>
        <v>1</v>
      </c>
      <c r="J46">
        <f>'Monthly Data'!EH46</f>
        <v>45</v>
      </c>
      <c r="K46" s="3">
        <f>'Monthly Data'!DQ46</f>
        <v>30</v>
      </c>
      <c r="M46" s="3">
        <f t="shared" si="1"/>
        <v>-6000764.6164411902</v>
      </c>
      <c r="N46" s="3">
        <f t="shared" ca="1" si="2"/>
        <v>800877.25721091626</v>
      </c>
      <c r="O46" s="3">
        <f t="shared" ca="1" si="3"/>
        <v>9825126.083736252</v>
      </c>
      <c r="P46" s="3">
        <f t="shared" si="4"/>
        <v>0</v>
      </c>
      <c r="Q46" s="3">
        <f t="shared" si="5"/>
        <v>0</v>
      </c>
      <c r="R46" s="3">
        <f t="shared" si="6"/>
        <v>-815229.51419000898</v>
      </c>
      <c r="S46" s="3">
        <f t="shared" si="7"/>
        <v>2423815.3044345826</v>
      </c>
      <c r="T46" s="3">
        <f t="shared" si="8"/>
        <v>24647750.796052888</v>
      </c>
      <c r="U46" s="47">
        <f t="shared" ca="1" si="9"/>
        <v>30881575.310803439</v>
      </c>
      <c r="V46" s="47">
        <f>'Monthly Data'!BF46</f>
        <v>31912.865000000005</v>
      </c>
      <c r="W46" s="47">
        <f>+'Monthly Data'!BG46</f>
        <v>0</v>
      </c>
      <c r="X46" s="47">
        <f t="shared" ca="1" si="10"/>
        <v>30913488.175803438</v>
      </c>
    </row>
    <row r="47" spans="1:24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Data'!BE47</f>
        <v>27430302.460327823</v>
      </c>
      <c r="E47" s="3">
        <f t="shared" ref="E47:F47" ca="1" si="43">E35</f>
        <v>237.89681159420289</v>
      </c>
      <c r="F47" s="3">
        <f t="shared" ca="1" si="43"/>
        <v>17.987083333333334</v>
      </c>
      <c r="G47" s="3">
        <f>'Monthly Data'!EM47</f>
        <v>0</v>
      </c>
      <c r="H47" s="3">
        <f>'Monthly Data'!ET47</f>
        <v>0</v>
      </c>
      <c r="I47" s="3">
        <f>'Monthly Data'!EG47</f>
        <v>1</v>
      </c>
      <c r="J47">
        <f>'Monthly Data'!EH47</f>
        <v>46</v>
      </c>
      <c r="K47" s="3">
        <f>'Monthly Data'!DQ47</f>
        <v>31</v>
      </c>
      <c r="M47" s="3">
        <f t="shared" si="1"/>
        <v>-6000764.6164411902</v>
      </c>
      <c r="N47" s="3">
        <f t="shared" ca="1" si="2"/>
        <v>3466668.1924643191</v>
      </c>
      <c r="O47" s="3">
        <f t="shared" ca="1" si="3"/>
        <v>1660702.731341155</v>
      </c>
      <c r="P47" s="3">
        <f t="shared" si="4"/>
        <v>0</v>
      </c>
      <c r="Q47" s="3">
        <f t="shared" si="5"/>
        <v>0</v>
      </c>
      <c r="R47" s="3">
        <f t="shared" si="6"/>
        <v>-815229.51419000898</v>
      </c>
      <c r="S47" s="3">
        <f t="shared" si="7"/>
        <v>2477677.866755351</v>
      </c>
      <c r="T47" s="3">
        <f t="shared" si="8"/>
        <v>25469342.489254653</v>
      </c>
      <c r="U47" s="47">
        <f t="shared" ca="1" si="9"/>
        <v>26258397.149184279</v>
      </c>
      <c r="V47" s="47">
        <f>'Monthly Data'!BF47</f>
        <v>33995.946666666678</v>
      </c>
      <c r="W47" s="47">
        <f>+'Monthly Data'!BG47</f>
        <v>0</v>
      </c>
      <c r="X47" s="47">
        <f t="shared" ca="1" si="10"/>
        <v>26292393.095850945</v>
      </c>
    </row>
    <row r="48" spans="1:24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Data'!BE48</f>
        <v>28520056.751089077</v>
      </c>
      <c r="E48" s="3">
        <f t="shared" ref="E48:F48" ca="1" si="44">E36</f>
        <v>426.62991389045737</v>
      </c>
      <c r="F48" s="3">
        <f t="shared" ca="1" si="44"/>
        <v>0.8083333333333329</v>
      </c>
      <c r="G48" s="3">
        <f>'Monthly Data'!EM48</f>
        <v>0</v>
      </c>
      <c r="H48" s="3">
        <f>'Monthly Data'!ET48</f>
        <v>0</v>
      </c>
      <c r="I48" s="3">
        <f>'Monthly Data'!EG48</f>
        <v>1</v>
      </c>
      <c r="J48">
        <f>'Monthly Data'!EH48</f>
        <v>47</v>
      </c>
      <c r="K48" s="3">
        <f>'Monthly Data'!DQ48</f>
        <v>30</v>
      </c>
      <c r="M48" s="3">
        <f t="shared" si="1"/>
        <v>-6000764.6164411902</v>
      </c>
      <c r="N48" s="3">
        <f t="shared" ca="1" si="2"/>
        <v>6216915.4034760511</v>
      </c>
      <c r="O48" s="3">
        <f t="shared" ca="1" si="3"/>
        <v>74631.409085265797</v>
      </c>
      <c r="P48" s="3">
        <f t="shared" si="4"/>
        <v>0</v>
      </c>
      <c r="Q48" s="3">
        <f t="shared" si="5"/>
        <v>0</v>
      </c>
      <c r="R48" s="3">
        <f t="shared" si="6"/>
        <v>-815229.51419000898</v>
      </c>
      <c r="S48" s="3">
        <f t="shared" si="7"/>
        <v>2531540.4290761193</v>
      </c>
      <c r="T48" s="3">
        <f t="shared" si="8"/>
        <v>24647750.796052888</v>
      </c>
      <c r="U48" s="47">
        <f t="shared" ca="1" si="9"/>
        <v>26654843.907059126</v>
      </c>
      <c r="V48" s="47">
        <f>'Monthly Data'!BF48</f>
        <v>36079.028333333343</v>
      </c>
      <c r="W48" s="47">
        <f>+'Monthly Data'!BG48</f>
        <v>0</v>
      </c>
      <c r="X48" s="47">
        <f t="shared" ca="1" si="10"/>
        <v>26690922.935392458</v>
      </c>
    </row>
    <row r="49" spans="1:24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Data'!BE49</f>
        <v>32346137.62076043</v>
      </c>
      <c r="E49" s="3">
        <f t="shared" ref="E49:F49" ca="1" si="45">E37</f>
        <v>577.92800724637686</v>
      </c>
      <c r="F49" s="3">
        <f t="shared" ca="1" si="45"/>
        <v>0</v>
      </c>
      <c r="G49" s="3">
        <f>'Monthly Data'!EM49</f>
        <v>0</v>
      </c>
      <c r="H49" s="3">
        <f>'Monthly Data'!ET49</f>
        <v>0</v>
      </c>
      <c r="I49" s="3">
        <f>'Monthly Data'!EG49</f>
        <v>0</v>
      </c>
      <c r="J49">
        <f>'Monthly Data'!EH49</f>
        <v>48</v>
      </c>
      <c r="K49" s="3">
        <f>'Monthly Data'!DQ49</f>
        <v>31</v>
      </c>
      <c r="M49" s="3">
        <f t="shared" si="1"/>
        <v>-6000764.6164411902</v>
      </c>
      <c r="N49" s="3">
        <f t="shared" ca="1" si="2"/>
        <v>8421654.0223026872</v>
      </c>
      <c r="O49" s="3">
        <f t="shared" ca="1" si="3"/>
        <v>0</v>
      </c>
      <c r="P49" s="3">
        <f t="shared" si="4"/>
        <v>0</v>
      </c>
      <c r="Q49" s="3">
        <f t="shared" si="5"/>
        <v>0</v>
      </c>
      <c r="R49" s="3">
        <f t="shared" si="6"/>
        <v>0</v>
      </c>
      <c r="S49" s="3">
        <f t="shared" si="7"/>
        <v>2585402.9913968882</v>
      </c>
      <c r="T49" s="3">
        <f t="shared" si="8"/>
        <v>25469342.489254653</v>
      </c>
      <c r="U49" s="47">
        <f t="shared" ca="1" si="9"/>
        <v>30475634.886513039</v>
      </c>
      <c r="V49" s="47">
        <f>'Monthly Data'!BF49</f>
        <v>38162.110000000008</v>
      </c>
      <c r="W49" s="47">
        <f>+'Monthly Data'!BG49</f>
        <v>0</v>
      </c>
      <c r="X49" s="47">
        <f t="shared" ca="1" si="10"/>
        <v>30513796.996513039</v>
      </c>
    </row>
    <row r="50" spans="1:24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Data'!BE50</f>
        <v>32928562.605267532</v>
      </c>
      <c r="E50" s="3">
        <f t="shared" ref="E50:F50" ca="1" si="46">E38</f>
        <v>697.33418478260876</v>
      </c>
      <c r="F50" s="3">
        <f t="shared" ca="1" si="46"/>
        <v>0</v>
      </c>
      <c r="G50" s="3">
        <f>'Monthly Data'!EM50</f>
        <v>0</v>
      </c>
      <c r="H50" s="3">
        <f>'Monthly Data'!ET50</f>
        <v>0</v>
      </c>
      <c r="I50" s="3">
        <f>'Monthly Data'!EG50</f>
        <v>0</v>
      </c>
      <c r="J50">
        <f>'Monthly Data'!EH50</f>
        <v>49</v>
      </c>
      <c r="K50" s="3">
        <f>'Monthly Data'!DQ50</f>
        <v>31</v>
      </c>
      <c r="M50" s="3">
        <f t="shared" si="1"/>
        <v>-6000764.6164411902</v>
      </c>
      <c r="N50" s="3">
        <f t="shared" ca="1" si="2"/>
        <v>10161658.837309167</v>
      </c>
      <c r="O50" s="3">
        <f t="shared" ca="1" si="3"/>
        <v>0</v>
      </c>
      <c r="P50" s="3">
        <f t="shared" si="4"/>
        <v>0</v>
      </c>
      <c r="Q50" s="3">
        <f t="shared" si="5"/>
        <v>0</v>
      </c>
      <c r="R50" s="3">
        <f t="shared" si="6"/>
        <v>0</v>
      </c>
      <c r="S50" s="3">
        <f t="shared" si="7"/>
        <v>2639265.5537176565</v>
      </c>
      <c r="T50" s="3">
        <f t="shared" si="8"/>
        <v>25469342.489254653</v>
      </c>
      <c r="U50" s="47">
        <f t="shared" ca="1" si="9"/>
        <v>32269502.263840288</v>
      </c>
      <c r="V50" s="47">
        <f>'Monthly Data'!BF50</f>
        <v>41745.528846153851</v>
      </c>
      <c r="W50" s="47">
        <f ca="1">+'Monthly Data'!BG50</f>
        <v>54117.074649290553</v>
      </c>
      <c r="X50" s="47">
        <f t="shared" ca="1" si="10"/>
        <v>32365364.867335729</v>
      </c>
    </row>
    <row r="51" spans="1:24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Data'!BE51</f>
        <v>28792193.747271352</v>
      </c>
      <c r="E51" s="3">
        <f t="shared" ref="E51:F51" ca="1" si="47">E39</f>
        <v>624.25501811594188</v>
      </c>
      <c r="F51" s="3">
        <f t="shared" ca="1" si="47"/>
        <v>0</v>
      </c>
      <c r="G51" s="3">
        <f>'Monthly Data'!EM51</f>
        <v>0</v>
      </c>
      <c r="H51" s="3">
        <f>'Monthly Data'!ET51</f>
        <v>0</v>
      </c>
      <c r="I51" s="3">
        <f>'Monthly Data'!EG51</f>
        <v>0</v>
      </c>
      <c r="J51">
        <f>'Monthly Data'!EH51</f>
        <v>50</v>
      </c>
      <c r="K51" s="3">
        <f>'Monthly Data'!DQ51</f>
        <v>28</v>
      </c>
      <c r="M51" s="3">
        <f t="shared" si="1"/>
        <v>-6000764.6164411902</v>
      </c>
      <c r="N51" s="3">
        <f t="shared" ca="1" si="2"/>
        <v>9096738.2067322657</v>
      </c>
      <c r="O51" s="3">
        <f t="shared" ca="1" si="3"/>
        <v>0</v>
      </c>
      <c r="P51" s="3">
        <f t="shared" si="4"/>
        <v>0</v>
      </c>
      <c r="Q51" s="3">
        <f t="shared" si="5"/>
        <v>0</v>
      </c>
      <c r="R51" s="3">
        <f t="shared" si="6"/>
        <v>0</v>
      </c>
      <c r="S51" s="3">
        <f t="shared" si="7"/>
        <v>2693128.1160384249</v>
      </c>
      <c r="T51" s="3">
        <f t="shared" si="8"/>
        <v>23004567.409649365</v>
      </c>
      <c r="U51" s="47">
        <f t="shared" ca="1" si="9"/>
        <v>28793669.115978867</v>
      </c>
      <c r="V51" s="47">
        <f>'Monthly Data'!BF51</f>
        <v>43245.866025641037</v>
      </c>
      <c r="W51" s="47">
        <f ca="1">+'Monthly Data'!BG51</f>
        <v>44359.267430253611</v>
      </c>
      <c r="X51" s="47">
        <f t="shared" ca="1" si="10"/>
        <v>28881274.249434762</v>
      </c>
    </row>
    <row r="52" spans="1:24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Data'!BE52</f>
        <v>29547782.647375461</v>
      </c>
      <c r="E52" s="3">
        <f t="shared" ref="E52:F52" ca="1" si="48">E40</f>
        <v>546.13298913043491</v>
      </c>
      <c r="F52" s="3">
        <f t="shared" ca="1" si="48"/>
        <v>0</v>
      </c>
      <c r="G52" s="3">
        <f>'Monthly Data'!EM52</f>
        <v>0</v>
      </c>
      <c r="H52" s="3">
        <f>'Monthly Data'!ET52</f>
        <v>0</v>
      </c>
      <c r="I52" s="3">
        <f>'Monthly Data'!EG52</f>
        <v>1</v>
      </c>
      <c r="J52">
        <f>'Monthly Data'!EH52</f>
        <v>51</v>
      </c>
      <c r="K52" s="3">
        <f>'Monthly Data'!DQ52</f>
        <v>31</v>
      </c>
      <c r="M52" s="3">
        <f t="shared" si="1"/>
        <v>-6000764.6164411902</v>
      </c>
      <c r="N52" s="3">
        <f t="shared" ca="1" si="2"/>
        <v>7958332.2264251634</v>
      </c>
      <c r="O52" s="3">
        <f t="shared" ca="1" si="3"/>
        <v>0</v>
      </c>
      <c r="P52" s="3">
        <f t="shared" si="4"/>
        <v>0</v>
      </c>
      <c r="Q52" s="3">
        <f t="shared" si="5"/>
        <v>0</v>
      </c>
      <c r="R52" s="3">
        <f t="shared" si="6"/>
        <v>-815229.51419000898</v>
      </c>
      <c r="S52" s="3">
        <f t="shared" si="7"/>
        <v>2746990.6783591933</v>
      </c>
      <c r="T52" s="3">
        <f t="shared" si="8"/>
        <v>25469342.489254653</v>
      </c>
      <c r="U52" s="47">
        <f t="shared" ca="1" si="9"/>
        <v>29358671.263407812</v>
      </c>
      <c r="V52" s="47">
        <f>'Monthly Data'!BF52</f>
        <v>44746.203205128215</v>
      </c>
      <c r="W52" s="47">
        <f ca="1">+'Monthly Data'!BG52</f>
        <v>42427.134289166745</v>
      </c>
      <c r="X52" s="47">
        <f t="shared" ca="1" si="10"/>
        <v>29445844.600902107</v>
      </c>
    </row>
    <row r="53" spans="1:24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Data'!BE53</f>
        <v>25950042.681829374</v>
      </c>
      <c r="E53" s="3">
        <f t="shared" ref="E53:F53" ca="1" si="49">E41</f>
        <v>352.41399621212122</v>
      </c>
      <c r="F53" s="3">
        <f t="shared" ca="1" si="49"/>
        <v>2.1908333333333347</v>
      </c>
      <c r="G53" s="3">
        <f>'Monthly Data'!EM53</f>
        <v>0</v>
      </c>
      <c r="H53" s="3">
        <f>'Monthly Data'!ET53</f>
        <v>0</v>
      </c>
      <c r="I53" s="3">
        <f>'Monthly Data'!EG53</f>
        <v>1</v>
      </c>
      <c r="J53">
        <f>'Monthly Data'!EH53</f>
        <v>52</v>
      </c>
      <c r="K53" s="3">
        <f>'Monthly Data'!DQ53</f>
        <v>30</v>
      </c>
      <c r="M53" s="3">
        <f t="shared" si="1"/>
        <v>-6000764.6164411902</v>
      </c>
      <c r="N53" s="3">
        <f t="shared" ca="1" si="2"/>
        <v>5135429.8658350417</v>
      </c>
      <c r="O53" s="3">
        <f t="shared" ca="1" si="3"/>
        <v>202274.20050016907</v>
      </c>
      <c r="P53" s="3">
        <f t="shared" si="4"/>
        <v>0</v>
      </c>
      <c r="Q53" s="3">
        <f t="shared" si="5"/>
        <v>0</v>
      </c>
      <c r="R53" s="3">
        <f t="shared" si="6"/>
        <v>-815229.51419000898</v>
      </c>
      <c r="S53" s="3">
        <f t="shared" si="7"/>
        <v>2800853.2406799621</v>
      </c>
      <c r="T53" s="3">
        <f t="shared" si="8"/>
        <v>24647750.796052888</v>
      </c>
      <c r="U53" s="47">
        <f t="shared" ca="1" si="9"/>
        <v>25970313.97243686</v>
      </c>
      <c r="V53" s="47">
        <f>'Monthly Data'!BF53</f>
        <v>46246.540384615393</v>
      </c>
      <c r="W53" s="47">
        <f ca="1">+'Monthly Data'!BG53</f>
        <v>25440.957656175844</v>
      </c>
      <c r="X53" s="47">
        <f t="shared" ca="1" si="10"/>
        <v>26042001.470477652</v>
      </c>
    </row>
    <row r="54" spans="1:24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Data'!BE54</f>
        <v>25742829.91307319</v>
      </c>
      <c r="E54" s="3">
        <f t="shared" ref="E54:F54" ca="1" si="50">E42</f>
        <v>150.136897859768</v>
      </c>
      <c r="F54" s="3">
        <f t="shared" ca="1" si="50"/>
        <v>52.487435064935063</v>
      </c>
      <c r="G54" s="3">
        <f>'Monthly Data'!EM54</f>
        <v>0</v>
      </c>
      <c r="H54" s="3">
        <f>'Monthly Data'!ET54</f>
        <v>0</v>
      </c>
      <c r="I54" s="3">
        <f>'Monthly Data'!EG54</f>
        <v>1</v>
      </c>
      <c r="J54">
        <f>'Monthly Data'!EH54</f>
        <v>53</v>
      </c>
      <c r="K54" s="3">
        <f>'Monthly Data'!DQ54</f>
        <v>31</v>
      </c>
      <c r="M54" s="3">
        <f t="shared" si="1"/>
        <v>-6000764.6164411902</v>
      </c>
      <c r="N54" s="3">
        <f t="shared" ca="1" si="2"/>
        <v>2187817.503050575</v>
      </c>
      <c r="O54" s="3">
        <f t="shared" ca="1" si="3"/>
        <v>4846034.5214443235</v>
      </c>
      <c r="P54" s="3">
        <f t="shared" si="4"/>
        <v>0</v>
      </c>
      <c r="Q54" s="3">
        <f t="shared" si="5"/>
        <v>0</v>
      </c>
      <c r="R54" s="3">
        <f t="shared" si="6"/>
        <v>-815229.51419000898</v>
      </c>
      <c r="S54" s="3">
        <f t="shared" si="7"/>
        <v>2854715.8030007305</v>
      </c>
      <c r="T54" s="3">
        <f t="shared" si="8"/>
        <v>25469342.489254653</v>
      </c>
      <c r="U54" s="47">
        <f t="shared" ca="1" si="9"/>
        <v>28541916.186119083</v>
      </c>
      <c r="V54" s="47">
        <f>'Monthly Data'!BF54</f>
        <v>47746.877564102571</v>
      </c>
      <c r="W54" s="47">
        <f ca="1">+'Monthly Data'!BG54</f>
        <v>14261.390652527587</v>
      </c>
      <c r="X54" s="47">
        <f t="shared" ca="1" si="10"/>
        <v>28603924.454335712</v>
      </c>
    </row>
    <row r="55" spans="1:24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Data'!BE55</f>
        <v>30932840.927906904</v>
      </c>
      <c r="E55" s="3">
        <f t="shared" ref="E55:F55" ca="1" si="51">E43</f>
        <v>32.520923826173821</v>
      </c>
      <c r="F55" s="3">
        <f t="shared" ca="1" si="51"/>
        <v>137.65451754405018</v>
      </c>
      <c r="G55" s="3">
        <f>'Monthly Data'!EM55</f>
        <v>0</v>
      </c>
      <c r="H55" s="3">
        <f>'Monthly Data'!ET55</f>
        <v>0</v>
      </c>
      <c r="I55" s="3">
        <f>'Monthly Data'!EG55</f>
        <v>0</v>
      </c>
      <c r="J55">
        <f>'Monthly Data'!EH55</f>
        <v>54</v>
      </c>
      <c r="K55" s="3">
        <f>'Monthly Data'!DQ55</f>
        <v>30</v>
      </c>
      <c r="M55" s="3">
        <f t="shared" si="1"/>
        <v>-6000764.6164411902</v>
      </c>
      <c r="N55" s="3">
        <f t="shared" ca="1" si="2"/>
        <v>473899.80328975141</v>
      </c>
      <c r="O55" s="3">
        <f t="shared" ca="1" si="3"/>
        <v>12709299.72527618</v>
      </c>
      <c r="P55" s="3">
        <f t="shared" si="4"/>
        <v>0</v>
      </c>
      <c r="Q55" s="3">
        <f t="shared" si="5"/>
        <v>0</v>
      </c>
      <c r="R55" s="3">
        <f t="shared" si="6"/>
        <v>0</v>
      </c>
      <c r="S55" s="3">
        <f t="shared" si="7"/>
        <v>2908578.3653214988</v>
      </c>
      <c r="T55" s="3">
        <f t="shared" si="8"/>
        <v>24647750.796052888</v>
      </c>
      <c r="U55" s="47">
        <f t="shared" ref="U55:U109" ca="1" si="52">SUM(M55:T55)</f>
        <v>34738764.073499128</v>
      </c>
      <c r="V55" s="47">
        <f>'Monthly Data'!BF55</f>
        <v>49247.21474358975</v>
      </c>
      <c r="W55" s="47">
        <f ca="1">+'Monthly Data'!BG55</f>
        <v>3200.1768275760596</v>
      </c>
      <c r="X55" s="47">
        <f t="shared" ref="X55:X118" ca="1" si="53">U55+V55+W55</f>
        <v>34791211.4650703</v>
      </c>
    </row>
    <row r="56" spans="1:24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Data'!BE56</f>
        <v>46405254.211731017</v>
      </c>
      <c r="E56" s="3">
        <f t="shared" ref="E56:F56" ca="1" si="54">E44</f>
        <v>1.6179166666666653</v>
      </c>
      <c r="F56" s="3">
        <f t="shared" ca="1" si="54"/>
        <v>235.94737858727848</v>
      </c>
      <c r="G56" s="3">
        <f>'Monthly Data'!EM56</f>
        <v>0</v>
      </c>
      <c r="H56" s="3">
        <f>'Monthly Data'!ET56</f>
        <v>0</v>
      </c>
      <c r="I56" s="3">
        <f>'Monthly Data'!EG56</f>
        <v>0</v>
      </c>
      <c r="J56">
        <f>'Monthly Data'!EH56</f>
        <v>55</v>
      </c>
      <c r="K56" s="3">
        <f>'Monthly Data'!DQ56</f>
        <v>31</v>
      </c>
      <c r="M56" s="3">
        <f t="shared" si="1"/>
        <v>-6000764.6164411902</v>
      </c>
      <c r="N56" s="3">
        <f t="shared" ca="1" si="2"/>
        <v>23576.525506186736</v>
      </c>
      <c r="O56" s="3">
        <f t="shared" ca="1" si="3"/>
        <v>21784435.464672089</v>
      </c>
      <c r="P56" s="3">
        <f t="shared" si="4"/>
        <v>0</v>
      </c>
      <c r="Q56" s="3">
        <f t="shared" si="5"/>
        <v>0</v>
      </c>
      <c r="R56" s="3">
        <f t="shared" si="6"/>
        <v>0</v>
      </c>
      <c r="S56" s="3">
        <f t="shared" si="7"/>
        <v>2962440.9276422672</v>
      </c>
      <c r="T56" s="3">
        <f t="shared" si="8"/>
        <v>25469342.489254653</v>
      </c>
      <c r="U56" s="47">
        <f t="shared" ca="1" si="52"/>
        <v>44239030.790634006</v>
      </c>
      <c r="V56" s="47">
        <f>'Monthly Data'!BF56</f>
        <v>50747.551923076935</v>
      </c>
      <c r="W56" s="47">
        <f ca="1">+'Monthly Data'!BG56</f>
        <v>0</v>
      </c>
      <c r="X56" s="47">
        <f t="shared" ca="1" si="53"/>
        <v>44289778.34255708</v>
      </c>
    </row>
    <row r="57" spans="1:24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Data'!BE57</f>
        <v>39200831.768664829</v>
      </c>
      <c r="E57" s="3">
        <f t="shared" ref="E57:F57" ca="1" si="55">E45</f>
        <v>5.6499999999999977</v>
      </c>
      <c r="F57" s="3">
        <f t="shared" ca="1" si="55"/>
        <v>210.96558794466404</v>
      </c>
      <c r="G57" s="3">
        <f>'Monthly Data'!EM57</f>
        <v>0</v>
      </c>
      <c r="H57" s="3">
        <f>'Monthly Data'!ET57</f>
        <v>0</v>
      </c>
      <c r="I57" s="3">
        <f>'Monthly Data'!EG57</f>
        <v>0</v>
      </c>
      <c r="J57">
        <f>'Monthly Data'!EH57</f>
        <v>56</v>
      </c>
      <c r="K57" s="3">
        <f>'Monthly Data'!DQ57</f>
        <v>31</v>
      </c>
      <c r="M57" s="3">
        <f t="shared" si="1"/>
        <v>-6000764.6164411902</v>
      </c>
      <c r="N57" s="3">
        <f t="shared" ca="1" si="2"/>
        <v>82332.651523021443</v>
      </c>
      <c r="O57" s="3">
        <f t="shared" ca="1" si="3"/>
        <v>19477928.77956105</v>
      </c>
      <c r="P57" s="3">
        <f t="shared" si="4"/>
        <v>0</v>
      </c>
      <c r="Q57" s="3">
        <f t="shared" si="5"/>
        <v>0</v>
      </c>
      <c r="R57" s="3">
        <f t="shared" si="6"/>
        <v>0</v>
      </c>
      <c r="S57" s="3">
        <f t="shared" si="7"/>
        <v>3016303.489963036</v>
      </c>
      <c r="T57" s="3">
        <f t="shared" si="8"/>
        <v>25469342.489254653</v>
      </c>
      <c r="U57" s="47">
        <f t="shared" ca="1" si="52"/>
        <v>42045142.79386057</v>
      </c>
      <c r="V57" s="47">
        <f>'Monthly Data'!BF57</f>
        <v>52247.889102564113</v>
      </c>
      <c r="W57" s="47">
        <f ca="1">+'Monthly Data'!BG57</f>
        <v>322.35948710337874</v>
      </c>
      <c r="X57" s="47">
        <f t="shared" ca="1" si="53"/>
        <v>42097713.042450234</v>
      </c>
    </row>
    <row r="58" spans="1:24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Data'!BE58</f>
        <v>28663370.646698944</v>
      </c>
      <c r="E58" s="3">
        <f t="shared" ref="E58:F58" ca="1" si="56">E46</f>
        <v>54.959440993788824</v>
      </c>
      <c r="F58" s="3">
        <f t="shared" ca="1" si="56"/>
        <v>106.4160119047619</v>
      </c>
      <c r="G58" s="3">
        <f>'Monthly Data'!EM58</f>
        <v>0</v>
      </c>
      <c r="H58" s="3">
        <f>'Monthly Data'!ET58</f>
        <v>0</v>
      </c>
      <c r="I58" s="3">
        <f>'Monthly Data'!EG58</f>
        <v>1</v>
      </c>
      <c r="J58">
        <f>'Monthly Data'!EH58</f>
        <v>57</v>
      </c>
      <c r="K58" s="3">
        <f>'Monthly Data'!DQ58</f>
        <v>30</v>
      </c>
      <c r="M58" s="3">
        <f t="shared" si="1"/>
        <v>-6000764.6164411902</v>
      </c>
      <c r="N58" s="3">
        <f t="shared" ca="1" si="2"/>
        <v>800877.25721091626</v>
      </c>
      <c r="O58" s="3">
        <f t="shared" ca="1" si="3"/>
        <v>9825126.083736252</v>
      </c>
      <c r="P58" s="3">
        <f t="shared" si="4"/>
        <v>0</v>
      </c>
      <c r="Q58" s="3">
        <f t="shared" si="5"/>
        <v>0</v>
      </c>
      <c r="R58" s="3">
        <f t="shared" si="6"/>
        <v>-815229.51419000898</v>
      </c>
      <c r="S58" s="3">
        <f t="shared" si="7"/>
        <v>3070166.0522838044</v>
      </c>
      <c r="T58" s="3">
        <f t="shared" si="8"/>
        <v>24647750.796052888</v>
      </c>
      <c r="U58" s="47">
        <f t="shared" ca="1" si="52"/>
        <v>31527926.058652662</v>
      </c>
      <c r="V58" s="47">
        <f>'Monthly Data'!BF58</f>
        <v>53748.226282051291</v>
      </c>
      <c r="W58" s="47">
        <f ca="1">+'Monthly Data'!BG58</f>
        <v>4305.7397680992171</v>
      </c>
      <c r="X58" s="47">
        <f t="shared" ca="1" si="53"/>
        <v>31585980.024702813</v>
      </c>
    </row>
    <row r="59" spans="1:24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Data'!BE59</f>
        <v>26368384.242492959</v>
      </c>
      <c r="E59" s="3">
        <f t="shared" ref="E59:F59" ca="1" si="57">E47</f>
        <v>237.89681159420289</v>
      </c>
      <c r="F59" s="3">
        <f t="shared" ca="1" si="57"/>
        <v>17.987083333333334</v>
      </c>
      <c r="G59" s="3">
        <f>'Monthly Data'!EM59</f>
        <v>0</v>
      </c>
      <c r="H59" s="3">
        <f>'Monthly Data'!ET59</f>
        <v>0</v>
      </c>
      <c r="I59" s="3">
        <f>'Monthly Data'!EG59</f>
        <v>1</v>
      </c>
      <c r="J59">
        <f>'Monthly Data'!EH59</f>
        <v>58</v>
      </c>
      <c r="K59" s="3">
        <f>'Monthly Data'!DQ59</f>
        <v>31</v>
      </c>
      <c r="M59" s="3">
        <f t="shared" si="1"/>
        <v>-6000764.6164411902</v>
      </c>
      <c r="N59" s="3">
        <f t="shared" ca="1" si="2"/>
        <v>3466668.1924643191</v>
      </c>
      <c r="O59" s="3">
        <f t="shared" ca="1" si="3"/>
        <v>1660702.731341155</v>
      </c>
      <c r="P59" s="3">
        <f t="shared" si="4"/>
        <v>0</v>
      </c>
      <c r="Q59" s="3">
        <f t="shared" si="5"/>
        <v>0</v>
      </c>
      <c r="R59" s="3">
        <f t="shared" si="6"/>
        <v>-815229.51419000898</v>
      </c>
      <c r="S59" s="3">
        <f t="shared" si="7"/>
        <v>3124028.6146045728</v>
      </c>
      <c r="T59" s="3">
        <f t="shared" si="8"/>
        <v>25469342.489254653</v>
      </c>
      <c r="U59" s="47">
        <f t="shared" ca="1" si="52"/>
        <v>26904747.897033501</v>
      </c>
      <c r="V59" s="47">
        <f>'Monthly Data'!BF59</f>
        <v>55248.563461538477</v>
      </c>
      <c r="W59" s="47">
        <f ca="1">+'Monthly Data'!BG59</f>
        <v>16915.055167674807</v>
      </c>
      <c r="X59" s="47">
        <f t="shared" ca="1" si="53"/>
        <v>26976911.515662715</v>
      </c>
    </row>
    <row r="60" spans="1:24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Data'!BE60</f>
        <v>28801098.897696473</v>
      </c>
      <c r="E60" s="3">
        <f t="shared" ref="E60:F60" ca="1" si="58">E48</f>
        <v>426.62991389045737</v>
      </c>
      <c r="F60" s="3">
        <f t="shared" ca="1" si="58"/>
        <v>0.8083333333333329</v>
      </c>
      <c r="G60" s="3">
        <f>'Monthly Data'!EM60</f>
        <v>0</v>
      </c>
      <c r="H60" s="3">
        <f>'Monthly Data'!ET60</f>
        <v>0</v>
      </c>
      <c r="I60" s="3">
        <f>'Monthly Data'!EG60</f>
        <v>1</v>
      </c>
      <c r="J60">
        <f>'Monthly Data'!EH60</f>
        <v>59</v>
      </c>
      <c r="K60" s="3">
        <f>'Monthly Data'!DQ60</f>
        <v>30</v>
      </c>
      <c r="M60" s="3">
        <f t="shared" si="1"/>
        <v>-6000764.6164411902</v>
      </c>
      <c r="N60" s="3">
        <f t="shared" ca="1" si="2"/>
        <v>6216915.4034760511</v>
      </c>
      <c r="O60" s="3">
        <f t="shared" ca="1" si="3"/>
        <v>74631.409085265797</v>
      </c>
      <c r="P60" s="3">
        <f t="shared" si="4"/>
        <v>0</v>
      </c>
      <c r="Q60" s="3">
        <f t="shared" si="5"/>
        <v>0</v>
      </c>
      <c r="R60" s="3">
        <f t="shared" si="6"/>
        <v>-815229.51419000898</v>
      </c>
      <c r="S60" s="3">
        <f t="shared" si="7"/>
        <v>3177891.1769253416</v>
      </c>
      <c r="T60" s="3">
        <f t="shared" si="8"/>
        <v>24647750.796052888</v>
      </c>
      <c r="U60" s="47">
        <f t="shared" ca="1" si="52"/>
        <v>27301194.654908348</v>
      </c>
      <c r="V60" s="47">
        <f>'Monthly Data'!BF60</f>
        <v>56748.900641025655</v>
      </c>
      <c r="W60" s="47">
        <f ca="1">+'Monthly Data'!BG60</f>
        <v>36755.920209328273</v>
      </c>
      <c r="X60" s="47">
        <f t="shared" ca="1" si="53"/>
        <v>27394699.475758702</v>
      </c>
    </row>
    <row r="61" spans="1:24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Data'!BE61</f>
        <v>32884166.159240685</v>
      </c>
      <c r="E61" s="3">
        <f t="shared" ref="E61:F61" ca="1" si="59">E49</f>
        <v>577.92800724637686</v>
      </c>
      <c r="F61" s="3">
        <f t="shared" ca="1" si="59"/>
        <v>0</v>
      </c>
      <c r="G61" s="3">
        <f>'Monthly Data'!EM61</f>
        <v>0</v>
      </c>
      <c r="H61" s="3">
        <f>'Monthly Data'!ET61</f>
        <v>0</v>
      </c>
      <c r="I61" s="3">
        <f>'Monthly Data'!EG61</f>
        <v>0</v>
      </c>
      <c r="J61">
        <f>'Monthly Data'!EH61</f>
        <v>60</v>
      </c>
      <c r="K61" s="3">
        <f>'Monthly Data'!DQ61</f>
        <v>31</v>
      </c>
      <c r="M61" s="3">
        <f t="shared" si="1"/>
        <v>-6000764.6164411902</v>
      </c>
      <c r="N61" s="3">
        <f t="shared" ca="1" si="2"/>
        <v>8421654.0223026872</v>
      </c>
      <c r="O61" s="3">
        <f t="shared" ca="1" si="3"/>
        <v>0</v>
      </c>
      <c r="P61" s="3">
        <f t="shared" si="4"/>
        <v>0</v>
      </c>
      <c r="Q61" s="3">
        <f t="shared" si="5"/>
        <v>0</v>
      </c>
      <c r="R61" s="3">
        <f t="shared" si="6"/>
        <v>0</v>
      </c>
      <c r="S61" s="3">
        <f t="shared" si="7"/>
        <v>3231753.73924611</v>
      </c>
      <c r="T61" s="3">
        <f t="shared" si="8"/>
        <v>25469342.489254653</v>
      </c>
      <c r="U61" s="47">
        <f t="shared" ca="1" si="52"/>
        <v>31121985.634362258</v>
      </c>
      <c r="V61" s="47">
        <f>'Monthly Data'!BF61</f>
        <v>58249.237820512833</v>
      </c>
      <c r="W61" s="47">
        <f ca="1">+'Monthly Data'!BG61</f>
        <v>42633.270893924324</v>
      </c>
      <c r="X61" s="47">
        <f t="shared" ca="1" si="53"/>
        <v>31222868.143076696</v>
      </c>
    </row>
    <row r="62" spans="1:24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Data'!BE62</f>
        <v>31510170.004796762</v>
      </c>
      <c r="E62" s="3">
        <f t="shared" ref="E62:F62" ca="1" si="60">E50</f>
        <v>697.33418478260876</v>
      </c>
      <c r="F62" s="3">
        <f t="shared" ca="1" si="60"/>
        <v>0</v>
      </c>
      <c r="G62" s="3">
        <f>'Monthly Data'!EM62</f>
        <v>0</v>
      </c>
      <c r="H62" s="3">
        <f>'Monthly Data'!ET62</f>
        <v>0</v>
      </c>
      <c r="I62" s="3">
        <f>'Monthly Data'!EG62</f>
        <v>0</v>
      </c>
      <c r="J62">
        <f>'Monthly Data'!EH62</f>
        <v>61</v>
      </c>
      <c r="K62" s="3">
        <f>'Monthly Data'!DQ62</f>
        <v>31</v>
      </c>
      <c r="M62" s="3">
        <f t="shared" si="1"/>
        <v>-6000764.6164411902</v>
      </c>
      <c r="N62" s="3">
        <f t="shared" ca="1" si="2"/>
        <v>10161658.837309167</v>
      </c>
      <c r="O62" s="3">
        <f t="shared" ca="1" si="3"/>
        <v>0</v>
      </c>
      <c r="P62" s="3">
        <f t="shared" si="4"/>
        <v>0</v>
      </c>
      <c r="Q62" s="3">
        <f t="shared" si="5"/>
        <v>0</v>
      </c>
      <c r="R62" s="3">
        <f t="shared" si="6"/>
        <v>0</v>
      </c>
      <c r="S62" s="3">
        <f t="shared" si="7"/>
        <v>3285616.3015668783</v>
      </c>
      <c r="T62" s="3">
        <f t="shared" si="8"/>
        <v>25469342.489254653</v>
      </c>
      <c r="U62" s="47">
        <f t="shared" ca="1" si="52"/>
        <v>32915853.011689506</v>
      </c>
      <c r="V62" s="47">
        <f>'Monthly Data'!BF62</f>
        <v>61404.511666666673</v>
      </c>
      <c r="W62" s="47">
        <f ca="1">+'Monthly Data'!BG62</f>
        <v>198062.11407712669</v>
      </c>
      <c r="X62" s="47">
        <f t="shared" ca="1" si="53"/>
        <v>33175319.637433302</v>
      </c>
    </row>
    <row r="63" spans="1:24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Data'!BE63</f>
        <v>29273294.280135576</v>
      </c>
      <c r="E63" s="3">
        <f t="shared" ref="E63:F63" ca="1" si="61">E51</f>
        <v>624.25501811594188</v>
      </c>
      <c r="F63" s="3">
        <f t="shared" ca="1" si="61"/>
        <v>0</v>
      </c>
      <c r="G63" s="3">
        <f>'Monthly Data'!EM63</f>
        <v>0</v>
      </c>
      <c r="H63" s="3">
        <f>'Monthly Data'!ET63</f>
        <v>0</v>
      </c>
      <c r="I63" s="3">
        <f>'Monthly Data'!EG63</f>
        <v>0</v>
      </c>
      <c r="J63">
        <f>'Monthly Data'!EH63</f>
        <v>62</v>
      </c>
      <c r="K63" s="3">
        <f>'Monthly Data'!DQ63</f>
        <v>29</v>
      </c>
      <c r="M63" s="3">
        <f t="shared" si="1"/>
        <v>-6000764.6164411902</v>
      </c>
      <c r="N63" s="3">
        <f t="shared" ca="1" si="2"/>
        <v>9096738.2067322657</v>
      </c>
      <c r="O63" s="3">
        <f t="shared" ca="1" si="3"/>
        <v>0</v>
      </c>
      <c r="P63" s="3">
        <f t="shared" si="4"/>
        <v>0</v>
      </c>
      <c r="Q63" s="3">
        <f t="shared" si="5"/>
        <v>0</v>
      </c>
      <c r="R63" s="3">
        <f t="shared" si="6"/>
        <v>0</v>
      </c>
      <c r="S63" s="3">
        <f t="shared" si="7"/>
        <v>3339478.8638876467</v>
      </c>
      <c r="T63" s="3">
        <f t="shared" si="8"/>
        <v>23826159.102851126</v>
      </c>
      <c r="U63" s="47">
        <f t="shared" ca="1" si="52"/>
        <v>30261611.557029851</v>
      </c>
      <c r="V63" s="47">
        <f>'Monthly Data'!BF63</f>
        <v>63059.448333333341</v>
      </c>
      <c r="W63" s="47">
        <f ca="1">+'Monthly Data'!BG63</f>
        <v>195409.7718456361</v>
      </c>
      <c r="X63" s="47">
        <f t="shared" ca="1" si="53"/>
        <v>30520080.77720882</v>
      </c>
    </row>
    <row r="64" spans="1:24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Data'!BE64</f>
        <v>29911361.800874691</v>
      </c>
      <c r="E64" s="3">
        <f t="shared" ref="E64:F64" ca="1" si="62">E52</f>
        <v>546.13298913043491</v>
      </c>
      <c r="F64" s="3">
        <f t="shared" ca="1" si="62"/>
        <v>0</v>
      </c>
      <c r="G64" s="3">
        <f>'Monthly Data'!EM64</f>
        <v>271.78541666666672</v>
      </c>
      <c r="H64" s="3">
        <f>'Monthly Data'!ET64</f>
        <v>0</v>
      </c>
      <c r="I64" s="3">
        <f>'Monthly Data'!EG64</f>
        <v>1</v>
      </c>
      <c r="J64">
        <f>'Monthly Data'!EH64</f>
        <v>63</v>
      </c>
      <c r="K64" s="3">
        <f>'Monthly Data'!DQ64</f>
        <v>31</v>
      </c>
      <c r="M64" s="3">
        <f t="shared" si="1"/>
        <v>-6000764.6164411902</v>
      </c>
      <c r="N64" s="3">
        <f t="shared" ca="1" si="2"/>
        <v>7958332.2264251634</v>
      </c>
      <c r="O64" s="3">
        <f t="shared" ca="1" si="3"/>
        <v>0</v>
      </c>
      <c r="P64" s="3">
        <f t="shared" si="4"/>
        <v>1276889.8382183562</v>
      </c>
      <c r="Q64" s="3">
        <f t="shared" si="5"/>
        <v>0</v>
      </c>
      <c r="R64" s="3">
        <f t="shared" si="6"/>
        <v>-815229.51419000898</v>
      </c>
      <c r="S64" s="3">
        <f t="shared" si="7"/>
        <v>3393341.4262084155</v>
      </c>
      <c r="T64" s="3">
        <f t="shared" si="8"/>
        <v>25469342.489254653</v>
      </c>
      <c r="U64" s="47">
        <f t="shared" ca="1" si="52"/>
        <v>31281911.849475391</v>
      </c>
      <c r="V64" s="47">
        <f>'Monthly Data'!BF64</f>
        <v>64714.385000000009</v>
      </c>
      <c r="W64" s="47">
        <f ca="1">+'Monthly Data'!BG64</f>
        <v>151682.21577881934</v>
      </c>
      <c r="X64" s="47">
        <f t="shared" ca="1" si="53"/>
        <v>31498308.450254213</v>
      </c>
    </row>
    <row r="65" spans="1:24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Data'!BE65</f>
        <v>28752418.448513802</v>
      </c>
      <c r="E65" s="3">
        <f t="shared" ref="E65:F65" ca="1" si="63">E53</f>
        <v>352.41399621212122</v>
      </c>
      <c r="F65" s="3">
        <f t="shared" ca="1" si="63"/>
        <v>2.1908333333333347</v>
      </c>
      <c r="G65" s="3">
        <f>'Monthly Data'!EM65</f>
        <v>439.67500000000013</v>
      </c>
      <c r="H65" s="3">
        <f>'Monthly Data'!ET65</f>
        <v>0</v>
      </c>
      <c r="I65" s="3">
        <f>'Monthly Data'!EG65</f>
        <v>1</v>
      </c>
      <c r="J65">
        <f>'Monthly Data'!EH65</f>
        <v>64</v>
      </c>
      <c r="K65" s="3">
        <f>'Monthly Data'!DQ65</f>
        <v>30</v>
      </c>
      <c r="M65" s="3">
        <f t="shared" si="1"/>
        <v>-6000764.6164411902</v>
      </c>
      <c r="N65" s="3">
        <f t="shared" ca="1" si="2"/>
        <v>5135429.8658350417</v>
      </c>
      <c r="O65" s="3">
        <f t="shared" ca="1" si="3"/>
        <v>202274.20050016907</v>
      </c>
      <c r="P65" s="3">
        <f t="shared" si="4"/>
        <v>2065661.0148704539</v>
      </c>
      <c r="Q65" s="3">
        <f t="shared" si="5"/>
        <v>0</v>
      </c>
      <c r="R65" s="3">
        <f t="shared" si="6"/>
        <v>-815229.51419000898</v>
      </c>
      <c r="S65" s="3">
        <f t="shared" si="7"/>
        <v>3447203.9885291839</v>
      </c>
      <c r="T65" s="3">
        <f t="shared" si="8"/>
        <v>24647750.796052888</v>
      </c>
      <c r="U65" s="47">
        <f t="shared" ca="1" si="52"/>
        <v>28682325.735156536</v>
      </c>
      <c r="V65" s="47">
        <f>'Monthly Data'!BF65</f>
        <v>66369.32166666667</v>
      </c>
      <c r="W65" s="47">
        <f ca="1">+'Monthly Data'!BG65</f>
        <v>119587.69362587346</v>
      </c>
      <c r="X65" s="47">
        <f t="shared" ca="1" si="53"/>
        <v>28868282.750449076</v>
      </c>
    </row>
    <row r="66" spans="1:24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Data'!BE66</f>
        <v>32004641.507642817</v>
      </c>
      <c r="E66" s="3">
        <f t="shared" ref="E66:F66" ca="1" si="64">E54</f>
        <v>150.136897859768</v>
      </c>
      <c r="F66" s="3">
        <f t="shared" ca="1" si="64"/>
        <v>52.487435064935063</v>
      </c>
      <c r="G66" s="3">
        <f>'Monthly Data'!EM66</f>
        <v>265.14107142857148</v>
      </c>
      <c r="H66" s="3">
        <f>'Monthly Data'!ET66</f>
        <v>50.900595238095221</v>
      </c>
      <c r="I66" s="3">
        <f>'Monthly Data'!EG66</f>
        <v>1</v>
      </c>
      <c r="J66">
        <f>'Monthly Data'!EH66</f>
        <v>65</v>
      </c>
      <c r="K66" s="3">
        <f>'Monthly Data'!DQ66</f>
        <v>31</v>
      </c>
      <c r="M66" s="3">
        <f t="shared" ref="M66:M129" si="65">$AB$8</f>
        <v>-6000764.6164411902</v>
      </c>
      <c r="N66" s="3">
        <f t="shared" ref="N66:N129" ca="1" si="66">E66*$AB$9</f>
        <v>2187817.503050575</v>
      </c>
      <c r="O66" s="3">
        <f t="shared" ref="O66:O129" ca="1" si="67">F66*$AB$10</f>
        <v>4846034.5214443235</v>
      </c>
      <c r="P66" s="3">
        <f t="shared" ref="P66:P129" si="68">G66*$AB$11</f>
        <v>1245673.6787194684</v>
      </c>
      <c r="Q66" s="3">
        <f t="shared" ref="Q66:Q129" si="69">H66*$AB$12</f>
        <v>845733.16505593422</v>
      </c>
      <c r="R66" s="3">
        <f t="shared" ref="R66:R129" si="70">I66*$AB$13</f>
        <v>-815229.51419000898</v>
      </c>
      <c r="S66" s="3">
        <f t="shared" ref="S66:S129" si="71">J66*$AB$14</f>
        <v>3501066.5508499523</v>
      </c>
      <c r="T66" s="3">
        <f t="shared" ref="T66:T129" si="72">K66*$AB$15</f>
        <v>25469342.489254653</v>
      </c>
      <c r="U66" s="47">
        <f t="shared" ca="1" si="52"/>
        <v>31279673.777743708</v>
      </c>
      <c r="V66" s="47">
        <f>'Monthly Data'!BF66</f>
        <v>68024.258333333346</v>
      </c>
      <c r="W66" s="47">
        <f ca="1">+'Monthly Data'!BG66</f>
        <v>67006.560320229881</v>
      </c>
      <c r="X66" s="47">
        <f t="shared" ca="1" si="53"/>
        <v>31414704.59639727</v>
      </c>
    </row>
    <row r="67" spans="1:24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Data'!BE67</f>
        <v>40334292.158091635</v>
      </c>
      <c r="E67" s="3">
        <f t="shared" ref="E67:F67" ca="1" si="73">E55</f>
        <v>32.520923826173821</v>
      </c>
      <c r="F67" s="3">
        <f t="shared" ca="1" si="73"/>
        <v>137.65451754405018</v>
      </c>
      <c r="G67" s="3">
        <f>'Monthly Data'!EM67</f>
        <v>26.637500000000003</v>
      </c>
      <c r="H67" s="3">
        <f>'Monthly Data'!ET67</f>
        <v>82.984782608695639</v>
      </c>
      <c r="I67" s="3">
        <f>'Monthly Data'!EG67</f>
        <v>0</v>
      </c>
      <c r="J67">
        <f>'Monthly Data'!EH67</f>
        <v>66</v>
      </c>
      <c r="K67" s="3">
        <f>'Monthly Data'!DQ67</f>
        <v>30</v>
      </c>
      <c r="M67" s="3">
        <f t="shared" si="65"/>
        <v>-6000764.6164411902</v>
      </c>
      <c r="N67" s="3">
        <f t="shared" ca="1" si="66"/>
        <v>473899.80328975141</v>
      </c>
      <c r="O67" s="3">
        <f t="shared" ca="1" si="67"/>
        <v>12709299.72527618</v>
      </c>
      <c r="P67" s="3">
        <f t="shared" si="68"/>
        <v>125147.08656078172</v>
      </c>
      <c r="Q67" s="3">
        <f t="shared" si="69"/>
        <v>1378824.4031104019</v>
      </c>
      <c r="R67" s="3">
        <f t="shared" si="70"/>
        <v>0</v>
      </c>
      <c r="S67" s="3">
        <f t="shared" si="71"/>
        <v>3554929.1131707211</v>
      </c>
      <c r="T67" s="3">
        <f t="shared" si="72"/>
        <v>24647750.796052888</v>
      </c>
      <c r="U67" s="47">
        <f t="shared" ca="1" si="52"/>
        <v>36889086.311019532</v>
      </c>
      <c r="V67" s="47">
        <f>'Monthly Data'!BF67</f>
        <v>69679.195000000007</v>
      </c>
      <c r="W67" s="47">
        <f ca="1">+'Monthly Data'!BG67</f>
        <v>9365.2222483509286</v>
      </c>
      <c r="X67" s="47">
        <f t="shared" ca="1" si="53"/>
        <v>36968130.728267886</v>
      </c>
    </row>
    <row r="68" spans="1:24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Data'!BE68</f>
        <v>55198199.997750744</v>
      </c>
      <c r="E68" s="3">
        <f t="shared" ref="E68:F68" ca="1" si="74">E56</f>
        <v>1.6179166666666653</v>
      </c>
      <c r="F68" s="3">
        <f t="shared" ca="1" si="74"/>
        <v>235.94737858727848</v>
      </c>
      <c r="G68" s="3">
        <f>'Monthly Data'!EM68</f>
        <v>0</v>
      </c>
      <c r="H68" s="3">
        <f>'Monthly Data'!ET68</f>
        <v>154.44375000000002</v>
      </c>
      <c r="I68" s="3">
        <f>'Monthly Data'!EG68</f>
        <v>0</v>
      </c>
      <c r="J68">
        <f>'Monthly Data'!EH68</f>
        <v>67</v>
      </c>
      <c r="K68" s="3">
        <f>'Monthly Data'!DQ68</f>
        <v>31</v>
      </c>
      <c r="M68" s="3">
        <f t="shared" si="65"/>
        <v>-6000764.6164411902</v>
      </c>
      <c r="N68" s="3">
        <f t="shared" ca="1" si="66"/>
        <v>23576.525506186736</v>
      </c>
      <c r="O68" s="3">
        <f t="shared" ca="1" si="67"/>
        <v>21784435.464672089</v>
      </c>
      <c r="P68" s="3">
        <f t="shared" si="68"/>
        <v>0</v>
      </c>
      <c r="Q68" s="3">
        <f t="shared" si="69"/>
        <v>2566142.9085381241</v>
      </c>
      <c r="R68" s="3">
        <f t="shared" si="70"/>
        <v>0</v>
      </c>
      <c r="S68" s="3">
        <f t="shared" si="71"/>
        <v>3608791.6754914895</v>
      </c>
      <c r="T68" s="3">
        <f t="shared" si="72"/>
        <v>25469342.489254653</v>
      </c>
      <c r="U68" s="47">
        <f t="shared" ca="1" si="52"/>
        <v>47451524.44702135</v>
      </c>
      <c r="V68" s="47">
        <f>'Monthly Data'!BF68</f>
        <v>71334.131666666683</v>
      </c>
      <c r="W68" s="47">
        <f ca="1">+'Monthly Data'!BG68</f>
        <v>0</v>
      </c>
      <c r="X68" s="47">
        <f t="shared" ca="1" si="53"/>
        <v>47522858.578688018</v>
      </c>
    </row>
    <row r="69" spans="1:24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Data'!BE69</f>
        <v>45757218.379059561</v>
      </c>
      <c r="E69" s="3">
        <f t="shared" ref="E69:F69" ca="1" si="75">E57</f>
        <v>5.6499999999999977</v>
      </c>
      <c r="F69" s="3">
        <f t="shared" ca="1" si="75"/>
        <v>210.96558794466404</v>
      </c>
      <c r="G69" s="3">
        <f>'Monthly Data'!EM69</f>
        <v>9.8604166666666604</v>
      </c>
      <c r="H69" s="3">
        <f>'Monthly Data'!ET69</f>
        <v>108.46553030303032</v>
      </c>
      <c r="I69" s="3">
        <f>'Monthly Data'!EG69</f>
        <v>0</v>
      </c>
      <c r="J69">
        <f>'Monthly Data'!EH69</f>
        <v>68</v>
      </c>
      <c r="K69" s="3">
        <f>'Monthly Data'!DQ69</f>
        <v>31</v>
      </c>
      <c r="M69" s="3">
        <f t="shared" si="65"/>
        <v>-6000764.6164411902</v>
      </c>
      <c r="N69" s="3">
        <f t="shared" ca="1" si="66"/>
        <v>82332.651523021443</v>
      </c>
      <c r="O69" s="3">
        <f t="shared" ca="1" si="67"/>
        <v>19477928.77956105</v>
      </c>
      <c r="P69" s="3">
        <f t="shared" si="68"/>
        <v>46325.759478506137</v>
      </c>
      <c r="Q69" s="3">
        <f t="shared" si="69"/>
        <v>1802196.9254692937</v>
      </c>
      <c r="R69" s="3">
        <f t="shared" si="70"/>
        <v>0</v>
      </c>
      <c r="S69" s="3">
        <f t="shared" si="71"/>
        <v>3662654.2378122578</v>
      </c>
      <c r="T69" s="3">
        <f t="shared" si="72"/>
        <v>25469342.489254653</v>
      </c>
      <c r="U69" s="47">
        <f t="shared" ca="1" si="52"/>
        <v>44540016.226657592</v>
      </c>
      <c r="V69" s="47">
        <f>'Monthly Data'!BF69</f>
        <v>72989.068333333344</v>
      </c>
      <c r="W69" s="47">
        <f ca="1">+'Monthly Data'!BG69</f>
        <v>1098.4712754862269</v>
      </c>
      <c r="X69" s="47">
        <f t="shared" ca="1" si="53"/>
        <v>44614103.766266413</v>
      </c>
    </row>
    <row r="70" spans="1:24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Data'!BE70</f>
        <v>31219269.97128877</v>
      </c>
      <c r="E70" s="3">
        <f t="shared" ref="E70:F70" ca="1" si="76">E58</f>
        <v>54.959440993788824</v>
      </c>
      <c r="F70" s="3">
        <f t="shared" ca="1" si="76"/>
        <v>106.4160119047619</v>
      </c>
      <c r="G70" s="3">
        <f>'Monthly Data'!EM70</f>
        <v>66.37934782608697</v>
      </c>
      <c r="H70" s="3">
        <f>'Monthly Data'!ET70</f>
        <v>37.906249999999986</v>
      </c>
      <c r="I70" s="3">
        <f>'Monthly Data'!EG70</f>
        <v>1</v>
      </c>
      <c r="J70">
        <f>'Monthly Data'!EH70</f>
        <v>69</v>
      </c>
      <c r="K70" s="3">
        <f>'Monthly Data'!DQ70</f>
        <v>30</v>
      </c>
      <c r="M70" s="3">
        <f t="shared" si="65"/>
        <v>-6000764.6164411902</v>
      </c>
      <c r="N70" s="3">
        <f t="shared" ca="1" si="66"/>
        <v>800877.25721091626</v>
      </c>
      <c r="O70" s="3">
        <f t="shared" ca="1" si="67"/>
        <v>9825126.083736252</v>
      </c>
      <c r="P70" s="3">
        <f t="shared" si="68"/>
        <v>311860.42189543101</v>
      </c>
      <c r="Q70" s="3">
        <f t="shared" si="69"/>
        <v>629827.07054687035</v>
      </c>
      <c r="R70" s="3">
        <f t="shared" si="70"/>
        <v>-815229.51419000898</v>
      </c>
      <c r="S70" s="3">
        <f t="shared" si="71"/>
        <v>3716516.8001330262</v>
      </c>
      <c r="T70" s="3">
        <f t="shared" si="72"/>
        <v>24647750.796052888</v>
      </c>
      <c r="U70" s="47">
        <f t="shared" ca="1" si="52"/>
        <v>33115964.298944183</v>
      </c>
      <c r="V70" s="47">
        <f>'Monthly Data'!BF70</f>
        <v>74644.005000000005</v>
      </c>
      <c r="W70" s="47">
        <f ca="1">+'Monthly Data'!BG70</f>
        <v>26786.014637891585</v>
      </c>
      <c r="X70" s="47">
        <f t="shared" ca="1" si="53"/>
        <v>33217394.318582073</v>
      </c>
    </row>
    <row r="71" spans="1:24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Data'!BE71</f>
        <v>28728580.147087686</v>
      </c>
      <c r="E71" s="3">
        <f t="shared" ref="E71:F71" ca="1" si="77">E59</f>
        <v>237.89681159420289</v>
      </c>
      <c r="F71" s="3">
        <f t="shared" ca="1" si="77"/>
        <v>17.987083333333334</v>
      </c>
      <c r="G71" s="3">
        <f>'Monthly Data'!EM71</f>
        <v>174.91666666666663</v>
      </c>
      <c r="H71" s="3">
        <f>'Monthly Data'!ET71</f>
        <v>1.9645833333333327</v>
      </c>
      <c r="I71" s="3">
        <f>'Monthly Data'!EG71</f>
        <v>1</v>
      </c>
      <c r="J71">
        <f>'Monthly Data'!EH71</f>
        <v>70</v>
      </c>
      <c r="K71" s="3">
        <f>'Monthly Data'!DQ71</f>
        <v>31</v>
      </c>
      <c r="M71" s="3">
        <f t="shared" si="65"/>
        <v>-6000764.6164411902</v>
      </c>
      <c r="N71" s="3">
        <f t="shared" ca="1" si="66"/>
        <v>3466668.1924643191</v>
      </c>
      <c r="O71" s="3">
        <f t="shared" ca="1" si="67"/>
        <v>1660702.731341155</v>
      </c>
      <c r="P71" s="3">
        <f t="shared" si="68"/>
        <v>821785.4987989387</v>
      </c>
      <c r="Q71" s="3">
        <f t="shared" si="69"/>
        <v>32642.315335295345</v>
      </c>
      <c r="R71" s="3">
        <f t="shared" si="70"/>
        <v>-815229.51419000898</v>
      </c>
      <c r="S71" s="3">
        <f t="shared" si="71"/>
        <v>3770379.362453795</v>
      </c>
      <c r="T71" s="3">
        <f t="shared" si="72"/>
        <v>25469342.489254653</v>
      </c>
      <c r="U71" s="47">
        <f t="shared" ca="1" si="52"/>
        <v>28405526.459016956</v>
      </c>
      <c r="V71" s="47">
        <f>'Monthly Data'!BF71</f>
        <v>76298.94166666668</v>
      </c>
      <c r="W71" s="47">
        <f ca="1">+'Monthly Data'!BG71</f>
        <v>90659.970980392623</v>
      </c>
      <c r="X71" s="47">
        <f t="shared" ca="1" si="53"/>
        <v>28572485.371664014</v>
      </c>
    </row>
    <row r="72" spans="1:24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Data'!BE72</f>
        <v>29288672.5578968</v>
      </c>
      <c r="E72" s="3">
        <f t="shared" ref="E72:F72" ca="1" si="78">E60</f>
        <v>426.62991389045737</v>
      </c>
      <c r="F72" s="3">
        <f t="shared" ca="1" si="78"/>
        <v>0.8083333333333329</v>
      </c>
      <c r="G72" s="3">
        <f>'Monthly Data'!EM72</f>
        <v>213.15036231884056</v>
      </c>
      <c r="H72" s="3">
        <f>'Monthly Data'!ET72</f>
        <v>0</v>
      </c>
      <c r="I72" s="3">
        <f>'Monthly Data'!EG72</f>
        <v>1</v>
      </c>
      <c r="J72">
        <f>'Monthly Data'!EH72</f>
        <v>71</v>
      </c>
      <c r="K72" s="3">
        <f>'Monthly Data'!DQ72</f>
        <v>30</v>
      </c>
      <c r="M72" s="3">
        <f t="shared" si="65"/>
        <v>-6000764.6164411902</v>
      </c>
      <c r="N72" s="3">
        <f t="shared" ca="1" si="66"/>
        <v>6216915.4034760511</v>
      </c>
      <c r="O72" s="3">
        <f t="shared" ca="1" si="67"/>
        <v>74631.409085265797</v>
      </c>
      <c r="P72" s="3">
        <f t="shared" si="68"/>
        <v>1001413.302433709</v>
      </c>
      <c r="Q72" s="3">
        <f t="shared" si="69"/>
        <v>0</v>
      </c>
      <c r="R72" s="3">
        <f t="shared" si="70"/>
        <v>-815229.51419000898</v>
      </c>
      <c r="S72" s="3">
        <f t="shared" si="71"/>
        <v>3824241.9247745634</v>
      </c>
      <c r="T72" s="3">
        <f t="shared" si="72"/>
        <v>24647750.796052888</v>
      </c>
      <c r="U72" s="47">
        <f t="shared" ca="1" si="52"/>
        <v>28948958.705191277</v>
      </c>
      <c r="V72" s="47">
        <f>'Monthly Data'!BF72</f>
        <v>77953.878333333341</v>
      </c>
      <c r="W72" s="47">
        <f ca="1">+'Monthly Data'!BG72</f>
        <v>115375.14672524251</v>
      </c>
      <c r="X72" s="47">
        <f t="shared" ca="1" si="53"/>
        <v>29142287.730249852</v>
      </c>
    </row>
    <row r="73" spans="1:24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Data'!BE73</f>
        <v>34977177.400135517</v>
      </c>
      <c r="E73" s="3">
        <f t="shared" ref="E73:F73" ca="1" si="79">E61</f>
        <v>577.92800724637686</v>
      </c>
      <c r="F73" s="3">
        <f t="shared" ca="1" si="79"/>
        <v>0</v>
      </c>
      <c r="G73" s="3">
        <f>'Monthly Data'!EM73</f>
        <v>322.45208333333341</v>
      </c>
      <c r="H73" s="3">
        <f>'Monthly Data'!ET73</f>
        <v>0</v>
      </c>
      <c r="I73" s="3">
        <f>'Monthly Data'!EG73</f>
        <v>0</v>
      </c>
      <c r="J73">
        <f>'Monthly Data'!EH73</f>
        <v>72</v>
      </c>
      <c r="K73" s="3">
        <f>'Monthly Data'!DQ73</f>
        <v>31</v>
      </c>
      <c r="M73" s="3">
        <f t="shared" si="65"/>
        <v>-6000764.6164411902</v>
      </c>
      <c r="N73" s="3">
        <f t="shared" ca="1" si="66"/>
        <v>8421654.0223026872</v>
      </c>
      <c r="O73" s="3">
        <f t="shared" ca="1" si="67"/>
        <v>0</v>
      </c>
      <c r="P73" s="3">
        <f t="shared" si="68"/>
        <v>1514929.6587375344</v>
      </c>
      <c r="Q73" s="3">
        <f t="shared" si="69"/>
        <v>0</v>
      </c>
      <c r="R73" s="3">
        <f t="shared" si="70"/>
        <v>0</v>
      </c>
      <c r="S73" s="3">
        <f t="shared" si="71"/>
        <v>3878104.4870953318</v>
      </c>
      <c r="T73" s="3">
        <f t="shared" si="72"/>
        <v>25469342.489254653</v>
      </c>
      <c r="U73" s="47">
        <f t="shared" ca="1" si="52"/>
        <v>33283266.040949017</v>
      </c>
      <c r="V73" s="47">
        <f>'Monthly Data'!BF73</f>
        <v>79608.815000000017</v>
      </c>
      <c r="W73" s="47">
        <f ca="1">+'Monthly Data'!BG73</f>
        <v>183599.56514539651</v>
      </c>
      <c r="X73" s="47">
        <f t="shared" ca="1" si="53"/>
        <v>33546474.421094414</v>
      </c>
    </row>
    <row r="74" spans="1:24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Data'!BE74</f>
        <v>34480133.068013385</v>
      </c>
      <c r="E74" s="3">
        <f t="shared" ref="E74:F74" ca="1" si="80">E62</f>
        <v>697.33418478260876</v>
      </c>
      <c r="F74" s="3">
        <f t="shared" ca="1" si="80"/>
        <v>0</v>
      </c>
      <c r="G74" s="3">
        <f>'Monthly Data'!EM74</f>
        <v>357.7520833333333</v>
      </c>
      <c r="H74" s="3">
        <f>'Monthly Data'!ET74</f>
        <v>0</v>
      </c>
      <c r="I74" s="3">
        <f>'Monthly Data'!EG74</f>
        <v>0</v>
      </c>
      <c r="J74">
        <f>'Monthly Data'!EH74</f>
        <v>73</v>
      </c>
      <c r="K74" s="3">
        <f>'Monthly Data'!DQ74</f>
        <v>31</v>
      </c>
      <c r="M74" s="3">
        <f t="shared" si="65"/>
        <v>-6000764.6164411902</v>
      </c>
      <c r="N74" s="3">
        <f t="shared" ca="1" si="66"/>
        <v>10161658.837309167</v>
      </c>
      <c r="O74" s="3">
        <f t="shared" ca="1" si="67"/>
        <v>0</v>
      </c>
      <c r="P74" s="3">
        <f t="shared" si="68"/>
        <v>1680774.5073755668</v>
      </c>
      <c r="Q74" s="3">
        <f t="shared" si="69"/>
        <v>0</v>
      </c>
      <c r="R74" s="3">
        <f t="shared" si="70"/>
        <v>0</v>
      </c>
      <c r="S74" s="3">
        <f t="shared" si="71"/>
        <v>3931967.0494161006</v>
      </c>
      <c r="T74" s="3">
        <f t="shared" si="72"/>
        <v>25469342.489254653</v>
      </c>
      <c r="U74" s="47">
        <f t="shared" ca="1" si="52"/>
        <v>35242978.266914293</v>
      </c>
      <c r="V74" s="47">
        <f>'Monthly Data'!BF74</f>
        <v>84571.812179487184</v>
      </c>
      <c r="W74" s="47">
        <f ca="1">+'Monthly Data'!BG74</f>
        <v>424068.44257786899</v>
      </c>
      <c r="X74" s="47">
        <f t="shared" ca="1" si="53"/>
        <v>35751618.521671645</v>
      </c>
    </row>
    <row r="75" spans="1:24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Data'!BE75</f>
        <v>31637027.72212705</v>
      </c>
      <c r="E75" s="3">
        <f t="shared" ref="E75:F75" ca="1" si="81">E63</f>
        <v>624.25501811594188</v>
      </c>
      <c r="F75" s="3">
        <f t="shared" ca="1" si="81"/>
        <v>0</v>
      </c>
      <c r="G75" s="3">
        <f>'Monthly Data'!EM75</f>
        <v>354.72708333333327</v>
      </c>
      <c r="H75" s="3">
        <f>'Monthly Data'!ET75</f>
        <v>0</v>
      </c>
      <c r="I75" s="3">
        <f>'Monthly Data'!EG75</f>
        <v>0</v>
      </c>
      <c r="J75">
        <f>'Monthly Data'!EH75</f>
        <v>74</v>
      </c>
      <c r="K75" s="3">
        <f>'Monthly Data'!DQ75</f>
        <v>28</v>
      </c>
      <c r="M75" s="3">
        <f t="shared" si="65"/>
        <v>-6000764.6164411902</v>
      </c>
      <c r="N75" s="3">
        <f t="shared" ca="1" si="66"/>
        <v>9096738.2067322657</v>
      </c>
      <c r="O75" s="3">
        <f t="shared" ca="1" si="67"/>
        <v>0</v>
      </c>
      <c r="P75" s="3">
        <f t="shared" si="68"/>
        <v>1666562.5904597011</v>
      </c>
      <c r="Q75" s="3">
        <f t="shared" si="69"/>
        <v>0</v>
      </c>
      <c r="R75" s="3">
        <f t="shared" si="70"/>
        <v>0</v>
      </c>
      <c r="S75" s="3">
        <f t="shared" si="71"/>
        <v>3985829.611736869</v>
      </c>
      <c r="T75" s="3">
        <f t="shared" si="72"/>
        <v>23004567.409649365</v>
      </c>
      <c r="U75" s="47">
        <f t="shared" ca="1" si="52"/>
        <v>31752933.202137008</v>
      </c>
      <c r="V75" s="47">
        <f>'Monthly Data'!BF75</f>
        <v>87879.87269230769</v>
      </c>
      <c r="W75" s="47">
        <f ca="1">+'Monthly Data'!BG75</f>
        <v>424035.99684422184</v>
      </c>
      <c r="X75" s="47">
        <f t="shared" ca="1" si="53"/>
        <v>32264849.071673539</v>
      </c>
    </row>
    <row r="76" spans="1:24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Data'!BE76</f>
        <v>30941540.276100904</v>
      </c>
      <c r="E76" s="3">
        <f t="shared" ref="E76:F76" ca="1" si="82">E64</f>
        <v>546.13298913043491</v>
      </c>
      <c r="F76" s="3">
        <f t="shared" ca="1" si="82"/>
        <v>0</v>
      </c>
      <c r="G76" s="3">
        <f>'Monthly Data'!EM76</f>
        <v>277.29818840579713</v>
      </c>
      <c r="H76" s="3">
        <f>'Monthly Data'!ET76</f>
        <v>0</v>
      </c>
      <c r="I76" s="3">
        <f>'Monthly Data'!EG76</f>
        <v>1</v>
      </c>
      <c r="J76">
        <f>'Monthly Data'!EH76</f>
        <v>75</v>
      </c>
      <c r="K76" s="3">
        <f>'Monthly Data'!DQ76</f>
        <v>31</v>
      </c>
      <c r="M76" s="3">
        <f t="shared" si="65"/>
        <v>-6000764.6164411902</v>
      </c>
      <c r="N76" s="3">
        <f t="shared" ca="1" si="66"/>
        <v>7958332.2264251634</v>
      </c>
      <c r="O76" s="3">
        <f t="shared" ca="1" si="67"/>
        <v>0</v>
      </c>
      <c r="P76" s="3">
        <f t="shared" si="68"/>
        <v>1302789.690758076</v>
      </c>
      <c r="Q76" s="3">
        <f t="shared" si="69"/>
        <v>0</v>
      </c>
      <c r="R76" s="3">
        <f t="shared" si="70"/>
        <v>-815229.51419000898</v>
      </c>
      <c r="S76" s="3">
        <f t="shared" si="71"/>
        <v>4039692.1740576373</v>
      </c>
      <c r="T76" s="3">
        <f t="shared" si="72"/>
        <v>25469342.489254653</v>
      </c>
      <c r="U76" s="47">
        <f t="shared" ca="1" si="52"/>
        <v>31954162.449864332</v>
      </c>
      <c r="V76" s="47">
        <f>'Monthly Data'!BF76</f>
        <v>91187.933205128211</v>
      </c>
      <c r="W76" s="47">
        <f ca="1">+'Monthly Data'!BG76</f>
        <v>319653.01675045758</v>
      </c>
      <c r="X76" s="47">
        <f t="shared" ca="1" si="53"/>
        <v>32365003.399819918</v>
      </c>
    </row>
    <row r="77" spans="1:24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Data'!BE77</f>
        <v>28032178.831614867</v>
      </c>
      <c r="E77" s="3">
        <f t="shared" ref="E77:F77" ca="1" si="83">E65</f>
        <v>352.41399621212122</v>
      </c>
      <c r="F77" s="3">
        <f t="shared" ca="1" si="83"/>
        <v>2.1908333333333347</v>
      </c>
      <c r="G77" s="3">
        <f>'Monthly Data'!EM77</f>
        <v>189.89791666666665</v>
      </c>
      <c r="H77" s="3">
        <f>'Monthly Data'!ET77</f>
        <v>1.854166666666667</v>
      </c>
      <c r="I77" s="3">
        <f>'Monthly Data'!EG77</f>
        <v>1</v>
      </c>
      <c r="J77">
        <f>'Monthly Data'!EH77</f>
        <v>76</v>
      </c>
      <c r="K77" s="3">
        <f>'Monthly Data'!DQ77</f>
        <v>30</v>
      </c>
      <c r="M77" s="3">
        <f t="shared" si="65"/>
        <v>-6000764.6164411902</v>
      </c>
      <c r="N77" s="3">
        <f t="shared" ca="1" si="66"/>
        <v>5135429.8658350417</v>
      </c>
      <c r="O77" s="3">
        <f t="shared" ca="1" si="67"/>
        <v>202274.20050016907</v>
      </c>
      <c r="P77" s="3">
        <f t="shared" si="68"/>
        <v>892169.72369011515</v>
      </c>
      <c r="Q77" s="3">
        <f t="shared" si="69"/>
        <v>30807.699521116512</v>
      </c>
      <c r="R77" s="3">
        <f t="shared" si="70"/>
        <v>-815229.51419000898</v>
      </c>
      <c r="S77" s="3">
        <f t="shared" si="71"/>
        <v>4093554.7363784057</v>
      </c>
      <c r="T77" s="3">
        <f t="shared" si="72"/>
        <v>24647750.796052888</v>
      </c>
      <c r="U77" s="47">
        <f t="shared" ca="1" si="52"/>
        <v>28185992.891346537</v>
      </c>
      <c r="V77" s="47">
        <f>'Monthly Data'!BF77</f>
        <v>94495.993717948717</v>
      </c>
      <c r="W77" s="47">
        <f ca="1">+'Monthly Data'!BG77</f>
        <v>207520.2085952909</v>
      </c>
      <c r="X77" s="47">
        <f t="shared" ca="1" si="53"/>
        <v>28488009.093659777</v>
      </c>
    </row>
    <row r="78" spans="1:24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Data'!BE78</f>
        <v>31416040.846248426</v>
      </c>
      <c r="E78" s="3">
        <f t="shared" ref="E78:F78" ca="1" si="84">E66</f>
        <v>150.136897859768</v>
      </c>
      <c r="F78" s="3">
        <f t="shared" ca="1" si="84"/>
        <v>52.487435064935063</v>
      </c>
      <c r="G78" s="3">
        <f>'Monthly Data'!EM78</f>
        <v>110.96111111111111</v>
      </c>
      <c r="H78" s="3">
        <f>'Monthly Data'!ET78</f>
        <v>26.954166666666659</v>
      </c>
      <c r="I78" s="3">
        <f>'Monthly Data'!EG78</f>
        <v>1</v>
      </c>
      <c r="J78">
        <f>'Monthly Data'!EH78</f>
        <v>77</v>
      </c>
      <c r="K78" s="3">
        <f>'Monthly Data'!DQ78</f>
        <v>31</v>
      </c>
      <c r="M78" s="3">
        <f t="shared" si="65"/>
        <v>-6000764.6164411902</v>
      </c>
      <c r="N78" s="3">
        <f t="shared" ca="1" si="66"/>
        <v>2187817.503050575</v>
      </c>
      <c r="O78" s="3">
        <f t="shared" ca="1" si="67"/>
        <v>4846034.5214443235</v>
      </c>
      <c r="P78" s="3">
        <f t="shared" si="68"/>
        <v>521312.42710850266</v>
      </c>
      <c r="Q78" s="3">
        <f t="shared" si="69"/>
        <v>447853.95101596095</v>
      </c>
      <c r="R78" s="3">
        <f t="shared" si="70"/>
        <v>-815229.51419000898</v>
      </c>
      <c r="S78" s="3">
        <f t="shared" si="71"/>
        <v>4147417.2986991745</v>
      </c>
      <c r="T78" s="3">
        <f t="shared" si="72"/>
        <v>25469342.489254653</v>
      </c>
      <c r="U78" s="47">
        <f t="shared" ca="1" si="52"/>
        <v>30803784.059941992</v>
      </c>
      <c r="V78" s="47">
        <f>'Monthly Data'!BF78</f>
        <v>97804.054230769238</v>
      </c>
      <c r="W78" s="47">
        <f ca="1">+'Monthly Data'!BG78</f>
        <v>112679.52660425295</v>
      </c>
      <c r="X78" s="47">
        <f t="shared" ca="1" si="53"/>
        <v>31014267.640777014</v>
      </c>
    </row>
    <row r="79" spans="1:24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Data'!BE79</f>
        <v>40462392.89460209</v>
      </c>
      <c r="E79" s="3">
        <f t="shared" ref="E79:F79" ca="1" si="85">E67</f>
        <v>32.520923826173821</v>
      </c>
      <c r="F79" s="3">
        <f t="shared" ca="1" si="85"/>
        <v>137.65451754405018</v>
      </c>
      <c r="G79" s="3">
        <f>'Monthly Data'!EM79</f>
        <v>18.033333333333339</v>
      </c>
      <c r="H79" s="3">
        <f>'Monthly Data'!ET79</f>
        <v>90.837499999999977</v>
      </c>
      <c r="I79" s="3">
        <f>'Monthly Data'!EG79</f>
        <v>0</v>
      </c>
      <c r="J79">
        <f>'Monthly Data'!EH79</f>
        <v>78</v>
      </c>
      <c r="K79" s="3">
        <f>'Monthly Data'!DQ79</f>
        <v>30</v>
      </c>
      <c r="M79" s="3">
        <f t="shared" si="65"/>
        <v>-6000764.6164411902</v>
      </c>
      <c r="N79" s="3">
        <f t="shared" ca="1" si="66"/>
        <v>473899.80328975141</v>
      </c>
      <c r="O79" s="3">
        <f t="shared" ca="1" si="67"/>
        <v>12709299.72527618</v>
      </c>
      <c r="P79" s="3">
        <f t="shared" si="68"/>
        <v>84723.383487418017</v>
      </c>
      <c r="Q79" s="3">
        <f t="shared" si="69"/>
        <v>1509300.3533929456</v>
      </c>
      <c r="R79" s="3">
        <f t="shared" si="70"/>
        <v>0</v>
      </c>
      <c r="S79" s="3">
        <f t="shared" si="71"/>
        <v>4201279.8610199429</v>
      </c>
      <c r="T79" s="3">
        <f t="shared" si="72"/>
        <v>24647750.796052888</v>
      </c>
      <c r="U79" s="47">
        <f t="shared" ca="1" si="52"/>
        <v>37625489.306077935</v>
      </c>
      <c r="V79" s="47">
        <f>'Monthly Data'!BF79</f>
        <v>101112.11474358974</v>
      </c>
      <c r="W79" s="47">
        <f ca="1">+'Monthly Data'!BG79</f>
        <v>9249.7379005418916</v>
      </c>
      <c r="X79" s="47">
        <f t="shared" ca="1" si="53"/>
        <v>37735851.158722065</v>
      </c>
    </row>
    <row r="80" spans="1:24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Data'!BE80</f>
        <v>42514397.92280595</v>
      </c>
      <c r="E80" s="3">
        <f t="shared" ref="E80:F80" ca="1" si="86">E68</f>
        <v>1.6179166666666653</v>
      </c>
      <c r="F80" s="3">
        <f t="shared" ca="1" si="86"/>
        <v>235.94737858727848</v>
      </c>
      <c r="G80" s="3">
        <f>'Monthly Data'!EM80</f>
        <v>12.758333333333335</v>
      </c>
      <c r="H80" s="3">
        <f>'Monthly Data'!ET80</f>
        <v>96.437499999999972</v>
      </c>
      <c r="I80" s="3">
        <f>'Monthly Data'!EG80</f>
        <v>0</v>
      </c>
      <c r="J80">
        <f>'Monthly Data'!EH80</f>
        <v>79</v>
      </c>
      <c r="K80" s="3">
        <f>'Monthly Data'!DQ80</f>
        <v>31</v>
      </c>
      <c r="M80" s="3">
        <f t="shared" si="65"/>
        <v>-6000764.6164411902</v>
      </c>
      <c r="N80" s="3">
        <f t="shared" ca="1" si="66"/>
        <v>23576.525506186736</v>
      </c>
      <c r="O80" s="3">
        <f t="shared" ca="1" si="67"/>
        <v>21784435.464672089</v>
      </c>
      <c r="P80" s="3">
        <f t="shared" si="68"/>
        <v>59940.619278760154</v>
      </c>
      <c r="Q80" s="3">
        <f t="shared" si="69"/>
        <v>1602346.5290252615</v>
      </c>
      <c r="R80" s="3">
        <f t="shared" si="70"/>
        <v>0</v>
      </c>
      <c r="S80" s="3">
        <f t="shared" si="71"/>
        <v>4255142.4233407117</v>
      </c>
      <c r="T80" s="3">
        <f t="shared" si="72"/>
        <v>25469342.489254653</v>
      </c>
      <c r="U80" s="47">
        <f t="shared" ca="1" si="52"/>
        <v>47194019.434636474</v>
      </c>
      <c r="V80" s="47">
        <f>'Monthly Data'!BF80</f>
        <v>104420.17525641026</v>
      </c>
      <c r="W80" s="47">
        <f ca="1">+'Monthly Data'!BG80</f>
        <v>3474.397311369863</v>
      </c>
      <c r="X80" s="47">
        <f t="shared" ca="1" si="53"/>
        <v>47301914.00720425</v>
      </c>
    </row>
    <row r="81" spans="1:24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Data'!BE81</f>
        <v>50349130.762999512</v>
      </c>
      <c r="E81" s="3">
        <f t="shared" ref="E81:F81" ca="1" si="87">E69</f>
        <v>5.6499999999999977</v>
      </c>
      <c r="F81" s="3">
        <f t="shared" ca="1" si="87"/>
        <v>210.96558794466404</v>
      </c>
      <c r="G81" s="3">
        <f>'Monthly Data'!EM81</f>
        <v>4.2624999999999975</v>
      </c>
      <c r="H81" s="3">
        <f>'Monthly Data'!ET81</f>
        <v>133.03125</v>
      </c>
      <c r="I81" s="3">
        <f>'Monthly Data'!EG81</f>
        <v>0</v>
      </c>
      <c r="J81">
        <f>'Monthly Data'!EH81</f>
        <v>80</v>
      </c>
      <c r="K81" s="3">
        <f>'Monthly Data'!DQ81</f>
        <v>31</v>
      </c>
      <c r="M81" s="3">
        <f t="shared" si="65"/>
        <v>-6000764.6164411902</v>
      </c>
      <c r="N81" s="3">
        <f t="shared" ca="1" si="66"/>
        <v>82332.651523021443</v>
      </c>
      <c r="O81" s="3">
        <f t="shared" ca="1" si="67"/>
        <v>19477928.77956105</v>
      </c>
      <c r="P81" s="3">
        <f t="shared" si="68"/>
        <v>20025.882926901239</v>
      </c>
      <c r="Q81" s="3">
        <f t="shared" si="69"/>
        <v>2210365.9021583088</v>
      </c>
      <c r="R81" s="3">
        <f t="shared" si="70"/>
        <v>0</v>
      </c>
      <c r="S81" s="3">
        <f t="shared" si="71"/>
        <v>4309004.9856614796</v>
      </c>
      <c r="T81" s="3">
        <f t="shared" si="72"/>
        <v>25469342.489254653</v>
      </c>
      <c r="U81" s="47">
        <f t="shared" ca="1" si="52"/>
        <v>45568236.074644223</v>
      </c>
      <c r="V81" s="47">
        <f>'Monthly Data'!BF81</f>
        <v>107728.23576923077</v>
      </c>
      <c r="W81" s="47">
        <f ca="1">+'Monthly Data'!BG81</f>
        <v>448.83264878396739</v>
      </c>
      <c r="X81" s="47">
        <f t="shared" ca="1" si="53"/>
        <v>45676413.143062234</v>
      </c>
    </row>
    <row r="82" spans="1:24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Data'!BE82</f>
        <v>32830511.610102866</v>
      </c>
      <c r="E82" s="3">
        <f t="shared" ref="E82:F82" ca="1" si="88">E70</f>
        <v>54.959440993788824</v>
      </c>
      <c r="F82" s="3">
        <f t="shared" ca="1" si="88"/>
        <v>106.4160119047619</v>
      </c>
      <c r="G82" s="3">
        <f>'Monthly Data'!EM82</f>
        <v>46.552083333333336</v>
      </c>
      <c r="H82" s="3">
        <f>'Monthly Data'!ET82</f>
        <v>47.62916666666667</v>
      </c>
      <c r="I82" s="3">
        <f>'Monthly Data'!EG82</f>
        <v>1</v>
      </c>
      <c r="J82">
        <f>'Monthly Data'!EH82</f>
        <v>81</v>
      </c>
      <c r="K82" s="3">
        <f>'Monthly Data'!DQ82</f>
        <v>30</v>
      </c>
      <c r="M82" s="3">
        <f t="shared" si="65"/>
        <v>-6000764.6164411902</v>
      </c>
      <c r="N82" s="3">
        <f t="shared" ca="1" si="66"/>
        <v>800877.25721091626</v>
      </c>
      <c r="O82" s="3">
        <f t="shared" ca="1" si="67"/>
        <v>9825126.083736252</v>
      </c>
      <c r="P82" s="3">
        <f t="shared" si="68"/>
        <v>218708.8729235623</v>
      </c>
      <c r="Q82" s="3">
        <f t="shared" si="69"/>
        <v>791377.10837277037</v>
      </c>
      <c r="R82" s="3">
        <f t="shared" si="70"/>
        <v>-815229.51419000898</v>
      </c>
      <c r="S82" s="3">
        <f t="shared" si="71"/>
        <v>4362867.5479822485</v>
      </c>
      <c r="T82" s="3">
        <f t="shared" si="72"/>
        <v>24647750.796052888</v>
      </c>
      <c r="U82" s="47">
        <f t="shared" ca="1" si="52"/>
        <v>33830713.535647437</v>
      </c>
      <c r="V82" s="47">
        <f>'Monthly Data'!BF82</f>
        <v>111036.29628205129</v>
      </c>
      <c r="W82" s="47">
        <f ca="1">+'Monthly Data'!BG82</f>
        <v>29641.88149770263</v>
      </c>
      <c r="X82" s="47">
        <f t="shared" ca="1" si="53"/>
        <v>33971391.713427193</v>
      </c>
    </row>
    <row r="83" spans="1:24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Data'!BE83</f>
        <v>29274555.122296624</v>
      </c>
      <c r="E83" s="3">
        <f t="shared" ref="E83:F83" ca="1" si="89">E71</f>
        <v>237.89681159420289</v>
      </c>
      <c r="F83" s="3">
        <f t="shared" ca="1" si="89"/>
        <v>17.987083333333334</v>
      </c>
      <c r="G83" s="3">
        <f>'Monthly Data'!EM83</f>
        <v>107.09374999999997</v>
      </c>
      <c r="H83" s="3">
        <f>'Monthly Data'!ET83</f>
        <v>22.281250000000014</v>
      </c>
      <c r="I83" s="3">
        <f>'Monthly Data'!EG83</f>
        <v>1</v>
      </c>
      <c r="J83">
        <f>'Monthly Data'!EH83</f>
        <v>82</v>
      </c>
      <c r="K83" s="3">
        <f>'Monthly Data'!DQ83</f>
        <v>31</v>
      </c>
      <c r="M83" s="3">
        <f t="shared" si="65"/>
        <v>-6000764.6164411902</v>
      </c>
      <c r="N83" s="3">
        <f t="shared" ca="1" si="66"/>
        <v>3466668.1924643191</v>
      </c>
      <c r="O83" s="3">
        <f t="shared" ca="1" si="67"/>
        <v>1660702.731341155</v>
      </c>
      <c r="P83" s="3">
        <f t="shared" si="68"/>
        <v>503142.96767221822</v>
      </c>
      <c r="Q83" s="3">
        <f t="shared" si="69"/>
        <v>370211.62514420366</v>
      </c>
      <c r="R83" s="3">
        <f t="shared" si="70"/>
        <v>-815229.51419000898</v>
      </c>
      <c r="S83" s="3">
        <f t="shared" si="71"/>
        <v>4416730.1103030173</v>
      </c>
      <c r="T83" s="3">
        <f t="shared" si="72"/>
        <v>25469342.489254653</v>
      </c>
      <c r="U83" s="47">
        <f t="shared" ca="1" si="52"/>
        <v>29070803.98554837</v>
      </c>
      <c r="V83" s="47">
        <f>'Monthly Data'!BF83</f>
        <v>114344.3567948718</v>
      </c>
      <c r="W83" s="47">
        <f ca="1">+'Monthly Data'!BG83</f>
        <v>99592.179429570213</v>
      </c>
      <c r="X83" s="47">
        <f t="shared" ca="1" si="53"/>
        <v>29284740.521772809</v>
      </c>
    </row>
    <row r="84" spans="1:24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Data'!BE84</f>
        <v>29454793.327350385</v>
      </c>
      <c r="E84" s="3">
        <f t="shared" ref="E84:F84" ca="1" si="90">E72</f>
        <v>426.62991389045737</v>
      </c>
      <c r="F84" s="3">
        <f t="shared" ca="1" si="90"/>
        <v>0.8083333333333329</v>
      </c>
      <c r="G84" s="3">
        <f>'Monthly Data'!EM84</f>
        <v>253.15630175983441</v>
      </c>
      <c r="H84" s="3">
        <f>'Monthly Data'!ET84</f>
        <v>0</v>
      </c>
      <c r="I84" s="3">
        <f>'Monthly Data'!EG84</f>
        <v>1</v>
      </c>
      <c r="J84">
        <f>'Monthly Data'!EH84</f>
        <v>83</v>
      </c>
      <c r="K84" s="3">
        <f>'Monthly Data'!DQ84</f>
        <v>30</v>
      </c>
      <c r="M84" s="3">
        <f t="shared" si="65"/>
        <v>-6000764.6164411902</v>
      </c>
      <c r="N84" s="3">
        <f t="shared" ca="1" si="66"/>
        <v>6216915.4034760511</v>
      </c>
      <c r="O84" s="3">
        <f t="shared" ca="1" si="67"/>
        <v>74631.409085265797</v>
      </c>
      <c r="P84" s="3">
        <f t="shared" si="68"/>
        <v>1189367.3809383528</v>
      </c>
      <c r="Q84" s="3">
        <f t="shared" si="69"/>
        <v>0</v>
      </c>
      <c r="R84" s="3">
        <f t="shared" si="70"/>
        <v>-815229.51419000898</v>
      </c>
      <c r="S84" s="3">
        <f t="shared" si="71"/>
        <v>4470592.6726237852</v>
      </c>
      <c r="T84" s="3">
        <f t="shared" si="72"/>
        <v>24647750.796052888</v>
      </c>
      <c r="U84" s="47">
        <f t="shared" ca="1" si="52"/>
        <v>29783263.531545144</v>
      </c>
      <c r="V84" s="47">
        <f>'Monthly Data'!BF84</f>
        <v>117652.41730769232</v>
      </c>
      <c r="W84" s="47">
        <f ca="1">+'Monthly Data'!BG84</f>
        <v>289618.7971422674</v>
      </c>
      <c r="X84" s="47">
        <f t="shared" ca="1" si="53"/>
        <v>30190534.745995104</v>
      </c>
    </row>
    <row r="85" spans="1:24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Data'!BE85</f>
        <v>34005574.447683841</v>
      </c>
      <c r="E85" s="3">
        <f t="shared" ref="E85:F85" ca="1" si="91">E73</f>
        <v>577.92800724637686</v>
      </c>
      <c r="F85" s="3">
        <f t="shared" ca="1" si="91"/>
        <v>0</v>
      </c>
      <c r="G85" s="3">
        <f>'Monthly Data'!EM85</f>
        <v>297.52291666666667</v>
      </c>
      <c r="H85" s="3">
        <f>'Monthly Data'!ET85</f>
        <v>0</v>
      </c>
      <c r="I85" s="3">
        <f>'Monthly Data'!EG85</f>
        <v>0</v>
      </c>
      <c r="J85">
        <f>'Monthly Data'!EH85</f>
        <v>84</v>
      </c>
      <c r="K85" s="3">
        <f>'Monthly Data'!DQ85</f>
        <v>31</v>
      </c>
      <c r="M85" s="3">
        <f t="shared" si="65"/>
        <v>-6000764.6164411902</v>
      </c>
      <c r="N85" s="3">
        <f t="shared" ca="1" si="66"/>
        <v>8421654.0223026872</v>
      </c>
      <c r="O85" s="3">
        <f t="shared" ca="1" si="67"/>
        <v>0</v>
      </c>
      <c r="P85" s="3">
        <f t="shared" si="68"/>
        <v>1397808.5858620207</v>
      </c>
      <c r="Q85" s="3">
        <f t="shared" si="69"/>
        <v>0</v>
      </c>
      <c r="R85" s="3">
        <f t="shared" si="70"/>
        <v>0</v>
      </c>
      <c r="S85" s="3">
        <f t="shared" si="71"/>
        <v>4524455.234944554</v>
      </c>
      <c r="T85" s="3">
        <f t="shared" si="72"/>
        <v>25469342.489254653</v>
      </c>
      <c r="U85" s="47">
        <f t="shared" ca="1" si="52"/>
        <v>33812495.715922728</v>
      </c>
      <c r="V85" s="47">
        <f>'Monthly Data'!BF85</f>
        <v>120960.47782051284</v>
      </c>
      <c r="W85" s="47">
        <f ca="1">+'Monthly Data'!BG85</f>
        <v>345901.26259989018</v>
      </c>
      <c r="X85" s="47">
        <f t="shared" ca="1" si="53"/>
        <v>34279357.456343137</v>
      </c>
    </row>
    <row r="86" spans="1:24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Data'!BE86</f>
        <v>37009104.866309367</v>
      </c>
      <c r="E86" s="3">
        <f t="shared" ref="E86:F86" ca="1" si="92">E74</f>
        <v>697.33418478260876</v>
      </c>
      <c r="F86" s="3">
        <f t="shared" ca="1" si="92"/>
        <v>0</v>
      </c>
      <c r="G86" s="3">
        <f>'Monthly Data'!EM86</f>
        <v>221.87291666666664</v>
      </c>
      <c r="H86" s="3">
        <f>'Monthly Data'!ET86</f>
        <v>0</v>
      </c>
      <c r="I86" s="3">
        <f>'Monthly Data'!EG86</f>
        <v>0</v>
      </c>
      <c r="J86">
        <f>'Monthly Data'!EH86</f>
        <v>85</v>
      </c>
      <c r="K86" s="3">
        <f>'Monthly Data'!DQ86</f>
        <v>31</v>
      </c>
      <c r="M86" s="3">
        <f t="shared" si="65"/>
        <v>-6000764.6164411902</v>
      </c>
      <c r="N86" s="3">
        <f t="shared" ca="1" si="66"/>
        <v>10161658.837309167</v>
      </c>
      <c r="O86" s="3">
        <f t="shared" ca="1" si="67"/>
        <v>0</v>
      </c>
      <c r="P86" s="3">
        <f t="shared" si="68"/>
        <v>1042393.2091065767</v>
      </c>
      <c r="Q86" s="3">
        <f t="shared" si="69"/>
        <v>0</v>
      </c>
      <c r="R86" s="3">
        <f t="shared" si="70"/>
        <v>0</v>
      </c>
      <c r="S86" s="3">
        <f t="shared" si="71"/>
        <v>4578317.7972653219</v>
      </c>
      <c r="T86" s="3">
        <f t="shared" si="72"/>
        <v>25469342.489254653</v>
      </c>
      <c r="U86" s="47">
        <f t="shared" ca="1" si="52"/>
        <v>35250947.71649453</v>
      </c>
      <c r="V86" s="47">
        <f>'Monthly Data'!BF86</f>
        <v>130574.0282051282</v>
      </c>
      <c r="W86" s="47">
        <f ca="1">+'Monthly Data'!BG86</f>
        <v>824246.7601214546</v>
      </c>
      <c r="X86" s="47">
        <f t="shared" ca="1" si="53"/>
        <v>36205768.504821114</v>
      </c>
    </row>
    <row r="87" spans="1:24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Data'!BE87</f>
        <v>31502852.81153566</v>
      </c>
      <c r="E87" s="3">
        <f t="shared" ref="E87:F87" ca="1" si="93">E75</f>
        <v>624.25501811594188</v>
      </c>
      <c r="F87" s="3">
        <f t="shared" ca="1" si="93"/>
        <v>0</v>
      </c>
      <c r="G87" s="3">
        <f>'Monthly Data'!EM87</f>
        <v>173.21250000000001</v>
      </c>
      <c r="H87" s="3">
        <f>'Monthly Data'!ET87</f>
        <v>0</v>
      </c>
      <c r="I87" s="3">
        <f>'Monthly Data'!EG87</f>
        <v>0</v>
      </c>
      <c r="J87">
        <f>'Monthly Data'!EH87</f>
        <v>86</v>
      </c>
      <c r="K87" s="3">
        <f>'Monthly Data'!DQ87</f>
        <v>28</v>
      </c>
      <c r="M87" s="3">
        <f t="shared" si="65"/>
        <v>-6000764.6164411902</v>
      </c>
      <c r="N87" s="3">
        <f t="shared" ca="1" si="66"/>
        <v>9096738.2067322657</v>
      </c>
      <c r="O87" s="3">
        <f t="shared" ca="1" si="67"/>
        <v>0</v>
      </c>
      <c r="P87" s="3">
        <f t="shared" si="68"/>
        <v>813779.06075680535</v>
      </c>
      <c r="Q87" s="3">
        <f t="shared" si="69"/>
        <v>0</v>
      </c>
      <c r="R87" s="3">
        <f t="shared" si="70"/>
        <v>0</v>
      </c>
      <c r="S87" s="3">
        <f t="shared" si="71"/>
        <v>4632180.3595860908</v>
      </c>
      <c r="T87" s="3">
        <f t="shared" si="72"/>
        <v>23004567.409649365</v>
      </c>
      <c r="U87" s="47">
        <f t="shared" ca="1" si="52"/>
        <v>31546500.420283336</v>
      </c>
      <c r="V87" s="47">
        <f>'Monthly Data'!BF87</f>
        <v>136879.51807692306</v>
      </c>
      <c r="W87" s="47">
        <f ca="1">+'Monthly Data'!BG87</f>
        <v>635889.57996751228</v>
      </c>
      <c r="X87" s="47">
        <f t="shared" ca="1" si="53"/>
        <v>32319269.518327773</v>
      </c>
    </row>
    <row r="88" spans="1:24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Data'!BE88</f>
        <v>31892679.077571649</v>
      </c>
      <c r="E88" s="3">
        <f t="shared" ref="E88:F88" ca="1" si="94">E76</f>
        <v>546.13298913043491</v>
      </c>
      <c r="F88" s="3">
        <f t="shared" ca="1" si="94"/>
        <v>0</v>
      </c>
      <c r="G88" s="3">
        <f>'Monthly Data'!EM88</f>
        <v>151.68020833333333</v>
      </c>
      <c r="H88" s="3">
        <f>'Monthly Data'!ET88</f>
        <v>0</v>
      </c>
      <c r="I88" s="3">
        <f>'Monthly Data'!EG88</f>
        <v>1</v>
      </c>
      <c r="J88">
        <f>'Monthly Data'!EH88</f>
        <v>87</v>
      </c>
      <c r="K88" s="3">
        <f>'Monthly Data'!DQ88</f>
        <v>31</v>
      </c>
      <c r="M88" s="3">
        <f t="shared" si="65"/>
        <v>-6000764.6164411902</v>
      </c>
      <c r="N88" s="3">
        <f t="shared" ca="1" si="66"/>
        <v>7958332.2264251634</v>
      </c>
      <c r="O88" s="3">
        <f t="shared" ca="1" si="67"/>
        <v>0</v>
      </c>
      <c r="P88" s="3">
        <f t="shared" si="68"/>
        <v>712617.03094693832</v>
      </c>
      <c r="Q88" s="3">
        <f t="shared" si="69"/>
        <v>0</v>
      </c>
      <c r="R88" s="3">
        <f t="shared" si="70"/>
        <v>-815229.51419000898</v>
      </c>
      <c r="S88" s="3">
        <f t="shared" si="71"/>
        <v>4686042.9219068596</v>
      </c>
      <c r="T88" s="3">
        <f t="shared" si="72"/>
        <v>25469342.489254653</v>
      </c>
      <c r="U88" s="47">
        <f t="shared" ca="1" si="52"/>
        <v>32010340.537902415</v>
      </c>
      <c r="V88" s="47">
        <f>'Monthly Data'!BF88</f>
        <v>143185.00794871795</v>
      </c>
      <c r="W88" s="47">
        <f ca="1">+'Monthly Data'!BG88</f>
        <v>543899.35135100363</v>
      </c>
      <c r="X88" s="47">
        <f t="shared" ca="1" si="53"/>
        <v>32697424.897202138</v>
      </c>
    </row>
    <row r="89" spans="1:24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Data'!BE89</f>
        <v>28211659.880827833</v>
      </c>
      <c r="E89" s="3">
        <f t="shared" ref="E89:F89" ca="1" si="95">E77</f>
        <v>352.41399621212122</v>
      </c>
      <c r="F89" s="3">
        <f t="shared" ca="1" si="95"/>
        <v>2.1908333333333347</v>
      </c>
      <c r="G89" s="3">
        <f>'Monthly Data'!EM89</f>
        <v>103.58333333333333</v>
      </c>
      <c r="H89" s="3">
        <f>'Monthly Data'!ET89</f>
        <v>0</v>
      </c>
      <c r="I89" s="3">
        <f>'Monthly Data'!EG89</f>
        <v>1</v>
      </c>
      <c r="J89">
        <f>'Monthly Data'!EH89</f>
        <v>88</v>
      </c>
      <c r="K89" s="3">
        <f>'Monthly Data'!DQ89</f>
        <v>30</v>
      </c>
      <c r="M89" s="3">
        <f t="shared" si="65"/>
        <v>-6000764.6164411902</v>
      </c>
      <c r="N89" s="3">
        <f t="shared" ca="1" si="66"/>
        <v>5135429.8658350417</v>
      </c>
      <c r="O89" s="3">
        <f t="shared" ca="1" si="67"/>
        <v>202274.20050016907</v>
      </c>
      <c r="P89" s="3">
        <f t="shared" si="68"/>
        <v>486650.48833114863</v>
      </c>
      <c r="Q89" s="3">
        <f t="shared" si="69"/>
        <v>0</v>
      </c>
      <c r="R89" s="3">
        <f t="shared" si="70"/>
        <v>-815229.51419000898</v>
      </c>
      <c r="S89" s="3">
        <f t="shared" si="71"/>
        <v>4739905.4842276275</v>
      </c>
      <c r="T89" s="3">
        <f t="shared" si="72"/>
        <v>24647750.796052888</v>
      </c>
      <c r="U89" s="47">
        <f t="shared" ca="1" si="52"/>
        <v>28396016.704315677</v>
      </c>
      <c r="V89" s="47">
        <f>'Monthly Data'!BF89</f>
        <v>149490.49782051283</v>
      </c>
      <c r="W89" s="47">
        <f ca="1">+'Monthly Data'!BG89</f>
        <v>353798.97071809985</v>
      </c>
      <c r="X89" s="47">
        <f t="shared" ca="1" si="53"/>
        <v>28899306.172854289</v>
      </c>
    </row>
    <row r="90" spans="1:24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Data'!BE90</f>
        <v>30683544.243913624</v>
      </c>
      <c r="E90" s="3">
        <f t="shared" ref="E90:F90" ca="1" si="96">E78</f>
        <v>150.136897859768</v>
      </c>
      <c r="F90" s="3">
        <f t="shared" ca="1" si="96"/>
        <v>52.487435064935063</v>
      </c>
      <c r="G90" s="3">
        <f>'Monthly Data'!EM90</f>
        <v>39.744791666666671</v>
      </c>
      <c r="H90" s="3">
        <f>'Monthly Data'!ET90</f>
        <v>18.090624999999999</v>
      </c>
      <c r="I90" s="3">
        <f>'Monthly Data'!EG90</f>
        <v>1</v>
      </c>
      <c r="J90">
        <f>'Monthly Data'!EH90</f>
        <v>89</v>
      </c>
      <c r="K90" s="3">
        <f>'Monthly Data'!DQ90</f>
        <v>31</v>
      </c>
      <c r="M90" s="3">
        <f t="shared" si="65"/>
        <v>-6000764.6164411902</v>
      </c>
      <c r="N90" s="3">
        <f t="shared" ca="1" si="66"/>
        <v>2187817.503050575</v>
      </c>
      <c r="O90" s="3">
        <f t="shared" ca="1" si="67"/>
        <v>4846034.5214443235</v>
      </c>
      <c r="P90" s="3">
        <f t="shared" si="68"/>
        <v>186727.16595208144</v>
      </c>
      <c r="Q90" s="3">
        <f t="shared" si="69"/>
        <v>300582.76268720807</v>
      </c>
      <c r="R90" s="3">
        <f t="shared" si="70"/>
        <v>-815229.51419000898</v>
      </c>
      <c r="S90" s="3">
        <f t="shared" si="71"/>
        <v>4793768.0465483963</v>
      </c>
      <c r="T90" s="3">
        <f t="shared" si="72"/>
        <v>25469342.489254653</v>
      </c>
      <c r="U90" s="47">
        <f t="shared" ca="1" si="52"/>
        <v>30968278.358306039</v>
      </c>
      <c r="V90" s="47">
        <f>'Monthly Data'!BF90</f>
        <v>155795.98769230768</v>
      </c>
      <c r="W90" s="47">
        <f ca="1">+'Monthly Data'!BG90</f>
        <v>109343.18612903457</v>
      </c>
      <c r="X90" s="47">
        <f t="shared" ca="1" si="53"/>
        <v>31233417.53212738</v>
      </c>
    </row>
    <row r="91" spans="1:24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Data'!BE91</f>
        <v>36020711.415999711</v>
      </c>
      <c r="E91" s="3">
        <f t="shared" ref="E91:F91" ca="1" si="97">E79</f>
        <v>32.520923826173821</v>
      </c>
      <c r="F91" s="3">
        <f t="shared" ca="1" si="97"/>
        <v>137.65451754405018</v>
      </c>
      <c r="G91" s="3">
        <f>'Monthly Data'!EM91</f>
        <v>18.882252747252753</v>
      </c>
      <c r="H91" s="3">
        <f>'Monthly Data'!ET91</f>
        <v>30.230626040626042</v>
      </c>
      <c r="I91" s="3">
        <f>'Monthly Data'!EG91</f>
        <v>0</v>
      </c>
      <c r="J91">
        <f>'Monthly Data'!EH91</f>
        <v>90</v>
      </c>
      <c r="K91" s="3">
        <f>'Monthly Data'!DQ91</f>
        <v>30</v>
      </c>
      <c r="M91" s="3">
        <f t="shared" si="65"/>
        <v>-6000764.6164411902</v>
      </c>
      <c r="N91" s="3">
        <f t="shared" ca="1" si="66"/>
        <v>473899.80328975141</v>
      </c>
      <c r="O91" s="3">
        <f t="shared" ca="1" si="67"/>
        <v>12709299.72527618</v>
      </c>
      <c r="P91" s="3">
        <f t="shared" si="68"/>
        <v>88711.737926719798</v>
      </c>
      <c r="Q91" s="3">
        <f t="shared" si="69"/>
        <v>502293.59643767041</v>
      </c>
      <c r="R91" s="3">
        <f t="shared" si="70"/>
        <v>0</v>
      </c>
      <c r="S91" s="3">
        <f t="shared" si="71"/>
        <v>4847630.6088691652</v>
      </c>
      <c r="T91" s="3">
        <f t="shared" si="72"/>
        <v>24647750.796052888</v>
      </c>
      <c r="U91" s="47">
        <f t="shared" ca="1" si="52"/>
        <v>37268821.651411183</v>
      </c>
      <c r="V91" s="47">
        <f>'Monthly Data'!BF91</f>
        <v>162101.47756410256</v>
      </c>
      <c r="W91" s="47">
        <f ca="1">+'Monthly Data'!BG91</f>
        <v>36111.969037752402</v>
      </c>
      <c r="X91" s="47">
        <f t="shared" ca="1" si="53"/>
        <v>37467035.098013036</v>
      </c>
    </row>
    <row r="92" spans="1:24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Data'!BE92</f>
        <v>45496342.704765901</v>
      </c>
      <c r="E92" s="3">
        <f t="shared" ref="E92:F92" ca="1" si="98">E80</f>
        <v>1.6179166666666653</v>
      </c>
      <c r="F92" s="3">
        <f t="shared" ca="1" si="98"/>
        <v>235.94737858727848</v>
      </c>
      <c r="G92" s="3">
        <f>'Monthly Data'!EM92</f>
        <v>2.2486413043478271</v>
      </c>
      <c r="H92" s="3">
        <f>'Monthly Data'!ET92</f>
        <v>55.46358457284515</v>
      </c>
      <c r="I92" s="3">
        <f>'Monthly Data'!EG92</f>
        <v>0</v>
      </c>
      <c r="J92">
        <f>'Monthly Data'!EH92</f>
        <v>91</v>
      </c>
      <c r="K92" s="3">
        <f>'Monthly Data'!DQ92</f>
        <v>31</v>
      </c>
      <c r="M92" s="3">
        <f t="shared" si="65"/>
        <v>-6000764.6164411902</v>
      </c>
      <c r="N92" s="3">
        <f t="shared" ca="1" si="66"/>
        <v>23576.525506186736</v>
      </c>
      <c r="O92" s="3">
        <f t="shared" ca="1" si="67"/>
        <v>21784435.464672089</v>
      </c>
      <c r="P92" s="3">
        <f t="shared" si="68"/>
        <v>10564.463930900671</v>
      </c>
      <c r="Q92" s="3">
        <f t="shared" si="69"/>
        <v>921549.00560049247</v>
      </c>
      <c r="R92" s="3">
        <f t="shared" si="70"/>
        <v>0</v>
      </c>
      <c r="S92" s="3">
        <f t="shared" si="71"/>
        <v>4901493.1711899331</v>
      </c>
      <c r="T92" s="3">
        <f t="shared" si="72"/>
        <v>25469342.489254653</v>
      </c>
      <c r="U92" s="47">
        <f t="shared" ca="1" si="52"/>
        <v>47110196.503713071</v>
      </c>
      <c r="V92" s="47">
        <f>'Monthly Data'!BF92</f>
        <v>168406.96743589744</v>
      </c>
      <c r="W92" s="47">
        <f ca="1">+'Monthly Data'!BG92</f>
        <v>619.89706769751763</v>
      </c>
      <c r="X92" s="47">
        <f t="shared" ca="1" si="53"/>
        <v>47279223.368216664</v>
      </c>
    </row>
    <row r="93" spans="1:24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Data'!BE93</f>
        <v>46643555.051872186</v>
      </c>
      <c r="E93" s="3">
        <f t="shared" ref="E93:F93" ca="1" si="99">E81</f>
        <v>5.6499999999999977</v>
      </c>
      <c r="F93" s="3">
        <f t="shared" ca="1" si="99"/>
        <v>210.96558794466404</v>
      </c>
      <c r="G93" s="3">
        <f>'Monthly Data'!EM93</f>
        <v>1.8479166666666691</v>
      </c>
      <c r="H93" s="3">
        <f>'Monthly Data'!ET93</f>
        <v>57.070833333333333</v>
      </c>
      <c r="I93" s="3">
        <f>'Monthly Data'!EG93</f>
        <v>0</v>
      </c>
      <c r="J93">
        <f>'Monthly Data'!EH93</f>
        <v>92</v>
      </c>
      <c r="K93" s="3">
        <f>'Monthly Data'!DQ93</f>
        <v>31</v>
      </c>
      <c r="M93" s="3">
        <f t="shared" si="65"/>
        <v>-6000764.6164411902</v>
      </c>
      <c r="N93" s="3">
        <f t="shared" ca="1" si="66"/>
        <v>82332.651523021443</v>
      </c>
      <c r="O93" s="3">
        <f t="shared" ca="1" si="67"/>
        <v>19477928.77956105</v>
      </c>
      <c r="P93" s="3">
        <f t="shared" si="68"/>
        <v>8681.7977302841809</v>
      </c>
      <c r="Q93" s="3">
        <f t="shared" si="69"/>
        <v>948254.06818142207</v>
      </c>
      <c r="R93" s="3">
        <f t="shared" si="70"/>
        <v>0</v>
      </c>
      <c r="S93" s="3">
        <f t="shared" si="71"/>
        <v>4955355.7335107019</v>
      </c>
      <c r="T93" s="3">
        <f t="shared" si="72"/>
        <v>25469342.489254653</v>
      </c>
      <c r="U93" s="47">
        <f t="shared" ca="1" si="52"/>
        <v>44941130.90331994</v>
      </c>
      <c r="V93" s="47">
        <f>'Monthly Data'!BF93</f>
        <v>174712.4573076923</v>
      </c>
      <c r="W93" s="47">
        <f ca="1">+'Monthly Data'!BG93</f>
        <v>761.35008985668526</v>
      </c>
      <c r="X93" s="47">
        <f t="shared" ca="1" si="53"/>
        <v>45116604.710717484</v>
      </c>
    </row>
    <row r="94" spans="1:24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Data'!BE94</f>
        <v>33643942.288528271</v>
      </c>
      <c r="E94" s="3">
        <f t="shared" ref="E94:F94" ca="1" si="100">E82</f>
        <v>54.959440993788824</v>
      </c>
      <c r="F94" s="3">
        <f t="shared" ca="1" si="100"/>
        <v>106.4160119047619</v>
      </c>
      <c r="G94" s="3">
        <f>'Monthly Data'!EM94</f>
        <v>27.947916666666664</v>
      </c>
      <c r="H94" s="3">
        <f>'Monthly Data'!ET94</f>
        <v>23.513541666666669</v>
      </c>
      <c r="I94" s="3">
        <f>'Monthly Data'!EG94</f>
        <v>1</v>
      </c>
      <c r="J94">
        <f>'Monthly Data'!EH94</f>
        <v>93</v>
      </c>
      <c r="K94" s="3">
        <f>'Monthly Data'!DQ94</f>
        <v>30</v>
      </c>
      <c r="M94" s="3">
        <f t="shared" si="65"/>
        <v>-6000764.6164411902</v>
      </c>
      <c r="N94" s="3">
        <f t="shared" ca="1" si="66"/>
        <v>800877.25721091626</v>
      </c>
      <c r="O94" s="3">
        <f t="shared" ca="1" si="67"/>
        <v>9825126.083736252</v>
      </c>
      <c r="P94" s="3">
        <f t="shared" si="68"/>
        <v>131303.62632667657</v>
      </c>
      <c r="Q94" s="3">
        <f t="shared" si="69"/>
        <v>390686.62993829383</v>
      </c>
      <c r="R94" s="3">
        <f t="shared" si="70"/>
        <v>-815229.51419000898</v>
      </c>
      <c r="S94" s="3">
        <f t="shared" si="71"/>
        <v>5009218.2958314708</v>
      </c>
      <c r="T94" s="3">
        <f t="shared" si="72"/>
        <v>24647750.796052888</v>
      </c>
      <c r="U94" s="47">
        <f t="shared" ca="1" si="52"/>
        <v>33988968.558465302</v>
      </c>
      <c r="V94" s="47">
        <f>'Monthly Data'!BF94</f>
        <v>181017.94717948718</v>
      </c>
      <c r="W94" s="47">
        <f ca="1">+'Monthly Data'!BG94</f>
        <v>71304.804317233225</v>
      </c>
      <c r="X94" s="47">
        <f t="shared" ca="1" si="53"/>
        <v>34241291.309962027</v>
      </c>
    </row>
    <row r="95" spans="1:24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Data'!BE95</f>
        <v>28427810.32497406</v>
      </c>
      <c r="E95" s="3">
        <f t="shared" ref="E95:F95" ca="1" si="101">E83</f>
        <v>237.89681159420289</v>
      </c>
      <c r="F95" s="3">
        <f t="shared" ca="1" si="101"/>
        <v>17.987083333333334</v>
      </c>
      <c r="G95" s="3">
        <f>'Monthly Data'!EM95</f>
        <v>82.713903985507258</v>
      </c>
      <c r="H95" s="3">
        <f>'Monthly Data'!ET95</f>
        <v>0.60520833333333268</v>
      </c>
      <c r="I95" s="3">
        <f>'Monthly Data'!EG95</f>
        <v>1</v>
      </c>
      <c r="J95">
        <f>'Monthly Data'!EH95</f>
        <v>94</v>
      </c>
      <c r="K95" s="3">
        <f>'Monthly Data'!DQ95</f>
        <v>31</v>
      </c>
      <c r="M95" s="3">
        <f t="shared" si="65"/>
        <v>-6000764.6164411902</v>
      </c>
      <c r="N95" s="3">
        <f t="shared" ca="1" si="66"/>
        <v>3466668.1924643191</v>
      </c>
      <c r="O95" s="3">
        <f t="shared" ca="1" si="67"/>
        <v>1660702.731341155</v>
      </c>
      <c r="P95" s="3">
        <f t="shared" si="68"/>
        <v>388602.68800955289</v>
      </c>
      <c r="Q95" s="3">
        <f t="shared" si="69"/>
        <v>10055.771585263299</v>
      </c>
      <c r="R95" s="3">
        <f t="shared" si="70"/>
        <v>-815229.51419000898</v>
      </c>
      <c r="S95" s="3">
        <f t="shared" si="71"/>
        <v>5063080.8581522387</v>
      </c>
      <c r="T95" s="3">
        <f t="shared" si="72"/>
        <v>25469342.489254653</v>
      </c>
      <c r="U95" s="47">
        <f t="shared" ca="1" si="52"/>
        <v>29242458.600175984</v>
      </c>
      <c r="V95" s="47">
        <f>'Monthly Data'!BF95</f>
        <v>187323.43705128203</v>
      </c>
      <c r="W95" s="47">
        <f ca="1">+'Monthly Data'!BG95</f>
        <v>268450.16046680324</v>
      </c>
      <c r="X95" s="47">
        <f t="shared" ca="1" si="53"/>
        <v>29698232.197694071</v>
      </c>
    </row>
    <row r="96" spans="1:24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Data'!BE96</f>
        <v>29542894.316720445</v>
      </c>
      <c r="E96" s="3">
        <f t="shared" ref="E96:F96" ca="1" si="102">E84</f>
        <v>426.62991389045737</v>
      </c>
      <c r="F96" s="3">
        <f t="shared" ca="1" si="102"/>
        <v>0.8083333333333329</v>
      </c>
      <c r="G96" s="3">
        <f>'Monthly Data'!EM96</f>
        <v>117.95833333333337</v>
      </c>
      <c r="H96" s="3">
        <f>'Monthly Data'!ET96</f>
        <v>0.57708333333333295</v>
      </c>
      <c r="I96" s="3">
        <f>'Monthly Data'!EG96</f>
        <v>1</v>
      </c>
      <c r="J96">
        <f>'Monthly Data'!EH96</f>
        <v>95</v>
      </c>
      <c r="K96" s="3">
        <f>'Monthly Data'!DQ96</f>
        <v>30</v>
      </c>
      <c r="M96" s="3">
        <f t="shared" si="65"/>
        <v>-6000764.6164411902</v>
      </c>
      <c r="N96" s="3">
        <f t="shared" ca="1" si="66"/>
        <v>6216915.4034760511</v>
      </c>
      <c r="O96" s="3">
        <f t="shared" ca="1" si="67"/>
        <v>74631.409085265797</v>
      </c>
      <c r="P96" s="3">
        <f t="shared" si="68"/>
        <v>554186.45714621176</v>
      </c>
      <c r="Q96" s="3">
        <f t="shared" si="69"/>
        <v>9588.463783538502</v>
      </c>
      <c r="R96" s="3">
        <f t="shared" si="70"/>
        <v>-815229.51419000898</v>
      </c>
      <c r="S96" s="3">
        <f t="shared" si="71"/>
        <v>5116943.4204730075</v>
      </c>
      <c r="T96" s="3">
        <f t="shared" si="72"/>
        <v>24647750.796052888</v>
      </c>
      <c r="U96" s="47">
        <f t="shared" ca="1" si="52"/>
        <v>29804021.819385763</v>
      </c>
      <c r="V96" s="47">
        <f>'Monthly Data'!BF96</f>
        <v>193628.92692307691</v>
      </c>
      <c r="W96" s="47">
        <f ca="1">+'Monthly Data'!BG96</f>
        <v>411212.25618270232</v>
      </c>
      <c r="X96" s="47">
        <f t="shared" ca="1" si="53"/>
        <v>30408863.002491545</v>
      </c>
    </row>
    <row r="97" spans="1:24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Data'!BE97</f>
        <v>34928798.942896433</v>
      </c>
      <c r="E97" s="3">
        <f t="shared" ref="E97:F97" ca="1" si="103">E85</f>
        <v>577.92800724637686</v>
      </c>
      <c r="F97" s="3">
        <f t="shared" ca="1" si="103"/>
        <v>0</v>
      </c>
      <c r="G97" s="3">
        <f>'Monthly Data'!EM97</f>
        <v>161.78020833333332</v>
      </c>
      <c r="H97" s="3">
        <f>'Monthly Data'!ET97</f>
        <v>0</v>
      </c>
      <c r="I97" s="3">
        <f>'Monthly Data'!EG97</f>
        <v>0</v>
      </c>
      <c r="J97">
        <f>'Monthly Data'!EH97</f>
        <v>96</v>
      </c>
      <c r="K97" s="3">
        <f>'Monthly Data'!DQ97</f>
        <v>31</v>
      </c>
      <c r="M97" s="3">
        <f t="shared" si="65"/>
        <v>-6000764.6164411902</v>
      </c>
      <c r="N97" s="3">
        <f t="shared" ca="1" si="66"/>
        <v>8421654.0223026872</v>
      </c>
      <c r="O97" s="3">
        <f t="shared" ca="1" si="67"/>
        <v>0</v>
      </c>
      <c r="P97" s="3">
        <f t="shared" si="68"/>
        <v>760068.38990569557</v>
      </c>
      <c r="Q97" s="3">
        <f t="shared" si="69"/>
        <v>0</v>
      </c>
      <c r="R97" s="3">
        <f t="shared" si="70"/>
        <v>0</v>
      </c>
      <c r="S97" s="3">
        <f t="shared" si="71"/>
        <v>5170805.9827937763</v>
      </c>
      <c r="T97" s="3">
        <f t="shared" si="72"/>
        <v>25469342.489254653</v>
      </c>
      <c r="U97" s="47">
        <f t="shared" ca="1" si="52"/>
        <v>33821106.26781562</v>
      </c>
      <c r="V97" s="47">
        <f>'Monthly Data'!BF97</f>
        <v>199934.41679487179</v>
      </c>
      <c r="W97" s="47">
        <f ca="1">+'Monthly Data'!BG97</f>
        <v>584238.42496439372</v>
      </c>
      <c r="X97" s="47">
        <f t="shared" ca="1" si="53"/>
        <v>34605279.109574884</v>
      </c>
    </row>
    <row r="98" spans="1:24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Data'!BE98</f>
        <v>33819883.373692662</v>
      </c>
      <c r="E98" s="3">
        <f t="shared" ref="E98:F98" ca="1" si="104">E86</f>
        <v>697.33418478260876</v>
      </c>
      <c r="F98" s="3">
        <f t="shared" ca="1" si="104"/>
        <v>0</v>
      </c>
      <c r="G98" s="3">
        <f>'Monthly Data'!EM98</f>
        <v>0</v>
      </c>
      <c r="H98" s="3">
        <f>'Monthly Data'!ET98</f>
        <v>0</v>
      </c>
      <c r="I98" s="3">
        <f>'Monthly Data'!EG98</f>
        <v>0</v>
      </c>
      <c r="J98">
        <f>'Monthly Data'!EH98</f>
        <v>97</v>
      </c>
      <c r="K98" s="3">
        <f>'Monthly Data'!DQ98</f>
        <v>31</v>
      </c>
      <c r="M98" s="3">
        <f t="shared" si="65"/>
        <v>-6000764.6164411902</v>
      </c>
      <c r="N98" s="3">
        <f t="shared" ca="1" si="66"/>
        <v>10161658.837309167</v>
      </c>
      <c r="O98" s="3">
        <f t="shared" ca="1" si="67"/>
        <v>0</v>
      </c>
      <c r="P98" s="3">
        <f t="shared" si="68"/>
        <v>0</v>
      </c>
      <c r="Q98" s="3">
        <f t="shared" si="69"/>
        <v>0</v>
      </c>
      <c r="R98" s="3">
        <f t="shared" si="70"/>
        <v>0</v>
      </c>
      <c r="S98" s="3">
        <f t="shared" si="71"/>
        <v>5224668.5451145442</v>
      </c>
      <c r="T98" s="3">
        <f t="shared" si="72"/>
        <v>25469342.489254653</v>
      </c>
      <c r="U98" s="47">
        <f t="shared" ca="1" si="52"/>
        <v>34854905.255237177</v>
      </c>
      <c r="V98" s="47">
        <f>'Monthly Data'!BF98</f>
        <v>215217.9769230769</v>
      </c>
      <c r="W98" s="47">
        <f ca="1">+'Monthly Data'!BG98</f>
        <v>833158.00537070644</v>
      </c>
      <c r="X98" s="47">
        <f t="shared" ca="1" si="53"/>
        <v>35903281.237530962</v>
      </c>
    </row>
    <row r="99" spans="1:24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Data'!BE99</f>
        <v>30617908.28563017</v>
      </c>
      <c r="E99" s="3">
        <f t="shared" ref="E99:F99" ca="1" si="105">E87</f>
        <v>624.25501811594188</v>
      </c>
      <c r="F99" s="3">
        <f t="shared" ca="1" si="105"/>
        <v>0</v>
      </c>
      <c r="G99" s="3">
        <f>'Monthly Data'!EM99</f>
        <v>0</v>
      </c>
      <c r="H99" s="3">
        <f>'Monthly Data'!ET99</f>
        <v>0</v>
      </c>
      <c r="I99" s="3">
        <f>'Monthly Data'!EG99</f>
        <v>0</v>
      </c>
      <c r="J99">
        <f>'Monthly Data'!EH99</f>
        <v>98</v>
      </c>
      <c r="K99" s="3">
        <f>'Monthly Data'!DQ99</f>
        <v>28</v>
      </c>
      <c r="M99" s="3">
        <f t="shared" si="65"/>
        <v>-6000764.6164411902</v>
      </c>
      <c r="N99" s="3">
        <f t="shared" ca="1" si="66"/>
        <v>9096738.2067322657</v>
      </c>
      <c r="O99" s="3">
        <f t="shared" ca="1" si="67"/>
        <v>0</v>
      </c>
      <c r="P99" s="3">
        <f t="shared" si="68"/>
        <v>0</v>
      </c>
      <c r="Q99" s="3">
        <f t="shared" si="69"/>
        <v>0</v>
      </c>
      <c r="R99" s="3">
        <f t="shared" si="70"/>
        <v>0</v>
      </c>
      <c r="S99" s="3">
        <f t="shared" si="71"/>
        <v>5278531.1074353131</v>
      </c>
      <c r="T99" s="3">
        <f t="shared" si="72"/>
        <v>23004567.409649365</v>
      </c>
      <c r="U99" s="47">
        <f t="shared" ca="1" si="52"/>
        <v>31379072.107375752</v>
      </c>
      <c r="V99" s="47">
        <f>'Monthly Data'!BF99</f>
        <v>224196.04717948716</v>
      </c>
      <c r="W99" s="47">
        <f ca="1">+'Monthly Data'!BG99</f>
        <v>790901.57287802943</v>
      </c>
      <c r="X99" s="47">
        <f t="shared" ca="1" si="53"/>
        <v>32394169.727433268</v>
      </c>
    </row>
    <row r="100" spans="1:24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Data'!BE100</f>
        <v>31726388.808537379</v>
      </c>
      <c r="E100" s="3">
        <f t="shared" ref="E100:F100" ca="1" si="106">E88</f>
        <v>546.13298913043491</v>
      </c>
      <c r="F100" s="3">
        <f t="shared" ca="1" si="106"/>
        <v>0</v>
      </c>
      <c r="G100" s="3">
        <f>'Monthly Data'!EM100</f>
        <v>0</v>
      </c>
      <c r="H100" s="3">
        <f>'Monthly Data'!ET100</f>
        <v>0</v>
      </c>
      <c r="I100" s="3">
        <f>'Monthly Data'!EG100</f>
        <v>1</v>
      </c>
      <c r="J100">
        <f>'Monthly Data'!EH100</f>
        <v>99</v>
      </c>
      <c r="K100" s="3">
        <f>'Monthly Data'!DQ100</f>
        <v>31</v>
      </c>
      <c r="M100" s="3">
        <f t="shared" si="65"/>
        <v>-6000764.6164411902</v>
      </c>
      <c r="N100" s="3">
        <f t="shared" ca="1" si="66"/>
        <v>7958332.2264251634</v>
      </c>
      <c r="O100" s="3">
        <f t="shared" ca="1" si="67"/>
        <v>0</v>
      </c>
      <c r="P100" s="3">
        <f t="shared" si="68"/>
        <v>0</v>
      </c>
      <c r="Q100" s="3">
        <f t="shared" si="69"/>
        <v>0</v>
      </c>
      <c r="R100" s="3">
        <f t="shared" si="70"/>
        <v>-815229.51419000898</v>
      </c>
      <c r="S100" s="3">
        <f t="shared" si="71"/>
        <v>5332393.669756081</v>
      </c>
      <c r="T100" s="3">
        <f t="shared" si="72"/>
        <v>25469342.489254653</v>
      </c>
      <c r="U100" s="47">
        <f t="shared" ca="1" si="52"/>
        <v>31944074.254804701</v>
      </c>
      <c r="V100" s="47">
        <f>'Monthly Data'!BF100</f>
        <v>233174.11743589741</v>
      </c>
      <c r="W100" s="47">
        <f ca="1">+'Monthly Data'!BG100</f>
        <v>760006.62101067882</v>
      </c>
      <c r="X100" s="47">
        <f t="shared" ca="1" si="53"/>
        <v>32937254.993251279</v>
      </c>
    </row>
    <row r="101" spans="1:24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Data'!BE101</f>
        <v>28343683.610224586</v>
      </c>
      <c r="E101" s="3">
        <f t="shared" ref="E101:F101" ca="1" si="107">E89</f>
        <v>352.41399621212122</v>
      </c>
      <c r="F101" s="3">
        <f t="shared" ca="1" si="107"/>
        <v>2.1908333333333347</v>
      </c>
      <c r="G101" s="3">
        <f>'Monthly Data'!EM101</f>
        <v>0</v>
      </c>
      <c r="H101" s="3">
        <f>'Monthly Data'!ET101</f>
        <v>0</v>
      </c>
      <c r="I101" s="3">
        <f>'Monthly Data'!EG101</f>
        <v>1</v>
      </c>
      <c r="J101">
        <f>'Monthly Data'!EH101</f>
        <v>100</v>
      </c>
      <c r="K101" s="3">
        <f>'Monthly Data'!DQ101</f>
        <v>30</v>
      </c>
      <c r="M101" s="3">
        <f t="shared" si="65"/>
        <v>-6000764.6164411902</v>
      </c>
      <c r="N101" s="3">
        <f t="shared" ca="1" si="66"/>
        <v>5135429.8658350417</v>
      </c>
      <c r="O101" s="3">
        <f t="shared" ca="1" si="67"/>
        <v>202274.20050016907</v>
      </c>
      <c r="P101" s="3">
        <f t="shared" si="68"/>
        <v>0</v>
      </c>
      <c r="Q101" s="3">
        <f t="shared" si="69"/>
        <v>0</v>
      </c>
      <c r="R101" s="3">
        <f t="shared" si="70"/>
        <v>-815229.51419000898</v>
      </c>
      <c r="S101" s="3">
        <f t="shared" si="71"/>
        <v>5386256.2320768498</v>
      </c>
      <c r="T101" s="3">
        <f t="shared" si="72"/>
        <v>24647750.796052888</v>
      </c>
      <c r="U101" s="47">
        <f t="shared" ca="1" si="52"/>
        <v>28555716.963833749</v>
      </c>
      <c r="V101" s="47">
        <f>'Monthly Data'!BF101</f>
        <v>242152.18769230766</v>
      </c>
      <c r="W101" s="47">
        <f ca="1">+'Monthly Data'!BG101</f>
        <v>415702.61128658621</v>
      </c>
      <c r="X101" s="47">
        <f t="shared" ca="1" si="53"/>
        <v>29213571.762812644</v>
      </c>
    </row>
    <row r="102" spans="1:24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Data'!BE102</f>
        <v>29876954.245041892</v>
      </c>
      <c r="E102" s="3">
        <f t="shared" ref="E102:F102" ca="1" si="108">E90</f>
        <v>150.136897859768</v>
      </c>
      <c r="F102" s="3">
        <f t="shared" ca="1" si="108"/>
        <v>52.487435064935063</v>
      </c>
      <c r="G102" s="3">
        <f>'Monthly Data'!EM102</f>
        <v>0</v>
      </c>
      <c r="H102" s="3">
        <f>'Monthly Data'!ET102</f>
        <v>0</v>
      </c>
      <c r="I102" s="3">
        <f>'Monthly Data'!EG102</f>
        <v>1</v>
      </c>
      <c r="J102">
        <f>'Monthly Data'!EH102</f>
        <v>101</v>
      </c>
      <c r="K102" s="3">
        <f>'Monthly Data'!DQ102</f>
        <v>31</v>
      </c>
      <c r="M102" s="3">
        <f t="shared" si="65"/>
        <v>-6000764.6164411902</v>
      </c>
      <c r="N102" s="3">
        <f t="shared" ca="1" si="66"/>
        <v>2187817.503050575</v>
      </c>
      <c r="O102" s="3">
        <f t="shared" ca="1" si="67"/>
        <v>4846034.5214443235</v>
      </c>
      <c r="P102" s="3">
        <f t="shared" si="68"/>
        <v>0</v>
      </c>
      <c r="Q102" s="3">
        <f t="shared" si="69"/>
        <v>0</v>
      </c>
      <c r="R102" s="3">
        <f t="shared" si="70"/>
        <v>-815229.51419000898</v>
      </c>
      <c r="S102" s="3">
        <f t="shared" si="71"/>
        <v>5440118.7943976186</v>
      </c>
      <c r="T102" s="3">
        <f t="shared" si="72"/>
        <v>25469342.489254653</v>
      </c>
      <c r="U102" s="47">
        <f t="shared" ca="1" si="52"/>
        <v>31127319.177515972</v>
      </c>
      <c r="V102" s="47">
        <f>'Monthly Data'!BF102</f>
        <v>251130.25794871792</v>
      </c>
      <c r="W102" s="47">
        <f ca="1">+'Monthly Data'!BG102</f>
        <v>225594.06501741125</v>
      </c>
      <c r="X102" s="47">
        <f t="shared" ca="1" si="53"/>
        <v>31604043.500482101</v>
      </c>
    </row>
    <row r="103" spans="1:24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Data'!BE103</f>
        <v>38044767.096269302</v>
      </c>
      <c r="E103" s="3">
        <f t="shared" ref="E103:F103" ca="1" si="109">E91</f>
        <v>32.520923826173821</v>
      </c>
      <c r="F103" s="3">
        <f t="shared" ca="1" si="109"/>
        <v>137.65451754405018</v>
      </c>
      <c r="G103" s="3">
        <f>'Monthly Data'!EM103</f>
        <v>0</v>
      </c>
      <c r="H103" s="3">
        <f>'Monthly Data'!ET103</f>
        <v>0</v>
      </c>
      <c r="I103" s="3">
        <f>'Monthly Data'!EG103</f>
        <v>0</v>
      </c>
      <c r="J103">
        <f>'Monthly Data'!EH103</f>
        <v>102</v>
      </c>
      <c r="K103" s="3">
        <f>'Monthly Data'!DQ103</f>
        <v>30</v>
      </c>
      <c r="M103" s="3">
        <f t="shared" si="65"/>
        <v>-6000764.6164411902</v>
      </c>
      <c r="N103" s="3">
        <f t="shared" ca="1" si="66"/>
        <v>473899.80328975141</v>
      </c>
      <c r="O103" s="3">
        <f t="shared" ca="1" si="67"/>
        <v>12709299.72527618</v>
      </c>
      <c r="P103" s="3">
        <f t="shared" si="68"/>
        <v>0</v>
      </c>
      <c r="Q103" s="3">
        <f t="shared" si="69"/>
        <v>0</v>
      </c>
      <c r="R103" s="3">
        <f t="shared" si="70"/>
        <v>0</v>
      </c>
      <c r="S103" s="3">
        <f t="shared" si="71"/>
        <v>5493981.3567183865</v>
      </c>
      <c r="T103" s="3">
        <f t="shared" si="72"/>
        <v>24647750.796052888</v>
      </c>
      <c r="U103" s="47">
        <f t="shared" ca="1" si="52"/>
        <v>37324167.064896017</v>
      </c>
      <c r="V103" s="47">
        <f>'Monthly Data'!BF103</f>
        <v>260108.3282051282</v>
      </c>
      <c r="W103" s="47">
        <f ca="1">+'Monthly Data'!BG103</f>
        <v>29573.181233144936</v>
      </c>
      <c r="X103" s="47">
        <f t="shared" ca="1" si="53"/>
        <v>37613848.574334294</v>
      </c>
    </row>
    <row r="104" spans="1:24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Data'!BE104</f>
        <v>47265697.539416209</v>
      </c>
      <c r="E104" s="3">
        <f t="shared" ref="E104:F104" ca="1" si="110">E92</f>
        <v>1.6179166666666653</v>
      </c>
      <c r="F104" s="3">
        <f t="shared" ca="1" si="110"/>
        <v>235.94737858727848</v>
      </c>
      <c r="G104" s="3">
        <f>'Monthly Data'!EM104</f>
        <v>0</v>
      </c>
      <c r="H104" s="3">
        <f>'Monthly Data'!ET104</f>
        <v>0</v>
      </c>
      <c r="I104" s="3">
        <f>'Monthly Data'!EG104</f>
        <v>0</v>
      </c>
      <c r="J104">
        <f>'Monthly Data'!EH104</f>
        <v>103</v>
      </c>
      <c r="K104" s="3">
        <f>'Monthly Data'!DQ104</f>
        <v>31</v>
      </c>
      <c r="M104" s="3">
        <f t="shared" si="65"/>
        <v>-6000764.6164411902</v>
      </c>
      <c r="N104" s="3">
        <f t="shared" ca="1" si="66"/>
        <v>23576.525506186736</v>
      </c>
      <c r="O104" s="3">
        <f t="shared" ca="1" si="67"/>
        <v>21784435.464672089</v>
      </c>
      <c r="P104" s="3">
        <f t="shared" si="68"/>
        <v>0</v>
      </c>
      <c r="Q104" s="3">
        <f t="shared" si="69"/>
        <v>0</v>
      </c>
      <c r="R104" s="3">
        <f t="shared" si="70"/>
        <v>0</v>
      </c>
      <c r="S104" s="3">
        <f t="shared" si="71"/>
        <v>5547843.9190391554</v>
      </c>
      <c r="T104" s="3">
        <f t="shared" si="72"/>
        <v>25469342.489254653</v>
      </c>
      <c r="U104" s="47">
        <f t="shared" ca="1" si="52"/>
        <v>46824433.782030895</v>
      </c>
      <c r="V104" s="47">
        <f>'Monthly Data'!BF104</f>
        <v>269086.39846153843</v>
      </c>
      <c r="W104" s="47">
        <f ca="1">+'Monthly Data'!BG104</f>
        <v>172.40486533119378</v>
      </c>
      <c r="X104" s="47">
        <f t="shared" ca="1" si="53"/>
        <v>47093692.585357763</v>
      </c>
    </row>
    <row r="105" spans="1:24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Data'!BE105</f>
        <v>40996520.433003724</v>
      </c>
      <c r="E105" s="3">
        <f t="shared" ref="E105:F105" ca="1" si="111">E93</f>
        <v>5.6499999999999977</v>
      </c>
      <c r="F105" s="3">
        <f t="shared" ca="1" si="111"/>
        <v>210.96558794466404</v>
      </c>
      <c r="G105" s="3">
        <f>'Monthly Data'!EM105</f>
        <v>0</v>
      </c>
      <c r="H105" s="3">
        <f>'Monthly Data'!ET105</f>
        <v>0</v>
      </c>
      <c r="I105" s="3">
        <f>'Monthly Data'!EG105</f>
        <v>0</v>
      </c>
      <c r="J105">
        <f>'Monthly Data'!EH105</f>
        <v>104</v>
      </c>
      <c r="K105" s="3">
        <f>'Monthly Data'!DQ105</f>
        <v>31</v>
      </c>
      <c r="M105" s="3">
        <f t="shared" si="65"/>
        <v>-6000764.6164411902</v>
      </c>
      <c r="N105" s="3">
        <f t="shared" ca="1" si="66"/>
        <v>82332.651523021443</v>
      </c>
      <c r="O105" s="3">
        <f t="shared" ca="1" si="67"/>
        <v>19477928.77956105</v>
      </c>
      <c r="P105" s="3">
        <f t="shared" si="68"/>
        <v>0</v>
      </c>
      <c r="Q105" s="3">
        <f t="shared" si="69"/>
        <v>0</v>
      </c>
      <c r="R105" s="3">
        <f t="shared" si="70"/>
        <v>0</v>
      </c>
      <c r="S105" s="3">
        <f t="shared" si="71"/>
        <v>5601706.4813599242</v>
      </c>
      <c r="T105" s="3">
        <f t="shared" si="72"/>
        <v>25469342.489254653</v>
      </c>
      <c r="U105" s="47">
        <f t="shared" ca="1" si="52"/>
        <v>44630545.785257459</v>
      </c>
      <c r="V105" s="47">
        <f>'Monthly Data'!BF105</f>
        <v>278064.46871794871</v>
      </c>
      <c r="W105" s="47">
        <f ca="1">+'Monthly Data'!BG105</f>
        <v>12792.441007574935</v>
      </c>
      <c r="X105" s="47">
        <f t="shared" ca="1" si="53"/>
        <v>44921402.694982983</v>
      </c>
    </row>
    <row r="106" spans="1:24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Data'!BE106</f>
        <v>35625536.175440915</v>
      </c>
      <c r="E106" s="3">
        <f t="shared" ref="E106:F106" ca="1" si="112">E94</f>
        <v>54.959440993788824</v>
      </c>
      <c r="F106" s="3">
        <f t="shared" ca="1" si="112"/>
        <v>106.4160119047619</v>
      </c>
      <c r="G106" s="3">
        <f>'Monthly Data'!EM106</f>
        <v>0</v>
      </c>
      <c r="H106" s="3">
        <f>'Monthly Data'!ET106</f>
        <v>0</v>
      </c>
      <c r="I106" s="3">
        <f>'Monthly Data'!EG106</f>
        <v>1</v>
      </c>
      <c r="J106">
        <f>'Monthly Data'!EH106</f>
        <v>105</v>
      </c>
      <c r="K106" s="3">
        <f>'Monthly Data'!DQ106</f>
        <v>30</v>
      </c>
      <c r="M106" s="3">
        <f t="shared" si="65"/>
        <v>-6000764.6164411902</v>
      </c>
      <c r="N106" s="3">
        <f t="shared" ca="1" si="66"/>
        <v>800877.25721091626</v>
      </c>
      <c r="O106" s="3">
        <f t="shared" ca="1" si="67"/>
        <v>9825126.083736252</v>
      </c>
      <c r="P106" s="3">
        <f t="shared" si="68"/>
        <v>0</v>
      </c>
      <c r="Q106" s="3">
        <f t="shared" si="69"/>
        <v>0</v>
      </c>
      <c r="R106" s="3">
        <f t="shared" si="70"/>
        <v>-815229.51419000898</v>
      </c>
      <c r="S106" s="3">
        <f t="shared" si="71"/>
        <v>5655569.0436806921</v>
      </c>
      <c r="T106" s="3">
        <f t="shared" si="72"/>
        <v>24647750.796052888</v>
      </c>
      <c r="U106" s="47">
        <f t="shared" ca="1" si="52"/>
        <v>34113329.050049551</v>
      </c>
      <c r="V106" s="47">
        <f>'Monthly Data'!BF106</f>
        <v>287042.53897435893</v>
      </c>
      <c r="W106" s="47">
        <f ca="1">+'Monthly Data'!BG106</f>
        <v>65640.279060431712</v>
      </c>
      <c r="X106" s="47">
        <f t="shared" ca="1" si="53"/>
        <v>34466011.868084341</v>
      </c>
    </row>
    <row r="107" spans="1:24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Data'!BE107</f>
        <v>30885239.148188531</v>
      </c>
      <c r="E107" s="3">
        <f t="shared" ref="E107:F107" ca="1" si="113">E95</f>
        <v>237.89681159420289</v>
      </c>
      <c r="F107" s="3">
        <f t="shared" ca="1" si="113"/>
        <v>17.987083333333334</v>
      </c>
      <c r="G107" s="3">
        <f>'Monthly Data'!EM107</f>
        <v>0</v>
      </c>
      <c r="H107" s="3">
        <f>'Monthly Data'!ET107</f>
        <v>0</v>
      </c>
      <c r="I107" s="3">
        <f>'Monthly Data'!EG107</f>
        <v>1</v>
      </c>
      <c r="J107">
        <f>'Monthly Data'!EH107</f>
        <v>106</v>
      </c>
      <c r="K107" s="3">
        <f>'Monthly Data'!DQ107</f>
        <v>31</v>
      </c>
      <c r="M107" s="3">
        <f t="shared" si="65"/>
        <v>-6000764.6164411902</v>
      </c>
      <c r="N107" s="3">
        <f t="shared" ca="1" si="66"/>
        <v>3466668.1924643191</v>
      </c>
      <c r="O107" s="3">
        <f t="shared" ca="1" si="67"/>
        <v>1660702.731341155</v>
      </c>
      <c r="P107" s="3">
        <f t="shared" si="68"/>
        <v>0</v>
      </c>
      <c r="Q107" s="3">
        <f t="shared" si="69"/>
        <v>0</v>
      </c>
      <c r="R107" s="3">
        <f t="shared" si="70"/>
        <v>-815229.51419000898</v>
      </c>
      <c r="S107" s="3">
        <f t="shared" si="71"/>
        <v>5709431.6060014609</v>
      </c>
      <c r="T107" s="3">
        <f t="shared" si="72"/>
        <v>25469342.489254653</v>
      </c>
      <c r="U107" s="47">
        <f t="shared" ca="1" si="52"/>
        <v>29490150.888430391</v>
      </c>
      <c r="V107" s="47">
        <f>'Monthly Data'!BF107</f>
        <v>296020.60923076922</v>
      </c>
      <c r="W107" s="47">
        <f ca="1">+'Monthly Data'!BG107</f>
        <v>285715.08965570683</v>
      </c>
      <c r="X107" s="47">
        <f t="shared" ca="1" si="53"/>
        <v>30071886.587316867</v>
      </c>
    </row>
    <row r="108" spans="1:24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Data'!BE108</f>
        <v>31022915.904135838</v>
      </c>
      <c r="E108" s="3">
        <f t="shared" ref="E108:F108" ca="1" si="114">E96</f>
        <v>426.62991389045737</v>
      </c>
      <c r="F108" s="3">
        <f t="shared" ca="1" si="114"/>
        <v>0.8083333333333329</v>
      </c>
      <c r="G108" s="3">
        <f>'Monthly Data'!EM108</f>
        <v>0</v>
      </c>
      <c r="H108" s="3">
        <f>'Monthly Data'!ET108</f>
        <v>0</v>
      </c>
      <c r="I108" s="3">
        <f>'Monthly Data'!EG108</f>
        <v>1</v>
      </c>
      <c r="J108">
        <f>'Monthly Data'!EH108</f>
        <v>107</v>
      </c>
      <c r="K108" s="3">
        <f>'Monthly Data'!DQ108</f>
        <v>30</v>
      </c>
      <c r="M108" s="3">
        <f t="shared" si="65"/>
        <v>-6000764.6164411902</v>
      </c>
      <c r="N108" s="3">
        <f t="shared" ca="1" si="66"/>
        <v>6216915.4034760511</v>
      </c>
      <c r="O108" s="3">
        <f t="shared" ca="1" si="67"/>
        <v>74631.409085265797</v>
      </c>
      <c r="P108" s="3">
        <f t="shared" si="68"/>
        <v>0</v>
      </c>
      <c r="Q108" s="3">
        <f t="shared" si="69"/>
        <v>0</v>
      </c>
      <c r="R108" s="3">
        <f t="shared" si="70"/>
        <v>-815229.51419000898</v>
      </c>
      <c r="S108" s="3">
        <f t="shared" si="71"/>
        <v>5763294.1683222298</v>
      </c>
      <c r="T108" s="3">
        <f t="shared" si="72"/>
        <v>24647750.796052888</v>
      </c>
      <c r="U108" s="47">
        <f t="shared" ca="1" si="52"/>
        <v>29886597.646305233</v>
      </c>
      <c r="V108" s="47">
        <f>'Monthly Data'!BF108</f>
        <v>304998.67948717944</v>
      </c>
      <c r="W108" s="47">
        <f ca="1">+'Monthly Data'!BG108</f>
        <v>621475.5637852056</v>
      </c>
      <c r="X108" s="47">
        <f t="shared" ca="1" si="53"/>
        <v>30813071.88957762</v>
      </c>
    </row>
    <row r="109" spans="1:24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Data'!BE109</f>
        <v>34753712.691013247</v>
      </c>
      <c r="E109" s="3">
        <f t="shared" ref="E109:F109" ca="1" si="115">E97</f>
        <v>577.92800724637686</v>
      </c>
      <c r="F109" s="3">
        <f t="shared" ca="1" si="115"/>
        <v>0</v>
      </c>
      <c r="G109" s="3">
        <f>'Monthly Data'!EM109</f>
        <v>0</v>
      </c>
      <c r="H109" s="3">
        <f>'Monthly Data'!ET109</f>
        <v>0</v>
      </c>
      <c r="I109" s="3">
        <f>'Monthly Data'!EG109</f>
        <v>0</v>
      </c>
      <c r="J109">
        <f>'Monthly Data'!EH109</f>
        <v>108</v>
      </c>
      <c r="K109" s="3">
        <f>'Monthly Data'!DQ109</f>
        <v>31</v>
      </c>
      <c r="M109" s="3">
        <f t="shared" si="65"/>
        <v>-6000764.6164411902</v>
      </c>
      <c r="N109" s="3">
        <f t="shared" ca="1" si="66"/>
        <v>8421654.0223026872</v>
      </c>
      <c r="O109" s="3">
        <f t="shared" ca="1" si="67"/>
        <v>0</v>
      </c>
      <c r="P109" s="3">
        <f t="shared" si="68"/>
        <v>0</v>
      </c>
      <c r="Q109" s="3">
        <f t="shared" si="69"/>
        <v>0</v>
      </c>
      <c r="R109" s="3">
        <f t="shared" si="70"/>
        <v>0</v>
      </c>
      <c r="S109" s="3">
        <f t="shared" si="71"/>
        <v>5817156.7306429977</v>
      </c>
      <c r="T109" s="3">
        <f t="shared" si="72"/>
        <v>25469342.489254653</v>
      </c>
      <c r="U109" s="47">
        <f t="shared" ca="1" si="52"/>
        <v>33707388.625759147</v>
      </c>
      <c r="V109" s="47">
        <f>'Monthly Data'!BF109</f>
        <v>313976.74974358972</v>
      </c>
      <c r="W109" s="47">
        <f ca="1">+'Monthly Data'!BG109</f>
        <v>675384.5662772822</v>
      </c>
      <c r="X109" s="47">
        <f t="shared" ca="1" si="53"/>
        <v>34696749.941780016</v>
      </c>
    </row>
    <row r="110" spans="1:24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Data'!BE110</f>
        <v>35837732.829700693</v>
      </c>
      <c r="E110" s="3">
        <f t="shared" ref="E110:F110" ca="1" si="116">E98</f>
        <v>697.33418478260876</v>
      </c>
      <c r="F110" s="3">
        <f t="shared" ca="1" si="116"/>
        <v>0</v>
      </c>
      <c r="G110" s="3">
        <f>'Monthly Data'!EM110</f>
        <v>0</v>
      </c>
      <c r="H110" s="3">
        <f>'Monthly Data'!ET110</f>
        <v>0</v>
      </c>
      <c r="I110" s="3">
        <f>'Monthly Data'!EG110</f>
        <v>0</v>
      </c>
      <c r="J110">
        <f>'Monthly Data'!EH110</f>
        <v>109</v>
      </c>
      <c r="K110" s="3">
        <f>'Monthly Data'!DQ110</f>
        <v>31</v>
      </c>
      <c r="M110" s="3">
        <f t="shared" si="65"/>
        <v>-6000764.6164411902</v>
      </c>
      <c r="N110" s="3">
        <f t="shared" ca="1" si="66"/>
        <v>10161658.837309167</v>
      </c>
      <c r="O110" s="3">
        <f t="shared" ca="1" si="67"/>
        <v>0</v>
      </c>
      <c r="P110" s="3">
        <f t="shared" si="68"/>
        <v>0</v>
      </c>
      <c r="Q110" s="3">
        <f t="shared" si="69"/>
        <v>0</v>
      </c>
      <c r="R110" s="3">
        <f t="shared" si="70"/>
        <v>0</v>
      </c>
      <c r="S110" s="3">
        <f t="shared" si="71"/>
        <v>5871019.2929637665</v>
      </c>
      <c r="T110" s="3">
        <f t="shared" si="72"/>
        <v>25469342.489254653</v>
      </c>
      <c r="U110" s="47">
        <f t="shared" ref="U110:U121" ca="1" si="117">SUM(M110:T110)</f>
        <v>35501256.003086396</v>
      </c>
      <c r="V110" s="47">
        <f>'Monthly Data'!BF110</f>
        <v>335438.17820512818</v>
      </c>
      <c r="W110" s="47">
        <f ca="1">+'Monthly Data'!BG110</f>
        <v>1116842.9274364393</v>
      </c>
      <c r="X110" s="47">
        <f t="shared" ca="1" si="53"/>
        <v>36953537.108727962</v>
      </c>
    </row>
    <row r="111" spans="1:24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Data'!BE111</f>
        <v>31673443.631009847</v>
      </c>
      <c r="E111" s="3">
        <f t="shared" ref="E111:F111" ca="1" si="118">E99</f>
        <v>624.25501811594188</v>
      </c>
      <c r="F111" s="3">
        <f t="shared" ca="1" si="118"/>
        <v>0</v>
      </c>
      <c r="G111" s="3">
        <f>'Monthly Data'!EM111</f>
        <v>0</v>
      </c>
      <c r="H111" s="3">
        <f>'Monthly Data'!ET111</f>
        <v>0</v>
      </c>
      <c r="I111" s="3">
        <f>'Monthly Data'!EG111</f>
        <v>0</v>
      </c>
      <c r="J111">
        <f>'Monthly Data'!EH111</f>
        <v>110</v>
      </c>
      <c r="K111" s="3">
        <f>'Monthly Data'!DQ111</f>
        <v>29</v>
      </c>
      <c r="M111" s="3">
        <f t="shared" si="65"/>
        <v>-6000764.6164411902</v>
      </c>
      <c r="N111" s="3">
        <f t="shared" ca="1" si="66"/>
        <v>9096738.2067322657</v>
      </c>
      <c r="O111" s="3">
        <f t="shared" ca="1" si="67"/>
        <v>0</v>
      </c>
      <c r="P111" s="3">
        <f t="shared" si="68"/>
        <v>0</v>
      </c>
      <c r="Q111" s="3">
        <f t="shared" si="69"/>
        <v>0</v>
      </c>
      <c r="R111" s="3">
        <f t="shared" si="70"/>
        <v>0</v>
      </c>
      <c r="S111" s="3">
        <f t="shared" si="71"/>
        <v>5924881.8552845344</v>
      </c>
      <c r="T111" s="3">
        <f t="shared" si="72"/>
        <v>23826159.102851126</v>
      </c>
      <c r="U111" s="47">
        <f t="shared" ca="1" si="117"/>
        <v>32847014.548426736</v>
      </c>
      <c r="V111" s="47">
        <f>'Monthly Data'!BF111</f>
        <v>347921.53641025641</v>
      </c>
      <c r="W111" s="47">
        <f ca="1">+'Monthly Data'!BG111</f>
        <v>951981.86513580836</v>
      </c>
      <c r="X111" s="47">
        <f t="shared" ca="1" si="53"/>
        <v>34146917.949972801</v>
      </c>
    </row>
    <row r="112" spans="1:24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Data'!BE112</f>
        <v>31939805.082272619</v>
      </c>
      <c r="E112" s="3">
        <f t="shared" ref="E112:F112" ca="1" si="119">E100</f>
        <v>546.13298913043491</v>
      </c>
      <c r="F112" s="3">
        <f t="shared" ca="1" si="119"/>
        <v>0</v>
      </c>
      <c r="G112" s="3">
        <f>'Monthly Data'!EM112</f>
        <v>0</v>
      </c>
      <c r="H112" s="3">
        <f>'Monthly Data'!ET112</f>
        <v>0</v>
      </c>
      <c r="I112" s="3">
        <f>'Monthly Data'!EG112</f>
        <v>1</v>
      </c>
      <c r="J112">
        <f>'Monthly Data'!EH112</f>
        <v>111</v>
      </c>
      <c r="K112" s="3">
        <f>'Monthly Data'!DQ112</f>
        <v>31</v>
      </c>
      <c r="M112" s="3">
        <f t="shared" si="65"/>
        <v>-6000764.6164411902</v>
      </c>
      <c r="N112" s="3">
        <f t="shared" ca="1" si="66"/>
        <v>7958332.2264251634</v>
      </c>
      <c r="O112" s="3">
        <f t="shared" ca="1" si="67"/>
        <v>0</v>
      </c>
      <c r="P112" s="3">
        <f t="shared" si="68"/>
        <v>0</v>
      </c>
      <c r="Q112" s="3">
        <f t="shared" si="69"/>
        <v>0</v>
      </c>
      <c r="R112" s="3">
        <f t="shared" si="70"/>
        <v>-815229.51419000898</v>
      </c>
      <c r="S112" s="3">
        <f t="shared" si="71"/>
        <v>5978744.4176053032</v>
      </c>
      <c r="T112" s="3">
        <f t="shared" si="72"/>
        <v>25469342.489254653</v>
      </c>
      <c r="U112" s="47">
        <f t="shared" ca="1" si="117"/>
        <v>32590425.002653919</v>
      </c>
      <c r="V112" s="47">
        <f>'Monthly Data'!BF112</f>
        <v>360404.89461538463</v>
      </c>
      <c r="W112" s="47">
        <f ca="1">+'Monthly Data'!BG112</f>
        <v>806713.89757928613</v>
      </c>
      <c r="X112" s="47">
        <f t="shared" ca="1" si="53"/>
        <v>33757543.794848591</v>
      </c>
    </row>
    <row r="113" spans="1:24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Data'!BE113</f>
        <v>29068416.473234218</v>
      </c>
      <c r="E113" s="3">
        <f t="shared" ref="E113:F113" ca="1" si="120">E101</f>
        <v>352.41399621212122</v>
      </c>
      <c r="F113" s="3">
        <f t="shared" ca="1" si="120"/>
        <v>2.1908333333333347</v>
      </c>
      <c r="G113" s="3">
        <f>'Monthly Data'!EM113</f>
        <v>0</v>
      </c>
      <c r="H113" s="3">
        <f>'Monthly Data'!ET113</f>
        <v>0</v>
      </c>
      <c r="I113" s="3">
        <f>'Monthly Data'!EG113</f>
        <v>1</v>
      </c>
      <c r="J113">
        <f>'Monthly Data'!EH113</f>
        <v>112</v>
      </c>
      <c r="K113" s="3">
        <f>'Monthly Data'!DQ113</f>
        <v>30</v>
      </c>
      <c r="M113" s="3">
        <f t="shared" si="65"/>
        <v>-6000764.6164411902</v>
      </c>
      <c r="N113" s="3">
        <f t="shared" ca="1" si="66"/>
        <v>5135429.8658350417</v>
      </c>
      <c r="O113" s="3">
        <f t="shared" ca="1" si="67"/>
        <v>202274.20050016907</v>
      </c>
      <c r="P113" s="3">
        <f t="shared" si="68"/>
        <v>0</v>
      </c>
      <c r="Q113" s="3">
        <f t="shared" si="69"/>
        <v>0</v>
      </c>
      <c r="R113" s="3">
        <f t="shared" si="70"/>
        <v>-815229.51419000898</v>
      </c>
      <c r="S113" s="3">
        <f t="shared" si="71"/>
        <v>6032606.9799260721</v>
      </c>
      <c r="T113" s="3">
        <f t="shared" si="72"/>
        <v>24647750.796052888</v>
      </c>
      <c r="U113" s="47">
        <f t="shared" ca="1" si="117"/>
        <v>29202067.711682972</v>
      </c>
      <c r="V113" s="47">
        <f>'Monthly Data'!BF113</f>
        <v>372888.2528205128</v>
      </c>
      <c r="W113" s="47">
        <f ca="1">+'Monthly Data'!BG113</f>
        <v>540537.83361621469</v>
      </c>
      <c r="X113" s="47">
        <f t="shared" ca="1" si="53"/>
        <v>30115493.798119701</v>
      </c>
    </row>
    <row r="114" spans="1:24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Data'!BE114</f>
        <v>31817664.075844593</v>
      </c>
      <c r="E114" s="3">
        <f t="shared" ref="E114:F114" ca="1" si="121">E102</f>
        <v>150.136897859768</v>
      </c>
      <c r="F114" s="3">
        <f t="shared" ca="1" si="121"/>
        <v>52.487435064935063</v>
      </c>
      <c r="G114" s="3">
        <f>'Monthly Data'!EM114</f>
        <v>0</v>
      </c>
      <c r="H114" s="3">
        <f>'Monthly Data'!ET114</f>
        <v>0</v>
      </c>
      <c r="I114" s="3">
        <f>'Monthly Data'!EG114</f>
        <v>1</v>
      </c>
      <c r="J114">
        <f>'Monthly Data'!EH114</f>
        <v>113</v>
      </c>
      <c r="K114" s="3">
        <f>'Monthly Data'!DQ114</f>
        <v>31</v>
      </c>
      <c r="M114" s="3">
        <f t="shared" si="65"/>
        <v>-6000764.6164411902</v>
      </c>
      <c r="N114" s="3">
        <f t="shared" ca="1" si="66"/>
        <v>2187817.503050575</v>
      </c>
      <c r="O114" s="3">
        <f t="shared" ca="1" si="67"/>
        <v>4846034.5214443235</v>
      </c>
      <c r="P114" s="3">
        <f t="shared" si="68"/>
        <v>0</v>
      </c>
      <c r="Q114" s="3">
        <f t="shared" si="69"/>
        <v>0</v>
      </c>
      <c r="R114" s="3">
        <f t="shared" si="70"/>
        <v>-815229.51419000898</v>
      </c>
      <c r="S114" s="3">
        <f t="shared" si="71"/>
        <v>6086469.54224684</v>
      </c>
      <c r="T114" s="3">
        <f t="shared" si="72"/>
        <v>25469342.489254653</v>
      </c>
      <c r="U114" s="47">
        <f t="shared" ca="1" si="117"/>
        <v>31773669.925365195</v>
      </c>
      <c r="V114" s="47">
        <f>'Monthly Data'!BF114</f>
        <v>385371.61102564097</v>
      </c>
      <c r="W114" s="47">
        <f ca="1">+'Monthly Data'!BG114</f>
        <v>156971.22549092266</v>
      </c>
      <c r="X114" s="47">
        <f t="shared" ca="1" si="53"/>
        <v>32316012.761881761</v>
      </c>
    </row>
    <row r="115" spans="1:24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Data'!BE115</f>
        <v>40163575.246728927</v>
      </c>
      <c r="E115" s="3">
        <f t="shared" ref="E115:F115" ca="1" si="122">E103</f>
        <v>32.520923826173821</v>
      </c>
      <c r="F115" s="3">
        <f t="shared" ca="1" si="122"/>
        <v>137.65451754405018</v>
      </c>
      <c r="G115" s="3">
        <f>'Monthly Data'!EM115</f>
        <v>0</v>
      </c>
      <c r="H115" s="3">
        <f>'Monthly Data'!ET115</f>
        <v>0</v>
      </c>
      <c r="I115" s="3">
        <f>'Monthly Data'!EG115</f>
        <v>0</v>
      </c>
      <c r="J115">
        <f>'Monthly Data'!EH115</f>
        <v>114</v>
      </c>
      <c r="K115" s="3">
        <f>'Monthly Data'!DQ115</f>
        <v>30</v>
      </c>
      <c r="M115" s="3">
        <f t="shared" si="65"/>
        <v>-6000764.6164411902</v>
      </c>
      <c r="N115" s="3">
        <f t="shared" ca="1" si="66"/>
        <v>473899.80328975141</v>
      </c>
      <c r="O115" s="3">
        <f t="shared" ca="1" si="67"/>
        <v>12709299.72527618</v>
      </c>
      <c r="P115" s="3">
        <f t="shared" si="68"/>
        <v>0</v>
      </c>
      <c r="Q115" s="3">
        <f t="shared" si="69"/>
        <v>0</v>
      </c>
      <c r="R115" s="3">
        <f t="shared" si="70"/>
        <v>0</v>
      </c>
      <c r="S115" s="3">
        <f t="shared" si="71"/>
        <v>6140332.1045676088</v>
      </c>
      <c r="T115" s="3">
        <f t="shared" si="72"/>
        <v>24647750.796052888</v>
      </c>
      <c r="U115" s="47">
        <f t="shared" ca="1" si="117"/>
        <v>37970517.812745236</v>
      </c>
      <c r="V115" s="47">
        <f>'Monthly Data'!BF115</f>
        <v>397854.9692307692</v>
      </c>
      <c r="W115" s="47">
        <f ca="1">+'Monthly Data'!BG115</f>
        <v>55353.04954366458</v>
      </c>
      <c r="X115" s="47">
        <f t="shared" ca="1" si="53"/>
        <v>38423725.831519671</v>
      </c>
    </row>
    <row r="116" spans="1:24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Data'!BE116</f>
        <v>50566155.717317179</v>
      </c>
      <c r="E116" s="3">
        <f t="shared" ref="E116:F116" ca="1" si="123">E104</f>
        <v>1.6179166666666653</v>
      </c>
      <c r="F116" s="3">
        <f t="shared" ca="1" si="123"/>
        <v>235.94737858727848</v>
      </c>
      <c r="G116" s="3">
        <f>'Monthly Data'!EM116</f>
        <v>0</v>
      </c>
      <c r="H116" s="3">
        <f>'Monthly Data'!ET116</f>
        <v>0</v>
      </c>
      <c r="I116" s="3">
        <f>'Monthly Data'!EG116</f>
        <v>0</v>
      </c>
      <c r="J116">
        <f>'Monthly Data'!EH116</f>
        <v>115</v>
      </c>
      <c r="K116" s="3">
        <f>'Monthly Data'!DQ116</f>
        <v>31</v>
      </c>
      <c r="M116" s="3">
        <f t="shared" si="65"/>
        <v>-6000764.6164411902</v>
      </c>
      <c r="N116" s="3">
        <f t="shared" ca="1" si="66"/>
        <v>23576.525506186736</v>
      </c>
      <c r="O116" s="3">
        <f t="shared" ca="1" si="67"/>
        <v>21784435.464672089</v>
      </c>
      <c r="P116" s="3">
        <f t="shared" si="68"/>
        <v>0</v>
      </c>
      <c r="Q116" s="3">
        <f t="shared" si="69"/>
        <v>0</v>
      </c>
      <c r="R116" s="3">
        <f t="shared" si="70"/>
        <v>0</v>
      </c>
      <c r="S116" s="3">
        <f t="shared" si="71"/>
        <v>6194194.6668883776</v>
      </c>
      <c r="T116" s="3">
        <f t="shared" si="72"/>
        <v>25469342.489254653</v>
      </c>
      <c r="U116" s="47">
        <f t="shared" ca="1" si="117"/>
        <v>47470784.529880121</v>
      </c>
      <c r="V116" s="47">
        <f>'Monthly Data'!BF116</f>
        <v>410338.32743589743</v>
      </c>
      <c r="W116" s="47">
        <f ca="1">+'Monthly Data'!BG116</f>
        <v>577.12695182124037</v>
      </c>
      <c r="X116" s="47">
        <f t="shared" ca="1" si="53"/>
        <v>47881699.984267838</v>
      </c>
    </row>
    <row r="117" spans="1:24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Data'!BE117</f>
        <v>45940027.398064159</v>
      </c>
      <c r="E117" s="3">
        <f t="shared" ref="E117:F117" ca="1" si="124">E105</f>
        <v>5.6499999999999977</v>
      </c>
      <c r="F117" s="3">
        <f t="shared" ca="1" si="124"/>
        <v>210.96558794466404</v>
      </c>
      <c r="G117" s="3">
        <f>'Monthly Data'!EM117</f>
        <v>0</v>
      </c>
      <c r="H117" s="3">
        <f>'Monthly Data'!ET117</f>
        <v>0</v>
      </c>
      <c r="I117" s="3">
        <f>'Monthly Data'!EG117</f>
        <v>0</v>
      </c>
      <c r="J117">
        <f>'Monthly Data'!EH117</f>
        <v>116</v>
      </c>
      <c r="K117" s="3">
        <f>'Monthly Data'!DQ117</f>
        <v>31</v>
      </c>
      <c r="M117" s="3">
        <f t="shared" si="65"/>
        <v>-6000764.6164411902</v>
      </c>
      <c r="N117" s="3">
        <f t="shared" ca="1" si="66"/>
        <v>82332.651523021443</v>
      </c>
      <c r="O117" s="3">
        <f t="shared" ca="1" si="67"/>
        <v>19477928.77956105</v>
      </c>
      <c r="P117" s="3">
        <f t="shared" si="68"/>
        <v>0</v>
      </c>
      <c r="Q117" s="3">
        <f t="shared" si="69"/>
        <v>0</v>
      </c>
      <c r="R117" s="3">
        <f t="shared" si="70"/>
        <v>0</v>
      </c>
      <c r="S117" s="3">
        <f t="shared" si="71"/>
        <v>6248057.2292091455</v>
      </c>
      <c r="T117" s="3">
        <f t="shared" si="72"/>
        <v>25469342.489254653</v>
      </c>
      <c r="U117" s="47">
        <f t="shared" ca="1" si="117"/>
        <v>45276896.533106677</v>
      </c>
      <c r="V117" s="47">
        <f>'Monthly Data'!BF117</f>
        <v>422821.6856410256</v>
      </c>
      <c r="W117" s="47">
        <f ca="1">+'Monthly Data'!BG117</f>
        <v>14435.479199984346</v>
      </c>
      <c r="X117" s="47">
        <f t="shared" ca="1" si="53"/>
        <v>45714153.697947688</v>
      </c>
    </row>
    <row r="118" spans="1:24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Data'!BE118</f>
        <v>36863526.575814657</v>
      </c>
      <c r="E118" s="3">
        <f t="shared" ref="E118:F118" ca="1" si="125">E106</f>
        <v>54.959440993788824</v>
      </c>
      <c r="F118" s="3">
        <f t="shared" ca="1" si="125"/>
        <v>106.4160119047619</v>
      </c>
      <c r="G118" s="3">
        <f>'Monthly Data'!EM118</f>
        <v>0</v>
      </c>
      <c r="H118" s="3">
        <f>'Monthly Data'!ET118</f>
        <v>0</v>
      </c>
      <c r="I118" s="3">
        <f>'Monthly Data'!EG118</f>
        <v>1</v>
      </c>
      <c r="J118">
        <f>'Monthly Data'!EH118</f>
        <v>117</v>
      </c>
      <c r="K118" s="3">
        <f>'Monthly Data'!DQ118</f>
        <v>30</v>
      </c>
      <c r="M118" s="3">
        <f t="shared" si="65"/>
        <v>-6000764.6164411902</v>
      </c>
      <c r="N118" s="3">
        <f t="shared" ca="1" si="66"/>
        <v>800877.25721091626</v>
      </c>
      <c r="O118" s="3">
        <f t="shared" ca="1" si="67"/>
        <v>9825126.083736252</v>
      </c>
      <c r="P118" s="3">
        <f t="shared" si="68"/>
        <v>0</v>
      </c>
      <c r="Q118" s="3">
        <f t="shared" si="69"/>
        <v>0</v>
      </c>
      <c r="R118" s="3">
        <f t="shared" si="70"/>
        <v>-815229.51419000898</v>
      </c>
      <c r="S118" s="3">
        <f t="shared" si="71"/>
        <v>6301919.7915299144</v>
      </c>
      <c r="T118" s="3">
        <f t="shared" si="72"/>
        <v>24647750.796052888</v>
      </c>
      <c r="U118" s="47">
        <f t="shared" ca="1" si="117"/>
        <v>34759679.797898769</v>
      </c>
      <c r="V118" s="47">
        <f>'Monthly Data'!BF118</f>
        <v>435305.04384615377</v>
      </c>
      <c r="W118" s="47">
        <f ca="1">+'Monthly Data'!BG118</f>
        <v>51488.49058779834</v>
      </c>
      <c r="X118" s="47">
        <f t="shared" ca="1" si="53"/>
        <v>35246473.332332723</v>
      </c>
    </row>
    <row r="119" spans="1:24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Data'!BE119</f>
        <v>30103611.877324007</v>
      </c>
      <c r="E119" s="3">
        <f t="shared" ref="E119:F119" ca="1" si="126">E107</f>
        <v>237.89681159420289</v>
      </c>
      <c r="F119" s="3">
        <f t="shared" ca="1" si="126"/>
        <v>17.987083333333334</v>
      </c>
      <c r="G119" s="3">
        <f>'Monthly Data'!EM119</f>
        <v>0</v>
      </c>
      <c r="H119" s="3">
        <f>'Monthly Data'!ET119</f>
        <v>0</v>
      </c>
      <c r="I119" s="3">
        <f>'Monthly Data'!EG119</f>
        <v>1</v>
      </c>
      <c r="J119">
        <f>'Monthly Data'!EH119</f>
        <v>118</v>
      </c>
      <c r="K119" s="3">
        <f>'Monthly Data'!DQ119</f>
        <v>31</v>
      </c>
      <c r="M119" s="3">
        <f t="shared" si="65"/>
        <v>-6000764.6164411902</v>
      </c>
      <c r="N119" s="3">
        <f t="shared" ca="1" si="66"/>
        <v>3466668.1924643191</v>
      </c>
      <c r="O119" s="3">
        <f t="shared" ca="1" si="67"/>
        <v>1660702.731341155</v>
      </c>
      <c r="P119" s="3">
        <f t="shared" si="68"/>
        <v>0</v>
      </c>
      <c r="Q119" s="3">
        <f t="shared" si="69"/>
        <v>0</v>
      </c>
      <c r="R119" s="3">
        <f t="shared" si="70"/>
        <v>-815229.51419000898</v>
      </c>
      <c r="S119" s="3">
        <f t="shared" si="71"/>
        <v>6355782.3538506832</v>
      </c>
      <c r="T119" s="3">
        <f t="shared" si="72"/>
        <v>25469342.489254653</v>
      </c>
      <c r="U119" s="47">
        <f t="shared" ca="1" si="117"/>
        <v>30136501.636279613</v>
      </c>
      <c r="V119" s="47">
        <f>'Monthly Data'!BF119</f>
        <v>447788.402051282</v>
      </c>
      <c r="W119" s="47">
        <f ca="1">+'Monthly Data'!BG119</f>
        <v>410169.23844246956</v>
      </c>
      <c r="X119" s="47">
        <f t="shared" ref="X119:X182" ca="1" si="127">U119+V119+W119</f>
        <v>30994459.276773363</v>
      </c>
    </row>
    <row r="120" spans="1:24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Data'!BE120</f>
        <v>30879396.051013481</v>
      </c>
      <c r="E120" s="3">
        <f t="shared" ref="E120:F120" ca="1" si="128">E108</f>
        <v>426.62991389045737</v>
      </c>
      <c r="F120" s="3">
        <f t="shared" ca="1" si="128"/>
        <v>0.8083333333333329</v>
      </c>
      <c r="G120" s="3">
        <f>'Monthly Data'!EM120</f>
        <v>0</v>
      </c>
      <c r="H120" s="3">
        <f>'Monthly Data'!ET120</f>
        <v>0</v>
      </c>
      <c r="I120" s="3">
        <f>'Monthly Data'!EG120</f>
        <v>1</v>
      </c>
      <c r="J120">
        <f>'Monthly Data'!EH120</f>
        <v>119</v>
      </c>
      <c r="K120" s="3">
        <f>'Monthly Data'!DQ120</f>
        <v>30</v>
      </c>
      <c r="M120" s="3">
        <f t="shared" si="65"/>
        <v>-6000764.6164411902</v>
      </c>
      <c r="N120" s="3">
        <f t="shared" ca="1" si="66"/>
        <v>6216915.4034760511</v>
      </c>
      <c r="O120" s="3">
        <f t="shared" ca="1" si="67"/>
        <v>74631.409085265797</v>
      </c>
      <c r="P120" s="3">
        <f t="shared" si="68"/>
        <v>0</v>
      </c>
      <c r="Q120" s="3">
        <f t="shared" si="69"/>
        <v>0</v>
      </c>
      <c r="R120" s="3">
        <f t="shared" si="70"/>
        <v>-815229.51419000898</v>
      </c>
      <c r="S120" s="3">
        <f t="shared" si="71"/>
        <v>6409644.9161714511</v>
      </c>
      <c r="T120" s="3">
        <f t="shared" si="72"/>
        <v>24647750.796052888</v>
      </c>
      <c r="U120" s="47">
        <f t="shared" ca="1" si="117"/>
        <v>30532948.394154456</v>
      </c>
      <c r="V120" s="47">
        <f>'Monthly Data'!BF120</f>
        <v>460271.76025641023</v>
      </c>
      <c r="W120" s="47">
        <f ca="1">+'Monthly Data'!BG120</f>
        <v>642218.10550132697</v>
      </c>
      <c r="X120" s="47">
        <f t="shared" ca="1" si="127"/>
        <v>31635438.259912193</v>
      </c>
    </row>
    <row r="121" spans="1:24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Data'!BE121</f>
        <v>37201919.636089422</v>
      </c>
      <c r="E121" s="3">
        <f t="shared" ref="E121:F121" ca="1" si="129">E109</f>
        <v>577.92800724637686</v>
      </c>
      <c r="F121" s="3">
        <f t="shared" ca="1" si="129"/>
        <v>0</v>
      </c>
      <c r="G121" s="3">
        <f>'Monthly Data'!EM121</f>
        <v>0</v>
      </c>
      <c r="H121" s="3">
        <f>'Monthly Data'!ET121</f>
        <v>0</v>
      </c>
      <c r="I121" s="3">
        <f>'Monthly Data'!EG121</f>
        <v>0</v>
      </c>
      <c r="J121">
        <f>'Monthly Data'!EH121</f>
        <v>120</v>
      </c>
      <c r="K121" s="3">
        <f>'Monthly Data'!DQ121</f>
        <v>31</v>
      </c>
      <c r="M121" s="3">
        <f t="shared" si="65"/>
        <v>-6000764.6164411902</v>
      </c>
      <c r="N121" s="3">
        <f t="shared" ca="1" si="66"/>
        <v>8421654.0223026872</v>
      </c>
      <c r="O121" s="3">
        <f t="shared" ca="1" si="67"/>
        <v>0</v>
      </c>
      <c r="P121" s="3">
        <f t="shared" si="68"/>
        <v>0</v>
      </c>
      <c r="Q121" s="3">
        <f t="shared" si="69"/>
        <v>0</v>
      </c>
      <c r="R121" s="3">
        <f t="shared" si="70"/>
        <v>0</v>
      </c>
      <c r="S121" s="3">
        <f t="shared" si="71"/>
        <v>6463507.4784922199</v>
      </c>
      <c r="T121" s="3">
        <f t="shared" si="72"/>
        <v>25469342.489254653</v>
      </c>
      <c r="U121" s="47">
        <f t="shared" ca="1" si="117"/>
        <v>34353739.373608366</v>
      </c>
      <c r="V121" s="47">
        <f>'Monthly Data'!BF121</f>
        <v>472755.1184615384</v>
      </c>
      <c r="W121" s="47">
        <f ca="1">+'Monthly Data'!BG121</f>
        <v>1049479.79297133</v>
      </c>
      <c r="X121" s="47">
        <f t="shared" ca="1" si="127"/>
        <v>35875974.285041235</v>
      </c>
    </row>
    <row r="122" spans="1:24">
      <c r="A122" s="2">
        <f t="shared" ref="A122:A174" si="130">EOMONTH(A121,1)</f>
        <v>45688</v>
      </c>
      <c r="B122">
        <f t="shared" ref="B122:B174" si="131">YEAR(A122)</f>
        <v>2025</v>
      </c>
      <c r="C122">
        <f t="shared" ref="C122:C174" si="132">MONTH(A122)</f>
        <v>1</v>
      </c>
      <c r="E122" s="3">
        <f t="shared" ref="E122:F122" ca="1" si="133">E110</f>
        <v>697.33418478260876</v>
      </c>
      <c r="F122" s="3">
        <f t="shared" ca="1" si="133"/>
        <v>0</v>
      </c>
      <c r="I122" s="47">
        <f t="shared" ref="I122:I174" si="134">I110</f>
        <v>0</v>
      </c>
      <c r="J122" s="47">
        <f t="shared" ref="J122:J174" si="135">J121+1</f>
        <v>121</v>
      </c>
      <c r="K122" s="47">
        <f t="shared" ref="K122:K174" si="136">K86</f>
        <v>31</v>
      </c>
      <c r="M122" s="3">
        <f t="shared" si="65"/>
        <v>-6000764.6164411902</v>
      </c>
      <c r="N122" s="3">
        <f t="shared" ca="1" si="66"/>
        <v>10161658.837309167</v>
      </c>
      <c r="O122" s="3">
        <f t="shared" ca="1" si="67"/>
        <v>0</v>
      </c>
      <c r="P122" s="3">
        <f t="shared" si="68"/>
        <v>0</v>
      </c>
      <c r="Q122" s="3">
        <f t="shared" si="69"/>
        <v>0</v>
      </c>
      <c r="R122" s="3">
        <f t="shared" si="70"/>
        <v>0</v>
      </c>
      <c r="S122" s="3">
        <f t="shared" si="71"/>
        <v>6517370.0408129888</v>
      </c>
      <c r="T122" s="3">
        <f t="shared" si="72"/>
        <v>25469342.489254653</v>
      </c>
      <c r="U122" s="47">
        <f t="shared" ref="U122:U173" ca="1" si="137">SUM(M122:T122)</f>
        <v>36147606.750935614</v>
      </c>
      <c r="V122" s="47">
        <f>IFERROR(HLOOKUP(B122-1,'EV Forecast WRZ'!$F$124:$T$130,2,FALSE)/12,0)+IFERROR(((HLOOKUP(B122,'EV Forecast WRZ'!$F$116:$T$122,2,FALSE)-HLOOKUP(B122-1,'EV Forecast WRZ'!$F$124:$T$130,2,FALSE)))*C122/78,0)</f>
        <v>498152.65242598159</v>
      </c>
      <c r="W122" s="47">
        <f ca="1">HLOOKUP(B122,Heating!$R$102:$AD$106,2,FALSE)*INDEX(Weather!$BO$1:$CB$20,MATCH(B122,Weather!$BO$1:$BO$20,0),MATCH(C122,Weather!$BO$1:$CB$1,0))/VLOOKUP(B122,Weather!$BO$2:$CB$20,14,FALSE)</f>
        <v>1489593.1370328136</v>
      </c>
      <c r="X122" s="47">
        <f t="shared" ca="1" si="127"/>
        <v>38135352.54039441</v>
      </c>
    </row>
    <row r="123" spans="1:24">
      <c r="A123" s="2">
        <f t="shared" si="130"/>
        <v>45716</v>
      </c>
      <c r="B123">
        <f t="shared" si="131"/>
        <v>2025</v>
      </c>
      <c r="C123">
        <f t="shared" si="132"/>
        <v>2</v>
      </c>
      <c r="E123" s="3">
        <f t="shared" ref="E123:F123" ca="1" si="138">E111</f>
        <v>624.25501811594188</v>
      </c>
      <c r="F123" s="3">
        <f t="shared" ca="1" si="138"/>
        <v>0</v>
      </c>
      <c r="I123" s="47">
        <f t="shared" si="134"/>
        <v>0</v>
      </c>
      <c r="J123" s="47">
        <f t="shared" si="135"/>
        <v>122</v>
      </c>
      <c r="K123" s="47">
        <f t="shared" si="136"/>
        <v>28</v>
      </c>
      <c r="M123" s="3">
        <f t="shared" si="65"/>
        <v>-6000764.6164411902</v>
      </c>
      <c r="N123" s="3">
        <f t="shared" ca="1" si="66"/>
        <v>9096738.2067322657</v>
      </c>
      <c r="O123" s="3">
        <f t="shared" ca="1" si="67"/>
        <v>0</v>
      </c>
      <c r="P123" s="3">
        <f t="shared" si="68"/>
        <v>0</v>
      </c>
      <c r="Q123" s="3">
        <f t="shared" si="69"/>
        <v>0</v>
      </c>
      <c r="R123" s="3">
        <f t="shared" si="70"/>
        <v>0</v>
      </c>
      <c r="S123" s="3">
        <f t="shared" si="71"/>
        <v>6571232.6031337567</v>
      </c>
      <c r="T123" s="3">
        <f t="shared" si="72"/>
        <v>23004567.409649365</v>
      </c>
      <c r="U123" s="47">
        <f t="shared" ca="1" si="137"/>
        <v>32671773.603074197</v>
      </c>
      <c r="V123" s="47">
        <f>IFERROR(HLOOKUP(B123-1,'EV Forecast WRZ'!$F$124:$T$130,2,FALSE)/12,0)+IFERROR(((HLOOKUP(B123,'EV Forecast WRZ'!$F$116:$T$122,2,FALSE)-HLOOKUP(B123-1,'EV Forecast WRZ'!$F$124:$T$130,2,FALSE)))*C123/78,0)</f>
        <v>511066.82818529656</v>
      </c>
      <c r="W123" s="47">
        <f ca="1">HLOOKUP(B123,Heating!$R$102:$AD$106,2,FALSE)*INDEX(Weather!$BO$1:$CB$20,MATCH(B123,Weather!$BO$1:$BO$20,0),MATCH(C123,Weather!$BO$1:$CB$1,0))/VLOOKUP(B123,Weather!$BO$2:$CB$20,14,FALSE)</f>
        <v>1333486.8862533825</v>
      </c>
      <c r="X123" s="47">
        <f t="shared" ca="1" si="127"/>
        <v>34516327.317512877</v>
      </c>
    </row>
    <row r="124" spans="1:24">
      <c r="A124" s="2">
        <f t="shared" si="130"/>
        <v>45747</v>
      </c>
      <c r="B124">
        <f t="shared" si="131"/>
        <v>2025</v>
      </c>
      <c r="C124">
        <f t="shared" si="132"/>
        <v>3</v>
      </c>
      <c r="E124" s="3">
        <f t="shared" ref="E124:F124" ca="1" si="139">E112</f>
        <v>546.13298913043491</v>
      </c>
      <c r="F124" s="3">
        <f t="shared" ca="1" si="139"/>
        <v>0</v>
      </c>
      <c r="I124" s="47">
        <f t="shared" si="134"/>
        <v>1</v>
      </c>
      <c r="J124" s="47">
        <f t="shared" si="135"/>
        <v>123</v>
      </c>
      <c r="K124" s="47">
        <f t="shared" si="136"/>
        <v>31</v>
      </c>
      <c r="M124" s="3">
        <f t="shared" si="65"/>
        <v>-6000764.6164411902</v>
      </c>
      <c r="N124" s="3">
        <f t="shared" ca="1" si="66"/>
        <v>7958332.2264251634</v>
      </c>
      <c r="O124" s="3">
        <f t="shared" ca="1" si="67"/>
        <v>0</v>
      </c>
      <c r="P124" s="3">
        <f t="shared" si="68"/>
        <v>0</v>
      </c>
      <c r="Q124" s="3">
        <f t="shared" si="69"/>
        <v>0</v>
      </c>
      <c r="R124" s="3">
        <f t="shared" si="70"/>
        <v>-815229.51419000898</v>
      </c>
      <c r="S124" s="3">
        <f t="shared" si="71"/>
        <v>6625095.1654545255</v>
      </c>
      <c r="T124" s="3">
        <f t="shared" si="72"/>
        <v>25469342.489254653</v>
      </c>
      <c r="U124" s="47">
        <f t="shared" ca="1" si="137"/>
        <v>33236775.750503145</v>
      </c>
      <c r="V124" s="47">
        <f>IFERROR(HLOOKUP(B124-1,'EV Forecast WRZ'!$F$124:$T$130,2,FALSE)/12,0)+IFERROR(((HLOOKUP(B124,'EV Forecast WRZ'!$F$116:$T$122,2,FALSE)-HLOOKUP(B124-1,'EV Forecast WRZ'!$F$124:$T$130,2,FALSE)))*C124/78,0)</f>
        <v>523981.00394461153</v>
      </c>
      <c r="W124" s="47">
        <f ca="1">HLOOKUP(B124,Heating!$R$102:$AD$106,2,FALSE)*INDEX(Weather!$BO$1:$CB$20,MATCH(B124,Weather!$BO$1:$BO$20,0),MATCH(C124,Weather!$BO$1:$CB$1,0))/VLOOKUP(B124,Weather!$BO$2:$CB$20,14,FALSE)</f>
        <v>1166608.4501070639</v>
      </c>
      <c r="X124" s="47">
        <f t="shared" ca="1" si="127"/>
        <v>34927365.204554819</v>
      </c>
    </row>
    <row r="125" spans="1:24">
      <c r="A125" s="2">
        <f t="shared" si="130"/>
        <v>45777</v>
      </c>
      <c r="B125">
        <f t="shared" si="131"/>
        <v>2025</v>
      </c>
      <c r="C125">
        <f t="shared" si="132"/>
        <v>4</v>
      </c>
      <c r="E125" s="3">
        <f t="shared" ref="E125:F125" ca="1" si="140">E113</f>
        <v>352.41399621212122</v>
      </c>
      <c r="F125" s="3">
        <f t="shared" ca="1" si="140"/>
        <v>2.1908333333333347</v>
      </c>
      <c r="I125" s="47">
        <f t="shared" si="134"/>
        <v>1</v>
      </c>
      <c r="J125" s="47">
        <f t="shared" si="135"/>
        <v>124</v>
      </c>
      <c r="K125" s="47">
        <f t="shared" si="136"/>
        <v>30</v>
      </c>
      <c r="M125" s="3">
        <f t="shared" si="65"/>
        <v>-6000764.6164411902</v>
      </c>
      <c r="N125" s="3">
        <f t="shared" ca="1" si="66"/>
        <v>5135429.8658350417</v>
      </c>
      <c r="O125" s="3">
        <f t="shared" ca="1" si="67"/>
        <v>202274.20050016907</v>
      </c>
      <c r="P125" s="3">
        <f t="shared" si="68"/>
        <v>0</v>
      </c>
      <c r="Q125" s="3">
        <f t="shared" si="69"/>
        <v>0</v>
      </c>
      <c r="R125" s="3">
        <f t="shared" si="70"/>
        <v>-815229.51419000898</v>
      </c>
      <c r="S125" s="3">
        <f t="shared" si="71"/>
        <v>6678957.7277752934</v>
      </c>
      <c r="T125" s="3">
        <f t="shared" si="72"/>
        <v>24647750.796052888</v>
      </c>
      <c r="U125" s="47">
        <f t="shared" ca="1" si="137"/>
        <v>29848418.459532194</v>
      </c>
      <c r="V125" s="47">
        <f>IFERROR(HLOOKUP(B125-1,'EV Forecast WRZ'!$F$124:$T$130,2,FALSE)/12,0)+IFERROR(((HLOOKUP(B125,'EV Forecast WRZ'!$F$116:$T$122,2,FALSE)-HLOOKUP(B125-1,'EV Forecast WRZ'!$F$124:$T$130,2,FALSE)))*C125/78,0)</f>
        <v>536895.17970392655</v>
      </c>
      <c r="W125" s="47">
        <f ca="1">HLOOKUP(B125,Heating!$R$102:$AD$106,2,FALSE)*INDEX(Weather!$BO$1:$CB$20,MATCH(B125,Weather!$BO$1:$BO$20,0),MATCH(C125,Weather!$BO$1:$CB$1,0))/VLOOKUP(B125,Weather!$BO$2:$CB$20,14,FALSE)</f>
        <v>752800.42425503058</v>
      </c>
      <c r="X125" s="47">
        <f t="shared" ca="1" si="127"/>
        <v>31138114.063491151</v>
      </c>
    </row>
    <row r="126" spans="1:24">
      <c r="A126" s="2">
        <f t="shared" si="130"/>
        <v>45808</v>
      </c>
      <c r="B126">
        <f t="shared" si="131"/>
        <v>2025</v>
      </c>
      <c r="C126">
        <f t="shared" si="132"/>
        <v>5</v>
      </c>
      <c r="E126" s="3">
        <f t="shared" ref="E126:F126" ca="1" si="141">E114</f>
        <v>150.136897859768</v>
      </c>
      <c r="F126" s="3">
        <f t="shared" ca="1" si="141"/>
        <v>52.487435064935063</v>
      </c>
      <c r="I126" s="47">
        <f t="shared" si="134"/>
        <v>1</v>
      </c>
      <c r="J126" s="47">
        <f t="shared" si="135"/>
        <v>125</v>
      </c>
      <c r="K126" s="47">
        <f t="shared" si="136"/>
        <v>31</v>
      </c>
      <c r="M126" s="3">
        <f t="shared" si="65"/>
        <v>-6000764.6164411902</v>
      </c>
      <c r="N126" s="3">
        <f t="shared" ca="1" si="66"/>
        <v>2187817.503050575</v>
      </c>
      <c r="O126" s="3">
        <f t="shared" ca="1" si="67"/>
        <v>4846034.5214443235</v>
      </c>
      <c r="P126" s="3">
        <f t="shared" si="68"/>
        <v>0</v>
      </c>
      <c r="Q126" s="3">
        <f t="shared" si="69"/>
        <v>0</v>
      </c>
      <c r="R126" s="3">
        <f t="shared" si="70"/>
        <v>-815229.51419000898</v>
      </c>
      <c r="S126" s="3">
        <f t="shared" si="71"/>
        <v>6732820.2900960622</v>
      </c>
      <c r="T126" s="3">
        <f t="shared" si="72"/>
        <v>25469342.489254653</v>
      </c>
      <c r="U126" s="47">
        <f t="shared" ca="1" si="137"/>
        <v>32420020.673214413</v>
      </c>
      <c r="V126" s="47">
        <f>IFERROR(HLOOKUP(B126-1,'EV Forecast WRZ'!$F$124:$T$130,2,FALSE)/12,0)+IFERROR(((HLOOKUP(B126,'EV Forecast WRZ'!$F$116:$T$122,2,FALSE)-HLOOKUP(B126-1,'EV Forecast WRZ'!$F$124:$T$130,2,FALSE)))*C126/78,0)</f>
        <v>549809.35546324146</v>
      </c>
      <c r="W126" s="47">
        <f ca="1">HLOOKUP(B126,Heating!$R$102:$AD$106,2,FALSE)*INDEX(Weather!$BO$1:$CB$20,MATCH(B126,Weather!$BO$1:$BO$20,0),MATCH(C126,Weather!$BO$1:$CB$1,0))/VLOOKUP(B126,Weather!$BO$2:$CB$20,14,FALSE)</f>
        <v>320711.21357262408</v>
      </c>
      <c r="X126" s="47">
        <f t="shared" ca="1" si="127"/>
        <v>33290541.242250279</v>
      </c>
    </row>
    <row r="127" spans="1:24">
      <c r="A127" s="2">
        <f t="shared" si="130"/>
        <v>45838</v>
      </c>
      <c r="B127">
        <f t="shared" si="131"/>
        <v>2025</v>
      </c>
      <c r="C127">
        <f t="shared" si="132"/>
        <v>6</v>
      </c>
      <c r="E127" s="3">
        <f t="shared" ref="E127:F127" ca="1" si="142">E115</f>
        <v>32.520923826173821</v>
      </c>
      <c r="F127" s="3">
        <f t="shared" ca="1" si="142"/>
        <v>137.65451754405018</v>
      </c>
      <c r="I127" s="47">
        <f t="shared" si="134"/>
        <v>0</v>
      </c>
      <c r="J127" s="47">
        <f t="shared" si="135"/>
        <v>126</v>
      </c>
      <c r="K127" s="47">
        <f t="shared" si="136"/>
        <v>30</v>
      </c>
      <c r="M127" s="3">
        <f t="shared" si="65"/>
        <v>-6000764.6164411902</v>
      </c>
      <c r="N127" s="3">
        <f t="shared" ca="1" si="66"/>
        <v>473899.80328975141</v>
      </c>
      <c r="O127" s="3">
        <f t="shared" ca="1" si="67"/>
        <v>12709299.72527618</v>
      </c>
      <c r="P127" s="3">
        <f t="shared" si="68"/>
        <v>0</v>
      </c>
      <c r="Q127" s="3">
        <f t="shared" si="69"/>
        <v>0</v>
      </c>
      <c r="R127" s="3">
        <f t="shared" si="70"/>
        <v>0</v>
      </c>
      <c r="S127" s="3">
        <f t="shared" si="71"/>
        <v>6786682.8524168311</v>
      </c>
      <c r="T127" s="3">
        <f t="shared" si="72"/>
        <v>24647750.796052888</v>
      </c>
      <c r="U127" s="47">
        <f t="shared" ca="1" si="137"/>
        <v>38616868.560594462</v>
      </c>
      <c r="V127" s="47">
        <f>IFERROR(HLOOKUP(B127-1,'EV Forecast WRZ'!$F$124:$T$130,2,FALSE)/12,0)+IFERROR(((HLOOKUP(B127,'EV Forecast WRZ'!$F$116:$T$122,2,FALSE)-HLOOKUP(B127-1,'EV Forecast WRZ'!$F$124:$T$130,2,FALSE)))*C127/78,0)</f>
        <v>562723.53122255648</v>
      </c>
      <c r="W127" s="47">
        <f ca="1">HLOOKUP(B127,Heating!$R$102:$AD$106,2,FALSE)*INDEX(Weather!$BO$1:$CB$20,MATCH(B127,Weather!$BO$1:$BO$20,0),MATCH(C127,Weather!$BO$1:$CB$1,0))/VLOOKUP(B127,Weather!$BO$2:$CB$20,14,FALSE)</f>
        <v>69468.765476537388</v>
      </c>
      <c r="X127" s="47">
        <f t="shared" ca="1" si="127"/>
        <v>39249060.857293561</v>
      </c>
    </row>
    <row r="128" spans="1:24">
      <c r="A128" s="2">
        <f t="shared" si="130"/>
        <v>45869</v>
      </c>
      <c r="B128">
        <f t="shared" si="131"/>
        <v>2025</v>
      </c>
      <c r="C128">
        <f t="shared" si="132"/>
        <v>7</v>
      </c>
      <c r="E128" s="3">
        <f t="shared" ref="E128:F128" ca="1" si="143">E116</f>
        <v>1.6179166666666653</v>
      </c>
      <c r="F128" s="3">
        <f t="shared" ca="1" si="143"/>
        <v>235.94737858727848</v>
      </c>
      <c r="I128" s="47">
        <f t="shared" si="134"/>
        <v>0</v>
      </c>
      <c r="J128" s="47">
        <f t="shared" si="135"/>
        <v>127</v>
      </c>
      <c r="K128" s="47">
        <f t="shared" si="136"/>
        <v>31</v>
      </c>
      <c r="M128" s="3">
        <f t="shared" si="65"/>
        <v>-6000764.6164411902</v>
      </c>
      <c r="N128" s="3">
        <f t="shared" ca="1" si="66"/>
        <v>23576.525506186736</v>
      </c>
      <c r="O128" s="3">
        <f t="shared" ca="1" si="67"/>
        <v>21784435.464672089</v>
      </c>
      <c r="P128" s="3">
        <f t="shared" si="68"/>
        <v>0</v>
      </c>
      <c r="Q128" s="3">
        <f t="shared" si="69"/>
        <v>0</v>
      </c>
      <c r="R128" s="3">
        <f t="shared" si="70"/>
        <v>0</v>
      </c>
      <c r="S128" s="3">
        <f t="shared" si="71"/>
        <v>6840545.414737599</v>
      </c>
      <c r="T128" s="3">
        <f t="shared" si="72"/>
        <v>25469342.489254653</v>
      </c>
      <c r="U128" s="47">
        <f t="shared" ca="1" si="137"/>
        <v>48117135.27772934</v>
      </c>
      <c r="V128" s="47">
        <f>IFERROR(HLOOKUP(B128-1,'EV Forecast WRZ'!$F$124:$T$130,2,FALSE)/12,0)+IFERROR(((HLOOKUP(B128,'EV Forecast WRZ'!$F$116:$T$122,2,FALSE)-HLOOKUP(B128-1,'EV Forecast WRZ'!$F$124:$T$130,2,FALSE)))*C128/78,0)</f>
        <v>575637.70698187151</v>
      </c>
      <c r="W128" s="47">
        <f ca="1">HLOOKUP(B128,Heating!$R$102:$AD$106,2,FALSE)*INDEX(Weather!$BO$1:$CB$20,MATCH(B128,Weather!$BO$1:$BO$20,0),MATCH(C128,Weather!$BO$1:$CB$1,0))/VLOOKUP(B128,Weather!$BO$2:$CB$20,14,FALSE)</f>
        <v>3456.0725912339881</v>
      </c>
      <c r="X128" s="47">
        <f t="shared" ca="1" si="127"/>
        <v>48696229.057302445</v>
      </c>
    </row>
    <row r="129" spans="1:24">
      <c r="A129" s="2">
        <f t="shared" si="130"/>
        <v>45900</v>
      </c>
      <c r="B129">
        <f t="shared" si="131"/>
        <v>2025</v>
      </c>
      <c r="C129">
        <f t="shared" si="132"/>
        <v>8</v>
      </c>
      <c r="E129" s="3">
        <f t="shared" ref="E129:F129" ca="1" si="144">E117</f>
        <v>5.6499999999999977</v>
      </c>
      <c r="F129" s="3">
        <f t="shared" ca="1" si="144"/>
        <v>210.96558794466404</v>
      </c>
      <c r="I129" s="47">
        <f t="shared" si="134"/>
        <v>0</v>
      </c>
      <c r="J129" s="47">
        <f t="shared" si="135"/>
        <v>128</v>
      </c>
      <c r="K129" s="47">
        <f t="shared" si="136"/>
        <v>31</v>
      </c>
      <c r="M129" s="3">
        <f t="shared" si="65"/>
        <v>-6000764.6164411902</v>
      </c>
      <c r="N129" s="3">
        <f t="shared" ca="1" si="66"/>
        <v>82332.651523021443</v>
      </c>
      <c r="O129" s="3">
        <f t="shared" ca="1" si="67"/>
        <v>19477928.77956105</v>
      </c>
      <c r="P129" s="3">
        <f t="shared" si="68"/>
        <v>0</v>
      </c>
      <c r="Q129" s="3">
        <f t="shared" si="69"/>
        <v>0</v>
      </c>
      <c r="R129" s="3">
        <f t="shared" si="70"/>
        <v>0</v>
      </c>
      <c r="S129" s="3">
        <f t="shared" si="71"/>
        <v>6894407.9770583678</v>
      </c>
      <c r="T129" s="3">
        <f t="shared" si="72"/>
        <v>25469342.489254653</v>
      </c>
      <c r="U129" s="47">
        <f t="shared" ca="1" si="137"/>
        <v>45923247.280955903</v>
      </c>
      <c r="V129" s="47">
        <f>IFERROR(HLOOKUP(B129-1,'EV Forecast WRZ'!$F$124:$T$130,2,FALSE)/12,0)+IFERROR(((HLOOKUP(B129,'EV Forecast WRZ'!$F$116:$T$122,2,FALSE)-HLOOKUP(B129-1,'EV Forecast WRZ'!$F$124:$T$130,2,FALSE)))*C129/78,0)</f>
        <v>588551.88274118642</v>
      </c>
      <c r="W129" s="47">
        <f ca="1">HLOOKUP(B129,Heating!$R$102:$AD$106,2,FALSE)*INDEX(Weather!$BO$1:$CB$20,MATCH(B129,Weather!$BO$1:$BO$20,0),MATCH(C129,Weather!$BO$1:$CB$1,0))/VLOOKUP(B129,Weather!$BO$2:$CB$20,14,FALSE)</f>
        <v>12069.107478015167</v>
      </c>
      <c r="X129" s="47">
        <f t="shared" ca="1" si="127"/>
        <v>46523868.271175101</v>
      </c>
    </row>
    <row r="130" spans="1:24">
      <c r="A130" s="2">
        <f t="shared" si="130"/>
        <v>45930</v>
      </c>
      <c r="B130">
        <f t="shared" si="131"/>
        <v>2025</v>
      </c>
      <c r="C130">
        <f t="shared" si="132"/>
        <v>9</v>
      </c>
      <c r="E130" s="3">
        <f t="shared" ref="E130:F130" ca="1" si="145">E118</f>
        <v>54.959440993788824</v>
      </c>
      <c r="F130" s="3">
        <f t="shared" ca="1" si="145"/>
        <v>106.4160119047619</v>
      </c>
      <c r="I130" s="47">
        <f t="shared" si="134"/>
        <v>1</v>
      </c>
      <c r="J130" s="47">
        <f t="shared" si="135"/>
        <v>129</v>
      </c>
      <c r="K130" s="47">
        <f t="shared" si="136"/>
        <v>30</v>
      </c>
      <c r="M130" s="3">
        <f t="shared" ref="M130:M193" si="146">$AB$8</f>
        <v>-6000764.6164411902</v>
      </c>
      <c r="N130" s="3">
        <f t="shared" ref="N130:N193" ca="1" si="147">E130*$AB$9</f>
        <v>800877.25721091626</v>
      </c>
      <c r="O130" s="3">
        <f t="shared" ref="O130:O193" ca="1" si="148">F130*$AB$10</f>
        <v>9825126.083736252</v>
      </c>
      <c r="P130" s="3">
        <f t="shared" ref="P130:P193" si="149">G130*$AB$11</f>
        <v>0</v>
      </c>
      <c r="Q130" s="3">
        <f t="shared" ref="Q130:Q193" si="150">H130*$AB$12</f>
        <v>0</v>
      </c>
      <c r="R130" s="3">
        <f t="shared" ref="R130:R193" si="151">I130*$AB$13</f>
        <v>-815229.51419000898</v>
      </c>
      <c r="S130" s="3">
        <f t="shared" ref="S130:S193" si="152">J130*$AB$14</f>
        <v>6948270.5393791366</v>
      </c>
      <c r="T130" s="3">
        <f t="shared" ref="T130:T193" si="153">K130*$AB$15</f>
        <v>24647750.796052888</v>
      </c>
      <c r="U130" s="47">
        <f t="shared" ca="1" si="137"/>
        <v>35406030.545747995</v>
      </c>
      <c r="V130" s="47">
        <f>IFERROR(HLOOKUP(B130-1,'EV Forecast WRZ'!$F$124:$T$130,2,FALSE)/12,0)+IFERROR(((HLOOKUP(B130,'EV Forecast WRZ'!$F$116:$T$122,2,FALSE)-HLOOKUP(B130-1,'EV Forecast WRZ'!$F$124:$T$130,2,FALSE)))*C130/78,0)</f>
        <v>601466.05850050144</v>
      </c>
      <c r="W130" s="47">
        <f ca="1">HLOOKUP(B130,Heating!$R$102:$AD$106,2,FALSE)*INDEX(Weather!$BO$1:$CB$20,MATCH(B130,Weather!$BO$1:$BO$20,0),MATCH(C130,Weather!$BO$1:$CB$1,0))/VLOOKUP(B130,Weather!$BO$2:$CB$20,14,FALSE)</f>
        <v>117400.24783817174</v>
      </c>
      <c r="X130" s="47">
        <f t="shared" ca="1" si="127"/>
        <v>36124896.852086663</v>
      </c>
    </row>
    <row r="131" spans="1:24">
      <c r="A131" s="2">
        <f t="shared" si="130"/>
        <v>45961</v>
      </c>
      <c r="B131">
        <f t="shared" si="131"/>
        <v>2025</v>
      </c>
      <c r="C131">
        <f t="shared" si="132"/>
        <v>10</v>
      </c>
      <c r="E131" s="3">
        <f t="shared" ref="E131:F131" ca="1" si="154">E119</f>
        <v>237.89681159420289</v>
      </c>
      <c r="F131" s="3">
        <f t="shared" ca="1" si="154"/>
        <v>17.987083333333334</v>
      </c>
      <c r="I131" s="47">
        <f t="shared" si="134"/>
        <v>1</v>
      </c>
      <c r="J131" s="47">
        <f t="shared" si="135"/>
        <v>130</v>
      </c>
      <c r="K131" s="47">
        <f t="shared" si="136"/>
        <v>31</v>
      </c>
      <c r="M131" s="3">
        <f t="shared" si="146"/>
        <v>-6000764.6164411902</v>
      </c>
      <c r="N131" s="3">
        <f t="shared" ca="1" si="147"/>
        <v>3466668.1924643191</v>
      </c>
      <c r="O131" s="3">
        <f t="shared" ca="1" si="148"/>
        <v>1660702.731341155</v>
      </c>
      <c r="P131" s="3">
        <f t="shared" si="149"/>
        <v>0</v>
      </c>
      <c r="Q131" s="3">
        <f t="shared" si="150"/>
        <v>0</v>
      </c>
      <c r="R131" s="3">
        <f t="shared" si="151"/>
        <v>-815229.51419000898</v>
      </c>
      <c r="S131" s="3">
        <f t="shared" si="152"/>
        <v>7002133.1016999045</v>
      </c>
      <c r="T131" s="3">
        <f t="shared" si="153"/>
        <v>25469342.489254653</v>
      </c>
      <c r="U131" s="47">
        <f t="shared" ca="1" si="137"/>
        <v>30782852.384128831</v>
      </c>
      <c r="V131" s="47">
        <f>IFERROR(HLOOKUP(B131-1,'EV Forecast WRZ'!$F$124:$T$130,2,FALSE)/12,0)+IFERROR(((HLOOKUP(B131,'EV Forecast WRZ'!$F$116:$T$122,2,FALSE)-HLOOKUP(B131-1,'EV Forecast WRZ'!$F$124:$T$130,2,FALSE)))*C131/78,0)</f>
        <v>614380.23425981635</v>
      </c>
      <c r="W131" s="47">
        <f ca="1">HLOOKUP(B131,Heating!$R$102:$AD$106,2,FALSE)*INDEX(Weather!$BO$1:$CB$20,MATCH(B131,Weather!$BO$1:$BO$20,0),MATCH(C131,Weather!$BO$1:$CB$1,0))/VLOOKUP(B131,Weather!$BO$2:$CB$20,14,FALSE)</f>
        <v>508177.37837301963</v>
      </c>
      <c r="X131" s="47">
        <f t="shared" ca="1" si="127"/>
        <v>31905409.996761668</v>
      </c>
    </row>
    <row r="132" spans="1:24">
      <c r="A132" s="2">
        <f t="shared" si="130"/>
        <v>45991</v>
      </c>
      <c r="B132">
        <f t="shared" si="131"/>
        <v>2025</v>
      </c>
      <c r="C132">
        <f t="shared" si="132"/>
        <v>11</v>
      </c>
      <c r="E132" s="3">
        <f t="shared" ref="E132:F132" ca="1" si="155">E120</f>
        <v>426.62991389045737</v>
      </c>
      <c r="F132" s="3">
        <f t="shared" ca="1" si="155"/>
        <v>0.8083333333333329</v>
      </c>
      <c r="I132" s="47">
        <f t="shared" si="134"/>
        <v>1</v>
      </c>
      <c r="J132" s="47">
        <f t="shared" si="135"/>
        <v>131</v>
      </c>
      <c r="K132" s="47">
        <f t="shared" si="136"/>
        <v>30</v>
      </c>
      <c r="M132" s="3">
        <f t="shared" si="146"/>
        <v>-6000764.6164411902</v>
      </c>
      <c r="N132" s="3">
        <f t="shared" ca="1" si="147"/>
        <v>6216915.4034760511</v>
      </c>
      <c r="O132" s="3">
        <f t="shared" ca="1" si="148"/>
        <v>74631.409085265797</v>
      </c>
      <c r="P132" s="3">
        <f t="shared" si="149"/>
        <v>0</v>
      </c>
      <c r="Q132" s="3">
        <f t="shared" si="150"/>
        <v>0</v>
      </c>
      <c r="R132" s="3">
        <f t="shared" si="151"/>
        <v>-815229.51419000898</v>
      </c>
      <c r="S132" s="3">
        <f t="shared" si="152"/>
        <v>7055995.6640206734</v>
      </c>
      <c r="T132" s="3">
        <f t="shared" si="153"/>
        <v>24647750.796052888</v>
      </c>
      <c r="U132" s="47">
        <f t="shared" ca="1" si="137"/>
        <v>31179299.142003678</v>
      </c>
      <c r="V132" s="47">
        <f>IFERROR(HLOOKUP(B132-1,'EV Forecast WRZ'!$F$124:$T$130,2,FALSE)/12,0)+IFERROR(((HLOOKUP(B132,'EV Forecast WRZ'!$F$116:$T$122,2,FALSE)-HLOOKUP(B132-1,'EV Forecast WRZ'!$F$124:$T$130,2,FALSE)))*C132/78,0)</f>
        <v>627294.41001913138</v>
      </c>
      <c r="W132" s="47">
        <f ca="1">HLOOKUP(B132,Heating!$R$102:$AD$106,2,FALSE)*INDEX(Weather!$BO$1:$CB$20,MATCH(B132,Weather!$BO$1:$BO$20,0),MATCH(C132,Weather!$BO$1:$CB$1,0))/VLOOKUP(B132,Weather!$BO$2:$CB$20,14,FALSE)</f>
        <v>911334.91753633413</v>
      </c>
      <c r="X132" s="47">
        <f t="shared" ca="1" si="127"/>
        <v>32717928.469559141</v>
      </c>
    </row>
    <row r="133" spans="1:24">
      <c r="A133" s="2">
        <f t="shared" si="130"/>
        <v>46022</v>
      </c>
      <c r="B133">
        <f t="shared" si="131"/>
        <v>2025</v>
      </c>
      <c r="C133">
        <f t="shared" si="132"/>
        <v>12</v>
      </c>
      <c r="E133" s="3">
        <f t="shared" ref="E133:F133" ca="1" si="156">E121</f>
        <v>577.92800724637686</v>
      </c>
      <c r="F133" s="3">
        <f t="shared" ca="1" si="156"/>
        <v>0</v>
      </c>
      <c r="I133" s="47">
        <f t="shared" si="134"/>
        <v>0</v>
      </c>
      <c r="J133" s="47">
        <f t="shared" si="135"/>
        <v>132</v>
      </c>
      <c r="K133" s="47">
        <f t="shared" si="136"/>
        <v>31</v>
      </c>
      <c r="M133" s="3">
        <f t="shared" si="146"/>
        <v>-6000764.6164411902</v>
      </c>
      <c r="N133" s="3">
        <f t="shared" ca="1" si="147"/>
        <v>8421654.0223026872</v>
      </c>
      <c r="O133" s="3">
        <f t="shared" ca="1" si="148"/>
        <v>0</v>
      </c>
      <c r="P133" s="3">
        <f t="shared" si="149"/>
        <v>0</v>
      </c>
      <c r="Q133" s="3">
        <f t="shared" si="150"/>
        <v>0</v>
      </c>
      <c r="R133" s="3">
        <f t="shared" si="151"/>
        <v>0</v>
      </c>
      <c r="S133" s="3">
        <f t="shared" si="152"/>
        <v>7109858.2263414422</v>
      </c>
      <c r="T133" s="3">
        <f t="shared" si="153"/>
        <v>25469342.489254653</v>
      </c>
      <c r="U133" s="47">
        <f t="shared" ca="1" si="137"/>
        <v>35000090.121457592</v>
      </c>
      <c r="V133" s="47">
        <f>IFERROR(HLOOKUP(B133-1,'EV Forecast WRZ'!$F$124:$T$130,2,FALSE)/12,0)+IFERROR(((HLOOKUP(B133,'EV Forecast WRZ'!$F$116:$T$122,2,FALSE)-HLOOKUP(B133-1,'EV Forecast WRZ'!$F$124:$T$130,2,FALSE)))*C133/78,0)</f>
        <v>640208.5857784464</v>
      </c>
      <c r="W133" s="47">
        <f ca="1">HLOOKUP(B133,Heating!$R$102:$AD$106,2,FALSE)*INDEX(Weather!$BO$1:$CB$20,MATCH(B133,Weather!$BO$1:$BO$20,0),MATCH(C133,Weather!$BO$1:$CB$1,0))/VLOOKUP(B133,Weather!$BO$2:$CB$20,14,FALSE)</f>
        <v>1234526.5900905584</v>
      </c>
      <c r="X133" s="47">
        <f t="shared" ca="1" si="127"/>
        <v>36874825.297326595</v>
      </c>
    </row>
    <row r="134" spans="1:24">
      <c r="A134" s="2">
        <f t="shared" si="130"/>
        <v>46053</v>
      </c>
      <c r="B134">
        <f t="shared" si="131"/>
        <v>2026</v>
      </c>
      <c r="C134">
        <f t="shared" si="132"/>
        <v>1</v>
      </c>
      <c r="E134" s="3">
        <f t="shared" ref="E134:F134" ca="1" si="157">E122</f>
        <v>697.33418478260876</v>
      </c>
      <c r="F134" s="3">
        <f t="shared" ca="1" si="157"/>
        <v>0</v>
      </c>
      <c r="I134" s="47">
        <f t="shared" si="134"/>
        <v>0</v>
      </c>
      <c r="J134" s="47">
        <f t="shared" si="135"/>
        <v>133</v>
      </c>
      <c r="K134" s="47">
        <f t="shared" si="136"/>
        <v>31</v>
      </c>
      <c r="M134" s="3">
        <f t="shared" si="146"/>
        <v>-6000764.6164411902</v>
      </c>
      <c r="N134" s="3">
        <f t="shared" ca="1" si="147"/>
        <v>10161658.837309167</v>
      </c>
      <c r="O134" s="3">
        <f t="shared" ca="1" si="148"/>
        <v>0</v>
      </c>
      <c r="P134" s="3">
        <f t="shared" si="149"/>
        <v>0</v>
      </c>
      <c r="Q134" s="3">
        <f t="shared" si="150"/>
        <v>0</v>
      </c>
      <c r="R134" s="3">
        <f t="shared" si="151"/>
        <v>0</v>
      </c>
      <c r="S134" s="3">
        <f t="shared" si="152"/>
        <v>7163720.7886622101</v>
      </c>
      <c r="T134" s="3">
        <f t="shared" si="153"/>
        <v>25469342.489254653</v>
      </c>
      <c r="U134" s="47">
        <f t="shared" ca="1" si="137"/>
        <v>36793957.49878484</v>
      </c>
      <c r="V134" s="47">
        <f>IFERROR(HLOOKUP(B134-1,'EV Forecast WRZ'!$F$124:$T$130,2,FALSE)/12,0)+IFERROR(((HLOOKUP(B134,'EV Forecast WRZ'!$F$116:$T$122,2,FALSE)-HLOOKUP(B134-1,'EV Forecast WRZ'!$F$124:$T$130,2,FALSE)))*C134/78,0)</f>
        <v>668602.59726508404</v>
      </c>
      <c r="W134" s="47">
        <f ca="1">HLOOKUP(B134,Heating!$R$102:$AD$106,2,FALSE)*INDEX(Weather!$BO$1:$CB$20,MATCH(B134,Weather!$BO$1:$BO$20,0),MATCH(C134,Weather!$BO$1:$CB$1,0))/VLOOKUP(B134,Weather!$BO$2:$CB$20,14,FALSE)</f>
        <v>1791045.9744630372</v>
      </c>
      <c r="X134" s="47">
        <f t="shared" ca="1" si="127"/>
        <v>39253606.070512965</v>
      </c>
    </row>
    <row r="135" spans="1:24">
      <c r="A135" s="2">
        <f t="shared" si="130"/>
        <v>46081</v>
      </c>
      <c r="B135">
        <f t="shared" si="131"/>
        <v>2026</v>
      </c>
      <c r="C135">
        <f t="shared" si="132"/>
        <v>2</v>
      </c>
      <c r="E135" s="3">
        <f t="shared" ref="E135:F135" ca="1" si="158">E123</f>
        <v>624.25501811594188</v>
      </c>
      <c r="F135" s="3">
        <f t="shared" ca="1" si="158"/>
        <v>0</v>
      </c>
      <c r="I135" s="47">
        <f t="shared" si="134"/>
        <v>0</v>
      </c>
      <c r="J135" s="47">
        <f t="shared" si="135"/>
        <v>134</v>
      </c>
      <c r="K135" s="47">
        <f t="shared" si="136"/>
        <v>28</v>
      </c>
      <c r="M135" s="3">
        <f t="shared" si="146"/>
        <v>-6000764.6164411902</v>
      </c>
      <c r="N135" s="3">
        <f t="shared" ca="1" si="147"/>
        <v>9096738.2067322657</v>
      </c>
      <c r="O135" s="3">
        <f t="shared" ca="1" si="148"/>
        <v>0</v>
      </c>
      <c r="P135" s="3">
        <f t="shared" si="149"/>
        <v>0</v>
      </c>
      <c r="Q135" s="3">
        <f t="shared" si="150"/>
        <v>0</v>
      </c>
      <c r="R135" s="3">
        <f t="shared" si="151"/>
        <v>0</v>
      </c>
      <c r="S135" s="3">
        <f t="shared" si="152"/>
        <v>7217583.3509829789</v>
      </c>
      <c r="T135" s="3">
        <f t="shared" si="153"/>
        <v>23004567.409649365</v>
      </c>
      <c r="U135" s="47">
        <f t="shared" ca="1" si="137"/>
        <v>33318124.350923419</v>
      </c>
      <c r="V135" s="47">
        <f>IFERROR(HLOOKUP(B135-1,'EV Forecast WRZ'!$F$124:$T$130,2,FALSE)/12,0)+IFERROR(((HLOOKUP(B135,'EV Forecast WRZ'!$F$116:$T$122,2,FALSE)-HLOOKUP(B135-1,'EV Forecast WRZ'!$F$124:$T$130,2,FALSE)))*C135/78,0)</f>
        <v>684082.43299240677</v>
      </c>
      <c r="W135" s="47">
        <f ca="1">HLOOKUP(B135,Heating!$R$102:$AD$106,2,FALSE)*INDEX(Weather!$BO$1:$CB$20,MATCH(B135,Weather!$BO$1:$BO$20,0),MATCH(C135,Weather!$BO$1:$CB$1,0))/VLOOKUP(B135,Weather!$BO$2:$CB$20,14,FALSE)</f>
        <v>1603348.0956959852</v>
      </c>
      <c r="X135" s="47">
        <f t="shared" ca="1" si="127"/>
        <v>35605554.879611813</v>
      </c>
    </row>
    <row r="136" spans="1:24">
      <c r="A136" s="2">
        <f t="shared" si="130"/>
        <v>46112</v>
      </c>
      <c r="B136">
        <f t="shared" si="131"/>
        <v>2026</v>
      </c>
      <c r="C136">
        <f t="shared" si="132"/>
        <v>3</v>
      </c>
      <c r="E136" s="3">
        <f t="shared" ref="E136:F136" ca="1" si="159">E124</f>
        <v>546.13298913043491</v>
      </c>
      <c r="F136" s="3">
        <f t="shared" ca="1" si="159"/>
        <v>0</v>
      </c>
      <c r="I136" s="47">
        <f t="shared" si="134"/>
        <v>1</v>
      </c>
      <c r="J136" s="47">
        <f t="shared" si="135"/>
        <v>135</v>
      </c>
      <c r="K136" s="47">
        <f t="shared" si="136"/>
        <v>31</v>
      </c>
      <c r="M136" s="3">
        <f t="shared" si="146"/>
        <v>-6000764.6164411902</v>
      </c>
      <c r="N136" s="3">
        <f t="shared" ca="1" si="147"/>
        <v>7958332.2264251634</v>
      </c>
      <c r="O136" s="3">
        <f t="shared" ca="1" si="148"/>
        <v>0</v>
      </c>
      <c r="P136" s="3">
        <f t="shared" si="149"/>
        <v>0</v>
      </c>
      <c r="Q136" s="3">
        <f t="shared" si="150"/>
        <v>0</v>
      </c>
      <c r="R136" s="3">
        <f t="shared" si="151"/>
        <v>-815229.51419000898</v>
      </c>
      <c r="S136" s="3">
        <f t="shared" si="152"/>
        <v>7271445.9133037468</v>
      </c>
      <c r="T136" s="3">
        <f t="shared" si="153"/>
        <v>25469342.489254653</v>
      </c>
      <c r="U136" s="47">
        <f t="shared" ca="1" si="137"/>
        <v>33883126.498352364</v>
      </c>
      <c r="V136" s="47">
        <f>IFERROR(HLOOKUP(B136-1,'EV Forecast WRZ'!$F$124:$T$130,2,FALSE)/12,0)+IFERROR(((HLOOKUP(B136,'EV Forecast WRZ'!$F$116:$T$122,2,FALSE)-HLOOKUP(B136-1,'EV Forecast WRZ'!$F$124:$T$130,2,FALSE)))*C136/78,0)</f>
        <v>699562.2687197295</v>
      </c>
      <c r="W136" s="47">
        <f ca="1">HLOOKUP(B136,Heating!$R$102:$AD$106,2,FALSE)*INDEX(Weather!$BO$1:$CB$20,MATCH(B136,Weather!$BO$1:$BO$20,0),MATCH(C136,Weather!$BO$1:$CB$1,0))/VLOOKUP(B136,Weather!$BO$2:$CB$20,14,FALSE)</f>
        <v>1402698.0363919279</v>
      </c>
      <c r="X136" s="47">
        <f t="shared" ca="1" si="127"/>
        <v>35985386.803464025</v>
      </c>
    </row>
    <row r="137" spans="1:24">
      <c r="A137" s="2">
        <f t="shared" si="130"/>
        <v>46142</v>
      </c>
      <c r="B137">
        <f t="shared" si="131"/>
        <v>2026</v>
      </c>
      <c r="C137">
        <f t="shared" si="132"/>
        <v>4</v>
      </c>
      <c r="E137" s="3">
        <f t="shared" ref="E137:F137" ca="1" si="160">E125</f>
        <v>352.41399621212122</v>
      </c>
      <c r="F137" s="3">
        <f t="shared" ca="1" si="160"/>
        <v>2.1908333333333347</v>
      </c>
      <c r="I137" s="47">
        <f t="shared" si="134"/>
        <v>1</v>
      </c>
      <c r="J137" s="47">
        <f t="shared" si="135"/>
        <v>136</v>
      </c>
      <c r="K137" s="47">
        <f t="shared" si="136"/>
        <v>30</v>
      </c>
      <c r="M137" s="3">
        <f t="shared" si="146"/>
        <v>-6000764.6164411902</v>
      </c>
      <c r="N137" s="3">
        <f t="shared" ca="1" si="147"/>
        <v>5135429.8658350417</v>
      </c>
      <c r="O137" s="3">
        <f t="shared" ca="1" si="148"/>
        <v>202274.20050016907</v>
      </c>
      <c r="P137" s="3">
        <f t="shared" si="149"/>
        <v>0</v>
      </c>
      <c r="Q137" s="3">
        <f t="shared" si="150"/>
        <v>0</v>
      </c>
      <c r="R137" s="3">
        <f t="shared" si="151"/>
        <v>-815229.51419000898</v>
      </c>
      <c r="S137" s="3">
        <f t="shared" si="152"/>
        <v>7325308.4756245157</v>
      </c>
      <c r="T137" s="3">
        <f t="shared" si="153"/>
        <v>24647750.796052888</v>
      </c>
      <c r="U137" s="47">
        <f t="shared" ca="1" si="137"/>
        <v>30494769.207381416</v>
      </c>
      <c r="V137" s="47">
        <f>IFERROR(HLOOKUP(B137-1,'EV Forecast WRZ'!$F$124:$T$130,2,FALSE)/12,0)+IFERROR(((HLOOKUP(B137,'EV Forecast WRZ'!$F$116:$T$122,2,FALSE)-HLOOKUP(B137-1,'EV Forecast WRZ'!$F$124:$T$130,2,FALSE)))*C137/78,0)</f>
        <v>715042.10444705223</v>
      </c>
      <c r="W137" s="47">
        <f ca="1">HLOOKUP(B137,Heating!$R$102:$AD$106,2,FALSE)*INDEX(Weather!$BO$1:$CB$20,MATCH(B137,Weather!$BO$1:$BO$20,0),MATCH(C137,Weather!$BO$1:$CB$1,0))/VLOOKUP(B137,Weather!$BO$2:$CB$20,14,FALSE)</f>
        <v>905146.60407322878</v>
      </c>
      <c r="X137" s="47">
        <f t="shared" ca="1" si="127"/>
        <v>32114957.915901698</v>
      </c>
    </row>
    <row r="138" spans="1:24">
      <c r="A138" s="2">
        <f t="shared" si="130"/>
        <v>46173</v>
      </c>
      <c r="B138">
        <f t="shared" si="131"/>
        <v>2026</v>
      </c>
      <c r="C138">
        <f t="shared" si="132"/>
        <v>5</v>
      </c>
      <c r="E138" s="3">
        <f t="shared" ref="E138:F138" ca="1" si="161">E126</f>
        <v>150.136897859768</v>
      </c>
      <c r="F138" s="3">
        <f t="shared" ca="1" si="161"/>
        <v>52.487435064935063</v>
      </c>
      <c r="I138" s="47">
        <f t="shared" si="134"/>
        <v>1</v>
      </c>
      <c r="J138" s="47">
        <f t="shared" si="135"/>
        <v>137</v>
      </c>
      <c r="K138" s="47">
        <f t="shared" si="136"/>
        <v>31</v>
      </c>
      <c r="M138" s="3">
        <f t="shared" si="146"/>
        <v>-6000764.6164411902</v>
      </c>
      <c r="N138" s="3">
        <f t="shared" ca="1" si="147"/>
        <v>2187817.503050575</v>
      </c>
      <c r="O138" s="3">
        <f t="shared" ca="1" si="148"/>
        <v>4846034.5214443235</v>
      </c>
      <c r="P138" s="3">
        <f t="shared" si="149"/>
        <v>0</v>
      </c>
      <c r="Q138" s="3">
        <f t="shared" si="150"/>
        <v>0</v>
      </c>
      <c r="R138" s="3">
        <f t="shared" si="151"/>
        <v>-815229.51419000898</v>
      </c>
      <c r="S138" s="3">
        <f t="shared" si="152"/>
        <v>7379171.0379452845</v>
      </c>
      <c r="T138" s="3">
        <f t="shared" si="153"/>
        <v>25469342.489254653</v>
      </c>
      <c r="U138" s="47">
        <f t="shared" ca="1" si="137"/>
        <v>33066371.421063639</v>
      </c>
      <c r="V138" s="47">
        <f>IFERROR(HLOOKUP(B138-1,'EV Forecast WRZ'!$F$124:$T$130,2,FALSE)/12,0)+IFERROR(((HLOOKUP(B138,'EV Forecast WRZ'!$F$116:$T$122,2,FALSE)-HLOOKUP(B138-1,'EV Forecast WRZ'!$F$124:$T$130,2,FALSE)))*C138/78,0)</f>
        <v>730521.94017437496</v>
      </c>
      <c r="W138" s="47">
        <f ca="1">HLOOKUP(B138,Heating!$R$102:$AD$106,2,FALSE)*INDEX(Weather!$BO$1:$CB$20,MATCH(B138,Weather!$BO$1:$BO$20,0),MATCH(C138,Weather!$BO$1:$CB$1,0))/VLOOKUP(B138,Weather!$BO$2:$CB$20,14,FALSE)</f>
        <v>385614.37600242539</v>
      </c>
      <c r="X138" s="47">
        <f t="shared" ca="1" si="127"/>
        <v>34182507.737240441</v>
      </c>
    </row>
    <row r="139" spans="1:24">
      <c r="A139" s="2">
        <f t="shared" si="130"/>
        <v>46203</v>
      </c>
      <c r="B139">
        <f t="shared" si="131"/>
        <v>2026</v>
      </c>
      <c r="C139">
        <f t="shared" si="132"/>
        <v>6</v>
      </c>
      <c r="E139" s="3">
        <f t="shared" ref="E139:F139" ca="1" si="162">E127</f>
        <v>32.520923826173821</v>
      </c>
      <c r="F139" s="3">
        <f t="shared" ca="1" si="162"/>
        <v>137.65451754405018</v>
      </c>
      <c r="I139" s="47">
        <f t="shared" si="134"/>
        <v>0</v>
      </c>
      <c r="J139" s="47">
        <f t="shared" si="135"/>
        <v>138</v>
      </c>
      <c r="K139" s="47">
        <f t="shared" si="136"/>
        <v>30</v>
      </c>
      <c r="M139" s="3">
        <f t="shared" si="146"/>
        <v>-6000764.6164411902</v>
      </c>
      <c r="N139" s="3">
        <f t="shared" ca="1" si="147"/>
        <v>473899.80328975141</v>
      </c>
      <c r="O139" s="3">
        <f t="shared" ca="1" si="148"/>
        <v>12709299.72527618</v>
      </c>
      <c r="P139" s="3">
        <f t="shared" si="149"/>
        <v>0</v>
      </c>
      <c r="Q139" s="3">
        <f t="shared" si="150"/>
        <v>0</v>
      </c>
      <c r="R139" s="3">
        <f t="shared" si="151"/>
        <v>0</v>
      </c>
      <c r="S139" s="3">
        <f t="shared" si="152"/>
        <v>7433033.6002660524</v>
      </c>
      <c r="T139" s="3">
        <f t="shared" si="153"/>
        <v>24647750.796052888</v>
      </c>
      <c r="U139" s="47">
        <f t="shared" ca="1" si="137"/>
        <v>39263219.30844368</v>
      </c>
      <c r="V139" s="47">
        <f>IFERROR(HLOOKUP(B139-1,'EV Forecast WRZ'!$F$124:$T$130,2,FALSE)/12,0)+IFERROR(((HLOOKUP(B139,'EV Forecast WRZ'!$F$116:$T$122,2,FALSE)-HLOOKUP(B139-1,'EV Forecast WRZ'!$F$124:$T$130,2,FALSE)))*C139/78,0)</f>
        <v>746001.77590169781</v>
      </c>
      <c r="W139" s="47">
        <f ca="1">HLOOKUP(B139,Heating!$R$102:$AD$106,2,FALSE)*INDEX(Weather!$BO$1:$CB$20,MATCH(B139,Weather!$BO$1:$BO$20,0),MATCH(C139,Weather!$BO$1:$CB$1,0))/VLOOKUP(B139,Weather!$BO$2:$CB$20,14,FALSE)</f>
        <v>83527.340227620996</v>
      </c>
      <c r="X139" s="47">
        <f t="shared" ca="1" si="127"/>
        <v>40092748.424572997</v>
      </c>
    </row>
    <row r="140" spans="1:24">
      <c r="A140" s="2">
        <f t="shared" si="130"/>
        <v>46234</v>
      </c>
      <c r="B140">
        <f t="shared" si="131"/>
        <v>2026</v>
      </c>
      <c r="C140">
        <f t="shared" si="132"/>
        <v>7</v>
      </c>
      <c r="E140" s="3">
        <f t="shared" ref="E140:F140" ca="1" si="163">E128</f>
        <v>1.6179166666666653</v>
      </c>
      <c r="F140" s="3">
        <f t="shared" ca="1" si="163"/>
        <v>235.94737858727848</v>
      </c>
      <c r="I140" s="47">
        <f t="shared" si="134"/>
        <v>0</v>
      </c>
      <c r="J140" s="47">
        <f t="shared" si="135"/>
        <v>139</v>
      </c>
      <c r="K140" s="47">
        <f t="shared" si="136"/>
        <v>31</v>
      </c>
      <c r="M140" s="3">
        <f t="shared" si="146"/>
        <v>-6000764.6164411902</v>
      </c>
      <c r="N140" s="3">
        <f t="shared" ca="1" si="147"/>
        <v>23576.525506186736</v>
      </c>
      <c r="O140" s="3">
        <f t="shared" ca="1" si="148"/>
        <v>21784435.464672089</v>
      </c>
      <c r="P140" s="3">
        <f t="shared" si="149"/>
        <v>0</v>
      </c>
      <c r="Q140" s="3">
        <f t="shared" si="150"/>
        <v>0</v>
      </c>
      <c r="R140" s="3">
        <f t="shared" si="151"/>
        <v>0</v>
      </c>
      <c r="S140" s="3">
        <f t="shared" si="152"/>
        <v>7486896.1625868212</v>
      </c>
      <c r="T140" s="3">
        <f t="shared" si="153"/>
        <v>25469342.489254653</v>
      </c>
      <c r="U140" s="47">
        <f t="shared" ca="1" si="137"/>
        <v>48763486.025578558</v>
      </c>
      <c r="V140" s="47">
        <f>IFERROR(HLOOKUP(B140-1,'EV Forecast WRZ'!$F$124:$T$130,2,FALSE)/12,0)+IFERROR(((HLOOKUP(B140,'EV Forecast WRZ'!$F$116:$T$122,2,FALSE)-HLOOKUP(B140-1,'EV Forecast WRZ'!$F$124:$T$130,2,FALSE)))*C140/78,0)</f>
        <v>761481.61162902042</v>
      </c>
      <c r="W140" s="47">
        <f ca="1">HLOOKUP(B140,Heating!$R$102:$AD$106,2,FALSE)*INDEX(Weather!$BO$1:$CB$20,MATCH(B140,Weather!$BO$1:$BO$20,0),MATCH(C140,Weather!$BO$1:$CB$1,0))/VLOOKUP(B140,Weather!$BO$2:$CB$20,14,FALSE)</f>
        <v>4155.4869904353718</v>
      </c>
      <c r="X140" s="47">
        <f t="shared" ca="1" si="127"/>
        <v>49529123.12419802</v>
      </c>
    </row>
    <row r="141" spans="1:24">
      <c r="A141" s="2">
        <f t="shared" si="130"/>
        <v>46265</v>
      </c>
      <c r="B141">
        <f t="shared" si="131"/>
        <v>2026</v>
      </c>
      <c r="C141">
        <f t="shared" si="132"/>
        <v>8</v>
      </c>
      <c r="E141" s="3">
        <f t="shared" ref="E141:F141" ca="1" si="164">E129</f>
        <v>5.6499999999999977</v>
      </c>
      <c r="F141" s="3">
        <f t="shared" ca="1" si="164"/>
        <v>210.96558794466404</v>
      </c>
      <c r="I141" s="47">
        <f t="shared" si="134"/>
        <v>0</v>
      </c>
      <c r="J141" s="47">
        <f t="shared" si="135"/>
        <v>140</v>
      </c>
      <c r="K141" s="47">
        <f t="shared" si="136"/>
        <v>31</v>
      </c>
      <c r="M141" s="3">
        <f t="shared" si="146"/>
        <v>-6000764.6164411902</v>
      </c>
      <c r="N141" s="3">
        <f t="shared" ca="1" si="147"/>
        <v>82332.651523021443</v>
      </c>
      <c r="O141" s="3">
        <f t="shared" ca="1" si="148"/>
        <v>19477928.77956105</v>
      </c>
      <c r="P141" s="3">
        <f t="shared" si="149"/>
        <v>0</v>
      </c>
      <c r="Q141" s="3">
        <f t="shared" si="150"/>
        <v>0</v>
      </c>
      <c r="R141" s="3">
        <f t="shared" si="151"/>
        <v>0</v>
      </c>
      <c r="S141" s="3">
        <f t="shared" si="152"/>
        <v>7540758.7249075901</v>
      </c>
      <c r="T141" s="3">
        <f t="shared" si="153"/>
        <v>25469342.489254653</v>
      </c>
      <c r="U141" s="47">
        <f t="shared" ca="1" si="137"/>
        <v>46569598.028805122</v>
      </c>
      <c r="V141" s="47">
        <f>IFERROR(HLOOKUP(B141-1,'EV Forecast WRZ'!$F$124:$T$130,2,FALSE)/12,0)+IFERROR(((HLOOKUP(B141,'EV Forecast WRZ'!$F$116:$T$122,2,FALSE)-HLOOKUP(B141-1,'EV Forecast WRZ'!$F$124:$T$130,2,FALSE)))*C141/78,0)</f>
        <v>776961.44735634327</v>
      </c>
      <c r="W141" s="47">
        <f ca="1">HLOOKUP(B141,Heating!$R$102:$AD$106,2,FALSE)*INDEX(Weather!$BO$1:$CB$20,MATCH(B141,Weather!$BO$1:$BO$20,0),MATCH(C141,Weather!$BO$1:$CB$1,0))/VLOOKUP(B141,Weather!$BO$2:$CB$20,14,FALSE)</f>
        <v>14511.564148932184</v>
      </c>
      <c r="X141" s="47">
        <f t="shared" ca="1" si="127"/>
        <v>47361071.040310398</v>
      </c>
    </row>
    <row r="142" spans="1:24">
      <c r="A142" s="2">
        <f t="shared" si="130"/>
        <v>46295</v>
      </c>
      <c r="B142">
        <f t="shared" si="131"/>
        <v>2026</v>
      </c>
      <c r="C142">
        <f t="shared" si="132"/>
        <v>9</v>
      </c>
      <c r="E142" s="3">
        <f t="shared" ref="E142:F142" ca="1" si="165">E130</f>
        <v>54.959440993788824</v>
      </c>
      <c r="F142" s="3">
        <f t="shared" ca="1" si="165"/>
        <v>106.4160119047619</v>
      </c>
      <c r="I142" s="47">
        <f t="shared" si="134"/>
        <v>1</v>
      </c>
      <c r="J142" s="47">
        <f t="shared" si="135"/>
        <v>141</v>
      </c>
      <c r="K142" s="47">
        <f t="shared" si="136"/>
        <v>30</v>
      </c>
      <c r="M142" s="3">
        <f t="shared" si="146"/>
        <v>-6000764.6164411902</v>
      </c>
      <c r="N142" s="3">
        <f t="shared" ca="1" si="147"/>
        <v>800877.25721091626</v>
      </c>
      <c r="O142" s="3">
        <f t="shared" ca="1" si="148"/>
        <v>9825126.083736252</v>
      </c>
      <c r="P142" s="3">
        <f t="shared" si="149"/>
        <v>0</v>
      </c>
      <c r="Q142" s="3">
        <f t="shared" si="150"/>
        <v>0</v>
      </c>
      <c r="R142" s="3">
        <f t="shared" si="151"/>
        <v>-815229.51419000898</v>
      </c>
      <c r="S142" s="3">
        <f t="shared" si="152"/>
        <v>7594621.287228358</v>
      </c>
      <c r="T142" s="3">
        <f t="shared" si="153"/>
        <v>24647750.796052888</v>
      </c>
      <c r="U142" s="47">
        <f t="shared" ca="1" si="137"/>
        <v>36052381.293597214</v>
      </c>
      <c r="V142" s="47">
        <f>IFERROR(HLOOKUP(B142-1,'EV Forecast WRZ'!$F$124:$T$130,2,FALSE)/12,0)+IFERROR(((HLOOKUP(B142,'EV Forecast WRZ'!$F$116:$T$122,2,FALSE)-HLOOKUP(B142-1,'EV Forecast WRZ'!$F$124:$T$130,2,FALSE)))*C142/78,0)</f>
        <v>792441.283083666</v>
      </c>
      <c r="W142" s="47">
        <f ca="1">HLOOKUP(B142,Heating!$R$102:$AD$106,2,FALSE)*INDEX(Weather!$BO$1:$CB$20,MATCH(B142,Weather!$BO$1:$BO$20,0),MATCH(C142,Weather!$BO$1:$CB$1,0))/VLOOKUP(B142,Weather!$BO$2:$CB$20,14,FALSE)</f>
        <v>141158.84133996814</v>
      </c>
      <c r="X142" s="47">
        <f t="shared" ca="1" si="127"/>
        <v>36985981.418020844</v>
      </c>
    </row>
    <row r="143" spans="1:24">
      <c r="A143" s="2">
        <f t="shared" si="130"/>
        <v>46326</v>
      </c>
      <c r="B143">
        <f t="shared" si="131"/>
        <v>2026</v>
      </c>
      <c r="C143">
        <f t="shared" si="132"/>
        <v>10</v>
      </c>
      <c r="E143" s="3">
        <f t="shared" ref="E143:F143" ca="1" si="166">E131</f>
        <v>237.89681159420289</v>
      </c>
      <c r="F143" s="3">
        <f t="shared" ca="1" si="166"/>
        <v>17.987083333333334</v>
      </c>
      <c r="I143" s="47">
        <f t="shared" si="134"/>
        <v>1</v>
      </c>
      <c r="J143" s="47">
        <f t="shared" si="135"/>
        <v>142</v>
      </c>
      <c r="K143" s="47">
        <f t="shared" si="136"/>
        <v>31</v>
      </c>
      <c r="M143" s="3">
        <f t="shared" si="146"/>
        <v>-6000764.6164411902</v>
      </c>
      <c r="N143" s="3">
        <f t="shared" ca="1" si="147"/>
        <v>3466668.1924643191</v>
      </c>
      <c r="O143" s="3">
        <f t="shared" ca="1" si="148"/>
        <v>1660702.731341155</v>
      </c>
      <c r="P143" s="3">
        <f t="shared" si="149"/>
        <v>0</v>
      </c>
      <c r="Q143" s="3">
        <f t="shared" si="150"/>
        <v>0</v>
      </c>
      <c r="R143" s="3">
        <f t="shared" si="151"/>
        <v>-815229.51419000898</v>
      </c>
      <c r="S143" s="3">
        <f t="shared" si="152"/>
        <v>7648483.8495491268</v>
      </c>
      <c r="T143" s="3">
        <f t="shared" si="153"/>
        <v>25469342.489254653</v>
      </c>
      <c r="U143" s="47">
        <f t="shared" ca="1" si="137"/>
        <v>31429203.131978057</v>
      </c>
      <c r="V143" s="47">
        <f>IFERROR(HLOOKUP(B143-1,'EV Forecast WRZ'!$F$124:$T$130,2,FALSE)/12,0)+IFERROR(((HLOOKUP(B143,'EV Forecast WRZ'!$F$116:$T$122,2,FALSE)-HLOOKUP(B143-1,'EV Forecast WRZ'!$F$124:$T$130,2,FALSE)))*C143/78,0)</f>
        <v>807921.11881098873</v>
      </c>
      <c r="W143" s="47">
        <f ca="1">HLOOKUP(B143,Heating!$R$102:$AD$106,2,FALSE)*INDEX(Weather!$BO$1:$CB$20,MATCH(B143,Weather!$BO$1:$BO$20,0),MATCH(C143,Weather!$BO$1:$CB$1,0))/VLOOKUP(B143,Weather!$BO$2:$CB$20,14,FALSE)</f>
        <v>611018.55615499301</v>
      </c>
      <c r="X143" s="47">
        <f t="shared" ca="1" si="127"/>
        <v>32848142.806944039</v>
      </c>
    </row>
    <row r="144" spans="1:24">
      <c r="A144" s="2">
        <f t="shared" si="130"/>
        <v>46356</v>
      </c>
      <c r="B144">
        <f t="shared" si="131"/>
        <v>2026</v>
      </c>
      <c r="C144">
        <f t="shared" si="132"/>
        <v>11</v>
      </c>
      <c r="E144" s="3">
        <f t="shared" ref="E144:F144" ca="1" si="167">E132</f>
        <v>426.62991389045737</v>
      </c>
      <c r="F144" s="3">
        <f t="shared" ca="1" si="167"/>
        <v>0.8083333333333329</v>
      </c>
      <c r="I144" s="47">
        <f t="shared" si="134"/>
        <v>1</v>
      </c>
      <c r="J144" s="47">
        <f t="shared" si="135"/>
        <v>143</v>
      </c>
      <c r="K144" s="47">
        <f t="shared" si="136"/>
        <v>30</v>
      </c>
      <c r="M144" s="3">
        <f t="shared" si="146"/>
        <v>-6000764.6164411902</v>
      </c>
      <c r="N144" s="3">
        <f t="shared" ca="1" si="147"/>
        <v>6216915.4034760511</v>
      </c>
      <c r="O144" s="3">
        <f t="shared" ca="1" si="148"/>
        <v>74631.409085265797</v>
      </c>
      <c r="P144" s="3">
        <f t="shared" si="149"/>
        <v>0</v>
      </c>
      <c r="Q144" s="3">
        <f t="shared" si="150"/>
        <v>0</v>
      </c>
      <c r="R144" s="3">
        <f t="shared" si="151"/>
        <v>-815229.51419000898</v>
      </c>
      <c r="S144" s="3">
        <f t="shared" si="152"/>
        <v>7702346.4118698956</v>
      </c>
      <c r="T144" s="3">
        <f t="shared" si="153"/>
        <v>24647750.796052888</v>
      </c>
      <c r="U144" s="47">
        <f t="shared" ca="1" si="137"/>
        <v>31825649.8898529</v>
      </c>
      <c r="V144" s="47">
        <f>IFERROR(HLOOKUP(B144-1,'EV Forecast WRZ'!$F$124:$T$130,2,FALSE)/12,0)+IFERROR(((HLOOKUP(B144,'EV Forecast WRZ'!$F$116:$T$122,2,FALSE)-HLOOKUP(B144-1,'EV Forecast WRZ'!$F$124:$T$130,2,FALSE)))*C144/78,0)</f>
        <v>823400.95453831146</v>
      </c>
      <c r="W144" s="47">
        <f ca="1">HLOOKUP(B144,Heating!$R$102:$AD$106,2,FALSE)*INDEX(Weather!$BO$1:$CB$20,MATCH(B144,Weather!$BO$1:$BO$20,0),MATCH(C144,Weather!$BO$1:$CB$1,0))/VLOOKUP(B144,Weather!$BO$2:$CB$20,14,FALSE)</f>
        <v>1095764.1350928829</v>
      </c>
      <c r="X144" s="47">
        <f t="shared" ca="1" si="127"/>
        <v>33744814.979484096</v>
      </c>
    </row>
    <row r="145" spans="1:24">
      <c r="A145" s="2">
        <f t="shared" si="130"/>
        <v>46387</v>
      </c>
      <c r="B145">
        <f t="shared" si="131"/>
        <v>2026</v>
      </c>
      <c r="C145">
        <f t="shared" si="132"/>
        <v>12</v>
      </c>
      <c r="E145" s="3">
        <f t="shared" ref="E145:F145" ca="1" si="168">E133</f>
        <v>577.92800724637686</v>
      </c>
      <c r="F145" s="3">
        <f t="shared" ca="1" si="168"/>
        <v>0</v>
      </c>
      <c r="I145" s="47">
        <f t="shared" si="134"/>
        <v>0</v>
      </c>
      <c r="J145" s="47">
        <f t="shared" si="135"/>
        <v>144</v>
      </c>
      <c r="K145" s="47">
        <f t="shared" si="136"/>
        <v>31</v>
      </c>
      <c r="M145" s="3">
        <f t="shared" si="146"/>
        <v>-6000764.6164411902</v>
      </c>
      <c r="N145" s="3">
        <f t="shared" ca="1" si="147"/>
        <v>8421654.0223026872</v>
      </c>
      <c r="O145" s="3">
        <f t="shared" ca="1" si="148"/>
        <v>0</v>
      </c>
      <c r="P145" s="3">
        <f t="shared" si="149"/>
        <v>0</v>
      </c>
      <c r="Q145" s="3">
        <f t="shared" si="150"/>
        <v>0</v>
      </c>
      <c r="R145" s="3">
        <f t="shared" si="151"/>
        <v>0</v>
      </c>
      <c r="S145" s="3">
        <f t="shared" si="152"/>
        <v>7756208.9741906635</v>
      </c>
      <c r="T145" s="3">
        <f t="shared" si="153"/>
        <v>25469342.489254653</v>
      </c>
      <c r="U145" s="47">
        <f t="shared" ca="1" si="137"/>
        <v>35646440.869306818</v>
      </c>
      <c r="V145" s="47">
        <f>IFERROR(HLOOKUP(B145-1,'EV Forecast WRZ'!$F$124:$T$130,2,FALSE)/12,0)+IFERROR(((HLOOKUP(B145,'EV Forecast WRZ'!$F$116:$T$122,2,FALSE)-HLOOKUP(B145-1,'EV Forecast WRZ'!$F$124:$T$130,2,FALSE)))*C145/78,0)</f>
        <v>838880.79026563419</v>
      </c>
      <c r="W145" s="47">
        <f ca="1">HLOOKUP(B145,Heating!$R$102:$AD$106,2,FALSE)*INDEX(Weather!$BO$1:$CB$20,MATCH(B145,Weather!$BO$1:$BO$20,0),MATCH(C145,Weather!$BO$1:$CB$1,0))/VLOOKUP(B145,Weather!$BO$2:$CB$20,14,FALSE)</f>
        <v>1484360.9470124505</v>
      </c>
      <c r="X145" s="47">
        <f t="shared" ca="1" si="127"/>
        <v>37969682.606584907</v>
      </c>
    </row>
    <row r="146" spans="1:24">
      <c r="A146" s="2">
        <f t="shared" si="130"/>
        <v>46418</v>
      </c>
      <c r="B146">
        <f t="shared" si="131"/>
        <v>2027</v>
      </c>
      <c r="C146">
        <f t="shared" si="132"/>
        <v>1</v>
      </c>
      <c r="E146" s="3">
        <f t="shared" ref="E146:F146" ca="1" si="169">E134</f>
        <v>697.33418478260876</v>
      </c>
      <c r="F146" s="3">
        <f t="shared" ca="1" si="169"/>
        <v>0</v>
      </c>
      <c r="I146" s="47">
        <f t="shared" si="134"/>
        <v>0</v>
      </c>
      <c r="J146" s="47">
        <f t="shared" si="135"/>
        <v>145</v>
      </c>
      <c r="K146" s="47">
        <f t="shared" si="136"/>
        <v>31</v>
      </c>
      <c r="M146" s="3">
        <f t="shared" si="146"/>
        <v>-6000764.6164411902</v>
      </c>
      <c r="N146" s="3">
        <f t="shared" ca="1" si="147"/>
        <v>10161658.837309167</v>
      </c>
      <c r="O146" s="3">
        <f t="shared" ca="1" si="148"/>
        <v>0</v>
      </c>
      <c r="P146" s="3">
        <f t="shared" si="149"/>
        <v>0</v>
      </c>
      <c r="Q146" s="3">
        <f t="shared" si="150"/>
        <v>0</v>
      </c>
      <c r="R146" s="3">
        <f t="shared" si="151"/>
        <v>0</v>
      </c>
      <c r="S146" s="3">
        <f t="shared" si="152"/>
        <v>7810071.5365114324</v>
      </c>
      <c r="T146" s="3">
        <f t="shared" si="153"/>
        <v>25469342.489254653</v>
      </c>
      <c r="U146" s="47">
        <f t="shared" ca="1" si="137"/>
        <v>37440308.246634066</v>
      </c>
      <c r="V146" s="47">
        <f>IFERROR(HLOOKUP(B146-1,'EV Forecast WRZ'!$F$124:$T$130,2,FALSE)/12,0)+IFERROR(((HLOOKUP(B146,'EV Forecast WRZ'!$F$116:$T$122,2,FALSE)-HLOOKUP(B146-1,'EV Forecast WRZ'!$F$124:$T$130,2,FALSE)))*C146/78,0)</f>
        <v>870461.05235154286</v>
      </c>
      <c r="W146" s="47">
        <f ca="1">HLOOKUP(B146,Heating!$R$102:$AD$106,2,FALSE)*INDEX(Weather!$BO$1:$CB$20,MATCH(B146,Weather!$BO$1:$BO$20,0),MATCH(C146,Weather!$BO$1:$CB$1,0))/VLOOKUP(B146,Weather!$BO$2:$CB$20,14,FALSE)</f>
        <v>2108596.60826723</v>
      </c>
      <c r="X146" s="47">
        <f t="shared" ca="1" si="127"/>
        <v>40419365.907252841</v>
      </c>
    </row>
    <row r="147" spans="1:24">
      <c r="A147" s="2">
        <f t="shared" si="130"/>
        <v>46446</v>
      </c>
      <c r="B147">
        <f t="shared" si="131"/>
        <v>2027</v>
      </c>
      <c r="C147">
        <f t="shared" si="132"/>
        <v>2</v>
      </c>
      <c r="E147" s="3">
        <f t="shared" ref="E147:F147" ca="1" si="170">E135</f>
        <v>624.25501811594188</v>
      </c>
      <c r="F147" s="3">
        <f t="shared" ca="1" si="170"/>
        <v>0</v>
      </c>
      <c r="I147" s="47">
        <f t="shared" si="134"/>
        <v>0</v>
      </c>
      <c r="J147" s="47">
        <f t="shared" si="135"/>
        <v>146</v>
      </c>
      <c r="K147" s="47">
        <f t="shared" si="136"/>
        <v>29</v>
      </c>
      <c r="M147" s="3">
        <f t="shared" si="146"/>
        <v>-6000764.6164411902</v>
      </c>
      <c r="N147" s="3">
        <f t="shared" ca="1" si="147"/>
        <v>9096738.2067322657</v>
      </c>
      <c r="O147" s="3">
        <f t="shared" ca="1" si="148"/>
        <v>0</v>
      </c>
      <c r="P147" s="3">
        <f t="shared" si="149"/>
        <v>0</v>
      </c>
      <c r="Q147" s="3">
        <f t="shared" si="150"/>
        <v>0</v>
      </c>
      <c r="R147" s="3">
        <f t="shared" si="151"/>
        <v>0</v>
      </c>
      <c r="S147" s="3">
        <f t="shared" si="152"/>
        <v>7863934.0988322012</v>
      </c>
      <c r="T147" s="3">
        <f t="shared" si="153"/>
        <v>23826159.102851126</v>
      </c>
      <c r="U147" s="47">
        <f t="shared" ca="1" si="137"/>
        <v>34786066.791974403</v>
      </c>
      <c r="V147" s="47">
        <f>IFERROR(HLOOKUP(B147-1,'EV Forecast WRZ'!$F$124:$T$130,2,FALSE)/12,0)+IFERROR(((HLOOKUP(B147,'EV Forecast WRZ'!$F$116:$T$122,2,FALSE)-HLOOKUP(B147-1,'EV Forecast WRZ'!$F$124:$T$130,2,FALSE)))*C147/78,0)</f>
        <v>886561.47871012858</v>
      </c>
      <c r="W147" s="47">
        <f ca="1">HLOOKUP(B147,Heating!$R$102:$AD$106,2,FALSE)*INDEX(Weather!$BO$1:$CB$20,MATCH(B147,Weather!$BO$1:$BO$20,0),MATCH(C147,Weather!$BO$1:$CB$1,0))/VLOOKUP(B147,Weather!$BO$2:$CB$20,14,FALSE)</f>
        <v>1887620.0860616425</v>
      </c>
      <c r="X147" s="47">
        <f t="shared" ca="1" si="127"/>
        <v>37560248.356746174</v>
      </c>
    </row>
    <row r="148" spans="1:24">
      <c r="A148" s="2">
        <f t="shared" si="130"/>
        <v>46477</v>
      </c>
      <c r="B148">
        <f t="shared" si="131"/>
        <v>2027</v>
      </c>
      <c r="C148">
        <f t="shared" si="132"/>
        <v>3</v>
      </c>
      <c r="E148" s="3">
        <f t="shared" ref="E148:F148" ca="1" si="171">E136</f>
        <v>546.13298913043491</v>
      </c>
      <c r="F148" s="3">
        <f t="shared" ca="1" si="171"/>
        <v>0</v>
      </c>
      <c r="I148" s="47">
        <f t="shared" si="134"/>
        <v>1</v>
      </c>
      <c r="J148" s="47">
        <f t="shared" si="135"/>
        <v>147</v>
      </c>
      <c r="K148" s="47">
        <f t="shared" si="136"/>
        <v>31</v>
      </c>
      <c r="M148" s="3">
        <f t="shared" si="146"/>
        <v>-6000764.6164411902</v>
      </c>
      <c r="N148" s="3">
        <f t="shared" ca="1" si="147"/>
        <v>7958332.2264251634</v>
      </c>
      <c r="O148" s="3">
        <f t="shared" ca="1" si="148"/>
        <v>0</v>
      </c>
      <c r="P148" s="3">
        <f t="shared" si="149"/>
        <v>0</v>
      </c>
      <c r="Q148" s="3">
        <f t="shared" si="150"/>
        <v>0</v>
      </c>
      <c r="R148" s="3">
        <f t="shared" si="151"/>
        <v>-815229.51419000898</v>
      </c>
      <c r="S148" s="3">
        <f t="shared" si="152"/>
        <v>7917796.6611529691</v>
      </c>
      <c r="T148" s="3">
        <f t="shared" si="153"/>
        <v>25469342.489254653</v>
      </c>
      <c r="U148" s="47">
        <f t="shared" ca="1" si="137"/>
        <v>34529477.24620159</v>
      </c>
      <c r="V148" s="47">
        <f>IFERROR(HLOOKUP(B148-1,'EV Forecast WRZ'!$F$124:$T$130,2,FALSE)/12,0)+IFERROR(((HLOOKUP(B148,'EV Forecast WRZ'!$F$116:$T$122,2,FALSE)-HLOOKUP(B148-1,'EV Forecast WRZ'!$F$124:$T$130,2,FALSE)))*C148/78,0)</f>
        <v>902661.9050687144</v>
      </c>
      <c r="W148" s="47">
        <f ca="1">HLOOKUP(B148,Heating!$R$102:$AD$106,2,FALSE)*INDEX(Weather!$BO$1:$CB$20,MATCH(B148,Weather!$BO$1:$BO$20,0),MATCH(C148,Weather!$BO$1:$CB$1,0))/VLOOKUP(B148,Weather!$BO$2:$CB$20,14,FALSE)</f>
        <v>1651394.9748530942</v>
      </c>
      <c r="X148" s="47">
        <f t="shared" ca="1" si="127"/>
        <v>37083534.126123399</v>
      </c>
    </row>
    <row r="149" spans="1:24">
      <c r="A149" s="2">
        <f t="shared" si="130"/>
        <v>46507</v>
      </c>
      <c r="B149">
        <f t="shared" si="131"/>
        <v>2027</v>
      </c>
      <c r="C149">
        <f t="shared" si="132"/>
        <v>4</v>
      </c>
      <c r="E149" s="3">
        <f t="shared" ref="E149:F149" ca="1" si="172">E137</f>
        <v>352.41399621212122</v>
      </c>
      <c r="F149" s="3">
        <f t="shared" ca="1" si="172"/>
        <v>2.1908333333333347</v>
      </c>
      <c r="I149" s="47">
        <f t="shared" si="134"/>
        <v>1</v>
      </c>
      <c r="J149" s="47">
        <f t="shared" si="135"/>
        <v>148</v>
      </c>
      <c r="K149" s="47">
        <f t="shared" si="136"/>
        <v>30</v>
      </c>
      <c r="M149" s="3">
        <f t="shared" si="146"/>
        <v>-6000764.6164411902</v>
      </c>
      <c r="N149" s="3">
        <f t="shared" ca="1" si="147"/>
        <v>5135429.8658350417</v>
      </c>
      <c r="O149" s="3">
        <f t="shared" ca="1" si="148"/>
        <v>202274.20050016907</v>
      </c>
      <c r="P149" s="3">
        <f t="shared" si="149"/>
        <v>0</v>
      </c>
      <c r="Q149" s="3">
        <f t="shared" si="150"/>
        <v>0</v>
      </c>
      <c r="R149" s="3">
        <f t="shared" si="151"/>
        <v>-815229.51419000898</v>
      </c>
      <c r="S149" s="3">
        <f t="shared" si="152"/>
        <v>7971659.2234737379</v>
      </c>
      <c r="T149" s="3">
        <f t="shared" si="153"/>
        <v>24647750.796052888</v>
      </c>
      <c r="U149" s="47">
        <f t="shared" ca="1" si="137"/>
        <v>31141119.955230638</v>
      </c>
      <c r="V149" s="47">
        <f>IFERROR(HLOOKUP(B149-1,'EV Forecast WRZ'!$F$124:$T$130,2,FALSE)/12,0)+IFERROR(((HLOOKUP(B149,'EV Forecast WRZ'!$F$116:$T$122,2,FALSE)-HLOOKUP(B149-1,'EV Forecast WRZ'!$F$124:$T$130,2,FALSE)))*C149/78,0)</f>
        <v>918762.33142730012</v>
      </c>
      <c r="W149" s="47">
        <f ca="1">HLOOKUP(B149,Heating!$R$102:$AD$106,2,FALSE)*INDEX(Weather!$BO$1:$CB$20,MATCH(B149,Weather!$BO$1:$BO$20,0),MATCH(C149,Weather!$BO$1:$CB$1,0))/VLOOKUP(B149,Weather!$BO$2:$CB$20,14,FALSE)</f>
        <v>1065628.1784757727</v>
      </c>
      <c r="X149" s="47">
        <f t="shared" ca="1" si="127"/>
        <v>33125510.465133708</v>
      </c>
    </row>
    <row r="150" spans="1:24">
      <c r="A150" s="2">
        <f t="shared" si="130"/>
        <v>46538</v>
      </c>
      <c r="B150">
        <f t="shared" si="131"/>
        <v>2027</v>
      </c>
      <c r="C150">
        <f t="shared" si="132"/>
        <v>5</v>
      </c>
      <c r="E150" s="3">
        <f t="shared" ref="E150:F150" ca="1" si="173">E138</f>
        <v>150.136897859768</v>
      </c>
      <c r="F150" s="3">
        <f t="shared" ca="1" si="173"/>
        <v>52.487435064935063</v>
      </c>
      <c r="I150" s="47">
        <f t="shared" si="134"/>
        <v>1</v>
      </c>
      <c r="J150" s="47">
        <f t="shared" si="135"/>
        <v>149</v>
      </c>
      <c r="K150" s="47">
        <f t="shared" si="136"/>
        <v>31</v>
      </c>
      <c r="M150" s="3">
        <f t="shared" si="146"/>
        <v>-6000764.6164411902</v>
      </c>
      <c r="N150" s="3">
        <f t="shared" ca="1" si="147"/>
        <v>2187817.503050575</v>
      </c>
      <c r="O150" s="3">
        <f t="shared" ca="1" si="148"/>
        <v>4846034.5214443235</v>
      </c>
      <c r="P150" s="3">
        <f t="shared" si="149"/>
        <v>0</v>
      </c>
      <c r="Q150" s="3">
        <f t="shared" si="150"/>
        <v>0</v>
      </c>
      <c r="R150" s="3">
        <f t="shared" si="151"/>
        <v>-815229.51419000898</v>
      </c>
      <c r="S150" s="3">
        <f t="shared" si="152"/>
        <v>8025521.7857945058</v>
      </c>
      <c r="T150" s="3">
        <f t="shared" si="153"/>
        <v>25469342.489254653</v>
      </c>
      <c r="U150" s="47">
        <f t="shared" ca="1" si="137"/>
        <v>33712722.168912858</v>
      </c>
      <c r="V150" s="47">
        <f>IFERROR(HLOOKUP(B150-1,'EV Forecast WRZ'!$F$124:$T$130,2,FALSE)/12,0)+IFERROR(((HLOOKUP(B150,'EV Forecast WRZ'!$F$116:$T$122,2,FALSE)-HLOOKUP(B150-1,'EV Forecast WRZ'!$F$124:$T$130,2,FALSE)))*C150/78,0)</f>
        <v>934862.75778588594</v>
      </c>
      <c r="W150" s="47">
        <f ca="1">HLOOKUP(B150,Heating!$R$102:$AD$106,2,FALSE)*INDEX(Weather!$BO$1:$CB$20,MATCH(B150,Weather!$BO$1:$BO$20,0),MATCH(C150,Weather!$BO$1:$CB$1,0))/VLOOKUP(B150,Weather!$BO$2:$CB$20,14,FALSE)</f>
        <v>453983.41356456286</v>
      </c>
      <c r="X150" s="47">
        <f t="shared" ca="1" si="127"/>
        <v>35101568.340263307</v>
      </c>
    </row>
    <row r="151" spans="1:24">
      <c r="A151" s="2">
        <f t="shared" si="130"/>
        <v>46568</v>
      </c>
      <c r="B151">
        <f t="shared" si="131"/>
        <v>2027</v>
      </c>
      <c r="C151">
        <f t="shared" si="132"/>
        <v>6</v>
      </c>
      <c r="E151" s="3">
        <f t="shared" ref="E151:F151" ca="1" si="174">E139</f>
        <v>32.520923826173821</v>
      </c>
      <c r="F151" s="3">
        <f t="shared" ca="1" si="174"/>
        <v>137.65451754405018</v>
      </c>
      <c r="I151" s="47">
        <f t="shared" si="134"/>
        <v>0</v>
      </c>
      <c r="J151" s="47">
        <f t="shared" si="135"/>
        <v>150</v>
      </c>
      <c r="K151" s="47">
        <f t="shared" si="136"/>
        <v>30</v>
      </c>
      <c r="M151" s="3">
        <f t="shared" si="146"/>
        <v>-6000764.6164411902</v>
      </c>
      <c r="N151" s="3">
        <f t="shared" ca="1" si="147"/>
        <v>473899.80328975141</v>
      </c>
      <c r="O151" s="3">
        <f t="shared" ca="1" si="148"/>
        <v>12709299.72527618</v>
      </c>
      <c r="P151" s="3">
        <f t="shared" si="149"/>
        <v>0</v>
      </c>
      <c r="Q151" s="3">
        <f t="shared" si="150"/>
        <v>0</v>
      </c>
      <c r="R151" s="3">
        <f t="shared" si="151"/>
        <v>0</v>
      </c>
      <c r="S151" s="3">
        <f t="shared" si="152"/>
        <v>8079384.3481152747</v>
      </c>
      <c r="T151" s="3">
        <f t="shared" si="153"/>
        <v>24647750.796052888</v>
      </c>
      <c r="U151" s="47">
        <f t="shared" ca="1" si="137"/>
        <v>39909570.056292906</v>
      </c>
      <c r="V151" s="47">
        <f>IFERROR(HLOOKUP(B151-1,'EV Forecast WRZ'!$F$124:$T$130,2,FALSE)/12,0)+IFERROR(((HLOOKUP(B151,'EV Forecast WRZ'!$F$116:$T$122,2,FALSE)-HLOOKUP(B151-1,'EV Forecast WRZ'!$F$124:$T$130,2,FALSE)))*C151/78,0)</f>
        <v>950963.18414447166</v>
      </c>
      <c r="W151" s="47">
        <f ca="1">HLOOKUP(B151,Heating!$R$102:$AD$106,2,FALSE)*INDEX(Weather!$BO$1:$CB$20,MATCH(B151,Weather!$BO$1:$BO$20,0),MATCH(C151,Weather!$BO$1:$CB$1,0))/VLOOKUP(B151,Weather!$BO$2:$CB$20,14,FALSE)</f>
        <v>98336.652890413796</v>
      </c>
      <c r="X151" s="47">
        <f t="shared" ca="1" si="127"/>
        <v>40958869.893327795</v>
      </c>
    </row>
    <row r="152" spans="1:24">
      <c r="A152" s="2">
        <f t="shared" si="130"/>
        <v>46599</v>
      </c>
      <c r="B152">
        <f t="shared" si="131"/>
        <v>2027</v>
      </c>
      <c r="C152">
        <f t="shared" si="132"/>
        <v>7</v>
      </c>
      <c r="E152" s="3">
        <f t="shared" ref="E152:F152" ca="1" si="175">E140</f>
        <v>1.6179166666666653</v>
      </c>
      <c r="F152" s="3">
        <f t="shared" ca="1" si="175"/>
        <v>235.94737858727848</v>
      </c>
      <c r="I152" s="47">
        <f t="shared" si="134"/>
        <v>0</v>
      </c>
      <c r="J152" s="47">
        <f t="shared" si="135"/>
        <v>151</v>
      </c>
      <c r="K152" s="47">
        <f t="shared" si="136"/>
        <v>31</v>
      </c>
      <c r="M152" s="3">
        <f t="shared" si="146"/>
        <v>-6000764.6164411902</v>
      </c>
      <c r="N152" s="3">
        <f t="shared" ca="1" si="147"/>
        <v>23576.525506186736</v>
      </c>
      <c r="O152" s="3">
        <f t="shared" ca="1" si="148"/>
        <v>21784435.464672089</v>
      </c>
      <c r="P152" s="3">
        <f t="shared" si="149"/>
        <v>0</v>
      </c>
      <c r="Q152" s="3">
        <f t="shared" si="150"/>
        <v>0</v>
      </c>
      <c r="R152" s="3">
        <f t="shared" si="151"/>
        <v>0</v>
      </c>
      <c r="S152" s="3">
        <f t="shared" si="152"/>
        <v>8133246.9104360435</v>
      </c>
      <c r="T152" s="3">
        <f t="shared" si="153"/>
        <v>25469342.489254653</v>
      </c>
      <c r="U152" s="47">
        <f t="shared" ca="1" si="137"/>
        <v>49409836.773427784</v>
      </c>
      <c r="V152" s="47">
        <f>IFERROR(HLOOKUP(B152-1,'EV Forecast WRZ'!$F$124:$T$130,2,FALSE)/12,0)+IFERROR(((HLOOKUP(B152,'EV Forecast WRZ'!$F$116:$T$122,2,FALSE)-HLOOKUP(B152-1,'EV Forecast WRZ'!$F$124:$T$130,2,FALSE)))*C152/78,0)</f>
        <v>967063.61050305748</v>
      </c>
      <c r="W152" s="47">
        <f ca="1">HLOOKUP(B152,Heating!$R$102:$AD$106,2,FALSE)*INDEX(Weather!$BO$1:$CB$20,MATCH(B152,Weather!$BO$1:$BO$20,0),MATCH(C152,Weather!$BO$1:$CB$1,0))/VLOOKUP(B152,Weather!$BO$2:$CB$20,14,FALSE)</f>
        <v>4892.2506170493934</v>
      </c>
      <c r="X152" s="47">
        <f t="shared" ca="1" si="127"/>
        <v>50381792.634547889</v>
      </c>
    </row>
    <row r="153" spans="1:24">
      <c r="A153" s="2">
        <f t="shared" si="130"/>
        <v>46630</v>
      </c>
      <c r="B153">
        <f t="shared" si="131"/>
        <v>2027</v>
      </c>
      <c r="C153">
        <f t="shared" si="132"/>
        <v>8</v>
      </c>
      <c r="E153" s="3">
        <f t="shared" ref="E153:F153" ca="1" si="176">E141</f>
        <v>5.6499999999999977</v>
      </c>
      <c r="F153" s="3">
        <f t="shared" ca="1" si="176"/>
        <v>210.96558794466404</v>
      </c>
      <c r="I153" s="47">
        <f t="shared" si="134"/>
        <v>0</v>
      </c>
      <c r="J153" s="47">
        <f t="shared" si="135"/>
        <v>152</v>
      </c>
      <c r="K153" s="47">
        <f t="shared" si="136"/>
        <v>31</v>
      </c>
      <c r="M153" s="3">
        <f t="shared" si="146"/>
        <v>-6000764.6164411902</v>
      </c>
      <c r="N153" s="3">
        <f t="shared" ca="1" si="147"/>
        <v>82332.651523021443</v>
      </c>
      <c r="O153" s="3">
        <f t="shared" ca="1" si="148"/>
        <v>19477928.77956105</v>
      </c>
      <c r="P153" s="3">
        <f t="shared" si="149"/>
        <v>0</v>
      </c>
      <c r="Q153" s="3">
        <f t="shared" si="150"/>
        <v>0</v>
      </c>
      <c r="R153" s="3">
        <f t="shared" si="151"/>
        <v>0</v>
      </c>
      <c r="S153" s="3">
        <f t="shared" si="152"/>
        <v>8187109.4727568114</v>
      </c>
      <c r="T153" s="3">
        <f t="shared" si="153"/>
        <v>25469342.489254653</v>
      </c>
      <c r="U153" s="47">
        <f t="shared" ca="1" si="137"/>
        <v>47215948.776654348</v>
      </c>
      <c r="V153" s="47">
        <f>IFERROR(HLOOKUP(B153-1,'EV Forecast WRZ'!$F$124:$T$130,2,FALSE)/12,0)+IFERROR(((HLOOKUP(B153,'EV Forecast WRZ'!$F$116:$T$122,2,FALSE)-HLOOKUP(B153-1,'EV Forecast WRZ'!$F$124:$T$130,2,FALSE)))*C153/78,0)</f>
        <v>983164.0368616432</v>
      </c>
      <c r="W153" s="47">
        <f ca="1">HLOOKUP(B153,Heating!$R$102:$AD$106,2,FALSE)*INDEX(Weather!$BO$1:$CB$20,MATCH(B153,Weather!$BO$1:$BO$20,0),MATCH(C153,Weather!$BO$1:$CB$1,0))/VLOOKUP(B153,Weather!$BO$2:$CB$20,14,FALSE)</f>
        <v>17084.449746894101</v>
      </c>
      <c r="X153" s="47">
        <f t="shared" ca="1" si="127"/>
        <v>48216197.263262883</v>
      </c>
    </row>
    <row r="154" spans="1:24">
      <c r="A154" s="2">
        <f t="shared" si="130"/>
        <v>46660</v>
      </c>
      <c r="B154">
        <f t="shared" si="131"/>
        <v>2027</v>
      </c>
      <c r="C154">
        <f t="shared" si="132"/>
        <v>9</v>
      </c>
      <c r="E154" s="3">
        <f t="shared" ref="E154:F154" ca="1" si="177">E142</f>
        <v>54.959440993788824</v>
      </c>
      <c r="F154" s="3">
        <f t="shared" ca="1" si="177"/>
        <v>106.4160119047619</v>
      </c>
      <c r="I154" s="47">
        <f t="shared" si="134"/>
        <v>1</v>
      </c>
      <c r="J154" s="47">
        <f t="shared" si="135"/>
        <v>153</v>
      </c>
      <c r="K154" s="47">
        <f t="shared" si="136"/>
        <v>30</v>
      </c>
      <c r="M154" s="3">
        <f t="shared" si="146"/>
        <v>-6000764.6164411902</v>
      </c>
      <c r="N154" s="3">
        <f t="shared" ca="1" si="147"/>
        <v>800877.25721091626</v>
      </c>
      <c r="O154" s="3">
        <f t="shared" ca="1" si="148"/>
        <v>9825126.083736252</v>
      </c>
      <c r="P154" s="3">
        <f t="shared" si="149"/>
        <v>0</v>
      </c>
      <c r="Q154" s="3">
        <f t="shared" si="150"/>
        <v>0</v>
      </c>
      <c r="R154" s="3">
        <f t="shared" si="151"/>
        <v>-815229.51419000898</v>
      </c>
      <c r="S154" s="3">
        <f t="shared" si="152"/>
        <v>8240972.0350775803</v>
      </c>
      <c r="T154" s="3">
        <f t="shared" si="153"/>
        <v>24647750.796052888</v>
      </c>
      <c r="U154" s="47">
        <f t="shared" ca="1" si="137"/>
        <v>36698732.041446432</v>
      </c>
      <c r="V154" s="47">
        <f>IFERROR(HLOOKUP(B154-1,'EV Forecast WRZ'!$F$124:$T$130,2,FALSE)/12,0)+IFERROR(((HLOOKUP(B154,'EV Forecast WRZ'!$F$116:$T$122,2,FALSE)-HLOOKUP(B154-1,'EV Forecast WRZ'!$F$124:$T$130,2,FALSE)))*C154/78,0)</f>
        <v>999264.46322022891</v>
      </c>
      <c r="W154" s="47">
        <f ca="1">HLOOKUP(B154,Heating!$R$102:$AD$106,2,FALSE)*INDEX(Weather!$BO$1:$CB$20,MATCH(B154,Weather!$BO$1:$BO$20,0),MATCH(C154,Weather!$BO$1:$CB$1,0))/VLOOKUP(B154,Weather!$BO$2:$CB$20,14,FALSE)</f>
        <v>166186.16066827916</v>
      </c>
      <c r="X154" s="47">
        <f t="shared" ca="1" si="127"/>
        <v>37864182.66533494</v>
      </c>
    </row>
    <row r="155" spans="1:24">
      <c r="A155" s="2">
        <f t="shared" si="130"/>
        <v>46691</v>
      </c>
      <c r="B155">
        <f t="shared" si="131"/>
        <v>2027</v>
      </c>
      <c r="C155">
        <f t="shared" si="132"/>
        <v>10</v>
      </c>
      <c r="E155" s="3">
        <f t="shared" ref="E155:F155" ca="1" si="178">E143</f>
        <v>237.89681159420289</v>
      </c>
      <c r="F155" s="3">
        <f t="shared" ca="1" si="178"/>
        <v>17.987083333333334</v>
      </c>
      <c r="I155" s="47">
        <f t="shared" si="134"/>
        <v>1</v>
      </c>
      <c r="J155" s="47">
        <f t="shared" si="135"/>
        <v>154</v>
      </c>
      <c r="K155" s="47">
        <f t="shared" si="136"/>
        <v>31</v>
      </c>
      <c r="M155" s="3">
        <f t="shared" si="146"/>
        <v>-6000764.6164411902</v>
      </c>
      <c r="N155" s="3">
        <f t="shared" ca="1" si="147"/>
        <v>3466668.1924643191</v>
      </c>
      <c r="O155" s="3">
        <f t="shared" ca="1" si="148"/>
        <v>1660702.731341155</v>
      </c>
      <c r="P155" s="3">
        <f t="shared" si="149"/>
        <v>0</v>
      </c>
      <c r="Q155" s="3">
        <f t="shared" si="150"/>
        <v>0</v>
      </c>
      <c r="R155" s="3">
        <f t="shared" si="151"/>
        <v>-815229.51419000898</v>
      </c>
      <c r="S155" s="3">
        <f t="shared" si="152"/>
        <v>8294834.5973983491</v>
      </c>
      <c r="T155" s="3">
        <f t="shared" si="153"/>
        <v>25469342.489254653</v>
      </c>
      <c r="U155" s="47">
        <f t="shared" ca="1" si="137"/>
        <v>32075553.879827276</v>
      </c>
      <c r="V155" s="47">
        <f>IFERROR(HLOOKUP(B155-1,'EV Forecast WRZ'!$F$124:$T$130,2,FALSE)/12,0)+IFERROR(((HLOOKUP(B155,'EV Forecast WRZ'!$F$116:$T$122,2,FALSE)-HLOOKUP(B155-1,'EV Forecast WRZ'!$F$124:$T$130,2,FALSE)))*C155/78,0)</f>
        <v>1015364.8895788147</v>
      </c>
      <c r="W155" s="47">
        <f ca="1">HLOOKUP(B155,Heating!$R$102:$AD$106,2,FALSE)*INDEX(Weather!$BO$1:$CB$20,MATCH(B155,Weather!$BO$1:$BO$20,0),MATCH(C155,Weather!$BO$1:$CB$1,0))/VLOOKUP(B155,Weather!$BO$2:$CB$20,14,FALSE)</f>
        <v>719351.52612876019</v>
      </c>
      <c r="X155" s="47">
        <f t="shared" ca="1" si="127"/>
        <v>33810270.295534849</v>
      </c>
    </row>
    <row r="156" spans="1:24">
      <c r="A156" s="2">
        <f t="shared" si="130"/>
        <v>46721</v>
      </c>
      <c r="B156">
        <f t="shared" si="131"/>
        <v>2027</v>
      </c>
      <c r="C156">
        <f t="shared" si="132"/>
        <v>11</v>
      </c>
      <c r="E156" s="3">
        <f t="shared" ref="E156:F156" ca="1" si="179">E144</f>
        <v>426.62991389045737</v>
      </c>
      <c r="F156" s="3">
        <f t="shared" ca="1" si="179"/>
        <v>0.8083333333333329</v>
      </c>
      <c r="I156" s="47">
        <f t="shared" si="134"/>
        <v>1</v>
      </c>
      <c r="J156" s="47">
        <f t="shared" si="135"/>
        <v>155</v>
      </c>
      <c r="K156" s="47">
        <f t="shared" si="136"/>
        <v>30</v>
      </c>
      <c r="M156" s="3">
        <f t="shared" si="146"/>
        <v>-6000764.6164411902</v>
      </c>
      <c r="N156" s="3">
        <f t="shared" ca="1" si="147"/>
        <v>6216915.4034760511</v>
      </c>
      <c r="O156" s="3">
        <f t="shared" ca="1" si="148"/>
        <v>74631.409085265797</v>
      </c>
      <c r="P156" s="3">
        <f t="shared" si="149"/>
        <v>0</v>
      </c>
      <c r="Q156" s="3">
        <f t="shared" si="150"/>
        <v>0</v>
      </c>
      <c r="R156" s="3">
        <f t="shared" si="151"/>
        <v>-815229.51419000898</v>
      </c>
      <c r="S156" s="3">
        <f t="shared" si="152"/>
        <v>8348697.159719117</v>
      </c>
      <c r="T156" s="3">
        <f t="shared" si="153"/>
        <v>24647750.796052888</v>
      </c>
      <c r="U156" s="47">
        <f t="shared" ca="1" si="137"/>
        <v>32472000.637702122</v>
      </c>
      <c r="V156" s="47">
        <f>IFERROR(HLOOKUP(B156-1,'EV Forecast WRZ'!$F$124:$T$130,2,FALSE)/12,0)+IFERROR(((HLOOKUP(B156,'EV Forecast WRZ'!$F$116:$T$122,2,FALSE)-HLOOKUP(B156-1,'EV Forecast WRZ'!$F$124:$T$130,2,FALSE)))*C156/78,0)</f>
        <v>1031465.3159374006</v>
      </c>
      <c r="W156" s="47">
        <f ca="1">HLOOKUP(B156,Heating!$R$102:$AD$106,2,FALSE)*INDEX(Weather!$BO$1:$CB$20,MATCH(B156,Weather!$BO$1:$BO$20,0),MATCH(C156,Weather!$BO$1:$CB$1,0))/VLOOKUP(B156,Weather!$BO$2:$CB$20,14,FALSE)</f>
        <v>1290042.0043156247</v>
      </c>
      <c r="X156" s="47">
        <f t="shared" ca="1" si="127"/>
        <v>34793507.957955144</v>
      </c>
    </row>
    <row r="157" spans="1:24">
      <c r="A157" s="2">
        <f t="shared" si="130"/>
        <v>46752</v>
      </c>
      <c r="B157">
        <f t="shared" si="131"/>
        <v>2027</v>
      </c>
      <c r="C157">
        <f t="shared" si="132"/>
        <v>12</v>
      </c>
      <c r="E157" s="3">
        <f t="shared" ref="E157:F157" ca="1" si="180">E145</f>
        <v>577.92800724637686</v>
      </c>
      <c r="F157" s="3">
        <f t="shared" ca="1" si="180"/>
        <v>0</v>
      </c>
      <c r="I157" s="47">
        <f t="shared" si="134"/>
        <v>0</v>
      </c>
      <c r="J157" s="47">
        <f t="shared" si="135"/>
        <v>156</v>
      </c>
      <c r="K157" s="47">
        <f t="shared" si="136"/>
        <v>31</v>
      </c>
      <c r="M157" s="3">
        <f t="shared" si="146"/>
        <v>-6000764.6164411902</v>
      </c>
      <c r="N157" s="3">
        <f t="shared" ca="1" si="147"/>
        <v>8421654.0223026872</v>
      </c>
      <c r="O157" s="3">
        <f t="shared" ca="1" si="148"/>
        <v>0</v>
      </c>
      <c r="P157" s="3">
        <f t="shared" si="149"/>
        <v>0</v>
      </c>
      <c r="Q157" s="3">
        <f t="shared" si="150"/>
        <v>0</v>
      </c>
      <c r="R157" s="3">
        <f t="shared" si="151"/>
        <v>0</v>
      </c>
      <c r="S157" s="3">
        <f t="shared" si="152"/>
        <v>8402559.7220398858</v>
      </c>
      <c r="T157" s="3">
        <f t="shared" si="153"/>
        <v>25469342.489254653</v>
      </c>
      <c r="U157" s="47">
        <f t="shared" ca="1" si="137"/>
        <v>36292791.617156036</v>
      </c>
      <c r="V157" s="47">
        <f>IFERROR(HLOOKUP(B157-1,'EV Forecast WRZ'!$F$124:$T$130,2,FALSE)/12,0)+IFERROR(((HLOOKUP(B157,'EV Forecast WRZ'!$F$116:$T$122,2,FALSE)-HLOOKUP(B157-1,'EV Forecast WRZ'!$F$124:$T$130,2,FALSE)))*C157/78,0)</f>
        <v>1047565.7422959863</v>
      </c>
      <c r="W157" s="47">
        <f ca="1">HLOOKUP(B157,Heating!$R$102:$AD$106,2,FALSE)*INDEX(Weather!$BO$1:$CB$20,MATCH(B157,Weather!$BO$1:$BO$20,0),MATCH(C157,Weather!$BO$1:$CB$1,0))/VLOOKUP(B157,Weather!$BO$2:$CB$20,14,FALSE)</f>
        <v>1747536.6366590054</v>
      </c>
      <c r="X157" s="47">
        <f t="shared" ca="1" si="127"/>
        <v>39087893.996111028</v>
      </c>
    </row>
    <row r="158" spans="1:24">
      <c r="A158" s="2">
        <f t="shared" si="130"/>
        <v>46783</v>
      </c>
      <c r="B158">
        <f t="shared" si="131"/>
        <v>2028</v>
      </c>
      <c r="C158">
        <f t="shared" si="132"/>
        <v>1</v>
      </c>
      <c r="E158" s="3">
        <f t="shared" ref="E158:F158" ca="1" si="181">E146</f>
        <v>697.33418478260876</v>
      </c>
      <c r="F158" s="3">
        <f t="shared" ca="1" si="181"/>
        <v>0</v>
      </c>
      <c r="I158" s="47">
        <f t="shared" si="134"/>
        <v>0</v>
      </c>
      <c r="J158" s="47">
        <f t="shared" si="135"/>
        <v>157</v>
      </c>
      <c r="K158" s="47">
        <f t="shared" si="136"/>
        <v>31</v>
      </c>
      <c r="M158" s="3">
        <f t="shared" si="146"/>
        <v>-6000764.6164411902</v>
      </c>
      <c r="N158" s="3">
        <f t="shared" ca="1" si="147"/>
        <v>10161658.837309167</v>
      </c>
      <c r="O158" s="3">
        <f t="shared" ca="1" si="148"/>
        <v>0</v>
      </c>
      <c r="P158" s="3">
        <f t="shared" si="149"/>
        <v>0</v>
      </c>
      <c r="Q158" s="3">
        <f t="shared" si="150"/>
        <v>0</v>
      </c>
      <c r="R158" s="3">
        <f t="shared" si="151"/>
        <v>0</v>
      </c>
      <c r="S158" s="3">
        <f t="shared" si="152"/>
        <v>8456422.2843606547</v>
      </c>
      <c r="T158" s="3">
        <f t="shared" si="153"/>
        <v>25469342.489254653</v>
      </c>
      <c r="U158" s="47">
        <f t="shared" ca="1" si="137"/>
        <v>38086658.994483285</v>
      </c>
      <c r="V158" s="47">
        <f>IFERROR(HLOOKUP(B158-1,'EV Forecast WRZ'!$F$124:$T$130,2,FALSE)/12,0)+IFERROR(((HLOOKUP(B158,'EV Forecast WRZ'!$F$116:$T$122,2,FALSE)-HLOOKUP(B158-1,'EV Forecast WRZ'!$F$124:$T$130,2,FALSE)))*C158/78,0)</f>
        <v>1093536.6094174313</v>
      </c>
      <c r="W158" s="47">
        <f ca="1">HLOOKUP(B158,Heating!$R$102:$AD$106,2,FALSE)*INDEX(Weather!$BO$1:$CB$20,MATCH(B158,Weather!$BO$1:$BO$20,0),MATCH(C158,Weather!$BO$1:$CB$1,0))/VLOOKUP(B158,Weather!$BO$2:$CB$20,14,FALSE)</f>
        <v>2444637.6903584651</v>
      </c>
      <c r="X158" s="47">
        <f t="shared" ca="1" si="127"/>
        <v>41624833.294259183</v>
      </c>
    </row>
    <row r="159" spans="1:24">
      <c r="A159" s="2">
        <f t="shared" si="130"/>
        <v>46812</v>
      </c>
      <c r="B159">
        <f t="shared" si="131"/>
        <v>2028</v>
      </c>
      <c r="C159">
        <f t="shared" si="132"/>
        <v>2</v>
      </c>
      <c r="E159" s="3">
        <f t="shared" ref="E159:F159" ca="1" si="182">E147</f>
        <v>624.25501811594188</v>
      </c>
      <c r="F159" s="3">
        <f t="shared" ca="1" si="182"/>
        <v>0</v>
      </c>
      <c r="I159" s="47">
        <f t="shared" si="134"/>
        <v>0</v>
      </c>
      <c r="J159" s="47">
        <f t="shared" si="135"/>
        <v>158</v>
      </c>
      <c r="K159" s="47">
        <f t="shared" si="136"/>
        <v>28</v>
      </c>
      <c r="M159" s="3">
        <f t="shared" si="146"/>
        <v>-6000764.6164411902</v>
      </c>
      <c r="N159" s="3">
        <f t="shared" ca="1" si="147"/>
        <v>9096738.2067322657</v>
      </c>
      <c r="O159" s="3">
        <f t="shared" ca="1" si="148"/>
        <v>0</v>
      </c>
      <c r="P159" s="3">
        <f t="shared" si="149"/>
        <v>0</v>
      </c>
      <c r="Q159" s="3">
        <f t="shared" si="150"/>
        <v>0</v>
      </c>
      <c r="R159" s="3">
        <f t="shared" si="151"/>
        <v>0</v>
      </c>
      <c r="S159" s="3">
        <f t="shared" si="152"/>
        <v>8510284.8466814235</v>
      </c>
      <c r="T159" s="3">
        <f t="shared" si="153"/>
        <v>23004567.409649365</v>
      </c>
      <c r="U159" s="47">
        <f t="shared" ca="1" si="137"/>
        <v>34610825.846621864</v>
      </c>
      <c r="V159" s="47">
        <f>IFERROR(HLOOKUP(B159-1,'EV Forecast WRZ'!$F$124:$T$130,2,FALSE)/12,0)+IFERROR(((HLOOKUP(B159,'EV Forecast WRZ'!$F$116:$T$122,2,FALSE)-HLOOKUP(B159-1,'EV Forecast WRZ'!$F$124:$T$130,2,FALSE)))*C159/78,0)</f>
        <v>1110241.9201802909</v>
      </c>
      <c r="W159" s="47">
        <f ca="1">HLOOKUP(B159,Heating!$R$102:$AD$106,2,FALSE)*INDEX(Weather!$BO$1:$CB$20,MATCH(B159,Weather!$BO$1:$BO$20,0),MATCH(C159,Weather!$BO$1:$CB$1,0))/VLOOKUP(B159,Weather!$BO$2:$CB$20,14,FALSE)</f>
        <v>2188444.7643383304</v>
      </c>
      <c r="X159" s="47">
        <f t="shared" ca="1" si="127"/>
        <v>37909512.531140484</v>
      </c>
    </row>
    <row r="160" spans="1:24">
      <c r="A160" s="2">
        <f t="shared" si="130"/>
        <v>46843</v>
      </c>
      <c r="B160">
        <f t="shared" si="131"/>
        <v>2028</v>
      </c>
      <c r="C160">
        <f t="shared" si="132"/>
        <v>3</v>
      </c>
      <c r="E160" s="3">
        <f t="shared" ref="E160:F160" ca="1" si="183">E148</f>
        <v>546.13298913043491</v>
      </c>
      <c r="F160" s="3">
        <f t="shared" ca="1" si="183"/>
        <v>0</v>
      </c>
      <c r="I160" s="47">
        <f t="shared" si="134"/>
        <v>1</v>
      </c>
      <c r="J160" s="47">
        <f t="shared" si="135"/>
        <v>159</v>
      </c>
      <c r="K160" s="47">
        <f t="shared" si="136"/>
        <v>31</v>
      </c>
      <c r="M160" s="3">
        <f t="shared" si="146"/>
        <v>-6000764.6164411902</v>
      </c>
      <c r="N160" s="3">
        <f t="shared" ca="1" si="147"/>
        <v>7958332.2264251634</v>
      </c>
      <c r="O160" s="3">
        <f t="shared" ca="1" si="148"/>
        <v>0</v>
      </c>
      <c r="P160" s="3">
        <f t="shared" si="149"/>
        <v>0</v>
      </c>
      <c r="Q160" s="3">
        <f t="shared" si="150"/>
        <v>0</v>
      </c>
      <c r="R160" s="3">
        <f t="shared" si="151"/>
        <v>-815229.51419000898</v>
      </c>
      <c r="S160" s="3">
        <f t="shared" si="152"/>
        <v>8564147.4090021905</v>
      </c>
      <c r="T160" s="3">
        <f t="shared" si="153"/>
        <v>25469342.489254653</v>
      </c>
      <c r="U160" s="47">
        <f t="shared" ca="1" si="137"/>
        <v>35175827.994050808</v>
      </c>
      <c r="V160" s="47">
        <f>IFERROR(HLOOKUP(B160-1,'EV Forecast WRZ'!$F$124:$T$130,2,FALSE)/12,0)+IFERROR(((HLOOKUP(B160,'EV Forecast WRZ'!$F$116:$T$122,2,FALSE)-HLOOKUP(B160-1,'EV Forecast WRZ'!$F$124:$T$130,2,FALSE)))*C160/78,0)</f>
        <v>1126947.2309431506</v>
      </c>
      <c r="W160" s="47">
        <f ca="1">HLOOKUP(B160,Heating!$R$102:$AD$106,2,FALSE)*INDEX(Weather!$BO$1:$CB$20,MATCH(B160,Weather!$BO$1:$BO$20,0),MATCH(C160,Weather!$BO$1:$CB$1,0))/VLOOKUP(B160,Weather!$BO$2:$CB$20,14,FALSE)</f>
        <v>1914573.1247817753</v>
      </c>
      <c r="X160" s="47">
        <f t="shared" ca="1" si="127"/>
        <v>38217348.349775732</v>
      </c>
    </row>
    <row r="161" spans="1:24">
      <c r="A161" s="2">
        <f t="shared" si="130"/>
        <v>46873</v>
      </c>
      <c r="B161">
        <f t="shared" si="131"/>
        <v>2028</v>
      </c>
      <c r="C161">
        <f t="shared" si="132"/>
        <v>4</v>
      </c>
      <c r="E161" s="3">
        <f t="shared" ref="E161:F161" ca="1" si="184">E149</f>
        <v>352.41399621212122</v>
      </c>
      <c r="F161" s="3">
        <f t="shared" ca="1" si="184"/>
        <v>2.1908333333333347</v>
      </c>
      <c r="I161" s="47">
        <f t="shared" si="134"/>
        <v>1</v>
      </c>
      <c r="J161" s="47">
        <f t="shared" si="135"/>
        <v>160</v>
      </c>
      <c r="K161" s="47">
        <f t="shared" si="136"/>
        <v>30</v>
      </c>
      <c r="M161" s="3">
        <f t="shared" si="146"/>
        <v>-6000764.6164411902</v>
      </c>
      <c r="N161" s="3">
        <f t="shared" ca="1" si="147"/>
        <v>5135429.8658350417</v>
      </c>
      <c r="O161" s="3">
        <f t="shared" ca="1" si="148"/>
        <v>202274.20050016907</v>
      </c>
      <c r="P161" s="3">
        <f t="shared" si="149"/>
        <v>0</v>
      </c>
      <c r="Q161" s="3">
        <f t="shared" si="150"/>
        <v>0</v>
      </c>
      <c r="R161" s="3">
        <f t="shared" si="151"/>
        <v>-815229.51419000898</v>
      </c>
      <c r="S161" s="3">
        <f t="shared" si="152"/>
        <v>8618009.9713229593</v>
      </c>
      <c r="T161" s="3">
        <f t="shared" si="153"/>
        <v>24647750.796052888</v>
      </c>
      <c r="U161" s="47">
        <f t="shared" ca="1" si="137"/>
        <v>31787470.703079857</v>
      </c>
      <c r="V161" s="47">
        <f>IFERROR(HLOOKUP(B161-1,'EV Forecast WRZ'!$F$124:$T$130,2,FALSE)/12,0)+IFERROR(((HLOOKUP(B161,'EV Forecast WRZ'!$F$116:$T$122,2,FALSE)-HLOOKUP(B161-1,'EV Forecast WRZ'!$F$124:$T$130,2,FALSE)))*C161/78,0)</f>
        <v>1143652.5417060102</v>
      </c>
      <c r="W161" s="47">
        <f ca="1">HLOOKUP(B161,Heating!$R$102:$AD$106,2,FALSE)*INDEX(Weather!$BO$1:$CB$20,MATCH(B161,Weather!$BO$1:$BO$20,0),MATCH(C161,Weather!$BO$1:$CB$1,0))/VLOOKUP(B161,Weather!$BO$2:$CB$20,14,FALSE)</f>
        <v>1235454.3295745263</v>
      </c>
      <c r="X161" s="47">
        <f t="shared" ca="1" si="127"/>
        <v>34166577.574360393</v>
      </c>
    </row>
    <row r="162" spans="1:24">
      <c r="A162" s="2">
        <f t="shared" si="130"/>
        <v>46904</v>
      </c>
      <c r="B162">
        <f t="shared" si="131"/>
        <v>2028</v>
      </c>
      <c r="C162">
        <f t="shared" si="132"/>
        <v>5</v>
      </c>
      <c r="E162" s="3">
        <f t="shared" ref="E162:F162" ca="1" si="185">E150</f>
        <v>150.136897859768</v>
      </c>
      <c r="F162" s="3">
        <f t="shared" ca="1" si="185"/>
        <v>52.487435064935063</v>
      </c>
      <c r="I162" s="47">
        <f t="shared" si="134"/>
        <v>1</v>
      </c>
      <c r="J162" s="47">
        <f t="shared" si="135"/>
        <v>161</v>
      </c>
      <c r="K162" s="47">
        <f t="shared" si="136"/>
        <v>31</v>
      </c>
      <c r="M162" s="3">
        <f t="shared" si="146"/>
        <v>-6000764.6164411902</v>
      </c>
      <c r="N162" s="3">
        <f t="shared" ca="1" si="147"/>
        <v>2187817.503050575</v>
      </c>
      <c r="O162" s="3">
        <f t="shared" ca="1" si="148"/>
        <v>4846034.5214443235</v>
      </c>
      <c r="P162" s="3">
        <f t="shared" si="149"/>
        <v>0</v>
      </c>
      <c r="Q162" s="3">
        <f t="shared" si="150"/>
        <v>0</v>
      </c>
      <c r="R162" s="3">
        <f t="shared" si="151"/>
        <v>-815229.51419000898</v>
      </c>
      <c r="S162" s="3">
        <f t="shared" si="152"/>
        <v>8671872.5336437281</v>
      </c>
      <c r="T162" s="3">
        <f t="shared" si="153"/>
        <v>25469342.489254653</v>
      </c>
      <c r="U162" s="47">
        <f t="shared" ca="1" si="137"/>
        <v>34359072.916762084</v>
      </c>
      <c r="V162" s="47">
        <f>IFERROR(HLOOKUP(B162-1,'EV Forecast WRZ'!$F$124:$T$130,2,FALSE)/12,0)+IFERROR(((HLOOKUP(B162,'EV Forecast WRZ'!$F$116:$T$122,2,FALSE)-HLOOKUP(B162-1,'EV Forecast WRZ'!$F$124:$T$130,2,FALSE)))*C162/78,0)</f>
        <v>1160357.8524688699</v>
      </c>
      <c r="W162" s="47">
        <f ca="1">HLOOKUP(B162,Heating!$R$102:$AD$106,2,FALSE)*INDEX(Weather!$BO$1:$CB$20,MATCH(B162,Weather!$BO$1:$BO$20,0),MATCH(C162,Weather!$BO$1:$CB$1,0))/VLOOKUP(B162,Weather!$BO$2:$CB$20,14,FALSE)</f>
        <v>526333.46712510346</v>
      </c>
      <c r="X162" s="47">
        <f t="shared" ca="1" si="127"/>
        <v>36045764.236356057</v>
      </c>
    </row>
    <row r="163" spans="1:24">
      <c r="A163" s="2">
        <f t="shared" si="130"/>
        <v>46934</v>
      </c>
      <c r="B163">
        <f t="shared" si="131"/>
        <v>2028</v>
      </c>
      <c r="C163">
        <f t="shared" si="132"/>
        <v>6</v>
      </c>
      <c r="E163" s="3">
        <f t="shared" ref="E163:F163" ca="1" si="186">E151</f>
        <v>32.520923826173821</v>
      </c>
      <c r="F163" s="3">
        <f t="shared" ca="1" si="186"/>
        <v>137.65451754405018</v>
      </c>
      <c r="I163" s="47">
        <f t="shared" si="134"/>
        <v>0</v>
      </c>
      <c r="J163" s="47">
        <f t="shared" si="135"/>
        <v>162</v>
      </c>
      <c r="K163" s="47">
        <f t="shared" si="136"/>
        <v>30</v>
      </c>
      <c r="M163" s="3">
        <f t="shared" si="146"/>
        <v>-6000764.6164411902</v>
      </c>
      <c r="N163" s="3">
        <f t="shared" ca="1" si="147"/>
        <v>473899.80328975141</v>
      </c>
      <c r="O163" s="3">
        <f t="shared" ca="1" si="148"/>
        <v>12709299.72527618</v>
      </c>
      <c r="P163" s="3">
        <f t="shared" si="149"/>
        <v>0</v>
      </c>
      <c r="Q163" s="3">
        <f t="shared" si="150"/>
        <v>0</v>
      </c>
      <c r="R163" s="3">
        <f t="shared" si="151"/>
        <v>0</v>
      </c>
      <c r="S163" s="3">
        <f t="shared" si="152"/>
        <v>8725735.095964497</v>
      </c>
      <c r="T163" s="3">
        <f t="shared" si="153"/>
        <v>24647750.796052888</v>
      </c>
      <c r="U163" s="47">
        <f t="shared" ca="1" si="137"/>
        <v>40555920.804142125</v>
      </c>
      <c r="V163" s="47">
        <f>IFERROR(HLOOKUP(B163-1,'EV Forecast WRZ'!$F$124:$T$130,2,FALSE)/12,0)+IFERROR(((HLOOKUP(B163,'EV Forecast WRZ'!$F$116:$T$122,2,FALSE)-HLOOKUP(B163-1,'EV Forecast WRZ'!$F$124:$T$130,2,FALSE)))*C163/78,0)</f>
        <v>1177063.1632317295</v>
      </c>
      <c r="W163" s="47">
        <f ca="1">HLOOKUP(B163,Heating!$R$102:$AD$106,2,FALSE)*INDEX(Weather!$BO$1:$CB$20,MATCH(B163,Weather!$BO$1:$BO$20,0),MATCH(C163,Weather!$BO$1:$CB$1,0))/VLOOKUP(B163,Weather!$BO$2:$CB$20,14,FALSE)</f>
        <v>114008.28734005855</v>
      </c>
      <c r="X163" s="47">
        <f t="shared" ca="1" si="127"/>
        <v>41846992.254713915</v>
      </c>
    </row>
    <row r="164" spans="1:24">
      <c r="A164" s="2">
        <f t="shared" si="130"/>
        <v>46965</v>
      </c>
      <c r="B164">
        <f t="shared" si="131"/>
        <v>2028</v>
      </c>
      <c r="C164">
        <f t="shared" si="132"/>
        <v>7</v>
      </c>
      <c r="E164" s="3">
        <f t="shared" ref="E164:F164" ca="1" si="187">E152</f>
        <v>1.6179166666666653</v>
      </c>
      <c r="F164" s="3">
        <f t="shared" ca="1" si="187"/>
        <v>235.94737858727848</v>
      </c>
      <c r="I164" s="47">
        <f t="shared" si="134"/>
        <v>0</v>
      </c>
      <c r="J164" s="47">
        <f t="shared" si="135"/>
        <v>163</v>
      </c>
      <c r="K164" s="47">
        <f t="shared" si="136"/>
        <v>31</v>
      </c>
      <c r="M164" s="3">
        <f t="shared" si="146"/>
        <v>-6000764.6164411902</v>
      </c>
      <c r="N164" s="3">
        <f t="shared" ca="1" si="147"/>
        <v>23576.525506186736</v>
      </c>
      <c r="O164" s="3">
        <f t="shared" ca="1" si="148"/>
        <v>21784435.464672089</v>
      </c>
      <c r="P164" s="3">
        <f t="shared" si="149"/>
        <v>0</v>
      </c>
      <c r="Q164" s="3">
        <f t="shared" si="150"/>
        <v>0</v>
      </c>
      <c r="R164" s="3">
        <f t="shared" si="151"/>
        <v>0</v>
      </c>
      <c r="S164" s="3">
        <f t="shared" si="152"/>
        <v>8779597.6582852658</v>
      </c>
      <c r="T164" s="3">
        <f t="shared" si="153"/>
        <v>25469342.489254653</v>
      </c>
      <c r="U164" s="47">
        <f t="shared" ca="1" si="137"/>
        <v>50056187.521277003</v>
      </c>
      <c r="V164" s="47">
        <f>IFERROR(HLOOKUP(B164-1,'EV Forecast WRZ'!$F$124:$T$130,2,FALSE)/12,0)+IFERROR(((HLOOKUP(B164,'EV Forecast WRZ'!$F$116:$T$122,2,FALSE)-HLOOKUP(B164-1,'EV Forecast WRZ'!$F$124:$T$130,2,FALSE)))*C164/78,0)</f>
        <v>1193768.4739945892</v>
      </c>
      <c r="W164" s="47">
        <f ca="1">HLOOKUP(B164,Heating!$R$102:$AD$106,2,FALSE)*INDEX(Weather!$BO$1:$CB$20,MATCH(B164,Weather!$BO$1:$BO$20,0),MATCH(C164,Weather!$BO$1:$CB$1,0))/VLOOKUP(B164,Weather!$BO$2:$CB$20,14,FALSE)</f>
        <v>5671.9147712878694</v>
      </c>
      <c r="X164" s="47">
        <f t="shared" ca="1" si="127"/>
        <v>51255627.910042882</v>
      </c>
    </row>
    <row r="165" spans="1:24">
      <c r="A165" s="2">
        <f t="shared" si="130"/>
        <v>46996</v>
      </c>
      <c r="B165">
        <f t="shared" si="131"/>
        <v>2028</v>
      </c>
      <c r="C165">
        <f t="shared" si="132"/>
        <v>8</v>
      </c>
      <c r="E165" s="3">
        <f t="shared" ref="E165:F165" ca="1" si="188">E153</f>
        <v>5.6499999999999977</v>
      </c>
      <c r="F165" s="3">
        <f t="shared" ca="1" si="188"/>
        <v>210.96558794466404</v>
      </c>
      <c r="I165" s="47">
        <f t="shared" si="134"/>
        <v>0</v>
      </c>
      <c r="J165" s="47">
        <f t="shared" si="135"/>
        <v>164</v>
      </c>
      <c r="K165" s="47">
        <f t="shared" si="136"/>
        <v>31</v>
      </c>
      <c r="M165" s="3">
        <f t="shared" si="146"/>
        <v>-6000764.6164411902</v>
      </c>
      <c r="N165" s="3">
        <f t="shared" ca="1" si="147"/>
        <v>82332.651523021443</v>
      </c>
      <c r="O165" s="3">
        <f t="shared" ca="1" si="148"/>
        <v>19477928.77956105</v>
      </c>
      <c r="P165" s="3">
        <f t="shared" si="149"/>
        <v>0</v>
      </c>
      <c r="Q165" s="3">
        <f t="shared" si="150"/>
        <v>0</v>
      </c>
      <c r="R165" s="3">
        <f t="shared" si="151"/>
        <v>0</v>
      </c>
      <c r="S165" s="3">
        <f t="shared" si="152"/>
        <v>8833460.2206060346</v>
      </c>
      <c r="T165" s="3">
        <f t="shared" si="153"/>
        <v>25469342.489254653</v>
      </c>
      <c r="U165" s="47">
        <f t="shared" ca="1" si="137"/>
        <v>47862299.524503566</v>
      </c>
      <c r="V165" s="47">
        <f>IFERROR(HLOOKUP(B165-1,'EV Forecast WRZ'!$F$124:$T$130,2,FALSE)/12,0)+IFERROR(((HLOOKUP(B165,'EV Forecast WRZ'!$F$116:$T$122,2,FALSE)-HLOOKUP(B165-1,'EV Forecast WRZ'!$F$124:$T$130,2,FALSE)))*C165/78,0)</f>
        <v>1210473.7847574488</v>
      </c>
      <c r="W165" s="47">
        <f ca="1">HLOOKUP(B165,Heating!$R$102:$AD$106,2,FALSE)*INDEX(Weather!$BO$1:$CB$20,MATCH(B165,Weather!$BO$1:$BO$20,0),MATCH(C165,Weather!$BO$1:$CB$1,0))/VLOOKUP(B165,Weather!$BO$2:$CB$20,14,FALSE)</f>
        <v>19807.150218558727</v>
      </c>
      <c r="X165" s="47">
        <f t="shared" ca="1" si="127"/>
        <v>49092580.459479578</v>
      </c>
    </row>
    <row r="166" spans="1:24">
      <c r="A166" s="2">
        <f t="shared" si="130"/>
        <v>47026</v>
      </c>
      <c r="B166">
        <f t="shared" si="131"/>
        <v>2028</v>
      </c>
      <c r="C166">
        <f t="shared" si="132"/>
        <v>9</v>
      </c>
      <c r="E166" s="3">
        <f t="shared" ref="E166:F166" ca="1" si="189">E154</f>
        <v>54.959440993788824</v>
      </c>
      <c r="F166" s="3">
        <f t="shared" ca="1" si="189"/>
        <v>106.4160119047619</v>
      </c>
      <c r="I166" s="47">
        <f t="shared" si="134"/>
        <v>1</v>
      </c>
      <c r="J166" s="47">
        <f t="shared" si="135"/>
        <v>165</v>
      </c>
      <c r="K166" s="47">
        <f t="shared" si="136"/>
        <v>30</v>
      </c>
      <c r="M166" s="3">
        <f t="shared" si="146"/>
        <v>-6000764.6164411902</v>
      </c>
      <c r="N166" s="3">
        <f t="shared" ca="1" si="147"/>
        <v>800877.25721091626</v>
      </c>
      <c r="O166" s="3">
        <f t="shared" ca="1" si="148"/>
        <v>9825126.083736252</v>
      </c>
      <c r="P166" s="3">
        <f t="shared" si="149"/>
        <v>0</v>
      </c>
      <c r="Q166" s="3">
        <f t="shared" si="150"/>
        <v>0</v>
      </c>
      <c r="R166" s="3">
        <f t="shared" si="151"/>
        <v>-815229.51419000898</v>
      </c>
      <c r="S166" s="3">
        <f t="shared" si="152"/>
        <v>8887322.7829268016</v>
      </c>
      <c r="T166" s="3">
        <f t="shared" si="153"/>
        <v>24647750.796052888</v>
      </c>
      <c r="U166" s="47">
        <f t="shared" ca="1" si="137"/>
        <v>37345082.789295658</v>
      </c>
      <c r="V166" s="47">
        <f>IFERROR(HLOOKUP(B166-1,'EV Forecast WRZ'!$F$124:$T$130,2,FALSE)/12,0)+IFERROR(((HLOOKUP(B166,'EV Forecast WRZ'!$F$116:$T$122,2,FALSE)-HLOOKUP(B166-1,'EV Forecast WRZ'!$F$124:$T$130,2,FALSE)))*C166/78,0)</f>
        <v>1227179.0955203085</v>
      </c>
      <c r="W166" s="47">
        <f ca="1">HLOOKUP(B166,Heating!$R$102:$AD$106,2,FALSE)*INDEX(Weather!$BO$1:$CB$20,MATCH(B166,Weather!$BO$1:$BO$20,0),MATCH(C166,Weather!$BO$1:$CB$1,0))/VLOOKUP(B166,Weather!$BO$2:$CB$20,14,FALSE)</f>
        <v>192670.77941451158</v>
      </c>
      <c r="X166" s="47">
        <f t="shared" ca="1" si="127"/>
        <v>38764932.664230481</v>
      </c>
    </row>
    <row r="167" spans="1:24">
      <c r="A167" s="2">
        <f t="shared" si="130"/>
        <v>47057</v>
      </c>
      <c r="B167">
        <f t="shared" si="131"/>
        <v>2028</v>
      </c>
      <c r="C167">
        <f t="shared" si="132"/>
        <v>10</v>
      </c>
      <c r="E167" s="3">
        <f t="shared" ref="E167:F167" ca="1" si="190">E155</f>
        <v>237.89681159420289</v>
      </c>
      <c r="F167" s="3">
        <f t="shared" ca="1" si="190"/>
        <v>17.987083333333334</v>
      </c>
      <c r="I167" s="47">
        <f t="shared" si="134"/>
        <v>1</v>
      </c>
      <c r="J167" s="47">
        <f t="shared" si="135"/>
        <v>166</v>
      </c>
      <c r="K167" s="47">
        <f t="shared" si="136"/>
        <v>31</v>
      </c>
      <c r="M167" s="3">
        <f t="shared" si="146"/>
        <v>-6000764.6164411902</v>
      </c>
      <c r="N167" s="3">
        <f t="shared" ca="1" si="147"/>
        <v>3466668.1924643191</v>
      </c>
      <c r="O167" s="3">
        <f t="shared" ca="1" si="148"/>
        <v>1660702.731341155</v>
      </c>
      <c r="P167" s="3">
        <f t="shared" si="149"/>
        <v>0</v>
      </c>
      <c r="Q167" s="3">
        <f t="shared" si="150"/>
        <v>0</v>
      </c>
      <c r="R167" s="3">
        <f t="shared" si="151"/>
        <v>-815229.51419000898</v>
      </c>
      <c r="S167" s="3">
        <f t="shared" si="152"/>
        <v>8941185.3452475704</v>
      </c>
      <c r="T167" s="3">
        <f t="shared" si="153"/>
        <v>25469342.489254653</v>
      </c>
      <c r="U167" s="47">
        <f t="shared" ca="1" si="137"/>
        <v>32721904.627676498</v>
      </c>
      <c r="V167" s="47">
        <f>IFERROR(HLOOKUP(B167-1,'EV Forecast WRZ'!$F$124:$T$130,2,FALSE)/12,0)+IFERROR(((HLOOKUP(B167,'EV Forecast WRZ'!$F$116:$T$122,2,FALSE)-HLOOKUP(B167-1,'EV Forecast WRZ'!$F$124:$T$130,2,FALSE)))*C167/78,0)</f>
        <v>1243884.4062831681</v>
      </c>
      <c r="W167" s="47">
        <f ca="1">HLOOKUP(B167,Heating!$R$102:$AD$106,2,FALSE)*INDEX(Weather!$BO$1:$CB$20,MATCH(B167,Weather!$BO$1:$BO$20,0),MATCH(C167,Weather!$BO$1:$CB$1,0))/VLOOKUP(B167,Weather!$BO$2:$CB$20,14,FALSE)</f>
        <v>833992.54579868005</v>
      </c>
      <c r="X167" s="47">
        <f t="shared" ca="1" si="127"/>
        <v>34799781.579758346</v>
      </c>
    </row>
    <row r="168" spans="1:24">
      <c r="A168" s="2">
        <f t="shared" si="130"/>
        <v>47087</v>
      </c>
      <c r="B168">
        <f t="shared" si="131"/>
        <v>2028</v>
      </c>
      <c r="C168">
        <f t="shared" si="132"/>
        <v>11</v>
      </c>
      <c r="E168" s="3">
        <f t="shared" ref="E168:F168" ca="1" si="191">E156</f>
        <v>426.62991389045737</v>
      </c>
      <c r="F168" s="3">
        <f t="shared" ca="1" si="191"/>
        <v>0.8083333333333329</v>
      </c>
      <c r="I168" s="47">
        <f t="shared" si="134"/>
        <v>1</v>
      </c>
      <c r="J168" s="47">
        <f t="shared" si="135"/>
        <v>167</v>
      </c>
      <c r="K168" s="47">
        <f t="shared" si="136"/>
        <v>30</v>
      </c>
      <c r="M168" s="3">
        <f t="shared" si="146"/>
        <v>-6000764.6164411902</v>
      </c>
      <c r="N168" s="3">
        <f t="shared" ca="1" si="147"/>
        <v>6216915.4034760511</v>
      </c>
      <c r="O168" s="3">
        <f t="shared" ca="1" si="148"/>
        <v>74631.409085265797</v>
      </c>
      <c r="P168" s="3">
        <f t="shared" si="149"/>
        <v>0</v>
      </c>
      <c r="Q168" s="3">
        <f t="shared" si="150"/>
        <v>0</v>
      </c>
      <c r="R168" s="3">
        <f t="shared" si="151"/>
        <v>-815229.51419000898</v>
      </c>
      <c r="S168" s="3">
        <f t="shared" si="152"/>
        <v>8995047.9075683393</v>
      </c>
      <c r="T168" s="3">
        <f t="shared" si="153"/>
        <v>24647750.796052888</v>
      </c>
      <c r="U168" s="47">
        <f t="shared" ca="1" si="137"/>
        <v>33118351.385551345</v>
      </c>
      <c r="V168" s="47">
        <f>IFERROR(HLOOKUP(B168-1,'EV Forecast WRZ'!$F$124:$T$130,2,FALSE)/12,0)+IFERROR(((HLOOKUP(B168,'EV Forecast WRZ'!$F$116:$T$122,2,FALSE)-HLOOKUP(B168-1,'EV Forecast WRZ'!$F$124:$T$130,2,FALSE)))*C168/78,0)</f>
        <v>1260589.7170460278</v>
      </c>
      <c r="W168" s="47">
        <f ca="1">HLOOKUP(B168,Heating!$R$102:$AD$106,2,FALSE)*INDEX(Weather!$BO$1:$CB$20,MATCH(B168,Weather!$BO$1:$BO$20,0),MATCH(C168,Weather!$BO$1:$CB$1,0))/VLOOKUP(B168,Weather!$BO$2:$CB$20,14,FALSE)</f>
        <v>1495632.3525945253</v>
      </c>
      <c r="X168" s="47">
        <f t="shared" ca="1" si="127"/>
        <v>35874573.455191895</v>
      </c>
    </row>
    <row r="169" spans="1:24">
      <c r="A169" s="2">
        <f t="shared" si="130"/>
        <v>47118</v>
      </c>
      <c r="B169">
        <f t="shared" si="131"/>
        <v>2028</v>
      </c>
      <c r="C169">
        <f t="shared" si="132"/>
        <v>12</v>
      </c>
      <c r="E169" s="3">
        <f t="shared" ref="E169:F169" ca="1" si="192">E157</f>
        <v>577.92800724637686</v>
      </c>
      <c r="F169" s="3">
        <f t="shared" ca="1" si="192"/>
        <v>0</v>
      </c>
      <c r="I169" s="47">
        <f t="shared" si="134"/>
        <v>0</v>
      </c>
      <c r="J169" s="47">
        <f t="shared" si="135"/>
        <v>168</v>
      </c>
      <c r="K169" s="47">
        <f t="shared" si="136"/>
        <v>31</v>
      </c>
      <c r="M169" s="3">
        <f t="shared" si="146"/>
        <v>-6000764.6164411902</v>
      </c>
      <c r="N169" s="3">
        <f t="shared" ca="1" si="147"/>
        <v>8421654.0223026872</v>
      </c>
      <c r="O169" s="3">
        <f t="shared" ca="1" si="148"/>
        <v>0</v>
      </c>
      <c r="P169" s="3">
        <f t="shared" si="149"/>
        <v>0</v>
      </c>
      <c r="Q169" s="3">
        <f t="shared" si="150"/>
        <v>0</v>
      </c>
      <c r="R169" s="3">
        <f t="shared" si="151"/>
        <v>0</v>
      </c>
      <c r="S169" s="3">
        <f t="shared" si="152"/>
        <v>9048910.4698891081</v>
      </c>
      <c r="T169" s="3">
        <f t="shared" si="153"/>
        <v>25469342.489254653</v>
      </c>
      <c r="U169" s="47">
        <f t="shared" ca="1" si="137"/>
        <v>36939142.365005255</v>
      </c>
      <c r="V169" s="47">
        <f>IFERROR(HLOOKUP(B169-1,'EV Forecast WRZ'!$F$124:$T$130,2,FALSE)/12,0)+IFERROR(((HLOOKUP(B169,'EV Forecast WRZ'!$F$116:$T$122,2,FALSE)-HLOOKUP(B169-1,'EV Forecast WRZ'!$F$124:$T$130,2,FALSE)))*C169/78,0)</f>
        <v>1277295.0278088874</v>
      </c>
      <c r="W169" s="47">
        <f ca="1">HLOOKUP(B169,Heating!$R$102:$AD$106,2,FALSE)*INDEX(Weather!$BO$1:$CB$20,MATCH(B169,Weather!$BO$1:$BO$20,0),MATCH(C169,Weather!$BO$1:$CB$1,0))/VLOOKUP(B169,Weather!$BO$2:$CB$20,14,FALSE)</f>
        <v>2026036.6115117327</v>
      </c>
      <c r="X169" s="47">
        <f t="shared" ca="1" si="127"/>
        <v>40242474.004325874</v>
      </c>
    </row>
    <row r="170" spans="1:24">
      <c r="A170" s="2">
        <f t="shared" si="130"/>
        <v>47149</v>
      </c>
      <c r="B170">
        <f t="shared" si="131"/>
        <v>2029</v>
      </c>
      <c r="C170">
        <f t="shared" si="132"/>
        <v>1</v>
      </c>
      <c r="E170" s="3">
        <f t="shared" ref="E170:F170" ca="1" si="193">E158</f>
        <v>697.33418478260876</v>
      </c>
      <c r="F170" s="3">
        <f t="shared" ca="1" si="193"/>
        <v>0</v>
      </c>
      <c r="I170" s="47">
        <f t="shared" si="134"/>
        <v>0</v>
      </c>
      <c r="J170" s="47">
        <f t="shared" si="135"/>
        <v>169</v>
      </c>
      <c r="K170" s="47">
        <f t="shared" si="136"/>
        <v>31</v>
      </c>
      <c r="M170" s="3">
        <f t="shared" si="146"/>
        <v>-6000764.6164411902</v>
      </c>
      <c r="N170" s="3">
        <f t="shared" ca="1" si="147"/>
        <v>10161658.837309167</v>
      </c>
      <c r="O170" s="3">
        <f t="shared" ca="1" si="148"/>
        <v>0</v>
      </c>
      <c r="P170" s="3">
        <f t="shared" si="149"/>
        <v>0</v>
      </c>
      <c r="Q170" s="3">
        <f t="shared" si="150"/>
        <v>0</v>
      </c>
      <c r="R170" s="3">
        <f t="shared" si="151"/>
        <v>0</v>
      </c>
      <c r="S170" s="3">
        <f t="shared" si="152"/>
        <v>9102773.0322098769</v>
      </c>
      <c r="T170" s="3">
        <f t="shared" si="153"/>
        <v>25469342.489254653</v>
      </c>
      <c r="U170" s="47">
        <f t="shared" ca="1" si="137"/>
        <v>38733009.742332503</v>
      </c>
      <c r="V170" s="47">
        <f>IFERROR(HLOOKUP(B170-1,'EV Forecast WRZ'!$F$124:$T$130,2,FALSE)/12,0)+IFERROR(((HLOOKUP(B170,'EV Forecast WRZ'!$F$116:$T$122,2,FALSE)-HLOOKUP(B170-1,'EV Forecast WRZ'!$F$124:$T$130,2,FALSE)))*C170/78,0)</f>
        <v>1341799.4184903535</v>
      </c>
      <c r="W170" s="47">
        <f ca="1">HLOOKUP(B170,Heating!$R$102:$AD$106,2,FALSE)*INDEX(Weather!$BO$1:$CB$20,MATCH(B170,Weather!$BO$1:$BO$20,0),MATCH(C170,Weather!$BO$1:$CB$1,0))/VLOOKUP(B170,Weather!$BO$2:$CB$20,14,FALSE)</f>
        <v>2799374.0538656777</v>
      </c>
      <c r="X170" s="47">
        <f t="shared" ca="1" si="127"/>
        <v>42874183.214688532</v>
      </c>
    </row>
    <row r="171" spans="1:24">
      <c r="A171" s="2">
        <f t="shared" si="130"/>
        <v>47177</v>
      </c>
      <c r="B171">
        <f t="shared" si="131"/>
        <v>2029</v>
      </c>
      <c r="C171">
        <f t="shared" si="132"/>
        <v>2</v>
      </c>
      <c r="E171" s="3">
        <f t="shared" ref="E171:F171" ca="1" si="194">E159</f>
        <v>624.25501811594188</v>
      </c>
      <c r="F171" s="3">
        <f t="shared" ca="1" si="194"/>
        <v>0</v>
      </c>
      <c r="I171" s="47">
        <f t="shared" si="134"/>
        <v>0</v>
      </c>
      <c r="J171" s="47">
        <f t="shared" si="135"/>
        <v>170</v>
      </c>
      <c r="K171" s="47">
        <f t="shared" si="136"/>
        <v>28</v>
      </c>
      <c r="M171" s="3">
        <f t="shared" si="146"/>
        <v>-6000764.6164411902</v>
      </c>
      <c r="N171" s="3">
        <f t="shared" ca="1" si="147"/>
        <v>9096738.2067322657</v>
      </c>
      <c r="O171" s="3">
        <f t="shared" ca="1" si="148"/>
        <v>0</v>
      </c>
      <c r="P171" s="3">
        <f t="shared" si="149"/>
        <v>0</v>
      </c>
      <c r="Q171" s="3">
        <f t="shared" si="150"/>
        <v>0</v>
      </c>
      <c r="R171" s="3">
        <f t="shared" si="151"/>
        <v>0</v>
      </c>
      <c r="S171" s="3">
        <f t="shared" si="152"/>
        <v>9156635.5945306439</v>
      </c>
      <c r="T171" s="3">
        <f t="shared" si="153"/>
        <v>23004567.409649365</v>
      </c>
      <c r="U171" s="47">
        <f t="shared" ca="1" si="137"/>
        <v>35257176.594471082</v>
      </c>
      <c r="V171" s="47">
        <f>IFERROR(HLOOKUP(B171-1,'EV Forecast WRZ'!$F$124:$T$130,2,FALSE)/12,0)+IFERROR(((HLOOKUP(B171,'EV Forecast WRZ'!$F$116:$T$122,2,FALSE)-HLOOKUP(B171-1,'EV Forecast WRZ'!$F$124:$T$130,2,FALSE)))*C171/78,0)</f>
        <v>1362518.4367422941</v>
      </c>
      <c r="W171" s="47">
        <f ca="1">HLOOKUP(B171,Heating!$R$102:$AD$106,2,FALSE)*INDEX(Weather!$BO$1:$CB$20,MATCH(B171,Weather!$BO$1:$BO$20,0),MATCH(C171,Weather!$BO$1:$CB$1,0))/VLOOKUP(B171,Weather!$BO$2:$CB$20,14,FALSE)</f>
        <v>2506005.4975707233</v>
      </c>
      <c r="X171" s="47">
        <f t="shared" ca="1" si="127"/>
        <v>39125700.528784096</v>
      </c>
    </row>
    <row r="172" spans="1:24">
      <c r="A172" s="2">
        <f t="shared" si="130"/>
        <v>47208</v>
      </c>
      <c r="B172">
        <f t="shared" si="131"/>
        <v>2029</v>
      </c>
      <c r="C172">
        <f t="shared" si="132"/>
        <v>3</v>
      </c>
      <c r="E172" s="3">
        <f t="shared" ref="E172:F172" ca="1" si="195">E160</f>
        <v>546.13298913043491</v>
      </c>
      <c r="F172" s="3">
        <f t="shared" ca="1" si="195"/>
        <v>0</v>
      </c>
      <c r="I172" s="47">
        <f t="shared" si="134"/>
        <v>1</v>
      </c>
      <c r="J172" s="47">
        <f t="shared" si="135"/>
        <v>171</v>
      </c>
      <c r="K172" s="47">
        <f t="shared" si="136"/>
        <v>31</v>
      </c>
      <c r="M172" s="3">
        <f t="shared" si="146"/>
        <v>-6000764.6164411902</v>
      </c>
      <c r="N172" s="3">
        <f t="shared" ca="1" si="147"/>
        <v>7958332.2264251634</v>
      </c>
      <c r="O172" s="3">
        <f t="shared" ca="1" si="148"/>
        <v>0</v>
      </c>
      <c r="P172" s="3">
        <f t="shared" si="149"/>
        <v>0</v>
      </c>
      <c r="Q172" s="3">
        <f t="shared" si="150"/>
        <v>0</v>
      </c>
      <c r="R172" s="3">
        <f t="shared" si="151"/>
        <v>-815229.51419000898</v>
      </c>
      <c r="S172" s="3">
        <f t="shared" si="152"/>
        <v>9210498.1568514127</v>
      </c>
      <c r="T172" s="3">
        <f t="shared" si="153"/>
        <v>25469342.489254653</v>
      </c>
      <c r="U172" s="47">
        <f t="shared" ca="1" si="137"/>
        <v>35822178.741900027</v>
      </c>
      <c r="V172" s="47">
        <f>IFERROR(HLOOKUP(B172-1,'EV Forecast WRZ'!$F$124:$T$130,2,FALSE)/12,0)+IFERROR(((HLOOKUP(B172,'EV Forecast WRZ'!$F$116:$T$122,2,FALSE)-HLOOKUP(B172-1,'EV Forecast WRZ'!$F$124:$T$130,2,FALSE)))*C172/78,0)</f>
        <v>1383237.4549942345</v>
      </c>
      <c r="W172" s="47">
        <f ca="1">HLOOKUP(B172,Heating!$R$102:$AD$106,2,FALSE)*INDEX(Weather!$BO$1:$CB$20,MATCH(B172,Weather!$BO$1:$BO$20,0),MATCH(C172,Weather!$BO$1:$CB$1,0))/VLOOKUP(B172,Weather!$BO$2:$CB$20,14,FALSE)</f>
        <v>2192392.90586113</v>
      </c>
      <c r="X172" s="47">
        <f t="shared" ca="1" si="127"/>
        <v>39397809.10275539</v>
      </c>
    </row>
    <row r="173" spans="1:24">
      <c r="A173" s="2">
        <f t="shared" si="130"/>
        <v>47238</v>
      </c>
      <c r="B173">
        <f t="shared" si="131"/>
        <v>2029</v>
      </c>
      <c r="C173">
        <f t="shared" si="132"/>
        <v>4</v>
      </c>
      <c r="E173" s="3">
        <f t="shared" ref="E173:F173" ca="1" si="196">E161</f>
        <v>352.41399621212122</v>
      </c>
      <c r="F173" s="3">
        <f t="shared" ca="1" si="196"/>
        <v>2.1908333333333347</v>
      </c>
      <c r="I173" s="47">
        <f t="shared" si="134"/>
        <v>1</v>
      </c>
      <c r="J173" s="47">
        <f t="shared" si="135"/>
        <v>172</v>
      </c>
      <c r="K173" s="47">
        <f t="shared" si="136"/>
        <v>30</v>
      </c>
      <c r="M173" s="3">
        <f t="shared" si="146"/>
        <v>-6000764.6164411902</v>
      </c>
      <c r="N173" s="3">
        <f t="shared" ca="1" si="147"/>
        <v>5135429.8658350417</v>
      </c>
      <c r="O173" s="3">
        <f t="shared" ca="1" si="148"/>
        <v>202274.20050016907</v>
      </c>
      <c r="P173" s="3">
        <f t="shared" si="149"/>
        <v>0</v>
      </c>
      <c r="Q173" s="3">
        <f t="shared" si="150"/>
        <v>0</v>
      </c>
      <c r="R173" s="3">
        <f t="shared" si="151"/>
        <v>-815229.51419000898</v>
      </c>
      <c r="S173" s="3">
        <f t="shared" si="152"/>
        <v>9264360.7191721816</v>
      </c>
      <c r="T173" s="3">
        <f t="shared" si="153"/>
        <v>24647750.796052888</v>
      </c>
      <c r="U173" s="47">
        <f t="shared" ca="1" si="137"/>
        <v>32433821.450929083</v>
      </c>
      <c r="V173" s="47">
        <f>IFERROR(HLOOKUP(B173-1,'EV Forecast WRZ'!$F$124:$T$130,2,FALSE)/12,0)+IFERROR(((HLOOKUP(B173,'EV Forecast WRZ'!$F$116:$T$122,2,FALSE)-HLOOKUP(B173-1,'EV Forecast WRZ'!$F$124:$T$130,2,FALSE)))*C173/78,0)</f>
        <v>1403956.4732461751</v>
      </c>
      <c r="W173" s="47">
        <f ca="1">HLOOKUP(B173,Heating!$R$102:$AD$106,2,FALSE)*INDEX(Weather!$BO$1:$CB$20,MATCH(B173,Weather!$BO$1:$BO$20,0),MATCH(C173,Weather!$BO$1:$CB$1,0))/VLOOKUP(B173,Weather!$BO$2:$CB$20,14,FALSE)</f>
        <v>1414728.5745397364</v>
      </c>
      <c r="X173" s="47">
        <f t="shared" ca="1" si="127"/>
        <v>35252506.498714991</v>
      </c>
    </row>
    <row r="174" spans="1:24">
      <c r="A174" s="2">
        <f t="shared" si="130"/>
        <v>47269</v>
      </c>
      <c r="B174">
        <f t="shared" si="131"/>
        <v>2029</v>
      </c>
      <c r="C174">
        <f t="shared" si="132"/>
        <v>5</v>
      </c>
      <c r="E174" s="3">
        <f t="shared" ref="E174:F174" ca="1" si="197">E162</f>
        <v>150.136897859768</v>
      </c>
      <c r="F174" s="3">
        <f t="shared" ca="1" si="197"/>
        <v>52.487435064935063</v>
      </c>
      <c r="I174" s="47">
        <f t="shared" si="134"/>
        <v>1</v>
      </c>
      <c r="J174" s="47">
        <f t="shared" si="135"/>
        <v>173</v>
      </c>
      <c r="K174" s="47">
        <f t="shared" si="136"/>
        <v>31</v>
      </c>
      <c r="M174" s="3">
        <f t="shared" si="146"/>
        <v>-6000764.6164411902</v>
      </c>
      <c r="N174" s="3">
        <f t="shared" ca="1" si="147"/>
        <v>2187817.503050575</v>
      </c>
      <c r="O174" s="3">
        <f t="shared" ca="1" si="148"/>
        <v>4846034.5214443235</v>
      </c>
      <c r="P174" s="3">
        <f t="shared" si="149"/>
        <v>0</v>
      </c>
      <c r="Q174" s="3">
        <f t="shared" si="150"/>
        <v>0</v>
      </c>
      <c r="R174" s="3">
        <f t="shared" si="151"/>
        <v>-815229.51419000898</v>
      </c>
      <c r="S174" s="3">
        <f t="shared" si="152"/>
        <v>9318223.2814929504</v>
      </c>
      <c r="T174" s="3">
        <f t="shared" si="153"/>
        <v>25469342.489254653</v>
      </c>
      <c r="U174" s="47">
        <f t="shared" ref="U174:U205" ca="1" si="198">SUM(M174:T174)</f>
        <v>35005423.664611302</v>
      </c>
      <c r="V174" s="47">
        <f>IFERROR(HLOOKUP(B174-1,'EV Forecast WRZ'!$F$124:$T$130,2,FALSE)/12,0)+IFERROR(((HLOOKUP(B174,'EV Forecast WRZ'!$F$116:$T$122,2,FALSE)-HLOOKUP(B174-1,'EV Forecast WRZ'!$F$124:$T$130,2,FALSE)))*C174/78,0)</f>
        <v>1424675.4914981155</v>
      </c>
      <c r="W174" s="47">
        <f ca="1">HLOOKUP(B174,Heating!$R$102:$AD$106,2,FALSE)*INDEX(Weather!$BO$1:$CB$20,MATCH(B174,Weather!$BO$1:$BO$20,0),MATCH(C174,Weather!$BO$1:$CB$1,0))/VLOOKUP(B174,Weather!$BO$2:$CB$20,14,FALSE)</f>
        <v>602708.63750575983</v>
      </c>
      <c r="X174" s="47">
        <f t="shared" ca="1" si="127"/>
        <v>37032807.793615177</v>
      </c>
    </row>
    <row r="175" spans="1:24">
      <c r="A175" s="2">
        <f t="shared" ref="A175:A205" si="199">EOMONTH(A174,1)</f>
        <v>47299</v>
      </c>
      <c r="B175">
        <f t="shared" ref="B175:B205" si="200">YEAR(A175)</f>
        <v>2029</v>
      </c>
      <c r="C175">
        <f t="shared" ref="C175:C205" si="201">MONTH(A175)</f>
        <v>6</v>
      </c>
      <c r="E175" s="3">
        <f t="shared" ref="E175:F175" ca="1" si="202">E163</f>
        <v>32.520923826173821</v>
      </c>
      <c r="F175" s="3">
        <f t="shared" ca="1" si="202"/>
        <v>137.65451754405018</v>
      </c>
      <c r="I175" s="47">
        <f t="shared" ref="I175:I205" si="203">I163</f>
        <v>0</v>
      </c>
      <c r="J175" s="47">
        <f t="shared" ref="J175:J205" si="204">J174+1</f>
        <v>174</v>
      </c>
      <c r="K175" s="47">
        <f t="shared" ref="K175:K205" si="205">K139</f>
        <v>30</v>
      </c>
      <c r="M175" s="3">
        <f t="shared" si="146"/>
        <v>-6000764.6164411902</v>
      </c>
      <c r="N175" s="3">
        <f t="shared" ca="1" si="147"/>
        <v>473899.80328975141</v>
      </c>
      <c r="O175" s="3">
        <f t="shared" ca="1" si="148"/>
        <v>12709299.72527618</v>
      </c>
      <c r="P175" s="3">
        <f t="shared" si="149"/>
        <v>0</v>
      </c>
      <c r="Q175" s="3">
        <f t="shared" si="150"/>
        <v>0</v>
      </c>
      <c r="R175" s="3">
        <f t="shared" si="151"/>
        <v>0</v>
      </c>
      <c r="S175" s="3">
        <f t="shared" si="152"/>
        <v>9372085.8438137192</v>
      </c>
      <c r="T175" s="3">
        <f t="shared" si="153"/>
        <v>24647750.796052888</v>
      </c>
      <c r="U175" s="47">
        <f t="shared" ca="1" si="198"/>
        <v>41202271.551991343</v>
      </c>
      <c r="V175" s="47">
        <f>IFERROR(HLOOKUP(B175-1,'EV Forecast WRZ'!$F$124:$T$130,2,FALSE)/12,0)+IFERROR(((HLOOKUP(B175,'EV Forecast WRZ'!$F$116:$T$122,2,FALSE)-HLOOKUP(B175-1,'EV Forecast WRZ'!$F$124:$T$130,2,FALSE)))*C175/78,0)</f>
        <v>1445394.5097500558</v>
      </c>
      <c r="W175" s="47">
        <f ca="1">HLOOKUP(B175,Heating!$R$102:$AD$106,2,FALSE)*INDEX(Weather!$BO$1:$CB$20,MATCH(B175,Weather!$BO$1:$BO$20,0),MATCH(C175,Weather!$BO$1:$CB$1,0))/VLOOKUP(B175,Weather!$BO$2:$CB$20,14,FALSE)</f>
        <v>130551.79618809871</v>
      </c>
      <c r="X175" s="47">
        <f t="shared" ca="1" si="127"/>
        <v>42778217.857929498</v>
      </c>
    </row>
    <row r="176" spans="1:24">
      <c r="A176" s="2">
        <f t="shared" si="199"/>
        <v>47330</v>
      </c>
      <c r="B176">
        <f t="shared" si="200"/>
        <v>2029</v>
      </c>
      <c r="C176">
        <f t="shared" si="201"/>
        <v>7</v>
      </c>
      <c r="E176" s="3">
        <f t="shared" ref="E176:F176" ca="1" si="206">E164</f>
        <v>1.6179166666666653</v>
      </c>
      <c r="F176" s="3">
        <f t="shared" ca="1" si="206"/>
        <v>235.94737858727848</v>
      </c>
      <c r="I176" s="47">
        <f t="shared" si="203"/>
        <v>0</v>
      </c>
      <c r="J176" s="47">
        <f t="shared" si="204"/>
        <v>175</v>
      </c>
      <c r="K176" s="47">
        <f t="shared" si="205"/>
        <v>31</v>
      </c>
      <c r="M176" s="3">
        <f t="shared" si="146"/>
        <v>-6000764.6164411902</v>
      </c>
      <c r="N176" s="3">
        <f t="shared" ca="1" si="147"/>
        <v>23576.525506186736</v>
      </c>
      <c r="O176" s="3">
        <f t="shared" ca="1" si="148"/>
        <v>21784435.464672089</v>
      </c>
      <c r="P176" s="3">
        <f t="shared" si="149"/>
        <v>0</v>
      </c>
      <c r="Q176" s="3">
        <f t="shared" si="150"/>
        <v>0</v>
      </c>
      <c r="R176" s="3">
        <f t="shared" si="151"/>
        <v>0</v>
      </c>
      <c r="S176" s="3">
        <f t="shared" si="152"/>
        <v>9425948.4061344881</v>
      </c>
      <c r="T176" s="3">
        <f t="shared" si="153"/>
        <v>25469342.489254653</v>
      </c>
      <c r="U176" s="47">
        <f t="shared" ca="1" si="198"/>
        <v>50702538.269126229</v>
      </c>
      <c r="V176" s="47">
        <f>IFERROR(HLOOKUP(B176-1,'EV Forecast WRZ'!$F$124:$T$130,2,FALSE)/12,0)+IFERROR(((HLOOKUP(B176,'EV Forecast WRZ'!$F$116:$T$122,2,FALSE)-HLOOKUP(B176-1,'EV Forecast WRZ'!$F$124:$T$130,2,FALSE)))*C176/78,0)</f>
        <v>1466113.5280019965</v>
      </c>
      <c r="W176" s="47">
        <f ca="1">HLOOKUP(B176,Heating!$R$102:$AD$106,2,FALSE)*INDEX(Weather!$BO$1:$CB$20,MATCH(B176,Weather!$BO$1:$BO$20,0),MATCH(C176,Weather!$BO$1:$CB$1,0))/VLOOKUP(B176,Weather!$BO$2:$CB$20,14,FALSE)</f>
        <v>6494.9546957825578</v>
      </c>
      <c r="X176" s="47">
        <f t="shared" ca="1" si="127"/>
        <v>52175146.751824006</v>
      </c>
    </row>
    <row r="177" spans="1:24">
      <c r="A177" s="2">
        <f t="shared" si="199"/>
        <v>47361</v>
      </c>
      <c r="B177">
        <f t="shared" si="200"/>
        <v>2029</v>
      </c>
      <c r="C177">
        <f t="shared" si="201"/>
        <v>8</v>
      </c>
      <c r="E177" s="3">
        <f t="shared" ref="E177:F177" ca="1" si="207">E165</f>
        <v>5.6499999999999977</v>
      </c>
      <c r="F177" s="3">
        <f t="shared" ca="1" si="207"/>
        <v>210.96558794466404</v>
      </c>
      <c r="I177" s="47">
        <f t="shared" si="203"/>
        <v>0</v>
      </c>
      <c r="J177" s="47">
        <f t="shared" si="204"/>
        <v>176</v>
      </c>
      <c r="K177" s="47">
        <f t="shared" si="205"/>
        <v>31</v>
      </c>
      <c r="M177" s="3">
        <f t="shared" si="146"/>
        <v>-6000764.6164411902</v>
      </c>
      <c r="N177" s="3">
        <f t="shared" ca="1" si="147"/>
        <v>82332.651523021443</v>
      </c>
      <c r="O177" s="3">
        <f t="shared" ca="1" si="148"/>
        <v>19477928.77956105</v>
      </c>
      <c r="P177" s="3">
        <f t="shared" si="149"/>
        <v>0</v>
      </c>
      <c r="Q177" s="3">
        <f t="shared" si="150"/>
        <v>0</v>
      </c>
      <c r="R177" s="3">
        <f t="shared" si="151"/>
        <v>0</v>
      </c>
      <c r="S177" s="3">
        <f t="shared" si="152"/>
        <v>9479810.968455255</v>
      </c>
      <c r="T177" s="3">
        <f t="shared" si="153"/>
        <v>25469342.489254653</v>
      </c>
      <c r="U177" s="47">
        <f t="shared" ca="1" si="198"/>
        <v>48508650.272352785</v>
      </c>
      <c r="V177" s="47">
        <f>IFERROR(HLOOKUP(B177-1,'EV Forecast WRZ'!$F$124:$T$130,2,FALSE)/12,0)+IFERROR(((HLOOKUP(B177,'EV Forecast WRZ'!$F$116:$T$122,2,FALSE)-HLOOKUP(B177-1,'EV Forecast WRZ'!$F$124:$T$130,2,FALSE)))*C177/78,0)</f>
        <v>1486832.5462539368</v>
      </c>
      <c r="W177" s="47">
        <f ca="1">HLOOKUP(B177,Heating!$R$102:$AD$106,2,FALSE)*INDEX(Weather!$BO$1:$CB$20,MATCH(B177,Weather!$BO$1:$BO$20,0),MATCH(C177,Weather!$BO$1:$CB$1,0))/VLOOKUP(B177,Weather!$BO$2:$CB$20,14,FALSE)</f>
        <v>22681.325180224449</v>
      </c>
      <c r="X177" s="47">
        <f t="shared" ca="1" si="127"/>
        <v>50018164.143786944</v>
      </c>
    </row>
    <row r="178" spans="1:24">
      <c r="A178" s="2">
        <f t="shared" si="199"/>
        <v>47391</v>
      </c>
      <c r="B178">
        <f t="shared" si="200"/>
        <v>2029</v>
      </c>
      <c r="C178">
        <f t="shared" si="201"/>
        <v>9</v>
      </c>
      <c r="E178" s="3">
        <f t="shared" ref="E178:F178" ca="1" si="208">E166</f>
        <v>54.959440993788824</v>
      </c>
      <c r="F178" s="3">
        <f t="shared" ca="1" si="208"/>
        <v>106.4160119047619</v>
      </c>
      <c r="I178" s="47">
        <f t="shared" si="203"/>
        <v>1</v>
      </c>
      <c r="J178" s="47">
        <f t="shared" si="204"/>
        <v>177</v>
      </c>
      <c r="K178" s="47">
        <f t="shared" si="205"/>
        <v>30</v>
      </c>
      <c r="M178" s="3">
        <f t="shared" si="146"/>
        <v>-6000764.6164411902</v>
      </c>
      <c r="N178" s="3">
        <f t="shared" ca="1" si="147"/>
        <v>800877.25721091626</v>
      </c>
      <c r="O178" s="3">
        <f t="shared" ca="1" si="148"/>
        <v>9825126.083736252</v>
      </c>
      <c r="P178" s="3">
        <f t="shared" si="149"/>
        <v>0</v>
      </c>
      <c r="Q178" s="3">
        <f t="shared" si="150"/>
        <v>0</v>
      </c>
      <c r="R178" s="3">
        <f t="shared" si="151"/>
        <v>-815229.51419000898</v>
      </c>
      <c r="S178" s="3">
        <f t="shared" si="152"/>
        <v>9533673.5307760239</v>
      </c>
      <c r="T178" s="3">
        <f t="shared" si="153"/>
        <v>24647750.796052888</v>
      </c>
      <c r="U178" s="47">
        <f t="shared" ca="1" si="198"/>
        <v>37991433.537144884</v>
      </c>
      <c r="V178" s="47">
        <f>IFERROR(HLOOKUP(B178-1,'EV Forecast WRZ'!$F$124:$T$130,2,FALSE)/12,0)+IFERROR(((HLOOKUP(B178,'EV Forecast WRZ'!$F$116:$T$122,2,FALSE)-HLOOKUP(B178-1,'EV Forecast WRZ'!$F$124:$T$130,2,FALSE)))*C178/78,0)</f>
        <v>1507551.5645058774</v>
      </c>
      <c r="W178" s="47">
        <f ca="1">HLOOKUP(B178,Heating!$R$102:$AD$106,2,FALSE)*INDEX(Weather!$BO$1:$CB$20,MATCH(B178,Weather!$BO$1:$BO$20,0),MATCH(C178,Weather!$BO$1:$CB$1,0))/VLOOKUP(B178,Weather!$BO$2:$CB$20,14,FALSE)</f>
        <v>220628.84122185534</v>
      </c>
      <c r="X178" s="47">
        <f t="shared" ca="1" si="127"/>
        <v>39719613.942872614</v>
      </c>
    </row>
    <row r="179" spans="1:24">
      <c r="A179" s="2">
        <f t="shared" si="199"/>
        <v>47422</v>
      </c>
      <c r="B179">
        <f t="shared" si="200"/>
        <v>2029</v>
      </c>
      <c r="C179">
        <f t="shared" si="201"/>
        <v>10</v>
      </c>
      <c r="E179" s="3">
        <f t="shared" ref="E179:F179" ca="1" si="209">E167</f>
        <v>237.89681159420289</v>
      </c>
      <c r="F179" s="3">
        <f t="shared" ca="1" si="209"/>
        <v>17.987083333333334</v>
      </c>
      <c r="I179" s="47">
        <f t="shared" si="203"/>
        <v>1</v>
      </c>
      <c r="J179" s="47">
        <f t="shared" si="204"/>
        <v>178</v>
      </c>
      <c r="K179" s="47">
        <f t="shared" si="205"/>
        <v>31</v>
      </c>
      <c r="M179" s="3">
        <f t="shared" si="146"/>
        <v>-6000764.6164411902</v>
      </c>
      <c r="N179" s="3">
        <f t="shared" ca="1" si="147"/>
        <v>3466668.1924643191</v>
      </c>
      <c r="O179" s="3">
        <f t="shared" ca="1" si="148"/>
        <v>1660702.731341155</v>
      </c>
      <c r="P179" s="3">
        <f t="shared" si="149"/>
        <v>0</v>
      </c>
      <c r="Q179" s="3">
        <f t="shared" si="150"/>
        <v>0</v>
      </c>
      <c r="R179" s="3">
        <f t="shared" si="151"/>
        <v>-815229.51419000898</v>
      </c>
      <c r="S179" s="3">
        <f t="shared" si="152"/>
        <v>9587536.0930967927</v>
      </c>
      <c r="T179" s="3">
        <f t="shared" si="153"/>
        <v>25469342.489254653</v>
      </c>
      <c r="U179" s="47">
        <f t="shared" ca="1" si="198"/>
        <v>33368255.37552572</v>
      </c>
      <c r="V179" s="47">
        <f>IFERROR(HLOOKUP(B179-1,'EV Forecast WRZ'!$F$124:$T$130,2,FALSE)/12,0)+IFERROR(((HLOOKUP(B179,'EV Forecast WRZ'!$F$116:$T$122,2,FALSE)-HLOOKUP(B179-1,'EV Forecast WRZ'!$F$124:$T$130,2,FALSE)))*C179/78,0)</f>
        <v>1528270.5827578178</v>
      </c>
      <c r="W179" s="47">
        <f ca="1">HLOOKUP(B179,Heating!$R$102:$AD$106,2,FALSE)*INDEX(Weather!$BO$1:$CB$20,MATCH(B179,Weather!$BO$1:$BO$20,0),MATCH(C179,Weather!$BO$1:$CB$1,0))/VLOOKUP(B179,Weather!$BO$2:$CB$20,14,FALSE)</f>
        <v>955011.49435516947</v>
      </c>
      <c r="X179" s="47">
        <f t="shared" ca="1" si="127"/>
        <v>35851537.452638708</v>
      </c>
    </row>
    <row r="180" spans="1:24">
      <c r="A180" s="2">
        <f t="shared" si="199"/>
        <v>47452</v>
      </c>
      <c r="B180">
        <f t="shared" si="200"/>
        <v>2029</v>
      </c>
      <c r="C180">
        <f t="shared" si="201"/>
        <v>11</v>
      </c>
      <c r="E180" s="3">
        <f t="shared" ref="E180:F180" ca="1" si="210">E168</f>
        <v>426.62991389045737</v>
      </c>
      <c r="F180" s="3">
        <f t="shared" ca="1" si="210"/>
        <v>0.8083333333333329</v>
      </c>
      <c r="I180" s="47">
        <f t="shared" si="203"/>
        <v>1</v>
      </c>
      <c r="J180" s="47">
        <f t="shared" si="204"/>
        <v>179</v>
      </c>
      <c r="K180" s="47">
        <f t="shared" si="205"/>
        <v>30</v>
      </c>
      <c r="M180" s="3">
        <f t="shared" si="146"/>
        <v>-6000764.6164411902</v>
      </c>
      <c r="N180" s="3">
        <f t="shared" ca="1" si="147"/>
        <v>6216915.4034760511</v>
      </c>
      <c r="O180" s="3">
        <f t="shared" ca="1" si="148"/>
        <v>74631.409085265797</v>
      </c>
      <c r="P180" s="3">
        <f t="shared" si="149"/>
        <v>0</v>
      </c>
      <c r="Q180" s="3">
        <f t="shared" si="150"/>
        <v>0</v>
      </c>
      <c r="R180" s="3">
        <f t="shared" si="151"/>
        <v>-815229.51419000898</v>
      </c>
      <c r="S180" s="3">
        <f t="shared" si="152"/>
        <v>9641398.6554175615</v>
      </c>
      <c r="T180" s="3">
        <f t="shared" si="153"/>
        <v>24647750.796052888</v>
      </c>
      <c r="U180" s="47">
        <f t="shared" ca="1" si="198"/>
        <v>33764702.133400567</v>
      </c>
      <c r="V180" s="47">
        <f>IFERROR(HLOOKUP(B180-1,'EV Forecast WRZ'!$F$124:$T$130,2,FALSE)/12,0)+IFERROR(((HLOOKUP(B180,'EV Forecast WRZ'!$F$116:$T$122,2,FALSE)-HLOOKUP(B180-1,'EV Forecast WRZ'!$F$124:$T$130,2,FALSE)))*C180/78,0)</f>
        <v>1548989.6010097582</v>
      </c>
      <c r="W180" s="47">
        <f ca="1">HLOOKUP(B180,Heating!$R$102:$AD$106,2,FALSE)*INDEX(Weather!$BO$1:$CB$20,MATCH(B180,Weather!$BO$1:$BO$20,0),MATCH(C180,Weather!$BO$1:$CB$1,0))/VLOOKUP(B180,Weather!$BO$2:$CB$20,14,FALSE)</f>
        <v>1712660.4970903755</v>
      </c>
      <c r="X180" s="47">
        <f t="shared" ca="1" si="127"/>
        <v>37026352.2315007</v>
      </c>
    </row>
    <row r="181" spans="1:24">
      <c r="A181" s="2">
        <f t="shared" si="199"/>
        <v>47483</v>
      </c>
      <c r="B181">
        <f t="shared" si="200"/>
        <v>2029</v>
      </c>
      <c r="C181">
        <f t="shared" si="201"/>
        <v>12</v>
      </c>
      <c r="E181" s="3">
        <f t="shared" ref="E181:F181" ca="1" si="211">E169</f>
        <v>577.92800724637686</v>
      </c>
      <c r="F181" s="3">
        <f t="shared" ca="1" si="211"/>
        <v>0</v>
      </c>
      <c r="I181" s="47">
        <f t="shared" si="203"/>
        <v>0</v>
      </c>
      <c r="J181" s="47">
        <f t="shared" si="204"/>
        <v>180</v>
      </c>
      <c r="K181" s="47">
        <f t="shared" si="205"/>
        <v>31</v>
      </c>
      <c r="M181" s="3">
        <f t="shared" si="146"/>
        <v>-6000764.6164411902</v>
      </c>
      <c r="N181" s="3">
        <f t="shared" ca="1" si="147"/>
        <v>8421654.0223026872</v>
      </c>
      <c r="O181" s="3">
        <f t="shared" ca="1" si="148"/>
        <v>0</v>
      </c>
      <c r="P181" s="3">
        <f t="shared" si="149"/>
        <v>0</v>
      </c>
      <c r="Q181" s="3">
        <f t="shared" si="150"/>
        <v>0</v>
      </c>
      <c r="R181" s="3">
        <f t="shared" si="151"/>
        <v>0</v>
      </c>
      <c r="S181" s="3">
        <f t="shared" si="152"/>
        <v>9695261.2177383304</v>
      </c>
      <c r="T181" s="3">
        <f t="shared" si="153"/>
        <v>25469342.489254653</v>
      </c>
      <c r="U181" s="47">
        <f t="shared" ca="1" si="198"/>
        <v>37585493.112854481</v>
      </c>
      <c r="V181" s="47">
        <f>IFERROR(HLOOKUP(B181-1,'EV Forecast WRZ'!$F$124:$T$130,2,FALSE)/12,0)+IFERROR(((HLOOKUP(B181,'EV Forecast WRZ'!$F$116:$T$122,2,FALSE)-HLOOKUP(B181-1,'EV Forecast WRZ'!$F$124:$T$130,2,FALSE)))*C181/78,0)</f>
        <v>1569708.6192616988</v>
      </c>
      <c r="W181" s="47">
        <f ca="1">HLOOKUP(B181,Heating!$R$102:$AD$106,2,FALSE)*INDEX(Weather!$BO$1:$CB$20,MATCH(B181,Weather!$BO$1:$BO$20,0),MATCH(C181,Weather!$BO$1:$CB$1,0))/VLOOKUP(B181,Weather!$BO$2:$CB$20,14,FALSE)</f>
        <v>2320030.6306396797</v>
      </c>
      <c r="X181" s="47">
        <f t="shared" ca="1" si="127"/>
        <v>41475232.362755857</v>
      </c>
    </row>
    <row r="182" spans="1:24">
      <c r="A182" s="2">
        <f t="shared" si="199"/>
        <v>47514</v>
      </c>
      <c r="B182">
        <f t="shared" si="200"/>
        <v>2030</v>
      </c>
      <c r="C182">
        <f t="shared" si="201"/>
        <v>1</v>
      </c>
      <c r="E182" s="3">
        <f t="shared" ref="E182:F182" ca="1" si="212">E170</f>
        <v>697.33418478260876</v>
      </c>
      <c r="F182" s="3">
        <f t="shared" ca="1" si="212"/>
        <v>0</v>
      </c>
      <c r="I182" s="47">
        <f t="shared" si="203"/>
        <v>0</v>
      </c>
      <c r="J182" s="47">
        <f t="shared" si="204"/>
        <v>181</v>
      </c>
      <c r="K182" s="47">
        <f t="shared" si="205"/>
        <v>31</v>
      </c>
      <c r="M182" s="3">
        <f t="shared" si="146"/>
        <v>-6000764.6164411902</v>
      </c>
      <c r="N182" s="3">
        <f t="shared" ca="1" si="147"/>
        <v>10161658.837309167</v>
      </c>
      <c r="O182" s="3">
        <f t="shared" ca="1" si="148"/>
        <v>0</v>
      </c>
      <c r="P182" s="3">
        <f t="shared" si="149"/>
        <v>0</v>
      </c>
      <c r="Q182" s="3">
        <f t="shared" si="150"/>
        <v>0</v>
      </c>
      <c r="R182" s="3">
        <f t="shared" si="151"/>
        <v>0</v>
      </c>
      <c r="S182" s="3">
        <f t="shared" si="152"/>
        <v>9749123.7800590973</v>
      </c>
      <c r="T182" s="3">
        <f t="shared" si="153"/>
        <v>25469342.489254653</v>
      </c>
      <c r="U182" s="47">
        <f t="shared" ca="1" si="198"/>
        <v>39379360.490181729</v>
      </c>
      <c r="V182" s="47">
        <f>IFERROR(HLOOKUP(B182-1,'EV Forecast WRZ'!$F$124:$T$130,2,FALSE)/12,0)+IFERROR(((HLOOKUP(B182,'EV Forecast WRZ'!$F$116:$T$122,2,FALSE)-HLOOKUP(B182-1,'EV Forecast WRZ'!$F$124:$T$130,2,FALSE)))*C182/78,0)</f>
        <v>1633295.6387902261</v>
      </c>
      <c r="W182" s="47">
        <f ca="1">HLOOKUP(B182,Heating!$R$102:$AD$106,2,FALSE)*INDEX(Weather!$BO$1:$CB$20,MATCH(B182,Weather!$BO$1:$BO$20,0),MATCH(C182,Weather!$BO$1:$CB$1,0))/VLOOKUP(B182,Weather!$BO$2:$CB$20,14,FALSE)</f>
        <v>3175835.3457190534</v>
      </c>
      <c r="X182" s="47">
        <f t="shared" ca="1" si="127"/>
        <v>44188491.474691011</v>
      </c>
    </row>
    <row r="183" spans="1:24">
      <c r="A183" s="2">
        <f t="shared" si="199"/>
        <v>47542</v>
      </c>
      <c r="B183">
        <f t="shared" si="200"/>
        <v>2030</v>
      </c>
      <c r="C183">
        <f t="shared" si="201"/>
        <v>2</v>
      </c>
      <c r="E183" s="3">
        <f t="shared" ref="E183:F183" ca="1" si="213">E171</f>
        <v>624.25501811594188</v>
      </c>
      <c r="F183" s="3">
        <f t="shared" ca="1" si="213"/>
        <v>0</v>
      </c>
      <c r="I183" s="47">
        <f t="shared" si="203"/>
        <v>0</v>
      </c>
      <c r="J183" s="47">
        <f t="shared" si="204"/>
        <v>182</v>
      </c>
      <c r="K183" s="47">
        <f t="shared" si="205"/>
        <v>29</v>
      </c>
      <c r="M183" s="3">
        <f t="shared" si="146"/>
        <v>-6000764.6164411902</v>
      </c>
      <c r="N183" s="3">
        <f t="shared" ca="1" si="147"/>
        <v>9096738.2067322657</v>
      </c>
      <c r="O183" s="3">
        <f t="shared" ca="1" si="148"/>
        <v>0</v>
      </c>
      <c r="P183" s="3">
        <f t="shared" si="149"/>
        <v>0</v>
      </c>
      <c r="Q183" s="3">
        <f t="shared" si="150"/>
        <v>0</v>
      </c>
      <c r="R183" s="3">
        <f t="shared" si="151"/>
        <v>0</v>
      </c>
      <c r="S183" s="3">
        <f t="shared" si="152"/>
        <v>9802986.3423798662</v>
      </c>
      <c r="T183" s="3">
        <f t="shared" si="153"/>
        <v>23826159.102851126</v>
      </c>
      <c r="U183" s="47">
        <f t="shared" ca="1" si="198"/>
        <v>36725119.035522066</v>
      </c>
      <c r="V183" s="47">
        <f>IFERROR(HLOOKUP(B183-1,'EV Forecast WRZ'!$F$124:$T$130,2,FALSE)/12,0)+IFERROR(((HLOOKUP(B183,'EV Forecast WRZ'!$F$116:$T$122,2,FALSE)-HLOOKUP(B183-1,'EV Forecast WRZ'!$F$124:$T$130,2,FALSE)))*C183/78,0)</f>
        <v>1656659.2567334799</v>
      </c>
      <c r="W183" s="47">
        <f ca="1">HLOOKUP(B183,Heating!$R$102:$AD$106,2,FALSE)*INDEX(Weather!$BO$1:$CB$20,MATCH(B183,Weather!$BO$1:$BO$20,0),MATCH(C183,Weather!$BO$1:$CB$1,0))/VLOOKUP(B183,Weather!$BO$2:$CB$20,14,FALSE)</f>
        <v>2843014.4320160393</v>
      </c>
      <c r="X183" s="47">
        <f t="shared" ref="X183:X205" ca="1" si="214">U183+V183+W183</f>
        <v>41224792.724271581</v>
      </c>
    </row>
    <row r="184" spans="1:24">
      <c r="A184" s="2">
        <f t="shared" si="199"/>
        <v>47573</v>
      </c>
      <c r="B184">
        <f t="shared" si="200"/>
        <v>2030</v>
      </c>
      <c r="C184">
        <f t="shared" si="201"/>
        <v>3</v>
      </c>
      <c r="E184" s="3">
        <f t="shared" ref="E184:F184" ca="1" si="215">E172</f>
        <v>546.13298913043491</v>
      </c>
      <c r="F184" s="3">
        <f t="shared" ca="1" si="215"/>
        <v>0</v>
      </c>
      <c r="I184" s="47">
        <f t="shared" si="203"/>
        <v>1</v>
      </c>
      <c r="J184" s="47">
        <f t="shared" si="204"/>
        <v>183</v>
      </c>
      <c r="K184" s="47">
        <f t="shared" si="205"/>
        <v>31</v>
      </c>
      <c r="M184" s="3">
        <f t="shared" si="146"/>
        <v>-6000764.6164411902</v>
      </c>
      <c r="N184" s="3">
        <f t="shared" ca="1" si="147"/>
        <v>7958332.2264251634</v>
      </c>
      <c r="O184" s="3">
        <f t="shared" ca="1" si="148"/>
        <v>0</v>
      </c>
      <c r="P184" s="3">
        <f t="shared" si="149"/>
        <v>0</v>
      </c>
      <c r="Q184" s="3">
        <f t="shared" si="150"/>
        <v>0</v>
      </c>
      <c r="R184" s="3">
        <f t="shared" si="151"/>
        <v>-815229.51419000898</v>
      </c>
      <c r="S184" s="3">
        <f t="shared" si="152"/>
        <v>9856848.904700635</v>
      </c>
      <c r="T184" s="3">
        <f t="shared" si="153"/>
        <v>25469342.489254653</v>
      </c>
      <c r="U184" s="47">
        <f t="shared" ca="1" si="198"/>
        <v>36468529.489749253</v>
      </c>
      <c r="V184" s="47">
        <f>IFERROR(HLOOKUP(B184-1,'EV Forecast WRZ'!$F$124:$T$130,2,FALSE)/12,0)+IFERROR(((HLOOKUP(B184,'EV Forecast WRZ'!$F$116:$T$122,2,FALSE)-HLOOKUP(B184-1,'EV Forecast WRZ'!$F$124:$T$130,2,FALSE)))*C184/78,0)</f>
        <v>1680022.8746767337</v>
      </c>
      <c r="W184" s="47">
        <f ca="1">HLOOKUP(B184,Heating!$R$102:$AD$106,2,FALSE)*INDEX(Weather!$BO$1:$CB$20,MATCH(B184,Weather!$BO$1:$BO$20,0),MATCH(C184,Weather!$BO$1:$CB$1,0))/VLOOKUP(B184,Weather!$BO$2:$CB$20,14,FALSE)</f>
        <v>2487227.054391914</v>
      </c>
      <c r="X184" s="47">
        <f t="shared" ca="1" si="214"/>
        <v>40635779.4188179</v>
      </c>
    </row>
    <row r="185" spans="1:24">
      <c r="A185" s="2">
        <f t="shared" si="199"/>
        <v>47603</v>
      </c>
      <c r="B185">
        <f t="shared" si="200"/>
        <v>2030</v>
      </c>
      <c r="C185">
        <f t="shared" si="201"/>
        <v>4</v>
      </c>
      <c r="E185" s="3">
        <f t="shared" ref="E185:F185" ca="1" si="216">E173</f>
        <v>352.41399621212122</v>
      </c>
      <c r="F185" s="3">
        <f t="shared" ca="1" si="216"/>
        <v>2.1908333333333347</v>
      </c>
      <c r="I185" s="47">
        <f t="shared" si="203"/>
        <v>1</v>
      </c>
      <c r="J185" s="47">
        <f t="shared" si="204"/>
        <v>184</v>
      </c>
      <c r="K185" s="47">
        <f t="shared" si="205"/>
        <v>30</v>
      </c>
      <c r="M185" s="3">
        <f t="shared" si="146"/>
        <v>-6000764.6164411902</v>
      </c>
      <c r="N185" s="3">
        <f t="shared" ca="1" si="147"/>
        <v>5135429.8658350417</v>
      </c>
      <c r="O185" s="3">
        <f t="shared" ca="1" si="148"/>
        <v>202274.20050016907</v>
      </c>
      <c r="P185" s="3">
        <f t="shared" si="149"/>
        <v>0</v>
      </c>
      <c r="Q185" s="3">
        <f t="shared" si="150"/>
        <v>0</v>
      </c>
      <c r="R185" s="3">
        <f t="shared" si="151"/>
        <v>-815229.51419000898</v>
      </c>
      <c r="S185" s="3">
        <f t="shared" si="152"/>
        <v>9910711.4670214038</v>
      </c>
      <c r="T185" s="3">
        <f t="shared" si="153"/>
        <v>24647750.796052888</v>
      </c>
      <c r="U185" s="47">
        <f t="shared" ca="1" si="198"/>
        <v>33080172.198778301</v>
      </c>
      <c r="V185" s="47">
        <f>IFERROR(HLOOKUP(B185-1,'EV Forecast WRZ'!$F$124:$T$130,2,FALSE)/12,0)+IFERROR(((HLOOKUP(B185,'EV Forecast WRZ'!$F$116:$T$122,2,FALSE)-HLOOKUP(B185-1,'EV Forecast WRZ'!$F$124:$T$130,2,FALSE)))*C185/78,0)</f>
        <v>1703386.4926199873</v>
      </c>
      <c r="W185" s="47">
        <f ca="1">HLOOKUP(B185,Heating!$R$102:$AD$106,2,FALSE)*INDEX(Weather!$BO$1:$CB$20,MATCH(B185,Weather!$BO$1:$BO$20,0),MATCH(C185,Weather!$BO$1:$CB$1,0))/VLOOKUP(B185,Weather!$BO$2:$CB$20,14,FALSE)</f>
        <v>1604982.0156822861</v>
      </c>
      <c r="X185" s="47">
        <f t="shared" ca="1" si="214"/>
        <v>36388540.707080573</v>
      </c>
    </row>
    <row r="186" spans="1:24">
      <c r="A186" s="2">
        <f t="shared" si="199"/>
        <v>47634</v>
      </c>
      <c r="B186">
        <f t="shared" si="200"/>
        <v>2030</v>
      </c>
      <c r="C186">
        <f t="shared" si="201"/>
        <v>5</v>
      </c>
      <c r="E186" s="3">
        <f t="shared" ref="E186:F186" ca="1" si="217">E174</f>
        <v>150.136897859768</v>
      </c>
      <c r="F186" s="3">
        <f t="shared" ca="1" si="217"/>
        <v>52.487435064935063</v>
      </c>
      <c r="I186" s="47">
        <f t="shared" si="203"/>
        <v>1</v>
      </c>
      <c r="J186" s="47">
        <f t="shared" si="204"/>
        <v>185</v>
      </c>
      <c r="K186" s="47">
        <f t="shared" si="205"/>
        <v>31</v>
      </c>
      <c r="M186" s="3">
        <f t="shared" si="146"/>
        <v>-6000764.6164411902</v>
      </c>
      <c r="N186" s="3">
        <f t="shared" ca="1" si="147"/>
        <v>2187817.503050575</v>
      </c>
      <c r="O186" s="3">
        <f t="shared" ca="1" si="148"/>
        <v>4846034.5214443235</v>
      </c>
      <c r="P186" s="3">
        <f t="shared" si="149"/>
        <v>0</v>
      </c>
      <c r="Q186" s="3">
        <f t="shared" si="150"/>
        <v>0</v>
      </c>
      <c r="R186" s="3">
        <f t="shared" si="151"/>
        <v>-815229.51419000898</v>
      </c>
      <c r="S186" s="3">
        <f t="shared" si="152"/>
        <v>9964574.0293421727</v>
      </c>
      <c r="T186" s="3">
        <f t="shared" si="153"/>
        <v>25469342.489254653</v>
      </c>
      <c r="U186" s="47">
        <f t="shared" ca="1" si="198"/>
        <v>35651774.412460521</v>
      </c>
      <c r="V186" s="47">
        <f>IFERROR(HLOOKUP(B186-1,'EV Forecast WRZ'!$F$124:$T$130,2,FALSE)/12,0)+IFERROR(((HLOOKUP(B186,'EV Forecast WRZ'!$F$116:$T$122,2,FALSE)-HLOOKUP(B186-1,'EV Forecast WRZ'!$F$124:$T$130,2,FALSE)))*C186/78,0)</f>
        <v>1726750.1105632412</v>
      </c>
      <c r="W186" s="47">
        <f ca="1">HLOOKUP(B186,Heating!$R$102:$AD$106,2,FALSE)*INDEX(Weather!$BO$1:$CB$20,MATCH(B186,Weather!$BO$1:$BO$20,0),MATCH(C186,Weather!$BO$1:$CB$1,0))/VLOOKUP(B186,Weather!$BO$2:$CB$20,14,FALSE)</f>
        <v>683761.21137429413</v>
      </c>
      <c r="X186" s="47">
        <f t="shared" ca="1" si="214"/>
        <v>38062285.73439806</v>
      </c>
    </row>
    <row r="187" spans="1:24">
      <c r="A187" s="2">
        <f t="shared" si="199"/>
        <v>47664</v>
      </c>
      <c r="B187">
        <f t="shared" si="200"/>
        <v>2030</v>
      </c>
      <c r="C187">
        <f t="shared" si="201"/>
        <v>6</v>
      </c>
      <c r="E187" s="3">
        <f t="shared" ref="E187:F187" ca="1" si="218">E175</f>
        <v>32.520923826173821</v>
      </c>
      <c r="F187" s="3">
        <f t="shared" ca="1" si="218"/>
        <v>137.65451754405018</v>
      </c>
      <c r="I187" s="47">
        <f t="shared" si="203"/>
        <v>0</v>
      </c>
      <c r="J187" s="47">
        <f t="shared" si="204"/>
        <v>186</v>
      </c>
      <c r="K187" s="47">
        <f t="shared" si="205"/>
        <v>30</v>
      </c>
      <c r="M187" s="3">
        <f t="shared" si="146"/>
        <v>-6000764.6164411902</v>
      </c>
      <c r="N187" s="3">
        <f t="shared" ca="1" si="147"/>
        <v>473899.80328975141</v>
      </c>
      <c r="O187" s="3">
        <f t="shared" ca="1" si="148"/>
        <v>12709299.72527618</v>
      </c>
      <c r="P187" s="3">
        <f t="shared" si="149"/>
        <v>0</v>
      </c>
      <c r="Q187" s="3">
        <f t="shared" si="150"/>
        <v>0</v>
      </c>
      <c r="R187" s="3">
        <f t="shared" si="151"/>
        <v>0</v>
      </c>
      <c r="S187" s="3">
        <f t="shared" si="152"/>
        <v>10018436.591662942</v>
      </c>
      <c r="T187" s="3">
        <f t="shared" si="153"/>
        <v>24647750.796052888</v>
      </c>
      <c r="U187" s="47">
        <f t="shared" ca="1" si="198"/>
        <v>41848622.299840569</v>
      </c>
      <c r="V187" s="47">
        <f>IFERROR(HLOOKUP(B187-1,'EV Forecast WRZ'!$F$124:$T$130,2,FALSE)/12,0)+IFERROR(((HLOOKUP(B187,'EV Forecast WRZ'!$F$116:$T$122,2,FALSE)-HLOOKUP(B187-1,'EV Forecast WRZ'!$F$124:$T$130,2,FALSE)))*C187/78,0)</f>
        <v>1750113.728506495</v>
      </c>
      <c r="W187" s="47">
        <f ca="1">HLOOKUP(B187,Heating!$R$102:$AD$106,2,FALSE)*INDEX(Weather!$BO$1:$CB$20,MATCH(B187,Weather!$BO$1:$BO$20,0),MATCH(C187,Weather!$BO$1:$CB$1,0))/VLOOKUP(B187,Weather!$BO$2:$CB$20,14,FALSE)</f>
        <v>148108.47025203161</v>
      </c>
      <c r="X187" s="47">
        <f t="shared" ca="1" si="214"/>
        <v>43746844.498599097</v>
      </c>
    </row>
    <row r="188" spans="1:24">
      <c r="A188" s="2">
        <f t="shared" si="199"/>
        <v>47695</v>
      </c>
      <c r="B188">
        <f t="shared" si="200"/>
        <v>2030</v>
      </c>
      <c r="C188">
        <f t="shared" si="201"/>
        <v>7</v>
      </c>
      <c r="E188" s="3">
        <f t="shared" ref="E188:F188" ca="1" si="219">E176</f>
        <v>1.6179166666666653</v>
      </c>
      <c r="F188" s="3">
        <f t="shared" ca="1" si="219"/>
        <v>235.94737858727848</v>
      </c>
      <c r="I188" s="47">
        <f t="shared" si="203"/>
        <v>0</v>
      </c>
      <c r="J188" s="47">
        <f t="shared" si="204"/>
        <v>187</v>
      </c>
      <c r="K188" s="47">
        <f t="shared" si="205"/>
        <v>31</v>
      </c>
      <c r="M188" s="3">
        <f t="shared" si="146"/>
        <v>-6000764.6164411902</v>
      </c>
      <c r="N188" s="3">
        <f t="shared" ca="1" si="147"/>
        <v>23576.525506186736</v>
      </c>
      <c r="O188" s="3">
        <f t="shared" ca="1" si="148"/>
        <v>21784435.464672089</v>
      </c>
      <c r="P188" s="3">
        <f t="shared" si="149"/>
        <v>0</v>
      </c>
      <c r="Q188" s="3">
        <f t="shared" si="150"/>
        <v>0</v>
      </c>
      <c r="R188" s="3">
        <f t="shared" si="151"/>
        <v>0</v>
      </c>
      <c r="S188" s="3">
        <f t="shared" si="152"/>
        <v>10072299.153983708</v>
      </c>
      <c r="T188" s="3">
        <f t="shared" si="153"/>
        <v>25469342.489254653</v>
      </c>
      <c r="U188" s="47">
        <f t="shared" ca="1" si="198"/>
        <v>51348889.016975448</v>
      </c>
      <c r="V188" s="47">
        <f>IFERROR(HLOOKUP(B188-1,'EV Forecast WRZ'!$F$124:$T$130,2,FALSE)/12,0)+IFERROR(((HLOOKUP(B188,'EV Forecast WRZ'!$F$116:$T$122,2,FALSE)-HLOOKUP(B188-1,'EV Forecast WRZ'!$F$124:$T$130,2,FALSE)))*C188/78,0)</f>
        <v>1773477.3464497488</v>
      </c>
      <c r="W188" s="47">
        <f ca="1">HLOOKUP(B188,Heating!$R$102:$AD$106,2,FALSE)*INDEX(Weather!$BO$1:$CB$20,MATCH(B188,Weather!$BO$1:$BO$20,0),MATCH(C188,Weather!$BO$1:$CB$1,0))/VLOOKUP(B188,Weather!$BO$2:$CB$20,14,FALSE)</f>
        <v>7368.3996117726156</v>
      </c>
      <c r="X188" s="47">
        <f t="shared" ca="1" si="214"/>
        <v>53129734.763036966</v>
      </c>
    </row>
    <row r="189" spans="1:24">
      <c r="A189" s="2">
        <f t="shared" si="199"/>
        <v>47726</v>
      </c>
      <c r="B189">
        <f t="shared" si="200"/>
        <v>2030</v>
      </c>
      <c r="C189">
        <f t="shared" si="201"/>
        <v>8</v>
      </c>
      <c r="E189" s="3">
        <f t="shared" ref="E189:F189" ca="1" si="220">E177</f>
        <v>5.6499999999999977</v>
      </c>
      <c r="F189" s="3">
        <f t="shared" ca="1" si="220"/>
        <v>210.96558794466404</v>
      </c>
      <c r="I189" s="47">
        <f t="shared" si="203"/>
        <v>0</v>
      </c>
      <c r="J189" s="47">
        <f t="shared" si="204"/>
        <v>188</v>
      </c>
      <c r="K189" s="47">
        <f t="shared" si="205"/>
        <v>31</v>
      </c>
      <c r="M189" s="3">
        <f t="shared" si="146"/>
        <v>-6000764.6164411902</v>
      </c>
      <c r="N189" s="3">
        <f t="shared" ca="1" si="147"/>
        <v>82332.651523021443</v>
      </c>
      <c r="O189" s="3">
        <f t="shared" ca="1" si="148"/>
        <v>19477928.77956105</v>
      </c>
      <c r="P189" s="3">
        <f t="shared" si="149"/>
        <v>0</v>
      </c>
      <c r="Q189" s="3">
        <f t="shared" si="150"/>
        <v>0</v>
      </c>
      <c r="R189" s="3">
        <f t="shared" si="151"/>
        <v>0</v>
      </c>
      <c r="S189" s="3">
        <f t="shared" si="152"/>
        <v>10126161.716304477</v>
      </c>
      <c r="T189" s="3">
        <f t="shared" si="153"/>
        <v>25469342.489254653</v>
      </c>
      <c r="U189" s="47">
        <f t="shared" ca="1" si="198"/>
        <v>49155001.020202011</v>
      </c>
      <c r="V189" s="47">
        <f>IFERROR(HLOOKUP(B189-1,'EV Forecast WRZ'!$F$124:$T$130,2,FALSE)/12,0)+IFERROR(((HLOOKUP(B189,'EV Forecast WRZ'!$F$116:$T$122,2,FALSE)-HLOOKUP(B189-1,'EV Forecast WRZ'!$F$124:$T$130,2,FALSE)))*C189/78,0)</f>
        <v>1796840.9643930027</v>
      </c>
      <c r="W189" s="47">
        <f ca="1">HLOOKUP(B189,Heating!$R$102:$AD$106,2,FALSE)*INDEX(Weather!$BO$1:$CB$20,MATCH(B189,Weather!$BO$1:$BO$20,0),MATCH(C189,Weather!$BO$1:$CB$1,0))/VLOOKUP(B189,Weather!$BO$2:$CB$20,14,FALSE)</f>
        <v>25731.521693442366</v>
      </c>
      <c r="X189" s="47">
        <f t="shared" ca="1" si="214"/>
        <v>50977573.506288461</v>
      </c>
    </row>
    <row r="190" spans="1:24">
      <c r="A190" s="2">
        <f t="shared" si="199"/>
        <v>47756</v>
      </c>
      <c r="B190">
        <f t="shared" si="200"/>
        <v>2030</v>
      </c>
      <c r="C190">
        <f t="shared" si="201"/>
        <v>9</v>
      </c>
      <c r="E190" s="3">
        <f t="shared" ref="E190:F190" ca="1" si="221">E178</f>
        <v>54.959440993788824</v>
      </c>
      <c r="F190" s="3">
        <f t="shared" ca="1" si="221"/>
        <v>106.4160119047619</v>
      </c>
      <c r="I190" s="47">
        <f t="shared" si="203"/>
        <v>1</v>
      </c>
      <c r="J190" s="47">
        <f t="shared" si="204"/>
        <v>189</v>
      </c>
      <c r="K190" s="47">
        <f t="shared" si="205"/>
        <v>30</v>
      </c>
      <c r="M190" s="3">
        <f t="shared" si="146"/>
        <v>-6000764.6164411902</v>
      </c>
      <c r="N190" s="3">
        <f t="shared" ca="1" si="147"/>
        <v>800877.25721091626</v>
      </c>
      <c r="O190" s="3">
        <f t="shared" ca="1" si="148"/>
        <v>9825126.083736252</v>
      </c>
      <c r="P190" s="3">
        <f t="shared" si="149"/>
        <v>0</v>
      </c>
      <c r="Q190" s="3">
        <f t="shared" si="150"/>
        <v>0</v>
      </c>
      <c r="R190" s="3">
        <f t="shared" si="151"/>
        <v>-815229.51419000898</v>
      </c>
      <c r="S190" s="3">
        <f t="shared" si="152"/>
        <v>10180024.278625246</v>
      </c>
      <c r="T190" s="3">
        <f t="shared" si="153"/>
        <v>24647750.796052888</v>
      </c>
      <c r="U190" s="47">
        <f t="shared" ca="1" si="198"/>
        <v>38637784.284994103</v>
      </c>
      <c r="V190" s="47">
        <f>IFERROR(HLOOKUP(B190-1,'EV Forecast WRZ'!$F$124:$T$130,2,FALSE)/12,0)+IFERROR(((HLOOKUP(B190,'EV Forecast WRZ'!$F$116:$T$122,2,FALSE)-HLOOKUP(B190-1,'EV Forecast WRZ'!$F$124:$T$130,2,FALSE)))*C190/78,0)</f>
        <v>1820204.5823362565</v>
      </c>
      <c r="W190" s="47">
        <f ca="1">HLOOKUP(B190,Heating!$R$102:$AD$106,2,FALSE)*INDEX(Weather!$BO$1:$CB$20,MATCH(B190,Weather!$BO$1:$BO$20,0),MATCH(C190,Weather!$BO$1:$CB$1,0))/VLOOKUP(B190,Weather!$BO$2:$CB$20,14,FALSE)</f>
        <v>250299.12357365369</v>
      </c>
      <c r="X190" s="47">
        <f t="shared" ca="1" si="214"/>
        <v>40708287.990904011</v>
      </c>
    </row>
    <row r="191" spans="1:24">
      <c r="A191" s="2">
        <f t="shared" si="199"/>
        <v>47787</v>
      </c>
      <c r="B191">
        <f t="shared" si="200"/>
        <v>2030</v>
      </c>
      <c r="C191">
        <f t="shared" si="201"/>
        <v>10</v>
      </c>
      <c r="E191" s="3">
        <f t="shared" ref="E191:F191" ca="1" si="222">E179</f>
        <v>237.89681159420289</v>
      </c>
      <c r="F191" s="3">
        <f t="shared" ca="1" si="222"/>
        <v>17.987083333333334</v>
      </c>
      <c r="I191" s="47">
        <f t="shared" si="203"/>
        <v>1</v>
      </c>
      <c r="J191" s="47">
        <f t="shared" si="204"/>
        <v>190</v>
      </c>
      <c r="K191" s="47">
        <f t="shared" si="205"/>
        <v>31</v>
      </c>
      <c r="M191" s="3">
        <f t="shared" si="146"/>
        <v>-6000764.6164411902</v>
      </c>
      <c r="N191" s="3">
        <f t="shared" ca="1" si="147"/>
        <v>3466668.1924643191</v>
      </c>
      <c r="O191" s="3">
        <f t="shared" ca="1" si="148"/>
        <v>1660702.731341155</v>
      </c>
      <c r="P191" s="3">
        <f t="shared" si="149"/>
        <v>0</v>
      </c>
      <c r="Q191" s="3">
        <f t="shared" si="150"/>
        <v>0</v>
      </c>
      <c r="R191" s="3">
        <f t="shared" si="151"/>
        <v>-815229.51419000898</v>
      </c>
      <c r="S191" s="3">
        <f t="shared" si="152"/>
        <v>10233886.840946015</v>
      </c>
      <c r="T191" s="3">
        <f t="shared" si="153"/>
        <v>25469342.489254653</v>
      </c>
      <c r="U191" s="47">
        <f t="shared" ca="1" si="198"/>
        <v>34014606.123374939</v>
      </c>
      <c r="V191" s="47">
        <f>IFERROR(HLOOKUP(B191-1,'EV Forecast WRZ'!$F$124:$T$130,2,FALSE)/12,0)+IFERROR(((HLOOKUP(B191,'EV Forecast WRZ'!$F$116:$T$122,2,FALSE)-HLOOKUP(B191-1,'EV Forecast WRZ'!$F$124:$T$130,2,FALSE)))*C191/78,0)</f>
        <v>1843568.2002795101</v>
      </c>
      <c r="W191" s="47">
        <f ca="1">HLOOKUP(B191,Heating!$R$102:$AD$106,2,FALSE)*INDEX(Weather!$BO$1:$CB$20,MATCH(B191,Weather!$BO$1:$BO$20,0),MATCH(C191,Weather!$BO$1:$CB$1,0))/VLOOKUP(B191,Weather!$BO$2:$CB$20,14,FALSE)</f>
        <v>1083441.9412985849</v>
      </c>
      <c r="X191" s="47">
        <f t="shared" ca="1" si="214"/>
        <v>36941616.264953032</v>
      </c>
    </row>
    <row r="192" spans="1:24">
      <c r="A192" s="2">
        <f t="shared" si="199"/>
        <v>47817</v>
      </c>
      <c r="B192">
        <f t="shared" si="200"/>
        <v>2030</v>
      </c>
      <c r="C192">
        <f t="shared" si="201"/>
        <v>11</v>
      </c>
      <c r="E192" s="3">
        <f t="shared" ref="E192:F192" ca="1" si="223">E180</f>
        <v>426.62991389045737</v>
      </c>
      <c r="F192" s="3">
        <f t="shared" ca="1" si="223"/>
        <v>0.8083333333333329</v>
      </c>
      <c r="I192" s="47">
        <f t="shared" si="203"/>
        <v>1</v>
      </c>
      <c r="J192" s="47">
        <f t="shared" si="204"/>
        <v>191</v>
      </c>
      <c r="K192" s="47">
        <f t="shared" si="205"/>
        <v>30</v>
      </c>
      <c r="M192" s="3">
        <f t="shared" si="146"/>
        <v>-6000764.6164411902</v>
      </c>
      <c r="N192" s="3">
        <f t="shared" ca="1" si="147"/>
        <v>6216915.4034760511</v>
      </c>
      <c r="O192" s="3">
        <f t="shared" ca="1" si="148"/>
        <v>74631.409085265797</v>
      </c>
      <c r="P192" s="3">
        <f t="shared" si="149"/>
        <v>0</v>
      </c>
      <c r="Q192" s="3">
        <f t="shared" si="150"/>
        <v>0</v>
      </c>
      <c r="R192" s="3">
        <f t="shared" si="151"/>
        <v>-815229.51419000898</v>
      </c>
      <c r="S192" s="3">
        <f t="shared" si="152"/>
        <v>10287749.403266784</v>
      </c>
      <c r="T192" s="3">
        <f t="shared" si="153"/>
        <v>24647750.796052888</v>
      </c>
      <c r="U192" s="47">
        <f t="shared" ca="1" si="198"/>
        <v>34411052.881249785</v>
      </c>
      <c r="V192" s="47">
        <f>IFERROR(HLOOKUP(B192-1,'EV Forecast WRZ'!$F$124:$T$130,2,FALSE)/12,0)+IFERROR(((HLOOKUP(B192,'EV Forecast WRZ'!$F$116:$T$122,2,FALSE)-HLOOKUP(B192-1,'EV Forecast WRZ'!$F$124:$T$130,2,FALSE)))*C192/78,0)</f>
        <v>1866931.8182227639</v>
      </c>
      <c r="W192" s="47">
        <f ca="1">HLOOKUP(B192,Heating!$R$102:$AD$106,2,FALSE)*INDEX(Weather!$BO$1:$CB$20,MATCH(B192,Weather!$BO$1:$BO$20,0),MATCH(C192,Weather!$BO$1:$CB$1,0))/VLOOKUP(B192,Weather!$BO$2:$CB$20,14,FALSE)</f>
        <v>1942979.9795298683</v>
      </c>
      <c r="X192" s="47">
        <f t="shared" ca="1" si="214"/>
        <v>38220964.679002412</v>
      </c>
    </row>
    <row r="193" spans="1:24">
      <c r="A193" s="2">
        <f t="shared" si="199"/>
        <v>47848</v>
      </c>
      <c r="B193">
        <f t="shared" si="200"/>
        <v>2030</v>
      </c>
      <c r="C193">
        <f t="shared" si="201"/>
        <v>12</v>
      </c>
      <c r="E193" s="3">
        <f t="shared" ref="E193:F193" ca="1" si="224">E181</f>
        <v>577.92800724637686</v>
      </c>
      <c r="F193" s="3">
        <f t="shared" ca="1" si="224"/>
        <v>0</v>
      </c>
      <c r="I193" s="47">
        <f t="shared" si="203"/>
        <v>0</v>
      </c>
      <c r="J193" s="47">
        <f t="shared" si="204"/>
        <v>192</v>
      </c>
      <c r="K193" s="47">
        <f t="shared" si="205"/>
        <v>31</v>
      </c>
      <c r="M193" s="3">
        <f t="shared" si="146"/>
        <v>-6000764.6164411902</v>
      </c>
      <c r="N193" s="3">
        <f t="shared" ca="1" si="147"/>
        <v>8421654.0223026872</v>
      </c>
      <c r="O193" s="3">
        <f t="shared" ca="1" si="148"/>
        <v>0</v>
      </c>
      <c r="P193" s="3">
        <f t="shared" si="149"/>
        <v>0</v>
      </c>
      <c r="Q193" s="3">
        <f t="shared" si="150"/>
        <v>0</v>
      </c>
      <c r="R193" s="3">
        <f t="shared" si="151"/>
        <v>0</v>
      </c>
      <c r="S193" s="3">
        <f t="shared" si="152"/>
        <v>10341611.965587553</v>
      </c>
      <c r="T193" s="3">
        <f t="shared" si="153"/>
        <v>25469342.489254653</v>
      </c>
      <c r="U193" s="47">
        <f t="shared" ca="1" si="198"/>
        <v>38231843.860703707</v>
      </c>
      <c r="V193" s="47">
        <f>IFERROR(HLOOKUP(B193-1,'EV Forecast WRZ'!$F$124:$T$130,2,FALSE)/12,0)+IFERROR(((HLOOKUP(B193,'EV Forecast WRZ'!$F$116:$T$122,2,FALSE)-HLOOKUP(B193-1,'EV Forecast WRZ'!$F$124:$T$130,2,FALSE)))*C193/78,0)</f>
        <v>1890295.4361660178</v>
      </c>
      <c r="W193" s="47">
        <f ca="1">HLOOKUP(B193,Heating!$R$102:$AD$106,2,FALSE)*INDEX(Weather!$BO$1:$CB$20,MATCH(B193,Weather!$BO$1:$BO$20,0),MATCH(C193,Weather!$BO$1:$CB$1,0))/VLOOKUP(B193,Weather!$BO$2:$CB$20,14,FALSE)</f>
        <v>2632029.5673819589</v>
      </c>
      <c r="X193" s="47">
        <f t="shared" ca="1" si="214"/>
        <v>42754168.864251681</v>
      </c>
    </row>
    <row r="194" spans="1:24">
      <c r="A194" s="2">
        <f t="shared" si="199"/>
        <v>47879</v>
      </c>
      <c r="B194">
        <f t="shared" si="200"/>
        <v>2031</v>
      </c>
      <c r="C194">
        <f t="shared" si="201"/>
        <v>1</v>
      </c>
      <c r="E194" s="3">
        <f t="shared" ref="E194:F194" ca="1" si="225">E182</f>
        <v>697.33418478260876</v>
      </c>
      <c r="F194" s="3">
        <f t="shared" ca="1" si="225"/>
        <v>0</v>
      </c>
      <c r="I194" s="47">
        <f t="shared" si="203"/>
        <v>0</v>
      </c>
      <c r="J194" s="47">
        <f t="shared" si="204"/>
        <v>193</v>
      </c>
      <c r="K194" s="47">
        <f t="shared" si="205"/>
        <v>31</v>
      </c>
      <c r="M194" s="3">
        <f t="shared" ref="M194:M205" si="226">$AB$8</f>
        <v>-6000764.6164411902</v>
      </c>
      <c r="N194" s="3">
        <f t="shared" ref="N194:N205" ca="1" si="227">E194*$AB$9</f>
        <v>10161658.837309167</v>
      </c>
      <c r="O194" s="3">
        <f t="shared" ref="O194:O205" ca="1" si="228">F194*$AB$10</f>
        <v>0</v>
      </c>
      <c r="P194" s="3">
        <f t="shared" ref="P194:P205" si="229">G194*$AB$11</f>
        <v>0</v>
      </c>
      <c r="Q194" s="3">
        <f t="shared" ref="Q194:Q205" si="230">H194*$AB$12</f>
        <v>0</v>
      </c>
      <c r="R194" s="3">
        <f t="shared" ref="R194:R205" si="231">I194*$AB$13</f>
        <v>0</v>
      </c>
      <c r="S194" s="3">
        <f t="shared" ref="S194:S205" si="232">J194*$AB$14</f>
        <v>10395474.52790832</v>
      </c>
      <c r="T194" s="3">
        <f t="shared" ref="T194:T205" si="233">K194*$AB$15</f>
        <v>25469342.489254653</v>
      </c>
      <c r="U194" s="47">
        <f t="shared" ca="1" si="198"/>
        <v>40025711.238030948</v>
      </c>
      <c r="V194" s="47">
        <f>IFERROR(HLOOKUP(B194-1,'EV Forecast WRZ'!$F$124:$T$130,2,FALSE)/12,0)+IFERROR(((HLOOKUP(B194,'EV Forecast WRZ'!$F$116:$T$122,2,FALSE)-HLOOKUP(B194-1,'EV Forecast WRZ'!$F$124:$T$130,2,FALSE)))*C194/78,0)</f>
        <v>1958293.0637621386</v>
      </c>
      <c r="W194" s="47">
        <f ca="1">HLOOKUP(B194,Heating!$R$102:$AD$106,2,FALSE)*INDEX(Weather!$BO$1:$CB$20,MATCH(B194,Weather!$BO$1:$BO$20,0),MATCH(C194,Weather!$BO$1:$CB$1,0))/VLOOKUP(B194,Weather!$BO$2:$CB$20,14,FALSE)</f>
        <v>3572908.1828154232</v>
      </c>
      <c r="X194" s="47">
        <f t="shared" ca="1" si="214"/>
        <v>45556912.484608509</v>
      </c>
    </row>
    <row r="195" spans="1:24">
      <c r="A195" s="2">
        <f t="shared" si="199"/>
        <v>47907</v>
      </c>
      <c r="B195">
        <f t="shared" si="200"/>
        <v>2031</v>
      </c>
      <c r="C195">
        <f t="shared" si="201"/>
        <v>2</v>
      </c>
      <c r="E195" s="3">
        <f t="shared" ref="E195:F195" ca="1" si="234">E183</f>
        <v>624.25501811594188</v>
      </c>
      <c r="F195" s="3">
        <f t="shared" ca="1" si="234"/>
        <v>0</v>
      </c>
      <c r="I195" s="47">
        <f t="shared" si="203"/>
        <v>0</v>
      </c>
      <c r="J195" s="47">
        <f t="shared" si="204"/>
        <v>194</v>
      </c>
      <c r="K195" s="47">
        <f t="shared" si="205"/>
        <v>28</v>
      </c>
      <c r="M195" s="3">
        <f t="shared" si="226"/>
        <v>-6000764.6164411902</v>
      </c>
      <c r="N195" s="3">
        <f t="shared" ca="1" si="227"/>
        <v>9096738.2067322657</v>
      </c>
      <c r="O195" s="3">
        <f t="shared" ca="1" si="228"/>
        <v>0</v>
      </c>
      <c r="P195" s="3">
        <f t="shared" si="229"/>
        <v>0</v>
      </c>
      <c r="Q195" s="3">
        <f t="shared" si="230"/>
        <v>0</v>
      </c>
      <c r="R195" s="3">
        <f t="shared" si="231"/>
        <v>0</v>
      </c>
      <c r="S195" s="3">
        <f t="shared" si="232"/>
        <v>10449337.090229088</v>
      </c>
      <c r="T195" s="3">
        <f t="shared" si="233"/>
        <v>23004567.409649365</v>
      </c>
      <c r="U195" s="47">
        <f t="shared" ca="1" si="198"/>
        <v>36549878.090169527</v>
      </c>
      <c r="V195" s="47">
        <f>IFERROR(HLOOKUP(B195-1,'EV Forecast WRZ'!$F$124:$T$130,2,FALSE)/12,0)+IFERROR(((HLOOKUP(B195,'EV Forecast WRZ'!$F$116:$T$122,2,FALSE)-HLOOKUP(B195-1,'EV Forecast WRZ'!$F$124:$T$130,2,FALSE)))*C195/78,0)</f>
        <v>1981412.8967483395</v>
      </c>
      <c r="W195" s="47">
        <f ca="1">HLOOKUP(B195,Heating!$R$102:$AD$106,2,FALSE)*INDEX(Weather!$BO$1:$CB$20,MATCH(B195,Weather!$BO$1:$BO$20,0),MATCH(C195,Weather!$BO$1:$CB$1,0))/VLOOKUP(B195,Weather!$BO$2:$CB$20,14,FALSE)</f>
        <v>3198474.8647957928</v>
      </c>
      <c r="X195" s="47">
        <f t="shared" ca="1" si="214"/>
        <v>41729765.851713657</v>
      </c>
    </row>
    <row r="196" spans="1:24">
      <c r="A196" s="2">
        <f t="shared" si="199"/>
        <v>47938</v>
      </c>
      <c r="B196">
        <f t="shared" si="200"/>
        <v>2031</v>
      </c>
      <c r="C196">
        <f t="shared" si="201"/>
        <v>3</v>
      </c>
      <c r="E196" s="3">
        <f t="shared" ref="E196:F196" ca="1" si="235">E184</f>
        <v>546.13298913043491</v>
      </c>
      <c r="F196" s="3">
        <f t="shared" ca="1" si="235"/>
        <v>0</v>
      </c>
      <c r="I196" s="47">
        <f t="shared" si="203"/>
        <v>1</v>
      </c>
      <c r="J196" s="47">
        <f t="shared" si="204"/>
        <v>195</v>
      </c>
      <c r="K196" s="47">
        <f t="shared" si="205"/>
        <v>31</v>
      </c>
      <c r="M196" s="3">
        <f t="shared" si="226"/>
        <v>-6000764.6164411902</v>
      </c>
      <c r="N196" s="3">
        <f t="shared" ca="1" si="227"/>
        <v>7958332.2264251634</v>
      </c>
      <c r="O196" s="3">
        <f t="shared" ca="1" si="228"/>
        <v>0</v>
      </c>
      <c r="P196" s="3">
        <f t="shared" si="229"/>
        <v>0</v>
      </c>
      <c r="Q196" s="3">
        <f t="shared" si="230"/>
        <v>0</v>
      </c>
      <c r="R196" s="3">
        <f t="shared" si="231"/>
        <v>-815229.51419000898</v>
      </c>
      <c r="S196" s="3">
        <f t="shared" si="232"/>
        <v>10503199.652549857</v>
      </c>
      <c r="T196" s="3">
        <f t="shared" si="233"/>
        <v>25469342.489254653</v>
      </c>
      <c r="U196" s="47">
        <f t="shared" ca="1" si="198"/>
        <v>37114880.237598479</v>
      </c>
      <c r="V196" s="47">
        <f>IFERROR(HLOOKUP(B196-1,'EV Forecast WRZ'!$F$124:$T$130,2,FALSE)/12,0)+IFERROR(((HLOOKUP(B196,'EV Forecast WRZ'!$F$116:$T$122,2,FALSE)-HLOOKUP(B196-1,'EV Forecast WRZ'!$F$124:$T$130,2,FALSE)))*C196/78,0)</f>
        <v>2004532.7297345405</v>
      </c>
      <c r="W196" s="47">
        <f ca="1">HLOOKUP(B196,Heating!$R$102:$AD$106,2,FALSE)*INDEX(Weather!$BO$1:$CB$20,MATCH(B196,Weather!$BO$1:$BO$20,0),MATCH(C196,Weather!$BO$1:$CB$1,0))/VLOOKUP(B196,Weather!$BO$2:$CB$20,14,FALSE)</f>
        <v>2798203.5992941926</v>
      </c>
      <c r="X196" s="47">
        <f t="shared" ca="1" si="214"/>
        <v>41917616.566627212</v>
      </c>
    </row>
    <row r="197" spans="1:24">
      <c r="A197" s="2">
        <f t="shared" si="199"/>
        <v>47968</v>
      </c>
      <c r="B197">
        <f t="shared" si="200"/>
        <v>2031</v>
      </c>
      <c r="C197">
        <f t="shared" si="201"/>
        <v>4</v>
      </c>
      <c r="E197" s="3">
        <f t="shared" ref="E197:F197" ca="1" si="236">E185</f>
        <v>352.41399621212122</v>
      </c>
      <c r="F197" s="3">
        <f t="shared" ca="1" si="236"/>
        <v>2.1908333333333347</v>
      </c>
      <c r="I197" s="47">
        <f t="shared" si="203"/>
        <v>1</v>
      </c>
      <c r="J197" s="47">
        <f t="shared" si="204"/>
        <v>196</v>
      </c>
      <c r="K197" s="47">
        <f t="shared" si="205"/>
        <v>30</v>
      </c>
      <c r="M197" s="3">
        <f t="shared" si="226"/>
        <v>-6000764.6164411902</v>
      </c>
      <c r="N197" s="3">
        <f t="shared" ca="1" si="227"/>
        <v>5135429.8658350417</v>
      </c>
      <c r="O197" s="3">
        <f t="shared" ca="1" si="228"/>
        <v>202274.20050016907</v>
      </c>
      <c r="P197" s="3">
        <f t="shared" si="229"/>
        <v>0</v>
      </c>
      <c r="Q197" s="3">
        <f t="shared" si="230"/>
        <v>0</v>
      </c>
      <c r="R197" s="3">
        <f t="shared" si="231"/>
        <v>-815229.51419000898</v>
      </c>
      <c r="S197" s="3">
        <f t="shared" si="232"/>
        <v>10557062.214870626</v>
      </c>
      <c r="T197" s="3">
        <f t="shared" si="233"/>
        <v>24647750.796052888</v>
      </c>
      <c r="U197" s="47">
        <f t="shared" ca="1" si="198"/>
        <v>33726522.946627527</v>
      </c>
      <c r="V197" s="47">
        <f>IFERROR(HLOOKUP(B197-1,'EV Forecast WRZ'!$F$124:$T$130,2,FALSE)/12,0)+IFERROR(((HLOOKUP(B197,'EV Forecast WRZ'!$F$116:$T$122,2,FALSE)-HLOOKUP(B197-1,'EV Forecast WRZ'!$F$124:$T$130,2,FALSE)))*C197/78,0)</f>
        <v>2027652.5627207414</v>
      </c>
      <c r="W197" s="47">
        <f ca="1">HLOOKUP(B197,Heating!$R$102:$AD$106,2,FALSE)*INDEX(Weather!$BO$1:$CB$20,MATCH(B197,Weather!$BO$1:$BO$20,0),MATCH(C197,Weather!$BO$1:$CB$1,0))/VLOOKUP(B197,Weather!$BO$2:$CB$20,14,FALSE)</f>
        <v>1805651.9790400127</v>
      </c>
      <c r="X197" s="47">
        <f t="shared" ca="1" si="214"/>
        <v>37559827.488388278</v>
      </c>
    </row>
    <row r="198" spans="1:24">
      <c r="A198" s="2">
        <f t="shared" si="199"/>
        <v>47999</v>
      </c>
      <c r="B198">
        <f t="shared" si="200"/>
        <v>2031</v>
      </c>
      <c r="C198">
        <f t="shared" si="201"/>
        <v>5</v>
      </c>
      <c r="E198" s="3">
        <f t="shared" ref="E198:F198" ca="1" si="237">E186</f>
        <v>150.136897859768</v>
      </c>
      <c r="F198" s="3">
        <f t="shared" ca="1" si="237"/>
        <v>52.487435064935063</v>
      </c>
      <c r="I198" s="47">
        <f t="shared" si="203"/>
        <v>1</v>
      </c>
      <c r="J198" s="47">
        <f t="shared" si="204"/>
        <v>197</v>
      </c>
      <c r="K198" s="47">
        <f t="shared" si="205"/>
        <v>31</v>
      </c>
      <c r="M198" s="3">
        <f t="shared" si="226"/>
        <v>-6000764.6164411902</v>
      </c>
      <c r="N198" s="3">
        <f t="shared" ca="1" si="227"/>
        <v>2187817.503050575</v>
      </c>
      <c r="O198" s="3">
        <f t="shared" ca="1" si="228"/>
        <v>4846034.5214443235</v>
      </c>
      <c r="P198" s="3">
        <f t="shared" si="229"/>
        <v>0</v>
      </c>
      <c r="Q198" s="3">
        <f t="shared" si="230"/>
        <v>0</v>
      </c>
      <c r="R198" s="3">
        <f t="shared" si="231"/>
        <v>-815229.51419000898</v>
      </c>
      <c r="S198" s="3">
        <f t="shared" si="232"/>
        <v>10610924.777191395</v>
      </c>
      <c r="T198" s="3">
        <f t="shared" si="233"/>
        <v>25469342.489254653</v>
      </c>
      <c r="U198" s="47">
        <f t="shared" ca="1" si="198"/>
        <v>36298125.160309747</v>
      </c>
      <c r="V198" s="47">
        <f>IFERROR(HLOOKUP(B198-1,'EV Forecast WRZ'!$F$124:$T$130,2,FALSE)/12,0)+IFERROR(((HLOOKUP(B198,'EV Forecast WRZ'!$F$116:$T$122,2,FALSE)-HLOOKUP(B198-1,'EV Forecast WRZ'!$F$124:$T$130,2,FALSE)))*C198/78,0)</f>
        <v>2050772.3957069423</v>
      </c>
      <c r="W198" s="47">
        <f ca="1">HLOOKUP(B198,Heating!$R$102:$AD$106,2,FALSE)*INDEX(Weather!$BO$1:$CB$20,MATCH(B198,Weather!$BO$1:$BO$20,0),MATCH(C198,Weather!$BO$1:$CB$1,0))/VLOOKUP(B198,Weather!$BO$2:$CB$20,14,FALSE)</f>
        <v>769251.47599485179</v>
      </c>
      <c r="X198" s="47">
        <f t="shared" ca="1" si="214"/>
        <v>39118149.032011546</v>
      </c>
    </row>
    <row r="199" spans="1:24">
      <c r="A199" s="2">
        <f t="shared" si="199"/>
        <v>48029</v>
      </c>
      <c r="B199">
        <f t="shared" si="200"/>
        <v>2031</v>
      </c>
      <c r="C199">
        <f t="shared" si="201"/>
        <v>6</v>
      </c>
      <c r="E199" s="3">
        <f t="shared" ref="E199:F199" ca="1" si="238">E187</f>
        <v>32.520923826173821</v>
      </c>
      <c r="F199" s="3">
        <f t="shared" ca="1" si="238"/>
        <v>137.65451754405018</v>
      </c>
      <c r="I199" s="47">
        <f t="shared" si="203"/>
        <v>0</v>
      </c>
      <c r="J199" s="47">
        <f t="shared" si="204"/>
        <v>198</v>
      </c>
      <c r="K199" s="47">
        <f t="shared" si="205"/>
        <v>30</v>
      </c>
      <c r="M199" s="3">
        <f t="shared" si="226"/>
        <v>-6000764.6164411902</v>
      </c>
      <c r="N199" s="3">
        <f t="shared" ca="1" si="227"/>
        <v>473899.80328975141</v>
      </c>
      <c r="O199" s="3">
        <f t="shared" ca="1" si="228"/>
        <v>12709299.72527618</v>
      </c>
      <c r="P199" s="3">
        <f t="shared" si="229"/>
        <v>0</v>
      </c>
      <c r="Q199" s="3">
        <f t="shared" si="230"/>
        <v>0</v>
      </c>
      <c r="R199" s="3">
        <f t="shared" si="231"/>
        <v>0</v>
      </c>
      <c r="S199" s="3">
        <f t="shared" si="232"/>
        <v>10664787.339512162</v>
      </c>
      <c r="T199" s="3">
        <f t="shared" si="233"/>
        <v>24647750.796052888</v>
      </c>
      <c r="U199" s="47">
        <f t="shared" ca="1" si="198"/>
        <v>42494973.047689795</v>
      </c>
      <c r="V199" s="47">
        <f>IFERROR(HLOOKUP(B199-1,'EV Forecast WRZ'!$F$124:$T$130,2,FALSE)/12,0)+IFERROR(((HLOOKUP(B199,'EV Forecast WRZ'!$F$116:$T$122,2,FALSE)-HLOOKUP(B199-1,'EV Forecast WRZ'!$F$124:$T$130,2,FALSE)))*C199/78,0)</f>
        <v>2073892.2286931435</v>
      </c>
      <c r="W199" s="47">
        <f ca="1">HLOOKUP(B199,Heating!$R$102:$AD$106,2,FALSE)*INDEX(Weather!$BO$1:$CB$20,MATCH(B199,Weather!$BO$1:$BO$20,0),MATCH(C199,Weather!$BO$1:$CB$1,0))/VLOOKUP(B199,Weather!$BO$2:$CB$20,14,FALSE)</f>
        <v>166626.3857227602</v>
      </c>
      <c r="X199" s="47">
        <f t="shared" ca="1" si="214"/>
        <v>44735491.662105702</v>
      </c>
    </row>
    <row r="200" spans="1:24">
      <c r="A200" s="2">
        <f t="shared" si="199"/>
        <v>48060</v>
      </c>
      <c r="B200">
        <f t="shared" si="200"/>
        <v>2031</v>
      </c>
      <c r="C200">
        <f t="shared" si="201"/>
        <v>7</v>
      </c>
      <c r="E200" s="3">
        <f t="shared" ref="E200:F200" ca="1" si="239">E188</f>
        <v>1.6179166666666653</v>
      </c>
      <c r="F200" s="3">
        <f t="shared" ca="1" si="239"/>
        <v>235.94737858727848</v>
      </c>
      <c r="I200" s="47">
        <f t="shared" si="203"/>
        <v>0</v>
      </c>
      <c r="J200" s="47">
        <f t="shared" si="204"/>
        <v>199</v>
      </c>
      <c r="K200" s="47">
        <f t="shared" si="205"/>
        <v>31</v>
      </c>
      <c r="M200" s="3">
        <f t="shared" si="226"/>
        <v>-6000764.6164411902</v>
      </c>
      <c r="N200" s="3">
        <f t="shared" ca="1" si="227"/>
        <v>23576.525506186736</v>
      </c>
      <c r="O200" s="3">
        <f t="shared" ca="1" si="228"/>
        <v>21784435.464672089</v>
      </c>
      <c r="P200" s="3">
        <f t="shared" si="229"/>
        <v>0</v>
      </c>
      <c r="Q200" s="3">
        <f t="shared" si="230"/>
        <v>0</v>
      </c>
      <c r="R200" s="3">
        <f t="shared" si="231"/>
        <v>0</v>
      </c>
      <c r="S200" s="3">
        <f t="shared" si="232"/>
        <v>10718649.901832931</v>
      </c>
      <c r="T200" s="3">
        <f t="shared" si="233"/>
        <v>25469342.489254653</v>
      </c>
      <c r="U200" s="47">
        <f t="shared" ca="1" si="198"/>
        <v>51995239.764824674</v>
      </c>
      <c r="V200" s="47">
        <f>IFERROR(HLOOKUP(B200-1,'EV Forecast WRZ'!$F$124:$T$130,2,FALSE)/12,0)+IFERROR(((HLOOKUP(B200,'EV Forecast WRZ'!$F$116:$T$122,2,FALSE)-HLOOKUP(B200-1,'EV Forecast WRZ'!$F$124:$T$130,2,FALSE)))*C200/78,0)</f>
        <v>2097012.0616793442</v>
      </c>
      <c r="W200" s="47">
        <f ca="1">HLOOKUP(B200,Heating!$R$102:$AD$106,2,FALSE)*INDEX(Weather!$BO$1:$CB$20,MATCH(B200,Weather!$BO$1:$BO$20,0),MATCH(C200,Weather!$BO$1:$CB$1,0))/VLOOKUP(B200,Weather!$BO$2:$CB$20,14,FALSE)</f>
        <v>8289.6663086277385</v>
      </c>
      <c r="X200" s="47">
        <f t="shared" ca="1" si="214"/>
        <v>54100541.492812641</v>
      </c>
    </row>
    <row r="201" spans="1:24">
      <c r="A201" s="2">
        <f t="shared" si="199"/>
        <v>48091</v>
      </c>
      <c r="B201">
        <f t="shared" si="200"/>
        <v>2031</v>
      </c>
      <c r="C201">
        <f t="shared" si="201"/>
        <v>8</v>
      </c>
      <c r="E201" s="3">
        <f t="shared" ref="E201:F201" ca="1" si="240">E189</f>
        <v>5.6499999999999977</v>
      </c>
      <c r="F201" s="3">
        <f t="shared" ca="1" si="240"/>
        <v>210.96558794466404</v>
      </c>
      <c r="I201" s="47">
        <f t="shared" si="203"/>
        <v>0</v>
      </c>
      <c r="J201" s="47">
        <f t="shared" si="204"/>
        <v>200</v>
      </c>
      <c r="K201" s="47">
        <f t="shared" si="205"/>
        <v>31</v>
      </c>
      <c r="M201" s="3">
        <f t="shared" si="226"/>
        <v>-6000764.6164411902</v>
      </c>
      <c r="N201" s="3">
        <f t="shared" ca="1" si="227"/>
        <v>82332.651523021443</v>
      </c>
      <c r="O201" s="3">
        <f t="shared" ca="1" si="228"/>
        <v>19477928.77956105</v>
      </c>
      <c r="P201" s="3">
        <f t="shared" si="229"/>
        <v>0</v>
      </c>
      <c r="Q201" s="3">
        <f t="shared" si="230"/>
        <v>0</v>
      </c>
      <c r="R201" s="3">
        <f t="shared" si="231"/>
        <v>0</v>
      </c>
      <c r="S201" s="3">
        <f t="shared" si="232"/>
        <v>10772512.4641537</v>
      </c>
      <c r="T201" s="3">
        <f t="shared" si="233"/>
        <v>25469342.489254653</v>
      </c>
      <c r="U201" s="47">
        <f t="shared" ca="1" si="198"/>
        <v>49801351.768051237</v>
      </c>
      <c r="V201" s="47">
        <f>IFERROR(HLOOKUP(B201-1,'EV Forecast WRZ'!$F$124:$T$130,2,FALSE)/12,0)+IFERROR(((HLOOKUP(B201,'EV Forecast WRZ'!$F$116:$T$122,2,FALSE)-HLOOKUP(B201-1,'EV Forecast WRZ'!$F$124:$T$130,2,FALSE)))*C201/78,0)</f>
        <v>2120131.8946655453</v>
      </c>
      <c r="W201" s="47">
        <f ca="1">HLOOKUP(B201,Heating!$R$102:$AD$106,2,FALSE)*INDEX(Weather!$BO$1:$CB$20,MATCH(B201,Weather!$BO$1:$BO$20,0),MATCH(C201,Weather!$BO$1:$CB$1,0))/VLOOKUP(B201,Weather!$BO$2:$CB$20,14,FALSE)</f>
        <v>28948.718811483952</v>
      </c>
      <c r="X201" s="47">
        <f t="shared" ca="1" si="214"/>
        <v>51950432.381528266</v>
      </c>
    </row>
    <row r="202" spans="1:24">
      <c r="A202" s="2">
        <f t="shared" si="199"/>
        <v>48121</v>
      </c>
      <c r="B202">
        <f t="shared" si="200"/>
        <v>2031</v>
      </c>
      <c r="C202">
        <f t="shared" si="201"/>
        <v>9</v>
      </c>
      <c r="E202" s="3">
        <f t="shared" ref="E202:F202" ca="1" si="241">E190</f>
        <v>54.959440993788824</v>
      </c>
      <c r="F202" s="3">
        <f t="shared" ca="1" si="241"/>
        <v>106.4160119047619</v>
      </c>
      <c r="I202" s="47">
        <f t="shared" si="203"/>
        <v>1</v>
      </c>
      <c r="J202" s="47">
        <f t="shared" si="204"/>
        <v>201</v>
      </c>
      <c r="K202" s="47">
        <f t="shared" si="205"/>
        <v>30</v>
      </c>
      <c r="M202" s="3">
        <f t="shared" si="226"/>
        <v>-6000764.6164411902</v>
      </c>
      <c r="N202" s="3">
        <f t="shared" ca="1" si="227"/>
        <v>800877.25721091626</v>
      </c>
      <c r="O202" s="3">
        <f t="shared" ca="1" si="228"/>
        <v>9825126.083736252</v>
      </c>
      <c r="P202" s="3">
        <f t="shared" si="229"/>
        <v>0</v>
      </c>
      <c r="Q202" s="3">
        <f t="shared" si="230"/>
        <v>0</v>
      </c>
      <c r="R202" s="3">
        <f t="shared" si="231"/>
        <v>-815229.51419000898</v>
      </c>
      <c r="S202" s="3">
        <f t="shared" si="232"/>
        <v>10826375.026474468</v>
      </c>
      <c r="T202" s="3">
        <f t="shared" si="233"/>
        <v>24647750.796052888</v>
      </c>
      <c r="U202" s="47">
        <f t="shared" ca="1" si="198"/>
        <v>39284135.032843322</v>
      </c>
      <c r="V202" s="47">
        <f>IFERROR(HLOOKUP(B202-1,'EV Forecast WRZ'!$F$124:$T$130,2,FALSE)/12,0)+IFERROR(((HLOOKUP(B202,'EV Forecast WRZ'!$F$116:$T$122,2,FALSE)-HLOOKUP(B202-1,'EV Forecast WRZ'!$F$124:$T$130,2,FALSE)))*C202/78,0)</f>
        <v>2143251.727651746</v>
      </c>
      <c r="W202" s="47">
        <f ca="1">HLOOKUP(B202,Heating!$R$102:$AD$106,2,FALSE)*INDEX(Weather!$BO$1:$CB$20,MATCH(B202,Weather!$BO$1:$BO$20,0),MATCH(C202,Weather!$BO$1:$CB$1,0))/VLOOKUP(B202,Weather!$BO$2:$CB$20,14,FALSE)</f>
        <v>281593.876701865</v>
      </c>
      <c r="X202" s="47">
        <f t="shared" ca="1" si="214"/>
        <v>41708980.637196928</v>
      </c>
    </row>
    <row r="203" spans="1:24">
      <c r="A203" s="2">
        <f t="shared" si="199"/>
        <v>48152</v>
      </c>
      <c r="B203">
        <f t="shared" si="200"/>
        <v>2031</v>
      </c>
      <c r="C203">
        <f t="shared" si="201"/>
        <v>10</v>
      </c>
      <c r="E203" s="3">
        <f t="shared" ref="E203:F203" ca="1" si="242">E191</f>
        <v>237.89681159420289</v>
      </c>
      <c r="F203" s="3">
        <f t="shared" ca="1" si="242"/>
        <v>17.987083333333334</v>
      </c>
      <c r="I203" s="47">
        <f t="shared" si="203"/>
        <v>1</v>
      </c>
      <c r="J203" s="47">
        <f t="shared" si="204"/>
        <v>202</v>
      </c>
      <c r="K203" s="47">
        <f t="shared" si="205"/>
        <v>31</v>
      </c>
      <c r="M203" s="3">
        <f t="shared" si="226"/>
        <v>-6000764.6164411902</v>
      </c>
      <c r="N203" s="3">
        <f t="shared" ca="1" si="227"/>
        <v>3466668.1924643191</v>
      </c>
      <c r="O203" s="3">
        <f t="shared" ca="1" si="228"/>
        <v>1660702.731341155</v>
      </c>
      <c r="P203" s="3">
        <f t="shared" si="229"/>
        <v>0</v>
      </c>
      <c r="Q203" s="3">
        <f t="shared" si="230"/>
        <v>0</v>
      </c>
      <c r="R203" s="3">
        <f t="shared" si="231"/>
        <v>-815229.51419000898</v>
      </c>
      <c r="S203" s="3">
        <f t="shared" si="232"/>
        <v>10880237.588795237</v>
      </c>
      <c r="T203" s="3">
        <f t="shared" si="233"/>
        <v>25469342.489254653</v>
      </c>
      <c r="U203" s="47">
        <f t="shared" ca="1" si="198"/>
        <v>34660956.871224165</v>
      </c>
      <c r="V203" s="47">
        <f>IFERROR(HLOOKUP(B203-1,'EV Forecast WRZ'!$F$124:$T$130,2,FALSE)/12,0)+IFERROR(((HLOOKUP(B203,'EV Forecast WRZ'!$F$116:$T$122,2,FALSE)-HLOOKUP(B203-1,'EV Forecast WRZ'!$F$124:$T$130,2,FALSE)))*C203/78,0)</f>
        <v>2166371.5606379472</v>
      </c>
      <c r="W203" s="47">
        <f ca="1">HLOOKUP(B203,Heating!$R$102:$AD$106,2,FALSE)*INDEX(Weather!$BO$1:$CB$20,MATCH(B203,Weather!$BO$1:$BO$20,0),MATCH(C203,Weather!$BO$1:$CB$1,0))/VLOOKUP(B203,Weather!$BO$2:$CB$20,14,FALSE)</f>
        <v>1218904.0539803819</v>
      </c>
      <c r="X203" s="47">
        <f t="shared" ca="1" si="214"/>
        <v>38046232.485842496</v>
      </c>
    </row>
    <row r="204" spans="1:24">
      <c r="A204" s="2">
        <f t="shared" si="199"/>
        <v>48182</v>
      </c>
      <c r="B204">
        <f t="shared" si="200"/>
        <v>2031</v>
      </c>
      <c r="C204">
        <f t="shared" si="201"/>
        <v>11</v>
      </c>
      <c r="E204" s="3">
        <f t="shared" ref="E204:F204" ca="1" si="243">E192</f>
        <v>426.62991389045737</v>
      </c>
      <c r="F204" s="3">
        <f t="shared" ca="1" si="243"/>
        <v>0.8083333333333329</v>
      </c>
      <c r="I204" s="47">
        <f t="shared" si="203"/>
        <v>1</v>
      </c>
      <c r="J204" s="47">
        <f t="shared" si="204"/>
        <v>203</v>
      </c>
      <c r="K204" s="47">
        <f t="shared" si="205"/>
        <v>30</v>
      </c>
      <c r="M204" s="3">
        <f t="shared" si="226"/>
        <v>-6000764.6164411902</v>
      </c>
      <c r="N204" s="3">
        <f t="shared" ca="1" si="227"/>
        <v>6216915.4034760511</v>
      </c>
      <c r="O204" s="3">
        <f t="shared" ca="1" si="228"/>
        <v>74631.409085265797</v>
      </c>
      <c r="P204" s="3">
        <f t="shared" si="229"/>
        <v>0</v>
      </c>
      <c r="Q204" s="3">
        <f t="shared" si="230"/>
        <v>0</v>
      </c>
      <c r="R204" s="3">
        <f t="shared" si="231"/>
        <v>-815229.51419000898</v>
      </c>
      <c r="S204" s="3">
        <f t="shared" si="232"/>
        <v>10934100.151116006</v>
      </c>
      <c r="T204" s="3">
        <f t="shared" si="233"/>
        <v>24647750.796052888</v>
      </c>
      <c r="U204" s="47">
        <f t="shared" ca="1" si="198"/>
        <v>35057403.629099011</v>
      </c>
      <c r="V204" s="47">
        <f>IFERROR(HLOOKUP(B204-1,'EV Forecast WRZ'!$F$124:$T$130,2,FALSE)/12,0)+IFERROR(((HLOOKUP(B204,'EV Forecast WRZ'!$F$116:$T$122,2,FALSE)-HLOOKUP(B204-1,'EV Forecast WRZ'!$F$124:$T$130,2,FALSE)))*C204/78,0)</f>
        <v>2189491.3936241479</v>
      </c>
      <c r="W204" s="47">
        <f ca="1">HLOOKUP(B204,Heating!$R$102:$AD$106,2,FALSE)*INDEX(Weather!$BO$1:$CB$20,MATCH(B204,Weather!$BO$1:$BO$20,0),MATCH(C204,Weather!$BO$1:$CB$1,0))/VLOOKUP(B204,Weather!$BO$2:$CB$20,14,FALSE)</f>
        <v>2185909.6307579586</v>
      </c>
      <c r="X204" s="47">
        <f t="shared" ca="1" si="214"/>
        <v>39432804.653481118</v>
      </c>
    </row>
    <row r="205" spans="1:24">
      <c r="A205" s="2">
        <f t="shared" si="199"/>
        <v>48213</v>
      </c>
      <c r="B205">
        <f t="shared" si="200"/>
        <v>2031</v>
      </c>
      <c r="C205">
        <f t="shared" si="201"/>
        <v>12</v>
      </c>
      <c r="E205" s="3">
        <f t="shared" ref="E205:F205" ca="1" si="244">E193</f>
        <v>577.92800724637686</v>
      </c>
      <c r="F205" s="3">
        <f t="shared" ca="1" si="244"/>
        <v>0</v>
      </c>
      <c r="I205" s="47">
        <f t="shared" si="203"/>
        <v>0</v>
      </c>
      <c r="J205" s="47">
        <f t="shared" si="204"/>
        <v>204</v>
      </c>
      <c r="K205" s="47">
        <f t="shared" si="205"/>
        <v>31</v>
      </c>
      <c r="M205" s="3">
        <f t="shared" si="226"/>
        <v>-6000764.6164411902</v>
      </c>
      <c r="N205" s="3">
        <f t="shared" ca="1" si="227"/>
        <v>8421654.0223026872</v>
      </c>
      <c r="O205" s="3">
        <f t="shared" ca="1" si="228"/>
        <v>0</v>
      </c>
      <c r="P205" s="3">
        <f t="shared" si="229"/>
        <v>0</v>
      </c>
      <c r="Q205" s="3">
        <f t="shared" si="230"/>
        <v>0</v>
      </c>
      <c r="R205" s="3">
        <f t="shared" si="231"/>
        <v>0</v>
      </c>
      <c r="S205" s="3">
        <f t="shared" si="232"/>
        <v>10987962.713436773</v>
      </c>
      <c r="T205" s="3">
        <f t="shared" si="233"/>
        <v>25469342.489254653</v>
      </c>
      <c r="U205" s="47">
        <f t="shared" ca="1" si="198"/>
        <v>38878194.608552925</v>
      </c>
      <c r="V205" s="47">
        <f>IFERROR(HLOOKUP(B205-1,'EV Forecast WRZ'!$F$124:$T$130,2,FALSE)/12,0)+IFERROR(((HLOOKUP(B205,'EV Forecast WRZ'!$F$116:$T$122,2,FALSE)-HLOOKUP(B205-1,'EV Forecast WRZ'!$F$124:$T$130,2,FALSE)))*C205/78,0)</f>
        <v>2212611.226610349</v>
      </c>
      <c r="W205" s="47">
        <f ca="1">HLOOKUP(B205,Heating!$R$102:$AD$106,2,FALSE)*INDEX(Weather!$BO$1:$CB$20,MATCH(B205,Weather!$BO$1:$BO$20,0),MATCH(C205,Weather!$BO$1:$CB$1,0))/VLOOKUP(B205,Weather!$BO$2:$CB$20,14,FALSE)</f>
        <v>2961110.6858507311</v>
      </c>
      <c r="X205" s="47">
        <f t="shared" ca="1" si="214"/>
        <v>44051916.521014005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64CA7-795B-4133-8A87-7FEC9BA5FE95}">
  <sheetPr codeName="Sheet34">
    <tabColor theme="7" tint="0.79998168889431442"/>
  </sheetPr>
  <dimension ref="A1:AC205"/>
  <sheetViews>
    <sheetView workbookViewId="0"/>
  </sheetViews>
  <sheetFormatPr defaultRowHeight="15"/>
  <cols>
    <col min="4" max="4" width="24.85546875" customWidth="1"/>
    <col min="8" max="8" width="9.42578125" bestFit="1" customWidth="1"/>
    <col min="12" max="12" width="13.5703125" bestFit="1" customWidth="1"/>
    <col min="13" max="14" width="11.42578125" bestFit="1" customWidth="1"/>
    <col min="15" max="15" width="10.42578125" bestFit="1" customWidth="1"/>
    <col min="16" max="17" width="11.42578125" bestFit="1" customWidth="1"/>
    <col min="18" max="18" width="11.42578125" customWidth="1"/>
    <col min="19" max="22" width="12.5703125" customWidth="1"/>
    <col min="26" max="26" width="13.5703125" bestFit="1" customWidth="1"/>
    <col min="27" max="27" width="12.5703125" bestFit="1" customWidth="1"/>
    <col min="28" max="28" width="13.5703125" bestFit="1" customWidth="1"/>
    <col min="29" max="29" width="8.5703125" bestFit="1" customWidth="1"/>
  </cols>
  <sheetData>
    <row r="1" spans="1:29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Data'!BK1</f>
        <v>WRZ_GSlt50kWh_No_CDM</v>
      </c>
      <c r="E1" s="761" t="str">
        <f>'Monthly Data'!CN1</f>
        <v>HDD20</v>
      </c>
      <c r="F1" s="761" t="str">
        <f>'Monthly Data'!CW1</f>
        <v>CDD12</v>
      </c>
      <c r="G1" s="760" t="str">
        <f>'Monthly Data'!DQ1</f>
        <v>Month Days</v>
      </c>
      <c r="H1" s="760" t="str">
        <f>'Monthly Data'!DD1</f>
        <v>Osh_FTEAdj</v>
      </c>
      <c r="I1" s="760" t="str">
        <f>'Monthly Data'!EJ1</f>
        <v>COVID_AM</v>
      </c>
      <c r="J1" s="760" t="str">
        <f>'Monthly Data'!EF1</f>
        <v>Fall</v>
      </c>
      <c r="K1" s="760"/>
      <c r="L1" s="761" t="str">
        <f>Y9</f>
        <v>const</v>
      </c>
      <c r="M1" s="761" t="str">
        <f>E1</f>
        <v>HDD20</v>
      </c>
      <c r="N1" s="761" t="str">
        <f>F1</f>
        <v>CDD12</v>
      </c>
      <c r="O1" s="762" t="str">
        <f t="shared" ref="O1:R1" si="0">G1</f>
        <v>Month Days</v>
      </c>
      <c r="P1" s="762" t="str">
        <f t="shared" si="0"/>
        <v>Osh_FTEAdj</v>
      </c>
      <c r="Q1" s="760" t="str">
        <f t="shared" si="0"/>
        <v>COVID_AM</v>
      </c>
      <c r="R1" s="760" t="str">
        <f t="shared" si="0"/>
        <v>Fall</v>
      </c>
      <c r="S1" s="760" t="s">
        <v>439</v>
      </c>
      <c r="T1" s="760" t="s">
        <v>632</v>
      </c>
      <c r="U1" s="760" t="s">
        <v>347</v>
      </c>
      <c r="V1" s="760" t="s">
        <v>634</v>
      </c>
    </row>
    <row r="2" spans="1:29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Data'!BK2</f>
        <v>7756393.0871983338</v>
      </c>
      <c r="E2" s="98">
        <f ca="1">Weather!BG46</f>
        <v>759.33418478260865</v>
      </c>
      <c r="F2" s="98">
        <f ca="1">Weather!DL46</f>
        <v>0</v>
      </c>
      <c r="G2" s="3">
        <f>'Monthly Data'!DQ2</f>
        <v>31</v>
      </c>
      <c r="H2" s="3">
        <f>'Monthly Data'!DD2</f>
        <v>201</v>
      </c>
      <c r="I2">
        <f>'Monthly Data'!EJ2</f>
        <v>0</v>
      </c>
      <c r="J2">
        <f>'Monthly Data'!EF2</f>
        <v>0</v>
      </c>
      <c r="L2" s="3">
        <f t="shared" ref="L2:L65" si="1">$Z$9</f>
        <v>-2785699</v>
      </c>
      <c r="M2" s="3">
        <f t="shared" ref="M2:M65" ca="1" si="2">E2*$Z$10</f>
        <v>2980817.9770886954</v>
      </c>
      <c r="N2" s="3">
        <f t="shared" ref="N2:N65" ca="1" si="3">F2*$Z$11</f>
        <v>0</v>
      </c>
      <c r="O2" s="3">
        <f t="shared" ref="O2:O65" si="4">G2*$Z$12</f>
        <v>4932472</v>
      </c>
      <c r="P2" s="3">
        <f t="shared" ref="P2:P65" si="5">H2*$Z$13</f>
        <v>2842672.65</v>
      </c>
      <c r="Q2" s="3">
        <f t="shared" ref="Q2:Q65" si="6">I2*$Z$14</f>
        <v>0</v>
      </c>
      <c r="R2" s="3">
        <f t="shared" ref="R2:R65" si="7">J2*$Z$15</f>
        <v>0</v>
      </c>
      <c r="S2" s="47">
        <f t="shared" ref="S2:S54" ca="1" si="8">SUM(L2:R2)</f>
        <v>7970263.6270886958</v>
      </c>
      <c r="T2" s="47">
        <f>'Monthly Data'!BL2</f>
        <v>0</v>
      </c>
      <c r="U2" s="47">
        <f>+'Monthly Data'!BM2</f>
        <v>0</v>
      </c>
      <c r="V2" s="47">
        <f t="shared" ref="V2:V54" ca="1" si="9">S2+T2+U2</f>
        <v>7970263.6270886958</v>
      </c>
    </row>
    <row r="3" spans="1:29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Data'!BK3</f>
        <v>7421843.3659423329</v>
      </c>
      <c r="E3" s="98">
        <f ca="1">Weather!BG47</f>
        <v>680.85501811594202</v>
      </c>
      <c r="F3" s="98">
        <f ca="1">Weather!DL47</f>
        <v>0</v>
      </c>
      <c r="G3" s="3">
        <f>'Monthly Data'!DQ3</f>
        <v>28</v>
      </c>
      <c r="H3" s="3">
        <f>'Monthly Data'!DD3</f>
        <v>199.5</v>
      </c>
      <c r="I3">
        <f>'Monthly Data'!EJ3</f>
        <v>0</v>
      </c>
      <c r="J3">
        <f>'Monthly Data'!EF3</f>
        <v>0</v>
      </c>
      <c r="L3" s="3">
        <f t="shared" si="1"/>
        <v>-2785699</v>
      </c>
      <c r="M3" s="3">
        <f t="shared" ca="1" si="2"/>
        <v>2672742.6717553623</v>
      </c>
      <c r="N3" s="3">
        <f t="shared" ca="1" si="3"/>
        <v>0</v>
      </c>
      <c r="O3" s="3">
        <f t="shared" si="4"/>
        <v>4455136</v>
      </c>
      <c r="P3" s="3">
        <f t="shared" si="5"/>
        <v>2821458.6749999998</v>
      </c>
      <c r="Q3" s="3">
        <f t="shared" si="6"/>
        <v>0</v>
      </c>
      <c r="R3" s="3">
        <f t="shared" si="7"/>
        <v>0</v>
      </c>
      <c r="S3" s="47">
        <f t="shared" ca="1" si="8"/>
        <v>7163638.3467553621</v>
      </c>
      <c r="T3" s="47">
        <f>'Monthly Data'!BL3</f>
        <v>0</v>
      </c>
      <c r="U3" s="47">
        <f>+'Monthly Data'!BM3</f>
        <v>0</v>
      </c>
      <c r="V3" s="47">
        <f t="shared" ca="1" si="9"/>
        <v>7163638.3467553621</v>
      </c>
    </row>
    <row r="4" spans="1:29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Data'!BK4</f>
        <v>7192631.535226333</v>
      </c>
      <c r="E4" s="98">
        <f ca="1">Weather!BG48</f>
        <v>608.13298913043479</v>
      </c>
      <c r="F4" s="98">
        <f ca="1">Weather!DL48</f>
        <v>2.9583333333332896E-2</v>
      </c>
      <c r="G4" s="3">
        <f>'Monthly Data'!DQ4</f>
        <v>31</v>
      </c>
      <c r="H4" s="3">
        <f>'Monthly Data'!DD4</f>
        <v>197.7</v>
      </c>
      <c r="I4">
        <f>'Monthly Data'!EJ4</f>
        <v>0</v>
      </c>
      <c r="J4">
        <f>'Monthly Data'!EF4</f>
        <v>0</v>
      </c>
      <c r="L4" s="3">
        <f t="shared" si="1"/>
        <v>-2785699</v>
      </c>
      <c r="M4" s="3">
        <f t="shared" ca="1" si="2"/>
        <v>2387267.401874783</v>
      </c>
      <c r="N4" s="3">
        <f t="shared" ca="1" si="3"/>
        <v>301.07254166666223</v>
      </c>
      <c r="O4" s="3">
        <f t="shared" si="4"/>
        <v>4932472</v>
      </c>
      <c r="P4" s="3">
        <f t="shared" si="5"/>
        <v>2796001.9049999998</v>
      </c>
      <c r="Q4" s="3">
        <f t="shared" si="6"/>
        <v>0</v>
      </c>
      <c r="R4" s="3">
        <f t="shared" si="7"/>
        <v>0</v>
      </c>
      <c r="S4" s="47">
        <f t="shared" ca="1" si="8"/>
        <v>7330343.379416449</v>
      </c>
      <c r="T4" s="47">
        <f>'Monthly Data'!BL4</f>
        <v>0</v>
      </c>
      <c r="U4" s="47">
        <f>+'Monthly Data'!BM4</f>
        <v>0</v>
      </c>
      <c r="V4" s="47">
        <f t="shared" ca="1" si="9"/>
        <v>7330343.379416449</v>
      </c>
      <c r="Y4" t="s">
        <v>700</v>
      </c>
    </row>
    <row r="5" spans="1:29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Data'!BK5</f>
        <v>6120878.8653703434</v>
      </c>
      <c r="E5" s="98">
        <f ca="1">Weather!BG49</f>
        <v>412.37941287878795</v>
      </c>
      <c r="F5" s="98">
        <f ca="1">Weather!DL49</f>
        <v>5.6420833333333338</v>
      </c>
      <c r="G5" s="3">
        <f>'Monthly Data'!DQ5</f>
        <v>30</v>
      </c>
      <c r="H5" s="3">
        <f>'Monthly Data'!DD5</f>
        <v>194.9</v>
      </c>
      <c r="I5">
        <f>'Monthly Data'!EJ5</f>
        <v>0</v>
      </c>
      <c r="J5">
        <f>'Monthly Data'!EF5</f>
        <v>0</v>
      </c>
      <c r="L5" s="3">
        <f t="shared" si="1"/>
        <v>-2785699</v>
      </c>
      <c r="M5" s="3">
        <f t="shared" ca="1" si="2"/>
        <v>1618823.427055758</v>
      </c>
      <c r="N5" s="3">
        <f t="shared" ca="1" si="3"/>
        <v>57420.046291666673</v>
      </c>
      <c r="O5" s="3">
        <f t="shared" si="4"/>
        <v>4773360</v>
      </c>
      <c r="P5" s="3">
        <f t="shared" si="5"/>
        <v>2756402.4849999999</v>
      </c>
      <c r="Q5" s="3">
        <f t="shared" si="6"/>
        <v>0</v>
      </c>
      <c r="R5" s="3">
        <f t="shared" si="7"/>
        <v>0</v>
      </c>
      <c r="S5" s="47">
        <f t="shared" ca="1" si="8"/>
        <v>6420306.9583474249</v>
      </c>
      <c r="T5" s="47">
        <f>'Monthly Data'!BL5</f>
        <v>0</v>
      </c>
      <c r="U5" s="47">
        <f>+'Monthly Data'!BM5</f>
        <v>0</v>
      </c>
      <c r="V5" s="47">
        <f t="shared" ca="1" si="9"/>
        <v>6420306.9583474249</v>
      </c>
      <c r="Y5" t="s">
        <v>701</v>
      </c>
    </row>
    <row r="6" spans="1:29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Data'!BK6</f>
        <v>6112862.2812043428</v>
      </c>
      <c r="E6" s="98">
        <f ca="1">Weather!BG50</f>
        <v>202.70273119310133</v>
      </c>
      <c r="F6" s="98">
        <f ca="1">Weather!DL50</f>
        <v>86.191046176046171</v>
      </c>
      <c r="G6" s="3">
        <f>'Monthly Data'!DQ6</f>
        <v>31</v>
      </c>
      <c r="H6" s="3">
        <f>'Monthly Data'!DD6</f>
        <v>192.7</v>
      </c>
      <c r="I6">
        <f>'Monthly Data'!EJ6</f>
        <v>0</v>
      </c>
      <c r="J6">
        <f>'Monthly Data'!EF6</f>
        <v>0</v>
      </c>
      <c r="L6" s="3">
        <f t="shared" si="1"/>
        <v>-2785699</v>
      </c>
      <c r="M6" s="3">
        <f t="shared" ca="1" si="2"/>
        <v>795723.35508424044</v>
      </c>
      <c r="N6" s="3">
        <f t="shared" ca="1" si="3"/>
        <v>877174.89603823947</v>
      </c>
      <c r="O6" s="3">
        <f t="shared" si="4"/>
        <v>4932472</v>
      </c>
      <c r="P6" s="3">
        <f t="shared" si="5"/>
        <v>2725288.6549999998</v>
      </c>
      <c r="Q6" s="3">
        <f t="shared" si="6"/>
        <v>0</v>
      </c>
      <c r="R6" s="3">
        <f t="shared" si="7"/>
        <v>0</v>
      </c>
      <c r="S6" s="47">
        <f t="shared" ca="1" si="8"/>
        <v>6544959.9061224796</v>
      </c>
      <c r="T6" s="47">
        <f>'Monthly Data'!BL6</f>
        <v>0</v>
      </c>
      <c r="U6" s="47">
        <f>+'Monthly Data'!BM6</f>
        <v>0</v>
      </c>
      <c r="V6" s="47">
        <f t="shared" ca="1" si="9"/>
        <v>6544959.9061224796</v>
      </c>
      <c r="Y6" t="s">
        <v>702</v>
      </c>
    </row>
    <row r="7" spans="1:29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Data'!BK7</f>
        <v>6287169.0056383237</v>
      </c>
      <c r="E7" s="98">
        <f ca="1">Weather!BG51</f>
        <v>66.09717382617383</v>
      </c>
      <c r="F7" s="98">
        <f ca="1">Weather!DL51</f>
        <v>194.94285087738348</v>
      </c>
      <c r="G7" s="3">
        <f>'Monthly Data'!DQ7</f>
        <v>30</v>
      </c>
      <c r="H7" s="3">
        <f>'Monthly Data'!DD7</f>
        <v>190.5</v>
      </c>
      <c r="I7">
        <f>'Monthly Data'!EJ7</f>
        <v>0</v>
      </c>
      <c r="J7">
        <f>'Monthly Data'!EF7</f>
        <v>0</v>
      </c>
      <c r="L7" s="3">
        <f t="shared" si="1"/>
        <v>-2785699</v>
      </c>
      <c r="M7" s="3">
        <f t="shared" ca="1" si="2"/>
        <v>259468.95046246555</v>
      </c>
      <c r="N7" s="3">
        <f t="shared" ca="1" si="3"/>
        <v>1983952.8876642194</v>
      </c>
      <c r="O7" s="3">
        <f t="shared" si="4"/>
        <v>4773360</v>
      </c>
      <c r="P7" s="3">
        <f t="shared" si="5"/>
        <v>2694174.8249999997</v>
      </c>
      <c r="Q7" s="3">
        <f t="shared" si="6"/>
        <v>0</v>
      </c>
      <c r="R7" s="3">
        <f t="shared" si="7"/>
        <v>0</v>
      </c>
      <c r="S7" s="47">
        <f t="shared" ca="1" si="8"/>
        <v>6925257.6631266847</v>
      </c>
      <c r="T7" s="47">
        <f>'Monthly Data'!BL7</f>
        <v>0</v>
      </c>
      <c r="U7" s="47">
        <f>+'Monthly Data'!BM7</f>
        <v>0</v>
      </c>
      <c r="V7" s="47">
        <f t="shared" ca="1" si="9"/>
        <v>6925257.6631266847</v>
      </c>
    </row>
    <row r="8" spans="1:29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Data'!BK8</f>
        <v>7187453.4863023227</v>
      </c>
      <c r="E8" s="98">
        <f ca="1">Weather!BG52</f>
        <v>10.249063146997932</v>
      </c>
      <c r="F8" s="98">
        <f ca="1">Weather!DL52</f>
        <v>297.94737858727848</v>
      </c>
      <c r="G8" s="3">
        <f>'Monthly Data'!DQ8</f>
        <v>31</v>
      </c>
      <c r="H8" s="3">
        <f>'Monthly Data'!DD8</f>
        <v>185.8</v>
      </c>
      <c r="I8">
        <f>'Monthly Data'!EJ8</f>
        <v>0</v>
      </c>
      <c r="J8">
        <f>'Monthly Data'!EF8</f>
        <v>0</v>
      </c>
      <c r="L8" s="3">
        <f t="shared" si="1"/>
        <v>-2785699</v>
      </c>
      <c r="M8" s="3">
        <f t="shared" ca="1" si="2"/>
        <v>40233.394319834377</v>
      </c>
      <c r="N8" s="3">
        <f t="shared" ca="1" si="3"/>
        <v>3032240.2666205917</v>
      </c>
      <c r="O8" s="3">
        <f t="shared" si="4"/>
        <v>4932472</v>
      </c>
      <c r="P8" s="3">
        <f t="shared" si="5"/>
        <v>2627704.37</v>
      </c>
      <c r="Q8" s="3">
        <f t="shared" si="6"/>
        <v>0</v>
      </c>
      <c r="R8" s="3">
        <f t="shared" si="7"/>
        <v>0</v>
      </c>
      <c r="S8" s="47">
        <f t="shared" ca="1" si="8"/>
        <v>7846951.0309404256</v>
      </c>
      <c r="T8" s="47">
        <f>'Monthly Data'!BL8</f>
        <v>0</v>
      </c>
      <c r="U8" s="47">
        <f>+'Monthly Data'!BM8</f>
        <v>0</v>
      </c>
      <c r="V8" s="47">
        <f t="shared" ca="1" si="9"/>
        <v>7846951.0309404256</v>
      </c>
      <c r="Z8" t="s">
        <v>409</v>
      </c>
      <c r="AA8" t="s">
        <v>410</v>
      </c>
      <c r="AB8" t="s">
        <v>411</v>
      </c>
      <c r="AC8" t="s">
        <v>412</v>
      </c>
    </row>
    <row r="9" spans="1:29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Data'!BK9</f>
        <v>6942364.3965363335</v>
      </c>
      <c r="E9" s="98">
        <f ca="1">Weather!BG53</f>
        <v>21.194927536231887</v>
      </c>
      <c r="F9" s="98">
        <f ca="1">Weather!DL53</f>
        <v>272.96558794466404</v>
      </c>
      <c r="G9" s="3">
        <f>'Monthly Data'!DQ9</f>
        <v>31</v>
      </c>
      <c r="H9" s="3">
        <f>'Monthly Data'!DD9</f>
        <v>183.2</v>
      </c>
      <c r="I9">
        <f>'Monthly Data'!EJ9</f>
        <v>0</v>
      </c>
      <c r="J9">
        <f>'Monthly Data'!EF9</f>
        <v>0</v>
      </c>
      <c r="L9" s="3">
        <f t="shared" si="1"/>
        <v>-2785699</v>
      </c>
      <c r="M9" s="3">
        <f t="shared" ca="1" si="2"/>
        <v>83202.129298550746</v>
      </c>
      <c r="N9" s="3">
        <f t="shared" ca="1" si="3"/>
        <v>2777998.0850716406</v>
      </c>
      <c r="O9" s="3">
        <f t="shared" si="4"/>
        <v>4932472</v>
      </c>
      <c r="P9" s="3">
        <f t="shared" si="5"/>
        <v>2590933.48</v>
      </c>
      <c r="Q9" s="3">
        <f t="shared" si="6"/>
        <v>0</v>
      </c>
      <c r="R9" s="3">
        <f t="shared" si="7"/>
        <v>0</v>
      </c>
      <c r="S9" s="47">
        <f t="shared" ca="1" si="8"/>
        <v>7598906.6943701915</v>
      </c>
      <c r="T9" s="47">
        <f>'Monthly Data'!BL9</f>
        <v>0</v>
      </c>
      <c r="U9" s="47">
        <f>+'Monthly Data'!BM9</f>
        <v>0</v>
      </c>
      <c r="V9" s="47">
        <f t="shared" ca="1" si="9"/>
        <v>7598906.6943701915</v>
      </c>
      <c r="Y9" t="s">
        <v>413</v>
      </c>
      <c r="Z9" s="616">
        <v>-2785699</v>
      </c>
      <c r="AA9" s="3">
        <v>1043267</v>
      </c>
      <c r="AB9" s="370">
        <v>-2.6701700000000002</v>
      </c>
      <c r="AC9" s="360">
        <v>8.6990000000000001E-3</v>
      </c>
    </row>
    <row r="10" spans="1:29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Data'!BK10</f>
        <v>6716609.2947003441</v>
      </c>
      <c r="E10" s="98">
        <f ca="1">Weather!BG54</f>
        <v>96.735690993788822</v>
      </c>
      <c r="F10" s="98">
        <f ca="1">Weather!DL54</f>
        <v>158.67014233954447</v>
      </c>
      <c r="G10" s="3">
        <f>'Monthly Data'!DQ10</f>
        <v>30</v>
      </c>
      <c r="H10" s="3">
        <f>'Monthly Data'!DD10</f>
        <v>181.9</v>
      </c>
      <c r="I10">
        <f>'Monthly Data'!EJ10</f>
        <v>0</v>
      </c>
      <c r="J10">
        <f>'Monthly Data'!EF10</f>
        <v>1</v>
      </c>
      <c r="L10" s="3">
        <f t="shared" si="1"/>
        <v>-2785699</v>
      </c>
      <c r="M10" s="3">
        <f t="shared" ca="1" si="2"/>
        <v>379742.53302310564</v>
      </c>
      <c r="N10" s="3">
        <f t="shared" ca="1" si="3"/>
        <v>1614801.9056037781</v>
      </c>
      <c r="O10" s="3">
        <f t="shared" si="4"/>
        <v>4773360</v>
      </c>
      <c r="P10" s="3">
        <f t="shared" si="5"/>
        <v>2572548.0350000001</v>
      </c>
      <c r="Q10" s="3">
        <f t="shared" si="6"/>
        <v>0</v>
      </c>
      <c r="R10" s="3">
        <f t="shared" si="7"/>
        <v>193962.4</v>
      </c>
      <c r="S10" s="47">
        <f t="shared" ca="1" si="8"/>
        <v>6748715.8736268841</v>
      </c>
      <c r="T10" s="47">
        <f>'Monthly Data'!BL10</f>
        <v>0</v>
      </c>
      <c r="U10" s="47">
        <f>+'Monthly Data'!BM10</f>
        <v>0</v>
      </c>
      <c r="V10" s="47">
        <f t="shared" ca="1" si="9"/>
        <v>6748715.8736268841</v>
      </c>
      <c r="Y10" t="s">
        <v>40</v>
      </c>
      <c r="Z10" s="3">
        <v>3925.5680000000002</v>
      </c>
      <c r="AA10" s="3">
        <v>257.77969999999999</v>
      </c>
      <c r="AB10" s="370">
        <v>15.22838</v>
      </c>
      <c r="AC10" s="616">
        <v>3.7799999999999998E-29</v>
      </c>
    </row>
    <row r="11" spans="1:29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Data'!BK11</f>
        <v>6094940.132594333</v>
      </c>
      <c r="E11" s="98">
        <f ca="1">Weather!BG55</f>
        <v>298.21097826086958</v>
      </c>
      <c r="F11" s="98">
        <f ca="1">Weather!DL55</f>
        <v>35.32833333333334</v>
      </c>
      <c r="G11" s="3">
        <f>'Monthly Data'!DQ11</f>
        <v>31</v>
      </c>
      <c r="H11" s="3">
        <f>'Monthly Data'!DD11</f>
        <v>187.1</v>
      </c>
      <c r="I11">
        <f>'Monthly Data'!EJ11</f>
        <v>0</v>
      </c>
      <c r="J11">
        <f>'Monthly Data'!EF11</f>
        <v>1</v>
      </c>
      <c r="L11" s="3">
        <f t="shared" si="1"/>
        <v>-2785699</v>
      </c>
      <c r="M11" s="3">
        <f t="shared" ca="1" si="2"/>
        <v>1170647.4735095652</v>
      </c>
      <c r="N11" s="3">
        <f t="shared" ca="1" si="3"/>
        <v>359539.98116666672</v>
      </c>
      <c r="O11" s="3">
        <f t="shared" si="4"/>
        <v>4932472</v>
      </c>
      <c r="P11" s="3">
        <f t="shared" si="5"/>
        <v>2646089.8149999999</v>
      </c>
      <c r="Q11" s="3">
        <f t="shared" si="6"/>
        <v>0</v>
      </c>
      <c r="R11" s="3">
        <f t="shared" si="7"/>
        <v>193962.4</v>
      </c>
      <c r="S11" s="47">
        <f t="shared" ca="1" si="8"/>
        <v>6517012.6696762322</v>
      </c>
      <c r="T11" s="47">
        <f>'Monthly Data'!BL11</f>
        <v>0</v>
      </c>
      <c r="U11" s="47">
        <f>+'Monthly Data'!BM11</f>
        <v>0</v>
      </c>
      <c r="V11" s="47">
        <f t="shared" ca="1" si="9"/>
        <v>6517012.6696762322</v>
      </c>
      <c r="Y11" t="s">
        <v>49</v>
      </c>
      <c r="Z11" s="3">
        <v>10177.1</v>
      </c>
      <c r="AA11" s="3">
        <v>599.62040000000002</v>
      </c>
      <c r="AB11" s="370">
        <v>16.972570000000001</v>
      </c>
      <c r="AC11" s="616">
        <v>7.2800000000000005E-33</v>
      </c>
    </row>
    <row r="12" spans="1:29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Data'!BK12</f>
        <v>6289446.804618354</v>
      </c>
      <c r="E12" s="98">
        <f ca="1">Weather!BG56</f>
        <v>486.62991389045737</v>
      </c>
      <c r="F12" s="98">
        <f ca="1">Weather!DL56</f>
        <v>2.2779166666666657</v>
      </c>
      <c r="G12" s="3">
        <f>'Monthly Data'!DQ12</f>
        <v>30</v>
      </c>
      <c r="H12" s="3">
        <f>'Monthly Data'!DD12</f>
        <v>192</v>
      </c>
      <c r="I12">
        <f>'Monthly Data'!EJ12</f>
        <v>0</v>
      </c>
      <c r="J12">
        <f>'Monthly Data'!EF12</f>
        <v>1</v>
      </c>
      <c r="L12" s="3">
        <f t="shared" si="1"/>
        <v>-2785699</v>
      </c>
      <c r="M12" s="3">
        <f t="shared" ca="1" si="2"/>
        <v>1910298.817811135</v>
      </c>
      <c r="N12" s="3">
        <f t="shared" ca="1" si="3"/>
        <v>23182.585708333325</v>
      </c>
      <c r="O12" s="3">
        <f t="shared" si="4"/>
        <v>4773360</v>
      </c>
      <c r="P12" s="3">
        <f t="shared" si="5"/>
        <v>2715388.8</v>
      </c>
      <c r="Q12" s="3">
        <f t="shared" si="6"/>
        <v>0</v>
      </c>
      <c r="R12" s="3">
        <f t="shared" si="7"/>
        <v>193962.4</v>
      </c>
      <c r="S12" s="47">
        <f t="shared" ca="1" si="8"/>
        <v>6830493.6035194686</v>
      </c>
      <c r="T12" s="47">
        <f>'Monthly Data'!BL12</f>
        <v>0</v>
      </c>
      <c r="U12" s="47">
        <f>+'Monthly Data'!BM12</f>
        <v>0</v>
      </c>
      <c r="V12" s="47">
        <f t="shared" ca="1" si="9"/>
        <v>6830493.6035194686</v>
      </c>
      <c r="Y12" t="s">
        <v>414</v>
      </c>
      <c r="Z12" s="3">
        <v>159112</v>
      </c>
      <c r="AA12" s="3">
        <v>26071.52</v>
      </c>
      <c r="AB12" s="370">
        <v>6.1029039999999997</v>
      </c>
      <c r="AC12" s="616">
        <v>1.4999999999999999E-8</v>
      </c>
    </row>
    <row r="13" spans="1:29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Data'!BK13</f>
        <v>6693665.7901123427</v>
      </c>
      <c r="E13" s="98">
        <f ca="1">Weather!BG57</f>
        <v>639.92800724637686</v>
      </c>
      <c r="F13" s="98">
        <f ca="1">Weather!DL57</f>
        <v>0</v>
      </c>
      <c r="G13" s="3">
        <f>'Monthly Data'!DQ13</f>
        <v>31</v>
      </c>
      <c r="H13" s="3">
        <f>'Monthly Data'!DD13</f>
        <v>198.5</v>
      </c>
      <c r="I13">
        <f>'Monthly Data'!EJ13</f>
        <v>0</v>
      </c>
      <c r="J13">
        <f>'Monthly Data'!EF13</f>
        <v>0</v>
      </c>
      <c r="L13" s="3">
        <f t="shared" si="1"/>
        <v>-2785699</v>
      </c>
      <c r="M13" s="3">
        <f t="shared" ca="1" si="2"/>
        <v>2512080.9075501454</v>
      </c>
      <c r="N13" s="3">
        <f t="shared" ca="1" si="3"/>
        <v>0</v>
      </c>
      <c r="O13" s="3">
        <f t="shared" si="4"/>
        <v>4932472</v>
      </c>
      <c r="P13" s="3">
        <f t="shared" si="5"/>
        <v>2807316.0249999999</v>
      </c>
      <c r="Q13" s="3">
        <f t="shared" si="6"/>
        <v>0</v>
      </c>
      <c r="R13" s="3">
        <f t="shared" si="7"/>
        <v>0</v>
      </c>
      <c r="S13" s="47">
        <f t="shared" ca="1" si="8"/>
        <v>7466169.9325501453</v>
      </c>
      <c r="T13" s="47">
        <f>'Monthly Data'!BL13</f>
        <v>0</v>
      </c>
      <c r="U13" s="47">
        <f>+'Monthly Data'!BM13</f>
        <v>0</v>
      </c>
      <c r="V13" s="47">
        <f t="shared" ca="1" si="9"/>
        <v>7466169.9325501453</v>
      </c>
      <c r="Y13" t="s">
        <v>122</v>
      </c>
      <c r="Z13" s="3">
        <v>14142.65</v>
      </c>
      <c r="AA13" s="3">
        <v>3043.7150000000001</v>
      </c>
      <c r="AB13" s="370">
        <v>4.646509</v>
      </c>
      <c r="AC13" s="616">
        <v>9.2E-6</v>
      </c>
    </row>
    <row r="14" spans="1:29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Data'!BK14</f>
        <v>8022437.8463796191</v>
      </c>
      <c r="E14" s="3">
        <f ca="1">E2</f>
        <v>759.33418478260865</v>
      </c>
      <c r="F14" s="3">
        <f ca="1">F2</f>
        <v>0</v>
      </c>
      <c r="G14" s="3">
        <f>'Monthly Data'!DQ14</f>
        <v>31</v>
      </c>
      <c r="H14" s="3">
        <f>'Monthly Data'!DD14</f>
        <v>203.1</v>
      </c>
      <c r="I14">
        <f>'Monthly Data'!EJ14</f>
        <v>0</v>
      </c>
      <c r="J14">
        <f>'Monthly Data'!EF14</f>
        <v>0</v>
      </c>
      <c r="L14" s="3">
        <f t="shared" si="1"/>
        <v>-2785699</v>
      </c>
      <c r="M14" s="3">
        <f t="shared" ca="1" si="2"/>
        <v>2980817.9770886954</v>
      </c>
      <c r="N14" s="3">
        <f t="shared" ca="1" si="3"/>
        <v>0</v>
      </c>
      <c r="O14" s="3">
        <f t="shared" si="4"/>
        <v>4932472</v>
      </c>
      <c r="P14" s="3">
        <f t="shared" si="5"/>
        <v>2872372.2149999999</v>
      </c>
      <c r="Q14" s="3">
        <f t="shared" si="6"/>
        <v>0</v>
      </c>
      <c r="R14" s="3">
        <f t="shared" si="7"/>
        <v>0</v>
      </c>
      <c r="S14" s="47">
        <f t="shared" ca="1" si="8"/>
        <v>7999963.1920886952</v>
      </c>
      <c r="T14" s="47">
        <f>'Monthly Data'!BL14</f>
        <v>0</v>
      </c>
      <c r="U14" s="47">
        <f>+'Monthly Data'!BM14</f>
        <v>0</v>
      </c>
      <c r="V14" s="47">
        <f t="shared" ca="1" si="9"/>
        <v>7999963.1920886952</v>
      </c>
      <c r="Y14" t="s">
        <v>213</v>
      </c>
      <c r="Z14" s="3">
        <v>-797503</v>
      </c>
      <c r="AA14" s="3">
        <v>201146.5</v>
      </c>
      <c r="AB14" s="370">
        <v>-3.9647899999999998</v>
      </c>
      <c r="AC14" s="360">
        <v>1.2899999999999999E-4</v>
      </c>
    </row>
    <row r="15" spans="1:29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Data'!BK15</f>
        <v>7521574.2530535134</v>
      </c>
      <c r="E15" s="3">
        <f t="shared" ref="E15:F15" ca="1" si="10">E3</f>
        <v>680.85501811594202</v>
      </c>
      <c r="F15" s="3">
        <f t="shared" ca="1" si="10"/>
        <v>0</v>
      </c>
      <c r="G15" s="3">
        <f>'Monthly Data'!DQ15</f>
        <v>29</v>
      </c>
      <c r="H15" s="3">
        <f>'Monthly Data'!DD15</f>
        <v>204.7</v>
      </c>
      <c r="I15">
        <f>'Monthly Data'!EJ15</f>
        <v>0</v>
      </c>
      <c r="J15">
        <f>'Monthly Data'!EF15</f>
        <v>0</v>
      </c>
      <c r="L15" s="3">
        <f t="shared" si="1"/>
        <v>-2785699</v>
      </c>
      <c r="M15" s="3">
        <f t="shared" ca="1" si="2"/>
        <v>2672742.6717553623</v>
      </c>
      <c r="N15" s="3">
        <f t="shared" ca="1" si="3"/>
        <v>0</v>
      </c>
      <c r="O15" s="3">
        <f t="shared" si="4"/>
        <v>4614248</v>
      </c>
      <c r="P15" s="3">
        <f t="shared" si="5"/>
        <v>2895000.4549999996</v>
      </c>
      <c r="Q15" s="3">
        <f t="shared" si="6"/>
        <v>0</v>
      </c>
      <c r="R15" s="3">
        <f t="shared" si="7"/>
        <v>0</v>
      </c>
      <c r="S15" s="47">
        <f t="shared" ca="1" si="8"/>
        <v>7396292.1267553624</v>
      </c>
      <c r="T15" s="47">
        <f>'Monthly Data'!BL15</f>
        <v>0</v>
      </c>
      <c r="U15" s="47">
        <f>+'Monthly Data'!BM15</f>
        <v>0</v>
      </c>
      <c r="V15" s="47">
        <f t="shared" ca="1" si="9"/>
        <v>7396292.1267553624</v>
      </c>
      <c r="Y15" t="s">
        <v>117</v>
      </c>
      <c r="Z15" s="3">
        <v>193962.4</v>
      </c>
      <c r="AA15" s="3">
        <v>84471.57</v>
      </c>
      <c r="AB15" s="370">
        <v>2.2961860000000001</v>
      </c>
      <c r="AC15" s="360">
        <v>2.3508999999999999E-2</v>
      </c>
    </row>
    <row r="16" spans="1:29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Data'!BK16</f>
        <v>7432171.2870274168</v>
      </c>
      <c r="E16" s="3">
        <f t="shared" ref="E16:F16" ca="1" si="11">E4</f>
        <v>608.13298913043479</v>
      </c>
      <c r="F16" s="3">
        <f t="shared" ca="1" si="11"/>
        <v>2.9583333333332896E-2</v>
      </c>
      <c r="G16" s="3">
        <f>'Monthly Data'!DQ16</f>
        <v>31</v>
      </c>
      <c r="H16" s="3">
        <f>'Monthly Data'!DD16</f>
        <v>205.8</v>
      </c>
      <c r="I16">
        <f>'Monthly Data'!EJ16</f>
        <v>0</v>
      </c>
      <c r="J16">
        <f>'Monthly Data'!EF16</f>
        <v>0</v>
      </c>
      <c r="L16" s="3">
        <f t="shared" si="1"/>
        <v>-2785699</v>
      </c>
      <c r="M16" s="3">
        <f t="shared" ca="1" si="2"/>
        <v>2387267.401874783</v>
      </c>
      <c r="N16" s="3">
        <f t="shared" ca="1" si="3"/>
        <v>301.07254166666223</v>
      </c>
      <c r="O16" s="3">
        <f t="shared" si="4"/>
        <v>4932472</v>
      </c>
      <c r="P16" s="3">
        <f t="shared" si="5"/>
        <v>2910557.37</v>
      </c>
      <c r="Q16" s="3">
        <f t="shared" si="6"/>
        <v>0</v>
      </c>
      <c r="R16" s="3">
        <f t="shared" si="7"/>
        <v>0</v>
      </c>
      <c r="S16" s="47">
        <f t="shared" ca="1" si="8"/>
        <v>7444898.8444164498</v>
      </c>
      <c r="T16" s="47">
        <f>'Monthly Data'!BL16</f>
        <v>0</v>
      </c>
      <c r="U16" s="47">
        <f>+'Monthly Data'!BM16</f>
        <v>0</v>
      </c>
      <c r="V16" s="47">
        <f t="shared" ca="1" si="9"/>
        <v>7444898.8444164498</v>
      </c>
      <c r="Z16" s="3"/>
      <c r="AA16" s="3"/>
      <c r="AB16" s="360"/>
      <c r="AC16" s="108"/>
    </row>
    <row r="17" spans="1:28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Data'!BK17</f>
        <v>6923042.0147713209</v>
      </c>
      <c r="E17" s="3">
        <f t="shared" ref="E17:F17" ca="1" si="12">E5</f>
        <v>412.37941287878795</v>
      </c>
      <c r="F17" s="3">
        <f t="shared" ca="1" si="12"/>
        <v>5.6420833333333338</v>
      </c>
      <c r="G17" s="3">
        <f>'Monthly Data'!DQ17</f>
        <v>30</v>
      </c>
      <c r="H17" s="3">
        <f>'Monthly Data'!DD17</f>
        <v>205.3</v>
      </c>
      <c r="I17">
        <f>'Monthly Data'!EJ17</f>
        <v>0</v>
      </c>
      <c r="J17">
        <f>'Monthly Data'!EF17</f>
        <v>0</v>
      </c>
      <c r="L17" s="3">
        <f t="shared" si="1"/>
        <v>-2785699</v>
      </c>
      <c r="M17" s="3">
        <f t="shared" ca="1" si="2"/>
        <v>1618823.427055758</v>
      </c>
      <c r="N17" s="3">
        <f t="shared" ca="1" si="3"/>
        <v>57420.046291666673</v>
      </c>
      <c r="O17" s="3">
        <f t="shared" si="4"/>
        <v>4773360</v>
      </c>
      <c r="P17" s="3">
        <f t="shared" si="5"/>
        <v>2903486.0449999999</v>
      </c>
      <c r="Q17" s="3">
        <f t="shared" si="6"/>
        <v>0</v>
      </c>
      <c r="R17" s="3">
        <f t="shared" si="7"/>
        <v>0</v>
      </c>
      <c r="S17" s="47">
        <f t="shared" ca="1" si="8"/>
        <v>6567390.5183474245</v>
      </c>
      <c r="T17" s="47">
        <f>'Monthly Data'!BL17</f>
        <v>0</v>
      </c>
      <c r="U17" s="47">
        <f>+'Monthly Data'!BM17</f>
        <v>0</v>
      </c>
      <c r="V17" s="47">
        <f t="shared" ca="1" si="9"/>
        <v>6567390.5183474245</v>
      </c>
      <c r="Y17" t="s">
        <v>407</v>
      </c>
    </row>
    <row r="18" spans="1:28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Data'!BK18</f>
        <v>6940870.3279952137</v>
      </c>
      <c r="E18" s="3">
        <f t="shared" ref="E18:F18" ca="1" si="13">E6</f>
        <v>202.70273119310133</v>
      </c>
      <c r="F18" s="3">
        <f t="shared" ca="1" si="13"/>
        <v>86.191046176046171</v>
      </c>
      <c r="G18" s="3">
        <f>'Monthly Data'!DQ18</f>
        <v>31</v>
      </c>
      <c r="H18" s="3">
        <f>'Monthly Data'!DD18</f>
        <v>204.8</v>
      </c>
      <c r="I18">
        <f>'Monthly Data'!EJ18</f>
        <v>0</v>
      </c>
      <c r="J18">
        <f>'Monthly Data'!EF18</f>
        <v>0</v>
      </c>
      <c r="L18" s="3">
        <f t="shared" si="1"/>
        <v>-2785699</v>
      </c>
      <c r="M18" s="3">
        <f t="shared" ca="1" si="2"/>
        <v>795723.35508424044</v>
      </c>
      <c r="N18" s="3">
        <f t="shared" ca="1" si="3"/>
        <v>877174.89603823947</v>
      </c>
      <c r="O18" s="3">
        <f t="shared" si="4"/>
        <v>4932472</v>
      </c>
      <c r="P18" s="3">
        <f t="shared" si="5"/>
        <v>2896414.7200000002</v>
      </c>
      <c r="Q18" s="3">
        <f t="shared" si="6"/>
        <v>0</v>
      </c>
      <c r="R18" s="3">
        <f t="shared" si="7"/>
        <v>0</v>
      </c>
      <c r="S18" s="47">
        <f t="shared" ca="1" si="8"/>
        <v>6716085.97112248</v>
      </c>
      <c r="T18" s="47">
        <f>'Monthly Data'!BL18</f>
        <v>0</v>
      </c>
      <c r="U18" s="47">
        <f>+'Monthly Data'!BM18</f>
        <v>0</v>
      </c>
      <c r="V18" s="47">
        <f t="shared" ca="1" si="9"/>
        <v>6716085.97112248</v>
      </c>
      <c r="Y18" t="s">
        <v>415</v>
      </c>
      <c r="Z18" s="618">
        <v>9360000000000</v>
      </c>
      <c r="AA18" t="s">
        <v>416</v>
      </c>
      <c r="AB18">
        <v>287819.59999999998</v>
      </c>
    </row>
    <row r="19" spans="1:28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Data'!BK19</f>
        <v>7486676.1629891274</v>
      </c>
      <c r="E19" s="3">
        <f t="shared" ref="E19:F19" ca="1" si="14">E7</f>
        <v>66.09717382617383</v>
      </c>
      <c r="F19" s="3">
        <f t="shared" ca="1" si="14"/>
        <v>194.94285087738348</v>
      </c>
      <c r="G19" s="3">
        <f>'Monthly Data'!DQ19</f>
        <v>30</v>
      </c>
      <c r="H19" s="3">
        <f>'Monthly Data'!DD19</f>
        <v>203.4</v>
      </c>
      <c r="I19">
        <f>'Monthly Data'!EJ19</f>
        <v>0</v>
      </c>
      <c r="J19">
        <f>'Monthly Data'!EF19</f>
        <v>0</v>
      </c>
      <c r="L19" s="3">
        <f t="shared" si="1"/>
        <v>-2785699</v>
      </c>
      <c r="M19" s="3">
        <f t="shared" ca="1" si="2"/>
        <v>259468.95046246555</v>
      </c>
      <c r="N19" s="3">
        <f t="shared" ca="1" si="3"/>
        <v>1983952.8876642194</v>
      </c>
      <c r="O19" s="3">
        <f t="shared" si="4"/>
        <v>4773360</v>
      </c>
      <c r="P19" s="3">
        <f t="shared" si="5"/>
        <v>2876615.01</v>
      </c>
      <c r="Q19" s="3">
        <f t="shared" si="6"/>
        <v>0</v>
      </c>
      <c r="R19" s="3">
        <f t="shared" si="7"/>
        <v>0</v>
      </c>
      <c r="S19" s="47">
        <f t="shared" ca="1" si="8"/>
        <v>7107697.8481266852</v>
      </c>
      <c r="T19" s="47">
        <f>'Monthly Data'!BL19</f>
        <v>0</v>
      </c>
      <c r="U19" s="47">
        <f>+'Monthly Data'!BM19</f>
        <v>0</v>
      </c>
      <c r="V19" s="47">
        <f t="shared" ca="1" si="9"/>
        <v>7107697.8481266852</v>
      </c>
      <c r="Y19" t="s">
        <v>417</v>
      </c>
      <c r="Z19">
        <v>0.84312100000000001</v>
      </c>
      <c r="AA19" t="s">
        <v>418</v>
      </c>
      <c r="AB19" s="3">
        <v>0.83479099999999995</v>
      </c>
    </row>
    <row r="20" spans="1:28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Data'!BK20</f>
        <v>8270105.5688030208</v>
      </c>
      <c r="E20" s="3">
        <f t="shared" ref="E20:F20" ca="1" si="15">E8</f>
        <v>10.249063146997932</v>
      </c>
      <c r="F20" s="3">
        <f t="shared" ca="1" si="15"/>
        <v>297.94737858727848</v>
      </c>
      <c r="G20" s="3">
        <f>'Monthly Data'!DQ20</f>
        <v>31</v>
      </c>
      <c r="H20" s="3">
        <f>'Monthly Data'!DD20</f>
        <v>205.8</v>
      </c>
      <c r="I20">
        <f>'Monthly Data'!EJ20</f>
        <v>0</v>
      </c>
      <c r="J20">
        <f>'Monthly Data'!EF20</f>
        <v>0</v>
      </c>
      <c r="L20" s="3">
        <f t="shared" si="1"/>
        <v>-2785699</v>
      </c>
      <c r="M20" s="3">
        <f t="shared" ca="1" si="2"/>
        <v>40233.394319834377</v>
      </c>
      <c r="N20" s="3">
        <f t="shared" ca="1" si="3"/>
        <v>3032240.2666205917</v>
      </c>
      <c r="O20" s="3">
        <f t="shared" si="4"/>
        <v>4932472</v>
      </c>
      <c r="P20" s="3">
        <f t="shared" si="5"/>
        <v>2910557.37</v>
      </c>
      <c r="Q20" s="3">
        <f t="shared" si="6"/>
        <v>0</v>
      </c>
      <c r="R20" s="3">
        <f t="shared" si="7"/>
        <v>0</v>
      </c>
      <c r="S20" s="47">
        <f t="shared" ca="1" si="8"/>
        <v>8129804.0309404256</v>
      </c>
      <c r="T20" s="47">
        <f>'Monthly Data'!BL20</f>
        <v>0</v>
      </c>
      <c r="U20" s="47">
        <f>+'Monthly Data'!BM20</f>
        <v>0</v>
      </c>
      <c r="V20" s="47">
        <f t="shared" ca="1" si="9"/>
        <v>8129804.0309404256</v>
      </c>
      <c r="Y20" t="s">
        <v>552</v>
      </c>
      <c r="Z20" s="107">
        <v>92.397810000000007</v>
      </c>
      <c r="AA20" t="s">
        <v>419</v>
      </c>
      <c r="AB20" s="107">
        <v>3.0900000000000002E-41</v>
      </c>
    </row>
    <row r="21" spans="1:28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Data'!BK21</f>
        <v>8626396.6611069143</v>
      </c>
      <c r="E21" s="3">
        <f t="shared" ref="E21:F21" ca="1" si="16">E9</f>
        <v>21.194927536231887</v>
      </c>
      <c r="F21" s="3">
        <f t="shared" ca="1" si="16"/>
        <v>272.96558794466404</v>
      </c>
      <c r="G21" s="3">
        <f>'Monthly Data'!DQ21</f>
        <v>31</v>
      </c>
      <c r="H21" s="3">
        <f>'Monthly Data'!DD21</f>
        <v>208.7</v>
      </c>
      <c r="I21">
        <f>'Monthly Data'!EJ21</f>
        <v>0</v>
      </c>
      <c r="J21">
        <f>'Monthly Data'!EF21</f>
        <v>0</v>
      </c>
      <c r="L21" s="3">
        <f t="shared" si="1"/>
        <v>-2785699</v>
      </c>
      <c r="M21" s="3">
        <f t="shared" ca="1" si="2"/>
        <v>83202.129298550746</v>
      </c>
      <c r="N21" s="3">
        <f t="shared" ca="1" si="3"/>
        <v>2777998.0850716406</v>
      </c>
      <c r="O21" s="3">
        <f t="shared" si="4"/>
        <v>4932472</v>
      </c>
      <c r="P21" s="3">
        <f t="shared" si="5"/>
        <v>2951571.0549999997</v>
      </c>
      <c r="Q21" s="3">
        <f t="shared" si="6"/>
        <v>0</v>
      </c>
      <c r="R21" s="3">
        <f t="shared" si="7"/>
        <v>0</v>
      </c>
      <c r="S21" s="47">
        <f t="shared" ca="1" si="8"/>
        <v>7959544.2693701908</v>
      </c>
      <c r="T21" s="47">
        <f>'Monthly Data'!BL21</f>
        <v>0</v>
      </c>
      <c r="U21" s="47">
        <f>+'Monthly Data'!BM21</f>
        <v>0</v>
      </c>
      <c r="V21" s="47">
        <f t="shared" ca="1" si="9"/>
        <v>7959544.2693701908</v>
      </c>
      <c r="Y21" t="s">
        <v>420</v>
      </c>
      <c r="Z21" s="360">
        <v>7.5794E-2</v>
      </c>
      <c r="AA21" t="s">
        <v>421</v>
      </c>
      <c r="AB21" s="107">
        <v>1.816629</v>
      </c>
    </row>
    <row r="22" spans="1:28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Data'!BK22</f>
        <v>7453679.6603208287</v>
      </c>
      <c r="E22" s="3">
        <f t="shared" ref="E22:F22" ca="1" si="17">E10</f>
        <v>96.735690993788822</v>
      </c>
      <c r="F22" s="3">
        <f t="shared" ca="1" si="17"/>
        <v>158.67014233954447</v>
      </c>
      <c r="G22" s="3">
        <f>'Monthly Data'!DQ22</f>
        <v>30</v>
      </c>
      <c r="H22" s="3">
        <f>'Monthly Data'!DD22</f>
        <v>213</v>
      </c>
      <c r="I22">
        <f>'Monthly Data'!EJ22</f>
        <v>0</v>
      </c>
      <c r="J22">
        <f>'Monthly Data'!EF22</f>
        <v>1</v>
      </c>
      <c r="L22" s="3">
        <f t="shared" si="1"/>
        <v>-2785699</v>
      </c>
      <c r="M22" s="3">
        <f t="shared" ca="1" si="2"/>
        <v>379742.53302310564</v>
      </c>
      <c r="N22" s="3">
        <f t="shared" ca="1" si="3"/>
        <v>1614801.9056037781</v>
      </c>
      <c r="O22" s="3">
        <f t="shared" si="4"/>
        <v>4773360</v>
      </c>
      <c r="P22" s="3">
        <f t="shared" si="5"/>
        <v>3012384.4499999997</v>
      </c>
      <c r="Q22" s="3">
        <f t="shared" si="6"/>
        <v>0</v>
      </c>
      <c r="R22" s="3">
        <f t="shared" si="7"/>
        <v>193962.4</v>
      </c>
      <c r="S22" s="47">
        <f t="shared" ca="1" si="8"/>
        <v>7188552.2886268832</v>
      </c>
      <c r="T22" s="47">
        <f>'Monthly Data'!BL22</f>
        <v>0</v>
      </c>
      <c r="U22" s="47">
        <f>+'Monthly Data'!BM22</f>
        <v>0</v>
      </c>
      <c r="V22" s="47">
        <f t="shared" ca="1" si="9"/>
        <v>7188552.2886268832</v>
      </c>
      <c r="Z22" s="107"/>
      <c r="AB22" s="107"/>
    </row>
    <row r="23" spans="1:28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Data'!BK23</f>
        <v>6878400.9134847308</v>
      </c>
      <c r="E23" s="3">
        <f t="shared" ref="E23:F23" ca="1" si="18">E11</f>
        <v>298.21097826086958</v>
      </c>
      <c r="F23" s="3">
        <f t="shared" ca="1" si="18"/>
        <v>35.32833333333334</v>
      </c>
      <c r="G23" s="3">
        <f>'Monthly Data'!DQ23</f>
        <v>31</v>
      </c>
      <c r="H23" s="3">
        <f>'Monthly Data'!DD23</f>
        <v>213.6</v>
      </c>
      <c r="I23">
        <f>'Monthly Data'!EJ23</f>
        <v>0</v>
      </c>
      <c r="J23">
        <f>'Monthly Data'!EF23</f>
        <v>1</v>
      </c>
      <c r="L23" s="3">
        <f t="shared" si="1"/>
        <v>-2785699</v>
      </c>
      <c r="M23" s="3">
        <f t="shared" ca="1" si="2"/>
        <v>1170647.4735095652</v>
      </c>
      <c r="N23" s="3">
        <f t="shared" ca="1" si="3"/>
        <v>359539.98116666672</v>
      </c>
      <c r="O23" s="3">
        <f t="shared" si="4"/>
        <v>4932472</v>
      </c>
      <c r="P23" s="3">
        <f t="shared" si="5"/>
        <v>3020870.04</v>
      </c>
      <c r="Q23" s="3">
        <f t="shared" si="6"/>
        <v>0</v>
      </c>
      <c r="R23" s="3">
        <f t="shared" si="7"/>
        <v>193962.4</v>
      </c>
      <c r="S23" s="47">
        <f t="shared" ca="1" si="8"/>
        <v>6891792.8946762327</v>
      </c>
      <c r="T23" s="47">
        <f>'Monthly Data'!BL23</f>
        <v>0</v>
      </c>
      <c r="U23" s="47">
        <f>+'Monthly Data'!BM23</f>
        <v>0</v>
      </c>
      <c r="V23" s="47">
        <f t="shared" ca="1" si="9"/>
        <v>6891792.8946762327</v>
      </c>
      <c r="Y23" t="s">
        <v>408</v>
      </c>
    </row>
    <row r="24" spans="1:28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Data'!BK24</f>
        <v>7052177.4950286448</v>
      </c>
      <c r="E24" s="3">
        <f t="shared" ref="E24:F24" ca="1" si="19">E12</f>
        <v>486.62991389045737</v>
      </c>
      <c r="F24" s="3">
        <f t="shared" ca="1" si="19"/>
        <v>2.2779166666666657</v>
      </c>
      <c r="G24" s="3">
        <f>'Monthly Data'!DQ24</f>
        <v>30</v>
      </c>
      <c r="H24" s="3">
        <f>'Monthly Data'!DD24</f>
        <v>214.7</v>
      </c>
      <c r="I24">
        <f>'Monthly Data'!EJ24</f>
        <v>0</v>
      </c>
      <c r="J24">
        <f>'Monthly Data'!EF24</f>
        <v>1</v>
      </c>
      <c r="L24" s="3">
        <f t="shared" si="1"/>
        <v>-2785699</v>
      </c>
      <c r="M24" s="3">
        <f t="shared" ca="1" si="2"/>
        <v>1910298.817811135</v>
      </c>
      <c r="N24" s="3">
        <f t="shared" ca="1" si="3"/>
        <v>23182.585708333325</v>
      </c>
      <c r="O24" s="3">
        <f t="shared" si="4"/>
        <v>4773360</v>
      </c>
      <c r="P24" s="3">
        <f t="shared" si="5"/>
        <v>3036426.9549999996</v>
      </c>
      <c r="Q24" s="3">
        <f t="shared" si="6"/>
        <v>0</v>
      </c>
      <c r="R24" s="3">
        <f t="shared" si="7"/>
        <v>193962.4</v>
      </c>
      <c r="S24" s="47">
        <f t="shared" ca="1" si="8"/>
        <v>7151531.7585194688</v>
      </c>
      <c r="T24" s="47">
        <f>'Monthly Data'!BL24</f>
        <v>0</v>
      </c>
      <c r="U24" s="47">
        <f>+'Monthly Data'!BM24</f>
        <v>0</v>
      </c>
      <c r="V24" s="47">
        <f t="shared" ca="1" si="9"/>
        <v>7151531.7585194688</v>
      </c>
      <c r="Y24" t="s">
        <v>422</v>
      </c>
      <c r="Z24">
        <v>7372805</v>
      </c>
      <c r="AA24" t="s">
        <v>423</v>
      </c>
      <c r="AB24">
        <v>707150.8</v>
      </c>
    </row>
    <row r="25" spans="1:28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Data'!BK25</f>
        <v>7997306.7357925586</v>
      </c>
      <c r="E25" s="3">
        <f t="shared" ref="E25:F25" ca="1" si="20">E13</f>
        <v>639.92800724637686</v>
      </c>
      <c r="F25" s="3">
        <f t="shared" ca="1" si="20"/>
        <v>0</v>
      </c>
      <c r="G25" s="3">
        <f>'Monthly Data'!DQ25</f>
        <v>31</v>
      </c>
      <c r="H25" s="3">
        <f>'Monthly Data'!DD25</f>
        <v>215.4</v>
      </c>
      <c r="I25">
        <f>'Monthly Data'!EJ25</f>
        <v>0</v>
      </c>
      <c r="J25">
        <f>'Monthly Data'!EF25</f>
        <v>0</v>
      </c>
      <c r="L25" s="3">
        <f t="shared" si="1"/>
        <v>-2785699</v>
      </c>
      <c r="M25" s="3">
        <f t="shared" ca="1" si="2"/>
        <v>2512080.9075501454</v>
      </c>
      <c r="N25" s="3">
        <f t="shared" ca="1" si="3"/>
        <v>0</v>
      </c>
      <c r="O25" s="3">
        <f t="shared" si="4"/>
        <v>4932472</v>
      </c>
      <c r="P25" s="3">
        <f t="shared" si="5"/>
        <v>3046326.81</v>
      </c>
      <c r="Q25" s="3">
        <f t="shared" si="6"/>
        <v>0</v>
      </c>
      <c r="R25" s="3">
        <f t="shared" si="7"/>
        <v>0</v>
      </c>
      <c r="S25" s="47">
        <f t="shared" ca="1" si="8"/>
        <v>7705180.7175501455</v>
      </c>
      <c r="T25" s="47">
        <f>'Monthly Data'!BL25</f>
        <v>0</v>
      </c>
      <c r="U25" s="47">
        <f>+'Monthly Data'!BM25</f>
        <v>0</v>
      </c>
      <c r="V25" s="47">
        <f t="shared" ca="1" si="9"/>
        <v>7705180.7175501455</v>
      </c>
      <c r="Z25" s="3"/>
      <c r="AB25" s="3"/>
    </row>
    <row r="26" spans="1:28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Data'!BK26</f>
        <v>8144669.8575158697</v>
      </c>
      <c r="E26" s="3">
        <f t="shared" ref="E26:F26" ca="1" si="21">E14</f>
        <v>759.33418478260865</v>
      </c>
      <c r="F26" s="3">
        <f t="shared" ca="1" si="21"/>
        <v>0</v>
      </c>
      <c r="G26" s="3">
        <f>'Monthly Data'!DQ26</f>
        <v>31</v>
      </c>
      <c r="H26" s="3">
        <f>'Monthly Data'!DD26</f>
        <v>215.3</v>
      </c>
      <c r="I26">
        <f>'Monthly Data'!EJ26</f>
        <v>0</v>
      </c>
      <c r="J26">
        <f>'Monthly Data'!EF26</f>
        <v>0</v>
      </c>
      <c r="L26" s="3">
        <f t="shared" si="1"/>
        <v>-2785699</v>
      </c>
      <c r="M26" s="3">
        <f t="shared" ca="1" si="2"/>
        <v>2980817.9770886954</v>
      </c>
      <c r="N26" s="3">
        <f t="shared" ca="1" si="3"/>
        <v>0</v>
      </c>
      <c r="O26" s="3">
        <f t="shared" si="4"/>
        <v>4932472</v>
      </c>
      <c r="P26" s="3">
        <f t="shared" si="5"/>
        <v>3044912.5449999999</v>
      </c>
      <c r="Q26" s="3">
        <f t="shared" si="6"/>
        <v>0</v>
      </c>
      <c r="R26" s="3">
        <f t="shared" si="7"/>
        <v>0</v>
      </c>
      <c r="S26" s="47">
        <f t="shared" ca="1" si="8"/>
        <v>8172503.5220886953</v>
      </c>
      <c r="T26" s="47">
        <f>'Monthly Data'!BL26</f>
        <v>140.52153846153846</v>
      </c>
      <c r="U26" s="47">
        <f>+'Monthly Data'!BM26</f>
        <v>0</v>
      </c>
      <c r="V26" s="47">
        <f t="shared" ca="1" si="9"/>
        <v>8172644.0436271569</v>
      </c>
    </row>
    <row r="27" spans="1:28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Data'!BK27</f>
        <v>7294585.8640471846</v>
      </c>
      <c r="E27" s="3">
        <f t="shared" ref="E27:F27" ca="1" si="22">E15</f>
        <v>680.85501811594202</v>
      </c>
      <c r="F27" s="3">
        <f t="shared" ca="1" si="22"/>
        <v>0</v>
      </c>
      <c r="G27" s="3">
        <f>'Monthly Data'!DQ27</f>
        <v>28</v>
      </c>
      <c r="H27" s="3">
        <f>'Monthly Data'!DD27</f>
        <v>209.7</v>
      </c>
      <c r="I27">
        <f>'Monthly Data'!EJ27</f>
        <v>0</v>
      </c>
      <c r="J27">
        <f>'Monthly Data'!EF27</f>
        <v>0</v>
      </c>
      <c r="L27" s="3">
        <f t="shared" si="1"/>
        <v>-2785699</v>
      </c>
      <c r="M27" s="3">
        <f t="shared" ca="1" si="2"/>
        <v>2672742.6717553623</v>
      </c>
      <c r="N27" s="3">
        <f t="shared" ca="1" si="3"/>
        <v>0</v>
      </c>
      <c r="O27" s="3">
        <f t="shared" si="4"/>
        <v>4455136</v>
      </c>
      <c r="P27" s="3">
        <f t="shared" si="5"/>
        <v>2965713.7049999996</v>
      </c>
      <c r="Q27" s="3">
        <f t="shared" si="6"/>
        <v>0</v>
      </c>
      <c r="R27" s="3">
        <f t="shared" si="7"/>
        <v>0</v>
      </c>
      <c r="S27" s="47">
        <f t="shared" ca="1" si="8"/>
        <v>7307893.3767553624</v>
      </c>
      <c r="T27" s="47">
        <f>'Monthly Data'!BL27</f>
        <v>281.04307692307691</v>
      </c>
      <c r="U27" s="47">
        <f>+'Monthly Data'!BM27</f>
        <v>0</v>
      </c>
      <c r="V27" s="47">
        <f t="shared" ca="1" si="9"/>
        <v>7308174.4198322855</v>
      </c>
    </row>
    <row r="28" spans="1:28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Data'!BK28</f>
        <v>7961820.5689884806</v>
      </c>
      <c r="E28" s="3">
        <f t="shared" ref="E28:F28" ca="1" si="23">E16</f>
        <v>608.13298913043479</v>
      </c>
      <c r="F28" s="3">
        <f t="shared" ca="1" si="23"/>
        <v>2.9583333333332896E-2</v>
      </c>
      <c r="G28" s="3">
        <f>'Monthly Data'!DQ28</f>
        <v>31</v>
      </c>
      <c r="H28" s="3">
        <f>'Monthly Data'!DD28</f>
        <v>202.9</v>
      </c>
      <c r="I28">
        <f>'Monthly Data'!EJ28</f>
        <v>0</v>
      </c>
      <c r="J28">
        <f>'Monthly Data'!EF28</f>
        <v>0</v>
      </c>
      <c r="L28" s="3">
        <f t="shared" si="1"/>
        <v>-2785699</v>
      </c>
      <c r="M28" s="3">
        <f t="shared" ca="1" si="2"/>
        <v>2387267.401874783</v>
      </c>
      <c r="N28" s="3">
        <f t="shared" ca="1" si="3"/>
        <v>301.07254166666223</v>
      </c>
      <c r="O28" s="3">
        <f t="shared" si="4"/>
        <v>4932472</v>
      </c>
      <c r="P28" s="3">
        <f t="shared" si="5"/>
        <v>2869543.6850000001</v>
      </c>
      <c r="Q28" s="3">
        <f t="shared" si="6"/>
        <v>0</v>
      </c>
      <c r="R28" s="3">
        <f t="shared" si="7"/>
        <v>0</v>
      </c>
      <c r="S28" s="47">
        <f t="shared" ca="1" si="8"/>
        <v>7403885.1594164502</v>
      </c>
      <c r="T28" s="47">
        <f>'Monthly Data'!BL28</f>
        <v>421.56461538461542</v>
      </c>
      <c r="U28" s="47">
        <f>+'Monthly Data'!BM28</f>
        <v>0</v>
      </c>
      <c r="V28" s="47">
        <f t="shared" ca="1" si="9"/>
        <v>7404306.7240318349</v>
      </c>
    </row>
    <row r="29" spans="1:28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Data'!BK29</f>
        <v>6614575.6895597856</v>
      </c>
      <c r="E29" s="3">
        <f t="shared" ref="E29:F29" ca="1" si="24">E17</f>
        <v>412.37941287878795</v>
      </c>
      <c r="F29" s="3">
        <f t="shared" ca="1" si="24"/>
        <v>5.6420833333333338</v>
      </c>
      <c r="G29" s="3">
        <f>'Monthly Data'!DQ29</f>
        <v>30</v>
      </c>
      <c r="H29" s="3">
        <f>'Monthly Data'!DD29</f>
        <v>199</v>
      </c>
      <c r="I29">
        <f>'Monthly Data'!EJ29</f>
        <v>0</v>
      </c>
      <c r="J29">
        <f>'Monthly Data'!EF29</f>
        <v>0</v>
      </c>
      <c r="L29" s="3">
        <f t="shared" si="1"/>
        <v>-2785699</v>
      </c>
      <c r="M29" s="3">
        <f t="shared" ca="1" si="2"/>
        <v>1618823.427055758</v>
      </c>
      <c r="N29" s="3">
        <f t="shared" ca="1" si="3"/>
        <v>57420.046291666673</v>
      </c>
      <c r="O29" s="3">
        <f t="shared" si="4"/>
        <v>4773360</v>
      </c>
      <c r="P29" s="3">
        <f t="shared" si="5"/>
        <v>2814387.35</v>
      </c>
      <c r="Q29" s="3">
        <f t="shared" si="6"/>
        <v>0</v>
      </c>
      <c r="R29" s="3">
        <f t="shared" si="7"/>
        <v>0</v>
      </c>
      <c r="S29" s="47">
        <f t="shared" ca="1" si="8"/>
        <v>6478291.8233474251</v>
      </c>
      <c r="T29" s="47">
        <f>'Monthly Data'!BL29</f>
        <v>562.08615384615382</v>
      </c>
      <c r="U29" s="47">
        <f>+'Monthly Data'!BM29</f>
        <v>0</v>
      </c>
      <c r="V29" s="47">
        <f t="shared" ca="1" si="9"/>
        <v>6478853.9095012713</v>
      </c>
    </row>
    <row r="30" spans="1:28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Data'!BK30</f>
        <v>6799762.8399810912</v>
      </c>
      <c r="E30" s="3">
        <f t="shared" ref="E30:F30" ca="1" si="25">E18</f>
        <v>202.70273119310133</v>
      </c>
      <c r="F30" s="3">
        <f t="shared" ca="1" si="25"/>
        <v>86.191046176046171</v>
      </c>
      <c r="G30" s="3">
        <f>'Monthly Data'!DQ30</f>
        <v>31</v>
      </c>
      <c r="H30" s="3">
        <f>'Monthly Data'!DD30</f>
        <v>201.8</v>
      </c>
      <c r="I30">
        <f>'Monthly Data'!EJ30</f>
        <v>0</v>
      </c>
      <c r="J30">
        <f>'Monthly Data'!EF30</f>
        <v>0</v>
      </c>
      <c r="L30" s="3">
        <f t="shared" si="1"/>
        <v>-2785699</v>
      </c>
      <c r="M30" s="3">
        <f t="shared" ca="1" si="2"/>
        <v>795723.35508424044</v>
      </c>
      <c r="N30" s="3">
        <f t="shared" ca="1" si="3"/>
        <v>877174.89603823947</v>
      </c>
      <c r="O30" s="3">
        <f t="shared" si="4"/>
        <v>4932472</v>
      </c>
      <c r="P30" s="3">
        <f t="shared" si="5"/>
        <v>2853986.77</v>
      </c>
      <c r="Q30" s="3">
        <f t="shared" si="6"/>
        <v>0</v>
      </c>
      <c r="R30" s="3">
        <f t="shared" si="7"/>
        <v>0</v>
      </c>
      <c r="S30" s="47">
        <f t="shared" ca="1" si="8"/>
        <v>6673658.0211224798</v>
      </c>
      <c r="T30" s="47">
        <f>'Monthly Data'!BL30</f>
        <v>702.60769230769233</v>
      </c>
      <c r="U30" s="47">
        <f>+'Monthly Data'!BM30</f>
        <v>0</v>
      </c>
      <c r="V30" s="47">
        <f t="shared" ca="1" si="9"/>
        <v>6674360.6288147876</v>
      </c>
    </row>
    <row r="31" spans="1:28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Data'!BK31</f>
        <v>7076372.4234623974</v>
      </c>
      <c r="E31" s="3">
        <f t="shared" ref="E31:F31" ca="1" si="26">E19</f>
        <v>66.09717382617383</v>
      </c>
      <c r="F31" s="3">
        <f t="shared" ca="1" si="26"/>
        <v>194.94285087738348</v>
      </c>
      <c r="G31" s="3">
        <f>'Monthly Data'!DQ31</f>
        <v>30</v>
      </c>
      <c r="H31" s="3">
        <f>'Monthly Data'!DD31</f>
        <v>205.5</v>
      </c>
      <c r="I31">
        <f>'Monthly Data'!EJ31</f>
        <v>0</v>
      </c>
      <c r="J31">
        <f>'Monthly Data'!EF31</f>
        <v>0</v>
      </c>
      <c r="L31" s="3">
        <f t="shared" si="1"/>
        <v>-2785699</v>
      </c>
      <c r="M31" s="3">
        <f t="shared" ca="1" si="2"/>
        <v>259468.95046246555</v>
      </c>
      <c r="N31" s="3">
        <f t="shared" ca="1" si="3"/>
        <v>1983952.8876642194</v>
      </c>
      <c r="O31" s="3">
        <f t="shared" si="4"/>
        <v>4773360</v>
      </c>
      <c r="P31" s="3">
        <f t="shared" si="5"/>
        <v>2906314.5749999997</v>
      </c>
      <c r="Q31" s="3">
        <f t="shared" si="6"/>
        <v>0</v>
      </c>
      <c r="R31" s="3">
        <f t="shared" si="7"/>
        <v>0</v>
      </c>
      <c r="S31" s="47">
        <f t="shared" ca="1" si="8"/>
        <v>7137397.4131266847</v>
      </c>
      <c r="T31" s="47">
        <f>'Monthly Data'!BL31</f>
        <v>843.12923076923084</v>
      </c>
      <c r="U31" s="47">
        <f>+'Monthly Data'!BM31</f>
        <v>0</v>
      </c>
      <c r="V31" s="47">
        <f t="shared" ca="1" si="9"/>
        <v>7138240.5423574541</v>
      </c>
    </row>
    <row r="32" spans="1:28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Data'!BK32</f>
        <v>7684660.8696337026</v>
      </c>
      <c r="E32" s="3">
        <f t="shared" ref="E32:F32" ca="1" si="27">E20</f>
        <v>10.249063146997932</v>
      </c>
      <c r="F32" s="3">
        <f t="shared" ca="1" si="27"/>
        <v>297.94737858727848</v>
      </c>
      <c r="G32" s="3">
        <f>'Monthly Data'!DQ32</f>
        <v>31</v>
      </c>
      <c r="H32" s="3">
        <f>'Monthly Data'!DD32</f>
        <v>206.4</v>
      </c>
      <c r="I32">
        <f>'Monthly Data'!EJ32</f>
        <v>0</v>
      </c>
      <c r="J32">
        <f>'Monthly Data'!EF32</f>
        <v>0</v>
      </c>
      <c r="L32" s="3">
        <f t="shared" si="1"/>
        <v>-2785699</v>
      </c>
      <c r="M32" s="3">
        <f t="shared" ca="1" si="2"/>
        <v>40233.394319834377</v>
      </c>
      <c r="N32" s="3">
        <f t="shared" ca="1" si="3"/>
        <v>3032240.2666205917</v>
      </c>
      <c r="O32" s="3">
        <f t="shared" si="4"/>
        <v>4932472</v>
      </c>
      <c r="P32" s="3">
        <f t="shared" si="5"/>
        <v>2919042.96</v>
      </c>
      <c r="Q32" s="3">
        <f t="shared" si="6"/>
        <v>0</v>
      </c>
      <c r="R32" s="3">
        <f t="shared" si="7"/>
        <v>0</v>
      </c>
      <c r="S32" s="47">
        <f t="shared" ca="1" si="8"/>
        <v>8138289.6209404254</v>
      </c>
      <c r="T32" s="47">
        <f>'Monthly Data'!BL32</f>
        <v>983.65076923076936</v>
      </c>
      <c r="U32" s="47">
        <f>+'Monthly Data'!BM32</f>
        <v>0</v>
      </c>
      <c r="V32" s="47">
        <f t="shared" ca="1" si="9"/>
        <v>8139273.2717096563</v>
      </c>
    </row>
    <row r="33" spans="1:22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Data'!BK33</f>
        <v>7605088.7634750074</v>
      </c>
      <c r="E33" s="3">
        <f t="shared" ref="E33:F33" ca="1" si="28">E21</f>
        <v>21.194927536231887</v>
      </c>
      <c r="F33" s="3">
        <f t="shared" ca="1" si="28"/>
        <v>272.96558794466404</v>
      </c>
      <c r="G33" s="3">
        <f>'Monthly Data'!DQ33</f>
        <v>31</v>
      </c>
      <c r="H33" s="3">
        <f>'Monthly Data'!DD33</f>
        <v>207.5</v>
      </c>
      <c r="I33">
        <f>'Monthly Data'!EJ33</f>
        <v>0</v>
      </c>
      <c r="J33">
        <f>'Monthly Data'!EF33</f>
        <v>0</v>
      </c>
      <c r="L33" s="3">
        <f t="shared" si="1"/>
        <v>-2785699</v>
      </c>
      <c r="M33" s="3">
        <f t="shared" ca="1" si="2"/>
        <v>83202.129298550746</v>
      </c>
      <c r="N33" s="3">
        <f t="shared" ca="1" si="3"/>
        <v>2777998.0850716406</v>
      </c>
      <c r="O33" s="3">
        <f t="shared" si="4"/>
        <v>4932472</v>
      </c>
      <c r="P33" s="3">
        <f t="shared" si="5"/>
        <v>2934599.875</v>
      </c>
      <c r="Q33" s="3">
        <f t="shared" si="6"/>
        <v>0</v>
      </c>
      <c r="R33" s="3">
        <f t="shared" si="7"/>
        <v>0</v>
      </c>
      <c r="S33" s="47">
        <f t="shared" ca="1" si="8"/>
        <v>7942573.0893701911</v>
      </c>
      <c r="T33" s="47">
        <f>'Monthly Data'!BL33</f>
        <v>1124.1723076923076</v>
      </c>
      <c r="U33" s="47">
        <f>+'Monthly Data'!BM33</f>
        <v>0</v>
      </c>
      <c r="V33" s="47">
        <f t="shared" ca="1" si="9"/>
        <v>7943697.2616778836</v>
      </c>
    </row>
    <row r="34" spans="1:22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Data'!BK34</f>
        <v>7255095.0379063133</v>
      </c>
      <c r="E34" s="3">
        <f t="shared" ref="E34:F34" ca="1" si="29">E22</f>
        <v>96.735690993788822</v>
      </c>
      <c r="F34" s="3">
        <f t="shared" ca="1" si="29"/>
        <v>158.67014233954447</v>
      </c>
      <c r="G34" s="3">
        <f>'Monthly Data'!DQ34</f>
        <v>30</v>
      </c>
      <c r="H34" s="3">
        <f>'Monthly Data'!DD34</f>
        <v>207.7</v>
      </c>
      <c r="I34">
        <f>'Monthly Data'!EJ34</f>
        <v>0</v>
      </c>
      <c r="J34">
        <f>'Monthly Data'!EF34</f>
        <v>1</v>
      </c>
      <c r="L34" s="3">
        <f t="shared" si="1"/>
        <v>-2785699</v>
      </c>
      <c r="M34" s="3">
        <f t="shared" ca="1" si="2"/>
        <v>379742.53302310564</v>
      </c>
      <c r="N34" s="3">
        <f t="shared" ca="1" si="3"/>
        <v>1614801.9056037781</v>
      </c>
      <c r="O34" s="3">
        <f t="shared" si="4"/>
        <v>4773360</v>
      </c>
      <c r="P34" s="3">
        <f t="shared" si="5"/>
        <v>2937428.4049999998</v>
      </c>
      <c r="Q34" s="3">
        <f t="shared" si="6"/>
        <v>0</v>
      </c>
      <c r="R34" s="3">
        <f t="shared" si="7"/>
        <v>193962.4</v>
      </c>
      <c r="S34" s="47">
        <f t="shared" ca="1" si="8"/>
        <v>7113596.2436268833</v>
      </c>
      <c r="T34" s="47">
        <f>'Monthly Data'!BL34</f>
        <v>1264.6938461538462</v>
      </c>
      <c r="U34" s="47">
        <f>+'Monthly Data'!BM34</f>
        <v>0</v>
      </c>
      <c r="V34" s="47">
        <f t="shared" ca="1" si="9"/>
        <v>7114860.9374730373</v>
      </c>
    </row>
    <row r="35" spans="1:22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Data'!BK35</f>
        <v>6788820.8536576079</v>
      </c>
      <c r="E35" s="3">
        <f t="shared" ref="E35:F35" ca="1" si="30">E23</f>
        <v>298.21097826086958</v>
      </c>
      <c r="F35" s="3">
        <f t="shared" ca="1" si="30"/>
        <v>35.32833333333334</v>
      </c>
      <c r="G35" s="3">
        <f>'Monthly Data'!DQ35</f>
        <v>31</v>
      </c>
      <c r="H35" s="3">
        <f>'Monthly Data'!DD35</f>
        <v>209.3</v>
      </c>
      <c r="I35">
        <f>'Monthly Data'!EJ35</f>
        <v>0</v>
      </c>
      <c r="J35">
        <f>'Monthly Data'!EF35</f>
        <v>1</v>
      </c>
      <c r="L35" s="3">
        <f t="shared" si="1"/>
        <v>-2785699</v>
      </c>
      <c r="M35" s="3">
        <f t="shared" ca="1" si="2"/>
        <v>1170647.4735095652</v>
      </c>
      <c r="N35" s="3">
        <f t="shared" ca="1" si="3"/>
        <v>359539.98116666672</v>
      </c>
      <c r="O35" s="3">
        <f t="shared" si="4"/>
        <v>4932472</v>
      </c>
      <c r="P35" s="3">
        <f t="shared" si="5"/>
        <v>2960056.645</v>
      </c>
      <c r="Q35" s="3">
        <f t="shared" si="6"/>
        <v>0</v>
      </c>
      <c r="R35" s="3">
        <f t="shared" si="7"/>
        <v>193962.4</v>
      </c>
      <c r="S35" s="47">
        <f t="shared" ca="1" si="8"/>
        <v>6830979.4996762322</v>
      </c>
      <c r="T35" s="47">
        <f>'Monthly Data'!BL35</f>
        <v>1405.2153846153847</v>
      </c>
      <c r="U35" s="47">
        <f>+'Monthly Data'!BM35</f>
        <v>0</v>
      </c>
      <c r="V35" s="47">
        <f t="shared" ca="1" si="9"/>
        <v>6832384.7150608478</v>
      </c>
    </row>
    <row r="36" spans="1:22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Data'!BK36</f>
        <v>7247344.0571189234</v>
      </c>
      <c r="E36" s="3">
        <f t="shared" ref="E36:F36" ca="1" si="31">E24</f>
        <v>486.62991389045737</v>
      </c>
      <c r="F36" s="3">
        <f t="shared" ca="1" si="31"/>
        <v>2.2779166666666657</v>
      </c>
      <c r="G36" s="3">
        <f>'Monthly Data'!DQ36</f>
        <v>30</v>
      </c>
      <c r="H36" s="3">
        <f>'Monthly Data'!DD36</f>
        <v>208.6</v>
      </c>
      <c r="I36">
        <f>'Monthly Data'!EJ36</f>
        <v>0</v>
      </c>
      <c r="J36">
        <f>'Monthly Data'!EF36</f>
        <v>1</v>
      </c>
      <c r="L36" s="3">
        <f t="shared" si="1"/>
        <v>-2785699</v>
      </c>
      <c r="M36" s="3">
        <f t="shared" ca="1" si="2"/>
        <v>1910298.817811135</v>
      </c>
      <c r="N36" s="3">
        <f t="shared" ca="1" si="3"/>
        <v>23182.585708333325</v>
      </c>
      <c r="O36" s="3">
        <f t="shared" si="4"/>
        <v>4773360</v>
      </c>
      <c r="P36" s="3">
        <f t="shared" si="5"/>
        <v>2950156.79</v>
      </c>
      <c r="Q36" s="3">
        <f t="shared" si="6"/>
        <v>0</v>
      </c>
      <c r="R36" s="3">
        <f t="shared" si="7"/>
        <v>193962.4</v>
      </c>
      <c r="S36" s="47">
        <f t="shared" ca="1" si="8"/>
        <v>7065261.5935194688</v>
      </c>
      <c r="T36" s="47">
        <f>'Monthly Data'!BL36</f>
        <v>1545.7369230769232</v>
      </c>
      <c r="U36" s="47">
        <f>+'Monthly Data'!BM36</f>
        <v>0</v>
      </c>
      <c r="V36" s="47">
        <f t="shared" ca="1" si="9"/>
        <v>7066807.3304425459</v>
      </c>
    </row>
    <row r="37" spans="1:22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Data'!BK37</f>
        <v>8210512.1815002188</v>
      </c>
      <c r="E37" s="3">
        <f t="shared" ref="E37:F37" ca="1" si="32">E25</f>
        <v>639.92800724637686</v>
      </c>
      <c r="F37" s="3">
        <f t="shared" ca="1" si="32"/>
        <v>0</v>
      </c>
      <c r="G37" s="3">
        <f>'Monthly Data'!DQ37</f>
        <v>31</v>
      </c>
      <c r="H37" s="3">
        <f>'Monthly Data'!DD37</f>
        <v>207.8</v>
      </c>
      <c r="I37">
        <f>'Monthly Data'!EJ37</f>
        <v>0</v>
      </c>
      <c r="J37">
        <f>'Monthly Data'!EF37</f>
        <v>0</v>
      </c>
      <c r="L37" s="3">
        <f t="shared" si="1"/>
        <v>-2785699</v>
      </c>
      <c r="M37" s="3">
        <f t="shared" ca="1" si="2"/>
        <v>2512080.9075501454</v>
      </c>
      <c r="N37" s="3">
        <f t="shared" ca="1" si="3"/>
        <v>0</v>
      </c>
      <c r="O37" s="3">
        <f t="shared" si="4"/>
        <v>4932472</v>
      </c>
      <c r="P37" s="3">
        <f t="shared" si="5"/>
        <v>2938842.67</v>
      </c>
      <c r="Q37" s="3">
        <f t="shared" si="6"/>
        <v>0</v>
      </c>
      <c r="R37" s="3">
        <f t="shared" si="7"/>
        <v>0</v>
      </c>
      <c r="S37" s="47">
        <f t="shared" ca="1" si="8"/>
        <v>7597696.5775501449</v>
      </c>
      <c r="T37" s="47">
        <f>'Monthly Data'!BL37</f>
        <v>1686.2584615384617</v>
      </c>
      <c r="U37" s="47">
        <f>+'Monthly Data'!BM37</f>
        <v>0</v>
      </c>
      <c r="V37" s="47">
        <f t="shared" ca="1" si="9"/>
        <v>7599382.8360116836</v>
      </c>
    </row>
    <row r="38" spans="1:22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Data'!BK38</f>
        <v>8784586.6112699881</v>
      </c>
      <c r="E38" s="3">
        <f t="shared" ref="E38:F38" ca="1" si="33">E26</f>
        <v>759.33418478260865</v>
      </c>
      <c r="F38" s="3">
        <f t="shared" ca="1" si="33"/>
        <v>0</v>
      </c>
      <c r="G38" s="3">
        <f>'Monthly Data'!DQ38</f>
        <v>31</v>
      </c>
      <c r="H38" s="3">
        <f>'Monthly Data'!DD38</f>
        <v>206.5</v>
      </c>
      <c r="I38">
        <f>'Monthly Data'!EJ38</f>
        <v>0</v>
      </c>
      <c r="J38">
        <f>'Monthly Data'!EF38</f>
        <v>0</v>
      </c>
      <c r="L38" s="3">
        <f t="shared" si="1"/>
        <v>-2785699</v>
      </c>
      <c r="M38" s="3">
        <f t="shared" ca="1" si="2"/>
        <v>2980817.9770886954</v>
      </c>
      <c r="N38" s="3">
        <f t="shared" ca="1" si="3"/>
        <v>0</v>
      </c>
      <c r="O38" s="3">
        <f t="shared" si="4"/>
        <v>4932472</v>
      </c>
      <c r="P38" s="3">
        <f t="shared" si="5"/>
        <v>2920457.2250000001</v>
      </c>
      <c r="Q38" s="3">
        <f t="shared" si="6"/>
        <v>0</v>
      </c>
      <c r="R38" s="3">
        <f t="shared" si="7"/>
        <v>0</v>
      </c>
      <c r="S38" s="47">
        <f t="shared" ca="1" si="8"/>
        <v>8048048.202088695</v>
      </c>
      <c r="T38" s="47">
        <f>'Monthly Data'!BL38</f>
        <v>2078.9751282051284</v>
      </c>
      <c r="U38" s="47">
        <f>+'Monthly Data'!BM38</f>
        <v>0</v>
      </c>
      <c r="V38" s="47">
        <f t="shared" ca="1" si="9"/>
        <v>8050127.1772169005</v>
      </c>
    </row>
    <row r="39" spans="1:22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Data'!BK39</f>
        <v>7496705.6892828932</v>
      </c>
      <c r="E39" s="3">
        <f t="shared" ref="E39:F39" ca="1" si="34">E27</f>
        <v>680.85501811594202</v>
      </c>
      <c r="F39" s="3">
        <f t="shared" ca="1" si="34"/>
        <v>0</v>
      </c>
      <c r="G39" s="3">
        <f>'Monthly Data'!DQ39</f>
        <v>28</v>
      </c>
      <c r="H39" s="3">
        <f>'Monthly Data'!DD39</f>
        <v>206.7</v>
      </c>
      <c r="I39">
        <f>'Monthly Data'!EJ39</f>
        <v>0</v>
      </c>
      <c r="J39">
        <f>'Monthly Data'!EF39</f>
        <v>0</v>
      </c>
      <c r="L39" s="3">
        <f t="shared" si="1"/>
        <v>-2785699</v>
      </c>
      <c r="M39" s="3">
        <f t="shared" ca="1" si="2"/>
        <v>2672742.6717553623</v>
      </c>
      <c r="N39" s="3">
        <f t="shared" ca="1" si="3"/>
        <v>0</v>
      </c>
      <c r="O39" s="3">
        <f t="shared" si="4"/>
        <v>4455136</v>
      </c>
      <c r="P39" s="3">
        <f t="shared" si="5"/>
        <v>2923285.7549999999</v>
      </c>
      <c r="Q39" s="3">
        <f t="shared" si="6"/>
        <v>0</v>
      </c>
      <c r="R39" s="3">
        <f t="shared" si="7"/>
        <v>0</v>
      </c>
      <c r="S39" s="47">
        <f t="shared" ca="1" si="8"/>
        <v>7265465.4267553622</v>
      </c>
      <c r="T39" s="47">
        <f>'Monthly Data'!BL39</f>
        <v>2331.1702564102566</v>
      </c>
      <c r="U39" s="47">
        <f>+'Monthly Data'!BM39</f>
        <v>0</v>
      </c>
      <c r="V39" s="47">
        <f t="shared" ca="1" si="9"/>
        <v>7267796.597011772</v>
      </c>
    </row>
    <row r="40" spans="1:22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Data'!BK40</f>
        <v>7864003.8759458363</v>
      </c>
      <c r="E40" s="3">
        <f t="shared" ref="E40:F40" ca="1" si="35">E28</f>
        <v>608.13298913043479</v>
      </c>
      <c r="F40" s="3">
        <f t="shared" ca="1" si="35"/>
        <v>2.9583333333332896E-2</v>
      </c>
      <c r="G40" s="3">
        <f>'Monthly Data'!DQ40</f>
        <v>31</v>
      </c>
      <c r="H40" s="3">
        <f>'Monthly Data'!DD40</f>
        <v>209.4</v>
      </c>
      <c r="I40">
        <f>'Monthly Data'!EJ40</f>
        <v>0</v>
      </c>
      <c r="J40">
        <f>'Monthly Data'!EF40</f>
        <v>0</v>
      </c>
      <c r="L40" s="3">
        <f t="shared" si="1"/>
        <v>-2785699</v>
      </c>
      <c r="M40" s="3">
        <f t="shared" ca="1" si="2"/>
        <v>2387267.401874783</v>
      </c>
      <c r="N40" s="3">
        <f t="shared" ca="1" si="3"/>
        <v>301.07254166666223</v>
      </c>
      <c r="O40" s="3">
        <f t="shared" si="4"/>
        <v>4932472</v>
      </c>
      <c r="P40" s="3">
        <f t="shared" si="5"/>
        <v>2961470.91</v>
      </c>
      <c r="Q40" s="3">
        <f t="shared" si="6"/>
        <v>0</v>
      </c>
      <c r="R40" s="3">
        <f t="shared" si="7"/>
        <v>0</v>
      </c>
      <c r="S40" s="47">
        <f t="shared" ca="1" si="8"/>
        <v>7495812.3844164498</v>
      </c>
      <c r="T40" s="47">
        <f>'Monthly Data'!BL40</f>
        <v>2583.3653846153848</v>
      </c>
      <c r="U40" s="47">
        <f>+'Monthly Data'!BM40</f>
        <v>0</v>
      </c>
      <c r="V40" s="47">
        <f t="shared" ca="1" si="9"/>
        <v>7498395.7498010648</v>
      </c>
    </row>
    <row r="41" spans="1:22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Data'!BK41</f>
        <v>7173862.4657387612</v>
      </c>
      <c r="E41" s="3">
        <f t="shared" ref="E41:F41" ca="1" si="36">E29</f>
        <v>412.37941287878795</v>
      </c>
      <c r="F41" s="3">
        <f t="shared" ca="1" si="36"/>
        <v>5.6420833333333338</v>
      </c>
      <c r="G41" s="3">
        <f>'Monthly Data'!DQ41</f>
        <v>30</v>
      </c>
      <c r="H41" s="3">
        <f>'Monthly Data'!DD41</f>
        <v>213.7</v>
      </c>
      <c r="I41">
        <f>'Monthly Data'!EJ41</f>
        <v>0</v>
      </c>
      <c r="J41">
        <f>'Monthly Data'!EF41</f>
        <v>0</v>
      </c>
      <c r="L41" s="3">
        <f t="shared" si="1"/>
        <v>-2785699</v>
      </c>
      <c r="M41" s="3">
        <f t="shared" ca="1" si="2"/>
        <v>1618823.427055758</v>
      </c>
      <c r="N41" s="3">
        <f t="shared" ca="1" si="3"/>
        <v>57420.046291666673</v>
      </c>
      <c r="O41" s="3">
        <f t="shared" si="4"/>
        <v>4773360</v>
      </c>
      <c r="P41" s="3">
        <f t="shared" si="5"/>
        <v>3022284.3049999997</v>
      </c>
      <c r="Q41" s="3">
        <f t="shared" si="6"/>
        <v>0</v>
      </c>
      <c r="R41" s="3">
        <f t="shared" si="7"/>
        <v>0</v>
      </c>
      <c r="S41" s="47">
        <f t="shared" ca="1" si="8"/>
        <v>6686188.7783474242</v>
      </c>
      <c r="T41" s="47">
        <f>'Monthly Data'!BL41</f>
        <v>2835.5605128205129</v>
      </c>
      <c r="U41" s="47">
        <f>+'Monthly Data'!BM41</f>
        <v>0</v>
      </c>
      <c r="V41" s="47">
        <f t="shared" ca="1" si="9"/>
        <v>6689024.3388602445</v>
      </c>
    </row>
    <row r="42" spans="1:22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Data'!BK42</f>
        <v>7069458.6562616751</v>
      </c>
      <c r="E42" s="3">
        <f t="shared" ref="E42:F42" ca="1" si="37">E30</f>
        <v>202.70273119310133</v>
      </c>
      <c r="F42" s="3">
        <f t="shared" ca="1" si="37"/>
        <v>86.191046176046171</v>
      </c>
      <c r="G42" s="3">
        <f>'Monthly Data'!DQ42</f>
        <v>31</v>
      </c>
      <c r="H42" s="3">
        <f>'Monthly Data'!DD42</f>
        <v>217.6</v>
      </c>
      <c r="I42">
        <f>'Monthly Data'!EJ42</f>
        <v>0</v>
      </c>
      <c r="J42">
        <f>'Monthly Data'!EF42</f>
        <v>0</v>
      </c>
      <c r="L42" s="3">
        <f t="shared" si="1"/>
        <v>-2785699</v>
      </c>
      <c r="M42" s="3">
        <f t="shared" ca="1" si="2"/>
        <v>795723.35508424044</v>
      </c>
      <c r="N42" s="3">
        <f t="shared" ca="1" si="3"/>
        <v>877174.89603823947</v>
      </c>
      <c r="O42" s="3">
        <f t="shared" si="4"/>
        <v>4932472</v>
      </c>
      <c r="P42" s="3">
        <f t="shared" si="5"/>
        <v>3077440.6399999997</v>
      </c>
      <c r="Q42" s="3">
        <f t="shared" si="6"/>
        <v>0</v>
      </c>
      <c r="R42" s="3">
        <f t="shared" si="7"/>
        <v>0</v>
      </c>
      <c r="S42" s="47">
        <f t="shared" ca="1" si="8"/>
        <v>6897111.891122479</v>
      </c>
      <c r="T42" s="47">
        <f>'Monthly Data'!BL42</f>
        <v>3087.7556410256411</v>
      </c>
      <c r="U42" s="47">
        <f>+'Monthly Data'!BM42</f>
        <v>0</v>
      </c>
      <c r="V42" s="47">
        <f t="shared" ca="1" si="9"/>
        <v>6900199.6467635045</v>
      </c>
    </row>
    <row r="43" spans="1:22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Data'!BK43</f>
        <v>7294580.7913345993</v>
      </c>
      <c r="E43" s="3">
        <f t="shared" ref="E43:F43" ca="1" si="38">E31</f>
        <v>66.09717382617383</v>
      </c>
      <c r="F43" s="3">
        <f t="shared" ca="1" si="38"/>
        <v>194.94285087738348</v>
      </c>
      <c r="G43" s="3">
        <f>'Monthly Data'!DQ43</f>
        <v>30</v>
      </c>
      <c r="H43" s="3">
        <f>'Monthly Data'!DD43</f>
        <v>219.5</v>
      </c>
      <c r="I43">
        <f>'Monthly Data'!EJ43</f>
        <v>0</v>
      </c>
      <c r="J43">
        <f>'Monthly Data'!EF43</f>
        <v>0</v>
      </c>
      <c r="L43" s="3">
        <f t="shared" si="1"/>
        <v>-2785699</v>
      </c>
      <c r="M43" s="3">
        <f t="shared" ca="1" si="2"/>
        <v>259468.95046246555</v>
      </c>
      <c r="N43" s="3">
        <f t="shared" ca="1" si="3"/>
        <v>1983952.8876642194</v>
      </c>
      <c r="O43" s="3">
        <f t="shared" si="4"/>
        <v>4773360</v>
      </c>
      <c r="P43" s="3">
        <f t="shared" si="5"/>
        <v>3104311.6749999998</v>
      </c>
      <c r="Q43" s="3">
        <f t="shared" si="6"/>
        <v>0</v>
      </c>
      <c r="R43" s="3">
        <f t="shared" si="7"/>
        <v>0</v>
      </c>
      <c r="S43" s="47">
        <f t="shared" ca="1" si="8"/>
        <v>7335394.5131266853</v>
      </c>
      <c r="T43" s="47">
        <f>'Monthly Data'!BL43</f>
        <v>3339.9507692307693</v>
      </c>
      <c r="U43" s="47">
        <f>+'Monthly Data'!BM43</f>
        <v>0</v>
      </c>
      <c r="V43" s="47">
        <f t="shared" ca="1" si="9"/>
        <v>7338734.463895916</v>
      </c>
    </row>
    <row r="44" spans="1:22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Data'!BK44</f>
        <v>8348558.2801675331</v>
      </c>
      <c r="E44" s="3">
        <f t="shared" ref="E44:F44" ca="1" si="39">E32</f>
        <v>10.249063146997932</v>
      </c>
      <c r="F44" s="3">
        <f t="shared" ca="1" si="39"/>
        <v>297.94737858727848</v>
      </c>
      <c r="G44" s="3">
        <f>'Monthly Data'!DQ44</f>
        <v>31</v>
      </c>
      <c r="H44" s="3">
        <f>'Monthly Data'!DD44</f>
        <v>218.7</v>
      </c>
      <c r="I44">
        <f>'Monthly Data'!EJ44</f>
        <v>0</v>
      </c>
      <c r="J44">
        <f>'Monthly Data'!EF44</f>
        <v>0</v>
      </c>
      <c r="L44" s="3">
        <f t="shared" si="1"/>
        <v>-2785699</v>
      </c>
      <c r="M44" s="3">
        <f t="shared" ca="1" si="2"/>
        <v>40233.394319834377</v>
      </c>
      <c r="N44" s="3">
        <f t="shared" ca="1" si="3"/>
        <v>3032240.2666205917</v>
      </c>
      <c r="O44" s="3">
        <f t="shared" si="4"/>
        <v>4932472</v>
      </c>
      <c r="P44" s="3">
        <f t="shared" si="5"/>
        <v>3092997.5549999997</v>
      </c>
      <c r="Q44" s="3">
        <f t="shared" si="6"/>
        <v>0</v>
      </c>
      <c r="R44" s="3">
        <f t="shared" si="7"/>
        <v>0</v>
      </c>
      <c r="S44" s="47">
        <f t="shared" ca="1" si="8"/>
        <v>8312244.2159404252</v>
      </c>
      <c r="T44" s="47">
        <f>'Monthly Data'!BL44</f>
        <v>3592.1458974358975</v>
      </c>
      <c r="U44" s="47">
        <f>+'Monthly Data'!BM44</f>
        <v>0</v>
      </c>
      <c r="V44" s="47">
        <f t="shared" ca="1" si="9"/>
        <v>8315836.3618378611</v>
      </c>
    </row>
    <row r="45" spans="1:22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Data'!BK45</f>
        <v>8435672.507350456</v>
      </c>
      <c r="E45" s="3">
        <f t="shared" ref="E45:F45" ca="1" si="40">E33</f>
        <v>21.194927536231887</v>
      </c>
      <c r="F45" s="3">
        <f t="shared" ca="1" si="40"/>
        <v>272.96558794466404</v>
      </c>
      <c r="G45" s="3">
        <f>'Monthly Data'!DQ45</f>
        <v>31</v>
      </c>
      <c r="H45" s="3">
        <f>'Monthly Data'!DD45</f>
        <v>217.1</v>
      </c>
      <c r="I45">
        <f>'Monthly Data'!EJ45</f>
        <v>0</v>
      </c>
      <c r="J45">
        <f>'Monthly Data'!EF45</f>
        <v>0</v>
      </c>
      <c r="L45" s="3">
        <f t="shared" si="1"/>
        <v>-2785699</v>
      </c>
      <c r="M45" s="3">
        <f t="shared" ca="1" si="2"/>
        <v>83202.129298550746</v>
      </c>
      <c r="N45" s="3">
        <f t="shared" ca="1" si="3"/>
        <v>2777998.0850716406</v>
      </c>
      <c r="O45" s="3">
        <f t="shared" si="4"/>
        <v>4932472</v>
      </c>
      <c r="P45" s="3">
        <f t="shared" si="5"/>
        <v>3070369.3149999999</v>
      </c>
      <c r="Q45" s="3">
        <f t="shared" si="6"/>
        <v>0</v>
      </c>
      <c r="R45" s="3">
        <f t="shared" si="7"/>
        <v>0</v>
      </c>
      <c r="S45" s="47">
        <f t="shared" ca="1" si="8"/>
        <v>8078342.5293701906</v>
      </c>
      <c r="T45" s="47">
        <f>'Monthly Data'!BL45</f>
        <v>3844.3410256410257</v>
      </c>
      <c r="U45" s="47">
        <f>+'Monthly Data'!BM45</f>
        <v>0</v>
      </c>
      <c r="V45" s="47">
        <f t="shared" ca="1" si="9"/>
        <v>8082186.8703958318</v>
      </c>
    </row>
    <row r="46" spans="1:22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Data'!BK46</f>
        <v>7360761.154793391</v>
      </c>
      <c r="E46" s="3">
        <f t="shared" ref="E46:F46" ca="1" si="41">E34</f>
        <v>96.735690993788822</v>
      </c>
      <c r="F46" s="3">
        <f t="shared" ca="1" si="41"/>
        <v>158.67014233954447</v>
      </c>
      <c r="G46" s="3">
        <f>'Monthly Data'!DQ46</f>
        <v>30</v>
      </c>
      <c r="H46" s="3">
        <f>'Monthly Data'!DD46</f>
        <v>215.6</v>
      </c>
      <c r="I46">
        <f>'Monthly Data'!EJ46</f>
        <v>0</v>
      </c>
      <c r="J46">
        <f>'Monthly Data'!EF46</f>
        <v>1</v>
      </c>
      <c r="L46" s="3">
        <f t="shared" si="1"/>
        <v>-2785699</v>
      </c>
      <c r="M46" s="3">
        <f t="shared" ca="1" si="2"/>
        <v>379742.53302310564</v>
      </c>
      <c r="N46" s="3">
        <f t="shared" ca="1" si="3"/>
        <v>1614801.9056037781</v>
      </c>
      <c r="O46" s="3">
        <f t="shared" si="4"/>
        <v>4773360</v>
      </c>
      <c r="P46" s="3">
        <f t="shared" si="5"/>
        <v>3049155.34</v>
      </c>
      <c r="Q46" s="3">
        <f t="shared" si="6"/>
        <v>0</v>
      </c>
      <c r="R46" s="3">
        <f t="shared" si="7"/>
        <v>193962.4</v>
      </c>
      <c r="S46" s="47">
        <f t="shared" ca="1" si="8"/>
        <v>7225323.1786268838</v>
      </c>
      <c r="T46" s="47">
        <f>'Monthly Data'!BL46</f>
        <v>4096.5361538461539</v>
      </c>
      <c r="U46" s="47">
        <f>+'Monthly Data'!BM46</f>
        <v>0</v>
      </c>
      <c r="V46" s="47">
        <f t="shared" ca="1" si="9"/>
        <v>7229419.7147807302</v>
      </c>
    </row>
    <row r="47" spans="1:22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Data'!BK47</f>
        <v>7005375.5368262846</v>
      </c>
      <c r="E47" s="3">
        <f t="shared" ref="E47:F47" ca="1" si="42">E35</f>
        <v>298.21097826086958</v>
      </c>
      <c r="F47" s="3">
        <f t="shared" ca="1" si="42"/>
        <v>35.32833333333334</v>
      </c>
      <c r="G47" s="3">
        <f>'Monthly Data'!DQ47</f>
        <v>31</v>
      </c>
      <c r="H47" s="3">
        <f>'Monthly Data'!DD47</f>
        <v>214.7</v>
      </c>
      <c r="I47">
        <f>'Monthly Data'!EJ47</f>
        <v>0</v>
      </c>
      <c r="J47">
        <f>'Monthly Data'!EF47</f>
        <v>1</v>
      </c>
      <c r="L47" s="3">
        <f t="shared" si="1"/>
        <v>-2785699</v>
      </c>
      <c r="M47" s="3">
        <f t="shared" ca="1" si="2"/>
        <v>1170647.4735095652</v>
      </c>
      <c r="N47" s="3">
        <f t="shared" ca="1" si="3"/>
        <v>359539.98116666672</v>
      </c>
      <c r="O47" s="3">
        <f t="shared" si="4"/>
        <v>4932472</v>
      </c>
      <c r="P47" s="3">
        <f t="shared" si="5"/>
        <v>3036426.9549999996</v>
      </c>
      <c r="Q47" s="3">
        <f t="shared" si="6"/>
        <v>0</v>
      </c>
      <c r="R47" s="3">
        <f t="shared" si="7"/>
        <v>193962.4</v>
      </c>
      <c r="S47" s="47">
        <f t="shared" ca="1" si="8"/>
        <v>6907349.8096762318</v>
      </c>
      <c r="T47" s="47">
        <f>'Monthly Data'!BL47</f>
        <v>4348.7312820512825</v>
      </c>
      <c r="U47" s="47">
        <f>+'Monthly Data'!BM47</f>
        <v>0</v>
      </c>
      <c r="V47" s="47">
        <f t="shared" ca="1" si="9"/>
        <v>6911698.5409582835</v>
      </c>
    </row>
    <row r="48" spans="1:22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Data'!BK48</f>
        <v>7576031.0543192187</v>
      </c>
      <c r="E48" s="3">
        <f t="shared" ref="E48:F48" ca="1" si="43">E36</f>
        <v>486.62991389045737</v>
      </c>
      <c r="F48" s="3">
        <f t="shared" ca="1" si="43"/>
        <v>2.2779166666666657</v>
      </c>
      <c r="G48" s="3">
        <f>'Monthly Data'!DQ48</f>
        <v>30</v>
      </c>
      <c r="H48" s="3">
        <f>'Monthly Data'!DD48</f>
        <v>214.8</v>
      </c>
      <c r="I48">
        <f>'Monthly Data'!EJ48</f>
        <v>0</v>
      </c>
      <c r="J48">
        <f>'Monthly Data'!EF48</f>
        <v>1</v>
      </c>
      <c r="L48" s="3">
        <f t="shared" si="1"/>
        <v>-2785699</v>
      </c>
      <c r="M48" s="3">
        <f t="shared" ca="1" si="2"/>
        <v>1910298.817811135</v>
      </c>
      <c r="N48" s="3">
        <f t="shared" ca="1" si="3"/>
        <v>23182.585708333325</v>
      </c>
      <c r="O48" s="3">
        <f t="shared" si="4"/>
        <v>4773360</v>
      </c>
      <c r="P48" s="3">
        <f t="shared" si="5"/>
        <v>3037841.22</v>
      </c>
      <c r="Q48" s="3">
        <f t="shared" si="6"/>
        <v>0</v>
      </c>
      <c r="R48" s="3">
        <f t="shared" si="7"/>
        <v>193962.4</v>
      </c>
      <c r="S48" s="47">
        <f t="shared" ca="1" si="8"/>
        <v>7152946.0235194694</v>
      </c>
      <c r="T48" s="47">
        <f>'Monthly Data'!BL48</f>
        <v>4600.9264102564102</v>
      </c>
      <c r="U48" s="47">
        <f>+'Monthly Data'!BM48</f>
        <v>0</v>
      </c>
      <c r="V48" s="47">
        <f t="shared" ca="1" si="9"/>
        <v>7157546.9499297254</v>
      </c>
    </row>
    <row r="49" spans="1:22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Data'!BK49</f>
        <v>7915376.2458921522</v>
      </c>
      <c r="E49" s="3">
        <f t="shared" ref="E49:F49" ca="1" si="44">E37</f>
        <v>639.92800724637686</v>
      </c>
      <c r="F49" s="3">
        <f t="shared" ca="1" si="44"/>
        <v>0</v>
      </c>
      <c r="G49" s="3">
        <f>'Monthly Data'!DQ49</f>
        <v>31</v>
      </c>
      <c r="H49" s="3">
        <f>'Monthly Data'!DD49</f>
        <v>214.1</v>
      </c>
      <c r="I49">
        <f>'Monthly Data'!EJ49</f>
        <v>0</v>
      </c>
      <c r="J49">
        <f>'Monthly Data'!EF49</f>
        <v>0</v>
      </c>
      <c r="L49" s="3">
        <f t="shared" si="1"/>
        <v>-2785699</v>
      </c>
      <c r="M49" s="3">
        <f t="shared" ca="1" si="2"/>
        <v>2512080.9075501454</v>
      </c>
      <c r="N49" s="3">
        <f t="shared" ca="1" si="3"/>
        <v>0</v>
      </c>
      <c r="O49" s="3">
        <f t="shared" si="4"/>
        <v>4932472</v>
      </c>
      <c r="P49" s="3">
        <f t="shared" si="5"/>
        <v>3027941.3649999998</v>
      </c>
      <c r="Q49" s="3">
        <f t="shared" si="6"/>
        <v>0</v>
      </c>
      <c r="R49" s="3">
        <f t="shared" si="7"/>
        <v>0</v>
      </c>
      <c r="S49" s="47">
        <f t="shared" ca="1" si="8"/>
        <v>7686795.2725501452</v>
      </c>
      <c r="T49" s="47">
        <f>'Monthly Data'!BL49</f>
        <v>4853.1215384615389</v>
      </c>
      <c r="U49" s="47">
        <f>+'Monthly Data'!BM49</f>
        <v>0</v>
      </c>
      <c r="V49" s="47">
        <f t="shared" ca="1" si="9"/>
        <v>7691648.3940886064</v>
      </c>
    </row>
    <row r="50" spans="1:22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Data'!BK50</f>
        <v>8848511.1979011837</v>
      </c>
      <c r="E50" s="3">
        <f t="shared" ref="E50:F50" ca="1" si="45">E38</f>
        <v>759.33418478260865</v>
      </c>
      <c r="F50" s="3">
        <f t="shared" ca="1" si="45"/>
        <v>0</v>
      </c>
      <c r="G50" s="3">
        <f>'Monthly Data'!DQ50</f>
        <v>31</v>
      </c>
      <c r="H50" s="3">
        <f>'Monthly Data'!DD50</f>
        <v>216.3</v>
      </c>
      <c r="I50">
        <f>'Monthly Data'!EJ50</f>
        <v>0</v>
      </c>
      <c r="J50">
        <f>'Monthly Data'!EF50</f>
        <v>0</v>
      </c>
      <c r="L50" s="3">
        <f t="shared" si="1"/>
        <v>-2785699</v>
      </c>
      <c r="M50" s="3">
        <f t="shared" ca="1" si="2"/>
        <v>2980817.9770886954</v>
      </c>
      <c r="N50" s="3">
        <f t="shared" ca="1" si="3"/>
        <v>0</v>
      </c>
      <c r="O50" s="3">
        <f t="shared" si="4"/>
        <v>4932472</v>
      </c>
      <c r="P50" s="3">
        <f t="shared" si="5"/>
        <v>3059055.1950000003</v>
      </c>
      <c r="Q50" s="3">
        <f t="shared" si="6"/>
        <v>0</v>
      </c>
      <c r="R50" s="3">
        <f t="shared" si="7"/>
        <v>0</v>
      </c>
      <c r="S50" s="47">
        <f t="shared" ca="1" si="8"/>
        <v>8186646.1720886957</v>
      </c>
      <c r="T50" s="47">
        <f>'Monthly Data'!BL50</f>
        <v>5281.8269230769229</v>
      </c>
      <c r="U50" s="47">
        <f ca="1">+'Monthly Data'!BM50</f>
        <v>9193.9016525519819</v>
      </c>
      <c r="V50" s="47">
        <f t="shared" ca="1" si="9"/>
        <v>8201121.9006643249</v>
      </c>
    </row>
    <row r="51" spans="1:22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Data'!BK51</f>
        <v>7882026.7376251901</v>
      </c>
      <c r="E51" s="3">
        <f t="shared" ref="E51:F51" ca="1" si="46">E39</f>
        <v>680.85501811594202</v>
      </c>
      <c r="F51" s="3">
        <f t="shared" ca="1" si="46"/>
        <v>0</v>
      </c>
      <c r="G51" s="3">
        <f>'Monthly Data'!DQ51</f>
        <v>28</v>
      </c>
      <c r="H51" s="3">
        <f>'Monthly Data'!DD51</f>
        <v>218</v>
      </c>
      <c r="I51">
        <f>'Monthly Data'!EJ51</f>
        <v>0</v>
      </c>
      <c r="J51">
        <f>'Monthly Data'!EF51</f>
        <v>0</v>
      </c>
      <c r="L51" s="3">
        <f t="shared" si="1"/>
        <v>-2785699</v>
      </c>
      <c r="M51" s="3">
        <f t="shared" ca="1" si="2"/>
        <v>2672742.6717553623</v>
      </c>
      <c r="N51" s="3">
        <f t="shared" ca="1" si="3"/>
        <v>0</v>
      </c>
      <c r="O51" s="3">
        <f t="shared" si="4"/>
        <v>4455136</v>
      </c>
      <c r="P51" s="3">
        <f t="shared" si="5"/>
        <v>3083097.6999999997</v>
      </c>
      <c r="Q51" s="3">
        <f t="shared" si="6"/>
        <v>0</v>
      </c>
      <c r="R51" s="3">
        <f t="shared" si="7"/>
        <v>0</v>
      </c>
      <c r="S51" s="47">
        <f t="shared" ca="1" si="8"/>
        <v>7425277.3717553616</v>
      </c>
      <c r="T51" s="47">
        <f>'Monthly Data'!BL51</f>
        <v>5458.3371794871791</v>
      </c>
      <c r="U51" s="47">
        <f ca="1">+'Monthly Data'!BM51</f>
        <v>7536.156467732324</v>
      </c>
      <c r="V51" s="47">
        <f t="shared" ca="1" si="9"/>
        <v>7438271.8654025812</v>
      </c>
    </row>
    <row r="52" spans="1:22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Data'!BK52</f>
        <v>8167883.940929207</v>
      </c>
      <c r="E52" s="3">
        <f t="shared" ref="E52:F52" ca="1" si="47">E40</f>
        <v>608.13298913043479</v>
      </c>
      <c r="F52" s="3">
        <f t="shared" ca="1" si="47"/>
        <v>2.9583333333332896E-2</v>
      </c>
      <c r="G52" s="3">
        <f>'Monthly Data'!DQ52</f>
        <v>31</v>
      </c>
      <c r="H52" s="3">
        <f>'Monthly Data'!DD52</f>
        <v>220.1</v>
      </c>
      <c r="I52">
        <f>'Monthly Data'!EJ52</f>
        <v>0</v>
      </c>
      <c r="J52">
        <f>'Monthly Data'!EF52</f>
        <v>0</v>
      </c>
      <c r="L52" s="3">
        <f t="shared" si="1"/>
        <v>-2785699</v>
      </c>
      <c r="M52" s="3">
        <f t="shared" ca="1" si="2"/>
        <v>2387267.401874783</v>
      </c>
      <c r="N52" s="3">
        <f t="shared" ca="1" si="3"/>
        <v>301.07254166666223</v>
      </c>
      <c r="O52" s="3">
        <f t="shared" si="4"/>
        <v>4932472</v>
      </c>
      <c r="P52" s="3">
        <f t="shared" si="5"/>
        <v>3112797.2649999997</v>
      </c>
      <c r="Q52" s="3">
        <f t="shared" si="6"/>
        <v>0</v>
      </c>
      <c r="R52" s="3">
        <f t="shared" si="7"/>
        <v>0</v>
      </c>
      <c r="S52" s="47">
        <f t="shared" ca="1" si="8"/>
        <v>7647138.7394164493</v>
      </c>
      <c r="T52" s="47">
        <f>'Monthly Data'!BL52</f>
        <v>5634.8474358974363</v>
      </c>
      <c r="U52" s="47">
        <f ca="1">+'Monthly Data'!BM52</f>
        <v>7207.9080878280356</v>
      </c>
      <c r="V52" s="47">
        <f t="shared" ca="1" si="9"/>
        <v>7659981.4949401747</v>
      </c>
    </row>
    <row r="53" spans="1:22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Data'!BK53</f>
        <v>7072987.0649232231</v>
      </c>
      <c r="E53" s="3">
        <f t="shared" ref="E53:F53" ca="1" si="48">E41</f>
        <v>412.37941287878795</v>
      </c>
      <c r="F53" s="3">
        <f t="shared" ca="1" si="48"/>
        <v>5.6420833333333338</v>
      </c>
      <c r="G53" s="3">
        <f>'Monthly Data'!DQ53</f>
        <v>30</v>
      </c>
      <c r="H53" s="3">
        <f>'Monthly Data'!DD53</f>
        <v>219.6</v>
      </c>
      <c r="I53">
        <f>'Monthly Data'!EJ53</f>
        <v>0</v>
      </c>
      <c r="J53">
        <f>'Monthly Data'!EF53</f>
        <v>0</v>
      </c>
      <c r="L53" s="3">
        <f t="shared" si="1"/>
        <v>-2785699</v>
      </c>
      <c r="M53" s="3">
        <f t="shared" ca="1" si="2"/>
        <v>1618823.427055758</v>
      </c>
      <c r="N53" s="3">
        <f t="shared" ca="1" si="3"/>
        <v>57420.046291666673</v>
      </c>
      <c r="O53" s="3">
        <f t="shared" si="4"/>
        <v>4773360</v>
      </c>
      <c r="P53" s="3">
        <f t="shared" si="5"/>
        <v>3105725.94</v>
      </c>
      <c r="Q53" s="3">
        <f t="shared" si="6"/>
        <v>0</v>
      </c>
      <c r="R53" s="3">
        <f t="shared" si="7"/>
        <v>0</v>
      </c>
      <c r="S53" s="47">
        <f t="shared" ca="1" si="8"/>
        <v>6769630.4133474249</v>
      </c>
      <c r="T53" s="47">
        <f>'Monthly Data'!BL53</f>
        <v>5811.3576923076926</v>
      </c>
      <c r="U53" s="47">
        <f ca="1">+'Monthly Data'!BM53</f>
        <v>4322.1416559087129</v>
      </c>
      <c r="V53" s="47">
        <f t="shared" ca="1" si="9"/>
        <v>6779763.9126956416</v>
      </c>
    </row>
    <row r="54" spans="1:22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Data'!BK54</f>
        <v>6838483.0169672398</v>
      </c>
      <c r="E54" s="3">
        <f t="shared" ref="E54:F54" ca="1" si="49">E42</f>
        <v>202.70273119310133</v>
      </c>
      <c r="F54" s="3">
        <f t="shared" ca="1" si="49"/>
        <v>86.191046176046171</v>
      </c>
      <c r="G54" s="3">
        <f>'Monthly Data'!DQ54</f>
        <v>31</v>
      </c>
      <c r="H54" s="3">
        <f>'Monthly Data'!DD54</f>
        <v>218.7</v>
      </c>
      <c r="I54">
        <f>'Monthly Data'!EJ54</f>
        <v>0</v>
      </c>
      <c r="J54">
        <f>'Monthly Data'!EF54</f>
        <v>0</v>
      </c>
      <c r="L54" s="3">
        <f t="shared" si="1"/>
        <v>-2785699</v>
      </c>
      <c r="M54" s="3">
        <f t="shared" ca="1" si="2"/>
        <v>795723.35508424044</v>
      </c>
      <c r="N54" s="3">
        <f t="shared" ca="1" si="3"/>
        <v>877174.89603823947</v>
      </c>
      <c r="O54" s="3">
        <f t="shared" si="4"/>
        <v>4932472</v>
      </c>
      <c r="P54" s="3">
        <f t="shared" si="5"/>
        <v>3092997.5549999997</v>
      </c>
      <c r="Q54" s="3">
        <f t="shared" si="6"/>
        <v>0</v>
      </c>
      <c r="R54" s="3">
        <f t="shared" si="7"/>
        <v>0</v>
      </c>
      <c r="S54" s="47">
        <f t="shared" ca="1" si="8"/>
        <v>6912668.80612248</v>
      </c>
      <c r="T54" s="47">
        <f>'Monthly Data'!BL54</f>
        <v>5987.8679487179488</v>
      </c>
      <c r="U54" s="47">
        <f ca="1">+'Monthly Data'!BM54</f>
        <v>2422.8549665273094</v>
      </c>
      <c r="V54" s="47">
        <f t="shared" ca="1" si="9"/>
        <v>6921079.5290377252</v>
      </c>
    </row>
    <row r="55" spans="1:22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Data'!BK55</f>
        <v>7093708.9495712565</v>
      </c>
      <c r="E55" s="3">
        <f t="shared" ref="E55:F55" ca="1" si="50">E43</f>
        <v>66.09717382617383</v>
      </c>
      <c r="F55" s="3">
        <f t="shared" ca="1" si="50"/>
        <v>194.94285087738348</v>
      </c>
      <c r="G55" s="3">
        <f>'Monthly Data'!DQ55</f>
        <v>30</v>
      </c>
      <c r="H55" s="3">
        <f>'Monthly Data'!DD55</f>
        <v>217.8</v>
      </c>
      <c r="I55">
        <f>'Monthly Data'!EJ55</f>
        <v>0</v>
      </c>
      <c r="J55">
        <f>'Monthly Data'!EF55</f>
        <v>0</v>
      </c>
      <c r="L55" s="3">
        <f t="shared" si="1"/>
        <v>-2785699</v>
      </c>
      <c r="M55" s="3">
        <f t="shared" ca="1" si="2"/>
        <v>259468.95046246555</v>
      </c>
      <c r="N55" s="3">
        <f t="shared" ca="1" si="3"/>
        <v>1983952.8876642194</v>
      </c>
      <c r="O55" s="3">
        <f t="shared" si="4"/>
        <v>4773360</v>
      </c>
      <c r="P55" s="3">
        <f t="shared" si="5"/>
        <v>3080269.17</v>
      </c>
      <c r="Q55" s="3">
        <f t="shared" si="6"/>
        <v>0</v>
      </c>
      <c r="R55" s="3">
        <f t="shared" si="7"/>
        <v>0</v>
      </c>
      <c r="S55" s="47">
        <f t="shared" ref="S55:S107" ca="1" si="51">SUM(L55:R55)</f>
        <v>7311352.0081266854</v>
      </c>
      <c r="T55" s="47">
        <f>'Monthly Data'!BL55</f>
        <v>6164.3782051282051</v>
      </c>
      <c r="U55" s="47">
        <f ca="1">+'Monthly Data'!BM55</f>
        <v>543.67519335038196</v>
      </c>
      <c r="V55" s="47">
        <f t="shared" ref="V55:V118" ca="1" si="52">S55+T55+U55</f>
        <v>7318060.0615251642</v>
      </c>
    </row>
    <row r="56" spans="1:22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Data'!BK56</f>
        <v>8594557.7626252621</v>
      </c>
      <c r="E56" s="3">
        <f t="shared" ref="E56:F56" ca="1" si="53">E44</f>
        <v>10.249063146997932</v>
      </c>
      <c r="F56" s="3">
        <f t="shared" ca="1" si="53"/>
        <v>297.94737858727848</v>
      </c>
      <c r="G56" s="3">
        <f>'Monthly Data'!DQ56</f>
        <v>31</v>
      </c>
      <c r="H56" s="3">
        <f>'Monthly Data'!DD56</f>
        <v>216.2</v>
      </c>
      <c r="I56">
        <f>'Monthly Data'!EJ56</f>
        <v>0</v>
      </c>
      <c r="J56">
        <f>'Monthly Data'!EF56</f>
        <v>0</v>
      </c>
      <c r="L56" s="3">
        <f t="shared" si="1"/>
        <v>-2785699</v>
      </c>
      <c r="M56" s="3">
        <f t="shared" ca="1" si="2"/>
        <v>40233.394319834377</v>
      </c>
      <c r="N56" s="3">
        <f t="shared" ca="1" si="3"/>
        <v>3032240.2666205917</v>
      </c>
      <c r="O56" s="3">
        <f t="shared" si="4"/>
        <v>4932472</v>
      </c>
      <c r="P56" s="3">
        <f t="shared" si="5"/>
        <v>3057640.9299999997</v>
      </c>
      <c r="Q56" s="3">
        <f t="shared" si="6"/>
        <v>0</v>
      </c>
      <c r="R56" s="3">
        <f t="shared" si="7"/>
        <v>0</v>
      </c>
      <c r="S56" s="47">
        <f t="shared" ca="1" si="51"/>
        <v>8276887.5909404252</v>
      </c>
      <c r="T56" s="47">
        <f>'Monthly Data'!BL56</f>
        <v>6340.8884615384613</v>
      </c>
      <c r="U56" s="47">
        <f ca="1">+'Monthly Data'!BM56</f>
        <v>0</v>
      </c>
      <c r="V56" s="47">
        <f t="shared" ca="1" si="52"/>
        <v>8283228.4794019638</v>
      </c>
    </row>
    <row r="57" spans="1:22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Data'!BK57</f>
        <v>8002819.7729993081</v>
      </c>
      <c r="E57" s="3">
        <f t="shared" ref="E57:F57" ca="1" si="54">E45</f>
        <v>21.194927536231887</v>
      </c>
      <c r="F57" s="3">
        <f t="shared" ca="1" si="54"/>
        <v>272.96558794466404</v>
      </c>
      <c r="G57" s="3">
        <f>'Monthly Data'!DQ57</f>
        <v>31</v>
      </c>
      <c r="H57" s="3">
        <f>'Monthly Data'!DD57</f>
        <v>213.3</v>
      </c>
      <c r="I57">
        <f>'Monthly Data'!EJ57</f>
        <v>0</v>
      </c>
      <c r="J57">
        <f>'Monthly Data'!EF57</f>
        <v>0</v>
      </c>
      <c r="L57" s="3">
        <f t="shared" si="1"/>
        <v>-2785699</v>
      </c>
      <c r="M57" s="3">
        <f t="shared" ca="1" si="2"/>
        <v>83202.129298550746</v>
      </c>
      <c r="N57" s="3">
        <f t="shared" ca="1" si="3"/>
        <v>2777998.0850716406</v>
      </c>
      <c r="O57" s="3">
        <f t="shared" si="4"/>
        <v>4932472</v>
      </c>
      <c r="P57" s="3">
        <f t="shared" si="5"/>
        <v>3016627.2450000001</v>
      </c>
      <c r="Q57" s="3">
        <f t="shared" si="6"/>
        <v>0</v>
      </c>
      <c r="R57" s="3">
        <f t="shared" si="7"/>
        <v>0</v>
      </c>
      <c r="S57" s="47">
        <f t="shared" ca="1" si="51"/>
        <v>8024600.4593701912</v>
      </c>
      <c r="T57" s="47">
        <f>'Monthly Data'!BL57</f>
        <v>6517.3987179487185</v>
      </c>
      <c r="U57" s="47">
        <f ca="1">+'Monthly Data'!BM57</f>
        <v>54.765366391333863</v>
      </c>
      <c r="V57" s="47">
        <f t="shared" ca="1" si="52"/>
        <v>8031172.6234545317</v>
      </c>
    </row>
    <row r="58" spans="1:22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Data'!BK58</f>
        <v>6884944.2493633153</v>
      </c>
      <c r="E58" s="3">
        <f t="shared" ref="E58:F58" ca="1" si="55">E46</f>
        <v>96.735690993788822</v>
      </c>
      <c r="F58" s="3">
        <f t="shared" ca="1" si="55"/>
        <v>158.67014233954447</v>
      </c>
      <c r="G58" s="3">
        <f>'Monthly Data'!DQ58</f>
        <v>30</v>
      </c>
      <c r="H58" s="3">
        <f>'Monthly Data'!DD58</f>
        <v>209.5</v>
      </c>
      <c r="I58">
        <f>'Monthly Data'!EJ58</f>
        <v>0</v>
      </c>
      <c r="J58">
        <f>'Monthly Data'!EF58</f>
        <v>1</v>
      </c>
      <c r="L58" s="3">
        <f t="shared" si="1"/>
        <v>-2785699</v>
      </c>
      <c r="M58" s="3">
        <f t="shared" ca="1" si="2"/>
        <v>379742.53302310564</v>
      </c>
      <c r="N58" s="3">
        <f t="shared" ca="1" si="3"/>
        <v>1614801.9056037781</v>
      </c>
      <c r="O58" s="3">
        <f t="shared" si="4"/>
        <v>4773360</v>
      </c>
      <c r="P58" s="3">
        <f t="shared" si="5"/>
        <v>2962885.1749999998</v>
      </c>
      <c r="Q58" s="3">
        <f t="shared" si="6"/>
        <v>0</v>
      </c>
      <c r="R58" s="3">
        <f t="shared" si="7"/>
        <v>193962.4</v>
      </c>
      <c r="S58" s="47">
        <f t="shared" ca="1" si="51"/>
        <v>7139053.0136268837</v>
      </c>
      <c r="T58" s="47">
        <f>'Monthly Data'!BL58</f>
        <v>6693.9089743589748</v>
      </c>
      <c r="U58" s="47">
        <f ca="1">+'Monthly Data'!BM58</f>
        <v>731.49829745841839</v>
      </c>
      <c r="V58" s="47">
        <f t="shared" ca="1" si="52"/>
        <v>7146478.4208987011</v>
      </c>
    </row>
    <row r="59" spans="1:22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Data'!BK59</f>
        <v>6770671.0458273515</v>
      </c>
      <c r="E59" s="3">
        <f t="shared" ref="E59:F59" ca="1" si="56">E47</f>
        <v>298.21097826086958</v>
      </c>
      <c r="F59" s="3">
        <f t="shared" ca="1" si="56"/>
        <v>35.32833333333334</v>
      </c>
      <c r="G59" s="3">
        <f>'Monthly Data'!DQ59</f>
        <v>31</v>
      </c>
      <c r="H59" s="3">
        <f>'Monthly Data'!DD59</f>
        <v>206.9</v>
      </c>
      <c r="I59">
        <f>'Monthly Data'!EJ59</f>
        <v>0</v>
      </c>
      <c r="J59">
        <f>'Monthly Data'!EF59</f>
        <v>1</v>
      </c>
      <c r="L59" s="3">
        <f t="shared" si="1"/>
        <v>-2785699</v>
      </c>
      <c r="M59" s="3">
        <f t="shared" ca="1" si="2"/>
        <v>1170647.4735095652</v>
      </c>
      <c r="N59" s="3">
        <f t="shared" ca="1" si="3"/>
        <v>359539.98116666672</v>
      </c>
      <c r="O59" s="3">
        <f t="shared" si="4"/>
        <v>4932472</v>
      </c>
      <c r="P59" s="3">
        <f t="shared" si="5"/>
        <v>2926114.2850000001</v>
      </c>
      <c r="Q59" s="3">
        <f t="shared" si="6"/>
        <v>0</v>
      </c>
      <c r="R59" s="3">
        <f t="shared" si="7"/>
        <v>193962.4</v>
      </c>
      <c r="S59" s="47">
        <f t="shared" ca="1" si="51"/>
        <v>6797037.1396762319</v>
      </c>
      <c r="T59" s="47">
        <f>'Monthly Data'!BL59</f>
        <v>6870.419230769231</v>
      </c>
      <c r="U59" s="47">
        <f ca="1">+'Monthly Data'!BM59</f>
        <v>2873.6836694688573</v>
      </c>
      <c r="V59" s="47">
        <f t="shared" ca="1" si="52"/>
        <v>6806781.2425764706</v>
      </c>
    </row>
    <row r="60" spans="1:22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Data'!BK60</f>
        <v>7487770.5730713475</v>
      </c>
      <c r="E60" s="3">
        <f t="shared" ref="E60:F60" ca="1" si="57">E48</f>
        <v>486.62991389045737</v>
      </c>
      <c r="F60" s="3">
        <f t="shared" ca="1" si="57"/>
        <v>2.2779166666666657</v>
      </c>
      <c r="G60" s="3">
        <f>'Monthly Data'!DQ60</f>
        <v>30</v>
      </c>
      <c r="H60" s="3">
        <f>'Monthly Data'!DD60</f>
        <v>205.5</v>
      </c>
      <c r="I60">
        <f>'Monthly Data'!EJ60</f>
        <v>0</v>
      </c>
      <c r="J60">
        <f>'Monthly Data'!EF60</f>
        <v>1</v>
      </c>
      <c r="L60" s="3">
        <f t="shared" si="1"/>
        <v>-2785699</v>
      </c>
      <c r="M60" s="3">
        <f t="shared" ca="1" si="2"/>
        <v>1910298.817811135</v>
      </c>
      <c r="N60" s="3">
        <f t="shared" ca="1" si="3"/>
        <v>23182.585708333325</v>
      </c>
      <c r="O60" s="3">
        <f t="shared" si="4"/>
        <v>4773360</v>
      </c>
      <c r="P60" s="3">
        <f t="shared" si="5"/>
        <v>2906314.5749999997</v>
      </c>
      <c r="Q60" s="3">
        <f t="shared" si="6"/>
        <v>0</v>
      </c>
      <c r="R60" s="3">
        <f t="shared" si="7"/>
        <v>193962.4</v>
      </c>
      <c r="S60" s="47">
        <f t="shared" ca="1" si="51"/>
        <v>7021419.378519468</v>
      </c>
      <c r="T60" s="47">
        <f>'Monthly Data'!BL60</f>
        <v>7046.9294871794882</v>
      </c>
      <c r="U60" s="47">
        <f ca="1">+'Monthly Data'!BM60</f>
        <v>6244.4305747048011</v>
      </c>
      <c r="V60" s="47">
        <f t="shared" ca="1" si="52"/>
        <v>7034710.7385813519</v>
      </c>
    </row>
    <row r="61" spans="1:22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Data'!BK61</f>
        <v>8053422.4128653649</v>
      </c>
      <c r="E61" s="3">
        <f t="shared" ref="E61:F61" ca="1" si="58">E49</f>
        <v>639.92800724637686</v>
      </c>
      <c r="F61" s="3">
        <f t="shared" ca="1" si="58"/>
        <v>0</v>
      </c>
      <c r="G61" s="3">
        <f>'Monthly Data'!DQ61</f>
        <v>31</v>
      </c>
      <c r="H61" s="3">
        <f>'Monthly Data'!DD61</f>
        <v>206.4</v>
      </c>
      <c r="I61">
        <f>'Monthly Data'!EJ61</f>
        <v>0</v>
      </c>
      <c r="J61">
        <f>'Monthly Data'!EF61</f>
        <v>0</v>
      </c>
      <c r="L61" s="3">
        <f t="shared" si="1"/>
        <v>-2785699</v>
      </c>
      <c r="M61" s="3">
        <f t="shared" ca="1" si="2"/>
        <v>2512080.9075501454</v>
      </c>
      <c r="N61" s="3">
        <f t="shared" ca="1" si="3"/>
        <v>0</v>
      </c>
      <c r="O61" s="3">
        <f t="shared" si="4"/>
        <v>4932472</v>
      </c>
      <c r="P61" s="3">
        <f t="shared" si="5"/>
        <v>2919042.96</v>
      </c>
      <c r="Q61" s="3">
        <f t="shared" si="6"/>
        <v>0</v>
      </c>
      <c r="R61" s="3">
        <f t="shared" si="7"/>
        <v>0</v>
      </c>
      <c r="S61" s="47">
        <f t="shared" ca="1" si="51"/>
        <v>7577896.8675501449</v>
      </c>
      <c r="T61" s="47">
        <f>'Monthly Data'!BL61</f>
        <v>7223.4397435897445</v>
      </c>
      <c r="U61" s="47">
        <f ca="1">+'Monthly Data'!BM61</f>
        <v>7242.9284521661702</v>
      </c>
      <c r="V61" s="47">
        <f t="shared" ca="1" si="52"/>
        <v>7592363.2357459003</v>
      </c>
    </row>
    <row r="62" spans="1:22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Data'!BK62</f>
        <v>8228992.69431803</v>
      </c>
      <c r="E62" s="3">
        <f t="shared" ref="E62:F62" ca="1" si="59">E50</f>
        <v>759.33418478260865</v>
      </c>
      <c r="F62" s="3">
        <f t="shared" ca="1" si="59"/>
        <v>0</v>
      </c>
      <c r="G62" s="3">
        <f>'Monthly Data'!DQ62</f>
        <v>31</v>
      </c>
      <c r="H62" s="3">
        <f>'Monthly Data'!DD62</f>
        <v>207.2</v>
      </c>
      <c r="I62">
        <f>'Monthly Data'!EJ62</f>
        <v>0</v>
      </c>
      <c r="J62">
        <f>'Monthly Data'!EF62</f>
        <v>0</v>
      </c>
      <c r="L62" s="3">
        <f t="shared" si="1"/>
        <v>-2785699</v>
      </c>
      <c r="M62" s="3">
        <f t="shared" ca="1" si="2"/>
        <v>2980817.9770886954</v>
      </c>
      <c r="N62" s="3">
        <f t="shared" ca="1" si="3"/>
        <v>0</v>
      </c>
      <c r="O62" s="3">
        <f t="shared" si="4"/>
        <v>4932472</v>
      </c>
      <c r="P62" s="3">
        <f t="shared" si="5"/>
        <v>2930357.0799999996</v>
      </c>
      <c r="Q62" s="3">
        <f t="shared" si="6"/>
        <v>0</v>
      </c>
      <c r="R62" s="3">
        <f t="shared" si="7"/>
        <v>0</v>
      </c>
      <c r="S62" s="47">
        <f t="shared" ca="1" si="51"/>
        <v>8057948.0570886955</v>
      </c>
      <c r="T62" s="47">
        <f>'Monthly Data'!BL62</f>
        <v>7601.7751282051286</v>
      </c>
      <c r="U62" s="47">
        <f ca="1">+'Monthly Data'!BM62</f>
        <v>31337.67243616451</v>
      </c>
      <c r="V62" s="47">
        <f t="shared" ca="1" si="52"/>
        <v>8096887.5046530655</v>
      </c>
    </row>
    <row r="63" spans="1:22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Data'!BK63</f>
        <v>7733363.3640699657</v>
      </c>
      <c r="E63" s="3">
        <f t="shared" ref="E63:F63" ca="1" si="60">E51</f>
        <v>680.85501811594202</v>
      </c>
      <c r="F63" s="3">
        <f t="shared" ca="1" si="60"/>
        <v>0</v>
      </c>
      <c r="G63" s="3">
        <f>'Monthly Data'!DQ63</f>
        <v>29</v>
      </c>
      <c r="H63" s="3">
        <f>'Monthly Data'!DD63</f>
        <v>209.7</v>
      </c>
      <c r="I63">
        <f>'Monthly Data'!EJ63</f>
        <v>0</v>
      </c>
      <c r="J63">
        <f>'Monthly Data'!EF63</f>
        <v>0</v>
      </c>
      <c r="L63" s="3">
        <f t="shared" si="1"/>
        <v>-2785699</v>
      </c>
      <c r="M63" s="3">
        <f t="shared" ca="1" si="2"/>
        <v>2672742.6717553623</v>
      </c>
      <c r="N63" s="3">
        <f t="shared" ca="1" si="3"/>
        <v>0</v>
      </c>
      <c r="O63" s="3">
        <f t="shared" si="4"/>
        <v>4614248</v>
      </c>
      <c r="P63" s="3">
        <f t="shared" si="5"/>
        <v>2965713.7049999996</v>
      </c>
      <c r="Q63" s="3">
        <f t="shared" si="6"/>
        <v>0</v>
      </c>
      <c r="R63" s="3">
        <f t="shared" si="7"/>
        <v>0</v>
      </c>
      <c r="S63" s="47">
        <f t="shared" ca="1" si="51"/>
        <v>7467005.3767553624</v>
      </c>
      <c r="T63" s="47">
        <f>'Monthly Data'!BL63</f>
        <v>7803.6002564102573</v>
      </c>
      <c r="U63" s="47">
        <f ca="1">+'Monthly Data'!BM63</f>
        <v>30918.015035119646</v>
      </c>
      <c r="V63" s="47">
        <f t="shared" ca="1" si="52"/>
        <v>7505726.9920468926</v>
      </c>
    </row>
    <row r="64" spans="1:22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Data'!BK64</f>
        <v>7090902.7368619405</v>
      </c>
      <c r="E64" s="3">
        <f t="shared" ref="E64:F64" ca="1" si="61">E52</f>
        <v>608.13298913043479</v>
      </c>
      <c r="F64" s="3">
        <f t="shared" ca="1" si="61"/>
        <v>2.9583333333332896E-2</v>
      </c>
      <c r="G64" s="3">
        <f>'Monthly Data'!DQ64</f>
        <v>31</v>
      </c>
      <c r="H64" s="3">
        <f>'Monthly Data'!DD64</f>
        <v>208.2</v>
      </c>
      <c r="I64">
        <f>'Monthly Data'!EJ64</f>
        <v>0.5</v>
      </c>
      <c r="J64">
        <f>'Monthly Data'!EF64</f>
        <v>0</v>
      </c>
      <c r="L64" s="3">
        <f t="shared" si="1"/>
        <v>-2785699</v>
      </c>
      <c r="M64" s="3">
        <f t="shared" ca="1" si="2"/>
        <v>2387267.401874783</v>
      </c>
      <c r="N64" s="3">
        <f t="shared" ca="1" si="3"/>
        <v>301.07254166666223</v>
      </c>
      <c r="O64" s="3">
        <f t="shared" si="4"/>
        <v>4932472</v>
      </c>
      <c r="P64" s="3">
        <f t="shared" si="5"/>
        <v>2944499.73</v>
      </c>
      <c r="Q64" s="3">
        <f t="shared" si="6"/>
        <v>-398751.5</v>
      </c>
      <c r="R64" s="3">
        <f t="shared" si="7"/>
        <v>0</v>
      </c>
      <c r="S64" s="47">
        <f t="shared" ca="1" si="51"/>
        <v>7080089.7044164501</v>
      </c>
      <c r="T64" s="47">
        <f>'Monthly Data'!BL64</f>
        <v>8005.4253846153852</v>
      </c>
      <c r="U64" s="47">
        <f ca="1">+'Monthly Data'!BM64</f>
        <v>23999.378248670375</v>
      </c>
      <c r="V64" s="47">
        <f t="shared" ca="1" si="52"/>
        <v>7112094.5080497358</v>
      </c>
    </row>
    <row r="65" spans="1:22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Data'!BK65</f>
        <v>5606829.434943906</v>
      </c>
      <c r="E65" s="3">
        <f t="shared" ref="E65:F65" ca="1" si="62">E53</f>
        <v>412.37941287878795</v>
      </c>
      <c r="F65" s="3">
        <f t="shared" ca="1" si="62"/>
        <v>5.6420833333333338</v>
      </c>
      <c r="G65" s="3">
        <f>'Monthly Data'!DQ65</f>
        <v>30</v>
      </c>
      <c r="H65" s="3">
        <f>'Monthly Data'!DD65</f>
        <v>202.5</v>
      </c>
      <c r="I65">
        <f>'Monthly Data'!EJ65</f>
        <v>1</v>
      </c>
      <c r="J65">
        <f>'Monthly Data'!EF65</f>
        <v>0</v>
      </c>
      <c r="L65" s="3">
        <f t="shared" si="1"/>
        <v>-2785699</v>
      </c>
      <c r="M65" s="3">
        <f t="shared" ca="1" si="2"/>
        <v>1618823.427055758</v>
      </c>
      <c r="N65" s="3">
        <f t="shared" ca="1" si="3"/>
        <v>57420.046291666673</v>
      </c>
      <c r="O65" s="3">
        <f t="shared" si="4"/>
        <v>4773360</v>
      </c>
      <c r="P65" s="3">
        <f t="shared" si="5"/>
        <v>2863886.625</v>
      </c>
      <c r="Q65" s="3">
        <f t="shared" si="6"/>
        <v>-797503</v>
      </c>
      <c r="R65" s="3">
        <f t="shared" si="7"/>
        <v>0</v>
      </c>
      <c r="S65" s="47">
        <f t="shared" ca="1" si="51"/>
        <v>5730288.0983474245</v>
      </c>
      <c r="T65" s="47">
        <f>'Monthly Data'!BL65</f>
        <v>8207.2505128205139</v>
      </c>
      <c r="U65" s="47">
        <f ca="1">+'Monthly Data'!BM65</f>
        <v>18921.336812474296</v>
      </c>
      <c r="V65" s="47">
        <f t="shared" ca="1" si="52"/>
        <v>5757416.685672719</v>
      </c>
    </row>
    <row r="66" spans="1:22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Data'!BK66</f>
        <v>5816148.1730658598</v>
      </c>
      <c r="E66" s="3">
        <f t="shared" ref="E66:F66" ca="1" si="63">E54</f>
        <v>202.70273119310133</v>
      </c>
      <c r="F66" s="3">
        <f t="shared" ca="1" si="63"/>
        <v>86.191046176046171</v>
      </c>
      <c r="G66" s="3">
        <f>'Monthly Data'!DQ66</f>
        <v>31</v>
      </c>
      <c r="H66" s="3">
        <f>'Monthly Data'!DD66</f>
        <v>195.4</v>
      </c>
      <c r="I66">
        <f>'Monthly Data'!EJ66</f>
        <v>1</v>
      </c>
      <c r="J66">
        <f>'Monthly Data'!EF66</f>
        <v>0</v>
      </c>
      <c r="L66" s="3">
        <f t="shared" ref="L66:L129" si="64">$Z$9</f>
        <v>-2785699</v>
      </c>
      <c r="M66" s="3">
        <f t="shared" ref="M66:M129" ca="1" si="65">E66*$Z$10</f>
        <v>795723.35508424044</v>
      </c>
      <c r="N66" s="3">
        <f t="shared" ref="N66:N129" ca="1" si="66">F66*$Z$11</f>
        <v>877174.89603823947</v>
      </c>
      <c r="O66" s="3">
        <f t="shared" ref="O66:O129" si="67">G66*$Z$12</f>
        <v>4932472</v>
      </c>
      <c r="P66" s="3">
        <f t="shared" ref="P66:P129" si="68">H66*$Z$13</f>
        <v>2763473.81</v>
      </c>
      <c r="Q66" s="3">
        <f t="shared" ref="Q66:Q129" si="69">I66*$Z$14</f>
        <v>-797503</v>
      </c>
      <c r="R66" s="3">
        <f t="shared" ref="R66:R129" si="70">J66*$Z$15</f>
        <v>0</v>
      </c>
      <c r="S66" s="47">
        <f t="shared" ca="1" si="51"/>
        <v>5785642.0611224798</v>
      </c>
      <c r="T66" s="47">
        <f>'Monthly Data'!BL66</f>
        <v>8409.0756410256417</v>
      </c>
      <c r="U66" s="47">
        <f ca="1">+'Monthly Data'!BM66</f>
        <v>10601.874306823642</v>
      </c>
      <c r="V66" s="47">
        <f t="shared" ca="1" si="52"/>
        <v>5804653.0110703297</v>
      </c>
    </row>
    <row r="67" spans="1:22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Data'!BK67</f>
        <v>6661167.3443278447</v>
      </c>
      <c r="E67" s="3">
        <f t="shared" ref="E67:F67" ca="1" si="71">E55</f>
        <v>66.09717382617383</v>
      </c>
      <c r="F67" s="3">
        <f t="shared" ca="1" si="71"/>
        <v>194.94285087738348</v>
      </c>
      <c r="G67" s="3">
        <f>'Monthly Data'!DQ67</f>
        <v>30</v>
      </c>
      <c r="H67" s="3">
        <f>'Monthly Data'!DD67</f>
        <v>193</v>
      </c>
      <c r="I67">
        <f>'Monthly Data'!EJ67</f>
        <v>0.5</v>
      </c>
      <c r="J67">
        <f>'Monthly Data'!EF67</f>
        <v>0</v>
      </c>
      <c r="L67" s="3">
        <f t="shared" si="64"/>
        <v>-2785699</v>
      </c>
      <c r="M67" s="3">
        <f t="shared" ca="1" si="65"/>
        <v>259468.95046246555</v>
      </c>
      <c r="N67" s="3">
        <f t="shared" ca="1" si="66"/>
        <v>1983952.8876642194</v>
      </c>
      <c r="O67" s="3">
        <f t="shared" si="67"/>
        <v>4773360</v>
      </c>
      <c r="P67" s="3">
        <f t="shared" si="68"/>
        <v>2729531.4499999997</v>
      </c>
      <c r="Q67" s="3">
        <f t="shared" si="69"/>
        <v>-398751.5</v>
      </c>
      <c r="R67" s="3">
        <f t="shared" si="70"/>
        <v>0</v>
      </c>
      <c r="S67" s="47">
        <f t="shared" ca="1" si="51"/>
        <v>6561862.7881266847</v>
      </c>
      <c r="T67" s="47">
        <f>'Monthly Data'!BL67</f>
        <v>8610.9007692307696</v>
      </c>
      <c r="U67" s="47">
        <f ca="1">+'Monthly Data'!BM67</f>
        <v>1481.7789281821802</v>
      </c>
      <c r="V67" s="47">
        <f t="shared" ca="1" si="52"/>
        <v>6571955.4678240977</v>
      </c>
    </row>
    <row r="68" spans="1:22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Data'!BK68</f>
        <v>8285283.7617298001</v>
      </c>
      <c r="E68" s="3">
        <f t="shared" ref="E68:F68" ca="1" si="72">E56</f>
        <v>10.249063146997932</v>
      </c>
      <c r="F68" s="3">
        <f t="shared" ca="1" si="72"/>
        <v>297.94737858727848</v>
      </c>
      <c r="G68" s="3">
        <f>'Monthly Data'!DQ68</f>
        <v>31</v>
      </c>
      <c r="H68" s="3">
        <f>'Monthly Data'!DD68</f>
        <v>198.5</v>
      </c>
      <c r="I68">
        <f>'Monthly Data'!EJ68</f>
        <v>0.5</v>
      </c>
      <c r="J68">
        <f>'Monthly Data'!EF68</f>
        <v>0</v>
      </c>
      <c r="L68" s="3">
        <f t="shared" si="64"/>
        <v>-2785699</v>
      </c>
      <c r="M68" s="3">
        <f t="shared" ca="1" si="65"/>
        <v>40233.394319834377</v>
      </c>
      <c r="N68" s="3">
        <f t="shared" ca="1" si="66"/>
        <v>3032240.2666205917</v>
      </c>
      <c r="O68" s="3">
        <f t="shared" si="67"/>
        <v>4932472</v>
      </c>
      <c r="P68" s="3">
        <f t="shared" si="68"/>
        <v>2807316.0249999999</v>
      </c>
      <c r="Q68" s="3">
        <f t="shared" si="69"/>
        <v>-398751.5</v>
      </c>
      <c r="R68" s="3">
        <f t="shared" si="70"/>
        <v>0</v>
      </c>
      <c r="S68" s="47">
        <f t="shared" ca="1" si="51"/>
        <v>7627811.1859404258</v>
      </c>
      <c r="T68" s="47">
        <f>'Monthly Data'!BL68</f>
        <v>8812.7258974358974</v>
      </c>
      <c r="U68" s="47">
        <f ca="1">+'Monthly Data'!BM68</f>
        <v>0</v>
      </c>
      <c r="V68" s="47">
        <f t="shared" ca="1" si="52"/>
        <v>7636623.9118378619</v>
      </c>
    </row>
    <row r="69" spans="1:22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Data'!BK69</f>
        <v>7647765.4241517754</v>
      </c>
      <c r="E69" s="3">
        <f t="shared" ref="E69:F69" ca="1" si="73">E57</f>
        <v>21.194927536231887</v>
      </c>
      <c r="F69" s="3">
        <f t="shared" ca="1" si="73"/>
        <v>272.96558794466404</v>
      </c>
      <c r="G69" s="3">
        <f>'Monthly Data'!DQ69</f>
        <v>31</v>
      </c>
      <c r="H69" s="3">
        <f>'Monthly Data'!DD69</f>
        <v>205.7</v>
      </c>
      <c r="I69">
        <f>'Monthly Data'!EJ69</f>
        <v>0.5</v>
      </c>
      <c r="J69">
        <f>'Monthly Data'!EF69</f>
        <v>0</v>
      </c>
      <c r="L69" s="3">
        <f t="shared" si="64"/>
        <v>-2785699</v>
      </c>
      <c r="M69" s="3">
        <f t="shared" ca="1" si="65"/>
        <v>83202.129298550746</v>
      </c>
      <c r="N69" s="3">
        <f t="shared" ca="1" si="66"/>
        <v>2777998.0850716406</v>
      </c>
      <c r="O69" s="3">
        <f t="shared" si="67"/>
        <v>4932472</v>
      </c>
      <c r="P69" s="3">
        <f t="shared" si="68"/>
        <v>2909143.105</v>
      </c>
      <c r="Q69" s="3">
        <f t="shared" si="69"/>
        <v>-398751.5</v>
      </c>
      <c r="R69" s="3">
        <f t="shared" si="70"/>
        <v>0</v>
      </c>
      <c r="S69" s="47">
        <f t="shared" ca="1" si="51"/>
        <v>7518364.8193701915</v>
      </c>
      <c r="T69" s="47">
        <f>'Monthly Data'!BL69</f>
        <v>9014.5510256410271</v>
      </c>
      <c r="U69" s="47">
        <f ca="1">+'Monthly Data'!BM69</f>
        <v>173.80170444065067</v>
      </c>
      <c r="V69" s="47">
        <f t="shared" ca="1" si="52"/>
        <v>7527553.172100273</v>
      </c>
    </row>
    <row r="70" spans="1:22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Data'!BK70</f>
        <v>6522270.1684037289</v>
      </c>
      <c r="E70" s="3">
        <f t="shared" ref="E70:F70" ca="1" si="74">E58</f>
        <v>96.735690993788822</v>
      </c>
      <c r="F70" s="3">
        <f t="shared" ca="1" si="74"/>
        <v>158.67014233954447</v>
      </c>
      <c r="G70" s="3">
        <f>'Monthly Data'!DQ70</f>
        <v>30</v>
      </c>
      <c r="H70" s="3">
        <f>'Monthly Data'!DD70</f>
        <v>211.9</v>
      </c>
      <c r="I70">
        <f>'Monthly Data'!EJ70</f>
        <v>0.5</v>
      </c>
      <c r="J70">
        <f>'Monthly Data'!EF70</f>
        <v>1</v>
      </c>
      <c r="L70" s="3">
        <f t="shared" si="64"/>
        <v>-2785699</v>
      </c>
      <c r="M70" s="3">
        <f t="shared" ca="1" si="65"/>
        <v>379742.53302310564</v>
      </c>
      <c r="N70" s="3">
        <f t="shared" ca="1" si="66"/>
        <v>1614801.9056037781</v>
      </c>
      <c r="O70" s="3">
        <f t="shared" si="67"/>
        <v>4773360</v>
      </c>
      <c r="P70" s="3">
        <f t="shared" si="68"/>
        <v>2996827.5350000001</v>
      </c>
      <c r="Q70" s="3">
        <f t="shared" si="69"/>
        <v>-398751.5</v>
      </c>
      <c r="R70" s="3">
        <f t="shared" si="70"/>
        <v>193962.4</v>
      </c>
      <c r="S70" s="47">
        <f t="shared" ca="1" si="51"/>
        <v>6774243.8736268841</v>
      </c>
      <c r="T70" s="47">
        <f>'Monthly Data'!BL70</f>
        <v>9216.3761538461549</v>
      </c>
      <c r="U70" s="47">
        <f ca="1">+'Monthly Data'!BM70</f>
        <v>4238.1217453110794</v>
      </c>
      <c r="V70" s="47">
        <f t="shared" ca="1" si="52"/>
        <v>6787698.3715260411</v>
      </c>
    </row>
    <row r="71" spans="1:22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Data'!BK71</f>
        <v>6476553.7334356941</v>
      </c>
      <c r="E71" s="3">
        <f t="shared" ref="E71:F71" ca="1" si="75">E59</f>
        <v>298.21097826086958</v>
      </c>
      <c r="F71" s="3">
        <f t="shared" ca="1" si="75"/>
        <v>35.32833333333334</v>
      </c>
      <c r="G71" s="3">
        <f>'Monthly Data'!DQ71</f>
        <v>31</v>
      </c>
      <c r="H71" s="3">
        <f>'Monthly Data'!DD71</f>
        <v>216.7</v>
      </c>
      <c r="I71">
        <f>'Monthly Data'!EJ71</f>
        <v>0.5</v>
      </c>
      <c r="J71">
        <f>'Monthly Data'!EF71</f>
        <v>1</v>
      </c>
      <c r="L71" s="3">
        <f t="shared" si="64"/>
        <v>-2785699</v>
      </c>
      <c r="M71" s="3">
        <f t="shared" ca="1" si="65"/>
        <v>1170647.4735095652</v>
      </c>
      <c r="N71" s="3">
        <f t="shared" ca="1" si="66"/>
        <v>359539.98116666672</v>
      </c>
      <c r="O71" s="3">
        <f t="shared" si="67"/>
        <v>4932472</v>
      </c>
      <c r="P71" s="3">
        <f t="shared" si="68"/>
        <v>3064712.2549999999</v>
      </c>
      <c r="Q71" s="3">
        <f t="shared" si="69"/>
        <v>-398751.5</v>
      </c>
      <c r="R71" s="3">
        <f t="shared" si="70"/>
        <v>193962.4</v>
      </c>
      <c r="S71" s="47">
        <f t="shared" ca="1" si="51"/>
        <v>6536883.6096762326</v>
      </c>
      <c r="T71" s="47">
        <f>'Monthly Data'!BL71</f>
        <v>9418.2012820512828</v>
      </c>
      <c r="U71" s="47">
        <f ca="1">+'Monthly Data'!BM71</f>
        <v>14344.350947144751</v>
      </c>
      <c r="V71" s="47">
        <f t="shared" ca="1" si="52"/>
        <v>6560646.1619054284</v>
      </c>
    </row>
    <row r="72" spans="1:22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Data'!BK72</f>
        <v>6721712.0986476596</v>
      </c>
      <c r="E72" s="3">
        <f t="shared" ref="E72:F72" ca="1" si="76">E60</f>
        <v>486.62991389045737</v>
      </c>
      <c r="F72" s="3">
        <f t="shared" ca="1" si="76"/>
        <v>2.2779166666666657</v>
      </c>
      <c r="G72" s="3">
        <f>'Monthly Data'!DQ72</f>
        <v>30</v>
      </c>
      <c r="H72" s="3">
        <f>'Monthly Data'!DD72</f>
        <v>217</v>
      </c>
      <c r="I72">
        <f>'Monthly Data'!EJ72</f>
        <v>0.5</v>
      </c>
      <c r="J72">
        <f>'Monthly Data'!EF72</f>
        <v>1</v>
      </c>
      <c r="L72" s="3">
        <f t="shared" si="64"/>
        <v>-2785699</v>
      </c>
      <c r="M72" s="3">
        <f t="shared" ca="1" si="65"/>
        <v>1910298.817811135</v>
      </c>
      <c r="N72" s="3">
        <f t="shared" ca="1" si="66"/>
        <v>23182.585708333325</v>
      </c>
      <c r="O72" s="3">
        <f t="shared" si="67"/>
        <v>4773360</v>
      </c>
      <c r="P72" s="3">
        <f t="shared" si="68"/>
        <v>3068955.05</v>
      </c>
      <c r="Q72" s="3">
        <f t="shared" si="69"/>
        <v>-398751.5</v>
      </c>
      <c r="R72" s="3">
        <f t="shared" si="70"/>
        <v>193962.4</v>
      </c>
      <c r="S72" s="47">
        <f t="shared" ca="1" si="51"/>
        <v>6785308.3535194686</v>
      </c>
      <c r="T72" s="47">
        <f>'Monthly Data'!BL72</f>
        <v>9620.0264102564106</v>
      </c>
      <c r="U72" s="47">
        <f ca="1">+'Monthly Data'!BM72</f>
        <v>18254.821585627091</v>
      </c>
      <c r="V72" s="47">
        <f t="shared" ca="1" si="52"/>
        <v>6813183.2015153524</v>
      </c>
    </row>
    <row r="73" spans="1:22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Data'!BK73</f>
        <v>7493816.7189596146</v>
      </c>
      <c r="E73" s="3">
        <f t="shared" ref="E73:F73" ca="1" si="77">E61</f>
        <v>639.92800724637686</v>
      </c>
      <c r="F73" s="3">
        <f t="shared" ca="1" si="77"/>
        <v>0</v>
      </c>
      <c r="G73" s="3">
        <f>'Monthly Data'!DQ73</f>
        <v>31</v>
      </c>
      <c r="H73" s="3">
        <f>'Monthly Data'!DD73</f>
        <v>216.1</v>
      </c>
      <c r="I73">
        <f>'Monthly Data'!EJ73</f>
        <v>0.5</v>
      </c>
      <c r="J73">
        <f>'Monthly Data'!EF73</f>
        <v>0</v>
      </c>
      <c r="L73" s="3">
        <f t="shared" si="64"/>
        <v>-2785699</v>
      </c>
      <c r="M73" s="3">
        <f t="shared" ca="1" si="65"/>
        <v>2512080.9075501454</v>
      </c>
      <c r="N73" s="3">
        <f t="shared" ca="1" si="66"/>
        <v>0</v>
      </c>
      <c r="O73" s="3">
        <f t="shared" si="67"/>
        <v>4932472</v>
      </c>
      <c r="P73" s="3">
        <f t="shared" si="68"/>
        <v>3056226.665</v>
      </c>
      <c r="Q73" s="3">
        <f t="shared" si="69"/>
        <v>-398751.5</v>
      </c>
      <c r="R73" s="3">
        <f t="shared" si="70"/>
        <v>0</v>
      </c>
      <c r="S73" s="47">
        <f t="shared" ca="1" si="51"/>
        <v>7316329.072550145</v>
      </c>
      <c r="T73" s="47">
        <f>'Monthly Data'!BL73</f>
        <v>9821.8515384615384</v>
      </c>
      <c r="U73" s="47">
        <f ca="1">+'Monthly Data'!BM73</f>
        <v>29049.387151892151</v>
      </c>
      <c r="V73" s="47">
        <f t="shared" ca="1" si="52"/>
        <v>7355200.3112404989</v>
      </c>
    </row>
    <row r="74" spans="1:22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Data'!BK74</f>
        <v>7460255.9984212983</v>
      </c>
      <c r="E74" s="3">
        <f t="shared" ref="E74:F74" ca="1" si="78">E62</f>
        <v>759.33418478260865</v>
      </c>
      <c r="F74" s="3">
        <f t="shared" ca="1" si="78"/>
        <v>0</v>
      </c>
      <c r="G74" s="3">
        <f>'Monthly Data'!DQ74</f>
        <v>31</v>
      </c>
      <c r="H74" s="3">
        <f>'Monthly Data'!DD74</f>
        <v>209.4</v>
      </c>
      <c r="I74">
        <f>'Monthly Data'!EJ74</f>
        <v>0.5</v>
      </c>
      <c r="J74">
        <f>'Monthly Data'!EF74</f>
        <v>0</v>
      </c>
      <c r="L74" s="3">
        <f t="shared" si="64"/>
        <v>-2785699</v>
      </c>
      <c r="M74" s="3">
        <f t="shared" ca="1" si="65"/>
        <v>2980817.9770886954</v>
      </c>
      <c r="N74" s="3">
        <f t="shared" ca="1" si="66"/>
        <v>0</v>
      </c>
      <c r="O74" s="3">
        <f t="shared" si="67"/>
        <v>4932472</v>
      </c>
      <c r="P74" s="3">
        <f t="shared" si="68"/>
        <v>2961470.91</v>
      </c>
      <c r="Q74" s="3">
        <f t="shared" si="69"/>
        <v>-398751.5</v>
      </c>
      <c r="R74" s="3">
        <f t="shared" si="70"/>
        <v>0</v>
      </c>
      <c r="S74" s="47">
        <f t="shared" ca="1" si="51"/>
        <v>7690310.3870886955</v>
      </c>
      <c r="T74" s="47">
        <f>'Monthly Data'!BL74</f>
        <v>10412.860256410258</v>
      </c>
      <c r="U74" s="47">
        <f ca="1">+'Monthly Data'!BM74</f>
        <v>64042.219297157135</v>
      </c>
      <c r="V74" s="47">
        <f t="shared" ca="1" si="52"/>
        <v>7764765.4666422624</v>
      </c>
    </row>
    <row r="75" spans="1:22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Data'!BK75</f>
        <v>7169135.3982962752</v>
      </c>
      <c r="E75" s="3">
        <f t="shared" ref="E75:F75" ca="1" si="79">E63</f>
        <v>680.85501811594202</v>
      </c>
      <c r="F75" s="3">
        <f t="shared" ca="1" si="79"/>
        <v>0</v>
      </c>
      <c r="G75" s="3">
        <f>'Monthly Data'!DQ75</f>
        <v>28</v>
      </c>
      <c r="H75" s="3">
        <f>'Monthly Data'!DD75</f>
        <v>208.2</v>
      </c>
      <c r="I75">
        <f>'Monthly Data'!EJ75</f>
        <v>0.5</v>
      </c>
      <c r="J75">
        <f>'Monthly Data'!EF75</f>
        <v>0</v>
      </c>
      <c r="L75" s="3">
        <f t="shared" si="64"/>
        <v>-2785699</v>
      </c>
      <c r="M75" s="3">
        <f t="shared" ca="1" si="65"/>
        <v>2672742.6717553623</v>
      </c>
      <c r="N75" s="3">
        <f t="shared" ca="1" si="66"/>
        <v>0</v>
      </c>
      <c r="O75" s="3">
        <f t="shared" si="67"/>
        <v>4455136</v>
      </c>
      <c r="P75" s="3">
        <f t="shared" si="68"/>
        <v>2944499.73</v>
      </c>
      <c r="Q75" s="3">
        <f t="shared" si="69"/>
        <v>-398751.5</v>
      </c>
      <c r="R75" s="3">
        <f t="shared" si="70"/>
        <v>0</v>
      </c>
      <c r="S75" s="47">
        <f t="shared" ca="1" si="51"/>
        <v>6887927.9017553627</v>
      </c>
      <c r="T75" s="47">
        <f>'Monthly Data'!BL75</f>
        <v>10802.043846153847</v>
      </c>
      <c r="U75" s="47">
        <f ca="1">+'Monthly Data'!BM75</f>
        <v>64037.319388130993</v>
      </c>
      <c r="V75" s="47">
        <f t="shared" ca="1" si="52"/>
        <v>6962767.2649896471</v>
      </c>
    </row>
    <row r="76" spans="1:22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Data'!BK76</f>
        <v>7277328.8749612924</v>
      </c>
      <c r="E76" s="3">
        <f t="shared" ref="E76:F76" ca="1" si="80">E64</f>
        <v>608.13298913043479</v>
      </c>
      <c r="F76" s="3">
        <f t="shared" ca="1" si="80"/>
        <v>2.9583333333332896E-2</v>
      </c>
      <c r="G76" s="3">
        <f>'Monthly Data'!DQ76</f>
        <v>31</v>
      </c>
      <c r="H76" s="3">
        <f>'Monthly Data'!DD76</f>
        <v>207.5</v>
      </c>
      <c r="I76">
        <f>'Monthly Data'!EJ76</f>
        <v>0.5</v>
      </c>
      <c r="J76">
        <f>'Monthly Data'!EF76</f>
        <v>0</v>
      </c>
      <c r="L76" s="3">
        <f t="shared" si="64"/>
        <v>-2785699</v>
      </c>
      <c r="M76" s="3">
        <f t="shared" ca="1" si="65"/>
        <v>2387267.401874783</v>
      </c>
      <c r="N76" s="3">
        <f t="shared" ca="1" si="66"/>
        <v>301.07254166666223</v>
      </c>
      <c r="O76" s="3">
        <f t="shared" si="67"/>
        <v>4932472</v>
      </c>
      <c r="P76" s="3">
        <f t="shared" si="68"/>
        <v>2934599.875</v>
      </c>
      <c r="Q76" s="3">
        <f t="shared" si="69"/>
        <v>-398751.5</v>
      </c>
      <c r="R76" s="3">
        <f t="shared" si="70"/>
        <v>0</v>
      </c>
      <c r="S76" s="47">
        <f t="shared" ca="1" si="51"/>
        <v>7070189.8494164497</v>
      </c>
      <c r="T76" s="47">
        <f>'Monthly Data'!BL76</f>
        <v>11191.227435897437</v>
      </c>
      <c r="U76" s="47">
        <f ca="1">+'Monthly Data'!BM76</f>
        <v>48273.548659475258</v>
      </c>
      <c r="V76" s="47">
        <f t="shared" ca="1" si="52"/>
        <v>7129654.6255118223</v>
      </c>
    </row>
    <row r="77" spans="1:22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Data'!BK77</f>
        <v>6112729.2399962805</v>
      </c>
      <c r="E77" s="3">
        <f t="shared" ref="E77:F77" ca="1" si="81">E65</f>
        <v>412.37941287878795</v>
      </c>
      <c r="F77" s="3">
        <f t="shared" ca="1" si="81"/>
        <v>5.6420833333333338</v>
      </c>
      <c r="G77" s="3">
        <f>'Monthly Data'!DQ77</f>
        <v>30</v>
      </c>
      <c r="H77" s="3">
        <f>'Monthly Data'!DD77</f>
        <v>209.2</v>
      </c>
      <c r="I77">
        <f>'Monthly Data'!EJ77</f>
        <v>0.5</v>
      </c>
      <c r="J77">
        <f>'Monthly Data'!EF77</f>
        <v>0</v>
      </c>
      <c r="L77" s="3">
        <f t="shared" si="64"/>
        <v>-2785699</v>
      </c>
      <c r="M77" s="3">
        <f t="shared" ca="1" si="65"/>
        <v>1618823.427055758</v>
      </c>
      <c r="N77" s="3">
        <f t="shared" ca="1" si="66"/>
        <v>57420.046291666673</v>
      </c>
      <c r="O77" s="3">
        <f t="shared" si="67"/>
        <v>4773360</v>
      </c>
      <c r="P77" s="3">
        <f t="shared" si="68"/>
        <v>2958642.38</v>
      </c>
      <c r="Q77" s="3">
        <f t="shared" si="69"/>
        <v>-398751.5</v>
      </c>
      <c r="R77" s="3">
        <f t="shared" si="70"/>
        <v>0</v>
      </c>
      <c r="S77" s="47">
        <f t="shared" ca="1" si="51"/>
        <v>6223795.3533474244</v>
      </c>
      <c r="T77" s="47">
        <f>'Monthly Data'!BL77</f>
        <v>11580.411025641028</v>
      </c>
      <c r="U77" s="47">
        <f ca="1">+'Monthly Data'!BM77</f>
        <v>31339.409805319443</v>
      </c>
      <c r="V77" s="47">
        <f t="shared" ca="1" si="52"/>
        <v>6266715.1741783852</v>
      </c>
    </row>
    <row r="78" spans="1:22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Data'!BK78</f>
        <v>6173245.5438212873</v>
      </c>
      <c r="E78" s="3">
        <f t="shared" ref="E78:F78" ca="1" si="82">E66</f>
        <v>202.70273119310133</v>
      </c>
      <c r="F78" s="3">
        <f t="shared" ca="1" si="82"/>
        <v>86.191046176046171</v>
      </c>
      <c r="G78" s="3">
        <f>'Monthly Data'!DQ78</f>
        <v>31</v>
      </c>
      <c r="H78" s="3">
        <f>'Monthly Data'!DD78</f>
        <v>207.8</v>
      </c>
      <c r="I78">
        <f>'Monthly Data'!EJ78</f>
        <v>0.5</v>
      </c>
      <c r="J78">
        <f>'Monthly Data'!EF78</f>
        <v>0</v>
      </c>
      <c r="L78" s="3">
        <f t="shared" si="64"/>
        <v>-2785699</v>
      </c>
      <c r="M78" s="3">
        <f t="shared" ca="1" si="65"/>
        <v>795723.35508424044</v>
      </c>
      <c r="N78" s="3">
        <f t="shared" ca="1" si="66"/>
        <v>877174.89603823947</v>
      </c>
      <c r="O78" s="3">
        <f t="shared" si="67"/>
        <v>4932472</v>
      </c>
      <c r="P78" s="3">
        <f t="shared" si="68"/>
        <v>2938842.67</v>
      </c>
      <c r="Q78" s="3">
        <f t="shared" si="69"/>
        <v>-398751.5</v>
      </c>
      <c r="R78" s="3">
        <f t="shared" si="70"/>
        <v>0</v>
      </c>
      <c r="S78" s="47">
        <f t="shared" ca="1" si="51"/>
        <v>6359762.4211224802</v>
      </c>
      <c r="T78" s="47">
        <f>'Monthly Data'!BL78</f>
        <v>11969.594615384616</v>
      </c>
      <c r="U78" s="47">
        <f ca="1">+'Monthly Data'!BM78</f>
        <v>17016.703504798865</v>
      </c>
      <c r="V78" s="47">
        <f t="shared" ca="1" si="52"/>
        <v>6388748.7192426641</v>
      </c>
    </row>
    <row r="79" spans="1:22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Data'!BK79</f>
        <v>6978955.3145062942</v>
      </c>
      <c r="E79" s="3">
        <f t="shared" ref="E79:F79" ca="1" si="83">E67</f>
        <v>66.09717382617383</v>
      </c>
      <c r="F79" s="3">
        <f t="shared" ca="1" si="83"/>
        <v>194.94285087738348</v>
      </c>
      <c r="G79" s="3">
        <f>'Monthly Data'!DQ79</f>
        <v>30</v>
      </c>
      <c r="H79" s="3">
        <f>'Monthly Data'!DD79</f>
        <v>208</v>
      </c>
      <c r="I79">
        <f>'Monthly Data'!EJ79</f>
        <v>0.5</v>
      </c>
      <c r="J79">
        <f>'Monthly Data'!EF79</f>
        <v>0</v>
      </c>
      <c r="L79" s="3">
        <f t="shared" si="64"/>
        <v>-2785699</v>
      </c>
      <c r="M79" s="3">
        <f t="shared" ca="1" si="65"/>
        <v>259468.95046246555</v>
      </c>
      <c r="N79" s="3">
        <f t="shared" ca="1" si="66"/>
        <v>1983952.8876642194</v>
      </c>
      <c r="O79" s="3">
        <f t="shared" si="67"/>
        <v>4773360</v>
      </c>
      <c r="P79" s="3">
        <f t="shared" si="68"/>
        <v>2941671.1999999997</v>
      </c>
      <c r="Q79" s="3">
        <f t="shared" si="69"/>
        <v>-398751.5</v>
      </c>
      <c r="R79" s="3">
        <f t="shared" si="70"/>
        <v>0</v>
      </c>
      <c r="S79" s="47">
        <f t="shared" ca="1" si="51"/>
        <v>6774002.5381266847</v>
      </c>
      <c r="T79" s="47">
        <f>'Monthly Data'!BL79</f>
        <v>12358.778205128207</v>
      </c>
      <c r="U79" s="47">
        <f ca="1">+'Monthly Data'!BM79</f>
        <v>1396.8823981967389</v>
      </c>
      <c r="V79" s="47">
        <f t="shared" ca="1" si="52"/>
        <v>6787758.1987300096</v>
      </c>
    </row>
    <row r="80" spans="1:22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Data'!BK80</f>
        <v>7519407.1822012914</v>
      </c>
      <c r="E80" s="3">
        <f t="shared" ref="E80:F80" ca="1" si="84">E68</f>
        <v>10.249063146997932</v>
      </c>
      <c r="F80" s="3">
        <f t="shared" ca="1" si="84"/>
        <v>297.94737858727848</v>
      </c>
      <c r="G80" s="3">
        <f>'Monthly Data'!DQ80</f>
        <v>31</v>
      </c>
      <c r="H80" s="3">
        <f>'Monthly Data'!DD80</f>
        <v>210.4</v>
      </c>
      <c r="I80">
        <f>'Monthly Data'!EJ80</f>
        <v>0.5</v>
      </c>
      <c r="J80">
        <f>'Monthly Data'!EF80</f>
        <v>0</v>
      </c>
      <c r="L80" s="3">
        <f t="shared" si="64"/>
        <v>-2785699</v>
      </c>
      <c r="M80" s="3">
        <f t="shared" ca="1" si="65"/>
        <v>40233.394319834377</v>
      </c>
      <c r="N80" s="3">
        <f t="shared" ca="1" si="66"/>
        <v>3032240.2666205917</v>
      </c>
      <c r="O80" s="3">
        <f t="shared" si="67"/>
        <v>4932472</v>
      </c>
      <c r="P80" s="3">
        <f t="shared" si="68"/>
        <v>2975613.56</v>
      </c>
      <c r="Q80" s="3">
        <f t="shared" si="69"/>
        <v>-398751.5</v>
      </c>
      <c r="R80" s="3">
        <f t="shared" si="70"/>
        <v>0</v>
      </c>
      <c r="S80" s="47">
        <f t="shared" ca="1" si="51"/>
        <v>7796108.720940426</v>
      </c>
      <c r="T80" s="47">
        <f>'Monthly Data'!BL80</f>
        <v>12747.961794871795</v>
      </c>
      <c r="U80" s="47">
        <f ca="1">+'Monthly Data'!BM80</f>
        <v>524.69859154715141</v>
      </c>
      <c r="V80" s="47">
        <f t="shared" ca="1" si="52"/>
        <v>7809381.3813268449</v>
      </c>
    </row>
    <row r="81" spans="1:22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Data'!BK81</f>
        <v>8401728.8523062784</v>
      </c>
      <c r="E81" s="3">
        <f t="shared" ref="E81:F81" ca="1" si="85">E69</f>
        <v>21.194927536231887</v>
      </c>
      <c r="F81" s="3">
        <f t="shared" ca="1" si="85"/>
        <v>272.96558794466404</v>
      </c>
      <c r="G81" s="3">
        <f>'Monthly Data'!DQ81</f>
        <v>31</v>
      </c>
      <c r="H81" s="3">
        <f>'Monthly Data'!DD81</f>
        <v>212.2</v>
      </c>
      <c r="I81">
        <f>'Monthly Data'!EJ81</f>
        <v>0.5</v>
      </c>
      <c r="J81">
        <f>'Monthly Data'!EF81</f>
        <v>0</v>
      </c>
      <c r="L81" s="3">
        <f t="shared" si="64"/>
        <v>-2785699</v>
      </c>
      <c r="M81" s="3">
        <f t="shared" ca="1" si="65"/>
        <v>83202.129298550746</v>
      </c>
      <c r="N81" s="3">
        <f t="shared" ca="1" si="66"/>
        <v>2777998.0850716406</v>
      </c>
      <c r="O81" s="3">
        <f t="shared" si="67"/>
        <v>4932472</v>
      </c>
      <c r="P81" s="3">
        <f t="shared" si="68"/>
        <v>3001070.3299999996</v>
      </c>
      <c r="Q81" s="3">
        <f t="shared" si="69"/>
        <v>-398751.5</v>
      </c>
      <c r="R81" s="3">
        <f t="shared" si="70"/>
        <v>0</v>
      </c>
      <c r="S81" s="47">
        <f t="shared" ca="1" si="51"/>
        <v>7610292.0443701912</v>
      </c>
      <c r="T81" s="47">
        <f>'Monthly Data'!BL81</f>
        <v>13137.145384615385</v>
      </c>
      <c r="U81" s="47">
        <f ca="1">+'Monthly Data'!BM81</f>
        <v>67.782074861344171</v>
      </c>
      <c r="V81" s="47">
        <f t="shared" ca="1" si="52"/>
        <v>7623496.9718296677</v>
      </c>
    </row>
    <row r="82" spans="1:22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Data'!BK82</f>
        <v>6863974.3981612772</v>
      </c>
      <c r="E82" s="3">
        <f t="shared" ref="E82:F82" ca="1" si="86">E70</f>
        <v>96.735690993788822</v>
      </c>
      <c r="F82" s="3">
        <f t="shared" ca="1" si="86"/>
        <v>158.67014233954447</v>
      </c>
      <c r="G82" s="3">
        <f>'Monthly Data'!DQ82</f>
        <v>30</v>
      </c>
      <c r="H82" s="3">
        <f>'Monthly Data'!DD82</f>
        <v>216.7</v>
      </c>
      <c r="I82">
        <f>'Monthly Data'!EJ82</f>
        <v>0.5</v>
      </c>
      <c r="J82">
        <f>'Monthly Data'!EF82</f>
        <v>1</v>
      </c>
      <c r="L82" s="3">
        <f t="shared" si="64"/>
        <v>-2785699</v>
      </c>
      <c r="M82" s="3">
        <f t="shared" ca="1" si="65"/>
        <v>379742.53302310564</v>
      </c>
      <c r="N82" s="3">
        <f t="shared" ca="1" si="66"/>
        <v>1614801.9056037781</v>
      </c>
      <c r="O82" s="3">
        <f t="shared" si="67"/>
        <v>4773360</v>
      </c>
      <c r="P82" s="3">
        <f t="shared" si="68"/>
        <v>3064712.2549999999</v>
      </c>
      <c r="Q82" s="3">
        <f t="shared" si="69"/>
        <v>-398751.5</v>
      </c>
      <c r="R82" s="3">
        <f t="shared" si="70"/>
        <v>193962.4</v>
      </c>
      <c r="S82" s="47">
        <f t="shared" ca="1" si="51"/>
        <v>6842128.5936268838</v>
      </c>
      <c r="T82" s="47">
        <f>'Monthly Data'!BL82</f>
        <v>13526.328974358976</v>
      </c>
      <c r="U82" s="47">
        <f ca="1">+'Monthly Data'!BM82</f>
        <v>4476.4752211139548</v>
      </c>
      <c r="V82" s="47">
        <f t="shared" ca="1" si="52"/>
        <v>6860131.3978223568</v>
      </c>
    </row>
    <row r="83" spans="1:22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Data'!BK83</f>
        <v>6691547.1686162641</v>
      </c>
      <c r="E83" s="3">
        <f t="shared" ref="E83:F83" ca="1" si="87">E71</f>
        <v>298.21097826086958</v>
      </c>
      <c r="F83" s="3">
        <f t="shared" ca="1" si="87"/>
        <v>35.32833333333334</v>
      </c>
      <c r="G83" s="3">
        <f>'Monthly Data'!DQ83</f>
        <v>31</v>
      </c>
      <c r="H83" s="3">
        <f>'Monthly Data'!DD83</f>
        <v>221.3</v>
      </c>
      <c r="I83">
        <f>'Monthly Data'!EJ83</f>
        <v>0.5</v>
      </c>
      <c r="J83">
        <f>'Monthly Data'!EF83</f>
        <v>1</v>
      </c>
      <c r="L83" s="3">
        <f t="shared" si="64"/>
        <v>-2785699</v>
      </c>
      <c r="M83" s="3">
        <f t="shared" ca="1" si="65"/>
        <v>1170647.4735095652</v>
      </c>
      <c r="N83" s="3">
        <f t="shared" ca="1" si="66"/>
        <v>359539.98116666672</v>
      </c>
      <c r="O83" s="3">
        <f t="shared" si="67"/>
        <v>4932472</v>
      </c>
      <c r="P83" s="3">
        <f t="shared" si="68"/>
        <v>3129768.4450000003</v>
      </c>
      <c r="Q83" s="3">
        <f t="shared" si="69"/>
        <v>-398751.5</v>
      </c>
      <c r="R83" s="3">
        <f t="shared" si="70"/>
        <v>193962.4</v>
      </c>
      <c r="S83" s="47">
        <f t="shared" ca="1" si="51"/>
        <v>6601939.799676232</v>
      </c>
      <c r="T83" s="47">
        <f>'Monthly Data'!BL83</f>
        <v>13915.512564102564</v>
      </c>
      <c r="U83" s="47">
        <f ca="1">+'Monthly Data'!BM83</f>
        <v>15040.270755679225</v>
      </c>
      <c r="V83" s="47">
        <f t="shared" ca="1" si="52"/>
        <v>6630895.5829960136</v>
      </c>
    </row>
    <row r="84" spans="1:22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Data'!BK84</f>
        <v>7046351.0427012723</v>
      </c>
      <c r="E84" s="3">
        <f t="shared" ref="E84:F84" ca="1" si="88">E72</f>
        <v>486.62991389045737</v>
      </c>
      <c r="F84" s="3">
        <f t="shared" ca="1" si="88"/>
        <v>2.2779166666666657</v>
      </c>
      <c r="G84" s="3">
        <f>'Monthly Data'!DQ84</f>
        <v>30</v>
      </c>
      <c r="H84" s="3">
        <f>'Monthly Data'!DD84</f>
        <v>227.6</v>
      </c>
      <c r="I84">
        <f>'Monthly Data'!EJ84</f>
        <v>0.5</v>
      </c>
      <c r="J84">
        <f>'Monthly Data'!EF84</f>
        <v>1</v>
      </c>
      <c r="L84" s="3">
        <f t="shared" si="64"/>
        <v>-2785699</v>
      </c>
      <c r="M84" s="3">
        <f t="shared" ca="1" si="65"/>
        <v>1910298.817811135</v>
      </c>
      <c r="N84" s="3">
        <f t="shared" ca="1" si="66"/>
        <v>23182.585708333325</v>
      </c>
      <c r="O84" s="3">
        <f t="shared" si="67"/>
        <v>4773360</v>
      </c>
      <c r="P84" s="3">
        <f t="shared" si="68"/>
        <v>3218867.1399999997</v>
      </c>
      <c r="Q84" s="3">
        <f t="shared" si="69"/>
        <v>-398751.5</v>
      </c>
      <c r="R84" s="3">
        <f t="shared" si="70"/>
        <v>193962.4</v>
      </c>
      <c r="S84" s="47">
        <f t="shared" ca="1" si="51"/>
        <v>6935220.4435194684</v>
      </c>
      <c r="T84" s="47">
        <f>'Monthly Data'!BL84</f>
        <v>14304.696153846155</v>
      </c>
      <c r="U84" s="47">
        <f ca="1">+'Monthly Data'!BM84</f>
        <v>43737.823089154132</v>
      </c>
      <c r="V84" s="47">
        <f t="shared" ca="1" si="52"/>
        <v>6993262.9627624694</v>
      </c>
    </row>
    <row r="85" spans="1:22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Data'!BK85</f>
        <v>7644135.1950562792</v>
      </c>
      <c r="E85" s="3">
        <f t="shared" ref="E85:F85" ca="1" si="89">E73</f>
        <v>639.92800724637686</v>
      </c>
      <c r="F85" s="3">
        <f t="shared" ca="1" si="89"/>
        <v>0</v>
      </c>
      <c r="G85" s="3">
        <f>'Monthly Data'!DQ85</f>
        <v>31</v>
      </c>
      <c r="H85" s="3">
        <f>'Monthly Data'!DD85</f>
        <v>228.8</v>
      </c>
      <c r="I85">
        <f>'Monthly Data'!EJ85</f>
        <v>0.5</v>
      </c>
      <c r="J85">
        <f>'Monthly Data'!EF85</f>
        <v>0</v>
      </c>
      <c r="L85" s="3">
        <f t="shared" si="64"/>
        <v>-2785699</v>
      </c>
      <c r="M85" s="3">
        <f t="shared" ca="1" si="65"/>
        <v>2512080.9075501454</v>
      </c>
      <c r="N85" s="3">
        <f t="shared" ca="1" si="66"/>
        <v>0</v>
      </c>
      <c r="O85" s="3">
        <f t="shared" si="67"/>
        <v>4932472</v>
      </c>
      <c r="P85" s="3">
        <f t="shared" si="68"/>
        <v>3235838.3200000003</v>
      </c>
      <c r="Q85" s="3">
        <f t="shared" si="69"/>
        <v>-398751.5</v>
      </c>
      <c r="R85" s="3">
        <f t="shared" si="70"/>
        <v>0</v>
      </c>
      <c r="S85" s="47">
        <f t="shared" ca="1" si="51"/>
        <v>7495940.7275501452</v>
      </c>
      <c r="T85" s="47">
        <f>'Monthly Data'!BL85</f>
        <v>14693.879743589743</v>
      </c>
      <c r="U85" s="47">
        <f ca="1">+'Monthly Data'!BM85</f>
        <v>52237.52180172666</v>
      </c>
      <c r="V85" s="47">
        <f t="shared" ca="1" si="52"/>
        <v>7562872.1290954622</v>
      </c>
    </row>
    <row r="86" spans="1:22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Data'!BK86</f>
        <v>8425755.0109702256</v>
      </c>
      <c r="E86" s="3">
        <f t="shared" ref="E86:F86" ca="1" si="90">E74</f>
        <v>759.33418478260865</v>
      </c>
      <c r="F86" s="3">
        <f t="shared" ca="1" si="90"/>
        <v>0</v>
      </c>
      <c r="G86" s="3">
        <f>'Monthly Data'!DQ86</f>
        <v>31</v>
      </c>
      <c r="H86" s="3">
        <f>'Monthly Data'!DD86</f>
        <v>226.2</v>
      </c>
      <c r="I86">
        <f>'Monthly Data'!EJ86</f>
        <v>0.25</v>
      </c>
      <c r="J86">
        <f>'Monthly Data'!EF86</f>
        <v>0</v>
      </c>
      <c r="L86" s="3">
        <f t="shared" si="64"/>
        <v>-2785699</v>
      </c>
      <c r="M86" s="3">
        <f t="shared" ca="1" si="65"/>
        <v>2980817.9770886954</v>
      </c>
      <c r="N86" s="3">
        <f t="shared" ca="1" si="66"/>
        <v>0</v>
      </c>
      <c r="O86" s="3">
        <f t="shared" si="67"/>
        <v>4932472</v>
      </c>
      <c r="P86" s="3">
        <f t="shared" si="68"/>
        <v>3199067.4299999997</v>
      </c>
      <c r="Q86" s="3">
        <f t="shared" si="69"/>
        <v>-199375.75</v>
      </c>
      <c r="R86" s="3">
        <f t="shared" si="70"/>
        <v>0</v>
      </c>
      <c r="S86" s="47">
        <f t="shared" ca="1" si="51"/>
        <v>8127282.6570886951</v>
      </c>
      <c r="T86" s="47">
        <f>'Monthly Data'!BL86</f>
        <v>15900.451282051283</v>
      </c>
      <c r="U86" s="47">
        <f ca="1">+'Monthly Data'!BM86</f>
        <v>126474.3254233397</v>
      </c>
      <c r="V86" s="47">
        <f t="shared" ca="1" si="52"/>
        <v>8269657.4337940859</v>
      </c>
    </row>
    <row r="87" spans="1:22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Data'!BK87</f>
        <v>7701078.7445397414</v>
      </c>
      <c r="E87" s="3">
        <f t="shared" ref="E87:F87" ca="1" si="91">E75</f>
        <v>680.85501811594202</v>
      </c>
      <c r="F87" s="3">
        <f t="shared" ca="1" si="91"/>
        <v>0</v>
      </c>
      <c r="G87" s="3">
        <f>'Monthly Data'!DQ87</f>
        <v>28</v>
      </c>
      <c r="H87" s="3">
        <f>'Monthly Data'!DD87</f>
        <v>226.3</v>
      </c>
      <c r="I87">
        <f>'Monthly Data'!EJ87</f>
        <v>0.25</v>
      </c>
      <c r="J87">
        <f>'Monthly Data'!EF87</f>
        <v>0</v>
      </c>
      <c r="L87" s="3">
        <f t="shared" si="64"/>
        <v>-2785699</v>
      </c>
      <c r="M87" s="3">
        <f t="shared" ca="1" si="65"/>
        <v>2672742.6717553623</v>
      </c>
      <c r="N87" s="3">
        <f t="shared" ca="1" si="66"/>
        <v>0</v>
      </c>
      <c r="O87" s="3">
        <f t="shared" si="67"/>
        <v>4455136</v>
      </c>
      <c r="P87" s="3">
        <f t="shared" si="68"/>
        <v>3200481.6950000003</v>
      </c>
      <c r="Q87" s="3">
        <f t="shared" si="69"/>
        <v>-199375.75</v>
      </c>
      <c r="R87" s="3">
        <f t="shared" si="70"/>
        <v>0</v>
      </c>
      <c r="S87" s="47">
        <f t="shared" ca="1" si="51"/>
        <v>7343285.6167553626</v>
      </c>
      <c r="T87" s="47">
        <f>'Monthly Data'!BL87</f>
        <v>16717.83923076923</v>
      </c>
      <c r="U87" s="47">
        <f ca="1">+'Monthly Data'!BM87</f>
        <v>97572.364929006624</v>
      </c>
      <c r="V87" s="47">
        <f t="shared" ca="1" si="52"/>
        <v>7457575.8209151383</v>
      </c>
    </row>
    <row r="88" spans="1:22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Data'!BK88</f>
        <v>7981422.560379277</v>
      </c>
      <c r="E88" s="3">
        <f t="shared" ref="E88:F88" ca="1" si="92">E76</f>
        <v>608.13298913043479</v>
      </c>
      <c r="F88" s="3">
        <f t="shared" ca="1" si="92"/>
        <v>2.9583333333332896E-2</v>
      </c>
      <c r="G88" s="3">
        <f>'Monthly Data'!DQ88</f>
        <v>31</v>
      </c>
      <c r="H88" s="3">
        <f>'Monthly Data'!DD88</f>
        <v>227.8</v>
      </c>
      <c r="I88">
        <f>'Monthly Data'!EJ88</f>
        <v>0.25</v>
      </c>
      <c r="J88">
        <f>'Monthly Data'!EF88</f>
        <v>0</v>
      </c>
      <c r="L88" s="3">
        <f t="shared" si="64"/>
        <v>-2785699</v>
      </c>
      <c r="M88" s="3">
        <f t="shared" ca="1" si="65"/>
        <v>2387267.401874783</v>
      </c>
      <c r="N88" s="3">
        <f t="shared" ca="1" si="66"/>
        <v>301.07254166666223</v>
      </c>
      <c r="O88" s="3">
        <f t="shared" si="67"/>
        <v>4932472</v>
      </c>
      <c r="P88" s="3">
        <f t="shared" si="68"/>
        <v>3221695.67</v>
      </c>
      <c r="Q88" s="3">
        <f t="shared" si="69"/>
        <v>-199375.75</v>
      </c>
      <c r="R88" s="3">
        <f t="shared" si="70"/>
        <v>0</v>
      </c>
      <c r="S88" s="47">
        <f t="shared" ca="1" si="51"/>
        <v>7556661.3944164496</v>
      </c>
      <c r="T88" s="47">
        <f>'Monthly Data'!BL88</f>
        <v>17535.227179487181</v>
      </c>
      <c r="U88" s="47">
        <f ca="1">+'Monthly Data'!BM88</f>
        <v>83457.171915572893</v>
      </c>
      <c r="V88" s="47">
        <f t="shared" ca="1" si="52"/>
        <v>7657653.7935115099</v>
      </c>
    </row>
    <row r="89" spans="1:22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Data'!BK89</f>
        <v>6881723.2862388026</v>
      </c>
      <c r="E89" s="3">
        <f t="shared" ref="E89:F89" ca="1" si="93">E77</f>
        <v>412.37941287878795</v>
      </c>
      <c r="F89" s="3">
        <f t="shared" ca="1" si="93"/>
        <v>5.6420833333333338</v>
      </c>
      <c r="G89" s="3">
        <f>'Monthly Data'!DQ89</f>
        <v>30</v>
      </c>
      <c r="H89" s="3">
        <f>'Monthly Data'!DD89</f>
        <v>232.8</v>
      </c>
      <c r="I89">
        <f>'Monthly Data'!EJ89</f>
        <v>0.25</v>
      </c>
      <c r="J89">
        <f>'Monthly Data'!EF89</f>
        <v>0</v>
      </c>
      <c r="L89" s="3">
        <f t="shared" si="64"/>
        <v>-2785699</v>
      </c>
      <c r="M89" s="3">
        <f t="shared" ca="1" si="65"/>
        <v>1618823.427055758</v>
      </c>
      <c r="N89" s="3">
        <f t="shared" ca="1" si="66"/>
        <v>57420.046291666673</v>
      </c>
      <c r="O89" s="3">
        <f t="shared" si="67"/>
        <v>4773360</v>
      </c>
      <c r="P89" s="3">
        <f t="shared" si="68"/>
        <v>3292408.92</v>
      </c>
      <c r="Q89" s="3">
        <f t="shared" si="69"/>
        <v>-199375.75</v>
      </c>
      <c r="R89" s="3">
        <f t="shared" si="70"/>
        <v>0</v>
      </c>
      <c r="S89" s="47">
        <f t="shared" ca="1" si="51"/>
        <v>6756937.6433474245</v>
      </c>
      <c r="T89" s="47">
        <f>'Monthly Data'!BL89</f>
        <v>18352.615128205129</v>
      </c>
      <c r="U89" s="47">
        <f ca="1">+'Monthly Data'!BM89</f>
        <v>54287.730716042002</v>
      </c>
      <c r="V89" s="47">
        <f t="shared" ca="1" si="52"/>
        <v>6829577.9891916718</v>
      </c>
    </row>
    <row r="90" spans="1:22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Data'!BK90</f>
        <v>6816779.1859883284</v>
      </c>
      <c r="E90" s="3">
        <f t="shared" ref="E90:F90" ca="1" si="94">E78</f>
        <v>202.70273119310133</v>
      </c>
      <c r="F90" s="3">
        <f t="shared" ca="1" si="94"/>
        <v>86.191046176046171</v>
      </c>
      <c r="G90" s="3">
        <f>'Monthly Data'!DQ90</f>
        <v>31</v>
      </c>
      <c r="H90" s="3">
        <f>'Monthly Data'!DD90</f>
        <v>235</v>
      </c>
      <c r="I90">
        <f>'Monthly Data'!EJ90</f>
        <v>0.25</v>
      </c>
      <c r="J90">
        <f>'Monthly Data'!EF90</f>
        <v>0</v>
      </c>
      <c r="L90" s="3">
        <f t="shared" si="64"/>
        <v>-2785699</v>
      </c>
      <c r="M90" s="3">
        <f t="shared" ca="1" si="65"/>
        <v>795723.35508424044</v>
      </c>
      <c r="N90" s="3">
        <f t="shared" ca="1" si="66"/>
        <v>877174.89603823947</v>
      </c>
      <c r="O90" s="3">
        <f t="shared" si="67"/>
        <v>4932472</v>
      </c>
      <c r="P90" s="3">
        <f t="shared" si="68"/>
        <v>3323522.75</v>
      </c>
      <c r="Q90" s="3">
        <f t="shared" si="69"/>
        <v>-199375.75</v>
      </c>
      <c r="R90" s="3">
        <f t="shared" si="70"/>
        <v>0</v>
      </c>
      <c r="S90" s="47">
        <f t="shared" ca="1" si="51"/>
        <v>6943818.2511224803</v>
      </c>
      <c r="T90" s="47">
        <f>'Monthly Data'!BL90</f>
        <v>19170.003076923076</v>
      </c>
      <c r="U90" s="47">
        <f ca="1">+'Monthly Data'!BM90</f>
        <v>16777.870868756065</v>
      </c>
      <c r="V90" s="47">
        <f t="shared" ca="1" si="52"/>
        <v>6979766.1250681598</v>
      </c>
    </row>
    <row r="91" spans="1:22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Data'!BK91</f>
        <v>7330553.5173578653</v>
      </c>
      <c r="E91" s="3">
        <f t="shared" ref="E91:F91" ca="1" si="95">E79</f>
        <v>66.09717382617383</v>
      </c>
      <c r="F91" s="3">
        <f t="shared" ca="1" si="95"/>
        <v>194.94285087738348</v>
      </c>
      <c r="G91" s="3">
        <f>'Monthly Data'!DQ91</f>
        <v>30</v>
      </c>
      <c r="H91" s="3">
        <f>'Monthly Data'!DD91</f>
        <v>236.3</v>
      </c>
      <c r="I91">
        <f>'Monthly Data'!EJ91</f>
        <v>0.25</v>
      </c>
      <c r="J91">
        <f>'Monthly Data'!EF91</f>
        <v>0</v>
      </c>
      <c r="L91" s="3">
        <f t="shared" si="64"/>
        <v>-2785699</v>
      </c>
      <c r="M91" s="3">
        <f t="shared" ca="1" si="65"/>
        <v>259468.95046246555</v>
      </c>
      <c r="N91" s="3">
        <f t="shared" ca="1" si="66"/>
        <v>1983952.8876642194</v>
      </c>
      <c r="O91" s="3">
        <f t="shared" si="67"/>
        <v>4773360</v>
      </c>
      <c r="P91" s="3">
        <f t="shared" si="68"/>
        <v>3341908.1950000003</v>
      </c>
      <c r="Q91" s="3">
        <f t="shared" si="69"/>
        <v>-199375.75</v>
      </c>
      <c r="R91" s="3">
        <f t="shared" si="70"/>
        <v>0</v>
      </c>
      <c r="S91" s="47">
        <f t="shared" ca="1" si="51"/>
        <v>7373615.2831266858</v>
      </c>
      <c r="T91" s="47">
        <f>'Monthly Data'!BL91</f>
        <v>19987.391025641027</v>
      </c>
      <c r="U91" s="47">
        <f ca="1">+'Monthly Data'!BM91</f>
        <v>5541.1038838481718</v>
      </c>
      <c r="V91" s="47">
        <f t="shared" ca="1" si="52"/>
        <v>7399143.7780361753</v>
      </c>
    </row>
    <row r="92" spans="1:22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Data'!BK92</f>
        <v>8153321.3920173803</v>
      </c>
      <c r="E92" s="3">
        <f t="shared" ref="E92:F92" ca="1" si="96">E80</f>
        <v>10.249063146997932</v>
      </c>
      <c r="F92" s="3">
        <f t="shared" ca="1" si="96"/>
        <v>297.94737858727848</v>
      </c>
      <c r="G92" s="3">
        <f>'Monthly Data'!DQ92</f>
        <v>31</v>
      </c>
      <c r="H92" s="3">
        <f>'Monthly Data'!DD92</f>
        <v>236.4</v>
      </c>
      <c r="I92">
        <f>'Monthly Data'!EJ92</f>
        <v>0.25</v>
      </c>
      <c r="J92">
        <f>'Monthly Data'!EF92</f>
        <v>0</v>
      </c>
      <c r="L92" s="3">
        <f t="shared" si="64"/>
        <v>-2785699</v>
      </c>
      <c r="M92" s="3">
        <f t="shared" ca="1" si="65"/>
        <v>40233.394319834377</v>
      </c>
      <c r="N92" s="3">
        <f t="shared" ca="1" si="66"/>
        <v>3032240.2666205917</v>
      </c>
      <c r="O92" s="3">
        <f t="shared" si="67"/>
        <v>4932472</v>
      </c>
      <c r="P92" s="3">
        <f t="shared" si="68"/>
        <v>3343322.46</v>
      </c>
      <c r="Q92" s="3">
        <f t="shared" si="69"/>
        <v>-199375.75</v>
      </c>
      <c r="R92" s="3">
        <f t="shared" si="70"/>
        <v>0</v>
      </c>
      <c r="S92" s="47">
        <f t="shared" ca="1" si="51"/>
        <v>8363193.3709404245</v>
      </c>
      <c r="T92" s="47">
        <f>'Monthly Data'!BL92</f>
        <v>20804.778974358975</v>
      </c>
      <c r="U92" s="47">
        <f ca="1">+'Monthly Data'!BM92</f>
        <v>95.118436931917472</v>
      </c>
      <c r="V92" s="47">
        <f t="shared" ca="1" si="52"/>
        <v>8384093.2683517151</v>
      </c>
    </row>
    <row r="93" spans="1:22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Data'!BK93</f>
        <v>8384767.4178069057</v>
      </c>
      <c r="E93" s="3">
        <f t="shared" ref="E93:F93" ca="1" si="97">E81</f>
        <v>21.194927536231887</v>
      </c>
      <c r="F93" s="3">
        <f t="shared" ca="1" si="97"/>
        <v>272.96558794466404</v>
      </c>
      <c r="G93" s="3">
        <f>'Monthly Data'!DQ93</f>
        <v>31</v>
      </c>
      <c r="H93" s="3">
        <f>'Monthly Data'!DD93</f>
        <v>235.2</v>
      </c>
      <c r="I93">
        <f>'Monthly Data'!EJ93</f>
        <v>0.25</v>
      </c>
      <c r="J93">
        <f>'Monthly Data'!EF93</f>
        <v>0</v>
      </c>
      <c r="L93" s="3">
        <f t="shared" si="64"/>
        <v>-2785699</v>
      </c>
      <c r="M93" s="3">
        <f t="shared" ca="1" si="65"/>
        <v>83202.129298550746</v>
      </c>
      <c r="N93" s="3">
        <f t="shared" ca="1" si="66"/>
        <v>2777998.0850716406</v>
      </c>
      <c r="O93" s="3">
        <f t="shared" si="67"/>
        <v>4932472</v>
      </c>
      <c r="P93" s="3">
        <f t="shared" si="68"/>
        <v>3326351.28</v>
      </c>
      <c r="Q93" s="3">
        <f t="shared" si="69"/>
        <v>-199375.75</v>
      </c>
      <c r="R93" s="3">
        <f t="shared" si="70"/>
        <v>0</v>
      </c>
      <c r="S93" s="47">
        <f t="shared" ca="1" si="51"/>
        <v>8134948.7443701904</v>
      </c>
      <c r="T93" s="47">
        <f>'Monthly Data'!BL93</f>
        <v>21622.166923076926</v>
      </c>
      <c r="U93" s="47">
        <f ca="1">+'Monthly Data'!BM93</f>
        <v>116.82331515799299</v>
      </c>
      <c r="V93" s="47">
        <f t="shared" ca="1" si="52"/>
        <v>8156687.7346084248</v>
      </c>
    </row>
    <row r="94" spans="1:22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Data'!BK94</f>
        <v>7075278.6078964211</v>
      </c>
      <c r="E94" s="3">
        <f t="shared" ref="E94:F94" ca="1" si="98">E82</f>
        <v>96.735690993788822</v>
      </c>
      <c r="F94" s="3">
        <f t="shared" ca="1" si="98"/>
        <v>158.67014233954447</v>
      </c>
      <c r="G94" s="3">
        <f>'Monthly Data'!DQ94</f>
        <v>30</v>
      </c>
      <c r="H94" s="3">
        <f>'Monthly Data'!DD94</f>
        <v>233.8</v>
      </c>
      <c r="I94">
        <f>'Monthly Data'!EJ94</f>
        <v>0.25</v>
      </c>
      <c r="J94">
        <f>'Monthly Data'!EF94</f>
        <v>1</v>
      </c>
      <c r="L94" s="3">
        <f t="shared" si="64"/>
        <v>-2785699</v>
      </c>
      <c r="M94" s="3">
        <f t="shared" ca="1" si="65"/>
        <v>379742.53302310564</v>
      </c>
      <c r="N94" s="3">
        <f t="shared" ca="1" si="66"/>
        <v>1614801.9056037781</v>
      </c>
      <c r="O94" s="3">
        <f t="shared" si="67"/>
        <v>4773360</v>
      </c>
      <c r="P94" s="3">
        <f t="shared" si="68"/>
        <v>3306551.5700000003</v>
      </c>
      <c r="Q94" s="3">
        <f t="shared" si="69"/>
        <v>-199375.75</v>
      </c>
      <c r="R94" s="3">
        <f t="shared" si="70"/>
        <v>193962.4</v>
      </c>
      <c r="S94" s="47">
        <f t="shared" ca="1" si="51"/>
        <v>7283343.6586268842</v>
      </c>
      <c r="T94" s="47">
        <f>'Monthly Data'!BL94</f>
        <v>22439.554871794873</v>
      </c>
      <c r="U94" s="47">
        <f ca="1">+'Monthly Data'!BM94</f>
        <v>10941.173762255925</v>
      </c>
      <c r="V94" s="47">
        <f t="shared" ca="1" si="52"/>
        <v>7316724.3872609353</v>
      </c>
    </row>
    <row r="95" spans="1:22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Data'!BK95</f>
        <v>6746329.7405359466</v>
      </c>
      <c r="E95" s="3">
        <f t="shared" ref="E95:F95" ca="1" si="99">E83</f>
        <v>298.21097826086958</v>
      </c>
      <c r="F95" s="3">
        <f t="shared" ca="1" si="99"/>
        <v>35.32833333333334</v>
      </c>
      <c r="G95" s="3">
        <f>'Monthly Data'!DQ95</f>
        <v>31</v>
      </c>
      <c r="H95" s="3">
        <f>'Monthly Data'!DD95</f>
        <v>234</v>
      </c>
      <c r="I95">
        <f>'Monthly Data'!EJ95</f>
        <v>0.25</v>
      </c>
      <c r="J95">
        <f>'Monthly Data'!EF95</f>
        <v>1</v>
      </c>
      <c r="L95" s="3">
        <f t="shared" si="64"/>
        <v>-2785699</v>
      </c>
      <c r="M95" s="3">
        <f t="shared" ca="1" si="65"/>
        <v>1170647.4735095652</v>
      </c>
      <c r="N95" s="3">
        <f t="shared" ca="1" si="66"/>
        <v>359539.98116666672</v>
      </c>
      <c r="O95" s="3">
        <f t="shared" si="67"/>
        <v>4932472</v>
      </c>
      <c r="P95" s="3">
        <f t="shared" si="68"/>
        <v>3309380.1</v>
      </c>
      <c r="Q95" s="3">
        <f t="shared" si="69"/>
        <v>-199375.75</v>
      </c>
      <c r="R95" s="3">
        <f t="shared" si="70"/>
        <v>193962.4</v>
      </c>
      <c r="S95" s="47">
        <f t="shared" ca="1" si="51"/>
        <v>6980927.2046762323</v>
      </c>
      <c r="T95" s="47">
        <f>'Monthly Data'!BL95</f>
        <v>23256.942820512821</v>
      </c>
      <c r="U95" s="47">
        <f ca="1">+'Monthly Data'!BM95</f>
        <v>41191.612266481119</v>
      </c>
      <c r="V95" s="47">
        <f t="shared" ca="1" si="52"/>
        <v>7045375.7597632259</v>
      </c>
    </row>
    <row r="96" spans="1:22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Data'!BK96</f>
        <v>7203577.4867354631</v>
      </c>
      <c r="E96" s="3">
        <f t="shared" ref="E96:F96" ca="1" si="100">E84</f>
        <v>486.62991389045737</v>
      </c>
      <c r="F96" s="3">
        <f t="shared" ca="1" si="100"/>
        <v>2.2779166666666657</v>
      </c>
      <c r="G96" s="3">
        <f>'Monthly Data'!DQ96</f>
        <v>30</v>
      </c>
      <c r="H96" s="3">
        <f>'Monthly Data'!DD96</f>
        <v>234.2</v>
      </c>
      <c r="I96">
        <f>'Monthly Data'!EJ96</f>
        <v>0.25</v>
      </c>
      <c r="J96">
        <f>'Monthly Data'!EF96</f>
        <v>1</v>
      </c>
      <c r="L96" s="3">
        <f t="shared" si="64"/>
        <v>-2785699</v>
      </c>
      <c r="M96" s="3">
        <f t="shared" ca="1" si="65"/>
        <v>1910298.817811135</v>
      </c>
      <c r="N96" s="3">
        <f t="shared" ca="1" si="66"/>
        <v>23182.585708333325</v>
      </c>
      <c r="O96" s="3">
        <f t="shared" si="67"/>
        <v>4773360</v>
      </c>
      <c r="P96" s="3">
        <f t="shared" si="68"/>
        <v>3312208.63</v>
      </c>
      <c r="Q96" s="3">
        <f t="shared" si="69"/>
        <v>-199375.75</v>
      </c>
      <c r="R96" s="3">
        <f t="shared" si="70"/>
        <v>193962.4</v>
      </c>
      <c r="S96" s="47">
        <f t="shared" ca="1" si="51"/>
        <v>7227937.6835194686</v>
      </c>
      <c r="T96" s="47">
        <f>'Monthly Data'!BL96</f>
        <v>24074.330769230772</v>
      </c>
      <c r="U96" s="47">
        <f ca="1">+'Monthly Data'!BM96</f>
        <v>63097.357760743107</v>
      </c>
      <c r="V96" s="47">
        <f t="shared" ca="1" si="52"/>
        <v>7315109.3720494425</v>
      </c>
    </row>
    <row r="97" spans="1:22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Data'!BK97</f>
        <v>7949682.6551650083</v>
      </c>
      <c r="E97" s="3">
        <f t="shared" ref="E97:F97" ca="1" si="101">E85</f>
        <v>639.92800724637686</v>
      </c>
      <c r="F97" s="3">
        <f t="shared" ca="1" si="101"/>
        <v>0</v>
      </c>
      <c r="G97" s="3">
        <f>'Monthly Data'!DQ97</f>
        <v>31</v>
      </c>
      <c r="H97" s="3">
        <f>'Monthly Data'!DD97</f>
        <v>236.7</v>
      </c>
      <c r="I97">
        <f>'Monthly Data'!EJ97</f>
        <v>0.25</v>
      </c>
      <c r="J97">
        <f>'Monthly Data'!EF97</f>
        <v>0</v>
      </c>
      <c r="L97" s="3">
        <f t="shared" si="64"/>
        <v>-2785699</v>
      </c>
      <c r="M97" s="3">
        <f t="shared" ca="1" si="65"/>
        <v>2512080.9075501454</v>
      </c>
      <c r="N97" s="3">
        <f t="shared" ca="1" si="66"/>
        <v>0</v>
      </c>
      <c r="O97" s="3">
        <f t="shared" si="67"/>
        <v>4932472</v>
      </c>
      <c r="P97" s="3">
        <f t="shared" si="68"/>
        <v>3347565.2549999999</v>
      </c>
      <c r="Q97" s="3">
        <f t="shared" si="69"/>
        <v>-199375.75</v>
      </c>
      <c r="R97" s="3">
        <f t="shared" si="70"/>
        <v>0</v>
      </c>
      <c r="S97" s="47">
        <f t="shared" ca="1" si="51"/>
        <v>7807043.4125501448</v>
      </c>
      <c r="T97" s="47">
        <f>'Monthly Data'!BL97</f>
        <v>24891.718717948719</v>
      </c>
      <c r="U97" s="47">
        <f ca="1">+'Monthly Data'!BM97</f>
        <v>89646.892482632422</v>
      </c>
      <c r="V97" s="47">
        <f t="shared" ca="1" si="52"/>
        <v>7921582.0237507261</v>
      </c>
    </row>
    <row r="98" spans="1:22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Data'!BK98</f>
        <v>8069617.4113503518</v>
      </c>
      <c r="E98" s="3">
        <f t="shared" ref="E98:F98" ca="1" si="102">E86</f>
        <v>759.33418478260865</v>
      </c>
      <c r="F98" s="3">
        <f t="shared" ca="1" si="102"/>
        <v>0</v>
      </c>
      <c r="G98" s="3">
        <f>'Monthly Data'!DQ98</f>
        <v>31</v>
      </c>
      <c r="H98" s="3">
        <f>'Monthly Data'!DD98</f>
        <v>238.7</v>
      </c>
      <c r="I98">
        <f>'Monthly Data'!EJ98</f>
        <v>0</v>
      </c>
      <c r="J98">
        <f>'Monthly Data'!EF98</f>
        <v>0</v>
      </c>
      <c r="L98" s="3">
        <f t="shared" si="64"/>
        <v>-2785699</v>
      </c>
      <c r="M98" s="3">
        <f t="shared" ca="1" si="65"/>
        <v>2980817.9770886954</v>
      </c>
      <c r="N98" s="3">
        <f t="shared" ca="1" si="66"/>
        <v>0</v>
      </c>
      <c r="O98" s="3">
        <f t="shared" si="67"/>
        <v>4932472</v>
      </c>
      <c r="P98" s="3">
        <f t="shared" si="68"/>
        <v>3375850.5549999997</v>
      </c>
      <c r="Q98" s="3">
        <f t="shared" si="69"/>
        <v>0</v>
      </c>
      <c r="R98" s="3">
        <f t="shared" si="70"/>
        <v>0</v>
      </c>
      <c r="S98" s="47">
        <f t="shared" ca="1" si="51"/>
        <v>8503441.5320886951</v>
      </c>
      <c r="T98" s="47">
        <f>'Monthly Data'!BL98</f>
        <v>26889.784615384619</v>
      </c>
      <c r="U98" s="47">
        <f ca="1">+'Monthly Data'!BM98</f>
        <v>130468.11007701055</v>
      </c>
      <c r="V98" s="47">
        <f t="shared" ca="1" si="52"/>
        <v>8660799.42678109</v>
      </c>
    </row>
    <row r="99" spans="1:22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Data'!BK99</f>
        <v>7458260.393399395</v>
      </c>
      <c r="E99" s="3">
        <f t="shared" ref="E99:F99" ca="1" si="103">E87</f>
        <v>680.85501811594202</v>
      </c>
      <c r="F99" s="3">
        <f t="shared" ca="1" si="103"/>
        <v>0</v>
      </c>
      <c r="G99" s="3">
        <f>'Monthly Data'!DQ99</f>
        <v>28</v>
      </c>
      <c r="H99" s="3">
        <f>'Monthly Data'!DD99</f>
        <v>239.4</v>
      </c>
      <c r="I99">
        <f>'Monthly Data'!EJ99</f>
        <v>0</v>
      </c>
      <c r="J99">
        <f>'Monthly Data'!EF99</f>
        <v>0</v>
      </c>
      <c r="L99" s="3">
        <f t="shared" si="64"/>
        <v>-2785699</v>
      </c>
      <c r="M99" s="3">
        <f t="shared" ca="1" si="65"/>
        <v>2672742.6717553623</v>
      </c>
      <c r="N99" s="3">
        <f t="shared" ca="1" si="66"/>
        <v>0</v>
      </c>
      <c r="O99" s="3">
        <f t="shared" si="67"/>
        <v>4455136</v>
      </c>
      <c r="P99" s="3">
        <f t="shared" si="68"/>
        <v>3385750.41</v>
      </c>
      <c r="Q99" s="3">
        <f t="shared" si="69"/>
        <v>0</v>
      </c>
      <c r="R99" s="3">
        <f t="shared" si="70"/>
        <v>0</v>
      </c>
      <c r="S99" s="47">
        <f t="shared" ca="1" si="51"/>
        <v>7727930.0817553625</v>
      </c>
      <c r="T99" s="47">
        <f>'Monthly Data'!BL99</f>
        <v>28070.462564102567</v>
      </c>
      <c r="U99" s="47">
        <f ca="1">+'Monthly Data'!BM99</f>
        <v>123850.97761188669</v>
      </c>
      <c r="V99" s="47">
        <f t="shared" ca="1" si="52"/>
        <v>7879851.5219313512</v>
      </c>
    </row>
    <row r="100" spans="1:22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Data'!BK100</f>
        <v>7801283.0373284277</v>
      </c>
      <c r="E100" s="3">
        <f t="shared" ref="E100:F100" ca="1" si="104">E88</f>
        <v>608.13298913043479</v>
      </c>
      <c r="F100" s="3">
        <f t="shared" ca="1" si="104"/>
        <v>2.9583333333332896E-2</v>
      </c>
      <c r="G100" s="3">
        <f>'Monthly Data'!DQ100</f>
        <v>31</v>
      </c>
      <c r="H100" s="3">
        <f>'Monthly Data'!DD100</f>
        <v>236.5</v>
      </c>
      <c r="I100">
        <f>'Monthly Data'!EJ100</f>
        <v>0</v>
      </c>
      <c r="J100">
        <f>'Monthly Data'!EF100</f>
        <v>0</v>
      </c>
      <c r="L100" s="3">
        <f t="shared" si="64"/>
        <v>-2785699</v>
      </c>
      <c r="M100" s="3">
        <f t="shared" ca="1" si="65"/>
        <v>2387267.401874783</v>
      </c>
      <c r="N100" s="3">
        <f t="shared" ca="1" si="66"/>
        <v>301.07254166666223</v>
      </c>
      <c r="O100" s="3">
        <f t="shared" si="67"/>
        <v>4932472</v>
      </c>
      <c r="P100" s="3">
        <f t="shared" si="68"/>
        <v>3344736.7250000001</v>
      </c>
      <c r="Q100" s="3">
        <f t="shared" si="69"/>
        <v>0</v>
      </c>
      <c r="R100" s="3">
        <f t="shared" si="70"/>
        <v>0</v>
      </c>
      <c r="S100" s="47">
        <f t="shared" ca="1" si="51"/>
        <v>7879078.1994164493</v>
      </c>
      <c r="T100" s="47">
        <f>'Monthly Data'!BL100</f>
        <v>29251.140512820515</v>
      </c>
      <c r="U100" s="47">
        <f ca="1">+'Monthly Data'!BM100</f>
        <v>119012.99255374639</v>
      </c>
      <c r="V100" s="47">
        <f t="shared" ca="1" si="52"/>
        <v>8027342.332483016</v>
      </c>
    </row>
    <row r="101" spans="1:22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Data'!BK101</f>
        <v>6714726.1745674694</v>
      </c>
      <c r="E101" s="3">
        <f t="shared" ref="E101:F101" ca="1" si="105">E89</f>
        <v>412.37941287878795</v>
      </c>
      <c r="F101" s="3">
        <f t="shared" ca="1" si="105"/>
        <v>5.6420833333333338</v>
      </c>
      <c r="G101" s="3">
        <f>'Monthly Data'!DQ101</f>
        <v>30</v>
      </c>
      <c r="H101" s="3">
        <f>'Monthly Data'!DD101</f>
        <v>233.1</v>
      </c>
      <c r="I101">
        <f>'Monthly Data'!EJ101</f>
        <v>0</v>
      </c>
      <c r="J101">
        <f>'Monthly Data'!EF101</f>
        <v>0</v>
      </c>
      <c r="L101" s="3">
        <f t="shared" si="64"/>
        <v>-2785699</v>
      </c>
      <c r="M101" s="3">
        <f t="shared" ca="1" si="65"/>
        <v>1618823.427055758</v>
      </c>
      <c r="N101" s="3">
        <f t="shared" ca="1" si="66"/>
        <v>57420.046291666673</v>
      </c>
      <c r="O101" s="3">
        <f t="shared" si="67"/>
        <v>4773360</v>
      </c>
      <c r="P101" s="3">
        <f t="shared" si="68"/>
        <v>3296651.7149999999</v>
      </c>
      <c r="Q101" s="3">
        <f t="shared" si="69"/>
        <v>0</v>
      </c>
      <c r="R101" s="3">
        <f t="shared" si="70"/>
        <v>0</v>
      </c>
      <c r="S101" s="47">
        <f t="shared" ca="1" si="51"/>
        <v>6960556.1883474244</v>
      </c>
      <c r="T101" s="47">
        <f>'Monthly Data'!BL101</f>
        <v>30431.818461538467</v>
      </c>
      <c r="U101" s="47">
        <f ca="1">+'Monthly Data'!BM101</f>
        <v>65096.816809084426</v>
      </c>
      <c r="V101" s="47">
        <f t="shared" ca="1" si="52"/>
        <v>7056084.8236180469</v>
      </c>
    </row>
    <row r="102" spans="1:22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Data'!BK102</f>
        <v>6881883.396516473</v>
      </c>
      <c r="E102" s="3">
        <f t="shared" ref="E102:F102" ca="1" si="106">E90</f>
        <v>202.70273119310133</v>
      </c>
      <c r="F102" s="3">
        <f t="shared" ca="1" si="106"/>
        <v>86.191046176046171</v>
      </c>
      <c r="G102" s="3">
        <f>'Monthly Data'!DQ102</f>
        <v>31</v>
      </c>
      <c r="H102" s="3">
        <f>'Monthly Data'!DD102</f>
        <v>230</v>
      </c>
      <c r="I102">
        <f>'Monthly Data'!EJ102</f>
        <v>0</v>
      </c>
      <c r="J102">
        <f>'Monthly Data'!EF102</f>
        <v>0</v>
      </c>
      <c r="L102" s="3">
        <f t="shared" si="64"/>
        <v>-2785699</v>
      </c>
      <c r="M102" s="3">
        <f t="shared" ca="1" si="65"/>
        <v>795723.35508424044</v>
      </c>
      <c r="N102" s="3">
        <f t="shared" ca="1" si="66"/>
        <v>877174.89603823947</v>
      </c>
      <c r="O102" s="3">
        <f t="shared" si="67"/>
        <v>4932472</v>
      </c>
      <c r="P102" s="3">
        <f t="shared" si="68"/>
        <v>3252809.5</v>
      </c>
      <c r="Q102" s="3">
        <f t="shared" si="69"/>
        <v>0</v>
      </c>
      <c r="R102" s="3">
        <f t="shared" si="70"/>
        <v>0</v>
      </c>
      <c r="S102" s="47">
        <f t="shared" ca="1" si="51"/>
        <v>7072480.7511224803</v>
      </c>
      <c r="T102" s="47">
        <f>'Monthly Data'!BL102</f>
        <v>31612.496410256415</v>
      </c>
      <c r="U102" s="47">
        <f ca="1">+'Monthly Data'!BM102</f>
        <v>35326.83010627258</v>
      </c>
      <c r="V102" s="47">
        <f t="shared" ca="1" si="52"/>
        <v>7139420.0776390089</v>
      </c>
    </row>
    <row r="103" spans="1:22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Data'!BK103</f>
        <v>7263613.3872355353</v>
      </c>
      <c r="E103" s="3">
        <f t="shared" ref="E103:F103" ca="1" si="107">E91</f>
        <v>66.09717382617383</v>
      </c>
      <c r="F103" s="3">
        <f t="shared" ca="1" si="107"/>
        <v>194.94285087738348</v>
      </c>
      <c r="G103" s="3">
        <f>'Monthly Data'!DQ103</f>
        <v>30</v>
      </c>
      <c r="H103" s="3">
        <f>'Monthly Data'!DD103</f>
        <v>231</v>
      </c>
      <c r="I103">
        <f>'Monthly Data'!EJ103</f>
        <v>0</v>
      </c>
      <c r="J103">
        <f>'Monthly Data'!EF103</f>
        <v>0</v>
      </c>
      <c r="L103" s="3">
        <f t="shared" si="64"/>
        <v>-2785699</v>
      </c>
      <c r="M103" s="3">
        <f t="shared" ca="1" si="65"/>
        <v>259468.95046246555</v>
      </c>
      <c r="N103" s="3">
        <f t="shared" ca="1" si="66"/>
        <v>1983952.8876642194</v>
      </c>
      <c r="O103" s="3">
        <f t="shared" si="67"/>
        <v>4773360</v>
      </c>
      <c r="P103" s="3">
        <f t="shared" si="68"/>
        <v>3266952.15</v>
      </c>
      <c r="Q103" s="3">
        <f t="shared" si="69"/>
        <v>0</v>
      </c>
      <c r="R103" s="3">
        <f t="shared" si="70"/>
        <v>0</v>
      </c>
      <c r="S103" s="47">
        <f t="shared" ca="1" si="51"/>
        <v>7498034.9881266858</v>
      </c>
      <c r="T103" s="47">
        <f>'Monthly Data'!BL103</f>
        <v>32793.174358974364</v>
      </c>
      <c r="U103" s="47">
        <f ca="1">+'Monthly Data'!BM103</f>
        <v>4631.0028104892226</v>
      </c>
      <c r="V103" s="47">
        <f t="shared" ca="1" si="52"/>
        <v>7535459.1652961494</v>
      </c>
    </row>
    <row r="104" spans="1:22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Data'!BK104</f>
        <v>7844398.4712245679</v>
      </c>
      <c r="E104" s="3">
        <f t="shared" ref="E104:F104" ca="1" si="108">E92</f>
        <v>10.249063146997932</v>
      </c>
      <c r="F104" s="3">
        <f t="shared" ca="1" si="108"/>
        <v>297.94737858727848</v>
      </c>
      <c r="G104" s="3">
        <f>'Monthly Data'!DQ104</f>
        <v>31</v>
      </c>
      <c r="H104" s="3">
        <f>'Monthly Data'!DD104</f>
        <v>232.9</v>
      </c>
      <c r="I104">
        <f>'Monthly Data'!EJ104</f>
        <v>0</v>
      </c>
      <c r="J104">
        <f>'Monthly Data'!EF104</f>
        <v>0</v>
      </c>
      <c r="L104" s="3">
        <f t="shared" si="64"/>
        <v>-2785699</v>
      </c>
      <c r="M104" s="3">
        <f t="shared" ca="1" si="65"/>
        <v>40233.394319834377</v>
      </c>
      <c r="N104" s="3">
        <f t="shared" ca="1" si="66"/>
        <v>3032240.2666205917</v>
      </c>
      <c r="O104" s="3">
        <f t="shared" si="67"/>
        <v>4932472</v>
      </c>
      <c r="P104" s="3">
        <f t="shared" si="68"/>
        <v>3293823.1850000001</v>
      </c>
      <c r="Q104" s="3">
        <f t="shared" si="69"/>
        <v>0</v>
      </c>
      <c r="R104" s="3">
        <f t="shared" si="70"/>
        <v>0</v>
      </c>
      <c r="S104" s="47">
        <f t="shared" ca="1" si="51"/>
        <v>8513069.845940426</v>
      </c>
      <c r="T104" s="47">
        <f>'Monthly Data'!BL104</f>
        <v>33973.852307692316</v>
      </c>
      <c r="U104" s="47">
        <f ca="1">+'Monthly Data'!BM104</f>
        <v>26.997684476228677</v>
      </c>
      <c r="V104" s="47">
        <f t="shared" ca="1" si="52"/>
        <v>8547070.6959325951</v>
      </c>
    </row>
    <row r="105" spans="1:22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Data'!BK105</f>
        <v>7568406.6978435908</v>
      </c>
      <c r="E105" s="3">
        <f t="shared" ref="E105:F105" ca="1" si="109">E93</f>
        <v>21.194927536231887</v>
      </c>
      <c r="F105" s="3">
        <f t="shared" ca="1" si="109"/>
        <v>272.96558794466404</v>
      </c>
      <c r="G105" s="3">
        <f>'Monthly Data'!DQ105</f>
        <v>31</v>
      </c>
      <c r="H105" s="3">
        <f>'Monthly Data'!DD105</f>
        <v>236.1</v>
      </c>
      <c r="I105">
        <f>'Monthly Data'!EJ105</f>
        <v>0</v>
      </c>
      <c r="J105">
        <f>'Monthly Data'!EF105</f>
        <v>0</v>
      </c>
      <c r="L105" s="3">
        <f t="shared" si="64"/>
        <v>-2785699</v>
      </c>
      <c r="M105" s="3">
        <f t="shared" ca="1" si="65"/>
        <v>83202.129298550746</v>
      </c>
      <c r="N105" s="3">
        <f t="shared" ca="1" si="66"/>
        <v>2777998.0850716406</v>
      </c>
      <c r="O105" s="3">
        <f t="shared" si="67"/>
        <v>4932472</v>
      </c>
      <c r="P105" s="3">
        <f t="shared" si="68"/>
        <v>3339079.665</v>
      </c>
      <c r="Q105" s="3">
        <f t="shared" si="69"/>
        <v>0</v>
      </c>
      <c r="R105" s="3">
        <f t="shared" si="70"/>
        <v>0</v>
      </c>
      <c r="S105" s="47">
        <f t="shared" ca="1" si="51"/>
        <v>8347052.8793701911</v>
      </c>
      <c r="T105" s="47">
        <f>'Monthly Data'!BL105</f>
        <v>35154.53025641026</v>
      </c>
      <c r="U105" s="47">
        <f ca="1">+'Monthly Data'!BM105</f>
        <v>2003.2281881362235</v>
      </c>
      <c r="V105" s="47">
        <f t="shared" ca="1" si="52"/>
        <v>8384210.6378147379</v>
      </c>
    </row>
    <row r="106" spans="1:22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Data'!BK106</f>
        <v>8912811.1403226145</v>
      </c>
      <c r="E106" s="3">
        <f t="shared" ref="E106:F106" ca="1" si="110">E94</f>
        <v>96.735690993788822</v>
      </c>
      <c r="F106" s="3">
        <f t="shared" ca="1" si="110"/>
        <v>158.67014233954447</v>
      </c>
      <c r="G106" s="3">
        <f>'Monthly Data'!DQ106</f>
        <v>30</v>
      </c>
      <c r="H106" s="3">
        <f>'Monthly Data'!DD106</f>
        <v>236.5</v>
      </c>
      <c r="I106">
        <f>'Monthly Data'!EJ106</f>
        <v>0</v>
      </c>
      <c r="J106">
        <f>'Monthly Data'!EF106</f>
        <v>1</v>
      </c>
      <c r="L106" s="3">
        <f t="shared" si="64"/>
        <v>-2785699</v>
      </c>
      <c r="M106" s="3">
        <f t="shared" ca="1" si="65"/>
        <v>379742.53302310564</v>
      </c>
      <c r="N106" s="3">
        <f t="shared" ca="1" si="66"/>
        <v>1614801.9056037781</v>
      </c>
      <c r="O106" s="3">
        <f t="shared" si="67"/>
        <v>4773360</v>
      </c>
      <c r="P106" s="3">
        <f t="shared" si="68"/>
        <v>3344736.7250000001</v>
      </c>
      <c r="Q106" s="3">
        <f t="shared" si="69"/>
        <v>0</v>
      </c>
      <c r="R106" s="3">
        <f t="shared" si="70"/>
        <v>193962.4</v>
      </c>
      <c r="S106" s="47">
        <f t="shared" ca="1" si="51"/>
        <v>7520904.5636268836</v>
      </c>
      <c r="T106" s="47">
        <f>'Monthly Data'!BL106</f>
        <v>36335.208205128205</v>
      </c>
      <c r="U106" s="47">
        <f ca="1">+'Monthly Data'!BM106</f>
        <v>10278.918402916426</v>
      </c>
      <c r="V106" s="47">
        <f t="shared" ca="1" si="52"/>
        <v>7567518.6902349284</v>
      </c>
    </row>
    <row r="107" spans="1:22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Data'!BK107</f>
        <v>8758512.7671116646</v>
      </c>
      <c r="E107" s="3">
        <f t="shared" ref="E107:F107" ca="1" si="111">E95</f>
        <v>298.21097826086958</v>
      </c>
      <c r="F107" s="3">
        <f t="shared" ca="1" si="111"/>
        <v>35.32833333333334</v>
      </c>
      <c r="G107" s="3">
        <f>'Monthly Data'!DQ107</f>
        <v>31</v>
      </c>
      <c r="H107" s="3">
        <f>'Monthly Data'!DD107</f>
        <v>235.5</v>
      </c>
      <c r="I107">
        <f>'Monthly Data'!EJ107</f>
        <v>0</v>
      </c>
      <c r="J107">
        <f>'Monthly Data'!EF107</f>
        <v>1</v>
      </c>
      <c r="L107" s="3">
        <f t="shared" si="64"/>
        <v>-2785699</v>
      </c>
      <c r="M107" s="3">
        <f t="shared" ca="1" si="65"/>
        <v>1170647.4735095652</v>
      </c>
      <c r="N107" s="3">
        <f t="shared" ca="1" si="66"/>
        <v>359539.98116666672</v>
      </c>
      <c r="O107" s="3">
        <f t="shared" si="67"/>
        <v>4932472</v>
      </c>
      <c r="P107" s="3">
        <f t="shared" si="68"/>
        <v>3330594.0749999997</v>
      </c>
      <c r="Q107" s="3">
        <f t="shared" si="69"/>
        <v>0</v>
      </c>
      <c r="R107" s="3">
        <f t="shared" si="70"/>
        <v>193962.4</v>
      </c>
      <c r="S107" s="47">
        <f t="shared" ca="1" si="51"/>
        <v>7201516.9296762319</v>
      </c>
      <c r="T107" s="47">
        <f>'Monthly Data'!BL107</f>
        <v>37515.886153846157</v>
      </c>
      <c r="U107" s="47">
        <f ca="1">+'Monthly Data'!BM107</f>
        <v>44741.462636823308</v>
      </c>
      <c r="V107" s="47">
        <f t="shared" ca="1" si="52"/>
        <v>7283774.2784669017</v>
      </c>
    </row>
    <row r="108" spans="1:22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Data'!BK108</f>
        <v>7282107.7767806789</v>
      </c>
      <c r="E108" s="3">
        <f t="shared" ref="E108:F108" ca="1" si="112">E96</f>
        <v>486.62991389045737</v>
      </c>
      <c r="F108" s="3">
        <f t="shared" ca="1" si="112"/>
        <v>2.2779166666666657</v>
      </c>
      <c r="G108" s="3">
        <f>'Monthly Data'!DQ108</f>
        <v>30</v>
      </c>
      <c r="H108" s="3">
        <f>'Monthly Data'!DD108</f>
        <v>237.3</v>
      </c>
      <c r="I108">
        <f>'Monthly Data'!EJ108</f>
        <v>0</v>
      </c>
      <c r="J108">
        <f>'Monthly Data'!EF108</f>
        <v>1</v>
      </c>
      <c r="L108" s="3">
        <f t="shared" si="64"/>
        <v>-2785699</v>
      </c>
      <c r="M108" s="3">
        <f t="shared" ca="1" si="65"/>
        <v>1910298.817811135</v>
      </c>
      <c r="N108" s="3">
        <f t="shared" ca="1" si="66"/>
        <v>23182.585708333325</v>
      </c>
      <c r="O108" s="3">
        <f t="shared" si="67"/>
        <v>4773360</v>
      </c>
      <c r="P108" s="3">
        <f t="shared" si="68"/>
        <v>3356050.8450000002</v>
      </c>
      <c r="Q108" s="3">
        <f t="shared" si="69"/>
        <v>0</v>
      </c>
      <c r="R108" s="3">
        <f t="shared" si="70"/>
        <v>193962.4</v>
      </c>
      <c r="S108" s="47">
        <f t="shared" ref="S108:S121" ca="1" si="113">SUM(L108:R108)</f>
        <v>7471155.6485194694</v>
      </c>
      <c r="T108" s="47">
        <f>'Monthly Data'!BL108</f>
        <v>38696.564102564109</v>
      </c>
      <c r="U108" s="47">
        <f ca="1">+'Monthly Data'!BM108</f>
        <v>97319.766170911753</v>
      </c>
      <c r="V108" s="47">
        <f t="shared" ca="1" si="52"/>
        <v>7607171.9787929449</v>
      </c>
    </row>
    <row r="109" spans="1:22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Data'!BK109</f>
        <v>7619252.9243397219</v>
      </c>
      <c r="E109" s="3">
        <f t="shared" ref="E109:F109" ca="1" si="114">E97</f>
        <v>639.92800724637686</v>
      </c>
      <c r="F109" s="3">
        <f t="shared" ca="1" si="114"/>
        <v>0</v>
      </c>
      <c r="G109" s="3">
        <f>'Monthly Data'!DQ109</f>
        <v>31</v>
      </c>
      <c r="H109" s="3">
        <f>'Monthly Data'!DD109</f>
        <v>239.4</v>
      </c>
      <c r="I109">
        <f>'Monthly Data'!EJ109</f>
        <v>0</v>
      </c>
      <c r="J109">
        <f>'Monthly Data'!EF109</f>
        <v>0</v>
      </c>
      <c r="L109" s="3">
        <f t="shared" si="64"/>
        <v>-2785699</v>
      </c>
      <c r="M109" s="3">
        <f t="shared" ca="1" si="65"/>
        <v>2512080.9075501454</v>
      </c>
      <c r="N109" s="3">
        <f t="shared" ca="1" si="66"/>
        <v>0</v>
      </c>
      <c r="O109" s="3">
        <f t="shared" si="67"/>
        <v>4932472</v>
      </c>
      <c r="P109" s="3">
        <f t="shared" si="68"/>
        <v>3385750.41</v>
      </c>
      <c r="Q109" s="3">
        <f t="shared" si="69"/>
        <v>0</v>
      </c>
      <c r="R109" s="3">
        <f t="shared" si="70"/>
        <v>0</v>
      </c>
      <c r="S109" s="47">
        <f t="shared" ca="1" si="113"/>
        <v>8044604.3175501451</v>
      </c>
      <c r="T109" s="47">
        <f>'Monthly Data'!BL109</f>
        <v>39877.242051282054</v>
      </c>
      <c r="U109" s="47">
        <f ca="1">+'Monthly Data'!BM109</f>
        <v>105761.62908999711</v>
      </c>
      <c r="V109" s="47">
        <f t="shared" ca="1" si="52"/>
        <v>8190243.1886914242</v>
      </c>
    </row>
    <row r="110" spans="1:22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Data'!BK110</f>
        <v>8695928.7202509195</v>
      </c>
      <c r="E110" s="3">
        <f t="shared" ref="E110:F110" ca="1" si="115">E98</f>
        <v>759.33418478260865</v>
      </c>
      <c r="F110" s="3">
        <f t="shared" ca="1" si="115"/>
        <v>0</v>
      </c>
      <c r="G110" s="3">
        <f>'Monthly Data'!DQ110</f>
        <v>31</v>
      </c>
      <c r="H110" s="3">
        <f>'Monthly Data'!DD110</f>
        <v>242.1</v>
      </c>
      <c r="I110">
        <f>'Monthly Data'!EJ110</f>
        <v>0</v>
      </c>
      <c r="J110">
        <f>'Monthly Data'!EF110</f>
        <v>0</v>
      </c>
      <c r="L110" s="3">
        <f t="shared" si="64"/>
        <v>-2785699</v>
      </c>
      <c r="M110" s="3">
        <f t="shared" ca="1" si="65"/>
        <v>2980817.9770886954</v>
      </c>
      <c r="N110" s="3">
        <f t="shared" ca="1" si="66"/>
        <v>0</v>
      </c>
      <c r="O110" s="3">
        <f t="shared" si="67"/>
        <v>4932472</v>
      </c>
      <c r="P110" s="3">
        <f t="shared" si="68"/>
        <v>3423935.5649999999</v>
      </c>
      <c r="Q110" s="3">
        <f t="shared" si="69"/>
        <v>0</v>
      </c>
      <c r="R110" s="3">
        <f t="shared" si="70"/>
        <v>0</v>
      </c>
      <c r="S110" s="47">
        <f t="shared" ca="1" si="113"/>
        <v>8551526.5420886949</v>
      </c>
      <c r="T110" s="47">
        <f>'Monthly Data'!BL110</f>
        <v>43015.351282051284</v>
      </c>
      <c r="U110" s="47">
        <f ca="1">+'Monthly Data'!BM110</f>
        <v>177286.54144137504</v>
      </c>
      <c r="V110" s="47">
        <f t="shared" ca="1" si="52"/>
        <v>8771828.4348121211</v>
      </c>
    </row>
    <row r="111" spans="1:22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Data'!BK111</f>
        <v>7439587.2339374386</v>
      </c>
      <c r="E111" s="3">
        <f t="shared" ref="E111:F111" ca="1" si="116">E99</f>
        <v>680.85501811594202</v>
      </c>
      <c r="F111" s="3">
        <f t="shared" ca="1" si="116"/>
        <v>0</v>
      </c>
      <c r="G111" s="3">
        <f>'Monthly Data'!DQ111</f>
        <v>29</v>
      </c>
      <c r="H111" s="3">
        <f>'Monthly Data'!DD111</f>
        <v>243.2</v>
      </c>
      <c r="I111">
        <f>'Monthly Data'!EJ111</f>
        <v>0</v>
      </c>
      <c r="J111">
        <f>'Monthly Data'!EF111</f>
        <v>0</v>
      </c>
      <c r="L111" s="3">
        <f t="shared" si="64"/>
        <v>-2785699</v>
      </c>
      <c r="M111" s="3">
        <f t="shared" ca="1" si="65"/>
        <v>2672742.6717553623</v>
      </c>
      <c r="N111" s="3">
        <f t="shared" ca="1" si="66"/>
        <v>0</v>
      </c>
      <c r="O111" s="3">
        <f t="shared" si="67"/>
        <v>4614248</v>
      </c>
      <c r="P111" s="3">
        <f t="shared" si="68"/>
        <v>3439492.48</v>
      </c>
      <c r="Q111" s="3">
        <f t="shared" si="69"/>
        <v>0</v>
      </c>
      <c r="R111" s="3">
        <f t="shared" si="70"/>
        <v>0</v>
      </c>
      <c r="S111" s="47">
        <f t="shared" ca="1" si="113"/>
        <v>7940784.1517553627</v>
      </c>
      <c r="T111" s="47">
        <f>'Monthly Data'!BL111</f>
        <v>44972.78256410257</v>
      </c>
      <c r="U111" s="47">
        <f ca="1">+'Monthly Data'!BM111</f>
        <v>151116.6595039767</v>
      </c>
      <c r="V111" s="47">
        <f t="shared" ca="1" si="52"/>
        <v>8136873.5938234422</v>
      </c>
    </row>
    <row r="112" spans="1:22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Data'!BK112</f>
        <v>7425840.6469437685</v>
      </c>
      <c r="E112" s="3">
        <f t="shared" ref="E112:F112" ca="1" si="117">E100</f>
        <v>608.13298913043479</v>
      </c>
      <c r="F112" s="3">
        <f t="shared" ca="1" si="117"/>
        <v>2.9583333333332896E-2</v>
      </c>
      <c r="G112" s="3">
        <f>'Monthly Data'!DQ112</f>
        <v>31</v>
      </c>
      <c r="H112" s="3">
        <f>'Monthly Data'!DD112</f>
        <v>244.6</v>
      </c>
      <c r="I112">
        <f>'Monthly Data'!EJ112</f>
        <v>0</v>
      </c>
      <c r="J112">
        <f>'Monthly Data'!EF112</f>
        <v>0</v>
      </c>
      <c r="L112" s="3">
        <f t="shared" si="64"/>
        <v>-2785699</v>
      </c>
      <c r="M112" s="3">
        <f t="shared" ca="1" si="65"/>
        <v>2387267.401874783</v>
      </c>
      <c r="N112" s="3">
        <f t="shared" ca="1" si="66"/>
        <v>301.07254166666223</v>
      </c>
      <c r="O112" s="3">
        <f t="shared" si="67"/>
        <v>4932472</v>
      </c>
      <c r="P112" s="3">
        <f t="shared" si="68"/>
        <v>3459292.19</v>
      </c>
      <c r="Q112" s="3">
        <f t="shared" si="69"/>
        <v>0</v>
      </c>
      <c r="R112" s="3">
        <f t="shared" si="70"/>
        <v>0</v>
      </c>
      <c r="S112" s="47">
        <f t="shared" ca="1" si="113"/>
        <v>7993633.6644164491</v>
      </c>
      <c r="T112" s="47">
        <f>'Monthly Data'!BL112</f>
        <v>46930.213846153856</v>
      </c>
      <c r="U112" s="47">
        <f ca="1">+'Monthly Data'!BM112</f>
        <v>128056.96604338542</v>
      </c>
      <c r="V112" s="47">
        <f t="shared" ca="1" si="52"/>
        <v>8168620.8443059884</v>
      </c>
    </row>
    <row r="113" spans="1:22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Data'!BK113</f>
        <v>6834517.2750639049</v>
      </c>
      <c r="E113" s="3">
        <f t="shared" ref="E113:F113" ca="1" si="118">E101</f>
        <v>412.37941287878795</v>
      </c>
      <c r="F113" s="3">
        <f t="shared" ca="1" si="118"/>
        <v>5.6420833333333338</v>
      </c>
      <c r="G113" s="3">
        <f>'Monthly Data'!DQ113</f>
        <v>30</v>
      </c>
      <c r="H113" s="3">
        <f>'Monthly Data'!DD113</f>
        <v>246.7</v>
      </c>
      <c r="I113">
        <f>'Monthly Data'!EJ113</f>
        <v>0</v>
      </c>
      <c r="J113">
        <f>'Monthly Data'!EF113</f>
        <v>0</v>
      </c>
      <c r="L113" s="3">
        <f t="shared" si="64"/>
        <v>-2785699</v>
      </c>
      <c r="M113" s="3">
        <f t="shared" ca="1" si="65"/>
        <v>1618823.427055758</v>
      </c>
      <c r="N113" s="3">
        <f t="shared" ca="1" si="66"/>
        <v>57420.046291666673</v>
      </c>
      <c r="O113" s="3">
        <f t="shared" si="67"/>
        <v>4773360</v>
      </c>
      <c r="P113" s="3">
        <f t="shared" si="68"/>
        <v>3488991.7549999999</v>
      </c>
      <c r="Q113" s="3">
        <f t="shared" si="69"/>
        <v>0</v>
      </c>
      <c r="R113" s="3">
        <f t="shared" si="70"/>
        <v>0</v>
      </c>
      <c r="S113" s="47">
        <f t="shared" ca="1" si="113"/>
        <v>7152896.2283474244</v>
      </c>
      <c r="T113" s="47">
        <f>'Monthly Data'!BL113</f>
        <v>48887.645128205135</v>
      </c>
      <c r="U113" s="47">
        <f ca="1">+'Monthly Data'!BM113</f>
        <v>85804.440970044932</v>
      </c>
      <c r="V113" s="47">
        <f t="shared" ca="1" si="52"/>
        <v>7287588.3144456744</v>
      </c>
    </row>
    <row r="114" spans="1:22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Data'!BK114</f>
        <v>7270914.2434742991</v>
      </c>
      <c r="E114" s="3">
        <f t="shared" ref="E114:F114" ca="1" si="119">E102</f>
        <v>202.70273119310133</v>
      </c>
      <c r="F114" s="3">
        <f t="shared" ca="1" si="119"/>
        <v>86.191046176046171</v>
      </c>
      <c r="G114" s="3">
        <f>'Monthly Data'!DQ114</f>
        <v>31</v>
      </c>
      <c r="H114" s="3">
        <f>'Monthly Data'!DD114</f>
        <v>247</v>
      </c>
      <c r="I114">
        <f>'Monthly Data'!EJ114</f>
        <v>0</v>
      </c>
      <c r="J114">
        <f>'Monthly Data'!EF114</f>
        <v>0</v>
      </c>
      <c r="L114" s="3">
        <f t="shared" si="64"/>
        <v>-2785699</v>
      </c>
      <c r="M114" s="3">
        <f t="shared" ca="1" si="65"/>
        <v>795723.35508424044</v>
      </c>
      <c r="N114" s="3">
        <f t="shared" ca="1" si="66"/>
        <v>877174.89603823947</v>
      </c>
      <c r="O114" s="3">
        <f t="shared" si="67"/>
        <v>4932472</v>
      </c>
      <c r="P114" s="3">
        <f t="shared" si="68"/>
        <v>3493234.55</v>
      </c>
      <c r="Q114" s="3">
        <f t="shared" si="69"/>
        <v>0</v>
      </c>
      <c r="R114" s="3">
        <f t="shared" si="70"/>
        <v>0</v>
      </c>
      <c r="S114" s="47">
        <f t="shared" ca="1" si="113"/>
        <v>7312905.8011224791</v>
      </c>
      <c r="T114" s="47">
        <f>'Monthly Data'!BL114</f>
        <v>50845.076410256414</v>
      </c>
      <c r="U114" s="47">
        <f ca="1">+'Monthly Data'!BM114</f>
        <v>24917.457047408891</v>
      </c>
      <c r="V114" s="47">
        <f t="shared" ca="1" si="52"/>
        <v>7388668.3345801439</v>
      </c>
    </row>
    <row r="115" spans="1:22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Data'!BK115</f>
        <v>7750039.6865972029</v>
      </c>
      <c r="E115" s="3">
        <f t="shared" ref="E115:F115" ca="1" si="120">E103</f>
        <v>66.09717382617383</v>
      </c>
      <c r="F115" s="3">
        <f t="shared" ca="1" si="120"/>
        <v>194.94285087738348</v>
      </c>
      <c r="G115" s="3">
        <f>'Monthly Data'!DQ115</f>
        <v>30</v>
      </c>
      <c r="H115" s="3">
        <f>'Monthly Data'!DD115</f>
        <v>244.4</v>
      </c>
      <c r="I115">
        <f>'Monthly Data'!EJ115</f>
        <v>0</v>
      </c>
      <c r="J115">
        <f>'Monthly Data'!EF115</f>
        <v>0</v>
      </c>
      <c r="L115" s="3">
        <f t="shared" si="64"/>
        <v>-2785699</v>
      </c>
      <c r="M115" s="3">
        <f t="shared" ca="1" si="65"/>
        <v>259468.95046246555</v>
      </c>
      <c r="N115" s="3">
        <f t="shared" ca="1" si="66"/>
        <v>1983952.8876642194</v>
      </c>
      <c r="O115" s="3">
        <f t="shared" si="67"/>
        <v>4773360</v>
      </c>
      <c r="P115" s="3">
        <f t="shared" si="68"/>
        <v>3456463.66</v>
      </c>
      <c r="Q115" s="3">
        <f t="shared" si="69"/>
        <v>0</v>
      </c>
      <c r="R115" s="3">
        <f t="shared" si="70"/>
        <v>0</v>
      </c>
      <c r="S115" s="47">
        <f t="shared" ca="1" si="113"/>
        <v>7687546.4981266856</v>
      </c>
      <c r="T115" s="47">
        <f>'Monthly Data'!BL115</f>
        <v>52802.507692307699</v>
      </c>
      <c r="U115" s="47">
        <f ca="1">+'Monthly Data'!BM115</f>
        <v>8786.6883254161639</v>
      </c>
      <c r="V115" s="47">
        <f t="shared" ca="1" si="52"/>
        <v>7749135.6941444091</v>
      </c>
    </row>
    <row r="116" spans="1:22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Data'!BK116</f>
        <v>9494258.8072430845</v>
      </c>
      <c r="E116" s="3">
        <f t="shared" ref="E116:F116" ca="1" si="121">E104</f>
        <v>10.249063146997932</v>
      </c>
      <c r="F116" s="3">
        <f t="shared" ca="1" si="121"/>
        <v>297.94737858727848</v>
      </c>
      <c r="G116" s="3">
        <f>'Monthly Data'!DQ116</f>
        <v>31</v>
      </c>
      <c r="H116" s="3">
        <f>'Monthly Data'!DD116</f>
        <v>240.9</v>
      </c>
      <c r="I116">
        <f>'Monthly Data'!EJ116</f>
        <v>0</v>
      </c>
      <c r="J116">
        <f>'Monthly Data'!EF116</f>
        <v>0</v>
      </c>
      <c r="L116" s="3">
        <f t="shared" si="64"/>
        <v>-2785699</v>
      </c>
      <c r="M116" s="3">
        <f t="shared" ca="1" si="65"/>
        <v>40233.394319834377</v>
      </c>
      <c r="N116" s="3">
        <f t="shared" ca="1" si="66"/>
        <v>3032240.2666205917</v>
      </c>
      <c r="O116" s="3">
        <f t="shared" si="67"/>
        <v>4932472</v>
      </c>
      <c r="P116" s="3">
        <f t="shared" si="68"/>
        <v>3406964.3849999998</v>
      </c>
      <c r="Q116" s="3">
        <f t="shared" si="69"/>
        <v>0</v>
      </c>
      <c r="R116" s="3">
        <f t="shared" si="70"/>
        <v>0</v>
      </c>
      <c r="S116" s="47">
        <f t="shared" ca="1" si="113"/>
        <v>8626211.0459404252</v>
      </c>
      <c r="T116" s="47">
        <f>'Monthly Data'!BL116</f>
        <v>54759.938974358978</v>
      </c>
      <c r="U116" s="47">
        <f ca="1">+'Monthly Data'!BM116</f>
        <v>91.612561397371366</v>
      </c>
      <c r="V116" s="47">
        <f t="shared" ca="1" si="52"/>
        <v>8681062.5974761806</v>
      </c>
    </row>
    <row r="117" spans="1:22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Data'!BK117</f>
        <v>8093683.0596164232</v>
      </c>
      <c r="E117" s="3">
        <f t="shared" ref="E117:F117" ca="1" si="122">E105</f>
        <v>21.194927536231887</v>
      </c>
      <c r="F117" s="3">
        <f t="shared" ca="1" si="122"/>
        <v>272.96558794466404</v>
      </c>
      <c r="G117" s="3">
        <f>'Monthly Data'!DQ117</f>
        <v>31</v>
      </c>
      <c r="H117" s="3">
        <f>'Monthly Data'!DD117</f>
        <v>238.3</v>
      </c>
      <c r="I117">
        <f>'Monthly Data'!EJ117</f>
        <v>0</v>
      </c>
      <c r="J117">
        <f>'Monthly Data'!EF117</f>
        <v>0</v>
      </c>
      <c r="L117" s="3">
        <f t="shared" si="64"/>
        <v>-2785699</v>
      </c>
      <c r="M117" s="3">
        <f t="shared" ca="1" si="65"/>
        <v>83202.129298550746</v>
      </c>
      <c r="N117" s="3">
        <f t="shared" ca="1" si="66"/>
        <v>2777998.0850716406</v>
      </c>
      <c r="O117" s="3">
        <f t="shared" si="67"/>
        <v>4932472</v>
      </c>
      <c r="P117" s="3">
        <f t="shared" si="68"/>
        <v>3370193.4950000001</v>
      </c>
      <c r="Q117" s="3">
        <f t="shared" si="69"/>
        <v>0</v>
      </c>
      <c r="R117" s="3">
        <f t="shared" si="70"/>
        <v>0</v>
      </c>
      <c r="S117" s="47">
        <f t="shared" ca="1" si="113"/>
        <v>8378166.7093701912</v>
      </c>
      <c r="T117" s="47">
        <f>'Monthly Data'!BL117</f>
        <v>56717.370256410264</v>
      </c>
      <c r="U117" s="47">
        <f ca="1">+'Monthly Data'!BM117</f>
        <v>2291.4736876101847</v>
      </c>
      <c r="V117" s="47">
        <f t="shared" ca="1" si="52"/>
        <v>8437175.5533142108</v>
      </c>
    </row>
    <row r="118" spans="1:22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Data'!BK118</f>
        <v>7279137.2633291967</v>
      </c>
      <c r="E118" s="3">
        <f t="shared" ref="E118:F118" ca="1" si="123">E106</f>
        <v>96.735690993788822</v>
      </c>
      <c r="F118" s="3">
        <f t="shared" ca="1" si="123"/>
        <v>158.67014233954447</v>
      </c>
      <c r="G118" s="3">
        <f>'Monthly Data'!DQ118</f>
        <v>30</v>
      </c>
      <c r="H118" s="3">
        <f>'Monthly Data'!DD118</f>
        <v>240.5</v>
      </c>
      <c r="I118">
        <f>'Monthly Data'!EJ118</f>
        <v>0</v>
      </c>
      <c r="J118">
        <f>'Monthly Data'!EF118</f>
        <v>1</v>
      </c>
      <c r="L118" s="3">
        <f t="shared" si="64"/>
        <v>-2785699</v>
      </c>
      <c r="M118" s="3">
        <f t="shared" ca="1" si="65"/>
        <v>379742.53302310564</v>
      </c>
      <c r="N118" s="3">
        <f t="shared" ca="1" si="66"/>
        <v>1614801.9056037781</v>
      </c>
      <c r="O118" s="3">
        <f t="shared" si="67"/>
        <v>4773360</v>
      </c>
      <c r="P118" s="3">
        <f t="shared" si="68"/>
        <v>3401307.3249999997</v>
      </c>
      <c r="Q118" s="3">
        <f t="shared" si="69"/>
        <v>0</v>
      </c>
      <c r="R118" s="3">
        <f t="shared" si="70"/>
        <v>193962.4</v>
      </c>
      <c r="S118" s="47">
        <f t="shared" ca="1" si="113"/>
        <v>7577475.1636268832</v>
      </c>
      <c r="T118" s="47">
        <f>'Monthly Data'!BL118</f>
        <v>58674.801538461543</v>
      </c>
      <c r="U118" s="47">
        <f ca="1">+'Monthly Data'!BM118</f>
        <v>8173.2320598565584</v>
      </c>
      <c r="V118" s="47">
        <f t="shared" ca="1" si="52"/>
        <v>7644323.1972252019</v>
      </c>
    </row>
    <row r="119" spans="1:22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Data'!BK119</f>
        <v>6959104.644346375</v>
      </c>
      <c r="E119" s="3">
        <f t="shared" ref="E119:F119" ca="1" si="124">E107</f>
        <v>298.21097826086958</v>
      </c>
      <c r="F119" s="3">
        <f t="shared" ca="1" si="124"/>
        <v>35.32833333333334</v>
      </c>
      <c r="G119" s="3">
        <f>'Monthly Data'!DQ119</f>
        <v>31</v>
      </c>
      <c r="H119" s="3">
        <f>'Monthly Data'!DD119</f>
        <v>242.1</v>
      </c>
      <c r="I119">
        <f>'Monthly Data'!EJ119</f>
        <v>0</v>
      </c>
      <c r="J119">
        <f>'Monthly Data'!EF119</f>
        <v>1</v>
      </c>
      <c r="L119" s="3">
        <f t="shared" si="64"/>
        <v>-2785699</v>
      </c>
      <c r="M119" s="3">
        <f t="shared" ca="1" si="65"/>
        <v>1170647.4735095652</v>
      </c>
      <c r="N119" s="3">
        <f t="shared" ca="1" si="66"/>
        <v>359539.98116666672</v>
      </c>
      <c r="O119" s="3">
        <f t="shared" si="67"/>
        <v>4932472</v>
      </c>
      <c r="P119" s="3">
        <f t="shared" si="68"/>
        <v>3423935.5649999999</v>
      </c>
      <c r="Q119" s="3">
        <f t="shared" si="69"/>
        <v>0</v>
      </c>
      <c r="R119" s="3">
        <f t="shared" si="70"/>
        <v>193962.4</v>
      </c>
      <c r="S119" s="47">
        <f t="shared" ca="1" si="113"/>
        <v>7294858.4196762322</v>
      </c>
      <c r="T119" s="47">
        <f>'Monthly Data'!BL119</f>
        <v>60632.232820512829</v>
      </c>
      <c r="U119" s="47">
        <f ca="1">+'Monthly Data'!BM119</f>
        <v>65109.859141984431</v>
      </c>
      <c r="V119" s="47">
        <f t="shared" ref="V119:V182" ca="1" si="125">S119+T119+U119</f>
        <v>7420600.5116387289</v>
      </c>
    </row>
    <row r="120" spans="1:22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Data'!BK120</f>
        <v>7022199.0330502577</v>
      </c>
      <c r="E120" s="3">
        <f t="shared" ref="E120:F120" ca="1" si="126">E108</f>
        <v>486.62991389045737</v>
      </c>
      <c r="F120" s="3">
        <f t="shared" ca="1" si="126"/>
        <v>2.2779166666666657</v>
      </c>
      <c r="G120" s="3">
        <f>'Monthly Data'!DQ120</f>
        <v>30</v>
      </c>
      <c r="H120" s="3">
        <f>'Monthly Data'!DD120</f>
        <v>241.6</v>
      </c>
      <c r="I120">
        <f>'Monthly Data'!EJ120</f>
        <v>0</v>
      </c>
      <c r="J120">
        <f>'Monthly Data'!EF120</f>
        <v>1</v>
      </c>
      <c r="L120" s="3">
        <f t="shared" si="64"/>
        <v>-2785699</v>
      </c>
      <c r="M120" s="3">
        <f t="shared" ca="1" si="65"/>
        <v>1910298.817811135</v>
      </c>
      <c r="N120" s="3">
        <f t="shared" ca="1" si="66"/>
        <v>23182.585708333325</v>
      </c>
      <c r="O120" s="3">
        <f t="shared" si="67"/>
        <v>4773360</v>
      </c>
      <c r="P120" s="3">
        <f t="shared" si="68"/>
        <v>3416864.2399999998</v>
      </c>
      <c r="Q120" s="3">
        <f t="shared" si="69"/>
        <v>0</v>
      </c>
      <c r="R120" s="3">
        <f t="shared" si="70"/>
        <v>193962.4</v>
      </c>
      <c r="S120" s="47">
        <f t="shared" ca="1" si="113"/>
        <v>7531969.043519469</v>
      </c>
      <c r="T120" s="47">
        <f>'Monthly Data'!BL120</f>
        <v>62589.664102564107</v>
      </c>
      <c r="U120" s="47">
        <f ca="1">+'Monthly Data'!BM120</f>
        <v>101945.06673978292</v>
      </c>
      <c r="V120" s="47">
        <f t="shared" ca="1" si="125"/>
        <v>7696503.7743618162</v>
      </c>
    </row>
    <row r="121" spans="1:22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Data'!BK121</f>
        <v>8021614.9422146287</v>
      </c>
      <c r="E121" s="3">
        <f t="shared" ref="E121:F121" ca="1" si="127">E109</f>
        <v>639.92800724637686</v>
      </c>
      <c r="F121" s="3">
        <f t="shared" ca="1" si="127"/>
        <v>0</v>
      </c>
      <c r="G121" s="3">
        <f>'Monthly Data'!DQ121</f>
        <v>31</v>
      </c>
      <c r="H121" s="3">
        <f>'Monthly Data'!DD121</f>
        <v>239.5</v>
      </c>
      <c r="I121">
        <f>'Monthly Data'!EJ121</f>
        <v>0</v>
      </c>
      <c r="J121">
        <f>'Monthly Data'!EF121</f>
        <v>0</v>
      </c>
      <c r="L121" s="3">
        <f t="shared" si="64"/>
        <v>-2785699</v>
      </c>
      <c r="M121" s="3">
        <f t="shared" ca="1" si="65"/>
        <v>2512080.9075501454</v>
      </c>
      <c r="N121" s="3">
        <f t="shared" ca="1" si="66"/>
        <v>0</v>
      </c>
      <c r="O121" s="3">
        <f t="shared" si="67"/>
        <v>4932472</v>
      </c>
      <c r="P121" s="3">
        <f t="shared" si="68"/>
        <v>3387164.6749999998</v>
      </c>
      <c r="Q121" s="3">
        <f t="shared" si="69"/>
        <v>0</v>
      </c>
      <c r="R121" s="3">
        <f t="shared" si="70"/>
        <v>0</v>
      </c>
      <c r="S121" s="47">
        <f t="shared" ca="1" si="113"/>
        <v>8046018.5825501448</v>
      </c>
      <c r="T121" s="47">
        <f>'Monthly Data'!BL121</f>
        <v>64547.095384615393</v>
      </c>
      <c r="U121" s="47">
        <f ca="1">+'Monthly Data'!BM121</f>
        <v>166593.3841167528</v>
      </c>
      <c r="V121" s="47">
        <f t="shared" ca="1" si="125"/>
        <v>8277159.0620515132</v>
      </c>
    </row>
    <row r="122" spans="1:22">
      <c r="A122" s="2">
        <f t="shared" ref="A122:A174" si="128">EOMONTH(A121,1)</f>
        <v>45688</v>
      </c>
      <c r="B122">
        <f t="shared" ref="B122:B174" si="129">YEAR(A122)</f>
        <v>2025</v>
      </c>
      <c r="C122">
        <f t="shared" ref="C122:C174" si="130">MONTH(A122)</f>
        <v>1</v>
      </c>
      <c r="E122" s="3">
        <f t="shared" ref="E122:F122" ca="1" si="131">E110</f>
        <v>759.33418478260865</v>
      </c>
      <c r="F122" s="3">
        <f t="shared" ca="1" si="131"/>
        <v>0</v>
      </c>
      <c r="G122" s="47">
        <f t="shared" ref="G122:G174" si="132">G86</f>
        <v>31</v>
      </c>
      <c r="H122" s="96">
        <f>'Economic Data'!F136</f>
        <v>241.5</v>
      </c>
      <c r="J122">
        <f t="shared" ref="J122:J174" si="133">J110</f>
        <v>0</v>
      </c>
      <c r="L122" s="3">
        <f t="shared" si="64"/>
        <v>-2785699</v>
      </c>
      <c r="M122" s="3">
        <f t="shared" ca="1" si="65"/>
        <v>2980817.9770886954</v>
      </c>
      <c r="N122" s="3">
        <f t="shared" ca="1" si="66"/>
        <v>0</v>
      </c>
      <c r="O122" s="3">
        <f t="shared" si="67"/>
        <v>4932472</v>
      </c>
      <c r="P122" s="3">
        <f t="shared" si="68"/>
        <v>3415449.9750000001</v>
      </c>
      <c r="Q122" s="3">
        <f t="shared" si="69"/>
        <v>0</v>
      </c>
      <c r="R122" s="3">
        <f t="shared" si="70"/>
        <v>0</v>
      </c>
      <c r="S122" s="47">
        <f t="shared" ref="S122:S173" ca="1" si="134">SUM(L122:R122)</f>
        <v>8543040.952088695</v>
      </c>
      <c r="T122" s="47">
        <f>IFERROR(HLOOKUP(B122-1,'EV Forecast WRZ'!$F$124:$T$130,3,FALSE)/12,0)+IFERROR(((HLOOKUP(B122,'EV Forecast WRZ'!$F$116:$T$122,3,FALSE)-HLOOKUP(B122-1,'EV Forecast WRZ'!$F$124:$T$130,3,FALSE)))*C122/78,0)</f>
        <v>68264.878178238025</v>
      </c>
      <c r="U122" s="47">
        <f ca="1">HLOOKUP(B122,Heating!$R$102:$AD$106,4,FALSE)*INDEX(Weather!$BO$1:$CB$20,MATCH(B122,Weather!$BO$1:$BO$20,0),MATCH(C122,Weather!$BO$1:$CB$1,0))/VLOOKUP(B122,Weather!$BO$2:$CB$20,14,FALSE)</f>
        <v>236764.90539107306</v>
      </c>
      <c r="V122" s="47">
        <f t="shared" ca="1" si="125"/>
        <v>8848070.7356580067</v>
      </c>
    </row>
    <row r="123" spans="1:22">
      <c r="A123" s="2">
        <f t="shared" si="128"/>
        <v>45716</v>
      </c>
      <c r="B123">
        <f t="shared" si="129"/>
        <v>2025</v>
      </c>
      <c r="C123">
        <f t="shared" si="130"/>
        <v>2</v>
      </c>
      <c r="E123" s="3">
        <f t="shared" ref="E123:F123" ca="1" si="135">E111</f>
        <v>680.85501811594202</v>
      </c>
      <c r="F123" s="3">
        <f t="shared" ca="1" si="135"/>
        <v>0</v>
      </c>
      <c r="G123" s="47">
        <f t="shared" si="132"/>
        <v>28</v>
      </c>
      <c r="H123" s="96">
        <f>'Economic Data'!F137</f>
        <v>243.3</v>
      </c>
      <c r="J123">
        <f t="shared" si="133"/>
        <v>0</v>
      </c>
      <c r="L123" s="3">
        <f t="shared" si="64"/>
        <v>-2785699</v>
      </c>
      <c r="M123" s="3">
        <f t="shared" ca="1" si="65"/>
        <v>2672742.6717553623</v>
      </c>
      <c r="N123" s="3">
        <f t="shared" ca="1" si="66"/>
        <v>0</v>
      </c>
      <c r="O123" s="3">
        <f t="shared" si="67"/>
        <v>4455136</v>
      </c>
      <c r="P123" s="3">
        <f t="shared" si="68"/>
        <v>3440906.7450000001</v>
      </c>
      <c r="Q123" s="3">
        <f t="shared" si="69"/>
        <v>0</v>
      </c>
      <c r="R123" s="3">
        <f t="shared" si="70"/>
        <v>0</v>
      </c>
      <c r="S123" s="47">
        <f t="shared" ca="1" si="134"/>
        <v>7783086.4167553624</v>
      </c>
      <c r="T123" s="47">
        <f>IFERROR(HLOOKUP(B123-1,'EV Forecast WRZ'!$F$124:$T$130,3,FALSE)/12,0)+IFERROR(((HLOOKUP(B123,'EV Forecast WRZ'!$F$116:$T$122,3,FALSE)-HLOOKUP(B123-1,'EV Forecast WRZ'!$F$124:$T$130,3,FALSE)))*C123/78,0)</f>
        <v>70025.229689809377</v>
      </c>
      <c r="U123" s="47">
        <f ca="1">HLOOKUP(B123,Heating!$R$102:$AD$106,4,FALSE)*INDEX(Weather!$BO$1:$CB$20,MATCH(B123,Weather!$BO$1:$BO$20,0),MATCH(C123,Weather!$BO$1:$CB$1,0))/VLOOKUP(B123,Weather!$BO$2:$CB$20,14,FALSE)</f>
        <v>211952.43762529749</v>
      </c>
      <c r="V123" s="47">
        <f t="shared" ca="1" si="125"/>
        <v>8065064.0840704693</v>
      </c>
    </row>
    <row r="124" spans="1:22">
      <c r="A124" s="2">
        <f t="shared" si="128"/>
        <v>45747</v>
      </c>
      <c r="B124">
        <f t="shared" si="129"/>
        <v>2025</v>
      </c>
      <c r="C124">
        <f t="shared" si="130"/>
        <v>3</v>
      </c>
      <c r="E124" s="3">
        <f t="shared" ref="E124:F124" ca="1" si="136">E112</f>
        <v>608.13298913043479</v>
      </c>
      <c r="F124" s="3">
        <f t="shared" ca="1" si="136"/>
        <v>2.9583333333332896E-2</v>
      </c>
      <c r="G124" s="47">
        <f t="shared" si="132"/>
        <v>31</v>
      </c>
      <c r="H124" s="96">
        <f>'Economic Data'!F138</f>
        <v>245.8</v>
      </c>
      <c r="J124">
        <f t="shared" si="133"/>
        <v>0</v>
      </c>
      <c r="L124" s="3">
        <f t="shared" si="64"/>
        <v>-2785699</v>
      </c>
      <c r="M124" s="3">
        <f t="shared" ca="1" si="65"/>
        <v>2387267.401874783</v>
      </c>
      <c r="N124" s="3">
        <f t="shared" ca="1" si="66"/>
        <v>301.07254166666223</v>
      </c>
      <c r="O124" s="3">
        <f t="shared" si="67"/>
        <v>4932472</v>
      </c>
      <c r="P124" s="3">
        <f t="shared" si="68"/>
        <v>3476263.37</v>
      </c>
      <c r="Q124" s="3">
        <f t="shared" si="69"/>
        <v>0</v>
      </c>
      <c r="R124" s="3">
        <f t="shared" si="70"/>
        <v>0</v>
      </c>
      <c r="S124" s="47">
        <f t="shared" ca="1" si="134"/>
        <v>8010604.8444164498</v>
      </c>
      <c r="T124" s="47">
        <f>IFERROR(HLOOKUP(B124-1,'EV Forecast WRZ'!$F$124:$T$130,3,FALSE)/12,0)+IFERROR(((HLOOKUP(B124,'EV Forecast WRZ'!$F$116:$T$122,3,FALSE)-HLOOKUP(B124-1,'EV Forecast WRZ'!$F$124:$T$130,3,FALSE)))*C124/78,0)</f>
        <v>71785.581201380715</v>
      </c>
      <c r="U124" s="47">
        <f ca="1">HLOOKUP(B124,Heating!$R$102:$AD$106,4,FALSE)*INDEX(Weather!$BO$1:$CB$20,MATCH(B124,Weather!$BO$1:$BO$20,0),MATCH(C124,Weather!$BO$1:$CB$1,0))/VLOOKUP(B124,Weather!$BO$2:$CB$20,14,FALSE)</f>
        <v>185427.77383374906</v>
      </c>
      <c r="V124" s="47">
        <f t="shared" ca="1" si="125"/>
        <v>8267818.1994515797</v>
      </c>
    </row>
    <row r="125" spans="1:22">
      <c r="A125" s="2">
        <f t="shared" si="128"/>
        <v>45777</v>
      </c>
      <c r="B125">
        <f t="shared" si="129"/>
        <v>2025</v>
      </c>
      <c r="C125">
        <f t="shared" si="130"/>
        <v>4</v>
      </c>
      <c r="E125" s="3">
        <f t="shared" ref="E125:F125" ca="1" si="137">E113</f>
        <v>412.37941287878795</v>
      </c>
      <c r="F125" s="3">
        <f t="shared" ca="1" si="137"/>
        <v>5.6420833333333338</v>
      </c>
      <c r="G125" s="47">
        <f t="shared" si="132"/>
        <v>30</v>
      </c>
      <c r="H125" s="96">
        <f>'Economic Data'!F139</f>
        <v>241.9</v>
      </c>
      <c r="J125">
        <f t="shared" si="133"/>
        <v>0</v>
      </c>
      <c r="L125" s="3">
        <f t="shared" si="64"/>
        <v>-2785699</v>
      </c>
      <c r="M125" s="3">
        <f t="shared" ca="1" si="65"/>
        <v>1618823.427055758</v>
      </c>
      <c r="N125" s="3">
        <f t="shared" ca="1" si="66"/>
        <v>57420.046291666673</v>
      </c>
      <c r="O125" s="3">
        <f t="shared" si="67"/>
        <v>4773360</v>
      </c>
      <c r="P125" s="3">
        <f t="shared" si="68"/>
        <v>3421107.0350000001</v>
      </c>
      <c r="Q125" s="3">
        <f t="shared" si="69"/>
        <v>0</v>
      </c>
      <c r="R125" s="3">
        <f t="shared" si="70"/>
        <v>0</v>
      </c>
      <c r="S125" s="47">
        <f t="shared" ca="1" si="134"/>
        <v>7085011.5083474247</v>
      </c>
      <c r="T125" s="47">
        <f>IFERROR(HLOOKUP(B125-1,'EV Forecast WRZ'!$F$124:$T$130,3,FALSE)/12,0)+IFERROR(((HLOOKUP(B125,'EV Forecast WRZ'!$F$116:$T$122,3,FALSE)-HLOOKUP(B125-1,'EV Forecast WRZ'!$F$124:$T$130,3,FALSE)))*C125/78,0)</f>
        <v>73545.932712952068</v>
      </c>
      <c r="U125" s="47">
        <f ca="1">HLOOKUP(B125,Heating!$R$102:$AD$106,4,FALSE)*INDEX(Weather!$BO$1:$CB$20,MATCH(B125,Weather!$BO$1:$BO$20,0),MATCH(C125,Weather!$BO$1:$CB$1,0))/VLOOKUP(B125,Weather!$BO$2:$CB$20,14,FALSE)</f>
        <v>119654.63373585325</v>
      </c>
      <c r="V125" s="47">
        <f t="shared" ca="1" si="125"/>
        <v>7278212.0747962296</v>
      </c>
    </row>
    <row r="126" spans="1:22">
      <c r="A126" s="2">
        <f t="shared" si="128"/>
        <v>45808</v>
      </c>
      <c r="B126">
        <f t="shared" si="129"/>
        <v>2025</v>
      </c>
      <c r="C126">
        <f t="shared" si="130"/>
        <v>5</v>
      </c>
      <c r="E126" s="3">
        <f t="shared" ref="E126:F126" ca="1" si="138">E114</f>
        <v>202.70273119310133</v>
      </c>
      <c r="F126" s="3">
        <f t="shared" ca="1" si="138"/>
        <v>86.191046176046171</v>
      </c>
      <c r="G126" s="47">
        <f t="shared" si="132"/>
        <v>31</v>
      </c>
      <c r="H126" s="96">
        <f>'Economic Data'!F140</f>
        <v>241</v>
      </c>
      <c r="J126">
        <f t="shared" si="133"/>
        <v>0</v>
      </c>
      <c r="L126" s="3">
        <f t="shared" si="64"/>
        <v>-2785699</v>
      </c>
      <c r="M126" s="3">
        <f t="shared" ca="1" si="65"/>
        <v>795723.35508424044</v>
      </c>
      <c r="N126" s="3">
        <f t="shared" ca="1" si="66"/>
        <v>877174.89603823947</v>
      </c>
      <c r="O126" s="3">
        <f t="shared" si="67"/>
        <v>4932472</v>
      </c>
      <c r="P126" s="3">
        <f t="shared" si="68"/>
        <v>3408378.65</v>
      </c>
      <c r="Q126" s="3">
        <f t="shared" si="69"/>
        <v>0</v>
      </c>
      <c r="R126" s="3">
        <f t="shared" si="70"/>
        <v>0</v>
      </c>
      <c r="S126" s="47">
        <f t="shared" ca="1" si="134"/>
        <v>7228049.9011224797</v>
      </c>
      <c r="T126" s="47">
        <f>IFERROR(HLOOKUP(B126-1,'EV Forecast WRZ'!$F$124:$T$130,3,FALSE)/12,0)+IFERROR(((HLOOKUP(B126,'EV Forecast WRZ'!$F$116:$T$122,3,FALSE)-HLOOKUP(B126-1,'EV Forecast WRZ'!$F$124:$T$130,3,FALSE)))*C126/78,0)</f>
        <v>75306.284224523421</v>
      </c>
      <c r="U126" s="47">
        <f ca="1">HLOOKUP(B126,Heating!$R$102:$AD$106,4,FALSE)*INDEX(Weather!$BO$1:$CB$20,MATCH(B126,Weather!$BO$1:$BO$20,0),MATCH(C126,Weather!$BO$1:$CB$1,0))/VLOOKUP(B126,Weather!$BO$2:$CB$20,14,FALSE)</f>
        <v>50975.772008881009</v>
      </c>
      <c r="V126" s="47">
        <f t="shared" ca="1" si="125"/>
        <v>7354331.9573558839</v>
      </c>
    </row>
    <row r="127" spans="1:22">
      <c r="A127" s="2">
        <f t="shared" si="128"/>
        <v>45838</v>
      </c>
      <c r="B127">
        <f t="shared" si="129"/>
        <v>2025</v>
      </c>
      <c r="C127">
        <f t="shared" si="130"/>
        <v>6</v>
      </c>
      <c r="E127" s="3">
        <f t="shared" ref="E127:F127" ca="1" si="139">E115</f>
        <v>66.09717382617383</v>
      </c>
      <c r="F127" s="3">
        <f t="shared" ca="1" si="139"/>
        <v>194.94285087738348</v>
      </c>
      <c r="G127" s="47">
        <f t="shared" si="132"/>
        <v>30</v>
      </c>
      <c r="H127" s="96">
        <f>'Economic Data'!F141</f>
        <v>239.6</v>
      </c>
      <c r="J127">
        <f t="shared" si="133"/>
        <v>0</v>
      </c>
      <c r="L127" s="3">
        <f t="shared" si="64"/>
        <v>-2785699</v>
      </c>
      <c r="M127" s="3">
        <f t="shared" ca="1" si="65"/>
        <v>259468.95046246555</v>
      </c>
      <c r="N127" s="3">
        <f t="shared" ca="1" si="66"/>
        <v>1983952.8876642194</v>
      </c>
      <c r="O127" s="3">
        <f t="shared" si="67"/>
        <v>4773360</v>
      </c>
      <c r="P127" s="3">
        <f t="shared" si="68"/>
        <v>3388578.94</v>
      </c>
      <c r="Q127" s="3">
        <f t="shared" si="69"/>
        <v>0</v>
      </c>
      <c r="R127" s="3">
        <f t="shared" si="70"/>
        <v>0</v>
      </c>
      <c r="S127" s="47">
        <f t="shared" ca="1" si="134"/>
        <v>7619661.7781266849</v>
      </c>
      <c r="T127" s="47">
        <f>IFERROR(HLOOKUP(B127-1,'EV Forecast WRZ'!$F$124:$T$130,3,FALSE)/12,0)+IFERROR(((HLOOKUP(B127,'EV Forecast WRZ'!$F$116:$T$122,3,FALSE)-HLOOKUP(B127-1,'EV Forecast WRZ'!$F$124:$T$130,3,FALSE)))*C127/78,0)</f>
        <v>77066.635736094759</v>
      </c>
      <c r="U127" s="47">
        <f ca="1">HLOOKUP(B127,Heating!$R$102:$AD$106,4,FALSE)*INDEX(Weather!$BO$1:$CB$20,MATCH(B127,Weather!$BO$1:$BO$20,0),MATCH(C127,Weather!$BO$1:$CB$1,0))/VLOOKUP(B127,Weather!$BO$2:$CB$20,14,FALSE)</f>
        <v>11041.784012545899</v>
      </c>
      <c r="V127" s="47">
        <f t="shared" ca="1" si="125"/>
        <v>7707770.1978753256</v>
      </c>
    </row>
    <row r="128" spans="1:22">
      <c r="A128" s="2">
        <f t="shared" si="128"/>
        <v>45869</v>
      </c>
      <c r="B128">
        <f t="shared" si="129"/>
        <v>2025</v>
      </c>
      <c r="C128">
        <f t="shared" si="130"/>
        <v>7</v>
      </c>
      <c r="E128" s="3">
        <f t="shared" ref="E128:F128" ca="1" si="140">E116</f>
        <v>10.249063146997932</v>
      </c>
      <c r="F128" s="3">
        <f t="shared" ca="1" si="140"/>
        <v>297.94737858727848</v>
      </c>
      <c r="G128" s="47">
        <f t="shared" si="132"/>
        <v>31</v>
      </c>
      <c r="H128" s="96">
        <f>'Economic Data'!F142</f>
        <v>242.88742500000004</v>
      </c>
      <c r="J128">
        <f t="shared" si="133"/>
        <v>0</v>
      </c>
      <c r="L128" s="3">
        <f t="shared" si="64"/>
        <v>-2785699</v>
      </c>
      <c r="M128" s="3">
        <f t="shared" ca="1" si="65"/>
        <v>40233.394319834377</v>
      </c>
      <c r="N128" s="3">
        <f t="shared" ca="1" si="66"/>
        <v>3032240.2666205917</v>
      </c>
      <c r="O128" s="3">
        <f t="shared" si="67"/>
        <v>4932472</v>
      </c>
      <c r="P128" s="3">
        <f t="shared" si="68"/>
        <v>3435071.8411762505</v>
      </c>
      <c r="Q128" s="3">
        <f t="shared" si="69"/>
        <v>0</v>
      </c>
      <c r="R128" s="3">
        <f t="shared" si="70"/>
        <v>0</v>
      </c>
      <c r="S128" s="47">
        <f t="shared" ca="1" si="134"/>
        <v>8654318.5021166764</v>
      </c>
      <c r="T128" s="47">
        <f>IFERROR(HLOOKUP(B128-1,'EV Forecast WRZ'!$F$124:$T$130,3,FALSE)/12,0)+IFERROR(((HLOOKUP(B128,'EV Forecast WRZ'!$F$116:$T$122,3,FALSE)-HLOOKUP(B128-1,'EV Forecast WRZ'!$F$124:$T$130,3,FALSE)))*C128/78,0)</f>
        <v>78826.987247666111</v>
      </c>
      <c r="U128" s="47">
        <f ca="1">HLOOKUP(B128,Heating!$R$102:$AD$106,4,FALSE)*INDEX(Weather!$BO$1:$CB$20,MATCH(B128,Weather!$BO$1:$BO$20,0),MATCH(C128,Weather!$BO$1:$CB$1,0))/VLOOKUP(B128,Weather!$BO$2:$CB$20,14,FALSE)</f>
        <v>549.32899443814392</v>
      </c>
      <c r="V128" s="47">
        <f t="shared" ca="1" si="125"/>
        <v>8733694.8183587808</v>
      </c>
    </row>
    <row r="129" spans="1:22">
      <c r="A129" s="2">
        <f t="shared" si="128"/>
        <v>45900</v>
      </c>
      <c r="B129">
        <f t="shared" si="129"/>
        <v>2025</v>
      </c>
      <c r="C129">
        <f t="shared" si="130"/>
        <v>8</v>
      </c>
      <c r="E129" s="3">
        <f t="shared" ref="E129:F129" ca="1" si="141">E117</f>
        <v>21.194927536231887</v>
      </c>
      <c r="F129" s="3">
        <f t="shared" ca="1" si="141"/>
        <v>272.96558794466404</v>
      </c>
      <c r="G129" s="47">
        <f t="shared" si="132"/>
        <v>31</v>
      </c>
      <c r="H129" s="96">
        <f>'Economic Data'!F143</f>
        <v>240.26597500000003</v>
      </c>
      <c r="J129">
        <f t="shared" si="133"/>
        <v>0</v>
      </c>
      <c r="L129" s="3">
        <f t="shared" si="64"/>
        <v>-2785699</v>
      </c>
      <c r="M129" s="3">
        <f t="shared" ca="1" si="65"/>
        <v>83202.129298550746</v>
      </c>
      <c r="N129" s="3">
        <f t="shared" ca="1" si="66"/>
        <v>2777998.0850716406</v>
      </c>
      <c r="O129" s="3">
        <f t="shared" si="67"/>
        <v>4932472</v>
      </c>
      <c r="P129" s="3">
        <f t="shared" si="68"/>
        <v>3397997.5913337502</v>
      </c>
      <c r="Q129" s="3">
        <f t="shared" si="69"/>
        <v>0</v>
      </c>
      <c r="R129" s="3">
        <f t="shared" si="70"/>
        <v>0</v>
      </c>
      <c r="S129" s="47">
        <f t="shared" ca="1" si="134"/>
        <v>8405970.8057039417</v>
      </c>
      <c r="T129" s="47">
        <f>IFERROR(HLOOKUP(B129-1,'EV Forecast WRZ'!$F$124:$T$130,3,FALSE)/12,0)+IFERROR(((HLOOKUP(B129,'EV Forecast WRZ'!$F$116:$T$122,3,FALSE)-HLOOKUP(B129-1,'EV Forecast WRZ'!$F$124:$T$130,3,FALSE)))*C129/78,0)</f>
        <v>80587.338759237464</v>
      </c>
      <c r="U129" s="47">
        <f ca="1">HLOOKUP(B129,Heating!$R$102:$AD$106,4,FALSE)*INDEX(Weather!$BO$1:$CB$20,MATCH(B129,Weather!$BO$1:$BO$20,0),MATCH(C129,Weather!$BO$1:$CB$1,0))/VLOOKUP(B129,Weather!$BO$2:$CB$20,14,FALSE)</f>
        <v>1918.3366378009873</v>
      </c>
      <c r="V129" s="47">
        <f t="shared" ca="1" si="125"/>
        <v>8488476.4811009802</v>
      </c>
    </row>
    <row r="130" spans="1:22">
      <c r="A130" s="2">
        <f t="shared" si="128"/>
        <v>45930</v>
      </c>
      <c r="B130">
        <f t="shared" si="129"/>
        <v>2025</v>
      </c>
      <c r="C130">
        <f t="shared" si="130"/>
        <v>9</v>
      </c>
      <c r="E130" s="3">
        <f t="shared" ref="E130:F130" ca="1" si="142">E118</f>
        <v>96.735690993788822</v>
      </c>
      <c r="F130" s="3">
        <f t="shared" ca="1" si="142"/>
        <v>158.67014233954447</v>
      </c>
      <c r="G130" s="47">
        <f t="shared" si="132"/>
        <v>30</v>
      </c>
      <c r="H130" s="96">
        <f>'Economic Data'!F144</f>
        <v>242.48412500000003</v>
      </c>
      <c r="J130">
        <f t="shared" si="133"/>
        <v>1</v>
      </c>
      <c r="L130" s="3">
        <f t="shared" ref="L130:L193" si="143">$Z$9</f>
        <v>-2785699</v>
      </c>
      <c r="M130" s="3">
        <f t="shared" ref="M130:M193" ca="1" si="144">E130*$Z$10</f>
        <v>379742.53302310564</v>
      </c>
      <c r="N130" s="3">
        <f t="shared" ref="N130:N193" ca="1" si="145">F130*$Z$11</f>
        <v>1614801.9056037781</v>
      </c>
      <c r="O130" s="3">
        <f t="shared" ref="O130:O193" si="146">G130*$Z$12</f>
        <v>4773360</v>
      </c>
      <c r="P130" s="3">
        <f t="shared" ref="P130:P193" si="147">H130*$Z$13</f>
        <v>3429368.1104312502</v>
      </c>
      <c r="Q130" s="3">
        <f t="shared" ref="Q130:Q193" si="148">I130*$Z$14</f>
        <v>0</v>
      </c>
      <c r="R130" s="3">
        <f t="shared" ref="R130:R193" si="149">J130*$Z$15</f>
        <v>193962.4</v>
      </c>
      <c r="S130" s="47">
        <f t="shared" ca="1" si="134"/>
        <v>7605535.9490581341</v>
      </c>
      <c r="T130" s="47">
        <f>IFERROR(HLOOKUP(B130-1,'EV Forecast WRZ'!$F$124:$T$130,3,FALSE)/12,0)+IFERROR(((HLOOKUP(B130,'EV Forecast WRZ'!$F$116:$T$122,3,FALSE)-HLOOKUP(B130-1,'EV Forecast WRZ'!$F$124:$T$130,3,FALSE)))*C130/78,0)</f>
        <v>82347.690270808816</v>
      </c>
      <c r="U130" s="47">
        <f ca="1">HLOOKUP(B130,Heating!$R$102:$AD$106,4,FALSE)*INDEX(Weather!$BO$1:$CB$20,MATCH(B130,Weather!$BO$1:$BO$20,0),MATCH(C130,Weather!$BO$1:$CB$1,0))/VLOOKUP(B130,Weather!$BO$2:$CB$20,14,FALSE)</f>
        <v>18660.302522379938</v>
      </c>
      <c r="V130" s="47">
        <f t="shared" ca="1" si="125"/>
        <v>7706543.9418513225</v>
      </c>
    </row>
    <row r="131" spans="1:22">
      <c r="A131" s="2">
        <f t="shared" si="128"/>
        <v>45961</v>
      </c>
      <c r="B131">
        <f t="shared" si="129"/>
        <v>2025</v>
      </c>
      <c r="C131">
        <f t="shared" si="130"/>
        <v>10</v>
      </c>
      <c r="E131" s="3">
        <f t="shared" ref="E131:F131" ca="1" si="150">E119</f>
        <v>298.21097826086958</v>
      </c>
      <c r="F131" s="3">
        <f t="shared" ca="1" si="150"/>
        <v>35.32833333333334</v>
      </c>
      <c r="G131" s="47">
        <f t="shared" si="132"/>
        <v>31</v>
      </c>
      <c r="H131" s="96">
        <f>'Economic Data'!F145</f>
        <v>244.09732500000001</v>
      </c>
      <c r="J131">
        <f t="shared" si="133"/>
        <v>1</v>
      </c>
      <c r="L131" s="3">
        <f t="shared" si="143"/>
        <v>-2785699</v>
      </c>
      <c r="M131" s="3">
        <f t="shared" ca="1" si="144"/>
        <v>1170647.4735095652</v>
      </c>
      <c r="N131" s="3">
        <f t="shared" ca="1" si="145"/>
        <v>359539.98116666672</v>
      </c>
      <c r="O131" s="3">
        <f t="shared" si="146"/>
        <v>4932472</v>
      </c>
      <c r="P131" s="3">
        <f t="shared" si="147"/>
        <v>3452183.03341125</v>
      </c>
      <c r="Q131" s="3">
        <f t="shared" si="148"/>
        <v>0</v>
      </c>
      <c r="R131" s="3">
        <f t="shared" si="149"/>
        <v>193962.4</v>
      </c>
      <c r="S131" s="47">
        <f t="shared" ca="1" si="134"/>
        <v>7323105.8880874822</v>
      </c>
      <c r="T131" s="47">
        <f>IFERROR(HLOOKUP(B131-1,'EV Forecast WRZ'!$F$124:$T$130,3,FALSE)/12,0)+IFERROR(((HLOOKUP(B131,'EV Forecast WRZ'!$F$116:$T$122,3,FALSE)-HLOOKUP(B131-1,'EV Forecast WRZ'!$F$124:$T$130,3,FALSE)))*C131/78,0)</f>
        <v>84108.041782380169</v>
      </c>
      <c r="U131" s="47">
        <f ca="1">HLOOKUP(B131,Heating!$R$102:$AD$106,4,FALSE)*INDEX(Weather!$BO$1:$CB$20,MATCH(B131,Weather!$BO$1:$BO$20,0),MATCH(C131,Weather!$BO$1:$CB$1,0))/VLOOKUP(B131,Weather!$BO$2:$CB$20,14,FALSE)</f>
        <v>80772.773397734214</v>
      </c>
      <c r="V131" s="47">
        <f t="shared" ca="1" si="125"/>
        <v>7487986.7032675967</v>
      </c>
    </row>
    <row r="132" spans="1:22">
      <c r="A132" s="2">
        <f t="shared" si="128"/>
        <v>45991</v>
      </c>
      <c r="B132">
        <f t="shared" si="129"/>
        <v>2025</v>
      </c>
      <c r="C132">
        <f t="shared" si="130"/>
        <v>11</v>
      </c>
      <c r="E132" s="3">
        <f t="shared" ref="E132:F132" ca="1" si="151">E120</f>
        <v>486.62991389045737</v>
      </c>
      <c r="F132" s="3">
        <f t="shared" ca="1" si="151"/>
        <v>2.2779166666666657</v>
      </c>
      <c r="G132" s="47">
        <f t="shared" si="132"/>
        <v>30</v>
      </c>
      <c r="H132" s="96">
        <f>'Economic Data'!F146</f>
        <v>243.59320000000002</v>
      </c>
      <c r="J132">
        <f t="shared" si="133"/>
        <v>1</v>
      </c>
      <c r="L132" s="3">
        <f t="shared" si="143"/>
        <v>-2785699</v>
      </c>
      <c r="M132" s="3">
        <f t="shared" ca="1" si="144"/>
        <v>1910298.817811135</v>
      </c>
      <c r="N132" s="3">
        <f t="shared" ca="1" si="145"/>
        <v>23182.585708333325</v>
      </c>
      <c r="O132" s="3">
        <f t="shared" si="146"/>
        <v>4773360</v>
      </c>
      <c r="P132" s="3">
        <f t="shared" si="147"/>
        <v>3445053.3699800004</v>
      </c>
      <c r="Q132" s="3">
        <f t="shared" si="148"/>
        <v>0</v>
      </c>
      <c r="R132" s="3">
        <f t="shared" si="149"/>
        <v>193962.4</v>
      </c>
      <c r="S132" s="47">
        <f t="shared" ca="1" si="134"/>
        <v>7560158.1734994687</v>
      </c>
      <c r="T132" s="47">
        <f>IFERROR(HLOOKUP(B132-1,'EV Forecast WRZ'!$F$124:$T$130,3,FALSE)/12,0)+IFERROR(((HLOOKUP(B132,'EV Forecast WRZ'!$F$116:$T$122,3,FALSE)-HLOOKUP(B132-1,'EV Forecast WRZ'!$F$124:$T$130,3,FALSE)))*C132/78,0)</f>
        <v>85868.393293951507</v>
      </c>
      <c r="U132" s="47">
        <f ca="1">HLOOKUP(B132,Heating!$R$102:$AD$106,4,FALSE)*INDEX(Weather!$BO$1:$CB$20,MATCH(B132,Weather!$BO$1:$BO$20,0),MATCH(C132,Weather!$BO$1:$CB$1,0))/VLOOKUP(B132,Weather!$BO$2:$CB$20,14,FALSE)</f>
        <v>144853.06099078676</v>
      </c>
      <c r="V132" s="47">
        <f t="shared" ca="1" si="125"/>
        <v>7790879.6277842075</v>
      </c>
    </row>
    <row r="133" spans="1:22">
      <c r="A133" s="2">
        <f t="shared" si="128"/>
        <v>46022</v>
      </c>
      <c r="B133">
        <f t="shared" si="129"/>
        <v>2025</v>
      </c>
      <c r="C133">
        <f t="shared" si="130"/>
        <v>12</v>
      </c>
      <c r="E133" s="3">
        <f t="shared" ref="E133:F133" ca="1" si="152">E121</f>
        <v>639.92800724637686</v>
      </c>
      <c r="F133" s="3">
        <f t="shared" ca="1" si="152"/>
        <v>0</v>
      </c>
      <c r="G133" s="47">
        <f t="shared" si="132"/>
        <v>31</v>
      </c>
      <c r="H133" s="96">
        <f>'Economic Data'!F147</f>
        <v>241.47587500000003</v>
      </c>
      <c r="J133">
        <f t="shared" si="133"/>
        <v>0</v>
      </c>
      <c r="L133" s="3">
        <f t="shared" si="143"/>
        <v>-2785699</v>
      </c>
      <c r="M133" s="3">
        <f t="shared" ca="1" si="144"/>
        <v>2512080.9075501454</v>
      </c>
      <c r="N133" s="3">
        <f t="shared" ca="1" si="145"/>
        <v>0</v>
      </c>
      <c r="O133" s="3">
        <f t="shared" si="146"/>
        <v>4932472</v>
      </c>
      <c r="P133" s="3">
        <f t="shared" si="147"/>
        <v>3415108.7835687501</v>
      </c>
      <c r="Q133" s="3">
        <f t="shared" si="148"/>
        <v>0</v>
      </c>
      <c r="R133" s="3">
        <f t="shared" si="149"/>
        <v>0</v>
      </c>
      <c r="S133" s="47">
        <f t="shared" ca="1" si="134"/>
        <v>8073962.6911188951</v>
      </c>
      <c r="T133" s="47">
        <f>IFERROR(HLOOKUP(B133-1,'EV Forecast WRZ'!$F$124:$T$130,3,FALSE)/12,0)+IFERROR(((HLOOKUP(B133,'EV Forecast WRZ'!$F$116:$T$122,3,FALSE)-HLOOKUP(B133-1,'EV Forecast WRZ'!$F$124:$T$130,3,FALSE)))*C133/78,0)</f>
        <v>87628.74480552286</v>
      </c>
      <c r="U133" s="47">
        <f ca="1">HLOOKUP(B133,Heating!$R$102:$AD$106,4,FALSE)*INDEX(Weather!$BO$1:$CB$20,MATCH(B133,Weather!$BO$1:$BO$20,0),MATCH(C133,Weather!$BO$1:$CB$1,0))/VLOOKUP(B133,Weather!$BO$2:$CB$20,14,FALSE)</f>
        <v>196223.09209062651</v>
      </c>
      <c r="V133" s="47">
        <f t="shared" ca="1" si="125"/>
        <v>8357814.5280150445</v>
      </c>
    </row>
    <row r="134" spans="1:22">
      <c r="A134" s="2">
        <f t="shared" si="128"/>
        <v>46053</v>
      </c>
      <c r="B134">
        <f t="shared" si="129"/>
        <v>2026</v>
      </c>
      <c r="C134">
        <f t="shared" si="130"/>
        <v>1</v>
      </c>
      <c r="E134" s="3">
        <f t="shared" ref="E134:F134" ca="1" si="153">E122</f>
        <v>759.33418478260865</v>
      </c>
      <c r="F134" s="3">
        <f t="shared" ca="1" si="153"/>
        <v>0</v>
      </c>
      <c r="G134" s="47">
        <f t="shared" si="132"/>
        <v>31</v>
      </c>
      <c r="H134" s="96">
        <f>'Economic Data'!F148</f>
        <v>242.46600000000001</v>
      </c>
      <c r="J134">
        <f t="shared" si="133"/>
        <v>0</v>
      </c>
      <c r="L134" s="3">
        <f t="shared" si="143"/>
        <v>-2785699</v>
      </c>
      <c r="M134" s="3">
        <f t="shared" ca="1" si="144"/>
        <v>2980817.9770886954</v>
      </c>
      <c r="N134" s="3">
        <f t="shared" ca="1" si="145"/>
        <v>0</v>
      </c>
      <c r="O134" s="3">
        <f t="shared" si="146"/>
        <v>4932472</v>
      </c>
      <c r="P134" s="3">
        <f t="shared" si="147"/>
        <v>3429111.7749000001</v>
      </c>
      <c r="Q134" s="3">
        <f t="shared" si="148"/>
        <v>0</v>
      </c>
      <c r="R134" s="3">
        <f t="shared" si="149"/>
        <v>0</v>
      </c>
      <c r="S134" s="47">
        <f t="shared" ca="1" si="134"/>
        <v>8556702.7519886959</v>
      </c>
      <c r="T134" s="47">
        <f>IFERROR(HLOOKUP(B134-1,'EV Forecast WRZ'!$F$124:$T$130,3,FALSE)/12,0)+IFERROR(((HLOOKUP(B134,'EV Forecast WRZ'!$F$116:$T$122,3,FALSE)-HLOOKUP(B134-1,'EV Forecast WRZ'!$F$124:$T$130,3,FALSE)))*C134/78,0)</f>
        <v>91506.505185110553</v>
      </c>
      <c r="U134" s="47">
        <f ca="1">HLOOKUP(B134,Heating!$R$102:$AD$106,4,FALSE)*INDEX(Weather!$BO$1:$CB$20,MATCH(B134,Weather!$BO$1:$BO$20,0),MATCH(C134,Weather!$BO$1:$CB$1,0))/VLOOKUP(B134,Weather!$BO$2:$CB$20,14,FALSE)</f>
        <v>282865.63022829697</v>
      </c>
      <c r="V134" s="47">
        <f t="shared" ca="1" si="125"/>
        <v>8931074.8874021042</v>
      </c>
    </row>
    <row r="135" spans="1:22">
      <c r="A135" s="2">
        <f t="shared" si="128"/>
        <v>46081</v>
      </c>
      <c r="B135">
        <f t="shared" si="129"/>
        <v>2026</v>
      </c>
      <c r="C135">
        <f t="shared" si="130"/>
        <v>2</v>
      </c>
      <c r="E135" s="3">
        <f t="shared" ref="E135:F135" ca="1" si="154">E123</f>
        <v>680.85501811594202</v>
      </c>
      <c r="F135" s="3">
        <f t="shared" ca="1" si="154"/>
        <v>0</v>
      </c>
      <c r="G135" s="47">
        <f t="shared" si="132"/>
        <v>28</v>
      </c>
      <c r="H135" s="96">
        <f>'Economic Data'!F149</f>
        <v>244.2732</v>
      </c>
      <c r="J135">
        <f t="shared" si="133"/>
        <v>0</v>
      </c>
      <c r="L135" s="3">
        <f t="shared" si="143"/>
        <v>-2785699</v>
      </c>
      <c r="M135" s="3">
        <f t="shared" ca="1" si="144"/>
        <v>2672742.6717553623</v>
      </c>
      <c r="N135" s="3">
        <f t="shared" ca="1" si="145"/>
        <v>0</v>
      </c>
      <c r="O135" s="3">
        <f t="shared" si="146"/>
        <v>4455136</v>
      </c>
      <c r="P135" s="3">
        <f t="shared" si="147"/>
        <v>3454670.3719799998</v>
      </c>
      <c r="Q135" s="3">
        <f t="shared" si="148"/>
        <v>0</v>
      </c>
      <c r="R135" s="3">
        <f t="shared" si="149"/>
        <v>0</v>
      </c>
      <c r="S135" s="47">
        <f t="shared" ca="1" si="134"/>
        <v>7796850.0437353626</v>
      </c>
      <c r="T135" s="47">
        <f>IFERROR(HLOOKUP(B135-1,'EV Forecast WRZ'!$F$124:$T$130,3,FALSE)/12,0)+IFERROR(((HLOOKUP(B135,'EV Forecast WRZ'!$F$116:$T$122,3,FALSE)-HLOOKUP(B135-1,'EV Forecast WRZ'!$F$124:$T$130,3,FALSE)))*C135/78,0)</f>
        <v>93623.914053126893</v>
      </c>
      <c r="U135" s="47">
        <f ca="1">HLOOKUP(B135,Heating!$R$102:$AD$106,4,FALSE)*INDEX(Weather!$BO$1:$CB$20,MATCH(B135,Weather!$BO$1:$BO$20,0),MATCH(C135,Weather!$BO$1:$CB$1,0))/VLOOKUP(B135,Weather!$BO$2:$CB$20,14,FALSE)</f>
        <v>253221.90274895396</v>
      </c>
      <c r="V135" s="47">
        <f t="shared" ca="1" si="125"/>
        <v>8143695.8605374433</v>
      </c>
    </row>
    <row r="136" spans="1:22">
      <c r="A136" s="2">
        <f t="shared" si="128"/>
        <v>46112</v>
      </c>
      <c r="B136">
        <f t="shared" si="129"/>
        <v>2026</v>
      </c>
      <c r="C136">
        <f t="shared" si="130"/>
        <v>3</v>
      </c>
      <c r="E136" s="3">
        <f t="shared" ref="E136:F136" ca="1" si="155">E124</f>
        <v>608.13298913043479</v>
      </c>
      <c r="F136" s="3">
        <f t="shared" ca="1" si="155"/>
        <v>2.9583333333332896E-2</v>
      </c>
      <c r="G136" s="47">
        <f t="shared" si="132"/>
        <v>31</v>
      </c>
      <c r="H136" s="96">
        <f>'Economic Data'!F150</f>
        <v>246.78320000000002</v>
      </c>
      <c r="J136">
        <f t="shared" si="133"/>
        <v>0</v>
      </c>
      <c r="L136" s="3">
        <f t="shared" si="143"/>
        <v>-2785699</v>
      </c>
      <c r="M136" s="3">
        <f t="shared" ca="1" si="144"/>
        <v>2387267.401874783</v>
      </c>
      <c r="N136" s="3">
        <f t="shared" ca="1" si="145"/>
        <v>301.07254166666223</v>
      </c>
      <c r="O136" s="3">
        <f t="shared" si="146"/>
        <v>4932472</v>
      </c>
      <c r="P136" s="3">
        <f t="shared" si="147"/>
        <v>3490168.4234800003</v>
      </c>
      <c r="Q136" s="3">
        <f t="shared" si="148"/>
        <v>0</v>
      </c>
      <c r="R136" s="3">
        <f t="shared" si="149"/>
        <v>0</v>
      </c>
      <c r="S136" s="47">
        <f t="shared" ca="1" si="134"/>
        <v>8024509.89789645</v>
      </c>
      <c r="T136" s="47">
        <f>IFERROR(HLOOKUP(B136-1,'EV Forecast WRZ'!$F$124:$T$130,3,FALSE)/12,0)+IFERROR(((HLOOKUP(B136,'EV Forecast WRZ'!$F$116:$T$122,3,FALSE)-HLOOKUP(B136-1,'EV Forecast WRZ'!$F$124:$T$130,3,FALSE)))*C136/78,0)</f>
        <v>95741.322921143248</v>
      </c>
      <c r="U136" s="47">
        <f ca="1">HLOOKUP(B136,Heating!$R$102:$AD$106,4,FALSE)*INDEX(Weather!$BO$1:$CB$20,MATCH(B136,Weather!$BO$1:$BO$20,0),MATCH(C136,Weather!$BO$1:$CB$1,0))/VLOOKUP(B136,Weather!$BO$2:$CB$20,14,FALSE)</f>
        <v>221532.59589160018</v>
      </c>
      <c r="V136" s="47">
        <f t="shared" ca="1" si="125"/>
        <v>8341783.8167091934</v>
      </c>
    </row>
    <row r="137" spans="1:22">
      <c r="A137" s="2">
        <f t="shared" si="128"/>
        <v>46142</v>
      </c>
      <c r="B137">
        <f t="shared" si="129"/>
        <v>2026</v>
      </c>
      <c r="C137">
        <f t="shared" si="130"/>
        <v>4</v>
      </c>
      <c r="E137" s="3">
        <f t="shared" ref="E137:F137" ca="1" si="156">E125</f>
        <v>412.37941287878795</v>
      </c>
      <c r="F137" s="3">
        <f t="shared" ca="1" si="156"/>
        <v>5.6420833333333338</v>
      </c>
      <c r="G137" s="47">
        <f t="shared" si="132"/>
        <v>30</v>
      </c>
      <c r="H137" s="96">
        <f>'Economic Data'!F151</f>
        <v>242.86760000000001</v>
      </c>
      <c r="J137">
        <f t="shared" si="133"/>
        <v>0</v>
      </c>
      <c r="L137" s="3">
        <f t="shared" si="143"/>
        <v>-2785699</v>
      </c>
      <c r="M137" s="3">
        <f t="shared" ca="1" si="144"/>
        <v>1618823.427055758</v>
      </c>
      <c r="N137" s="3">
        <f t="shared" ca="1" si="145"/>
        <v>57420.046291666673</v>
      </c>
      <c r="O137" s="3">
        <f t="shared" si="146"/>
        <v>4773360</v>
      </c>
      <c r="P137" s="3">
        <f t="shared" si="147"/>
        <v>3434791.4631400001</v>
      </c>
      <c r="Q137" s="3">
        <f t="shared" si="148"/>
        <v>0</v>
      </c>
      <c r="R137" s="3">
        <f t="shared" si="149"/>
        <v>0</v>
      </c>
      <c r="S137" s="47">
        <f t="shared" ca="1" si="134"/>
        <v>7098695.9364874251</v>
      </c>
      <c r="T137" s="47">
        <f>IFERROR(HLOOKUP(B137-1,'EV Forecast WRZ'!$F$124:$T$130,3,FALSE)/12,0)+IFERROR(((HLOOKUP(B137,'EV Forecast WRZ'!$F$116:$T$122,3,FALSE)-HLOOKUP(B137-1,'EV Forecast WRZ'!$F$124:$T$130,3,FALSE)))*C137/78,0)</f>
        <v>97858.731789159589</v>
      </c>
      <c r="U137" s="47">
        <f ca="1">HLOOKUP(B137,Heating!$R$102:$AD$106,4,FALSE)*INDEX(Weather!$BO$1:$CB$20,MATCH(B137,Weather!$BO$1:$BO$20,0),MATCH(C137,Weather!$BO$1:$CB$1,0))/VLOOKUP(B137,Weather!$BO$2:$CB$20,14,FALSE)</f>
        <v>142952.70376124035</v>
      </c>
      <c r="V137" s="47">
        <f t="shared" ca="1" si="125"/>
        <v>7339507.3720378252</v>
      </c>
    </row>
    <row r="138" spans="1:22">
      <c r="A138" s="2">
        <f t="shared" si="128"/>
        <v>46173</v>
      </c>
      <c r="B138">
        <f t="shared" si="129"/>
        <v>2026</v>
      </c>
      <c r="C138">
        <f t="shared" si="130"/>
        <v>5</v>
      </c>
      <c r="E138" s="3">
        <f t="shared" ref="E138:F138" ca="1" si="157">E126</f>
        <v>202.70273119310133</v>
      </c>
      <c r="F138" s="3">
        <f t="shared" ca="1" si="157"/>
        <v>86.191046176046171</v>
      </c>
      <c r="G138" s="47">
        <f t="shared" si="132"/>
        <v>31</v>
      </c>
      <c r="H138" s="96">
        <f>'Economic Data'!F152</f>
        <v>241.964</v>
      </c>
      <c r="J138">
        <f t="shared" si="133"/>
        <v>0</v>
      </c>
      <c r="L138" s="3">
        <f t="shared" si="143"/>
        <v>-2785699</v>
      </c>
      <c r="M138" s="3">
        <f t="shared" ca="1" si="144"/>
        <v>795723.35508424044</v>
      </c>
      <c r="N138" s="3">
        <f t="shared" ca="1" si="145"/>
        <v>877174.89603823947</v>
      </c>
      <c r="O138" s="3">
        <f t="shared" si="146"/>
        <v>4932472</v>
      </c>
      <c r="P138" s="3">
        <f t="shared" si="147"/>
        <v>3422012.1645999998</v>
      </c>
      <c r="Q138" s="3">
        <f t="shared" si="148"/>
        <v>0</v>
      </c>
      <c r="R138" s="3">
        <f t="shared" si="149"/>
        <v>0</v>
      </c>
      <c r="S138" s="47">
        <f t="shared" ca="1" si="134"/>
        <v>7241683.41572248</v>
      </c>
      <c r="T138" s="47">
        <f>IFERROR(HLOOKUP(B138-1,'EV Forecast WRZ'!$F$124:$T$130,3,FALSE)/12,0)+IFERROR(((HLOOKUP(B138,'EV Forecast WRZ'!$F$116:$T$122,3,FALSE)-HLOOKUP(B138-1,'EV Forecast WRZ'!$F$124:$T$130,3,FALSE)))*C138/78,0)</f>
        <v>99976.140657175929</v>
      </c>
      <c r="U138" s="47">
        <f ca="1">HLOOKUP(B138,Heating!$R$102:$AD$106,4,FALSE)*INDEX(Weather!$BO$1:$CB$20,MATCH(B138,Weather!$BO$1:$BO$20,0),MATCH(C138,Weather!$BO$1:$CB$1,0))/VLOOKUP(B138,Weather!$BO$2:$CB$20,14,FALSE)</f>
        <v>60901.314119376118</v>
      </c>
      <c r="V138" s="47">
        <f t="shared" ca="1" si="125"/>
        <v>7402560.8704990325</v>
      </c>
    </row>
    <row r="139" spans="1:22">
      <c r="A139" s="2">
        <f t="shared" si="128"/>
        <v>46203</v>
      </c>
      <c r="B139">
        <f t="shared" si="129"/>
        <v>2026</v>
      </c>
      <c r="C139">
        <f t="shared" si="130"/>
        <v>6</v>
      </c>
      <c r="E139" s="3">
        <f t="shared" ref="E139:F139" ca="1" si="158">E127</f>
        <v>66.09717382617383</v>
      </c>
      <c r="F139" s="3">
        <f t="shared" ca="1" si="158"/>
        <v>194.94285087738348</v>
      </c>
      <c r="G139" s="47">
        <f t="shared" si="132"/>
        <v>30</v>
      </c>
      <c r="H139" s="96">
        <f>'Economic Data'!F153</f>
        <v>240.55840000000001</v>
      </c>
      <c r="J139">
        <f t="shared" si="133"/>
        <v>0</v>
      </c>
      <c r="L139" s="3">
        <f t="shared" si="143"/>
        <v>-2785699</v>
      </c>
      <c r="M139" s="3">
        <f t="shared" ca="1" si="144"/>
        <v>259468.95046246555</v>
      </c>
      <c r="N139" s="3">
        <f t="shared" ca="1" si="145"/>
        <v>1983952.8876642194</v>
      </c>
      <c r="O139" s="3">
        <f t="shared" si="146"/>
        <v>4773360</v>
      </c>
      <c r="P139" s="3">
        <f t="shared" si="147"/>
        <v>3402133.2557600001</v>
      </c>
      <c r="Q139" s="3">
        <f t="shared" si="148"/>
        <v>0</v>
      </c>
      <c r="R139" s="3">
        <f t="shared" si="149"/>
        <v>0</v>
      </c>
      <c r="S139" s="47">
        <f t="shared" ca="1" si="134"/>
        <v>7633216.0938866856</v>
      </c>
      <c r="T139" s="47">
        <f>IFERROR(HLOOKUP(B139-1,'EV Forecast WRZ'!$F$124:$T$130,3,FALSE)/12,0)+IFERROR(((HLOOKUP(B139,'EV Forecast WRZ'!$F$116:$T$122,3,FALSE)-HLOOKUP(B139-1,'EV Forecast WRZ'!$F$124:$T$130,3,FALSE)))*C139/78,0)</f>
        <v>102093.54952519227</v>
      </c>
      <c r="U139" s="47">
        <f ca="1">HLOOKUP(B139,Heating!$R$102:$AD$106,4,FALSE)*INDEX(Weather!$BO$1:$CB$20,MATCH(B139,Weather!$BO$1:$BO$20,0),MATCH(C139,Weather!$BO$1:$CB$1,0))/VLOOKUP(B139,Weather!$BO$2:$CB$20,14,FALSE)</f>
        <v>13191.740508985466</v>
      </c>
      <c r="V139" s="47">
        <f t="shared" ca="1" si="125"/>
        <v>7748501.3839208633</v>
      </c>
    </row>
    <row r="140" spans="1:22">
      <c r="A140" s="2">
        <f t="shared" si="128"/>
        <v>46234</v>
      </c>
      <c r="B140">
        <f t="shared" si="129"/>
        <v>2026</v>
      </c>
      <c r="C140">
        <f t="shared" si="130"/>
        <v>7</v>
      </c>
      <c r="E140" s="3">
        <f t="shared" ref="E140:F140" ca="1" si="159">E128</f>
        <v>10.249063146997932</v>
      </c>
      <c r="F140" s="3">
        <f t="shared" ca="1" si="159"/>
        <v>297.94737858727848</v>
      </c>
      <c r="G140" s="47">
        <f t="shared" si="132"/>
        <v>31</v>
      </c>
      <c r="H140" s="96">
        <f>'Economic Data'!F154</f>
        <v>243.85897470000003</v>
      </c>
      <c r="J140">
        <f t="shared" si="133"/>
        <v>0</v>
      </c>
      <c r="L140" s="3">
        <f t="shared" si="143"/>
        <v>-2785699</v>
      </c>
      <c r="M140" s="3">
        <f t="shared" ca="1" si="144"/>
        <v>40233.394319834377</v>
      </c>
      <c r="N140" s="3">
        <f t="shared" ca="1" si="145"/>
        <v>3032240.2666205917</v>
      </c>
      <c r="O140" s="3">
        <f t="shared" si="146"/>
        <v>4932472</v>
      </c>
      <c r="P140" s="3">
        <f t="shared" si="147"/>
        <v>3448812.1285409555</v>
      </c>
      <c r="Q140" s="3">
        <f t="shared" si="148"/>
        <v>0</v>
      </c>
      <c r="R140" s="3">
        <f t="shared" si="149"/>
        <v>0</v>
      </c>
      <c r="S140" s="47">
        <f t="shared" ca="1" si="134"/>
        <v>8668058.789481381</v>
      </c>
      <c r="T140" s="47">
        <f>IFERROR(HLOOKUP(B140-1,'EV Forecast WRZ'!$F$124:$T$130,3,FALSE)/12,0)+IFERROR(((HLOOKUP(B140,'EV Forecast WRZ'!$F$116:$T$122,3,FALSE)-HLOOKUP(B140-1,'EV Forecast WRZ'!$F$124:$T$130,3,FALSE)))*C140/78,0)</f>
        <v>104210.95839320862</v>
      </c>
      <c r="U140" s="47">
        <f ca="1">HLOOKUP(B140,Heating!$R$102:$AD$106,4,FALSE)*INDEX(Weather!$BO$1:$CB$20,MATCH(B140,Weather!$BO$1:$BO$20,0),MATCH(C140,Weather!$BO$1:$CB$1,0))/VLOOKUP(B140,Weather!$BO$2:$CB$20,14,FALSE)</f>
        <v>656.28937683042648</v>
      </c>
      <c r="V140" s="47">
        <f t="shared" ca="1" si="125"/>
        <v>8772926.0372514203</v>
      </c>
    </row>
    <row r="141" spans="1:22">
      <c r="A141" s="2">
        <f t="shared" si="128"/>
        <v>46265</v>
      </c>
      <c r="B141">
        <f t="shared" si="129"/>
        <v>2026</v>
      </c>
      <c r="C141">
        <f t="shared" si="130"/>
        <v>8</v>
      </c>
      <c r="E141" s="3">
        <f t="shared" ref="E141:F141" ca="1" si="160">E129</f>
        <v>21.194927536231887</v>
      </c>
      <c r="F141" s="3">
        <f t="shared" ca="1" si="160"/>
        <v>272.96558794466404</v>
      </c>
      <c r="G141" s="47">
        <f t="shared" si="132"/>
        <v>31</v>
      </c>
      <c r="H141" s="96">
        <f>'Economic Data'!F155</f>
        <v>241.22703890000003</v>
      </c>
      <c r="J141">
        <f t="shared" si="133"/>
        <v>0</v>
      </c>
      <c r="L141" s="3">
        <f t="shared" si="143"/>
        <v>-2785699</v>
      </c>
      <c r="M141" s="3">
        <f t="shared" ca="1" si="144"/>
        <v>83202.129298550746</v>
      </c>
      <c r="N141" s="3">
        <f t="shared" ca="1" si="145"/>
        <v>2777998.0850716406</v>
      </c>
      <c r="O141" s="3">
        <f t="shared" si="146"/>
        <v>4932472</v>
      </c>
      <c r="P141" s="3">
        <f t="shared" si="147"/>
        <v>3411589.5816990854</v>
      </c>
      <c r="Q141" s="3">
        <f t="shared" si="148"/>
        <v>0</v>
      </c>
      <c r="R141" s="3">
        <f t="shared" si="149"/>
        <v>0</v>
      </c>
      <c r="S141" s="47">
        <f t="shared" ca="1" si="134"/>
        <v>8419562.7960692756</v>
      </c>
      <c r="T141" s="47">
        <f>IFERROR(HLOOKUP(B141-1,'EV Forecast WRZ'!$F$124:$T$130,3,FALSE)/12,0)+IFERROR(((HLOOKUP(B141,'EV Forecast WRZ'!$F$116:$T$122,3,FALSE)-HLOOKUP(B141-1,'EV Forecast WRZ'!$F$124:$T$130,3,FALSE)))*C141/78,0)</f>
        <v>106328.36726122496</v>
      </c>
      <c r="U141" s="47">
        <f ca="1">HLOOKUP(B141,Heating!$R$102:$AD$106,4,FALSE)*INDEX(Weather!$BO$1:$CB$20,MATCH(B141,Weather!$BO$1:$BO$20,0),MATCH(C141,Weather!$BO$1:$CB$1,0))/VLOOKUP(B141,Weather!$BO$2:$CB$20,14,FALSE)</f>
        <v>2291.8578289519919</v>
      </c>
      <c r="V141" s="47">
        <f t="shared" ca="1" si="125"/>
        <v>8528183.0211594533</v>
      </c>
    </row>
    <row r="142" spans="1:22">
      <c r="A142" s="2">
        <f t="shared" si="128"/>
        <v>46295</v>
      </c>
      <c r="B142">
        <f t="shared" si="129"/>
        <v>2026</v>
      </c>
      <c r="C142">
        <f t="shared" si="130"/>
        <v>9</v>
      </c>
      <c r="E142" s="3">
        <f t="shared" ref="E142:F142" ca="1" si="161">E130</f>
        <v>96.735690993788822</v>
      </c>
      <c r="F142" s="3">
        <f t="shared" ca="1" si="161"/>
        <v>158.67014233954447</v>
      </c>
      <c r="G142" s="47">
        <f t="shared" si="132"/>
        <v>30</v>
      </c>
      <c r="H142" s="96">
        <f>'Economic Data'!F156</f>
        <v>243.45406150000002</v>
      </c>
      <c r="J142">
        <f t="shared" si="133"/>
        <v>1</v>
      </c>
      <c r="L142" s="3">
        <f t="shared" si="143"/>
        <v>-2785699</v>
      </c>
      <c r="M142" s="3">
        <f t="shared" ca="1" si="144"/>
        <v>379742.53302310564</v>
      </c>
      <c r="N142" s="3">
        <f t="shared" ca="1" si="145"/>
        <v>1614801.9056037781</v>
      </c>
      <c r="O142" s="3">
        <f t="shared" si="146"/>
        <v>4773360</v>
      </c>
      <c r="P142" s="3">
        <f t="shared" si="147"/>
        <v>3443085.5828729752</v>
      </c>
      <c r="Q142" s="3">
        <f t="shared" si="148"/>
        <v>0</v>
      </c>
      <c r="R142" s="3">
        <f t="shared" si="149"/>
        <v>193962.4</v>
      </c>
      <c r="S142" s="47">
        <f t="shared" ca="1" si="134"/>
        <v>7619253.4214998595</v>
      </c>
      <c r="T142" s="47">
        <f>IFERROR(HLOOKUP(B142-1,'EV Forecast WRZ'!$F$124:$T$130,3,FALSE)/12,0)+IFERROR(((HLOOKUP(B142,'EV Forecast WRZ'!$F$116:$T$122,3,FALSE)-HLOOKUP(B142-1,'EV Forecast WRZ'!$F$124:$T$130,3,FALSE)))*C142/78,0)</f>
        <v>108445.77612924131</v>
      </c>
      <c r="U142" s="47">
        <f ca="1">HLOOKUP(B142,Heating!$R$102:$AD$106,4,FALSE)*INDEX(Weather!$BO$1:$CB$20,MATCH(B142,Weather!$BO$1:$BO$20,0),MATCH(C142,Weather!$BO$1:$CB$1,0))/VLOOKUP(B142,Weather!$BO$2:$CB$20,14,FALSE)</f>
        <v>22293.668162201775</v>
      </c>
      <c r="V142" s="47">
        <f t="shared" ca="1" si="125"/>
        <v>7749992.8657913022</v>
      </c>
    </row>
    <row r="143" spans="1:22">
      <c r="A143" s="2">
        <f t="shared" si="128"/>
        <v>46326</v>
      </c>
      <c r="B143">
        <f t="shared" si="129"/>
        <v>2026</v>
      </c>
      <c r="C143">
        <f t="shared" si="130"/>
        <v>10</v>
      </c>
      <c r="E143" s="3">
        <f t="shared" ref="E143:F143" ca="1" si="162">E131</f>
        <v>298.21097826086958</v>
      </c>
      <c r="F143" s="3">
        <f t="shared" ca="1" si="162"/>
        <v>35.32833333333334</v>
      </c>
      <c r="G143" s="47">
        <f t="shared" si="132"/>
        <v>31</v>
      </c>
      <c r="H143" s="96">
        <f>'Economic Data'!F157</f>
        <v>245.07371430000001</v>
      </c>
      <c r="J143">
        <f t="shared" si="133"/>
        <v>1</v>
      </c>
      <c r="L143" s="3">
        <f t="shared" si="143"/>
        <v>-2785699</v>
      </c>
      <c r="M143" s="3">
        <f t="shared" ca="1" si="144"/>
        <v>1170647.4735095652</v>
      </c>
      <c r="N143" s="3">
        <f t="shared" ca="1" si="145"/>
        <v>359539.98116666672</v>
      </c>
      <c r="O143" s="3">
        <f t="shared" si="146"/>
        <v>4932472</v>
      </c>
      <c r="P143" s="3">
        <f t="shared" si="147"/>
        <v>3465991.7655448951</v>
      </c>
      <c r="Q143" s="3">
        <f t="shared" si="148"/>
        <v>0</v>
      </c>
      <c r="R143" s="3">
        <f t="shared" si="149"/>
        <v>193962.4</v>
      </c>
      <c r="S143" s="47">
        <f t="shared" ca="1" si="134"/>
        <v>7336914.6202211268</v>
      </c>
      <c r="T143" s="47">
        <f>IFERROR(HLOOKUP(B143-1,'EV Forecast WRZ'!$F$124:$T$130,3,FALSE)/12,0)+IFERROR(((HLOOKUP(B143,'EV Forecast WRZ'!$F$116:$T$122,3,FALSE)-HLOOKUP(B143-1,'EV Forecast WRZ'!$F$124:$T$130,3,FALSE)))*C143/78,0)</f>
        <v>110563.18499725765</v>
      </c>
      <c r="U143" s="47">
        <f ca="1">HLOOKUP(B143,Heating!$R$102:$AD$106,4,FALSE)*INDEX(Weather!$BO$1:$CB$20,MATCH(B143,Weather!$BO$1:$BO$20,0),MATCH(C143,Weather!$BO$1:$CB$1,0))/VLOOKUP(B143,Weather!$BO$2:$CB$20,14,FALSE)</f>
        <v>96500.118607945347</v>
      </c>
      <c r="V143" s="47">
        <f t="shared" ca="1" si="125"/>
        <v>7543977.9238263303</v>
      </c>
    </row>
    <row r="144" spans="1:22">
      <c r="A144" s="2">
        <f t="shared" si="128"/>
        <v>46356</v>
      </c>
      <c r="B144">
        <f t="shared" si="129"/>
        <v>2026</v>
      </c>
      <c r="C144">
        <f t="shared" si="130"/>
        <v>11</v>
      </c>
      <c r="E144" s="3">
        <f t="shared" ref="E144:F144" ca="1" si="163">E132</f>
        <v>486.62991389045737</v>
      </c>
      <c r="F144" s="3">
        <f t="shared" ca="1" si="163"/>
        <v>2.2779166666666657</v>
      </c>
      <c r="G144" s="47">
        <f t="shared" si="132"/>
        <v>30</v>
      </c>
      <c r="H144" s="96">
        <f>'Economic Data'!F158</f>
        <v>244.56757280000002</v>
      </c>
      <c r="J144">
        <f t="shared" si="133"/>
        <v>1</v>
      </c>
      <c r="L144" s="3">
        <f t="shared" si="143"/>
        <v>-2785699</v>
      </c>
      <c r="M144" s="3">
        <f t="shared" ca="1" si="144"/>
        <v>1910298.817811135</v>
      </c>
      <c r="N144" s="3">
        <f t="shared" ca="1" si="145"/>
        <v>23182.585708333325</v>
      </c>
      <c r="O144" s="3">
        <f t="shared" si="146"/>
        <v>4773360</v>
      </c>
      <c r="P144" s="3">
        <f t="shared" si="147"/>
        <v>3458833.5834599202</v>
      </c>
      <c r="Q144" s="3">
        <f t="shared" si="148"/>
        <v>0</v>
      </c>
      <c r="R144" s="3">
        <f t="shared" si="149"/>
        <v>193962.4</v>
      </c>
      <c r="S144" s="47">
        <f t="shared" ca="1" si="134"/>
        <v>7573938.386979389</v>
      </c>
      <c r="T144" s="47">
        <f>IFERROR(HLOOKUP(B144-1,'EV Forecast WRZ'!$F$124:$T$130,3,FALSE)/12,0)+IFERROR(((HLOOKUP(B144,'EV Forecast WRZ'!$F$116:$T$122,3,FALSE)-HLOOKUP(B144-1,'EV Forecast WRZ'!$F$124:$T$130,3,FALSE)))*C144/78,0)</f>
        <v>112680.59386527399</v>
      </c>
      <c r="U144" s="47">
        <f ca="1">HLOOKUP(B144,Heating!$R$102:$AD$106,4,FALSE)*INDEX(Weather!$BO$1:$CB$20,MATCH(B144,Weather!$BO$1:$BO$20,0),MATCH(C144,Weather!$BO$1:$CB$1,0))/VLOOKUP(B144,Weather!$BO$2:$CB$20,14,FALSE)</f>
        <v>173057.54127698397</v>
      </c>
      <c r="V144" s="47">
        <f t="shared" ca="1" si="125"/>
        <v>7859676.5221216474</v>
      </c>
    </row>
    <row r="145" spans="1:22">
      <c r="A145" s="2">
        <f t="shared" si="128"/>
        <v>46387</v>
      </c>
      <c r="B145">
        <f t="shared" si="129"/>
        <v>2026</v>
      </c>
      <c r="C145">
        <f t="shared" si="130"/>
        <v>12</v>
      </c>
      <c r="E145" s="3">
        <f t="shared" ref="E145:F145" ca="1" si="164">E133</f>
        <v>639.92800724637686</v>
      </c>
      <c r="F145" s="3">
        <f t="shared" ca="1" si="164"/>
        <v>0</v>
      </c>
      <c r="G145" s="47">
        <f t="shared" si="132"/>
        <v>31</v>
      </c>
      <c r="H145" s="96">
        <f>'Economic Data'!F159</f>
        <v>242.44177850000003</v>
      </c>
      <c r="J145">
        <f t="shared" si="133"/>
        <v>0</v>
      </c>
      <c r="L145" s="3">
        <f t="shared" si="143"/>
        <v>-2785699</v>
      </c>
      <c r="M145" s="3">
        <f t="shared" ca="1" si="144"/>
        <v>2512080.9075501454</v>
      </c>
      <c r="N145" s="3">
        <f t="shared" ca="1" si="145"/>
        <v>0</v>
      </c>
      <c r="O145" s="3">
        <f t="shared" si="146"/>
        <v>4932472</v>
      </c>
      <c r="P145" s="3">
        <f t="shared" si="147"/>
        <v>3428769.2187030255</v>
      </c>
      <c r="Q145" s="3">
        <f t="shared" si="148"/>
        <v>0</v>
      </c>
      <c r="R145" s="3">
        <f t="shared" si="149"/>
        <v>0</v>
      </c>
      <c r="S145" s="47">
        <f t="shared" ca="1" si="134"/>
        <v>8087623.1262531709</v>
      </c>
      <c r="T145" s="47">
        <f>IFERROR(HLOOKUP(B145-1,'EV Forecast WRZ'!$F$124:$T$130,3,FALSE)/12,0)+IFERROR(((HLOOKUP(B145,'EV Forecast WRZ'!$F$116:$T$122,3,FALSE)-HLOOKUP(B145-1,'EV Forecast WRZ'!$F$124:$T$130,3,FALSE)))*C145/78,0)</f>
        <v>114798.00273329034</v>
      </c>
      <c r="U145" s="47">
        <f ca="1">HLOOKUP(B145,Heating!$R$102:$AD$106,4,FALSE)*INDEX(Weather!$BO$1:$CB$20,MATCH(B145,Weather!$BO$1:$BO$20,0),MATCH(C145,Weather!$BO$1:$CB$1,0))/VLOOKUP(B145,Weather!$BO$2:$CB$20,14,FALSE)</f>
        <v>234429.88105809435</v>
      </c>
      <c r="V145" s="47">
        <f t="shared" ca="1" si="125"/>
        <v>8436851.0100445561</v>
      </c>
    </row>
    <row r="146" spans="1:22">
      <c r="A146" s="2">
        <f t="shared" si="128"/>
        <v>46418</v>
      </c>
      <c r="B146">
        <f t="shared" si="129"/>
        <v>2027</v>
      </c>
      <c r="C146">
        <f t="shared" si="130"/>
        <v>1</v>
      </c>
      <c r="E146" s="3">
        <f t="shared" ref="E146:F146" ca="1" si="165">E134</f>
        <v>759.33418478260865</v>
      </c>
      <c r="F146" s="3">
        <f t="shared" ca="1" si="165"/>
        <v>0</v>
      </c>
      <c r="G146" s="47">
        <f t="shared" si="132"/>
        <v>31</v>
      </c>
      <c r="H146" s="96">
        <f>'Economic Data'!F160</f>
        <v>244.64819399999999</v>
      </c>
      <c r="J146">
        <f t="shared" si="133"/>
        <v>0</v>
      </c>
      <c r="L146" s="3">
        <f t="shared" si="143"/>
        <v>-2785699</v>
      </c>
      <c r="M146" s="3">
        <f t="shared" ca="1" si="144"/>
        <v>2980817.9770886954</v>
      </c>
      <c r="N146" s="3">
        <f t="shared" ca="1" si="145"/>
        <v>0</v>
      </c>
      <c r="O146" s="3">
        <f t="shared" si="146"/>
        <v>4932472</v>
      </c>
      <c r="P146" s="3">
        <f t="shared" si="147"/>
        <v>3459973.7808740996</v>
      </c>
      <c r="Q146" s="3">
        <f t="shared" si="148"/>
        <v>0</v>
      </c>
      <c r="R146" s="3">
        <f t="shared" si="149"/>
        <v>0</v>
      </c>
      <c r="S146" s="47">
        <f t="shared" ca="1" si="134"/>
        <v>8587564.757962795</v>
      </c>
      <c r="T146" s="47">
        <f>IFERROR(HLOOKUP(B146-1,'EV Forecast WRZ'!$F$124:$T$130,3,FALSE)/12,0)+IFERROR(((HLOOKUP(B146,'EV Forecast WRZ'!$F$116:$T$122,3,FALSE)-HLOOKUP(B146-1,'EV Forecast WRZ'!$F$124:$T$130,3,FALSE)))*C146/78,0)</f>
        <v>119113.70977325151</v>
      </c>
      <c r="U146" s="47">
        <f ca="1">HLOOKUP(B146,Heating!$R$102:$AD$106,4,FALSE)*INDEX(Weather!$BO$1:$CB$20,MATCH(B146,Weather!$BO$1:$BO$20,0),MATCH(C146,Weather!$BO$1:$CB$1,0))/VLOOKUP(B146,Weather!$BO$2:$CB$20,14,FALSE)</f>
        <v>331580.72650040308</v>
      </c>
      <c r="V146" s="47">
        <f t="shared" ca="1" si="125"/>
        <v>9038259.1942364499</v>
      </c>
    </row>
    <row r="147" spans="1:22">
      <c r="A147" s="2">
        <f t="shared" si="128"/>
        <v>46446</v>
      </c>
      <c r="B147">
        <f t="shared" si="129"/>
        <v>2027</v>
      </c>
      <c r="C147">
        <f t="shared" si="130"/>
        <v>2</v>
      </c>
      <c r="E147" s="3">
        <f t="shared" ref="E147:F147" ca="1" si="166">E135</f>
        <v>680.85501811594202</v>
      </c>
      <c r="F147" s="3">
        <f t="shared" ca="1" si="166"/>
        <v>0</v>
      </c>
      <c r="G147" s="47">
        <f t="shared" si="132"/>
        <v>29</v>
      </c>
      <c r="H147" s="96">
        <f>'Economic Data'!F161</f>
        <v>246.47165879999997</v>
      </c>
      <c r="J147">
        <f t="shared" si="133"/>
        <v>0</v>
      </c>
      <c r="L147" s="3">
        <f t="shared" si="143"/>
        <v>-2785699</v>
      </c>
      <c r="M147" s="3">
        <f t="shared" ca="1" si="144"/>
        <v>2672742.6717553623</v>
      </c>
      <c r="N147" s="3">
        <f t="shared" ca="1" si="145"/>
        <v>0</v>
      </c>
      <c r="O147" s="3">
        <f t="shared" si="146"/>
        <v>4614248</v>
      </c>
      <c r="P147" s="3">
        <f t="shared" si="147"/>
        <v>3485762.4053278193</v>
      </c>
      <c r="Q147" s="3">
        <f t="shared" si="148"/>
        <v>0</v>
      </c>
      <c r="R147" s="3">
        <f t="shared" si="149"/>
        <v>0</v>
      </c>
      <c r="S147" s="47">
        <f t="shared" ca="1" si="134"/>
        <v>7987054.0770831816</v>
      </c>
      <c r="T147" s="47">
        <f>IFERROR(HLOOKUP(B147-1,'EV Forecast WRZ'!$F$124:$T$130,3,FALSE)/12,0)+IFERROR(((HLOOKUP(B147,'EV Forecast WRZ'!$F$116:$T$122,3,FALSE)-HLOOKUP(B147-1,'EV Forecast WRZ'!$F$124:$T$130,3,FALSE)))*C147/78,0)</f>
        <v>121312.00794519631</v>
      </c>
      <c r="U147" s="47">
        <f ca="1">HLOOKUP(B147,Heating!$R$102:$AD$106,4,FALSE)*INDEX(Weather!$BO$1:$CB$20,MATCH(B147,Weather!$BO$1:$BO$20,0),MATCH(C147,Weather!$BO$1:$CB$1,0))/VLOOKUP(B147,Weather!$BO$2:$CB$20,14,FALSE)</f>
        <v>296831.75863941753</v>
      </c>
      <c r="V147" s="47">
        <f t="shared" ca="1" si="125"/>
        <v>8405197.8436677959</v>
      </c>
    </row>
    <row r="148" spans="1:22">
      <c r="A148" s="2">
        <f t="shared" si="128"/>
        <v>46477</v>
      </c>
      <c r="B148">
        <f t="shared" si="129"/>
        <v>2027</v>
      </c>
      <c r="C148">
        <f t="shared" si="130"/>
        <v>3</v>
      </c>
      <c r="E148" s="3">
        <f t="shared" ref="E148:F148" ca="1" si="167">E136</f>
        <v>608.13298913043479</v>
      </c>
      <c r="F148" s="3">
        <f t="shared" ca="1" si="167"/>
        <v>2.9583333333332896E-2</v>
      </c>
      <c r="G148" s="47">
        <f t="shared" si="132"/>
        <v>31</v>
      </c>
      <c r="H148" s="96">
        <f>'Economic Data'!F162</f>
        <v>249.0042488</v>
      </c>
      <c r="J148">
        <f t="shared" si="133"/>
        <v>0</v>
      </c>
      <c r="L148" s="3">
        <f t="shared" si="143"/>
        <v>-2785699</v>
      </c>
      <c r="M148" s="3">
        <f t="shared" ca="1" si="144"/>
        <v>2387267.401874783</v>
      </c>
      <c r="N148" s="3">
        <f t="shared" ca="1" si="145"/>
        <v>301.07254166666223</v>
      </c>
      <c r="O148" s="3">
        <f t="shared" si="146"/>
        <v>4932472</v>
      </c>
      <c r="P148" s="3">
        <f t="shared" si="147"/>
        <v>3521579.9392913198</v>
      </c>
      <c r="Q148" s="3">
        <f t="shared" si="148"/>
        <v>0</v>
      </c>
      <c r="R148" s="3">
        <f t="shared" si="149"/>
        <v>0</v>
      </c>
      <c r="S148" s="47">
        <f t="shared" ca="1" si="134"/>
        <v>8055921.4137077695</v>
      </c>
      <c r="T148" s="47">
        <f>IFERROR(HLOOKUP(B148-1,'EV Forecast WRZ'!$F$124:$T$130,3,FALSE)/12,0)+IFERROR(((HLOOKUP(B148,'EV Forecast WRZ'!$F$116:$T$122,3,FALSE)-HLOOKUP(B148-1,'EV Forecast WRZ'!$F$124:$T$130,3,FALSE)))*C148/78,0)</f>
        <v>123510.30611714112</v>
      </c>
      <c r="U148" s="47">
        <f ca="1">HLOOKUP(B148,Heating!$R$102:$AD$106,4,FALSE)*INDEX(Weather!$BO$1:$CB$20,MATCH(B148,Weather!$BO$1:$BO$20,0),MATCH(C148,Weather!$BO$1:$CB$1,0))/VLOOKUP(B148,Weather!$BO$2:$CB$20,14,FALSE)</f>
        <v>259684.92188312777</v>
      </c>
      <c r="V148" s="47">
        <f t="shared" ca="1" si="125"/>
        <v>8439116.6417080387</v>
      </c>
    </row>
    <row r="149" spans="1:22">
      <c r="A149" s="2">
        <f t="shared" si="128"/>
        <v>46507</v>
      </c>
      <c r="B149">
        <f t="shared" si="129"/>
        <v>2027</v>
      </c>
      <c r="C149">
        <f t="shared" si="130"/>
        <v>4</v>
      </c>
      <c r="E149" s="3">
        <f t="shared" ref="E149:F149" ca="1" si="168">E137</f>
        <v>412.37941287878795</v>
      </c>
      <c r="F149" s="3">
        <f t="shared" ca="1" si="168"/>
        <v>5.6420833333333338</v>
      </c>
      <c r="G149" s="47">
        <f t="shared" si="132"/>
        <v>30</v>
      </c>
      <c r="H149" s="96">
        <f>'Economic Data'!F163</f>
        <v>245.0534084</v>
      </c>
      <c r="J149">
        <f t="shared" si="133"/>
        <v>0</v>
      </c>
      <c r="L149" s="3">
        <f t="shared" si="143"/>
        <v>-2785699</v>
      </c>
      <c r="M149" s="3">
        <f t="shared" ca="1" si="144"/>
        <v>1618823.427055758</v>
      </c>
      <c r="N149" s="3">
        <f t="shared" ca="1" si="145"/>
        <v>57420.046291666673</v>
      </c>
      <c r="O149" s="3">
        <f t="shared" si="146"/>
        <v>4773360</v>
      </c>
      <c r="P149" s="3">
        <f t="shared" si="147"/>
        <v>3465704.58630826</v>
      </c>
      <c r="Q149" s="3">
        <f t="shared" si="148"/>
        <v>0</v>
      </c>
      <c r="R149" s="3">
        <f t="shared" si="149"/>
        <v>0</v>
      </c>
      <c r="S149" s="47">
        <f t="shared" ca="1" si="134"/>
        <v>7129609.059655685</v>
      </c>
      <c r="T149" s="47">
        <f>IFERROR(HLOOKUP(B149-1,'EV Forecast WRZ'!$F$124:$T$130,3,FALSE)/12,0)+IFERROR(((HLOOKUP(B149,'EV Forecast WRZ'!$F$116:$T$122,3,FALSE)-HLOOKUP(B149-1,'EV Forecast WRZ'!$F$124:$T$130,3,FALSE)))*C149/78,0)</f>
        <v>125708.60428908592</v>
      </c>
      <c r="U149" s="47">
        <f ca="1">HLOOKUP(B149,Heating!$R$102:$AD$106,4,FALSE)*INDEX(Weather!$BO$1:$CB$20,MATCH(B149,Weather!$BO$1:$BO$20,0),MATCH(C149,Weather!$BO$1:$CB$1,0))/VLOOKUP(B149,Weather!$BO$2:$CB$20,14,FALSE)</f>
        <v>167572.00699884538</v>
      </c>
      <c r="V149" s="47">
        <f t="shared" ca="1" si="125"/>
        <v>7422889.670943616</v>
      </c>
    </row>
    <row r="150" spans="1:22">
      <c r="A150" s="2">
        <f t="shared" si="128"/>
        <v>46538</v>
      </c>
      <c r="B150">
        <f t="shared" si="129"/>
        <v>2027</v>
      </c>
      <c r="C150">
        <f t="shared" si="130"/>
        <v>5</v>
      </c>
      <c r="E150" s="3">
        <f t="shared" ref="E150:F150" ca="1" si="169">E138</f>
        <v>202.70273119310133</v>
      </c>
      <c r="F150" s="3">
        <f t="shared" ca="1" si="169"/>
        <v>86.191046176046171</v>
      </c>
      <c r="G150" s="47">
        <f t="shared" si="132"/>
        <v>31</v>
      </c>
      <c r="H150" s="96">
        <f>'Economic Data'!F164</f>
        <v>244.14167599999996</v>
      </c>
      <c r="J150">
        <f t="shared" si="133"/>
        <v>0</v>
      </c>
      <c r="L150" s="3">
        <f t="shared" si="143"/>
        <v>-2785699</v>
      </c>
      <c r="M150" s="3">
        <f t="shared" ca="1" si="144"/>
        <v>795723.35508424044</v>
      </c>
      <c r="N150" s="3">
        <f t="shared" ca="1" si="145"/>
        <v>877174.89603823947</v>
      </c>
      <c r="O150" s="3">
        <f t="shared" si="146"/>
        <v>4932472</v>
      </c>
      <c r="P150" s="3">
        <f t="shared" si="147"/>
        <v>3452810.2740813992</v>
      </c>
      <c r="Q150" s="3">
        <f t="shared" si="148"/>
        <v>0</v>
      </c>
      <c r="R150" s="3">
        <f t="shared" si="149"/>
        <v>0</v>
      </c>
      <c r="S150" s="47">
        <f t="shared" ca="1" si="134"/>
        <v>7272481.525203879</v>
      </c>
      <c r="T150" s="47">
        <f>IFERROR(HLOOKUP(B150-1,'EV Forecast WRZ'!$F$124:$T$130,3,FALSE)/12,0)+IFERROR(((HLOOKUP(B150,'EV Forecast WRZ'!$F$116:$T$122,3,FALSE)-HLOOKUP(B150-1,'EV Forecast WRZ'!$F$124:$T$130,3,FALSE)))*C150/78,0)</f>
        <v>127906.90246103074</v>
      </c>
      <c r="U150" s="47">
        <f ca="1">HLOOKUP(B150,Heating!$R$102:$AD$106,4,FALSE)*INDEX(Weather!$BO$1:$CB$20,MATCH(B150,Weather!$BO$1:$BO$20,0),MATCH(C150,Weather!$BO$1:$CB$1,0))/VLOOKUP(B150,Weather!$BO$2:$CB$20,14,FALSE)</f>
        <v>71389.733578568485</v>
      </c>
      <c r="V150" s="47">
        <f t="shared" ca="1" si="125"/>
        <v>7471778.1612434778</v>
      </c>
    </row>
    <row r="151" spans="1:22">
      <c r="A151" s="2">
        <f t="shared" si="128"/>
        <v>46568</v>
      </c>
      <c r="B151">
        <f t="shared" si="129"/>
        <v>2027</v>
      </c>
      <c r="C151">
        <f t="shared" si="130"/>
        <v>6</v>
      </c>
      <c r="E151" s="3">
        <f t="shared" ref="E151:F151" ca="1" si="170">E139</f>
        <v>66.09717382617383</v>
      </c>
      <c r="F151" s="3">
        <f t="shared" ca="1" si="170"/>
        <v>194.94285087738348</v>
      </c>
      <c r="G151" s="47">
        <f t="shared" si="132"/>
        <v>30</v>
      </c>
      <c r="H151" s="96">
        <f>'Economic Data'!F165</f>
        <v>242.72342559999998</v>
      </c>
      <c r="J151">
        <f t="shared" si="133"/>
        <v>0</v>
      </c>
      <c r="L151" s="3">
        <f t="shared" si="143"/>
        <v>-2785699</v>
      </c>
      <c r="M151" s="3">
        <f t="shared" ca="1" si="144"/>
        <v>259468.95046246555</v>
      </c>
      <c r="N151" s="3">
        <f t="shared" ca="1" si="145"/>
        <v>1983952.8876642194</v>
      </c>
      <c r="O151" s="3">
        <f t="shared" si="146"/>
        <v>4773360</v>
      </c>
      <c r="P151" s="3">
        <f t="shared" si="147"/>
        <v>3432752.4550618399</v>
      </c>
      <c r="Q151" s="3">
        <f t="shared" si="148"/>
        <v>0</v>
      </c>
      <c r="R151" s="3">
        <f t="shared" si="149"/>
        <v>0</v>
      </c>
      <c r="S151" s="47">
        <f t="shared" ca="1" si="134"/>
        <v>7663835.2931885254</v>
      </c>
      <c r="T151" s="47">
        <f>IFERROR(HLOOKUP(B151-1,'EV Forecast WRZ'!$F$124:$T$130,3,FALSE)/12,0)+IFERROR(((HLOOKUP(B151,'EV Forecast WRZ'!$F$116:$T$122,3,FALSE)-HLOOKUP(B151-1,'EV Forecast WRZ'!$F$124:$T$130,3,FALSE)))*C151/78,0)</f>
        <v>130105.20063297555</v>
      </c>
      <c r="U151" s="47">
        <f ca="1">HLOOKUP(B151,Heating!$R$102:$AD$106,4,FALSE)*INDEX(Weather!$BO$1:$CB$20,MATCH(B151,Weather!$BO$1:$BO$20,0),MATCH(C151,Weather!$BO$1:$CB$1,0))/VLOOKUP(B151,Weather!$BO$2:$CB$20,14,FALSE)</f>
        <v>15463.621007062258</v>
      </c>
      <c r="V151" s="47">
        <f t="shared" ca="1" si="125"/>
        <v>7809404.1148285633</v>
      </c>
    </row>
    <row r="152" spans="1:22">
      <c r="A152" s="2">
        <f t="shared" si="128"/>
        <v>46599</v>
      </c>
      <c r="B152">
        <f t="shared" si="129"/>
        <v>2027</v>
      </c>
      <c r="C152">
        <f t="shared" si="130"/>
        <v>7</v>
      </c>
      <c r="E152" s="3">
        <f t="shared" ref="E152:F152" ca="1" si="171">E140</f>
        <v>10.249063146997932</v>
      </c>
      <c r="F152" s="3">
        <f t="shared" ca="1" si="171"/>
        <v>297.94737858727848</v>
      </c>
      <c r="G152" s="47">
        <f t="shared" si="132"/>
        <v>31</v>
      </c>
      <c r="H152" s="96">
        <f>'Economic Data'!F166</f>
        <v>246.05370547230001</v>
      </c>
      <c r="J152">
        <f t="shared" si="133"/>
        <v>0</v>
      </c>
      <c r="L152" s="3">
        <f t="shared" si="143"/>
        <v>-2785699</v>
      </c>
      <c r="M152" s="3">
        <f t="shared" ca="1" si="144"/>
        <v>40233.394319834377</v>
      </c>
      <c r="N152" s="3">
        <f t="shared" ca="1" si="145"/>
        <v>3032240.2666205917</v>
      </c>
      <c r="O152" s="3">
        <f t="shared" si="146"/>
        <v>4932472</v>
      </c>
      <c r="P152" s="3">
        <f t="shared" si="147"/>
        <v>3479851.4376978236</v>
      </c>
      <c r="Q152" s="3">
        <f t="shared" si="148"/>
        <v>0</v>
      </c>
      <c r="R152" s="3">
        <f t="shared" si="149"/>
        <v>0</v>
      </c>
      <c r="S152" s="47">
        <f t="shared" ca="1" si="134"/>
        <v>8699098.0986382496</v>
      </c>
      <c r="T152" s="47">
        <f>IFERROR(HLOOKUP(B152-1,'EV Forecast WRZ'!$F$124:$T$130,3,FALSE)/12,0)+IFERROR(((HLOOKUP(B152,'EV Forecast WRZ'!$F$116:$T$122,3,FALSE)-HLOOKUP(B152-1,'EV Forecast WRZ'!$F$124:$T$130,3,FALSE)))*C152/78,0)</f>
        <v>132303.49880492035</v>
      </c>
      <c r="U152" s="47">
        <f ca="1">HLOOKUP(B152,Heating!$R$102:$AD$106,4,FALSE)*INDEX(Weather!$BO$1:$CB$20,MATCH(B152,Weather!$BO$1:$BO$20,0),MATCH(C152,Weather!$BO$1:$CB$1,0))/VLOOKUP(B152,Weather!$BO$2:$CB$20,14,FALSE)</f>
        <v>769.31548095220057</v>
      </c>
      <c r="V152" s="47">
        <f t="shared" ca="1" si="125"/>
        <v>8832170.9129241239</v>
      </c>
    </row>
    <row r="153" spans="1:22">
      <c r="A153" s="2">
        <f t="shared" si="128"/>
        <v>46630</v>
      </c>
      <c r="B153">
        <f t="shared" si="129"/>
        <v>2027</v>
      </c>
      <c r="C153">
        <f t="shared" si="130"/>
        <v>8</v>
      </c>
      <c r="E153" s="3">
        <f t="shared" ref="E153:F153" ca="1" si="172">E141</f>
        <v>21.194927536231887</v>
      </c>
      <c r="F153" s="3">
        <f t="shared" ca="1" si="172"/>
        <v>272.96558794466404</v>
      </c>
      <c r="G153" s="47">
        <f t="shared" si="132"/>
        <v>31</v>
      </c>
      <c r="H153" s="96">
        <f>'Economic Data'!F167</f>
        <v>243.3980822501</v>
      </c>
      <c r="J153">
        <f t="shared" si="133"/>
        <v>0</v>
      </c>
      <c r="L153" s="3">
        <f t="shared" si="143"/>
        <v>-2785699</v>
      </c>
      <c r="M153" s="3">
        <f t="shared" ca="1" si="144"/>
        <v>83202.129298550746</v>
      </c>
      <c r="N153" s="3">
        <f t="shared" ca="1" si="145"/>
        <v>2777998.0850716406</v>
      </c>
      <c r="O153" s="3">
        <f t="shared" si="146"/>
        <v>4932472</v>
      </c>
      <c r="P153" s="3">
        <f t="shared" si="147"/>
        <v>3442293.887934377</v>
      </c>
      <c r="Q153" s="3">
        <f t="shared" si="148"/>
        <v>0</v>
      </c>
      <c r="R153" s="3">
        <f t="shared" si="149"/>
        <v>0</v>
      </c>
      <c r="S153" s="47">
        <f t="shared" ca="1" si="134"/>
        <v>8450267.1023045685</v>
      </c>
      <c r="T153" s="47">
        <f>IFERROR(HLOOKUP(B153-1,'EV Forecast WRZ'!$F$124:$T$130,3,FALSE)/12,0)+IFERROR(((HLOOKUP(B153,'EV Forecast WRZ'!$F$116:$T$122,3,FALSE)-HLOOKUP(B153-1,'EV Forecast WRZ'!$F$124:$T$130,3,FALSE)))*C153/78,0)</f>
        <v>134501.79697686515</v>
      </c>
      <c r="U153" s="47">
        <f ca="1">HLOOKUP(B153,Heating!$R$102:$AD$106,4,FALSE)*INDEX(Weather!$BO$1:$CB$20,MATCH(B153,Weather!$BO$1:$BO$20,0),MATCH(C153,Weather!$BO$1:$CB$1,0))/VLOOKUP(B153,Weather!$BO$2:$CB$20,14,FALSE)</f>
        <v>2686.5614014194807</v>
      </c>
      <c r="V153" s="47">
        <f t="shared" ca="1" si="125"/>
        <v>8587455.4606828522</v>
      </c>
    </row>
    <row r="154" spans="1:22">
      <c r="A154" s="2">
        <f t="shared" si="128"/>
        <v>46660</v>
      </c>
      <c r="B154">
        <f t="shared" si="129"/>
        <v>2027</v>
      </c>
      <c r="C154">
        <f t="shared" si="130"/>
        <v>9</v>
      </c>
      <c r="E154" s="3">
        <f t="shared" ref="E154:F154" ca="1" si="173">E142</f>
        <v>96.735690993788822</v>
      </c>
      <c r="F154" s="3">
        <f t="shared" ca="1" si="173"/>
        <v>158.67014233954447</v>
      </c>
      <c r="G154" s="47">
        <f t="shared" si="132"/>
        <v>30</v>
      </c>
      <c r="H154" s="96">
        <f>'Economic Data'!F168</f>
        <v>245.64514805350001</v>
      </c>
      <c r="J154">
        <f t="shared" si="133"/>
        <v>1</v>
      </c>
      <c r="L154" s="3">
        <f t="shared" si="143"/>
        <v>-2785699</v>
      </c>
      <c r="M154" s="3">
        <f t="shared" ca="1" si="144"/>
        <v>379742.53302310564</v>
      </c>
      <c r="N154" s="3">
        <f t="shared" ca="1" si="145"/>
        <v>1614801.9056037781</v>
      </c>
      <c r="O154" s="3">
        <f t="shared" si="146"/>
        <v>4773360</v>
      </c>
      <c r="P154" s="3">
        <f t="shared" si="147"/>
        <v>3474073.3531188318</v>
      </c>
      <c r="Q154" s="3">
        <f t="shared" si="148"/>
        <v>0</v>
      </c>
      <c r="R154" s="3">
        <f t="shared" si="149"/>
        <v>193962.4</v>
      </c>
      <c r="S154" s="47">
        <f t="shared" ca="1" si="134"/>
        <v>7650241.1917457152</v>
      </c>
      <c r="T154" s="47">
        <f>IFERROR(HLOOKUP(B154-1,'EV Forecast WRZ'!$F$124:$T$130,3,FALSE)/12,0)+IFERROR(((HLOOKUP(B154,'EV Forecast WRZ'!$F$116:$T$122,3,FALSE)-HLOOKUP(B154-1,'EV Forecast WRZ'!$F$124:$T$130,3,FALSE)))*C154/78,0)</f>
        <v>136700.09514880998</v>
      </c>
      <c r="U154" s="47">
        <f ca="1">HLOOKUP(B154,Heating!$R$102:$AD$106,4,FALSE)*INDEX(Weather!$BO$1:$CB$20,MATCH(B154,Weather!$BO$1:$BO$20,0),MATCH(C154,Weather!$BO$1:$CB$1,0))/VLOOKUP(B154,Weather!$BO$2:$CB$20,14,FALSE)</f>
        <v>26133.08191460259</v>
      </c>
      <c r="V154" s="47">
        <f t="shared" ca="1" si="125"/>
        <v>7813074.3688091282</v>
      </c>
    </row>
    <row r="155" spans="1:22">
      <c r="A155" s="2">
        <f t="shared" si="128"/>
        <v>46691</v>
      </c>
      <c r="B155">
        <f t="shared" si="129"/>
        <v>2027</v>
      </c>
      <c r="C155">
        <f t="shared" si="130"/>
        <v>10</v>
      </c>
      <c r="E155" s="3">
        <f t="shared" ref="E155:F155" ca="1" si="174">E143</f>
        <v>298.21097826086958</v>
      </c>
      <c r="F155" s="3">
        <f t="shared" ca="1" si="174"/>
        <v>35.32833333333334</v>
      </c>
      <c r="G155" s="47">
        <f t="shared" si="132"/>
        <v>31</v>
      </c>
      <c r="H155" s="96">
        <f>'Economic Data'!F169</f>
        <v>247.27937772869998</v>
      </c>
      <c r="J155">
        <f t="shared" si="133"/>
        <v>1</v>
      </c>
      <c r="L155" s="3">
        <f t="shared" si="143"/>
        <v>-2785699</v>
      </c>
      <c r="M155" s="3">
        <f t="shared" ca="1" si="144"/>
        <v>1170647.4735095652</v>
      </c>
      <c r="N155" s="3">
        <f t="shared" ca="1" si="145"/>
        <v>359539.98116666672</v>
      </c>
      <c r="O155" s="3">
        <f t="shared" si="146"/>
        <v>4932472</v>
      </c>
      <c r="P155" s="3">
        <f t="shared" si="147"/>
        <v>3497185.6914347988</v>
      </c>
      <c r="Q155" s="3">
        <f t="shared" si="148"/>
        <v>0</v>
      </c>
      <c r="R155" s="3">
        <f t="shared" si="149"/>
        <v>193962.4</v>
      </c>
      <c r="S155" s="47">
        <f t="shared" ca="1" si="134"/>
        <v>7368108.5461110305</v>
      </c>
      <c r="T155" s="47">
        <f>IFERROR(HLOOKUP(B155-1,'EV Forecast WRZ'!$F$124:$T$130,3,FALSE)/12,0)+IFERROR(((HLOOKUP(B155,'EV Forecast WRZ'!$F$116:$T$122,3,FALSE)-HLOOKUP(B155-1,'EV Forecast WRZ'!$F$124:$T$130,3,FALSE)))*C155/78,0)</f>
        <v>138898.39332075478</v>
      </c>
      <c r="U155" s="47">
        <f ca="1">HLOOKUP(B155,Heating!$R$102:$AD$106,4,FALSE)*INDEX(Weather!$BO$1:$CB$20,MATCH(B155,Weather!$BO$1:$BO$20,0),MATCH(C155,Weather!$BO$1:$CB$1,0))/VLOOKUP(B155,Weather!$BO$2:$CB$20,14,FALSE)</f>
        <v>113119.36133623861</v>
      </c>
      <c r="V155" s="47">
        <f t="shared" ca="1" si="125"/>
        <v>7620126.3007680243</v>
      </c>
    </row>
    <row r="156" spans="1:22">
      <c r="A156" s="2">
        <f t="shared" si="128"/>
        <v>46721</v>
      </c>
      <c r="B156">
        <f t="shared" si="129"/>
        <v>2027</v>
      </c>
      <c r="C156">
        <f t="shared" si="130"/>
        <v>11</v>
      </c>
      <c r="E156" s="3">
        <f t="shared" ref="E156:F156" ca="1" si="175">E144</f>
        <v>486.62991389045737</v>
      </c>
      <c r="F156" s="3">
        <f t="shared" ca="1" si="175"/>
        <v>2.2779166666666657</v>
      </c>
      <c r="G156" s="47">
        <f t="shared" si="132"/>
        <v>30</v>
      </c>
      <c r="H156" s="96">
        <f>'Economic Data'!F170</f>
        <v>246.76868095519998</v>
      </c>
      <c r="J156">
        <f t="shared" si="133"/>
        <v>1</v>
      </c>
      <c r="L156" s="3">
        <f t="shared" si="143"/>
        <v>-2785699</v>
      </c>
      <c r="M156" s="3">
        <f t="shared" ca="1" si="144"/>
        <v>1910298.817811135</v>
      </c>
      <c r="N156" s="3">
        <f t="shared" ca="1" si="145"/>
        <v>23182.585708333325</v>
      </c>
      <c r="O156" s="3">
        <f t="shared" si="146"/>
        <v>4773360</v>
      </c>
      <c r="P156" s="3">
        <f t="shared" si="147"/>
        <v>3489963.0857110592</v>
      </c>
      <c r="Q156" s="3">
        <f t="shared" si="148"/>
        <v>0</v>
      </c>
      <c r="R156" s="3">
        <f t="shared" si="149"/>
        <v>193962.4</v>
      </c>
      <c r="S156" s="47">
        <f t="shared" ca="1" si="134"/>
        <v>7605067.8892305279</v>
      </c>
      <c r="T156" s="47">
        <f>IFERROR(HLOOKUP(B156-1,'EV Forecast WRZ'!$F$124:$T$130,3,FALSE)/12,0)+IFERROR(((HLOOKUP(B156,'EV Forecast WRZ'!$F$116:$T$122,3,FALSE)-HLOOKUP(B156-1,'EV Forecast WRZ'!$F$124:$T$130,3,FALSE)))*C156/78,0)</f>
        <v>141096.69149269958</v>
      </c>
      <c r="U156" s="47">
        <f ca="1">HLOOKUP(B156,Heating!$R$102:$AD$106,4,FALSE)*INDEX(Weather!$BO$1:$CB$20,MATCH(B156,Weather!$BO$1:$BO$20,0),MATCH(C156,Weather!$BO$1:$CB$1,0))/VLOOKUP(B156,Weather!$BO$2:$CB$20,14,FALSE)</f>
        <v>202861.49722991505</v>
      </c>
      <c r="V156" s="47">
        <f t="shared" ca="1" si="125"/>
        <v>7949026.077953143</v>
      </c>
    </row>
    <row r="157" spans="1:22">
      <c r="A157" s="2">
        <f t="shared" si="128"/>
        <v>46752</v>
      </c>
      <c r="B157">
        <f t="shared" si="129"/>
        <v>2027</v>
      </c>
      <c r="C157">
        <f t="shared" si="130"/>
        <v>12</v>
      </c>
      <c r="E157" s="3">
        <f t="shared" ref="E157:F157" ca="1" si="176">E145</f>
        <v>639.92800724637686</v>
      </c>
      <c r="F157" s="3">
        <f t="shared" ca="1" si="176"/>
        <v>0</v>
      </c>
      <c r="G157" s="47">
        <f t="shared" si="132"/>
        <v>31</v>
      </c>
      <c r="H157" s="96">
        <f>'Economic Data'!F171</f>
        <v>244.62375450650001</v>
      </c>
      <c r="J157">
        <f t="shared" si="133"/>
        <v>0</v>
      </c>
      <c r="L157" s="3">
        <f t="shared" si="143"/>
        <v>-2785699</v>
      </c>
      <c r="M157" s="3">
        <f t="shared" ca="1" si="144"/>
        <v>2512080.9075501454</v>
      </c>
      <c r="N157" s="3">
        <f t="shared" ca="1" si="145"/>
        <v>0</v>
      </c>
      <c r="O157" s="3">
        <f t="shared" si="146"/>
        <v>4932472</v>
      </c>
      <c r="P157" s="3">
        <f t="shared" si="147"/>
        <v>3459628.1416713521</v>
      </c>
      <c r="Q157" s="3">
        <f t="shared" si="148"/>
        <v>0</v>
      </c>
      <c r="R157" s="3">
        <f t="shared" si="149"/>
        <v>0</v>
      </c>
      <c r="S157" s="47">
        <f t="shared" ca="1" si="134"/>
        <v>8118482.049221497</v>
      </c>
      <c r="T157" s="47">
        <f>IFERROR(HLOOKUP(B157-1,'EV Forecast WRZ'!$F$124:$T$130,3,FALSE)/12,0)+IFERROR(((HLOOKUP(B157,'EV Forecast WRZ'!$F$116:$T$122,3,FALSE)-HLOOKUP(B157-1,'EV Forecast WRZ'!$F$124:$T$130,3,FALSE)))*C157/78,0)</f>
        <v>143294.98966464441</v>
      </c>
      <c r="U157" s="47">
        <f ca="1">HLOOKUP(B157,Heating!$R$102:$AD$106,4,FALSE)*INDEX(Weather!$BO$1:$CB$20,MATCH(B157,Weather!$BO$1:$BO$20,0),MATCH(C157,Weather!$BO$1:$CB$1,0))/VLOOKUP(B157,Weather!$BO$2:$CB$20,14,FALSE)</f>
        <v>274803.37647210527</v>
      </c>
      <c r="V157" s="47">
        <f t="shared" ca="1" si="125"/>
        <v>8536580.4153582454</v>
      </c>
    </row>
    <row r="158" spans="1:22">
      <c r="A158" s="2">
        <f t="shared" si="128"/>
        <v>46783</v>
      </c>
      <c r="B158">
        <f t="shared" si="129"/>
        <v>2028</v>
      </c>
      <c r="C158">
        <f t="shared" si="130"/>
        <v>1</v>
      </c>
      <c r="E158" s="3">
        <f t="shared" ref="E158:F158" ca="1" si="177">E146</f>
        <v>759.33418478260865</v>
      </c>
      <c r="F158" s="3">
        <f t="shared" ca="1" si="177"/>
        <v>0</v>
      </c>
      <c r="G158" s="47">
        <f t="shared" si="132"/>
        <v>31</v>
      </c>
      <c r="H158" s="96">
        <f>'Economic Data'!F172</f>
        <v>246.85002774599997</v>
      </c>
      <c r="J158">
        <f t="shared" si="133"/>
        <v>0</v>
      </c>
      <c r="L158" s="3">
        <f t="shared" si="143"/>
        <v>-2785699</v>
      </c>
      <c r="M158" s="3">
        <f t="shared" ca="1" si="144"/>
        <v>2980817.9770886954</v>
      </c>
      <c r="N158" s="3">
        <f t="shared" ca="1" si="145"/>
        <v>0</v>
      </c>
      <c r="O158" s="3">
        <f t="shared" si="146"/>
        <v>4932472</v>
      </c>
      <c r="P158" s="3">
        <f t="shared" si="147"/>
        <v>3491113.5449019661</v>
      </c>
      <c r="Q158" s="3">
        <f t="shared" si="148"/>
        <v>0</v>
      </c>
      <c r="R158" s="3">
        <f t="shared" si="149"/>
        <v>0</v>
      </c>
      <c r="S158" s="47">
        <f t="shared" ca="1" si="134"/>
        <v>8618704.5219906606</v>
      </c>
      <c r="T158" s="47">
        <f>IFERROR(HLOOKUP(B158-1,'EV Forecast WRZ'!$F$124:$T$130,3,FALSE)/12,0)+IFERROR(((HLOOKUP(B158,'EV Forecast WRZ'!$F$116:$T$122,3,FALSE)-HLOOKUP(B158-1,'EV Forecast WRZ'!$F$124:$T$130,3,FALSE)))*C158/78,0)</f>
        <v>149670.58154158524</v>
      </c>
      <c r="U158" s="47">
        <f ca="1">HLOOKUP(B158,Heating!$R$102:$AD$106,4,FALSE)*INDEX(Weather!$BO$1:$CB$20,MATCH(B158,Weather!$BO$1:$BO$20,0),MATCH(C158,Weather!$BO$1:$CB$1,0))/VLOOKUP(B158,Weather!$BO$2:$CB$20,14,FALSE)</f>
        <v>382975.28713761416</v>
      </c>
      <c r="V158" s="47">
        <f t="shared" ca="1" si="125"/>
        <v>9151350.3906698599</v>
      </c>
    </row>
    <row r="159" spans="1:22">
      <c r="A159" s="2">
        <f t="shared" si="128"/>
        <v>46812</v>
      </c>
      <c r="B159">
        <f t="shared" si="129"/>
        <v>2028</v>
      </c>
      <c r="C159">
        <f t="shared" si="130"/>
        <v>2</v>
      </c>
      <c r="E159" s="3">
        <f t="shared" ref="E159:F159" ca="1" si="178">E147</f>
        <v>680.85501811594202</v>
      </c>
      <c r="F159" s="3">
        <f t="shared" ca="1" si="178"/>
        <v>0</v>
      </c>
      <c r="G159" s="47">
        <f t="shared" si="132"/>
        <v>28</v>
      </c>
      <c r="H159" s="96">
        <f>'Economic Data'!F173</f>
        <v>248.68990372919995</v>
      </c>
      <c r="J159">
        <f t="shared" si="133"/>
        <v>0</v>
      </c>
      <c r="L159" s="3">
        <f t="shared" si="143"/>
        <v>-2785699</v>
      </c>
      <c r="M159" s="3">
        <f t="shared" ca="1" si="144"/>
        <v>2672742.6717553623</v>
      </c>
      <c r="N159" s="3">
        <f t="shared" ca="1" si="145"/>
        <v>0</v>
      </c>
      <c r="O159" s="3">
        <f t="shared" si="146"/>
        <v>4455136</v>
      </c>
      <c r="P159" s="3">
        <f t="shared" si="147"/>
        <v>3517134.2669757698</v>
      </c>
      <c r="Q159" s="3">
        <f t="shared" si="148"/>
        <v>0</v>
      </c>
      <c r="R159" s="3">
        <f t="shared" si="149"/>
        <v>0</v>
      </c>
      <c r="S159" s="47">
        <f t="shared" ca="1" si="134"/>
        <v>7859313.9387311321</v>
      </c>
      <c r="T159" s="47">
        <f>IFERROR(HLOOKUP(B159-1,'EV Forecast WRZ'!$F$124:$T$130,3,FALSE)/12,0)+IFERROR(((HLOOKUP(B159,'EV Forecast WRZ'!$F$116:$T$122,3,FALSE)-HLOOKUP(B159-1,'EV Forecast WRZ'!$F$124:$T$130,3,FALSE)))*C159/78,0)</f>
        <v>152021.09524658127</v>
      </c>
      <c r="U159" s="47">
        <f ca="1">HLOOKUP(B159,Heating!$R$102:$AD$106,4,FALSE)*INDEX(Weather!$BO$1:$CB$20,MATCH(B159,Weather!$BO$1:$BO$20,0),MATCH(C159,Weather!$BO$1:$CB$1,0))/VLOOKUP(B159,Weather!$BO$2:$CB$20,14,FALSE)</f>
        <v>342840.27662372502</v>
      </c>
      <c r="V159" s="47">
        <f t="shared" ca="1" si="125"/>
        <v>8354175.3106014384</v>
      </c>
    </row>
    <row r="160" spans="1:22">
      <c r="A160" s="2">
        <f t="shared" si="128"/>
        <v>46843</v>
      </c>
      <c r="B160">
        <f t="shared" si="129"/>
        <v>2028</v>
      </c>
      <c r="C160">
        <f t="shared" si="130"/>
        <v>3</v>
      </c>
      <c r="E160" s="3">
        <f t="shared" ref="E160:F160" ca="1" si="179">E148</f>
        <v>608.13298913043479</v>
      </c>
      <c r="F160" s="3">
        <f t="shared" ca="1" si="179"/>
        <v>2.9583333333332896E-2</v>
      </c>
      <c r="G160" s="47">
        <f t="shared" si="132"/>
        <v>31</v>
      </c>
      <c r="H160" s="96">
        <f>'Economic Data'!F174</f>
        <v>251.24528703919998</v>
      </c>
      <c r="J160">
        <f t="shared" si="133"/>
        <v>0</v>
      </c>
      <c r="L160" s="3">
        <f t="shared" si="143"/>
        <v>-2785699</v>
      </c>
      <c r="M160" s="3">
        <f t="shared" ca="1" si="144"/>
        <v>2387267.401874783</v>
      </c>
      <c r="N160" s="3">
        <f t="shared" ca="1" si="145"/>
        <v>301.07254166666223</v>
      </c>
      <c r="O160" s="3">
        <f t="shared" si="146"/>
        <v>4932472</v>
      </c>
      <c r="P160" s="3">
        <f t="shared" si="147"/>
        <v>3553274.1587449415</v>
      </c>
      <c r="Q160" s="3">
        <f t="shared" si="148"/>
        <v>0</v>
      </c>
      <c r="R160" s="3">
        <f t="shared" si="149"/>
        <v>0</v>
      </c>
      <c r="S160" s="47">
        <f t="shared" ca="1" si="134"/>
        <v>8087615.6331613911</v>
      </c>
      <c r="T160" s="47">
        <f>IFERROR(HLOOKUP(B160-1,'EV Forecast WRZ'!$F$124:$T$130,3,FALSE)/12,0)+IFERROR(((HLOOKUP(B160,'EV Forecast WRZ'!$F$116:$T$122,3,FALSE)-HLOOKUP(B160-1,'EV Forecast WRZ'!$F$124:$T$130,3,FALSE)))*C160/78,0)</f>
        <v>154371.60895157731</v>
      </c>
      <c r="U160" s="47">
        <f ca="1">HLOOKUP(B160,Heating!$R$102:$AD$106,4,FALSE)*INDEX(Weather!$BO$1:$CB$20,MATCH(B160,Weather!$BO$1:$BO$20,0),MATCH(C160,Weather!$BO$1:$CB$1,0))/VLOOKUP(B160,Weather!$BO$2:$CB$20,14,FALSE)</f>
        <v>299935.73080424161</v>
      </c>
      <c r="V160" s="47">
        <f t="shared" ca="1" si="125"/>
        <v>8541922.9729172103</v>
      </c>
    </row>
    <row r="161" spans="1:22">
      <c r="A161" s="2">
        <f t="shared" si="128"/>
        <v>46873</v>
      </c>
      <c r="B161">
        <f t="shared" si="129"/>
        <v>2028</v>
      </c>
      <c r="C161">
        <f t="shared" si="130"/>
        <v>4</v>
      </c>
      <c r="E161" s="3">
        <f t="shared" ref="E161:F161" ca="1" si="180">E149</f>
        <v>412.37941287878795</v>
      </c>
      <c r="F161" s="3">
        <f t="shared" ca="1" si="180"/>
        <v>5.6420833333333338</v>
      </c>
      <c r="G161" s="47">
        <f t="shared" si="132"/>
        <v>30</v>
      </c>
      <c r="H161" s="96">
        <f>'Economic Data'!F175</f>
        <v>247.25888907559997</v>
      </c>
      <c r="J161">
        <f t="shared" si="133"/>
        <v>0</v>
      </c>
      <c r="L161" s="3">
        <f t="shared" si="143"/>
        <v>-2785699</v>
      </c>
      <c r="M161" s="3">
        <f t="shared" ca="1" si="144"/>
        <v>1618823.427055758</v>
      </c>
      <c r="N161" s="3">
        <f t="shared" ca="1" si="145"/>
        <v>57420.046291666673</v>
      </c>
      <c r="O161" s="3">
        <f t="shared" si="146"/>
        <v>4773360</v>
      </c>
      <c r="P161" s="3">
        <f t="shared" si="147"/>
        <v>3496895.9275850337</v>
      </c>
      <c r="Q161" s="3">
        <f t="shared" si="148"/>
        <v>0</v>
      </c>
      <c r="R161" s="3">
        <f t="shared" si="149"/>
        <v>0</v>
      </c>
      <c r="S161" s="47">
        <f t="shared" ca="1" si="134"/>
        <v>7160800.4009324582</v>
      </c>
      <c r="T161" s="47">
        <f>IFERROR(HLOOKUP(B161-1,'EV Forecast WRZ'!$F$124:$T$130,3,FALSE)/12,0)+IFERROR(((HLOOKUP(B161,'EV Forecast WRZ'!$F$116:$T$122,3,FALSE)-HLOOKUP(B161-1,'EV Forecast WRZ'!$F$124:$T$130,3,FALSE)))*C161/78,0)</f>
        <v>156722.12265657334</v>
      </c>
      <c r="U161" s="47">
        <f ca="1">HLOOKUP(B161,Heating!$R$102:$AD$106,4,FALSE)*INDEX(Weather!$BO$1:$CB$20,MATCH(B161,Weather!$BO$1:$BO$20,0),MATCH(C161,Weather!$BO$1:$CB$1,0))/VLOOKUP(B161,Weather!$BO$2:$CB$20,14,FALSE)</f>
        <v>193545.4396699715</v>
      </c>
      <c r="V161" s="47">
        <f t="shared" ca="1" si="125"/>
        <v>7511067.9632590031</v>
      </c>
    </row>
    <row r="162" spans="1:22">
      <c r="A162" s="2">
        <f t="shared" si="128"/>
        <v>46904</v>
      </c>
      <c r="B162">
        <f t="shared" si="129"/>
        <v>2028</v>
      </c>
      <c r="C162">
        <f t="shared" si="130"/>
        <v>5</v>
      </c>
      <c r="E162" s="3">
        <f t="shared" ref="E162:F162" ca="1" si="181">E150</f>
        <v>202.70273119310133</v>
      </c>
      <c r="F162" s="3">
        <f t="shared" ca="1" si="181"/>
        <v>86.191046176046171</v>
      </c>
      <c r="G162" s="47">
        <f t="shared" si="132"/>
        <v>31</v>
      </c>
      <c r="H162" s="96">
        <f>'Economic Data'!F176</f>
        <v>246.33895108399994</v>
      </c>
      <c r="J162">
        <f t="shared" si="133"/>
        <v>0</v>
      </c>
      <c r="L162" s="3">
        <f t="shared" si="143"/>
        <v>-2785699</v>
      </c>
      <c r="M162" s="3">
        <f t="shared" ca="1" si="144"/>
        <v>795723.35508424044</v>
      </c>
      <c r="N162" s="3">
        <f t="shared" ca="1" si="145"/>
        <v>877174.89603823947</v>
      </c>
      <c r="O162" s="3">
        <f t="shared" si="146"/>
        <v>4932472</v>
      </c>
      <c r="P162" s="3">
        <f t="shared" si="147"/>
        <v>3483885.5665481319</v>
      </c>
      <c r="Q162" s="3">
        <f t="shared" si="148"/>
        <v>0</v>
      </c>
      <c r="R162" s="3">
        <f t="shared" si="149"/>
        <v>0</v>
      </c>
      <c r="S162" s="47">
        <f t="shared" ca="1" si="134"/>
        <v>7303556.8176706117</v>
      </c>
      <c r="T162" s="47">
        <f>IFERROR(HLOOKUP(B162-1,'EV Forecast WRZ'!$F$124:$T$130,3,FALSE)/12,0)+IFERROR(((HLOOKUP(B162,'EV Forecast WRZ'!$F$116:$T$122,3,FALSE)-HLOOKUP(B162-1,'EV Forecast WRZ'!$F$124:$T$130,3,FALSE)))*C162/78,0)</f>
        <v>159072.63636156937</v>
      </c>
      <c r="U162" s="47">
        <f ca="1">HLOOKUP(B162,Heating!$R$102:$AD$106,4,FALSE)*INDEX(Weather!$BO$1:$CB$20,MATCH(B162,Weather!$BO$1:$BO$20,0),MATCH(C162,Weather!$BO$1:$CB$1,0))/VLOOKUP(B162,Weather!$BO$2:$CB$20,14,FALSE)</f>
        <v>82455.044973480399</v>
      </c>
      <c r="V162" s="47">
        <f t="shared" ca="1" si="125"/>
        <v>7545084.4990056613</v>
      </c>
    </row>
    <row r="163" spans="1:22">
      <c r="A163" s="2">
        <f t="shared" si="128"/>
        <v>46934</v>
      </c>
      <c r="B163">
        <f t="shared" si="129"/>
        <v>2028</v>
      </c>
      <c r="C163">
        <f t="shared" si="130"/>
        <v>6</v>
      </c>
      <c r="E163" s="3">
        <f t="shared" ref="E163:F163" ca="1" si="182">E151</f>
        <v>66.09717382617383</v>
      </c>
      <c r="F163" s="3">
        <f t="shared" ca="1" si="182"/>
        <v>194.94285087738348</v>
      </c>
      <c r="G163" s="47">
        <f t="shared" si="132"/>
        <v>30</v>
      </c>
      <c r="H163" s="96">
        <f>'Economic Data'!F177</f>
        <v>244.90793643039996</v>
      </c>
      <c r="J163">
        <f t="shared" si="133"/>
        <v>0</v>
      </c>
      <c r="L163" s="3">
        <f t="shared" si="143"/>
        <v>-2785699</v>
      </c>
      <c r="M163" s="3">
        <f t="shared" ca="1" si="144"/>
        <v>259468.95046246555</v>
      </c>
      <c r="N163" s="3">
        <f t="shared" ca="1" si="145"/>
        <v>1983952.8876642194</v>
      </c>
      <c r="O163" s="3">
        <f t="shared" si="146"/>
        <v>4773360</v>
      </c>
      <c r="P163" s="3">
        <f t="shared" si="147"/>
        <v>3463647.2271573958</v>
      </c>
      <c r="Q163" s="3">
        <f t="shared" si="148"/>
        <v>0</v>
      </c>
      <c r="R163" s="3">
        <f t="shared" si="149"/>
        <v>0</v>
      </c>
      <c r="S163" s="47">
        <f t="shared" ca="1" si="134"/>
        <v>7694730.0652840808</v>
      </c>
      <c r="T163" s="47">
        <f>IFERROR(HLOOKUP(B163-1,'EV Forecast WRZ'!$F$124:$T$130,3,FALSE)/12,0)+IFERROR(((HLOOKUP(B163,'EV Forecast WRZ'!$F$116:$T$122,3,FALSE)-HLOOKUP(B163-1,'EV Forecast WRZ'!$F$124:$T$130,3,FALSE)))*C163/78,0)</f>
        <v>161423.1500665654</v>
      </c>
      <c r="U163" s="47">
        <f ca="1">HLOOKUP(B163,Heating!$R$102:$AD$106,4,FALSE)*INDEX(Weather!$BO$1:$CB$20,MATCH(B163,Weather!$BO$1:$BO$20,0),MATCH(C163,Weather!$BO$1:$CB$1,0))/VLOOKUP(B163,Weather!$BO$2:$CB$20,14,FALSE)</f>
        <v>17860.461185037278</v>
      </c>
      <c r="V163" s="47">
        <f t="shared" ca="1" si="125"/>
        <v>7874013.6765356837</v>
      </c>
    </row>
    <row r="164" spans="1:22">
      <c r="A164" s="2">
        <f t="shared" si="128"/>
        <v>46965</v>
      </c>
      <c r="B164">
        <f t="shared" si="129"/>
        <v>2028</v>
      </c>
      <c r="C164">
        <f t="shared" si="130"/>
        <v>7</v>
      </c>
      <c r="E164" s="3">
        <f t="shared" ref="E164:F164" ca="1" si="183">E152</f>
        <v>10.249063146997932</v>
      </c>
      <c r="F164" s="3">
        <f t="shared" ca="1" si="183"/>
        <v>297.94737858727848</v>
      </c>
      <c r="G164" s="47">
        <f t="shared" si="132"/>
        <v>31</v>
      </c>
      <c r="H164" s="96">
        <f>'Economic Data'!F178</f>
        <v>248.26818882155069</v>
      </c>
      <c r="J164">
        <f t="shared" si="133"/>
        <v>0</v>
      </c>
      <c r="L164" s="3">
        <f t="shared" si="143"/>
        <v>-2785699</v>
      </c>
      <c r="M164" s="3">
        <f t="shared" ca="1" si="144"/>
        <v>40233.394319834377</v>
      </c>
      <c r="N164" s="3">
        <f t="shared" ca="1" si="145"/>
        <v>3032240.2666205917</v>
      </c>
      <c r="O164" s="3">
        <f t="shared" si="146"/>
        <v>4932472</v>
      </c>
      <c r="P164" s="3">
        <f t="shared" si="147"/>
        <v>3511170.1006371039</v>
      </c>
      <c r="Q164" s="3">
        <f t="shared" si="148"/>
        <v>0</v>
      </c>
      <c r="R164" s="3">
        <f t="shared" si="149"/>
        <v>0</v>
      </c>
      <c r="S164" s="47">
        <f t="shared" ca="1" si="134"/>
        <v>8730416.7615775298</v>
      </c>
      <c r="T164" s="47">
        <f>IFERROR(HLOOKUP(B164-1,'EV Forecast WRZ'!$F$124:$T$130,3,FALSE)/12,0)+IFERROR(((HLOOKUP(B164,'EV Forecast WRZ'!$F$116:$T$122,3,FALSE)-HLOOKUP(B164-1,'EV Forecast WRZ'!$F$124:$T$130,3,FALSE)))*C164/78,0)</f>
        <v>163773.66377156143</v>
      </c>
      <c r="U164" s="47">
        <f ca="1">HLOOKUP(B164,Heating!$R$102:$AD$106,4,FALSE)*INDEX(Weather!$BO$1:$CB$20,MATCH(B164,Weather!$BO$1:$BO$20,0),MATCH(C164,Weather!$BO$1:$CB$1,0))/VLOOKUP(B164,Weather!$BO$2:$CB$20,14,FALSE)</f>
        <v>888.55833186288226</v>
      </c>
      <c r="V164" s="47">
        <f t="shared" ca="1" si="125"/>
        <v>8895078.9836809542</v>
      </c>
    </row>
    <row r="165" spans="1:22">
      <c r="A165" s="2">
        <f t="shared" si="128"/>
        <v>46996</v>
      </c>
      <c r="B165">
        <f t="shared" si="129"/>
        <v>2028</v>
      </c>
      <c r="C165">
        <f t="shared" si="130"/>
        <v>8</v>
      </c>
      <c r="E165" s="3">
        <f t="shared" ref="E165:F165" ca="1" si="184">E153</f>
        <v>21.194927536231887</v>
      </c>
      <c r="F165" s="3">
        <f t="shared" ca="1" si="184"/>
        <v>272.96558794466404</v>
      </c>
      <c r="G165" s="47">
        <f t="shared" si="132"/>
        <v>31</v>
      </c>
      <c r="H165" s="96">
        <f>'Economic Data'!F179</f>
        <v>245.58866499035088</v>
      </c>
      <c r="J165">
        <f t="shared" si="133"/>
        <v>0</v>
      </c>
      <c r="L165" s="3">
        <f t="shared" si="143"/>
        <v>-2785699</v>
      </c>
      <c r="M165" s="3">
        <f t="shared" ca="1" si="144"/>
        <v>83202.129298550746</v>
      </c>
      <c r="N165" s="3">
        <f t="shared" ca="1" si="145"/>
        <v>2777998.0850716406</v>
      </c>
      <c r="O165" s="3">
        <f t="shared" si="146"/>
        <v>4932472</v>
      </c>
      <c r="P165" s="3">
        <f t="shared" si="147"/>
        <v>3473274.532925786</v>
      </c>
      <c r="Q165" s="3">
        <f t="shared" si="148"/>
        <v>0</v>
      </c>
      <c r="R165" s="3">
        <f t="shared" si="149"/>
        <v>0</v>
      </c>
      <c r="S165" s="47">
        <f t="shared" ca="1" si="134"/>
        <v>8481247.7472959775</v>
      </c>
      <c r="T165" s="47">
        <f>IFERROR(HLOOKUP(B165-1,'EV Forecast WRZ'!$F$124:$T$130,3,FALSE)/12,0)+IFERROR(((HLOOKUP(B165,'EV Forecast WRZ'!$F$116:$T$122,3,FALSE)-HLOOKUP(B165-1,'EV Forecast WRZ'!$F$124:$T$130,3,FALSE)))*C165/78,0)</f>
        <v>166124.17747655747</v>
      </c>
      <c r="U165" s="47">
        <f ca="1">HLOOKUP(B165,Heating!$R$102:$AD$106,4,FALSE)*INDEX(Weather!$BO$1:$CB$20,MATCH(B165,Weather!$BO$1:$BO$20,0),MATCH(C165,Weather!$BO$1:$CB$1,0))/VLOOKUP(B165,Weather!$BO$2:$CB$20,14,FALSE)</f>
        <v>3102.9747566470996</v>
      </c>
      <c r="V165" s="47">
        <f t="shared" ca="1" si="125"/>
        <v>8650474.8995291814</v>
      </c>
    </row>
    <row r="166" spans="1:22">
      <c r="A166" s="2">
        <f t="shared" si="128"/>
        <v>47026</v>
      </c>
      <c r="B166">
        <f t="shared" si="129"/>
        <v>2028</v>
      </c>
      <c r="C166">
        <f t="shared" si="130"/>
        <v>9</v>
      </c>
      <c r="E166" s="3">
        <f t="shared" ref="E166:F166" ca="1" si="185">E154</f>
        <v>96.735690993788822</v>
      </c>
      <c r="F166" s="3">
        <f t="shared" ca="1" si="185"/>
        <v>158.67014233954447</v>
      </c>
      <c r="G166" s="47">
        <f t="shared" si="132"/>
        <v>30</v>
      </c>
      <c r="H166" s="96">
        <f>'Economic Data'!F180</f>
        <v>247.85595438598148</v>
      </c>
      <c r="J166">
        <f t="shared" si="133"/>
        <v>1</v>
      </c>
      <c r="L166" s="3">
        <f t="shared" si="143"/>
        <v>-2785699</v>
      </c>
      <c r="M166" s="3">
        <f t="shared" ca="1" si="144"/>
        <v>379742.53302310564</v>
      </c>
      <c r="N166" s="3">
        <f t="shared" ca="1" si="145"/>
        <v>1614801.9056037781</v>
      </c>
      <c r="O166" s="3">
        <f t="shared" si="146"/>
        <v>4773360</v>
      </c>
      <c r="P166" s="3">
        <f t="shared" si="147"/>
        <v>3505340.0132969008</v>
      </c>
      <c r="Q166" s="3">
        <f t="shared" si="148"/>
        <v>0</v>
      </c>
      <c r="R166" s="3">
        <f t="shared" si="149"/>
        <v>193962.4</v>
      </c>
      <c r="S166" s="47">
        <f t="shared" ca="1" si="134"/>
        <v>7681507.8519237842</v>
      </c>
      <c r="T166" s="47">
        <f>IFERROR(HLOOKUP(B166-1,'EV Forecast WRZ'!$F$124:$T$130,3,FALSE)/12,0)+IFERROR(((HLOOKUP(B166,'EV Forecast WRZ'!$F$116:$T$122,3,FALSE)-HLOOKUP(B166-1,'EV Forecast WRZ'!$F$124:$T$130,3,FALSE)))*C166/78,0)</f>
        <v>168474.69118155353</v>
      </c>
      <c r="U166" s="47">
        <f ca="1">HLOOKUP(B166,Heating!$R$102:$AD$106,4,FALSE)*INDEX(Weather!$BO$1:$CB$20,MATCH(B166,Weather!$BO$1:$BO$20,0),MATCH(C166,Weather!$BO$1:$CB$1,0))/VLOOKUP(B166,Weather!$BO$2:$CB$20,14,FALSE)</f>
        <v>30183.673989940278</v>
      </c>
      <c r="V166" s="47">
        <f t="shared" ca="1" si="125"/>
        <v>7880166.2170952782</v>
      </c>
    </row>
    <row r="167" spans="1:22">
      <c r="A167" s="2">
        <f t="shared" si="128"/>
        <v>47057</v>
      </c>
      <c r="B167">
        <f t="shared" si="129"/>
        <v>2028</v>
      </c>
      <c r="C167">
        <f t="shared" si="130"/>
        <v>10</v>
      </c>
      <c r="E167" s="3">
        <f t="shared" ref="E167:F167" ca="1" si="186">E155</f>
        <v>298.21097826086958</v>
      </c>
      <c r="F167" s="3">
        <f t="shared" ca="1" si="186"/>
        <v>35.32833333333334</v>
      </c>
      <c r="G167" s="47">
        <f t="shared" si="132"/>
        <v>31</v>
      </c>
      <c r="H167" s="96">
        <f>'Economic Data'!F181</f>
        <v>249.50489212825826</v>
      </c>
      <c r="J167">
        <f t="shared" si="133"/>
        <v>1</v>
      </c>
      <c r="L167" s="3">
        <f t="shared" si="143"/>
        <v>-2785699</v>
      </c>
      <c r="M167" s="3">
        <f t="shared" ca="1" si="144"/>
        <v>1170647.4735095652</v>
      </c>
      <c r="N167" s="3">
        <f t="shared" ca="1" si="145"/>
        <v>359539.98116666672</v>
      </c>
      <c r="O167" s="3">
        <f t="shared" si="146"/>
        <v>4932472</v>
      </c>
      <c r="P167" s="3">
        <f t="shared" si="147"/>
        <v>3528660.3626577118</v>
      </c>
      <c r="Q167" s="3">
        <f t="shared" si="148"/>
        <v>0</v>
      </c>
      <c r="R167" s="3">
        <f t="shared" si="149"/>
        <v>193962.4</v>
      </c>
      <c r="S167" s="47">
        <f t="shared" ca="1" si="134"/>
        <v>7399583.2173339445</v>
      </c>
      <c r="T167" s="47">
        <f>IFERROR(HLOOKUP(B167-1,'EV Forecast WRZ'!$F$124:$T$130,3,FALSE)/12,0)+IFERROR(((HLOOKUP(B167,'EV Forecast WRZ'!$F$116:$T$122,3,FALSE)-HLOOKUP(B167-1,'EV Forecast WRZ'!$F$124:$T$130,3,FALSE)))*C167/78,0)</f>
        <v>170825.20488654956</v>
      </c>
      <c r="U167" s="47">
        <f ca="1">HLOOKUP(B167,Heating!$R$102:$AD$106,4,FALSE)*INDEX(Weather!$BO$1:$CB$20,MATCH(B167,Weather!$BO$1:$BO$20,0),MATCH(C167,Weather!$BO$1:$CB$1,0))/VLOOKUP(B167,Weather!$BO$2:$CB$20,14,FALSE)</f>
        <v>130652.70815285714</v>
      </c>
      <c r="V167" s="47">
        <f t="shared" ca="1" si="125"/>
        <v>7701061.1303733513</v>
      </c>
    </row>
    <row r="168" spans="1:22">
      <c r="A168" s="2">
        <f t="shared" si="128"/>
        <v>47087</v>
      </c>
      <c r="B168">
        <f t="shared" si="129"/>
        <v>2028</v>
      </c>
      <c r="C168">
        <f t="shared" si="130"/>
        <v>11</v>
      </c>
      <c r="E168" s="3">
        <f t="shared" ref="E168:F168" ca="1" si="187">E156</f>
        <v>486.62991389045737</v>
      </c>
      <c r="F168" s="3">
        <f t="shared" ca="1" si="187"/>
        <v>2.2779166666666657</v>
      </c>
      <c r="G168" s="47">
        <f t="shared" si="132"/>
        <v>30</v>
      </c>
      <c r="H168" s="96">
        <f>'Economic Data'!F182</f>
        <v>248.98959908379675</v>
      </c>
      <c r="J168">
        <f t="shared" si="133"/>
        <v>1</v>
      </c>
      <c r="L168" s="3">
        <f t="shared" si="143"/>
        <v>-2785699</v>
      </c>
      <c r="M168" s="3">
        <f t="shared" ca="1" si="144"/>
        <v>1910298.817811135</v>
      </c>
      <c r="N168" s="3">
        <f t="shared" ca="1" si="145"/>
        <v>23182.585708333325</v>
      </c>
      <c r="O168" s="3">
        <f t="shared" si="146"/>
        <v>4773360</v>
      </c>
      <c r="P168" s="3">
        <f t="shared" si="147"/>
        <v>3521372.7534824582</v>
      </c>
      <c r="Q168" s="3">
        <f t="shared" si="148"/>
        <v>0</v>
      </c>
      <c r="R168" s="3">
        <f t="shared" si="149"/>
        <v>193962.4</v>
      </c>
      <c r="S168" s="47">
        <f t="shared" ca="1" si="134"/>
        <v>7636477.5570019269</v>
      </c>
      <c r="T168" s="47">
        <f>IFERROR(HLOOKUP(B168-1,'EV Forecast WRZ'!$F$124:$T$130,3,FALSE)/12,0)+IFERROR(((HLOOKUP(B168,'EV Forecast WRZ'!$F$116:$T$122,3,FALSE)-HLOOKUP(B168-1,'EV Forecast WRZ'!$F$124:$T$130,3,FALSE)))*C168/78,0)</f>
        <v>173175.71859154559</v>
      </c>
      <c r="U168" s="47">
        <f ca="1">HLOOKUP(B168,Heating!$R$102:$AD$106,4,FALSE)*INDEX(Weather!$BO$1:$CB$20,MATCH(B168,Weather!$BO$1:$BO$20,0),MATCH(C168,Weather!$BO$1:$CB$1,0))/VLOOKUP(B168,Weather!$BO$2:$CB$20,14,FALSE)</f>
        <v>234304.75278453372</v>
      </c>
      <c r="V168" s="47">
        <f t="shared" ca="1" si="125"/>
        <v>8043958.0283780061</v>
      </c>
    </row>
    <row r="169" spans="1:22">
      <c r="A169" s="2">
        <f t="shared" si="128"/>
        <v>47118</v>
      </c>
      <c r="B169">
        <f t="shared" si="129"/>
        <v>2028</v>
      </c>
      <c r="C169">
        <f t="shared" si="130"/>
        <v>12</v>
      </c>
      <c r="E169" s="3">
        <f t="shared" ref="E169:F169" ca="1" si="188">E157</f>
        <v>639.92800724637686</v>
      </c>
      <c r="F169" s="3">
        <f t="shared" ca="1" si="188"/>
        <v>0</v>
      </c>
      <c r="G169" s="47">
        <f t="shared" si="132"/>
        <v>31</v>
      </c>
      <c r="H169" s="96">
        <f>'Economic Data'!F183</f>
        <v>246.82536829705847</v>
      </c>
      <c r="J169">
        <f t="shared" si="133"/>
        <v>0</v>
      </c>
      <c r="L169" s="3">
        <f t="shared" si="143"/>
        <v>-2785699</v>
      </c>
      <c r="M169" s="3">
        <f t="shared" ca="1" si="144"/>
        <v>2512080.9075501454</v>
      </c>
      <c r="N169" s="3">
        <f t="shared" ca="1" si="145"/>
        <v>0</v>
      </c>
      <c r="O169" s="3">
        <f t="shared" si="146"/>
        <v>4932472</v>
      </c>
      <c r="P169" s="3">
        <f t="shared" si="147"/>
        <v>3490764.7949463939</v>
      </c>
      <c r="Q169" s="3">
        <f t="shared" si="148"/>
        <v>0</v>
      </c>
      <c r="R169" s="3">
        <f t="shared" si="149"/>
        <v>0</v>
      </c>
      <c r="S169" s="47">
        <f t="shared" ca="1" si="134"/>
        <v>8149618.7024965389</v>
      </c>
      <c r="T169" s="47">
        <f>IFERROR(HLOOKUP(B169-1,'EV Forecast WRZ'!$F$124:$T$130,3,FALSE)/12,0)+IFERROR(((HLOOKUP(B169,'EV Forecast WRZ'!$F$116:$T$122,3,FALSE)-HLOOKUP(B169-1,'EV Forecast WRZ'!$F$124:$T$130,3,FALSE)))*C169/78,0)</f>
        <v>175526.23229654162</v>
      </c>
      <c r="U169" s="47">
        <f ca="1">HLOOKUP(B169,Heating!$R$102:$AD$106,4,FALSE)*INDEX(Weather!$BO$1:$CB$20,MATCH(B169,Weather!$BO$1:$BO$20,0),MATCH(C169,Weather!$BO$1:$CB$1,0))/VLOOKUP(B169,Weather!$BO$2:$CB$20,14,FALSE)</f>
        <v>317397.52524687967</v>
      </c>
      <c r="V169" s="47">
        <f t="shared" ca="1" si="125"/>
        <v>8642542.4600399602</v>
      </c>
    </row>
    <row r="170" spans="1:22">
      <c r="A170" s="2">
        <f t="shared" si="128"/>
        <v>47149</v>
      </c>
      <c r="B170">
        <f t="shared" si="129"/>
        <v>2029</v>
      </c>
      <c r="C170">
        <f t="shared" si="130"/>
        <v>1</v>
      </c>
      <c r="E170" s="3">
        <f t="shared" ref="E170:F170" ca="1" si="189">E158</f>
        <v>759.33418478260865</v>
      </c>
      <c r="F170" s="3">
        <f t="shared" ca="1" si="189"/>
        <v>0</v>
      </c>
      <c r="G170" s="47">
        <f t="shared" si="132"/>
        <v>31</v>
      </c>
      <c r="H170" s="96">
        <f>'Economic Data'!F184</f>
        <v>249.07167799571394</v>
      </c>
      <c r="J170">
        <f t="shared" si="133"/>
        <v>0</v>
      </c>
      <c r="L170" s="3">
        <f t="shared" si="143"/>
        <v>-2785699</v>
      </c>
      <c r="M170" s="3">
        <f t="shared" ca="1" si="144"/>
        <v>2980817.9770886954</v>
      </c>
      <c r="N170" s="3">
        <f t="shared" ca="1" si="145"/>
        <v>0</v>
      </c>
      <c r="O170" s="3">
        <f t="shared" si="146"/>
        <v>4932472</v>
      </c>
      <c r="P170" s="3">
        <f t="shared" si="147"/>
        <v>3522533.5668060835</v>
      </c>
      <c r="Q170" s="3">
        <f t="shared" si="148"/>
        <v>0</v>
      </c>
      <c r="R170" s="3">
        <f t="shared" si="149"/>
        <v>0</v>
      </c>
      <c r="S170" s="47">
        <f t="shared" ca="1" si="134"/>
        <v>8650124.5438947789</v>
      </c>
      <c r="T170" s="47">
        <f>IFERROR(HLOOKUP(B170-1,'EV Forecast WRZ'!$F$124:$T$130,3,FALSE)/12,0)+IFERROR(((HLOOKUP(B170,'EV Forecast WRZ'!$F$116:$T$122,3,FALSE)-HLOOKUP(B170-1,'EV Forecast WRZ'!$F$124:$T$130,3,FALSE)))*C170/78,0)</f>
        <v>184046.75960133044</v>
      </c>
      <c r="U170" s="47">
        <f ca="1">HLOOKUP(B170,Heating!$R$102:$AD$106,4,FALSE)*INDEX(Weather!$BO$1:$CB$20,MATCH(B170,Weather!$BO$1:$BO$20,0),MATCH(C170,Weather!$BO$1:$CB$1,0))/VLOOKUP(B170,Weather!$BO$2:$CB$20,14,FALSE)</f>
        <v>437115.72855062358</v>
      </c>
      <c r="V170" s="47">
        <f t="shared" ca="1" si="125"/>
        <v>9271287.0320467334</v>
      </c>
    </row>
    <row r="171" spans="1:22">
      <c r="A171" s="2">
        <f t="shared" si="128"/>
        <v>47177</v>
      </c>
      <c r="B171">
        <f t="shared" si="129"/>
        <v>2029</v>
      </c>
      <c r="C171">
        <f t="shared" si="130"/>
        <v>2</v>
      </c>
      <c r="E171" s="3">
        <f t="shared" ref="E171:F171" ca="1" si="190">E159</f>
        <v>680.85501811594202</v>
      </c>
      <c r="F171" s="3">
        <f t="shared" ca="1" si="190"/>
        <v>0</v>
      </c>
      <c r="G171" s="47">
        <f t="shared" si="132"/>
        <v>28</v>
      </c>
      <c r="H171" s="96">
        <f>'Economic Data'!F185</f>
        <v>250.92811286276273</v>
      </c>
      <c r="J171">
        <f t="shared" si="133"/>
        <v>0</v>
      </c>
      <c r="L171" s="3">
        <f t="shared" si="143"/>
        <v>-2785699</v>
      </c>
      <c r="M171" s="3">
        <f t="shared" ca="1" si="144"/>
        <v>2672742.6717553623</v>
      </c>
      <c r="N171" s="3">
        <f t="shared" ca="1" si="145"/>
        <v>0</v>
      </c>
      <c r="O171" s="3">
        <f t="shared" si="146"/>
        <v>4455136</v>
      </c>
      <c r="P171" s="3">
        <f t="shared" si="147"/>
        <v>3548788.4753785511</v>
      </c>
      <c r="Q171" s="3">
        <f t="shared" si="148"/>
        <v>0</v>
      </c>
      <c r="R171" s="3">
        <f t="shared" si="149"/>
        <v>0</v>
      </c>
      <c r="S171" s="47">
        <f t="shared" ca="1" si="134"/>
        <v>7890968.1471339129</v>
      </c>
      <c r="T171" s="47">
        <f>IFERROR(HLOOKUP(B171-1,'EV Forecast WRZ'!$F$124:$T$130,3,FALSE)/12,0)+IFERROR(((HLOOKUP(B171,'EV Forecast WRZ'!$F$116:$T$122,3,FALSE)-HLOOKUP(B171-1,'EV Forecast WRZ'!$F$124:$T$130,3,FALSE)))*C171/78,0)</f>
        <v>186938.23653445661</v>
      </c>
      <c r="U171" s="47">
        <f ca="1">HLOOKUP(B171,Heating!$R$102:$AD$106,4,FALSE)*INDEX(Weather!$BO$1:$CB$20,MATCH(B171,Weather!$BO$1:$BO$20,0),MATCH(C171,Weather!$BO$1:$CB$1,0))/VLOOKUP(B171,Weather!$BO$2:$CB$20,14,FALSE)</f>
        <v>391306.91281139379</v>
      </c>
      <c r="V171" s="47">
        <f t="shared" ca="1" si="125"/>
        <v>8469213.2964797635</v>
      </c>
    </row>
    <row r="172" spans="1:22">
      <c r="A172" s="2">
        <f t="shared" si="128"/>
        <v>47208</v>
      </c>
      <c r="B172">
        <f t="shared" si="129"/>
        <v>2029</v>
      </c>
      <c r="C172">
        <f t="shared" si="130"/>
        <v>3</v>
      </c>
      <c r="E172" s="3">
        <f t="shared" ref="E172:F172" ca="1" si="191">E160</f>
        <v>608.13298913043479</v>
      </c>
      <c r="F172" s="3">
        <f t="shared" ca="1" si="191"/>
        <v>2.9583333333332896E-2</v>
      </c>
      <c r="G172" s="47">
        <f t="shared" si="132"/>
        <v>31</v>
      </c>
      <c r="H172" s="96">
        <f>'Economic Data'!F186</f>
        <v>253.50649462255276</v>
      </c>
      <c r="J172">
        <f t="shared" si="133"/>
        <v>0</v>
      </c>
      <c r="L172" s="3">
        <f t="shared" si="143"/>
        <v>-2785699</v>
      </c>
      <c r="M172" s="3">
        <f t="shared" ca="1" si="144"/>
        <v>2387267.401874783</v>
      </c>
      <c r="N172" s="3">
        <f t="shared" ca="1" si="145"/>
        <v>301.07254166666223</v>
      </c>
      <c r="O172" s="3">
        <f t="shared" si="146"/>
        <v>4932472</v>
      </c>
      <c r="P172" s="3">
        <f t="shared" si="147"/>
        <v>3585253.6261736457</v>
      </c>
      <c r="Q172" s="3">
        <f t="shared" si="148"/>
        <v>0</v>
      </c>
      <c r="R172" s="3">
        <f t="shared" si="149"/>
        <v>0</v>
      </c>
      <c r="S172" s="47">
        <f t="shared" ca="1" si="134"/>
        <v>8119595.1005900949</v>
      </c>
      <c r="T172" s="47">
        <f>IFERROR(HLOOKUP(B172-1,'EV Forecast WRZ'!$F$124:$T$130,3,FALSE)/12,0)+IFERROR(((HLOOKUP(B172,'EV Forecast WRZ'!$F$116:$T$122,3,FALSE)-HLOOKUP(B172-1,'EV Forecast WRZ'!$F$124:$T$130,3,FALSE)))*C172/78,0)</f>
        <v>189829.71346758277</v>
      </c>
      <c r="U172" s="47">
        <f ca="1">HLOOKUP(B172,Heating!$R$102:$AD$106,4,FALSE)*INDEX(Weather!$BO$1:$CB$20,MATCH(B172,Weather!$BO$1:$BO$20,0),MATCH(C172,Weather!$BO$1:$CB$1,0))/VLOOKUP(B172,Weather!$BO$2:$CB$20,14,FALSE)</f>
        <v>342337.03816442168</v>
      </c>
      <c r="V172" s="47">
        <f t="shared" ca="1" si="125"/>
        <v>8651761.8522220999</v>
      </c>
    </row>
    <row r="173" spans="1:22">
      <c r="A173" s="2">
        <f t="shared" si="128"/>
        <v>47238</v>
      </c>
      <c r="B173">
        <f t="shared" si="129"/>
        <v>2029</v>
      </c>
      <c r="C173">
        <f t="shared" si="130"/>
        <v>4</v>
      </c>
      <c r="E173" s="3">
        <f t="shared" ref="E173:F173" ca="1" si="192">E161</f>
        <v>412.37941287878795</v>
      </c>
      <c r="F173" s="3">
        <f t="shared" ca="1" si="192"/>
        <v>5.6420833333333338</v>
      </c>
      <c r="G173" s="47">
        <f t="shared" si="132"/>
        <v>30</v>
      </c>
      <c r="H173" s="96">
        <f>'Economic Data'!F187</f>
        <v>249.48421907728033</v>
      </c>
      <c r="J173">
        <f t="shared" si="133"/>
        <v>0</v>
      </c>
      <c r="L173" s="3">
        <f t="shared" si="143"/>
        <v>-2785699</v>
      </c>
      <c r="M173" s="3">
        <f t="shared" ca="1" si="144"/>
        <v>1618823.427055758</v>
      </c>
      <c r="N173" s="3">
        <f t="shared" ca="1" si="145"/>
        <v>57420.046291666673</v>
      </c>
      <c r="O173" s="3">
        <f t="shared" si="146"/>
        <v>4773360</v>
      </c>
      <c r="P173" s="3">
        <f t="shared" si="147"/>
        <v>3528367.9909332986</v>
      </c>
      <c r="Q173" s="3">
        <f t="shared" si="148"/>
        <v>0</v>
      </c>
      <c r="R173" s="3">
        <f t="shared" si="149"/>
        <v>0</v>
      </c>
      <c r="S173" s="47">
        <f t="shared" ca="1" si="134"/>
        <v>7192272.4642807227</v>
      </c>
      <c r="T173" s="47">
        <f>IFERROR(HLOOKUP(B173-1,'EV Forecast WRZ'!$F$124:$T$130,3,FALSE)/12,0)+IFERROR(((HLOOKUP(B173,'EV Forecast WRZ'!$F$116:$T$122,3,FALSE)-HLOOKUP(B173-1,'EV Forecast WRZ'!$F$124:$T$130,3,FALSE)))*C173/78,0)</f>
        <v>192721.1904007089</v>
      </c>
      <c r="U173" s="47">
        <f ca="1">HLOOKUP(B173,Heating!$R$102:$AD$106,4,FALSE)*INDEX(Weather!$BO$1:$CB$20,MATCH(B173,Weather!$BO$1:$BO$20,0),MATCH(C173,Weather!$BO$1:$CB$1,0))/VLOOKUP(B173,Weather!$BO$2:$CB$20,14,FALSE)</f>
        <v>220906.56684745956</v>
      </c>
      <c r="V173" s="47">
        <f t="shared" ca="1" si="125"/>
        <v>7605900.2215288905</v>
      </c>
    </row>
    <row r="174" spans="1:22">
      <c r="A174" s="2">
        <f t="shared" si="128"/>
        <v>47269</v>
      </c>
      <c r="B174">
        <f t="shared" si="129"/>
        <v>2029</v>
      </c>
      <c r="C174">
        <f t="shared" si="130"/>
        <v>5</v>
      </c>
      <c r="E174" s="3">
        <f t="shared" ref="E174:F174" ca="1" si="193">E162</f>
        <v>202.70273119310133</v>
      </c>
      <c r="F174" s="3">
        <f t="shared" ca="1" si="193"/>
        <v>86.191046176046171</v>
      </c>
      <c r="G174" s="47">
        <f t="shared" si="132"/>
        <v>31</v>
      </c>
      <c r="H174" s="96">
        <f>'Economic Data'!F188</f>
        <v>248.55600164375591</v>
      </c>
      <c r="J174">
        <f t="shared" si="133"/>
        <v>0</v>
      </c>
      <c r="L174" s="3">
        <f t="shared" si="143"/>
        <v>-2785699</v>
      </c>
      <c r="M174" s="3">
        <f t="shared" ca="1" si="144"/>
        <v>795723.35508424044</v>
      </c>
      <c r="N174" s="3">
        <f t="shared" ca="1" si="145"/>
        <v>877174.89603823947</v>
      </c>
      <c r="O174" s="3">
        <f t="shared" si="146"/>
        <v>4932472</v>
      </c>
      <c r="P174" s="3">
        <f t="shared" si="147"/>
        <v>3515240.5366470641</v>
      </c>
      <c r="Q174" s="3">
        <f t="shared" si="148"/>
        <v>0</v>
      </c>
      <c r="R174" s="3">
        <f t="shared" si="149"/>
        <v>0</v>
      </c>
      <c r="S174" s="47">
        <f t="shared" ref="S174:S205" ca="1" si="194">SUM(L174:R174)</f>
        <v>7334911.7877695439</v>
      </c>
      <c r="T174" s="47">
        <f>IFERROR(HLOOKUP(B174-1,'EV Forecast WRZ'!$F$124:$T$130,3,FALSE)/12,0)+IFERROR(((HLOOKUP(B174,'EV Forecast WRZ'!$F$116:$T$122,3,FALSE)-HLOOKUP(B174-1,'EV Forecast WRZ'!$F$124:$T$130,3,FALSE)))*C174/78,0)</f>
        <v>195612.66733383507</v>
      </c>
      <c r="U174" s="47">
        <f ca="1">HLOOKUP(B174,Heating!$R$102:$AD$106,4,FALSE)*INDEX(Weather!$BO$1:$CB$20,MATCH(B174,Weather!$BO$1:$BO$20,0),MATCH(C174,Weather!$BO$1:$CB$1,0))/VLOOKUP(B174,Weather!$BO$2:$CB$20,14,FALSE)</f>
        <v>94111.547838088678</v>
      </c>
      <c r="V174" s="47">
        <f t="shared" ca="1" si="125"/>
        <v>7624636.0029414678</v>
      </c>
    </row>
    <row r="175" spans="1:22">
      <c r="A175" s="2">
        <f t="shared" ref="A175:A205" si="195">EOMONTH(A174,1)</f>
        <v>47299</v>
      </c>
      <c r="B175">
        <f t="shared" ref="B175:B205" si="196">YEAR(A175)</f>
        <v>2029</v>
      </c>
      <c r="C175">
        <f t="shared" ref="C175:C205" si="197">MONTH(A175)</f>
        <v>6</v>
      </c>
      <c r="E175" s="3">
        <f t="shared" ref="E175:F175" ca="1" si="198">E163</f>
        <v>66.09717382617383</v>
      </c>
      <c r="F175" s="3">
        <f t="shared" ca="1" si="198"/>
        <v>194.94285087738348</v>
      </c>
      <c r="G175" s="47">
        <f t="shared" ref="G175:G205" si="199">G139</f>
        <v>30</v>
      </c>
      <c r="H175" s="96">
        <f>'Economic Data'!F189</f>
        <v>247.11210785827353</v>
      </c>
      <c r="J175">
        <f t="shared" ref="J175:J205" si="200">J163</f>
        <v>0</v>
      </c>
      <c r="L175" s="3">
        <f t="shared" si="143"/>
        <v>-2785699</v>
      </c>
      <c r="M175" s="3">
        <f t="shared" ca="1" si="144"/>
        <v>259468.95046246555</v>
      </c>
      <c r="N175" s="3">
        <f t="shared" ca="1" si="145"/>
        <v>1983952.8876642194</v>
      </c>
      <c r="O175" s="3">
        <f t="shared" si="146"/>
        <v>4773360</v>
      </c>
      <c r="P175" s="3">
        <f t="shared" si="147"/>
        <v>3494820.0522018122</v>
      </c>
      <c r="Q175" s="3">
        <f t="shared" si="148"/>
        <v>0</v>
      </c>
      <c r="R175" s="3">
        <f t="shared" si="149"/>
        <v>0</v>
      </c>
      <c r="S175" s="47">
        <f t="shared" ca="1" si="194"/>
        <v>7725902.8903284976</v>
      </c>
      <c r="T175" s="47">
        <f>IFERROR(HLOOKUP(B175-1,'EV Forecast WRZ'!$F$124:$T$130,3,FALSE)/12,0)+IFERROR(((HLOOKUP(B175,'EV Forecast WRZ'!$F$116:$T$122,3,FALSE)-HLOOKUP(B175-1,'EV Forecast WRZ'!$F$124:$T$130,3,FALSE)))*C175/78,0)</f>
        <v>198504.14426696123</v>
      </c>
      <c r="U175" s="47">
        <f ca="1">HLOOKUP(B175,Heating!$R$102:$AD$106,4,FALSE)*INDEX(Weather!$BO$1:$CB$20,MATCH(B175,Weather!$BO$1:$BO$20,0),MATCH(C175,Weather!$BO$1:$CB$1,0))/VLOOKUP(B175,Weather!$BO$2:$CB$20,14,FALSE)</f>
        <v>20385.358443095542</v>
      </c>
      <c r="V175" s="47">
        <f t="shared" ca="1" si="125"/>
        <v>7944792.3930385541</v>
      </c>
    </row>
    <row r="176" spans="1:22">
      <c r="A176" s="2">
        <f t="shared" si="195"/>
        <v>47330</v>
      </c>
      <c r="B176">
        <f t="shared" si="196"/>
        <v>2029</v>
      </c>
      <c r="C176">
        <f t="shared" si="197"/>
        <v>7</v>
      </c>
      <c r="E176" s="3">
        <f t="shared" ref="E176:F176" ca="1" si="201">E164</f>
        <v>10.249063146997932</v>
      </c>
      <c r="F176" s="3">
        <f t="shared" ca="1" si="201"/>
        <v>297.94737858727848</v>
      </c>
      <c r="G176" s="47">
        <f t="shared" si="199"/>
        <v>31</v>
      </c>
      <c r="H176" s="96">
        <f>'Economic Data'!F190</f>
        <v>250.50260252094463</v>
      </c>
      <c r="J176">
        <f t="shared" si="200"/>
        <v>0</v>
      </c>
      <c r="L176" s="3">
        <f t="shared" si="143"/>
        <v>-2785699</v>
      </c>
      <c r="M176" s="3">
        <f t="shared" ca="1" si="144"/>
        <v>40233.394319834377</v>
      </c>
      <c r="N176" s="3">
        <f t="shared" ca="1" si="145"/>
        <v>3032240.2666205917</v>
      </c>
      <c r="O176" s="3">
        <f t="shared" si="146"/>
        <v>4932472</v>
      </c>
      <c r="P176" s="3">
        <f t="shared" si="147"/>
        <v>3542770.6315428377</v>
      </c>
      <c r="Q176" s="3">
        <f t="shared" si="148"/>
        <v>0</v>
      </c>
      <c r="R176" s="3">
        <f t="shared" si="149"/>
        <v>0</v>
      </c>
      <c r="S176" s="47">
        <f t="shared" ca="1" si="194"/>
        <v>8762017.2924832627</v>
      </c>
      <c r="T176" s="47">
        <f>IFERROR(HLOOKUP(B176-1,'EV Forecast WRZ'!$F$124:$T$130,3,FALSE)/12,0)+IFERROR(((HLOOKUP(B176,'EV Forecast WRZ'!$F$116:$T$122,3,FALSE)-HLOOKUP(B176-1,'EV Forecast WRZ'!$F$124:$T$130,3,FALSE)))*C176/78,0)</f>
        <v>201395.62120008739</v>
      </c>
      <c r="U176" s="47">
        <f ca="1">HLOOKUP(B176,Heating!$R$102:$AD$106,4,FALSE)*INDEX(Weather!$BO$1:$CB$20,MATCH(B176,Weather!$BO$1:$BO$20,0),MATCH(C176,Weather!$BO$1:$CB$1,0))/VLOOKUP(B176,Weather!$BO$2:$CB$20,14,FALSE)</f>
        <v>1014.1720252889479</v>
      </c>
      <c r="V176" s="47">
        <f t="shared" ca="1" si="125"/>
        <v>8964427.0857086387</v>
      </c>
    </row>
    <row r="177" spans="1:22">
      <c r="A177" s="2">
        <f t="shared" si="195"/>
        <v>47361</v>
      </c>
      <c r="B177">
        <f t="shared" si="196"/>
        <v>2029</v>
      </c>
      <c r="C177">
        <f t="shared" si="197"/>
        <v>8</v>
      </c>
      <c r="E177" s="3">
        <f t="shared" ref="E177:F177" ca="1" si="202">E165</f>
        <v>21.194927536231887</v>
      </c>
      <c r="F177" s="3">
        <f t="shared" ca="1" si="202"/>
        <v>272.96558794466404</v>
      </c>
      <c r="G177" s="47">
        <f t="shared" si="199"/>
        <v>31</v>
      </c>
      <c r="H177" s="96">
        <f>'Economic Data'!F191</f>
        <v>247.798962975264</v>
      </c>
      <c r="J177">
        <f t="shared" si="200"/>
        <v>0</v>
      </c>
      <c r="L177" s="3">
        <f t="shared" si="143"/>
        <v>-2785699</v>
      </c>
      <c r="M177" s="3">
        <f t="shared" ca="1" si="144"/>
        <v>83202.129298550746</v>
      </c>
      <c r="N177" s="3">
        <f t="shared" ca="1" si="145"/>
        <v>2777998.0850716406</v>
      </c>
      <c r="O177" s="3">
        <f t="shared" si="146"/>
        <v>4932472</v>
      </c>
      <c r="P177" s="3">
        <f t="shared" si="147"/>
        <v>3504534.0037221173</v>
      </c>
      <c r="Q177" s="3">
        <f t="shared" si="148"/>
        <v>0</v>
      </c>
      <c r="R177" s="3">
        <f t="shared" si="149"/>
        <v>0</v>
      </c>
      <c r="S177" s="47">
        <f t="shared" ca="1" si="194"/>
        <v>8512507.2180923074</v>
      </c>
      <c r="T177" s="47">
        <f>IFERROR(HLOOKUP(B177-1,'EV Forecast WRZ'!$F$124:$T$130,3,FALSE)/12,0)+IFERROR(((HLOOKUP(B177,'EV Forecast WRZ'!$F$116:$T$122,3,FALSE)-HLOOKUP(B177-1,'EV Forecast WRZ'!$F$124:$T$130,3,FALSE)))*C177/78,0)</f>
        <v>204287.09813321356</v>
      </c>
      <c r="U177" s="47">
        <f ca="1">HLOOKUP(B177,Heating!$R$102:$AD$106,4,FALSE)*INDEX(Weather!$BO$1:$CB$20,MATCH(B177,Weather!$BO$1:$BO$20,0),MATCH(C177,Weather!$BO$1:$CB$1,0))/VLOOKUP(B177,Weather!$BO$2:$CB$20,14,FALSE)</f>
        <v>3541.636019293881</v>
      </c>
      <c r="V177" s="47">
        <f t="shared" ca="1" si="125"/>
        <v>8720335.9522448145</v>
      </c>
    </row>
    <row r="178" spans="1:22">
      <c r="A178" s="2">
        <f t="shared" si="195"/>
        <v>47391</v>
      </c>
      <c r="B178">
        <f t="shared" si="196"/>
        <v>2029</v>
      </c>
      <c r="C178">
        <f t="shared" si="197"/>
        <v>9</v>
      </c>
      <c r="E178" s="3">
        <f t="shared" ref="E178:F178" ca="1" si="203">E166</f>
        <v>96.735690993788822</v>
      </c>
      <c r="F178" s="3">
        <f t="shared" ca="1" si="203"/>
        <v>158.67014233954447</v>
      </c>
      <c r="G178" s="47">
        <f t="shared" si="199"/>
        <v>30</v>
      </c>
      <c r="H178" s="96">
        <f>'Economic Data'!F192</f>
        <v>250.0866579754553</v>
      </c>
      <c r="J178">
        <f t="shared" si="200"/>
        <v>1</v>
      </c>
      <c r="L178" s="3">
        <f t="shared" si="143"/>
        <v>-2785699</v>
      </c>
      <c r="M178" s="3">
        <f t="shared" ca="1" si="144"/>
        <v>379742.53302310564</v>
      </c>
      <c r="N178" s="3">
        <f t="shared" ca="1" si="145"/>
        <v>1614801.9056037781</v>
      </c>
      <c r="O178" s="3">
        <f t="shared" si="146"/>
        <v>4773360</v>
      </c>
      <c r="P178" s="3">
        <f t="shared" si="147"/>
        <v>3536888.0734165725</v>
      </c>
      <c r="Q178" s="3">
        <f t="shared" si="148"/>
        <v>0</v>
      </c>
      <c r="R178" s="3">
        <f t="shared" si="149"/>
        <v>193962.4</v>
      </c>
      <c r="S178" s="47">
        <f t="shared" ca="1" si="194"/>
        <v>7713055.912043456</v>
      </c>
      <c r="T178" s="47">
        <f>IFERROR(HLOOKUP(B178-1,'EV Forecast WRZ'!$F$124:$T$130,3,FALSE)/12,0)+IFERROR(((HLOOKUP(B178,'EV Forecast WRZ'!$F$116:$T$122,3,FALSE)-HLOOKUP(B178-1,'EV Forecast WRZ'!$F$124:$T$130,3,FALSE)))*C178/78,0)</f>
        <v>207178.57506633972</v>
      </c>
      <c r="U178" s="47">
        <f ca="1">HLOOKUP(B178,Heating!$R$102:$AD$106,4,FALSE)*INDEX(Weather!$BO$1:$CB$20,MATCH(B178,Weather!$BO$1:$BO$20,0),MATCH(C178,Weather!$BO$1:$CB$1,0))/VLOOKUP(B178,Weather!$BO$2:$CB$20,14,FALSE)</f>
        <v>34450.678906877751</v>
      </c>
      <c r="V178" s="47">
        <f t="shared" ca="1" si="125"/>
        <v>7954685.1660166737</v>
      </c>
    </row>
    <row r="179" spans="1:22">
      <c r="A179" s="2">
        <f t="shared" si="195"/>
        <v>47422</v>
      </c>
      <c r="B179">
        <f t="shared" si="196"/>
        <v>2029</v>
      </c>
      <c r="C179">
        <f t="shared" si="197"/>
        <v>10</v>
      </c>
      <c r="E179" s="3">
        <f t="shared" ref="E179:F179" ca="1" si="204">E167</f>
        <v>298.21097826086958</v>
      </c>
      <c r="F179" s="3">
        <f t="shared" ca="1" si="204"/>
        <v>35.32833333333334</v>
      </c>
      <c r="G179" s="47">
        <f t="shared" si="199"/>
        <v>31</v>
      </c>
      <c r="H179" s="96">
        <f>'Economic Data'!F193</f>
        <v>251.75043615741257</v>
      </c>
      <c r="J179">
        <f t="shared" si="200"/>
        <v>1</v>
      </c>
      <c r="L179" s="3">
        <f t="shared" si="143"/>
        <v>-2785699</v>
      </c>
      <c r="M179" s="3">
        <f t="shared" ca="1" si="144"/>
        <v>1170647.4735095652</v>
      </c>
      <c r="N179" s="3">
        <f t="shared" ca="1" si="145"/>
        <v>359539.98116666672</v>
      </c>
      <c r="O179" s="3">
        <f t="shared" si="146"/>
        <v>4932472</v>
      </c>
      <c r="P179" s="3">
        <f t="shared" si="147"/>
        <v>3560418.3059216309</v>
      </c>
      <c r="Q179" s="3">
        <f t="shared" si="148"/>
        <v>0</v>
      </c>
      <c r="R179" s="3">
        <f t="shared" si="149"/>
        <v>193962.4</v>
      </c>
      <c r="S179" s="47">
        <f t="shared" ca="1" si="194"/>
        <v>7431341.1605978627</v>
      </c>
      <c r="T179" s="47">
        <f>IFERROR(HLOOKUP(B179-1,'EV Forecast WRZ'!$F$124:$T$130,3,FALSE)/12,0)+IFERROR(((HLOOKUP(B179,'EV Forecast WRZ'!$F$116:$T$122,3,FALSE)-HLOOKUP(B179-1,'EV Forecast WRZ'!$F$124:$T$130,3,FALSE)))*C179/78,0)</f>
        <v>210070.05199946585</v>
      </c>
      <c r="U179" s="47">
        <f ca="1">HLOOKUP(B179,Heating!$R$102:$AD$106,4,FALSE)*INDEX(Weather!$BO$1:$CB$20,MATCH(B179,Weather!$BO$1:$BO$20,0),MATCH(C179,Weather!$BO$1:$CB$1,0))/VLOOKUP(B179,Weather!$BO$2:$CB$20,14,FALSE)</f>
        <v>149122.81713578751</v>
      </c>
      <c r="V179" s="47">
        <f t="shared" ca="1" si="125"/>
        <v>7790534.0297331158</v>
      </c>
    </row>
    <row r="180" spans="1:22">
      <c r="A180" s="2">
        <f t="shared" si="195"/>
        <v>47452</v>
      </c>
      <c r="B180">
        <f t="shared" si="196"/>
        <v>2029</v>
      </c>
      <c r="C180">
        <f t="shared" si="197"/>
        <v>11</v>
      </c>
      <c r="E180" s="3">
        <f t="shared" ref="E180:F180" ca="1" si="205">E168</f>
        <v>486.62991389045737</v>
      </c>
      <c r="F180" s="3">
        <f t="shared" ca="1" si="205"/>
        <v>2.2779166666666657</v>
      </c>
      <c r="G180" s="47">
        <f t="shared" si="199"/>
        <v>30</v>
      </c>
      <c r="H180" s="96">
        <f>'Economic Data'!F194</f>
        <v>251.2305054755509</v>
      </c>
      <c r="J180">
        <f t="shared" si="200"/>
        <v>1</v>
      </c>
      <c r="L180" s="3">
        <f t="shared" si="143"/>
        <v>-2785699</v>
      </c>
      <c r="M180" s="3">
        <f t="shared" ca="1" si="144"/>
        <v>1910298.817811135</v>
      </c>
      <c r="N180" s="3">
        <f t="shared" ca="1" si="145"/>
        <v>23182.585708333325</v>
      </c>
      <c r="O180" s="3">
        <f t="shared" si="146"/>
        <v>4773360</v>
      </c>
      <c r="P180" s="3">
        <f t="shared" si="147"/>
        <v>3553065.1082637999</v>
      </c>
      <c r="Q180" s="3">
        <f t="shared" si="148"/>
        <v>0</v>
      </c>
      <c r="R180" s="3">
        <f t="shared" si="149"/>
        <v>193962.4</v>
      </c>
      <c r="S180" s="47">
        <f t="shared" ca="1" si="194"/>
        <v>7668169.9117832687</v>
      </c>
      <c r="T180" s="47">
        <f>IFERROR(HLOOKUP(B180-1,'EV Forecast WRZ'!$F$124:$T$130,3,FALSE)/12,0)+IFERROR(((HLOOKUP(B180,'EV Forecast WRZ'!$F$116:$T$122,3,FALSE)-HLOOKUP(B180-1,'EV Forecast WRZ'!$F$124:$T$130,3,FALSE)))*C180/78,0)</f>
        <v>212961.52893259202</v>
      </c>
      <c r="U180" s="47">
        <f ca="1">HLOOKUP(B180,Heating!$R$102:$AD$106,4,FALSE)*INDEX(Weather!$BO$1:$CB$20,MATCH(B180,Weather!$BO$1:$BO$20,0),MATCH(C180,Weather!$BO$1:$CB$1,0))/VLOOKUP(B180,Weather!$BO$2:$CB$20,14,FALSE)</f>
        <v>267427.94158277725</v>
      </c>
      <c r="V180" s="47">
        <f t="shared" ca="1" si="125"/>
        <v>8148559.3822986381</v>
      </c>
    </row>
    <row r="181" spans="1:22">
      <c r="A181" s="2">
        <f t="shared" si="195"/>
        <v>47483</v>
      </c>
      <c r="B181">
        <f t="shared" si="196"/>
        <v>2029</v>
      </c>
      <c r="C181">
        <f t="shared" si="197"/>
        <v>12</v>
      </c>
      <c r="E181" s="3">
        <f t="shared" ref="E181:F181" ca="1" si="206">E169</f>
        <v>639.92800724637686</v>
      </c>
      <c r="F181" s="3">
        <f t="shared" ca="1" si="206"/>
        <v>0</v>
      </c>
      <c r="G181" s="47">
        <f t="shared" si="199"/>
        <v>31</v>
      </c>
      <c r="H181" s="96">
        <f>'Economic Data'!F195</f>
        <v>249.04679661173196</v>
      </c>
      <c r="J181">
        <f t="shared" si="200"/>
        <v>0</v>
      </c>
      <c r="L181" s="3">
        <f t="shared" si="143"/>
        <v>-2785699</v>
      </c>
      <c r="M181" s="3">
        <f t="shared" ca="1" si="144"/>
        <v>2512080.9075501454</v>
      </c>
      <c r="N181" s="3">
        <f t="shared" ca="1" si="145"/>
        <v>0</v>
      </c>
      <c r="O181" s="3">
        <f t="shared" si="146"/>
        <v>4932472</v>
      </c>
      <c r="P181" s="3">
        <f t="shared" si="147"/>
        <v>3522181.678100911</v>
      </c>
      <c r="Q181" s="3">
        <f t="shared" si="148"/>
        <v>0</v>
      </c>
      <c r="R181" s="3">
        <f t="shared" si="149"/>
        <v>0</v>
      </c>
      <c r="S181" s="47">
        <f t="shared" ca="1" si="194"/>
        <v>8181035.5856510559</v>
      </c>
      <c r="T181" s="47">
        <f>IFERROR(HLOOKUP(B181-1,'EV Forecast WRZ'!$F$124:$T$130,3,FALSE)/12,0)+IFERROR(((HLOOKUP(B181,'EV Forecast WRZ'!$F$116:$T$122,3,FALSE)-HLOOKUP(B181-1,'EV Forecast WRZ'!$F$124:$T$130,3,FALSE)))*C181/78,0)</f>
        <v>215853.00586571818</v>
      </c>
      <c r="U181" s="47">
        <f ca="1">HLOOKUP(B181,Heating!$R$102:$AD$106,4,FALSE)*INDEX(Weather!$BO$1:$CB$20,MATCH(B181,Weather!$BO$1:$BO$20,0),MATCH(C181,Weather!$BO$1:$CB$1,0))/VLOOKUP(B181,Weather!$BO$2:$CB$20,14,FALSE)</f>
        <v>362267.37115442555</v>
      </c>
      <c r="V181" s="47">
        <f t="shared" ca="1" si="125"/>
        <v>8759155.9626711998</v>
      </c>
    </row>
    <row r="182" spans="1:22">
      <c r="A182" s="2">
        <f t="shared" si="195"/>
        <v>47514</v>
      </c>
      <c r="B182">
        <f t="shared" si="196"/>
        <v>2030</v>
      </c>
      <c r="C182">
        <f t="shared" si="197"/>
        <v>1</v>
      </c>
      <c r="E182" s="3">
        <f t="shared" ref="E182:F182" ca="1" si="207">E170</f>
        <v>759.33418478260865</v>
      </c>
      <c r="F182" s="3">
        <f t="shared" ca="1" si="207"/>
        <v>0</v>
      </c>
      <c r="G182" s="47">
        <f t="shared" si="199"/>
        <v>31</v>
      </c>
      <c r="H182" s="96">
        <f>'Economic Data'!F196</f>
        <v>251.31332309767535</v>
      </c>
      <c r="J182">
        <f t="shared" si="200"/>
        <v>0</v>
      </c>
      <c r="L182" s="3">
        <f t="shared" si="143"/>
        <v>-2785699</v>
      </c>
      <c r="M182" s="3">
        <f t="shared" ca="1" si="144"/>
        <v>2980817.9770886954</v>
      </c>
      <c r="N182" s="3">
        <f t="shared" ca="1" si="145"/>
        <v>0</v>
      </c>
      <c r="O182" s="3">
        <f t="shared" si="146"/>
        <v>4932472</v>
      </c>
      <c r="P182" s="3">
        <f t="shared" si="147"/>
        <v>3554236.368907338</v>
      </c>
      <c r="Q182" s="3">
        <f t="shared" si="148"/>
        <v>0</v>
      </c>
      <c r="R182" s="3">
        <f t="shared" si="149"/>
        <v>0</v>
      </c>
      <c r="S182" s="47">
        <f t="shared" ca="1" si="194"/>
        <v>8681827.3459960334</v>
      </c>
      <c r="T182" s="47">
        <f>IFERROR(HLOOKUP(B182-1,'EV Forecast WRZ'!$F$124:$T$130,3,FALSE)/12,0)+IFERROR(((HLOOKUP(B182,'EV Forecast WRZ'!$F$116:$T$122,3,FALSE)-HLOOKUP(B182-1,'EV Forecast WRZ'!$F$124:$T$130,3,FALSE)))*C182/78,0)</f>
        <v>224283.99858405159</v>
      </c>
      <c r="U182" s="47">
        <f ca="1">HLOOKUP(B182,Heating!$R$102:$AD$106,4,FALSE)*INDEX(Weather!$BO$1:$CB$20,MATCH(B182,Weather!$BO$1:$BO$20,0),MATCH(C182,Weather!$BO$1:$CB$1,0))/VLOOKUP(B182,Weather!$BO$2:$CB$20,14,FALSE)</f>
        <v>494069.81512065534</v>
      </c>
      <c r="V182" s="47">
        <f t="shared" ca="1" si="125"/>
        <v>9400181.1597007401</v>
      </c>
    </row>
    <row r="183" spans="1:22">
      <c r="A183" s="2">
        <f t="shared" si="195"/>
        <v>47542</v>
      </c>
      <c r="B183">
        <f t="shared" si="196"/>
        <v>2030</v>
      </c>
      <c r="C183">
        <f t="shared" si="197"/>
        <v>2</v>
      </c>
      <c r="E183" s="3">
        <f t="shared" ref="E183:F183" ca="1" si="208">E171</f>
        <v>680.85501811594202</v>
      </c>
      <c r="F183" s="3">
        <f t="shared" ca="1" si="208"/>
        <v>0</v>
      </c>
      <c r="G183" s="47">
        <f t="shared" si="199"/>
        <v>29</v>
      </c>
      <c r="H183" s="96">
        <f>'Economic Data'!F197</f>
        <v>253.18646587852757</v>
      </c>
      <c r="J183">
        <f t="shared" si="200"/>
        <v>0</v>
      </c>
      <c r="L183" s="3">
        <f t="shared" si="143"/>
        <v>-2785699</v>
      </c>
      <c r="M183" s="3">
        <f t="shared" ca="1" si="144"/>
        <v>2672742.6717553623</v>
      </c>
      <c r="N183" s="3">
        <f t="shared" ca="1" si="145"/>
        <v>0</v>
      </c>
      <c r="O183" s="3">
        <f t="shared" si="146"/>
        <v>4614248</v>
      </c>
      <c r="P183" s="3">
        <f t="shared" si="147"/>
        <v>3580727.5716569577</v>
      </c>
      <c r="Q183" s="3">
        <f t="shared" si="148"/>
        <v>0</v>
      </c>
      <c r="R183" s="3">
        <f t="shared" si="149"/>
        <v>0</v>
      </c>
      <c r="S183" s="47">
        <f t="shared" ca="1" si="194"/>
        <v>8082019.2434123196</v>
      </c>
      <c r="T183" s="47">
        <f>IFERROR(HLOOKUP(B183-1,'EV Forecast WRZ'!$F$124:$T$130,3,FALSE)/12,0)+IFERROR(((HLOOKUP(B183,'EV Forecast WRZ'!$F$116:$T$122,3,FALSE)-HLOOKUP(B183-1,'EV Forecast WRZ'!$F$124:$T$130,3,FALSE)))*C183/78,0)</f>
        <v>227528.88103592544</v>
      </c>
      <c r="U183" s="47">
        <f ca="1">HLOOKUP(B183,Heating!$R$102:$AD$106,4,FALSE)*INDEX(Weather!$BO$1:$CB$20,MATCH(B183,Weather!$BO$1:$BO$20,0),MATCH(C183,Weather!$BO$1:$CB$1,0))/VLOOKUP(B183,Weather!$BO$2:$CB$20,14,FALSE)</f>
        <v>442292.33001797443</v>
      </c>
      <c r="V183" s="47">
        <f t="shared" ref="V183:V205" ca="1" si="209">S183+T183+U183</f>
        <v>8751840.45446622</v>
      </c>
    </row>
    <row r="184" spans="1:22">
      <c r="A184" s="2">
        <f t="shared" si="195"/>
        <v>47573</v>
      </c>
      <c r="B184">
        <f t="shared" si="196"/>
        <v>2030</v>
      </c>
      <c r="C184">
        <f t="shared" si="197"/>
        <v>3</v>
      </c>
      <c r="E184" s="3">
        <f t="shared" ref="E184:F184" ca="1" si="210">E172</f>
        <v>608.13298913043479</v>
      </c>
      <c r="F184" s="3">
        <f t="shared" ca="1" si="210"/>
        <v>2.9583333333332896E-2</v>
      </c>
      <c r="G184" s="47">
        <f t="shared" si="199"/>
        <v>31</v>
      </c>
      <c r="H184" s="96">
        <f>'Economic Data'!F198</f>
        <v>255.78805307415573</v>
      </c>
      <c r="J184">
        <f t="shared" si="200"/>
        <v>0</v>
      </c>
      <c r="L184" s="3">
        <f t="shared" si="143"/>
        <v>-2785699</v>
      </c>
      <c r="M184" s="3">
        <f t="shared" ca="1" si="144"/>
        <v>2387267.401874783</v>
      </c>
      <c r="N184" s="3">
        <f t="shared" ca="1" si="145"/>
        <v>301.07254166666223</v>
      </c>
      <c r="O184" s="3">
        <f t="shared" si="146"/>
        <v>4932472</v>
      </c>
      <c r="P184" s="3">
        <f t="shared" si="147"/>
        <v>3617520.9088092083</v>
      </c>
      <c r="Q184" s="3">
        <f t="shared" si="148"/>
        <v>0</v>
      </c>
      <c r="R184" s="3">
        <f t="shared" si="149"/>
        <v>0</v>
      </c>
      <c r="S184" s="47">
        <f t="shared" ca="1" si="194"/>
        <v>8151862.383225658</v>
      </c>
      <c r="T184" s="47">
        <f>IFERROR(HLOOKUP(B184-1,'EV Forecast WRZ'!$F$124:$T$130,3,FALSE)/12,0)+IFERROR(((HLOOKUP(B184,'EV Forecast WRZ'!$F$116:$T$122,3,FALSE)-HLOOKUP(B184-1,'EV Forecast WRZ'!$F$124:$T$130,3,FALSE)))*C184/78,0)</f>
        <v>230773.7634877993</v>
      </c>
      <c r="U184" s="47">
        <f ca="1">HLOOKUP(B184,Heating!$R$102:$AD$106,4,FALSE)*INDEX(Weather!$BO$1:$CB$20,MATCH(B184,Weather!$BO$1:$BO$20,0),MATCH(C184,Weather!$BO$1:$CB$1,0))/VLOOKUP(B184,Weather!$BO$2:$CB$20,14,FALSE)</f>
        <v>386941.91516666091</v>
      </c>
      <c r="V184" s="47">
        <f t="shared" ca="1" si="209"/>
        <v>8769578.0618801173</v>
      </c>
    </row>
    <row r="185" spans="1:22">
      <c r="A185" s="2">
        <f t="shared" si="195"/>
        <v>47603</v>
      </c>
      <c r="B185">
        <f t="shared" si="196"/>
        <v>2030</v>
      </c>
      <c r="C185">
        <f t="shared" si="197"/>
        <v>4</v>
      </c>
      <c r="E185" s="3">
        <f t="shared" ref="E185:F185" ca="1" si="211">E173</f>
        <v>412.37941287878795</v>
      </c>
      <c r="F185" s="3">
        <f t="shared" ca="1" si="211"/>
        <v>5.6420833333333338</v>
      </c>
      <c r="G185" s="47">
        <f t="shared" si="199"/>
        <v>30</v>
      </c>
      <c r="H185" s="96">
        <f>'Economic Data'!F199</f>
        <v>251.72957704897581</v>
      </c>
      <c r="J185">
        <f t="shared" si="200"/>
        <v>0</v>
      </c>
      <c r="L185" s="3">
        <f t="shared" si="143"/>
        <v>-2785699</v>
      </c>
      <c r="M185" s="3">
        <f t="shared" ca="1" si="144"/>
        <v>1618823.427055758</v>
      </c>
      <c r="N185" s="3">
        <f t="shared" ca="1" si="145"/>
        <v>57420.046291666673</v>
      </c>
      <c r="O185" s="3">
        <f t="shared" si="146"/>
        <v>4773360</v>
      </c>
      <c r="P185" s="3">
        <f t="shared" si="147"/>
        <v>3560123.3028516979</v>
      </c>
      <c r="Q185" s="3">
        <f t="shared" si="148"/>
        <v>0</v>
      </c>
      <c r="R185" s="3">
        <f t="shared" si="149"/>
        <v>0</v>
      </c>
      <c r="S185" s="47">
        <f t="shared" ca="1" si="194"/>
        <v>7224027.7761991229</v>
      </c>
      <c r="T185" s="47">
        <f>IFERROR(HLOOKUP(B185-1,'EV Forecast WRZ'!$F$124:$T$130,3,FALSE)/12,0)+IFERROR(((HLOOKUP(B185,'EV Forecast WRZ'!$F$116:$T$122,3,FALSE)-HLOOKUP(B185-1,'EV Forecast WRZ'!$F$124:$T$130,3,FALSE)))*C185/78,0)</f>
        <v>234018.64593967315</v>
      </c>
      <c r="U185" s="47">
        <f ca="1">HLOOKUP(B185,Heating!$R$102:$AD$106,4,FALSE)*INDEX(Weather!$BO$1:$CB$20,MATCH(B185,Weather!$BO$1:$BO$20,0),MATCH(C185,Weather!$BO$1:$CB$1,0))/VLOOKUP(B185,Weather!$BO$2:$CB$20,14,FALSE)</f>
        <v>249689.63483230697</v>
      </c>
      <c r="V185" s="47">
        <f t="shared" ca="1" si="209"/>
        <v>7707736.056971103</v>
      </c>
    </row>
    <row r="186" spans="1:22">
      <c r="A186" s="2">
        <f t="shared" si="195"/>
        <v>47634</v>
      </c>
      <c r="B186">
        <f t="shared" si="196"/>
        <v>2030</v>
      </c>
      <c r="C186">
        <f t="shared" si="197"/>
        <v>5</v>
      </c>
      <c r="E186" s="3">
        <f t="shared" ref="E186:F186" ca="1" si="212">E174</f>
        <v>202.70273119310133</v>
      </c>
      <c r="F186" s="3">
        <f t="shared" ca="1" si="212"/>
        <v>86.191046176046171</v>
      </c>
      <c r="G186" s="47">
        <f t="shared" si="199"/>
        <v>31</v>
      </c>
      <c r="H186" s="96">
        <f>'Economic Data'!F200</f>
        <v>250.79300565854967</v>
      </c>
      <c r="J186">
        <f t="shared" si="200"/>
        <v>0</v>
      </c>
      <c r="L186" s="3">
        <f t="shared" si="143"/>
        <v>-2785699</v>
      </c>
      <c r="M186" s="3">
        <f t="shared" ca="1" si="144"/>
        <v>795723.35508424044</v>
      </c>
      <c r="N186" s="3">
        <f t="shared" ca="1" si="145"/>
        <v>877174.89603823947</v>
      </c>
      <c r="O186" s="3">
        <f t="shared" si="146"/>
        <v>4932472</v>
      </c>
      <c r="P186" s="3">
        <f t="shared" si="147"/>
        <v>3546877.7014768873</v>
      </c>
      <c r="Q186" s="3">
        <f t="shared" si="148"/>
        <v>0</v>
      </c>
      <c r="R186" s="3">
        <f t="shared" si="149"/>
        <v>0</v>
      </c>
      <c r="S186" s="47">
        <f t="shared" ca="1" si="194"/>
        <v>7366548.9525993671</v>
      </c>
      <c r="T186" s="47">
        <f>IFERROR(HLOOKUP(B186-1,'EV Forecast WRZ'!$F$124:$T$130,3,FALSE)/12,0)+IFERROR(((HLOOKUP(B186,'EV Forecast WRZ'!$F$116:$T$122,3,FALSE)-HLOOKUP(B186-1,'EV Forecast WRZ'!$F$124:$T$130,3,FALSE)))*C186/78,0)</f>
        <v>237263.52839154704</v>
      </c>
      <c r="U186" s="47">
        <f ca="1">HLOOKUP(B186,Heating!$R$102:$AD$106,4,FALSE)*INDEX(Weather!$BO$1:$CB$20,MATCH(B186,Weather!$BO$1:$BO$20,0),MATCH(C186,Weather!$BO$1:$CB$1,0))/VLOOKUP(B186,Weather!$BO$2:$CB$20,14,FALSE)</f>
        <v>106373.83192606429</v>
      </c>
      <c r="V186" s="47">
        <f t="shared" ca="1" si="209"/>
        <v>7710186.3129169792</v>
      </c>
    </row>
    <row r="187" spans="1:22">
      <c r="A187" s="2">
        <f t="shared" si="195"/>
        <v>47664</v>
      </c>
      <c r="B187">
        <f t="shared" si="196"/>
        <v>2030</v>
      </c>
      <c r="C187">
        <f t="shared" si="197"/>
        <v>6</v>
      </c>
      <c r="E187" s="3">
        <f t="shared" ref="E187:F187" ca="1" si="213">E175</f>
        <v>66.09717382617383</v>
      </c>
      <c r="F187" s="3">
        <f t="shared" ca="1" si="213"/>
        <v>194.94285087738348</v>
      </c>
      <c r="G187" s="47">
        <f t="shared" si="199"/>
        <v>30</v>
      </c>
      <c r="H187" s="96">
        <f>'Economic Data'!F201</f>
        <v>249.33611682899797</v>
      </c>
      <c r="J187">
        <f t="shared" si="200"/>
        <v>0</v>
      </c>
      <c r="L187" s="3">
        <f t="shared" si="143"/>
        <v>-2785699</v>
      </c>
      <c r="M187" s="3">
        <f t="shared" ca="1" si="144"/>
        <v>259468.95046246555</v>
      </c>
      <c r="N187" s="3">
        <f t="shared" ca="1" si="145"/>
        <v>1983952.8876642194</v>
      </c>
      <c r="O187" s="3">
        <f t="shared" si="146"/>
        <v>4773360</v>
      </c>
      <c r="P187" s="3">
        <f t="shared" si="147"/>
        <v>3526273.432671628</v>
      </c>
      <c r="Q187" s="3">
        <f t="shared" si="148"/>
        <v>0</v>
      </c>
      <c r="R187" s="3">
        <f t="shared" si="149"/>
        <v>0</v>
      </c>
      <c r="S187" s="47">
        <f t="shared" ca="1" si="194"/>
        <v>7757356.2707983134</v>
      </c>
      <c r="T187" s="47">
        <f>IFERROR(HLOOKUP(B187-1,'EV Forecast WRZ'!$F$124:$T$130,3,FALSE)/12,0)+IFERROR(((HLOOKUP(B187,'EV Forecast WRZ'!$F$116:$T$122,3,FALSE)-HLOOKUP(B187-1,'EV Forecast WRZ'!$F$124:$T$130,3,FALSE)))*C187/78,0)</f>
        <v>240508.41084342089</v>
      </c>
      <c r="U187" s="47">
        <f ca="1">HLOOKUP(B187,Heating!$R$102:$AD$106,4,FALSE)*INDEX(Weather!$BO$1:$CB$20,MATCH(B187,Weather!$BO$1:$BO$20,0),MATCH(C187,Weather!$BO$1:$CB$1,0))/VLOOKUP(B187,Weather!$BO$2:$CB$20,14,FALSE)</f>
        <v>23041.473045466184</v>
      </c>
      <c r="V187" s="47">
        <f t="shared" ca="1" si="209"/>
        <v>8020906.1546872007</v>
      </c>
    </row>
    <row r="188" spans="1:22">
      <c r="A188" s="2">
        <f t="shared" si="195"/>
        <v>47695</v>
      </c>
      <c r="B188">
        <f t="shared" si="196"/>
        <v>2030</v>
      </c>
      <c r="C188">
        <f t="shared" si="197"/>
        <v>7</v>
      </c>
      <c r="E188" s="3">
        <f t="shared" ref="E188:F188" ca="1" si="214">E176</f>
        <v>10.249063146997932</v>
      </c>
      <c r="F188" s="3">
        <f t="shared" ca="1" si="214"/>
        <v>297.94737858727848</v>
      </c>
      <c r="G188" s="47">
        <f t="shared" si="199"/>
        <v>31</v>
      </c>
      <c r="H188" s="96">
        <f>'Economic Data'!F202</f>
        <v>252.7571259436331</v>
      </c>
      <c r="J188">
        <f t="shared" si="200"/>
        <v>0</v>
      </c>
      <c r="L188" s="3">
        <f t="shared" si="143"/>
        <v>-2785699</v>
      </c>
      <c r="M188" s="3">
        <f t="shared" ca="1" si="144"/>
        <v>40233.394319834377</v>
      </c>
      <c r="N188" s="3">
        <f t="shared" ca="1" si="145"/>
        <v>3032240.2666205917</v>
      </c>
      <c r="O188" s="3">
        <f t="shared" si="146"/>
        <v>4932472</v>
      </c>
      <c r="P188" s="3">
        <f t="shared" si="147"/>
        <v>3574655.5672267224</v>
      </c>
      <c r="Q188" s="3">
        <f t="shared" si="148"/>
        <v>0</v>
      </c>
      <c r="R188" s="3">
        <f t="shared" si="149"/>
        <v>0</v>
      </c>
      <c r="S188" s="47">
        <f t="shared" ca="1" si="194"/>
        <v>8793902.2281671483</v>
      </c>
      <c r="T188" s="47">
        <f>IFERROR(HLOOKUP(B188-1,'EV Forecast WRZ'!$F$124:$T$130,3,FALSE)/12,0)+IFERROR(((HLOOKUP(B188,'EV Forecast WRZ'!$F$116:$T$122,3,FALSE)-HLOOKUP(B188-1,'EV Forecast WRZ'!$F$124:$T$130,3,FALSE)))*C188/78,0)</f>
        <v>243753.29329529474</v>
      </c>
      <c r="U188" s="47">
        <f ca="1">HLOOKUP(B188,Heating!$R$102:$AD$106,4,FALSE)*INDEX(Weather!$BO$1:$CB$20,MATCH(B188,Weather!$BO$1:$BO$20,0),MATCH(C188,Weather!$BO$1:$CB$1,0))/VLOOKUP(B188,Weather!$BO$2:$CB$20,14,FALSE)</f>
        <v>1146.3137844444338</v>
      </c>
      <c r="V188" s="47">
        <f t="shared" ca="1" si="209"/>
        <v>9038801.8352468871</v>
      </c>
    </row>
    <row r="189" spans="1:22">
      <c r="A189" s="2">
        <f t="shared" si="195"/>
        <v>47726</v>
      </c>
      <c r="B189">
        <f t="shared" si="196"/>
        <v>2030</v>
      </c>
      <c r="C189">
        <f t="shared" si="197"/>
        <v>8</v>
      </c>
      <c r="E189" s="3">
        <f t="shared" ref="E189:F189" ca="1" si="215">E177</f>
        <v>21.194927536231887</v>
      </c>
      <c r="F189" s="3">
        <f t="shared" ca="1" si="215"/>
        <v>272.96558794466404</v>
      </c>
      <c r="G189" s="47">
        <f t="shared" si="199"/>
        <v>31</v>
      </c>
      <c r="H189" s="96">
        <f>'Economic Data'!F203</f>
        <v>250.02915364204136</v>
      </c>
      <c r="J189">
        <f t="shared" si="200"/>
        <v>0</v>
      </c>
      <c r="L189" s="3">
        <f t="shared" si="143"/>
        <v>-2785699</v>
      </c>
      <c r="M189" s="3">
        <f t="shared" ca="1" si="144"/>
        <v>83202.129298550746</v>
      </c>
      <c r="N189" s="3">
        <f t="shared" ca="1" si="145"/>
        <v>2777998.0850716406</v>
      </c>
      <c r="O189" s="3">
        <f t="shared" si="146"/>
        <v>4932472</v>
      </c>
      <c r="P189" s="3">
        <f t="shared" si="147"/>
        <v>3536074.8097556164</v>
      </c>
      <c r="Q189" s="3">
        <f t="shared" si="148"/>
        <v>0</v>
      </c>
      <c r="R189" s="3">
        <f t="shared" si="149"/>
        <v>0</v>
      </c>
      <c r="S189" s="47">
        <f t="shared" ca="1" si="194"/>
        <v>8544048.024125807</v>
      </c>
      <c r="T189" s="47">
        <f>IFERROR(HLOOKUP(B189-1,'EV Forecast WRZ'!$F$124:$T$130,3,FALSE)/12,0)+IFERROR(((HLOOKUP(B189,'EV Forecast WRZ'!$F$116:$T$122,3,FALSE)-HLOOKUP(B189-1,'EV Forecast WRZ'!$F$124:$T$130,3,FALSE)))*C189/78,0)</f>
        <v>246998.1757471686</v>
      </c>
      <c r="U189" s="47">
        <f ca="1">HLOOKUP(B189,Heating!$R$102:$AD$106,4,FALSE)*INDEX(Weather!$BO$1:$CB$20,MATCH(B189,Weather!$BO$1:$BO$20,0),MATCH(C189,Weather!$BO$1:$CB$1,0))/VLOOKUP(B189,Weather!$BO$2:$CB$20,14,FALSE)</f>
        <v>4003.094235659677</v>
      </c>
      <c r="V189" s="47">
        <f t="shared" ca="1" si="209"/>
        <v>8795049.2941086367</v>
      </c>
    </row>
    <row r="190" spans="1:22">
      <c r="A190" s="2">
        <f t="shared" si="195"/>
        <v>47756</v>
      </c>
      <c r="B190">
        <f t="shared" si="196"/>
        <v>2030</v>
      </c>
      <c r="C190">
        <f t="shared" si="197"/>
        <v>9</v>
      </c>
      <c r="E190" s="3">
        <f t="shared" ref="E190:F190" ca="1" si="216">E178</f>
        <v>96.735690993788822</v>
      </c>
      <c r="F190" s="3">
        <f t="shared" ca="1" si="216"/>
        <v>158.67014233954447</v>
      </c>
      <c r="G190" s="47">
        <f t="shared" si="199"/>
        <v>30</v>
      </c>
      <c r="H190" s="96">
        <f>'Economic Data'!F204</f>
        <v>252.33743789723437</v>
      </c>
      <c r="J190">
        <f t="shared" si="200"/>
        <v>1</v>
      </c>
      <c r="L190" s="3">
        <f t="shared" si="143"/>
        <v>-2785699</v>
      </c>
      <c r="M190" s="3">
        <f t="shared" ca="1" si="144"/>
        <v>379742.53302310564</v>
      </c>
      <c r="N190" s="3">
        <f t="shared" ca="1" si="145"/>
        <v>1614801.9056037781</v>
      </c>
      <c r="O190" s="3">
        <f t="shared" si="146"/>
        <v>4773360</v>
      </c>
      <c r="P190" s="3">
        <f t="shared" si="147"/>
        <v>3568720.0660773213</v>
      </c>
      <c r="Q190" s="3">
        <f t="shared" si="148"/>
        <v>0</v>
      </c>
      <c r="R190" s="3">
        <f t="shared" si="149"/>
        <v>193962.4</v>
      </c>
      <c r="S190" s="47">
        <f t="shared" ca="1" si="194"/>
        <v>7744887.9047042057</v>
      </c>
      <c r="T190" s="47">
        <f>IFERROR(HLOOKUP(B190-1,'EV Forecast WRZ'!$F$124:$T$130,3,FALSE)/12,0)+IFERROR(((HLOOKUP(B190,'EV Forecast WRZ'!$F$116:$T$122,3,FALSE)-HLOOKUP(B190-1,'EV Forecast WRZ'!$F$124:$T$130,3,FALSE)))*C190/78,0)</f>
        <v>250243.05819904245</v>
      </c>
      <c r="U190" s="47">
        <f ca="1">HLOOKUP(B190,Heating!$R$102:$AD$106,4,FALSE)*INDEX(Weather!$BO$1:$CB$20,MATCH(B190,Weather!$BO$1:$BO$20,0),MATCH(C190,Weather!$BO$1:$CB$1,0))/VLOOKUP(B190,Weather!$BO$2:$CB$20,14,FALSE)</f>
        <v>38939.437422533505</v>
      </c>
      <c r="V190" s="47">
        <f t="shared" ca="1" si="209"/>
        <v>8034070.4003257817</v>
      </c>
    </row>
    <row r="191" spans="1:22">
      <c r="A191" s="2">
        <f t="shared" si="195"/>
        <v>47787</v>
      </c>
      <c r="B191">
        <f t="shared" si="196"/>
        <v>2030</v>
      </c>
      <c r="C191">
        <f t="shared" si="197"/>
        <v>10</v>
      </c>
      <c r="E191" s="3">
        <f t="shared" ref="E191:F191" ca="1" si="217">E179</f>
        <v>298.21097826086958</v>
      </c>
      <c r="F191" s="3">
        <f t="shared" ca="1" si="217"/>
        <v>35.32833333333334</v>
      </c>
      <c r="G191" s="47">
        <f t="shared" si="199"/>
        <v>31</v>
      </c>
      <c r="H191" s="96">
        <f>'Economic Data'!F205</f>
        <v>254.01619008282924</v>
      </c>
      <c r="J191">
        <f t="shared" si="200"/>
        <v>1</v>
      </c>
      <c r="L191" s="3">
        <f t="shared" si="143"/>
        <v>-2785699</v>
      </c>
      <c r="M191" s="3">
        <f t="shared" ca="1" si="144"/>
        <v>1170647.4735095652</v>
      </c>
      <c r="N191" s="3">
        <f t="shared" ca="1" si="145"/>
        <v>359539.98116666672</v>
      </c>
      <c r="O191" s="3">
        <f t="shared" si="146"/>
        <v>4932472</v>
      </c>
      <c r="P191" s="3">
        <f t="shared" si="147"/>
        <v>3592462.0706749246</v>
      </c>
      <c r="Q191" s="3">
        <f t="shared" si="148"/>
        <v>0</v>
      </c>
      <c r="R191" s="3">
        <f t="shared" si="149"/>
        <v>193962.4</v>
      </c>
      <c r="S191" s="47">
        <f t="shared" ca="1" si="194"/>
        <v>7463384.9253511569</v>
      </c>
      <c r="T191" s="47">
        <f>IFERROR(HLOOKUP(B191-1,'EV Forecast WRZ'!$F$124:$T$130,3,FALSE)/12,0)+IFERROR(((HLOOKUP(B191,'EV Forecast WRZ'!$F$116:$T$122,3,FALSE)-HLOOKUP(B191-1,'EV Forecast WRZ'!$F$124:$T$130,3,FALSE)))*C191/78,0)</f>
        <v>253487.94065091631</v>
      </c>
      <c r="U191" s="47">
        <f ca="1">HLOOKUP(B191,Heating!$R$102:$AD$106,4,FALSE)*INDEX(Weather!$BO$1:$CB$20,MATCH(B191,Weather!$BO$1:$BO$20,0),MATCH(C191,Weather!$BO$1:$CB$1,0))/VLOOKUP(B191,Weather!$BO$2:$CB$20,14,FALSE)</f>
        <v>168552.80622558767</v>
      </c>
      <c r="V191" s="47">
        <f t="shared" ca="1" si="209"/>
        <v>7885425.6722276611</v>
      </c>
    </row>
    <row r="192" spans="1:22">
      <c r="A192" s="2">
        <f t="shared" si="195"/>
        <v>47817</v>
      </c>
      <c r="B192">
        <f t="shared" si="196"/>
        <v>2030</v>
      </c>
      <c r="C192">
        <f t="shared" si="197"/>
        <v>11</v>
      </c>
      <c r="E192" s="3">
        <f t="shared" ref="E192:F192" ca="1" si="218">E180</f>
        <v>486.62991389045737</v>
      </c>
      <c r="F192" s="3">
        <f t="shared" ca="1" si="218"/>
        <v>2.2779166666666657</v>
      </c>
      <c r="G192" s="47">
        <f t="shared" si="199"/>
        <v>30</v>
      </c>
      <c r="H192" s="96">
        <f>'Economic Data'!F206</f>
        <v>253.49158002483082</v>
      </c>
      <c r="J192">
        <f t="shared" si="200"/>
        <v>1</v>
      </c>
      <c r="L192" s="3">
        <f t="shared" si="143"/>
        <v>-2785699</v>
      </c>
      <c r="M192" s="3">
        <f t="shared" ca="1" si="144"/>
        <v>1910298.817811135</v>
      </c>
      <c r="N192" s="3">
        <f t="shared" ca="1" si="145"/>
        <v>23182.585708333325</v>
      </c>
      <c r="O192" s="3">
        <f t="shared" si="146"/>
        <v>4773360</v>
      </c>
      <c r="P192" s="3">
        <f t="shared" si="147"/>
        <v>3585042.6942381738</v>
      </c>
      <c r="Q192" s="3">
        <f t="shared" si="148"/>
        <v>0</v>
      </c>
      <c r="R192" s="3">
        <f t="shared" si="149"/>
        <v>193962.4</v>
      </c>
      <c r="S192" s="47">
        <f t="shared" ca="1" si="194"/>
        <v>7700147.4977576425</v>
      </c>
      <c r="T192" s="47">
        <f>IFERROR(HLOOKUP(B192-1,'EV Forecast WRZ'!$F$124:$T$130,3,FALSE)/12,0)+IFERROR(((HLOOKUP(B192,'EV Forecast WRZ'!$F$116:$T$122,3,FALSE)-HLOOKUP(B192-1,'EV Forecast WRZ'!$F$124:$T$130,3,FALSE)))*C192/78,0)</f>
        <v>256732.82310279016</v>
      </c>
      <c r="U192" s="47">
        <f ca="1">HLOOKUP(B192,Heating!$R$102:$AD$106,4,FALSE)*INDEX(Weather!$BO$1:$CB$20,MATCH(B192,Weather!$BO$1:$BO$20,0),MATCH(C192,Weather!$BO$1:$CB$1,0))/VLOOKUP(B192,Weather!$BO$2:$CB$20,14,FALSE)</f>
        <v>302272.52195661509</v>
      </c>
      <c r="V192" s="47">
        <f t="shared" ca="1" si="209"/>
        <v>8259152.8428170476</v>
      </c>
    </row>
    <row r="193" spans="1:22">
      <c r="A193" s="2">
        <f t="shared" si="195"/>
        <v>47848</v>
      </c>
      <c r="B193">
        <f t="shared" si="196"/>
        <v>2030</v>
      </c>
      <c r="C193">
        <f t="shared" si="197"/>
        <v>12</v>
      </c>
      <c r="E193" s="3">
        <f t="shared" ref="E193:F193" ca="1" si="219">E181</f>
        <v>639.92800724637686</v>
      </c>
      <c r="F193" s="3">
        <f t="shared" ca="1" si="219"/>
        <v>0</v>
      </c>
      <c r="G193" s="47">
        <f t="shared" si="199"/>
        <v>31</v>
      </c>
      <c r="H193" s="96">
        <f>'Economic Data'!F207</f>
        <v>251.28821778123753</v>
      </c>
      <c r="J193">
        <f t="shared" si="200"/>
        <v>0</v>
      </c>
      <c r="L193" s="3">
        <f t="shared" si="143"/>
        <v>-2785699</v>
      </c>
      <c r="M193" s="3">
        <f t="shared" ca="1" si="144"/>
        <v>2512080.9075501454</v>
      </c>
      <c r="N193" s="3">
        <f t="shared" ca="1" si="145"/>
        <v>0</v>
      </c>
      <c r="O193" s="3">
        <f t="shared" si="146"/>
        <v>4932472</v>
      </c>
      <c r="P193" s="3">
        <f t="shared" si="147"/>
        <v>3553881.3132038191</v>
      </c>
      <c r="Q193" s="3">
        <f t="shared" si="148"/>
        <v>0</v>
      </c>
      <c r="R193" s="3">
        <f t="shared" si="149"/>
        <v>0</v>
      </c>
      <c r="S193" s="47">
        <f t="shared" ca="1" si="194"/>
        <v>8212735.220753964</v>
      </c>
      <c r="T193" s="47">
        <f>IFERROR(HLOOKUP(B193-1,'EV Forecast WRZ'!$F$124:$T$130,3,FALSE)/12,0)+IFERROR(((HLOOKUP(B193,'EV Forecast WRZ'!$F$116:$T$122,3,FALSE)-HLOOKUP(B193-1,'EV Forecast WRZ'!$F$124:$T$130,3,FALSE)))*C193/78,0)</f>
        <v>259977.70555466402</v>
      </c>
      <c r="U193" s="47">
        <f ca="1">HLOOKUP(B193,Heating!$R$102:$AD$106,4,FALSE)*INDEX(Weather!$BO$1:$CB$20,MATCH(B193,Weather!$BO$1:$BO$20,0),MATCH(C193,Weather!$BO$1:$CB$1,0))/VLOOKUP(B193,Weather!$BO$2:$CB$20,14,FALSE)</f>
        <v>409469.07512110734</v>
      </c>
      <c r="V193" s="47">
        <f t="shared" ca="1" si="209"/>
        <v>8882182.0014297348</v>
      </c>
    </row>
    <row r="194" spans="1:22">
      <c r="A194" s="2">
        <f t="shared" si="195"/>
        <v>47879</v>
      </c>
      <c r="B194">
        <f t="shared" si="196"/>
        <v>2031</v>
      </c>
      <c r="C194">
        <f t="shared" si="197"/>
        <v>1</v>
      </c>
      <c r="E194" s="3">
        <f t="shared" ref="E194:F194" ca="1" si="220">E182</f>
        <v>759.33418478260865</v>
      </c>
      <c r="F194" s="3">
        <f t="shared" ca="1" si="220"/>
        <v>0</v>
      </c>
      <c r="G194" s="47">
        <f t="shared" si="199"/>
        <v>31</v>
      </c>
      <c r="H194" s="96">
        <f>'Economic Data'!F208</f>
        <v>253.57514300555439</v>
      </c>
      <c r="J194">
        <f t="shared" si="200"/>
        <v>0</v>
      </c>
      <c r="L194" s="3">
        <f t="shared" ref="L194:L205" si="221">$Z$9</f>
        <v>-2785699</v>
      </c>
      <c r="M194" s="3">
        <f t="shared" ref="M194:M205" ca="1" si="222">E194*$Z$10</f>
        <v>2980817.9770886954</v>
      </c>
      <c r="N194" s="3">
        <f t="shared" ref="N194:N205" ca="1" si="223">F194*$Z$11</f>
        <v>0</v>
      </c>
      <c r="O194" s="3">
        <f t="shared" ref="O194:O205" si="224">G194*$Z$12</f>
        <v>4932472</v>
      </c>
      <c r="P194" s="3">
        <f t="shared" ref="P194:P205" si="225">H194*$Z$13</f>
        <v>3586224.4962275038</v>
      </c>
      <c r="Q194" s="3">
        <f t="shared" ref="Q194:Q205" si="226">I194*$Z$14</f>
        <v>0</v>
      </c>
      <c r="R194" s="3">
        <f t="shared" ref="R194:R205" si="227">J194*$Z$15</f>
        <v>0</v>
      </c>
      <c r="S194" s="47">
        <f t="shared" ca="1" si="194"/>
        <v>8713815.4733162001</v>
      </c>
      <c r="T194" s="47">
        <f>IFERROR(HLOOKUP(B194-1,'EV Forecast WRZ'!$F$124:$T$130,3,FALSE)/12,0)+IFERROR(((HLOOKUP(B194,'EV Forecast WRZ'!$F$116:$T$122,3,FALSE)-HLOOKUP(B194-1,'EV Forecast WRZ'!$F$124:$T$130,3,FALSE)))*C194/78,0)</f>
        <v>269135.37907585403</v>
      </c>
      <c r="U194" s="47">
        <f ca="1">HLOOKUP(B194,Heating!$R$102:$AD$106,4,FALSE)*INDEX(Weather!$BO$1:$CB$20,MATCH(B194,Weather!$BO$1:$BO$20,0),MATCH(C194,Weather!$BO$1:$CB$1,0))/VLOOKUP(B194,Weather!$BO$2:$CB$20,14,FALSE)</f>
        <v>553906.684118581</v>
      </c>
      <c r="V194" s="47">
        <f t="shared" ca="1" si="209"/>
        <v>9536857.5365106352</v>
      </c>
    </row>
    <row r="195" spans="1:22">
      <c r="A195" s="2">
        <f t="shared" si="195"/>
        <v>47907</v>
      </c>
      <c r="B195">
        <f t="shared" si="196"/>
        <v>2031</v>
      </c>
      <c r="C195">
        <f t="shared" si="197"/>
        <v>2</v>
      </c>
      <c r="E195" s="3">
        <f t="shared" ref="E195:F195" ca="1" si="228">E183</f>
        <v>680.85501811594202</v>
      </c>
      <c r="F195" s="3">
        <f t="shared" ca="1" si="228"/>
        <v>0</v>
      </c>
      <c r="G195" s="47">
        <f t="shared" si="199"/>
        <v>28</v>
      </c>
      <c r="H195" s="96">
        <f>'Economic Data'!F209</f>
        <v>255.46514407143428</v>
      </c>
      <c r="J195">
        <f t="shared" si="200"/>
        <v>0</v>
      </c>
      <c r="L195" s="3">
        <f t="shared" si="221"/>
        <v>-2785699</v>
      </c>
      <c r="M195" s="3">
        <f t="shared" ca="1" si="222"/>
        <v>2672742.6717553623</v>
      </c>
      <c r="N195" s="3">
        <f t="shared" ca="1" si="223"/>
        <v>0</v>
      </c>
      <c r="O195" s="3">
        <f t="shared" si="224"/>
        <v>4455136</v>
      </c>
      <c r="P195" s="3">
        <f t="shared" si="225"/>
        <v>3612954.1198018701</v>
      </c>
      <c r="Q195" s="3">
        <f t="shared" si="226"/>
        <v>0</v>
      </c>
      <c r="R195" s="3">
        <f t="shared" si="227"/>
        <v>0</v>
      </c>
      <c r="S195" s="47">
        <f t="shared" ca="1" si="194"/>
        <v>7955133.7915572319</v>
      </c>
      <c r="T195" s="47">
        <f>IFERROR(HLOOKUP(B195-1,'EV Forecast WRZ'!$F$124:$T$130,3,FALSE)/12,0)+IFERROR(((HLOOKUP(B195,'EV Forecast WRZ'!$F$116:$T$122,3,FALSE)-HLOOKUP(B195-1,'EV Forecast WRZ'!$F$124:$T$130,3,FALSE)))*C195/78,0)</f>
        <v>272424.44347850356</v>
      </c>
      <c r="U195" s="47">
        <f ca="1">HLOOKUP(B195,Heating!$R$102:$AD$106,4,FALSE)*INDEX(Weather!$BO$1:$CB$20,MATCH(B195,Weather!$BO$1:$BO$20,0),MATCH(C195,Weather!$BO$1:$CB$1,0))/VLOOKUP(B195,Weather!$BO$2:$CB$20,14,FALSE)</f>
        <v>495858.4200726964</v>
      </c>
      <c r="V195" s="47">
        <f t="shared" ca="1" si="209"/>
        <v>8723416.6551084314</v>
      </c>
    </row>
    <row r="196" spans="1:22">
      <c r="A196" s="2">
        <f t="shared" si="195"/>
        <v>47938</v>
      </c>
      <c r="B196">
        <f t="shared" si="196"/>
        <v>2031</v>
      </c>
      <c r="C196">
        <f t="shared" si="197"/>
        <v>3</v>
      </c>
      <c r="E196" s="3">
        <f t="shared" ref="E196:F196" ca="1" si="229">E184</f>
        <v>608.13298913043479</v>
      </c>
      <c r="F196" s="3">
        <f t="shared" ca="1" si="229"/>
        <v>2.9583333333332896E-2</v>
      </c>
      <c r="G196" s="47">
        <f t="shared" si="199"/>
        <v>31</v>
      </c>
      <c r="H196" s="96">
        <f>'Economic Data'!F210</f>
        <v>258.09014555182313</v>
      </c>
      <c r="J196">
        <f t="shared" si="200"/>
        <v>0</v>
      </c>
      <c r="L196" s="3">
        <f t="shared" si="221"/>
        <v>-2785699</v>
      </c>
      <c r="M196" s="3">
        <f t="shared" ca="1" si="222"/>
        <v>2387267.401874783</v>
      </c>
      <c r="N196" s="3">
        <f t="shared" ca="1" si="223"/>
        <v>301.07254166666223</v>
      </c>
      <c r="O196" s="3">
        <f t="shared" si="224"/>
        <v>4932472</v>
      </c>
      <c r="P196" s="3">
        <f t="shared" si="225"/>
        <v>3650078.5969884912</v>
      </c>
      <c r="Q196" s="3">
        <f t="shared" si="226"/>
        <v>0</v>
      </c>
      <c r="R196" s="3">
        <f t="shared" si="227"/>
        <v>0</v>
      </c>
      <c r="S196" s="47">
        <f t="shared" ca="1" si="194"/>
        <v>8184420.0714049414</v>
      </c>
      <c r="T196" s="47">
        <f>IFERROR(HLOOKUP(B196-1,'EV Forecast WRZ'!$F$124:$T$130,3,FALSE)/12,0)+IFERROR(((HLOOKUP(B196,'EV Forecast WRZ'!$F$116:$T$122,3,FALSE)-HLOOKUP(B196-1,'EV Forecast WRZ'!$F$124:$T$130,3,FALSE)))*C196/78,0)</f>
        <v>275713.50788115303</v>
      </c>
      <c r="U196" s="47">
        <f ca="1">HLOOKUP(B196,Heating!$R$102:$AD$106,4,FALSE)*INDEX(Weather!$BO$1:$CB$20,MATCH(B196,Weather!$BO$1:$BO$20,0),MATCH(C196,Weather!$BO$1:$CB$1,0))/VLOOKUP(B196,Weather!$BO$2:$CB$20,14,FALSE)</f>
        <v>433804.50822343316</v>
      </c>
      <c r="V196" s="47">
        <f t="shared" ca="1" si="209"/>
        <v>8893938.0875095278</v>
      </c>
    </row>
    <row r="197" spans="1:22">
      <c r="A197" s="2">
        <f t="shared" si="195"/>
        <v>47968</v>
      </c>
      <c r="B197">
        <f t="shared" si="196"/>
        <v>2031</v>
      </c>
      <c r="C197">
        <f t="shared" si="197"/>
        <v>4</v>
      </c>
      <c r="E197" s="3">
        <f t="shared" ref="E197:F197" ca="1" si="230">E185</f>
        <v>412.37941287878795</v>
      </c>
      <c r="F197" s="3">
        <f t="shared" ca="1" si="230"/>
        <v>5.6420833333333338</v>
      </c>
      <c r="G197" s="47">
        <f t="shared" si="199"/>
        <v>30</v>
      </c>
      <c r="H197" s="96">
        <f>'Economic Data'!F211</f>
        <v>253.99514324241656</v>
      </c>
      <c r="J197">
        <f t="shared" si="200"/>
        <v>0</v>
      </c>
      <c r="L197" s="3">
        <f t="shared" si="221"/>
        <v>-2785699</v>
      </c>
      <c r="M197" s="3">
        <f t="shared" ca="1" si="222"/>
        <v>1618823.427055758</v>
      </c>
      <c r="N197" s="3">
        <f t="shared" ca="1" si="223"/>
        <v>57420.046291666673</v>
      </c>
      <c r="O197" s="3">
        <f t="shared" si="224"/>
        <v>4773360</v>
      </c>
      <c r="P197" s="3">
        <f t="shared" si="225"/>
        <v>3592164.4125773623</v>
      </c>
      <c r="Q197" s="3">
        <f t="shared" si="226"/>
        <v>0</v>
      </c>
      <c r="R197" s="3">
        <f t="shared" si="227"/>
        <v>0</v>
      </c>
      <c r="S197" s="47">
        <f t="shared" ca="1" si="194"/>
        <v>7256068.8859247863</v>
      </c>
      <c r="T197" s="47">
        <f>IFERROR(HLOOKUP(B197-1,'EV Forecast WRZ'!$F$124:$T$130,3,FALSE)/12,0)+IFERROR(((HLOOKUP(B197,'EV Forecast WRZ'!$F$116:$T$122,3,FALSE)-HLOOKUP(B197-1,'EV Forecast WRZ'!$F$124:$T$130,3,FALSE)))*C197/78,0)</f>
        <v>279002.57228380255</v>
      </c>
      <c r="U197" s="47">
        <f ca="1">HLOOKUP(B197,Heating!$R$102:$AD$106,4,FALSE)*INDEX(Weather!$BO$1:$CB$20,MATCH(B197,Weather!$BO$1:$BO$20,0),MATCH(C197,Weather!$BO$1:$CB$1,0))/VLOOKUP(B197,Weather!$BO$2:$CB$20,14,FALSE)</f>
        <v>279929.58374712185</v>
      </c>
      <c r="V197" s="47">
        <f t="shared" ca="1" si="209"/>
        <v>7815001.0419557104</v>
      </c>
    </row>
    <row r="198" spans="1:22">
      <c r="A198" s="2">
        <f t="shared" si="195"/>
        <v>47999</v>
      </c>
      <c r="B198">
        <f t="shared" si="196"/>
        <v>2031</v>
      </c>
      <c r="C198">
        <f t="shared" si="197"/>
        <v>5</v>
      </c>
      <c r="E198" s="3">
        <f t="shared" ref="E198:F198" ca="1" si="231">E186</f>
        <v>202.70273119310133</v>
      </c>
      <c r="F198" s="3">
        <f t="shared" ca="1" si="231"/>
        <v>86.191046176046171</v>
      </c>
      <c r="G198" s="47">
        <f t="shared" si="199"/>
        <v>31</v>
      </c>
      <c r="H198" s="96">
        <f>'Economic Data'!F212</f>
        <v>253.0501427094766</v>
      </c>
      <c r="J198">
        <f t="shared" si="200"/>
        <v>0</v>
      </c>
      <c r="L198" s="3">
        <f t="shared" si="221"/>
        <v>-2785699</v>
      </c>
      <c r="M198" s="3">
        <f t="shared" ca="1" si="222"/>
        <v>795723.35508424044</v>
      </c>
      <c r="N198" s="3">
        <f t="shared" ca="1" si="223"/>
        <v>877174.89603823947</v>
      </c>
      <c r="O198" s="3">
        <f t="shared" si="224"/>
        <v>4932472</v>
      </c>
      <c r="P198" s="3">
        <f t="shared" si="225"/>
        <v>3578799.6007901793</v>
      </c>
      <c r="Q198" s="3">
        <f t="shared" si="226"/>
        <v>0</v>
      </c>
      <c r="R198" s="3">
        <f t="shared" si="227"/>
        <v>0</v>
      </c>
      <c r="S198" s="47">
        <f t="shared" ca="1" si="194"/>
        <v>7398470.8519126587</v>
      </c>
      <c r="T198" s="47">
        <f>IFERROR(HLOOKUP(B198-1,'EV Forecast WRZ'!$F$124:$T$130,3,FALSE)/12,0)+IFERROR(((HLOOKUP(B198,'EV Forecast WRZ'!$F$116:$T$122,3,FALSE)-HLOOKUP(B198-1,'EV Forecast WRZ'!$F$124:$T$130,3,FALSE)))*C198/78,0)</f>
        <v>282291.63668645202</v>
      </c>
      <c r="U198" s="47">
        <f ca="1">HLOOKUP(B198,Heating!$R$102:$AD$106,4,FALSE)*INDEX(Weather!$BO$1:$CB$20,MATCH(B198,Weather!$BO$1:$BO$20,0),MATCH(C198,Weather!$BO$1:$CB$1,0))/VLOOKUP(B198,Weather!$BO$2:$CB$20,14,FALSE)</f>
        <v>119256.78257588872</v>
      </c>
      <c r="V198" s="47">
        <f t="shared" ca="1" si="209"/>
        <v>7800019.271174999</v>
      </c>
    </row>
    <row r="199" spans="1:22">
      <c r="A199" s="2">
        <f t="shared" si="195"/>
        <v>48029</v>
      </c>
      <c r="B199">
        <f t="shared" si="196"/>
        <v>2031</v>
      </c>
      <c r="C199">
        <f t="shared" si="197"/>
        <v>6</v>
      </c>
      <c r="E199" s="3">
        <f t="shared" ref="E199:F199" ca="1" si="232">E187</f>
        <v>66.09717382617383</v>
      </c>
      <c r="F199" s="3">
        <f t="shared" ca="1" si="232"/>
        <v>194.94285087738348</v>
      </c>
      <c r="G199" s="47">
        <f t="shared" si="199"/>
        <v>30</v>
      </c>
      <c r="H199" s="96">
        <f>'Economic Data'!F213</f>
        <v>251.58014188045894</v>
      </c>
      <c r="J199">
        <f t="shared" si="200"/>
        <v>0</v>
      </c>
      <c r="L199" s="3">
        <f t="shared" si="221"/>
        <v>-2785699</v>
      </c>
      <c r="M199" s="3">
        <f t="shared" ca="1" si="222"/>
        <v>259468.95046246555</v>
      </c>
      <c r="N199" s="3">
        <f t="shared" ca="1" si="223"/>
        <v>1983952.8876642194</v>
      </c>
      <c r="O199" s="3">
        <f t="shared" si="224"/>
        <v>4773360</v>
      </c>
      <c r="P199" s="3">
        <f t="shared" si="225"/>
        <v>3558009.8935656724</v>
      </c>
      <c r="Q199" s="3">
        <f t="shared" si="226"/>
        <v>0</v>
      </c>
      <c r="R199" s="3">
        <f t="shared" si="227"/>
        <v>0</v>
      </c>
      <c r="S199" s="47">
        <f t="shared" ca="1" si="194"/>
        <v>7789092.7316923579</v>
      </c>
      <c r="T199" s="47">
        <f>IFERROR(HLOOKUP(B199-1,'EV Forecast WRZ'!$F$124:$T$130,3,FALSE)/12,0)+IFERROR(((HLOOKUP(B199,'EV Forecast WRZ'!$F$116:$T$122,3,FALSE)-HLOOKUP(B199-1,'EV Forecast WRZ'!$F$124:$T$130,3,FALSE)))*C199/78,0)</f>
        <v>285580.70108910155</v>
      </c>
      <c r="U199" s="47">
        <f ca="1">HLOOKUP(B199,Heating!$R$102:$AD$106,4,FALSE)*INDEX(Weather!$BO$1:$CB$20,MATCH(B199,Weather!$BO$1:$BO$20,0),MATCH(C199,Weather!$BO$1:$CB$1,0))/VLOOKUP(B199,Weather!$BO$2:$CB$20,14,FALSE)</f>
        <v>25832.02928255203</v>
      </c>
      <c r="V199" s="47">
        <f t="shared" ca="1" si="209"/>
        <v>8100505.462064012</v>
      </c>
    </row>
    <row r="200" spans="1:22">
      <c r="A200" s="2">
        <f t="shared" si="195"/>
        <v>48060</v>
      </c>
      <c r="B200">
        <f t="shared" si="196"/>
        <v>2031</v>
      </c>
      <c r="C200">
        <f t="shared" si="197"/>
        <v>7</v>
      </c>
      <c r="E200" s="3">
        <f t="shared" ref="E200:F200" ca="1" si="233">E188</f>
        <v>10.249063146997932</v>
      </c>
      <c r="F200" s="3">
        <f t="shared" ca="1" si="233"/>
        <v>297.94737858727848</v>
      </c>
      <c r="G200" s="47">
        <f t="shared" si="199"/>
        <v>31</v>
      </c>
      <c r="H200" s="96">
        <f>'Economic Data'!F214</f>
        <v>255.03194007712577</v>
      </c>
      <c r="J200">
        <f t="shared" si="200"/>
        <v>0</v>
      </c>
      <c r="L200" s="3">
        <f t="shared" si="221"/>
        <v>-2785699</v>
      </c>
      <c r="M200" s="3">
        <f t="shared" ca="1" si="222"/>
        <v>40233.394319834377</v>
      </c>
      <c r="N200" s="3">
        <f t="shared" ca="1" si="223"/>
        <v>3032240.2666205917</v>
      </c>
      <c r="O200" s="3">
        <f t="shared" si="224"/>
        <v>4932472</v>
      </c>
      <c r="P200" s="3">
        <f t="shared" si="225"/>
        <v>3606827.4673317624</v>
      </c>
      <c r="Q200" s="3">
        <f t="shared" si="226"/>
        <v>0</v>
      </c>
      <c r="R200" s="3">
        <f t="shared" si="227"/>
        <v>0</v>
      </c>
      <c r="S200" s="47">
        <f t="shared" ca="1" si="194"/>
        <v>8826074.128272187</v>
      </c>
      <c r="T200" s="47">
        <f>IFERROR(HLOOKUP(B200-1,'EV Forecast WRZ'!$F$124:$T$130,3,FALSE)/12,0)+IFERROR(((HLOOKUP(B200,'EV Forecast WRZ'!$F$116:$T$122,3,FALSE)-HLOOKUP(B200-1,'EV Forecast WRZ'!$F$124:$T$130,3,FALSE)))*C200/78,0)</f>
        <v>288869.76549175102</v>
      </c>
      <c r="U200" s="47">
        <f ca="1">HLOOKUP(B200,Heating!$R$102:$AD$106,4,FALSE)*INDEX(Weather!$BO$1:$CB$20,MATCH(B200,Weather!$BO$1:$BO$20,0),MATCH(C200,Weather!$BO$1:$CB$1,0))/VLOOKUP(B200,Weather!$BO$2:$CB$20,14,FALSE)</f>
        <v>1285.1440178469081</v>
      </c>
      <c r="V200" s="47">
        <f t="shared" ca="1" si="209"/>
        <v>9116229.0377817843</v>
      </c>
    </row>
    <row r="201" spans="1:22">
      <c r="A201" s="2">
        <f t="shared" si="195"/>
        <v>48091</v>
      </c>
      <c r="B201">
        <f t="shared" si="196"/>
        <v>2031</v>
      </c>
      <c r="C201">
        <f t="shared" si="197"/>
        <v>8</v>
      </c>
      <c r="E201" s="3">
        <f t="shared" ref="E201:F201" ca="1" si="234">E189</f>
        <v>21.194927536231887</v>
      </c>
      <c r="F201" s="3">
        <f t="shared" ca="1" si="234"/>
        <v>272.96558794466404</v>
      </c>
      <c r="G201" s="47">
        <f t="shared" si="199"/>
        <v>31</v>
      </c>
      <c r="H201" s="96">
        <f>'Economic Data'!F215</f>
        <v>252.27941602481971</v>
      </c>
      <c r="J201">
        <f t="shared" si="200"/>
        <v>0</v>
      </c>
      <c r="L201" s="3">
        <f t="shared" si="221"/>
        <v>-2785699</v>
      </c>
      <c r="M201" s="3">
        <f t="shared" ca="1" si="222"/>
        <v>83202.129298550746</v>
      </c>
      <c r="N201" s="3">
        <f t="shared" ca="1" si="223"/>
        <v>2777998.0850716406</v>
      </c>
      <c r="O201" s="3">
        <f t="shared" si="224"/>
        <v>4932472</v>
      </c>
      <c r="P201" s="3">
        <f t="shared" si="225"/>
        <v>3567899.4830434164</v>
      </c>
      <c r="Q201" s="3">
        <f t="shared" si="226"/>
        <v>0</v>
      </c>
      <c r="R201" s="3">
        <f t="shared" si="227"/>
        <v>0</v>
      </c>
      <c r="S201" s="47">
        <f t="shared" ca="1" si="194"/>
        <v>8575872.6974136084</v>
      </c>
      <c r="T201" s="47">
        <f>IFERROR(HLOOKUP(B201-1,'EV Forecast WRZ'!$F$124:$T$130,3,FALSE)/12,0)+IFERROR(((HLOOKUP(B201,'EV Forecast WRZ'!$F$116:$T$122,3,FALSE)-HLOOKUP(B201-1,'EV Forecast WRZ'!$F$124:$T$130,3,FALSE)))*C201/78,0)</f>
        <v>292158.82989440055</v>
      </c>
      <c r="U201" s="47">
        <f ca="1">HLOOKUP(B201,Heating!$R$102:$AD$106,4,FALSE)*INDEX(Weather!$BO$1:$CB$20,MATCH(B201,Weather!$BO$1:$BO$20,0),MATCH(C201,Weather!$BO$1:$CB$1,0))/VLOOKUP(B201,Weather!$BO$2:$CB$20,14,FALSE)</f>
        <v>4487.9095755869384</v>
      </c>
      <c r="V201" s="47">
        <f t="shared" ca="1" si="209"/>
        <v>8872519.4368835967</v>
      </c>
    </row>
    <row r="202" spans="1:22">
      <c r="A202" s="2">
        <f t="shared" si="195"/>
        <v>48121</v>
      </c>
      <c r="B202">
        <f t="shared" si="196"/>
        <v>2031</v>
      </c>
      <c r="C202">
        <f t="shared" si="197"/>
        <v>9</v>
      </c>
      <c r="E202" s="3">
        <f t="shared" ref="E202:F202" ca="1" si="235">E190</f>
        <v>96.735690993788822</v>
      </c>
      <c r="F202" s="3">
        <f t="shared" ca="1" si="235"/>
        <v>158.67014233954447</v>
      </c>
      <c r="G202" s="47">
        <f t="shared" si="199"/>
        <v>30</v>
      </c>
      <c r="H202" s="96">
        <f>'Economic Data'!F216</f>
        <v>254.60847483830946</v>
      </c>
      <c r="J202">
        <f t="shared" si="200"/>
        <v>1</v>
      </c>
      <c r="L202" s="3">
        <f t="shared" si="221"/>
        <v>-2785699</v>
      </c>
      <c r="M202" s="3">
        <f t="shared" ca="1" si="222"/>
        <v>379742.53302310564</v>
      </c>
      <c r="N202" s="3">
        <f t="shared" ca="1" si="223"/>
        <v>1614801.9056037781</v>
      </c>
      <c r="O202" s="3">
        <f t="shared" si="224"/>
        <v>4773360</v>
      </c>
      <c r="P202" s="3">
        <f t="shared" si="225"/>
        <v>3600838.5466720173</v>
      </c>
      <c r="Q202" s="3">
        <f t="shared" si="226"/>
        <v>0</v>
      </c>
      <c r="R202" s="3">
        <f t="shared" si="227"/>
        <v>193962.4</v>
      </c>
      <c r="S202" s="47">
        <f t="shared" ca="1" si="194"/>
        <v>7777006.3852989012</v>
      </c>
      <c r="T202" s="47">
        <f>IFERROR(HLOOKUP(B202-1,'EV Forecast WRZ'!$F$124:$T$130,3,FALSE)/12,0)+IFERROR(((HLOOKUP(B202,'EV Forecast WRZ'!$F$116:$T$122,3,FALSE)-HLOOKUP(B202-1,'EV Forecast WRZ'!$F$124:$T$130,3,FALSE)))*C202/78,0)</f>
        <v>295447.89429705002</v>
      </c>
      <c r="U202" s="47">
        <f ca="1">HLOOKUP(B202,Heating!$R$102:$AD$106,4,FALSE)*INDEX(Weather!$BO$1:$CB$20,MATCH(B202,Weather!$BO$1:$BO$20,0),MATCH(C202,Weather!$BO$1:$CB$1,0))/VLOOKUP(B202,Weather!$BO$2:$CB$20,14,FALSE)</f>
        <v>43655.398496447837</v>
      </c>
      <c r="V202" s="47">
        <f t="shared" ca="1" si="209"/>
        <v>8116109.6780923996</v>
      </c>
    </row>
    <row r="203" spans="1:22">
      <c r="A203" s="2">
        <f t="shared" si="195"/>
        <v>48152</v>
      </c>
      <c r="B203">
        <f t="shared" si="196"/>
        <v>2031</v>
      </c>
      <c r="C203">
        <f t="shared" si="197"/>
        <v>10</v>
      </c>
      <c r="E203" s="3">
        <f t="shared" ref="E203:F203" ca="1" si="236">E191</f>
        <v>298.21097826086958</v>
      </c>
      <c r="F203" s="3">
        <f t="shared" ca="1" si="236"/>
        <v>35.32833333333334</v>
      </c>
      <c r="G203" s="47">
        <f t="shared" si="199"/>
        <v>31</v>
      </c>
      <c r="H203" s="96">
        <f>'Economic Data'!F217</f>
        <v>256.30233579357468</v>
      </c>
      <c r="J203">
        <f t="shared" si="200"/>
        <v>1</v>
      </c>
      <c r="L203" s="3">
        <f t="shared" si="221"/>
        <v>-2785699</v>
      </c>
      <c r="M203" s="3">
        <f t="shared" ca="1" si="222"/>
        <v>1170647.4735095652</v>
      </c>
      <c r="N203" s="3">
        <f t="shared" ca="1" si="223"/>
        <v>359539.98116666672</v>
      </c>
      <c r="O203" s="3">
        <f t="shared" si="224"/>
        <v>4932472</v>
      </c>
      <c r="P203" s="3">
        <f t="shared" si="225"/>
        <v>3624794.2293109987</v>
      </c>
      <c r="Q203" s="3">
        <f t="shared" si="226"/>
        <v>0</v>
      </c>
      <c r="R203" s="3">
        <f t="shared" si="227"/>
        <v>193962.4</v>
      </c>
      <c r="S203" s="47">
        <f t="shared" ca="1" si="194"/>
        <v>7495717.0839872304</v>
      </c>
      <c r="T203" s="47">
        <f>IFERROR(HLOOKUP(B203-1,'EV Forecast WRZ'!$F$124:$T$130,3,FALSE)/12,0)+IFERROR(((HLOOKUP(B203,'EV Forecast WRZ'!$F$116:$T$122,3,FALSE)-HLOOKUP(B203-1,'EV Forecast WRZ'!$F$124:$T$130,3,FALSE)))*C203/78,0)</f>
        <v>298736.95869969949</v>
      </c>
      <c r="U203" s="47">
        <f ca="1">HLOOKUP(B203,Heating!$R$102:$AD$106,4,FALSE)*INDEX(Weather!$BO$1:$CB$20,MATCH(B203,Weather!$BO$1:$BO$20,0),MATCH(C203,Weather!$BO$1:$CB$1,0))/VLOOKUP(B203,Weather!$BO$2:$CB$20,14,FALSE)</f>
        <v>188966.26172658856</v>
      </c>
      <c r="V203" s="47">
        <f t="shared" ca="1" si="209"/>
        <v>7983420.3044135189</v>
      </c>
    </row>
    <row r="204" spans="1:22">
      <c r="A204" s="2">
        <f t="shared" si="195"/>
        <v>48182</v>
      </c>
      <c r="B204">
        <f t="shared" si="196"/>
        <v>2031</v>
      </c>
      <c r="C204">
        <f t="shared" si="197"/>
        <v>11</v>
      </c>
      <c r="E204" s="3">
        <f t="shared" ref="E204:F204" ca="1" si="237">E192</f>
        <v>486.62991389045737</v>
      </c>
      <c r="F204" s="3">
        <f t="shared" ca="1" si="237"/>
        <v>2.2779166666666657</v>
      </c>
      <c r="G204" s="47">
        <f t="shared" si="199"/>
        <v>30</v>
      </c>
      <c r="H204" s="96">
        <f>'Economic Data'!F218</f>
        <v>255.77300424505427</v>
      </c>
      <c r="J204">
        <f t="shared" si="200"/>
        <v>1</v>
      </c>
      <c r="L204" s="3">
        <f t="shared" si="221"/>
        <v>-2785699</v>
      </c>
      <c r="M204" s="3">
        <f t="shared" ca="1" si="222"/>
        <v>1910298.817811135</v>
      </c>
      <c r="N204" s="3">
        <f t="shared" ca="1" si="223"/>
        <v>23182.585708333325</v>
      </c>
      <c r="O204" s="3">
        <f t="shared" si="224"/>
        <v>4773360</v>
      </c>
      <c r="P204" s="3">
        <f t="shared" si="225"/>
        <v>3617308.0784863168</v>
      </c>
      <c r="Q204" s="3">
        <f t="shared" si="226"/>
        <v>0</v>
      </c>
      <c r="R204" s="3">
        <f t="shared" si="227"/>
        <v>193962.4</v>
      </c>
      <c r="S204" s="47">
        <f t="shared" ca="1" si="194"/>
        <v>7732412.8820057856</v>
      </c>
      <c r="T204" s="47">
        <f>IFERROR(HLOOKUP(B204-1,'EV Forecast WRZ'!$F$124:$T$130,3,FALSE)/12,0)+IFERROR(((HLOOKUP(B204,'EV Forecast WRZ'!$F$116:$T$122,3,FALSE)-HLOOKUP(B204-1,'EV Forecast WRZ'!$F$124:$T$130,3,FALSE)))*C204/78,0)</f>
        <v>302026.02310234902</v>
      </c>
      <c r="U204" s="47">
        <f ca="1">HLOOKUP(B204,Heating!$R$102:$AD$106,4,FALSE)*INDEX(Weather!$BO$1:$CB$20,MATCH(B204,Weather!$BO$1:$BO$20,0),MATCH(C204,Weather!$BO$1:$CB$1,0))/VLOOKUP(B204,Weather!$BO$2:$CB$20,14,FALSE)</f>
        <v>338880.79217359569</v>
      </c>
      <c r="V204" s="47">
        <f t="shared" ca="1" si="209"/>
        <v>8373319.6972817304</v>
      </c>
    </row>
    <row r="205" spans="1:22">
      <c r="A205" s="2">
        <f t="shared" si="195"/>
        <v>48213</v>
      </c>
      <c r="B205">
        <f t="shared" si="196"/>
        <v>2031</v>
      </c>
      <c r="C205">
        <f t="shared" si="197"/>
        <v>12</v>
      </c>
      <c r="E205" s="3">
        <f t="shared" ref="E205:F205" ca="1" si="238">E193</f>
        <v>639.92800724637686</v>
      </c>
      <c r="F205" s="3">
        <f t="shared" ca="1" si="238"/>
        <v>0</v>
      </c>
      <c r="G205" s="47">
        <f t="shared" si="199"/>
        <v>31</v>
      </c>
      <c r="H205" s="96">
        <f>'Economic Data'!F219</f>
        <v>253.54981174126866</v>
      </c>
      <c r="J205">
        <f t="shared" si="200"/>
        <v>0</v>
      </c>
      <c r="L205" s="3">
        <f t="shared" si="221"/>
        <v>-2785699</v>
      </c>
      <c r="M205" s="3">
        <f t="shared" ca="1" si="222"/>
        <v>2512080.9075501454</v>
      </c>
      <c r="N205" s="3">
        <f t="shared" ca="1" si="223"/>
        <v>0</v>
      </c>
      <c r="O205" s="3">
        <f t="shared" si="224"/>
        <v>4932472</v>
      </c>
      <c r="P205" s="3">
        <f t="shared" si="225"/>
        <v>3585866.2450226531</v>
      </c>
      <c r="Q205" s="3">
        <f t="shared" si="226"/>
        <v>0</v>
      </c>
      <c r="R205" s="3">
        <f t="shared" si="227"/>
        <v>0</v>
      </c>
      <c r="S205" s="47">
        <f t="shared" ca="1" si="194"/>
        <v>8244720.1525727976</v>
      </c>
      <c r="T205" s="47">
        <f>IFERROR(HLOOKUP(B205-1,'EV Forecast WRZ'!$F$124:$T$130,3,FALSE)/12,0)+IFERROR(((HLOOKUP(B205,'EV Forecast WRZ'!$F$116:$T$122,3,FALSE)-HLOOKUP(B205-1,'EV Forecast WRZ'!$F$124:$T$130,3,FALSE)))*C205/78,0)</f>
        <v>305315.08750499849</v>
      </c>
      <c r="U205" s="47">
        <f ca="1">HLOOKUP(B205,Heating!$R$102:$AD$106,4,FALSE)*INDEX(Weather!$BO$1:$CB$20,MATCH(B205,Weather!$BO$1:$BO$20,0),MATCH(C205,Weather!$BO$1:$CB$1,0))/VLOOKUP(B205,Weather!$BO$2:$CB$20,14,FALSE)</f>
        <v>459059.93587980414</v>
      </c>
      <c r="V205" s="47">
        <f t="shared" ca="1" si="209"/>
        <v>9009095.1759575997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1A50-E489-4B1A-97AC-E2C0EE1954E0}">
  <sheetPr codeName="Sheet35">
    <tabColor theme="7" tint="0.79998168889431442"/>
  </sheetPr>
  <dimension ref="A1:AA205"/>
  <sheetViews>
    <sheetView workbookViewId="0"/>
  </sheetViews>
  <sheetFormatPr defaultRowHeight="15"/>
  <cols>
    <col min="4" max="4" width="24.85546875" customWidth="1"/>
    <col min="7" max="7" width="9.42578125" style="3" bestFit="1" customWidth="1"/>
    <col min="8" max="8" width="9.42578125" style="3" customWidth="1"/>
    <col min="11" max="11" width="13.5703125" bestFit="1" customWidth="1"/>
    <col min="12" max="13" width="11.42578125" bestFit="1" customWidth="1"/>
    <col min="14" max="14" width="13.5703125" customWidth="1"/>
    <col min="15" max="16" width="11.42578125" bestFit="1" customWidth="1"/>
    <col min="17" max="20" width="12.5703125" customWidth="1"/>
    <col min="24" max="24" width="15.5703125" customWidth="1"/>
    <col min="25" max="25" width="12.5703125" bestFit="1" customWidth="1"/>
    <col min="26" max="26" width="13.5703125" bestFit="1" customWidth="1"/>
    <col min="27" max="27" width="8.5703125" bestFit="1" customWidth="1"/>
  </cols>
  <sheetData>
    <row r="1" spans="1:27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Data'!BQ1</f>
        <v>WRZ_GS50to2999kWh_No_CDM</v>
      </c>
      <c r="E1" s="760" t="str">
        <f>'Monthly Data'!CT1</f>
        <v>HDD14</v>
      </c>
      <c r="F1" s="760" t="str">
        <f>'Monthly Data'!CW1</f>
        <v>CDD12</v>
      </c>
      <c r="G1" s="760" t="str">
        <f>'Monthly Data'!DQ1</f>
        <v>Month Days</v>
      </c>
      <c r="H1" s="760" t="str">
        <f>'Monthly Data'!EJ1</f>
        <v>COVID_AM</v>
      </c>
      <c r="I1" s="760" t="str">
        <f>'Monthly Data'!EF1</f>
        <v>Fall</v>
      </c>
      <c r="J1" s="761"/>
      <c r="K1" s="761" t="str">
        <f>W8</f>
        <v>const</v>
      </c>
      <c r="L1" s="761" t="str">
        <f>E1</f>
        <v>HDD14</v>
      </c>
      <c r="M1" s="762" t="str">
        <f>F1</f>
        <v>CDD12</v>
      </c>
      <c r="N1" s="762" t="str">
        <f>G1</f>
        <v>Month Days</v>
      </c>
      <c r="O1" s="760" t="str">
        <f>H1</f>
        <v>COVID_AM</v>
      </c>
      <c r="P1" s="760" t="str">
        <f>I1</f>
        <v>Fall</v>
      </c>
      <c r="Q1" s="760" t="s">
        <v>439</v>
      </c>
      <c r="R1" s="760" t="s">
        <v>632</v>
      </c>
      <c r="S1" s="760" t="s">
        <v>347</v>
      </c>
      <c r="T1" s="760" t="s">
        <v>634</v>
      </c>
    </row>
    <row r="2" spans="1:27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Data'!BQ2</f>
        <v>30960535.811358269</v>
      </c>
      <c r="E2" s="98">
        <f ca="1">Weather!CW46</f>
        <v>573.33418478260865</v>
      </c>
      <c r="F2" s="98">
        <f ca="1">Weather!DL46</f>
        <v>0</v>
      </c>
      <c r="G2" s="3">
        <f>'Monthly Data'!DQ2</f>
        <v>31</v>
      </c>
      <c r="H2" s="3">
        <f>'Monthly Data'!EJ2</f>
        <v>0</v>
      </c>
      <c r="I2">
        <f>'Monthly Data'!EF2</f>
        <v>0</v>
      </c>
      <c r="K2" s="3">
        <f t="shared" ref="K2:K65" si="0">$X$8</f>
        <v>14171159.489767401</v>
      </c>
      <c r="L2" s="3">
        <f t="shared" ref="L2:L65" ca="1" si="1">E2*$X$9</f>
        <v>4740707.3106158823</v>
      </c>
      <c r="M2" s="3">
        <f t="shared" ref="M2:M65" ca="1" si="2">F2*$X$10</f>
        <v>0</v>
      </c>
      <c r="N2" s="3">
        <f t="shared" ref="N2:N65" si="3">G2*$X$11</f>
        <v>12751836.461500322</v>
      </c>
      <c r="O2" s="3">
        <f t="shared" ref="O2:O65" si="4">H2*$X$12</f>
        <v>0</v>
      </c>
      <c r="P2" s="3">
        <f t="shared" ref="P2:P65" si="5">I2*$X$13</f>
        <v>0</v>
      </c>
      <c r="Q2" s="47">
        <f t="shared" ref="Q2:Q21" ca="1" si="6">SUM(K2:P2)</f>
        <v>31663703.261883609</v>
      </c>
      <c r="R2" s="47">
        <f>'Monthly Data'!BR2</f>
        <v>0</v>
      </c>
      <c r="S2" s="47">
        <f>+'Monthly Data'!BS2</f>
        <v>0</v>
      </c>
      <c r="T2" s="47">
        <f t="shared" ref="T2:T53" ca="1" si="7">Q2+R2+S2</f>
        <v>31663703.261883609</v>
      </c>
    </row>
    <row r="3" spans="1:27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Data'!BQ3</f>
        <v>30350660.207000062</v>
      </c>
      <c r="E3" s="98">
        <f ca="1">Weather!CW47</f>
        <v>511.05501811594206</v>
      </c>
      <c r="F3" s="98">
        <f ca="1">Weather!DL47</f>
        <v>0</v>
      </c>
      <c r="G3" s="3">
        <f>'Monthly Data'!DQ3</f>
        <v>28</v>
      </c>
      <c r="H3" s="3">
        <f>'Monthly Data'!EJ3</f>
        <v>0</v>
      </c>
      <c r="I3">
        <f>'Monthly Data'!EF3</f>
        <v>0</v>
      </c>
      <c r="K3" s="3">
        <f t="shared" si="0"/>
        <v>14171159.489767401</v>
      </c>
      <c r="L3" s="3">
        <f t="shared" ca="1" si="1"/>
        <v>4225741.8532052441</v>
      </c>
      <c r="M3" s="3">
        <f t="shared" ca="1" si="2"/>
        <v>0</v>
      </c>
      <c r="N3" s="3">
        <f t="shared" si="3"/>
        <v>11517787.771677712</v>
      </c>
      <c r="O3" s="3">
        <f t="shared" si="4"/>
        <v>0</v>
      </c>
      <c r="P3" s="3">
        <f t="shared" si="5"/>
        <v>0</v>
      </c>
      <c r="Q3" s="47">
        <f t="shared" ca="1" si="6"/>
        <v>29914689.114650354</v>
      </c>
      <c r="R3" s="47">
        <f>'Monthly Data'!BR3</f>
        <v>0</v>
      </c>
      <c r="S3" s="47">
        <f>+'Monthly Data'!BS3</f>
        <v>0</v>
      </c>
      <c r="T3" s="47">
        <f t="shared" ca="1" si="7"/>
        <v>29914689.114650354</v>
      </c>
      <c r="W3" t="s">
        <v>553</v>
      </c>
    </row>
    <row r="4" spans="1:27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Data'!BQ4</f>
        <v>29463172.879981596</v>
      </c>
      <c r="E4" s="98">
        <f ca="1">Weather!CW48</f>
        <v>422.13298913043479</v>
      </c>
      <c r="F4" s="98">
        <f ca="1">Weather!DL48</f>
        <v>2.9583333333332896E-2</v>
      </c>
      <c r="G4" s="3">
        <f>'Monthly Data'!DQ4</f>
        <v>31</v>
      </c>
      <c r="H4" s="3">
        <f>'Monthly Data'!EJ4</f>
        <v>0</v>
      </c>
      <c r="I4">
        <f>'Monthly Data'!EF4</f>
        <v>0</v>
      </c>
      <c r="K4" s="3">
        <f t="shared" si="0"/>
        <v>14171159.489767401</v>
      </c>
      <c r="L4" s="3">
        <f t="shared" ca="1" si="1"/>
        <v>3490475.5389417186</v>
      </c>
      <c r="M4" s="3">
        <f t="shared" ca="1" si="2"/>
        <v>482.77670052274232</v>
      </c>
      <c r="N4" s="3">
        <f t="shared" si="3"/>
        <v>12751836.461500322</v>
      </c>
      <c r="O4" s="3">
        <f t="shared" si="4"/>
        <v>0</v>
      </c>
      <c r="P4" s="3">
        <f t="shared" si="5"/>
        <v>0</v>
      </c>
      <c r="Q4" s="47">
        <f t="shared" ca="1" si="6"/>
        <v>30413954.266909964</v>
      </c>
      <c r="R4" s="47">
        <f>'Monthly Data'!BR4</f>
        <v>0</v>
      </c>
      <c r="S4" s="47">
        <f>+'Monthly Data'!BS4</f>
        <v>0</v>
      </c>
      <c r="T4" s="47">
        <f t="shared" ca="1" si="7"/>
        <v>30413954.266909964</v>
      </c>
      <c r="W4" t="s">
        <v>430</v>
      </c>
    </row>
    <row r="5" spans="1:27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Data'!BQ5</f>
        <v>28235382.482081909</v>
      </c>
      <c r="E5" s="98">
        <f ca="1">Weather!CW49</f>
        <v>234.57024621212122</v>
      </c>
      <c r="F5" s="98">
        <f ca="1">Weather!DL49</f>
        <v>5.6420833333333338</v>
      </c>
      <c r="G5" s="3">
        <f>'Monthly Data'!DQ5</f>
        <v>30</v>
      </c>
      <c r="H5" s="3">
        <f>'Monthly Data'!EJ5</f>
        <v>0</v>
      </c>
      <c r="I5">
        <f>'Monthly Data'!EF5</f>
        <v>0</v>
      </c>
      <c r="K5" s="3">
        <f t="shared" si="0"/>
        <v>14171159.489767401</v>
      </c>
      <c r="L5" s="3">
        <f t="shared" ca="1" si="1"/>
        <v>1939582.3772350482</v>
      </c>
      <c r="M5" s="3">
        <f t="shared" ca="1" si="2"/>
        <v>92074.356363078172</v>
      </c>
      <c r="N5" s="3">
        <f t="shared" si="3"/>
        <v>12340486.89822612</v>
      </c>
      <c r="O5" s="3">
        <f t="shared" si="4"/>
        <v>0</v>
      </c>
      <c r="P5" s="3">
        <f t="shared" si="5"/>
        <v>0</v>
      </c>
      <c r="Q5" s="47">
        <f t="shared" ca="1" si="6"/>
        <v>28543303.121591646</v>
      </c>
      <c r="R5" s="47">
        <f>'Monthly Data'!BR5</f>
        <v>0</v>
      </c>
      <c r="S5" s="47">
        <f>+'Monthly Data'!BS5</f>
        <v>0</v>
      </c>
      <c r="T5" s="47">
        <f t="shared" ca="1" si="7"/>
        <v>28543303.121591646</v>
      </c>
      <c r="W5" t="s">
        <v>554</v>
      </c>
    </row>
    <row r="6" spans="1:27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Data'!BQ6</f>
        <v>27993987.585965626</v>
      </c>
      <c r="E6" s="98">
        <f ca="1">Weather!CW50</f>
        <v>64.294809115179262</v>
      </c>
      <c r="F6" s="98">
        <f ca="1">Weather!DL50</f>
        <v>86.191046176046171</v>
      </c>
      <c r="G6" s="3">
        <f>'Monthly Data'!DQ6</f>
        <v>31</v>
      </c>
      <c r="H6" s="3">
        <f>'Monthly Data'!EJ6</f>
        <v>0</v>
      </c>
      <c r="I6">
        <f>'Monthly Data'!EF6</f>
        <v>0</v>
      </c>
      <c r="K6" s="3">
        <f t="shared" si="0"/>
        <v>14171159.489767401</v>
      </c>
      <c r="L6" s="3">
        <f t="shared" ca="1" si="1"/>
        <v>531632.1260741764</v>
      </c>
      <c r="M6" s="3">
        <f t="shared" ca="1" si="2"/>
        <v>1406569.9905625524</v>
      </c>
      <c r="N6" s="3">
        <f t="shared" si="3"/>
        <v>12751836.461500322</v>
      </c>
      <c r="O6" s="3">
        <f t="shared" si="4"/>
        <v>0</v>
      </c>
      <c r="P6" s="3">
        <f t="shared" si="5"/>
        <v>0</v>
      </c>
      <c r="Q6" s="47">
        <f t="shared" ca="1" si="6"/>
        <v>28861198.06790445</v>
      </c>
      <c r="R6" s="47">
        <f>'Monthly Data'!BR6</f>
        <v>0</v>
      </c>
      <c r="S6" s="47">
        <f>+'Monthly Data'!BS6</f>
        <v>0</v>
      </c>
      <c r="T6" s="47">
        <f t="shared" ca="1" si="7"/>
        <v>28861198.06790445</v>
      </c>
    </row>
    <row r="7" spans="1:27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Data'!BQ7</f>
        <v>29018437.288246401</v>
      </c>
      <c r="E7" s="98">
        <f ca="1">Weather!CW51</f>
        <v>3.2341666666666669</v>
      </c>
      <c r="F7" s="98">
        <f ca="1">Weather!DL51</f>
        <v>194.94285087738348</v>
      </c>
      <c r="G7" s="3">
        <f>'Monthly Data'!DQ7</f>
        <v>30</v>
      </c>
      <c r="H7" s="3">
        <f>'Monthly Data'!EJ7</f>
        <v>0</v>
      </c>
      <c r="I7">
        <f>'Monthly Data'!EF7</f>
        <v>0</v>
      </c>
      <c r="K7" s="3">
        <f t="shared" si="0"/>
        <v>14171159.489767401</v>
      </c>
      <c r="L7" s="3">
        <f t="shared" ca="1" si="1"/>
        <v>26742.235100163085</v>
      </c>
      <c r="M7" s="3">
        <f t="shared" ca="1" si="2"/>
        <v>3181313.7916759965</v>
      </c>
      <c r="N7" s="3">
        <f t="shared" si="3"/>
        <v>12340486.89822612</v>
      </c>
      <c r="O7" s="3">
        <f t="shared" si="4"/>
        <v>0</v>
      </c>
      <c r="P7" s="3">
        <f t="shared" si="5"/>
        <v>0</v>
      </c>
      <c r="Q7" s="47">
        <f t="shared" ca="1" si="6"/>
        <v>29719702.414769679</v>
      </c>
      <c r="R7" s="47">
        <f>'Monthly Data'!BR7</f>
        <v>0</v>
      </c>
      <c r="S7" s="47">
        <f>+'Monthly Data'!BS7</f>
        <v>0</v>
      </c>
      <c r="T7" s="47">
        <f t="shared" ca="1" si="7"/>
        <v>29719702.414769679</v>
      </c>
      <c r="X7" t="s">
        <v>409</v>
      </c>
      <c r="Y7" t="s">
        <v>410</v>
      </c>
      <c r="Z7" t="s">
        <v>411</v>
      </c>
      <c r="AA7" t="s">
        <v>412</v>
      </c>
    </row>
    <row r="8" spans="1:27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Data'!BQ8</f>
        <v>30826227.312123951</v>
      </c>
      <c r="E8" s="98">
        <f ca="1">Weather!CW52</f>
        <v>0</v>
      </c>
      <c r="F8" s="98">
        <f ca="1">Weather!DL52</f>
        <v>297.94737858727848</v>
      </c>
      <c r="G8" s="3">
        <f>'Monthly Data'!DQ8</f>
        <v>31</v>
      </c>
      <c r="H8" s="3">
        <f>'Monthly Data'!EJ8</f>
        <v>0</v>
      </c>
      <c r="I8">
        <f>'Monthly Data'!EF8</f>
        <v>0</v>
      </c>
      <c r="K8" s="3">
        <f t="shared" si="0"/>
        <v>14171159.489767401</v>
      </c>
      <c r="L8" s="3">
        <f t="shared" ca="1" si="1"/>
        <v>0</v>
      </c>
      <c r="M8" s="3">
        <f t="shared" ca="1" si="2"/>
        <v>4862266.5587752834</v>
      </c>
      <c r="N8" s="3">
        <f t="shared" si="3"/>
        <v>12751836.461500322</v>
      </c>
      <c r="O8" s="3">
        <f t="shared" si="4"/>
        <v>0</v>
      </c>
      <c r="P8" s="3">
        <f t="shared" si="5"/>
        <v>0</v>
      </c>
      <c r="Q8" s="47">
        <f t="shared" ca="1" si="6"/>
        <v>31785262.51004301</v>
      </c>
      <c r="R8" s="47">
        <f>'Monthly Data'!BR8</f>
        <v>0</v>
      </c>
      <c r="S8" s="47">
        <f>+'Monthly Data'!BS8</f>
        <v>0</v>
      </c>
      <c r="T8" s="47">
        <f t="shared" ca="1" si="7"/>
        <v>31785262.51004301</v>
      </c>
      <c r="W8" t="s">
        <v>413</v>
      </c>
      <c r="X8" s="616">
        <f>'WRZ GS 50-2,999'!Y8</f>
        <v>14171159.489767401</v>
      </c>
      <c r="Y8" s="3">
        <f>'WRZ GS 50-2,999'!Z8</f>
        <v>2671483.3624322801</v>
      </c>
      <c r="Z8" s="360">
        <f>'WRZ GS 50-2,999'!AA8</f>
        <v>5.3046033110478099</v>
      </c>
      <c r="AA8" s="370">
        <f>'WRZ GS 50-2,999'!AB8</f>
        <v>5.61235889018975E-7</v>
      </c>
    </row>
    <row r="9" spans="1:27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Data'!BQ9</f>
        <v>30869004.476001501</v>
      </c>
      <c r="E9" s="98">
        <f ca="1">Weather!CW53</f>
        <v>0</v>
      </c>
      <c r="F9" s="98">
        <f ca="1">Weather!DL53</f>
        <v>272.96558794466404</v>
      </c>
      <c r="G9" s="3">
        <f>'Monthly Data'!DQ9</f>
        <v>31</v>
      </c>
      <c r="H9" s="3">
        <f>'Monthly Data'!EJ9</f>
        <v>0</v>
      </c>
      <c r="I9">
        <f>'Monthly Data'!EF9</f>
        <v>0</v>
      </c>
      <c r="K9" s="3">
        <f t="shared" si="0"/>
        <v>14171159.489767401</v>
      </c>
      <c r="L9" s="3">
        <f t="shared" ca="1" si="1"/>
        <v>0</v>
      </c>
      <c r="M9" s="3">
        <f t="shared" ca="1" si="2"/>
        <v>4454583.4108454296</v>
      </c>
      <c r="N9" s="3">
        <f t="shared" si="3"/>
        <v>12751836.461500322</v>
      </c>
      <c r="O9" s="3">
        <f t="shared" si="4"/>
        <v>0</v>
      </c>
      <c r="P9" s="3">
        <f t="shared" si="5"/>
        <v>0</v>
      </c>
      <c r="Q9" s="47">
        <f t="shared" ca="1" si="6"/>
        <v>31377579.362113155</v>
      </c>
      <c r="R9" s="47">
        <f>'Monthly Data'!BR9</f>
        <v>0</v>
      </c>
      <c r="S9" s="47">
        <f>+'Monthly Data'!BS9</f>
        <v>0</v>
      </c>
      <c r="T9" s="47">
        <f t="shared" ca="1" si="7"/>
        <v>31377579.362113155</v>
      </c>
      <c r="W9" t="s">
        <v>40</v>
      </c>
      <c r="X9" s="3">
        <f>'WRZ GS 50-2,999'!Y9</f>
        <v>8268.6632620962901</v>
      </c>
      <c r="Y9" s="3">
        <f>'WRZ GS 50-2,999'!Z9</f>
        <v>747.36311558351395</v>
      </c>
      <c r="Z9" s="360">
        <f>'WRZ GS 50-2,999'!AA9</f>
        <v>11.063782905101499</v>
      </c>
      <c r="AA9" s="370">
        <f>'WRZ GS 50-2,999'!AB9</f>
        <v>9.0562490740468402E-20</v>
      </c>
    </row>
    <row r="10" spans="1:27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Data'!BQ10</f>
        <v>30320627.029879056</v>
      </c>
      <c r="E10" s="98">
        <f ca="1">Weather!CW54</f>
        <v>10.413369565217392</v>
      </c>
      <c r="F10" s="98">
        <f ca="1">Weather!DL54</f>
        <v>158.67014233954447</v>
      </c>
      <c r="G10" s="3">
        <f>'Monthly Data'!DQ10</f>
        <v>30</v>
      </c>
      <c r="H10" s="3">
        <f>'Monthly Data'!EJ10</f>
        <v>0</v>
      </c>
      <c r="I10">
        <f>'Monthly Data'!EF10</f>
        <v>1</v>
      </c>
      <c r="K10" s="3">
        <f t="shared" si="0"/>
        <v>14171159.489767401</v>
      </c>
      <c r="L10" s="3">
        <f t="shared" ca="1" si="1"/>
        <v>86104.646358544662</v>
      </c>
      <c r="M10" s="3">
        <f t="shared" ca="1" si="2"/>
        <v>2589371.7562871082</v>
      </c>
      <c r="N10" s="3">
        <f t="shared" si="3"/>
        <v>12340486.89822612</v>
      </c>
      <c r="O10" s="3">
        <f t="shared" si="4"/>
        <v>0</v>
      </c>
      <c r="P10" s="3">
        <f t="shared" si="5"/>
        <v>581324.19044200005</v>
      </c>
      <c r="Q10" s="47">
        <f t="shared" ca="1" si="6"/>
        <v>29768446.981081173</v>
      </c>
      <c r="R10" s="47">
        <f>'Monthly Data'!BR10</f>
        <v>0</v>
      </c>
      <c r="S10" s="47">
        <f>+'Monthly Data'!BS10</f>
        <v>0</v>
      </c>
      <c r="T10" s="47">
        <f t="shared" ca="1" si="7"/>
        <v>29768446.981081173</v>
      </c>
      <c r="W10" t="s">
        <v>49</v>
      </c>
      <c r="X10" s="3">
        <f>'WRZ GS 50-2,999'!Y10</f>
        <v>16319.212412036601</v>
      </c>
      <c r="Y10" s="3">
        <f>'WRZ GS 50-2,999'!Z10</f>
        <v>1414.4951474061299</v>
      </c>
      <c r="Z10" s="360">
        <f>'WRZ GS 50-2,999'!AA10</f>
        <v>11.537128594581899</v>
      </c>
      <c r="AA10" s="370">
        <f>'WRZ GS 50-2,999'!AB10</f>
        <v>7.1289167711257602E-21</v>
      </c>
    </row>
    <row r="11" spans="1:27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Data'!BQ11</f>
        <v>29464417.063756607</v>
      </c>
      <c r="E11" s="98">
        <f ca="1">Weather!CW55</f>
        <v>130.19639492753623</v>
      </c>
      <c r="F11" s="98">
        <f ca="1">Weather!DL55</f>
        <v>35.32833333333334</v>
      </c>
      <c r="G11" s="3">
        <f>'Monthly Data'!DQ11</f>
        <v>31</v>
      </c>
      <c r="H11" s="3">
        <f>'Monthly Data'!EJ11</f>
        <v>0</v>
      </c>
      <c r="I11">
        <f>'Monthly Data'!EF11</f>
        <v>1</v>
      </c>
      <c r="K11" s="3">
        <f t="shared" si="0"/>
        <v>14171159.489767401</v>
      </c>
      <c r="L11" s="3">
        <f t="shared" ca="1" si="1"/>
        <v>1076550.1475946987</v>
      </c>
      <c r="M11" s="3">
        <f t="shared" ca="1" si="2"/>
        <v>576530.57582989987</v>
      </c>
      <c r="N11" s="3">
        <f t="shared" si="3"/>
        <v>12751836.461500322</v>
      </c>
      <c r="O11" s="3">
        <f t="shared" si="4"/>
        <v>0</v>
      </c>
      <c r="P11" s="3">
        <f t="shared" si="5"/>
        <v>581324.19044200005</v>
      </c>
      <c r="Q11" s="47">
        <f t="shared" ca="1" si="6"/>
        <v>29157400.865134325</v>
      </c>
      <c r="R11" s="47">
        <f>'Monthly Data'!BR11</f>
        <v>0</v>
      </c>
      <c r="S11" s="47">
        <f>+'Monthly Data'!BS11</f>
        <v>0</v>
      </c>
      <c r="T11" s="47">
        <f t="shared" ca="1" si="7"/>
        <v>29157400.865134325</v>
      </c>
      <c r="W11" t="s">
        <v>414</v>
      </c>
      <c r="X11" s="3">
        <f>'WRZ GS 50-2,999'!Y11</f>
        <v>411349.56327420397</v>
      </c>
      <c r="Y11" s="3">
        <f>'WRZ GS 50-2,999'!Z11</f>
        <v>86373.133276397697</v>
      </c>
      <c r="Z11" s="360">
        <f>'WRZ GS 50-2,999'!AA11</f>
        <v>4.7624712415823502</v>
      </c>
      <c r="AA11" s="370">
        <f>'WRZ GS 50-2,999'!AB11</f>
        <v>5.6702550323116599E-6</v>
      </c>
    </row>
    <row r="12" spans="1:27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Data'!BQ12</f>
        <v>29327632.05763416</v>
      </c>
      <c r="E12" s="98">
        <f ca="1">Weather!CW56</f>
        <v>307.43824722379077</v>
      </c>
      <c r="F12" s="98">
        <f ca="1">Weather!DL56</f>
        <v>2.2779166666666657</v>
      </c>
      <c r="G12" s="3">
        <f>'Monthly Data'!DQ12</f>
        <v>30</v>
      </c>
      <c r="H12" s="3">
        <f>'Monthly Data'!EJ12</f>
        <v>0</v>
      </c>
      <c r="I12">
        <f>'Monthly Data'!EF12</f>
        <v>1</v>
      </c>
      <c r="K12" s="3">
        <f t="shared" si="0"/>
        <v>14171159.489767401</v>
      </c>
      <c r="L12" s="3">
        <f t="shared" ca="1" si="1"/>
        <v>2542103.3401826355</v>
      </c>
      <c r="M12" s="3">
        <f t="shared" ca="1" si="2"/>
        <v>37173.805940251688</v>
      </c>
      <c r="N12" s="3">
        <f t="shared" si="3"/>
        <v>12340486.89822612</v>
      </c>
      <c r="O12" s="3">
        <f t="shared" si="4"/>
        <v>0</v>
      </c>
      <c r="P12" s="3">
        <f t="shared" si="5"/>
        <v>581324.19044200005</v>
      </c>
      <c r="Q12" s="47">
        <f t="shared" ca="1" si="6"/>
        <v>29672247.724558409</v>
      </c>
      <c r="R12" s="47">
        <f>'Monthly Data'!BR12</f>
        <v>0</v>
      </c>
      <c r="S12" s="47">
        <f>+'Monthly Data'!BS12</f>
        <v>0</v>
      </c>
      <c r="T12" s="47">
        <f t="shared" ca="1" si="7"/>
        <v>29672247.724558409</v>
      </c>
      <c r="W12" t="s">
        <v>213</v>
      </c>
      <c r="X12" s="3">
        <f>'WRZ GS 50-2,999'!Y12</f>
        <v>-2916763.1734708999</v>
      </c>
      <c r="Y12" s="3">
        <f>'WRZ GS 50-2,999'!Z12</f>
        <v>482130.44605945598</v>
      </c>
      <c r="Z12" s="360">
        <f>'WRZ GS 50-2,999'!AA12</f>
        <v>-6.0497386076945903</v>
      </c>
      <c r="AA12" s="370">
        <f>'WRZ GS 50-2,999'!AB12</f>
        <v>1.88970614254578E-8</v>
      </c>
    </row>
    <row r="13" spans="1:27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Data'!BQ13</f>
        <v>29450665.411511712</v>
      </c>
      <c r="E13" s="98">
        <f ca="1">Weather!CW57</f>
        <v>453.92800724637681</v>
      </c>
      <c r="F13" s="98">
        <f ca="1">Weather!DL57</f>
        <v>0</v>
      </c>
      <c r="G13" s="3">
        <f>'Monthly Data'!DQ13</f>
        <v>31</v>
      </c>
      <c r="H13" s="3">
        <f>'Monthly Data'!EJ13</f>
        <v>0</v>
      </c>
      <c r="I13">
        <f>'Monthly Data'!EF13</f>
        <v>0</v>
      </c>
      <c r="K13" s="3">
        <f t="shared" si="0"/>
        <v>14171159.489767401</v>
      </c>
      <c r="L13" s="3">
        <f t="shared" ca="1" si="1"/>
        <v>3753377.8371546944</v>
      </c>
      <c r="M13" s="3">
        <f t="shared" ca="1" si="2"/>
        <v>0</v>
      </c>
      <c r="N13" s="3">
        <f t="shared" si="3"/>
        <v>12751836.461500322</v>
      </c>
      <c r="O13" s="3">
        <f t="shared" si="4"/>
        <v>0</v>
      </c>
      <c r="P13" s="3">
        <f t="shared" si="5"/>
        <v>0</v>
      </c>
      <c r="Q13" s="47">
        <f t="shared" ca="1" si="6"/>
        <v>30676373.788422421</v>
      </c>
      <c r="R13" s="47">
        <f>'Monthly Data'!BR13</f>
        <v>0</v>
      </c>
      <c r="S13" s="47">
        <f>+'Monthly Data'!BS13</f>
        <v>0</v>
      </c>
      <c r="T13" s="47">
        <f t="shared" ca="1" si="7"/>
        <v>30676373.788422421</v>
      </c>
      <c r="W13" t="s">
        <v>117</v>
      </c>
      <c r="X13" s="3">
        <f>'WRZ GS 50-2,999'!Y13</f>
        <v>581324.19044200005</v>
      </c>
      <c r="Y13" s="3">
        <f>'WRZ GS 50-2,999'!Z13</f>
        <v>241976.58874074</v>
      </c>
      <c r="Z13" s="360">
        <f>'WRZ GS 50-2,999'!AA13</f>
        <v>2.4023984860157102</v>
      </c>
      <c r="AA13" s="370">
        <f>'WRZ GS 50-2,999'!AB13</f>
        <v>1.7902820944089199E-2</v>
      </c>
    </row>
    <row r="14" spans="1:27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Data'!BQ14</f>
        <v>32091613.609311491</v>
      </c>
      <c r="E14" s="3">
        <f ca="1">E2</f>
        <v>573.33418478260865</v>
      </c>
      <c r="F14" s="3">
        <f ca="1">F2</f>
        <v>0</v>
      </c>
      <c r="G14" s="3">
        <f>'Monthly Data'!DQ14</f>
        <v>31</v>
      </c>
      <c r="H14" s="3">
        <f>'Monthly Data'!EJ14</f>
        <v>0</v>
      </c>
      <c r="I14">
        <f>'Monthly Data'!EF14</f>
        <v>0</v>
      </c>
      <c r="K14" s="3">
        <f t="shared" si="0"/>
        <v>14171159.489767401</v>
      </c>
      <c r="L14" s="3">
        <f t="shared" ca="1" si="1"/>
        <v>4740707.3106158823</v>
      </c>
      <c r="M14" s="3">
        <f t="shared" ca="1" si="2"/>
        <v>0</v>
      </c>
      <c r="N14" s="3">
        <f t="shared" si="3"/>
        <v>12751836.461500322</v>
      </c>
      <c r="O14" s="3">
        <f t="shared" si="4"/>
        <v>0</v>
      </c>
      <c r="P14" s="3">
        <f t="shared" si="5"/>
        <v>0</v>
      </c>
      <c r="Q14" s="47">
        <f t="shared" ca="1" si="6"/>
        <v>31663703.261883609</v>
      </c>
      <c r="R14" s="47">
        <f>'Monthly Data'!BR14</f>
        <v>0</v>
      </c>
      <c r="S14" s="47">
        <f>+'Monthly Data'!BS14</f>
        <v>0</v>
      </c>
      <c r="T14" s="47">
        <f t="shared" ca="1" si="7"/>
        <v>31663703.261883609</v>
      </c>
      <c r="X14" s="3"/>
      <c r="Y14" s="3"/>
      <c r="Z14" s="360"/>
      <c r="AA14" s="108"/>
    </row>
    <row r="15" spans="1:27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Data'!BQ15</f>
        <v>31457795.834528334</v>
      </c>
      <c r="E15" s="3">
        <f t="shared" ref="E15:F15" ca="1" si="8">E3</f>
        <v>511.05501811594206</v>
      </c>
      <c r="F15" s="3">
        <f t="shared" ca="1" si="8"/>
        <v>0</v>
      </c>
      <c r="G15" s="3">
        <f>'Monthly Data'!DQ15</f>
        <v>29</v>
      </c>
      <c r="H15" s="3">
        <f>'Monthly Data'!EJ15</f>
        <v>0</v>
      </c>
      <c r="I15">
        <f>'Monthly Data'!EF15</f>
        <v>0</v>
      </c>
      <c r="K15" s="3">
        <f t="shared" si="0"/>
        <v>14171159.489767401</v>
      </c>
      <c r="L15" s="3">
        <f t="shared" ca="1" si="1"/>
        <v>4225741.8532052441</v>
      </c>
      <c r="M15" s="3">
        <f t="shared" ca="1" si="2"/>
        <v>0</v>
      </c>
      <c r="N15" s="3">
        <f t="shared" si="3"/>
        <v>11929137.334951915</v>
      </c>
      <c r="O15" s="3">
        <f t="shared" si="4"/>
        <v>0</v>
      </c>
      <c r="P15" s="3">
        <f t="shared" si="5"/>
        <v>0</v>
      </c>
      <c r="Q15" s="47">
        <f t="shared" ca="1" si="6"/>
        <v>30326038.677924559</v>
      </c>
      <c r="R15" s="47">
        <f>'Monthly Data'!BR15</f>
        <v>0</v>
      </c>
      <c r="S15" s="47">
        <f>+'Monthly Data'!BS15</f>
        <v>0</v>
      </c>
      <c r="T15" s="47">
        <f t="shared" ca="1" si="7"/>
        <v>30326038.677924559</v>
      </c>
      <c r="W15" t="s">
        <v>407</v>
      </c>
      <c r="X15" s="3"/>
      <c r="Y15" s="3"/>
      <c r="Z15" s="360"/>
      <c r="AA15" s="108"/>
    </row>
    <row r="16" spans="1:27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Data'!BQ16</f>
        <v>30537664.059745174</v>
      </c>
      <c r="E16" s="3">
        <f t="shared" ref="E16:F16" ca="1" si="9">E4</f>
        <v>422.13298913043479</v>
      </c>
      <c r="F16" s="3">
        <f t="shared" ca="1" si="9"/>
        <v>2.9583333333332896E-2</v>
      </c>
      <c r="G16" s="3">
        <f>'Monthly Data'!DQ16</f>
        <v>31</v>
      </c>
      <c r="H16" s="3">
        <f>'Monthly Data'!EJ16</f>
        <v>0</v>
      </c>
      <c r="I16">
        <f>'Monthly Data'!EF16</f>
        <v>0</v>
      </c>
      <c r="K16" s="3">
        <f t="shared" si="0"/>
        <v>14171159.489767401</v>
      </c>
      <c r="L16" s="3">
        <f t="shared" ca="1" si="1"/>
        <v>3490475.5389417186</v>
      </c>
      <c r="M16" s="3">
        <f t="shared" ca="1" si="2"/>
        <v>482.77670052274232</v>
      </c>
      <c r="N16" s="3">
        <f t="shared" si="3"/>
        <v>12751836.461500322</v>
      </c>
      <c r="O16" s="3">
        <f t="shared" si="4"/>
        <v>0</v>
      </c>
      <c r="P16" s="3">
        <f t="shared" si="5"/>
        <v>0</v>
      </c>
      <c r="Q16" s="47">
        <f t="shared" ca="1" si="6"/>
        <v>30413954.266909964</v>
      </c>
      <c r="R16" s="47">
        <f>'Monthly Data'!BR16</f>
        <v>0</v>
      </c>
      <c r="S16" s="47">
        <f>+'Monthly Data'!BS16</f>
        <v>0</v>
      </c>
      <c r="T16" s="47">
        <f t="shared" ca="1" si="7"/>
        <v>30413954.266909964</v>
      </c>
      <c r="W16" t="s">
        <v>415</v>
      </c>
      <c r="X16">
        <v>89907703710736</v>
      </c>
      <c r="Y16" t="s">
        <v>416</v>
      </c>
      <c r="Z16">
        <v>888067.60307874903</v>
      </c>
    </row>
    <row r="17" spans="1:26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Data'!BQ17</f>
        <v>29266561.75496202</v>
      </c>
      <c r="E17" s="3">
        <f t="shared" ref="E17:F17" ca="1" si="10">E5</f>
        <v>234.57024621212122</v>
      </c>
      <c r="F17" s="3">
        <f t="shared" ca="1" si="10"/>
        <v>5.6420833333333338</v>
      </c>
      <c r="G17" s="3">
        <f>'Monthly Data'!DQ17</f>
        <v>30</v>
      </c>
      <c r="H17" s="3">
        <f>'Monthly Data'!EJ17</f>
        <v>0</v>
      </c>
      <c r="I17">
        <f>'Monthly Data'!EF17</f>
        <v>0</v>
      </c>
      <c r="K17" s="3">
        <f t="shared" si="0"/>
        <v>14171159.489767401</v>
      </c>
      <c r="L17" s="3">
        <f t="shared" ca="1" si="1"/>
        <v>1939582.3772350482</v>
      </c>
      <c r="M17" s="3">
        <f t="shared" ca="1" si="2"/>
        <v>92074.356363078172</v>
      </c>
      <c r="N17" s="3">
        <f t="shared" si="3"/>
        <v>12340486.89822612</v>
      </c>
      <c r="O17" s="3">
        <f t="shared" si="4"/>
        <v>0</v>
      </c>
      <c r="P17" s="3">
        <f t="shared" si="5"/>
        <v>0</v>
      </c>
      <c r="Q17" s="47">
        <f t="shared" ca="1" si="6"/>
        <v>28543303.121591646</v>
      </c>
      <c r="R17" s="47">
        <f>'Monthly Data'!BR17</f>
        <v>0</v>
      </c>
      <c r="S17" s="47">
        <f>+'Monthly Data'!BS17</f>
        <v>0</v>
      </c>
      <c r="T17" s="47">
        <f t="shared" ca="1" si="7"/>
        <v>28543303.121591646</v>
      </c>
      <c r="W17" t="s">
        <v>417</v>
      </c>
      <c r="X17">
        <v>0.71970584575098495</v>
      </c>
      <c r="Y17" t="s">
        <v>418</v>
      </c>
      <c r="Z17">
        <v>0.70741224249444901</v>
      </c>
    </row>
    <row r="18" spans="1:26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Data'!BQ18</f>
        <v>29012775.430178858</v>
      </c>
      <c r="E18" s="3">
        <f t="shared" ref="E18:F18" ca="1" si="11">E6</f>
        <v>64.294809115179262</v>
      </c>
      <c r="F18" s="3">
        <f t="shared" ca="1" si="11"/>
        <v>86.191046176046171</v>
      </c>
      <c r="G18" s="3">
        <f>'Monthly Data'!DQ18</f>
        <v>31</v>
      </c>
      <c r="H18" s="3">
        <f>'Monthly Data'!EJ18</f>
        <v>0</v>
      </c>
      <c r="I18">
        <f>'Monthly Data'!EF18</f>
        <v>0</v>
      </c>
      <c r="K18" s="3">
        <f t="shared" si="0"/>
        <v>14171159.489767401</v>
      </c>
      <c r="L18" s="3">
        <f t="shared" ca="1" si="1"/>
        <v>531632.1260741764</v>
      </c>
      <c r="M18" s="3">
        <f t="shared" ca="1" si="2"/>
        <v>1406569.9905625524</v>
      </c>
      <c r="N18" s="3">
        <f t="shared" si="3"/>
        <v>12751836.461500322</v>
      </c>
      <c r="O18" s="3">
        <f t="shared" si="4"/>
        <v>0</v>
      </c>
      <c r="P18" s="3">
        <f t="shared" si="5"/>
        <v>0</v>
      </c>
      <c r="Q18" s="47">
        <f t="shared" ca="1" si="6"/>
        <v>28861198.06790445</v>
      </c>
      <c r="R18" s="47">
        <f>'Monthly Data'!BR18</f>
        <v>0</v>
      </c>
      <c r="S18" s="47">
        <f>+'Monthly Data'!BS18</f>
        <v>0</v>
      </c>
      <c r="T18" s="47">
        <f t="shared" ca="1" si="7"/>
        <v>28861198.06790445</v>
      </c>
      <c r="W18" t="s">
        <v>555</v>
      </c>
      <c r="X18">
        <v>65.807208391757399</v>
      </c>
      <c r="Y18" t="s">
        <v>419</v>
      </c>
      <c r="Z18" s="3">
        <v>5.3819529623914098E-32</v>
      </c>
    </row>
    <row r="19" spans="1:26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Data'!BQ19</f>
        <v>30064514.055395704</v>
      </c>
      <c r="E19" s="3">
        <f t="shared" ref="E19:F19" ca="1" si="12">E7</f>
        <v>3.2341666666666669</v>
      </c>
      <c r="F19" s="3">
        <f t="shared" ca="1" si="12"/>
        <v>194.94285087738348</v>
      </c>
      <c r="G19" s="3">
        <f>'Monthly Data'!DQ19</f>
        <v>30</v>
      </c>
      <c r="H19" s="3">
        <f>'Monthly Data'!EJ19</f>
        <v>0</v>
      </c>
      <c r="I19">
        <f>'Monthly Data'!EF19</f>
        <v>0</v>
      </c>
      <c r="K19" s="3">
        <f t="shared" si="0"/>
        <v>14171159.489767401</v>
      </c>
      <c r="L19" s="3">
        <f t="shared" ca="1" si="1"/>
        <v>26742.235100163085</v>
      </c>
      <c r="M19" s="3">
        <f t="shared" ca="1" si="2"/>
        <v>3181313.7916759965</v>
      </c>
      <c r="N19" s="3">
        <f t="shared" si="3"/>
        <v>12340486.89822612</v>
      </c>
      <c r="O19" s="3">
        <f t="shared" si="4"/>
        <v>0</v>
      </c>
      <c r="P19" s="3">
        <f t="shared" si="5"/>
        <v>0</v>
      </c>
      <c r="Q19" s="47">
        <f t="shared" ca="1" si="6"/>
        <v>29719702.414769679</v>
      </c>
      <c r="R19" s="47">
        <f>'Monthly Data'!BR19</f>
        <v>0</v>
      </c>
      <c r="S19" s="47">
        <f>+'Monthly Data'!BS19</f>
        <v>0</v>
      </c>
      <c r="T19" s="47">
        <f t="shared" ca="1" si="7"/>
        <v>29719702.414769679</v>
      </c>
      <c r="W19" t="s">
        <v>420</v>
      </c>
      <c r="X19" s="107">
        <v>-5.7410255745753702E-2</v>
      </c>
      <c r="Y19" t="s">
        <v>421</v>
      </c>
      <c r="Z19" s="107">
        <v>2.03201532768602</v>
      </c>
    </row>
    <row r="20" spans="1:26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Data'!BQ20</f>
        <v>30682142.130612545</v>
      </c>
      <c r="E20" s="3">
        <f t="shared" ref="E20:F20" ca="1" si="13">E8</f>
        <v>0</v>
      </c>
      <c r="F20" s="3">
        <f t="shared" ca="1" si="13"/>
        <v>297.94737858727848</v>
      </c>
      <c r="G20" s="3">
        <f>'Monthly Data'!DQ20</f>
        <v>31</v>
      </c>
      <c r="H20" s="3">
        <f>'Monthly Data'!EJ20</f>
        <v>0</v>
      </c>
      <c r="I20">
        <f>'Monthly Data'!EF20</f>
        <v>0</v>
      </c>
      <c r="K20" s="3">
        <f t="shared" si="0"/>
        <v>14171159.489767401</v>
      </c>
      <c r="L20" s="3">
        <f t="shared" ca="1" si="1"/>
        <v>0</v>
      </c>
      <c r="M20" s="3">
        <f t="shared" ca="1" si="2"/>
        <v>4862266.5587752834</v>
      </c>
      <c r="N20" s="3">
        <f t="shared" si="3"/>
        <v>12751836.461500322</v>
      </c>
      <c r="O20" s="3">
        <f t="shared" si="4"/>
        <v>0</v>
      </c>
      <c r="P20" s="3">
        <f t="shared" si="5"/>
        <v>0</v>
      </c>
      <c r="Q20" s="47">
        <f t="shared" ca="1" si="6"/>
        <v>31785262.51004301</v>
      </c>
      <c r="R20" s="47">
        <f>'Monthly Data'!BR20</f>
        <v>0</v>
      </c>
      <c r="S20" s="47">
        <f>+'Monthly Data'!BS20</f>
        <v>0</v>
      </c>
      <c r="T20" s="47">
        <f t="shared" ca="1" si="7"/>
        <v>31785262.51004301</v>
      </c>
      <c r="X20" s="360"/>
      <c r="Z20" s="107"/>
    </row>
    <row r="21" spans="1:26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Data'!BQ21</f>
        <v>32761836.175829388</v>
      </c>
      <c r="E21" s="3">
        <f t="shared" ref="E21:F21" ca="1" si="14">E9</f>
        <v>0</v>
      </c>
      <c r="F21" s="3">
        <f t="shared" ca="1" si="14"/>
        <v>272.96558794466404</v>
      </c>
      <c r="G21" s="3">
        <f>'Monthly Data'!DQ21</f>
        <v>31</v>
      </c>
      <c r="H21" s="3">
        <f>'Monthly Data'!EJ21</f>
        <v>0</v>
      </c>
      <c r="I21">
        <f>'Monthly Data'!EF21</f>
        <v>0</v>
      </c>
      <c r="K21" s="3">
        <f t="shared" si="0"/>
        <v>14171159.489767401</v>
      </c>
      <c r="L21" s="3">
        <f t="shared" ca="1" si="1"/>
        <v>0</v>
      </c>
      <c r="M21" s="3">
        <f t="shared" ca="1" si="2"/>
        <v>4454583.4108454296</v>
      </c>
      <c r="N21" s="3">
        <f t="shared" si="3"/>
        <v>12751836.461500322</v>
      </c>
      <c r="O21" s="3">
        <f t="shared" si="4"/>
        <v>0</v>
      </c>
      <c r="P21" s="3">
        <f t="shared" si="5"/>
        <v>0</v>
      </c>
      <c r="Q21" s="47">
        <f t="shared" ca="1" si="6"/>
        <v>31377579.362113155</v>
      </c>
      <c r="R21" s="47">
        <f>'Monthly Data'!BR21</f>
        <v>0</v>
      </c>
      <c r="S21" s="47">
        <f>+'Monthly Data'!BS21</f>
        <v>0</v>
      </c>
      <c r="T21" s="47">
        <f t="shared" ca="1" si="7"/>
        <v>31377579.362113155</v>
      </c>
      <c r="W21" t="s">
        <v>408</v>
      </c>
      <c r="X21" s="107"/>
      <c r="Z21" s="107"/>
    </row>
    <row r="22" spans="1:26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Data'!BQ22</f>
        <v>30687846.741046228</v>
      </c>
      <c r="E22" s="3">
        <f t="shared" ref="E22:F22" ca="1" si="15">E10</f>
        <v>10.413369565217392</v>
      </c>
      <c r="F22" s="3">
        <f t="shared" ca="1" si="15"/>
        <v>158.67014233954447</v>
      </c>
      <c r="G22" s="3">
        <f>'Monthly Data'!DQ22</f>
        <v>30</v>
      </c>
      <c r="H22" s="3">
        <f>'Monthly Data'!EJ22</f>
        <v>0</v>
      </c>
      <c r="I22">
        <f>'Monthly Data'!EF22</f>
        <v>1</v>
      </c>
      <c r="K22" s="3">
        <f t="shared" si="0"/>
        <v>14171159.489767401</v>
      </c>
      <c r="L22" s="3">
        <f t="shared" ca="1" si="1"/>
        <v>86104.646358544662</v>
      </c>
      <c r="M22" s="3">
        <f t="shared" ca="1" si="2"/>
        <v>2589371.7562871082</v>
      </c>
      <c r="N22" s="3">
        <f t="shared" si="3"/>
        <v>12340486.89822612</v>
      </c>
      <c r="O22" s="3">
        <f t="shared" si="4"/>
        <v>0</v>
      </c>
      <c r="P22" s="3">
        <f t="shared" si="5"/>
        <v>581324.19044200005</v>
      </c>
      <c r="Q22" s="47">
        <f t="shared" ref="Q22:Q53" ca="1" si="16">SUM(K22:P22)</f>
        <v>29768446.981081173</v>
      </c>
      <c r="R22" s="47">
        <f>'Monthly Data'!BR22</f>
        <v>0</v>
      </c>
      <c r="S22" s="47">
        <f>+'Monthly Data'!BS22</f>
        <v>0</v>
      </c>
      <c r="T22" s="47">
        <f t="shared" ca="1" si="7"/>
        <v>29768446.981081173</v>
      </c>
      <c r="W22" t="s">
        <v>422</v>
      </c>
      <c r="X22">
        <v>29804777.142005902</v>
      </c>
      <c r="Y22" t="s">
        <v>423</v>
      </c>
      <c r="Z22">
        <v>1638834.2374380999</v>
      </c>
    </row>
    <row r="23" spans="1:26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Data'!BQ23</f>
        <v>29520808.096263073</v>
      </c>
      <c r="E23" s="3">
        <f t="shared" ref="E23:F23" ca="1" si="17">E11</f>
        <v>130.19639492753623</v>
      </c>
      <c r="F23" s="3">
        <f t="shared" ca="1" si="17"/>
        <v>35.32833333333334</v>
      </c>
      <c r="G23" s="3">
        <f>'Monthly Data'!DQ23</f>
        <v>31</v>
      </c>
      <c r="H23" s="3">
        <f>'Monthly Data'!EJ23</f>
        <v>0</v>
      </c>
      <c r="I23">
        <f>'Monthly Data'!EF23</f>
        <v>1</v>
      </c>
      <c r="K23" s="3">
        <f t="shared" si="0"/>
        <v>14171159.489767401</v>
      </c>
      <c r="L23" s="3">
        <f t="shared" ca="1" si="1"/>
        <v>1076550.1475946987</v>
      </c>
      <c r="M23" s="3">
        <f t="shared" ca="1" si="2"/>
        <v>576530.57582989987</v>
      </c>
      <c r="N23" s="3">
        <f t="shared" si="3"/>
        <v>12751836.461500322</v>
      </c>
      <c r="O23" s="3">
        <f t="shared" si="4"/>
        <v>0</v>
      </c>
      <c r="P23" s="3">
        <f t="shared" si="5"/>
        <v>581324.19044200005</v>
      </c>
      <c r="Q23" s="47">
        <f t="shared" ca="1" si="16"/>
        <v>29157400.865134325</v>
      </c>
      <c r="R23" s="47">
        <f>'Monthly Data'!BR23</f>
        <v>0</v>
      </c>
      <c r="S23" s="47">
        <f>+'Monthly Data'!BS23</f>
        <v>0</v>
      </c>
      <c r="T23" s="47">
        <f t="shared" ca="1" si="7"/>
        <v>29157400.865134325</v>
      </c>
    </row>
    <row r="24" spans="1:26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Data'!BQ24</f>
        <v>28673815.061479915</v>
      </c>
      <c r="E24" s="3">
        <f t="shared" ref="E24:F24" ca="1" si="18">E12</f>
        <v>307.43824722379077</v>
      </c>
      <c r="F24" s="3">
        <f t="shared" ca="1" si="18"/>
        <v>2.2779166666666657</v>
      </c>
      <c r="G24" s="3">
        <f>'Monthly Data'!DQ24</f>
        <v>30</v>
      </c>
      <c r="H24" s="3">
        <f>'Monthly Data'!EJ24</f>
        <v>0</v>
      </c>
      <c r="I24">
        <f>'Monthly Data'!EF24</f>
        <v>1</v>
      </c>
      <c r="K24" s="3">
        <f t="shared" si="0"/>
        <v>14171159.489767401</v>
      </c>
      <c r="L24" s="3">
        <f t="shared" ca="1" si="1"/>
        <v>2542103.3401826355</v>
      </c>
      <c r="M24" s="3">
        <f t="shared" ca="1" si="2"/>
        <v>37173.805940251688</v>
      </c>
      <c r="N24" s="3">
        <f t="shared" si="3"/>
        <v>12340486.89822612</v>
      </c>
      <c r="O24" s="3">
        <f t="shared" si="4"/>
        <v>0</v>
      </c>
      <c r="P24" s="3">
        <f t="shared" si="5"/>
        <v>581324.19044200005</v>
      </c>
      <c r="Q24" s="47">
        <f t="shared" ca="1" si="16"/>
        <v>29672247.724558409</v>
      </c>
      <c r="R24" s="47">
        <f>'Monthly Data'!BR24</f>
        <v>0</v>
      </c>
      <c r="S24" s="47">
        <f>+'Monthly Data'!BS24</f>
        <v>0</v>
      </c>
      <c r="T24" s="47">
        <f t="shared" ca="1" si="7"/>
        <v>29672247.724558409</v>
      </c>
      <c r="X24" s="3"/>
      <c r="Z24" s="3"/>
    </row>
    <row r="25" spans="1:26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Data'!BQ25</f>
        <v>29112228.606696755</v>
      </c>
      <c r="E25" s="3">
        <f t="shared" ref="E25:F25" ca="1" si="19">E13</f>
        <v>453.92800724637681</v>
      </c>
      <c r="F25" s="3">
        <f t="shared" ca="1" si="19"/>
        <v>0</v>
      </c>
      <c r="G25" s="3">
        <f>'Monthly Data'!DQ25</f>
        <v>31</v>
      </c>
      <c r="H25" s="3">
        <f>'Monthly Data'!EJ25</f>
        <v>0</v>
      </c>
      <c r="I25">
        <f>'Monthly Data'!EF25</f>
        <v>0</v>
      </c>
      <c r="K25" s="3">
        <f t="shared" si="0"/>
        <v>14171159.489767401</v>
      </c>
      <c r="L25" s="3">
        <f t="shared" ca="1" si="1"/>
        <v>3753377.8371546944</v>
      </c>
      <c r="M25" s="3">
        <f t="shared" ca="1" si="2"/>
        <v>0</v>
      </c>
      <c r="N25" s="3">
        <f t="shared" si="3"/>
        <v>12751836.461500322</v>
      </c>
      <c r="O25" s="3">
        <f t="shared" si="4"/>
        <v>0</v>
      </c>
      <c r="P25" s="3">
        <f t="shared" si="5"/>
        <v>0</v>
      </c>
      <c r="Q25" s="47">
        <f t="shared" ca="1" si="16"/>
        <v>30676373.788422421</v>
      </c>
      <c r="R25" s="47">
        <f>'Monthly Data'!BR25</f>
        <v>0</v>
      </c>
      <c r="S25" s="47">
        <f>+'Monthly Data'!BS25</f>
        <v>0</v>
      </c>
      <c r="T25" s="47">
        <f t="shared" ca="1" si="7"/>
        <v>30676373.788422421</v>
      </c>
    </row>
    <row r="26" spans="1:26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Data'!BQ26</f>
        <v>31081845.352016058</v>
      </c>
      <c r="E26" s="3">
        <f t="shared" ref="E26:F26" ca="1" si="20">E14</f>
        <v>573.33418478260865</v>
      </c>
      <c r="F26" s="3">
        <f t="shared" ca="1" si="20"/>
        <v>0</v>
      </c>
      <c r="G26" s="3">
        <f>'Monthly Data'!DQ26</f>
        <v>31</v>
      </c>
      <c r="H26" s="3">
        <f>'Monthly Data'!EJ26</f>
        <v>0</v>
      </c>
      <c r="I26">
        <f>'Monthly Data'!EF26</f>
        <v>0</v>
      </c>
      <c r="K26" s="3">
        <f t="shared" si="0"/>
        <v>14171159.489767401</v>
      </c>
      <c r="L26" s="3">
        <f t="shared" ca="1" si="1"/>
        <v>4740707.3106158823</v>
      </c>
      <c r="M26" s="3">
        <f t="shared" ca="1" si="2"/>
        <v>0</v>
      </c>
      <c r="N26" s="3">
        <f t="shared" si="3"/>
        <v>12751836.461500322</v>
      </c>
      <c r="O26" s="3">
        <f t="shared" si="4"/>
        <v>0</v>
      </c>
      <c r="P26" s="3">
        <f t="shared" si="5"/>
        <v>0</v>
      </c>
      <c r="Q26" s="47">
        <f t="shared" ca="1" si="16"/>
        <v>31663703.261883609</v>
      </c>
      <c r="R26" s="47">
        <f>'Monthly Data'!BR26</f>
        <v>64.96546153846154</v>
      </c>
      <c r="S26" s="47">
        <f>+'Monthly Data'!BS26</f>
        <v>0</v>
      </c>
      <c r="T26" s="47">
        <f t="shared" ca="1" si="7"/>
        <v>31663768.227345146</v>
      </c>
    </row>
    <row r="27" spans="1:26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Data'!BQ27</f>
        <v>28375028.608550981</v>
      </c>
      <c r="E27" s="3">
        <f t="shared" ref="E27:F27" ca="1" si="21">E15</f>
        <v>511.05501811594206</v>
      </c>
      <c r="F27" s="3">
        <f t="shared" ca="1" si="21"/>
        <v>0</v>
      </c>
      <c r="G27" s="3">
        <f>'Monthly Data'!DQ27</f>
        <v>28</v>
      </c>
      <c r="H27" s="3">
        <f>'Monthly Data'!EJ27</f>
        <v>0</v>
      </c>
      <c r="I27">
        <f>'Monthly Data'!EF27</f>
        <v>0</v>
      </c>
      <c r="K27" s="3">
        <f t="shared" si="0"/>
        <v>14171159.489767401</v>
      </c>
      <c r="L27" s="3">
        <f t="shared" ca="1" si="1"/>
        <v>4225741.8532052441</v>
      </c>
      <c r="M27" s="3">
        <f t="shared" ca="1" si="2"/>
        <v>0</v>
      </c>
      <c r="N27" s="3">
        <f t="shared" si="3"/>
        <v>11517787.771677712</v>
      </c>
      <c r="O27" s="3">
        <f t="shared" si="4"/>
        <v>0</v>
      </c>
      <c r="P27" s="3">
        <f t="shared" si="5"/>
        <v>0</v>
      </c>
      <c r="Q27" s="47">
        <f t="shared" ca="1" si="16"/>
        <v>29914689.114650354</v>
      </c>
      <c r="R27" s="47">
        <f>'Monthly Data'!BR27</f>
        <v>129.93092307692308</v>
      </c>
      <c r="S27" s="47">
        <f>+'Monthly Data'!BS27</f>
        <v>0</v>
      </c>
      <c r="T27" s="47">
        <f t="shared" ca="1" si="7"/>
        <v>29914819.045573432</v>
      </c>
    </row>
    <row r="28" spans="1:26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Data'!BQ28</f>
        <v>29607471.415085904</v>
      </c>
      <c r="E28" s="3">
        <f t="shared" ref="E28:F28" ca="1" si="22">E16</f>
        <v>422.13298913043479</v>
      </c>
      <c r="F28" s="3">
        <f t="shared" ca="1" si="22"/>
        <v>2.9583333333332896E-2</v>
      </c>
      <c r="G28" s="3">
        <f>'Monthly Data'!DQ28</f>
        <v>31</v>
      </c>
      <c r="H28" s="3">
        <f>'Monthly Data'!EJ28</f>
        <v>0</v>
      </c>
      <c r="I28">
        <f>'Monthly Data'!EF28</f>
        <v>0</v>
      </c>
      <c r="K28" s="3">
        <f t="shared" si="0"/>
        <v>14171159.489767401</v>
      </c>
      <c r="L28" s="3">
        <f t="shared" ca="1" si="1"/>
        <v>3490475.5389417186</v>
      </c>
      <c r="M28" s="3">
        <f t="shared" ca="1" si="2"/>
        <v>482.77670052274232</v>
      </c>
      <c r="N28" s="3">
        <f t="shared" si="3"/>
        <v>12751836.461500322</v>
      </c>
      <c r="O28" s="3">
        <f t="shared" si="4"/>
        <v>0</v>
      </c>
      <c r="P28" s="3">
        <f t="shared" si="5"/>
        <v>0</v>
      </c>
      <c r="Q28" s="47">
        <f t="shared" ca="1" si="16"/>
        <v>30413954.266909964</v>
      </c>
      <c r="R28" s="47">
        <f>'Monthly Data'!BR28</f>
        <v>194.89638461538465</v>
      </c>
      <c r="S28" s="47">
        <f>+'Monthly Data'!BS28</f>
        <v>0</v>
      </c>
      <c r="T28" s="47">
        <f t="shared" ca="1" si="7"/>
        <v>30414149.16329458</v>
      </c>
    </row>
    <row r="29" spans="1:26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Data'!BQ29</f>
        <v>27997864.411620829</v>
      </c>
      <c r="E29" s="3">
        <f t="shared" ref="E29:F29" ca="1" si="23">E17</f>
        <v>234.57024621212122</v>
      </c>
      <c r="F29" s="3">
        <f t="shared" ca="1" si="23"/>
        <v>5.6420833333333338</v>
      </c>
      <c r="G29" s="3">
        <f>'Monthly Data'!DQ29</f>
        <v>30</v>
      </c>
      <c r="H29" s="3">
        <f>'Monthly Data'!EJ29</f>
        <v>0</v>
      </c>
      <c r="I29">
        <f>'Monthly Data'!EF29</f>
        <v>0</v>
      </c>
      <c r="K29" s="3">
        <f t="shared" si="0"/>
        <v>14171159.489767401</v>
      </c>
      <c r="L29" s="3">
        <f t="shared" ca="1" si="1"/>
        <v>1939582.3772350482</v>
      </c>
      <c r="M29" s="3">
        <f t="shared" ca="1" si="2"/>
        <v>92074.356363078172</v>
      </c>
      <c r="N29" s="3">
        <f t="shared" si="3"/>
        <v>12340486.89822612</v>
      </c>
      <c r="O29" s="3">
        <f t="shared" si="4"/>
        <v>0</v>
      </c>
      <c r="P29" s="3">
        <f t="shared" si="5"/>
        <v>0</v>
      </c>
      <c r="Q29" s="47">
        <f t="shared" ca="1" si="16"/>
        <v>28543303.121591646</v>
      </c>
      <c r="R29" s="47">
        <f>'Monthly Data'!BR29</f>
        <v>259.86184615384616</v>
      </c>
      <c r="S29" s="47">
        <f>+'Monthly Data'!BS29</f>
        <v>0</v>
      </c>
      <c r="T29" s="47">
        <f t="shared" ca="1" si="7"/>
        <v>28543562.983437799</v>
      </c>
    </row>
    <row r="30" spans="1:26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Data'!BQ30</f>
        <v>27866768.488155752</v>
      </c>
      <c r="E30" s="3">
        <f t="shared" ref="E30:F30" ca="1" si="24">E18</f>
        <v>64.294809115179262</v>
      </c>
      <c r="F30" s="3">
        <f t="shared" ca="1" si="24"/>
        <v>86.191046176046171</v>
      </c>
      <c r="G30" s="3">
        <f>'Monthly Data'!DQ30</f>
        <v>31</v>
      </c>
      <c r="H30" s="3">
        <f>'Monthly Data'!EJ30</f>
        <v>0</v>
      </c>
      <c r="I30">
        <f>'Monthly Data'!EF30</f>
        <v>0</v>
      </c>
      <c r="K30" s="3">
        <f t="shared" si="0"/>
        <v>14171159.489767401</v>
      </c>
      <c r="L30" s="3">
        <f t="shared" ca="1" si="1"/>
        <v>531632.1260741764</v>
      </c>
      <c r="M30" s="3">
        <f t="shared" ca="1" si="2"/>
        <v>1406569.9905625524</v>
      </c>
      <c r="N30" s="3">
        <f t="shared" si="3"/>
        <v>12751836.461500322</v>
      </c>
      <c r="O30" s="3">
        <f t="shared" si="4"/>
        <v>0</v>
      </c>
      <c r="P30" s="3">
        <f t="shared" si="5"/>
        <v>0</v>
      </c>
      <c r="Q30" s="47">
        <f t="shared" ca="1" si="16"/>
        <v>28861198.06790445</v>
      </c>
      <c r="R30" s="47">
        <f>'Monthly Data'!BR30</f>
        <v>324.82730769230773</v>
      </c>
      <c r="S30" s="47">
        <f>+'Monthly Data'!BS30</f>
        <v>0</v>
      </c>
      <c r="T30" s="47">
        <f t="shared" ca="1" si="7"/>
        <v>28861522.895212144</v>
      </c>
    </row>
    <row r="31" spans="1:26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Data'!BQ31</f>
        <v>29353114.094690681</v>
      </c>
      <c r="E31" s="3">
        <f t="shared" ref="E31:F31" ca="1" si="25">E19</f>
        <v>3.2341666666666669</v>
      </c>
      <c r="F31" s="3">
        <f t="shared" ca="1" si="25"/>
        <v>194.94285087738348</v>
      </c>
      <c r="G31" s="3">
        <f>'Monthly Data'!DQ31</f>
        <v>30</v>
      </c>
      <c r="H31" s="3">
        <f>'Monthly Data'!EJ31</f>
        <v>0</v>
      </c>
      <c r="I31">
        <f>'Monthly Data'!EF31</f>
        <v>0</v>
      </c>
      <c r="K31" s="3">
        <f t="shared" si="0"/>
        <v>14171159.489767401</v>
      </c>
      <c r="L31" s="3">
        <f t="shared" ca="1" si="1"/>
        <v>26742.235100163085</v>
      </c>
      <c r="M31" s="3">
        <f t="shared" ca="1" si="2"/>
        <v>3181313.7916759965</v>
      </c>
      <c r="N31" s="3">
        <f t="shared" si="3"/>
        <v>12340486.89822612</v>
      </c>
      <c r="O31" s="3">
        <f t="shared" si="4"/>
        <v>0</v>
      </c>
      <c r="P31" s="3">
        <f t="shared" si="5"/>
        <v>0</v>
      </c>
      <c r="Q31" s="47">
        <f t="shared" ca="1" si="16"/>
        <v>29719702.414769679</v>
      </c>
      <c r="R31" s="47">
        <f>'Monthly Data'!BR31</f>
        <v>389.7927692307693</v>
      </c>
      <c r="S31" s="47">
        <f>+'Monthly Data'!BS31</f>
        <v>0</v>
      </c>
      <c r="T31" s="47">
        <f t="shared" ca="1" si="7"/>
        <v>29720092.20753891</v>
      </c>
    </row>
    <row r="32" spans="1:26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Data'!BQ32</f>
        <v>28778390.731225602</v>
      </c>
      <c r="E32" s="3">
        <f t="shared" ref="E32:F32" ca="1" si="26">E20</f>
        <v>0</v>
      </c>
      <c r="F32" s="3">
        <f t="shared" ca="1" si="26"/>
        <v>297.94737858727848</v>
      </c>
      <c r="G32" s="3">
        <f>'Monthly Data'!DQ32</f>
        <v>31</v>
      </c>
      <c r="H32" s="3">
        <f>'Monthly Data'!EJ32</f>
        <v>0</v>
      </c>
      <c r="I32">
        <f>'Monthly Data'!EF32</f>
        <v>0</v>
      </c>
      <c r="K32" s="3">
        <f t="shared" si="0"/>
        <v>14171159.489767401</v>
      </c>
      <c r="L32" s="3">
        <f t="shared" ca="1" si="1"/>
        <v>0</v>
      </c>
      <c r="M32" s="3">
        <f t="shared" ca="1" si="2"/>
        <v>4862266.5587752834</v>
      </c>
      <c r="N32" s="3">
        <f t="shared" si="3"/>
        <v>12751836.461500322</v>
      </c>
      <c r="O32" s="3">
        <f t="shared" si="4"/>
        <v>0</v>
      </c>
      <c r="P32" s="3">
        <f t="shared" si="5"/>
        <v>0</v>
      </c>
      <c r="Q32" s="47">
        <f t="shared" ca="1" si="16"/>
        <v>31785262.51004301</v>
      </c>
      <c r="R32" s="47">
        <f>'Monthly Data'!BR32</f>
        <v>454.75823076923086</v>
      </c>
      <c r="S32" s="47">
        <f>+'Monthly Data'!BS32</f>
        <v>0</v>
      </c>
      <c r="T32" s="47">
        <f t="shared" ca="1" si="7"/>
        <v>31785717.268273778</v>
      </c>
    </row>
    <row r="33" spans="1:20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Data'!BQ33</f>
        <v>29739442.397760529</v>
      </c>
      <c r="E33" s="3">
        <f t="shared" ref="E33:F33" ca="1" si="27">E21</f>
        <v>0</v>
      </c>
      <c r="F33" s="3">
        <f t="shared" ca="1" si="27"/>
        <v>272.96558794466404</v>
      </c>
      <c r="G33" s="3">
        <f>'Monthly Data'!DQ33</f>
        <v>31</v>
      </c>
      <c r="H33" s="3">
        <f>'Monthly Data'!EJ33</f>
        <v>0</v>
      </c>
      <c r="I33">
        <f>'Monthly Data'!EF33</f>
        <v>0</v>
      </c>
      <c r="K33" s="3">
        <f t="shared" si="0"/>
        <v>14171159.489767401</v>
      </c>
      <c r="L33" s="3">
        <f t="shared" ca="1" si="1"/>
        <v>0</v>
      </c>
      <c r="M33" s="3">
        <f t="shared" ca="1" si="2"/>
        <v>4454583.4108454296</v>
      </c>
      <c r="N33" s="3">
        <f t="shared" si="3"/>
        <v>12751836.461500322</v>
      </c>
      <c r="O33" s="3">
        <f t="shared" si="4"/>
        <v>0</v>
      </c>
      <c r="P33" s="3">
        <f t="shared" si="5"/>
        <v>0</v>
      </c>
      <c r="Q33" s="47">
        <f t="shared" ca="1" si="16"/>
        <v>31377579.362113155</v>
      </c>
      <c r="R33" s="47">
        <f>'Monthly Data'!BR33</f>
        <v>519.72369230769232</v>
      </c>
      <c r="S33" s="47">
        <f>+'Monthly Data'!BS33</f>
        <v>0</v>
      </c>
      <c r="T33" s="47">
        <f t="shared" ca="1" si="7"/>
        <v>31378099.085805465</v>
      </c>
    </row>
    <row r="34" spans="1:20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Data'!BQ34</f>
        <v>30376531.484295454</v>
      </c>
      <c r="E34" s="3">
        <f t="shared" ref="E34:F34" ca="1" si="28">E22</f>
        <v>10.413369565217392</v>
      </c>
      <c r="F34" s="3">
        <f t="shared" ca="1" si="28"/>
        <v>158.67014233954447</v>
      </c>
      <c r="G34" s="3">
        <f>'Monthly Data'!DQ34</f>
        <v>30</v>
      </c>
      <c r="H34" s="3">
        <f>'Monthly Data'!EJ34</f>
        <v>0</v>
      </c>
      <c r="I34">
        <f>'Monthly Data'!EF34</f>
        <v>1</v>
      </c>
      <c r="K34" s="3">
        <f t="shared" si="0"/>
        <v>14171159.489767401</v>
      </c>
      <c r="L34" s="3">
        <f t="shared" ca="1" si="1"/>
        <v>86104.646358544662</v>
      </c>
      <c r="M34" s="3">
        <f t="shared" ca="1" si="2"/>
        <v>2589371.7562871082</v>
      </c>
      <c r="N34" s="3">
        <f t="shared" si="3"/>
        <v>12340486.89822612</v>
      </c>
      <c r="O34" s="3">
        <f t="shared" si="4"/>
        <v>0</v>
      </c>
      <c r="P34" s="3">
        <f t="shared" si="5"/>
        <v>581324.19044200005</v>
      </c>
      <c r="Q34" s="47">
        <f t="shared" ca="1" si="16"/>
        <v>29768446.981081173</v>
      </c>
      <c r="R34" s="47">
        <f>'Monthly Data'!BR34</f>
        <v>584.68915384615389</v>
      </c>
      <c r="S34" s="47">
        <f>+'Monthly Data'!BS34</f>
        <v>0</v>
      </c>
      <c r="T34" s="47">
        <f t="shared" ca="1" si="7"/>
        <v>29769031.670235019</v>
      </c>
    </row>
    <row r="35" spans="1:20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Data'!BQ35</f>
        <v>28297044.540830374</v>
      </c>
      <c r="E35" s="3">
        <f t="shared" ref="E35:F35" ca="1" si="29">E23</f>
        <v>130.19639492753623</v>
      </c>
      <c r="F35" s="3">
        <f t="shared" ca="1" si="29"/>
        <v>35.32833333333334</v>
      </c>
      <c r="G35" s="3">
        <f>'Monthly Data'!DQ35</f>
        <v>31</v>
      </c>
      <c r="H35" s="3">
        <f>'Monthly Data'!EJ35</f>
        <v>0</v>
      </c>
      <c r="I35">
        <f>'Monthly Data'!EF35</f>
        <v>1</v>
      </c>
      <c r="K35" s="3">
        <f t="shared" si="0"/>
        <v>14171159.489767401</v>
      </c>
      <c r="L35" s="3">
        <f t="shared" ca="1" si="1"/>
        <v>1076550.1475946987</v>
      </c>
      <c r="M35" s="3">
        <f t="shared" ca="1" si="2"/>
        <v>576530.57582989987</v>
      </c>
      <c r="N35" s="3">
        <f t="shared" si="3"/>
        <v>12751836.461500322</v>
      </c>
      <c r="O35" s="3">
        <f t="shared" si="4"/>
        <v>0</v>
      </c>
      <c r="P35" s="3">
        <f t="shared" si="5"/>
        <v>581324.19044200005</v>
      </c>
      <c r="Q35" s="47">
        <f t="shared" ca="1" si="16"/>
        <v>29157400.865134325</v>
      </c>
      <c r="R35" s="47">
        <f>'Monthly Data'!BR35</f>
        <v>649.65461538461545</v>
      </c>
      <c r="S35" s="47">
        <f>+'Monthly Data'!BS35</f>
        <v>0</v>
      </c>
      <c r="T35" s="47">
        <f t="shared" ca="1" si="7"/>
        <v>29158050.519749708</v>
      </c>
    </row>
    <row r="36" spans="1:20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Data'!BQ36</f>
        <v>29995513.077365302</v>
      </c>
      <c r="E36" s="3">
        <f t="shared" ref="E36:F36" ca="1" si="30">E24</f>
        <v>307.43824722379077</v>
      </c>
      <c r="F36" s="3">
        <f t="shared" ca="1" si="30"/>
        <v>2.2779166666666657</v>
      </c>
      <c r="G36" s="3">
        <f>'Monthly Data'!DQ36</f>
        <v>30</v>
      </c>
      <c r="H36" s="3">
        <f>'Monthly Data'!EJ36</f>
        <v>0</v>
      </c>
      <c r="I36">
        <f>'Monthly Data'!EF36</f>
        <v>1</v>
      </c>
      <c r="K36" s="3">
        <f t="shared" si="0"/>
        <v>14171159.489767401</v>
      </c>
      <c r="L36" s="3">
        <f t="shared" ca="1" si="1"/>
        <v>2542103.3401826355</v>
      </c>
      <c r="M36" s="3">
        <f t="shared" ca="1" si="2"/>
        <v>37173.805940251688</v>
      </c>
      <c r="N36" s="3">
        <f t="shared" si="3"/>
        <v>12340486.89822612</v>
      </c>
      <c r="O36" s="3">
        <f t="shared" si="4"/>
        <v>0</v>
      </c>
      <c r="P36" s="3">
        <f t="shared" si="5"/>
        <v>581324.19044200005</v>
      </c>
      <c r="Q36" s="47">
        <f t="shared" ca="1" si="16"/>
        <v>29672247.724558409</v>
      </c>
      <c r="R36" s="47">
        <f>'Monthly Data'!BR36</f>
        <v>714.62007692307702</v>
      </c>
      <c r="S36" s="47">
        <f>+'Monthly Data'!BS36</f>
        <v>0</v>
      </c>
      <c r="T36" s="47">
        <f t="shared" ca="1" si="7"/>
        <v>29672962.344635334</v>
      </c>
    </row>
    <row r="37" spans="1:20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Data'!BQ37</f>
        <v>30565136.973900225</v>
      </c>
      <c r="E37" s="3">
        <f t="shared" ref="E37:F37" ca="1" si="31">E25</f>
        <v>453.92800724637681</v>
      </c>
      <c r="F37" s="3">
        <f t="shared" ca="1" si="31"/>
        <v>0</v>
      </c>
      <c r="G37" s="3">
        <f>'Monthly Data'!DQ37</f>
        <v>31</v>
      </c>
      <c r="H37" s="3">
        <f>'Monthly Data'!EJ37</f>
        <v>0</v>
      </c>
      <c r="I37">
        <f>'Monthly Data'!EF37</f>
        <v>0</v>
      </c>
      <c r="K37" s="3">
        <f t="shared" si="0"/>
        <v>14171159.489767401</v>
      </c>
      <c r="L37" s="3">
        <f t="shared" ca="1" si="1"/>
        <v>3753377.8371546944</v>
      </c>
      <c r="M37" s="3">
        <f t="shared" ca="1" si="2"/>
        <v>0</v>
      </c>
      <c r="N37" s="3">
        <f t="shared" si="3"/>
        <v>12751836.461500322</v>
      </c>
      <c r="O37" s="3">
        <f t="shared" si="4"/>
        <v>0</v>
      </c>
      <c r="P37" s="3">
        <f t="shared" si="5"/>
        <v>0</v>
      </c>
      <c r="Q37" s="47">
        <f t="shared" ca="1" si="16"/>
        <v>30676373.788422421</v>
      </c>
      <c r="R37" s="47">
        <f>'Monthly Data'!BR37</f>
        <v>779.58553846153859</v>
      </c>
      <c r="S37" s="47">
        <f>+'Monthly Data'!BS37</f>
        <v>0</v>
      </c>
      <c r="T37" s="47">
        <f t="shared" ca="1" si="7"/>
        <v>30677153.373960882</v>
      </c>
    </row>
    <row r="38" spans="1:20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Data'!BQ38</f>
        <v>34117666.299289048</v>
      </c>
      <c r="E38" s="3">
        <f t="shared" ref="E38:F38" ca="1" si="32">E26</f>
        <v>573.33418478260865</v>
      </c>
      <c r="F38" s="3">
        <f t="shared" ca="1" si="32"/>
        <v>0</v>
      </c>
      <c r="G38" s="3">
        <f>'Monthly Data'!DQ38</f>
        <v>31</v>
      </c>
      <c r="H38" s="3">
        <f>'Monthly Data'!EJ38</f>
        <v>0</v>
      </c>
      <c r="I38">
        <f>'Monthly Data'!EF38</f>
        <v>0</v>
      </c>
      <c r="K38" s="3">
        <f t="shared" si="0"/>
        <v>14171159.489767401</v>
      </c>
      <c r="L38" s="3">
        <f t="shared" ca="1" si="1"/>
        <v>4740707.3106158823</v>
      </c>
      <c r="M38" s="3">
        <f t="shared" ca="1" si="2"/>
        <v>0</v>
      </c>
      <c r="N38" s="3">
        <f t="shared" si="3"/>
        <v>12751836.461500322</v>
      </c>
      <c r="O38" s="3">
        <f t="shared" si="4"/>
        <v>0</v>
      </c>
      <c r="P38" s="3">
        <f t="shared" si="5"/>
        <v>0</v>
      </c>
      <c r="Q38" s="47">
        <f t="shared" ca="1" si="16"/>
        <v>31663703.261883609</v>
      </c>
      <c r="R38" s="47">
        <f>'Monthly Data'!BR38</f>
        <v>958.61573076923082</v>
      </c>
      <c r="S38" s="47">
        <f>+'Monthly Data'!BS38</f>
        <v>0</v>
      </c>
      <c r="T38" s="47">
        <f t="shared" ca="1" si="7"/>
        <v>31664661.877614379</v>
      </c>
    </row>
    <row r="39" spans="1:20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Data'!BQ39</f>
        <v>29574927.725466501</v>
      </c>
      <c r="E39" s="3">
        <f t="shared" ref="E39:F39" ca="1" si="33">E27</f>
        <v>511.05501811594206</v>
      </c>
      <c r="F39" s="3">
        <f t="shared" ca="1" si="33"/>
        <v>0</v>
      </c>
      <c r="G39" s="3">
        <f>'Monthly Data'!DQ39</f>
        <v>28</v>
      </c>
      <c r="H39" s="3">
        <f>'Monthly Data'!EJ39</f>
        <v>0</v>
      </c>
      <c r="I39">
        <f>'Monthly Data'!EF39</f>
        <v>0</v>
      </c>
      <c r="K39" s="3">
        <f t="shared" si="0"/>
        <v>14171159.489767401</v>
      </c>
      <c r="L39" s="3">
        <f t="shared" ca="1" si="1"/>
        <v>4225741.8532052441</v>
      </c>
      <c r="M39" s="3">
        <f t="shared" ca="1" si="2"/>
        <v>0</v>
      </c>
      <c r="N39" s="3">
        <f t="shared" si="3"/>
        <v>11517787.771677712</v>
      </c>
      <c r="O39" s="3">
        <f t="shared" si="4"/>
        <v>0</v>
      </c>
      <c r="P39" s="3">
        <f t="shared" si="5"/>
        <v>0</v>
      </c>
      <c r="Q39" s="47">
        <f t="shared" ca="1" si="16"/>
        <v>29914689.114650354</v>
      </c>
      <c r="R39" s="47">
        <f>'Monthly Data'!BR39</f>
        <v>1072.6804615384615</v>
      </c>
      <c r="S39" s="47">
        <f>+'Monthly Data'!BS39</f>
        <v>0</v>
      </c>
      <c r="T39" s="47">
        <f t="shared" ca="1" si="7"/>
        <v>29915761.795111891</v>
      </c>
    </row>
    <row r="40" spans="1:20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Data'!BQ40</f>
        <v>29828539.501643956</v>
      </c>
      <c r="E40" s="3">
        <f t="shared" ref="E40:F40" ca="1" si="34">E28</f>
        <v>422.13298913043479</v>
      </c>
      <c r="F40" s="3">
        <f t="shared" ca="1" si="34"/>
        <v>2.9583333333332896E-2</v>
      </c>
      <c r="G40" s="3">
        <f>'Monthly Data'!DQ40</f>
        <v>31</v>
      </c>
      <c r="H40" s="3">
        <f>'Monthly Data'!EJ40</f>
        <v>0</v>
      </c>
      <c r="I40">
        <f>'Monthly Data'!EF40</f>
        <v>0</v>
      </c>
      <c r="K40" s="3">
        <f t="shared" si="0"/>
        <v>14171159.489767401</v>
      </c>
      <c r="L40" s="3">
        <f t="shared" ca="1" si="1"/>
        <v>3490475.5389417186</v>
      </c>
      <c r="M40" s="3">
        <f t="shared" ca="1" si="2"/>
        <v>482.77670052274232</v>
      </c>
      <c r="N40" s="3">
        <f t="shared" si="3"/>
        <v>12751836.461500322</v>
      </c>
      <c r="O40" s="3">
        <f t="shared" si="4"/>
        <v>0</v>
      </c>
      <c r="P40" s="3">
        <f t="shared" si="5"/>
        <v>0</v>
      </c>
      <c r="Q40" s="47">
        <f t="shared" ca="1" si="16"/>
        <v>30413954.266909964</v>
      </c>
      <c r="R40" s="47">
        <f>'Monthly Data'!BR40</f>
        <v>1186.7451923076924</v>
      </c>
      <c r="S40" s="47">
        <f>+'Monthly Data'!BS40</f>
        <v>0</v>
      </c>
      <c r="T40" s="47">
        <f t="shared" ca="1" si="7"/>
        <v>30415141.012102272</v>
      </c>
    </row>
    <row r="41" spans="1:20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Data'!BQ41</f>
        <v>28679599.017821409</v>
      </c>
      <c r="E41" s="3">
        <f t="shared" ref="E41:F41" ca="1" si="35">E29</f>
        <v>234.57024621212122</v>
      </c>
      <c r="F41" s="3">
        <f t="shared" ca="1" si="35"/>
        <v>5.6420833333333338</v>
      </c>
      <c r="G41" s="3">
        <f>'Monthly Data'!DQ41</f>
        <v>30</v>
      </c>
      <c r="H41" s="3">
        <f>'Monthly Data'!EJ41</f>
        <v>0</v>
      </c>
      <c r="I41">
        <f>'Monthly Data'!EF41</f>
        <v>0</v>
      </c>
      <c r="K41" s="3">
        <f t="shared" si="0"/>
        <v>14171159.489767401</v>
      </c>
      <c r="L41" s="3">
        <f t="shared" ca="1" si="1"/>
        <v>1939582.3772350482</v>
      </c>
      <c r="M41" s="3">
        <f t="shared" ca="1" si="2"/>
        <v>92074.356363078172</v>
      </c>
      <c r="N41" s="3">
        <f t="shared" si="3"/>
        <v>12340486.89822612</v>
      </c>
      <c r="O41" s="3">
        <f t="shared" si="4"/>
        <v>0</v>
      </c>
      <c r="P41" s="3">
        <f t="shared" si="5"/>
        <v>0</v>
      </c>
      <c r="Q41" s="47">
        <f t="shared" ca="1" si="16"/>
        <v>28543303.121591646</v>
      </c>
      <c r="R41" s="47">
        <f>'Monthly Data'!BR41</f>
        <v>1300.809923076923</v>
      </c>
      <c r="S41" s="47">
        <f>+'Monthly Data'!BS41</f>
        <v>0</v>
      </c>
      <c r="T41" s="47">
        <f t="shared" ca="1" si="7"/>
        <v>28544603.931514721</v>
      </c>
    </row>
    <row r="42" spans="1:20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Data'!BQ42</f>
        <v>28601957.463998862</v>
      </c>
      <c r="E42" s="3">
        <f t="shared" ref="E42:F42" ca="1" si="36">E30</f>
        <v>64.294809115179262</v>
      </c>
      <c r="F42" s="3">
        <f t="shared" ca="1" si="36"/>
        <v>86.191046176046171</v>
      </c>
      <c r="G42" s="3">
        <f>'Monthly Data'!DQ42</f>
        <v>31</v>
      </c>
      <c r="H42" s="3">
        <f>'Monthly Data'!EJ42</f>
        <v>0</v>
      </c>
      <c r="I42">
        <f>'Monthly Data'!EF42</f>
        <v>0</v>
      </c>
      <c r="K42" s="3">
        <f t="shared" si="0"/>
        <v>14171159.489767401</v>
      </c>
      <c r="L42" s="3">
        <f t="shared" ca="1" si="1"/>
        <v>531632.1260741764</v>
      </c>
      <c r="M42" s="3">
        <f t="shared" ca="1" si="2"/>
        <v>1406569.9905625524</v>
      </c>
      <c r="N42" s="3">
        <f t="shared" si="3"/>
        <v>12751836.461500322</v>
      </c>
      <c r="O42" s="3">
        <f t="shared" si="4"/>
        <v>0</v>
      </c>
      <c r="P42" s="3">
        <f t="shared" si="5"/>
        <v>0</v>
      </c>
      <c r="Q42" s="47">
        <f t="shared" ca="1" si="16"/>
        <v>28861198.06790445</v>
      </c>
      <c r="R42" s="47">
        <f>'Monthly Data'!BR42</f>
        <v>1414.8746538461537</v>
      </c>
      <c r="S42" s="47">
        <f>+'Monthly Data'!BS42</f>
        <v>0</v>
      </c>
      <c r="T42" s="47">
        <f t="shared" ca="1" si="7"/>
        <v>28862612.942558296</v>
      </c>
    </row>
    <row r="43" spans="1:20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Data'!BQ43</f>
        <v>29234741.490176316</v>
      </c>
      <c r="E43" s="3">
        <f t="shared" ref="E43:F43" ca="1" si="37">E31</f>
        <v>3.2341666666666669</v>
      </c>
      <c r="F43" s="3">
        <f t="shared" ca="1" si="37"/>
        <v>194.94285087738348</v>
      </c>
      <c r="G43" s="3">
        <f>'Monthly Data'!DQ43</f>
        <v>30</v>
      </c>
      <c r="H43" s="3">
        <f>'Monthly Data'!EJ43</f>
        <v>0</v>
      </c>
      <c r="I43">
        <f>'Monthly Data'!EF43</f>
        <v>0</v>
      </c>
      <c r="K43" s="3">
        <f t="shared" si="0"/>
        <v>14171159.489767401</v>
      </c>
      <c r="L43" s="3">
        <f t="shared" ca="1" si="1"/>
        <v>26742.235100163085</v>
      </c>
      <c r="M43" s="3">
        <f t="shared" ca="1" si="2"/>
        <v>3181313.7916759965</v>
      </c>
      <c r="N43" s="3">
        <f t="shared" si="3"/>
        <v>12340486.89822612</v>
      </c>
      <c r="O43" s="3">
        <f t="shared" si="4"/>
        <v>0</v>
      </c>
      <c r="P43" s="3">
        <f t="shared" si="5"/>
        <v>0</v>
      </c>
      <c r="Q43" s="47">
        <f t="shared" ca="1" si="16"/>
        <v>29719702.414769679</v>
      </c>
      <c r="R43" s="47">
        <f>'Monthly Data'!BR43</f>
        <v>1528.9393846153846</v>
      </c>
      <c r="S43" s="47">
        <f>+'Monthly Data'!BS43</f>
        <v>0</v>
      </c>
      <c r="T43" s="47">
        <f t="shared" ca="1" si="7"/>
        <v>29721231.354154296</v>
      </c>
    </row>
    <row r="44" spans="1:20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Data'!BQ44</f>
        <v>30800006.446353767</v>
      </c>
      <c r="E44" s="3">
        <f t="shared" ref="E44:F44" ca="1" si="38">E32</f>
        <v>0</v>
      </c>
      <c r="F44" s="3">
        <f t="shared" ca="1" si="38"/>
        <v>297.94737858727848</v>
      </c>
      <c r="G44" s="3">
        <f>'Monthly Data'!DQ44</f>
        <v>31</v>
      </c>
      <c r="H44" s="3">
        <f>'Monthly Data'!EJ44</f>
        <v>0</v>
      </c>
      <c r="I44">
        <f>'Monthly Data'!EF44</f>
        <v>0</v>
      </c>
      <c r="K44" s="3">
        <f t="shared" si="0"/>
        <v>14171159.489767401</v>
      </c>
      <c r="L44" s="3">
        <f t="shared" ca="1" si="1"/>
        <v>0</v>
      </c>
      <c r="M44" s="3">
        <f t="shared" ca="1" si="2"/>
        <v>4862266.5587752834</v>
      </c>
      <c r="N44" s="3">
        <f t="shared" si="3"/>
        <v>12751836.461500322</v>
      </c>
      <c r="O44" s="3">
        <f t="shared" si="4"/>
        <v>0</v>
      </c>
      <c r="P44" s="3">
        <f t="shared" si="5"/>
        <v>0</v>
      </c>
      <c r="Q44" s="47">
        <f t="shared" ca="1" si="16"/>
        <v>31785262.51004301</v>
      </c>
      <c r="R44" s="47">
        <f>'Monthly Data'!BR44</f>
        <v>1643.0041153846155</v>
      </c>
      <c r="S44" s="47">
        <f>+'Monthly Data'!BS44</f>
        <v>0</v>
      </c>
      <c r="T44" s="47">
        <f t="shared" ca="1" si="7"/>
        <v>31786905.514158394</v>
      </c>
    </row>
    <row r="45" spans="1:20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Data'!BQ45</f>
        <v>32149348.072531223</v>
      </c>
      <c r="E45" s="3">
        <f t="shared" ref="E45:F45" ca="1" si="39">E33</f>
        <v>0</v>
      </c>
      <c r="F45" s="3">
        <f t="shared" ca="1" si="39"/>
        <v>272.96558794466404</v>
      </c>
      <c r="G45" s="3">
        <f>'Monthly Data'!DQ45</f>
        <v>31</v>
      </c>
      <c r="H45" s="3">
        <f>'Monthly Data'!EJ45</f>
        <v>0</v>
      </c>
      <c r="I45">
        <f>'Monthly Data'!EF45</f>
        <v>0</v>
      </c>
      <c r="K45" s="3">
        <f t="shared" si="0"/>
        <v>14171159.489767401</v>
      </c>
      <c r="L45" s="3">
        <f t="shared" ca="1" si="1"/>
        <v>0</v>
      </c>
      <c r="M45" s="3">
        <f t="shared" ca="1" si="2"/>
        <v>4454583.4108454296</v>
      </c>
      <c r="N45" s="3">
        <f t="shared" si="3"/>
        <v>12751836.461500322</v>
      </c>
      <c r="O45" s="3">
        <f t="shared" si="4"/>
        <v>0</v>
      </c>
      <c r="P45" s="3">
        <f t="shared" si="5"/>
        <v>0</v>
      </c>
      <c r="Q45" s="47">
        <f t="shared" ca="1" si="16"/>
        <v>31377579.362113155</v>
      </c>
      <c r="R45" s="47">
        <f>'Monthly Data'!BR45</f>
        <v>1757.0688461538462</v>
      </c>
      <c r="S45" s="47">
        <f>+'Monthly Data'!BS45</f>
        <v>0</v>
      </c>
      <c r="T45" s="47">
        <f t="shared" ca="1" si="7"/>
        <v>31379336.43095931</v>
      </c>
    </row>
    <row r="46" spans="1:20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Data'!BQ46</f>
        <v>31771305.148708679</v>
      </c>
      <c r="E46" s="3">
        <f t="shared" ref="E46:F46" ca="1" si="40">E34</f>
        <v>10.413369565217392</v>
      </c>
      <c r="F46" s="3">
        <f t="shared" ca="1" si="40"/>
        <v>158.67014233954447</v>
      </c>
      <c r="G46" s="3">
        <f>'Monthly Data'!DQ46</f>
        <v>30</v>
      </c>
      <c r="H46" s="3">
        <f>'Monthly Data'!EJ46</f>
        <v>0</v>
      </c>
      <c r="I46">
        <f>'Monthly Data'!EF46</f>
        <v>1</v>
      </c>
      <c r="K46" s="3">
        <f t="shared" si="0"/>
        <v>14171159.489767401</v>
      </c>
      <c r="L46" s="3">
        <f t="shared" ca="1" si="1"/>
        <v>86104.646358544662</v>
      </c>
      <c r="M46" s="3">
        <f t="shared" ca="1" si="2"/>
        <v>2589371.7562871082</v>
      </c>
      <c r="N46" s="3">
        <f t="shared" si="3"/>
        <v>12340486.89822612</v>
      </c>
      <c r="O46" s="3">
        <f t="shared" si="4"/>
        <v>0</v>
      </c>
      <c r="P46" s="3">
        <f t="shared" si="5"/>
        <v>581324.19044200005</v>
      </c>
      <c r="Q46" s="47">
        <f t="shared" ca="1" si="16"/>
        <v>29768446.981081173</v>
      </c>
      <c r="R46" s="47">
        <f>'Monthly Data'!BR46</f>
        <v>1871.1335769230768</v>
      </c>
      <c r="S46" s="47">
        <f>+'Monthly Data'!BS46</f>
        <v>0</v>
      </c>
      <c r="T46" s="47">
        <f t="shared" ca="1" si="7"/>
        <v>29770318.114658095</v>
      </c>
    </row>
    <row r="47" spans="1:20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Data'!BQ47</f>
        <v>29349297.864886131</v>
      </c>
      <c r="E47" s="3">
        <f t="shared" ref="E47:F47" ca="1" si="41">E35</f>
        <v>130.19639492753623</v>
      </c>
      <c r="F47" s="3">
        <f t="shared" ca="1" si="41"/>
        <v>35.32833333333334</v>
      </c>
      <c r="G47" s="3">
        <f>'Monthly Data'!DQ47</f>
        <v>31</v>
      </c>
      <c r="H47" s="3">
        <f>'Monthly Data'!EJ47</f>
        <v>0</v>
      </c>
      <c r="I47">
        <f>'Monthly Data'!EF47</f>
        <v>1</v>
      </c>
      <c r="K47" s="3">
        <f t="shared" si="0"/>
        <v>14171159.489767401</v>
      </c>
      <c r="L47" s="3">
        <f t="shared" ca="1" si="1"/>
        <v>1076550.1475946987</v>
      </c>
      <c r="M47" s="3">
        <f t="shared" ca="1" si="2"/>
        <v>576530.57582989987</v>
      </c>
      <c r="N47" s="3">
        <f t="shared" si="3"/>
        <v>12751836.461500322</v>
      </c>
      <c r="O47" s="3">
        <f t="shared" si="4"/>
        <v>0</v>
      </c>
      <c r="P47" s="3">
        <f t="shared" si="5"/>
        <v>581324.19044200005</v>
      </c>
      <c r="Q47" s="47">
        <f t="shared" ca="1" si="16"/>
        <v>29157400.865134325</v>
      </c>
      <c r="R47" s="47">
        <f>'Monthly Data'!BR47</f>
        <v>1985.1983076923075</v>
      </c>
      <c r="S47" s="47">
        <f>+'Monthly Data'!BS47</f>
        <v>0</v>
      </c>
      <c r="T47" s="47">
        <f t="shared" ca="1" si="7"/>
        <v>29159386.063442018</v>
      </c>
    </row>
    <row r="48" spans="1:20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Data'!BQ48</f>
        <v>29367522.431063585</v>
      </c>
      <c r="E48" s="3">
        <f t="shared" ref="E48:F48" ca="1" si="42">E36</f>
        <v>307.43824722379077</v>
      </c>
      <c r="F48" s="3">
        <f t="shared" ca="1" si="42"/>
        <v>2.2779166666666657</v>
      </c>
      <c r="G48" s="3">
        <f>'Monthly Data'!DQ48</f>
        <v>30</v>
      </c>
      <c r="H48" s="3">
        <f>'Monthly Data'!EJ48</f>
        <v>0</v>
      </c>
      <c r="I48">
        <f>'Monthly Data'!EF48</f>
        <v>1</v>
      </c>
      <c r="K48" s="3">
        <f t="shared" si="0"/>
        <v>14171159.489767401</v>
      </c>
      <c r="L48" s="3">
        <f t="shared" ca="1" si="1"/>
        <v>2542103.3401826355</v>
      </c>
      <c r="M48" s="3">
        <f t="shared" ca="1" si="2"/>
        <v>37173.805940251688</v>
      </c>
      <c r="N48" s="3">
        <f t="shared" si="3"/>
        <v>12340486.89822612</v>
      </c>
      <c r="O48" s="3">
        <f t="shared" si="4"/>
        <v>0</v>
      </c>
      <c r="P48" s="3">
        <f t="shared" si="5"/>
        <v>581324.19044200005</v>
      </c>
      <c r="Q48" s="47">
        <f t="shared" ca="1" si="16"/>
        <v>29672247.724558409</v>
      </c>
      <c r="R48" s="47">
        <f>'Monthly Data'!BR48</f>
        <v>2099.2630384615386</v>
      </c>
      <c r="S48" s="47">
        <f>+'Monthly Data'!BS48</f>
        <v>0</v>
      </c>
      <c r="T48" s="47">
        <f t="shared" ca="1" si="7"/>
        <v>29674346.987596869</v>
      </c>
    </row>
    <row r="49" spans="1:20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Data'!BQ49</f>
        <v>29763770.377241038</v>
      </c>
      <c r="E49" s="3">
        <f t="shared" ref="E49:F49" ca="1" si="43">E37</f>
        <v>453.92800724637681</v>
      </c>
      <c r="F49" s="3">
        <f t="shared" ca="1" si="43"/>
        <v>0</v>
      </c>
      <c r="G49" s="3">
        <f>'Monthly Data'!DQ49</f>
        <v>31</v>
      </c>
      <c r="H49" s="3">
        <f>'Monthly Data'!EJ49</f>
        <v>0</v>
      </c>
      <c r="I49">
        <f>'Monthly Data'!EF49</f>
        <v>0</v>
      </c>
      <c r="K49" s="3">
        <f t="shared" si="0"/>
        <v>14171159.489767401</v>
      </c>
      <c r="L49" s="3">
        <f t="shared" ca="1" si="1"/>
        <v>3753377.8371546944</v>
      </c>
      <c r="M49" s="3">
        <f t="shared" ca="1" si="2"/>
        <v>0</v>
      </c>
      <c r="N49" s="3">
        <f t="shared" si="3"/>
        <v>12751836.461500322</v>
      </c>
      <c r="O49" s="3">
        <f t="shared" si="4"/>
        <v>0</v>
      </c>
      <c r="P49" s="3">
        <f t="shared" si="5"/>
        <v>0</v>
      </c>
      <c r="Q49" s="47">
        <f t="shared" ca="1" si="16"/>
        <v>30676373.788422421</v>
      </c>
      <c r="R49" s="47">
        <f>'Monthly Data'!BR49</f>
        <v>2213.3277692307693</v>
      </c>
      <c r="S49" s="47">
        <f>+'Monthly Data'!BS49</f>
        <v>0</v>
      </c>
      <c r="T49" s="47">
        <f t="shared" ca="1" si="7"/>
        <v>30678587.116191652</v>
      </c>
    </row>
    <row r="50" spans="1:20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Data'!BQ50</f>
        <v>31781938.343248449</v>
      </c>
      <c r="E50" s="3">
        <f t="shared" ref="E50:F50" ca="1" si="44">E38</f>
        <v>573.33418478260865</v>
      </c>
      <c r="F50" s="3">
        <f t="shared" ca="1" si="44"/>
        <v>0</v>
      </c>
      <c r="G50" s="3">
        <f>'Monthly Data'!DQ50</f>
        <v>31</v>
      </c>
      <c r="H50" s="3">
        <f>'Monthly Data'!EJ50</f>
        <v>0</v>
      </c>
      <c r="I50">
        <f>'Monthly Data'!EF50</f>
        <v>0</v>
      </c>
      <c r="K50" s="3">
        <f t="shared" si="0"/>
        <v>14171159.489767401</v>
      </c>
      <c r="L50" s="3">
        <f t="shared" ca="1" si="1"/>
        <v>4740707.3106158823</v>
      </c>
      <c r="M50" s="3">
        <f t="shared" ca="1" si="2"/>
        <v>0</v>
      </c>
      <c r="N50" s="3">
        <f t="shared" si="3"/>
        <v>12751836.461500322</v>
      </c>
      <c r="O50" s="3">
        <f t="shared" si="4"/>
        <v>0</v>
      </c>
      <c r="P50" s="3">
        <f t="shared" si="5"/>
        <v>0</v>
      </c>
      <c r="Q50" s="47">
        <f t="shared" ca="1" si="16"/>
        <v>31663703.261883609</v>
      </c>
      <c r="R50" s="47">
        <f>'Monthly Data'!BR50</f>
        <v>2406.8221153846152</v>
      </c>
      <c r="S50" s="47">
        <f ca="1">+'Monthly Data'!BS50</f>
        <v>6548.3132744276663</v>
      </c>
      <c r="T50" s="47">
        <f t="shared" ca="1" si="7"/>
        <v>31672658.397273421</v>
      </c>
    </row>
    <row r="51" spans="1:20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Data'!BQ51</f>
        <v>31088843.840579573</v>
      </c>
      <c r="E51" s="3">
        <f t="shared" ref="E51:F51" ca="1" si="45">E39</f>
        <v>511.05501811594206</v>
      </c>
      <c r="F51" s="3">
        <f t="shared" ca="1" si="45"/>
        <v>0</v>
      </c>
      <c r="G51" s="3">
        <f>'Monthly Data'!DQ51</f>
        <v>28</v>
      </c>
      <c r="H51" s="3">
        <f>'Monthly Data'!EJ51</f>
        <v>0</v>
      </c>
      <c r="I51">
        <f>'Monthly Data'!EF51</f>
        <v>0</v>
      </c>
      <c r="K51" s="3">
        <f t="shared" si="0"/>
        <v>14171159.489767401</v>
      </c>
      <c r="L51" s="3">
        <f t="shared" ca="1" si="1"/>
        <v>4225741.8532052441</v>
      </c>
      <c r="M51" s="3">
        <f t="shared" ca="1" si="2"/>
        <v>0</v>
      </c>
      <c r="N51" s="3">
        <f t="shared" si="3"/>
        <v>11517787.771677712</v>
      </c>
      <c r="O51" s="3">
        <f t="shared" si="4"/>
        <v>0</v>
      </c>
      <c r="P51" s="3">
        <f t="shared" si="5"/>
        <v>0</v>
      </c>
      <c r="Q51" s="47">
        <f t="shared" ca="1" si="16"/>
        <v>29914689.114650354</v>
      </c>
      <c r="R51" s="47">
        <f>'Monthly Data'!BR51</f>
        <v>2486.2517307692306</v>
      </c>
      <c r="S51" s="47">
        <f ca="1">+'Monthly Data'!BS51</f>
        <v>5367.5920518594512</v>
      </c>
      <c r="T51" s="47">
        <f t="shared" ca="1" si="7"/>
        <v>29922542.958432984</v>
      </c>
    </row>
    <row r="52" spans="1:20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Data'!BQ52</f>
        <v>30315223.027910694</v>
      </c>
      <c r="E52" s="3">
        <f t="shared" ref="E52:F52" ca="1" si="46">E40</f>
        <v>422.13298913043479</v>
      </c>
      <c r="F52" s="3">
        <f t="shared" ca="1" si="46"/>
        <v>2.9583333333332896E-2</v>
      </c>
      <c r="G52" s="3">
        <f>'Monthly Data'!DQ52</f>
        <v>31</v>
      </c>
      <c r="H52" s="3">
        <f>'Monthly Data'!EJ52</f>
        <v>0</v>
      </c>
      <c r="I52">
        <f>'Monthly Data'!EF52</f>
        <v>0</v>
      </c>
      <c r="K52" s="3">
        <f t="shared" si="0"/>
        <v>14171159.489767401</v>
      </c>
      <c r="L52" s="3">
        <f t="shared" ca="1" si="1"/>
        <v>3490475.5389417186</v>
      </c>
      <c r="M52" s="3">
        <f t="shared" ca="1" si="2"/>
        <v>482.77670052274232</v>
      </c>
      <c r="N52" s="3">
        <f t="shared" si="3"/>
        <v>12751836.461500322</v>
      </c>
      <c r="O52" s="3">
        <f t="shared" si="4"/>
        <v>0</v>
      </c>
      <c r="P52" s="3">
        <f t="shared" si="5"/>
        <v>0</v>
      </c>
      <c r="Q52" s="47">
        <f t="shared" ca="1" si="16"/>
        <v>30413954.266909964</v>
      </c>
      <c r="R52" s="47">
        <f>'Monthly Data'!BR52</f>
        <v>2565.6813461538463</v>
      </c>
      <c r="S52" s="47">
        <f ca="1">+'Monthly Data'!BS52</f>
        <v>5133.7986848355622</v>
      </c>
      <c r="T52" s="47">
        <f t="shared" ca="1" si="7"/>
        <v>30421653.746940956</v>
      </c>
    </row>
    <row r="53" spans="1:20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Data'!BQ53</f>
        <v>28903900.405241817</v>
      </c>
      <c r="E53" s="3">
        <f t="shared" ref="E53:F53" ca="1" si="47">E41</f>
        <v>234.57024621212122</v>
      </c>
      <c r="F53" s="3">
        <f t="shared" ca="1" si="47"/>
        <v>5.6420833333333338</v>
      </c>
      <c r="G53" s="3">
        <f>'Monthly Data'!DQ53</f>
        <v>30</v>
      </c>
      <c r="H53" s="3">
        <f>'Monthly Data'!EJ53</f>
        <v>0</v>
      </c>
      <c r="I53">
        <f>'Monthly Data'!EF53</f>
        <v>0</v>
      </c>
      <c r="K53" s="3">
        <f t="shared" si="0"/>
        <v>14171159.489767401</v>
      </c>
      <c r="L53" s="3">
        <f t="shared" ca="1" si="1"/>
        <v>1939582.3772350482</v>
      </c>
      <c r="M53" s="3">
        <f t="shared" ca="1" si="2"/>
        <v>92074.356363078172</v>
      </c>
      <c r="N53" s="3">
        <f t="shared" si="3"/>
        <v>12340486.89822612</v>
      </c>
      <c r="O53" s="3">
        <f t="shared" si="4"/>
        <v>0</v>
      </c>
      <c r="P53" s="3">
        <f t="shared" si="5"/>
        <v>0</v>
      </c>
      <c r="Q53" s="47">
        <f t="shared" ca="1" si="16"/>
        <v>28543303.121591646</v>
      </c>
      <c r="R53" s="47">
        <f>'Monthly Data'!BR53</f>
        <v>2645.1109615384617</v>
      </c>
      <c r="S53" s="47">
        <f ca="1">+'Monthly Data'!BS53</f>
        <v>3078.4250962144797</v>
      </c>
      <c r="T53" s="47">
        <f t="shared" ca="1" si="7"/>
        <v>28549026.657649398</v>
      </c>
    </row>
    <row r="54" spans="1:20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Data'!BQ54</f>
        <v>27805038.452572934</v>
      </c>
      <c r="E54" s="3">
        <f t="shared" ref="E54:F54" ca="1" si="48">E42</f>
        <v>64.294809115179262</v>
      </c>
      <c r="F54" s="3">
        <f t="shared" ca="1" si="48"/>
        <v>86.191046176046171</v>
      </c>
      <c r="G54" s="3">
        <f>'Monthly Data'!DQ54</f>
        <v>31</v>
      </c>
      <c r="H54" s="3">
        <f>'Monthly Data'!EJ54</f>
        <v>0</v>
      </c>
      <c r="I54">
        <f>'Monthly Data'!EF54</f>
        <v>0</v>
      </c>
      <c r="K54" s="3">
        <f t="shared" si="0"/>
        <v>14171159.489767401</v>
      </c>
      <c r="L54" s="3">
        <f t="shared" ca="1" si="1"/>
        <v>531632.1260741764</v>
      </c>
      <c r="M54" s="3">
        <f t="shared" ca="1" si="2"/>
        <v>1406569.9905625524</v>
      </c>
      <c r="N54" s="3">
        <f t="shared" si="3"/>
        <v>12751836.461500322</v>
      </c>
      <c r="O54" s="3">
        <f t="shared" si="4"/>
        <v>0</v>
      </c>
      <c r="P54" s="3">
        <f t="shared" si="5"/>
        <v>0</v>
      </c>
      <c r="Q54" s="47">
        <f t="shared" ref="Q54:Q85" ca="1" si="49">SUM(K54:P54)</f>
        <v>28861198.06790445</v>
      </c>
      <c r="R54" s="47">
        <f>'Monthly Data'!BR54</f>
        <v>2724.540576923077</v>
      </c>
      <c r="S54" s="47">
        <f ca="1">+'Monthly Data'!BS54</f>
        <v>1725.6670713809419</v>
      </c>
      <c r="T54" s="47">
        <f t="shared" ref="T54:T117" ca="1" si="50">Q54+R54+S54</f>
        <v>28865648.275552753</v>
      </c>
    </row>
    <row r="55" spans="1:20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Data'!BQ55</f>
        <v>28301260.449904054</v>
      </c>
      <c r="E55" s="3">
        <f t="shared" ref="E55:F55" ca="1" si="51">E43</f>
        <v>3.2341666666666669</v>
      </c>
      <c r="F55" s="3">
        <f t="shared" ca="1" si="51"/>
        <v>194.94285087738348</v>
      </c>
      <c r="G55" s="3">
        <f>'Monthly Data'!DQ55</f>
        <v>30</v>
      </c>
      <c r="H55" s="3">
        <f>'Monthly Data'!EJ55</f>
        <v>0</v>
      </c>
      <c r="I55">
        <f>'Monthly Data'!EF55</f>
        <v>0</v>
      </c>
      <c r="K55" s="3">
        <f t="shared" si="0"/>
        <v>14171159.489767401</v>
      </c>
      <c r="L55" s="3">
        <f t="shared" ca="1" si="1"/>
        <v>26742.235100163085</v>
      </c>
      <c r="M55" s="3">
        <f t="shared" ca="1" si="2"/>
        <v>3181313.7916759965</v>
      </c>
      <c r="N55" s="3">
        <f t="shared" si="3"/>
        <v>12340486.89822612</v>
      </c>
      <c r="O55" s="3">
        <f t="shared" si="4"/>
        <v>0</v>
      </c>
      <c r="P55" s="3">
        <f t="shared" si="5"/>
        <v>0</v>
      </c>
      <c r="Q55" s="47">
        <f t="shared" ca="1" si="49"/>
        <v>29719702.414769679</v>
      </c>
      <c r="R55" s="47">
        <f>'Monthly Data'!BR55</f>
        <v>2803.9701923076923</v>
      </c>
      <c r="S55" s="47">
        <f ca="1">+'Monthly Data'!BS55</f>
        <v>387.23010318531414</v>
      </c>
      <c r="T55" s="47">
        <f t="shared" ca="1" si="50"/>
        <v>29722893.615065172</v>
      </c>
    </row>
    <row r="56" spans="1:20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Data'!BQ56</f>
        <v>31410357.227235176</v>
      </c>
      <c r="E56" s="3">
        <f t="shared" ref="E56:F56" ca="1" si="52">E44</f>
        <v>0</v>
      </c>
      <c r="F56" s="3">
        <f t="shared" ca="1" si="52"/>
        <v>297.94737858727848</v>
      </c>
      <c r="G56" s="3">
        <f>'Monthly Data'!DQ56</f>
        <v>31</v>
      </c>
      <c r="H56" s="3">
        <f>'Monthly Data'!EJ56</f>
        <v>0</v>
      </c>
      <c r="I56">
        <f>'Monthly Data'!EF56</f>
        <v>0</v>
      </c>
      <c r="K56" s="3">
        <f t="shared" si="0"/>
        <v>14171159.489767401</v>
      </c>
      <c r="L56" s="3">
        <f t="shared" ca="1" si="1"/>
        <v>0</v>
      </c>
      <c r="M56" s="3">
        <f t="shared" ca="1" si="2"/>
        <v>4862266.5587752834</v>
      </c>
      <c r="N56" s="3">
        <f t="shared" si="3"/>
        <v>12751836.461500322</v>
      </c>
      <c r="O56" s="3">
        <f t="shared" si="4"/>
        <v>0</v>
      </c>
      <c r="P56" s="3">
        <f t="shared" si="5"/>
        <v>0</v>
      </c>
      <c r="Q56" s="47">
        <f t="shared" ca="1" si="49"/>
        <v>31785262.51004301</v>
      </c>
      <c r="R56" s="47">
        <f>'Monthly Data'!BR56</f>
        <v>2883.3998076923081</v>
      </c>
      <c r="S56" s="47">
        <f ca="1">+'Monthly Data'!BS56</f>
        <v>0</v>
      </c>
      <c r="T56" s="47">
        <f t="shared" ca="1" si="50"/>
        <v>31788145.909850702</v>
      </c>
    </row>
    <row r="57" spans="1:20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Data'!BQ57</f>
        <v>31815147.094566301</v>
      </c>
      <c r="E57" s="3">
        <f t="shared" ref="E57:F57" ca="1" si="53">E45</f>
        <v>0</v>
      </c>
      <c r="F57" s="3">
        <f t="shared" ca="1" si="53"/>
        <v>272.96558794466404</v>
      </c>
      <c r="G57" s="3">
        <f>'Monthly Data'!DQ57</f>
        <v>31</v>
      </c>
      <c r="H57" s="3">
        <f>'Monthly Data'!EJ57</f>
        <v>0</v>
      </c>
      <c r="I57">
        <f>'Monthly Data'!EF57</f>
        <v>0</v>
      </c>
      <c r="K57" s="3">
        <f t="shared" si="0"/>
        <v>14171159.489767401</v>
      </c>
      <c r="L57" s="3">
        <f t="shared" ca="1" si="1"/>
        <v>0</v>
      </c>
      <c r="M57" s="3">
        <f t="shared" ca="1" si="2"/>
        <v>4454583.4108454296</v>
      </c>
      <c r="N57" s="3">
        <f t="shared" si="3"/>
        <v>12751836.461500322</v>
      </c>
      <c r="O57" s="3">
        <f t="shared" si="4"/>
        <v>0</v>
      </c>
      <c r="P57" s="3">
        <f t="shared" si="5"/>
        <v>0</v>
      </c>
      <c r="Q57" s="47">
        <f t="shared" ca="1" si="49"/>
        <v>31377579.362113155</v>
      </c>
      <c r="R57" s="47">
        <f>'Monthly Data'!BR57</f>
        <v>2962.8294230769234</v>
      </c>
      <c r="S57" s="47">
        <f ca="1">+'Monthly Data'!BS57</f>
        <v>39.006375015956671</v>
      </c>
      <c r="T57" s="47">
        <f t="shared" ca="1" si="50"/>
        <v>31380581.197911248</v>
      </c>
    </row>
    <row r="58" spans="1:20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Data'!BQ58</f>
        <v>29087051.461897422</v>
      </c>
      <c r="E58" s="3">
        <f t="shared" ref="E58:F58" ca="1" si="54">E46</f>
        <v>10.413369565217392</v>
      </c>
      <c r="F58" s="3">
        <f t="shared" ca="1" si="54"/>
        <v>158.67014233954447</v>
      </c>
      <c r="G58" s="3">
        <f>'Monthly Data'!DQ58</f>
        <v>30</v>
      </c>
      <c r="H58" s="3">
        <f>'Monthly Data'!EJ58</f>
        <v>0</v>
      </c>
      <c r="I58">
        <f>'Monthly Data'!EF58</f>
        <v>1</v>
      </c>
      <c r="K58" s="3">
        <f t="shared" si="0"/>
        <v>14171159.489767401</v>
      </c>
      <c r="L58" s="3">
        <f t="shared" ca="1" si="1"/>
        <v>86104.646358544662</v>
      </c>
      <c r="M58" s="3">
        <f t="shared" ca="1" si="2"/>
        <v>2589371.7562871082</v>
      </c>
      <c r="N58" s="3">
        <f t="shared" si="3"/>
        <v>12340486.89822612</v>
      </c>
      <c r="O58" s="3">
        <f t="shared" si="4"/>
        <v>0</v>
      </c>
      <c r="P58" s="3">
        <f t="shared" si="5"/>
        <v>581324.19044200005</v>
      </c>
      <c r="Q58" s="47">
        <f t="shared" ca="1" si="49"/>
        <v>29768446.981081173</v>
      </c>
      <c r="R58" s="47">
        <f>'Monthly Data'!BR58</f>
        <v>3042.2590384615387</v>
      </c>
      <c r="S58" s="47">
        <f ca="1">+'Monthly Data'!BS58</f>
        <v>521.00622700685528</v>
      </c>
      <c r="T58" s="47">
        <f t="shared" ca="1" si="50"/>
        <v>29772010.246346641</v>
      </c>
    </row>
    <row r="59" spans="1:20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Data'!BQ59</f>
        <v>28212934.369228542</v>
      </c>
      <c r="E59" s="3">
        <f t="shared" ref="E59:F59" ca="1" si="55">E47</f>
        <v>130.19639492753623</v>
      </c>
      <c r="F59" s="3">
        <f t="shared" ca="1" si="55"/>
        <v>35.32833333333334</v>
      </c>
      <c r="G59" s="3">
        <f>'Monthly Data'!DQ59</f>
        <v>31</v>
      </c>
      <c r="H59" s="3">
        <f>'Monthly Data'!EJ59</f>
        <v>0</v>
      </c>
      <c r="I59">
        <f>'Monthly Data'!EF59</f>
        <v>1</v>
      </c>
      <c r="K59" s="3">
        <f t="shared" si="0"/>
        <v>14171159.489767401</v>
      </c>
      <c r="L59" s="3">
        <f t="shared" ca="1" si="1"/>
        <v>1076550.1475946987</v>
      </c>
      <c r="M59" s="3">
        <f t="shared" ca="1" si="2"/>
        <v>576530.57582989987</v>
      </c>
      <c r="N59" s="3">
        <f t="shared" si="3"/>
        <v>12751836.461500322</v>
      </c>
      <c r="O59" s="3">
        <f t="shared" si="4"/>
        <v>0</v>
      </c>
      <c r="P59" s="3">
        <f t="shared" si="5"/>
        <v>581324.19044200005</v>
      </c>
      <c r="Q59" s="47">
        <f t="shared" ca="1" si="49"/>
        <v>29157400.865134325</v>
      </c>
      <c r="R59" s="47">
        <f>'Monthly Data'!BR59</f>
        <v>3121.688653846154</v>
      </c>
      <c r="S59" s="47">
        <f ca="1">+'Monthly Data'!BS59</f>
        <v>2046.7676978103862</v>
      </c>
      <c r="T59" s="47">
        <f t="shared" ca="1" si="50"/>
        <v>29162569.321485981</v>
      </c>
    </row>
    <row r="60" spans="1:20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Data'!BQ60</f>
        <v>29251571.706559666</v>
      </c>
      <c r="E60" s="3">
        <f t="shared" ref="E60:F60" ca="1" si="56">E48</f>
        <v>307.43824722379077</v>
      </c>
      <c r="F60" s="3">
        <f t="shared" ca="1" si="56"/>
        <v>2.2779166666666657</v>
      </c>
      <c r="G60" s="3">
        <f>'Monthly Data'!DQ60</f>
        <v>30</v>
      </c>
      <c r="H60" s="3">
        <f>'Monthly Data'!EJ60</f>
        <v>0</v>
      </c>
      <c r="I60">
        <f>'Monthly Data'!EF60</f>
        <v>1</v>
      </c>
      <c r="K60" s="3">
        <f t="shared" si="0"/>
        <v>14171159.489767401</v>
      </c>
      <c r="L60" s="3">
        <f t="shared" ca="1" si="1"/>
        <v>2542103.3401826355</v>
      </c>
      <c r="M60" s="3">
        <f t="shared" ca="1" si="2"/>
        <v>37173.805940251688</v>
      </c>
      <c r="N60" s="3">
        <f t="shared" si="3"/>
        <v>12340486.89822612</v>
      </c>
      <c r="O60" s="3">
        <f t="shared" si="4"/>
        <v>0</v>
      </c>
      <c r="P60" s="3">
        <f t="shared" si="5"/>
        <v>581324.19044200005</v>
      </c>
      <c r="Q60" s="47">
        <f t="shared" ca="1" si="49"/>
        <v>29672247.724558409</v>
      </c>
      <c r="R60" s="47">
        <f>'Monthly Data'!BR60</f>
        <v>3201.1182692307693</v>
      </c>
      <c r="S60" s="47">
        <f ca="1">+'Monthly Data'!BS60</f>
        <v>4447.5663509225515</v>
      </c>
      <c r="T60" s="47">
        <f t="shared" ca="1" si="50"/>
        <v>29679896.409178562</v>
      </c>
    </row>
    <row r="61" spans="1:20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Data'!BQ61</f>
        <v>30157879.923890781</v>
      </c>
      <c r="E61" s="3">
        <f t="shared" ref="E61:F61" ca="1" si="57">E49</f>
        <v>453.92800724637681</v>
      </c>
      <c r="F61" s="3">
        <f t="shared" ca="1" si="57"/>
        <v>0</v>
      </c>
      <c r="G61" s="3">
        <f>'Monthly Data'!DQ61</f>
        <v>31</v>
      </c>
      <c r="H61" s="3">
        <f>'Monthly Data'!EJ61</f>
        <v>0</v>
      </c>
      <c r="I61">
        <f>'Monthly Data'!EF61</f>
        <v>0</v>
      </c>
      <c r="K61" s="3">
        <f t="shared" si="0"/>
        <v>14171159.489767401</v>
      </c>
      <c r="L61" s="3">
        <f t="shared" ca="1" si="1"/>
        <v>3753377.8371546944</v>
      </c>
      <c r="M61" s="3">
        <f t="shared" ca="1" si="2"/>
        <v>0</v>
      </c>
      <c r="N61" s="3">
        <f t="shared" si="3"/>
        <v>12751836.461500322</v>
      </c>
      <c r="O61" s="3">
        <f t="shared" si="4"/>
        <v>0</v>
      </c>
      <c r="P61" s="3">
        <f t="shared" si="5"/>
        <v>0</v>
      </c>
      <c r="Q61" s="47">
        <f t="shared" ca="1" si="49"/>
        <v>30676373.788422421</v>
      </c>
      <c r="R61" s="47">
        <f>'Monthly Data'!BR61</f>
        <v>3280.5478846153846</v>
      </c>
      <c r="S61" s="47">
        <f ca="1">+'Monthly Data'!BS61</f>
        <v>5158.7417748681873</v>
      </c>
      <c r="T61" s="47">
        <f t="shared" ca="1" si="50"/>
        <v>30684813.078081906</v>
      </c>
    </row>
    <row r="62" spans="1:20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Data'!BQ62</f>
        <v>31853984.364236817</v>
      </c>
      <c r="E62" s="3">
        <f t="shared" ref="E62:F62" ca="1" si="58">E50</f>
        <v>573.33418478260865</v>
      </c>
      <c r="F62" s="3">
        <f t="shared" ca="1" si="58"/>
        <v>0</v>
      </c>
      <c r="G62" s="3">
        <f>'Monthly Data'!DQ62</f>
        <v>31</v>
      </c>
      <c r="H62" s="3">
        <f>'Monthly Data'!EJ62</f>
        <v>0</v>
      </c>
      <c r="I62">
        <f>'Monthly Data'!EF62</f>
        <v>0</v>
      </c>
      <c r="K62" s="3">
        <f t="shared" si="0"/>
        <v>14171159.489767401</v>
      </c>
      <c r="L62" s="3">
        <f t="shared" ca="1" si="1"/>
        <v>4740707.3106158823</v>
      </c>
      <c r="M62" s="3">
        <f t="shared" ca="1" si="2"/>
        <v>0</v>
      </c>
      <c r="N62" s="3">
        <f t="shared" si="3"/>
        <v>12751836.461500322</v>
      </c>
      <c r="O62" s="3">
        <f t="shared" si="4"/>
        <v>0</v>
      </c>
      <c r="P62" s="3">
        <f t="shared" si="5"/>
        <v>0</v>
      </c>
      <c r="Q62" s="47">
        <f t="shared" ca="1" si="49"/>
        <v>31663703.261883609</v>
      </c>
      <c r="R62" s="47">
        <f>'Monthly Data'!BR62</f>
        <v>3451.3757307692304</v>
      </c>
      <c r="S62" s="47">
        <f ca="1">+'Monthly Data'!BS62</f>
        <v>20996.016559873384</v>
      </c>
      <c r="T62" s="47">
        <f t="shared" ca="1" si="50"/>
        <v>31688150.65417425</v>
      </c>
    </row>
    <row r="63" spans="1:20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Data'!BQ63</f>
        <v>29807134.200992443</v>
      </c>
      <c r="E63" s="3">
        <f t="shared" ref="E63:F63" ca="1" si="59">E51</f>
        <v>511.05501811594206</v>
      </c>
      <c r="F63" s="3">
        <f t="shared" ca="1" si="59"/>
        <v>0</v>
      </c>
      <c r="G63" s="3">
        <f>'Monthly Data'!DQ63</f>
        <v>29</v>
      </c>
      <c r="H63" s="3">
        <f>'Monthly Data'!EJ63</f>
        <v>0</v>
      </c>
      <c r="I63">
        <f>'Monthly Data'!EF63</f>
        <v>0</v>
      </c>
      <c r="K63" s="3">
        <f t="shared" si="0"/>
        <v>14171159.489767401</v>
      </c>
      <c r="L63" s="3">
        <f t="shared" ca="1" si="1"/>
        <v>4225741.8532052441</v>
      </c>
      <c r="M63" s="3">
        <f t="shared" ca="1" si="2"/>
        <v>0</v>
      </c>
      <c r="N63" s="3">
        <f t="shared" si="3"/>
        <v>11929137.334951915</v>
      </c>
      <c r="O63" s="3">
        <f t="shared" si="4"/>
        <v>0</v>
      </c>
      <c r="P63" s="3">
        <f t="shared" si="5"/>
        <v>0</v>
      </c>
      <c r="Q63" s="47">
        <f t="shared" ca="1" si="49"/>
        <v>30326038.677924559</v>
      </c>
      <c r="R63" s="47">
        <f>'Monthly Data'!BR63</f>
        <v>3542.7739615384612</v>
      </c>
      <c r="S63" s="47">
        <f ca="1">+'Monthly Data'!BS63</f>
        <v>20714.849100491712</v>
      </c>
      <c r="T63" s="47">
        <f t="shared" ca="1" si="50"/>
        <v>30350296.300986592</v>
      </c>
    </row>
    <row r="64" spans="1:20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Data'!BQ64</f>
        <v>28772846.337748069</v>
      </c>
      <c r="E64" s="3">
        <f t="shared" ref="E64:F64" ca="1" si="60">E52</f>
        <v>422.13298913043479</v>
      </c>
      <c r="F64" s="3">
        <f t="shared" ca="1" si="60"/>
        <v>2.9583333333332896E-2</v>
      </c>
      <c r="G64" s="3">
        <f>'Monthly Data'!DQ64</f>
        <v>31</v>
      </c>
      <c r="H64" s="3">
        <f>'Monthly Data'!EJ64</f>
        <v>0.5</v>
      </c>
      <c r="I64">
        <f>'Monthly Data'!EF64</f>
        <v>0</v>
      </c>
      <c r="K64" s="3">
        <f t="shared" si="0"/>
        <v>14171159.489767401</v>
      </c>
      <c r="L64" s="3">
        <f t="shared" ca="1" si="1"/>
        <v>3490475.5389417186</v>
      </c>
      <c r="M64" s="3">
        <f t="shared" ca="1" si="2"/>
        <v>482.77670052274232</v>
      </c>
      <c r="N64" s="3">
        <f t="shared" si="3"/>
        <v>12751836.461500322</v>
      </c>
      <c r="O64" s="3">
        <f t="shared" si="4"/>
        <v>-1458381.58673545</v>
      </c>
      <c r="P64" s="3">
        <f t="shared" si="5"/>
        <v>0</v>
      </c>
      <c r="Q64" s="47">
        <f t="shared" ca="1" si="49"/>
        <v>28955572.680174515</v>
      </c>
      <c r="R64" s="47">
        <f>'Monthly Data'!BR64</f>
        <v>3634.1721923076921</v>
      </c>
      <c r="S64" s="47">
        <f ca="1">+'Monthly Data'!BS64</f>
        <v>16079.411901512001</v>
      </c>
      <c r="T64" s="47">
        <f t="shared" ca="1" si="50"/>
        <v>28975286.264268335</v>
      </c>
    </row>
    <row r="65" spans="1:20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Data'!BQ65</f>
        <v>25950731.334503699</v>
      </c>
      <c r="E65" s="3">
        <f t="shared" ref="E65:F65" ca="1" si="61">E53</f>
        <v>234.57024621212122</v>
      </c>
      <c r="F65" s="3">
        <f t="shared" ca="1" si="61"/>
        <v>5.6420833333333338</v>
      </c>
      <c r="G65" s="3">
        <f>'Monthly Data'!DQ65</f>
        <v>30</v>
      </c>
      <c r="H65" s="3">
        <f>'Monthly Data'!EJ65</f>
        <v>1</v>
      </c>
      <c r="I65">
        <f>'Monthly Data'!EF65</f>
        <v>0</v>
      </c>
      <c r="K65" s="3">
        <f t="shared" si="0"/>
        <v>14171159.489767401</v>
      </c>
      <c r="L65" s="3">
        <f t="shared" ca="1" si="1"/>
        <v>1939582.3772350482</v>
      </c>
      <c r="M65" s="3">
        <f t="shared" ca="1" si="2"/>
        <v>92074.356363078172</v>
      </c>
      <c r="N65" s="3">
        <f t="shared" si="3"/>
        <v>12340486.89822612</v>
      </c>
      <c r="O65" s="3">
        <f t="shared" si="4"/>
        <v>-2916763.1734708999</v>
      </c>
      <c r="P65" s="3">
        <f t="shared" si="5"/>
        <v>0</v>
      </c>
      <c r="Q65" s="47">
        <f t="shared" ca="1" si="49"/>
        <v>25626539.948120747</v>
      </c>
      <c r="R65" s="47">
        <f>'Monthly Data'!BR65</f>
        <v>3725.5704230769229</v>
      </c>
      <c r="S65" s="47">
        <f ca="1">+'Monthly Data'!BS65</f>
        <v>12677.160432348795</v>
      </c>
      <c r="T65" s="47">
        <f t="shared" ca="1" si="50"/>
        <v>25642942.678976174</v>
      </c>
    </row>
    <row r="66" spans="1:20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Data'!BQ66</f>
        <v>25312504.351259321</v>
      </c>
      <c r="E66" s="3">
        <f t="shared" ref="E66:F66" ca="1" si="62">E54</f>
        <v>64.294809115179262</v>
      </c>
      <c r="F66" s="3">
        <f t="shared" ca="1" si="62"/>
        <v>86.191046176046171</v>
      </c>
      <c r="G66" s="3">
        <f>'Monthly Data'!DQ66</f>
        <v>31</v>
      </c>
      <c r="H66" s="3">
        <f>'Monthly Data'!EJ66</f>
        <v>1</v>
      </c>
      <c r="I66">
        <f>'Monthly Data'!EF66</f>
        <v>0</v>
      </c>
      <c r="K66" s="3">
        <f t="shared" ref="K66:K129" si="63">$X$8</f>
        <v>14171159.489767401</v>
      </c>
      <c r="L66" s="3">
        <f t="shared" ref="L66:L129" ca="1" si="64">E66*$X$9</f>
        <v>531632.1260741764</v>
      </c>
      <c r="M66" s="3">
        <f t="shared" ref="M66:M129" ca="1" si="65">F66*$X$10</f>
        <v>1406569.9905625524</v>
      </c>
      <c r="N66" s="3">
        <f t="shared" ref="N66:N129" si="66">G66*$X$11</f>
        <v>12751836.461500322</v>
      </c>
      <c r="O66" s="3">
        <f t="shared" ref="O66:O129" si="67">H66*$X$12</f>
        <v>-2916763.1734708999</v>
      </c>
      <c r="P66" s="3">
        <f t="shared" ref="P66:P129" si="68">I66*$X$13</f>
        <v>0</v>
      </c>
      <c r="Q66" s="47">
        <f t="shared" ca="1" si="49"/>
        <v>25944434.894433551</v>
      </c>
      <c r="R66" s="47">
        <f>'Monthly Data'!BR66</f>
        <v>3816.9686538461538</v>
      </c>
      <c r="S66" s="47">
        <f ca="1">+'Monthly Data'!BS66</f>
        <v>7103.1800132955095</v>
      </c>
      <c r="T66" s="47">
        <f t="shared" ca="1" si="50"/>
        <v>25955355.043100692</v>
      </c>
    </row>
    <row r="67" spans="1:20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Data'!BQ67</f>
        <v>30027398.508014951</v>
      </c>
      <c r="E67" s="3">
        <f t="shared" ref="E67:F67" ca="1" si="69">E55</f>
        <v>3.2341666666666669</v>
      </c>
      <c r="F67" s="3">
        <f t="shared" ca="1" si="69"/>
        <v>194.94285087738348</v>
      </c>
      <c r="G67" s="3">
        <f>'Monthly Data'!DQ67</f>
        <v>30</v>
      </c>
      <c r="H67" s="3">
        <f>'Monthly Data'!EJ67</f>
        <v>0.5</v>
      </c>
      <c r="I67">
        <f>'Monthly Data'!EF67</f>
        <v>0</v>
      </c>
      <c r="K67" s="3">
        <f t="shared" si="63"/>
        <v>14171159.489767401</v>
      </c>
      <c r="L67" s="3">
        <f t="shared" ca="1" si="64"/>
        <v>26742.235100163085</v>
      </c>
      <c r="M67" s="3">
        <f t="shared" ca="1" si="65"/>
        <v>3181313.7916759965</v>
      </c>
      <c r="N67" s="3">
        <f t="shared" si="66"/>
        <v>12340486.89822612</v>
      </c>
      <c r="O67" s="3">
        <f t="shared" si="67"/>
        <v>-1458381.58673545</v>
      </c>
      <c r="P67" s="3">
        <f t="shared" si="68"/>
        <v>0</v>
      </c>
      <c r="Q67" s="47">
        <f t="shared" ca="1" si="49"/>
        <v>28261320.82803423</v>
      </c>
      <c r="R67" s="47">
        <f>'Monthly Data'!BR67</f>
        <v>3908.3668846153846</v>
      </c>
      <c r="S67" s="47">
        <f ca="1">+'Monthly Data'!BS67</f>
        <v>992.78129151292796</v>
      </c>
      <c r="T67" s="47">
        <f t="shared" ca="1" si="50"/>
        <v>28266221.976210359</v>
      </c>
    </row>
    <row r="68" spans="1:20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Data'!BQ68</f>
        <v>30695599.024770577</v>
      </c>
      <c r="E68" s="3">
        <f t="shared" ref="E68:F68" ca="1" si="70">E56</f>
        <v>0</v>
      </c>
      <c r="F68" s="3">
        <f t="shared" ca="1" si="70"/>
        <v>297.94737858727848</v>
      </c>
      <c r="G68" s="3">
        <f>'Monthly Data'!DQ68</f>
        <v>31</v>
      </c>
      <c r="H68" s="3">
        <f>'Monthly Data'!EJ68</f>
        <v>0.5</v>
      </c>
      <c r="I68">
        <f>'Monthly Data'!EF68</f>
        <v>0</v>
      </c>
      <c r="K68" s="3">
        <f t="shared" si="63"/>
        <v>14171159.489767401</v>
      </c>
      <c r="L68" s="3">
        <f t="shared" ca="1" si="64"/>
        <v>0</v>
      </c>
      <c r="M68" s="3">
        <f t="shared" ca="1" si="65"/>
        <v>4862266.5587752834</v>
      </c>
      <c r="N68" s="3">
        <f t="shared" si="66"/>
        <v>12751836.461500322</v>
      </c>
      <c r="O68" s="3">
        <f t="shared" si="67"/>
        <v>-1458381.58673545</v>
      </c>
      <c r="P68" s="3">
        <f t="shared" si="68"/>
        <v>0</v>
      </c>
      <c r="Q68" s="47">
        <f t="shared" ca="1" si="49"/>
        <v>30326880.92330756</v>
      </c>
      <c r="R68" s="47">
        <f>'Monthly Data'!BR68</f>
        <v>3999.7651153846155</v>
      </c>
      <c r="S68" s="47">
        <f ca="1">+'Monthly Data'!BS68</f>
        <v>0</v>
      </c>
      <c r="T68" s="47">
        <f t="shared" ca="1" si="50"/>
        <v>30330880.688422944</v>
      </c>
    </row>
    <row r="69" spans="1:20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Data'!BQ69</f>
        <v>29742716.571526203</v>
      </c>
      <c r="E69" s="3">
        <f t="shared" ref="E69:F69" ca="1" si="71">E57</f>
        <v>0</v>
      </c>
      <c r="F69" s="3">
        <f t="shared" ca="1" si="71"/>
        <v>272.96558794466404</v>
      </c>
      <c r="G69" s="3">
        <f>'Monthly Data'!DQ69</f>
        <v>31</v>
      </c>
      <c r="H69" s="3">
        <f>'Monthly Data'!EJ69</f>
        <v>0.5</v>
      </c>
      <c r="I69">
        <f>'Monthly Data'!EF69</f>
        <v>0</v>
      </c>
      <c r="K69" s="3">
        <f t="shared" si="63"/>
        <v>14171159.489767401</v>
      </c>
      <c r="L69" s="3">
        <f t="shared" ca="1" si="64"/>
        <v>0</v>
      </c>
      <c r="M69" s="3">
        <f t="shared" ca="1" si="65"/>
        <v>4454583.4108454296</v>
      </c>
      <c r="N69" s="3">
        <f t="shared" si="66"/>
        <v>12751836.461500322</v>
      </c>
      <c r="O69" s="3">
        <f t="shared" si="67"/>
        <v>-1458381.58673545</v>
      </c>
      <c r="P69" s="3">
        <f t="shared" si="68"/>
        <v>0</v>
      </c>
      <c r="Q69" s="47">
        <f t="shared" ca="1" si="49"/>
        <v>29919197.775377706</v>
      </c>
      <c r="R69" s="47">
        <f>'Monthly Data'!BR69</f>
        <v>4091.1633461538463</v>
      </c>
      <c r="S69" s="47">
        <f ca="1">+'Monthly Data'!BS69</f>
        <v>116.44589980329592</v>
      </c>
      <c r="T69" s="47">
        <f t="shared" ca="1" si="50"/>
        <v>29923405.384623662</v>
      </c>
    </row>
    <row r="70" spans="1:20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Data'!BQ70</f>
        <v>27312271.008281827</v>
      </c>
      <c r="E70" s="3">
        <f t="shared" ref="E70:F70" ca="1" si="72">E58</f>
        <v>10.413369565217392</v>
      </c>
      <c r="F70" s="3">
        <f t="shared" ca="1" si="72"/>
        <v>158.67014233954447</v>
      </c>
      <c r="G70" s="3">
        <f>'Monthly Data'!DQ70</f>
        <v>30</v>
      </c>
      <c r="H70" s="3">
        <f>'Monthly Data'!EJ70</f>
        <v>0.5</v>
      </c>
      <c r="I70">
        <f>'Monthly Data'!EF70</f>
        <v>1</v>
      </c>
      <c r="K70" s="3">
        <f t="shared" si="63"/>
        <v>14171159.489767401</v>
      </c>
      <c r="L70" s="3">
        <f t="shared" ca="1" si="64"/>
        <v>86104.646358544662</v>
      </c>
      <c r="M70" s="3">
        <f t="shared" ca="1" si="65"/>
        <v>2589371.7562871082</v>
      </c>
      <c r="N70" s="3">
        <f t="shared" si="66"/>
        <v>12340486.89822612</v>
      </c>
      <c r="O70" s="3">
        <f t="shared" si="67"/>
        <v>-1458381.58673545</v>
      </c>
      <c r="P70" s="3">
        <f t="shared" si="68"/>
        <v>581324.19044200005</v>
      </c>
      <c r="Q70" s="47">
        <f t="shared" ca="1" si="49"/>
        <v>28310065.394345723</v>
      </c>
      <c r="R70" s="47">
        <f>'Monthly Data'!BR70</f>
        <v>4182.5615769230772</v>
      </c>
      <c r="S70" s="47">
        <f ca="1">+'Monthly Data'!BS70</f>
        <v>2839.5112792302143</v>
      </c>
      <c r="T70" s="47">
        <f t="shared" ca="1" si="50"/>
        <v>28317087.467201874</v>
      </c>
    </row>
    <row r="71" spans="1:20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Data'!BQ71</f>
        <v>27262530.595037457</v>
      </c>
      <c r="E71" s="3">
        <f t="shared" ref="E71:F71" ca="1" si="73">E59</f>
        <v>130.19639492753623</v>
      </c>
      <c r="F71" s="3">
        <f t="shared" ca="1" si="73"/>
        <v>35.32833333333334</v>
      </c>
      <c r="G71" s="3">
        <f>'Monthly Data'!DQ71</f>
        <v>31</v>
      </c>
      <c r="H71" s="3">
        <f>'Monthly Data'!EJ71</f>
        <v>0.5</v>
      </c>
      <c r="I71">
        <f>'Monthly Data'!EF71</f>
        <v>1</v>
      </c>
      <c r="K71" s="3">
        <f t="shared" si="63"/>
        <v>14171159.489767401</v>
      </c>
      <c r="L71" s="3">
        <f t="shared" ca="1" si="64"/>
        <v>1076550.1475946987</v>
      </c>
      <c r="M71" s="3">
        <f t="shared" ca="1" si="65"/>
        <v>576530.57582989987</v>
      </c>
      <c r="N71" s="3">
        <f t="shared" si="66"/>
        <v>12751836.461500322</v>
      </c>
      <c r="O71" s="3">
        <f t="shared" si="67"/>
        <v>-1458381.58673545</v>
      </c>
      <c r="P71" s="3">
        <f t="shared" si="68"/>
        <v>581324.19044200005</v>
      </c>
      <c r="Q71" s="47">
        <f t="shared" ca="1" si="49"/>
        <v>27699019.278398875</v>
      </c>
      <c r="R71" s="47">
        <f>'Monthly Data'!BR71</f>
        <v>4273.9598076923075</v>
      </c>
      <c r="S71" s="47">
        <f ca="1">+'Monthly Data'!BS71</f>
        <v>9610.6126145898306</v>
      </c>
      <c r="T71" s="47">
        <f t="shared" ca="1" si="50"/>
        <v>27712903.85082116</v>
      </c>
    </row>
    <row r="72" spans="1:20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Data'!BQ72</f>
        <v>27701048.071793083</v>
      </c>
      <c r="E72" s="3">
        <f t="shared" ref="E72:F72" ca="1" si="74">E60</f>
        <v>307.43824722379077</v>
      </c>
      <c r="F72" s="3">
        <f t="shared" ca="1" si="74"/>
        <v>2.2779166666666657</v>
      </c>
      <c r="G72" s="3">
        <f>'Monthly Data'!DQ72</f>
        <v>30</v>
      </c>
      <c r="H72" s="3">
        <f>'Monthly Data'!EJ72</f>
        <v>0.5</v>
      </c>
      <c r="I72">
        <f>'Monthly Data'!EF72</f>
        <v>1</v>
      </c>
      <c r="K72" s="3">
        <f t="shared" si="63"/>
        <v>14171159.489767401</v>
      </c>
      <c r="L72" s="3">
        <f t="shared" ca="1" si="64"/>
        <v>2542103.3401826355</v>
      </c>
      <c r="M72" s="3">
        <f t="shared" ca="1" si="65"/>
        <v>37173.805940251688</v>
      </c>
      <c r="N72" s="3">
        <f t="shared" si="66"/>
        <v>12340486.89822612</v>
      </c>
      <c r="O72" s="3">
        <f t="shared" si="67"/>
        <v>-1458381.58673545</v>
      </c>
      <c r="P72" s="3">
        <f t="shared" si="68"/>
        <v>581324.19044200005</v>
      </c>
      <c r="Q72" s="47">
        <f t="shared" ca="1" si="49"/>
        <v>28213866.13782296</v>
      </c>
      <c r="R72" s="47">
        <f>'Monthly Data'!BR72</f>
        <v>4365.3580384615389</v>
      </c>
      <c r="S72" s="47">
        <f ca="1">+'Monthly Data'!BS72</f>
        <v>12230.599993988286</v>
      </c>
      <c r="T72" s="47">
        <f t="shared" ca="1" si="50"/>
        <v>28230462.095855411</v>
      </c>
    </row>
    <row r="73" spans="1:20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Data'!BQ73</f>
        <v>30670360.18854871</v>
      </c>
      <c r="E73" s="3">
        <f t="shared" ref="E73:F73" ca="1" si="75">E61</f>
        <v>453.92800724637681</v>
      </c>
      <c r="F73" s="3">
        <f t="shared" ca="1" si="75"/>
        <v>0</v>
      </c>
      <c r="G73" s="3">
        <f>'Monthly Data'!DQ73</f>
        <v>31</v>
      </c>
      <c r="H73" s="3">
        <f>'Monthly Data'!EJ73</f>
        <v>0.5</v>
      </c>
      <c r="I73">
        <f>'Monthly Data'!EF73</f>
        <v>0</v>
      </c>
      <c r="K73" s="3">
        <f t="shared" si="63"/>
        <v>14171159.489767401</v>
      </c>
      <c r="L73" s="3">
        <f t="shared" ca="1" si="64"/>
        <v>3753377.8371546944</v>
      </c>
      <c r="M73" s="3">
        <f t="shared" ca="1" si="65"/>
        <v>0</v>
      </c>
      <c r="N73" s="3">
        <f t="shared" si="66"/>
        <v>12751836.461500322</v>
      </c>
      <c r="O73" s="3">
        <f t="shared" si="67"/>
        <v>-1458381.58673545</v>
      </c>
      <c r="P73" s="3">
        <f t="shared" si="68"/>
        <v>0</v>
      </c>
      <c r="Q73" s="47">
        <f t="shared" ca="1" si="49"/>
        <v>29217992.201686971</v>
      </c>
      <c r="R73" s="47">
        <f>'Monthly Data'!BR73</f>
        <v>4456.7562692307692</v>
      </c>
      <c r="S73" s="47">
        <f ca="1">+'Monthly Data'!BS73</f>
        <v>19462.881773932742</v>
      </c>
      <c r="T73" s="47">
        <f t="shared" ca="1" si="50"/>
        <v>29241911.839730136</v>
      </c>
    </row>
    <row r="74" spans="1:20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Data'!BQ74</f>
        <v>30132179.904004361</v>
      </c>
      <c r="E74" s="3">
        <f t="shared" ref="E74:F74" ca="1" si="76">E62</f>
        <v>573.33418478260865</v>
      </c>
      <c r="F74" s="3">
        <f t="shared" ca="1" si="76"/>
        <v>0</v>
      </c>
      <c r="G74" s="3">
        <f>'Monthly Data'!DQ74</f>
        <v>31</v>
      </c>
      <c r="H74" s="3">
        <f>'Monthly Data'!EJ74</f>
        <v>0.5</v>
      </c>
      <c r="I74">
        <f>'Monthly Data'!EF74</f>
        <v>0</v>
      </c>
      <c r="K74" s="3">
        <f t="shared" si="63"/>
        <v>14171159.489767401</v>
      </c>
      <c r="L74" s="3">
        <f t="shared" ca="1" si="64"/>
        <v>4740707.3106158823</v>
      </c>
      <c r="M74" s="3">
        <f t="shared" ca="1" si="65"/>
        <v>0</v>
      </c>
      <c r="N74" s="3">
        <f t="shared" si="66"/>
        <v>12751836.461500322</v>
      </c>
      <c r="O74" s="3">
        <f t="shared" si="67"/>
        <v>-1458381.58673545</v>
      </c>
      <c r="P74" s="3">
        <f t="shared" si="68"/>
        <v>0</v>
      </c>
      <c r="Q74" s="47">
        <f t="shared" ca="1" si="49"/>
        <v>30205321.675148159</v>
      </c>
      <c r="R74" s="47">
        <f>'Monthly Data'!BR74</f>
        <v>4723.2871153846154</v>
      </c>
      <c r="S74" s="47">
        <f ca="1">+'Monthly Data'!BS74</f>
        <v>39220.230658287408</v>
      </c>
      <c r="T74" s="47">
        <f t="shared" ca="1" si="50"/>
        <v>30249265.192921832</v>
      </c>
    </row>
    <row r="75" spans="1:20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Data'!BQ75</f>
        <v>28423629.341019243</v>
      </c>
      <c r="E75" s="3">
        <f t="shared" ref="E75:F75" ca="1" si="77">E63</f>
        <v>511.05501811594206</v>
      </c>
      <c r="F75" s="3">
        <f t="shared" ca="1" si="77"/>
        <v>0</v>
      </c>
      <c r="G75" s="3">
        <f>'Monthly Data'!DQ75</f>
        <v>28</v>
      </c>
      <c r="H75" s="3">
        <f>'Monthly Data'!EJ75</f>
        <v>0.5</v>
      </c>
      <c r="I75">
        <f>'Monthly Data'!EF75</f>
        <v>0</v>
      </c>
      <c r="K75" s="3">
        <f t="shared" si="63"/>
        <v>14171159.489767401</v>
      </c>
      <c r="L75" s="3">
        <f t="shared" ca="1" si="64"/>
        <v>4225741.8532052441</v>
      </c>
      <c r="M75" s="3">
        <f t="shared" ca="1" si="65"/>
        <v>0</v>
      </c>
      <c r="N75" s="3">
        <f t="shared" si="66"/>
        <v>11517787.771677712</v>
      </c>
      <c r="O75" s="3">
        <f t="shared" si="67"/>
        <v>-1458381.58673545</v>
      </c>
      <c r="P75" s="3">
        <f t="shared" si="68"/>
        <v>0</v>
      </c>
      <c r="Q75" s="47">
        <f t="shared" ca="1" si="49"/>
        <v>28456307.527914904</v>
      </c>
      <c r="R75" s="47">
        <f>'Monthly Data'!BR75</f>
        <v>4898.4197307692311</v>
      </c>
      <c r="S75" s="47">
        <f ca="1">+'Monthly Data'!BS75</f>
        <v>39217.229894661185</v>
      </c>
      <c r="T75" s="47">
        <f t="shared" ca="1" si="50"/>
        <v>28500423.177540332</v>
      </c>
    </row>
    <row r="76" spans="1:20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Data'!BQ76</f>
        <v>29118151.958034121</v>
      </c>
      <c r="E76" s="3">
        <f t="shared" ref="E76:F76" ca="1" si="78">E64</f>
        <v>422.13298913043479</v>
      </c>
      <c r="F76" s="3">
        <f t="shared" ca="1" si="78"/>
        <v>2.9583333333332896E-2</v>
      </c>
      <c r="G76" s="3">
        <f>'Monthly Data'!DQ76</f>
        <v>31</v>
      </c>
      <c r="H76" s="3">
        <f>'Monthly Data'!EJ76</f>
        <v>0.5</v>
      </c>
      <c r="I76">
        <f>'Monthly Data'!EF76</f>
        <v>0</v>
      </c>
      <c r="K76" s="3">
        <f t="shared" si="63"/>
        <v>14171159.489767401</v>
      </c>
      <c r="L76" s="3">
        <f t="shared" ca="1" si="64"/>
        <v>3490475.5389417186</v>
      </c>
      <c r="M76" s="3">
        <f t="shared" ca="1" si="65"/>
        <v>482.77670052274232</v>
      </c>
      <c r="N76" s="3">
        <f t="shared" si="66"/>
        <v>12751836.461500322</v>
      </c>
      <c r="O76" s="3">
        <f t="shared" si="67"/>
        <v>-1458381.58673545</v>
      </c>
      <c r="P76" s="3">
        <f t="shared" si="68"/>
        <v>0</v>
      </c>
      <c r="Q76" s="47">
        <f t="shared" ca="1" si="49"/>
        <v>28955572.680174515</v>
      </c>
      <c r="R76" s="47">
        <f>'Monthly Data'!BR76</f>
        <v>5073.552346153846</v>
      </c>
      <c r="S76" s="47">
        <f ca="1">+'Monthly Data'!BS76</f>
        <v>29563.305798847061</v>
      </c>
      <c r="T76" s="47">
        <f t="shared" ca="1" si="50"/>
        <v>28990209.538319517</v>
      </c>
    </row>
    <row r="77" spans="1:20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Data'!BQ77</f>
        <v>25603962.015049003</v>
      </c>
      <c r="E77" s="3">
        <f t="shared" ref="E77:F77" ca="1" si="79">E65</f>
        <v>234.57024621212122</v>
      </c>
      <c r="F77" s="3">
        <f t="shared" ca="1" si="79"/>
        <v>5.6420833333333338</v>
      </c>
      <c r="G77" s="3">
        <f>'Monthly Data'!DQ77</f>
        <v>30</v>
      </c>
      <c r="H77" s="3">
        <f>'Monthly Data'!EJ77</f>
        <v>0.5</v>
      </c>
      <c r="I77">
        <f>'Monthly Data'!EF77</f>
        <v>0</v>
      </c>
      <c r="K77" s="3">
        <f t="shared" si="63"/>
        <v>14171159.489767401</v>
      </c>
      <c r="L77" s="3">
        <f t="shared" ca="1" si="64"/>
        <v>1939582.3772350482</v>
      </c>
      <c r="M77" s="3">
        <f t="shared" ca="1" si="65"/>
        <v>92074.356363078172</v>
      </c>
      <c r="N77" s="3">
        <f t="shared" si="66"/>
        <v>12340486.89822612</v>
      </c>
      <c r="O77" s="3">
        <f t="shared" si="67"/>
        <v>-1458381.58673545</v>
      </c>
      <c r="P77" s="3">
        <f t="shared" si="68"/>
        <v>0</v>
      </c>
      <c r="Q77" s="47">
        <f t="shared" ca="1" si="49"/>
        <v>27084921.534856196</v>
      </c>
      <c r="R77" s="47">
        <f>'Monthly Data'!BR77</f>
        <v>5248.6849615384617</v>
      </c>
      <c r="S77" s="47">
        <f ca="1">+'Monthly Data'!BS77</f>
        <v>19192.634089646308</v>
      </c>
      <c r="T77" s="47">
        <f t="shared" ca="1" si="50"/>
        <v>27109362.85390738</v>
      </c>
    </row>
    <row r="78" spans="1:20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Data'!BQ78</f>
        <v>25741172.322063882</v>
      </c>
      <c r="E78" s="3">
        <f t="shared" ref="E78:F78" ca="1" si="80">E66</f>
        <v>64.294809115179262</v>
      </c>
      <c r="F78" s="3">
        <f t="shared" ca="1" si="80"/>
        <v>86.191046176046171</v>
      </c>
      <c r="G78" s="3">
        <f>'Monthly Data'!DQ78</f>
        <v>31</v>
      </c>
      <c r="H78" s="3">
        <f>'Monthly Data'!EJ78</f>
        <v>0.5</v>
      </c>
      <c r="I78">
        <f>'Monthly Data'!EF78</f>
        <v>0</v>
      </c>
      <c r="K78" s="3">
        <f t="shared" si="63"/>
        <v>14171159.489767401</v>
      </c>
      <c r="L78" s="3">
        <f t="shared" ca="1" si="64"/>
        <v>531632.1260741764</v>
      </c>
      <c r="M78" s="3">
        <f t="shared" ca="1" si="65"/>
        <v>1406569.9905625524</v>
      </c>
      <c r="N78" s="3">
        <f t="shared" si="66"/>
        <v>12751836.461500322</v>
      </c>
      <c r="O78" s="3">
        <f t="shared" si="67"/>
        <v>-1458381.58673545</v>
      </c>
      <c r="P78" s="3">
        <f t="shared" si="68"/>
        <v>0</v>
      </c>
      <c r="Q78" s="47">
        <f t="shared" ca="1" si="49"/>
        <v>27402816.481169</v>
      </c>
      <c r="R78" s="47">
        <f>'Monthly Data'!BR78</f>
        <v>5423.8175769230775</v>
      </c>
      <c r="S78" s="47">
        <f ca="1">+'Monthly Data'!BS78</f>
        <v>10421.235301124636</v>
      </c>
      <c r="T78" s="47">
        <f t="shared" ca="1" si="50"/>
        <v>27418661.534047049</v>
      </c>
    </row>
    <row r="79" spans="1:20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Data'!BQ79</f>
        <v>28325941.91907876</v>
      </c>
      <c r="E79" s="3">
        <f t="shared" ref="E79:F79" ca="1" si="81">E67</f>
        <v>3.2341666666666669</v>
      </c>
      <c r="F79" s="3">
        <f t="shared" ca="1" si="81"/>
        <v>194.94285087738348</v>
      </c>
      <c r="G79" s="3">
        <f>'Monthly Data'!DQ79</f>
        <v>30</v>
      </c>
      <c r="H79" s="3">
        <f>'Monthly Data'!EJ79</f>
        <v>0.5</v>
      </c>
      <c r="I79">
        <f>'Monthly Data'!EF79</f>
        <v>0</v>
      </c>
      <c r="K79" s="3">
        <f t="shared" si="63"/>
        <v>14171159.489767401</v>
      </c>
      <c r="L79" s="3">
        <f t="shared" ca="1" si="64"/>
        <v>26742.235100163085</v>
      </c>
      <c r="M79" s="3">
        <f t="shared" ca="1" si="65"/>
        <v>3181313.7916759965</v>
      </c>
      <c r="N79" s="3">
        <f t="shared" si="66"/>
        <v>12340486.89822612</v>
      </c>
      <c r="O79" s="3">
        <f t="shared" si="67"/>
        <v>-1458381.58673545</v>
      </c>
      <c r="P79" s="3">
        <f t="shared" si="68"/>
        <v>0</v>
      </c>
      <c r="Q79" s="47">
        <f t="shared" ca="1" si="49"/>
        <v>28261320.82803423</v>
      </c>
      <c r="R79" s="47">
        <f>'Monthly Data'!BR79</f>
        <v>5598.9501923076932</v>
      </c>
      <c r="S79" s="47">
        <f ca="1">+'Monthly Data'!BS79</f>
        <v>855.46769710727006</v>
      </c>
      <c r="T79" s="47">
        <f t="shared" ca="1" si="50"/>
        <v>28267775.245923642</v>
      </c>
    </row>
    <row r="80" spans="1:20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Data'!BQ80</f>
        <v>29366265.796093643</v>
      </c>
      <c r="E80" s="3">
        <f t="shared" ref="E80:F80" ca="1" si="82">E68</f>
        <v>0</v>
      </c>
      <c r="F80" s="3">
        <f t="shared" ca="1" si="82"/>
        <v>297.94737858727848</v>
      </c>
      <c r="G80" s="3">
        <f>'Monthly Data'!DQ80</f>
        <v>31</v>
      </c>
      <c r="H80" s="3">
        <f>'Monthly Data'!EJ80</f>
        <v>0.5</v>
      </c>
      <c r="I80">
        <f>'Monthly Data'!EF80</f>
        <v>0</v>
      </c>
      <c r="K80" s="3">
        <f t="shared" si="63"/>
        <v>14171159.489767401</v>
      </c>
      <c r="L80" s="3">
        <f t="shared" ca="1" si="64"/>
        <v>0</v>
      </c>
      <c r="M80" s="3">
        <f t="shared" ca="1" si="65"/>
        <v>4862266.5587752834</v>
      </c>
      <c r="N80" s="3">
        <f t="shared" si="66"/>
        <v>12751836.461500322</v>
      </c>
      <c r="O80" s="3">
        <f t="shared" si="67"/>
        <v>-1458381.58673545</v>
      </c>
      <c r="P80" s="3">
        <f t="shared" si="68"/>
        <v>0</v>
      </c>
      <c r="Q80" s="47">
        <f t="shared" ca="1" si="49"/>
        <v>30326880.92330756</v>
      </c>
      <c r="R80" s="47">
        <f>'Monthly Data'!BR80</f>
        <v>5774.0828076923081</v>
      </c>
      <c r="S80" s="47">
        <f ca="1">+'Monthly Data'!BS80</f>
        <v>321.33177164070128</v>
      </c>
      <c r="T80" s="47">
        <f t="shared" ca="1" si="50"/>
        <v>30332976.337886896</v>
      </c>
    </row>
    <row r="81" spans="1:20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Data'!BQ81</f>
        <v>31713417.193108521</v>
      </c>
      <c r="E81" s="3">
        <f t="shared" ref="E81:F81" ca="1" si="83">E69</f>
        <v>0</v>
      </c>
      <c r="F81" s="3">
        <f t="shared" ca="1" si="83"/>
        <v>272.96558794466404</v>
      </c>
      <c r="G81" s="3">
        <f>'Monthly Data'!DQ81</f>
        <v>31</v>
      </c>
      <c r="H81" s="3">
        <f>'Monthly Data'!EJ81</f>
        <v>0.5</v>
      </c>
      <c r="I81">
        <f>'Monthly Data'!EF81</f>
        <v>0</v>
      </c>
      <c r="K81" s="3">
        <f t="shared" si="63"/>
        <v>14171159.489767401</v>
      </c>
      <c r="L81" s="3">
        <f t="shared" ca="1" si="64"/>
        <v>0</v>
      </c>
      <c r="M81" s="3">
        <f t="shared" ca="1" si="65"/>
        <v>4454583.4108454296</v>
      </c>
      <c r="N81" s="3">
        <f t="shared" si="66"/>
        <v>12751836.461500322</v>
      </c>
      <c r="O81" s="3">
        <f t="shared" si="67"/>
        <v>-1458381.58673545</v>
      </c>
      <c r="P81" s="3">
        <f t="shared" si="68"/>
        <v>0</v>
      </c>
      <c r="Q81" s="47">
        <f t="shared" ca="1" si="49"/>
        <v>29919197.775377706</v>
      </c>
      <c r="R81" s="47">
        <f>'Monthly Data'!BR81</f>
        <v>5949.2154230769238</v>
      </c>
      <c r="S81" s="47">
        <f ca="1">+'Monthly Data'!BS81</f>
        <v>41.510563495997268</v>
      </c>
      <c r="T81" s="47">
        <f t="shared" ca="1" si="50"/>
        <v>29925188.50136428</v>
      </c>
    </row>
    <row r="82" spans="1:20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Data'!BQ82</f>
        <v>27785546.9301234</v>
      </c>
      <c r="E82" s="3">
        <f t="shared" ref="E82:F82" ca="1" si="84">E70</f>
        <v>10.413369565217392</v>
      </c>
      <c r="F82" s="3">
        <f t="shared" ca="1" si="84"/>
        <v>158.67014233954447</v>
      </c>
      <c r="G82" s="3">
        <f>'Monthly Data'!DQ82</f>
        <v>30</v>
      </c>
      <c r="H82" s="3">
        <f>'Monthly Data'!EJ82</f>
        <v>0.5</v>
      </c>
      <c r="I82">
        <f>'Monthly Data'!EF82</f>
        <v>1</v>
      </c>
      <c r="K82" s="3">
        <f t="shared" si="63"/>
        <v>14171159.489767401</v>
      </c>
      <c r="L82" s="3">
        <f t="shared" ca="1" si="64"/>
        <v>86104.646358544662</v>
      </c>
      <c r="M82" s="3">
        <f t="shared" ca="1" si="65"/>
        <v>2589371.7562871082</v>
      </c>
      <c r="N82" s="3">
        <f t="shared" si="66"/>
        <v>12340486.89822612</v>
      </c>
      <c r="O82" s="3">
        <f t="shared" si="67"/>
        <v>-1458381.58673545</v>
      </c>
      <c r="P82" s="3">
        <f t="shared" si="68"/>
        <v>581324.19044200005</v>
      </c>
      <c r="Q82" s="47">
        <f t="shared" ca="1" si="49"/>
        <v>28310065.394345723</v>
      </c>
      <c r="R82" s="47">
        <f>'Monthly Data'!BR82</f>
        <v>6124.3480384615395</v>
      </c>
      <c r="S82" s="47">
        <f ca="1">+'Monthly Data'!BS82</f>
        <v>2741.4476361844481</v>
      </c>
      <c r="T82" s="47">
        <f t="shared" ca="1" si="50"/>
        <v>28318931.190020368</v>
      </c>
    </row>
    <row r="83" spans="1:20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Data'!BQ83</f>
        <v>27946596.03713828</v>
      </c>
      <c r="E83" s="3">
        <f t="shared" ref="E83:F83" ca="1" si="85">E71</f>
        <v>130.19639492753623</v>
      </c>
      <c r="F83" s="3">
        <f t="shared" ca="1" si="85"/>
        <v>35.32833333333334</v>
      </c>
      <c r="G83" s="3">
        <f>'Monthly Data'!DQ83</f>
        <v>31</v>
      </c>
      <c r="H83" s="3">
        <f>'Monthly Data'!EJ83</f>
        <v>0.5</v>
      </c>
      <c r="I83">
        <f>'Monthly Data'!EF83</f>
        <v>1</v>
      </c>
      <c r="K83" s="3">
        <f t="shared" si="63"/>
        <v>14171159.489767401</v>
      </c>
      <c r="L83" s="3">
        <f t="shared" ca="1" si="64"/>
        <v>1076550.1475946987</v>
      </c>
      <c r="M83" s="3">
        <f t="shared" ca="1" si="65"/>
        <v>576530.57582989987</v>
      </c>
      <c r="N83" s="3">
        <f t="shared" si="66"/>
        <v>12751836.461500322</v>
      </c>
      <c r="O83" s="3">
        <f t="shared" si="67"/>
        <v>-1458381.58673545</v>
      </c>
      <c r="P83" s="3">
        <f t="shared" si="68"/>
        <v>581324.19044200005</v>
      </c>
      <c r="Q83" s="47">
        <f t="shared" ca="1" si="49"/>
        <v>27699019.278398875</v>
      </c>
      <c r="R83" s="47">
        <f>'Monthly Data'!BR83</f>
        <v>6299.4806538461553</v>
      </c>
      <c r="S83" s="47">
        <f ca="1">+'Monthly Data'!BS83</f>
        <v>9210.8439506720697</v>
      </c>
      <c r="T83" s="47">
        <f t="shared" ca="1" si="50"/>
        <v>27714529.60300339</v>
      </c>
    </row>
    <row r="84" spans="1:20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Data'!BQ84</f>
        <v>28645834.94415316</v>
      </c>
      <c r="E84" s="3">
        <f t="shared" ref="E84:F84" ca="1" si="86">E72</f>
        <v>307.43824722379077</v>
      </c>
      <c r="F84" s="3">
        <f t="shared" ca="1" si="86"/>
        <v>2.2779166666666657</v>
      </c>
      <c r="G84" s="3">
        <f>'Monthly Data'!DQ84</f>
        <v>30</v>
      </c>
      <c r="H84" s="3">
        <f>'Monthly Data'!EJ84</f>
        <v>0.5</v>
      </c>
      <c r="I84">
        <f>'Monthly Data'!EF84</f>
        <v>1</v>
      </c>
      <c r="K84" s="3">
        <f t="shared" si="63"/>
        <v>14171159.489767401</v>
      </c>
      <c r="L84" s="3">
        <f t="shared" ca="1" si="64"/>
        <v>2542103.3401826355</v>
      </c>
      <c r="M84" s="3">
        <f t="shared" ca="1" si="65"/>
        <v>37173.805940251688</v>
      </c>
      <c r="N84" s="3">
        <f t="shared" si="66"/>
        <v>12340486.89822612</v>
      </c>
      <c r="O84" s="3">
        <f t="shared" si="67"/>
        <v>-1458381.58673545</v>
      </c>
      <c r="P84" s="3">
        <f t="shared" si="68"/>
        <v>581324.19044200005</v>
      </c>
      <c r="Q84" s="47">
        <f t="shared" ca="1" si="49"/>
        <v>28213866.13782296</v>
      </c>
      <c r="R84" s="47">
        <f>'Monthly Data'!BR84</f>
        <v>6474.613269230771</v>
      </c>
      <c r="S84" s="47">
        <f ca="1">+'Monthly Data'!BS84</f>
        <v>26785.572531277692</v>
      </c>
      <c r="T84" s="47">
        <f t="shared" ca="1" si="50"/>
        <v>28247126.323623471</v>
      </c>
    </row>
    <row r="85" spans="1:20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Data'!BQ85</f>
        <v>30267892.201168038</v>
      </c>
      <c r="E85" s="3">
        <f t="shared" ref="E85:F85" ca="1" si="87">E73</f>
        <v>453.92800724637681</v>
      </c>
      <c r="F85" s="3">
        <f t="shared" ca="1" si="87"/>
        <v>0</v>
      </c>
      <c r="G85" s="3">
        <f>'Monthly Data'!DQ85</f>
        <v>31</v>
      </c>
      <c r="H85" s="3">
        <f>'Monthly Data'!EJ85</f>
        <v>0.5</v>
      </c>
      <c r="I85">
        <f>'Monthly Data'!EF85</f>
        <v>0</v>
      </c>
      <c r="K85" s="3">
        <f t="shared" si="63"/>
        <v>14171159.489767401</v>
      </c>
      <c r="L85" s="3">
        <f t="shared" ca="1" si="64"/>
        <v>3753377.8371546944</v>
      </c>
      <c r="M85" s="3">
        <f t="shared" ca="1" si="65"/>
        <v>0</v>
      </c>
      <c r="N85" s="3">
        <f t="shared" si="66"/>
        <v>12751836.461500322</v>
      </c>
      <c r="O85" s="3">
        <f t="shared" si="67"/>
        <v>-1458381.58673545</v>
      </c>
      <c r="P85" s="3">
        <f t="shared" si="68"/>
        <v>0</v>
      </c>
      <c r="Q85" s="47">
        <f t="shared" ca="1" si="49"/>
        <v>29217992.201686971</v>
      </c>
      <c r="R85" s="47">
        <f>'Monthly Data'!BR85</f>
        <v>6649.7458846153859</v>
      </c>
      <c r="S85" s="47">
        <f ca="1">+'Monthly Data'!BS85</f>
        <v>31990.890955460422</v>
      </c>
      <c r="T85" s="47">
        <f t="shared" ca="1" si="50"/>
        <v>29256632.838527046</v>
      </c>
    </row>
    <row r="86" spans="1:20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Data'!BQ86</f>
        <v>31854856.03099012</v>
      </c>
      <c r="E86" s="3">
        <f t="shared" ref="E86:F86" ca="1" si="88">E74</f>
        <v>573.33418478260865</v>
      </c>
      <c r="F86" s="3">
        <f t="shared" ca="1" si="88"/>
        <v>0</v>
      </c>
      <c r="G86" s="3">
        <f>'Monthly Data'!DQ86</f>
        <v>31</v>
      </c>
      <c r="H86" s="3">
        <f>'Monthly Data'!EJ86</f>
        <v>0.25</v>
      </c>
      <c r="I86">
        <f>'Monthly Data'!EF86</f>
        <v>0</v>
      </c>
      <c r="K86" s="3">
        <f t="shared" si="63"/>
        <v>14171159.489767401</v>
      </c>
      <c r="L86" s="3">
        <f t="shared" ca="1" si="64"/>
        <v>4740707.3106158823</v>
      </c>
      <c r="M86" s="3">
        <f t="shared" ca="1" si="65"/>
        <v>0</v>
      </c>
      <c r="N86" s="3">
        <f t="shared" si="66"/>
        <v>12751836.461500322</v>
      </c>
      <c r="O86" s="3">
        <f t="shared" si="67"/>
        <v>-729190.79336772498</v>
      </c>
      <c r="P86" s="3">
        <f t="shared" si="68"/>
        <v>0</v>
      </c>
      <c r="Q86" s="47">
        <f t="shared" ref="Q86:Q108" ca="1" si="89">SUM(K86:P86)</f>
        <v>30934512.468515884</v>
      </c>
      <c r="R86" s="47">
        <f>'Monthly Data'!BR86</f>
        <v>7189.4658974358972</v>
      </c>
      <c r="S86" s="47">
        <f ca="1">+'Monthly Data'!BS86</f>
        <v>71865.238769964417</v>
      </c>
      <c r="T86" s="47">
        <f t="shared" ca="1" si="50"/>
        <v>31013567.173183285</v>
      </c>
    </row>
    <row r="87" spans="1:20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Data'!BQ87</f>
        <v>29443816.856110644</v>
      </c>
      <c r="E87" s="3">
        <f t="shared" ref="E87:F87" ca="1" si="90">E75</f>
        <v>511.05501811594206</v>
      </c>
      <c r="F87" s="3">
        <f t="shared" ca="1" si="90"/>
        <v>0</v>
      </c>
      <c r="G87" s="3">
        <f>'Monthly Data'!DQ87</f>
        <v>28</v>
      </c>
      <c r="H87" s="3">
        <f>'Monthly Data'!EJ87</f>
        <v>0.25</v>
      </c>
      <c r="I87">
        <f>'Monthly Data'!EF87</f>
        <v>0</v>
      </c>
      <c r="K87" s="3">
        <f t="shared" si="63"/>
        <v>14171159.489767401</v>
      </c>
      <c r="L87" s="3">
        <f t="shared" ca="1" si="64"/>
        <v>4225741.8532052441</v>
      </c>
      <c r="M87" s="3">
        <f t="shared" ca="1" si="65"/>
        <v>0</v>
      </c>
      <c r="N87" s="3">
        <f t="shared" si="66"/>
        <v>11517787.771677712</v>
      </c>
      <c r="O87" s="3">
        <f t="shared" si="67"/>
        <v>-729190.79336772498</v>
      </c>
      <c r="P87" s="3">
        <f t="shared" si="68"/>
        <v>0</v>
      </c>
      <c r="Q87" s="47">
        <f t="shared" ca="1" si="89"/>
        <v>29185498.321282629</v>
      </c>
      <c r="R87" s="47">
        <f>'Monthly Data'!BR87</f>
        <v>7554.0532948717946</v>
      </c>
      <c r="S87" s="47">
        <f ca="1">+'Monthly Data'!BS87</f>
        <v>55442.567331370417</v>
      </c>
      <c r="T87" s="47">
        <f t="shared" ca="1" si="50"/>
        <v>29248494.94190887</v>
      </c>
    </row>
    <row r="88" spans="1:20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Data'!BQ88</f>
        <v>31092110.021231167</v>
      </c>
      <c r="E88" s="3">
        <f t="shared" ref="E88:F88" ca="1" si="91">E76</f>
        <v>422.13298913043479</v>
      </c>
      <c r="F88" s="3">
        <f t="shared" ca="1" si="91"/>
        <v>2.9583333333332896E-2</v>
      </c>
      <c r="G88" s="3">
        <f>'Monthly Data'!DQ88</f>
        <v>31</v>
      </c>
      <c r="H88" s="3">
        <f>'Monthly Data'!EJ88</f>
        <v>0.25</v>
      </c>
      <c r="I88">
        <f>'Monthly Data'!EF88</f>
        <v>0</v>
      </c>
      <c r="K88" s="3">
        <f t="shared" si="63"/>
        <v>14171159.489767401</v>
      </c>
      <c r="L88" s="3">
        <f t="shared" ca="1" si="64"/>
        <v>3490475.5389417186</v>
      </c>
      <c r="M88" s="3">
        <f t="shared" ca="1" si="65"/>
        <v>482.77670052274232</v>
      </c>
      <c r="N88" s="3">
        <f t="shared" si="66"/>
        <v>12751836.461500322</v>
      </c>
      <c r="O88" s="3">
        <f t="shared" si="67"/>
        <v>-729190.79336772498</v>
      </c>
      <c r="P88" s="3">
        <f t="shared" si="68"/>
        <v>0</v>
      </c>
      <c r="Q88" s="47">
        <f t="shared" ca="1" si="89"/>
        <v>29684763.47354224</v>
      </c>
      <c r="R88" s="47">
        <f>'Monthly Data'!BR88</f>
        <v>7918.640692307692</v>
      </c>
      <c r="S88" s="47">
        <f ca="1">+'Monthly Data'!BS88</f>
        <v>47422.032627594468</v>
      </c>
      <c r="T88" s="47">
        <f t="shared" ca="1" si="50"/>
        <v>29740104.146862142</v>
      </c>
    </row>
    <row r="89" spans="1:20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Data'!BQ89</f>
        <v>27951904.86635169</v>
      </c>
      <c r="E89" s="3">
        <f t="shared" ref="E89:F89" ca="1" si="92">E77</f>
        <v>234.57024621212122</v>
      </c>
      <c r="F89" s="3">
        <f t="shared" ca="1" si="92"/>
        <v>5.6420833333333338</v>
      </c>
      <c r="G89" s="3">
        <f>'Monthly Data'!DQ89</f>
        <v>30</v>
      </c>
      <c r="H89" s="3">
        <f>'Monthly Data'!EJ89</f>
        <v>0.25</v>
      </c>
      <c r="I89">
        <f>'Monthly Data'!EF89</f>
        <v>0</v>
      </c>
      <c r="K89" s="3">
        <f t="shared" si="63"/>
        <v>14171159.489767401</v>
      </c>
      <c r="L89" s="3">
        <f t="shared" ca="1" si="64"/>
        <v>1939582.3772350482</v>
      </c>
      <c r="M89" s="3">
        <f t="shared" ca="1" si="65"/>
        <v>92074.356363078172</v>
      </c>
      <c r="N89" s="3">
        <f t="shared" si="66"/>
        <v>12340486.89822612</v>
      </c>
      <c r="O89" s="3">
        <f t="shared" si="67"/>
        <v>-729190.79336772498</v>
      </c>
      <c r="P89" s="3">
        <f t="shared" si="68"/>
        <v>0</v>
      </c>
      <c r="Q89" s="47">
        <f t="shared" ca="1" si="89"/>
        <v>27814112.328223921</v>
      </c>
      <c r="R89" s="47">
        <f>'Monthly Data'!BR89</f>
        <v>8283.2280897435885</v>
      </c>
      <c r="S89" s="47">
        <f ca="1">+'Monthly Data'!BS89</f>
        <v>30847.373307815422</v>
      </c>
      <c r="T89" s="47">
        <f t="shared" ca="1" si="50"/>
        <v>27853242.92962148</v>
      </c>
    </row>
    <row r="90" spans="1:20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Data'!BQ90</f>
        <v>28052966.62147221</v>
      </c>
      <c r="E90" s="3">
        <f t="shared" ref="E90:F90" ca="1" si="93">E78</f>
        <v>64.294809115179262</v>
      </c>
      <c r="F90" s="3">
        <f t="shared" ca="1" si="93"/>
        <v>86.191046176046171</v>
      </c>
      <c r="G90" s="3">
        <f>'Monthly Data'!DQ90</f>
        <v>31</v>
      </c>
      <c r="H90" s="3">
        <f>'Monthly Data'!EJ90</f>
        <v>0.25</v>
      </c>
      <c r="I90">
        <f>'Monthly Data'!EF90</f>
        <v>0</v>
      </c>
      <c r="K90" s="3">
        <f t="shared" si="63"/>
        <v>14171159.489767401</v>
      </c>
      <c r="L90" s="3">
        <f t="shared" ca="1" si="64"/>
        <v>531632.1260741764</v>
      </c>
      <c r="M90" s="3">
        <f t="shared" ca="1" si="65"/>
        <v>1406569.9905625524</v>
      </c>
      <c r="N90" s="3">
        <f t="shared" si="66"/>
        <v>12751836.461500322</v>
      </c>
      <c r="O90" s="3">
        <f t="shared" si="67"/>
        <v>-729190.79336772498</v>
      </c>
      <c r="P90" s="3">
        <f t="shared" si="68"/>
        <v>0</v>
      </c>
      <c r="Q90" s="47">
        <f t="shared" ca="1" si="89"/>
        <v>28132007.274536725</v>
      </c>
      <c r="R90" s="47">
        <f>'Monthly Data'!BR90</f>
        <v>8647.8154871794868</v>
      </c>
      <c r="S90" s="47">
        <f ca="1">+'Monthly Data'!BS90</f>
        <v>9533.5214637347708</v>
      </c>
      <c r="T90" s="47">
        <f t="shared" ca="1" si="50"/>
        <v>28150188.611487638</v>
      </c>
    </row>
    <row r="91" spans="1:20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Data'!BQ91</f>
        <v>28697392.686592735</v>
      </c>
      <c r="E91" s="3">
        <f t="shared" ref="E91:F91" ca="1" si="94">E79</f>
        <v>3.2341666666666669</v>
      </c>
      <c r="F91" s="3">
        <f t="shared" ca="1" si="94"/>
        <v>194.94285087738348</v>
      </c>
      <c r="G91" s="3">
        <f>'Monthly Data'!DQ91</f>
        <v>30</v>
      </c>
      <c r="H91" s="3">
        <f>'Monthly Data'!EJ91</f>
        <v>0.25</v>
      </c>
      <c r="I91">
        <f>'Monthly Data'!EF91</f>
        <v>0</v>
      </c>
      <c r="K91" s="3">
        <f t="shared" si="63"/>
        <v>14171159.489767401</v>
      </c>
      <c r="L91" s="3">
        <f t="shared" ca="1" si="64"/>
        <v>26742.235100163085</v>
      </c>
      <c r="M91" s="3">
        <f t="shared" ca="1" si="65"/>
        <v>3181313.7916759965</v>
      </c>
      <c r="N91" s="3">
        <f t="shared" si="66"/>
        <v>12340486.89822612</v>
      </c>
      <c r="O91" s="3">
        <f t="shared" si="67"/>
        <v>-729190.79336772498</v>
      </c>
      <c r="P91" s="3">
        <f t="shared" si="68"/>
        <v>0</v>
      </c>
      <c r="Q91" s="47">
        <f t="shared" ca="1" si="89"/>
        <v>28990511.621401954</v>
      </c>
      <c r="R91" s="47">
        <f>'Monthly Data'!BR91</f>
        <v>9012.4028846153851</v>
      </c>
      <c r="S91" s="47">
        <f ca="1">+'Monthly Data'!BS91</f>
        <v>3148.5659427635865</v>
      </c>
      <c r="T91" s="47">
        <f t="shared" ca="1" si="50"/>
        <v>29002672.590229332</v>
      </c>
    </row>
    <row r="92" spans="1:20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Data'!BQ92</f>
        <v>31120710.961713254</v>
      </c>
      <c r="E92" s="3">
        <f t="shared" ref="E92:F92" ca="1" si="95">E80</f>
        <v>0</v>
      </c>
      <c r="F92" s="3">
        <f t="shared" ca="1" si="95"/>
        <v>297.94737858727848</v>
      </c>
      <c r="G92" s="3">
        <f>'Monthly Data'!DQ92</f>
        <v>31</v>
      </c>
      <c r="H92" s="3">
        <f>'Monthly Data'!EJ92</f>
        <v>0.25</v>
      </c>
      <c r="I92">
        <f>'Monthly Data'!EF92</f>
        <v>0</v>
      </c>
      <c r="K92" s="3">
        <f t="shared" si="63"/>
        <v>14171159.489767401</v>
      </c>
      <c r="L92" s="3">
        <f t="shared" ca="1" si="64"/>
        <v>0</v>
      </c>
      <c r="M92" s="3">
        <f t="shared" ca="1" si="65"/>
        <v>4862266.5587752834</v>
      </c>
      <c r="N92" s="3">
        <f t="shared" si="66"/>
        <v>12751836.461500322</v>
      </c>
      <c r="O92" s="3">
        <f t="shared" si="67"/>
        <v>-729190.79336772498</v>
      </c>
      <c r="P92" s="3">
        <f t="shared" si="68"/>
        <v>0</v>
      </c>
      <c r="Q92" s="47">
        <f t="shared" ca="1" si="89"/>
        <v>31056071.716675285</v>
      </c>
      <c r="R92" s="47">
        <f>'Monthly Data'!BR92</f>
        <v>9376.9902820512816</v>
      </c>
      <c r="S92" s="47">
        <f ca="1">+'Monthly Data'!BS92</f>
        <v>54.048196411859131</v>
      </c>
      <c r="T92" s="47">
        <f t="shared" ca="1" si="50"/>
        <v>31065502.755153749</v>
      </c>
    </row>
    <row r="93" spans="1:20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Data'!BQ93</f>
        <v>32564028.696833782</v>
      </c>
      <c r="E93" s="3">
        <f t="shared" ref="E93:F93" ca="1" si="96">E81</f>
        <v>0</v>
      </c>
      <c r="F93" s="3">
        <f t="shared" ca="1" si="96"/>
        <v>272.96558794466404</v>
      </c>
      <c r="G93" s="3">
        <f>'Monthly Data'!DQ93</f>
        <v>31</v>
      </c>
      <c r="H93" s="3">
        <f>'Monthly Data'!EJ93</f>
        <v>0.25</v>
      </c>
      <c r="I93">
        <f>'Monthly Data'!EF93</f>
        <v>0</v>
      </c>
      <c r="K93" s="3">
        <f t="shared" si="63"/>
        <v>14171159.489767401</v>
      </c>
      <c r="L93" s="3">
        <f t="shared" ca="1" si="64"/>
        <v>0</v>
      </c>
      <c r="M93" s="3">
        <f t="shared" ca="1" si="65"/>
        <v>4454583.4108454296</v>
      </c>
      <c r="N93" s="3">
        <f t="shared" si="66"/>
        <v>12751836.461500322</v>
      </c>
      <c r="O93" s="3">
        <f t="shared" si="67"/>
        <v>-729190.79336772498</v>
      </c>
      <c r="P93" s="3">
        <f t="shared" si="68"/>
        <v>0</v>
      </c>
      <c r="Q93" s="47">
        <f t="shared" ca="1" si="89"/>
        <v>30648388.568745431</v>
      </c>
      <c r="R93" s="47">
        <f>'Monthly Data'!BR93</f>
        <v>9741.5776794871781</v>
      </c>
      <c r="S93" s="47">
        <f ca="1">+'Monthly Data'!BS93</f>
        <v>66.381341901813784</v>
      </c>
      <c r="T93" s="47">
        <f t="shared" ca="1" si="50"/>
        <v>30658196.52776682</v>
      </c>
    </row>
    <row r="94" spans="1:20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Data'!BQ94</f>
        <v>29097166.971954301</v>
      </c>
      <c r="E94" s="3">
        <f t="shared" ref="E94:F94" ca="1" si="97">E82</f>
        <v>10.413369565217392</v>
      </c>
      <c r="F94" s="3">
        <f t="shared" ca="1" si="97"/>
        <v>158.67014233954447</v>
      </c>
      <c r="G94" s="3">
        <f>'Monthly Data'!DQ94</f>
        <v>30</v>
      </c>
      <c r="H94" s="3">
        <f>'Monthly Data'!EJ94</f>
        <v>0.25</v>
      </c>
      <c r="I94">
        <f>'Monthly Data'!EF94</f>
        <v>1</v>
      </c>
      <c r="K94" s="3">
        <f t="shared" si="63"/>
        <v>14171159.489767401</v>
      </c>
      <c r="L94" s="3">
        <f t="shared" ca="1" si="64"/>
        <v>86104.646358544662</v>
      </c>
      <c r="M94" s="3">
        <f t="shared" ca="1" si="65"/>
        <v>2589371.7562871082</v>
      </c>
      <c r="N94" s="3">
        <f t="shared" si="66"/>
        <v>12340486.89822612</v>
      </c>
      <c r="O94" s="3">
        <f t="shared" si="67"/>
        <v>-729190.79336772498</v>
      </c>
      <c r="P94" s="3">
        <f t="shared" si="68"/>
        <v>581324.19044200005</v>
      </c>
      <c r="Q94" s="47">
        <f t="shared" ca="1" si="89"/>
        <v>29039256.187713448</v>
      </c>
      <c r="R94" s="47">
        <f>'Monthly Data'!BR94</f>
        <v>10106.165076923076</v>
      </c>
      <c r="S94" s="47">
        <f ca="1">+'Monthly Data'!BS94</f>
        <v>6216.9935456567318</v>
      </c>
      <c r="T94" s="47">
        <f t="shared" ca="1" si="50"/>
        <v>29055579.346336026</v>
      </c>
    </row>
    <row r="95" spans="1:20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Data'!BQ95</f>
        <v>28193029.677074824</v>
      </c>
      <c r="E95" s="3">
        <f t="shared" ref="E95:F95" ca="1" si="98">E83</f>
        <v>130.19639492753623</v>
      </c>
      <c r="F95" s="3">
        <f t="shared" ca="1" si="98"/>
        <v>35.32833333333334</v>
      </c>
      <c r="G95" s="3">
        <f>'Monthly Data'!DQ95</f>
        <v>31</v>
      </c>
      <c r="H95" s="3">
        <f>'Monthly Data'!EJ95</f>
        <v>0.25</v>
      </c>
      <c r="I95">
        <f>'Monthly Data'!EF95</f>
        <v>1</v>
      </c>
      <c r="K95" s="3">
        <f t="shared" si="63"/>
        <v>14171159.489767401</v>
      </c>
      <c r="L95" s="3">
        <f t="shared" ca="1" si="64"/>
        <v>1076550.1475946987</v>
      </c>
      <c r="M95" s="3">
        <f t="shared" ca="1" si="65"/>
        <v>576530.57582989987</v>
      </c>
      <c r="N95" s="3">
        <f t="shared" si="66"/>
        <v>12751836.461500322</v>
      </c>
      <c r="O95" s="3">
        <f t="shared" si="67"/>
        <v>-729190.79336772498</v>
      </c>
      <c r="P95" s="3">
        <f t="shared" si="68"/>
        <v>581324.19044200005</v>
      </c>
      <c r="Q95" s="47">
        <f t="shared" ca="1" si="89"/>
        <v>28428210.0717666</v>
      </c>
      <c r="R95" s="47">
        <f>'Monthly Data'!BR95</f>
        <v>10470.752474358973</v>
      </c>
      <c r="S95" s="47">
        <f ca="1">+'Monthly Data'!BS95</f>
        <v>23405.897133207203</v>
      </c>
      <c r="T95" s="47">
        <f t="shared" ca="1" si="50"/>
        <v>28462086.721374169</v>
      </c>
    </row>
    <row r="96" spans="1:20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Data'!BQ96</f>
        <v>29262681.72219535</v>
      </c>
      <c r="E96" s="3">
        <f t="shared" ref="E96:F96" ca="1" si="99">E84</f>
        <v>307.43824722379077</v>
      </c>
      <c r="F96" s="3">
        <f t="shared" ca="1" si="99"/>
        <v>2.2779166666666657</v>
      </c>
      <c r="G96" s="3">
        <f>'Monthly Data'!DQ96</f>
        <v>30</v>
      </c>
      <c r="H96" s="3">
        <f>'Monthly Data'!EJ96</f>
        <v>0.25</v>
      </c>
      <c r="I96">
        <f>'Monthly Data'!EF96</f>
        <v>1</v>
      </c>
      <c r="K96" s="3">
        <f t="shared" si="63"/>
        <v>14171159.489767401</v>
      </c>
      <c r="L96" s="3">
        <f t="shared" ca="1" si="64"/>
        <v>2542103.3401826355</v>
      </c>
      <c r="M96" s="3">
        <f t="shared" ca="1" si="65"/>
        <v>37173.805940251688</v>
      </c>
      <c r="N96" s="3">
        <f t="shared" si="66"/>
        <v>12340486.89822612</v>
      </c>
      <c r="O96" s="3">
        <f t="shared" si="67"/>
        <v>-729190.79336772498</v>
      </c>
      <c r="P96" s="3">
        <f t="shared" si="68"/>
        <v>581324.19044200005</v>
      </c>
      <c r="Q96" s="47">
        <f t="shared" ca="1" si="89"/>
        <v>28943056.931190684</v>
      </c>
      <c r="R96" s="47">
        <f>'Monthly Data'!BR96</f>
        <v>10835.339871794871</v>
      </c>
      <c r="S96" s="47">
        <f ca="1">+'Monthly Data'!BS96</f>
        <v>35853.179418444</v>
      </c>
      <c r="T96" s="47">
        <f t="shared" ca="1" si="50"/>
        <v>28989745.450480923</v>
      </c>
    </row>
    <row r="97" spans="1:20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Data'!BQ97</f>
        <v>31117470.75731587</v>
      </c>
      <c r="E97" s="3">
        <f t="shared" ref="E97:F97" ca="1" si="100">E85</f>
        <v>453.92800724637681</v>
      </c>
      <c r="F97" s="3">
        <f t="shared" ca="1" si="100"/>
        <v>0</v>
      </c>
      <c r="G97" s="3">
        <f>'Monthly Data'!DQ97</f>
        <v>31</v>
      </c>
      <c r="H97" s="3">
        <f>'Monthly Data'!EJ97</f>
        <v>0.25</v>
      </c>
      <c r="I97">
        <f>'Monthly Data'!EF97</f>
        <v>0</v>
      </c>
      <c r="K97" s="3">
        <f t="shared" si="63"/>
        <v>14171159.489767401</v>
      </c>
      <c r="L97" s="3">
        <f t="shared" ca="1" si="64"/>
        <v>3753377.8371546944</v>
      </c>
      <c r="M97" s="3">
        <f t="shared" ca="1" si="65"/>
        <v>0</v>
      </c>
      <c r="N97" s="3">
        <f t="shared" si="66"/>
        <v>12751836.461500322</v>
      </c>
      <c r="O97" s="3">
        <f t="shared" si="67"/>
        <v>-729190.79336772498</v>
      </c>
      <c r="P97" s="3">
        <f t="shared" si="68"/>
        <v>0</v>
      </c>
      <c r="Q97" s="47">
        <f t="shared" ca="1" si="89"/>
        <v>29947182.995054696</v>
      </c>
      <c r="R97" s="47">
        <f>'Monthly Data'!BR97</f>
        <v>11199.927269230768</v>
      </c>
      <c r="S97" s="47">
        <f ca="1">+'Monthly Data'!BS97</f>
        <v>50939.155529670883</v>
      </c>
      <c r="T97" s="47">
        <f t="shared" ca="1" si="50"/>
        <v>30009322.077853598</v>
      </c>
    </row>
    <row r="98" spans="1:20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Data'!BQ98</f>
        <v>31783693.030599564</v>
      </c>
      <c r="E98" s="3">
        <f t="shared" ref="E98:F98" ca="1" si="101">E86</f>
        <v>573.33418478260865</v>
      </c>
      <c r="F98" s="3">
        <f t="shared" ca="1" si="101"/>
        <v>0</v>
      </c>
      <c r="G98" s="3">
        <f>'Monthly Data'!DQ98</f>
        <v>31</v>
      </c>
      <c r="H98" s="3">
        <f>'Monthly Data'!EJ98</f>
        <v>0</v>
      </c>
      <c r="I98">
        <f>'Monthly Data'!EF98</f>
        <v>0</v>
      </c>
      <c r="K98" s="3">
        <f t="shared" si="63"/>
        <v>14171159.489767401</v>
      </c>
      <c r="L98" s="3">
        <f t="shared" ca="1" si="64"/>
        <v>4740707.3106158823</v>
      </c>
      <c r="M98" s="3">
        <f t="shared" ca="1" si="65"/>
        <v>0</v>
      </c>
      <c r="N98" s="3">
        <f t="shared" si="66"/>
        <v>12751836.461500322</v>
      </c>
      <c r="O98" s="3">
        <f t="shared" si="67"/>
        <v>0</v>
      </c>
      <c r="P98" s="3">
        <f t="shared" si="68"/>
        <v>0</v>
      </c>
      <c r="Q98" s="47">
        <f t="shared" ca="1" si="89"/>
        <v>31663703.261883609</v>
      </c>
      <c r="R98" s="47">
        <f>'Monthly Data'!BR98</f>
        <v>12088.223589743591</v>
      </c>
      <c r="S98" s="47">
        <f ca="1">+'Monthly Data'!BS98</f>
        <v>70479.586956978077</v>
      </c>
      <c r="T98" s="47">
        <f t="shared" ca="1" si="50"/>
        <v>31746271.072430331</v>
      </c>
    </row>
    <row r="99" spans="1:20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Data'!BQ99</f>
        <v>29895600.29545911</v>
      </c>
      <c r="E99" s="3">
        <f t="shared" ref="E99:F99" ca="1" si="102">E87</f>
        <v>511.05501811594206</v>
      </c>
      <c r="F99" s="3">
        <f t="shared" ca="1" si="102"/>
        <v>0</v>
      </c>
      <c r="G99" s="3">
        <f>'Monthly Data'!DQ99</f>
        <v>28</v>
      </c>
      <c r="H99" s="3">
        <f>'Monthly Data'!EJ99</f>
        <v>0</v>
      </c>
      <c r="I99">
        <f>'Monthly Data'!EF99</f>
        <v>0</v>
      </c>
      <c r="K99" s="3">
        <f t="shared" si="63"/>
        <v>14171159.489767401</v>
      </c>
      <c r="L99" s="3">
        <f t="shared" ca="1" si="64"/>
        <v>4225741.8532052441</v>
      </c>
      <c r="M99" s="3">
        <f t="shared" ca="1" si="65"/>
        <v>0</v>
      </c>
      <c r="N99" s="3">
        <f t="shared" si="66"/>
        <v>11517787.771677712</v>
      </c>
      <c r="O99" s="3">
        <f t="shared" si="67"/>
        <v>0</v>
      </c>
      <c r="P99" s="3">
        <f t="shared" si="68"/>
        <v>0</v>
      </c>
      <c r="Q99" s="47">
        <f t="shared" ca="1" si="89"/>
        <v>29914689.114650354</v>
      </c>
      <c r="R99" s="47">
        <f>'Monthly Data'!BR99</f>
        <v>12611.932512820515</v>
      </c>
      <c r="S99" s="47">
        <f ca="1">+'Monthly Data'!BS99</f>
        <v>66904.975791795587</v>
      </c>
      <c r="T99" s="47">
        <f t="shared" ca="1" si="50"/>
        <v>29994206.022954971</v>
      </c>
    </row>
    <row r="100" spans="1:20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Data'!BQ100</f>
        <v>31308960.980318651</v>
      </c>
      <c r="E100" s="3">
        <f t="shared" ref="E100:F100" ca="1" si="103">E88</f>
        <v>422.13298913043479</v>
      </c>
      <c r="F100" s="3">
        <f t="shared" ca="1" si="103"/>
        <v>2.9583333333332896E-2</v>
      </c>
      <c r="G100" s="3">
        <f>'Monthly Data'!DQ100</f>
        <v>31</v>
      </c>
      <c r="H100" s="3">
        <f>'Monthly Data'!EJ100</f>
        <v>0</v>
      </c>
      <c r="I100">
        <f>'Monthly Data'!EF100</f>
        <v>0</v>
      </c>
      <c r="K100" s="3">
        <f t="shared" si="63"/>
        <v>14171159.489767401</v>
      </c>
      <c r="L100" s="3">
        <f t="shared" ca="1" si="64"/>
        <v>3490475.5389417186</v>
      </c>
      <c r="M100" s="3">
        <f t="shared" ca="1" si="65"/>
        <v>482.77670052274232</v>
      </c>
      <c r="N100" s="3">
        <f t="shared" si="66"/>
        <v>12751836.461500322</v>
      </c>
      <c r="O100" s="3">
        <f t="shared" si="67"/>
        <v>0</v>
      </c>
      <c r="P100" s="3">
        <f t="shared" si="68"/>
        <v>0</v>
      </c>
      <c r="Q100" s="47">
        <f t="shared" ca="1" si="89"/>
        <v>30413954.266909964</v>
      </c>
      <c r="R100" s="47">
        <f>'Monthly Data'!BR100</f>
        <v>13135.641435897436</v>
      </c>
      <c r="S100" s="47">
        <f ca="1">+'Monthly Data'!BS100</f>
        <v>64291.469790976749</v>
      </c>
      <c r="T100" s="47">
        <f t="shared" ca="1" si="50"/>
        <v>30491381.37813684</v>
      </c>
    </row>
    <row r="101" spans="1:20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Data'!BQ101</f>
        <v>27567578.815178193</v>
      </c>
      <c r="E101" s="3">
        <f t="shared" ref="E101:F101" ca="1" si="104">E89</f>
        <v>234.57024621212122</v>
      </c>
      <c r="F101" s="3">
        <f t="shared" ca="1" si="104"/>
        <v>5.6420833333333338</v>
      </c>
      <c r="G101" s="3">
        <f>'Monthly Data'!DQ101</f>
        <v>30</v>
      </c>
      <c r="H101" s="3">
        <f>'Monthly Data'!EJ101</f>
        <v>0</v>
      </c>
      <c r="I101">
        <f>'Monthly Data'!EF101</f>
        <v>0</v>
      </c>
      <c r="K101" s="3">
        <f t="shared" si="63"/>
        <v>14171159.489767401</v>
      </c>
      <c r="L101" s="3">
        <f t="shared" ca="1" si="64"/>
        <v>1939582.3772350482</v>
      </c>
      <c r="M101" s="3">
        <f t="shared" ca="1" si="65"/>
        <v>92074.356363078172</v>
      </c>
      <c r="N101" s="3">
        <f t="shared" si="66"/>
        <v>12340486.89822612</v>
      </c>
      <c r="O101" s="3">
        <f t="shared" si="67"/>
        <v>0</v>
      </c>
      <c r="P101" s="3">
        <f t="shared" si="68"/>
        <v>0</v>
      </c>
      <c r="Q101" s="47">
        <f t="shared" ca="1" si="89"/>
        <v>28543303.121591646</v>
      </c>
      <c r="R101" s="47">
        <f>'Monthly Data'!BR101</f>
        <v>13659.35035897436</v>
      </c>
      <c r="S101" s="47">
        <f ca="1">+'Monthly Data'!BS101</f>
        <v>35165.656636017891</v>
      </c>
      <c r="T101" s="47">
        <f t="shared" ca="1" si="50"/>
        <v>28592128.128586639</v>
      </c>
    </row>
    <row r="102" spans="1:20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Data'!BQ102</f>
        <v>28278825.080037739</v>
      </c>
      <c r="E102" s="3">
        <f t="shared" ref="E102:F102" ca="1" si="105">E90</f>
        <v>64.294809115179262</v>
      </c>
      <c r="F102" s="3">
        <f t="shared" ca="1" si="105"/>
        <v>86.191046176046171</v>
      </c>
      <c r="G102" s="3">
        <f>'Monthly Data'!DQ102</f>
        <v>31</v>
      </c>
      <c r="H102" s="3">
        <f>'Monthly Data'!EJ102</f>
        <v>0</v>
      </c>
      <c r="I102">
        <f>'Monthly Data'!EF102</f>
        <v>0</v>
      </c>
      <c r="K102" s="3">
        <f t="shared" si="63"/>
        <v>14171159.489767401</v>
      </c>
      <c r="L102" s="3">
        <f t="shared" ca="1" si="64"/>
        <v>531632.1260741764</v>
      </c>
      <c r="M102" s="3">
        <f t="shared" ca="1" si="65"/>
        <v>1406569.9905625524</v>
      </c>
      <c r="N102" s="3">
        <f t="shared" si="66"/>
        <v>12751836.461500322</v>
      </c>
      <c r="O102" s="3">
        <f t="shared" si="67"/>
        <v>0</v>
      </c>
      <c r="P102" s="3">
        <f t="shared" si="68"/>
        <v>0</v>
      </c>
      <c r="Q102" s="47">
        <f t="shared" ca="1" si="89"/>
        <v>28861198.06790445</v>
      </c>
      <c r="R102" s="47">
        <f>'Monthly Data'!BR102</f>
        <v>14183.059282051283</v>
      </c>
      <c r="S102" s="47">
        <f ca="1">+'Monthly Data'!BS102</f>
        <v>19083.746924208372</v>
      </c>
      <c r="T102" s="47">
        <f t="shared" ca="1" si="50"/>
        <v>28894464.874110706</v>
      </c>
    </row>
    <row r="103" spans="1:20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Data'!BQ103</f>
        <v>29666692.394897282</v>
      </c>
      <c r="E103" s="3">
        <f t="shared" ref="E103:F103" ca="1" si="106">E91</f>
        <v>3.2341666666666669</v>
      </c>
      <c r="F103" s="3">
        <f t="shared" ca="1" si="106"/>
        <v>194.94285087738348</v>
      </c>
      <c r="G103" s="3">
        <f>'Monthly Data'!DQ103</f>
        <v>30</v>
      </c>
      <c r="H103" s="3">
        <f>'Monthly Data'!EJ103</f>
        <v>0</v>
      </c>
      <c r="I103">
        <f>'Monthly Data'!EF103</f>
        <v>0</v>
      </c>
      <c r="K103" s="3">
        <f t="shared" si="63"/>
        <v>14171159.489767401</v>
      </c>
      <c r="L103" s="3">
        <f t="shared" ca="1" si="64"/>
        <v>26742.235100163085</v>
      </c>
      <c r="M103" s="3">
        <f t="shared" ca="1" si="65"/>
        <v>3181313.7916759965</v>
      </c>
      <c r="N103" s="3">
        <f t="shared" si="66"/>
        <v>12340486.89822612</v>
      </c>
      <c r="O103" s="3">
        <f t="shared" si="67"/>
        <v>0</v>
      </c>
      <c r="P103" s="3">
        <f t="shared" si="68"/>
        <v>0</v>
      </c>
      <c r="Q103" s="47">
        <f t="shared" ca="1" si="89"/>
        <v>29719702.414769679</v>
      </c>
      <c r="R103" s="47">
        <f>'Monthly Data'!BR103</f>
        <v>14706.768205128206</v>
      </c>
      <c r="S103" s="47">
        <f ca="1">+'Monthly Data'!BS103</f>
        <v>2501.6930580754811</v>
      </c>
      <c r="T103" s="47">
        <f t="shared" ca="1" si="50"/>
        <v>29736910.876032885</v>
      </c>
    </row>
    <row r="104" spans="1:20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Data'!BQ104</f>
        <v>31689097.029756822</v>
      </c>
      <c r="E104" s="3">
        <f t="shared" ref="E104:F104" ca="1" si="107">E92</f>
        <v>0</v>
      </c>
      <c r="F104" s="3">
        <f t="shared" ca="1" si="107"/>
        <v>297.94737858727848</v>
      </c>
      <c r="G104" s="3">
        <f>'Monthly Data'!DQ104</f>
        <v>31</v>
      </c>
      <c r="H104" s="3">
        <f>'Monthly Data'!EJ104</f>
        <v>0</v>
      </c>
      <c r="I104">
        <f>'Monthly Data'!EF104</f>
        <v>0</v>
      </c>
      <c r="K104" s="3">
        <f t="shared" si="63"/>
        <v>14171159.489767401</v>
      </c>
      <c r="L104" s="3">
        <f t="shared" ca="1" si="64"/>
        <v>0</v>
      </c>
      <c r="M104" s="3">
        <f t="shared" ca="1" si="65"/>
        <v>4862266.5587752834</v>
      </c>
      <c r="N104" s="3">
        <f t="shared" si="66"/>
        <v>12751836.461500322</v>
      </c>
      <c r="O104" s="3">
        <f t="shared" si="67"/>
        <v>0</v>
      </c>
      <c r="P104" s="3">
        <f t="shared" si="68"/>
        <v>0</v>
      </c>
      <c r="Q104" s="47">
        <f t="shared" ca="1" si="89"/>
        <v>31785262.51004301</v>
      </c>
      <c r="R104" s="47">
        <f>'Monthly Data'!BR104</f>
        <v>15230.47712820513</v>
      </c>
      <c r="S104" s="47">
        <f ca="1">+'Monthly Data'!BS104</f>
        <v>14.584296879569049</v>
      </c>
      <c r="T104" s="47">
        <f t="shared" ca="1" si="50"/>
        <v>31800507.571468093</v>
      </c>
    </row>
    <row r="105" spans="1:20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Data'!BQ105</f>
        <v>31359468.704616368</v>
      </c>
      <c r="E105" s="3">
        <f t="shared" ref="E105:F105" ca="1" si="108">E93</f>
        <v>0</v>
      </c>
      <c r="F105" s="3">
        <f t="shared" ca="1" si="108"/>
        <v>272.96558794466404</v>
      </c>
      <c r="G105" s="3">
        <f>'Monthly Data'!DQ105</f>
        <v>31</v>
      </c>
      <c r="H105" s="3">
        <f>'Monthly Data'!EJ105</f>
        <v>0</v>
      </c>
      <c r="I105">
        <f>'Monthly Data'!EF105</f>
        <v>0</v>
      </c>
      <c r="K105" s="3">
        <f t="shared" si="63"/>
        <v>14171159.489767401</v>
      </c>
      <c r="L105" s="3">
        <f t="shared" ca="1" si="64"/>
        <v>0</v>
      </c>
      <c r="M105" s="3">
        <f t="shared" ca="1" si="65"/>
        <v>4454583.4108454296</v>
      </c>
      <c r="N105" s="3">
        <f t="shared" si="66"/>
        <v>12751836.461500322</v>
      </c>
      <c r="O105" s="3">
        <f t="shared" si="67"/>
        <v>0</v>
      </c>
      <c r="P105" s="3">
        <f t="shared" si="68"/>
        <v>0</v>
      </c>
      <c r="Q105" s="47">
        <f t="shared" ca="1" si="89"/>
        <v>31377579.362113155</v>
      </c>
      <c r="R105" s="47">
        <f>'Monthly Data'!BR105</f>
        <v>15754.186051282053</v>
      </c>
      <c r="S105" s="47">
        <f ca="1">+'Monthly Data'!BS105</f>
        <v>1082.1548284640535</v>
      </c>
      <c r="T105" s="47">
        <f t="shared" ca="1" si="50"/>
        <v>31394415.702992901</v>
      </c>
    </row>
    <row r="106" spans="1:20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Data'!BQ106</f>
        <v>29984097.46947591</v>
      </c>
      <c r="E106" s="3">
        <f t="shared" ref="E106:F106" ca="1" si="109">E94</f>
        <v>10.413369565217392</v>
      </c>
      <c r="F106" s="3">
        <f t="shared" ca="1" si="109"/>
        <v>158.67014233954447</v>
      </c>
      <c r="G106" s="3">
        <f>'Monthly Data'!DQ106</f>
        <v>30</v>
      </c>
      <c r="H106" s="3">
        <f>'Monthly Data'!EJ106</f>
        <v>0</v>
      </c>
      <c r="I106">
        <f>'Monthly Data'!EF106</f>
        <v>1</v>
      </c>
      <c r="K106" s="3">
        <f t="shared" si="63"/>
        <v>14171159.489767401</v>
      </c>
      <c r="L106" s="3">
        <f t="shared" ca="1" si="64"/>
        <v>86104.646358544662</v>
      </c>
      <c r="M106" s="3">
        <f t="shared" ca="1" si="65"/>
        <v>2589371.7562871082</v>
      </c>
      <c r="N106" s="3">
        <f t="shared" si="66"/>
        <v>12340486.89822612</v>
      </c>
      <c r="O106" s="3">
        <f t="shared" si="67"/>
        <v>0</v>
      </c>
      <c r="P106" s="3">
        <f t="shared" si="68"/>
        <v>581324.19044200005</v>
      </c>
      <c r="Q106" s="47">
        <f t="shared" ca="1" si="89"/>
        <v>29768446.981081173</v>
      </c>
      <c r="R106" s="47">
        <f>'Monthly Data'!BR106</f>
        <v>16277.894974358976</v>
      </c>
      <c r="S106" s="47">
        <f ca="1">+'Monthly Data'!BS106</f>
        <v>5552.7279652814141</v>
      </c>
      <c r="T106" s="47">
        <f t="shared" ca="1" si="50"/>
        <v>29790277.604020812</v>
      </c>
    </row>
    <row r="107" spans="1:20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Data'!BQ107</f>
        <v>29329714.694335449</v>
      </c>
      <c r="E107" s="3">
        <f t="shared" ref="E107:F107" ca="1" si="110">E95</f>
        <v>130.19639492753623</v>
      </c>
      <c r="F107" s="3">
        <f t="shared" ca="1" si="110"/>
        <v>35.32833333333334</v>
      </c>
      <c r="G107" s="3">
        <f>'Monthly Data'!DQ107</f>
        <v>31</v>
      </c>
      <c r="H107" s="3">
        <f>'Monthly Data'!EJ107</f>
        <v>0</v>
      </c>
      <c r="I107">
        <f>'Monthly Data'!EF107</f>
        <v>1</v>
      </c>
      <c r="K107" s="3">
        <f t="shared" si="63"/>
        <v>14171159.489767401</v>
      </c>
      <c r="L107" s="3">
        <f t="shared" ca="1" si="64"/>
        <v>1076550.1475946987</v>
      </c>
      <c r="M107" s="3">
        <f t="shared" ca="1" si="65"/>
        <v>576530.57582989987</v>
      </c>
      <c r="N107" s="3">
        <f t="shared" si="66"/>
        <v>12751836.461500322</v>
      </c>
      <c r="O107" s="3">
        <f t="shared" si="67"/>
        <v>0</v>
      </c>
      <c r="P107" s="3">
        <f t="shared" si="68"/>
        <v>581324.19044200005</v>
      </c>
      <c r="Q107" s="47">
        <f t="shared" ca="1" si="89"/>
        <v>29157400.865134325</v>
      </c>
      <c r="R107" s="47">
        <f>'Monthly Data'!BR107</f>
        <v>16801.6038974359</v>
      </c>
      <c r="S107" s="47">
        <f ca="1">+'Monthly Data'!BS107</f>
        <v>24169.582932051831</v>
      </c>
      <c r="T107" s="47">
        <f t="shared" ca="1" si="50"/>
        <v>29198372.051963814</v>
      </c>
    </row>
    <row r="108" spans="1:20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Data'!BQ108</f>
        <v>30099408.709194995</v>
      </c>
      <c r="E108" s="3">
        <f t="shared" ref="E108:F108" ca="1" si="111">E96</f>
        <v>307.43824722379077</v>
      </c>
      <c r="F108" s="3">
        <f t="shared" ca="1" si="111"/>
        <v>2.2779166666666657</v>
      </c>
      <c r="G108" s="3">
        <f>'Monthly Data'!DQ108</f>
        <v>30</v>
      </c>
      <c r="H108" s="3">
        <f>'Monthly Data'!EJ108</f>
        <v>0</v>
      </c>
      <c r="I108">
        <f>'Monthly Data'!EF108</f>
        <v>1</v>
      </c>
      <c r="K108" s="3">
        <f t="shared" si="63"/>
        <v>14171159.489767401</v>
      </c>
      <c r="L108" s="3">
        <f t="shared" ca="1" si="64"/>
        <v>2542103.3401826355</v>
      </c>
      <c r="M108" s="3">
        <f t="shared" ca="1" si="65"/>
        <v>37173.805940251688</v>
      </c>
      <c r="N108" s="3">
        <f t="shared" si="66"/>
        <v>12340486.89822612</v>
      </c>
      <c r="O108" s="3">
        <f t="shared" si="67"/>
        <v>0</v>
      </c>
      <c r="P108" s="3">
        <f t="shared" si="68"/>
        <v>581324.19044200005</v>
      </c>
      <c r="Q108" s="47">
        <f t="shared" ca="1" si="89"/>
        <v>29672247.724558409</v>
      </c>
      <c r="R108" s="47">
        <f>'Monthly Data'!BR108</f>
        <v>17325.312820512823</v>
      </c>
      <c r="S108" s="47">
        <f ca="1">+'Monthly Data'!BS108</f>
        <v>52572.670198310516</v>
      </c>
      <c r="T108" s="47">
        <f t="shared" ca="1" si="50"/>
        <v>29742145.707577232</v>
      </c>
    </row>
    <row r="109" spans="1:20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Data'!BQ109</f>
        <v>30825578.294054538</v>
      </c>
      <c r="E109" s="3">
        <f t="shared" ref="E109:F109" ca="1" si="112">E97</f>
        <v>453.92800724637681</v>
      </c>
      <c r="F109" s="3">
        <f t="shared" ca="1" si="112"/>
        <v>0</v>
      </c>
      <c r="G109" s="3">
        <f>'Monthly Data'!DQ109</f>
        <v>31</v>
      </c>
      <c r="H109" s="3">
        <f>'Monthly Data'!EJ109</f>
        <v>0</v>
      </c>
      <c r="I109">
        <f>'Monthly Data'!EF109</f>
        <v>0</v>
      </c>
      <c r="K109" s="3">
        <f t="shared" si="63"/>
        <v>14171159.489767401</v>
      </c>
      <c r="L109" s="3">
        <f t="shared" ca="1" si="64"/>
        <v>3753377.8371546944</v>
      </c>
      <c r="M109" s="3">
        <f t="shared" ca="1" si="65"/>
        <v>0</v>
      </c>
      <c r="N109" s="3">
        <f t="shared" si="66"/>
        <v>12751836.461500322</v>
      </c>
      <c r="O109" s="3">
        <f t="shared" si="67"/>
        <v>0</v>
      </c>
      <c r="P109" s="3">
        <f t="shared" si="68"/>
        <v>0</v>
      </c>
      <c r="Q109" s="47">
        <f t="shared" ref="Q109:Q121" ca="1" si="113">SUM(K109:P109)</f>
        <v>30676373.788422421</v>
      </c>
      <c r="R109" s="47">
        <f>'Monthly Data'!BR109</f>
        <v>17849.021743589743</v>
      </c>
      <c r="S109" s="47">
        <f ca="1">+'Monthly Data'!BS109</f>
        <v>57133.010739254736</v>
      </c>
      <c r="T109" s="47">
        <f t="shared" ca="1" si="50"/>
        <v>30751355.820905264</v>
      </c>
    </row>
    <row r="110" spans="1:20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Data'!BQ110</f>
        <v>33151191.468044974</v>
      </c>
      <c r="E110" s="3">
        <f t="shared" ref="E110:F110" ca="1" si="114">E98</f>
        <v>573.33418478260865</v>
      </c>
      <c r="F110" s="3">
        <f t="shared" ca="1" si="114"/>
        <v>0</v>
      </c>
      <c r="G110" s="3">
        <f>'Monthly Data'!DQ110</f>
        <v>31</v>
      </c>
      <c r="H110" s="3">
        <f>'Monthly Data'!EJ110</f>
        <v>0</v>
      </c>
      <c r="I110">
        <f>'Monthly Data'!EF110</f>
        <v>0</v>
      </c>
      <c r="K110" s="3">
        <f t="shared" si="63"/>
        <v>14171159.489767401</v>
      </c>
      <c r="L110" s="3">
        <f t="shared" ca="1" si="64"/>
        <v>4740707.3106158823</v>
      </c>
      <c r="M110" s="3">
        <f t="shared" ca="1" si="65"/>
        <v>0</v>
      </c>
      <c r="N110" s="3">
        <f t="shared" si="66"/>
        <v>12751836.461500322</v>
      </c>
      <c r="O110" s="3">
        <f t="shared" si="67"/>
        <v>0</v>
      </c>
      <c r="P110" s="3">
        <f t="shared" si="68"/>
        <v>0</v>
      </c>
      <c r="Q110" s="47">
        <f t="shared" ca="1" si="113"/>
        <v>31663703.261883609</v>
      </c>
      <c r="R110" s="47">
        <f>'Monthly Data'!BR110</f>
        <v>19221.427307692309</v>
      </c>
      <c r="S110" s="47">
        <f ca="1">+'Monthly Data'!BS110</f>
        <v>93845.117591976319</v>
      </c>
      <c r="T110" s="47">
        <f t="shared" ca="1" si="50"/>
        <v>31776769.806783278</v>
      </c>
    </row>
    <row r="111" spans="1:20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Data'!BQ111</f>
        <v>29996964.766140696</v>
      </c>
      <c r="E111" s="3">
        <f t="shared" ref="E111:F111" ca="1" si="115">E99</f>
        <v>511.05501811594206</v>
      </c>
      <c r="F111" s="3">
        <f t="shared" ca="1" si="115"/>
        <v>0</v>
      </c>
      <c r="G111" s="3">
        <f>'Monthly Data'!DQ111</f>
        <v>29</v>
      </c>
      <c r="H111" s="3">
        <f>'Monthly Data'!EJ111</f>
        <v>0</v>
      </c>
      <c r="I111">
        <f>'Monthly Data'!EF111</f>
        <v>0</v>
      </c>
      <c r="K111" s="3">
        <f t="shared" si="63"/>
        <v>14171159.489767401</v>
      </c>
      <c r="L111" s="3">
        <f t="shared" ca="1" si="64"/>
        <v>4225741.8532052441</v>
      </c>
      <c r="M111" s="3">
        <f t="shared" ca="1" si="65"/>
        <v>0</v>
      </c>
      <c r="N111" s="3">
        <f t="shared" si="66"/>
        <v>11929137.334951915</v>
      </c>
      <c r="O111" s="3">
        <f t="shared" si="67"/>
        <v>0</v>
      </c>
      <c r="P111" s="3">
        <f t="shared" si="68"/>
        <v>0</v>
      </c>
      <c r="Q111" s="47">
        <f t="shared" ca="1" si="113"/>
        <v>30326038.677924559</v>
      </c>
      <c r="R111" s="47">
        <f>'Monthly Data'!BR111</f>
        <v>20070.123948717948</v>
      </c>
      <c r="S111" s="47">
        <f ca="1">+'Monthly Data'!BS111</f>
        <v>79992.313945313712</v>
      </c>
      <c r="T111" s="47">
        <f t="shared" ca="1" si="50"/>
        <v>30426101.11581859</v>
      </c>
    </row>
    <row r="112" spans="1:20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Data'!BQ112</f>
        <v>30363099.224236418</v>
      </c>
      <c r="E112" s="3">
        <f t="shared" ref="E112:F112" ca="1" si="116">E100</f>
        <v>422.13298913043479</v>
      </c>
      <c r="F112" s="3">
        <f t="shared" ca="1" si="116"/>
        <v>2.9583333333332896E-2</v>
      </c>
      <c r="G112" s="3">
        <f>'Monthly Data'!DQ112</f>
        <v>31</v>
      </c>
      <c r="H112" s="3">
        <f>'Monthly Data'!EJ112</f>
        <v>0</v>
      </c>
      <c r="I112">
        <f>'Monthly Data'!EF112</f>
        <v>0</v>
      </c>
      <c r="K112" s="3">
        <f t="shared" si="63"/>
        <v>14171159.489767401</v>
      </c>
      <c r="L112" s="3">
        <f t="shared" ca="1" si="64"/>
        <v>3490475.5389417186</v>
      </c>
      <c r="M112" s="3">
        <f t="shared" ca="1" si="65"/>
        <v>482.77670052274232</v>
      </c>
      <c r="N112" s="3">
        <f t="shared" si="66"/>
        <v>12751836.461500322</v>
      </c>
      <c r="O112" s="3">
        <f t="shared" si="67"/>
        <v>0</v>
      </c>
      <c r="P112" s="3">
        <f t="shared" si="68"/>
        <v>0</v>
      </c>
      <c r="Q112" s="47">
        <f t="shared" ca="1" si="113"/>
        <v>30413954.266909964</v>
      </c>
      <c r="R112" s="47">
        <f>'Monthly Data'!BR112</f>
        <v>20918.820589743591</v>
      </c>
      <c r="S112" s="47">
        <f ca="1">+'Monthly Data'!BS112</f>
        <v>67785.862023751906</v>
      </c>
      <c r="T112" s="47">
        <f t="shared" ca="1" si="50"/>
        <v>30502658.94952346</v>
      </c>
    </row>
    <row r="113" spans="1:20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Data'!BQ113</f>
        <v>28549696.772332143</v>
      </c>
      <c r="E113" s="3">
        <f t="shared" ref="E113:F113" ca="1" si="117">E101</f>
        <v>234.57024621212122</v>
      </c>
      <c r="F113" s="3">
        <f t="shared" ca="1" si="117"/>
        <v>5.6420833333333338</v>
      </c>
      <c r="G113" s="3">
        <f>'Monthly Data'!DQ113</f>
        <v>30</v>
      </c>
      <c r="H113" s="3">
        <f>'Monthly Data'!EJ113</f>
        <v>0</v>
      </c>
      <c r="I113">
        <f>'Monthly Data'!EF113</f>
        <v>0</v>
      </c>
      <c r="K113" s="3">
        <f t="shared" si="63"/>
        <v>14171159.489767401</v>
      </c>
      <c r="L113" s="3">
        <f t="shared" ca="1" si="64"/>
        <v>1939582.3772350482</v>
      </c>
      <c r="M113" s="3">
        <f t="shared" ca="1" si="65"/>
        <v>92074.356363078172</v>
      </c>
      <c r="N113" s="3">
        <f t="shared" si="66"/>
        <v>12340486.89822612</v>
      </c>
      <c r="O113" s="3">
        <f t="shared" si="67"/>
        <v>0</v>
      </c>
      <c r="P113" s="3">
        <f t="shared" si="68"/>
        <v>0</v>
      </c>
      <c r="Q113" s="47">
        <f t="shared" ca="1" si="113"/>
        <v>28543303.121591646</v>
      </c>
      <c r="R113" s="47">
        <f>'Monthly Data'!BR113</f>
        <v>21767.517230769234</v>
      </c>
      <c r="S113" s="47">
        <f ca="1">+'Monthly Data'!BS113</f>
        <v>45419.848496567312</v>
      </c>
      <c r="T113" s="47">
        <f t="shared" ca="1" si="50"/>
        <v>28610490.487318981</v>
      </c>
    </row>
    <row r="114" spans="1:20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Data'!BQ114</f>
        <v>29264298.910427865</v>
      </c>
      <c r="E114" s="3">
        <f t="shared" ref="E114:F114" ca="1" si="118">E102</f>
        <v>64.294809115179262</v>
      </c>
      <c r="F114" s="3">
        <f t="shared" ca="1" si="118"/>
        <v>86.191046176046171</v>
      </c>
      <c r="G114" s="3">
        <f>'Monthly Data'!DQ114</f>
        <v>31</v>
      </c>
      <c r="H114" s="3">
        <f>'Monthly Data'!EJ114</f>
        <v>0</v>
      </c>
      <c r="I114">
        <f>'Monthly Data'!EF114</f>
        <v>0</v>
      </c>
      <c r="K114" s="3">
        <f t="shared" si="63"/>
        <v>14171159.489767401</v>
      </c>
      <c r="L114" s="3">
        <f t="shared" ca="1" si="64"/>
        <v>531632.1260741764</v>
      </c>
      <c r="M114" s="3">
        <f t="shared" ca="1" si="65"/>
        <v>1406569.9905625524</v>
      </c>
      <c r="N114" s="3">
        <f t="shared" si="66"/>
        <v>12751836.461500322</v>
      </c>
      <c r="O114" s="3">
        <f t="shared" si="67"/>
        <v>0</v>
      </c>
      <c r="P114" s="3">
        <f t="shared" si="68"/>
        <v>0</v>
      </c>
      <c r="Q114" s="47">
        <f t="shared" ca="1" si="113"/>
        <v>28861198.06790445</v>
      </c>
      <c r="R114" s="47">
        <f>'Monthly Data'!BR114</f>
        <v>22616.213871794876</v>
      </c>
      <c r="S114" s="47">
        <f ca="1">+'Monthly Data'!BS114</f>
        <v>13189.843220447507</v>
      </c>
      <c r="T114" s="47">
        <f t="shared" ca="1" si="50"/>
        <v>28897004.124996692</v>
      </c>
    </row>
    <row r="115" spans="1:20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Data'!BQ115</f>
        <v>30387346.358523585</v>
      </c>
      <c r="E115" s="3">
        <f t="shared" ref="E115:F115" ca="1" si="119">E103</f>
        <v>3.2341666666666669</v>
      </c>
      <c r="F115" s="3">
        <f t="shared" ca="1" si="119"/>
        <v>194.94285087738348</v>
      </c>
      <c r="G115" s="3">
        <f>'Monthly Data'!DQ115</f>
        <v>30</v>
      </c>
      <c r="H115" s="3">
        <f>'Monthly Data'!EJ115</f>
        <v>0</v>
      </c>
      <c r="I115">
        <f>'Monthly Data'!EF115</f>
        <v>0</v>
      </c>
      <c r="K115" s="3">
        <f t="shared" si="63"/>
        <v>14171159.489767401</v>
      </c>
      <c r="L115" s="3">
        <f t="shared" ca="1" si="64"/>
        <v>26742.235100163085</v>
      </c>
      <c r="M115" s="3">
        <f t="shared" ca="1" si="65"/>
        <v>3181313.7916759965</v>
      </c>
      <c r="N115" s="3">
        <f t="shared" si="66"/>
        <v>12340486.89822612</v>
      </c>
      <c r="O115" s="3">
        <f t="shared" si="67"/>
        <v>0</v>
      </c>
      <c r="P115" s="3">
        <f t="shared" si="68"/>
        <v>0</v>
      </c>
      <c r="Q115" s="47">
        <f t="shared" ca="1" si="113"/>
        <v>29719702.414769679</v>
      </c>
      <c r="R115" s="47">
        <f>'Monthly Data'!BR115</f>
        <v>23464.910512820516</v>
      </c>
      <c r="S115" s="47">
        <f ca="1">+'Monthly Data'!BS115</f>
        <v>4651.1584716959433</v>
      </c>
      <c r="T115" s="47">
        <f t="shared" ca="1" si="50"/>
        <v>29747818.483754195</v>
      </c>
    </row>
    <row r="116" spans="1:20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Data'!BQ116</f>
        <v>33245124.90661931</v>
      </c>
      <c r="E116" s="3">
        <f t="shared" ref="E116:F116" ca="1" si="120">E104</f>
        <v>0</v>
      </c>
      <c r="F116" s="3">
        <f t="shared" ca="1" si="120"/>
        <v>297.94737858727848</v>
      </c>
      <c r="G116" s="3">
        <f>'Monthly Data'!DQ116</f>
        <v>31</v>
      </c>
      <c r="H116" s="3">
        <f>'Monthly Data'!EJ116</f>
        <v>0</v>
      </c>
      <c r="I116">
        <f>'Monthly Data'!EF116</f>
        <v>0</v>
      </c>
      <c r="K116" s="3">
        <f t="shared" si="63"/>
        <v>14171159.489767401</v>
      </c>
      <c r="L116" s="3">
        <f t="shared" ca="1" si="64"/>
        <v>0</v>
      </c>
      <c r="M116" s="3">
        <f t="shared" ca="1" si="65"/>
        <v>4862266.5587752834</v>
      </c>
      <c r="N116" s="3">
        <f t="shared" si="66"/>
        <v>12751836.461500322</v>
      </c>
      <c r="O116" s="3">
        <f t="shared" si="67"/>
        <v>0</v>
      </c>
      <c r="P116" s="3">
        <f t="shared" si="68"/>
        <v>0</v>
      </c>
      <c r="Q116" s="47">
        <f t="shared" ca="1" si="113"/>
        <v>31785262.51004301</v>
      </c>
      <c r="R116" s="47">
        <f>'Monthly Data'!BR116</f>
        <v>24313.607153846158</v>
      </c>
      <c r="S116" s="47">
        <f ca="1">+'Monthly Data'!BS116</f>
        <v>48.49432747314011</v>
      </c>
      <c r="T116" s="47">
        <f t="shared" ca="1" si="50"/>
        <v>31809624.611524332</v>
      </c>
    </row>
    <row r="117" spans="1:20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Data'!BQ117</f>
        <v>32960597.234715033</v>
      </c>
      <c r="E117" s="3">
        <f t="shared" ref="E117:F117" ca="1" si="121">E105</f>
        <v>0</v>
      </c>
      <c r="F117" s="3">
        <f t="shared" ca="1" si="121"/>
        <v>272.96558794466404</v>
      </c>
      <c r="G117" s="3">
        <f>'Monthly Data'!DQ117</f>
        <v>31</v>
      </c>
      <c r="H117" s="3">
        <f>'Monthly Data'!EJ117</f>
        <v>0</v>
      </c>
      <c r="I117">
        <f>'Monthly Data'!EF117</f>
        <v>0</v>
      </c>
      <c r="K117" s="3">
        <f t="shared" si="63"/>
        <v>14171159.489767401</v>
      </c>
      <c r="L117" s="3">
        <f t="shared" ca="1" si="64"/>
        <v>0</v>
      </c>
      <c r="M117" s="3">
        <f t="shared" ca="1" si="65"/>
        <v>4454583.4108454296</v>
      </c>
      <c r="N117" s="3">
        <f t="shared" si="66"/>
        <v>12751836.461500322</v>
      </c>
      <c r="O117" s="3">
        <f t="shared" si="67"/>
        <v>0</v>
      </c>
      <c r="P117" s="3">
        <f t="shared" si="68"/>
        <v>0</v>
      </c>
      <c r="Q117" s="47">
        <f t="shared" ca="1" si="113"/>
        <v>31377579.362113155</v>
      </c>
      <c r="R117" s="47">
        <f>'Monthly Data'!BR117</f>
        <v>25162.303794871797</v>
      </c>
      <c r="S117" s="47">
        <f ca="1">+'Monthly Data'!BS117</f>
        <v>1212.9720390749899</v>
      </c>
      <c r="T117" s="47">
        <f t="shared" ca="1" si="50"/>
        <v>31403954.637947101</v>
      </c>
    </row>
    <row r="118" spans="1:20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Data'!BQ118</f>
        <v>30943335.362810757</v>
      </c>
      <c r="E118" s="3">
        <f t="shared" ref="E118:F118" ca="1" si="122">E106</f>
        <v>10.413369565217392</v>
      </c>
      <c r="F118" s="3">
        <f t="shared" ca="1" si="122"/>
        <v>158.67014233954447</v>
      </c>
      <c r="G118" s="3">
        <f>'Monthly Data'!DQ118</f>
        <v>30</v>
      </c>
      <c r="H118" s="3">
        <f>'Monthly Data'!EJ118</f>
        <v>0</v>
      </c>
      <c r="I118">
        <f>'Monthly Data'!EF118</f>
        <v>1</v>
      </c>
      <c r="K118" s="3">
        <f t="shared" si="63"/>
        <v>14171159.489767401</v>
      </c>
      <c r="L118" s="3">
        <f t="shared" ca="1" si="64"/>
        <v>86104.646358544662</v>
      </c>
      <c r="M118" s="3">
        <f t="shared" ca="1" si="65"/>
        <v>2589371.7562871082</v>
      </c>
      <c r="N118" s="3">
        <f t="shared" si="66"/>
        <v>12340486.89822612</v>
      </c>
      <c r="O118" s="3">
        <f t="shared" si="67"/>
        <v>0</v>
      </c>
      <c r="P118" s="3">
        <f t="shared" si="68"/>
        <v>581324.19044200005</v>
      </c>
      <c r="Q118" s="47">
        <f t="shared" ca="1" si="113"/>
        <v>29768446.981081173</v>
      </c>
      <c r="R118" s="47">
        <f>'Monthly Data'!BR118</f>
        <v>26011.00043589744</v>
      </c>
      <c r="S118" s="47">
        <f ca="1">+'Monthly Data'!BS118</f>
        <v>4326.4306332998576</v>
      </c>
      <c r="T118" s="47">
        <f t="shared" ref="T118:T181" ca="1" si="123">Q118+R118+S118</f>
        <v>29798784.412150368</v>
      </c>
    </row>
    <row r="119" spans="1:20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Data'!BQ119</f>
        <v>30379680.950906478</v>
      </c>
      <c r="E119" s="3">
        <f t="shared" ref="E119:F119" ca="1" si="124">E107</f>
        <v>130.19639492753623</v>
      </c>
      <c r="F119" s="3">
        <f t="shared" ca="1" si="124"/>
        <v>35.32833333333334</v>
      </c>
      <c r="G119" s="3">
        <f>'Monthly Data'!DQ119</f>
        <v>31</v>
      </c>
      <c r="H119" s="3">
        <f>'Monthly Data'!EJ119</f>
        <v>0</v>
      </c>
      <c r="I119">
        <f>'Monthly Data'!EF119</f>
        <v>1</v>
      </c>
      <c r="K119" s="3">
        <f t="shared" si="63"/>
        <v>14171159.489767401</v>
      </c>
      <c r="L119" s="3">
        <f t="shared" ca="1" si="64"/>
        <v>1076550.1475946987</v>
      </c>
      <c r="M119" s="3">
        <f t="shared" ca="1" si="65"/>
        <v>576530.57582989987</v>
      </c>
      <c r="N119" s="3">
        <f t="shared" si="66"/>
        <v>12751836.461500322</v>
      </c>
      <c r="O119" s="3">
        <f t="shared" si="67"/>
        <v>0</v>
      </c>
      <c r="P119" s="3">
        <f t="shared" si="68"/>
        <v>581324.19044200005</v>
      </c>
      <c r="Q119" s="47">
        <f t="shared" ca="1" si="113"/>
        <v>29157400.865134325</v>
      </c>
      <c r="R119" s="47">
        <f>'Monthly Data'!BR119</f>
        <v>26859.697076923083</v>
      </c>
      <c r="S119" s="47">
        <f ca="1">+'Monthly Data'!BS119</f>
        <v>34465.34823173294</v>
      </c>
      <c r="T119" s="47">
        <f t="shared" ca="1" si="123"/>
        <v>29218725.910442982</v>
      </c>
    </row>
    <row r="120" spans="1:20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Data'!BQ120</f>
        <v>30484744.409002203</v>
      </c>
      <c r="E120" s="3">
        <f t="shared" ref="E120:F120" ca="1" si="125">E108</f>
        <v>307.43824722379077</v>
      </c>
      <c r="F120" s="3">
        <f t="shared" ca="1" si="125"/>
        <v>2.2779166666666657</v>
      </c>
      <c r="G120" s="3">
        <f>'Monthly Data'!DQ120</f>
        <v>30</v>
      </c>
      <c r="H120" s="3">
        <f>'Monthly Data'!EJ120</f>
        <v>0</v>
      </c>
      <c r="I120">
        <f>'Monthly Data'!EF120</f>
        <v>1</v>
      </c>
      <c r="K120" s="3">
        <f t="shared" si="63"/>
        <v>14171159.489767401</v>
      </c>
      <c r="L120" s="3">
        <f t="shared" ca="1" si="64"/>
        <v>2542103.3401826355</v>
      </c>
      <c r="M120" s="3">
        <f t="shared" ca="1" si="65"/>
        <v>37173.805940251688</v>
      </c>
      <c r="N120" s="3">
        <f t="shared" si="66"/>
        <v>12340486.89822612</v>
      </c>
      <c r="O120" s="3">
        <f t="shared" si="67"/>
        <v>0</v>
      </c>
      <c r="P120" s="3">
        <f t="shared" si="68"/>
        <v>581324.19044200005</v>
      </c>
      <c r="Q120" s="47">
        <f t="shared" ca="1" si="113"/>
        <v>29672247.724558409</v>
      </c>
      <c r="R120" s="47">
        <f>'Monthly Data'!BR120</f>
        <v>27708.393717948726</v>
      </c>
      <c r="S120" s="47">
        <f ca="1">+'Monthly Data'!BS120</f>
        <v>53963.750989414089</v>
      </c>
      <c r="T120" s="47">
        <f t="shared" ca="1" si="123"/>
        <v>29753919.869265772</v>
      </c>
    </row>
    <row r="121" spans="1:20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Data'!BQ121</f>
        <v>33328046.777097926</v>
      </c>
      <c r="E121" s="3">
        <f t="shared" ref="E121:F121" ca="1" si="126">E109</f>
        <v>453.92800724637681</v>
      </c>
      <c r="F121" s="3">
        <f t="shared" ca="1" si="126"/>
        <v>0</v>
      </c>
      <c r="G121" s="3">
        <f>'Monthly Data'!DQ121</f>
        <v>31</v>
      </c>
      <c r="H121" s="3">
        <f>'Monthly Data'!EJ121</f>
        <v>0</v>
      </c>
      <c r="I121">
        <f>'Monthly Data'!EF121</f>
        <v>0</v>
      </c>
      <c r="K121" s="3">
        <f t="shared" si="63"/>
        <v>14171159.489767401</v>
      </c>
      <c r="L121" s="3">
        <f t="shared" ca="1" si="64"/>
        <v>3753377.8371546944</v>
      </c>
      <c r="M121" s="3">
        <f t="shared" ca="1" si="65"/>
        <v>0</v>
      </c>
      <c r="N121" s="3">
        <f t="shared" si="66"/>
        <v>12751836.461500322</v>
      </c>
      <c r="O121" s="3">
        <f t="shared" si="67"/>
        <v>0</v>
      </c>
      <c r="P121" s="3">
        <f t="shared" si="68"/>
        <v>0</v>
      </c>
      <c r="Q121" s="47">
        <f t="shared" ca="1" si="113"/>
        <v>30676373.788422421</v>
      </c>
      <c r="R121" s="47">
        <f>'Monthly Data'!BR121</f>
        <v>28557.090358974368</v>
      </c>
      <c r="S121" s="47">
        <f ca="1">+'Monthly Data'!BS121</f>
        <v>88184.786027041846</v>
      </c>
      <c r="T121" s="47">
        <f t="shared" ca="1" si="123"/>
        <v>30793115.664808434</v>
      </c>
    </row>
    <row r="122" spans="1:20">
      <c r="A122" s="2">
        <f t="shared" ref="A122:A174" si="127">EOMONTH(A121,1)</f>
        <v>45688</v>
      </c>
      <c r="B122">
        <f t="shared" ref="B122:B174" si="128">YEAR(A122)</f>
        <v>2025</v>
      </c>
      <c r="C122">
        <f t="shared" ref="C122:C174" si="129">MONTH(A122)</f>
        <v>1</v>
      </c>
      <c r="E122" s="3">
        <f t="shared" ref="E122:F122" ca="1" si="130">E110</f>
        <v>573.33418478260865</v>
      </c>
      <c r="F122" s="3">
        <f t="shared" ca="1" si="130"/>
        <v>0</v>
      </c>
      <c r="G122" s="3">
        <f t="shared" ref="G122:G174" si="131">G86</f>
        <v>31</v>
      </c>
      <c r="I122">
        <f t="shared" ref="I122:I174" si="132">I110</f>
        <v>0</v>
      </c>
      <c r="K122" s="3">
        <f t="shared" si="63"/>
        <v>14171159.489767401</v>
      </c>
      <c r="L122" s="3">
        <f t="shared" ca="1" si="64"/>
        <v>4740707.3106158823</v>
      </c>
      <c r="M122" s="3">
        <f t="shared" ca="1" si="65"/>
        <v>0</v>
      </c>
      <c r="N122" s="3">
        <f t="shared" si="66"/>
        <v>12751836.461500322</v>
      </c>
      <c r="O122" s="3">
        <f t="shared" si="67"/>
        <v>0</v>
      </c>
      <c r="P122" s="3">
        <f t="shared" si="68"/>
        <v>0</v>
      </c>
      <c r="Q122" s="47">
        <f t="shared" ref="Q122:Q174" ca="1" si="133">SUM(K122:P122)</f>
        <v>31663703.261883609</v>
      </c>
      <c r="R122" s="47">
        <f>IFERROR(HLOOKUP(B122-1,'EV Forecast WRZ'!$F$124:$T$130,4,FALSE)/12,0)+IFERROR(((HLOOKUP(B122,'EV Forecast WRZ'!$F$116:$T$122,4,FALSE)-HLOOKUP(B122-1,'EV Forecast WRZ'!$F$124:$T$130,4,FALSE)))*C122/78,0)</f>
        <v>30185.653926041141</v>
      </c>
      <c r="S122" s="47">
        <f ca="1">HLOOKUP(B122,Heating!$R$102:$AD$106,5,FALSE)*INDEX(Weather!$BO$1:$CB$20,MATCH(B122,Weather!$BO$1:$BO$20,0),MATCH(C122,Weather!$BO$1:$CB$1,0))/VLOOKUP(B122,Weather!$BO$2:$CB$20,14,FALSE)</f>
        <v>124836.53924133487</v>
      </c>
      <c r="T122" s="47">
        <f t="shared" ca="1" si="123"/>
        <v>31818725.455050986</v>
      </c>
    </row>
    <row r="123" spans="1:20">
      <c r="A123" s="2">
        <f t="shared" si="127"/>
        <v>45716</v>
      </c>
      <c r="B123">
        <f t="shared" si="128"/>
        <v>2025</v>
      </c>
      <c r="C123">
        <f t="shared" si="129"/>
        <v>2</v>
      </c>
      <c r="E123" s="3">
        <f t="shared" ref="E123:F123" ca="1" si="134">E111</f>
        <v>511.05501811594206</v>
      </c>
      <c r="F123" s="3">
        <f t="shared" ca="1" si="134"/>
        <v>0</v>
      </c>
      <c r="G123" s="3">
        <f t="shared" si="131"/>
        <v>28</v>
      </c>
      <c r="I123">
        <f t="shared" si="132"/>
        <v>0</v>
      </c>
      <c r="K123" s="3">
        <f t="shared" si="63"/>
        <v>14171159.489767401</v>
      </c>
      <c r="L123" s="3">
        <f t="shared" ca="1" si="64"/>
        <v>4225741.8532052441</v>
      </c>
      <c r="M123" s="3">
        <f t="shared" ca="1" si="65"/>
        <v>0</v>
      </c>
      <c r="N123" s="3">
        <f t="shared" si="66"/>
        <v>11517787.771677712</v>
      </c>
      <c r="O123" s="3">
        <f t="shared" si="67"/>
        <v>0</v>
      </c>
      <c r="P123" s="3">
        <f t="shared" si="68"/>
        <v>0</v>
      </c>
      <c r="Q123" s="47">
        <f t="shared" ca="1" si="133"/>
        <v>29914689.114650354</v>
      </c>
      <c r="R123" s="47">
        <f>IFERROR(HLOOKUP(B123-1,'EV Forecast WRZ'!$F$124:$T$130,4,FALSE)/12,0)+IFERROR(((HLOOKUP(B123,'EV Forecast WRZ'!$F$116:$T$122,4,FALSE)-HLOOKUP(B123-1,'EV Forecast WRZ'!$F$124:$T$130,4,FALSE)))*C123/78,0)</f>
        <v>30965.520852082282</v>
      </c>
      <c r="S123" s="47">
        <f ca="1">HLOOKUP(B123,Heating!$R$102:$AD$106,5,FALSE)*INDEX(Weather!$BO$1:$CB$20,MATCH(B123,Weather!$BO$1:$BO$20,0),MATCH(C123,Weather!$BO$1:$CB$1,0))/VLOOKUP(B123,Weather!$BO$2:$CB$20,14,FALSE)</f>
        <v>111753.93056332858</v>
      </c>
      <c r="T123" s="47">
        <f t="shared" ca="1" si="123"/>
        <v>30057408.566065762</v>
      </c>
    </row>
    <row r="124" spans="1:20">
      <c r="A124" s="2">
        <f t="shared" si="127"/>
        <v>45747</v>
      </c>
      <c r="B124">
        <f t="shared" si="128"/>
        <v>2025</v>
      </c>
      <c r="C124">
        <f t="shared" si="129"/>
        <v>3</v>
      </c>
      <c r="E124" s="3">
        <f t="shared" ref="E124:F124" ca="1" si="135">E112</f>
        <v>422.13298913043479</v>
      </c>
      <c r="F124" s="3">
        <f t="shared" ca="1" si="135"/>
        <v>2.9583333333332896E-2</v>
      </c>
      <c r="G124" s="3">
        <f t="shared" si="131"/>
        <v>31</v>
      </c>
      <c r="I124">
        <f t="shared" si="132"/>
        <v>0</v>
      </c>
      <c r="K124" s="3">
        <f t="shared" si="63"/>
        <v>14171159.489767401</v>
      </c>
      <c r="L124" s="3">
        <f t="shared" ca="1" si="64"/>
        <v>3490475.5389417186</v>
      </c>
      <c r="M124" s="3">
        <f t="shared" ca="1" si="65"/>
        <v>482.77670052274232</v>
      </c>
      <c r="N124" s="3">
        <f t="shared" si="66"/>
        <v>12751836.461500322</v>
      </c>
      <c r="O124" s="3">
        <f t="shared" si="67"/>
        <v>0</v>
      </c>
      <c r="P124" s="3">
        <f t="shared" si="68"/>
        <v>0</v>
      </c>
      <c r="Q124" s="47">
        <f t="shared" ca="1" si="133"/>
        <v>30413954.266909964</v>
      </c>
      <c r="R124" s="47">
        <f>IFERROR(HLOOKUP(B124-1,'EV Forecast WRZ'!$F$124:$T$130,4,FALSE)/12,0)+IFERROR(((HLOOKUP(B124,'EV Forecast WRZ'!$F$116:$T$122,4,FALSE)-HLOOKUP(B124-1,'EV Forecast WRZ'!$F$124:$T$130,4,FALSE)))*C124/78,0)</f>
        <v>31745.387778123422</v>
      </c>
      <c r="S124" s="47">
        <f ca="1">HLOOKUP(B124,Heating!$R$102:$AD$106,5,FALSE)*INDEX(Weather!$BO$1:$CB$20,MATCH(B124,Weather!$BO$1:$BO$20,0),MATCH(C124,Weather!$BO$1:$CB$1,0))/VLOOKUP(B124,Weather!$BO$2:$CB$20,14,FALSE)</f>
        <v>97768.55031110096</v>
      </c>
      <c r="T124" s="47">
        <f t="shared" ca="1" si="123"/>
        <v>30543468.204999186</v>
      </c>
    </row>
    <row r="125" spans="1:20">
      <c r="A125" s="2">
        <f t="shared" si="127"/>
        <v>45777</v>
      </c>
      <c r="B125">
        <f t="shared" si="128"/>
        <v>2025</v>
      </c>
      <c r="C125">
        <f t="shared" si="129"/>
        <v>4</v>
      </c>
      <c r="E125" s="3">
        <f t="shared" ref="E125:F125" ca="1" si="136">E113</f>
        <v>234.57024621212122</v>
      </c>
      <c r="F125" s="3">
        <f t="shared" ca="1" si="136"/>
        <v>5.6420833333333338</v>
      </c>
      <c r="G125" s="3">
        <f t="shared" si="131"/>
        <v>30</v>
      </c>
      <c r="I125">
        <f t="shared" si="132"/>
        <v>0</v>
      </c>
      <c r="K125" s="3">
        <f t="shared" si="63"/>
        <v>14171159.489767401</v>
      </c>
      <c r="L125" s="3">
        <f t="shared" ca="1" si="64"/>
        <v>1939582.3772350482</v>
      </c>
      <c r="M125" s="3">
        <f t="shared" ca="1" si="65"/>
        <v>92074.356363078172</v>
      </c>
      <c r="N125" s="3">
        <f t="shared" si="66"/>
        <v>12340486.89822612</v>
      </c>
      <c r="O125" s="3">
        <f t="shared" si="67"/>
        <v>0</v>
      </c>
      <c r="P125" s="3">
        <f t="shared" si="68"/>
        <v>0</v>
      </c>
      <c r="Q125" s="47">
        <f t="shared" ca="1" si="133"/>
        <v>28543303.121591646</v>
      </c>
      <c r="R125" s="47">
        <f>IFERROR(HLOOKUP(B125-1,'EV Forecast WRZ'!$F$124:$T$130,4,FALSE)/12,0)+IFERROR(((HLOOKUP(B125,'EV Forecast WRZ'!$F$116:$T$122,4,FALSE)-HLOOKUP(B125-1,'EV Forecast WRZ'!$F$124:$T$130,4,FALSE)))*C125/78,0)</f>
        <v>32525.254704164563</v>
      </c>
      <c r="S125" s="47">
        <f ca="1">HLOOKUP(B125,Heating!$R$102:$AD$106,5,FALSE)*INDEX(Weather!$BO$1:$CB$20,MATCH(B125,Weather!$BO$1:$BO$20,0),MATCH(C125,Weather!$BO$1:$CB$1,0))/VLOOKUP(B125,Weather!$BO$2:$CB$20,14,FALSE)</f>
        <v>63089.039125545125</v>
      </c>
      <c r="T125" s="47">
        <f t="shared" ca="1" si="123"/>
        <v>28638917.415421359</v>
      </c>
    </row>
    <row r="126" spans="1:20">
      <c r="A126" s="2">
        <f t="shared" si="127"/>
        <v>45808</v>
      </c>
      <c r="B126">
        <f t="shared" si="128"/>
        <v>2025</v>
      </c>
      <c r="C126">
        <f t="shared" si="129"/>
        <v>5</v>
      </c>
      <c r="E126" s="3">
        <f t="shared" ref="E126:F126" ca="1" si="137">E114</f>
        <v>64.294809115179262</v>
      </c>
      <c r="F126" s="3">
        <f t="shared" ca="1" si="137"/>
        <v>86.191046176046171</v>
      </c>
      <c r="G126" s="3">
        <f t="shared" si="131"/>
        <v>31</v>
      </c>
      <c r="I126">
        <f t="shared" si="132"/>
        <v>0</v>
      </c>
      <c r="K126" s="3">
        <f t="shared" si="63"/>
        <v>14171159.489767401</v>
      </c>
      <c r="L126" s="3">
        <f t="shared" ca="1" si="64"/>
        <v>531632.1260741764</v>
      </c>
      <c r="M126" s="3">
        <f t="shared" ca="1" si="65"/>
        <v>1406569.9905625524</v>
      </c>
      <c r="N126" s="3">
        <f t="shared" si="66"/>
        <v>12751836.461500322</v>
      </c>
      <c r="O126" s="3">
        <f t="shared" si="67"/>
        <v>0</v>
      </c>
      <c r="P126" s="3">
        <f t="shared" si="68"/>
        <v>0</v>
      </c>
      <c r="Q126" s="47">
        <f t="shared" ca="1" si="133"/>
        <v>28861198.06790445</v>
      </c>
      <c r="R126" s="47">
        <f>IFERROR(HLOOKUP(B126-1,'EV Forecast WRZ'!$F$124:$T$130,4,FALSE)/12,0)+IFERROR(((HLOOKUP(B126,'EV Forecast WRZ'!$F$116:$T$122,4,FALSE)-HLOOKUP(B126-1,'EV Forecast WRZ'!$F$124:$T$130,4,FALSE)))*C126/78,0)</f>
        <v>33305.1216302057</v>
      </c>
      <c r="S126" s="47">
        <f ca="1">HLOOKUP(B126,Heating!$R$102:$AD$106,5,FALSE)*INDEX(Weather!$BO$1:$CB$20,MATCH(B126,Weather!$BO$1:$BO$20,0),MATCH(C126,Weather!$BO$1:$CB$1,0))/VLOOKUP(B126,Weather!$BO$2:$CB$20,14,FALSE)</f>
        <v>26877.45868515845</v>
      </c>
      <c r="T126" s="47">
        <f t="shared" ca="1" si="123"/>
        <v>28921380.648219816</v>
      </c>
    </row>
    <row r="127" spans="1:20">
      <c r="A127" s="2">
        <f t="shared" si="127"/>
        <v>45838</v>
      </c>
      <c r="B127">
        <f t="shared" si="128"/>
        <v>2025</v>
      </c>
      <c r="C127">
        <f t="shared" si="129"/>
        <v>6</v>
      </c>
      <c r="E127" s="3">
        <f t="shared" ref="E127:F127" ca="1" si="138">E115</f>
        <v>3.2341666666666669</v>
      </c>
      <c r="F127" s="3">
        <f t="shared" ca="1" si="138"/>
        <v>194.94285087738348</v>
      </c>
      <c r="G127" s="3">
        <f t="shared" si="131"/>
        <v>30</v>
      </c>
      <c r="I127">
        <f t="shared" si="132"/>
        <v>0</v>
      </c>
      <c r="K127" s="3">
        <f t="shared" si="63"/>
        <v>14171159.489767401</v>
      </c>
      <c r="L127" s="3">
        <f t="shared" ca="1" si="64"/>
        <v>26742.235100163085</v>
      </c>
      <c r="M127" s="3">
        <f t="shared" ca="1" si="65"/>
        <v>3181313.7916759965</v>
      </c>
      <c r="N127" s="3">
        <f t="shared" si="66"/>
        <v>12340486.89822612</v>
      </c>
      <c r="O127" s="3">
        <f t="shared" si="67"/>
        <v>0</v>
      </c>
      <c r="P127" s="3">
        <f t="shared" si="68"/>
        <v>0</v>
      </c>
      <c r="Q127" s="47">
        <f t="shared" ca="1" si="133"/>
        <v>29719702.414769679</v>
      </c>
      <c r="R127" s="47">
        <f>IFERROR(HLOOKUP(B127-1,'EV Forecast WRZ'!$F$124:$T$130,4,FALSE)/12,0)+IFERROR(((HLOOKUP(B127,'EV Forecast WRZ'!$F$116:$T$122,4,FALSE)-HLOOKUP(B127-1,'EV Forecast WRZ'!$F$124:$T$130,4,FALSE)))*C127/78,0)</f>
        <v>34084.988556246841</v>
      </c>
      <c r="S127" s="47">
        <f ca="1">HLOOKUP(B127,Heating!$R$102:$AD$106,5,FALSE)*INDEX(Weather!$BO$1:$CB$20,MATCH(B127,Weather!$BO$1:$BO$20,0),MATCH(C127,Weather!$BO$1:$CB$1,0))/VLOOKUP(B127,Weather!$BO$2:$CB$20,14,FALSE)</f>
        <v>5821.8852194321107</v>
      </c>
      <c r="T127" s="47">
        <f t="shared" ca="1" si="123"/>
        <v>29759609.288545359</v>
      </c>
    </row>
    <row r="128" spans="1:20">
      <c r="A128" s="2">
        <f t="shared" si="127"/>
        <v>45869</v>
      </c>
      <c r="B128">
        <f t="shared" si="128"/>
        <v>2025</v>
      </c>
      <c r="C128">
        <f t="shared" si="129"/>
        <v>7</v>
      </c>
      <c r="E128" s="3">
        <f t="shared" ref="E128:F128" ca="1" si="139">E116</f>
        <v>0</v>
      </c>
      <c r="F128" s="3">
        <f t="shared" ca="1" si="139"/>
        <v>297.94737858727848</v>
      </c>
      <c r="G128" s="3">
        <f t="shared" si="131"/>
        <v>31</v>
      </c>
      <c r="I128">
        <f t="shared" si="132"/>
        <v>0</v>
      </c>
      <c r="K128" s="3">
        <f t="shared" si="63"/>
        <v>14171159.489767401</v>
      </c>
      <c r="L128" s="3">
        <f t="shared" ca="1" si="64"/>
        <v>0</v>
      </c>
      <c r="M128" s="3">
        <f t="shared" ca="1" si="65"/>
        <v>4862266.5587752834</v>
      </c>
      <c r="N128" s="3">
        <f t="shared" si="66"/>
        <v>12751836.461500322</v>
      </c>
      <c r="O128" s="3">
        <f t="shared" si="67"/>
        <v>0</v>
      </c>
      <c r="P128" s="3">
        <f t="shared" si="68"/>
        <v>0</v>
      </c>
      <c r="Q128" s="47">
        <f t="shared" ca="1" si="133"/>
        <v>31785262.51004301</v>
      </c>
      <c r="R128" s="47">
        <f>IFERROR(HLOOKUP(B128-1,'EV Forecast WRZ'!$F$124:$T$130,4,FALSE)/12,0)+IFERROR(((HLOOKUP(B128,'EV Forecast WRZ'!$F$116:$T$122,4,FALSE)-HLOOKUP(B128-1,'EV Forecast WRZ'!$F$124:$T$130,4,FALSE)))*C128/78,0)</f>
        <v>34864.855482287981</v>
      </c>
      <c r="S128" s="47">
        <f ca="1">HLOOKUP(B128,Heating!$R$102:$AD$106,5,FALSE)*INDEX(Weather!$BO$1:$CB$20,MATCH(B128,Weather!$BO$1:$BO$20,0),MATCH(C128,Weather!$BO$1:$CB$1,0))/VLOOKUP(B128,Weather!$BO$2:$CB$20,14,FALSE)</f>
        <v>289.63891611094306</v>
      </c>
      <c r="T128" s="47">
        <f t="shared" ca="1" si="123"/>
        <v>31820417.00444141</v>
      </c>
    </row>
    <row r="129" spans="1:20">
      <c r="A129" s="2">
        <f t="shared" si="127"/>
        <v>45900</v>
      </c>
      <c r="B129">
        <f t="shared" si="128"/>
        <v>2025</v>
      </c>
      <c r="C129">
        <f t="shared" si="129"/>
        <v>8</v>
      </c>
      <c r="E129" s="3">
        <f t="shared" ref="E129:F129" ca="1" si="140">E117</f>
        <v>0</v>
      </c>
      <c r="F129" s="3">
        <f t="shared" ca="1" si="140"/>
        <v>272.96558794466404</v>
      </c>
      <c r="G129" s="3">
        <f t="shared" si="131"/>
        <v>31</v>
      </c>
      <c r="I129">
        <f t="shared" si="132"/>
        <v>0</v>
      </c>
      <c r="K129" s="3">
        <f t="shared" si="63"/>
        <v>14171159.489767401</v>
      </c>
      <c r="L129" s="3">
        <f t="shared" ca="1" si="64"/>
        <v>0</v>
      </c>
      <c r="M129" s="3">
        <f t="shared" ca="1" si="65"/>
        <v>4454583.4108454296</v>
      </c>
      <c r="N129" s="3">
        <f t="shared" si="66"/>
        <v>12751836.461500322</v>
      </c>
      <c r="O129" s="3">
        <f t="shared" si="67"/>
        <v>0</v>
      </c>
      <c r="P129" s="3">
        <f t="shared" si="68"/>
        <v>0</v>
      </c>
      <c r="Q129" s="47">
        <f t="shared" ca="1" si="133"/>
        <v>31377579.362113155</v>
      </c>
      <c r="R129" s="47">
        <f>IFERROR(HLOOKUP(B129-1,'EV Forecast WRZ'!$F$124:$T$130,4,FALSE)/12,0)+IFERROR(((HLOOKUP(B129,'EV Forecast WRZ'!$F$116:$T$122,4,FALSE)-HLOOKUP(B129-1,'EV Forecast WRZ'!$F$124:$T$130,4,FALSE)))*C129/78,0)</f>
        <v>35644.722408329122</v>
      </c>
      <c r="S129" s="47">
        <f ca="1">HLOOKUP(B129,Heating!$R$102:$AD$106,5,FALSE)*INDEX(Weather!$BO$1:$CB$20,MATCH(B129,Weather!$BO$1:$BO$20,0),MATCH(C129,Weather!$BO$1:$CB$1,0))/VLOOKUP(B129,Weather!$BO$2:$CB$20,14,FALSE)</f>
        <v>1011.4611646830775</v>
      </c>
      <c r="T129" s="47">
        <f t="shared" ca="1" si="123"/>
        <v>31414235.545686167</v>
      </c>
    </row>
    <row r="130" spans="1:20">
      <c r="A130" s="2">
        <f t="shared" si="127"/>
        <v>45930</v>
      </c>
      <c r="B130">
        <f t="shared" si="128"/>
        <v>2025</v>
      </c>
      <c r="C130">
        <f t="shared" si="129"/>
        <v>9</v>
      </c>
      <c r="E130" s="3">
        <f t="shared" ref="E130:F130" ca="1" si="141">E118</f>
        <v>10.413369565217392</v>
      </c>
      <c r="F130" s="3">
        <f t="shared" ca="1" si="141"/>
        <v>158.67014233954447</v>
      </c>
      <c r="G130" s="3">
        <f t="shared" si="131"/>
        <v>30</v>
      </c>
      <c r="I130">
        <f t="shared" si="132"/>
        <v>1</v>
      </c>
      <c r="K130" s="3">
        <f t="shared" ref="K130:K193" si="142">$X$8</f>
        <v>14171159.489767401</v>
      </c>
      <c r="L130" s="3">
        <f t="shared" ref="L130:L193" ca="1" si="143">E130*$X$9</f>
        <v>86104.646358544662</v>
      </c>
      <c r="M130" s="3">
        <f t="shared" ref="M130:M193" ca="1" si="144">F130*$X$10</f>
        <v>2589371.7562871082</v>
      </c>
      <c r="N130" s="3">
        <f t="shared" ref="N130:N193" si="145">G130*$X$11</f>
        <v>12340486.89822612</v>
      </c>
      <c r="O130" s="3">
        <f t="shared" ref="O130:O193" si="146">H130*$X$12</f>
        <v>0</v>
      </c>
      <c r="P130" s="3">
        <f t="shared" ref="P130:P193" si="147">I130*$X$13</f>
        <v>581324.19044200005</v>
      </c>
      <c r="Q130" s="47">
        <f t="shared" ca="1" si="133"/>
        <v>29768446.981081173</v>
      </c>
      <c r="R130" s="47">
        <f>IFERROR(HLOOKUP(B130-1,'EV Forecast WRZ'!$F$124:$T$130,4,FALSE)/12,0)+IFERROR(((HLOOKUP(B130,'EV Forecast WRZ'!$F$116:$T$122,4,FALSE)-HLOOKUP(B130-1,'EV Forecast WRZ'!$F$124:$T$130,4,FALSE)))*C130/78,0)</f>
        <v>36424.589334370263</v>
      </c>
      <c r="S130" s="47">
        <f ca="1">HLOOKUP(B130,Heating!$R$102:$AD$106,5,FALSE)*INDEX(Weather!$BO$1:$CB$20,MATCH(B130,Weather!$BO$1:$BO$20,0),MATCH(C130,Weather!$BO$1:$CB$1,0))/VLOOKUP(B130,Weather!$BO$2:$CB$20,14,FALSE)</f>
        <v>9838.8212739661139</v>
      </c>
      <c r="T130" s="47">
        <f t="shared" ca="1" si="123"/>
        <v>29814710.391689509</v>
      </c>
    </row>
    <row r="131" spans="1:20">
      <c r="A131" s="2">
        <f t="shared" si="127"/>
        <v>45961</v>
      </c>
      <c r="B131">
        <f t="shared" si="128"/>
        <v>2025</v>
      </c>
      <c r="C131">
        <f t="shared" si="129"/>
        <v>10</v>
      </c>
      <c r="E131" s="3">
        <f t="shared" ref="E131:F131" ca="1" si="148">E119</f>
        <v>130.19639492753623</v>
      </c>
      <c r="F131" s="3">
        <f t="shared" ca="1" si="148"/>
        <v>35.32833333333334</v>
      </c>
      <c r="G131" s="3">
        <f t="shared" si="131"/>
        <v>31</v>
      </c>
      <c r="I131">
        <f t="shared" si="132"/>
        <v>1</v>
      </c>
      <c r="K131" s="3">
        <f t="shared" si="142"/>
        <v>14171159.489767401</v>
      </c>
      <c r="L131" s="3">
        <f t="shared" ca="1" si="143"/>
        <v>1076550.1475946987</v>
      </c>
      <c r="M131" s="3">
        <f t="shared" ca="1" si="144"/>
        <v>576530.57582989987</v>
      </c>
      <c r="N131" s="3">
        <f t="shared" si="145"/>
        <v>12751836.461500322</v>
      </c>
      <c r="O131" s="3">
        <f t="shared" si="146"/>
        <v>0</v>
      </c>
      <c r="P131" s="3">
        <f t="shared" si="147"/>
        <v>581324.19044200005</v>
      </c>
      <c r="Q131" s="47">
        <f t="shared" ca="1" si="133"/>
        <v>29157400.865134325</v>
      </c>
      <c r="R131" s="47">
        <f>IFERROR(HLOOKUP(B131-1,'EV Forecast WRZ'!$F$124:$T$130,4,FALSE)/12,0)+IFERROR(((HLOOKUP(B131,'EV Forecast WRZ'!$F$116:$T$122,4,FALSE)-HLOOKUP(B131-1,'EV Forecast WRZ'!$F$124:$T$130,4,FALSE)))*C131/78,0)</f>
        <v>37204.456260411403</v>
      </c>
      <c r="S131" s="47">
        <f ca="1">HLOOKUP(B131,Heating!$R$102:$AD$106,5,FALSE)*INDEX(Weather!$BO$1:$CB$20,MATCH(B131,Weather!$BO$1:$BO$20,0),MATCH(C131,Weather!$BO$1:$CB$1,0))/VLOOKUP(B131,Weather!$BO$2:$CB$20,14,FALSE)</f>
        <v>42588.209934418272</v>
      </c>
      <c r="T131" s="47">
        <f t="shared" ca="1" si="123"/>
        <v>29237193.531329155</v>
      </c>
    </row>
    <row r="132" spans="1:20">
      <c r="A132" s="2">
        <f t="shared" si="127"/>
        <v>45991</v>
      </c>
      <c r="B132">
        <f t="shared" si="128"/>
        <v>2025</v>
      </c>
      <c r="C132">
        <f t="shared" si="129"/>
        <v>11</v>
      </c>
      <c r="E132" s="3">
        <f t="shared" ref="E132:F132" ca="1" si="149">E120</f>
        <v>307.43824722379077</v>
      </c>
      <c r="F132" s="3">
        <f t="shared" ca="1" si="149"/>
        <v>2.2779166666666657</v>
      </c>
      <c r="G132" s="3">
        <f t="shared" si="131"/>
        <v>30</v>
      </c>
      <c r="I132">
        <f t="shared" si="132"/>
        <v>1</v>
      </c>
      <c r="K132" s="3">
        <f t="shared" si="142"/>
        <v>14171159.489767401</v>
      </c>
      <c r="L132" s="3">
        <f t="shared" ca="1" si="143"/>
        <v>2542103.3401826355</v>
      </c>
      <c r="M132" s="3">
        <f t="shared" ca="1" si="144"/>
        <v>37173.805940251688</v>
      </c>
      <c r="N132" s="3">
        <f t="shared" si="145"/>
        <v>12340486.89822612</v>
      </c>
      <c r="O132" s="3">
        <f t="shared" si="146"/>
        <v>0</v>
      </c>
      <c r="P132" s="3">
        <f t="shared" si="147"/>
        <v>581324.19044200005</v>
      </c>
      <c r="Q132" s="47">
        <f t="shared" ca="1" si="133"/>
        <v>29672247.724558409</v>
      </c>
      <c r="R132" s="47">
        <f>IFERROR(HLOOKUP(B132-1,'EV Forecast WRZ'!$F$124:$T$130,4,FALSE)/12,0)+IFERROR(((HLOOKUP(B132,'EV Forecast WRZ'!$F$116:$T$122,4,FALSE)-HLOOKUP(B132-1,'EV Forecast WRZ'!$F$124:$T$130,4,FALSE)))*C132/78,0)</f>
        <v>37984.323186452544</v>
      </c>
      <c r="S132" s="47">
        <f ca="1">HLOOKUP(B132,Heating!$R$102:$AD$106,5,FALSE)*INDEX(Weather!$BO$1:$CB$20,MATCH(B132,Weather!$BO$1:$BO$20,0),MATCH(C132,Weather!$BO$1:$CB$1,0))/VLOOKUP(B132,Weather!$BO$2:$CB$20,14,FALSE)</f>
        <v>76375.148600404122</v>
      </c>
      <c r="T132" s="47">
        <f t="shared" ca="1" si="123"/>
        <v>29786607.196345266</v>
      </c>
    </row>
    <row r="133" spans="1:20">
      <c r="A133" s="2">
        <f t="shared" si="127"/>
        <v>46022</v>
      </c>
      <c r="B133">
        <f t="shared" si="128"/>
        <v>2025</v>
      </c>
      <c r="C133">
        <f t="shared" si="129"/>
        <v>12</v>
      </c>
      <c r="E133" s="3">
        <f t="shared" ref="E133:F133" ca="1" si="150">E121</f>
        <v>453.92800724637681</v>
      </c>
      <c r="F133" s="3">
        <f t="shared" ca="1" si="150"/>
        <v>0</v>
      </c>
      <c r="G133" s="3">
        <f t="shared" si="131"/>
        <v>31</v>
      </c>
      <c r="I133">
        <f t="shared" si="132"/>
        <v>0</v>
      </c>
      <c r="K133" s="3">
        <f t="shared" si="142"/>
        <v>14171159.489767401</v>
      </c>
      <c r="L133" s="3">
        <f t="shared" ca="1" si="143"/>
        <v>3753377.8371546944</v>
      </c>
      <c r="M133" s="3">
        <f t="shared" ca="1" si="144"/>
        <v>0</v>
      </c>
      <c r="N133" s="3">
        <f t="shared" si="145"/>
        <v>12751836.461500322</v>
      </c>
      <c r="O133" s="3">
        <f t="shared" si="146"/>
        <v>0</v>
      </c>
      <c r="P133" s="3">
        <f t="shared" si="147"/>
        <v>0</v>
      </c>
      <c r="Q133" s="47">
        <f t="shared" ca="1" si="133"/>
        <v>30676373.788422421</v>
      </c>
      <c r="R133" s="47">
        <f>IFERROR(HLOOKUP(B133-1,'EV Forecast WRZ'!$F$124:$T$130,4,FALSE)/12,0)+IFERROR(((HLOOKUP(B133,'EV Forecast WRZ'!$F$116:$T$122,4,FALSE)-HLOOKUP(B133-1,'EV Forecast WRZ'!$F$124:$T$130,4,FALSE)))*C133/78,0)</f>
        <v>38764.190112493685</v>
      </c>
      <c r="S133" s="47">
        <f ca="1">HLOOKUP(B133,Heating!$R$102:$AD$106,5,FALSE)*INDEX(Weather!$BO$1:$CB$20,MATCH(B133,Weather!$BO$1:$BO$20,0),MATCH(C133,Weather!$BO$1:$CB$1,0))/VLOOKUP(B133,Weather!$BO$2:$CB$20,14,FALSE)</f>
        <v>103460.48412608683</v>
      </c>
      <c r="T133" s="47">
        <f t="shared" ca="1" si="123"/>
        <v>30818598.462661002</v>
      </c>
    </row>
    <row r="134" spans="1:20">
      <c r="A134" s="2">
        <f t="shared" si="127"/>
        <v>46053</v>
      </c>
      <c r="B134">
        <f t="shared" si="128"/>
        <v>2026</v>
      </c>
      <c r="C134">
        <f t="shared" si="129"/>
        <v>1</v>
      </c>
      <c r="E134" s="3">
        <f t="shared" ref="E134:F134" ca="1" si="151">E122</f>
        <v>573.33418478260865</v>
      </c>
      <c r="F134" s="3">
        <f t="shared" ca="1" si="151"/>
        <v>0</v>
      </c>
      <c r="G134" s="3">
        <f t="shared" si="131"/>
        <v>31</v>
      </c>
      <c r="I134">
        <f t="shared" si="132"/>
        <v>0</v>
      </c>
      <c r="K134" s="3">
        <f t="shared" si="142"/>
        <v>14171159.489767401</v>
      </c>
      <c r="L134" s="3">
        <f t="shared" ca="1" si="143"/>
        <v>4740707.3106158823</v>
      </c>
      <c r="M134" s="3">
        <f t="shared" ca="1" si="144"/>
        <v>0</v>
      </c>
      <c r="N134" s="3">
        <f t="shared" si="145"/>
        <v>12751836.461500322</v>
      </c>
      <c r="O134" s="3">
        <f t="shared" si="146"/>
        <v>0</v>
      </c>
      <c r="P134" s="3">
        <f t="shared" si="147"/>
        <v>0</v>
      </c>
      <c r="Q134" s="47">
        <f t="shared" ca="1" si="133"/>
        <v>31663703.261883609</v>
      </c>
      <c r="R134" s="47">
        <f>IFERROR(HLOOKUP(B134-1,'EV Forecast WRZ'!$F$124:$T$130,4,FALSE)/12,0)+IFERROR(((HLOOKUP(B134,'EV Forecast WRZ'!$F$116:$T$122,4,FALSE)-HLOOKUP(B134-1,'EV Forecast WRZ'!$F$124:$T$130,4,FALSE)))*C134/78,0)</f>
        <v>40480.951412936207</v>
      </c>
      <c r="S134" s="47">
        <f ca="1">HLOOKUP(B134,Heating!$R$102:$AD$106,5,FALSE)*INDEX(Weather!$BO$1:$CB$20,MATCH(B134,Weather!$BO$1:$BO$20,0),MATCH(C134,Weather!$BO$1:$CB$1,0))/VLOOKUP(B134,Weather!$BO$2:$CB$20,14,FALSE)</f>
        <v>148010.75951335314</v>
      </c>
      <c r="T134" s="47">
        <f t="shared" ca="1" si="123"/>
        <v>31852194.972809896</v>
      </c>
    </row>
    <row r="135" spans="1:20">
      <c r="A135" s="2">
        <f t="shared" si="127"/>
        <v>46081</v>
      </c>
      <c r="B135">
        <f t="shared" si="128"/>
        <v>2026</v>
      </c>
      <c r="C135">
        <f t="shared" si="129"/>
        <v>2</v>
      </c>
      <c r="E135" s="3">
        <f t="shared" ref="E135:F135" ca="1" si="152">E123</f>
        <v>511.05501811594206</v>
      </c>
      <c r="F135" s="3">
        <f t="shared" ca="1" si="152"/>
        <v>0</v>
      </c>
      <c r="G135" s="3">
        <f t="shared" si="131"/>
        <v>28</v>
      </c>
      <c r="I135">
        <f t="shared" si="132"/>
        <v>0</v>
      </c>
      <c r="K135" s="3">
        <f t="shared" si="142"/>
        <v>14171159.489767401</v>
      </c>
      <c r="L135" s="3">
        <f t="shared" ca="1" si="143"/>
        <v>4225741.8532052441</v>
      </c>
      <c r="M135" s="3">
        <f t="shared" ca="1" si="144"/>
        <v>0</v>
      </c>
      <c r="N135" s="3">
        <f t="shared" si="145"/>
        <v>11517787.771677712</v>
      </c>
      <c r="O135" s="3">
        <f t="shared" si="146"/>
        <v>0</v>
      </c>
      <c r="P135" s="3">
        <f t="shared" si="147"/>
        <v>0</v>
      </c>
      <c r="Q135" s="47">
        <f t="shared" ca="1" si="133"/>
        <v>29914689.114650354</v>
      </c>
      <c r="R135" s="47">
        <f>IFERROR(HLOOKUP(B135-1,'EV Forecast WRZ'!$F$124:$T$130,4,FALSE)/12,0)+IFERROR(((HLOOKUP(B135,'EV Forecast WRZ'!$F$116:$T$122,4,FALSE)-HLOOKUP(B135-1,'EV Forecast WRZ'!$F$124:$T$130,4,FALSE)))*C135/78,0)</f>
        <v>41417.845787337596</v>
      </c>
      <c r="S135" s="47">
        <f ca="1">HLOOKUP(B135,Heating!$R$102:$AD$106,5,FALSE)*INDEX(Weather!$BO$1:$CB$20,MATCH(B135,Weather!$BO$1:$BO$20,0),MATCH(C135,Weather!$BO$1:$CB$1,0))/VLOOKUP(B135,Weather!$BO$2:$CB$20,14,FALSE)</f>
        <v>132499.54093411731</v>
      </c>
      <c r="T135" s="47">
        <f t="shared" ca="1" si="123"/>
        <v>30088606.501371808</v>
      </c>
    </row>
    <row r="136" spans="1:20">
      <c r="A136" s="2">
        <f t="shared" si="127"/>
        <v>46112</v>
      </c>
      <c r="B136">
        <f t="shared" si="128"/>
        <v>2026</v>
      </c>
      <c r="C136">
        <f t="shared" si="129"/>
        <v>3</v>
      </c>
      <c r="E136" s="3">
        <f t="shared" ref="E136:F136" ca="1" si="153">E124</f>
        <v>422.13298913043479</v>
      </c>
      <c r="F136" s="3">
        <f t="shared" ca="1" si="153"/>
        <v>2.9583333333332896E-2</v>
      </c>
      <c r="G136" s="3">
        <f t="shared" si="131"/>
        <v>31</v>
      </c>
      <c r="I136">
        <f t="shared" si="132"/>
        <v>0</v>
      </c>
      <c r="K136" s="3">
        <f t="shared" si="142"/>
        <v>14171159.489767401</v>
      </c>
      <c r="L136" s="3">
        <f t="shared" ca="1" si="143"/>
        <v>3490475.5389417186</v>
      </c>
      <c r="M136" s="3">
        <f t="shared" ca="1" si="144"/>
        <v>482.77670052274232</v>
      </c>
      <c r="N136" s="3">
        <f t="shared" si="145"/>
        <v>12751836.461500322</v>
      </c>
      <c r="O136" s="3">
        <f t="shared" si="146"/>
        <v>0</v>
      </c>
      <c r="P136" s="3">
        <f t="shared" si="147"/>
        <v>0</v>
      </c>
      <c r="Q136" s="47">
        <f t="shared" ca="1" si="133"/>
        <v>30413954.266909964</v>
      </c>
      <c r="R136" s="47">
        <f>IFERROR(HLOOKUP(B136-1,'EV Forecast WRZ'!$F$124:$T$130,4,FALSE)/12,0)+IFERROR(((HLOOKUP(B136,'EV Forecast WRZ'!$F$116:$T$122,4,FALSE)-HLOOKUP(B136-1,'EV Forecast WRZ'!$F$124:$T$130,4,FALSE)))*C136/78,0)</f>
        <v>42354.740161738977</v>
      </c>
      <c r="S136" s="47">
        <f ca="1">HLOOKUP(B136,Heating!$R$102:$AD$106,5,FALSE)*INDEX(Weather!$BO$1:$CB$20,MATCH(B136,Weather!$BO$1:$BO$20,0),MATCH(C136,Weather!$BO$1:$CB$1,0))/VLOOKUP(B136,Weather!$BO$2:$CB$20,14,FALSE)</f>
        <v>115917.96341046017</v>
      </c>
      <c r="T136" s="47">
        <f t="shared" ca="1" si="123"/>
        <v>30572226.970482163</v>
      </c>
    </row>
    <row r="137" spans="1:20">
      <c r="A137" s="2">
        <f t="shared" si="127"/>
        <v>46142</v>
      </c>
      <c r="B137">
        <f t="shared" si="128"/>
        <v>2026</v>
      </c>
      <c r="C137">
        <f t="shared" si="129"/>
        <v>4</v>
      </c>
      <c r="E137" s="3">
        <f t="shared" ref="E137:F137" ca="1" si="154">E125</f>
        <v>234.57024621212122</v>
      </c>
      <c r="F137" s="3">
        <f t="shared" ca="1" si="154"/>
        <v>5.6420833333333338</v>
      </c>
      <c r="G137" s="3">
        <f t="shared" si="131"/>
        <v>30</v>
      </c>
      <c r="I137">
        <f t="shared" si="132"/>
        <v>0</v>
      </c>
      <c r="K137" s="3">
        <f t="shared" si="142"/>
        <v>14171159.489767401</v>
      </c>
      <c r="L137" s="3">
        <f t="shared" ca="1" si="143"/>
        <v>1939582.3772350482</v>
      </c>
      <c r="M137" s="3">
        <f t="shared" ca="1" si="144"/>
        <v>92074.356363078172</v>
      </c>
      <c r="N137" s="3">
        <f t="shared" si="145"/>
        <v>12340486.89822612</v>
      </c>
      <c r="O137" s="3">
        <f t="shared" si="146"/>
        <v>0</v>
      </c>
      <c r="P137" s="3">
        <f t="shared" si="147"/>
        <v>0</v>
      </c>
      <c r="Q137" s="47">
        <f t="shared" ca="1" si="133"/>
        <v>28543303.121591646</v>
      </c>
      <c r="R137" s="47">
        <f>IFERROR(HLOOKUP(B137-1,'EV Forecast WRZ'!$F$124:$T$130,4,FALSE)/12,0)+IFERROR(((HLOOKUP(B137,'EV Forecast WRZ'!$F$116:$T$122,4,FALSE)-HLOOKUP(B137-1,'EV Forecast WRZ'!$F$124:$T$130,4,FALSE)))*C137/78,0)</f>
        <v>43291.634536140358</v>
      </c>
      <c r="S137" s="47">
        <f ca="1">HLOOKUP(B137,Heating!$R$102:$AD$106,5,FALSE)*INDEX(Weather!$BO$1:$CB$20,MATCH(B137,Weather!$BO$1:$BO$20,0),MATCH(C137,Weather!$BO$1:$CB$1,0))/VLOOKUP(B137,Weather!$BO$2:$CB$20,14,FALSE)</f>
        <v>74800.668575789139</v>
      </c>
      <c r="T137" s="47">
        <f t="shared" ca="1" si="123"/>
        <v>28661395.424703576</v>
      </c>
    </row>
    <row r="138" spans="1:20">
      <c r="A138" s="2">
        <f t="shared" si="127"/>
        <v>46173</v>
      </c>
      <c r="B138">
        <f t="shared" si="128"/>
        <v>2026</v>
      </c>
      <c r="C138">
        <f t="shared" si="129"/>
        <v>5</v>
      </c>
      <c r="E138" s="3">
        <f t="shared" ref="E138:F138" ca="1" si="155">E126</f>
        <v>64.294809115179262</v>
      </c>
      <c r="F138" s="3">
        <f t="shared" ca="1" si="155"/>
        <v>86.191046176046171</v>
      </c>
      <c r="G138" s="3">
        <f t="shared" si="131"/>
        <v>31</v>
      </c>
      <c r="I138">
        <f t="shared" si="132"/>
        <v>0</v>
      </c>
      <c r="K138" s="3">
        <f t="shared" si="142"/>
        <v>14171159.489767401</v>
      </c>
      <c r="L138" s="3">
        <f t="shared" ca="1" si="143"/>
        <v>531632.1260741764</v>
      </c>
      <c r="M138" s="3">
        <f t="shared" ca="1" si="144"/>
        <v>1406569.9905625524</v>
      </c>
      <c r="N138" s="3">
        <f t="shared" si="145"/>
        <v>12751836.461500322</v>
      </c>
      <c r="O138" s="3">
        <f t="shared" si="146"/>
        <v>0</v>
      </c>
      <c r="P138" s="3">
        <f t="shared" si="147"/>
        <v>0</v>
      </c>
      <c r="Q138" s="47">
        <f t="shared" ca="1" si="133"/>
        <v>28861198.06790445</v>
      </c>
      <c r="R138" s="47">
        <f>IFERROR(HLOOKUP(B138-1,'EV Forecast WRZ'!$F$124:$T$130,4,FALSE)/12,0)+IFERROR(((HLOOKUP(B138,'EV Forecast WRZ'!$F$116:$T$122,4,FALSE)-HLOOKUP(B138-1,'EV Forecast WRZ'!$F$124:$T$130,4,FALSE)))*C138/78,0)</f>
        <v>44228.528910541747</v>
      </c>
      <c r="S138" s="47">
        <f ca="1">HLOOKUP(B138,Heating!$R$102:$AD$106,5,FALSE)*INDEX(Weather!$BO$1:$CB$20,MATCH(B138,Weather!$BO$1:$BO$20,0),MATCH(C138,Weather!$BO$1:$CB$1,0))/VLOOKUP(B138,Weather!$BO$2:$CB$20,14,FALSE)</f>
        <v>31866.896486840909</v>
      </c>
      <c r="T138" s="47">
        <f t="shared" ca="1" si="123"/>
        <v>28937293.493301831</v>
      </c>
    </row>
    <row r="139" spans="1:20">
      <c r="A139" s="2">
        <f t="shared" si="127"/>
        <v>46203</v>
      </c>
      <c r="B139">
        <f t="shared" si="128"/>
        <v>2026</v>
      </c>
      <c r="C139">
        <f t="shared" si="129"/>
        <v>6</v>
      </c>
      <c r="E139" s="3">
        <f t="shared" ref="E139:F139" ca="1" si="156">E127</f>
        <v>3.2341666666666669</v>
      </c>
      <c r="F139" s="3">
        <f t="shared" ca="1" si="156"/>
        <v>194.94285087738348</v>
      </c>
      <c r="G139" s="3">
        <f t="shared" si="131"/>
        <v>30</v>
      </c>
      <c r="I139">
        <f t="shared" si="132"/>
        <v>0</v>
      </c>
      <c r="K139" s="3">
        <f t="shared" si="142"/>
        <v>14171159.489767401</v>
      </c>
      <c r="L139" s="3">
        <f t="shared" ca="1" si="143"/>
        <v>26742.235100163085</v>
      </c>
      <c r="M139" s="3">
        <f t="shared" ca="1" si="144"/>
        <v>3181313.7916759965</v>
      </c>
      <c r="N139" s="3">
        <f t="shared" si="145"/>
        <v>12340486.89822612</v>
      </c>
      <c r="O139" s="3">
        <f t="shared" si="146"/>
        <v>0</v>
      </c>
      <c r="P139" s="3">
        <f t="shared" si="147"/>
        <v>0</v>
      </c>
      <c r="Q139" s="47">
        <f t="shared" ca="1" si="133"/>
        <v>29719702.414769679</v>
      </c>
      <c r="R139" s="47">
        <f>IFERROR(HLOOKUP(B139-1,'EV Forecast WRZ'!$F$124:$T$130,4,FALSE)/12,0)+IFERROR(((HLOOKUP(B139,'EV Forecast WRZ'!$F$116:$T$122,4,FALSE)-HLOOKUP(B139-1,'EV Forecast WRZ'!$F$124:$T$130,4,FALSE)))*C139/78,0)</f>
        <v>45165.423284943128</v>
      </c>
      <c r="S139" s="47">
        <f ca="1">HLOOKUP(B139,Heating!$R$102:$AD$106,5,FALSE)*INDEX(Weather!$BO$1:$CB$20,MATCH(B139,Weather!$BO$1:$BO$20,0),MATCH(C139,Weather!$BO$1:$CB$1,0))/VLOOKUP(B139,Weather!$BO$2:$CB$20,14,FALSE)</f>
        <v>6902.6397108130632</v>
      </c>
      <c r="T139" s="47">
        <f t="shared" ca="1" si="123"/>
        <v>29771770.477765437</v>
      </c>
    </row>
    <row r="140" spans="1:20">
      <c r="A140" s="2">
        <f t="shared" si="127"/>
        <v>46234</v>
      </c>
      <c r="B140">
        <f t="shared" si="128"/>
        <v>2026</v>
      </c>
      <c r="C140">
        <f t="shared" si="129"/>
        <v>7</v>
      </c>
      <c r="E140" s="3">
        <f t="shared" ref="E140:F140" ca="1" si="157">E128</f>
        <v>0</v>
      </c>
      <c r="F140" s="3">
        <f t="shared" ca="1" si="157"/>
        <v>297.94737858727848</v>
      </c>
      <c r="G140" s="3">
        <f t="shared" si="131"/>
        <v>31</v>
      </c>
      <c r="I140">
        <f t="shared" si="132"/>
        <v>0</v>
      </c>
      <c r="K140" s="3">
        <f t="shared" si="142"/>
        <v>14171159.489767401</v>
      </c>
      <c r="L140" s="3">
        <f t="shared" ca="1" si="143"/>
        <v>0</v>
      </c>
      <c r="M140" s="3">
        <f t="shared" ca="1" si="144"/>
        <v>4862266.5587752834</v>
      </c>
      <c r="N140" s="3">
        <f t="shared" si="145"/>
        <v>12751836.461500322</v>
      </c>
      <c r="O140" s="3">
        <f t="shared" si="146"/>
        <v>0</v>
      </c>
      <c r="P140" s="3">
        <f t="shared" si="147"/>
        <v>0</v>
      </c>
      <c r="Q140" s="47">
        <f t="shared" ca="1" si="133"/>
        <v>31785262.51004301</v>
      </c>
      <c r="R140" s="47">
        <f>IFERROR(HLOOKUP(B140-1,'EV Forecast WRZ'!$F$124:$T$130,4,FALSE)/12,0)+IFERROR(((HLOOKUP(B140,'EV Forecast WRZ'!$F$116:$T$122,4,FALSE)-HLOOKUP(B140-1,'EV Forecast WRZ'!$F$124:$T$130,4,FALSE)))*C140/78,0)</f>
        <v>46102.31765934451</v>
      </c>
      <c r="S140" s="47">
        <f ca="1">HLOOKUP(B140,Heating!$R$102:$AD$106,5,FALSE)*INDEX(Weather!$BO$1:$CB$20,MATCH(B140,Weather!$BO$1:$BO$20,0),MATCH(C140,Weather!$BO$1:$CB$1,0))/VLOOKUP(B140,Weather!$BO$2:$CB$20,14,FALSE)</f>
        <v>343.40647552980545</v>
      </c>
      <c r="T140" s="47">
        <f t="shared" ca="1" si="123"/>
        <v>31831708.234177884</v>
      </c>
    </row>
    <row r="141" spans="1:20">
      <c r="A141" s="2">
        <f t="shared" si="127"/>
        <v>46265</v>
      </c>
      <c r="B141">
        <f t="shared" si="128"/>
        <v>2026</v>
      </c>
      <c r="C141">
        <f t="shared" si="129"/>
        <v>8</v>
      </c>
      <c r="E141" s="3">
        <f t="shared" ref="E141:F141" ca="1" si="158">E129</f>
        <v>0</v>
      </c>
      <c r="F141" s="3">
        <f t="shared" ca="1" si="158"/>
        <v>272.96558794466404</v>
      </c>
      <c r="G141" s="3">
        <f t="shared" si="131"/>
        <v>31</v>
      </c>
      <c r="I141">
        <f t="shared" si="132"/>
        <v>0</v>
      </c>
      <c r="K141" s="3">
        <f t="shared" si="142"/>
        <v>14171159.489767401</v>
      </c>
      <c r="L141" s="3">
        <f t="shared" ca="1" si="143"/>
        <v>0</v>
      </c>
      <c r="M141" s="3">
        <f t="shared" ca="1" si="144"/>
        <v>4454583.4108454296</v>
      </c>
      <c r="N141" s="3">
        <f t="shared" si="145"/>
        <v>12751836.461500322</v>
      </c>
      <c r="O141" s="3">
        <f t="shared" si="146"/>
        <v>0</v>
      </c>
      <c r="P141" s="3">
        <f t="shared" si="147"/>
        <v>0</v>
      </c>
      <c r="Q141" s="47">
        <f t="shared" ca="1" si="133"/>
        <v>31377579.362113155</v>
      </c>
      <c r="R141" s="47">
        <f>IFERROR(HLOOKUP(B141-1,'EV Forecast WRZ'!$F$124:$T$130,4,FALSE)/12,0)+IFERROR(((HLOOKUP(B141,'EV Forecast WRZ'!$F$116:$T$122,4,FALSE)-HLOOKUP(B141-1,'EV Forecast WRZ'!$F$124:$T$130,4,FALSE)))*C141/78,0)</f>
        <v>47039.212033745898</v>
      </c>
      <c r="S141" s="47">
        <f ca="1">HLOOKUP(B141,Heating!$R$102:$AD$106,5,FALSE)*INDEX(Weather!$BO$1:$CB$20,MATCH(B141,Weather!$BO$1:$BO$20,0),MATCH(C141,Weather!$BO$1:$CB$1,0))/VLOOKUP(B141,Weather!$BO$2:$CB$20,14,FALSE)</f>
        <v>1199.2252918321306</v>
      </c>
      <c r="T141" s="47">
        <f t="shared" ca="1" si="123"/>
        <v>31425817.799438734</v>
      </c>
    </row>
    <row r="142" spans="1:20">
      <c r="A142" s="2">
        <f t="shared" si="127"/>
        <v>46295</v>
      </c>
      <c r="B142">
        <f t="shared" si="128"/>
        <v>2026</v>
      </c>
      <c r="C142">
        <f t="shared" si="129"/>
        <v>9</v>
      </c>
      <c r="E142" s="3">
        <f t="shared" ref="E142:F142" ca="1" si="159">E130</f>
        <v>10.413369565217392</v>
      </c>
      <c r="F142" s="3">
        <f t="shared" ca="1" si="159"/>
        <v>158.67014233954447</v>
      </c>
      <c r="G142" s="3">
        <f t="shared" si="131"/>
        <v>30</v>
      </c>
      <c r="I142">
        <f t="shared" si="132"/>
        <v>1</v>
      </c>
      <c r="K142" s="3">
        <f t="shared" si="142"/>
        <v>14171159.489767401</v>
      </c>
      <c r="L142" s="3">
        <f t="shared" ca="1" si="143"/>
        <v>86104.646358544662</v>
      </c>
      <c r="M142" s="3">
        <f t="shared" ca="1" si="144"/>
        <v>2589371.7562871082</v>
      </c>
      <c r="N142" s="3">
        <f t="shared" si="145"/>
        <v>12340486.89822612</v>
      </c>
      <c r="O142" s="3">
        <f t="shared" si="146"/>
        <v>0</v>
      </c>
      <c r="P142" s="3">
        <f t="shared" si="147"/>
        <v>581324.19044200005</v>
      </c>
      <c r="Q142" s="47">
        <f t="shared" ca="1" si="133"/>
        <v>29768446.981081173</v>
      </c>
      <c r="R142" s="47">
        <f>IFERROR(HLOOKUP(B142-1,'EV Forecast WRZ'!$F$124:$T$130,4,FALSE)/12,0)+IFERROR(((HLOOKUP(B142,'EV Forecast WRZ'!$F$116:$T$122,4,FALSE)-HLOOKUP(B142-1,'EV Forecast WRZ'!$F$124:$T$130,4,FALSE)))*C142/78,0)</f>
        <v>47976.10640814728</v>
      </c>
      <c r="S142" s="47">
        <f ca="1">HLOOKUP(B142,Heating!$R$102:$AD$106,5,FALSE)*INDEX(Weather!$BO$1:$CB$20,MATCH(B142,Weather!$BO$1:$BO$20,0),MATCH(C142,Weather!$BO$1:$CB$1,0))/VLOOKUP(B142,Weather!$BO$2:$CB$20,14,FALSE)</f>
        <v>11665.265781364107</v>
      </c>
      <c r="T142" s="47">
        <f t="shared" ca="1" si="123"/>
        <v>29828088.353270687</v>
      </c>
    </row>
    <row r="143" spans="1:20">
      <c r="A143" s="2">
        <f t="shared" si="127"/>
        <v>46326</v>
      </c>
      <c r="B143">
        <f t="shared" si="128"/>
        <v>2026</v>
      </c>
      <c r="C143">
        <f t="shared" si="129"/>
        <v>10</v>
      </c>
      <c r="E143" s="3">
        <f t="shared" ref="E143:F143" ca="1" si="160">E131</f>
        <v>130.19639492753623</v>
      </c>
      <c r="F143" s="3">
        <f t="shared" ca="1" si="160"/>
        <v>35.32833333333334</v>
      </c>
      <c r="G143" s="3">
        <f t="shared" si="131"/>
        <v>31</v>
      </c>
      <c r="I143">
        <f t="shared" si="132"/>
        <v>1</v>
      </c>
      <c r="K143" s="3">
        <f t="shared" si="142"/>
        <v>14171159.489767401</v>
      </c>
      <c r="L143" s="3">
        <f t="shared" ca="1" si="143"/>
        <v>1076550.1475946987</v>
      </c>
      <c r="M143" s="3">
        <f t="shared" ca="1" si="144"/>
        <v>576530.57582989987</v>
      </c>
      <c r="N143" s="3">
        <f t="shared" si="145"/>
        <v>12751836.461500322</v>
      </c>
      <c r="O143" s="3">
        <f t="shared" si="146"/>
        <v>0</v>
      </c>
      <c r="P143" s="3">
        <f t="shared" si="147"/>
        <v>581324.19044200005</v>
      </c>
      <c r="Q143" s="47">
        <f t="shared" ca="1" si="133"/>
        <v>29157400.865134325</v>
      </c>
      <c r="R143" s="47">
        <f>IFERROR(HLOOKUP(B143-1,'EV Forecast WRZ'!$F$124:$T$130,4,FALSE)/12,0)+IFERROR(((HLOOKUP(B143,'EV Forecast WRZ'!$F$116:$T$122,4,FALSE)-HLOOKUP(B143-1,'EV Forecast WRZ'!$F$124:$T$130,4,FALSE)))*C143/78,0)</f>
        <v>48913.000782548668</v>
      </c>
      <c r="S143" s="47">
        <f ca="1">HLOOKUP(B143,Heating!$R$102:$AD$106,5,FALSE)*INDEX(Weather!$BO$1:$CB$20,MATCH(B143,Weather!$BO$1:$BO$20,0),MATCH(C143,Weather!$BO$1:$CB$1,0))/VLOOKUP(B143,Weather!$BO$2:$CB$20,14,FALSE)</f>
        <v>50494.136869025046</v>
      </c>
      <c r="T143" s="47">
        <f t="shared" ca="1" si="123"/>
        <v>29256808.002785899</v>
      </c>
    </row>
    <row r="144" spans="1:20">
      <c r="A144" s="2">
        <f t="shared" si="127"/>
        <v>46356</v>
      </c>
      <c r="B144">
        <f t="shared" si="128"/>
        <v>2026</v>
      </c>
      <c r="C144">
        <f t="shared" si="129"/>
        <v>11</v>
      </c>
      <c r="E144" s="3">
        <f t="shared" ref="E144:F144" ca="1" si="161">E132</f>
        <v>307.43824722379077</v>
      </c>
      <c r="F144" s="3">
        <f t="shared" ca="1" si="161"/>
        <v>2.2779166666666657</v>
      </c>
      <c r="G144" s="3">
        <f t="shared" si="131"/>
        <v>30</v>
      </c>
      <c r="I144">
        <f t="shared" si="132"/>
        <v>1</v>
      </c>
      <c r="K144" s="3">
        <f t="shared" si="142"/>
        <v>14171159.489767401</v>
      </c>
      <c r="L144" s="3">
        <f t="shared" ca="1" si="143"/>
        <v>2542103.3401826355</v>
      </c>
      <c r="M144" s="3">
        <f t="shared" ca="1" si="144"/>
        <v>37173.805940251688</v>
      </c>
      <c r="N144" s="3">
        <f t="shared" si="145"/>
        <v>12340486.89822612</v>
      </c>
      <c r="O144" s="3">
        <f t="shared" si="146"/>
        <v>0</v>
      </c>
      <c r="P144" s="3">
        <f t="shared" si="147"/>
        <v>581324.19044200005</v>
      </c>
      <c r="Q144" s="47">
        <f t="shared" ca="1" si="133"/>
        <v>29672247.724558409</v>
      </c>
      <c r="R144" s="47">
        <f>IFERROR(HLOOKUP(B144-1,'EV Forecast WRZ'!$F$124:$T$130,4,FALSE)/12,0)+IFERROR(((HLOOKUP(B144,'EV Forecast WRZ'!$F$116:$T$122,4,FALSE)-HLOOKUP(B144-1,'EV Forecast WRZ'!$F$124:$T$130,4,FALSE)))*C144/78,0)</f>
        <v>49849.89515695005</v>
      </c>
      <c r="S144" s="47">
        <f ca="1">HLOOKUP(B144,Heating!$R$102:$AD$106,5,FALSE)*INDEX(Weather!$BO$1:$CB$20,MATCH(B144,Weather!$BO$1:$BO$20,0),MATCH(C144,Weather!$BO$1:$CB$1,0))/VLOOKUP(B144,Weather!$BO$2:$CB$20,14,FALSE)</f>
        <v>90553.16513090278</v>
      </c>
      <c r="T144" s="47">
        <f t="shared" ca="1" si="123"/>
        <v>29812650.784846261</v>
      </c>
    </row>
    <row r="145" spans="1:20">
      <c r="A145" s="2">
        <f t="shared" si="127"/>
        <v>46387</v>
      </c>
      <c r="B145">
        <f t="shared" si="128"/>
        <v>2026</v>
      </c>
      <c r="C145">
        <f t="shared" si="129"/>
        <v>12</v>
      </c>
      <c r="E145" s="3">
        <f t="shared" ref="E145:F145" ca="1" si="162">E133</f>
        <v>453.92800724637681</v>
      </c>
      <c r="F145" s="3">
        <f t="shared" ca="1" si="162"/>
        <v>0</v>
      </c>
      <c r="G145" s="3">
        <f t="shared" si="131"/>
        <v>31</v>
      </c>
      <c r="I145">
        <f t="shared" si="132"/>
        <v>0</v>
      </c>
      <c r="K145" s="3">
        <f t="shared" si="142"/>
        <v>14171159.489767401</v>
      </c>
      <c r="L145" s="3">
        <f t="shared" ca="1" si="143"/>
        <v>3753377.8371546944</v>
      </c>
      <c r="M145" s="3">
        <f t="shared" ca="1" si="144"/>
        <v>0</v>
      </c>
      <c r="N145" s="3">
        <f t="shared" si="145"/>
        <v>12751836.461500322</v>
      </c>
      <c r="O145" s="3">
        <f t="shared" si="146"/>
        <v>0</v>
      </c>
      <c r="P145" s="3">
        <f t="shared" si="147"/>
        <v>0</v>
      </c>
      <c r="Q145" s="47">
        <f t="shared" ca="1" si="133"/>
        <v>30676373.788422421</v>
      </c>
      <c r="R145" s="47">
        <f>IFERROR(HLOOKUP(B145-1,'EV Forecast WRZ'!$F$124:$T$130,4,FALSE)/12,0)+IFERROR(((HLOOKUP(B145,'EV Forecast WRZ'!$F$116:$T$122,4,FALSE)-HLOOKUP(B145-1,'EV Forecast WRZ'!$F$124:$T$130,4,FALSE)))*C145/78,0)</f>
        <v>50786.789531351431</v>
      </c>
      <c r="S145" s="47">
        <f ca="1">HLOOKUP(B145,Heating!$R$102:$AD$106,5,FALSE)*INDEX(Weather!$BO$1:$CB$20,MATCH(B145,Weather!$BO$1:$BO$20,0),MATCH(C145,Weather!$BO$1:$CB$1,0))/VLOOKUP(B145,Weather!$BO$2:$CB$20,14,FALSE)</f>
        <v>122666.52799079617</v>
      </c>
      <c r="T145" s="47">
        <f t="shared" ca="1" si="123"/>
        <v>30849827.105944566</v>
      </c>
    </row>
    <row r="146" spans="1:20">
      <c r="A146" s="2">
        <f t="shared" si="127"/>
        <v>46418</v>
      </c>
      <c r="B146">
        <f t="shared" si="128"/>
        <v>2027</v>
      </c>
      <c r="C146">
        <f t="shared" si="129"/>
        <v>1</v>
      </c>
      <c r="E146" s="3">
        <f t="shared" ref="E146:F146" ca="1" si="163">E134</f>
        <v>573.33418478260865</v>
      </c>
      <c r="F146" s="3">
        <f t="shared" ca="1" si="163"/>
        <v>0</v>
      </c>
      <c r="G146" s="3">
        <f t="shared" si="131"/>
        <v>31</v>
      </c>
      <c r="I146">
        <f t="shared" si="132"/>
        <v>0</v>
      </c>
      <c r="K146" s="3">
        <f t="shared" si="142"/>
        <v>14171159.489767401</v>
      </c>
      <c r="L146" s="3">
        <f t="shared" ca="1" si="143"/>
        <v>4740707.3106158823</v>
      </c>
      <c r="M146" s="3">
        <f t="shared" ca="1" si="144"/>
        <v>0</v>
      </c>
      <c r="N146" s="3">
        <f t="shared" si="145"/>
        <v>12751836.461500322</v>
      </c>
      <c r="O146" s="3">
        <f t="shared" si="146"/>
        <v>0</v>
      </c>
      <c r="P146" s="3">
        <f t="shared" si="147"/>
        <v>0</v>
      </c>
      <c r="Q146" s="47">
        <f t="shared" ca="1" si="133"/>
        <v>31663703.261883609</v>
      </c>
      <c r="R146" s="47">
        <f>IFERROR(HLOOKUP(B146-1,'EV Forecast WRZ'!$F$124:$T$130,4,FALSE)/12,0)+IFERROR(((HLOOKUP(B146,'EV Forecast WRZ'!$F$116:$T$122,4,FALSE)-HLOOKUP(B146-1,'EV Forecast WRZ'!$F$124:$T$130,4,FALSE)))*C146/78,0)</f>
        <v>52690.792342136861</v>
      </c>
      <c r="S146" s="47">
        <f ca="1">HLOOKUP(B146,Heating!$R$102:$AD$106,5,FALSE)*INDEX(Weather!$BO$1:$CB$20,MATCH(B146,Weather!$BO$1:$BO$20,0),MATCH(C146,Weather!$BO$1:$CB$1,0))/VLOOKUP(B146,Weather!$BO$2:$CB$20,14,FALSE)</f>
        <v>172155.59978720313</v>
      </c>
      <c r="T146" s="47">
        <f t="shared" ca="1" si="123"/>
        <v>31888549.654012948</v>
      </c>
    </row>
    <row r="147" spans="1:20">
      <c r="A147" s="2">
        <f t="shared" si="127"/>
        <v>46446</v>
      </c>
      <c r="B147">
        <f t="shared" si="128"/>
        <v>2027</v>
      </c>
      <c r="C147">
        <f t="shared" si="129"/>
        <v>2</v>
      </c>
      <c r="E147" s="3">
        <f t="shared" ref="E147:F147" ca="1" si="164">E135</f>
        <v>511.05501811594206</v>
      </c>
      <c r="F147" s="3">
        <f t="shared" ca="1" si="164"/>
        <v>0</v>
      </c>
      <c r="G147" s="3">
        <f t="shared" si="131"/>
        <v>29</v>
      </c>
      <c r="I147">
        <f t="shared" si="132"/>
        <v>0</v>
      </c>
      <c r="K147" s="3">
        <f t="shared" si="142"/>
        <v>14171159.489767401</v>
      </c>
      <c r="L147" s="3">
        <f t="shared" ca="1" si="143"/>
        <v>4225741.8532052441</v>
      </c>
      <c r="M147" s="3">
        <f t="shared" ca="1" si="144"/>
        <v>0</v>
      </c>
      <c r="N147" s="3">
        <f t="shared" si="145"/>
        <v>11929137.334951915</v>
      </c>
      <c r="O147" s="3">
        <f t="shared" si="146"/>
        <v>0</v>
      </c>
      <c r="P147" s="3">
        <f t="shared" si="147"/>
        <v>0</v>
      </c>
      <c r="Q147" s="47">
        <f t="shared" ca="1" si="133"/>
        <v>30326038.677924559</v>
      </c>
      <c r="R147" s="47">
        <f>IFERROR(HLOOKUP(B147-1,'EV Forecast WRZ'!$F$124:$T$130,4,FALSE)/12,0)+IFERROR(((HLOOKUP(B147,'EV Forecast WRZ'!$F$116:$T$122,4,FALSE)-HLOOKUP(B147-1,'EV Forecast WRZ'!$F$124:$T$130,4,FALSE)))*C147/78,0)</f>
        <v>53657.900778520903</v>
      </c>
      <c r="S147" s="47">
        <f ca="1">HLOOKUP(B147,Heating!$R$102:$AD$106,5,FALSE)*INDEX(Weather!$BO$1:$CB$20,MATCH(B147,Weather!$BO$1:$BO$20,0),MATCH(C147,Weather!$BO$1:$CB$1,0))/VLOOKUP(B147,Weather!$BO$2:$CB$20,14,FALSE)</f>
        <v>154114.05235701211</v>
      </c>
      <c r="T147" s="47">
        <f t="shared" ca="1" si="123"/>
        <v>30533810.63106009</v>
      </c>
    </row>
    <row r="148" spans="1:20">
      <c r="A148" s="2">
        <f t="shared" si="127"/>
        <v>46477</v>
      </c>
      <c r="B148">
        <f t="shared" si="128"/>
        <v>2027</v>
      </c>
      <c r="C148">
        <f t="shared" si="129"/>
        <v>3</v>
      </c>
      <c r="E148" s="3">
        <f t="shared" ref="E148:F148" ca="1" si="165">E136</f>
        <v>422.13298913043479</v>
      </c>
      <c r="F148" s="3">
        <f t="shared" ca="1" si="165"/>
        <v>2.9583333333332896E-2</v>
      </c>
      <c r="G148" s="3">
        <f t="shared" si="131"/>
        <v>31</v>
      </c>
      <c r="I148">
        <f t="shared" si="132"/>
        <v>0</v>
      </c>
      <c r="K148" s="3">
        <f t="shared" si="142"/>
        <v>14171159.489767401</v>
      </c>
      <c r="L148" s="3">
        <f t="shared" ca="1" si="143"/>
        <v>3490475.5389417186</v>
      </c>
      <c r="M148" s="3">
        <f t="shared" ca="1" si="144"/>
        <v>482.77670052274232</v>
      </c>
      <c r="N148" s="3">
        <f t="shared" si="145"/>
        <v>12751836.461500322</v>
      </c>
      <c r="O148" s="3">
        <f t="shared" si="146"/>
        <v>0</v>
      </c>
      <c r="P148" s="3">
        <f t="shared" si="147"/>
        <v>0</v>
      </c>
      <c r="Q148" s="47">
        <f t="shared" ca="1" si="133"/>
        <v>30413954.266909964</v>
      </c>
      <c r="R148" s="47">
        <f>IFERROR(HLOOKUP(B148-1,'EV Forecast WRZ'!$F$124:$T$130,4,FALSE)/12,0)+IFERROR(((HLOOKUP(B148,'EV Forecast WRZ'!$F$116:$T$122,4,FALSE)-HLOOKUP(B148-1,'EV Forecast WRZ'!$F$124:$T$130,4,FALSE)))*C148/78,0)</f>
        <v>54625.009214904952</v>
      </c>
      <c r="S148" s="47">
        <f ca="1">HLOOKUP(B148,Heating!$R$102:$AD$106,5,FALSE)*INDEX(Weather!$BO$1:$CB$20,MATCH(B148,Weather!$BO$1:$BO$20,0),MATCH(C148,Weather!$BO$1:$CB$1,0))/VLOOKUP(B148,Weather!$BO$2:$CB$20,14,FALSE)</f>
        <v>134827.53944816062</v>
      </c>
      <c r="T148" s="47">
        <f t="shared" ca="1" si="123"/>
        <v>30603406.815573029</v>
      </c>
    </row>
    <row r="149" spans="1:20">
      <c r="A149" s="2">
        <f t="shared" si="127"/>
        <v>46507</v>
      </c>
      <c r="B149">
        <f t="shared" si="128"/>
        <v>2027</v>
      </c>
      <c r="C149">
        <f t="shared" si="129"/>
        <v>4</v>
      </c>
      <c r="E149" s="3">
        <f t="shared" ref="E149:F149" ca="1" si="166">E137</f>
        <v>234.57024621212122</v>
      </c>
      <c r="F149" s="3">
        <f t="shared" ca="1" si="166"/>
        <v>5.6420833333333338</v>
      </c>
      <c r="G149" s="3">
        <f t="shared" si="131"/>
        <v>30</v>
      </c>
      <c r="I149">
        <f t="shared" si="132"/>
        <v>0</v>
      </c>
      <c r="K149" s="3">
        <f t="shared" si="142"/>
        <v>14171159.489767401</v>
      </c>
      <c r="L149" s="3">
        <f t="shared" ca="1" si="143"/>
        <v>1939582.3772350482</v>
      </c>
      <c r="M149" s="3">
        <f t="shared" ca="1" si="144"/>
        <v>92074.356363078172</v>
      </c>
      <c r="N149" s="3">
        <f t="shared" si="145"/>
        <v>12340486.89822612</v>
      </c>
      <c r="O149" s="3">
        <f t="shared" si="146"/>
        <v>0</v>
      </c>
      <c r="P149" s="3">
        <f t="shared" si="147"/>
        <v>0</v>
      </c>
      <c r="Q149" s="47">
        <f t="shared" ca="1" si="133"/>
        <v>28543303.121591646</v>
      </c>
      <c r="R149" s="47">
        <f>IFERROR(HLOOKUP(B149-1,'EV Forecast WRZ'!$F$124:$T$130,4,FALSE)/12,0)+IFERROR(((HLOOKUP(B149,'EV Forecast WRZ'!$F$116:$T$122,4,FALSE)-HLOOKUP(B149-1,'EV Forecast WRZ'!$F$124:$T$130,4,FALSE)))*C149/78,0)</f>
        <v>55592.117651288994</v>
      </c>
      <c r="S149" s="47">
        <f ca="1">HLOOKUP(B149,Heating!$R$102:$AD$106,5,FALSE)*INDEX(Weather!$BO$1:$CB$20,MATCH(B149,Weather!$BO$1:$BO$20,0),MATCH(C149,Weather!$BO$1:$CB$1,0))/VLOOKUP(B149,Weather!$BO$2:$CB$20,14,FALSE)</f>
        <v>87002.823345332639</v>
      </c>
      <c r="T149" s="47">
        <f t="shared" ca="1" si="123"/>
        <v>28685898.062588267</v>
      </c>
    </row>
    <row r="150" spans="1:20">
      <c r="A150" s="2">
        <f t="shared" si="127"/>
        <v>46538</v>
      </c>
      <c r="B150">
        <f t="shared" si="128"/>
        <v>2027</v>
      </c>
      <c r="C150">
        <f t="shared" si="129"/>
        <v>5</v>
      </c>
      <c r="E150" s="3">
        <f t="shared" ref="E150:F150" ca="1" si="167">E138</f>
        <v>64.294809115179262</v>
      </c>
      <c r="F150" s="3">
        <f t="shared" ca="1" si="167"/>
        <v>86.191046176046171</v>
      </c>
      <c r="G150" s="3">
        <f t="shared" si="131"/>
        <v>31</v>
      </c>
      <c r="I150">
        <f t="shared" si="132"/>
        <v>0</v>
      </c>
      <c r="K150" s="3">
        <f t="shared" si="142"/>
        <v>14171159.489767401</v>
      </c>
      <c r="L150" s="3">
        <f t="shared" ca="1" si="143"/>
        <v>531632.1260741764</v>
      </c>
      <c r="M150" s="3">
        <f t="shared" ca="1" si="144"/>
        <v>1406569.9905625524</v>
      </c>
      <c r="N150" s="3">
        <f t="shared" si="145"/>
        <v>12751836.461500322</v>
      </c>
      <c r="O150" s="3">
        <f t="shared" si="146"/>
        <v>0</v>
      </c>
      <c r="P150" s="3">
        <f t="shared" si="147"/>
        <v>0</v>
      </c>
      <c r="Q150" s="47">
        <f t="shared" ca="1" si="133"/>
        <v>28861198.06790445</v>
      </c>
      <c r="R150" s="47">
        <f>IFERROR(HLOOKUP(B150-1,'EV Forecast WRZ'!$F$124:$T$130,4,FALSE)/12,0)+IFERROR(((HLOOKUP(B150,'EV Forecast WRZ'!$F$116:$T$122,4,FALSE)-HLOOKUP(B150-1,'EV Forecast WRZ'!$F$124:$T$130,4,FALSE)))*C150/78,0)</f>
        <v>56559.226087673043</v>
      </c>
      <c r="S150" s="47">
        <f ca="1">HLOOKUP(B150,Heating!$R$102:$AD$106,5,FALSE)*INDEX(Weather!$BO$1:$CB$20,MATCH(B150,Weather!$BO$1:$BO$20,0),MATCH(C150,Weather!$BO$1:$CB$1,0))/VLOOKUP(B150,Weather!$BO$2:$CB$20,14,FALSE)</f>
        <v>37065.309955077115</v>
      </c>
      <c r="T150" s="47">
        <f t="shared" ca="1" si="123"/>
        <v>28954822.6039472</v>
      </c>
    </row>
    <row r="151" spans="1:20">
      <c r="A151" s="2">
        <f t="shared" si="127"/>
        <v>46568</v>
      </c>
      <c r="B151">
        <f t="shared" si="128"/>
        <v>2027</v>
      </c>
      <c r="C151">
        <f t="shared" si="129"/>
        <v>6</v>
      </c>
      <c r="E151" s="3">
        <f t="shared" ref="E151:F151" ca="1" si="168">E139</f>
        <v>3.2341666666666669</v>
      </c>
      <c r="F151" s="3">
        <f t="shared" ca="1" si="168"/>
        <v>194.94285087738348</v>
      </c>
      <c r="G151" s="3">
        <f t="shared" si="131"/>
        <v>30</v>
      </c>
      <c r="I151">
        <f t="shared" si="132"/>
        <v>0</v>
      </c>
      <c r="K151" s="3">
        <f t="shared" si="142"/>
        <v>14171159.489767401</v>
      </c>
      <c r="L151" s="3">
        <f t="shared" ca="1" si="143"/>
        <v>26742.235100163085</v>
      </c>
      <c r="M151" s="3">
        <f t="shared" ca="1" si="144"/>
        <v>3181313.7916759965</v>
      </c>
      <c r="N151" s="3">
        <f t="shared" si="145"/>
        <v>12340486.89822612</v>
      </c>
      <c r="O151" s="3">
        <f t="shared" si="146"/>
        <v>0</v>
      </c>
      <c r="P151" s="3">
        <f t="shared" si="147"/>
        <v>0</v>
      </c>
      <c r="Q151" s="47">
        <f t="shared" ca="1" si="133"/>
        <v>29719702.414769679</v>
      </c>
      <c r="R151" s="47">
        <f>IFERROR(HLOOKUP(B151-1,'EV Forecast WRZ'!$F$124:$T$130,4,FALSE)/12,0)+IFERROR(((HLOOKUP(B151,'EV Forecast WRZ'!$F$116:$T$122,4,FALSE)-HLOOKUP(B151-1,'EV Forecast WRZ'!$F$124:$T$130,4,FALSE)))*C151/78,0)</f>
        <v>57526.334524057085</v>
      </c>
      <c r="S151" s="47">
        <f ca="1">HLOOKUP(B151,Heating!$R$102:$AD$106,5,FALSE)*INDEX(Weather!$BO$1:$CB$20,MATCH(B151,Weather!$BO$1:$BO$20,0),MATCH(C151,Weather!$BO$1:$CB$1,0))/VLOOKUP(B151,Weather!$BO$2:$CB$20,14,FALSE)</f>
        <v>8028.6601017190324</v>
      </c>
      <c r="T151" s="47">
        <f t="shared" ca="1" si="123"/>
        <v>29785257.409395456</v>
      </c>
    </row>
    <row r="152" spans="1:20">
      <c r="A152" s="2">
        <f t="shared" si="127"/>
        <v>46599</v>
      </c>
      <c r="B152">
        <f t="shared" si="128"/>
        <v>2027</v>
      </c>
      <c r="C152">
        <f t="shared" si="129"/>
        <v>7</v>
      </c>
      <c r="E152" s="3">
        <f t="shared" ref="E152:F152" ca="1" si="169">E140</f>
        <v>0</v>
      </c>
      <c r="F152" s="3">
        <f t="shared" ca="1" si="169"/>
        <v>297.94737858727848</v>
      </c>
      <c r="G152" s="3">
        <f t="shared" si="131"/>
        <v>31</v>
      </c>
      <c r="I152">
        <f t="shared" si="132"/>
        <v>0</v>
      </c>
      <c r="K152" s="3">
        <f t="shared" si="142"/>
        <v>14171159.489767401</v>
      </c>
      <c r="L152" s="3">
        <f t="shared" ca="1" si="143"/>
        <v>0</v>
      </c>
      <c r="M152" s="3">
        <f t="shared" ca="1" si="144"/>
        <v>4862266.5587752834</v>
      </c>
      <c r="N152" s="3">
        <f t="shared" si="145"/>
        <v>12751836.461500322</v>
      </c>
      <c r="O152" s="3">
        <f t="shared" si="146"/>
        <v>0</v>
      </c>
      <c r="P152" s="3">
        <f t="shared" si="147"/>
        <v>0</v>
      </c>
      <c r="Q152" s="47">
        <f t="shared" ca="1" si="133"/>
        <v>31785262.51004301</v>
      </c>
      <c r="R152" s="47">
        <f>IFERROR(HLOOKUP(B152-1,'EV Forecast WRZ'!$F$124:$T$130,4,FALSE)/12,0)+IFERROR(((HLOOKUP(B152,'EV Forecast WRZ'!$F$116:$T$122,4,FALSE)-HLOOKUP(B152-1,'EV Forecast WRZ'!$F$124:$T$130,4,FALSE)))*C152/78,0)</f>
        <v>58493.442960441134</v>
      </c>
      <c r="S152" s="47">
        <f ca="1">HLOOKUP(B152,Heating!$R$102:$AD$106,5,FALSE)*INDEX(Weather!$BO$1:$CB$20,MATCH(B152,Weather!$BO$1:$BO$20,0),MATCH(C152,Weather!$BO$1:$CB$1,0))/VLOOKUP(B152,Weather!$BO$2:$CB$20,14,FALSE)</f>
        <v>399.42601443315715</v>
      </c>
      <c r="T152" s="47">
        <f t="shared" ca="1" si="123"/>
        <v>31844155.379017886</v>
      </c>
    </row>
    <row r="153" spans="1:20">
      <c r="A153" s="2">
        <f t="shared" si="127"/>
        <v>46630</v>
      </c>
      <c r="B153">
        <f t="shared" si="128"/>
        <v>2027</v>
      </c>
      <c r="C153">
        <f t="shared" si="129"/>
        <v>8</v>
      </c>
      <c r="E153" s="3">
        <f t="shared" ref="E153:F153" ca="1" si="170">E141</f>
        <v>0</v>
      </c>
      <c r="F153" s="3">
        <f t="shared" ca="1" si="170"/>
        <v>272.96558794466404</v>
      </c>
      <c r="G153" s="3">
        <f t="shared" si="131"/>
        <v>31</v>
      </c>
      <c r="I153">
        <f t="shared" si="132"/>
        <v>0</v>
      </c>
      <c r="K153" s="3">
        <f t="shared" si="142"/>
        <v>14171159.489767401</v>
      </c>
      <c r="L153" s="3">
        <f t="shared" ca="1" si="143"/>
        <v>0</v>
      </c>
      <c r="M153" s="3">
        <f t="shared" ca="1" si="144"/>
        <v>4454583.4108454296</v>
      </c>
      <c r="N153" s="3">
        <f t="shared" si="145"/>
        <v>12751836.461500322</v>
      </c>
      <c r="O153" s="3">
        <f t="shared" si="146"/>
        <v>0</v>
      </c>
      <c r="P153" s="3">
        <f t="shared" si="147"/>
        <v>0</v>
      </c>
      <c r="Q153" s="47">
        <f t="shared" ca="1" si="133"/>
        <v>31377579.362113155</v>
      </c>
      <c r="R153" s="47">
        <f>IFERROR(HLOOKUP(B153-1,'EV Forecast WRZ'!$F$124:$T$130,4,FALSE)/12,0)+IFERROR(((HLOOKUP(B153,'EV Forecast WRZ'!$F$116:$T$122,4,FALSE)-HLOOKUP(B153-1,'EV Forecast WRZ'!$F$124:$T$130,4,FALSE)))*C153/78,0)</f>
        <v>59460.551396825176</v>
      </c>
      <c r="S153" s="47">
        <f ca="1">HLOOKUP(B153,Heating!$R$102:$AD$106,5,FALSE)*INDEX(Weather!$BO$1:$CB$20,MATCH(B153,Weather!$BO$1:$BO$20,0),MATCH(C153,Weather!$BO$1:$CB$1,0))/VLOOKUP(B153,Weather!$BO$2:$CB$20,14,FALSE)</f>
        <v>1394.8536584377061</v>
      </c>
      <c r="T153" s="47">
        <f t="shared" ca="1" si="123"/>
        <v>31438434.767168418</v>
      </c>
    </row>
    <row r="154" spans="1:20">
      <c r="A154" s="2">
        <f t="shared" si="127"/>
        <v>46660</v>
      </c>
      <c r="B154">
        <f t="shared" si="128"/>
        <v>2027</v>
      </c>
      <c r="C154">
        <f t="shared" si="129"/>
        <v>9</v>
      </c>
      <c r="E154" s="3">
        <f t="shared" ref="E154:F154" ca="1" si="171">E142</f>
        <v>10.413369565217392</v>
      </c>
      <c r="F154" s="3">
        <f t="shared" ca="1" si="171"/>
        <v>158.67014233954447</v>
      </c>
      <c r="G154" s="3">
        <f t="shared" si="131"/>
        <v>30</v>
      </c>
      <c r="I154">
        <f t="shared" si="132"/>
        <v>1</v>
      </c>
      <c r="K154" s="3">
        <f t="shared" si="142"/>
        <v>14171159.489767401</v>
      </c>
      <c r="L154" s="3">
        <f t="shared" ca="1" si="143"/>
        <v>86104.646358544662</v>
      </c>
      <c r="M154" s="3">
        <f t="shared" ca="1" si="144"/>
        <v>2589371.7562871082</v>
      </c>
      <c r="N154" s="3">
        <f t="shared" si="145"/>
        <v>12340486.89822612</v>
      </c>
      <c r="O154" s="3">
        <f t="shared" si="146"/>
        <v>0</v>
      </c>
      <c r="P154" s="3">
        <f t="shared" si="147"/>
        <v>581324.19044200005</v>
      </c>
      <c r="Q154" s="47">
        <f t="shared" ca="1" si="133"/>
        <v>29768446.981081173</v>
      </c>
      <c r="R154" s="47">
        <f>IFERROR(HLOOKUP(B154-1,'EV Forecast WRZ'!$F$124:$T$130,4,FALSE)/12,0)+IFERROR(((HLOOKUP(B154,'EV Forecast WRZ'!$F$116:$T$122,4,FALSE)-HLOOKUP(B154-1,'EV Forecast WRZ'!$F$124:$T$130,4,FALSE)))*C154/78,0)</f>
        <v>60427.659833209225</v>
      </c>
      <c r="S154" s="47">
        <f ca="1">HLOOKUP(B154,Heating!$R$102:$AD$106,5,FALSE)*INDEX(Weather!$BO$1:$CB$20,MATCH(B154,Weather!$BO$1:$BO$20,0),MATCH(C154,Weather!$BO$1:$CB$1,0))/VLOOKUP(B154,Weather!$BO$2:$CB$20,14,FALSE)</f>
        <v>13568.208378031435</v>
      </c>
      <c r="T154" s="47">
        <f t="shared" ca="1" si="123"/>
        <v>29842442.849292412</v>
      </c>
    </row>
    <row r="155" spans="1:20">
      <c r="A155" s="2">
        <f t="shared" si="127"/>
        <v>46691</v>
      </c>
      <c r="B155">
        <f t="shared" si="128"/>
        <v>2027</v>
      </c>
      <c r="C155">
        <f t="shared" si="129"/>
        <v>10</v>
      </c>
      <c r="E155" s="3">
        <f t="shared" ref="E155:F155" ca="1" si="172">E143</f>
        <v>130.19639492753623</v>
      </c>
      <c r="F155" s="3">
        <f t="shared" ca="1" si="172"/>
        <v>35.32833333333334</v>
      </c>
      <c r="G155" s="3">
        <f t="shared" si="131"/>
        <v>31</v>
      </c>
      <c r="I155">
        <f t="shared" si="132"/>
        <v>1</v>
      </c>
      <c r="K155" s="3">
        <f t="shared" si="142"/>
        <v>14171159.489767401</v>
      </c>
      <c r="L155" s="3">
        <f t="shared" ca="1" si="143"/>
        <v>1076550.1475946987</v>
      </c>
      <c r="M155" s="3">
        <f t="shared" ca="1" si="144"/>
        <v>576530.57582989987</v>
      </c>
      <c r="N155" s="3">
        <f t="shared" si="145"/>
        <v>12751836.461500322</v>
      </c>
      <c r="O155" s="3">
        <f t="shared" si="146"/>
        <v>0</v>
      </c>
      <c r="P155" s="3">
        <f t="shared" si="147"/>
        <v>581324.19044200005</v>
      </c>
      <c r="Q155" s="47">
        <f t="shared" ca="1" si="133"/>
        <v>29157400.865134325</v>
      </c>
      <c r="R155" s="47">
        <f>IFERROR(HLOOKUP(B155-1,'EV Forecast WRZ'!$F$124:$T$130,4,FALSE)/12,0)+IFERROR(((HLOOKUP(B155,'EV Forecast WRZ'!$F$116:$T$122,4,FALSE)-HLOOKUP(B155-1,'EV Forecast WRZ'!$F$124:$T$130,4,FALSE)))*C155/78,0)</f>
        <v>61394.768269593274</v>
      </c>
      <c r="S155" s="47">
        <f ca="1">HLOOKUP(B155,Heating!$R$102:$AD$106,5,FALSE)*INDEX(Weather!$BO$1:$CB$20,MATCH(B155,Weather!$BO$1:$BO$20,0),MATCH(C155,Weather!$BO$1:$CB$1,0))/VLOOKUP(B155,Weather!$BO$2:$CB$20,14,FALSE)</f>
        <v>58731.192563334473</v>
      </c>
      <c r="T155" s="47">
        <f t="shared" ca="1" si="123"/>
        <v>29277526.825967252</v>
      </c>
    </row>
    <row r="156" spans="1:20">
      <c r="A156" s="2">
        <f t="shared" si="127"/>
        <v>46721</v>
      </c>
      <c r="B156">
        <f t="shared" si="128"/>
        <v>2027</v>
      </c>
      <c r="C156">
        <f t="shared" si="129"/>
        <v>11</v>
      </c>
      <c r="E156" s="3">
        <f t="shared" ref="E156:F156" ca="1" si="173">E144</f>
        <v>307.43824722379077</v>
      </c>
      <c r="F156" s="3">
        <f t="shared" ca="1" si="173"/>
        <v>2.2779166666666657</v>
      </c>
      <c r="G156" s="3">
        <f t="shared" si="131"/>
        <v>30</v>
      </c>
      <c r="I156">
        <f t="shared" si="132"/>
        <v>1</v>
      </c>
      <c r="K156" s="3">
        <f t="shared" si="142"/>
        <v>14171159.489767401</v>
      </c>
      <c r="L156" s="3">
        <f t="shared" ca="1" si="143"/>
        <v>2542103.3401826355</v>
      </c>
      <c r="M156" s="3">
        <f t="shared" ca="1" si="144"/>
        <v>37173.805940251688</v>
      </c>
      <c r="N156" s="3">
        <f t="shared" si="145"/>
        <v>12340486.89822612</v>
      </c>
      <c r="O156" s="3">
        <f t="shared" si="146"/>
        <v>0</v>
      </c>
      <c r="P156" s="3">
        <f t="shared" si="147"/>
        <v>581324.19044200005</v>
      </c>
      <c r="Q156" s="47">
        <f t="shared" ca="1" si="133"/>
        <v>29672247.724558409</v>
      </c>
      <c r="R156" s="47">
        <f>IFERROR(HLOOKUP(B156-1,'EV Forecast WRZ'!$F$124:$T$130,4,FALSE)/12,0)+IFERROR(((HLOOKUP(B156,'EV Forecast WRZ'!$F$116:$T$122,4,FALSE)-HLOOKUP(B156-1,'EV Forecast WRZ'!$F$124:$T$130,4,FALSE)))*C156/78,0)</f>
        <v>62361.876705977316</v>
      </c>
      <c r="S156" s="47">
        <f ca="1">HLOOKUP(B156,Heating!$R$102:$AD$106,5,FALSE)*INDEX(Weather!$BO$1:$CB$20,MATCH(B156,Weather!$BO$1:$BO$20,0),MATCH(C156,Weather!$BO$1:$CB$1,0))/VLOOKUP(B156,Weather!$BO$2:$CB$20,14,FALSE)</f>
        <v>105325.00817505633</v>
      </c>
      <c r="T156" s="47">
        <f t="shared" ca="1" si="123"/>
        <v>29839934.609439444</v>
      </c>
    </row>
    <row r="157" spans="1:20">
      <c r="A157" s="2">
        <f t="shared" si="127"/>
        <v>46752</v>
      </c>
      <c r="B157">
        <f t="shared" si="128"/>
        <v>2027</v>
      </c>
      <c r="C157">
        <f t="shared" si="129"/>
        <v>12</v>
      </c>
      <c r="E157" s="3">
        <f t="shared" ref="E157:F157" ca="1" si="174">E145</f>
        <v>453.92800724637681</v>
      </c>
      <c r="F157" s="3">
        <f t="shared" ca="1" si="174"/>
        <v>0</v>
      </c>
      <c r="G157" s="3">
        <f t="shared" si="131"/>
        <v>31</v>
      </c>
      <c r="I157">
        <f t="shared" si="132"/>
        <v>0</v>
      </c>
      <c r="K157" s="3">
        <f t="shared" si="142"/>
        <v>14171159.489767401</v>
      </c>
      <c r="L157" s="3">
        <f t="shared" ca="1" si="143"/>
        <v>3753377.8371546944</v>
      </c>
      <c r="M157" s="3">
        <f t="shared" ca="1" si="144"/>
        <v>0</v>
      </c>
      <c r="N157" s="3">
        <f t="shared" si="145"/>
        <v>12751836.461500322</v>
      </c>
      <c r="O157" s="3">
        <f t="shared" si="146"/>
        <v>0</v>
      </c>
      <c r="P157" s="3">
        <f t="shared" si="147"/>
        <v>0</v>
      </c>
      <c r="Q157" s="47">
        <f t="shared" ca="1" si="133"/>
        <v>30676373.788422421</v>
      </c>
      <c r="R157" s="47">
        <f>IFERROR(HLOOKUP(B157-1,'EV Forecast WRZ'!$F$124:$T$130,4,FALSE)/12,0)+IFERROR(((HLOOKUP(B157,'EV Forecast WRZ'!$F$116:$T$122,4,FALSE)-HLOOKUP(B157-1,'EV Forecast WRZ'!$F$124:$T$130,4,FALSE)))*C157/78,0)</f>
        <v>63328.985142361358</v>
      </c>
      <c r="S157" s="47">
        <f ca="1">HLOOKUP(B157,Heating!$R$102:$AD$106,5,FALSE)*INDEX(Weather!$BO$1:$CB$20,MATCH(B157,Weather!$BO$1:$BO$20,0),MATCH(C157,Weather!$BO$1:$CB$1,0))/VLOOKUP(B157,Weather!$BO$2:$CB$20,14,FALSE)</f>
        <v>142676.99030464111</v>
      </c>
      <c r="T157" s="47">
        <f t="shared" ca="1" si="123"/>
        <v>30882379.763869423</v>
      </c>
    </row>
    <row r="158" spans="1:20">
      <c r="A158" s="2">
        <f t="shared" si="127"/>
        <v>46783</v>
      </c>
      <c r="B158">
        <f t="shared" si="128"/>
        <v>2028</v>
      </c>
      <c r="C158">
        <f t="shared" si="129"/>
        <v>1</v>
      </c>
      <c r="E158" s="3">
        <f t="shared" ref="E158:F158" ca="1" si="175">E146</f>
        <v>573.33418478260865</v>
      </c>
      <c r="F158" s="3">
        <f t="shared" ca="1" si="175"/>
        <v>0</v>
      </c>
      <c r="G158" s="3">
        <f t="shared" si="131"/>
        <v>31</v>
      </c>
      <c r="I158">
        <f t="shared" si="132"/>
        <v>0</v>
      </c>
      <c r="K158" s="3">
        <f t="shared" si="142"/>
        <v>14171159.489767401</v>
      </c>
      <c r="L158" s="3">
        <f t="shared" ca="1" si="143"/>
        <v>4740707.3106158823</v>
      </c>
      <c r="M158" s="3">
        <f t="shared" ca="1" si="144"/>
        <v>0</v>
      </c>
      <c r="N158" s="3">
        <f t="shared" si="145"/>
        <v>12751836.461500322</v>
      </c>
      <c r="O158" s="3">
        <f t="shared" si="146"/>
        <v>0</v>
      </c>
      <c r="P158" s="3">
        <f t="shared" si="147"/>
        <v>0</v>
      </c>
      <c r="Q158" s="47">
        <f t="shared" ca="1" si="133"/>
        <v>31663703.261883609</v>
      </c>
      <c r="R158" s="47">
        <f>IFERROR(HLOOKUP(B158-1,'EV Forecast WRZ'!$F$124:$T$130,4,FALSE)/12,0)+IFERROR(((HLOOKUP(B158,'EV Forecast WRZ'!$F$116:$T$122,4,FALSE)-HLOOKUP(B158-1,'EV Forecast WRZ'!$F$124:$T$130,4,FALSE)))*C158/78,0)</f>
        <v>66175.730503380124</v>
      </c>
      <c r="S158" s="47">
        <f ca="1">HLOOKUP(B158,Heating!$R$102:$AD$106,5,FALSE)*INDEX(Weather!$BO$1:$CB$20,MATCH(B158,Weather!$BO$1:$BO$20,0),MATCH(C158,Weather!$BO$1:$CB$1,0))/VLOOKUP(B158,Weather!$BO$2:$CB$20,14,FALSE)</f>
        <v>197271.06006288502</v>
      </c>
      <c r="T158" s="47">
        <f t="shared" ca="1" si="123"/>
        <v>31927150.052449875</v>
      </c>
    </row>
    <row r="159" spans="1:20">
      <c r="A159" s="2">
        <f t="shared" si="127"/>
        <v>46812</v>
      </c>
      <c r="B159">
        <f t="shared" si="128"/>
        <v>2028</v>
      </c>
      <c r="C159">
        <f t="shared" si="129"/>
        <v>2</v>
      </c>
      <c r="E159" s="3">
        <f t="shared" ref="E159:F159" ca="1" si="176">E147</f>
        <v>511.05501811594206</v>
      </c>
      <c r="F159" s="3">
        <f t="shared" ca="1" si="176"/>
        <v>0</v>
      </c>
      <c r="G159" s="3">
        <f t="shared" si="131"/>
        <v>28</v>
      </c>
      <c r="I159">
        <f t="shared" si="132"/>
        <v>0</v>
      </c>
      <c r="K159" s="3">
        <f t="shared" si="142"/>
        <v>14171159.489767401</v>
      </c>
      <c r="L159" s="3">
        <f t="shared" ca="1" si="143"/>
        <v>4225741.8532052441</v>
      </c>
      <c r="M159" s="3">
        <f t="shared" ca="1" si="144"/>
        <v>0</v>
      </c>
      <c r="N159" s="3">
        <f t="shared" si="145"/>
        <v>11517787.771677712</v>
      </c>
      <c r="O159" s="3">
        <f t="shared" si="146"/>
        <v>0</v>
      </c>
      <c r="P159" s="3">
        <f t="shared" si="147"/>
        <v>0</v>
      </c>
      <c r="Q159" s="47">
        <f t="shared" ca="1" si="133"/>
        <v>29914689.114650354</v>
      </c>
      <c r="R159" s="47">
        <f>IFERROR(HLOOKUP(B159-1,'EV Forecast WRZ'!$F$124:$T$130,4,FALSE)/12,0)+IFERROR(((HLOOKUP(B159,'EV Forecast WRZ'!$F$116:$T$122,4,FALSE)-HLOOKUP(B159-1,'EV Forecast WRZ'!$F$124:$T$130,4,FALSE)))*C159/78,0)</f>
        <v>67210.816428014834</v>
      </c>
      <c r="S159" s="47">
        <f ca="1">HLOOKUP(B159,Heating!$R$102:$AD$106,5,FALSE)*INDEX(Weather!$BO$1:$CB$20,MATCH(B159,Weather!$BO$1:$BO$20,0),MATCH(C159,Weather!$BO$1:$CB$1,0))/VLOOKUP(B159,Weather!$BO$2:$CB$20,14,FALSE)</f>
        <v>176597.46483201321</v>
      </c>
      <c r="T159" s="47">
        <f t="shared" ca="1" si="123"/>
        <v>30158497.395910379</v>
      </c>
    </row>
    <row r="160" spans="1:20">
      <c r="A160" s="2">
        <f t="shared" si="127"/>
        <v>46843</v>
      </c>
      <c r="B160">
        <f t="shared" si="128"/>
        <v>2028</v>
      </c>
      <c r="C160">
        <f t="shared" si="129"/>
        <v>3</v>
      </c>
      <c r="E160" s="3">
        <f t="shared" ref="E160:F160" ca="1" si="177">E148</f>
        <v>422.13298913043479</v>
      </c>
      <c r="F160" s="3">
        <f t="shared" ca="1" si="177"/>
        <v>2.9583333333332896E-2</v>
      </c>
      <c r="G160" s="3">
        <f t="shared" si="131"/>
        <v>31</v>
      </c>
      <c r="I160">
        <f t="shared" si="132"/>
        <v>0</v>
      </c>
      <c r="K160" s="3">
        <f t="shared" si="142"/>
        <v>14171159.489767401</v>
      </c>
      <c r="L160" s="3">
        <f t="shared" ca="1" si="143"/>
        <v>3490475.5389417186</v>
      </c>
      <c r="M160" s="3">
        <f t="shared" ca="1" si="144"/>
        <v>482.77670052274232</v>
      </c>
      <c r="N160" s="3">
        <f t="shared" si="145"/>
        <v>12751836.461500322</v>
      </c>
      <c r="O160" s="3">
        <f t="shared" si="146"/>
        <v>0</v>
      </c>
      <c r="P160" s="3">
        <f t="shared" si="147"/>
        <v>0</v>
      </c>
      <c r="Q160" s="47">
        <f t="shared" ca="1" si="133"/>
        <v>30413954.266909964</v>
      </c>
      <c r="R160" s="47">
        <f>IFERROR(HLOOKUP(B160-1,'EV Forecast WRZ'!$F$124:$T$130,4,FALSE)/12,0)+IFERROR(((HLOOKUP(B160,'EV Forecast WRZ'!$F$116:$T$122,4,FALSE)-HLOOKUP(B160-1,'EV Forecast WRZ'!$F$124:$T$130,4,FALSE)))*C160/78,0)</f>
        <v>68245.902352649558</v>
      </c>
      <c r="S160" s="47">
        <f ca="1">HLOOKUP(B160,Heating!$R$102:$AD$106,5,FALSE)*INDEX(Weather!$BO$1:$CB$20,MATCH(B160,Weather!$BO$1:$BO$20,0),MATCH(C160,Weather!$BO$1:$CB$1,0))/VLOOKUP(B160,Weather!$BO$2:$CB$20,14,FALSE)</f>
        <v>154497.27842420249</v>
      </c>
      <c r="T160" s="47">
        <f t="shared" ca="1" si="123"/>
        <v>30636697.447686817</v>
      </c>
    </row>
    <row r="161" spans="1:20">
      <c r="A161" s="2">
        <f t="shared" si="127"/>
        <v>46873</v>
      </c>
      <c r="B161">
        <f t="shared" si="128"/>
        <v>2028</v>
      </c>
      <c r="C161">
        <f t="shared" si="129"/>
        <v>4</v>
      </c>
      <c r="E161" s="3">
        <f t="shared" ref="E161:F161" ca="1" si="178">E149</f>
        <v>234.57024621212122</v>
      </c>
      <c r="F161" s="3">
        <f t="shared" ca="1" si="178"/>
        <v>5.6420833333333338</v>
      </c>
      <c r="G161" s="3">
        <f t="shared" si="131"/>
        <v>30</v>
      </c>
      <c r="I161">
        <f t="shared" si="132"/>
        <v>0</v>
      </c>
      <c r="K161" s="3">
        <f t="shared" si="142"/>
        <v>14171159.489767401</v>
      </c>
      <c r="L161" s="3">
        <f t="shared" ca="1" si="143"/>
        <v>1939582.3772350482</v>
      </c>
      <c r="M161" s="3">
        <f t="shared" ca="1" si="144"/>
        <v>92074.356363078172</v>
      </c>
      <c r="N161" s="3">
        <f t="shared" si="145"/>
        <v>12340486.89822612</v>
      </c>
      <c r="O161" s="3">
        <f t="shared" si="146"/>
        <v>0</v>
      </c>
      <c r="P161" s="3">
        <f t="shared" si="147"/>
        <v>0</v>
      </c>
      <c r="Q161" s="47">
        <f t="shared" ca="1" si="133"/>
        <v>28543303.121591646</v>
      </c>
      <c r="R161" s="47">
        <f>IFERROR(HLOOKUP(B161-1,'EV Forecast WRZ'!$F$124:$T$130,4,FALSE)/12,0)+IFERROR(((HLOOKUP(B161,'EV Forecast WRZ'!$F$116:$T$122,4,FALSE)-HLOOKUP(B161-1,'EV Forecast WRZ'!$F$124:$T$130,4,FALSE)))*C161/78,0)</f>
        <v>69280.988277284268</v>
      </c>
      <c r="S161" s="47">
        <f ca="1">HLOOKUP(B161,Heating!$R$102:$AD$106,5,FALSE)*INDEX(Weather!$BO$1:$CB$20,MATCH(B161,Weather!$BO$1:$BO$20,0),MATCH(C161,Weather!$BO$1:$CB$1,0))/VLOOKUP(B161,Weather!$BO$2:$CB$20,14,FALSE)</f>
        <v>99695.503434175727</v>
      </c>
      <c r="T161" s="47">
        <f t="shared" ca="1" si="123"/>
        <v>28712279.613303106</v>
      </c>
    </row>
    <row r="162" spans="1:20">
      <c r="A162" s="2">
        <f t="shared" si="127"/>
        <v>46904</v>
      </c>
      <c r="B162">
        <f t="shared" si="128"/>
        <v>2028</v>
      </c>
      <c r="C162">
        <f t="shared" si="129"/>
        <v>5</v>
      </c>
      <c r="E162" s="3">
        <f t="shared" ref="E162:F162" ca="1" si="179">E150</f>
        <v>64.294809115179262</v>
      </c>
      <c r="F162" s="3">
        <f t="shared" ca="1" si="179"/>
        <v>86.191046176046171</v>
      </c>
      <c r="G162" s="3">
        <f t="shared" si="131"/>
        <v>31</v>
      </c>
      <c r="I162">
        <f t="shared" si="132"/>
        <v>0</v>
      </c>
      <c r="K162" s="3">
        <f t="shared" si="142"/>
        <v>14171159.489767401</v>
      </c>
      <c r="L162" s="3">
        <f t="shared" ca="1" si="143"/>
        <v>531632.1260741764</v>
      </c>
      <c r="M162" s="3">
        <f t="shared" ca="1" si="144"/>
        <v>1406569.9905625524</v>
      </c>
      <c r="N162" s="3">
        <f t="shared" si="145"/>
        <v>12751836.461500322</v>
      </c>
      <c r="O162" s="3">
        <f t="shared" si="146"/>
        <v>0</v>
      </c>
      <c r="P162" s="3">
        <f t="shared" si="147"/>
        <v>0</v>
      </c>
      <c r="Q162" s="47">
        <f t="shared" ca="1" si="133"/>
        <v>28861198.06790445</v>
      </c>
      <c r="R162" s="47">
        <f>IFERROR(HLOOKUP(B162-1,'EV Forecast WRZ'!$F$124:$T$130,4,FALSE)/12,0)+IFERROR(((HLOOKUP(B162,'EV Forecast WRZ'!$F$116:$T$122,4,FALSE)-HLOOKUP(B162-1,'EV Forecast WRZ'!$F$124:$T$130,4,FALSE)))*C162/78,0)</f>
        <v>70316.074201918993</v>
      </c>
      <c r="S162" s="47">
        <f ca="1">HLOOKUP(B162,Heating!$R$102:$AD$106,5,FALSE)*INDEX(Weather!$BO$1:$CB$20,MATCH(B162,Weather!$BO$1:$BO$20,0),MATCH(C162,Weather!$BO$1:$CB$1,0))/VLOOKUP(B162,Weather!$BO$2:$CB$20,14,FALSE)</f>
        <v>42472.699089867099</v>
      </c>
      <c r="T162" s="47">
        <f t="shared" ca="1" si="123"/>
        <v>28973986.841196235</v>
      </c>
    </row>
    <row r="163" spans="1:20">
      <c r="A163" s="2">
        <f t="shared" si="127"/>
        <v>46934</v>
      </c>
      <c r="B163">
        <f t="shared" si="128"/>
        <v>2028</v>
      </c>
      <c r="C163">
        <f t="shared" si="129"/>
        <v>6</v>
      </c>
      <c r="E163" s="3">
        <f t="shared" ref="E163:F163" ca="1" si="180">E151</f>
        <v>3.2341666666666669</v>
      </c>
      <c r="F163" s="3">
        <f t="shared" ca="1" si="180"/>
        <v>194.94285087738348</v>
      </c>
      <c r="G163" s="3">
        <f t="shared" si="131"/>
        <v>30</v>
      </c>
      <c r="I163">
        <f t="shared" si="132"/>
        <v>0</v>
      </c>
      <c r="K163" s="3">
        <f t="shared" si="142"/>
        <v>14171159.489767401</v>
      </c>
      <c r="L163" s="3">
        <f t="shared" ca="1" si="143"/>
        <v>26742.235100163085</v>
      </c>
      <c r="M163" s="3">
        <f t="shared" ca="1" si="144"/>
        <v>3181313.7916759965</v>
      </c>
      <c r="N163" s="3">
        <f t="shared" si="145"/>
        <v>12340486.89822612</v>
      </c>
      <c r="O163" s="3">
        <f t="shared" si="146"/>
        <v>0</v>
      </c>
      <c r="P163" s="3">
        <f t="shared" si="147"/>
        <v>0</v>
      </c>
      <c r="Q163" s="47">
        <f t="shared" ca="1" si="133"/>
        <v>29719702.414769679</v>
      </c>
      <c r="R163" s="47">
        <f>IFERROR(HLOOKUP(B163-1,'EV Forecast WRZ'!$F$124:$T$130,4,FALSE)/12,0)+IFERROR(((HLOOKUP(B163,'EV Forecast WRZ'!$F$116:$T$122,4,FALSE)-HLOOKUP(B163-1,'EV Forecast WRZ'!$F$124:$T$130,4,FALSE)))*C163/78,0)</f>
        <v>71351.160126553703</v>
      </c>
      <c r="S163" s="47">
        <f ca="1">HLOOKUP(B163,Heating!$R$102:$AD$106,5,FALSE)*INDEX(Weather!$BO$1:$CB$20,MATCH(B163,Weather!$BO$1:$BO$20,0),MATCH(C163,Weather!$BO$1:$CB$1,0))/VLOOKUP(B163,Weather!$BO$2:$CB$20,14,FALSE)</f>
        <v>9199.9463921500301</v>
      </c>
      <c r="T163" s="47">
        <f t="shared" ca="1" si="123"/>
        <v>29800253.52128838</v>
      </c>
    </row>
    <row r="164" spans="1:20">
      <c r="A164" s="2">
        <f t="shared" si="127"/>
        <v>46965</v>
      </c>
      <c r="B164">
        <f t="shared" si="128"/>
        <v>2028</v>
      </c>
      <c r="C164">
        <f t="shared" si="129"/>
        <v>7</v>
      </c>
      <c r="E164" s="3">
        <f t="shared" ref="E164:F164" ca="1" si="181">E152</f>
        <v>0</v>
      </c>
      <c r="F164" s="3">
        <f t="shared" ca="1" si="181"/>
        <v>297.94737858727848</v>
      </c>
      <c r="G164" s="3">
        <f t="shared" si="131"/>
        <v>31</v>
      </c>
      <c r="I164">
        <f t="shared" si="132"/>
        <v>0</v>
      </c>
      <c r="K164" s="3">
        <f t="shared" si="142"/>
        <v>14171159.489767401</v>
      </c>
      <c r="L164" s="3">
        <f t="shared" ca="1" si="143"/>
        <v>0</v>
      </c>
      <c r="M164" s="3">
        <f t="shared" ca="1" si="144"/>
        <v>4862266.5587752834</v>
      </c>
      <c r="N164" s="3">
        <f t="shared" si="145"/>
        <v>12751836.461500322</v>
      </c>
      <c r="O164" s="3">
        <f t="shared" si="146"/>
        <v>0</v>
      </c>
      <c r="P164" s="3">
        <f t="shared" si="147"/>
        <v>0</v>
      </c>
      <c r="Q164" s="47">
        <f t="shared" ca="1" si="133"/>
        <v>31785262.51004301</v>
      </c>
      <c r="R164" s="47">
        <f>IFERROR(HLOOKUP(B164-1,'EV Forecast WRZ'!$F$124:$T$130,4,FALSE)/12,0)+IFERROR(((HLOOKUP(B164,'EV Forecast WRZ'!$F$116:$T$122,4,FALSE)-HLOOKUP(B164-1,'EV Forecast WRZ'!$F$124:$T$130,4,FALSE)))*C164/78,0)</f>
        <v>72386.246051188413</v>
      </c>
      <c r="S164" s="47">
        <f ca="1">HLOOKUP(B164,Heating!$R$102:$AD$106,5,FALSE)*INDEX(Weather!$BO$1:$CB$20,MATCH(B164,Weather!$BO$1:$BO$20,0),MATCH(C164,Weather!$BO$1:$CB$1,0))/VLOOKUP(B164,Weather!$BO$2:$CB$20,14,FALSE)</f>
        <v>457.69753282099873</v>
      </c>
      <c r="T164" s="47">
        <f t="shared" ca="1" si="123"/>
        <v>31858106.45362702</v>
      </c>
    </row>
    <row r="165" spans="1:20">
      <c r="A165" s="2">
        <f t="shared" si="127"/>
        <v>46996</v>
      </c>
      <c r="B165">
        <f t="shared" si="128"/>
        <v>2028</v>
      </c>
      <c r="C165">
        <f t="shared" si="129"/>
        <v>8</v>
      </c>
      <c r="E165" s="3">
        <f t="shared" ref="E165:F165" ca="1" si="182">E153</f>
        <v>0</v>
      </c>
      <c r="F165" s="3">
        <f t="shared" ca="1" si="182"/>
        <v>272.96558794466404</v>
      </c>
      <c r="G165" s="3">
        <f t="shared" si="131"/>
        <v>31</v>
      </c>
      <c r="I165">
        <f t="shared" si="132"/>
        <v>0</v>
      </c>
      <c r="K165" s="3">
        <f t="shared" si="142"/>
        <v>14171159.489767401</v>
      </c>
      <c r="L165" s="3">
        <f t="shared" ca="1" si="143"/>
        <v>0</v>
      </c>
      <c r="M165" s="3">
        <f t="shared" ca="1" si="144"/>
        <v>4454583.4108454296</v>
      </c>
      <c r="N165" s="3">
        <f t="shared" si="145"/>
        <v>12751836.461500322</v>
      </c>
      <c r="O165" s="3">
        <f t="shared" si="146"/>
        <v>0</v>
      </c>
      <c r="P165" s="3">
        <f t="shared" si="147"/>
        <v>0</v>
      </c>
      <c r="Q165" s="47">
        <f t="shared" ca="1" si="133"/>
        <v>31377579.362113155</v>
      </c>
      <c r="R165" s="47">
        <f>IFERROR(HLOOKUP(B165-1,'EV Forecast WRZ'!$F$124:$T$130,4,FALSE)/12,0)+IFERROR(((HLOOKUP(B165,'EV Forecast WRZ'!$F$116:$T$122,4,FALSE)-HLOOKUP(B165-1,'EV Forecast WRZ'!$F$124:$T$130,4,FALSE)))*C165/78,0)</f>
        <v>73421.331975823137</v>
      </c>
      <c r="S165" s="47">
        <f ca="1">HLOOKUP(B165,Heating!$R$102:$AD$106,5,FALSE)*INDEX(Weather!$BO$1:$CB$20,MATCH(B165,Weather!$BO$1:$BO$20,0),MATCH(C165,Weather!$BO$1:$CB$1,0))/VLOOKUP(B165,Weather!$BO$2:$CB$20,14,FALSE)</f>
        <v>1598.3462644998056</v>
      </c>
      <c r="T165" s="47">
        <f t="shared" ca="1" si="123"/>
        <v>31452599.040353477</v>
      </c>
    </row>
    <row r="166" spans="1:20">
      <c r="A166" s="2">
        <f t="shared" si="127"/>
        <v>47026</v>
      </c>
      <c r="B166">
        <f t="shared" si="128"/>
        <v>2028</v>
      </c>
      <c r="C166">
        <f t="shared" si="129"/>
        <v>9</v>
      </c>
      <c r="E166" s="3">
        <f t="shared" ref="E166:F166" ca="1" si="183">E154</f>
        <v>10.413369565217392</v>
      </c>
      <c r="F166" s="3">
        <f t="shared" ca="1" si="183"/>
        <v>158.67014233954447</v>
      </c>
      <c r="G166" s="3">
        <f t="shared" si="131"/>
        <v>30</v>
      </c>
      <c r="I166">
        <f t="shared" si="132"/>
        <v>1</v>
      </c>
      <c r="K166" s="3">
        <f t="shared" si="142"/>
        <v>14171159.489767401</v>
      </c>
      <c r="L166" s="3">
        <f t="shared" ca="1" si="143"/>
        <v>86104.646358544662</v>
      </c>
      <c r="M166" s="3">
        <f t="shared" ca="1" si="144"/>
        <v>2589371.7562871082</v>
      </c>
      <c r="N166" s="3">
        <f t="shared" si="145"/>
        <v>12340486.89822612</v>
      </c>
      <c r="O166" s="3">
        <f t="shared" si="146"/>
        <v>0</v>
      </c>
      <c r="P166" s="3">
        <f t="shared" si="147"/>
        <v>581324.19044200005</v>
      </c>
      <c r="Q166" s="47">
        <f t="shared" ca="1" si="133"/>
        <v>29768446.981081173</v>
      </c>
      <c r="R166" s="47">
        <f>IFERROR(HLOOKUP(B166-1,'EV Forecast WRZ'!$F$124:$T$130,4,FALSE)/12,0)+IFERROR(((HLOOKUP(B166,'EV Forecast WRZ'!$F$116:$T$122,4,FALSE)-HLOOKUP(B166-1,'EV Forecast WRZ'!$F$124:$T$130,4,FALSE)))*C166/78,0)</f>
        <v>74456.417900457847</v>
      </c>
      <c r="S166" s="47">
        <f ca="1">HLOOKUP(B166,Heating!$R$102:$AD$106,5,FALSE)*INDEX(Weather!$BO$1:$CB$20,MATCH(B166,Weather!$BO$1:$BO$20,0),MATCH(C166,Weather!$BO$1:$CB$1,0))/VLOOKUP(B166,Weather!$BO$2:$CB$20,14,FALSE)</f>
        <v>15547.649063968121</v>
      </c>
      <c r="T166" s="47">
        <f t="shared" ca="1" si="123"/>
        <v>29858451.048045598</v>
      </c>
    </row>
    <row r="167" spans="1:20">
      <c r="A167" s="2">
        <f t="shared" si="127"/>
        <v>47057</v>
      </c>
      <c r="B167">
        <f t="shared" si="128"/>
        <v>2028</v>
      </c>
      <c r="C167">
        <f t="shared" si="129"/>
        <v>10</v>
      </c>
      <c r="E167" s="3">
        <f t="shared" ref="E167:F167" ca="1" si="184">E155</f>
        <v>130.19639492753623</v>
      </c>
      <c r="F167" s="3">
        <f t="shared" ca="1" si="184"/>
        <v>35.32833333333334</v>
      </c>
      <c r="G167" s="3">
        <f t="shared" si="131"/>
        <v>31</v>
      </c>
      <c r="I167">
        <f t="shared" si="132"/>
        <v>1</v>
      </c>
      <c r="K167" s="3">
        <f t="shared" si="142"/>
        <v>14171159.489767401</v>
      </c>
      <c r="L167" s="3">
        <f t="shared" ca="1" si="143"/>
        <v>1076550.1475946987</v>
      </c>
      <c r="M167" s="3">
        <f t="shared" ca="1" si="144"/>
        <v>576530.57582989987</v>
      </c>
      <c r="N167" s="3">
        <f t="shared" si="145"/>
        <v>12751836.461500322</v>
      </c>
      <c r="O167" s="3">
        <f t="shared" si="146"/>
        <v>0</v>
      </c>
      <c r="P167" s="3">
        <f t="shared" si="147"/>
        <v>581324.19044200005</v>
      </c>
      <c r="Q167" s="47">
        <f t="shared" ca="1" si="133"/>
        <v>29157400.865134325</v>
      </c>
      <c r="R167" s="47">
        <f>IFERROR(HLOOKUP(B167-1,'EV Forecast WRZ'!$F$124:$T$130,4,FALSE)/12,0)+IFERROR(((HLOOKUP(B167,'EV Forecast WRZ'!$F$116:$T$122,4,FALSE)-HLOOKUP(B167-1,'EV Forecast WRZ'!$F$124:$T$130,4,FALSE)))*C167/78,0)</f>
        <v>75491.503825092572</v>
      </c>
      <c r="S167" s="47">
        <f ca="1">HLOOKUP(B167,Heating!$R$102:$AD$106,5,FALSE)*INDEX(Weather!$BO$1:$CB$20,MATCH(B167,Weather!$BO$1:$BO$20,0),MATCH(C167,Weather!$BO$1:$CB$1,0))/VLOOKUP(B167,Weather!$BO$2:$CB$20,14,FALSE)</f>
        <v>67299.377017346618</v>
      </c>
      <c r="T167" s="47">
        <f t="shared" ca="1" si="123"/>
        <v>29300191.745976761</v>
      </c>
    </row>
    <row r="168" spans="1:20">
      <c r="A168" s="2">
        <f t="shared" si="127"/>
        <v>47087</v>
      </c>
      <c r="B168">
        <f t="shared" si="128"/>
        <v>2028</v>
      </c>
      <c r="C168">
        <f t="shared" si="129"/>
        <v>11</v>
      </c>
      <c r="E168" s="3">
        <f t="shared" ref="E168:F168" ca="1" si="185">E156</f>
        <v>307.43824722379077</v>
      </c>
      <c r="F168" s="3">
        <f t="shared" ca="1" si="185"/>
        <v>2.2779166666666657</v>
      </c>
      <c r="G168" s="3">
        <f t="shared" si="131"/>
        <v>30</v>
      </c>
      <c r="I168">
        <f t="shared" si="132"/>
        <v>1</v>
      </c>
      <c r="K168" s="3">
        <f t="shared" si="142"/>
        <v>14171159.489767401</v>
      </c>
      <c r="L168" s="3">
        <f t="shared" ca="1" si="143"/>
        <v>2542103.3401826355</v>
      </c>
      <c r="M168" s="3">
        <f t="shared" ca="1" si="144"/>
        <v>37173.805940251688</v>
      </c>
      <c r="N168" s="3">
        <f t="shared" si="145"/>
        <v>12340486.89822612</v>
      </c>
      <c r="O168" s="3">
        <f t="shared" si="146"/>
        <v>0</v>
      </c>
      <c r="P168" s="3">
        <f t="shared" si="147"/>
        <v>581324.19044200005</v>
      </c>
      <c r="Q168" s="47">
        <f t="shared" ca="1" si="133"/>
        <v>29672247.724558409</v>
      </c>
      <c r="R168" s="47">
        <f>IFERROR(HLOOKUP(B168-1,'EV Forecast WRZ'!$F$124:$T$130,4,FALSE)/12,0)+IFERROR(((HLOOKUP(B168,'EV Forecast WRZ'!$F$116:$T$122,4,FALSE)-HLOOKUP(B168-1,'EV Forecast WRZ'!$F$124:$T$130,4,FALSE)))*C168/78,0)</f>
        <v>76526.589749727282</v>
      </c>
      <c r="S168" s="47">
        <f ca="1">HLOOKUP(B168,Heating!$R$102:$AD$106,5,FALSE)*INDEX(Weather!$BO$1:$CB$20,MATCH(B168,Weather!$BO$1:$BO$20,0),MATCH(C168,Weather!$BO$1:$CB$1,0))/VLOOKUP(B168,Weather!$BO$2:$CB$20,14,FALSE)</f>
        <v>120690.67773286487</v>
      </c>
      <c r="T168" s="47">
        <f t="shared" ca="1" si="123"/>
        <v>29869464.992041003</v>
      </c>
    </row>
    <row r="169" spans="1:20">
      <c r="A169" s="2">
        <f t="shared" si="127"/>
        <v>47118</v>
      </c>
      <c r="B169">
        <f t="shared" si="128"/>
        <v>2028</v>
      </c>
      <c r="C169">
        <f t="shared" si="129"/>
        <v>12</v>
      </c>
      <c r="E169" s="3">
        <f t="shared" ref="E169:F169" ca="1" si="186">E157</f>
        <v>453.92800724637681</v>
      </c>
      <c r="F169" s="3">
        <f t="shared" ca="1" si="186"/>
        <v>0</v>
      </c>
      <c r="G169" s="3">
        <f t="shared" si="131"/>
        <v>31</v>
      </c>
      <c r="I169">
        <f t="shared" si="132"/>
        <v>0</v>
      </c>
      <c r="K169" s="3">
        <f t="shared" si="142"/>
        <v>14171159.489767401</v>
      </c>
      <c r="L169" s="3">
        <f t="shared" ca="1" si="143"/>
        <v>3753377.8371546944</v>
      </c>
      <c r="M169" s="3">
        <f t="shared" ca="1" si="144"/>
        <v>0</v>
      </c>
      <c r="N169" s="3">
        <f t="shared" si="145"/>
        <v>12751836.461500322</v>
      </c>
      <c r="O169" s="3">
        <f t="shared" si="146"/>
        <v>0</v>
      </c>
      <c r="P169" s="3">
        <f t="shared" si="147"/>
        <v>0</v>
      </c>
      <c r="Q169" s="47">
        <f t="shared" ca="1" si="133"/>
        <v>30676373.788422421</v>
      </c>
      <c r="R169" s="47">
        <f>IFERROR(HLOOKUP(B169-1,'EV Forecast WRZ'!$F$124:$T$130,4,FALSE)/12,0)+IFERROR(((HLOOKUP(B169,'EV Forecast WRZ'!$F$116:$T$122,4,FALSE)-HLOOKUP(B169-1,'EV Forecast WRZ'!$F$124:$T$130,4,FALSE)))*C169/78,0)</f>
        <v>77561.675674361992</v>
      </c>
      <c r="S169" s="47">
        <f ca="1">HLOOKUP(B169,Heating!$R$102:$AD$106,5,FALSE)*INDEX(Weather!$BO$1:$CB$20,MATCH(B169,Weather!$BO$1:$BO$20,0),MATCH(C169,Weather!$BO$1:$CB$1,0))/VLOOKUP(B169,Weather!$BO$2:$CB$20,14,FALSE)</f>
        <v>163491.87106762183</v>
      </c>
      <c r="T169" s="47">
        <f t="shared" ca="1" si="123"/>
        <v>30917427.335164402</v>
      </c>
    </row>
    <row r="170" spans="1:20">
      <c r="A170" s="2">
        <f t="shared" si="127"/>
        <v>47149</v>
      </c>
      <c r="B170">
        <f t="shared" si="128"/>
        <v>2029</v>
      </c>
      <c r="C170">
        <f t="shared" si="129"/>
        <v>1</v>
      </c>
      <c r="E170" s="3">
        <f t="shared" ref="E170:F170" ca="1" si="187">E158</f>
        <v>573.33418478260865</v>
      </c>
      <c r="F170" s="3">
        <f t="shared" ca="1" si="187"/>
        <v>0</v>
      </c>
      <c r="G170" s="3">
        <f t="shared" si="131"/>
        <v>31</v>
      </c>
      <c r="I170">
        <f t="shared" si="132"/>
        <v>0</v>
      </c>
      <c r="K170" s="3">
        <f t="shared" si="142"/>
        <v>14171159.489767401</v>
      </c>
      <c r="L170" s="3">
        <f t="shared" ca="1" si="143"/>
        <v>4740707.3106158823</v>
      </c>
      <c r="M170" s="3">
        <f t="shared" ca="1" si="144"/>
        <v>0</v>
      </c>
      <c r="N170" s="3">
        <f t="shared" si="145"/>
        <v>12751836.461500322</v>
      </c>
      <c r="O170" s="3">
        <f t="shared" si="146"/>
        <v>0</v>
      </c>
      <c r="P170" s="3">
        <f t="shared" si="147"/>
        <v>0</v>
      </c>
      <c r="Q170" s="47">
        <f t="shared" ca="1" si="133"/>
        <v>31663703.261883609</v>
      </c>
      <c r="R170" s="47">
        <f>IFERROR(HLOOKUP(B170-1,'EV Forecast WRZ'!$F$124:$T$130,4,FALSE)/12,0)+IFERROR(((HLOOKUP(B170,'EV Forecast WRZ'!$F$116:$T$122,4,FALSE)-HLOOKUP(B170-1,'EV Forecast WRZ'!$F$124:$T$130,4,FALSE)))*C170/78,0)</f>
        <v>81356.343506437566</v>
      </c>
      <c r="S170" s="47">
        <f ca="1">HLOOKUP(B170,Heating!$R$102:$AD$106,5,FALSE)*INDEX(Weather!$BO$1:$CB$20,MATCH(B170,Weather!$BO$1:$BO$20,0),MATCH(C170,Weather!$BO$1:$CB$1,0))/VLOOKUP(B170,Weather!$BO$2:$CB$20,14,FALSE)</f>
        <v>223357.14034039876</v>
      </c>
      <c r="T170" s="47">
        <f t="shared" ca="1" si="123"/>
        <v>31968416.745730445</v>
      </c>
    </row>
    <row r="171" spans="1:20">
      <c r="A171" s="2">
        <f t="shared" si="127"/>
        <v>47177</v>
      </c>
      <c r="B171">
        <f t="shared" si="128"/>
        <v>2029</v>
      </c>
      <c r="C171">
        <f t="shared" si="129"/>
        <v>2</v>
      </c>
      <c r="E171" s="3">
        <f t="shared" ref="E171:F171" ca="1" si="188">E159</f>
        <v>511.05501811594206</v>
      </c>
      <c r="F171" s="3">
        <f t="shared" ca="1" si="188"/>
        <v>0</v>
      </c>
      <c r="G171" s="3">
        <f t="shared" si="131"/>
        <v>28</v>
      </c>
      <c r="I171">
        <f t="shared" si="132"/>
        <v>0</v>
      </c>
      <c r="K171" s="3">
        <f t="shared" si="142"/>
        <v>14171159.489767401</v>
      </c>
      <c r="L171" s="3">
        <f t="shared" ca="1" si="143"/>
        <v>4225741.8532052441</v>
      </c>
      <c r="M171" s="3">
        <f t="shared" ca="1" si="144"/>
        <v>0</v>
      </c>
      <c r="N171" s="3">
        <f t="shared" si="145"/>
        <v>11517787.771677712</v>
      </c>
      <c r="O171" s="3">
        <f t="shared" si="146"/>
        <v>0</v>
      </c>
      <c r="P171" s="3">
        <f t="shared" si="147"/>
        <v>0</v>
      </c>
      <c r="Q171" s="47">
        <f t="shared" ca="1" si="133"/>
        <v>29914689.114650354</v>
      </c>
      <c r="R171" s="47">
        <f>IFERROR(HLOOKUP(B171-1,'EV Forecast WRZ'!$F$124:$T$130,4,FALSE)/12,0)+IFERROR(((HLOOKUP(B171,'EV Forecast WRZ'!$F$116:$T$122,4,FALSE)-HLOOKUP(B171-1,'EV Forecast WRZ'!$F$124:$T$130,4,FALSE)))*C171/78,0)</f>
        <v>82633.083913878421</v>
      </c>
      <c r="S171" s="47">
        <f ca="1">HLOOKUP(B171,Heating!$R$102:$AD$106,5,FALSE)*INDEX(Weather!$BO$1:$CB$20,MATCH(B171,Weather!$BO$1:$BO$20,0),MATCH(C171,Weather!$BO$1:$CB$1,0))/VLOOKUP(B171,Weather!$BO$2:$CB$20,14,FALSE)</f>
        <v>199949.77835912051</v>
      </c>
      <c r="T171" s="47">
        <f t="shared" ca="1" si="123"/>
        <v>30197271.97692335</v>
      </c>
    </row>
    <row r="172" spans="1:20">
      <c r="A172" s="2">
        <f t="shared" si="127"/>
        <v>47208</v>
      </c>
      <c r="B172">
        <f t="shared" si="128"/>
        <v>2029</v>
      </c>
      <c r="C172">
        <f t="shared" si="129"/>
        <v>3</v>
      </c>
      <c r="E172" s="3">
        <f t="shared" ref="E172:F172" ca="1" si="189">E160</f>
        <v>422.13298913043479</v>
      </c>
      <c r="F172" s="3">
        <f t="shared" ca="1" si="189"/>
        <v>2.9583333333332896E-2</v>
      </c>
      <c r="G172" s="3">
        <f t="shared" si="131"/>
        <v>31</v>
      </c>
      <c r="I172">
        <f t="shared" si="132"/>
        <v>0</v>
      </c>
      <c r="K172" s="3">
        <f t="shared" si="142"/>
        <v>14171159.489767401</v>
      </c>
      <c r="L172" s="3">
        <f t="shared" ca="1" si="143"/>
        <v>3490475.5389417186</v>
      </c>
      <c r="M172" s="3">
        <f t="shared" ca="1" si="144"/>
        <v>482.77670052274232</v>
      </c>
      <c r="N172" s="3">
        <f t="shared" si="145"/>
        <v>12751836.461500322</v>
      </c>
      <c r="O172" s="3">
        <f t="shared" si="146"/>
        <v>0</v>
      </c>
      <c r="P172" s="3">
        <f t="shared" si="147"/>
        <v>0</v>
      </c>
      <c r="Q172" s="47">
        <f t="shared" ca="1" si="133"/>
        <v>30413954.266909964</v>
      </c>
      <c r="R172" s="47">
        <f>IFERROR(HLOOKUP(B172-1,'EV Forecast WRZ'!$F$124:$T$130,4,FALSE)/12,0)+IFERROR(((HLOOKUP(B172,'EV Forecast WRZ'!$F$116:$T$122,4,FALSE)-HLOOKUP(B172-1,'EV Forecast WRZ'!$F$124:$T$130,4,FALSE)))*C172/78,0)</f>
        <v>83909.824321319276</v>
      </c>
      <c r="S172" s="47">
        <f ca="1">HLOOKUP(B172,Heating!$R$102:$AD$106,5,FALSE)*INDEX(Weather!$BO$1:$CB$20,MATCH(B172,Weather!$BO$1:$BO$20,0),MATCH(C172,Weather!$BO$1:$CB$1,0))/VLOOKUP(B172,Weather!$BO$2:$CB$20,14,FALSE)</f>
        <v>174927.18033858569</v>
      </c>
      <c r="T172" s="47">
        <f t="shared" ca="1" si="123"/>
        <v>30672791.271569867</v>
      </c>
    </row>
    <row r="173" spans="1:20">
      <c r="A173" s="2">
        <f t="shared" si="127"/>
        <v>47238</v>
      </c>
      <c r="B173">
        <f t="shared" si="128"/>
        <v>2029</v>
      </c>
      <c r="C173">
        <f t="shared" si="129"/>
        <v>4</v>
      </c>
      <c r="E173" s="3">
        <f t="shared" ref="E173:F173" ca="1" si="190">E161</f>
        <v>234.57024621212122</v>
      </c>
      <c r="F173" s="3">
        <f t="shared" ca="1" si="190"/>
        <v>5.6420833333333338</v>
      </c>
      <c r="G173" s="3">
        <f t="shared" si="131"/>
        <v>30</v>
      </c>
      <c r="I173">
        <f t="shared" si="132"/>
        <v>0</v>
      </c>
      <c r="K173" s="3">
        <f t="shared" si="142"/>
        <v>14171159.489767401</v>
      </c>
      <c r="L173" s="3">
        <f t="shared" ca="1" si="143"/>
        <v>1939582.3772350482</v>
      </c>
      <c r="M173" s="3">
        <f t="shared" ca="1" si="144"/>
        <v>92074.356363078172</v>
      </c>
      <c r="N173" s="3">
        <f t="shared" si="145"/>
        <v>12340486.89822612</v>
      </c>
      <c r="O173" s="3">
        <f t="shared" si="146"/>
        <v>0</v>
      </c>
      <c r="P173" s="3">
        <f t="shared" si="147"/>
        <v>0</v>
      </c>
      <c r="Q173" s="47">
        <f t="shared" ca="1" si="133"/>
        <v>28543303.121591646</v>
      </c>
      <c r="R173" s="47">
        <f>IFERROR(HLOOKUP(B173-1,'EV Forecast WRZ'!$F$124:$T$130,4,FALSE)/12,0)+IFERROR(((HLOOKUP(B173,'EV Forecast WRZ'!$F$116:$T$122,4,FALSE)-HLOOKUP(B173-1,'EV Forecast WRZ'!$F$124:$T$130,4,FALSE)))*C173/78,0)</f>
        <v>85186.564728760131</v>
      </c>
      <c r="S173" s="47">
        <f ca="1">HLOOKUP(B173,Heating!$R$102:$AD$106,5,FALSE)*INDEX(Weather!$BO$1:$CB$20,MATCH(B173,Weather!$BO$1:$BO$20,0),MATCH(C173,Weather!$BO$1:$CB$1,0))/VLOOKUP(B173,Weather!$BO$2:$CB$20,14,FALSE)</f>
        <v>112878.70884231836</v>
      </c>
      <c r="T173" s="47">
        <f t="shared" ca="1" si="123"/>
        <v>28741368.395162724</v>
      </c>
    </row>
    <row r="174" spans="1:20">
      <c r="A174" s="2">
        <f t="shared" si="127"/>
        <v>47269</v>
      </c>
      <c r="B174">
        <f t="shared" si="128"/>
        <v>2029</v>
      </c>
      <c r="C174">
        <f t="shared" si="129"/>
        <v>5</v>
      </c>
      <c r="E174" s="3">
        <f t="shared" ref="E174:F174" ca="1" si="191">E162</f>
        <v>64.294809115179262</v>
      </c>
      <c r="F174" s="3">
        <f t="shared" ca="1" si="191"/>
        <v>86.191046176046171</v>
      </c>
      <c r="G174" s="3">
        <f t="shared" si="131"/>
        <v>31</v>
      </c>
      <c r="I174">
        <f t="shared" si="132"/>
        <v>0</v>
      </c>
      <c r="K174" s="3">
        <f t="shared" si="142"/>
        <v>14171159.489767401</v>
      </c>
      <c r="L174" s="3">
        <f t="shared" ca="1" si="143"/>
        <v>531632.1260741764</v>
      </c>
      <c r="M174" s="3">
        <f t="shared" ca="1" si="144"/>
        <v>1406569.9905625524</v>
      </c>
      <c r="N174" s="3">
        <f t="shared" si="145"/>
        <v>12751836.461500322</v>
      </c>
      <c r="O174" s="3">
        <f t="shared" si="146"/>
        <v>0</v>
      </c>
      <c r="P174" s="3">
        <f t="shared" si="147"/>
        <v>0</v>
      </c>
      <c r="Q174" s="47">
        <f t="shared" ca="1" si="133"/>
        <v>28861198.06790445</v>
      </c>
      <c r="R174" s="47">
        <f>IFERROR(HLOOKUP(B174-1,'EV Forecast WRZ'!$F$124:$T$130,4,FALSE)/12,0)+IFERROR(((HLOOKUP(B174,'EV Forecast WRZ'!$F$116:$T$122,4,FALSE)-HLOOKUP(B174-1,'EV Forecast WRZ'!$F$124:$T$130,4,FALSE)))*C174/78,0)</f>
        <v>86463.305136200986</v>
      </c>
      <c r="S174" s="47">
        <f ca="1">HLOOKUP(B174,Heating!$R$102:$AD$106,5,FALSE)*INDEX(Weather!$BO$1:$CB$20,MATCH(B174,Weather!$BO$1:$BO$20,0),MATCH(C174,Weather!$BO$1:$CB$1,0))/VLOOKUP(B174,Weather!$BO$2:$CB$20,14,FALSE)</f>
        <v>48089.06389121087</v>
      </c>
      <c r="T174" s="47">
        <f t="shared" ca="1" si="123"/>
        <v>28995750.43693186</v>
      </c>
    </row>
    <row r="175" spans="1:20">
      <c r="A175" s="2">
        <f t="shared" ref="A175:A205" si="192">EOMONTH(A174,1)</f>
        <v>47299</v>
      </c>
      <c r="B175">
        <f t="shared" ref="B175:B205" si="193">YEAR(A175)</f>
        <v>2029</v>
      </c>
      <c r="C175">
        <f t="shared" ref="C175:C205" si="194">MONTH(A175)</f>
        <v>6</v>
      </c>
      <c r="E175" s="3">
        <f t="shared" ref="E175:F175" ca="1" si="195">E163</f>
        <v>3.2341666666666669</v>
      </c>
      <c r="F175" s="3">
        <f t="shared" ca="1" si="195"/>
        <v>194.94285087738348</v>
      </c>
      <c r="G175" s="3">
        <f t="shared" ref="G175:G205" si="196">G139</f>
        <v>30</v>
      </c>
      <c r="I175">
        <f t="shared" ref="I175:I205" si="197">I163</f>
        <v>0</v>
      </c>
      <c r="K175" s="3">
        <f t="shared" si="142"/>
        <v>14171159.489767401</v>
      </c>
      <c r="L175" s="3">
        <f t="shared" ca="1" si="143"/>
        <v>26742.235100163085</v>
      </c>
      <c r="M175" s="3">
        <f t="shared" ca="1" si="144"/>
        <v>3181313.7916759965</v>
      </c>
      <c r="N175" s="3">
        <f t="shared" si="145"/>
        <v>12340486.89822612</v>
      </c>
      <c r="O175" s="3">
        <f t="shared" si="146"/>
        <v>0</v>
      </c>
      <c r="P175" s="3">
        <f t="shared" si="147"/>
        <v>0</v>
      </c>
      <c r="Q175" s="47">
        <f t="shared" ref="Q175:Q205" ca="1" si="198">SUM(K175:P175)</f>
        <v>29719702.414769679</v>
      </c>
      <c r="R175" s="47">
        <f>IFERROR(HLOOKUP(B175-1,'EV Forecast WRZ'!$F$124:$T$130,4,FALSE)/12,0)+IFERROR(((HLOOKUP(B175,'EV Forecast WRZ'!$F$116:$T$122,4,FALSE)-HLOOKUP(B175-1,'EV Forecast WRZ'!$F$124:$T$130,4,FALSE)))*C175/78,0)</f>
        <v>87740.045543641842</v>
      </c>
      <c r="S175" s="47">
        <f ca="1">HLOOKUP(B175,Heating!$R$102:$AD$106,5,FALSE)*INDEX(Weather!$BO$1:$CB$20,MATCH(B175,Weather!$BO$1:$BO$20,0),MATCH(C175,Weather!$BO$1:$CB$1,0))/VLOOKUP(B175,Weather!$BO$2:$CB$20,14,FALSE)</f>
        <v>10416.498582106053</v>
      </c>
      <c r="T175" s="47">
        <f t="shared" ca="1" si="123"/>
        <v>29817858.958895426</v>
      </c>
    </row>
    <row r="176" spans="1:20">
      <c r="A176" s="2">
        <f t="shared" si="192"/>
        <v>47330</v>
      </c>
      <c r="B176">
        <f t="shared" si="193"/>
        <v>2029</v>
      </c>
      <c r="C176">
        <f t="shared" si="194"/>
        <v>7</v>
      </c>
      <c r="E176" s="3">
        <f t="shared" ref="E176:F176" ca="1" si="199">E164</f>
        <v>0</v>
      </c>
      <c r="F176" s="3">
        <f t="shared" ca="1" si="199"/>
        <v>297.94737858727848</v>
      </c>
      <c r="G176" s="3">
        <f t="shared" si="196"/>
        <v>31</v>
      </c>
      <c r="I176">
        <f t="shared" si="197"/>
        <v>0</v>
      </c>
      <c r="K176" s="3">
        <f t="shared" si="142"/>
        <v>14171159.489767401</v>
      </c>
      <c r="L176" s="3">
        <f t="shared" ca="1" si="143"/>
        <v>0</v>
      </c>
      <c r="M176" s="3">
        <f t="shared" ca="1" si="144"/>
        <v>4862266.5587752834</v>
      </c>
      <c r="N176" s="3">
        <f t="shared" si="145"/>
        <v>12751836.461500322</v>
      </c>
      <c r="O176" s="3">
        <f t="shared" si="146"/>
        <v>0</v>
      </c>
      <c r="P176" s="3">
        <f t="shared" si="147"/>
        <v>0</v>
      </c>
      <c r="Q176" s="47">
        <f t="shared" ca="1" si="198"/>
        <v>31785262.51004301</v>
      </c>
      <c r="R176" s="47">
        <f>IFERROR(HLOOKUP(B176-1,'EV Forecast WRZ'!$F$124:$T$130,4,FALSE)/12,0)+IFERROR(((HLOOKUP(B176,'EV Forecast WRZ'!$F$116:$T$122,4,FALSE)-HLOOKUP(B176-1,'EV Forecast WRZ'!$F$124:$T$130,4,FALSE)))*C176/78,0)</f>
        <v>89016.785951082697</v>
      </c>
      <c r="S176" s="47">
        <f ca="1">HLOOKUP(B176,Heating!$R$102:$AD$106,5,FALSE)*INDEX(Weather!$BO$1:$CB$20,MATCH(B176,Weather!$BO$1:$BO$20,0),MATCH(C176,Weather!$BO$1:$CB$1,0))/VLOOKUP(B176,Weather!$BO$2:$CB$20,14,FALSE)</f>
        <v>518.22103069333002</v>
      </c>
      <c r="T176" s="47">
        <f t="shared" ca="1" si="123"/>
        <v>31874797.517024785</v>
      </c>
    </row>
    <row r="177" spans="1:20">
      <c r="A177" s="2">
        <f t="shared" si="192"/>
        <v>47361</v>
      </c>
      <c r="B177">
        <f t="shared" si="193"/>
        <v>2029</v>
      </c>
      <c r="C177">
        <f t="shared" si="194"/>
        <v>8</v>
      </c>
      <c r="E177" s="3">
        <f t="shared" ref="E177:F177" ca="1" si="200">E165</f>
        <v>0</v>
      </c>
      <c r="F177" s="3">
        <f t="shared" ca="1" si="200"/>
        <v>272.96558794466404</v>
      </c>
      <c r="G177" s="3">
        <f t="shared" si="196"/>
        <v>31</v>
      </c>
      <c r="I177">
        <f t="shared" si="197"/>
        <v>0</v>
      </c>
      <c r="K177" s="3">
        <f t="shared" si="142"/>
        <v>14171159.489767401</v>
      </c>
      <c r="L177" s="3">
        <f t="shared" ca="1" si="143"/>
        <v>0</v>
      </c>
      <c r="M177" s="3">
        <f t="shared" ca="1" si="144"/>
        <v>4454583.4108454296</v>
      </c>
      <c r="N177" s="3">
        <f t="shared" si="145"/>
        <v>12751836.461500322</v>
      </c>
      <c r="O177" s="3">
        <f t="shared" si="146"/>
        <v>0</v>
      </c>
      <c r="P177" s="3">
        <f t="shared" si="147"/>
        <v>0</v>
      </c>
      <c r="Q177" s="47">
        <f t="shared" ca="1" si="198"/>
        <v>31377579.362113155</v>
      </c>
      <c r="R177" s="47">
        <f>IFERROR(HLOOKUP(B177-1,'EV Forecast WRZ'!$F$124:$T$130,4,FALSE)/12,0)+IFERROR(((HLOOKUP(B177,'EV Forecast WRZ'!$F$116:$T$122,4,FALSE)-HLOOKUP(B177-1,'EV Forecast WRZ'!$F$124:$T$130,4,FALSE)))*C177/78,0)</f>
        <v>90293.526358523552</v>
      </c>
      <c r="S177" s="47">
        <f ca="1">HLOOKUP(B177,Heating!$R$102:$AD$106,5,FALSE)*INDEX(Weather!$BO$1:$CB$20,MATCH(B177,Weather!$BO$1:$BO$20,0),MATCH(C177,Weather!$BO$1:$CB$1,0))/VLOOKUP(B177,Weather!$BO$2:$CB$20,14,FALSE)</f>
        <v>1809.7031100184286</v>
      </c>
      <c r="T177" s="47">
        <f t="shared" ca="1" si="123"/>
        <v>31469682.591581695</v>
      </c>
    </row>
    <row r="178" spans="1:20">
      <c r="A178" s="2">
        <f t="shared" si="192"/>
        <v>47391</v>
      </c>
      <c r="B178">
        <f t="shared" si="193"/>
        <v>2029</v>
      </c>
      <c r="C178">
        <f t="shared" si="194"/>
        <v>9</v>
      </c>
      <c r="E178" s="3">
        <f t="shared" ref="E178:F178" ca="1" si="201">E166</f>
        <v>10.413369565217392</v>
      </c>
      <c r="F178" s="3">
        <f t="shared" ca="1" si="201"/>
        <v>158.67014233954447</v>
      </c>
      <c r="G178" s="3">
        <f t="shared" si="196"/>
        <v>30</v>
      </c>
      <c r="I178">
        <f t="shared" si="197"/>
        <v>1</v>
      </c>
      <c r="K178" s="3">
        <f t="shared" si="142"/>
        <v>14171159.489767401</v>
      </c>
      <c r="L178" s="3">
        <f t="shared" ca="1" si="143"/>
        <v>86104.646358544662</v>
      </c>
      <c r="M178" s="3">
        <f t="shared" ca="1" si="144"/>
        <v>2589371.7562871082</v>
      </c>
      <c r="N178" s="3">
        <f t="shared" si="145"/>
        <v>12340486.89822612</v>
      </c>
      <c r="O178" s="3">
        <f t="shared" si="146"/>
        <v>0</v>
      </c>
      <c r="P178" s="3">
        <f t="shared" si="147"/>
        <v>581324.19044200005</v>
      </c>
      <c r="Q178" s="47">
        <f t="shared" ca="1" si="198"/>
        <v>29768446.981081173</v>
      </c>
      <c r="R178" s="47">
        <f>IFERROR(HLOOKUP(B178-1,'EV Forecast WRZ'!$F$124:$T$130,4,FALSE)/12,0)+IFERROR(((HLOOKUP(B178,'EV Forecast WRZ'!$F$116:$T$122,4,FALSE)-HLOOKUP(B178-1,'EV Forecast WRZ'!$F$124:$T$130,4,FALSE)))*C178/78,0)</f>
        <v>91570.266765964407</v>
      </c>
      <c r="S178" s="47">
        <f ca="1">HLOOKUP(B178,Heating!$R$102:$AD$106,5,FALSE)*INDEX(Weather!$BO$1:$CB$20,MATCH(B178,Weather!$BO$1:$BO$20,0),MATCH(C178,Weather!$BO$1:$CB$1,0))/VLOOKUP(B178,Weather!$BO$2:$CB$20,14,FALSE)</f>
        <v>17603.587839174157</v>
      </c>
      <c r="T178" s="47">
        <f t="shared" ca="1" si="123"/>
        <v>29877620.835686311</v>
      </c>
    </row>
    <row r="179" spans="1:20">
      <c r="A179" s="2">
        <f t="shared" si="192"/>
        <v>47422</v>
      </c>
      <c r="B179">
        <f t="shared" si="193"/>
        <v>2029</v>
      </c>
      <c r="C179">
        <f t="shared" si="194"/>
        <v>10</v>
      </c>
      <c r="E179" s="3">
        <f t="shared" ref="E179:F179" ca="1" si="202">E167</f>
        <v>130.19639492753623</v>
      </c>
      <c r="F179" s="3">
        <f t="shared" ca="1" si="202"/>
        <v>35.32833333333334</v>
      </c>
      <c r="G179" s="3">
        <f t="shared" si="196"/>
        <v>31</v>
      </c>
      <c r="I179">
        <f t="shared" si="197"/>
        <v>1</v>
      </c>
      <c r="K179" s="3">
        <f t="shared" si="142"/>
        <v>14171159.489767401</v>
      </c>
      <c r="L179" s="3">
        <f t="shared" ca="1" si="143"/>
        <v>1076550.1475946987</v>
      </c>
      <c r="M179" s="3">
        <f t="shared" ca="1" si="144"/>
        <v>576530.57582989987</v>
      </c>
      <c r="N179" s="3">
        <f t="shared" si="145"/>
        <v>12751836.461500322</v>
      </c>
      <c r="O179" s="3">
        <f t="shared" si="146"/>
        <v>0</v>
      </c>
      <c r="P179" s="3">
        <f t="shared" si="147"/>
        <v>581324.19044200005</v>
      </c>
      <c r="Q179" s="47">
        <f t="shared" ca="1" si="198"/>
        <v>29157400.865134325</v>
      </c>
      <c r="R179" s="47">
        <f>IFERROR(HLOOKUP(B179-1,'EV Forecast WRZ'!$F$124:$T$130,4,FALSE)/12,0)+IFERROR(((HLOOKUP(B179,'EV Forecast WRZ'!$F$116:$T$122,4,FALSE)-HLOOKUP(B179-1,'EV Forecast WRZ'!$F$124:$T$130,4,FALSE)))*C179/78,0)</f>
        <v>92847.007173405262</v>
      </c>
      <c r="S179" s="47">
        <f ca="1">HLOOKUP(B179,Heating!$R$102:$AD$106,5,FALSE)*INDEX(Weather!$BO$1:$CB$20,MATCH(B179,Weather!$BO$1:$BO$20,0),MATCH(C179,Weather!$BO$1:$CB$1,0))/VLOOKUP(B179,Weather!$BO$2:$CB$20,14,FALSE)</f>
        <v>76198.690231061468</v>
      </c>
      <c r="T179" s="47">
        <f t="shared" ca="1" si="123"/>
        <v>29326446.562538791</v>
      </c>
    </row>
    <row r="180" spans="1:20">
      <c r="A180" s="2">
        <f t="shared" si="192"/>
        <v>47452</v>
      </c>
      <c r="B180">
        <f t="shared" si="193"/>
        <v>2029</v>
      </c>
      <c r="C180">
        <f t="shared" si="194"/>
        <v>11</v>
      </c>
      <c r="E180" s="3">
        <f t="shared" ref="E180:F180" ca="1" si="203">E168</f>
        <v>307.43824722379077</v>
      </c>
      <c r="F180" s="3">
        <f t="shared" ca="1" si="203"/>
        <v>2.2779166666666657</v>
      </c>
      <c r="G180" s="3">
        <f t="shared" si="196"/>
        <v>30</v>
      </c>
      <c r="I180">
        <f t="shared" si="197"/>
        <v>1</v>
      </c>
      <c r="K180" s="3">
        <f t="shared" si="142"/>
        <v>14171159.489767401</v>
      </c>
      <c r="L180" s="3">
        <f t="shared" ca="1" si="143"/>
        <v>2542103.3401826355</v>
      </c>
      <c r="M180" s="3">
        <f t="shared" ca="1" si="144"/>
        <v>37173.805940251688</v>
      </c>
      <c r="N180" s="3">
        <f t="shared" si="145"/>
        <v>12340486.89822612</v>
      </c>
      <c r="O180" s="3">
        <f t="shared" si="146"/>
        <v>0</v>
      </c>
      <c r="P180" s="3">
        <f t="shared" si="147"/>
        <v>581324.19044200005</v>
      </c>
      <c r="Q180" s="47">
        <f t="shared" ca="1" si="198"/>
        <v>29672247.724558409</v>
      </c>
      <c r="R180" s="47">
        <f>IFERROR(HLOOKUP(B180-1,'EV Forecast WRZ'!$F$124:$T$130,4,FALSE)/12,0)+IFERROR(((HLOOKUP(B180,'EV Forecast WRZ'!$F$116:$T$122,4,FALSE)-HLOOKUP(B180-1,'EV Forecast WRZ'!$F$124:$T$130,4,FALSE)))*C180/78,0)</f>
        <v>94123.747580846117</v>
      </c>
      <c r="S180" s="47">
        <f ca="1">HLOOKUP(B180,Heating!$R$102:$AD$106,5,FALSE)*INDEX(Weather!$BO$1:$CB$20,MATCH(B180,Weather!$BO$1:$BO$20,0),MATCH(C180,Weather!$BO$1:$CB$1,0))/VLOOKUP(B180,Weather!$BO$2:$CB$20,14,FALSE)</f>
        <v>136650.1738043284</v>
      </c>
      <c r="T180" s="47">
        <f t="shared" ca="1" si="123"/>
        <v>29903021.645943582</v>
      </c>
    </row>
    <row r="181" spans="1:20">
      <c r="A181" s="2">
        <f t="shared" si="192"/>
        <v>47483</v>
      </c>
      <c r="B181">
        <f t="shared" si="193"/>
        <v>2029</v>
      </c>
      <c r="C181">
        <f t="shared" si="194"/>
        <v>12</v>
      </c>
      <c r="E181" s="3">
        <f t="shared" ref="E181:F181" ca="1" si="204">E169</f>
        <v>453.92800724637681</v>
      </c>
      <c r="F181" s="3">
        <f t="shared" ca="1" si="204"/>
        <v>0</v>
      </c>
      <c r="G181" s="3">
        <f t="shared" si="196"/>
        <v>31</v>
      </c>
      <c r="I181">
        <f t="shared" si="197"/>
        <v>0</v>
      </c>
      <c r="K181" s="3">
        <f t="shared" si="142"/>
        <v>14171159.489767401</v>
      </c>
      <c r="L181" s="3">
        <f t="shared" ca="1" si="143"/>
        <v>3753377.8371546944</v>
      </c>
      <c r="M181" s="3">
        <f t="shared" ca="1" si="144"/>
        <v>0</v>
      </c>
      <c r="N181" s="3">
        <f t="shared" si="145"/>
        <v>12751836.461500322</v>
      </c>
      <c r="O181" s="3">
        <f t="shared" si="146"/>
        <v>0</v>
      </c>
      <c r="P181" s="3">
        <f t="shared" si="147"/>
        <v>0</v>
      </c>
      <c r="Q181" s="47">
        <f t="shared" ca="1" si="198"/>
        <v>30676373.788422421</v>
      </c>
      <c r="R181" s="47">
        <f>IFERROR(HLOOKUP(B181-1,'EV Forecast WRZ'!$F$124:$T$130,4,FALSE)/12,0)+IFERROR(((HLOOKUP(B181,'EV Forecast WRZ'!$F$116:$T$122,4,FALSE)-HLOOKUP(B181-1,'EV Forecast WRZ'!$F$124:$T$130,4,FALSE)))*C181/78,0)</f>
        <v>95400.487988286972</v>
      </c>
      <c r="S181" s="47">
        <f ca="1">HLOOKUP(B181,Heating!$R$102:$AD$106,5,FALSE)*INDEX(Weather!$BO$1:$CB$20,MATCH(B181,Weather!$BO$1:$BO$20,0),MATCH(C181,Weather!$BO$1:$CB$1,0))/VLOOKUP(B181,Weather!$BO$2:$CB$20,14,FALSE)</f>
        <v>185111.17027973835</v>
      </c>
      <c r="T181" s="47">
        <f t="shared" ca="1" si="123"/>
        <v>30956885.446690444</v>
      </c>
    </row>
    <row r="182" spans="1:20">
      <c r="A182" s="2">
        <f t="shared" si="192"/>
        <v>47514</v>
      </c>
      <c r="B182">
        <f t="shared" si="193"/>
        <v>2030</v>
      </c>
      <c r="C182">
        <f t="shared" si="194"/>
        <v>1</v>
      </c>
      <c r="E182" s="3">
        <f t="shared" ref="E182:F182" ca="1" si="205">E170</f>
        <v>573.33418478260865</v>
      </c>
      <c r="F182" s="3">
        <f t="shared" ca="1" si="205"/>
        <v>0</v>
      </c>
      <c r="G182" s="3">
        <f t="shared" si="196"/>
        <v>31</v>
      </c>
      <c r="I182">
        <f t="shared" si="197"/>
        <v>0</v>
      </c>
      <c r="K182" s="3">
        <f t="shared" si="142"/>
        <v>14171159.489767401</v>
      </c>
      <c r="L182" s="3">
        <f t="shared" ca="1" si="143"/>
        <v>4740707.3106158823</v>
      </c>
      <c r="M182" s="3">
        <f t="shared" ca="1" si="144"/>
        <v>0</v>
      </c>
      <c r="N182" s="3">
        <f t="shared" si="145"/>
        <v>12751836.461500322</v>
      </c>
      <c r="O182" s="3">
        <f t="shared" si="146"/>
        <v>0</v>
      </c>
      <c r="P182" s="3">
        <f t="shared" si="147"/>
        <v>0</v>
      </c>
      <c r="Q182" s="47">
        <f t="shared" ca="1" si="198"/>
        <v>31663703.261883609</v>
      </c>
      <c r="R182" s="47">
        <f>IFERROR(HLOOKUP(B182-1,'EV Forecast WRZ'!$F$124:$T$130,4,FALSE)/12,0)+IFERROR(((HLOOKUP(B182,'EV Forecast WRZ'!$F$116:$T$122,4,FALSE)-HLOOKUP(B182-1,'EV Forecast WRZ'!$F$124:$T$130,4,FALSE)))*C182/78,0)</f>
        <v>99141.390908363392</v>
      </c>
      <c r="S182" s="47">
        <f ca="1">HLOOKUP(B182,Heating!$R$102:$AD$106,5,FALSE)*INDEX(Weather!$BO$1:$CB$20,MATCH(B182,Weather!$BO$1:$BO$20,0),MATCH(C182,Weather!$BO$1:$CB$1,0))/VLOOKUP(B182,Weather!$BO$2:$CB$20,14,FALSE)</f>
        <v>250413.84061974424</v>
      </c>
      <c r="T182" s="47">
        <f t="shared" ref="T182:T204" ca="1" si="206">Q182+R182+S182</f>
        <v>32013258.493411716</v>
      </c>
    </row>
    <row r="183" spans="1:20">
      <c r="A183" s="2">
        <f t="shared" si="192"/>
        <v>47542</v>
      </c>
      <c r="B183">
        <f t="shared" si="193"/>
        <v>2030</v>
      </c>
      <c r="C183">
        <f t="shared" si="194"/>
        <v>2</v>
      </c>
      <c r="E183" s="3">
        <f t="shared" ref="E183:F183" ca="1" si="207">E171</f>
        <v>511.05501811594206</v>
      </c>
      <c r="F183" s="3">
        <f t="shared" ca="1" si="207"/>
        <v>0</v>
      </c>
      <c r="G183" s="3">
        <f t="shared" si="196"/>
        <v>29</v>
      </c>
      <c r="I183">
        <f t="shared" si="197"/>
        <v>0</v>
      </c>
      <c r="K183" s="3">
        <f t="shared" si="142"/>
        <v>14171159.489767401</v>
      </c>
      <c r="L183" s="3">
        <f t="shared" ca="1" si="143"/>
        <v>4225741.8532052441</v>
      </c>
      <c r="M183" s="3">
        <f t="shared" ca="1" si="144"/>
        <v>0</v>
      </c>
      <c r="N183" s="3">
        <f t="shared" si="145"/>
        <v>11929137.334951915</v>
      </c>
      <c r="O183" s="3">
        <f t="shared" si="146"/>
        <v>0</v>
      </c>
      <c r="P183" s="3">
        <f t="shared" si="147"/>
        <v>0</v>
      </c>
      <c r="Q183" s="47">
        <f t="shared" ca="1" si="198"/>
        <v>30326038.677924559</v>
      </c>
      <c r="R183" s="47">
        <f>IFERROR(HLOOKUP(B183-1,'EV Forecast WRZ'!$F$124:$T$130,4,FALSE)/12,0)+IFERROR(((HLOOKUP(B183,'EV Forecast WRZ'!$F$116:$T$122,4,FALSE)-HLOOKUP(B183-1,'EV Forecast WRZ'!$F$124:$T$130,4,FALSE)))*C183/78,0)</f>
        <v>100572.96842099894</v>
      </c>
      <c r="S183" s="47">
        <f ca="1">HLOOKUP(B183,Heating!$R$102:$AD$106,5,FALSE)*INDEX(Weather!$BO$1:$CB$20,MATCH(B183,Weather!$BO$1:$BO$20,0),MATCH(C183,Weather!$BO$1:$CB$1,0))/VLOOKUP(B183,Weather!$BO$2:$CB$20,14,FALSE)</f>
        <v>224170.99293833389</v>
      </c>
      <c r="T183" s="47">
        <f t="shared" ca="1" si="206"/>
        <v>30650782.639283888</v>
      </c>
    </row>
    <row r="184" spans="1:20">
      <c r="A184" s="2">
        <f t="shared" si="192"/>
        <v>47573</v>
      </c>
      <c r="B184">
        <f t="shared" si="193"/>
        <v>2030</v>
      </c>
      <c r="C184">
        <f t="shared" si="194"/>
        <v>3</v>
      </c>
      <c r="E184" s="3">
        <f t="shared" ref="E184:F184" ca="1" si="208">E172</f>
        <v>422.13298913043479</v>
      </c>
      <c r="F184" s="3">
        <f t="shared" ca="1" si="208"/>
        <v>2.9583333333332896E-2</v>
      </c>
      <c r="G184" s="3">
        <f t="shared" si="196"/>
        <v>31</v>
      </c>
      <c r="I184">
        <f t="shared" si="197"/>
        <v>0</v>
      </c>
      <c r="K184" s="3">
        <f t="shared" si="142"/>
        <v>14171159.489767401</v>
      </c>
      <c r="L184" s="3">
        <f t="shared" ca="1" si="143"/>
        <v>3490475.5389417186</v>
      </c>
      <c r="M184" s="3">
        <f t="shared" ca="1" si="144"/>
        <v>482.77670052274232</v>
      </c>
      <c r="N184" s="3">
        <f t="shared" si="145"/>
        <v>12751836.461500322</v>
      </c>
      <c r="O184" s="3">
        <f t="shared" si="146"/>
        <v>0</v>
      </c>
      <c r="P184" s="3">
        <f t="shared" si="147"/>
        <v>0</v>
      </c>
      <c r="Q184" s="47">
        <f t="shared" ca="1" si="198"/>
        <v>30413954.266909964</v>
      </c>
      <c r="R184" s="47">
        <f>IFERROR(HLOOKUP(B184-1,'EV Forecast WRZ'!$F$124:$T$130,4,FALSE)/12,0)+IFERROR(((HLOOKUP(B184,'EV Forecast WRZ'!$F$116:$T$122,4,FALSE)-HLOOKUP(B184-1,'EV Forecast WRZ'!$F$124:$T$130,4,FALSE)))*C184/78,0)</f>
        <v>102004.54593363448</v>
      </c>
      <c r="S184" s="47">
        <f ca="1">HLOOKUP(B184,Heating!$R$102:$AD$106,5,FALSE)*INDEX(Weather!$BO$1:$CB$20,MATCH(B184,Weather!$BO$1:$BO$20,0),MATCH(C184,Weather!$BO$1:$CB$1,0))/VLOOKUP(B184,Weather!$BO$2:$CB$20,14,FALSE)</f>
        <v>196117.24519131012</v>
      </c>
      <c r="T184" s="47">
        <f t="shared" ca="1" si="206"/>
        <v>30712076.058034908</v>
      </c>
    </row>
    <row r="185" spans="1:20">
      <c r="A185" s="2">
        <f t="shared" si="192"/>
        <v>47603</v>
      </c>
      <c r="B185">
        <f t="shared" si="193"/>
        <v>2030</v>
      </c>
      <c r="C185">
        <f t="shared" si="194"/>
        <v>4</v>
      </c>
      <c r="E185" s="3">
        <f t="shared" ref="E185:F185" ca="1" si="209">E173</f>
        <v>234.57024621212122</v>
      </c>
      <c r="F185" s="3">
        <f t="shared" ca="1" si="209"/>
        <v>5.6420833333333338</v>
      </c>
      <c r="G185" s="3">
        <f t="shared" si="196"/>
        <v>30</v>
      </c>
      <c r="I185">
        <f t="shared" si="197"/>
        <v>0</v>
      </c>
      <c r="K185" s="3">
        <f t="shared" si="142"/>
        <v>14171159.489767401</v>
      </c>
      <c r="L185" s="3">
        <f t="shared" ca="1" si="143"/>
        <v>1939582.3772350482</v>
      </c>
      <c r="M185" s="3">
        <f t="shared" ca="1" si="144"/>
        <v>92074.356363078172</v>
      </c>
      <c r="N185" s="3">
        <f t="shared" si="145"/>
        <v>12340486.89822612</v>
      </c>
      <c r="O185" s="3">
        <f t="shared" si="146"/>
        <v>0</v>
      </c>
      <c r="P185" s="3">
        <f t="shared" si="147"/>
        <v>0</v>
      </c>
      <c r="Q185" s="47">
        <f t="shared" ca="1" si="198"/>
        <v>28543303.121591646</v>
      </c>
      <c r="R185" s="47">
        <f>IFERROR(HLOOKUP(B185-1,'EV Forecast WRZ'!$F$124:$T$130,4,FALSE)/12,0)+IFERROR(((HLOOKUP(B185,'EV Forecast WRZ'!$F$116:$T$122,4,FALSE)-HLOOKUP(B185-1,'EV Forecast WRZ'!$F$124:$T$130,4,FALSE)))*C185/78,0)</f>
        <v>103436.12344627002</v>
      </c>
      <c r="S185" s="47">
        <f ca="1">HLOOKUP(B185,Heating!$R$102:$AD$106,5,FALSE)*INDEX(Weather!$BO$1:$CB$20,MATCH(B185,Weather!$BO$1:$BO$20,0),MATCH(C185,Weather!$BO$1:$CB$1,0))/VLOOKUP(B185,Weather!$BO$2:$CB$20,14,FALSE)</f>
        <v>126552.43956976046</v>
      </c>
      <c r="T185" s="47">
        <f t="shared" ca="1" si="206"/>
        <v>28773291.684607677</v>
      </c>
    </row>
    <row r="186" spans="1:20">
      <c r="A186" s="2">
        <f t="shared" si="192"/>
        <v>47634</v>
      </c>
      <c r="B186">
        <f t="shared" si="193"/>
        <v>2030</v>
      </c>
      <c r="C186">
        <f t="shared" si="194"/>
        <v>5</v>
      </c>
      <c r="E186" s="3">
        <f t="shared" ref="E186:F186" ca="1" si="210">E174</f>
        <v>64.294809115179262</v>
      </c>
      <c r="F186" s="3">
        <f t="shared" ca="1" si="210"/>
        <v>86.191046176046171</v>
      </c>
      <c r="G186" s="3">
        <f t="shared" si="196"/>
        <v>31</v>
      </c>
      <c r="I186">
        <f t="shared" si="197"/>
        <v>0</v>
      </c>
      <c r="K186" s="3">
        <f t="shared" si="142"/>
        <v>14171159.489767401</v>
      </c>
      <c r="L186" s="3">
        <f t="shared" ca="1" si="143"/>
        <v>531632.1260741764</v>
      </c>
      <c r="M186" s="3">
        <f t="shared" ca="1" si="144"/>
        <v>1406569.9905625524</v>
      </c>
      <c r="N186" s="3">
        <f t="shared" si="145"/>
        <v>12751836.461500322</v>
      </c>
      <c r="O186" s="3">
        <f t="shared" si="146"/>
        <v>0</v>
      </c>
      <c r="P186" s="3">
        <f t="shared" si="147"/>
        <v>0</v>
      </c>
      <c r="Q186" s="47">
        <f t="shared" ca="1" si="198"/>
        <v>28861198.06790445</v>
      </c>
      <c r="R186" s="47">
        <f>IFERROR(HLOOKUP(B186-1,'EV Forecast WRZ'!$F$124:$T$130,4,FALSE)/12,0)+IFERROR(((HLOOKUP(B186,'EV Forecast WRZ'!$F$116:$T$122,4,FALSE)-HLOOKUP(B186-1,'EV Forecast WRZ'!$F$124:$T$130,4,FALSE)))*C186/78,0)</f>
        <v>104867.70095890557</v>
      </c>
      <c r="S186" s="47">
        <f ca="1">HLOOKUP(B186,Heating!$R$102:$AD$106,5,FALSE)*INDEX(Weather!$BO$1:$CB$20,MATCH(B186,Weather!$BO$1:$BO$20,0),MATCH(C186,Weather!$BO$1:$CB$1,0))/VLOOKUP(B186,Weather!$BO$2:$CB$20,14,FALSE)</f>
        <v>53914.404359108368</v>
      </c>
      <c r="T186" s="47">
        <f t="shared" ca="1" si="206"/>
        <v>29019980.173222464</v>
      </c>
    </row>
    <row r="187" spans="1:20">
      <c r="A187" s="2">
        <f t="shared" si="192"/>
        <v>47664</v>
      </c>
      <c r="B187">
        <f t="shared" si="193"/>
        <v>2030</v>
      </c>
      <c r="C187">
        <f t="shared" si="194"/>
        <v>6</v>
      </c>
      <c r="E187" s="3">
        <f t="shared" ref="E187:F187" ca="1" si="211">E175</f>
        <v>3.2341666666666669</v>
      </c>
      <c r="F187" s="3">
        <f t="shared" ca="1" si="211"/>
        <v>194.94285087738348</v>
      </c>
      <c r="G187" s="3">
        <f t="shared" si="196"/>
        <v>30</v>
      </c>
      <c r="I187">
        <f t="shared" si="197"/>
        <v>0</v>
      </c>
      <c r="K187" s="3">
        <f t="shared" si="142"/>
        <v>14171159.489767401</v>
      </c>
      <c r="L187" s="3">
        <f t="shared" ca="1" si="143"/>
        <v>26742.235100163085</v>
      </c>
      <c r="M187" s="3">
        <f t="shared" ca="1" si="144"/>
        <v>3181313.7916759965</v>
      </c>
      <c r="N187" s="3">
        <f t="shared" si="145"/>
        <v>12340486.89822612</v>
      </c>
      <c r="O187" s="3">
        <f t="shared" si="146"/>
        <v>0</v>
      </c>
      <c r="P187" s="3">
        <f t="shared" si="147"/>
        <v>0</v>
      </c>
      <c r="Q187" s="47">
        <f t="shared" ca="1" si="198"/>
        <v>29719702.414769679</v>
      </c>
      <c r="R187" s="47">
        <f>IFERROR(HLOOKUP(B187-1,'EV Forecast WRZ'!$F$124:$T$130,4,FALSE)/12,0)+IFERROR(((HLOOKUP(B187,'EV Forecast WRZ'!$F$116:$T$122,4,FALSE)-HLOOKUP(B187-1,'EV Forecast WRZ'!$F$124:$T$130,4,FALSE)))*C187/78,0)</f>
        <v>106299.27847154113</v>
      </c>
      <c r="S187" s="47">
        <f ca="1">HLOOKUP(B187,Heating!$R$102:$AD$106,5,FALSE)*INDEX(Weather!$BO$1:$CB$20,MATCH(B187,Weather!$BO$1:$BO$20,0),MATCH(C187,Weather!$BO$1:$CB$1,0))/VLOOKUP(B187,Weather!$BO$2:$CB$20,14,FALSE)</f>
        <v>11678.316671587092</v>
      </c>
      <c r="T187" s="47">
        <f t="shared" ca="1" si="206"/>
        <v>29837680.009912807</v>
      </c>
    </row>
    <row r="188" spans="1:20">
      <c r="A188" s="2">
        <f t="shared" si="192"/>
        <v>47695</v>
      </c>
      <c r="B188">
        <f t="shared" si="193"/>
        <v>2030</v>
      </c>
      <c r="C188">
        <f t="shared" si="194"/>
        <v>7</v>
      </c>
      <c r="E188" s="3">
        <f t="shared" ref="E188:F188" ca="1" si="212">E176</f>
        <v>0</v>
      </c>
      <c r="F188" s="3">
        <f t="shared" ca="1" si="212"/>
        <v>297.94737858727848</v>
      </c>
      <c r="G188" s="3">
        <f t="shared" si="196"/>
        <v>31</v>
      </c>
      <c r="I188">
        <f t="shared" si="197"/>
        <v>0</v>
      </c>
      <c r="K188" s="3">
        <f t="shared" si="142"/>
        <v>14171159.489767401</v>
      </c>
      <c r="L188" s="3">
        <f t="shared" ca="1" si="143"/>
        <v>0</v>
      </c>
      <c r="M188" s="3">
        <f t="shared" ca="1" si="144"/>
        <v>4862266.5587752834</v>
      </c>
      <c r="N188" s="3">
        <f t="shared" si="145"/>
        <v>12751836.461500322</v>
      </c>
      <c r="O188" s="3">
        <f t="shared" si="146"/>
        <v>0</v>
      </c>
      <c r="P188" s="3">
        <f t="shared" si="147"/>
        <v>0</v>
      </c>
      <c r="Q188" s="47">
        <f t="shared" ca="1" si="198"/>
        <v>31785262.51004301</v>
      </c>
      <c r="R188" s="47">
        <f>IFERROR(HLOOKUP(B188-1,'EV Forecast WRZ'!$F$124:$T$130,4,FALSE)/12,0)+IFERROR(((HLOOKUP(B188,'EV Forecast WRZ'!$F$116:$T$122,4,FALSE)-HLOOKUP(B188-1,'EV Forecast WRZ'!$F$124:$T$130,4,FALSE)))*C188/78,0)</f>
        <v>107730.85598417665</v>
      </c>
      <c r="S188" s="47">
        <f ca="1">HLOOKUP(B188,Heating!$R$102:$AD$106,5,FALSE)*INDEX(Weather!$BO$1:$CB$20,MATCH(B188,Weather!$BO$1:$BO$20,0),MATCH(C188,Weather!$BO$1:$CB$1,0))/VLOOKUP(B188,Weather!$BO$2:$CB$20,14,FALSE)</f>
        <v>580.99650805015074</v>
      </c>
      <c r="T188" s="47">
        <f t="shared" ca="1" si="206"/>
        <v>31893574.362535238</v>
      </c>
    </row>
    <row r="189" spans="1:20">
      <c r="A189" s="2">
        <f t="shared" si="192"/>
        <v>47726</v>
      </c>
      <c r="B189">
        <f t="shared" si="193"/>
        <v>2030</v>
      </c>
      <c r="C189">
        <f t="shared" si="194"/>
        <v>8</v>
      </c>
      <c r="E189" s="3">
        <f t="shared" ref="E189:F189" ca="1" si="213">E177</f>
        <v>0</v>
      </c>
      <c r="F189" s="3">
        <f t="shared" ca="1" si="213"/>
        <v>272.96558794466404</v>
      </c>
      <c r="G189" s="3">
        <f t="shared" si="196"/>
        <v>31</v>
      </c>
      <c r="I189">
        <f t="shared" si="197"/>
        <v>0</v>
      </c>
      <c r="K189" s="3">
        <f t="shared" si="142"/>
        <v>14171159.489767401</v>
      </c>
      <c r="L189" s="3">
        <f t="shared" ca="1" si="143"/>
        <v>0</v>
      </c>
      <c r="M189" s="3">
        <f t="shared" ca="1" si="144"/>
        <v>4454583.4108454296</v>
      </c>
      <c r="N189" s="3">
        <f t="shared" si="145"/>
        <v>12751836.461500322</v>
      </c>
      <c r="O189" s="3">
        <f t="shared" si="146"/>
        <v>0</v>
      </c>
      <c r="P189" s="3">
        <f t="shared" si="147"/>
        <v>0</v>
      </c>
      <c r="Q189" s="47">
        <f t="shared" ca="1" si="198"/>
        <v>31377579.362113155</v>
      </c>
      <c r="R189" s="47">
        <f>IFERROR(HLOOKUP(B189-1,'EV Forecast WRZ'!$F$124:$T$130,4,FALSE)/12,0)+IFERROR(((HLOOKUP(B189,'EV Forecast WRZ'!$F$116:$T$122,4,FALSE)-HLOOKUP(B189-1,'EV Forecast WRZ'!$F$124:$T$130,4,FALSE)))*C189/78,0)</f>
        <v>109162.43349681221</v>
      </c>
      <c r="S189" s="47">
        <f ca="1">HLOOKUP(B189,Heating!$R$102:$AD$106,5,FALSE)*INDEX(Weather!$BO$1:$CB$20,MATCH(B189,Weather!$BO$1:$BO$20,0),MATCH(C189,Weather!$BO$1:$CB$1,0))/VLOOKUP(B189,Weather!$BO$2:$CB$20,14,FALSE)</f>
        <v>2028.9241949935736</v>
      </c>
      <c r="T189" s="47">
        <f t="shared" ca="1" si="206"/>
        <v>31488770.719804961</v>
      </c>
    </row>
    <row r="190" spans="1:20">
      <c r="A190" s="2">
        <f t="shared" si="192"/>
        <v>47756</v>
      </c>
      <c r="B190">
        <f t="shared" si="193"/>
        <v>2030</v>
      </c>
      <c r="C190">
        <f t="shared" si="194"/>
        <v>9</v>
      </c>
      <c r="E190" s="3">
        <f t="shared" ref="E190:F190" ca="1" si="214">E178</f>
        <v>10.413369565217392</v>
      </c>
      <c r="F190" s="3">
        <f t="shared" ca="1" si="214"/>
        <v>158.67014233954447</v>
      </c>
      <c r="G190" s="3">
        <f t="shared" si="196"/>
        <v>30</v>
      </c>
      <c r="I190">
        <f t="shared" si="197"/>
        <v>1</v>
      </c>
      <c r="K190" s="3">
        <f t="shared" si="142"/>
        <v>14171159.489767401</v>
      </c>
      <c r="L190" s="3">
        <f t="shared" ca="1" si="143"/>
        <v>86104.646358544662</v>
      </c>
      <c r="M190" s="3">
        <f t="shared" ca="1" si="144"/>
        <v>2589371.7562871082</v>
      </c>
      <c r="N190" s="3">
        <f t="shared" si="145"/>
        <v>12340486.89822612</v>
      </c>
      <c r="O190" s="3">
        <f t="shared" si="146"/>
        <v>0</v>
      </c>
      <c r="P190" s="3">
        <f t="shared" si="147"/>
        <v>581324.19044200005</v>
      </c>
      <c r="Q190" s="47">
        <f t="shared" ca="1" si="198"/>
        <v>29768446.981081173</v>
      </c>
      <c r="R190" s="47">
        <f>IFERROR(HLOOKUP(B190-1,'EV Forecast WRZ'!$F$124:$T$130,4,FALSE)/12,0)+IFERROR(((HLOOKUP(B190,'EV Forecast WRZ'!$F$116:$T$122,4,FALSE)-HLOOKUP(B190-1,'EV Forecast WRZ'!$F$124:$T$130,4,FALSE)))*C190/78,0)</f>
        <v>110594.01100944776</v>
      </c>
      <c r="S190" s="47">
        <f ca="1">HLOOKUP(B190,Heating!$R$102:$AD$106,5,FALSE)*INDEX(Weather!$BO$1:$CB$20,MATCH(B190,Weather!$BO$1:$BO$20,0),MATCH(C190,Weather!$BO$1:$CB$1,0))/VLOOKUP(B190,Weather!$BO$2:$CB$20,14,FALSE)</f>
        <v>19736.024703649528</v>
      </c>
      <c r="T190" s="47">
        <f t="shared" ca="1" si="206"/>
        <v>29898777.016794268</v>
      </c>
    </row>
    <row r="191" spans="1:20">
      <c r="A191" s="2">
        <f t="shared" si="192"/>
        <v>47787</v>
      </c>
      <c r="B191">
        <f t="shared" si="193"/>
        <v>2030</v>
      </c>
      <c r="C191">
        <f t="shared" si="194"/>
        <v>10</v>
      </c>
      <c r="E191" s="3">
        <f t="shared" ref="E191:F191" ca="1" si="215">E179</f>
        <v>130.19639492753623</v>
      </c>
      <c r="F191" s="3">
        <f t="shared" ca="1" si="215"/>
        <v>35.32833333333334</v>
      </c>
      <c r="G191" s="3">
        <f t="shared" si="196"/>
        <v>31</v>
      </c>
      <c r="I191">
        <f t="shared" si="197"/>
        <v>1</v>
      </c>
      <c r="K191" s="3">
        <f t="shared" si="142"/>
        <v>14171159.489767401</v>
      </c>
      <c r="L191" s="3">
        <f t="shared" ca="1" si="143"/>
        <v>1076550.1475946987</v>
      </c>
      <c r="M191" s="3">
        <f t="shared" ca="1" si="144"/>
        <v>576530.57582989987</v>
      </c>
      <c r="N191" s="3">
        <f t="shared" si="145"/>
        <v>12751836.461500322</v>
      </c>
      <c r="O191" s="3">
        <f t="shared" si="146"/>
        <v>0</v>
      </c>
      <c r="P191" s="3">
        <f t="shared" si="147"/>
        <v>581324.19044200005</v>
      </c>
      <c r="Q191" s="47">
        <f t="shared" ca="1" si="198"/>
        <v>29157400.865134325</v>
      </c>
      <c r="R191" s="47">
        <f>IFERROR(HLOOKUP(B191-1,'EV Forecast WRZ'!$F$124:$T$130,4,FALSE)/12,0)+IFERROR(((HLOOKUP(B191,'EV Forecast WRZ'!$F$116:$T$122,4,FALSE)-HLOOKUP(B191-1,'EV Forecast WRZ'!$F$124:$T$130,4,FALSE)))*C191/78,0)</f>
        <v>112025.5885220833</v>
      </c>
      <c r="S191" s="47">
        <f ca="1">HLOOKUP(B191,Heating!$R$102:$AD$106,5,FALSE)*INDEX(Weather!$BO$1:$CB$20,MATCH(B191,Weather!$BO$1:$BO$20,0),MATCH(C191,Weather!$BO$1:$CB$1,0))/VLOOKUP(B191,Weather!$BO$2:$CB$20,14,FALSE)</f>
        <v>85429.132204478956</v>
      </c>
      <c r="T191" s="47">
        <f t="shared" ca="1" si="206"/>
        <v>29354855.585860889</v>
      </c>
    </row>
    <row r="192" spans="1:20">
      <c r="A192" s="2">
        <f t="shared" si="192"/>
        <v>47817</v>
      </c>
      <c r="B192">
        <f t="shared" si="193"/>
        <v>2030</v>
      </c>
      <c r="C192">
        <f t="shared" si="194"/>
        <v>11</v>
      </c>
      <c r="E192" s="3">
        <f t="shared" ref="E192:F192" ca="1" si="216">E180</f>
        <v>307.43824722379077</v>
      </c>
      <c r="F192" s="3">
        <f t="shared" ca="1" si="216"/>
        <v>2.2779166666666657</v>
      </c>
      <c r="G192" s="3">
        <f t="shared" si="196"/>
        <v>30</v>
      </c>
      <c r="I192">
        <f t="shared" si="197"/>
        <v>1</v>
      </c>
      <c r="K192" s="3">
        <f t="shared" si="142"/>
        <v>14171159.489767401</v>
      </c>
      <c r="L192" s="3">
        <f t="shared" ca="1" si="143"/>
        <v>2542103.3401826355</v>
      </c>
      <c r="M192" s="3">
        <f t="shared" ca="1" si="144"/>
        <v>37173.805940251688</v>
      </c>
      <c r="N192" s="3">
        <f t="shared" si="145"/>
        <v>12340486.89822612</v>
      </c>
      <c r="O192" s="3">
        <f t="shared" si="146"/>
        <v>0</v>
      </c>
      <c r="P192" s="3">
        <f t="shared" si="147"/>
        <v>581324.19044200005</v>
      </c>
      <c r="Q192" s="47">
        <f t="shared" ca="1" si="198"/>
        <v>29672247.724558409</v>
      </c>
      <c r="R192" s="47">
        <f>IFERROR(HLOOKUP(B192-1,'EV Forecast WRZ'!$F$124:$T$130,4,FALSE)/12,0)+IFERROR(((HLOOKUP(B192,'EV Forecast WRZ'!$F$116:$T$122,4,FALSE)-HLOOKUP(B192-1,'EV Forecast WRZ'!$F$124:$T$130,4,FALSE)))*C192/78,0)</f>
        <v>113457.16603471884</v>
      </c>
      <c r="S192" s="47">
        <f ca="1">HLOOKUP(B192,Heating!$R$102:$AD$106,5,FALSE)*INDEX(Weather!$BO$1:$CB$20,MATCH(B192,Weather!$BO$1:$BO$20,0),MATCH(C192,Weather!$BO$1:$CB$1,0))/VLOOKUP(B192,Weather!$BO$2:$CB$20,14,FALSE)</f>
        <v>153203.49638944675</v>
      </c>
      <c r="T192" s="47">
        <f t="shared" ca="1" si="206"/>
        <v>29938908.386982571</v>
      </c>
    </row>
    <row r="193" spans="1:20">
      <c r="A193" s="2">
        <f t="shared" si="192"/>
        <v>47848</v>
      </c>
      <c r="B193">
        <f t="shared" si="193"/>
        <v>2030</v>
      </c>
      <c r="C193">
        <f t="shared" si="194"/>
        <v>12</v>
      </c>
      <c r="E193" s="3">
        <f t="shared" ref="E193:F193" ca="1" si="217">E181</f>
        <v>453.92800724637681</v>
      </c>
      <c r="F193" s="3">
        <f t="shared" ca="1" si="217"/>
        <v>0</v>
      </c>
      <c r="G193" s="3">
        <f t="shared" si="196"/>
        <v>31</v>
      </c>
      <c r="I193">
        <f t="shared" si="197"/>
        <v>0</v>
      </c>
      <c r="K193" s="3">
        <f t="shared" si="142"/>
        <v>14171159.489767401</v>
      </c>
      <c r="L193" s="3">
        <f t="shared" ca="1" si="143"/>
        <v>3753377.8371546944</v>
      </c>
      <c r="M193" s="3">
        <f t="shared" ca="1" si="144"/>
        <v>0</v>
      </c>
      <c r="N193" s="3">
        <f t="shared" si="145"/>
        <v>12751836.461500322</v>
      </c>
      <c r="O193" s="3">
        <f t="shared" si="146"/>
        <v>0</v>
      </c>
      <c r="P193" s="3">
        <f t="shared" si="147"/>
        <v>0</v>
      </c>
      <c r="Q193" s="47">
        <f t="shared" ca="1" si="198"/>
        <v>30676373.788422421</v>
      </c>
      <c r="R193" s="47">
        <f>IFERROR(HLOOKUP(B193-1,'EV Forecast WRZ'!$F$124:$T$130,4,FALSE)/12,0)+IFERROR(((HLOOKUP(B193,'EV Forecast WRZ'!$F$116:$T$122,4,FALSE)-HLOOKUP(B193-1,'EV Forecast WRZ'!$F$124:$T$130,4,FALSE)))*C193/78,0)</f>
        <v>114888.74354735439</v>
      </c>
      <c r="S193" s="47">
        <f ca="1">HLOOKUP(B193,Heating!$R$102:$AD$106,5,FALSE)*INDEX(Weather!$BO$1:$CB$20,MATCH(B193,Weather!$BO$1:$BO$20,0),MATCH(C193,Weather!$BO$1:$CB$1,0))/VLOOKUP(B193,Weather!$BO$2:$CB$20,14,FALSE)</f>
        <v>207534.88794099039</v>
      </c>
      <c r="T193" s="47">
        <f t="shared" ca="1" si="206"/>
        <v>30998797.419910766</v>
      </c>
    </row>
    <row r="194" spans="1:20">
      <c r="A194" s="2">
        <f t="shared" si="192"/>
        <v>47879</v>
      </c>
      <c r="B194">
        <f t="shared" si="193"/>
        <v>2031</v>
      </c>
      <c r="C194">
        <f t="shared" si="194"/>
        <v>1</v>
      </c>
      <c r="E194" s="3">
        <f t="shared" ref="E194:F194" ca="1" si="218">E182</f>
        <v>573.33418478260865</v>
      </c>
      <c r="F194" s="3">
        <f t="shared" ca="1" si="218"/>
        <v>0</v>
      </c>
      <c r="G194" s="3">
        <f t="shared" si="196"/>
        <v>31</v>
      </c>
      <c r="I194">
        <f t="shared" si="197"/>
        <v>0</v>
      </c>
      <c r="K194" s="3">
        <f t="shared" ref="K194:K205" si="219">$X$8</f>
        <v>14171159.489767401</v>
      </c>
      <c r="L194" s="3">
        <f t="shared" ref="L194:L205" ca="1" si="220">E194*$X$9</f>
        <v>4740707.3106158823</v>
      </c>
      <c r="M194" s="3">
        <f t="shared" ref="M194:M205" ca="1" si="221">F194*$X$10</f>
        <v>0</v>
      </c>
      <c r="N194" s="3">
        <f t="shared" ref="N194:N205" si="222">G194*$X$11</f>
        <v>12751836.461500322</v>
      </c>
      <c r="O194" s="3">
        <f t="shared" ref="O194:O205" si="223">H194*$X$12</f>
        <v>0</v>
      </c>
      <c r="P194" s="3">
        <f t="shared" ref="P194:P205" si="224">I194*$X$13</f>
        <v>0</v>
      </c>
      <c r="Q194" s="47">
        <f t="shared" ca="1" si="198"/>
        <v>31663703.261883609</v>
      </c>
      <c r="R194" s="47">
        <f>IFERROR(HLOOKUP(B194-1,'EV Forecast WRZ'!$F$124:$T$130,4,FALSE)/12,0)+IFERROR(((HLOOKUP(B194,'EV Forecast WRZ'!$F$116:$T$122,4,FALSE)-HLOOKUP(B194-1,'EV Forecast WRZ'!$F$124:$T$130,4,FALSE)))*C194/78,0)</f>
        <v>118957.95787294193</v>
      </c>
      <c r="S194" s="47">
        <f ca="1">HLOOKUP(B194,Heating!$R$102:$AD$106,5,FALSE)*INDEX(Weather!$BO$1:$CB$20,MATCH(B194,Weather!$BO$1:$BO$20,0),MATCH(C194,Weather!$BO$1:$CB$1,0))/VLOOKUP(B194,Weather!$BO$2:$CB$20,14,FALSE)</f>
        <v>278441.16090092162</v>
      </c>
      <c r="T194" s="47">
        <f t="shared" ca="1" si="206"/>
        <v>32061102.380657472</v>
      </c>
    </row>
    <row r="195" spans="1:20">
      <c r="A195" s="2">
        <f t="shared" si="192"/>
        <v>47907</v>
      </c>
      <c r="B195">
        <f t="shared" si="193"/>
        <v>2031</v>
      </c>
      <c r="C195">
        <f t="shared" si="194"/>
        <v>2</v>
      </c>
      <c r="E195" s="3">
        <f t="shared" ref="E195:F195" ca="1" si="225">E183</f>
        <v>511.05501811594206</v>
      </c>
      <c r="F195" s="3">
        <f t="shared" ca="1" si="225"/>
        <v>0</v>
      </c>
      <c r="G195" s="3">
        <f t="shared" si="196"/>
        <v>28</v>
      </c>
      <c r="I195">
        <f t="shared" si="197"/>
        <v>0</v>
      </c>
      <c r="K195" s="3">
        <f t="shared" si="219"/>
        <v>14171159.489767401</v>
      </c>
      <c r="L195" s="3">
        <f t="shared" ca="1" si="220"/>
        <v>4225741.8532052441</v>
      </c>
      <c r="M195" s="3">
        <f t="shared" ca="1" si="221"/>
        <v>0</v>
      </c>
      <c r="N195" s="3">
        <f t="shared" si="222"/>
        <v>11517787.771677712</v>
      </c>
      <c r="O195" s="3">
        <f t="shared" si="223"/>
        <v>0</v>
      </c>
      <c r="P195" s="3">
        <f t="shared" si="224"/>
        <v>0</v>
      </c>
      <c r="Q195" s="47">
        <f t="shared" ca="1" si="198"/>
        <v>29914689.114650354</v>
      </c>
      <c r="R195" s="47">
        <f>IFERROR(HLOOKUP(B195-1,'EV Forecast WRZ'!$F$124:$T$130,4,FALSE)/12,0)+IFERROR(((HLOOKUP(B195,'EV Forecast WRZ'!$F$116:$T$122,4,FALSE)-HLOOKUP(B195-1,'EV Forecast WRZ'!$F$124:$T$130,4,FALSE)))*C195/78,0)</f>
        <v>120407.41768589389</v>
      </c>
      <c r="S195" s="47">
        <f ca="1">HLOOKUP(B195,Heating!$R$102:$AD$106,5,FALSE)*INDEX(Weather!$BO$1:$CB$20,MATCH(B195,Weather!$BO$1:$BO$20,0),MATCH(C195,Weather!$BO$1:$CB$1,0))/VLOOKUP(B195,Weather!$BO$2:$CB$20,14,FALSE)</f>
        <v>249261.10856965359</v>
      </c>
      <c r="T195" s="47">
        <f t="shared" ca="1" si="206"/>
        <v>30284357.640905898</v>
      </c>
    </row>
    <row r="196" spans="1:20">
      <c r="A196" s="2">
        <f t="shared" si="192"/>
        <v>47938</v>
      </c>
      <c r="B196">
        <f t="shared" si="193"/>
        <v>2031</v>
      </c>
      <c r="C196">
        <f t="shared" si="194"/>
        <v>3</v>
      </c>
      <c r="E196" s="3">
        <f t="shared" ref="E196:F196" ca="1" si="226">E184</f>
        <v>422.13298913043479</v>
      </c>
      <c r="F196" s="3">
        <f t="shared" ca="1" si="226"/>
        <v>2.9583333333332896E-2</v>
      </c>
      <c r="G196" s="3">
        <f t="shared" si="196"/>
        <v>31</v>
      </c>
      <c r="I196">
        <f t="shared" si="197"/>
        <v>0</v>
      </c>
      <c r="K196" s="3">
        <f t="shared" si="219"/>
        <v>14171159.489767401</v>
      </c>
      <c r="L196" s="3">
        <f t="shared" ca="1" si="220"/>
        <v>3490475.5389417186</v>
      </c>
      <c r="M196" s="3">
        <f t="shared" ca="1" si="221"/>
        <v>482.77670052274232</v>
      </c>
      <c r="N196" s="3">
        <f t="shared" si="222"/>
        <v>12751836.461500322</v>
      </c>
      <c r="O196" s="3">
        <f t="shared" si="223"/>
        <v>0</v>
      </c>
      <c r="P196" s="3">
        <f t="shared" si="224"/>
        <v>0</v>
      </c>
      <c r="Q196" s="47">
        <f t="shared" ca="1" si="198"/>
        <v>30413954.266909964</v>
      </c>
      <c r="R196" s="47">
        <f>IFERROR(HLOOKUP(B196-1,'EV Forecast WRZ'!$F$124:$T$130,4,FALSE)/12,0)+IFERROR(((HLOOKUP(B196,'EV Forecast WRZ'!$F$116:$T$122,4,FALSE)-HLOOKUP(B196-1,'EV Forecast WRZ'!$F$124:$T$130,4,FALSE)))*C196/78,0)</f>
        <v>121856.87749884586</v>
      </c>
      <c r="S196" s="47">
        <f ca="1">HLOOKUP(B196,Heating!$R$102:$AD$106,5,FALSE)*INDEX(Weather!$BO$1:$CB$20,MATCH(B196,Weather!$BO$1:$BO$20,0),MATCH(C196,Weather!$BO$1:$CB$1,0))/VLOOKUP(B196,Weather!$BO$2:$CB$20,14,FALSE)</f>
        <v>218067.47298237597</v>
      </c>
      <c r="T196" s="47">
        <f t="shared" ca="1" si="206"/>
        <v>30753878.617391188</v>
      </c>
    </row>
    <row r="197" spans="1:20">
      <c r="A197" s="2">
        <f t="shared" si="192"/>
        <v>47968</v>
      </c>
      <c r="B197">
        <f t="shared" si="193"/>
        <v>2031</v>
      </c>
      <c r="C197">
        <f t="shared" si="194"/>
        <v>4</v>
      </c>
      <c r="E197" s="3">
        <f t="shared" ref="E197:F197" ca="1" si="227">E185</f>
        <v>234.57024621212122</v>
      </c>
      <c r="F197" s="3">
        <f t="shared" ca="1" si="227"/>
        <v>5.6420833333333338</v>
      </c>
      <c r="G197" s="3">
        <f t="shared" si="196"/>
        <v>30</v>
      </c>
      <c r="I197">
        <f t="shared" si="197"/>
        <v>0</v>
      </c>
      <c r="K197" s="3">
        <f t="shared" si="219"/>
        <v>14171159.489767401</v>
      </c>
      <c r="L197" s="3">
        <f t="shared" ca="1" si="220"/>
        <v>1939582.3772350482</v>
      </c>
      <c r="M197" s="3">
        <f t="shared" ca="1" si="221"/>
        <v>92074.356363078172</v>
      </c>
      <c r="N197" s="3">
        <f t="shared" si="222"/>
        <v>12340486.89822612</v>
      </c>
      <c r="O197" s="3">
        <f t="shared" si="223"/>
        <v>0</v>
      </c>
      <c r="P197" s="3">
        <f t="shared" si="224"/>
        <v>0</v>
      </c>
      <c r="Q197" s="47">
        <f t="shared" ca="1" si="198"/>
        <v>28543303.121591646</v>
      </c>
      <c r="R197" s="47">
        <f>IFERROR(HLOOKUP(B197-1,'EV Forecast WRZ'!$F$124:$T$130,4,FALSE)/12,0)+IFERROR(((HLOOKUP(B197,'EV Forecast WRZ'!$F$116:$T$122,4,FALSE)-HLOOKUP(B197-1,'EV Forecast WRZ'!$F$124:$T$130,4,FALSE)))*C197/78,0)</f>
        <v>123306.33731179782</v>
      </c>
      <c r="S197" s="47">
        <f ca="1">HLOOKUP(B197,Heating!$R$102:$AD$106,5,FALSE)*INDEX(Weather!$BO$1:$CB$20,MATCH(B197,Weather!$BO$1:$BO$20,0),MATCH(C197,Weather!$BO$1:$CB$1,0))/VLOOKUP(B197,Weather!$BO$2:$CB$20,14,FALSE)</f>
        <v>140716.69561650217</v>
      </c>
      <c r="T197" s="47">
        <f t="shared" ca="1" si="206"/>
        <v>28807326.154519945</v>
      </c>
    </row>
    <row r="198" spans="1:20">
      <c r="A198" s="2">
        <f t="shared" si="192"/>
        <v>47999</v>
      </c>
      <c r="B198">
        <f t="shared" si="193"/>
        <v>2031</v>
      </c>
      <c r="C198">
        <f t="shared" si="194"/>
        <v>5</v>
      </c>
      <c r="E198" s="3">
        <f t="shared" ref="E198:F198" ca="1" si="228">E186</f>
        <v>64.294809115179262</v>
      </c>
      <c r="F198" s="3">
        <f t="shared" ca="1" si="228"/>
        <v>86.191046176046171</v>
      </c>
      <c r="G198" s="3">
        <f t="shared" si="196"/>
        <v>31</v>
      </c>
      <c r="I198">
        <f t="shared" si="197"/>
        <v>0</v>
      </c>
      <c r="K198" s="3">
        <f t="shared" si="219"/>
        <v>14171159.489767401</v>
      </c>
      <c r="L198" s="3">
        <f t="shared" ca="1" si="220"/>
        <v>531632.1260741764</v>
      </c>
      <c r="M198" s="3">
        <f t="shared" ca="1" si="221"/>
        <v>1406569.9905625524</v>
      </c>
      <c r="N198" s="3">
        <f t="shared" si="222"/>
        <v>12751836.461500322</v>
      </c>
      <c r="O198" s="3">
        <f t="shared" si="223"/>
        <v>0</v>
      </c>
      <c r="P198" s="3">
        <f t="shared" si="224"/>
        <v>0</v>
      </c>
      <c r="Q198" s="47">
        <f t="shared" ca="1" si="198"/>
        <v>28861198.06790445</v>
      </c>
      <c r="R198" s="47">
        <f>IFERROR(HLOOKUP(B198-1,'EV Forecast WRZ'!$F$124:$T$130,4,FALSE)/12,0)+IFERROR(((HLOOKUP(B198,'EV Forecast WRZ'!$F$116:$T$122,4,FALSE)-HLOOKUP(B198-1,'EV Forecast WRZ'!$F$124:$T$130,4,FALSE)))*C198/78,0)</f>
        <v>124755.79712474979</v>
      </c>
      <c r="S198" s="47">
        <f ca="1">HLOOKUP(B198,Heating!$R$102:$AD$106,5,FALSE)*INDEX(Weather!$BO$1:$CB$20,MATCH(B198,Weather!$BO$1:$BO$20,0),MATCH(C198,Weather!$BO$1:$CB$1,0))/VLOOKUP(B198,Weather!$BO$2:$CB$20,14,FALSE)</f>
        <v>59948.72049355966</v>
      </c>
      <c r="T198" s="47">
        <f t="shared" ca="1" si="206"/>
        <v>29045902.58552276</v>
      </c>
    </row>
    <row r="199" spans="1:20">
      <c r="A199" s="2">
        <f t="shared" si="192"/>
        <v>48029</v>
      </c>
      <c r="B199">
        <f t="shared" si="193"/>
        <v>2031</v>
      </c>
      <c r="C199">
        <f t="shared" si="194"/>
        <v>6</v>
      </c>
      <c r="E199" s="3">
        <f t="shared" ref="E199:F199" ca="1" si="229">E187</f>
        <v>3.2341666666666669</v>
      </c>
      <c r="F199" s="3">
        <f t="shared" ca="1" si="229"/>
        <v>194.94285087738348</v>
      </c>
      <c r="G199" s="3">
        <f t="shared" si="196"/>
        <v>30</v>
      </c>
      <c r="I199">
        <f t="shared" si="197"/>
        <v>0</v>
      </c>
      <c r="K199" s="3">
        <f t="shared" si="219"/>
        <v>14171159.489767401</v>
      </c>
      <c r="L199" s="3">
        <f t="shared" ca="1" si="220"/>
        <v>26742.235100163085</v>
      </c>
      <c r="M199" s="3">
        <f t="shared" ca="1" si="221"/>
        <v>3181313.7916759965</v>
      </c>
      <c r="N199" s="3">
        <f t="shared" si="222"/>
        <v>12340486.89822612</v>
      </c>
      <c r="O199" s="3">
        <f t="shared" si="223"/>
        <v>0</v>
      </c>
      <c r="P199" s="3">
        <f t="shared" si="224"/>
        <v>0</v>
      </c>
      <c r="Q199" s="47">
        <f t="shared" ca="1" si="198"/>
        <v>29719702.414769679</v>
      </c>
      <c r="R199" s="47">
        <f>IFERROR(HLOOKUP(B199-1,'EV Forecast WRZ'!$F$124:$T$130,4,FALSE)/12,0)+IFERROR(((HLOOKUP(B199,'EV Forecast WRZ'!$F$116:$T$122,4,FALSE)-HLOOKUP(B199-1,'EV Forecast WRZ'!$F$124:$T$130,4,FALSE)))*C199/78,0)</f>
        <v>126205.25693770175</v>
      </c>
      <c r="S199" s="47">
        <f ca="1">HLOOKUP(B199,Heating!$R$102:$AD$106,5,FALSE)*INDEX(Weather!$BO$1:$CB$20,MATCH(B199,Weather!$BO$1:$BO$20,0),MATCH(C199,Weather!$BO$1:$CB$1,0))/VLOOKUP(B199,Weather!$BO$2:$CB$20,14,FALSE)</f>
        <v>12985.400660593161</v>
      </c>
      <c r="T199" s="47">
        <f t="shared" ca="1" si="206"/>
        <v>29858893.072367974</v>
      </c>
    </row>
    <row r="200" spans="1:20">
      <c r="A200" s="2">
        <f t="shared" si="192"/>
        <v>48060</v>
      </c>
      <c r="B200">
        <f t="shared" si="193"/>
        <v>2031</v>
      </c>
      <c r="C200">
        <f t="shared" si="194"/>
        <v>7</v>
      </c>
      <c r="E200" s="3">
        <f t="shared" ref="E200:F200" ca="1" si="230">E188</f>
        <v>0</v>
      </c>
      <c r="F200" s="3">
        <f t="shared" ca="1" si="230"/>
        <v>297.94737858727848</v>
      </c>
      <c r="G200" s="3">
        <f t="shared" si="196"/>
        <v>31</v>
      </c>
      <c r="I200">
        <f t="shared" si="197"/>
        <v>0</v>
      </c>
      <c r="K200" s="3">
        <f t="shared" si="219"/>
        <v>14171159.489767401</v>
      </c>
      <c r="L200" s="3">
        <f t="shared" ca="1" si="220"/>
        <v>0</v>
      </c>
      <c r="M200" s="3">
        <f t="shared" ca="1" si="221"/>
        <v>4862266.5587752834</v>
      </c>
      <c r="N200" s="3">
        <f t="shared" si="222"/>
        <v>12751836.461500322</v>
      </c>
      <c r="O200" s="3">
        <f t="shared" si="223"/>
        <v>0</v>
      </c>
      <c r="P200" s="3">
        <f t="shared" si="224"/>
        <v>0</v>
      </c>
      <c r="Q200" s="47">
        <f t="shared" ca="1" si="198"/>
        <v>31785262.51004301</v>
      </c>
      <c r="R200" s="47">
        <f>IFERROR(HLOOKUP(B200-1,'EV Forecast WRZ'!$F$124:$T$130,4,FALSE)/12,0)+IFERROR(((HLOOKUP(B200,'EV Forecast WRZ'!$F$116:$T$122,4,FALSE)-HLOOKUP(B200-1,'EV Forecast WRZ'!$F$124:$T$130,4,FALSE)))*C200/78,0)</f>
        <v>127654.71675065372</v>
      </c>
      <c r="S200" s="47">
        <f ca="1">HLOOKUP(B200,Heating!$R$102:$AD$106,5,FALSE)*INDEX(Weather!$BO$1:$CB$20,MATCH(B200,Weather!$BO$1:$BO$20,0),MATCH(C200,Weather!$BO$1:$CB$1,0))/VLOOKUP(B200,Weather!$BO$2:$CB$20,14,FALSE)</f>
        <v>646.02396489146111</v>
      </c>
      <c r="T200" s="47">
        <f t="shared" ca="1" si="206"/>
        <v>31913563.250758559</v>
      </c>
    </row>
    <row r="201" spans="1:20">
      <c r="A201" s="2">
        <f t="shared" si="192"/>
        <v>48091</v>
      </c>
      <c r="B201">
        <f t="shared" si="193"/>
        <v>2031</v>
      </c>
      <c r="C201">
        <f t="shared" si="194"/>
        <v>8</v>
      </c>
      <c r="E201" s="3">
        <f t="shared" ref="E201:F201" ca="1" si="231">E189</f>
        <v>0</v>
      </c>
      <c r="F201" s="3">
        <f t="shared" ca="1" si="231"/>
        <v>272.96558794466404</v>
      </c>
      <c r="G201" s="3">
        <f t="shared" si="196"/>
        <v>31</v>
      </c>
      <c r="I201">
        <f t="shared" si="197"/>
        <v>0</v>
      </c>
      <c r="K201" s="3">
        <f t="shared" si="219"/>
        <v>14171159.489767401</v>
      </c>
      <c r="L201" s="3">
        <f t="shared" ca="1" si="220"/>
        <v>0</v>
      </c>
      <c r="M201" s="3">
        <f t="shared" ca="1" si="221"/>
        <v>4454583.4108454296</v>
      </c>
      <c r="N201" s="3">
        <f t="shared" si="222"/>
        <v>12751836.461500322</v>
      </c>
      <c r="O201" s="3">
        <f t="shared" si="223"/>
        <v>0</v>
      </c>
      <c r="P201" s="3">
        <f t="shared" si="224"/>
        <v>0</v>
      </c>
      <c r="Q201" s="47">
        <f t="shared" ca="1" si="198"/>
        <v>31377579.362113155</v>
      </c>
      <c r="R201" s="47">
        <f>IFERROR(HLOOKUP(B201-1,'EV Forecast WRZ'!$F$124:$T$130,4,FALSE)/12,0)+IFERROR(((HLOOKUP(B201,'EV Forecast WRZ'!$F$116:$T$122,4,FALSE)-HLOOKUP(B201-1,'EV Forecast WRZ'!$F$124:$T$130,4,FALSE)))*C201/78,0)</f>
        <v>129104.1765636057</v>
      </c>
      <c r="S201" s="47">
        <f ca="1">HLOOKUP(B201,Heating!$R$102:$AD$106,5,FALSE)*INDEX(Weather!$BO$1:$CB$20,MATCH(B201,Weather!$BO$1:$BO$20,0),MATCH(C201,Weather!$BO$1:$CB$1,0))/VLOOKUP(B201,Weather!$BO$2:$CB$20,14,FALSE)</f>
        <v>2256.0095194252426</v>
      </c>
      <c r="T201" s="47">
        <f t="shared" ca="1" si="206"/>
        <v>31508939.548196185</v>
      </c>
    </row>
    <row r="202" spans="1:20">
      <c r="A202" s="2">
        <f t="shared" si="192"/>
        <v>48121</v>
      </c>
      <c r="B202">
        <f t="shared" si="193"/>
        <v>2031</v>
      </c>
      <c r="C202">
        <f t="shared" si="194"/>
        <v>9</v>
      </c>
      <c r="E202" s="3">
        <f t="shared" ref="E202:F202" ca="1" si="232">E190</f>
        <v>10.413369565217392</v>
      </c>
      <c r="F202" s="3">
        <f t="shared" ca="1" si="232"/>
        <v>158.67014233954447</v>
      </c>
      <c r="G202" s="3">
        <f t="shared" si="196"/>
        <v>30</v>
      </c>
      <c r="I202">
        <f t="shared" si="197"/>
        <v>1</v>
      </c>
      <c r="K202" s="3">
        <f t="shared" si="219"/>
        <v>14171159.489767401</v>
      </c>
      <c r="L202" s="3">
        <f t="shared" ca="1" si="220"/>
        <v>86104.646358544662</v>
      </c>
      <c r="M202" s="3">
        <f t="shared" ca="1" si="221"/>
        <v>2589371.7562871082</v>
      </c>
      <c r="N202" s="3">
        <f t="shared" si="222"/>
        <v>12340486.89822612</v>
      </c>
      <c r="O202" s="3">
        <f t="shared" si="223"/>
        <v>0</v>
      </c>
      <c r="P202" s="3">
        <f t="shared" si="224"/>
        <v>581324.19044200005</v>
      </c>
      <c r="Q202" s="47">
        <f t="shared" ca="1" si="198"/>
        <v>29768446.981081173</v>
      </c>
      <c r="R202" s="47">
        <f>IFERROR(HLOOKUP(B202-1,'EV Forecast WRZ'!$F$124:$T$130,4,FALSE)/12,0)+IFERROR(((HLOOKUP(B202,'EV Forecast WRZ'!$F$116:$T$122,4,FALSE)-HLOOKUP(B202-1,'EV Forecast WRZ'!$F$124:$T$130,4,FALSE)))*C202/78,0)</f>
        <v>130553.63637655765</v>
      </c>
      <c r="S202" s="47">
        <f ca="1">HLOOKUP(B202,Heating!$R$102:$AD$106,5,FALSE)*INDEX(Weather!$BO$1:$CB$20,MATCH(B202,Weather!$BO$1:$BO$20,0),MATCH(C202,Weather!$BO$1:$CB$1,0))/VLOOKUP(B202,Weather!$BO$2:$CB$20,14,FALSE)</f>
        <v>21944.959657394258</v>
      </c>
      <c r="T202" s="47">
        <f t="shared" ca="1" si="206"/>
        <v>29920945.577115122</v>
      </c>
    </row>
    <row r="203" spans="1:20">
      <c r="A203" s="2">
        <f t="shared" si="192"/>
        <v>48152</v>
      </c>
      <c r="B203">
        <f t="shared" si="193"/>
        <v>2031</v>
      </c>
      <c r="C203">
        <f t="shared" si="194"/>
        <v>10</v>
      </c>
      <c r="E203" s="3">
        <f t="shared" ref="E203:F203" ca="1" si="233">E191</f>
        <v>130.19639492753623</v>
      </c>
      <c r="F203" s="3">
        <f t="shared" ca="1" si="233"/>
        <v>35.32833333333334</v>
      </c>
      <c r="G203" s="3">
        <f t="shared" si="196"/>
        <v>31</v>
      </c>
      <c r="I203">
        <f t="shared" si="197"/>
        <v>1</v>
      </c>
      <c r="K203" s="3">
        <f t="shared" si="219"/>
        <v>14171159.489767401</v>
      </c>
      <c r="L203" s="3">
        <f t="shared" ca="1" si="220"/>
        <v>1076550.1475946987</v>
      </c>
      <c r="M203" s="3">
        <f t="shared" ca="1" si="221"/>
        <v>576530.57582989987</v>
      </c>
      <c r="N203" s="3">
        <f t="shared" si="222"/>
        <v>12751836.461500322</v>
      </c>
      <c r="O203" s="3">
        <f t="shared" si="223"/>
        <v>0</v>
      </c>
      <c r="P203" s="3">
        <f t="shared" si="224"/>
        <v>581324.19044200005</v>
      </c>
      <c r="Q203" s="47">
        <f t="shared" ca="1" si="198"/>
        <v>29157400.865134325</v>
      </c>
      <c r="R203" s="47">
        <f>IFERROR(HLOOKUP(B203-1,'EV Forecast WRZ'!$F$124:$T$130,4,FALSE)/12,0)+IFERROR(((HLOOKUP(B203,'EV Forecast WRZ'!$F$116:$T$122,4,FALSE)-HLOOKUP(B203-1,'EV Forecast WRZ'!$F$124:$T$130,4,FALSE)))*C203/78,0)</f>
        <v>132003.09618950961</v>
      </c>
      <c r="S203" s="47">
        <f ca="1">HLOOKUP(B203,Heating!$R$102:$AD$106,5,FALSE)*INDEX(Weather!$BO$1:$CB$20,MATCH(B203,Weather!$BO$1:$BO$20,0),MATCH(C203,Weather!$BO$1:$CB$1,0))/VLOOKUP(B203,Weather!$BO$2:$CB$20,14,FALSE)</f>
        <v>94990.70293759917</v>
      </c>
      <c r="T203" s="47">
        <f t="shared" ca="1" si="206"/>
        <v>29384394.664261434</v>
      </c>
    </row>
    <row r="204" spans="1:20">
      <c r="A204" s="2">
        <f t="shared" si="192"/>
        <v>48182</v>
      </c>
      <c r="B204">
        <f t="shared" si="193"/>
        <v>2031</v>
      </c>
      <c r="C204">
        <f t="shared" si="194"/>
        <v>11</v>
      </c>
      <c r="E204" s="3">
        <f t="shared" ref="E204:F204" ca="1" si="234">E192</f>
        <v>307.43824722379077</v>
      </c>
      <c r="F204" s="3">
        <f t="shared" ca="1" si="234"/>
        <v>2.2779166666666657</v>
      </c>
      <c r="G204" s="3">
        <f t="shared" si="196"/>
        <v>30</v>
      </c>
      <c r="I204">
        <f t="shared" si="197"/>
        <v>1</v>
      </c>
      <c r="K204" s="3">
        <f t="shared" si="219"/>
        <v>14171159.489767401</v>
      </c>
      <c r="L204" s="3">
        <f t="shared" ca="1" si="220"/>
        <v>2542103.3401826355</v>
      </c>
      <c r="M204" s="3">
        <f t="shared" ca="1" si="221"/>
        <v>37173.805940251688</v>
      </c>
      <c r="N204" s="3">
        <f t="shared" si="222"/>
        <v>12340486.89822612</v>
      </c>
      <c r="O204" s="3">
        <f t="shared" si="223"/>
        <v>0</v>
      </c>
      <c r="P204" s="3">
        <f t="shared" si="224"/>
        <v>581324.19044200005</v>
      </c>
      <c r="Q204" s="47">
        <f t="shared" ca="1" si="198"/>
        <v>29672247.724558409</v>
      </c>
      <c r="R204" s="47">
        <f>IFERROR(HLOOKUP(B204-1,'EV Forecast WRZ'!$F$124:$T$130,4,FALSE)/12,0)+IFERROR(((HLOOKUP(B204,'EV Forecast WRZ'!$F$116:$T$122,4,FALSE)-HLOOKUP(B204-1,'EV Forecast WRZ'!$F$124:$T$130,4,FALSE)))*C204/78,0)</f>
        <v>133452.55600246158</v>
      </c>
      <c r="S204" s="47">
        <f ca="1">HLOOKUP(B204,Heating!$R$102:$AD$106,5,FALSE)*INDEX(Weather!$BO$1:$CB$20,MATCH(B204,Weather!$BO$1:$BO$20,0),MATCH(C204,Weather!$BO$1:$CB$1,0))/VLOOKUP(B204,Weather!$BO$2:$CB$20,14,FALSE)</f>
        <v>170350.64548822012</v>
      </c>
      <c r="T204" s="47">
        <f t="shared" ca="1" si="206"/>
        <v>29976050.926049091</v>
      </c>
    </row>
    <row r="205" spans="1:20">
      <c r="A205" s="2">
        <f t="shared" si="192"/>
        <v>48213</v>
      </c>
      <c r="B205">
        <f t="shared" si="193"/>
        <v>2031</v>
      </c>
      <c r="C205">
        <f t="shared" si="194"/>
        <v>12</v>
      </c>
      <c r="E205" s="3">
        <f t="shared" ref="E205:F205" ca="1" si="235">E193</f>
        <v>453.92800724637681</v>
      </c>
      <c r="F205" s="3">
        <f t="shared" ca="1" si="235"/>
        <v>0</v>
      </c>
      <c r="G205" s="3">
        <f t="shared" si="196"/>
        <v>31</v>
      </c>
      <c r="I205">
        <f t="shared" si="197"/>
        <v>0</v>
      </c>
      <c r="K205" s="3">
        <f t="shared" si="219"/>
        <v>14171159.489767401</v>
      </c>
      <c r="L205" s="3">
        <f t="shared" ca="1" si="220"/>
        <v>3753377.8371546944</v>
      </c>
      <c r="M205" s="3">
        <f t="shared" ca="1" si="221"/>
        <v>0</v>
      </c>
      <c r="N205" s="3">
        <f t="shared" si="222"/>
        <v>12751836.461500322</v>
      </c>
      <c r="O205" s="3">
        <f t="shared" si="223"/>
        <v>0</v>
      </c>
      <c r="P205" s="3">
        <f t="shared" si="224"/>
        <v>0</v>
      </c>
      <c r="Q205" s="47">
        <f t="shared" ca="1" si="198"/>
        <v>30676373.788422421</v>
      </c>
      <c r="R205" s="47">
        <f>IFERROR(HLOOKUP(B205-1,'EV Forecast WRZ'!$F$124:$T$130,4,FALSE)/12,0)+IFERROR(((HLOOKUP(B205,'EV Forecast WRZ'!$F$116:$T$122,4,FALSE)-HLOOKUP(B205-1,'EV Forecast WRZ'!$F$124:$T$130,4,FALSE)))*C205/78,0)</f>
        <v>134902.01581541356</v>
      </c>
      <c r="S205" s="47">
        <f ca="1">HLOOKUP(B205,Heating!$R$102:$AD$106,5,FALSE)*INDEX(Weather!$BO$1:$CB$20,MATCH(B205,Weather!$BO$1:$BO$20,0),MATCH(C205,Weather!$BO$1:$CB$1,0))/VLOOKUP(B205,Weather!$BO$2:$CB$20,14,FALSE)</f>
        <v>230763.02405137828</v>
      </c>
      <c r="T205" s="47">
        <f ca="1">Q205+R205+S205</f>
        <v>31042038.828289215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C6F8-E6B5-4D1F-A38A-4248B5BB7C87}">
  <sheetPr codeName="Sheet36">
    <tabColor theme="7" tint="0.79998168889431442"/>
  </sheetPr>
  <dimension ref="A1:V205"/>
  <sheetViews>
    <sheetView workbookViewId="0">
      <selection activeCell="G6" sqref="G6"/>
    </sheetView>
  </sheetViews>
  <sheetFormatPr defaultRowHeight="15"/>
  <cols>
    <col min="4" max="4" width="24.85546875" customWidth="1"/>
    <col min="6" max="7" width="10.42578125" style="3" customWidth="1"/>
    <col min="8" max="8" width="8.5703125" customWidth="1"/>
    <col min="9" max="9" width="13.5703125" bestFit="1" customWidth="1"/>
    <col min="10" max="11" width="11.42578125" bestFit="1" customWidth="1"/>
    <col min="12" max="12" width="11.42578125" customWidth="1"/>
    <col min="13" max="15" width="12.5703125" customWidth="1"/>
    <col min="18" max="18" width="26.42578125" customWidth="1"/>
    <col min="19" max="19" width="13.5703125" bestFit="1" customWidth="1"/>
    <col min="20" max="20" width="12.5703125" bestFit="1" customWidth="1"/>
    <col min="21" max="21" width="13.5703125" bestFit="1" customWidth="1"/>
    <col min="22" max="22" width="8.5703125" bestFit="1" customWidth="1"/>
  </cols>
  <sheetData>
    <row r="1" spans="1:22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Data'!BW1</f>
        <v>WRZ_GS3000to4999kWh_No_CDM</v>
      </c>
      <c r="E1" s="761" t="str">
        <f>'Monthly Data'!DQ1</f>
        <v>Month Days</v>
      </c>
      <c r="F1" s="761" t="str">
        <f>'Monthly Data'!CJ1</f>
        <v>WRZ_GS3000-4999Customers</v>
      </c>
      <c r="G1" s="761" t="str">
        <f>'Monthly Data'!ED1</f>
        <v>Dec</v>
      </c>
      <c r="H1" s="762"/>
      <c r="I1" s="762" t="str">
        <f>R8</f>
        <v>const</v>
      </c>
      <c r="J1" s="760" t="str">
        <f>E1</f>
        <v>Month Days</v>
      </c>
      <c r="K1" s="760" t="str">
        <f>F1</f>
        <v>WRZ_GS3000-4999Customers</v>
      </c>
      <c r="L1" s="760" t="str">
        <f>G1</f>
        <v>Dec</v>
      </c>
      <c r="M1" s="760" t="s">
        <v>439</v>
      </c>
      <c r="N1" s="760" t="s">
        <v>632</v>
      </c>
      <c r="O1" s="760" t="s">
        <v>635</v>
      </c>
    </row>
    <row r="2" spans="1:22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Data'!BW2</f>
        <v>4961499.7319686143</v>
      </c>
      <c r="E2" s="3">
        <f>'Monthly Data'!DQ2</f>
        <v>31</v>
      </c>
      <c r="F2" s="3">
        <f>'Monthly Data'!CJ2</f>
        <v>2</v>
      </c>
      <c r="G2" s="3">
        <f>'Monthly Data'!ED2</f>
        <v>0</v>
      </c>
      <c r="I2" s="3">
        <f t="shared" ref="I2:I65" si="0">$S$8</f>
        <v>-4783589.0194705203</v>
      </c>
      <c r="J2" s="3">
        <f t="shared" ref="J2:J65" si="1">E2*$S$9</f>
        <v>6077130.7489015264</v>
      </c>
      <c r="K2" s="3">
        <f t="shared" ref="K2:K65" si="2">F2*$S$10</f>
        <v>4177893.15812696</v>
      </c>
      <c r="L2" s="3">
        <f t="shared" ref="L2:L65" si="3">G2*$S$11</f>
        <v>0</v>
      </c>
      <c r="M2" s="47">
        <f t="shared" ref="M2:M54" si="4">SUM(I2:L2)</f>
        <v>5471434.8875579666</v>
      </c>
      <c r="N2" s="47">
        <f>'Monthly Data'!BX2</f>
        <v>0</v>
      </c>
      <c r="O2" s="47">
        <f t="shared" ref="O2:O54" si="5">M2+N2</f>
        <v>5471434.8875579666</v>
      </c>
    </row>
    <row r="3" spans="1:22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Data'!BW3</f>
        <v>4556169.4062275626</v>
      </c>
      <c r="E3" s="3">
        <f>'Monthly Data'!DQ3</f>
        <v>28</v>
      </c>
      <c r="F3" s="3">
        <f>'Monthly Data'!CJ3</f>
        <v>2</v>
      </c>
      <c r="G3" s="3">
        <f>'Monthly Data'!ED3</f>
        <v>0</v>
      </c>
      <c r="I3" s="3">
        <f t="shared" si="0"/>
        <v>-4783589.0194705203</v>
      </c>
      <c r="J3" s="3">
        <f t="shared" si="1"/>
        <v>5489021.3215884762</v>
      </c>
      <c r="K3" s="3">
        <f t="shared" si="2"/>
        <v>4177893.15812696</v>
      </c>
      <c r="L3" s="3">
        <f t="shared" si="3"/>
        <v>0</v>
      </c>
      <c r="M3" s="47">
        <f t="shared" si="4"/>
        <v>4883325.4602449164</v>
      </c>
      <c r="N3" s="47">
        <f>'Monthly Data'!BX3</f>
        <v>0</v>
      </c>
      <c r="O3" s="47">
        <f t="shared" si="5"/>
        <v>4883325.4602449164</v>
      </c>
      <c r="R3" t="s">
        <v>556</v>
      </c>
    </row>
    <row r="4" spans="1:22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Data'!BW4</f>
        <v>5053235.1504865102</v>
      </c>
      <c r="E4" s="3">
        <f>'Monthly Data'!DQ4</f>
        <v>31</v>
      </c>
      <c r="F4" s="3">
        <f>'Monthly Data'!CJ4</f>
        <v>2</v>
      </c>
      <c r="G4" s="3">
        <f>'Monthly Data'!ED4</f>
        <v>0</v>
      </c>
      <c r="I4" s="3">
        <f t="shared" si="0"/>
        <v>-4783589.0194705203</v>
      </c>
      <c r="J4" s="3">
        <f t="shared" si="1"/>
        <v>6077130.7489015264</v>
      </c>
      <c r="K4" s="3">
        <f t="shared" si="2"/>
        <v>4177893.15812696</v>
      </c>
      <c r="L4" s="3">
        <f t="shared" si="3"/>
        <v>0</v>
      </c>
      <c r="M4" s="47">
        <f t="shared" si="4"/>
        <v>5471434.8875579666</v>
      </c>
      <c r="N4" s="47">
        <f>'Monthly Data'!BX4</f>
        <v>0</v>
      </c>
      <c r="O4" s="47">
        <f t="shared" si="5"/>
        <v>5471434.8875579666</v>
      </c>
      <c r="R4" t="s">
        <v>431</v>
      </c>
    </row>
    <row r="5" spans="1:22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Data'!BW5</f>
        <v>4931988.0547454571</v>
      </c>
      <c r="E5" s="3">
        <f>'Monthly Data'!DQ5</f>
        <v>30</v>
      </c>
      <c r="F5" s="3">
        <f>'Monthly Data'!CJ5</f>
        <v>2</v>
      </c>
      <c r="G5" s="3">
        <f>'Monthly Data'!ED5</f>
        <v>0</v>
      </c>
      <c r="I5" s="3">
        <f t="shared" si="0"/>
        <v>-4783589.0194705203</v>
      </c>
      <c r="J5" s="3">
        <f t="shared" si="1"/>
        <v>5881094.27313051</v>
      </c>
      <c r="K5" s="3">
        <f t="shared" si="2"/>
        <v>4177893.15812696</v>
      </c>
      <c r="L5" s="3">
        <f t="shared" si="3"/>
        <v>0</v>
      </c>
      <c r="M5" s="47">
        <f t="shared" si="4"/>
        <v>5275398.4117869493</v>
      </c>
      <c r="N5" s="47">
        <f>'Monthly Data'!BX5</f>
        <v>0</v>
      </c>
      <c r="O5" s="47">
        <f t="shared" si="5"/>
        <v>5275398.4117869493</v>
      </c>
      <c r="R5" t="s">
        <v>557</v>
      </c>
    </row>
    <row r="6" spans="1:22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Data'!BW6</f>
        <v>5176295.1590044042</v>
      </c>
      <c r="E6" s="3">
        <f>'Monthly Data'!DQ6</f>
        <v>31</v>
      </c>
      <c r="F6" s="3">
        <f>'Monthly Data'!CJ6</f>
        <v>2</v>
      </c>
      <c r="G6" s="3">
        <f>'Monthly Data'!ED6</f>
        <v>0</v>
      </c>
      <c r="I6" s="3">
        <f t="shared" si="0"/>
        <v>-4783589.0194705203</v>
      </c>
      <c r="J6" s="3">
        <f t="shared" si="1"/>
        <v>6077130.7489015264</v>
      </c>
      <c r="K6" s="3">
        <f t="shared" si="2"/>
        <v>4177893.15812696</v>
      </c>
      <c r="L6" s="3">
        <f t="shared" si="3"/>
        <v>0</v>
      </c>
      <c r="M6" s="47">
        <f t="shared" si="4"/>
        <v>5471434.8875579666</v>
      </c>
      <c r="N6" s="47">
        <f>'Monthly Data'!BX6</f>
        <v>0</v>
      </c>
      <c r="O6" s="47">
        <f t="shared" si="5"/>
        <v>5471434.8875579666</v>
      </c>
    </row>
    <row r="7" spans="1:22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Data'!BW7</f>
        <v>5034175.6032633521</v>
      </c>
      <c r="E7" s="3">
        <f>'Monthly Data'!DQ7</f>
        <v>30</v>
      </c>
      <c r="F7" s="3">
        <f>'Monthly Data'!CJ7</f>
        <v>2</v>
      </c>
      <c r="G7" s="3">
        <f>'Monthly Data'!ED7</f>
        <v>0</v>
      </c>
      <c r="I7" s="3">
        <f t="shared" si="0"/>
        <v>-4783589.0194705203</v>
      </c>
      <c r="J7" s="3">
        <f t="shared" si="1"/>
        <v>5881094.27313051</v>
      </c>
      <c r="K7" s="3">
        <f t="shared" si="2"/>
        <v>4177893.15812696</v>
      </c>
      <c r="L7" s="3">
        <f t="shared" si="3"/>
        <v>0</v>
      </c>
      <c r="M7" s="47">
        <f t="shared" si="4"/>
        <v>5275398.4117869493</v>
      </c>
      <c r="N7" s="47">
        <f>'Monthly Data'!BX7</f>
        <v>0</v>
      </c>
      <c r="O7" s="47">
        <f t="shared" si="5"/>
        <v>5275398.4117869493</v>
      </c>
      <c r="S7" t="s">
        <v>409</v>
      </c>
      <c r="T7" t="s">
        <v>410</v>
      </c>
      <c r="U7" t="s">
        <v>411</v>
      </c>
      <c r="V7" t="s">
        <v>412</v>
      </c>
    </row>
    <row r="8" spans="1:22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Data'!BW8</f>
        <v>5268928.7375222994</v>
      </c>
      <c r="E8" s="3">
        <f>'Monthly Data'!DQ8</f>
        <v>31</v>
      </c>
      <c r="F8" s="3">
        <f>'Monthly Data'!CJ8</f>
        <v>2</v>
      </c>
      <c r="G8" s="3">
        <f>'Monthly Data'!ED8</f>
        <v>0</v>
      </c>
      <c r="I8" s="3">
        <f t="shared" si="0"/>
        <v>-4783589.0194705203</v>
      </c>
      <c r="J8" s="3">
        <f t="shared" si="1"/>
        <v>6077130.7489015264</v>
      </c>
      <c r="K8" s="3">
        <f t="shared" si="2"/>
        <v>4177893.15812696</v>
      </c>
      <c r="L8" s="3">
        <f t="shared" si="3"/>
        <v>0</v>
      </c>
      <c r="M8" s="47">
        <f t="shared" si="4"/>
        <v>5471434.8875579666</v>
      </c>
      <c r="N8" s="47">
        <f>'Monthly Data'!BX8</f>
        <v>0</v>
      </c>
      <c r="O8" s="47">
        <f t="shared" si="5"/>
        <v>5471434.8875579666</v>
      </c>
      <c r="R8" t="s">
        <v>413</v>
      </c>
      <c r="S8" s="616">
        <f>'WRZ GS 3,000-4,999'!U8</f>
        <v>-4783589.0194705203</v>
      </c>
      <c r="T8" s="3">
        <f>'WRZ GS 3,000-4,999'!V8</f>
        <v>831906.06281337701</v>
      </c>
      <c r="U8" s="360">
        <f>'WRZ GS 3,000-4,999'!W8</f>
        <v>-5.7501552558628601</v>
      </c>
      <c r="V8" s="370">
        <f>'WRZ GS 3,000-4,999'!X8</f>
        <v>7.3551856326381994E-8</v>
      </c>
    </row>
    <row r="9" spans="1:22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Data'!BW9</f>
        <v>5335374.8017812464</v>
      </c>
      <c r="E9" s="3">
        <f>'Monthly Data'!DQ9</f>
        <v>31</v>
      </c>
      <c r="F9" s="3">
        <f>'Monthly Data'!CJ9</f>
        <v>2</v>
      </c>
      <c r="G9" s="3">
        <f>'Monthly Data'!ED9</f>
        <v>0</v>
      </c>
      <c r="I9" s="3">
        <f t="shared" si="0"/>
        <v>-4783589.0194705203</v>
      </c>
      <c r="J9" s="3">
        <f t="shared" si="1"/>
        <v>6077130.7489015264</v>
      </c>
      <c r="K9" s="3">
        <f t="shared" si="2"/>
        <v>4177893.15812696</v>
      </c>
      <c r="L9" s="3">
        <f t="shared" si="3"/>
        <v>0</v>
      </c>
      <c r="M9" s="47">
        <f t="shared" si="4"/>
        <v>5471434.8875579666</v>
      </c>
      <c r="N9" s="47">
        <f>'Monthly Data'!BX9</f>
        <v>0</v>
      </c>
      <c r="O9" s="47">
        <f t="shared" si="5"/>
        <v>5471434.8875579666</v>
      </c>
      <c r="R9" t="s">
        <v>414</v>
      </c>
      <c r="S9" s="3">
        <f>'WRZ GS 3,000-4,999'!U9</f>
        <v>196036.47577101699</v>
      </c>
      <c r="T9" s="3">
        <f>'WRZ GS 3,000-4,999'!V9</f>
        <v>19916.5953651358</v>
      </c>
      <c r="U9" s="360">
        <f>'WRZ GS 3,000-4,999'!W9</f>
        <v>9.8428708409762002</v>
      </c>
      <c r="V9" s="370">
        <f>'WRZ GS 3,000-4,999'!X9</f>
        <v>5.5196676282774098E-17</v>
      </c>
    </row>
    <row r="10" spans="1:22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Data'!BW10</f>
        <v>5190918.426040194</v>
      </c>
      <c r="E10" s="3">
        <f>'Monthly Data'!DQ10</f>
        <v>30</v>
      </c>
      <c r="F10" s="3">
        <f>'Monthly Data'!CJ10</f>
        <v>2</v>
      </c>
      <c r="G10" s="3">
        <f>'Monthly Data'!ED10</f>
        <v>0</v>
      </c>
      <c r="I10" s="3">
        <f t="shared" si="0"/>
        <v>-4783589.0194705203</v>
      </c>
      <c r="J10" s="3">
        <f t="shared" si="1"/>
        <v>5881094.27313051</v>
      </c>
      <c r="K10" s="3">
        <f t="shared" si="2"/>
        <v>4177893.15812696</v>
      </c>
      <c r="L10" s="3">
        <f t="shared" si="3"/>
        <v>0</v>
      </c>
      <c r="M10" s="47">
        <f t="shared" si="4"/>
        <v>5275398.4117869493</v>
      </c>
      <c r="N10" s="47">
        <f>'Monthly Data'!BX10</f>
        <v>0</v>
      </c>
      <c r="O10" s="47">
        <f t="shared" si="5"/>
        <v>5275398.4117869493</v>
      </c>
      <c r="R10" t="s">
        <v>432</v>
      </c>
      <c r="S10" s="616">
        <f>'WRZ GS 3,000-4,999'!U10</f>
        <v>2088946.57906348</v>
      </c>
      <c r="T10" s="3">
        <f>'WRZ GS 3,000-4,999'!V10</f>
        <v>198903.635991524</v>
      </c>
      <c r="U10" s="360">
        <f>'WRZ GS 3,000-4,999'!W10</f>
        <v>10.5023046393808</v>
      </c>
      <c r="V10" s="370">
        <f>'WRZ GS 3,000-4,999'!X10</f>
        <v>1.54197983064939E-18</v>
      </c>
    </row>
    <row r="11" spans="1:22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Data'!BW11</f>
        <v>5201081.9802991422</v>
      </c>
      <c r="E11" s="3">
        <f>'Monthly Data'!DQ11</f>
        <v>31</v>
      </c>
      <c r="F11" s="3">
        <f>'Monthly Data'!CJ11</f>
        <v>2</v>
      </c>
      <c r="G11" s="3">
        <f>'Monthly Data'!ED11</f>
        <v>0</v>
      </c>
      <c r="I11" s="3">
        <f t="shared" si="0"/>
        <v>-4783589.0194705203</v>
      </c>
      <c r="J11" s="3">
        <f t="shared" si="1"/>
        <v>6077130.7489015264</v>
      </c>
      <c r="K11" s="3">
        <f t="shared" si="2"/>
        <v>4177893.15812696</v>
      </c>
      <c r="L11" s="3">
        <f t="shared" si="3"/>
        <v>0</v>
      </c>
      <c r="M11" s="47">
        <f t="shared" si="4"/>
        <v>5471434.8875579666</v>
      </c>
      <c r="N11" s="47">
        <f>'Monthly Data'!BX11</f>
        <v>0</v>
      </c>
      <c r="O11" s="47">
        <f t="shared" si="5"/>
        <v>5471434.8875579666</v>
      </c>
      <c r="R11" s="616" t="str">
        <f>'WRZ GS 3,000-4,999'!T11</f>
        <v>Dec</v>
      </c>
      <c r="S11" s="616">
        <f>'WRZ GS 3,000-4,999'!U11</f>
        <v>-252014.73853491701</v>
      </c>
      <c r="T11" s="3">
        <f>'WRZ GS 3,000-4,999'!V11</f>
        <v>68755.500062415405</v>
      </c>
      <c r="U11" s="360">
        <f>'WRZ GS 3,000-4,999'!W11</f>
        <v>-3.6653756907613402</v>
      </c>
      <c r="V11" s="370">
        <f>'WRZ GS 3,000-4,999'!X11</f>
        <v>3.7394458253460001E-4</v>
      </c>
    </row>
    <row r="12" spans="1:22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Data'!BW12</f>
        <v>5046101.9445580896</v>
      </c>
      <c r="E12" s="3">
        <f>'Monthly Data'!DQ12</f>
        <v>30</v>
      </c>
      <c r="F12" s="3">
        <f>'Monthly Data'!CJ12</f>
        <v>2</v>
      </c>
      <c r="G12" s="3">
        <f>'Monthly Data'!ED12</f>
        <v>0</v>
      </c>
      <c r="I12" s="3">
        <f t="shared" si="0"/>
        <v>-4783589.0194705203</v>
      </c>
      <c r="J12" s="3">
        <f t="shared" si="1"/>
        <v>5881094.27313051</v>
      </c>
      <c r="K12" s="3">
        <f t="shared" si="2"/>
        <v>4177893.15812696</v>
      </c>
      <c r="L12" s="3">
        <f t="shared" si="3"/>
        <v>0</v>
      </c>
      <c r="M12" s="47">
        <f t="shared" si="4"/>
        <v>5275398.4117869493</v>
      </c>
      <c r="N12" s="47">
        <f>'Monthly Data'!BX12</f>
        <v>0</v>
      </c>
      <c r="O12" s="47">
        <f t="shared" si="5"/>
        <v>5275398.4117869493</v>
      </c>
      <c r="V12" s="108"/>
    </row>
    <row r="13" spans="1:22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Data'!BW13</f>
        <v>4795113.368817037</v>
      </c>
      <c r="E13" s="3">
        <f>'Monthly Data'!DQ13</f>
        <v>31</v>
      </c>
      <c r="F13" s="3">
        <f>'Monthly Data'!CJ13</f>
        <v>2</v>
      </c>
      <c r="G13" s="3">
        <f>'Monthly Data'!ED13</f>
        <v>1</v>
      </c>
      <c r="I13" s="3">
        <f t="shared" si="0"/>
        <v>-4783589.0194705203</v>
      </c>
      <c r="J13" s="3">
        <f t="shared" si="1"/>
        <v>6077130.7489015264</v>
      </c>
      <c r="K13" s="3">
        <f t="shared" si="2"/>
        <v>4177893.15812696</v>
      </c>
      <c r="L13" s="3">
        <f t="shared" si="3"/>
        <v>-252014.73853491701</v>
      </c>
      <c r="M13" s="47">
        <f t="shared" si="4"/>
        <v>5219420.1490230495</v>
      </c>
      <c r="N13" s="47">
        <f>'Monthly Data'!BX13</f>
        <v>0</v>
      </c>
      <c r="O13" s="47">
        <f t="shared" si="5"/>
        <v>5219420.1490230495</v>
      </c>
      <c r="R13" t="s">
        <v>407</v>
      </c>
      <c r="S13" s="3"/>
      <c r="T13" s="3"/>
      <c r="U13" s="360"/>
      <c r="V13" s="108"/>
    </row>
    <row r="14" spans="1:22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Data'!BW14</f>
        <v>5328902.2709846376</v>
      </c>
      <c r="E14" s="3">
        <f>'Monthly Data'!DQ14</f>
        <v>31</v>
      </c>
      <c r="F14" s="3">
        <f>'Monthly Data'!CJ14</f>
        <v>2</v>
      </c>
      <c r="G14" s="3">
        <f>'Monthly Data'!ED14</f>
        <v>0</v>
      </c>
      <c r="I14" s="3">
        <f t="shared" si="0"/>
        <v>-4783589.0194705203</v>
      </c>
      <c r="J14" s="3">
        <f t="shared" si="1"/>
        <v>6077130.7489015264</v>
      </c>
      <c r="K14" s="3">
        <f t="shared" si="2"/>
        <v>4177893.15812696</v>
      </c>
      <c r="L14" s="3">
        <f t="shared" si="3"/>
        <v>0</v>
      </c>
      <c r="M14" s="47">
        <f t="shared" si="4"/>
        <v>5471434.8875579666</v>
      </c>
      <c r="N14" s="47">
        <f>'Monthly Data'!BX14</f>
        <v>0</v>
      </c>
      <c r="O14" s="47">
        <f t="shared" si="5"/>
        <v>5471434.8875579666</v>
      </c>
      <c r="R14" t="s">
        <v>415</v>
      </c>
      <c r="S14" s="3">
        <v>10623798842006.301</v>
      </c>
      <c r="T14" s="3" t="s">
        <v>416</v>
      </c>
      <c r="U14" s="360">
        <v>301333.20345479198</v>
      </c>
      <c r="V14" s="108"/>
    </row>
    <row r="15" spans="1:22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Data'!BW15</f>
        <v>4984537.1230635466</v>
      </c>
      <c r="E15" s="3">
        <f>'Monthly Data'!DQ15</f>
        <v>29</v>
      </c>
      <c r="F15" s="3">
        <f>'Monthly Data'!CJ15</f>
        <v>2</v>
      </c>
      <c r="G15" s="3">
        <f>'Monthly Data'!ED15</f>
        <v>0</v>
      </c>
      <c r="I15" s="3">
        <f t="shared" si="0"/>
        <v>-4783589.0194705203</v>
      </c>
      <c r="J15" s="3">
        <f t="shared" si="1"/>
        <v>5685057.7973594926</v>
      </c>
      <c r="K15" s="3">
        <f t="shared" si="2"/>
        <v>4177893.15812696</v>
      </c>
      <c r="L15" s="3">
        <f t="shared" si="3"/>
        <v>0</v>
      </c>
      <c r="M15" s="47">
        <f t="shared" si="4"/>
        <v>5079361.9360159319</v>
      </c>
      <c r="N15" s="47">
        <f>'Monthly Data'!BX15</f>
        <v>0</v>
      </c>
      <c r="O15" s="47">
        <f t="shared" si="5"/>
        <v>5079361.9360159319</v>
      </c>
      <c r="R15" t="s">
        <v>417</v>
      </c>
      <c r="S15" s="3">
        <v>0.93572289545600396</v>
      </c>
      <c r="T15" s="3" t="s">
        <v>418</v>
      </c>
      <c r="U15" s="360">
        <v>0.93462414153217499</v>
      </c>
      <c r="V15" s="108"/>
    </row>
    <row r="16" spans="1:22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Data'!BW16</f>
        <v>5317016.7251424547</v>
      </c>
      <c r="E16" s="3">
        <f>'Monthly Data'!DQ16</f>
        <v>31</v>
      </c>
      <c r="F16" s="3">
        <f>'Monthly Data'!CJ16</f>
        <v>2</v>
      </c>
      <c r="G16" s="3">
        <f>'Monthly Data'!ED16</f>
        <v>0</v>
      </c>
      <c r="I16" s="3">
        <f t="shared" si="0"/>
        <v>-4783589.0194705203</v>
      </c>
      <c r="J16" s="3">
        <f t="shared" si="1"/>
        <v>6077130.7489015264</v>
      </c>
      <c r="K16" s="3">
        <f t="shared" si="2"/>
        <v>4177893.15812696</v>
      </c>
      <c r="L16" s="3">
        <f t="shared" si="3"/>
        <v>0</v>
      </c>
      <c r="M16" s="47">
        <f t="shared" si="4"/>
        <v>5471434.8875579666</v>
      </c>
      <c r="N16" s="47">
        <f>'Monthly Data'!BX16</f>
        <v>0</v>
      </c>
      <c r="O16" s="47">
        <f t="shared" si="5"/>
        <v>5471434.8875579666</v>
      </c>
      <c r="R16" t="s">
        <v>558</v>
      </c>
      <c r="S16" s="3">
        <v>146.77894849529201</v>
      </c>
      <c r="T16" s="3" t="s">
        <v>419</v>
      </c>
      <c r="U16" s="360">
        <v>1.2778207054076501E-32</v>
      </c>
    </row>
    <row r="17" spans="1:21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Data'!BW17</f>
        <v>5218908.4372213623</v>
      </c>
      <c r="E17" s="3">
        <f>'Monthly Data'!DQ17</f>
        <v>30</v>
      </c>
      <c r="F17" s="3">
        <f>'Monthly Data'!CJ17</f>
        <v>2</v>
      </c>
      <c r="G17" s="3">
        <f>'Monthly Data'!ED17</f>
        <v>0</v>
      </c>
      <c r="I17" s="3">
        <f t="shared" si="0"/>
        <v>-4783589.0194705203</v>
      </c>
      <c r="J17" s="3">
        <f t="shared" si="1"/>
        <v>5881094.27313051</v>
      </c>
      <c r="K17" s="3">
        <f t="shared" si="2"/>
        <v>4177893.15812696</v>
      </c>
      <c r="L17" s="3">
        <f t="shared" si="3"/>
        <v>0</v>
      </c>
      <c r="M17" s="47">
        <f t="shared" si="4"/>
        <v>5275398.4117869493</v>
      </c>
      <c r="N17" s="47">
        <f>'Monthly Data'!BX17</f>
        <v>0</v>
      </c>
      <c r="O17" s="47">
        <f t="shared" si="5"/>
        <v>5275398.4117869493</v>
      </c>
      <c r="R17" t="s">
        <v>420</v>
      </c>
      <c r="S17">
        <v>-0.103745472293627</v>
      </c>
      <c r="T17" t="s">
        <v>421</v>
      </c>
      <c r="U17">
        <v>2.1566633614717001</v>
      </c>
    </row>
    <row r="18" spans="1:21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Data'!BW18</f>
        <v>5372406.2993002702</v>
      </c>
      <c r="E18" s="3">
        <f>'Monthly Data'!DQ18</f>
        <v>31</v>
      </c>
      <c r="F18" s="3">
        <f>'Monthly Data'!CJ18</f>
        <v>2</v>
      </c>
      <c r="G18" s="3">
        <f>'Monthly Data'!ED18</f>
        <v>0</v>
      </c>
      <c r="I18" s="3">
        <f t="shared" si="0"/>
        <v>-4783589.0194705203</v>
      </c>
      <c r="J18" s="3">
        <f t="shared" si="1"/>
        <v>6077130.7489015264</v>
      </c>
      <c r="K18" s="3">
        <f t="shared" si="2"/>
        <v>4177893.15812696</v>
      </c>
      <c r="L18" s="3">
        <f t="shared" si="3"/>
        <v>0</v>
      </c>
      <c r="M18" s="47">
        <f t="shared" si="4"/>
        <v>5471434.8875579666</v>
      </c>
      <c r="N18" s="47">
        <f>'Monthly Data'!BX18</f>
        <v>0</v>
      </c>
      <c r="O18" s="47">
        <f t="shared" si="5"/>
        <v>5471434.8875579666</v>
      </c>
    </row>
    <row r="19" spans="1:21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Data'!BW19</f>
        <v>5221735.3513791785</v>
      </c>
      <c r="E19" s="3">
        <f>'Monthly Data'!DQ19</f>
        <v>30</v>
      </c>
      <c r="F19" s="3">
        <f>'Monthly Data'!CJ19</f>
        <v>2</v>
      </c>
      <c r="G19" s="3">
        <f>'Monthly Data'!ED19</f>
        <v>0</v>
      </c>
      <c r="I19" s="3">
        <f t="shared" si="0"/>
        <v>-4783589.0194705203</v>
      </c>
      <c r="J19" s="3">
        <f t="shared" si="1"/>
        <v>5881094.27313051</v>
      </c>
      <c r="K19" s="3">
        <f t="shared" si="2"/>
        <v>4177893.15812696</v>
      </c>
      <c r="L19" s="3">
        <f t="shared" si="3"/>
        <v>0</v>
      </c>
      <c r="M19" s="47">
        <f t="shared" si="4"/>
        <v>5275398.4117869493</v>
      </c>
      <c r="N19" s="47">
        <f>'Monthly Data'!BX19</f>
        <v>0</v>
      </c>
      <c r="O19" s="47">
        <f t="shared" si="5"/>
        <v>5275398.4117869493</v>
      </c>
      <c r="R19" t="s">
        <v>408</v>
      </c>
      <c r="U19" s="3"/>
    </row>
    <row r="20" spans="1:21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Data'!BW20</f>
        <v>5527921.7034580866</v>
      </c>
      <c r="E20" s="3">
        <f>'Monthly Data'!DQ20</f>
        <v>31</v>
      </c>
      <c r="F20" s="3">
        <f>'Monthly Data'!CJ20</f>
        <v>2</v>
      </c>
      <c r="G20" s="3">
        <f>'Monthly Data'!ED20</f>
        <v>0</v>
      </c>
      <c r="I20" s="3">
        <f t="shared" si="0"/>
        <v>-4783589.0194705203</v>
      </c>
      <c r="J20" s="3">
        <f t="shared" si="1"/>
        <v>6077130.7489015264</v>
      </c>
      <c r="K20" s="3">
        <f t="shared" si="2"/>
        <v>4177893.15812696</v>
      </c>
      <c r="L20" s="3">
        <f t="shared" si="3"/>
        <v>0</v>
      </c>
      <c r="M20" s="47">
        <f t="shared" si="4"/>
        <v>5471434.8875579666</v>
      </c>
      <c r="N20" s="47">
        <f>'Monthly Data'!BX20</f>
        <v>0</v>
      </c>
      <c r="O20" s="47">
        <f t="shared" si="5"/>
        <v>5471434.8875579666</v>
      </c>
      <c r="R20" t="s">
        <v>422</v>
      </c>
      <c r="S20" s="107">
        <v>6756961.5291064996</v>
      </c>
      <c r="T20" t="s">
        <v>423</v>
      </c>
      <c r="U20" s="107">
        <v>1178474.69415211</v>
      </c>
    </row>
    <row r="21" spans="1:21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Data'!BW21</f>
        <v>5671269.4755369956</v>
      </c>
      <c r="E21" s="3">
        <f>'Monthly Data'!DQ21</f>
        <v>31</v>
      </c>
      <c r="F21" s="3">
        <f>'Monthly Data'!CJ21</f>
        <v>2</v>
      </c>
      <c r="G21" s="3">
        <f>'Monthly Data'!ED21</f>
        <v>0</v>
      </c>
      <c r="I21" s="3">
        <f t="shared" si="0"/>
        <v>-4783589.0194705203</v>
      </c>
      <c r="J21" s="3">
        <f t="shared" si="1"/>
        <v>6077130.7489015264</v>
      </c>
      <c r="K21" s="3">
        <f t="shared" si="2"/>
        <v>4177893.15812696</v>
      </c>
      <c r="L21" s="3">
        <f t="shared" si="3"/>
        <v>0</v>
      </c>
      <c r="M21" s="47">
        <f t="shared" si="4"/>
        <v>5471434.8875579666</v>
      </c>
      <c r="N21" s="47">
        <f>'Monthly Data'!BX21</f>
        <v>0</v>
      </c>
      <c r="O21" s="47">
        <f t="shared" si="5"/>
        <v>5471434.8875579666</v>
      </c>
      <c r="S21" s="107"/>
      <c r="U21" s="107"/>
    </row>
    <row r="22" spans="1:21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Data'!BW22</f>
        <v>5428731.0976159032</v>
      </c>
      <c r="E22" s="3">
        <f>'Monthly Data'!DQ22</f>
        <v>30</v>
      </c>
      <c r="F22" s="3">
        <f>'Monthly Data'!CJ22</f>
        <v>2</v>
      </c>
      <c r="G22" s="3">
        <f>'Monthly Data'!ED22</f>
        <v>0</v>
      </c>
      <c r="I22" s="3">
        <f t="shared" si="0"/>
        <v>-4783589.0194705203</v>
      </c>
      <c r="J22" s="3">
        <f t="shared" si="1"/>
        <v>5881094.27313051</v>
      </c>
      <c r="K22" s="3">
        <f t="shared" si="2"/>
        <v>4177893.15812696</v>
      </c>
      <c r="L22" s="3">
        <f t="shared" si="3"/>
        <v>0</v>
      </c>
      <c r="M22" s="47">
        <f t="shared" si="4"/>
        <v>5275398.4117869493</v>
      </c>
      <c r="N22" s="47">
        <f>'Monthly Data'!BX22</f>
        <v>0</v>
      </c>
      <c r="O22" s="47">
        <f t="shared" si="5"/>
        <v>5275398.4117869493</v>
      </c>
    </row>
    <row r="23" spans="1:21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Data'!BW23</f>
        <v>5451040.8496948117</v>
      </c>
      <c r="E23" s="3">
        <f>'Monthly Data'!DQ23</f>
        <v>31</v>
      </c>
      <c r="F23" s="3">
        <f>'Monthly Data'!CJ23</f>
        <v>2</v>
      </c>
      <c r="G23" s="3">
        <f>'Monthly Data'!ED23</f>
        <v>0</v>
      </c>
      <c r="I23" s="3">
        <f t="shared" si="0"/>
        <v>-4783589.0194705203</v>
      </c>
      <c r="J23" s="3">
        <f t="shared" si="1"/>
        <v>6077130.7489015264</v>
      </c>
      <c r="K23" s="3">
        <f t="shared" si="2"/>
        <v>4177893.15812696</v>
      </c>
      <c r="L23" s="3">
        <f t="shared" si="3"/>
        <v>0</v>
      </c>
      <c r="M23" s="47">
        <f t="shared" si="4"/>
        <v>5471434.8875579666</v>
      </c>
      <c r="N23" s="47">
        <f>'Monthly Data'!BX23</f>
        <v>0</v>
      </c>
      <c r="O23" s="47">
        <f t="shared" si="5"/>
        <v>5471434.8875579666</v>
      </c>
    </row>
    <row r="24" spans="1:21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Data'!BW24</f>
        <v>5173386.5017737206</v>
      </c>
      <c r="E24" s="3">
        <f>'Monthly Data'!DQ24</f>
        <v>30</v>
      </c>
      <c r="F24" s="3">
        <f>'Monthly Data'!CJ24</f>
        <v>2</v>
      </c>
      <c r="G24" s="3">
        <f>'Monthly Data'!ED24</f>
        <v>0</v>
      </c>
      <c r="I24" s="3">
        <f t="shared" si="0"/>
        <v>-4783589.0194705203</v>
      </c>
      <c r="J24" s="3">
        <f t="shared" si="1"/>
        <v>5881094.27313051</v>
      </c>
      <c r="K24" s="3">
        <f t="shared" si="2"/>
        <v>4177893.15812696</v>
      </c>
      <c r="L24" s="3">
        <f t="shared" si="3"/>
        <v>0</v>
      </c>
      <c r="M24" s="47">
        <f t="shared" si="4"/>
        <v>5275398.4117869493</v>
      </c>
      <c r="N24" s="47">
        <f>'Monthly Data'!BX24</f>
        <v>0</v>
      </c>
      <c r="O24" s="47">
        <f t="shared" si="5"/>
        <v>5275398.4117869493</v>
      </c>
      <c r="S24" s="3"/>
      <c r="U24" s="3"/>
    </row>
    <row r="25" spans="1:21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Data'!BW25</f>
        <v>5076208.173852629</v>
      </c>
      <c r="E25" s="3">
        <f>'Monthly Data'!DQ25</f>
        <v>31</v>
      </c>
      <c r="F25" s="3">
        <f>'Monthly Data'!CJ25</f>
        <v>2</v>
      </c>
      <c r="G25" s="3">
        <f>'Monthly Data'!ED25</f>
        <v>1</v>
      </c>
      <c r="I25" s="3">
        <f t="shared" si="0"/>
        <v>-4783589.0194705203</v>
      </c>
      <c r="J25" s="3">
        <f t="shared" si="1"/>
        <v>6077130.7489015264</v>
      </c>
      <c r="K25" s="3">
        <f t="shared" si="2"/>
        <v>4177893.15812696</v>
      </c>
      <c r="L25" s="3">
        <f t="shared" si="3"/>
        <v>-252014.73853491701</v>
      </c>
      <c r="M25" s="47">
        <f t="shared" si="4"/>
        <v>5219420.1490230495</v>
      </c>
      <c r="N25" s="47">
        <f>'Monthly Data'!BX25</f>
        <v>0</v>
      </c>
      <c r="O25" s="47">
        <f t="shared" si="5"/>
        <v>5219420.1490230495</v>
      </c>
    </row>
    <row r="26" spans="1:21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Data'!BW26</f>
        <v>5304499.1938257366</v>
      </c>
      <c r="E26" s="3">
        <f>'Monthly Data'!DQ26</f>
        <v>31</v>
      </c>
      <c r="F26" s="3">
        <f>'Monthly Data'!CJ26</f>
        <v>2</v>
      </c>
      <c r="G26" s="3">
        <f>'Monthly Data'!ED26</f>
        <v>0</v>
      </c>
      <c r="I26" s="3">
        <f t="shared" si="0"/>
        <v>-4783589.0194705203</v>
      </c>
      <c r="J26" s="3">
        <f t="shared" si="1"/>
        <v>6077130.7489015264</v>
      </c>
      <c r="K26" s="3">
        <f t="shared" si="2"/>
        <v>4177893.15812696</v>
      </c>
      <c r="L26" s="3">
        <f t="shared" si="3"/>
        <v>0</v>
      </c>
      <c r="M26" s="47">
        <f t="shared" si="4"/>
        <v>5471434.8875579666</v>
      </c>
      <c r="N26" s="47">
        <f>'Monthly Data'!BX26</f>
        <v>13.949153846153845</v>
      </c>
      <c r="O26" s="47">
        <f t="shared" si="5"/>
        <v>5471448.8367118128</v>
      </c>
    </row>
    <row r="27" spans="1:21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Data'!BW27</f>
        <v>4766754.0953466827</v>
      </c>
      <c r="E27" s="3">
        <f>'Monthly Data'!DQ27</f>
        <v>28</v>
      </c>
      <c r="F27" s="3">
        <f>'Monthly Data'!CJ27</f>
        <v>2</v>
      </c>
      <c r="G27" s="3">
        <f>'Monthly Data'!ED27</f>
        <v>0</v>
      </c>
      <c r="I27" s="3">
        <f t="shared" si="0"/>
        <v>-4783589.0194705203</v>
      </c>
      <c r="J27" s="3">
        <f t="shared" si="1"/>
        <v>5489021.3215884762</v>
      </c>
      <c r="K27" s="3">
        <f t="shared" si="2"/>
        <v>4177893.15812696</v>
      </c>
      <c r="L27" s="3">
        <f t="shared" si="3"/>
        <v>0</v>
      </c>
      <c r="M27" s="47">
        <f t="shared" si="4"/>
        <v>4883325.4602449164</v>
      </c>
      <c r="N27" s="47">
        <f>'Monthly Data'!BX27</f>
        <v>27.898307692307689</v>
      </c>
      <c r="O27" s="47">
        <f t="shared" si="5"/>
        <v>4883353.3585526086</v>
      </c>
    </row>
    <row r="28" spans="1:21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Data'!BW28</f>
        <v>5448561.5468676304</v>
      </c>
      <c r="E28" s="3">
        <f>'Monthly Data'!DQ28</f>
        <v>31</v>
      </c>
      <c r="F28" s="3">
        <f>'Monthly Data'!CJ28</f>
        <v>2</v>
      </c>
      <c r="G28" s="3">
        <f>'Monthly Data'!ED28</f>
        <v>0</v>
      </c>
      <c r="I28" s="3">
        <f t="shared" si="0"/>
        <v>-4783589.0194705203</v>
      </c>
      <c r="J28" s="3">
        <f t="shared" si="1"/>
        <v>6077130.7489015264</v>
      </c>
      <c r="K28" s="3">
        <f t="shared" si="2"/>
        <v>4177893.15812696</v>
      </c>
      <c r="L28" s="3">
        <f t="shared" si="3"/>
        <v>0</v>
      </c>
      <c r="M28" s="47">
        <f t="shared" si="4"/>
        <v>5471434.8875579666</v>
      </c>
      <c r="N28" s="47">
        <f>'Monthly Data'!BX28</f>
        <v>41.847461538461538</v>
      </c>
      <c r="O28" s="47">
        <f t="shared" si="5"/>
        <v>5471476.735019505</v>
      </c>
    </row>
    <row r="29" spans="1:21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Data'!BW29</f>
        <v>5267316.7683885768</v>
      </c>
      <c r="E29" s="3">
        <f>'Monthly Data'!DQ29</f>
        <v>30</v>
      </c>
      <c r="F29" s="3">
        <f>'Monthly Data'!CJ29</f>
        <v>2</v>
      </c>
      <c r="G29" s="3">
        <f>'Monthly Data'!ED29</f>
        <v>0</v>
      </c>
      <c r="I29" s="3">
        <f t="shared" si="0"/>
        <v>-4783589.0194705203</v>
      </c>
      <c r="J29" s="3">
        <f t="shared" si="1"/>
        <v>5881094.27313051</v>
      </c>
      <c r="K29" s="3">
        <f t="shared" si="2"/>
        <v>4177893.15812696</v>
      </c>
      <c r="L29" s="3">
        <f t="shared" si="3"/>
        <v>0</v>
      </c>
      <c r="M29" s="47">
        <f t="shared" si="4"/>
        <v>5275398.4117869493</v>
      </c>
      <c r="N29" s="47">
        <f>'Monthly Data'!BX29</f>
        <v>55.796615384615379</v>
      </c>
      <c r="O29" s="47">
        <f t="shared" si="5"/>
        <v>5275454.2084023338</v>
      </c>
    </row>
    <row r="30" spans="1:21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Data'!BW30</f>
        <v>5431804.5599095244</v>
      </c>
      <c r="E30" s="3">
        <f>'Monthly Data'!DQ30</f>
        <v>31</v>
      </c>
      <c r="F30" s="3">
        <f>'Monthly Data'!CJ30</f>
        <v>2</v>
      </c>
      <c r="G30" s="3">
        <f>'Monthly Data'!ED30</f>
        <v>0</v>
      </c>
      <c r="I30" s="3">
        <f t="shared" si="0"/>
        <v>-4783589.0194705203</v>
      </c>
      <c r="J30" s="3">
        <f t="shared" si="1"/>
        <v>6077130.7489015264</v>
      </c>
      <c r="K30" s="3">
        <f t="shared" si="2"/>
        <v>4177893.15812696</v>
      </c>
      <c r="L30" s="3">
        <f t="shared" si="3"/>
        <v>0</v>
      </c>
      <c r="M30" s="47">
        <f t="shared" si="4"/>
        <v>5471434.8875579666</v>
      </c>
      <c r="N30" s="47">
        <f>'Monthly Data'!BX30</f>
        <v>69.745769230769227</v>
      </c>
      <c r="O30" s="47">
        <f t="shared" si="5"/>
        <v>5471504.6333271973</v>
      </c>
    </row>
    <row r="31" spans="1:21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Data'!BW31</f>
        <v>5227679.6814304721</v>
      </c>
      <c r="E31" s="3">
        <f>'Monthly Data'!DQ31</f>
        <v>30</v>
      </c>
      <c r="F31" s="3">
        <f>'Monthly Data'!CJ31</f>
        <v>2</v>
      </c>
      <c r="G31" s="3">
        <f>'Monthly Data'!ED31</f>
        <v>0</v>
      </c>
      <c r="I31" s="3">
        <f t="shared" si="0"/>
        <v>-4783589.0194705203</v>
      </c>
      <c r="J31" s="3">
        <f t="shared" si="1"/>
        <v>5881094.27313051</v>
      </c>
      <c r="K31" s="3">
        <f t="shared" si="2"/>
        <v>4177893.15812696</v>
      </c>
      <c r="L31" s="3">
        <f t="shared" si="3"/>
        <v>0</v>
      </c>
      <c r="M31" s="47">
        <f t="shared" si="4"/>
        <v>5275398.4117869493</v>
      </c>
      <c r="N31" s="47">
        <f>'Monthly Data'!BX31</f>
        <v>83.694923076923075</v>
      </c>
      <c r="O31" s="47">
        <f t="shared" si="5"/>
        <v>5275482.106710026</v>
      </c>
    </row>
    <row r="32" spans="1:21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Data'!BW32</f>
        <v>5301374.0629514186</v>
      </c>
      <c r="E32" s="3">
        <f>'Monthly Data'!DQ32</f>
        <v>31</v>
      </c>
      <c r="F32" s="3">
        <f>'Monthly Data'!CJ32</f>
        <v>2</v>
      </c>
      <c r="G32" s="3">
        <f>'Monthly Data'!ED32</f>
        <v>0</v>
      </c>
      <c r="I32" s="3">
        <f t="shared" si="0"/>
        <v>-4783589.0194705203</v>
      </c>
      <c r="J32" s="3">
        <f t="shared" si="1"/>
        <v>6077130.7489015264</v>
      </c>
      <c r="K32" s="3">
        <f t="shared" si="2"/>
        <v>4177893.15812696</v>
      </c>
      <c r="L32" s="3">
        <f t="shared" si="3"/>
        <v>0</v>
      </c>
      <c r="M32" s="47">
        <f t="shared" si="4"/>
        <v>5471434.8875579666</v>
      </c>
      <c r="N32" s="47">
        <f>'Monthly Data'!BX32</f>
        <v>97.644076923076909</v>
      </c>
      <c r="O32" s="47">
        <f t="shared" si="5"/>
        <v>5471532.5316348895</v>
      </c>
    </row>
    <row r="33" spans="1:15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Data'!BW33</f>
        <v>5397939.9144723658</v>
      </c>
      <c r="E33" s="3">
        <f>'Monthly Data'!DQ33</f>
        <v>31</v>
      </c>
      <c r="F33" s="3">
        <f>'Monthly Data'!CJ33</f>
        <v>2</v>
      </c>
      <c r="G33" s="3">
        <f>'Monthly Data'!ED33</f>
        <v>0</v>
      </c>
      <c r="I33" s="3">
        <f t="shared" si="0"/>
        <v>-4783589.0194705203</v>
      </c>
      <c r="J33" s="3">
        <f t="shared" si="1"/>
        <v>6077130.7489015264</v>
      </c>
      <c r="K33" s="3">
        <f t="shared" si="2"/>
        <v>4177893.15812696</v>
      </c>
      <c r="L33" s="3">
        <f t="shared" si="3"/>
        <v>0</v>
      </c>
      <c r="M33" s="47">
        <f t="shared" si="4"/>
        <v>5471434.8875579666</v>
      </c>
      <c r="N33" s="47">
        <f>'Monthly Data'!BX33</f>
        <v>111.59323076923076</v>
      </c>
      <c r="O33" s="47">
        <f t="shared" si="5"/>
        <v>5471546.4807887357</v>
      </c>
    </row>
    <row r="34" spans="1:15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Data'!BW34</f>
        <v>5281850.3759933123</v>
      </c>
      <c r="E34" s="3">
        <f>'Monthly Data'!DQ34</f>
        <v>30</v>
      </c>
      <c r="F34" s="3">
        <f>'Monthly Data'!CJ34</f>
        <v>2</v>
      </c>
      <c r="G34" s="3">
        <f>'Monthly Data'!ED34</f>
        <v>0</v>
      </c>
      <c r="I34" s="3">
        <f t="shared" si="0"/>
        <v>-4783589.0194705203</v>
      </c>
      <c r="J34" s="3">
        <f t="shared" si="1"/>
        <v>5881094.27313051</v>
      </c>
      <c r="K34" s="3">
        <f t="shared" si="2"/>
        <v>4177893.15812696</v>
      </c>
      <c r="L34" s="3">
        <f t="shared" si="3"/>
        <v>0</v>
      </c>
      <c r="M34" s="47">
        <f t="shared" si="4"/>
        <v>5275398.4117869493</v>
      </c>
      <c r="N34" s="47">
        <f>'Monthly Data'!BX34</f>
        <v>125.54238461538459</v>
      </c>
      <c r="O34" s="47">
        <f t="shared" si="5"/>
        <v>5275523.9541715644</v>
      </c>
    </row>
    <row r="35" spans="1:15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Data'!BW35</f>
        <v>5422763.9075142592</v>
      </c>
      <c r="E35" s="3">
        <f>'Monthly Data'!DQ35</f>
        <v>31</v>
      </c>
      <c r="F35" s="3">
        <f>'Monthly Data'!CJ35</f>
        <v>2</v>
      </c>
      <c r="G35" s="3">
        <f>'Monthly Data'!ED35</f>
        <v>0</v>
      </c>
      <c r="I35" s="3">
        <f t="shared" si="0"/>
        <v>-4783589.0194705203</v>
      </c>
      <c r="J35" s="3">
        <f t="shared" si="1"/>
        <v>6077130.7489015264</v>
      </c>
      <c r="K35" s="3">
        <f t="shared" si="2"/>
        <v>4177893.15812696</v>
      </c>
      <c r="L35" s="3">
        <f t="shared" si="3"/>
        <v>0</v>
      </c>
      <c r="M35" s="47">
        <f t="shared" si="4"/>
        <v>5471434.8875579666</v>
      </c>
      <c r="N35" s="47">
        <f>'Monthly Data'!BX35</f>
        <v>139.49153846153845</v>
      </c>
      <c r="O35" s="47">
        <f t="shared" si="5"/>
        <v>5471574.3790964279</v>
      </c>
    </row>
    <row r="36" spans="1:15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Data'!BW36</f>
        <v>5270443.6290352065</v>
      </c>
      <c r="E36" s="3">
        <f>'Monthly Data'!DQ36</f>
        <v>30</v>
      </c>
      <c r="F36" s="3">
        <f>'Monthly Data'!CJ36</f>
        <v>2</v>
      </c>
      <c r="G36" s="3">
        <f>'Monthly Data'!ED36</f>
        <v>0</v>
      </c>
      <c r="I36" s="3">
        <f t="shared" si="0"/>
        <v>-4783589.0194705203</v>
      </c>
      <c r="J36" s="3">
        <f t="shared" si="1"/>
        <v>5881094.27313051</v>
      </c>
      <c r="K36" s="3">
        <f t="shared" si="2"/>
        <v>4177893.15812696</v>
      </c>
      <c r="L36" s="3">
        <f t="shared" si="3"/>
        <v>0</v>
      </c>
      <c r="M36" s="47">
        <f t="shared" si="4"/>
        <v>5275398.4117869493</v>
      </c>
      <c r="N36" s="47">
        <f>'Monthly Data'!BX36</f>
        <v>153.44069230769227</v>
      </c>
      <c r="O36" s="47">
        <f t="shared" si="5"/>
        <v>5275551.8524792567</v>
      </c>
    </row>
    <row r="37" spans="1:15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Data'!BW37</f>
        <v>4958321.0705561535</v>
      </c>
      <c r="E37" s="3">
        <f>'Monthly Data'!DQ37</f>
        <v>31</v>
      </c>
      <c r="F37" s="3">
        <f>'Monthly Data'!CJ37</f>
        <v>2</v>
      </c>
      <c r="G37" s="3">
        <f>'Monthly Data'!ED37</f>
        <v>1</v>
      </c>
      <c r="I37" s="3">
        <f t="shared" si="0"/>
        <v>-4783589.0194705203</v>
      </c>
      <c r="J37" s="3">
        <f t="shared" si="1"/>
        <v>6077130.7489015264</v>
      </c>
      <c r="K37" s="3">
        <f t="shared" si="2"/>
        <v>4177893.15812696</v>
      </c>
      <c r="L37" s="3">
        <f t="shared" si="3"/>
        <v>-252014.73853491701</v>
      </c>
      <c r="M37" s="47">
        <f t="shared" si="4"/>
        <v>5219420.1490230495</v>
      </c>
      <c r="N37" s="47">
        <f>'Monthly Data'!BX37</f>
        <v>167.38984615384615</v>
      </c>
      <c r="O37" s="47">
        <f t="shared" si="5"/>
        <v>5219587.5388692031</v>
      </c>
    </row>
    <row r="38" spans="1:15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Data'!BW38</f>
        <v>5361949.1227206625</v>
      </c>
      <c r="E38" s="3">
        <f>'Monthly Data'!DQ38</f>
        <v>31</v>
      </c>
      <c r="F38" s="3">
        <f>'Monthly Data'!CJ38</f>
        <v>2.0833333333333335</v>
      </c>
      <c r="G38" s="3">
        <f>'Monthly Data'!ED38</f>
        <v>0</v>
      </c>
      <c r="I38" s="3">
        <f t="shared" si="0"/>
        <v>-4783589.0194705203</v>
      </c>
      <c r="J38" s="3">
        <f t="shared" si="1"/>
        <v>6077130.7489015264</v>
      </c>
      <c r="K38" s="3">
        <f t="shared" si="2"/>
        <v>4351972.0397155834</v>
      </c>
      <c r="L38" s="3">
        <f t="shared" si="3"/>
        <v>0</v>
      </c>
      <c r="M38" s="47">
        <f t="shared" si="4"/>
        <v>5645513.7691465896</v>
      </c>
      <c r="N38" s="47">
        <f>'Monthly Data'!BX38</f>
        <v>196.25644871794873</v>
      </c>
      <c r="O38" s="47">
        <f t="shared" si="5"/>
        <v>5645710.0255953074</v>
      </c>
    </row>
    <row r="39" spans="1:15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Data'!BW39</f>
        <v>4910902.2361246245</v>
      </c>
      <c r="E39" s="3">
        <f>'Monthly Data'!DQ39</f>
        <v>28</v>
      </c>
      <c r="F39" s="3">
        <f>'Monthly Data'!CJ39</f>
        <v>2.166666666666667</v>
      </c>
      <c r="G39" s="3">
        <f>'Monthly Data'!ED39</f>
        <v>0</v>
      </c>
      <c r="I39" s="3">
        <f t="shared" si="0"/>
        <v>-4783589.0194705203</v>
      </c>
      <c r="J39" s="3">
        <f t="shared" si="1"/>
        <v>5489021.3215884762</v>
      </c>
      <c r="K39" s="3">
        <f t="shared" si="2"/>
        <v>4526050.9213042073</v>
      </c>
      <c r="L39" s="3">
        <f t="shared" si="3"/>
        <v>0</v>
      </c>
      <c r="M39" s="47">
        <f t="shared" si="4"/>
        <v>5231483.2234221632</v>
      </c>
      <c r="N39" s="47">
        <f>'Monthly Data'!BX39</f>
        <v>211.17389743589746</v>
      </c>
      <c r="O39" s="47">
        <f t="shared" si="5"/>
        <v>5231694.3973195991</v>
      </c>
    </row>
    <row r="40" spans="1:15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Data'!BW40</f>
        <v>5100154.0995285865</v>
      </c>
      <c r="E40" s="3">
        <f>'Monthly Data'!DQ40</f>
        <v>31</v>
      </c>
      <c r="F40" s="3">
        <f>'Monthly Data'!CJ40</f>
        <v>2.2500000000000004</v>
      </c>
      <c r="G40" s="3">
        <f>'Monthly Data'!ED40</f>
        <v>0</v>
      </c>
      <c r="I40" s="3">
        <f t="shared" si="0"/>
        <v>-4783589.0194705203</v>
      </c>
      <c r="J40" s="3">
        <f t="shared" si="1"/>
        <v>6077130.7489015264</v>
      </c>
      <c r="K40" s="3">
        <f t="shared" si="2"/>
        <v>4700129.8028928312</v>
      </c>
      <c r="L40" s="3">
        <f t="shared" si="3"/>
        <v>0</v>
      </c>
      <c r="M40" s="47">
        <f t="shared" si="4"/>
        <v>5993671.5323238373</v>
      </c>
      <c r="N40" s="47">
        <f>'Monthly Data'!BX40</f>
        <v>226.09134615384616</v>
      </c>
      <c r="O40" s="47">
        <f t="shared" si="5"/>
        <v>5993897.6236699913</v>
      </c>
    </row>
    <row r="41" spans="1:15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Data'!BW41</f>
        <v>6655878.1829325482</v>
      </c>
      <c r="E41" s="3">
        <f>'Monthly Data'!DQ41</f>
        <v>30</v>
      </c>
      <c r="F41" s="3">
        <f>'Monthly Data'!CJ41</f>
        <v>2.3333333333333339</v>
      </c>
      <c r="G41" s="3">
        <f>'Monthly Data'!ED41</f>
        <v>0</v>
      </c>
      <c r="I41" s="3">
        <f t="shared" si="0"/>
        <v>-4783589.0194705203</v>
      </c>
      <c r="J41" s="3">
        <f t="shared" si="1"/>
        <v>5881094.27313051</v>
      </c>
      <c r="K41" s="3">
        <f t="shared" si="2"/>
        <v>4874208.684481455</v>
      </c>
      <c r="L41" s="3">
        <f t="shared" si="3"/>
        <v>0</v>
      </c>
      <c r="M41" s="47">
        <f t="shared" si="4"/>
        <v>5971713.9381414447</v>
      </c>
      <c r="N41" s="47">
        <f>'Monthly Data'!BX41</f>
        <v>241.00879487179489</v>
      </c>
      <c r="O41" s="47">
        <f t="shared" si="5"/>
        <v>5971954.9469363168</v>
      </c>
    </row>
    <row r="42" spans="1:15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Data'!BW42</f>
        <v>6153004.4563365113</v>
      </c>
      <c r="E42" s="3">
        <f>'Monthly Data'!DQ42</f>
        <v>31</v>
      </c>
      <c r="F42" s="3">
        <f>'Monthly Data'!CJ42</f>
        <v>2.4166666666666674</v>
      </c>
      <c r="G42" s="3">
        <f>'Monthly Data'!ED42</f>
        <v>0</v>
      </c>
      <c r="I42" s="3">
        <f t="shared" si="0"/>
        <v>-4783589.0194705203</v>
      </c>
      <c r="J42" s="3">
        <f t="shared" si="1"/>
        <v>6077130.7489015264</v>
      </c>
      <c r="K42" s="3">
        <f t="shared" si="2"/>
        <v>5048287.5660700779</v>
      </c>
      <c r="L42" s="3">
        <f t="shared" si="3"/>
        <v>0</v>
      </c>
      <c r="M42" s="47">
        <f t="shared" si="4"/>
        <v>6341829.2955010841</v>
      </c>
      <c r="N42" s="47">
        <f>'Monthly Data'!BX42</f>
        <v>255.92624358974359</v>
      </c>
      <c r="O42" s="47">
        <f t="shared" si="5"/>
        <v>6342085.2217446743</v>
      </c>
    </row>
    <row r="43" spans="1:15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Data'!BW43</f>
        <v>6441648.5897404738</v>
      </c>
      <c r="E43" s="3">
        <f>'Monthly Data'!DQ43</f>
        <v>30</v>
      </c>
      <c r="F43" s="3">
        <f>'Monthly Data'!CJ43</f>
        <v>2.5000000000000009</v>
      </c>
      <c r="G43" s="3">
        <f>'Monthly Data'!ED43</f>
        <v>0</v>
      </c>
      <c r="I43" s="3">
        <f t="shared" si="0"/>
        <v>-4783589.0194705203</v>
      </c>
      <c r="J43" s="3">
        <f t="shared" si="1"/>
        <v>5881094.27313051</v>
      </c>
      <c r="K43" s="3">
        <f t="shared" si="2"/>
        <v>5222366.4476587018</v>
      </c>
      <c r="L43" s="3">
        <f t="shared" si="3"/>
        <v>0</v>
      </c>
      <c r="M43" s="47">
        <f t="shared" si="4"/>
        <v>6319871.7013186915</v>
      </c>
      <c r="N43" s="47">
        <f>'Monthly Data'!BX43</f>
        <v>270.84369230769232</v>
      </c>
      <c r="O43" s="47">
        <f t="shared" si="5"/>
        <v>6320142.5450109988</v>
      </c>
    </row>
    <row r="44" spans="1:15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Data'!BW44</f>
        <v>6620384.0731444359</v>
      </c>
      <c r="E44" s="3">
        <f>'Monthly Data'!DQ44</f>
        <v>31</v>
      </c>
      <c r="F44" s="3">
        <f>'Monthly Data'!CJ44</f>
        <v>2.5833333333333344</v>
      </c>
      <c r="G44" s="3">
        <f>'Monthly Data'!ED44</f>
        <v>0</v>
      </c>
      <c r="I44" s="3">
        <f t="shared" si="0"/>
        <v>-4783589.0194705203</v>
      </c>
      <c r="J44" s="3">
        <f t="shared" si="1"/>
        <v>6077130.7489015264</v>
      </c>
      <c r="K44" s="3">
        <f t="shared" si="2"/>
        <v>5396445.3292473257</v>
      </c>
      <c r="L44" s="3">
        <f t="shared" si="3"/>
        <v>0</v>
      </c>
      <c r="M44" s="47">
        <f t="shared" si="4"/>
        <v>6689987.0586783318</v>
      </c>
      <c r="N44" s="47">
        <f>'Monthly Data'!BX44</f>
        <v>285.761141025641</v>
      </c>
      <c r="O44" s="47">
        <f t="shared" si="5"/>
        <v>6690272.8198193572</v>
      </c>
    </row>
    <row r="45" spans="1:15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Data'!BW45</f>
        <v>6591282.4365483979</v>
      </c>
      <c r="E45" s="3">
        <f>'Monthly Data'!DQ45</f>
        <v>31</v>
      </c>
      <c r="F45" s="3">
        <f>'Monthly Data'!CJ45</f>
        <v>2.6666666666666679</v>
      </c>
      <c r="G45" s="3">
        <f>'Monthly Data'!ED45</f>
        <v>0</v>
      </c>
      <c r="I45" s="3">
        <f t="shared" si="0"/>
        <v>-4783589.0194705203</v>
      </c>
      <c r="J45" s="3">
        <f t="shared" si="1"/>
        <v>6077130.7489015264</v>
      </c>
      <c r="K45" s="3">
        <f t="shared" si="2"/>
        <v>5570524.2108359495</v>
      </c>
      <c r="L45" s="3">
        <f t="shared" si="3"/>
        <v>0</v>
      </c>
      <c r="M45" s="47">
        <f t="shared" si="4"/>
        <v>6864065.9402669556</v>
      </c>
      <c r="N45" s="47">
        <f>'Monthly Data'!BX45</f>
        <v>300.67858974358973</v>
      </c>
      <c r="O45" s="47">
        <f t="shared" si="5"/>
        <v>6864366.6188566992</v>
      </c>
    </row>
    <row r="46" spans="1:15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Data'!BW46</f>
        <v>6695014.8499523606</v>
      </c>
      <c r="E46" s="3">
        <f>'Monthly Data'!DQ46</f>
        <v>30</v>
      </c>
      <c r="F46" s="3">
        <f>'Monthly Data'!CJ46</f>
        <v>2.7500000000000013</v>
      </c>
      <c r="G46" s="3">
        <f>'Monthly Data'!ED46</f>
        <v>0</v>
      </c>
      <c r="I46" s="3">
        <f t="shared" si="0"/>
        <v>-4783589.0194705203</v>
      </c>
      <c r="J46" s="3">
        <f t="shared" si="1"/>
        <v>5881094.27313051</v>
      </c>
      <c r="K46" s="3">
        <f t="shared" si="2"/>
        <v>5744603.0924245724</v>
      </c>
      <c r="L46" s="3">
        <f t="shared" si="3"/>
        <v>0</v>
      </c>
      <c r="M46" s="47">
        <f t="shared" si="4"/>
        <v>6842108.3460845621</v>
      </c>
      <c r="N46" s="47">
        <f>'Monthly Data'!BX46</f>
        <v>315.59603846153846</v>
      </c>
      <c r="O46" s="47">
        <f t="shared" si="5"/>
        <v>6842423.9421230238</v>
      </c>
    </row>
    <row r="47" spans="1:15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Data'!BW47</f>
        <v>6518820.4933563229</v>
      </c>
      <c r="E47" s="3">
        <f>'Monthly Data'!DQ47</f>
        <v>31</v>
      </c>
      <c r="F47" s="3">
        <f>'Monthly Data'!CJ47</f>
        <v>2.8333333333333348</v>
      </c>
      <c r="G47" s="3">
        <f>'Monthly Data'!ED47</f>
        <v>0</v>
      </c>
      <c r="I47" s="3">
        <f t="shared" si="0"/>
        <v>-4783589.0194705203</v>
      </c>
      <c r="J47" s="3">
        <f t="shared" si="1"/>
        <v>6077130.7489015264</v>
      </c>
      <c r="K47" s="3">
        <f t="shared" si="2"/>
        <v>5918681.9740131963</v>
      </c>
      <c r="L47" s="3">
        <f t="shared" si="3"/>
        <v>0</v>
      </c>
      <c r="M47" s="47">
        <f t="shared" si="4"/>
        <v>7212223.7034442024</v>
      </c>
      <c r="N47" s="47">
        <f>'Monthly Data'!BX47</f>
        <v>330.51348717948713</v>
      </c>
      <c r="O47" s="47">
        <f t="shared" si="5"/>
        <v>7212554.2169313822</v>
      </c>
    </row>
    <row r="48" spans="1:15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Data'!BW48</f>
        <v>6877594.1167602856</v>
      </c>
      <c r="E48" s="3">
        <f>'Monthly Data'!DQ48</f>
        <v>30</v>
      </c>
      <c r="F48" s="3">
        <f>'Monthly Data'!CJ48</f>
        <v>2.9166666666666683</v>
      </c>
      <c r="G48" s="3">
        <f>'Monthly Data'!ED48</f>
        <v>0</v>
      </c>
      <c r="I48" s="3">
        <f t="shared" si="0"/>
        <v>-4783589.0194705203</v>
      </c>
      <c r="J48" s="3">
        <f t="shared" si="1"/>
        <v>5881094.27313051</v>
      </c>
      <c r="K48" s="3">
        <f t="shared" si="2"/>
        <v>6092760.8556018202</v>
      </c>
      <c r="L48" s="3">
        <f t="shared" si="3"/>
        <v>0</v>
      </c>
      <c r="M48" s="47">
        <f t="shared" si="4"/>
        <v>7190266.1092618098</v>
      </c>
      <c r="N48" s="47">
        <f>'Monthly Data'!BX48</f>
        <v>345.43093589743592</v>
      </c>
      <c r="O48" s="47">
        <f t="shared" si="5"/>
        <v>7190611.5401977077</v>
      </c>
    </row>
    <row r="49" spans="1:15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Data'!BW49</f>
        <v>7093929.670164247</v>
      </c>
      <c r="E49" s="3">
        <f>'Monthly Data'!DQ49</f>
        <v>31</v>
      </c>
      <c r="F49" s="3">
        <f>'Monthly Data'!CJ49</f>
        <v>3</v>
      </c>
      <c r="G49" s="3">
        <f>'Monthly Data'!ED49</f>
        <v>1</v>
      </c>
      <c r="I49" s="3">
        <f t="shared" si="0"/>
        <v>-4783589.0194705203</v>
      </c>
      <c r="J49" s="3">
        <f t="shared" si="1"/>
        <v>6077130.7489015264</v>
      </c>
      <c r="K49" s="3">
        <f t="shared" si="2"/>
        <v>6266839.7371904403</v>
      </c>
      <c r="L49" s="3">
        <f t="shared" si="3"/>
        <v>-252014.73853491701</v>
      </c>
      <c r="M49" s="47">
        <f t="shared" si="4"/>
        <v>7308366.7280865293</v>
      </c>
      <c r="N49" s="47">
        <f>'Monthly Data'!BX49</f>
        <v>360.34838461538459</v>
      </c>
      <c r="O49" s="47">
        <f t="shared" si="5"/>
        <v>7308727.0764711443</v>
      </c>
    </row>
    <row r="50" spans="1:15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Data'!BW50</f>
        <v>7152421.7608437315</v>
      </c>
      <c r="E50" s="3">
        <f>'Monthly Data'!DQ50</f>
        <v>31</v>
      </c>
      <c r="F50" s="3">
        <f>'Monthly Data'!CJ50</f>
        <v>3</v>
      </c>
      <c r="G50" s="3">
        <f>'Monthly Data'!ED50</f>
        <v>0</v>
      </c>
      <c r="I50" s="3">
        <f t="shared" si="0"/>
        <v>-4783589.0194705203</v>
      </c>
      <c r="J50" s="3">
        <f t="shared" si="1"/>
        <v>6077130.7489015264</v>
      </c>
      <c r="K50" s="3">
        <f t="shared" si="2"/>
        <v>6266839.7371904403</v>
      </c>
      <c r="L50" s="3">
        <f t="shared" si="3"/>
        <v>0</v>
      </c>
      <c r="M50" s="47">
        <f t="shared" si="4"/>
        <v>7560381.4666214464</v>
      </c>
      <c r="N50" s="47">
        <f>'Monthly Data'!BX50</f>
        <v>384.09134615384619</v>
      </c>
      <c r="O50" s="47">
        <f t="shared" si="5"/>
        <v>7560765.5579676004</v>
      </c>
    </row>
    <row r="51" spans="1:15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Data'!BW51</f>
        <v>6707065.6734305676</v>
      </c>
      <c r="E51" s="3">
        <f>'Monthly Data'!DQ51</f>
        <v>28</v>
      </c>
      <c r="F51" s="3">
        <f>'Monthly Data'!CJ51</f>
        <v>3</v>
      </c>
      <c r="G51" s="3">
        <f>'Monthly Data'!ED51</f>
        <v>0</v>
      </c>
      <c r="I51" s="3">
        <f t="shared" si="0"/>
        <v>-4783589.0194705203</v>
      </c>
      <c r="J51" s="3">
        <f t="shared" si="1"/>
        <v>5489021.3215884762</v>
      </c>
      <c r="K51" s="3">
        <f t="shared" si="2"/>
        <v>6266839.7371904403</v>
      </c>
      <c r="L51" s="3">
        <f t="shared" si="3"/>
        <v>0</v>
      </c>
      <c r="M51" s="47">
        <f t="shared" si="4"/>
        <v>6972272.0393083962</v>
      </c>
      <c r="N51" s="47">
        <f>'Monthly Data'!BX51</f>
        <v>392.916858974359</v>
      </c>
      <c r="O51" s="47">
        <f t="shared" si="5"/>
        <v>6972664.9561673701</v>
      </c>
    </row>
    <row r="52" spans="1:15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Data'!BW52</f>
        <v>7276994.9760174053</v>
      </c>
      <c r="E52" s="3">
        <f>'Monthly Data'!DQ52</f>
        <v>31</v>
      </c>
      <c r="F52" s="3">
        <f>'Monthly Data'!CJ52</f>
        <v>3</v>
      </c>
      <c r="G52" s="3">
        <f>'Monthly Data'!ED52</f>
        <v>0</v>
      </c>
      <c r="I52" s="3">
        <f t="shared" si="0"/>
        <v>-4783589.0194705203</v>
      </c>
      <c r="J52" s="3">
        <f t="shared" si="1"/>
        <v>6077130.7489015264</v>
      </c>
      <c r="K52" s="3">
        <f t="shared" si="2"/>
        <v>6266839.7371904403</v>
      </c>
      <c r="L52" s="3">
        <f t="shared" si="3"/>
        <v>0</v>
      </c>
      <c r="M52" s="47">
        <f t="shared" si="4"/>
        <v>7560381.4666214464</v>
      </c>
      <c r="N52" s="47">
        <f>'Monthly Data'!BX52</f>
        <v>401.74237179487181</v>
      </c>
      <c r="O52" s="47">
        <f t="shared" si="5"/>
        <v>7560783.2089932412</v>
      </c>
    </row>
    <row r="53" spans="1:15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Data'!BW53</f>
        <v>6869445.5186042413</v>
      </c>
      <c r="E53" s="3">
        <f>'Monthly Data'!DQ53</f>
        <v>30</v>
      </c>
      <c r="F53" s="3">
        <f>'Monthly Data'!CJ53</f>
        <v>3</v>
      </c>
      <c r="G53" s="3">
        <f>'Monthly Data'!ED53</f>
        <v>0</v>
      </c>
      <c r="I53" s="3">
        <f t="shared" si="0"/>
        <v>-4783589.0194705203</v>
      </c>
      <c r="J53" s="3">
        <f t="shared" si="1"/>
        <v>5881094.27313051</v>
      </c>
      <c r="K53" s="3">
        <f t="shared" si="2"/>
        <v>6266839.7371904403</v>
      </c>
      <c r="L53" s="3">
        <f t="shared" si="3"/>
        <v>0</v>
      </c>
      <c r="M53" s="47">
        <f t="shared" si="4"/>
        <v>7364344.99085043</v>
      </c>
      <c r="N53" s="47">
        <f>'Monthly Data'!BX53</f>
        <v>410.56788461538463</v>
      </c>
      <c r="O53" s="47">
        <f t="shared" si="5"/>
        <v>7364755.5587350456</v>
      </c>
    </row>
    <row r="54" spans="1:15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Data'!BW54</f>
        <v>6956877.9711910784</v>
      </c>
      <c r="E54" s="3">
        <f>'Monthly Data'!DQ54</f>
        <v>31</v>
      </c>
      <c r="F54" s="3">
        <f>'Monthly Data'!CJ54</f>
        <v>3</v>
      </c>
      <c r="G54" s="3">
        <f>'Monthly Data'!ED54</f>
        <v>0</v>
      </c>
      <c r="I54" s="3">
        <f t="shared" si="0"/>
        <v>-4783589.0194705203</v>
      </c>
      <c r="J54" s="3">
        <f t="shared" si="1"/>
        <v>6077130.7489015264</v>
      </c>
      <c r="K54" s="3">
        <f t="shared" si="2"/>
        <v>6266839.7371904403</v>
      </c>
      <c r="L54" s="3">
        <f t="shared" si="3"/>
        <v>0</v>
      </c>
      <c r="M54" s="47">
        <f t="shared" si="4"/>
        <v>7560381.4666214464</v>
      </c>
      <c r="N54" s="47">
        <f>'Monthly Data'!BX54</f>
        <v>419.39339743589744</v>
      </c>
      <c r="O54" s="47">
        <f t="shared" si="5"/>
        <v>7560800.860018882</v>
      </c>
    </row>
    <row r="55" spans="1:15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Data'!BW55</f>
        <v>6805757.1837779153</v>
      </c>
      <c r="E55" s="3">
        <f>'Monthly Data'!DQ55</f>
        <v>30</v>
      </c>
      <c r="F55" s="3">
        <f>'Monthly Data'!CJ55</f>
        <v>3</v>
      </c>
      <c r="G55" s="3">
        <f>'Monthly Data'!ED55</f>
        <v>0</v>
      </c>
      <c r="I55" s="3">
        <f t="shared" si="0"/>
        <v>-4783589.0194705203</v>
      </c>
      <c r="J55" s="3">
        <f t="shared" si="1"/>
        <v>5881094.27313051</v>
      </c>
      <c r="K55" s="3">
        <f t="shared" si="2"/>
        <v>6266839.7371904403</v>
      </c>
      <c r="L55" s="3">
        <f t="shared" si="3"/>
        <v>0</v>
      </c>
      <c r="M55" s="47">
        <f t="shared" ref="M55:M118" si="6">SUM(I55:L55)</f>
        <v>7364344.99085043</v>
      </c>
      <c r="N55" s="47">
        <f>'Monthly Data'!BX55</f>
        <v>428.21891025641025</v>
      </c>
      <c r="O55" s="47">
        <f t="shared" ref="O55:O118" si="7">M55+N55</f>
        <v>7364773.2097606864</v>
      </c>
    </row>
    <row r="56" spans="1:15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Data'!BW56</f>
        <v>7007173.3463647515</v>
      </c>
      <c r="E56" s="3">
        <f>'Monthly Data'!DQ56</f>
        <v>31</v>
      </c>
      <c r="F56" s="3">
        <f>'Monthly Data'!CJ56</f>
        <v>3</v>
      </c>
      <c r="G56" s="3">
        <f>'Monthly Data'!ED56</f>
        <v>0</v>
      </c>
      <c r="I56" s="3">
        <f t="shared" si="0"/>
        <v>-4783589.0194705203</v>
      </c>
      <c r="J56" s="3">
        <f t="shared" si="1"/>
        <v>6077130.7489015264</v>
      </c>
      <c r="K56" s="3">
        <f t="shared" si="2"/>
        <v>6266839.7371904403</v>
      </c>
      <c r="L56" s="3">
        <f t="shared" si="3"/>
        <v>0</v>
      </c>
      <c r="M56" s="47">
        <f t="shared" si="6"/>
        <v>7560381.4666214464</v>
      </c>
      <c r="N56" s="47">
        <f>'Monthly Data'!BX56</f>
        <v>437.04442307692307</v>
      </c>
      <c r="O56" s="47">
        <f t="shared" si="7"/>
        <v>7560818.5110445237</v>
      </c>
    </row>
    <row r="57" spans="1:15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Data'!BW57</f>
        <v>7081320.3489515893</v>
      </c>
      <c r="E57" s="3">
        <f>'Monthly Data'!DQ57</f>
        <v>31</v>
      </c>
      <c r="F57" s="3">
        <f>'Monthly Data'!CJ57</f>
        <v>3</v>
      </c>
      <c r="G57" s="3">
        <f>'Monthly Data'!ED57</f>
        <v>0</v>
      </c>
      <c r="I57" s="3">
        <f t="shared" si="0"/>
        <v>-4783589.0194705203</v>
      </c>
      <c r="J57" s="3">
        <f t="shared" si="1"/>
        <v>6077130.7489015264</v>
      </c>
      <c r="K57" s="3">
        <f t="shared" si="2"/>
        <v>6266839.7371904403</v>
      </c>
      <c r="L57" s="3">
        <f t="shared" si="3"/>
        <v>0</v>
      </c>
      <c r="M57" s="47">
        <f t="shared" si="6"/>
        <v>7560381.4666214464</v>
      </c>
      <c r="N57" s="47">
        <f>'Monthly Data'!BX57</f>
        <v>445.86993589743588</v>
      </c>
      <c r="O57" s="47">
        <f t="shared" si="7"/>
        <v>7560827.3365573436</v>
      </c>
    </row>
    <row r="58" spans="1:15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Data'!BW58</f>
        <v>6729557.7915384257</v>
      </c>
      <c r="E58" s="3">
        <f>'Monthly Data'!DQ58</f>
        <v>30</v>
      </c>
      <c r="F58" s="3">
        <f>'Monthly Data'!CJ58</f>
        <v>3</v>
      </c>
      <c r="G58" s="3">
        <f>'Monthly Data'!ED58</f>
        <v>0</v>
      </c>
      <c r="I58" s="3">
        <f t="shared" si="0"/>
        <v>-4783589.0194705203</v>
      </c>
      <c r="J58" s="3">
        <f t="shared" si="1"/>
        <v>5881094.27313051</v>
      </c>
      <c r="K58" s="3">
        <f t="shared" si="2"/>
        <v>6266839.7371904403</v>
      </c>
      <c r="L58" s="3">
        <f t="shared" si="3"/>
        <v>0</v>
      </c>
      <c r="M58" s="47">
        <f t="shared" si="6"/>
        <v>7364344.99085043</v>
      </c>
      <c r="N58" s="47">
        <f>'Monthly Data'!BX58</f>
        <v>454.69544871794869</v>
      </c>
      <c r="O58" s="47">
        <f t="shared" si="7"/>
        <v>7364799.686299148</v>
      </c>
    </row>
    <row r="59" spans="1:15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Data'!BW59</f>
        <v>7263855.0041252626</v>
      </c>
      <c r="E59" s="3">
        <f>'Monthly Data'!DQ59</f>
        <v>31</v>
      </c>
      <c r="F59" s="3">
        <f>'Monthly Data'!CJ59</f>
        <v>3</v>
      </c>
      <c r="G59" s="3">
        <f>'Monthly Data'!ED59</f>
        <v>0</v>
      </c>
      <c r="I59" s="3">
        <f t="shared" si="0"/>
        <v>-4783589.0194705203</v>
      </c>
      <c r="J59" s="3">
        <f t="shared" si="1"/>
        <v>6077130.7489015264</v>
      </c>
      <c r="K59" s="3">
        <f t="shared" si="2"/>
        <v>6266839.7371904403</v>
      </c>
      <c r="L59" s="3">
        <f t="shared" si="3"/>
        <v>0</v>
      </c>
      <c r="M59" s="47">
        <f t="shared" si="6"/>
        <v>7560381.4666214464</v>
      </c>
      <c r="N59" s="47">
        <f>'Monthly Data'!BX59</f>
        <v>463.52096153846151</v>
      </c>
      <c r="O59" s="47">
        <f t="shared" si="7"/>
        <v>7560844.9875829853</v>
      </c>
    </row>
    <row r="60" spans="1:15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Data'!BW60</f>
        <v>6948933.1667120997</v>
      </c>
      <c r="E60" s="3">
        <f>'Monthly Data'!DQ60</f>
        <v>30</v>
      </c>
      <c r="F60" s="3">
        <f>'Monthly Data'!CJ60</f>
        <v>3</v>
      </c>
      <c r="G60" s="3">
        <f>'Monthly Data'!ED60</f>
        <v>0</v>
      </c>
      <c r="I60" s="3">
        <f t="shared" si="0"/>
        <v>-4783589.0194705203</v>
      </c>
      <c r="J60" s="3">
        <f t="shared" si="1"/>
        <v>5881094.27313051</v>
      </c>
      <c r="K60" s="3">
        <f t="shared" si="2"/>
        <v>6266839.7371904403</v>
      </c>
      <c r="L60" s="3">
        <f t="shared" si="3"/>
        <v>0</v>
      </c>
      <c r="M60" s="47">
        <f t="shared" si="6"/>
        <v>7364344.99085043</v>
      </c>
      <c r="N60" s="47">
        <f>'Monthly Data'!BX60</f>
        <v>472.34647435897432</v>
      </c>
      <c r="O60" s="47">
        <f t="shared" si="7"/>
        <v>7364817.3373247888</v>
      </c>
    </row>
    <row r="61" spans="1:15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Data'!BW61</f>
        <v>7116269.7292989362</v>
      </c>
      <c r="E61" s="3">
        <f>'Monthly Data'!DQ61</f>
        <v>31</v>
      </c>
      <c r="F61" s="3">
        <f>'Monthly Data'!CJ61</f>
        <v>3</v>
      </c>
      <c r="G61" s="3">
        <f>'Monthly Data'!ED61</f>
        <v>1</v>
      </c>
      <c r="I61" s="3">
        <f t="shared" si="0"/>
        <v>-4783589.0194705203</v>
      </c>
      <c r="J61" s="3">
        <f t="shared" si="1"/>
        <v>6077130.7489015264</v>
      </c>
      <c r="K61" s="3">
        <f t="shared" si="2"/>
        <v>6266839.7371904403</v>
      </c>
      <c r="L61" s="3">
        <f t="shared" si="3"/>
        <v>-252014.73853491701</v>
      </c>
      <c r="M61" s="47">
        <f t="shared" si="6"/>
        <v>7308366.7280865293</v>
      </c>
      <c r="N61" s="47">
        <f>'Monthly Data'!BX61</f>
        <v>481.17198717948713</v>
      </c>
      <c r="O61" s="47">
        <f t="shared" si="7"/>
        <v>7308847.900073709</v>
      </c>
    </row>
    <row r="62" spans="1:15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Data'!BW62</f>
        <v>7589077.7560578836</v>
      </c>
      <c r="E62" s="3">
        <f>'Monthly Data'!DQ62</f>
        <v>31</v>
      </c>
      <c r="F62" s="3">
        <f>'Monthly Data'!CJ62</f>
        <v>3</v>
      </c>
      <c r="G62" s="3">
        <f>'Monthly Data'!ED62</f>
        <v>0</v>
      </c>
      <c r="I62" s="3">
        <f t="shared" si="0"/>
        <v>-4783589.0194705203</v>
      </c>
      <c r="J62" s="3">
        <f t="shared" si="1"/>
        <v>6077130.7489015264</v>
      </c>
      <c r="K62" s="3">
        <f t="shared" si="2"/>
        <v>6266839.7371904403</v>
      </c>
      <c r="L62" s="3">
        <f t="shared" si="3"/>
        <v>0</v>
      </c>
      <c r="M62" s="47">
        <f t="shared" si="6"/>
        <v>7560381.4666214464</v>
      </c>
      <c r="N62" s="47">
        <f>'Monthly Data'!BX62</f>
        <v>502.39644871794872</v>
      </c>
      <c r="O62" s="47">
        <f t="shared" si="7"/>
        <v>7560883.8630701648</v>
      </c>
    </row>
    <row r="63" spans="1:15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Data'!BW63</f>
        <v>7068068.9421894243</v>
      </c>
      <c r="E63" s="3">
        <f>'Monthly Data'!DQ63</f>
        <v>29</v>
      </c>
      <c r="F63" s="3">
        <f>'Monthly Data'!CJ63</f>
        <v>3</v>
      </c>
      <c r="G63" s="3">
        <f>'Monthly Data'!ED63</f>
        <v>0</v>
      </c>
      <c r="I63" s="3">
        <f t="shared" si="0"/>
        <v>-4783589.0194705203</v>
      </c>
      <c r="J63" s="3">
        <f t="shared" si="1"/>
        <v>5685057.7973594926</v>
      </c>
      <c r="K63" s="3">
        <f t="shared" si="2"/>
        <v>6266839.7371904403</v>
      </c>
      <c r="L63" s="3">
        <f t="shared" si="3"/>
        <v>0</v>
      </c>
      <c r="M63" s="47">
        <f t="shared" si="6"/>
        <v>7168308.5150794126</v>
      </c>
      <c r="N63" s="47">
        <f>'Monthly Data'!BX63</f>
        <v>514.79539743589737</v>
      </c>
      <c r="O63" s="47">
        <f t="shared" si="7"/>
        <v>7168823.3104768489</v>
      </c>
    </row>
    <row r="64" spans="1:15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Data'!BW64</f>
        <v>7529941.3183209635</v>
      </c>
      <c r="E64" s="3">
        <f>'Monthly Data'!DQ64</f>
        <v>31</v>
      </c>
      <c r="F64" s="3">
        <f>'Monthly Data'!CJ64</f>
        <v>3</v>
      </c>
      <c r="G64" s="3">
        <f>'Monthly Data'!ED64</f>
        <v>0</v>
      </c>
      <c r="I64" s="3">
        <f t="shared" si="0"/>
        <v>-4783589.0194705203</v>
      </c>
      <c r="J64" s="3">
        <f t="shared" si="1"/>
        <v>6077130.7489015264</v>
      </c>
      <c r="K64" s="3">
        <f t="shared" si="2"/>
        <v>6266839.7371904403</v>
      </c>
      <c r="L64" s="3">
        <f t="shared" si="3"/>
        <v>0</v>
      </c>
      <c r="M64" s="47">
        <f t="shared" si="6"/>
        <v>7560381.4666214464</v>
      </c>
      <c r="N64" s="47">
        <f>'Monthly Data'!BX64</f>
        <v>527.19434615384614</v>
      </c>
      <c r="O64" s="47">
        <f t="shared" si="7"/>
        <v>7560908.6609676005</v>
      </c>
    </row>
    <row r="65" spans="1:15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Data'!BW65</f>
        <v>7704115.2444525044</v>
      </c>
      <c r="E65" s="3">
        <f>'Monthly Data'!DQ65</f>
        <v>30</v>
      </c>
      <c r="F65" s="3">
        <f>'Monthly Data'!CJ65</f>
        <v>3</v>
      </c>
      <c r="G65" s="3">
        <f>'Monthly Data'!ED65</f>
        <v>0</v>
      </c>
      <c r="I65" s="3">
        <f t="shared" si="0"/>
        <v>-4783589.0194705203</v>
      </c>
      <c r="J65" s="3">
        <f t="shared" si="1"/>
        <v>5881094.27313051</v>
      </c>
      <c r="K65" s="3">
        <f t="shared" si="2"/>
        <v>6266839.7371904403</v>
      </c>
      <c r="L65" s="3">
        <f t="shared" si="3"/>
        <v>0</v>
      </c>
      <c r="M65" s="47">
        <f t="shared" si="6"/>
        <v>7364344.99085043</v>
      </c>
      <c r="N65" s="47">
        <f>'Monthly Data'!BX65</f>
        <v>539.5932948717948</v>
      </c>
      <c r="O65" s="47">
        <f t="shared" si="7"/>
        <v>7364884.584145302</v>
      </c>
    </row>
    <row r="66" spans="1:15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Data'!BW66</f>
        <v>7873956.4205840444</v>
      </c>
      <c r="E66" s="3">
        <f>'Monthly Data'!DQ66</f>
        <v>31</v>
      </c>
      <c r="F66" s="3">
        <f>'Monthly Data'!CJ66</f>
        <v>3</v>
      </c>
      <c r="G66" s="3">
        <f>'Monthly Data'!ED66</f>
        <v>0</v>
      </c>
      <c r="I66" s="3">
        <f t="shared" ref="I66:I129" si="8">$S$8</f>
        <v>-4783589.0194705203</v>
      </c>
      <c r="J66" s="3">
        <f t="shared" ref="J66:J129" si="9">E66*$S$9</f>
        <v>6077130.7489015264</v>
      </c>
      <c r="K66" s="3">
        <f t="shared" ref="K66:K129" si="10">F66*$S$10</f>
        <v>6266839.7371904403</v>
      </c>
      <c r="L66" s="3">
        <f t="shared" ref="L66:L129" si="11">G66*$S$11</f>
        <v>0</v>
      </c>
      <c r="M66" s="47">
        <f t="shared" si="6"/>
        <v>7560381.4666214464</v>
      </c>
      <c r="N66" s="47">
        <f>'Monthly Data'!BX66</f>
        <v>551.99224358974357</v>
      </c>
      <c r="O66" s="47">
        <f t="shared" si="7"/>
        <v>7560933.4588650363</v>
      </c>
    </row>
    <row r="67" spans="1:15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Data'!BW67</f>
        <v>7698535.3567155842</v>
      </c>
      <c r="E67" s="3">
        <f>'Monthly Data'!DQ67</f>
        <v>30</v>
      </c>
      <c r="F67" s="3">
        <f>'Monthly Data'!CJ67</f>
        <v>3</v>
      </c>
      <c r="G67" s="3">
        <f>'Monthly Data'!ED67</f>
        <v>0</v>
      </c>
      <c r="I67" s="3">
        <f t="shared" si="8"/>
        <v>-4783589.0194705203</v>
      </c>
      <c r="J67" s="3">
        <f t="shared" si="9"/>
        <v>5881094.27313051</v>
      </c>
      <c r="K67" s="3">
        <f t="shared" si="10"/>
        <v>6266839.7371904403</v>
      </c>
      <c r="L67" s="3">
        <f t="shared" si="11"/>
        <v>0</v>
      </c>
      <c r="M67" s="47">
        <f t="shared" si="6"/>
        <v>7364344.99085043</v>
      </c>
      <c r="N67" s="47">
        <f>'Monthly Data'!BX67</f>
        <v>564.39119230769222</v>
      </c>
      <c r="O67" s="47">
        <f t="shared" si="7"/>
        <v>7364909.3820427377</v>
      </c>
    </row>
    <row r="68" spans="1:15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Data'!BW68</f>
        <v>8101935.5328471242</v>
      </c>
      <c r="E68" s="3">
        <f>'Monthly Data'!DQ68</f>
        <v>31</v>
      </c>
      <c r="F68" s="3">
        <f>'Monthly Data'!CJ68</f>
        <v>3</v>
      </c>
      <c r="G68" s="3">
        <f>'Monthly Data'!ED68</f>
        <v>0</v>
      </c>
      <c r="I68" s="3">
        <f t="shared" si="8"/>
        <v>-4783589.0194705203</v>
      </c>
      <c r="J68" s="3">
        <f t="shared" si="9"/>
        <v>6077130.7489015264</v>
      </c>
      <c r="K68" s="3">
        <f t="shared" si="10"/>
        <v>6266839.7371904403</v>
      </c>
      <c r="L68" s="3">
        <f t="shared" si="11"/>
        <v>0</v>
      </c>
      <c r="M68" s="47">
        <f t="shared" si="6"/>
        <v>7560381.4666214464</v>
      </c>
      <c r="N68" s="47">
        <f>'Monthly Data'!BX68</f>
        <v>576.79014102564099</v>
      </c>
      <c r="O68" s="47">
        <f t="shared" si="7"/>
        <v>7560958.256762472</v>
      </c>
    </row>
    <row r="69" spans="1:15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Data'!BW69</f>
        <v>7895898.7089786651</v>
      </c>
      <c r="E69" s="3">
        <f>'Monthly Data'!DQ69</f>
        <v>31</v>
      </c>
      <c r="F69" s="3">
        <f>'Monthly Data'!CJ69</f>
        <v>3</v>
      </c>
      <c r="G69" s="3">
        <f>'Monthly Data'!ED69</f>
        <v>0</v>
      </c>
      <c r="I69" s="3">
        <f t="shared" si="8"/>
        <v>-4783589.0194705203</v>
      </c>
      <c r="J69" s="3">
        <f t="shared" si="9"/>
        <v>6077130.7489015264</v>
      </c>
      <c r="K69" s="3">
        <f t="shared" si="10"/>
        <v>6266839.7371904403</v>
      </c>
      <c r="L69" s="3">
        <f t="shared" si="11"/>
        <v>0</v>
      </c>
      <c r="M69" s="47">
        <f t="shared" si="6"/>
        <v>7560381.4666214464</v>
      </c>
      <c r="N69" s="47">
        <f>'Monthly Data'!BX69</f>
        <v>589.18908974358965</v>
      </c>
      <c r="O69" s="47">
        <f t="shared" si="7"/>
        <v>7560970.6557111898</v>
      </c>
    </row>
    <row r="70" spans="1:15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Data'!BW70</f>
        <v>7196079.4451102046</v>
      </c>
      <c r="E70" s="3">
        <f>'Monthly Data'!DQ70</f>
        <v>30</v>
      </c>
      <c r="F70" s="3">
        <f>'Monthly Data'!CJ70</f>
        <v>3</v>
      </c>
      <c r="G70" s="3">
        <f>'Monthly Data'!ED70</f>
        <v>0</v>
      </c>
      <c r="I70" s="3">
        <f t="shared" si="8"/>
        <v>-4783589.0194705203</v>
      </c>
      <c r="J70" s="3">
        <f t="shared" si="9"/>
        <v>5881094.27313051</v>
      </c>
      <c r="K70" s="3">
        <f t="shared" si="10"/>
        <v>6266839.7371904403</v>
      </c>
      <c r="L70" s="3">
        <f t="shared" si="11"/>
        <v>0</v>
      </c>
      <c r="M70" s="47">
        <f t="shared" si="6"/>
        <v>7364344.99085043</v>
      </c>
      <c r="N70" s="47">
        <f>'Monthly Data'!BX70</f>
        <v>601.58803846153842</v>
      </c>
      <c r="O70" s="47">
        <f t="shared" si="7"/>
        <v>7364946.5788888913</v>
      </c>
    </row>
    <row r="71" spans="1:15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Data'!BW71</f>
        <v>7153203.5412417445</v>
      </c>
      <c r="E71" s="3">
        <f>'Monthly Data'!DQ71</f>
        <v>31</v>
      </c>
      <c r="F71" s="3">
        <f>'Monthly Data'!CJ71</f>
        <v>3</v>
      </c>
      <c r="G71" s="3">
        <f>'Monthly Data'!ED71</f>
        <v>0</v>
      </c>
      <c r="I71" s="3">
        <f t="shared" si="8"/>
        <v>-4783589.0194705203</v>
      </c>
      <c r="J71" s="3">
        <f t="shared" si="9"/>
        <v>6077130.7489015264</v>
      </c>
      <c r="K71" s="3">
        <f t="shared" si="10"/>
        <v>6266839.7371904403</v>
      </c>
      <c r="L71" s="3">
        <f t="shared" si="11"/>
        <v>0</v>
      </c>
      <c r="M71" s="47">
        <f t="shared" si="6"/>
        <v>7560381.4666214464</v>
      </c>
      <c r="N71" s="47">
        <f>'Monthly Data'!BX71</f>
        <v>613.98698717948707</v>
      </c>
      <c r="O71" s="47">
        <f t="shared" si="7"/>
        <v>7560995.4536086256</v>
      </c>
    </row>
    <row r="72" spans="1:15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Data'!BW72</f>
        <v>6955041.4173732847</v>
      </c>
      <c r="E72" s="3">
        <f>'Monthly Data'!DQ72</f>
        <v>30</v>
      </c>
      <c r="F72" s="3">
        <f>'Monthly Data'!CJ72</f>
        <v>3</v>
      </c>
      <c r="G72" s="3">
        <f>'Monthly Data'!ED72</f>
        <v>0</v>
      </c>
      <c r="I72" s="3">
        <f t="shared" si="8"/>
        <v>-4783589.0194705203</v>
      </c>
      <c r="J72" s="3">
        <f t="shared" si="9"/>
        <v>5881094.27313051</v>
      </c>
      <c r="K72" s="3">
        <f t="shared" si="10"/>
        <v>6266839.7371904403</v>
      </c>
      <c r="L72" s="3">
        <f t="shared" si="11"/>
        <v>0</v>
      </c>
      <c r="M72" s="47">
        <f t="shared" si="6"/>
        <v>7364344.99085043</v>
      </c>
      <c r="N72" s="47">
        <f>'Monthly Data'!BX72</f>
        <v>626.38593589743584</v>
      </c>
      <c r="O72" s="47">
        <f t="shared" si="7"/>
        <v>7364971.376786327</v>
      </c>
    </row>
    <row r="73" spans="1:15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Data'!BW73</f>
        <v>7580986.8535048245</v>
      </c>
      <c r="E73" s="3">
        <f>'Monthly Data'!DQ73</f>
        <v>31</v>
      </c>
      <c r="F73" s="3">
        <f>'Monthly Data'!CJ73</f>
        <v>3</v>
      </c>
      <c r="G73" s="3">
        <f>'Monthly Data'!ED73</f>
        <v>1</v>
      </c>
      <c r="I73" s="3">
        <f t="shared" si="8"/>
        <v>-4783589.0194705203</v>
      </c>
      <c r="J73" s="3">
        <f t="shared" si="9"/>
        <v>6077130.7489015264</v>
      </c>
      <c r="K73" s="3">
        <f t="shared" si="10"/>
        <v>6266839.7371904403</v>
      </c>
      <c r="L73" s="3">
        <f t="shared" si="11"/>
        <v>-252014.73853491701</v>
      </c>
      <c r="M73" s="47">
        <f t="shared" si="6"/>
        <v>7308366.7280865293</v>
      </c>
      <c r="N73" s="47">
        <f>'Monthly Data'!BX73</f>
        <v>638.7848846153845</v>
      </c>
      <c r="O73" s="47">
        <f t="shared" si="7"/>
        <v>7309005.5129711451</v>
      </c>
    </row>
    <row r="74" spans="1:15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Data'!BW74</f>
        <v>8173206.3217348102</v>
      </c>
      <c r="E74" s="3">
        <f>'Monthly Data'!DQ74</f>
        <v>31</v>
      </c>
      <c r="F74" s="3">
        <f>'Monthly Data'!CJ74</f>
        <v>3</v>
      </c>
      <c r="G74" s="3">
        <f>'Monthly Data'!ED74</f>
        <v>0</v>
      </c>
      <c r="I74" s="3">
        <f t="shared" si="8"/>
        <v>-4783589.0194705203</v>
      </c>
      <c r="J74" s="3">
        <f t="shared" si="9"/>
        <v>6077130.7489015264</v>
      </c>
      <c r="K74" s="3">
        <f t="shared" si="10"/>
        <v>6266839.7371904403</v>
      </c>
      <c r="L74" s="3">
        <f t="shared" si="11"/>
        <v>0</v>
      </c>
      <c r="M74" s="47">
        <f t="shared" si="6"/>
        <v>7560381.4666214464</v>
      </c>
      <c r="N74" s="47">
        <f>'Monthly Data'!BX74</f>
        <v>670.64301282051292</v>
      </c>
      <c r="O74" s="47">
        <f t="shared" si="7"/>
        <v>7561052.1096342672</v>
      </c>
    </row>
    <row r="75" spans="1:15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Data'!BW75</f>
        <v>7618713.8693286031</v>
      </c>
      <c r="E75" s="3">
        <f>'Monthly Data'!DQ75</f>
        <v>28</v>
      </c>
      <c r="F75" s="3">
        <f>'Monthly Data'!CJ75</f>
        <v>3</v>
      </c>
      <c r="G75" s="3">
        <f>'Monthly Data'!ED75</f>
        <v>0</v>
      </c>
      <c r="I75" s="3">
        <f t="shared" si="8"/>
        <v>-4783589.0194705203</v>
      </c>
      <c r="J75" s="3">
        <f t="shared" si="9"/>
        <v>5489021.3215884762</v>
      </c>
      <c r="K75" s="3">
        <f t="shared" si="10"/>
        <v>6266839.7371904403</v>
      </c>
      <c r="L75" s="3">
        <f t="shared" si="11"/>
        <v>0</v>
      </c>
      <c r="M75" s="47">
        <f t="shared" si="6"/>
        <v>6972272.0393083962</v>
      </c>
      <c r="N75" s="47">
        <f>'Monthly Data'!BX75</f>
        <v>690.10219230769235</v>
      </c>
      <c r="O75" s="47">
        <f t="shared" si="7"/>
        <v>6972962.141500704</v>
      </c>
    </row>
    <row r="76" spans="1:15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Data'!BW76</f>
        <v>7949162.0869223978</v>
      </c>
      <c r="E76" s="3">
        <f>'Monthly Data'!DQ76</f>
        <v>31</v>
      </c>
      <c r="F76" s="3">
        <f>'Monthly Data'!CJ76</f>
        <v>3</v>
      </c>
      <c r="G76" s="3">
        <f>'Monthly Data'!ED76</f>
        <v>0</v>
      </c>
      <c r="I76" s="3">
        <f t="shared" si="8"/>
        <v>-4783589.0194705203</v>
      </c>
      <c r="J76" s="3">
        <f t="shared" si="9"/>
        <v>6077130.7489015264</v>
      </c>
      <c r="K76" s="3">
        <f t="shared" si="10"/>
        <v>6266839.7371904403</v>
      </c>
      <c r="L76" s="3">
        <f t="shared" si="11"/>
        <v>0</v>
      </c>
      <c r="M76" s="47">
        <f t="shared" si="6"/>
        <v>7560381.4666214464</v>
      </c>
      <c r="N76" s="47">
        <f>'Monthly Data'!BX76</f>
        <v>709.56137179487189</v>
      </c>
      <c r="O76" s="47">
        <f t="shared" si="7"/>
        <v>7561091.0279932413</v>
      </c>
    </row>
    <row r="77" spans="1:15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Data'!BW77</f>
        <v>7597359.0045161927</v>
      </c>
      <c r="E77" s="3">
        <f>'Monthly Data'!DQ77</f>
        <v>30</v>
      </c>
      <c r="F77" s="3">
        <f>'Monthly Data'!CJ77</f>
        <v>3</v>
      </c>
      <c r="G77" s="3">
        <f>'Monthly Data'!ED77</f>
        <v>0</v>
      </c>
      <c r="I77" s="3">
        <f t="shared" si="8"/>
        <v>-4783589.0194705203</v>
      </c>
      <c r="J77" s="3">
        <f t="shared" si="9"/>
        <v>5881094.27313051</v>
      </c>
      <c r="K77" s="3">
        <f t="shared" si="10"/>
        <v>6266839.7371904403</v>
      </c>
      <c r="L77" s="3">
        <f t="shared" si="11"/>
        <v>0</v>
      </c>
      <c r="M77" s="47">
        <f t="shared" si="6"/>
        <v>7364344.99085043</v>
      </c>
      <c r="N77" s="47">
        <f>'Monthly Data'!BX77</f>
        <v>729.02055128205143</v>
      </c>
      <c r="O77" s="47">
        <f t="shared" si="7"/>
        <v>7365074.011401712</v>
      </c>
    </row>
    <row r="78" spans="1:15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Data'!BW78</f>
        <v>7863141.4721099855</v>
      </c>
      <c r="E78" s="3">
        <f>'Monthly Data'!DQ78</f>
        <v>31</v>
      </c>
      <c r="F78" s="3">
        <f>'Monthly Data'!CJ78</f>
        <v>3</v>
      </c>
      <c r="G78" s="3">
        <f>'Monthly Data'!ED78</f>
        <v>0</v>
      </c>
      <c r="I78" s="3">
        <f t="shared" si="8"/>
        <v>-4783589.0194705203</v>
      </c>
      <c r="J78" s="3">
        <f t="shared" si="9"/>
        <v>6077130.7489015264</v>
      </c>
      <c r="K78" s="3">
        <f t="shared" si="10"/>
        <v>6266839.7371904403</v>
      </c>
      <c r="L78" s="3">
        <f t="shared" si="11"/>
        <v>0</v>
      </c>
      <c r="M78" s="47">
        <f t="shared" si="6"/>
        <v>7560381.4666214464</v>
      </c>
      <c r="N78" s="47">
        <f>'Monthly Data'!BX78</f>
        <v>748.47973076923086</v>
      </c>
      <c r="O78" s="47">
        <f t="shared" si="7"/>
        <v>7561129.9463522155</v>
      </c>
    </row>
    <row r="79" spans="1:15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Data'!BW79</f>
        <v>7672024.0597037803</v>
      </c>
      <c r="E79" s="3">
        <f>'Monthly Data'!DQ79</f>
        <v>30</v>
      </c>
      <c r="F79" s="3">
        <f>'Monthly Data'!CJ79</f>
        <v>3</v>
      </c>
      <c r="G79" s="3">
        <f>'Monthly Data'!ED79</f>
        <v>0</v>
      </c>
      <c r="I79" s="3">
        <f t="shared" si="8"/>
        <v>-4783589.0194705203</v>
      </c>
      <c r="J79" s="3">
        <f t="shared" si="9"/>
        <v>5881094.27313051</v>
      </c>
      <c r="K79" s="3">
        <f t="shared" si="10"/>
        <v>6266839.7371904403</v>
      </c>
      <c r="L79" s="3">
        <f t="shared" si="11"/>
        <v>0</v>
      </c>
      <c r="M79" s="47">
        <f t="shared" si="6"/>
        <v>7364344.99085043</v>
      </c>
      <c r="N79" s="47">
        <f>'Monthly Data'!BX79</f>
        <v>767.9389102564104</v>
      </c>
      <c r="O79" s="47">
        <f t="shared" si="7"/>
        <v>7365112.9297606861</v>
      </c>
    </row>
    <row r="80" spans="1:15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Data'!BW80</f>
        <v>7904835.8172975751</v>
      </c>
      <c r="E80" s="3">
        <f>'Monthly Data'!DQ80</f>
        <v>31</v>
      </c>
      <c r="F80" s="3">
        <f>'Monthly Data'!CJ80</f>
        <v>3</v>
      </c>
      <c r="G80" s="3">
        <f>'Monthly Data'!ED80</f>
        <v>0</v>
      </c>
      <c r="I80" s="3">
        <f t="shared" si="8"/>
        <v>-4783589.0194705203</v>
      </c>
      <c r="J80" s="3">
        <f t="shared" si="9"/>
        <v>6077130.7489015264</v>
      </c>
      <c r="K80" s="3">
        <f t="shared" si="10"/>
        <v>6266839.7371904403</v>
      </c>
      <c r="L80" s="3">
        <f t="shared" si="11"/>
        <v>0</v>
      </c>
      <c r="M80" s="47">
        <f t="shared" si="6"/>
        <v>7560381.4666214464</v>
      </c>
      <c r="N80" s="47">
        <f>'Monthly Data'!BX80</f>
        <v>787.39808974358982</v>
      </c>
      <c r="O80" s="47">
        <f t="shared" si="7"/>
        <v>7561168.8647111896</v>
      </c>
    </row>
    <row r="81" spans="1:15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Data'!BW81</f>
        <v>8125227.8048913684</v>
      </c>
      <c r="E81" s="3">
        <f>'Monthly Data'!DQ81</f>
        <v>31</v>
      </c>
      <c r="F81" s="3">
        <f>'Monthly Data'!CJ81</f>
        <v>3</v>
      </c>
      <c r="G81" s="3">
        <f>'Monthly Data'!ED81</f>
        <v>0</v>
      </c>
      <c r="I81" s="3">
        <f t="shared" si="8"/>
        <v>-4783589.0194705203</v>
      </c>
      <c r="J81" s="3">
        <f t="shared" si="9"/>
        <v>6077130.7489015264</v>
      </c>
      <c r="K81" s="3">
        <f t="shared" si="10"/>
        <v>6266839.7371904403</v>
      </c>
      <c r="L81" s="3">
        <f t="shared" si="11"/>
        <v>0</v>
      </c>
      <c r="M81" s="47">
        <f t="shared" si="6"/>
        <v>7560381.4666214464</v>
      </c>
      <c r="N81" s="47">
        <f>'Monthly Data'!BX81</f>
        <v>806.85726923076936</v>
      </c>
      <c r="O81" s="47">
        <f t="shared" si="7"/>
        <v>7561188.3238906777</v>
      </c>
    </row>
    <row r="82" spans="1:15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Data'!BW82</f>
        <v>7866131.5424851626</v>
      </c>
      <c r="E82" s="3">
        <f>'Monthly Data'!DQ82</f>
        <v>30</v>
      </c>
      <c r="F82" s="3">
        <f>'Monthly Data'!CJ82</f>
        <v>3</v>
      </c>
      <c r="G82" s="3">
        <f>'Monthly Data'!ED82</f>
        <v>0</v>
      </c>
      <c r="I82" s="3">
        <f t="shared" si="8"/>
        <v>-4783589.0194705203</v>
      </c>
      <c r="J82" s="3">
        <f t="shared" si="9"/>
        <v>5881094.27313051</v>
      </c>
      <c r="K82" s="3">
        <f t="shared" si="10"/>
        <v>6266839.7371904403</v>
      </c>
      <c r="L82" s="3">
        <f t="shared" si="11"/>
        <v>0</v>
      </c>
      <c r="M82" s="47">
        <f t="shared" si="6"/>
        <v>7364344.99085043</v>
      </c>
      <c r="N82" s="47">
        <f>'Monthly Data'!BX82</f>
        <v>826.31644871794879</v>
      </c>
      <c r="O82" s="47">
        <f t="shared" si="7"/>
        <v>7365171.3072991483</v>
      </c>
    </row>
    <row r="83" spans="1:15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Data'!BW83</f>
        <v>7942289.2900789566</v>
      </c>
      <c r="E83" s="3">
        <f>'Monthly Data'!DQ83</f>
        <v>31</v>
      </c>
      <c r="F83" s="3">
        <f>'Monthly Data'!CJ83</f>
        <v>3</v>
      </c>
      <c r="G83" s="3">
        <f>'Monthly Data'!ED83</f>
        <v>0</v>
      </c>
      <c r="I83" s="3">
        <f t="shared" si="8"/>
        <v>-4783589.0194705203</v>
      </c>
      <c r="J83" s="3">
        <f t="shared" si="9"/>
        <v>6077130.7489015264</v>
      </c>
      <c r="K83" s="3">
        <f t="shared" si="10"/>
        <v>6266839.7371904403</v>
      </c>
      <c r="L83" s="3">
        <f t="shared" si="11"/>
        <v>0</v>
      </c>
      <c r="M83" s="47">
        <f t="shared" si="6"/>
        <v>7560381.4666214464</v>
      </c>
      <c r="N83" s="47">
        <f>'Monthly Data'!BX83</f>
        <v>845.77562820512833</v>
      </c>
      <c r="O83" s="47">
        <f t="shared" si="7"/>
        <v>7561227.2422496518</v>
      </c>
    </row>
    <row r="84" spans="1:15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Data'!BW84</f>
        <v>7837906.3576727509</v>
      </c>
      <c r="E84" s="3">
        <f>'Monthly Data'!DQ84</f>
        <v>30</v>
      </c>
      <c r="F84" s="3">
        <f>'Monthly Data'!CJ84</f>
        <v>3</v>
      </c>
      <c r="G84" s="3">
        <f>'Monthly Data'!ED84</f>
        <v>0</v>
      </c>
      <c r="I84" s="3">
        <f t="shared" si="8"/>
        <v>-4783589.0194705203</v>
      </c>
      <c r="J84" s="3">
        <f t="shared" si="9"/>
        <v>5881094.27313051</v>
      </c>
      <c r="K84" s="3">
        <f t="shared" si="10"/>
        <v>6266839.7371904403</v>
      </c>
      <c r="L84" s="3">
        <f t="shared" si="11"/>
        <v>0</v>
      </c>
      <c r="M84" s="47">
        <f t="shared" si="6"/>
        <v>7364344.99085043</v>
      </c>
      <c r="N84" s="47">
        <f>'Monthly Data'!BX84</f>
        <v>865.23480769230787</v>
      </c>
      <c r="O84" s="47">
        <f t="shared" si="7"/>
        <v>7365210.2256581225</v>
      </c>
    </row>
    <row r="85" spans="1:15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Data'!BW85</f>
        <v>7841044.105266545</v>
      </c>
      <c r="E85" s="3">
        <f>'Monthly Data'!DQ85</f>
        <v>31</v>
      </c>
      <c r="F85" s="3">
        <f>'Monthly Data'!CJ85</f>
        <v>3</v>
      </c>
      <c r="G85" s="3">
        <f>'Monthly Data'!ED85</f>
        <v>1</v>
      </c>
      <c r="I85" s="3">
        <f t="shared" si="8"/>
        <v>-4783589.0194705203</v>
      </c>
      <c r="J85" s="3">
        <f t="shared" si="9"/>
        <v>6077130.7489015264</v>
      </c>
      <c r="K85" s="3">
        <f t="shared" si="10"/>
        <v>6266839.7371904403</v>
      </c>
      <c r="L85" s="3">
        <f t="shared" si="11"/>
        <v>-252014.73853491701</v>
      </c>
      <c r="M85" s="47">
        <f t="shared" si="6"/>
        <v>7308366.7280865293</v>
      </c>
      <c r="N85" s="47">
        <f>'Monthly Data'!BX85</f>
        <v>884.69398717948729</v>
      </c>
      <c r="O85" s="47">
        <f t="shared" si="7"/>
        <v>7309251.4220737088</v>
      </c>
    </row>
    <row r="86" spans="1:15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Data'!BW86</f>
        <v>8613193.4880363885</v>
      </c>
      <c r="E86" s="3">
        <f>'Monthly Data'!DQ86</f>
        <v>31</v>
      </c>
      <c r="F86" s="3">
        <f>'Monthly Data'!CJ86</f>
        <v>3</v>
      </c>
      <c r="G86" s="3">
        <f>'Monthly Data'!ED86</f>
        <v>0</v>
      </c>
      <c r="I86" s="3">
        <f t="shared" si="8"/>
        <v>-4783589.0194705203</v>
      </c>
      <c r="J86" s="3">
        <f t="shared" si="9"/>
        <v>6077130.7489015264</v>
      </c>
      <c r="K86" s="3">
        <f t="shared" si="10"/>
        <v>6266839.7371904403</v>
      </c>
      <c r="L86" s="3">
        <f t="shared" si="11"/>
        <v>0</v>
      </c>
      <c r="M86" s="47">
        <f t="shared" si="6"/>
        <v>7560381.4666214464</v>
      </c>
      <c r="N86" s="47">
        <f>'Monthly Data'!BX86</f>
        <v>962.3623076923077</v>
      </c>
      <c r="O86" s="47">
        <f t="shared" si="7"/>
        <v>7561343.8289291384</v>
      </c>
    </row>
    <row r="87" spans="1:15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Data'!BW87</f>
        <v>7956515.2173078153</v>
      </c>
      <c r="E87" s="3">
        <f>'Monthly Data'!DQ87</f>
        <v>28</v>
      </c>
      <c r="F87" s="3">
        <f>'Monthly Data'!CJ87</f>
        <v>3</v>
      </c>
      <c r="G87" s="3">
        <f>'Monthly Data'!ED87</f>
        <v>0</v>
      </c>
      <c r="I87" s="3">
        <f t="shared" si="8"/>
        <v>-4783589.0194705203</v>
      </c>
      <c r="J87" s="3">
        <f t="shared" si="9"/>
        <v>5489021.3215884762</v>
      </c>
      <c r="K87" s="3">
        <f t="shared" si="10"/>
        <v>6266839.7371904403</v>
      </c>
      <c r="L87" s="3">
        <f t="shared" si="11"/>
        <v>0</v>
      </c>
      <c r="M87" s="47">
        <f t="shared" si="6"/>
        <v>6972272.0393083962</v>
      </c>
      <c r="N87" s="47">
        <f>'Monthly Data'!BX87</f>
        <v>1020.5714487179487</v>
      </c>
      <c r="O87" s="47">
        <f t="shared" si="7"/>
        <v>6973292.6107571144</v>
      </c>
    </row>
    <row r="88" spans="1:15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Data'!BW88</f>
        <v>8821067.446579244</v>
      </c>
      <c r="E88" s="3">
        <f>'Monthly Data'!DQ88</f>
        <v>31</v>
      </c>
      <c r="F88" s="3">
        <f>'Monthly Data'!CJ88</f>
        <v>3</v>
      </c>
      <c r="G88" s="3">
        <f>'Monthly Data'!ED88</f>
        <v>0</v>
      </c>
      <c r="I88" s="3">
        <f t="shared" si="8"/>
        <v>-4783589.0194705203</v>
      </c>
      <c r="J88" s="3">
        <f t="shared" si="9"/>
        <v>6077130.7489015264</v>
      </c>
      <c r="K88" s="3">
        <f t="shared" si="10"/>
        <v>6266839.7371904403</v>
      </c>
      <c r="L88" s="3">
        <f t="shared" si="11"/>
        <v>0</v>
      </c>
      <c r="M88" s="47">
        <f t="shared" si="6"/>
        <v>7560381.4666214464</v>
      </c>
      <c r="N88" s="47">
        <f>'Monthly Data'!BX88</f>
        <v>1078.7805897435896</v>
      </c>
      <c r="O88" s="47">
        <f t="shared" si="7"/>
        <v>7561460.2472111899</v>
      </c>
    </row>
    <row r="89" spans="1:15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Data'!BW89</f>
        <v>7838012.6858506724</v>
      </c>
      <c r="E89" s="3">
        <f>'Monthly Data'!DQ89</f>
        <v>30</v>
      </c>
      <c r="F89" s="3">
        <f>'Monthly Data'!CJ89</f>
        <v>3</v>
      </c>
      <c r="G89" s="3">
        <f>'Monthly Data'!ED89</f>
        <v>0</v>
      </c>
      <c r="I89" s="3">
        <f t="shared" si="8"/>
        <v>-4783589.0194705203</v>
      </c>
      <c r="J89" s="3">
        <f t="shared" si="9"/>
        <v>5881094.27313051</v>
      </c>
      <c r="K89" s="3">
        <f t="shared" si="10"/>
        <v>6266839.7371904403</v>
      </c>
      <c r="L89" s="3">
        <f t="shared" si="11"/>
        <v>0</v>
      </c>
      <c r="M89" s="47">
        <f t="shared" si="6"/>
        <v>7364344.99085043</v>
      </c>
      <c r="N89" s="47">
        <f>'Monthly Data'!BX89</f>
        <v>1136.9897307692308</v>
      </c>
      <c r="O89" s="47">
        <f t="shared" si="7"/>
        <v>7365481.9805811988</v>
      </c>
    </row>
    <row r="90" spans="1:15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Data'!BW90</f>
        <v>7761282.4951221002</v>
      </c>
      <c r="E90" s="3">
        <f>'Monthly Data'!DQ90</f>
        <v>31</v>
      </c>
      <c r="F90" s="3">
        <f>'Monthly Data'!CJ90</f>
        <v>3</v>
      </c>
      <c r="G90" s="3">
        <f>'Monthly Data'!ED90</f>
        <v>0</v>
      </c>
      <c r="I90" s="3">
        <f t="shared" si="8"/>
        <v>-4783589.0194705203</v>
      </c>
      <c r="J90" s="3">
        <f t="shared" si="9"/>
        <v>6077130.7489015264</v>
      </c>
      <c r="K90" s="3">
        <f t="shared" si="10"/>
        <v>6266839.7371904403</v>
      </c>
      <c r="L90" s="3">
        <f t="shared" si="11"/>
        <v>0</v>
      </c>
      <c r="M90" s="47">
        <f t="shared" si="6"/>
        <v>7560381.4666214464</v>
      </c>
      <c r="N90" s="47">
        <f>'Monthly Data'!BX90</f>
        <v>1195.1988717948718</v>
      </c>
      <c r="O90" s="47">
        <f t="shared" si="7"/>
        <v>7561576.6654932415</v>
      </c>
    </row>
    <row r="91" spans="1:15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Data'!BW91</f>
        <v>7284019.9943935275</v>
      </c>
      <c r="E91" s="3">
        <f>'Monthly Data'!DQ91</f>
        <v>30</v>
      </c>
      <c r="F91" s="3">
        <f>'Monthly Data'!CJ91</f>
        <v>3</v>
      </c>
      <c r="G91" s="3">
        <f>'Monthly Data'!ED91</f>
        <v>0</v>
      </c>
      <c r="I91" s="3">
        <f t="shared" si="8"/>
        <v>-4783589.0194705203</v>
      </c>
      <c r="J91" s="3">
        <f t="shared" si="9"/>
        <v>5881094.27313051</v>
      </c>
      <c r="K91" s="3">
        <f t="shared" si="10"/>
        <v>6266839.7371904403</v>
      </c>
      <c r="L91" s="3">
        <f t="shared" si="11"/>
        <v>0</v>
      </c>
      <c r="M91" s="47">
        <f t="shared" si="6"/>
        <v>7364344.99085043</v>
      </c>
      <c r="N91" s="47">
        <f>'Monthly Data'!BX91</f>
        <v>1253.4080128205128</v>
      </c>
      <c r="O91" s="47">
        <f t="shared" si="7"/>
        <v>7365598.3988632504</v>
      </c>
    </row>
    <row r="92" spans="1:15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Data'!BW92</f>
        <v>7888180.0936649563</v>
      </c>
      <c r="E92" s="3">
        <f>'Monthly Data'!DQ92</f>
        <v>31</v>
      </c>
      <c r="F92" s="3">
        <f>'Monthly Data'!CJ92</f>
        <v>3</v>
      </c>
      <c r="G92" s="3">
        <f>'Monthly Data'!ED92</f>
        <v>0</v>
      </c>
      <c r="I92" s="3">
        <f t="shared" si="8"/>
        <v>-4783589.0194705203</v>
      </c>
      <c r="J92" s="3">
        <f t="shared" si="9"/>
        <v>6077130.7489015264</v>
      </c>
      <c r="K92" s="3">
        <f t="shared" si="10"/>
        <v>6266839.7371904403</v>
      </c>
      <c r="L92" s="3">
        <f t="shared" si="11"/>
        <v>0</v>
      </c>
      <c r="M92" s="47">
        <f t="shared" si="6"/>
        <v>7560381.4666214464</v>
      </c>
      <c r="N92" s="47">
        <f>'Monthly Data'!BX92</f>
        <v>1311.617153846154</v>
      </c>
      <c r="O92" s="47">
        <f t="shared" si="7"/>
        <v>7561693.0837752922</v>
      </c>
    </row>
    <row r="93" spans="1:15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Data'!BW93</f>
        <v>8194582.362936384</v>
      </c>
      <c r="E93" s="3">
        <f>'Monthly Data'!DQ93</f>
        <v>31</v>
      </c>
      <c r="F93" s="3">
        <f>'Monthly Data'!CJ93</f>
        <v>3</v>
      </c>
      <c r="G93" s="3">
        <f>'Monthly Data'!ED93</f>
        <v>0</v>
      </c>
      <c r="I93" s="3">
        <f t="shared" si="8"/>
        <v>-4783589.0194705203</v>
      </c>
      <c r="J93" s="3">
        <f t="shared" si="9"/>
        <v>6077130.7489015264</v>
      </c>
      <c r="K93" s="3">
        <f t="shared" si="10"/>
        <v>6266839.7371904403</v>
      </c>
      <c r="L93" s="3">
        <f t="shared" si="11"/>
        <v>0</v>
      </c>
      <c r="M93" s="47">
        <f t="shared" si="6"/>
        <v>7560381.4666214464</v>
      </c>
      <c r="N93" s="47">
        <f>'Monthly Data'!BX93</f>
        <v>1369.826294871795</v>
      </c>
      <c r="O93" s="47">
        <f t="shared" si="7"/>
        <v>7561751.2929163184</v>
      </c>
    </row>
    <row r="94" spans="1:15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Data'!BW94</f>
        <v>7535129.8122078124</v>
      </c>
      <c r="E94" s="3">
        <f>'Monthly Data'!DQ94</f>
        <v>30</v>
      </c>
      <c r="F94" s="3">
        <f>'Monthly Data'!CJ94</f>
        <v>3</v>
      </c>
      <c r="G94" s="3">
        <f>'Monthly Data'!ED94</f>
        <v>0</v>
      </c>
      <c r="I94" s="3">
        <f t="shared" si="8"/>
        <v>-4783589.0194705203</v>
      </c>
      <c r="J94" s="3">
        <f t="shared" si="9"/>
        <v>5881094.27313051</v>
      </c>
      <c r="K94" s="3">
        <f t="shared" si="10"/>
        <v>6266839.7371904403</v>
      </c>
      <c r="L94" s="3">
        <f t="shared" si="11"/>
        <v>0</v>
      </c>
      <c r="M94" s="47">
        <f t="shared" si="6"/>
        <v>7364344.99085043</v>
      </c>
      <c r="N94" s="47">
        <f>'Monthly Data'!BX94</f>
        <v>1428.0354358974359</v>
      </c>
      <c r="O94" s="47">
        <f t="shared" si="7"/>
        <v>7365773.0262863273</v>
      </c>
    </row>
    <row r="95" spans="1:15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Data'!BW95</f>
        <v>8087523.1914792405</v>
      </c>
      <c r="E95" s="3">
        <f>'Monthly Data'!DQ95</f>
        <v>31</v>
      </c>
      <c r="F95" s="3">
        <f>'Monthly Data'!CJ95</f>
        <v>3</v>
      </c>
      <c r="G95" s="3">
        <f>'Monthly Data'!ED95</f>
        <v>0</v>
      </c>
      <c r="I95" s="3">
        <f t="shared" si="8"/>
        <v>-4783589.0194705203</v>
      </c>
      <c r="J95" s="3">
        <f t="shared" si="9"/>
        <v>6077130.7489015264</v>
      </c>
      <c r="K95" s="3">
        <f t="shared" si="10"/>
        <v>6266839.7371904403</v>
      </c>
      <c r="L95" s="3">
        <f t="shared" si="11"/>
        <v>0</v>
      </c>
      <c r="M95" s="47">
        <f t="shared" si="6"/>
        <v>7560381.4666214464</v>
      </c>
      <c r="N95" s="47">
        <f>'Monthly Data'!BX95</f>
        <v>1486.2445769230771</v>
      </c>
      <c r="O95" s="47">
        <f t="shared" si="7"/>
        <v>7561867.711198369</v>
      </c>
    </row>
    <row r="96" spans="1:15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Data'!BW96</f>
        <v>8003596.1307506682</v>
      </c>
      <c r="E96" s="3">
        <f>'Monthly Data'!DQ96</f>
        <v>30</v>
      </c>
      <c r="F96" s="3">
        <f>'Monthly Data'!CJ96</f>
        <v>3</v>
      </c>
      <c r="G96" s="3">
        <f>'Monthly Data'!ED96</f>
        <v>0</v>
      </c>
      <c r="I96" s="3">
        <f t="shared" si="8"/>
        <v>-4783589.0194705203</v>
      </c>
      <c r="J96" s="3">
        <f t="shared" si="9"/>
        <v>5881094.27313051</v>
      </c>
      <c r="K96" s="3">
        <f t="shared" si="10"/>
        <v>6266839.7371904403</v>
      </c>
      <c r="L96" s="3">
        <f t="shared" si="11"/>
        <v>0</v>
      </c>
      <c r="M96" s="47">
        <f t="shared" si="6"/>
        <v>7364344.99085043</v>
      </c>
      <c r="N96" s="47">
        <f>'Monthly Data'!BX96</f>
        <v>1544.4537179487181</v>
      </c>
      <c r="O96" s="47">
        <f t="shared" si="7"/>
        <v>7365889.4445683789</v>
      </c>
    </row>
    <row r="97" spans="1:15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Data'!BW97</f>
        <v>7602952.2100220965</v>
      </c>
      <c r="E97" s="3">
        <f>'Monthly Data'!DQ97</f>
        <v>31</v>
      </c>
      <c r="F97" s="3">
        <f>'Monthly Data'!CJ97</f>
        <v>3</v>
      </c>
      <c r="G97" s="3">
        <f>'Monthly Data'!ED97</f>
        <v>1</v>
      </c>
      <c r="I97" s="3">
        <f t="shared" si="8"/>
        <v>-4783589.0194705203</v>
      </c>
      <c r="J97" s="3">
        <f t="shared" si="9"/>
        <v>6077130.7489015264</v>
      </c>
      <c r="K97" s="3">
        <f t="shared" si="10"/>
        <v>6266839.7371904403</v>
      </c>
      <c r="L97" s="3">
        <f t="shared" si="11"/>
        <v>-252014.73853491701</v>
      </c>
      <c r="M97" s="47">
        <f t="shared" si="6"/>
        <v>7308366.7280865293</v>
      </c>
      <c r="N97" s="47">
        <f>'Monthly Data'!BX97</f>
        <v>1602.6628589743591</v>
      </c>
      <c r="O97" s="47">
        <f t="shared" si="7"/>
        <v>7309969.3909455035</v>
      </c>
    </row>
    <row r="98" spans="1:15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Data'!BW98</f>
        <v>8282723.9155689562</v>
      </c>
      <c r="E98" s="3">
        <f>'Monthly Data'!DQ98</f>
        <v>31</v>
      </c>
      <c r="F98" s="3">
        <f>'Monthly Data'!CJ98</f>
        <v>3</v>
      </c>
      <c r="G98" s="3">
        <f>'Monthly Data'!ED98</f>
        <v>0</v>
      </c>
      <c r="I98" s="3">
        <f t="shared" si="8"/>
        <v>-4783589.0194705203</v>
      </c>
      <c r="J98" s="3">
        <f t="shared" si="9"/>
        <v>6077130.7489015264</v>
      </c>
      <c r="K98" s="3">
        <f t="shared" si="10"/>
        <v>6266839.7371904403</v>
      </c>
      <c r="L98" s="3">
        <f t="shared" si="11"/>
        <v>0</v>
      </c>
      <c r="M98" s="47">
        <f t="shared" si="6"/>
        <v>7560381.4666214464</v>
      </c>
      <c r="N98" s="47">
        <f>'Monthly Data'!BX98</f>
        <v>1746.7328205128206</v>
      </c>
      <c r="O98" s="47">
        <f t="shared" si="7"/>
        <v>7562128.1994419592</v>
      </c>
    </row>
    <row r="99" spans="1:15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Data'!BW99</f>
        <v>7755718.0544409184</v>
      </c>
      <c r="E99" s="3">
        <f>'Monthly Data'!DQ99</f>
        <v>28</v>
      </c>
      <c r="F99" s="3">
        <f>'Monthly Data'!CJ99</f>
        <v>3</v>
      </c>
      <c r="G99" s="3">
        <f>'Monthly Data'!ED99</f>
        <v>0</v>
      </c>
      <c r="I99" s="3">
        <f t="shared" si="8"/>
        <v>-4783589.0194705203</v>
      </c>
      <c r="J99" s="3">
        <f t="shared" si="9"/>
        <v>5489021.3215884762</v>
      </c>
      <c r="K99" s="3">
        <f t="shared" si="10"/>
        <v>6266839.7371904403</v>
      </c>
      <c r="L99" s="3">
        <f t="shared" si="11"/>
        <v>0</v>
      </c>
      <c r="M99" s="47">
        <f t="shared" si="6"/>
        <v>6972272.0393083962</v>
      </c>
      <c r="N99" s="47">
        <f>'Monthly Data'!BX99</f>
        <v>1832.5936410256411</v>
      </c>
      <c r="O99" s="47">
        <f t="shared" si="7"/>
        <v>6974104.6329494221</v>
      </c>
    </row>
    <row r="100" spans="1:15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Data'!BW100</f>
        <v>8190782.6233128794</v>
      </c>
      <c r="E100" s="3">
        <f>'Monthly Data'!DQ100</f>
        <v>31</v>
      </c>
      <c r="F100" s="3">
        <f>'Monthly Data'!CJ100</f>
        <v>3</v>
      </c>
      <c r="G100" s="3">
        <f>'Monthly Data'!ED100</f>
        <v>0</v>
      </c>
      <c r="I100" s="3">
        <f t="shared" si="8"/>
        <v>-4783589.0194705203</v>
      </c>
      <c r="J100" s="3">
        <f t="shared" si="9"/>
        <v>6077130.7489015264</v>
      </c>
      <c r="K100" s="3">
        <f t="shared" si="10"/>
        <v>6266839.7371904403</v>
      </c>
      <c r="L100" s="3">
        <f t="shared" si="11"/>
        <v>0</v>
      </c>
      <c r="M100" s="47">
        <f t="shared" si="6"/>
        <v>7560381.4666214464</v>
      </c>
      <c r="N100" s="47">
        <f>'Monthly Data'!BX100</f>
        <v>1918.4544615384616</v>
      </c>
      <c r="O100" s="47">
        <f t="shared" si="7"/>
        <v>7562299.9210829847</v>
      </c>
    </row>
    <row r="101" spans="1:15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Data'!BW101</f>
        <v>7437666.8621848412</v>
      </c>
      <c r="E101" s="3">
        <f>'Monthly Data'!DQ101</f>
        <v>30</v>
      </c>
      <c r="F101" s="3">
        <f>'Monthly Data'!CJ101</f>
        <v>3</v>
      </c>
      <c r="G101" s="3">
        <f>'Monthly Data'!ED101</f>
        <v>0</v>
      </c>
      <c r="I101" s="3">
        <f t="shared" si="8"/>
        <v>-4783589.0194705203</v>
      </c>
      <c r="J101" s="3">
        <f t="shared" si="9"/>
        <v>5881094.27313051</v>
      </c>
      <c r="K101" s="3">
        <f t="shared" si="10"/>
        <v>6266839.7371904403</v>
      </c>
      <c r="L101" s="3">
        <f t="shared" si="11"/>
        <v>0</v>
      </c>
      <c r="M101" s="47">
        <f t="shared" si="6"/>
        <v>7364344.99085043</v>
      </c>
      <c r="N101" s="47">
        <f>'Monthly Data'!BX101</f>
        <v>2004.3152820512821</v>
      </c>
      <c r="O101" s="47">
        <f t="shared" si="7"/>
        <v>7366349.3061324814</v>
      </c>
    </row>
    <row r="102" spans="1:15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Data'!BW102</f>
        <v>7603477.8910568031</v>
      </c>
      <c r="E102" s="3">
        <f>'Monthly Data'!DQ102</f>
        <v>31</v>
      </c>
      <c r="F102" s="3">
        <f>'Monthly Data'!CJ102</f>
        <v>3</v>
      </c>
      <c r="G102" s="3">
        <f>'Monthly Data'!ED102</f>
        <v>0</v>
      </c>
      <c r="I102" s="3">
        <f t="shared" si="8"/>
        <v>-4783589.0194705203</v>
      </c>
      <c r="J102" s="3">
        <f t="shared" si="9"/>
        <v>6077130.7489015264</v>
      </c>
      <c r="K102" s="3">
        <f t="shared" si="10"/>
        <v>6266839.7371904403</v>
      </c>
      <c r="L102" s="3">
        <f t="shared" si="11"/>
        <v>0</v>
      </c>
      <c r="M102" s="47">
        <f t="shared" si="6"/>
        <v>7560381.4666214464</v>
      </c>
      <c r="N102" s="47">
        <f>'Monthly Data'!BX102</f>
        <v>2090.1761025641026</v>
      </c>
      <c r="O102" s="47">
        <f t="shared" si="7"/>
        <v>7562471.6427240102</v>
      </c>
    </row>
    <row r="103" spans="1:15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Data'!BW103</f>
        <v>7280009.0799287651</v>
      </c>
      <c r="E103" s="3">
        <f>'Monthly Data'!DQ103</f>
        <v>30</v>
      </c>
      <c r="F103" s="3">
        <f>'Monthly Data'!CJ103</f>
        <v>3</v>
      </c>
      <c r="G103" s="3">
        <f>'Monthly Data'!ED103</f>
        <v>0</v>
      </c>
      <c r="I103" s="3">
        <f t="shared" si="8"/>
        <v>-4783589.0194705203</v>
      </c>
      <c r="J103" s="3">
        <f t="shared" si="9"/>
        <v>5881094.27313051</v>
      </c>
      <c r="K103" s="3">
        <f t="shared" si="10"/>
        <v>6266839.7371904403</v>
      </c>
      <c r="L103" s="3">
        <f t="shared" si="11"/>
        <v>0</v>
      </c>
      <c r="M103" s="47">
        <f t="shared" si="6"/>
        <v>7364344.99085043</v>
      </c>
      <c r="N103" s="47">
        <f>'Monthly Data'!BX103</f>
        <v>2176.0369230769229</v>
      </c>
      <c r="O103" s="47">
        <f t="shared" si="7"/>
        <v>7366521.0277735069</v>
      </c>
    </row>
    <row r="104" spans="1:15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Data'!BW104</f>
        <v>7337484.0588007262</v>
      </c>
      <c r="E104" s="3">
        <f>'Monthly Data'!DQ104</f>
        <v>31</v>
      </c>
      <c r="F104" s="3">
        <f>'Monthly Data'!CJ104</f>
        <v>3</v>
      </c>
      <c r="G104" s="3">
        <f>'Monthly Data'!ED104</f>
        <v>0</v>
      </c>
      <c r="I104" s="3">
        <f t="shared" si="8"/>
        <v>-4783589.0194705203</v>
      </c>
      <c r="J104" s="3">
        <f t="shared" si="9"/>
        <v>6077130.7489015264</v>
      </c>
      <c r="K104" s="3">
        <f t="shared" si="10"/>
        <v>6266839.7371904403</v>
      </c>
      <c r="L104" s="3">
        <f t="shared" si="11"/>
        <v>0</v>
      </c>
      <c r="M104" s="47">
        <f t="shared" si="6"/>
        <v>7560381.4666214464</v>
      </c>
      <c r="N104" s="47">
        <f>'Monthly Data'!BX104</f>
        <v>2261.8977435897436</v>
      </c>
      <c r="O104" s="47">
        <f t="shared" si="7"/>
        <v>7562643.3643650366</v>
      </c>
    </row>
    <row r="105" spans="1:15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Data'!BW105</f>
        <v>8114182.9676726889</v>
      </c>
      <c r="E105" s="3">
        <f>'Monthly Data'!DQ105</f>
        <v>31</v>
      </c>
      <c r="F105" s="3">
        <f>'Monthly Data'!CJ105</f>
        <v>3</v>
      </c>
      <c r="G105" s="3">
        <f>'Monthly Data'!ED105</f>
        <v>0</v>
      </c>
      <c r="I105" s="3">
        <f t="shared" si="8"/>
        <v>-4783589.0194705203</v>
      </c>
      <c r="J105" s="3">
        <f t="shared" si="9"/>
        <v>6077130.7489015264</v>
      </c>
      <c r="K105" s="3">
        <f t="shared" si="10"/>
        <v>6266839.7371904403</v>
      </c>
      <c r="L105" s="3">
        <f t="shared" si="11"/>
        <v>0</v>
      </c>
      <c r="M105" s="47">
        <f t="shared" si="6"/>
        <v>7560381.4666214464</v>
      </c>
      <c r="N105" s="47">
        <f>'Monthly Data'!BX105</f>
        <v>2347.7585641025644</v>
      </c>
      <c r="O105" s="47">
        <f t="shared" si="7"/>
        <v>7562729.2251855489</v>
      </c>
    </row>
    <row r="106" spans="1:15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Data'!BW106</f>
        <v>7750544.736544651</v>
      </c>
      <c r="E106" s="3">
        <f>'Monthly Data'!DQ106</f>
        <v>30</v>
      </c>
      <c r="F106" s="3">
        <f>'Monthly Data'!CJ106</f>
        <v>3</v>
      </c>
      <c r="G106" s="3">
        <f>'Monthly Data'!ED106</f>
        <v>0</v>
      </c>
      <c r="I106" s="3">
        <f t="shared" si="8"/>
        <v>-4783589.0194705203</v>
      </c>
      <c r="J106" s="3">
        <f t="shared" si="9"/>
        <v>5881094.27313051</v>
      </c>
      <c r="K106" s="3">
        <f t="shared" si="10"/>
        <v>6266839.7371904403</v>
      </c>
      <c r="L106" s="3">
        <f t="shared" si="11"/>
        <v>0</v>
      </c>
      <c r="M106" s="47">
        <f t="shared" si="6"/>
        <v>7364344.99085043</v>
      </c>
      <c r="N106" s="47">
        <f>'Monthly Data'!BX106</f>
        <v>2433.6193846153847</v>
      </c>
      <c r="O106" s="47">
        <f t="shared" si="7"/>
        <v>7366778.6102350457</v>
      </c>
    </row>
    <row r="107" spans="1:15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Data'!BW107</f>
        <v>7932968.7854166124</v>
      </c>
      <c r="E107" s="3">
        <f>'Monthly Data'!DQ107</f>
        <v>31</v>
      </c>
      <c r="F107" s="3">
        <f>'Monthly Data'!CJ107</f>
        <v>3</v>
      </c>
      <c r="G107" s="3">
        <f>'Monthly Data'!ED107</f>
        <v>0</v>
      </c>
      <c r="I107" s="3">
        <f t="shared" si="8"/>
        <v>-4783589.0194705203</v>
      </c>
      <c r="J107" s="3">
        <f t="shared" si="9"/>
        <v>6077130.7489015264</v>
      </c>
      <c r="K107" s="3">
        <f t="shared" si="10"/>
        <v>6266839.7371904403</v>
      </c>
      <c r="L107" s="3">
        <f t="shared" si="11"/>
        <v>0</v>
      </c>
      <c r="M107" s="47">
        <f t="shared" si="6"/>
        <v>7560381.4666214464</v>
      </c>
      <c r="N107" s="47">
        <f>'Monthly Data'!BX107</f>
        <v>2519.4802051282054</v>
      </c>
      <c r="O107" s="47">
        <f t="shared" si="7"/>
        <v>7562900.9468265744</v>
      </c>
    </row>
    <row r="108" spans="1:15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Data'!BW108</f>
        <v>7746105.9642885737</v>
      </c>
      <c r="E108" s="3">
        <f>'Monthly Data'!DQ108</f>
        <v>30</v>
      </c>
      <c r="F108" s="3">
        <f>'Monthly Data'!CJ108</f>
        <v>3</v>
      </c>
      <c r="G108" s="3">
        <f>'Monthly Data'!ED108</f>
        <v>0</v>
      </c>
      <c r="I108" s="3">
        <f t="shared" si="8"/>
        <v>-4783589.0194705203</v>
      </c>
      <c r="J108" s="3">
        <f t="shared" si="9"/>
        <v>5881094.27313051</v>
      </c>
      <c r="K108" s="3">
        <f t="shared" si="10"/>
        <v>6266839.7371904403</v>
      </c>
      <c r="L108" s="3">
        <f t="shared" si="11"/>
        <v>0</v>
      </c>
      <c r="M108" s="47">
        <f t="shared" si="6"/>
        <v>7364344.99085043</v>
      </c>
      <c r="N108" s="47">
        <f>'Monthly Data'!BX108</f>
        <v>2605.3410256410257</v>
      </c>
      <c r="O108" s="47">
        <f t="shared" si="7"/>
        <v>7366950.3318760712</v>
      </c>
    </row>
    <row r="109" spans="1:15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Data'!BW109</f>
        <v>7782241.0131605361</v>
      </c>
      <c r="E109" s="3">
        <f>'Monthly Data'!DQ109</f>
        <v>31</v>
      </c>
      <c r="F109" s="3">
        <f>'Monthly Data'!CJ109</f>
        <v>3</v>
      </c>
      <c r="G109" s="3">
        <f>'Monthly Data'!ED109</f>
        <v>1</v>
      </c>
      <c r="I109" s="3">
        <f t="shared" si="8"/>
        <v>-4783589.0194705203</v>
      </c>
      <c r="J109" s="3">
        <f t="shared" si="9"/>
        <v>6077130.7489015264</v>
      </c>
      <c r="K109" s="3">
        <f t="shared" si="10"/>
        <v>6266839.7371904403</v>
      </c>
      <c r="L109" s="3">
        <f t="shared" si="11"/>
        <v>-252014.73853491701</v>
      </c>
      <c r="M109" s="47">
        <f t="shared" si="6"/>
        <v>7308366.7280865293</v>
      </c>
      <c r="N109" s="47">
        <f>'Monthly Data'!BX109</f>
        <v>2691.2018461538464</v>
      </c>
      <c r="O109" s="47">
        <f t="shared" si="7"/>
        <v>7311057.9299326828</v>
      </c>
    </row>
    <row r="110" spans="1:15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Data'!BW110</f>
        <v>8093028.2402706258</v>
      </c>
      <c r="E110" s="3">
        <f>'Monthly Data'!DQ110</f>
        <v>31</v>
      </c>
      <c r="F110" s="3">
        <f>'Monthly Data'!CJ110</f>
        <v>3</v>
      </c>
      <c r="G110" s="3">
        <f>'Monthly Data'!ED110</f>
        <v>0</v>
      </c>
      <c r="I110" s="3">
        <f t="shared" si="8"/>
        <v>-4783589.0194705203</v>
      </c>
      <c r="J110" s="3">
        <f t="shared" si="9"/>
        <v>6077130.7489015264</v>
      </c>
      <c r="K110" s="3">
        <f t="shared" si="10"/>
        <v>6266839.7371904403</v>
      </c>
      <c r="L110" s="3">
        <f t="shared" si="11"/>
        <v>0</v>
      </c>
      <c r="M110" s="47">
        <f t="shared" si="6"/>
        <v>7560381.4666214464</v>
      </c>
      <c r="N110" s="47">
        <f>'Monthly Data'!BX110</f>
        <v>2978.5560256410258</v>
      </c>
      <c r="O110" s="47">
        <f t="shared" si="7"/>
        <v>7563360.0226470875</v>
      </c>
    </row>
    <row r="111" spans="1:15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Data'!BW111</f>
        <v>7650906.7997247428</v>
      </c>
      <c r="E111" s="3">
        <f>'Monthly Data'!DQ111</f>
        <v>29</v>
      </c>
      <c r="F111" s="3">
        <f>'Monthly Data'!CJ111</f>
        <v>3</v>
      </c>
      <c r="G111" s="3">
        <f>'Monthly Data'!ED111</f>
        <v>0</v>
      </c>
      <c r="I111" s="3">
        <f t="shared" si="8"/>
        <v>-4783589.0194705203</v>
      </c>
      <c r="J111" s="3">
        <f t="shared" si="9"/>
        <v>5685057.7973594926</v>
      </c>
      <c r="K111" s="3">
        <f t="shared" si="10"/>
        <v>6266839.7371904403</v>
      </c>
      <c r="L111" s="3">
        <f t="shared" si="11"/>
        <v>0</v>
      </c>
      <c r="M111" s="47">
        <f t="shared" si="6"/>
        <v>7168308.5150794126</v>
      </c>
      <c r="N111" s="47">
        <f>'Monthly Data'!BX111</f>
        <v>3180.0493846153845</v>
      </c>
      <c r="O111" s="47">
        <f t="shared" si="7"/>
        <v>7171488.564464028</v>
      </c>
    </row>
    <row r="112" spans="1:15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Data'!BW112</f>
        <v>8076069.3391788602</v>
      </c>
      <c r="E112" s="3">
        <f>'Monthly Data'!DQ112</f>
        <v>31</v>
      </c>
      <c r="F112" s="3">
        <f>'Monthly Data'!CJ112</f>
        <v>3</v>
      </c>
      <c r="G112" s="3">
        <f>'Monthly Data'!ED112</f>
        <v>0</v>
      </c>
      <c r="I112" s="3">
        <f t="shared" si="8"/>
        <v>-4783589.0194705203</v>
      </c>
      <c r="J112" s="3">
        <f t="shared" si="9"/>
        <v>6077130.7489015264</v>
      </c>
      <c r="K112" s="3">
        <f t="shared" si="10"/>
        <v>6266839.7371904403</v>
      </c>
      <c r="L112" s="3">
        <f t="shared" si="11"/>
        <v>0</v>
      </c>
      <c r="M112" s="47">
        <f t="shared" si="6"/>
        <v>7560381.4666214464</v>
      </c>
      <c r="N112" s="47">
        <f>'Monthly Data'!BX112</f>
        <v>3381.5427435897436</v>
      </c>
      <c r="O112" s="47">
        <f t="shared" si="7"/>
        <v>7563763.0093650362</v>
      </c>
    </row>
    <row r="113" spans="1:15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Data'!BW113</f>
        <v>7137617.0086329775</v>
      </c>
      <c r="E113" s="3">
        <f>'Monthly Data'!DQ113</f>
        <v>30</v>
      </c>
      <c r="F113" s="3">
        <f>'Monthly Data'!CJ113</f>
        <v>3</v>
      </c>
      <c r="G113" s="3">
        <f>'Monthly Data'!ED113</f>
        <v>0</v>
      </c>
      <c r="I113" s="3">
        <f t="shared" si="8"/>
        <v>-4783589.0194705203</v>
      </c>
      <c r="J113" s="3">
        <f t="shared" si="9"/>
        <v>5881094.27313051</v>
      </c>
      <c r="K113" s="3">
        <f t="shared" si="10"/>
        <v>6266839.7371904403</v>
      </c>
      <c r="L113" s="3">
        <f t="shared" si="11"/>
        <v>0</v>
      </c>
      <c r="M113" s="47">
        <f t="shared" si="6"/>
        <v>7364344.99085043</v>
      </c>
      <c r="N113" s="47">
        <f>'Monthly Data'!BX113</f>
        <v>3583.0361025641023</v>
      </c>
      <c r="O113" s="47">
        <f t="shared" si="7"/>
        <v>7367928.0269529941</v>
      </c>
    </row>
    <row r="114" spans="1:15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Data'!BW114</f>
        <v>7558282.8880870938</v>
      </c>
      <c r="E114" s="3">
        <f>'Monthly Data'!DQ114</f>
        <v>31</v>
      </c>
      <c r="F114" s="3">
        <f>'Monthly Data'!CJ114</f>
        <v>3</v>
      </c>
      <c r="G114" s="3">
        <f>'Monthly Data'!ED114</f>
        <v>0</v>
      </c>
      <c r="I114" s="3">
        <f t="shared" si="8"/>
        <v>-4783589.0194705203</v>
      </c>
      <c r="J114" s="3">
        <f t="shared" si="9"/>
        <v>6077130.7489015264</v>
      </c>
      <c r="K114" s="3">
        <f t="shared" si="10"/>
        <v>6266839.7371904403</v>
      </c>
      <c r="L114" s="3">
        <f t="shared" si="11"/>
        <v>0</v>
      </c>
      <c r="M114" s="47">
        <f t="shared" si="6"/>
        <v>7560381.4666214464</v>
      </c>
      <c r="N114" s="47">
        <f>'Monthly Data'!BX114</f>
        <v>3784.529461538461</v>
      </c>
      <c r="O114" s="47">
        <f t="shared" si="7"/>
        <v>7564165.9960829848</v>
      </c>
    </row>
    <row r="115" spans="1:15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Data'!BW115</f>
        <v>7582526.3875412112</v>
      </c>
      <c r="E115" s="3">
        <f>'Monthly Data'!DQ115</f>
        <v>30</v>
      </c>
      <c r="F115" s="3">
        <f>'Monthly Data'!CJ115</f>
        <v>3</v>
      </c>
      <c r="G115" s="3">
        <f>'Monthly Data'!ED115</f>
        <v>0</v>
      </c>
      <c r="I115" s="3">
        <f t="shared" si="8"/>
        <v>-4783589.0194705203</v>
      </c>
      <c r="J115" s="3">
        <f t="shared" si="9"/>
        <v>5881094.27313051</v>
      </c>
      <c r="K115" s="3">
        <f t="shared" si="10"/>
        <v>6266839.7371904403</v>
      </c>
      <c r="L115" s="3">
        <f t="shared" si="11"/>
        <v>0</v>
      </c>
      <c r="M115" s="47">
        <f t="shared" si="6"/>
        <v>7364344.99085043</v>
      </c>
      <c r="N115" s="47">
        <f>'Monthly Data'!BX115</f>
        <v>3986.0228205128205</v>
      </c>
      <c r="O115" s="47">
        <f t="shared" si="7"/>
        <v>7368331.0136709427</v>
      </c>
    </row>
    <row r="116" spans="1:15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Data'!BW116</f>
        <v>7978016.9469953291</v>
      </c>
      <c r="E116" s="3">
        <f>'Monthly Data'!DQ116</f>
        <v>31</v>
      </c>
      <c r="F116" s="3">
        <f>'Monthly Data'!CJ116</f>
        <v>3</v>
      </c>
      <c r="G116" s="3">
        <f>'Monthly Data'!ED116</f>
        <v>0</v>
      </c>
      <c r="I116" s="3">
        <f t="shared" si="8"/>
        <v>-4783589.0194705203</v>
      </c>
      <c r="J116" s="3">
        <f t="shared" si="9"/>
        <v>6077130.7489015264</v>
      </c>
      <c r="K116" s="3">
        <f t="shared" si="10"/>
        <v>6266839.7371904403</v>
      </c>
      <c r="L116" s="3">
        <f t="shared" si="11"/>
        <v>0</v>
      </c>
      <c r="M116" s="47">
        <f t="shared" si="6"/>
        <v>7560381.4666214464</v>
      </c>
      <c r="N116" s="47">
        <f>'Monthly Data'!BX116</f>
        <v>4187.5161794871792</v>
      </c>
      <c r="O116" s="47">
        <f t="shared" si="7"/>
        <v>7564568.9828009335</v>
      </c>
    </row>
    <row r="117" spans="1:15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Data'!BW117</f>
        <v>7771439.4064494465</v>
      </c>
      <c r="E117" s="3">
        <f>'Monthly Data'!DQ117</f>
        <v>31</v>
      </c>
      <c r="F117" s="3">
        <f>'Monthly Data'!CJ117</f>
        <v>3</v>
      </c>
      <c r="G117" s="3">
        <f>'Monthly Data'!ED117</f>
        <v>0</v>
      </c>
      <c r="I117" s="3">
        <f t="shared" si="8"/>
        <v>-4783589.0194705203</v>
      </c>
      <c r="J117" s="3">
        <f t="shared" si="9"/>
        <v>6077130.7489015264</v>
      </c>
      <c r="K117" s="3">
        <f t="shared" si="10"/>
        <v>6266839.7371904403</v>
      </c>
      <c r="L117" s="3">
        <f t="shared" si="11"/>
        <v>0</v>
      </c>
      <c r="M117" s="47">
        <f t="shared" si="6"/>
        <v>7560381.4666214464</v>
      </c>
      <c r="N117" s="47">
        <f>'Monthly Data'!BX117</f>
        <v>4389.0095384615379</v>
      </c>
      <c r="O117" s="47">
        <f t="shared" si="7"/>
        <v>7564770.4761599079</v>
      </c>
    </row>
    <row r="118" spans="1:15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Data'!BW118</f>
        <v>7335264.9959035637</v>
      </c>
      <c r="E118" s="3">
        <f>'Monthly Data'!DQ118</f>
        <v>30</v>
      </c>
      <c r="F118" s="3">
        <f>'Monthly Data'!CJ118</f>
        <v>3</v>
      </c>
      <c r="G118" s="3">
        <f>'Monthly Data'!ED118</f>
        <v>0</v>
      </c>
      <c r="I118" s="3">
        <f t="shared" si="8"/>
        <v>-4783589.0194705203</v>
      </c>
      <c r="J118" s="3">
        <f t="shared" si="9"/>
        <v>5881094.27313051</v>
      </c>
      <c r="K118" s="3">
        <f t="shared" si="10"/>
        <v>6266839.7371904403</v>
      </c>
      <c r="L118" s="3">
        <f t="shared" si="11"/>
        <v>0</v>
      </c>
      <c r="M118" s="47">
        <f t="shared" si="6"/>
        <v>7364344.99085043</v>
      </c>
      <c r="N118" s="47">
        <f>'Monthly Data'!BX118</f>
        <v>4590.5028974358975</v>
      </c>
      <c r="O118" s="47">
        <f t="shared" si="7"/>
        <v>7368935.4937478658</v>
      </c>
    </row>
    <row r="119" spans="1:15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Data'!BW119</f>
        <v>7009523.5953576807</v>
      </c>
      <c r="E119" s="3">
        <f>'Monthly Data'!DQ119</f>
        <v>31</v>
      </c>
      <c r="F119" s="3">
        <f>'Monthly Data'!CJ119</f>
        <v>3</v>
      </c>
      <c r="G119" s="3">
        <f>'Monthly Data'!ED119</f>
        <v>0</v>
      </c>
      <c r="I119" s="3">
        <f t="shared" si="8"/>
        <v>-4783589.0194705203</v>
      </c>
      <c r="J119" s="3">
        <f t="shared" si="9"/>
        <v>6077130.7489015264</v>
      </c>
      <c r="K119" s="3">
        <f t="shared" si="10"/>
        <v>6266839.7371904403</v>
      </c>
      <c r="L119" s="3">
        <f t="shared" si="11"/>
        <v>0</v>
      </c>
      <c r="M119" s="47">
        <f t="shared" ref="M119:M182" si="12">SUM(I119:L119)</f>
        <v>7560381.4666214464</v>
      </c>
      <c r="N119" s="47">
        <f>'Monthly Data'!BX119</f>
        <v>4791.9962564102552</v>
      </c>
      <c r="O119" s="47">
        <f t="shared" ref="O119:O182" si="13">M119+N119</f>
        <v>7565173.4628778566</v>
      </c>
    </row>
    <row r="120" spans="1:15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Data'!BW120</f>
        <v>6650952.9148117974</v>
      </c>
      <c r="E120" s="3">
        <f>'Monthly Data'!DQ120</f>
        <v>30</v>
      </c>
      <c r="F120" s="3">
        <f>'Monthly Data'!CJ120</f>
        <v>3</v>
      </c>
      <c r="G120" s="3">
        <f>'Monthly Data'!ED120</f>
        <v>0</v>
      </c>
      <c r="I120" s="3">
        <f t="shared" si="8"/>
        <v>-4783589.0194705203</v>
      </c>
      <c r="J120" s="3">
        <f t="shared" si="9"/>
        <v>5881094.27313051</v>
      </c>
      <c r="K120" s="3">
        <f t="shared" si="10"/>
        <v>6266839.7371904403</v>
      </c>
      <c r="L120" s="3">
        <f t="shared" si="11"/>
        <v>0</v>
      </c>
      <c r="M120" s="47">
        <f t="shared" si="12"/>
        <v>7364344.99085043</v>
      </c>
      <c r="N120" s="47">
        <f>'Monthly Data'!BX120</f>
        <v>4993.4896153846148</v>
      </c>
      <c r="O120" s="47">
        <f t="shared" si="13"/>
        <v>7369338.4804658145</v>
      </c>
    </row>
    <row r="121" spans="1:15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Data'!BW121</f>
        <v>7765491.5642659152</v>
      </c>
      <c r="E121" s="3">
        <f>'Monthly Data'!DQ121</f>
        <v>31</v>
      </c>
      <c r="F121" s="3">
        <f>'Monthly Data'!CJ121</f>
        <v>3</v>
      </c>
      <c r="G121" s="3">
        <f>'Monthly Data'!ED121</f>
        <v>1</v>
      </c>
      <c r="I121" s="3">
        <f t="shared" si="8"/>
        <v>-4783589.0194705203</v>
      </c>
      <c r="J121" s="3">
        <f t="shared" si="9"/>
        <v>6077130.7489015264</v>
      </c>
      <c r="K121" s="3">
        <f t="shared" si="10"/>
        <v>6266839.7371904403</v>
      </c>
      <c r="L121" s="3">
        <f t="shared" si="11"/>
        <v>-252014.73853491701</v>
      </c>
      <c r="M121" s="47">
        <f t="shared" si="12"/>
        <v>7308366.7280865293</v>
      </c>
      <c r="N121" s="47">
        <f>'Monthly Data'!BX121</f>
        <v>5194.9829743589744</v>
      </c>
      <c r="O121" s="47">
        <f t="shared" si="13"/>
        <v>7313561.7110608881</v>
      </c>
    </row>
    <row r="122" spans="1:15">
      <c r="A122" s="2">
        <f t="shared" ref="A122:A174" si="14">EOMONTH(A121,1)</f>
        <v>45688</v>
      </c>
      <c r="B122">
        <f t="shared" ref="B122:B174" si="15">YEAR(A122)</f>
        <v>2025</v>
      </c>
      <c r="C122">
        <f t="shared" ref="C122:C174" si="16">MONTH(A122)</f>
        <v>1</v>
      </c>
      <c r="E122" s="47">
        <f t="shared" ref="E122:E174" si="17">E86</f>
        <v>31</v>
      </c>
      <c r="F122" s="3">
        <f>'Customer Count'!BH47</f>
        <v>3</v>
      </c>
      <c r="G122" s="3">
        <f>'Monthly Data'!ED122</f>
        <v>0</v>
      </c>
      <c r="I122" s="3">
        <f t="shared" si="8"/>
        <v>-4783589.0194705203</v>
      </c>
      <c r="J122" s="3">
        <f t="shared" si="9"/>
        <v>6077130.7489015264</v>
      </c>
      <c r="K122" s="3">
        <f t="shared" si="10"/>
        <v>6266839.7371904403</v>
      </c>
      <c r="L122" s="3">
        <f t="shared" si="11"/>
        <v>0</v>
      </c>
      <c r="M122" s="47">
        <f t="shared" si="12"/>
        <v>7560381.4666214464</v>
      </c>
      <c r="N122" s="47">
        <f>IFERROR(HLOOKUP(B122-1,'EV Forecast WRZ'!$F$124:$T$130,5,FALSE)/12,0)+IFERROR(((HLOOKUP(B122,'EV Forecast WRZ'!$F$116:$T$122,5,FALSE)-HLOOKUP(B122-1,'EV Forecast WRZ'!$F$124:$T$130,5,FALSE)))*C122/78,0)</f>
        <v>5538.3057928439639</v>
      </c>
      <c r="O122" s="47">
        <f t="shared" si="13"/>
        <v>7565919.7724142903</v>
      </c>
    </row>
    <row r="123" spans="1:15">
      <c r="A123" s="2">
        <f t="shared" si="14"/>
        <v>45716</v>
      </c>
      <c r="B123">
        <f t="shared" si="15"/>
        <v>2025</v>
      </c>
      <c r="C123">
        <f t="shared" si="16"/>
        <v>2</v>
      </c>
      <c r="E123" s="47">
        <f t="shared" si="17"/>
        <v>28</v>
      </c>
      <c r="F123" s="3">
        <f>'Customer Count'!BH48</f>
        <v>3</v>
      </c>
      <c r="G123" s="3">
        <f>'Monthly Data'!ED123</f>
        <v>0</v>
      </c>
      <c r="I123" s="3">
        <f t="shared" si="8"/>
        <v>-4783589.0194705203</v>
      </c>
      <c r="J123" s="3">
        <f t="shared" si="9"/>
        <v>5489021.3215884762</v>
      </c>
      <c r="K123" s="3">
        <f t="shared" si="10"/>
        <v>6266839.7371904403</v>
      </c>
      <c r="L123" s="3">
        <f t="shared" si="11"/>
        <v>0</v>
      </c>
      <c r="M123" s="47">
        <f t="shared" si="12"/>
        <v>6972272.0393083962</v>
      </c>
      <c r="N123" s="47">
        <f>IFERROR(HLOOKUP(B123-1,'EV Forecast WRZ'!$F$124:$T$130,5,FALSE)/12,0)+IFERROR(((HLOOKUP(B123,'EV Forecast WRZ'!$F$116:$T$122,5,FALSE)-HLOOKUP(B123-1,'EV Forecast WRZ'!$F$124:$T$130,5,FALSE)))*C123/78,0)</f>
        <v>5680.1352523545938</v>
      </c>
      <c r="O123" s="47">
        <f t="shared" si="13"/>
        <v>6977952.1745607508</v>
      </c>
    </row>
    <row r="124" spans="1:15">
      <c r="A124" s="2">
        <f t="shared" si="14"/>
        <v>45747</v>
      </c>
      <c r="B124">
        <f t="shared" si="15"/>
        <v>2025</v>
      </c>
      <c r="C124">
        <f t="shared" si="16"/>
        <v>3</v>
      </c>
      <c r="E124" s="47">
        <f t="shared" si="17"/>
        <v>31</v>
      </c>
      <c r="F124" s="3">
        <f>'Customer Count'!BH49</f>
        <v>3</v>
      </c>
      <c r="G124" s="3">
        <f>'Monthly Data'!ED124</f>
        <v>0</v>
      </c>
      <c r="I124" s="3">
        <f t="shared" si="8"/>
        <v>-4783589.0194705203</v>
      </c>
      <c r="J124" s="3">
        <f t="shared" si="9"/>
        <v>6077130.7489015264</v>
      </c>
      <c r="K124" s="3">
        <f t="shared" si="10"/>
        <v>6266839.7371904403</v>
      </c>
      <c r="L124" s="3">
        <f t="shared" si="11"/>
        <v>0</v>
      </c>
      <c r="M124" s="47">
        <f t="shared" si="12"/>
        <v>7560381.4666214464</v>
      </c>
      <c r="N124" s="47">
        <f>IFERROR(HLOOKUP(B124-1,'EV Forecast WRZ'!$F$124:$T$130,5,FALSE)/12,0)+IFERROR(((HLOOKUP(B124,'EV Forecast WRZ'!$F$116:$T$122,5,FALSE)-HLOOKUP(B124-1,'EV Forecast WRZ'!$F$124:$T$130,5,FALSE)))*C124/78,0)</f>
        <v>5821.9647118652238</v>
      </c>
      <c r="O124" s="47">
        <f t="shared" si="13"/>
        <v>7566203.4313333118</v>
      </c>
    </row>
    <row r="125" spans="1:15">
      <c r="A125" s="2">
        <f t="shared" si="14"/>
        <v>45777</v>
      </c>
      <c r="B125">
        <f t="shared" si="15"/>
        <v>2025</v>
      </c>
      <c r="C125">
        <f t="shared" si="16"/>
        <v>4</v>
      </c>
      <c r="E125" s="47">
        <f t="shared" si="17"/>
        <v>30</v>
      </c>
      <c r="F125" s="3">
        <f>'Customer Count'!BH50</f>
        <v>3</v>
      </c>
      <c r="G125" s="3">
        <f>'Monthly Data'!ED125</f>
        <v>0</v>
      </c>
      <c r="I125" s="3">
        <f t="shared" si="8"/>
        <v>-4783589.0194705203</v>
      </c>
      <c r="J125" s="3">
        <f t="shared" si="9"/>
        <v>5881094.27313051</v>
      </c>
      <c r="K125" s="3">
        <f t="shared" si="10"/>
        <v>6266839.7371904403</v>
      </c>
      <c r="L125" s="3">
        <f t="shared" si="11"/>
        <v>0</v>
      </c>
      <c r="M125" s="47">
        <f t="shared" si="12"/>
        <v>7364344.99085043</v>
      </c>
      <c r="N125" s="47">
        <f>IFERROR(HLOOKUP(B125-1,'EV Forecast WRZ'!$F$124:$T$130,5,FALSE)/12,0)+IFERROR(((HLOOKUP(B125,'EV Forecast WRZ'!$F$116:$T$122,5,FALSE)-HLOOKUP(B125-1,'EV Forecast WRZ'!$F$124:$T$130,5,FALSE)))*C125/78,0)</f>
        <v>5963.7941713758537</v>
      </c>
      <c r="O125" s="47">
        <f t="shared" si="13"/>
        <v>7370308.7850218061</v>
      </c>
    </row>
    <row r="126" spans="1:15">
      <c r="A126" s="2">
        <f t="shared" si="14"/>
        <v>45808</v>
      </c>
      <c r="B126">
        <f t="shared" si="15"/>
        <v>2025</v>
      </c>
      <c r="C126">
        <f t="shared" si="16"/>
        <v>5</v>
      </c>
      <c r="E126" s="47">
        <f t="shared" si="17"/>
        <v>31</v>
      </c>
      <c r="F126" s="3">
        <f>'Customer Count'!BH51</f>
        <v>3</v>
      </c>
      <c r="G126" s="3">
        <f>'Monthly Data'!ED126</f>
        <v>0</v>
      </c>
      <c r="I126" s="3">
        <f t="shared" si="8"/>
        <v>-4783589.0194705203</v>
      </c>
      <c r="J126" s="3">
        <f t="shared" si="9"/>
        <v>6077130.7489015264</v>
      </c>
      <c r="K126" s="3">
        <f t="shared" si="10"/>
        <v>6266839.7371904403</v>
      </c>
      <c r="L126" s="3">
        <f t="shared" si="11"/>
        <v>0</v>
      </c>
      <c r="M126" s="47">
        <f t="shared" si="12"/>
        <v>7560381.4666214464</v>
      </c>
      <c r="N126" s="47">
        <f>IFERROR(HLOOKUP(B126-1,'EV Forecast WRZ'!$F$124:$T$130,5,FALSE)/12,0)+IFERROR(((HLOOKUP(B126,'EV Forecast WRZ'!$F$116:$T$122,5,FALSE)-HLOOKUP(B126-1,'EV Forecast WRZ'!$F$124:$T$130,5,FALSE)))*C126/78,0)</f>
        <v>6105.6236308864836</v>
      </c>
      <c r="O126" s="47">
        <f t="shared" si="13"/>
        <v>7566487.0902523333</v>
      </c>
    </row>
    <row r="127" spans="1:15">
      <c r="A127" s="2">
        <f t="shared" si="14"/>
        <v>45838</v>
      </c>
      <c r="B127">
        <f t="shared" si="15"/>
        <v>2025</v>
      </c>
      <c r="C127">
        <f t="shared" si="16"/>
        <v>6</v>
      </c>
      <c r="E127" s="47">
        <f t="shared" si="17"/>
        <v>30</v>
      </c>
      <c r="F127" s="3">
        <f>'Customer Count'!BH52</f>
        <v>3</v>
      </c>
      <c r="G127" s="3">
        <f>'Monthly Data'!ED127</f>
        <v>0</v>
      </c>
      <c r="I127" s="3">
        <f t="shared" si="8"/>
        <v>-4783589.0194705203</v>
      </c>
      <c r="J127" s="3">
        <f t="shared" si="9"/>
        <v>5881094.27313051</v>
      </c>
      <c r="K127" s="3">
        <f t="shared" si="10"/>
        <v>6266839.7371904403</v>
      </c>
      <c r="L127" s="3">
        <f t="shared" si="11"/>
        <v>0</v>
      </c>
      <c r="M127" s="47">
        <f t="shared" si="12"/>
        <v>7364344.99085043</v>
      </c>
      <c r="N127" s="47">
        <f>IFERROR(HLOOKUP(B127-1,'EV Forecast WRZ'!$F$124:$T$130,5,FALSE)/12,0)+IFERROR(((HLOOKUP(B127,'EV Forecast WRZ'!$F$116:$T$122,5,FALSE)-HLOOKUP(B127-1,'EV Forecast WRZ'!$F$124:$T$130,5,FALSE)))*C127/78,0)</f>
        <v>6247.4530903971136</v>
      </c>
      <c r="O127" s="47">
        <f t="shared" si="13"/>
        <v>7370592.4439408267</v>
      </c>
    </row>
    <row r="128" spans="1:15">
      <c r="A128" s="2">
        <f t="shared" si="14"/>
        <v>45869</v>
      </c>
      <c r="B128">
        <f t="shared" si="15"/>
        <v>2025</v>
      </c>
      <c r="C128">
        <f t="shared" si="16"/>
        <v>7</v>
      </c>
      <c r="E128" s="47">
        <f t="shared" si="17"/>
        <v>31</v>
      </c>
      <c r="F128" s="3">
        <f>'Customer Count'!BH53</f>
        <v>3</v>
      </c>
      <c r="G128" s="3">
        <f>'Monthly Data'!ED128</f>
        <v>0</v>
      </c>
      <c r="I128" s="3">
        <f t="shared" si="8"/>
        <v>-4783589.0194705203</v>
      </c>
      <c r="J128" s="3">
        <f t="shared" si="9"/>
        <v>6077130.7489015264</v>
      </c>
      <c r="K128" s="3">
        <f t="shared" si="10"/>
        <v>6266839.7371904403</v>
      </c>
      <c r="L128" s="3">
        <f t="shared" si="11"/>
        <v>0</v>
      </c>
      <c r="M128" s="47">
        <f t="shared" si="12"/>
        <v>7560381.4666214464</v>
      </c>
      <c r="N128" s="47">
        <f>IFERROR(HLOOKUP(B128-1,'EV Forecast WRZ'!$F$124:$T$130,5,FALSE)/12,0)+IFERROR(((HLOOKUP(B128,'EV Forecast WRZ'!$F$116:$T$122,5,FALSE)-HLOOKUP(B128-1,'EV Forecast WRZ'!$F$124:$T$130,5,FALSE)))*C128/78,0)</f>
        <v>6389.2825499077435</v>
      </c>
      <c r="O128" s="47">
        <f t="shared" si="13"/>
        <v>7566770.7491713539</v>
      </c>
    </row>
    <row r="129" spans="1:15">
      <c r="A129" s="2">
        <f t="shared" si="14"/>
        <v>45900</v>
      </c>
      <c r="B129">
        <f t="shared" si="15"/>
        <v>2025</v>
      </c>
      <c r="C129">
        <f t="shared" si="16"/>
        <v>8</v>
      </c>
      <c r="E129" s="47">
        <f t="shared" si="17"/>
        <v>31</v>
      </c>
      <c r="F129" s="3">
        <f>'Customer Count'!BH54</f>
        <v>3</v>
      </c>
      <c r="G129" s="3">
        <f>'Monthly Data'!ED129</f>
        <v>0</v>
      </c>
      <c r="I129" s="3">
        <f t="shared" si="8"/>
        <v>-4783589.0194705203</v>
      </c>
      <c r="J129" s="3">
        <f t="shared" si="9"/>
        <v>6077130.7489015264</v>
      </c>
      <c r="K129" s="3">
        <f t="shared" si="10"/>
        <v>6266839.7371904403</v>
      </c>
      <c r="L129" s="3">
        <f t="shared" si="11"/>
        <v>0</v>
      </c>
      <c r="M129" s="47">
        <f t="shared" si="12"/>
        <v>7560381.4666214464</v>
      </c>
      <c r="N129" s="47">
        <f>IFERROR(HLOOKUP(B129-1,'EV Forecast WRZ'!$F$124:$T$130,5,FALSE)/12,0)+IFERROR(((HLOOKUP(B129,'EV Forecast WRZ'!$F$116:$T$122,5,FALSE)-HLOOKUP(B129-1,'EV Forecast WRZ'!$F$124:$T$130,5,FALSE)))*C129/78,0)</f>
        <v>6531.1120094183734</v>
      </c>
      <c r="O129" s="47">
        <f t="shared" si="13"/>
        <v>7566912.5786308646</v>
      </c>
    </row>
    <row r="130" spans="1:15">
      <c r="A130" s="2">
        <f t="shared" si="14"/>
        <v>45930</v>
      </c>
      <c r="B130">
        <f t="shared" si="15"/>
        <v>2025</v>
      </c>
      <c r="C130">
        <f t="shared" si="16"/>
        <v>9</v>
      </c>
      <c r="E130" s="47">
        <f t="shared" si="17"/>
        <v>30</v>
      </c>
      <c r="F130" s="3">
        <f>'Customer Count'!BH55</f>
        <v>3</v>
      </c>
      <c r="G130" s="3">
        <f>'Monthly Data'!ED130</f>
        <v>0</v>
      </c>
      <c r="I130" s="3">
        <f t="shared" ref="I130:I193" si="18">$S$8</f>
        <v>-4783589.0194705203</v>
      </c>
      <c r="J130" s="3">
        <f t="shared" ref="J130:J193" si="19">E130*$S$9</f>
        <v>5881094.27313051</v>
      </c>
      <c r="K130" s="3">
        <f t="shared" ref="K130:K193" si="20">F130*$S$10</f>
        <v>6266839.7371904403</v>
      </c>
      <c r="L130" s="3">
        <f t="shared" ref="L130:L193" si="21">G130*$S$11</f>
        <v>0</v>
      </c>
      <c r="M130" s="47">
        <f t="shared" si="12"/>
        <v>7364344.99085043</v>
      </c>
      <c r="N130" s="47">
        <f>IFERROR(HLOOKUP(B130-1,'EV Forecast WRZ'!$F$124:$T$130,5,FALSE)/12,0)+IFERROR(((HLOOKUP(B130,'EV Forecast WRZ'!$F$116:$T$122,5,FALSE)-HLOOKUP(B130-1,'EV Forecast WRZ'!$F$124:$T$130,5,FALSE)))*C130/78,0)</f>
        <v>6672.9414689290033</v>
      </c>
      <c r="O130" s="47">
        <f t="shared" si="13"/>
        <v>7371017.9323193589</v>
      </c>
    </row>
    <row r="131" spans="1:15">
      <c r="A131" s="2">
        <f t="shared" si="14"/>
        <v>45961</v>
      </c>
      <c r="B131">
        <f t="shared" si="15"/>
        <v>2025</v>
      </c>
      <c r="C131">
        <f t="shared" si="16"/>
        <v>10</v>
      </c>
      <c r="E131" s="47">
        <f t="shared" si="17"/>
        <v>31</v>
      </c>
      <c r="F131" s="3">
        <f>'Customer Count'!BH56</f>
        <v>3</v>
      </c>
      <c r="G131" s="3">
        <f>'Monthly Data'!ED131</f>
        <v>0</v>
      </c>
      <c r="I131" s="3">
        <f t="shared" si="18"/>
        <v>-4783589.0194705203</v>
      </c>
      <c r="J131" s="3">
        <f t="shared" si="19"/>
        <v>6077130.7489015264</v>
      </c>
      <c r="K131" s="3">
        <f t="shared" si="20"/>
        <v>6266839.7371904403</v>
      </c>
      <c r="L131" s="3">
        <f t="shared" si="21"/>
        <v>0</v>
      </c>
      <c r="M131" s="47">
        <f t="shared" si="12"/>
        <v>7560381.4666214464</v>
      </c>
      <c r="N131" s="47">
        <f>IFERROR(HLOOKUP(B131-1,'EV Forecast WRZ'!$F$124:$T$130,5,FALSE)/12,0)+IFERROR(((HLOOKUP(B131,'EV Forecast WRZ'!$F$116:$T$122,5,FALSE)-HLOOKUP(B131-1,'EV Forecast WRZ'!$F$124:$T$130,5,FALSE)))*C131/78,0)</f>
        <v>6814.7709284396333</v>
      </c>
      <c r="O131" s="47">
        <f t="shared" si="13"/>
        <v>7567196.2375498861</v>
      </c>
    </row>
    <row r="132" spans="1:15">
      <c r="A132" s="2">
        <f t="shared" si="14"/>
        <v>45991</v>
      </c>
      <c r="B132">
        <f t="shared" si="15"/>
        <v>2025</v>
      </c>
      <c r="C132">
        <f t="shared" si="16"/>
        <v>11</v>
      </c>
      <c r="E132" s="47">
        <f t="shared" si="17"/>
        <v>30</v>
      </c>
      <c r="F132" s="3">
        <f>'Customer Count'!BH57</f>
        <v>3</v>
      </c>
      <c r="G132" s="3">
        <f>'Monthly Data'!ED132</f>
        <v>0</v>
      </c>
      <c r="I132" s="3">
        <f t="shared" si="18"/>
        <v>-4783589.0194705203</v>
      </c>
      <c r="J132" s="3">
        <f t="shared" si="19"/>
        <v>5881094.27313051</v>
      </c>
      <c r="K132" s="3">
        <f t="shared" si="20"/>
        <v>6266839.7371904403</v>
      </c>
      <c r="L132" s="3">
        <f t="shared" si="21"/>
        <v>0</v>
      </c>
      <c r="M132" s="47">
        <f t="shared" si="12"/>
        <v>7364344.99085043</v>
      </c>
      <c r="N132" s="47">
        <f>IFERROR(HLOOKUP(B132-1,'EV Forecast WRZ'!$F$124:$T$130,5,FALSE)/12,0)+IFERROR(((HLOOKUP(B132,'EV Forecast WRZ'!$F$116:$T$122,5,FALSE)-HLOOKUP(B132-1,'EV Forecast WRZ'!$F$124:$T$130,5,FALSE)))*C132/78,0)</f>
        <v>6956.6003879502632</v>
      </c>
      <c r="O132" s="47">
        <f t="shared" si="13"/>
        <v>7371301.5912383804</v>
      </c>
    </row>
    <row r="133" spans="1:15">
      <c r="A133" s="2">
        <f t="shared" si="14"/>
        <v>46022</v>
      </c>
      <c r="B133">
        <f t="shared" si="15"/>
        <v>2025</v>
      </c>
      <c r="C133">
        <f t="shared" si="16"/>
        <v>12</v>
      </c>
      <c r="E133" s="47">
        <f t="shared" si="17"/>
        <v>31</v>
      </c>
      <c r="F133" s="3">
        <f>'Customer Count'!BH58</f>
        <v>3</v>
      </c>
      <c r="G133" s="3">
        <f>'Monthly Data'!ED133</f>
        <v>0</v>
      </c>
      <c r="I133" s="3">
        <f t="shared" si="18"/>
        <v>-4783589.0194705203</v>
      </c>
      <c r="J133" s="3">
        <f t="shared" si="19"/>
        <v>6077130.7489015264</v>
      </c>
      <c r="K133" s="3">
        <f t="shared" si="20"/>
        <v>6266839.7371904403</v>
      </c>
      <c r="L133" s="3">
        <f t="shared" si="21"/>
        <v>0</v>
      </c>
      <c r="M133" s="47">
        <f t="shared" si="12"/>
        <v>7560381.4666214464</v>
      </c>
      <c r="N133" s="47">
        <f>IFERROR(HLOOKUP(B133-1,'EV Forecast WRZ'!$F$124:$T$130,5,FALSE)/12,0)+IFERROR(((HLOOKUP(B133,'EV Forecast WRZ'!$F$116:$T$122,5,FALSE)-HLOOKUP(B133-1,'EV Forecast WRZ'!$F$124:$T$130,5,FALSE)))*C133/78,0)</f>
        <v>7098.4298474608931</v>
      </c>
      <c r="O133" s="47">
        <f t="shared" si="13"/>
        <v>7567479.8964689076</v>
      </c>
    </row>
    <row r="134" spans="1:15">
      <c r="A134" s="2">
        <f t="shared" si="14"/>
        <v>46053</v>
      </c>
      <c r="B134">
        <f t="shared" si="15"/>
        <v>2026</v>
      </c>
      <c r="C134">
        <f t="shared" si="16"/>
        <v>1</v>
      </c>
      <c r="E134" s="47">
        <f t="shared" si="17"/>
        <v>31</v>
      </c>
      <c r="F134" s="3">
        <f>'Customer Count'!BH59</f>
        <v>3</v>
      </c>
      <c r="G134" s="3">
        <f>'Monthly Data'!ED134</f>
        <v>0</v>
      </c>
      <c r="I134" s="3">
        <f t="shared" si="18"/>
        <v>-4783589.0194705203</v>
      </c>
      <c r="J134" s="3">
        <f t="shared" si="19"/>
        <v>6077130.7489015264</v>
      </c>
      <c r="K134" s="3">
        <f t="shared" si="20"/>
        <v>6266839.7371904403</v>
      </c>
      <c r="L134" s="3">
        <f t="shared" si="21"/>
        <v>0</v>
      </c>
      <c r="M134" s="47">
        <f t="shared" si="12"/>
        <v>7560381.4666214464</v>
      </c>
      <c r="N134" s="47">
        <f>IFERROR(HLOOKUP(B134-1,'EV Forecast WRZ'!$F$124:$T$130,5,FALSE)/12,0)+IFERROR(((HLOOKUP(B134,'EV Forecast WRZ'!$F$116:$T$122,5,FALSE)-HLOOKUP(B134-1,'EV Forecast WRZ'!$F$124:$T$130,5,FALSE)))*C134/78,0)</f>
        <v>7411.6338206458204</v>
      </c>
      <c r="O134" s="47">
        <f t="shared" si="13"/>
        <v>7567793.1004420919</v>
      </c>
    </row>
    <row r="135" spans="1:15">
      <c r="A135" s="2">
        <f t="shared" si="14"/>
        <v>46081</v>
      </c>
      <c r="B135">
        <f t="shared" si="15"/>
        <v>2026</v>
      </c>
      <c r="C135">
        <f t="shared" si="16"/>
        <v>2</v>
      </c>
      <c r="E135" s="47">
        <f t="shared" si="17"/>
        <v>28</v>
      </c>
      <c r="F135" s="3">
        <f>'Customer Count'!BH60</f>
        <v>3</v>
      </c>
      <c r="G135" s="3">
        <f>'Monthly Data'!ED135</f>
        <v>0</v>
      </c>
      <c r="I135" s="3">
        <f t="shared" si="18"/>
        <v>-4783589.0194705203</v>
      </c>
      <c r="J135" s="3">
        <f t="shared" si="19"/>
        <v>5489021.3215884762</v>
      </c>
      <c r="K135" s="3">
        <f t="shared" si="20"/>
        <v>6266839.7371904403</v>
      </c>
      <c r="L135" s="3">
        <f t="shared" si="21"/>
        <v>0</v>
      </c>
      <c r="M135" s="47">
        <f t="shared" si="12"/>
        <v>6972272.0393083962</v>
      </c>
      <c r="N135" s="47">
        <f>IFERROR(HLOOKUP(B135-1,'EV Forecast WRZ'!$F$124:$T$130,5,FALSE)/12,0)+IFERROR(((HLOOKUP(B135,'EV Forecast WRZ'!$F$116:$T$122,5,FALSE)-HLOOKUP(B135-1,'EV Forecast WRZ'!$F$124:$T$130,5,FALSE)))*C135/78,0)</f>
        <v>7583.0083343201186</v>
      </c>
      <c r="O135" s="47">
        <f t="shared" si="13"/>
        <v>6979855.0476427162</v>
      </c>
    </row>
    <row r="136" spans="1:15">
      <c r="A136" s="2">
        <f t="shared" si="14"/>
        <v>46112</v>
      </c>
      <c r="B136">
        <f t="shared" si="15"/>
        <v>2026</v>
      </c>
      <c r="C136">
        <f t="shared" si="16"/>
        <v>3</v>
      </c>
      <c r="E136" s="47">
        <f t="shared" si="17"/>
        <v>31</v>
      </c>
      <c r="F136" s="3">
        <f>'Customer Count'!BH61</f>
        <v>3</v>
      </c>
      <c r="G136" s="3">
        <f>'Monthly Data'!ED136</f>
        <v>0</v>
      </c>
      <c r="I136" s="3">
        <f t="shared" si="18"/>
        <v>-4783589.0194705203</v>
      </c>
      <c r="J136" s="3">
        <f t="shared" si="19"/>
        <v>6077130.7489015264</v>
      </c>
      <c r="K136" s="3">
        <f t="shared" si="20"/>
        <v>6266839.7371904403</v>
      </c>
      <c r="L136" s="3">
        <f t="shared" si="21"/>
        <v>0</v>
      </c>
      <c r="M136" s="47">
        <f t="shared" si="12"/>
        <v>7560381.4666214464</v>
      </c>
      <c r="N136" s="47">
        <f>IFERROR(HLOOKUP(B136-1,'EV Forecast WRZ'!$F$124:$T$130,5,FALSE)/12,0)+IFERROR(((HLOOKUP(B136,'EV Forecast WRZ'!$F$116:$T$122,5,FALSE)-HLOOKUP(B136-1,'EV Forecast WRZ'!$F$124:$T$130,5,FALSE)))*C136/78,0)</f>
        <v>7754.3828479944168</v>
      </c>
      <c r="O136" s="47">
        <f t="shared" si="13"/>
        <v>7568135.849469441</v>
      </c>
    </row>
    <row r="137" spans="1:15">
      <c r="A137" s="2">
        <f t="shared" si="14"/>
        <v>46142</v>
      </c>
      <c r="B137">
        <f t="shared" si="15"/>
        <v>2026</v>
      </c>
      <c r="C137">
        <f t="shared" si="16"/>
        <v>4</v>
      </c>
      <c r="E137" s="47">
        <f t="shared" si="17"/>
        <v>30</v>
      </c>
      <c r="F137" s="3">
        <f>'Customer Count'!BH62</f>
        <v>3</v>
      </c>
      <c r="G137" s="3">
        <f>'Monthly Data'!ED137</f>
        <v>0</v>
      </c>
      <c r="I137" s="3">
        <f t="shared" si="18"/>
        <v>-4783589.0194705203</v>
      </c>
      <c r="J137" s="3">
        <f t="shared" si="19"/>
        <v>5881094.27313051</v>
      </c>
      <c r="K137" s="3">
        <f t="shared" si="20"/>
        <v>6266839.7371904403</v>
      </c>
      <c r="L137" s="3">
        <f t="shared" si="21"/>
        <v>0</v>
      </c>
      <c r="M137" s="47">
        <f t="shared" si="12"/>
        <v>7364344.99085043</v>
      </c>
      <c r="N137" s="47">
        <f>IFERROR(HLOOKUP(B137-1,'EV Forecast WRZ'!$F$124:$T$130,5,FALSE)/12,0)+IFERROR(((HLOOKUP(B137,'EV Forecast WRZ'!$F$116:$T$122,5,FALSE)-HLOOKUP(B137-1,'EV Forecast WRZ'!$F$124:$T$130,5,FALSE)))*C137/78,0)</f>
        <v>7925.757361668715</v>
      </c>
      <c r="O137" s="47">
        <f t="shared" si="13"/>
        <v>7372270.7482120991</v>
      </c>
    </row>
    <row r="138" spans="1:15">
      <c r="A138" s="2">
        <f t="shared" si="14"/>
        <v>46173</v>
      </c>
      <c r="B138">
        <f t="shared" si="15"/>
        <v>2026</v>
      </c>
      <c r="C138">
        <f t="shared" si="16"/>
        <v>5</v>
      </c>
      <c r="E138" s="47">
        <f t="shared" si="17"/>
        <v>31</v>
      </c>
      <c r="F138" s="3">
        <f>'Customer Count'!BH63</f>
        <v>3</v>
      </c>
      <c r="G138" s="3">
        <f>'Monthly Data'!ED138</f>
        <v>0</v>
      </c>
      <c r="I138" s="3">
        <f t="shared" si="18"/>
        <v>-4783589.0194705203</v>
      </c>
      <c r="J138" s="3">
        <f t="shared" si="19"/>
        <v>6077130.7489015264</v>
      </c>
      <c r="K138" s="3">
        <f t="shared" si="20"/>
        <v>6266839.7371904403</v>
      </c>
      <c r="L138" s="3">
        <f t="shared" si="21"/>
        <v>0</v>
      </c>
      <c r="M138" s="47">
        <f t="shared" si="12"/>
        <v>7560381.4666214464</v>
      </c>
      <c r="N138" s="47">
        <f>IFERROR(HLOOKUP(B138-1,'EV Forecast WRZ'!$F$124:$T$130,5,FALSE)/12,0)+IFERROR(((HLOOKUP(B138,'EV Forecast WRZ'!$F$116:$T$122,5,FALSE)-HLOOKUP(B138-1,'EV Forecast WRZ'!$F$124:$T$130,5,FALSE)))*C138/78,0)</f>
        <v>8097.1318753430132</v>
      </c>
      <c r="O138" s="47">
        <f t="shared" si="13"/>
        <v>7568478.5984967891</v>
      </c>
    </row>
    <row r="139" spans="1:15">
      <c r="A139" s="2">
        <f t="shared" si="14"/>
        <v>46203</v>
      </c>
      <c r="B139">
        <f t="shared" si="15"/>
        <v>2026</v>
      </c>
      <c r="C139">
        <f t="shared" si="16"/>
        <v>6</v>
      </c>
      <c r="E139" s="47">
        <f t="shared" si="17"/>
        <v>30</v>
      </c>
      <c r="F139" s="3">
        <f>'Customer Count'!BH64</f>
        <v>3</v>
      </c>
      <c r="G139" s="3">
        <f>'Monthly Data'!ED139</f>
        <v>0</v>
      </c>
      <c r="I139" s="3">
        <f t="shared" si="18"/>
        <v>-4783589.0194705203</v>
      </c>
      <c r="J139" s="3">
        <f t="shared" si="19"/>
        <v>5881094.27313051</v>
      </c>
      <c r="K139" s="3">
        <f t="shared" si="20"/>
        <v>6266839.7371904403</v>
      </c>
      <c r="L139" s="3">
        <f t="shared" si="21"/>
        <v>0</v>
      </c>
      <c r="M139" s="47">
        <f t="shared" si="12"/>
        <v>7364344.99085043</v>
      </c>
      <c r="N139" s="47">
        <f>IFERROR(HLOOKUP(B139-1,'EV Forecast WRZ'!$F$124:$T$130,5,FALSE)/12,0)+IFERROR(((HLOOKUP(B139,'EV Forecast WRZ'!$F$116:$T$122,5,FALSE)-HLOOKUP(B139-1,'EV Forecast WRZ'!$F$124:$T$130,5,FALSE)))*C139/78,0)</f>
        <v>8268.5063890173114</v>
      </c>
      <c r="O139" s="47">
        <f t="shared" si="13"/>
        <v>7372613.4972394472</v>
      </c>
    </row>
    <row r="140" spans="1:15">
      <c r="A140" s="2">
        <f t="shared" si="14"/>
        <v>46234</v>
      </c>
      <c r="B140">
        <f t="shared" si="15"/>
        <v>2026</v>
      </c>
      <c r="C140">
        <f t="shared" si="16"/>
        <v>7</v>
      </c>
      <c r="E140" s="47">
        <f t="shared" si="17"/>
        <v>31</v>
      </c>
      <c r="F140" s="3">
        <f>'Customer Count'!BH65</f>
        <v>3</v>
      </c>
      <c r="G140" s="3">
        <f>'Monthly Data'!ED140</f>
        <v>0</v>
      </c>
      <c r="I140" s="3">
        <f t="shared" si="18"/>
        <v>-4783589.0194705203</v>
      </c>
      <c r="J140" s="3">
        <f t="shared" si="19"/>
        <v>6077130.7489015264</v>
      </c>
      <c r="K140" s="3">
        <f t="shared" si="20"/>
        <v>6266839.7371904403</v>
      </c>
      <c r="L140" s="3">
        <f t="shared" si="21"/>
        <v>0</v>
      </c>
      <c r="M140" s="47">
        <f t="shared" si="12"/>
        <v>7560381.4666214464</v>
      </c>
      <c r="N140" s="47">
        <f>IFERROR(HLOOKUP(B140-1,'EV Forecast WRZ'!$F$124:$T$130,5,FALSE)/12,0)+IFERROR(((HLOOKUP(B140,'EV Forecast WRZ'!$F$116:$T$122,5,FALSE)-HLOOKUP(B140-1,'EV Forecast WRZ'!$F$124:$T$130,5,FALSE)))*C140/78,0)</f>
        <v>8439.8809026916097</v>
      </c>
      <c r="O140" s="47">
        <f t="shared" si="13"/>
        <v>7568821.3475241382</v>
      </c>
    </row>
    <row r="141" spans="1:15">
      <c r="A141" s="2">
        <f t="shared" si="14"/>
        <v>46265</v>
      </c>
      <c r="B141">
        <f t="shared" si="15"/>
        <v>2026</v>
      </c>
      <c r="C141">
        <f t="shared" si="16"/>
        <v>8</v>
      </c>
      <c r="E141" s="47">
        <f t="shared" si="17"/>
        <v>31</v>
      </c>
      <c r="F141" s="3">
        <f>'Customer Count'!BH66</f>
        <v>3</v>
      </c>
      <c r="G141" s="3">
        <f>'Monthly Data'!ED141</f>
        <v>0</v>
      </c>
      <c r="I141" s="3">
        <f t="shared" si="18"/>
        <v>-4783589.0194705203</v>
      </c>
      <c r="J141" s="3">
        <f t="shared" si="19"/>
        <v>6077130.7489015264</v>
      </c>
      <c r="K141" s="3">
        <f t="shared" si="20"/>
        <v>6266839.7371904403</v>
      </c>
      <c r="L141" s="3">
        <f t="shared" si="21"/>
        <v>0</v>
      </c>
      <c r="M141" s="47">
        <f t="shared" si="12"/>
        <v>7560381.4666214464</v>
      </c>
      <c r="N141" s="47">
        <f>IFERROR(HLOOKUP(B141-1,'EV Forecast WRZ'!$F$124:$T$130,5,FALSE)/12,0)+IFERROR(((HLOOKUP(B141,'EV Forecast WRZ'!$F$116:$T$122,5,FALSE)-HLOOKUP(B141-1,'EV Forecast WRZ'!$F$124:$T$130,5,FALSE)))*C141/78,0)</f>
        <v>8611.2554163659079</v>
      </c>
      <c r="O141" s="47">
        <f t="shared" si="13"/>
        <v>7568992.7220378127</v>
      </c>
    </row>
    <row r="142" spans="1:15">
      <c r="A142" s="2">
        <f t="shared" si="14"/>
        <v>46295</v>
      </c>
      <c r="B142">
        <f t="shared" si="15"/>
        <v>2026</v>
      </c>
      <c r="C142">
        <f t="shared" si="16"/>
        <v>9</v>
      </c>
      <c r="E142" s="47">
        <f t="shared" si="17"/>
        <v>30</v>
      </c>
      <c r="F142" s="3">
        <f>'Customer Count'!BH67</f>
        <v>3</v>
      </c>
      <c r="G142" s="3">
        <f>'Monthly Data'!ED142</f>
        <v>0</v>
      </c>
      <c r="I142" s="3">
        <f t="shared" si="18"/>
        <v>-4783589.0194705203</v>
      </c>
      <c r="J142" s="3">
        <f t="shared" si="19"/>
        <v>5881094.27313051</v>
      </c>
      <c r="K142" s="3">
        <f t="shared" si="20"/>
        <v>6266839.7371904403</v>
      </c>
      <c r="L142" s="3">
        <f t="shared" si="21"/>
        <v>0</v>
      </c>
      <c r="M142" s="47">
        <f t="shared" si="12"/>
        <v>7364344.99085043</v>
      </c>
      <c r="N142" s="47">
        <f>IFERROR(HLOOKUP(B142-1,'EV Forecast WRZ'!$F$124:$T$130,5,FALSE)/12,0)+IFERROR(((HLOOKUP(B142,'EV Forecast WRZ'!$F$116:$T$122,5,FALSE)-HLOOKUP(B142-1,'EV Forecast WRZ'!$F$124:$T$130,5,FALSE)))*C142/78,0)</f>
        <v>8782.6299300402061</v>
      </c>
      <c r="O142" s="47">
        <f t="shared" si="13"/>
        <v>7373127.6207804698</v>
      </c>
    </row>
    <row r="143" spans="1:15">
      <c r="A143" s="2">
        <f t="shared" si="14"/>
        <v>46326</v>
      </c>
      <c r="B143">
        <f t="shared" si="15"/>
        <v>2026</v>
      </c>
      <c r="C143">
        <f t="shared" si="16"/>
        <v>10</v>
      </c>
      <c r="E143" s="47">
        <f t="shared" si="17"/>
        <v>31</v>
      </c>
      <c r="F143" s="3">
        <f>'Customer Count'!BH68</f>
        <v>3</v>
      </c>
      <c r="G143" s="3">
        <f>'Monthly Data'!ED143</f>
        <v>0</v>
      </c>
      <c r="I143" s="3">
        <f t="shared" si="18"/>
        <v>-4783589.0194705203</v>
      </c>
      <c r="J143" s="3">
        <f t="shared" si="19"/>
        <v>6077130.7489015264</v>
      </c>
      <c r="K143" s="3">
        <f t="shared" si="20"/>
        <v>6266839.7371904403</v>
      </c>
      <c r="L143" s="3">
        <f t="shared" si="21"/>
        <v>0</v>
      </c>
      <c r="M143" s="47">
        <f t="shared" si="12"/>
        <v>7560381.4666214464</v>
      </c>
      <c r="N143" s="47">
        <f>IFERROR(HLOOKUP(B143-1,'EV Forecast WRZ'!$F$124:$T$130,5,FALSE)/12,0)+IFERROR(((HLOOKUP(B143,'EV Forecast WRZ'!$F$116:$T$122,5,FALSE)-HLOOKUP(B143-1,'EV Forecast WRZ'!$F$124:$T$130,5,FALSE)))*C143/78,0)</f>
        <v>8954.0044437145043</v>
      </c>
      <c r="O143" s="47">
        <f t="shared" si="13"/>
        <v>7569335.4710651608</v>
      </c>
    </row>
    <row r="144" spans="1:15">
      <c r="A144" s="2">
        <f t="shared" si="14"/>
        <v>46356</v>
      </c>
      <c r="B144">
        <f t="shared" si="15"/>
        <v>2026</v>
      </c>
      <c r="C144">
        <f t="shared" si="16"/>
        <v>11</v>
      </c>
      <c r="E144" s="47">
        <f t="shared" si="17"/>
        <v>30</v>
      </c>
      <c r="F144" s="3">
        <f>'Customer Count'!BH69</f>
        <v>3</v>
      </c>
      <c r="G144" s="3">
        <f>'Monthly Data'!ED144</f>
        <v>0</v>
      </c>
      <c r="I144" s="3">
        <f t="shared" si="18"/>
        <v>-4783589.0194705203</v>
      </c>
      <c r="J144" s="3">
        <f t="shared" si="19"/>
        <v>5881094.27313051</v>
      </c>
      <c r="K144" s="3">
        <f t="shared" si="20"/>
        <v>6266839.7371904403</v>
      </c>
      <c r="L144" s="3">
        <f t="shared" si="21"/>
        <v>0</v>
      </c>
      <c r="M144" s="47">
        <f t="shared" si="12"/>
        <v>7364344.99085043</v>
      </c>
      <c r="N144" s="47">
        <f>IFERROR(HLOOKUP(B144-1,'EV Forecast WRZ'!$F$124:$T$130,5,FALSE)/12,0)+IFERROR(((HLOOKUP(B144,'EV Forecast WRZ'!$F$116:$T$122,5,FALSE)-HLOOKUP(B144-1,'EV Forecast WRZ'!$F$124:$T$130,5,FALSE)))*C144/78,0)</f>
        <v>9125.3789573888043</v>
      </c>
      <c r="O144" s="47">
        <f t="shared" si="13"/>
        <v>7373470.3698078189</v>
      </c>
    </row>
    <row r="145" spans="1:15">
      <c r="A145" s="2">
        <f t="shared" si="14"/>
        <v>46387</v>
      </c>
      <c r="B145">
        <f t="shared" si="15"/>
        <v>2026</v>
      </c>
      <c r="C145">
        <f t="shared" si="16"/>
        <v>12</v>
      </c>
      <c r="E145" s="47">
        <f t="shared" si="17"/>
        <v>31</v>
      </c>
      <c r="F145" s="3">
        <f>'Customer Count'!BH70</f>
        <v>3</v>
      </c>
      <c r="G145" s="3">
        <f>'Monthly Data'!ED145</f>
        <v>0</v>
      </c>
      <c r="I145" s="3">
        <f t="shared" si="18"/>
        <v>-4783589.0194705203</v>
      </c>
      <c r="J145" s="3">
        <f t="shared" si="19"/>
        <v>6077130.7489015264</v>
      </c>
      <c r="K145" s="3">
        <f t="shared" si="20"/>
        <v>6266839.7371904403</v>
      </c>
      <c r="L145" s="3">
        <f t="shared" si="21"/>
        <v>0</v>
      </c>
      <c r="M145" s="47">
        <f t="shared" si="12"/>
        <v>7560381.4666214464</v>
      </c>
      <c r="N145" s="47">
        <f>IFERROR(HLOOKUP(B145-1,'EV Forecast WRZ'!$F$124:$T$130,5,FALSE)/12,0)+IFERROR(((HLOOKUP(B145,'EV Forecast WRZ'!$F$116:$T$122,5,FALSE)-HLOOKUP(B145-1,'EV Forecast WRZ'!$F$124:$T$130,5,FALSE)))*C145/78,0)</f>
        <v>9296.7534710631007</v>
      </c>
      <c r="O145" s="47">
        <f t="shared" si="13"/>
        <v>7569678.2200925099</v>
      </c>
    </row>
    <row r="146" spans="1:15">
      <c r="A146" s="2">
        <f t="shared" si="14"/>
        <v>46418</v>
      </c>
      <c r="B146">
        <f t="shared" si="15"/>
        <v>2027</v>
      </c>
      <c r="C146">
        <f t="shared" si="16"/>
        <v>1</v>
      </c>
      <c r="E146" s="47">
        <f t="shared" si="17"/>
        <v>31</v>
      </c>
      <c r="F146" s="3">
        <f>'Customer Count'!BH71</f>
        <v>3</v>
      </c>
      <c r="G146" s="3">
        <f>'Monthly Data'!ED146</f>
        <v>0</v>
      </c>
      <c r="I146" s="3">
        <f t="shared" si="18"/>
        <v>-4783589.0194705203</v>
      </c>
      <c r="J146" s="3">
        <f t="shared" si="19"/>
        <v>6077130.7489015264</v>
      </c>
      <c r="K146" s="3">
        <f t="shared" si="20"/>
        <v>6266839.7371904403</v>
      </c>
      <c r="L146" s="3">
        <f t="shared" si="21"/>
        <v>0</v>
      </c>
      <c r="M146" s="47">
        <f t="shared" si="12"/>
        <v>7560381.4666214464</v>
      </c>
      <c r="N146" s="47">
        <f>IFERROR(HLOOKUP(B146-1,'EV Forecast WRZ'!$F$124:$T$130,5,FALSE)/12,0)+IFERROR(((HLOOKUP(B146,'EV Forecast WRZ'!$F$116:$T$122,5,FALSE)-HLOOKUP(B146-1,'EV Forecast WRZ'!$F$124:$T$130,5,FALSE)))*C146/78,0)</f>
        <v>9640.897534432228</v>
      </c>
      <c r="O146" s="47">
        <f t="shared" si="13"/>
        <v>7570022.3641558783</v>
      </c>
    </row>
    <row r="147" spans="1:15">
      <c r="A147" s="2">
        <f t="shared" si="14"/>
        <v>46446</v>
      </c>
      <c r="B147">
        <f t="shared" si="15"/>
        <v>2027</v>
      </c>
      <c r="C147">
        <f t="shared" si="16"/>
        <v>2</v>
      </c>
      <c r="E147" s="47">
        <f t="shared" si="17"/>
        <v>29</v>
      </c>
      <c r="F147" s="3">
        <f>'Customer Count'!BH72</f>
        <v>3</v>
      </c>
      <c r="G147" s="3">
        <f>'Monthly Data'!ED147</f>
        <v>0</v>
      </c>
      <c r="I147" s="3">
        <f t="shared" si="18"/>
        <v>-4783589.0194705203</v>
      </c>
      <c r="J147" s="3">
        <f t="shared" si="19"/>
        <v>5685057.7973594926</v>
      </c>
      <c r="K147" s="3">
        <f t="shared" si="20"/>
        <v>6266839.7371904403</v>
      </c>
      <c r="L147" s="3">
        <f t="shared" si="21"/>
        <v>0</v>
      </c>
      <c r="M147" s="47">
        <f t="shared" si="12"/>
        <v>7168308.5150794126</v>
      </c>
      <c r="N147" s="47">
        <f>IFERROR(HLOOKUP(B147-1,'EV Forecast WRZ'!$F$124:$T$130,5,FALSE)/12,0)+IFERROR(((HLOOKUP(B147,'EV Forecast WRZ'!$F$116:$T$122,5,FALSE)-HLOOKUP(B147-1,'EV Forecast WRZ'!$F$124:$T$130,5,FALSE)))*C147/78,0)</f>
        <v>9813.6670841270552</v>
      </c>
      <c r="O147" s="47">
        <f t="shared" si="13"/>
        <v>7178122.1821635393</v>
      </c>
    </row>
    <row r="148" spans="1:15">
      <c r="A148" s="2">
        <f t="shared" si="14"/>
        <v>46477</v>
      </c>
      <c r="B148">
        <f t="shared" si="15"/>
        <v>2027</v>
      </c>
      <c r="C148">
        <f t="shared" si="16"/>
        <v>3</v>
      </c>
      <c r="E148" s="47">
        <f t="shared" si="17"/>
        <v>31</v>
      </c>
      <c r="F148" s="3">
        <f>'Customer Count'!BH73</f>
        <v>3</v>
      </c>
      <c r="G148" s="3">
        <f>'Monthly Data'!ED148</f>
        <v>0</v>
      </c>
      <c r="I148" s="3">
        <f t="shared" si="18"/>
        <v>-4783589.0194705203</v>
      </c>
      <c r="J148" s="3">
        <f t="shared" si="19"/>
        <v>6077130.7489015264</v>
      </c>
      <c r="K148" s="3">
        <f t="shared" si="20"/>
        <v>6266839.7371904403</v>
      </c>
      <c r="L148" s="3">
        <f t="shared" si="21"/>
        <v>0</v>
      </c>
      <c r="M148" s="47">
        <f t="shared" si="12"/>
        <v>7560381.4666214464</v>
      </c>
      <c r="N148" s="47">
        <f>IFERROR(HLOOKUP(B148-1,'EV Forecast WRZ'!$F$124:$T$130,5,FALSE)/12,0)+IFERROR(((HLOOKUP(B148,'EV Forecast WRZ'!$F$116:$T$122,5,FALSE)-HLOOKUP(B148-1,'EV Forecast WRZ'!$F$124:$T$130,5,FALSE)))*C148/78,0)</f>
        <v>9986.4366338218842</v>
      </c>
      <c r="O148" s="47">
        <f t="shared" si="13"/>
        <v>7570367.903255268</v>
      </c>
    </row>
    <row r="149" spans="1:15">
      <c r="A149" s="2">
        <f t="shared" si="14"/>
        <v>46507</v>
      </c>
      <c r="B149">
        <f t="shared" si="15"/>
        <v>2027</v>
      </c>
      <c r="C149">
        <f t="shared" si="16"/>
        <v>4</v>
      </c>
      <c r="E149" s="47">
        <f t="shared" si="17"/>
        <v>30</v>
      </c>
      <c r="F149" s="3">
        <f>'Customer Count'!BH74</f>
        <v>3</v>
      </c>
      <c r="G149" s="3">
        <f>'Monthly Data'!ED149</f>
        <v>0</v>
      </c>
      <c r="I149" s="3">
        <f t="shared" si="18"/>
        <v>-4783589.0194705203</v>
      </c>
      <c r="J149" s="3">
        <f t="shared" si="19"/>
        <v>5881094.27313051</v>
      </c>
      <c r="K149" s="3">
        <f t="shared" si="20"/>
        <v>6266839.7371904403</v>
      </c>
      <c r="L149" s="3">
        <f t="shared" si="21"/>
        <v>0</v>
      </c>
      <c r="M149" s="47">
        <f t="shared" si="12"/>
        <v>7364344.99085043</v>
      </c>
      <c r="N149" s="47">
        <f>IFERROR(HLOOKUP(B149-1,'EV Forecast WRZ'!$F$124:$T$130,5,FALSE)/12,0)+IFERROR(((HLOOKUP(B149,'EV Forecast WRZ'!$F$116:$T$122,5,FALSE)-HLOOKUP(B149-1,'EV Forecast WRZ'!$F$124:$T$130,5,FALSE)))*C149/78,0)</f>
        <v>10159.206183516713</v>
      </c>
      <c r="O149" s="47">
        <f t="shared" si="13"/>
        <v>7374504.1970339464</v>
      </c>
    </row>
    <row r="150" spans="1:15">
      <c r="A150" s="2">
        <f t="shared" si="14"/>
        <v>46538</v>
      </c>
      <c r="B150">
        <f t="shared" si="15"/>
        <v>2027</v>
      </c>
      <c r="C150">
        <f t="shared" si="16"/>
        <v>5</v>
      </c>
      <c r="E150" s="47">
        <f t="shared" si="17"/>
        <v>31</v>
      </c>
      <c r="F150" s="3">
        <f>'Customer Count'!BH75</f>
        <v>3</v>
      </c>
      <c r="G150" s="3">
        <f>'Monthly Data'!ED150</f>
        <v>0</v>
      </c>
      <c r="I150" s="3">
        <f t="shared" si="18"/>
        <v>-4783589.0194705203</v>
      </c>
      <c r="J150" s="3">
        <f t="shared" si="19"/>
        <v>6077130.7489015264</v>
      </c>
      <c r="K150" s="3">
        <f t="shared" si="20"/>
        <v>6266839.7371904403</v>
      </c>
      <c r="L150" s="3">
        <f t="shared" si="21"/>
        <v>0</v>
      </c>
      <c r="M150" s="47">
        <f t="shared" si="12"/>
        <v>7560381.4666214464</v>
      </c>
      <c r="N150" s="47">
        <f>IFERROR(HLOOKUP(B150-1,'EV Forecast WRZ'!$F$124:$T$130,5,FALSE)/12,0)+IFERROR(((HLOOKUP(B150,'EV Forecast WRZ'!$F$116:$T$122,5,FALSE)-HLOOKUP(B150-1,'EV Forecast WRZ'!$F$124:$T$130,5,FALSE)))*C150/78,0)</f>
        <v>10331.975733211541</v>
      </c>
      <c r="O150" s="47">
        <f t="shared" si="13"/>
        <v>7570713.4423546577</v>
      </c>
    </row>
    <row r="151" spans="1:15">
      <c r="A151" s="2">
        <f t="shared" si="14"/>
        <v>46568</v>
      </c>
      <c r="B151">
        <f t="shared" si="15"/>
        <v>2027</v>
      </c>
      <c r="C151">
        <f t="shared" si="16"/>
        <v>6</v>
      </c>
      <c r="E151" s="47">
        <f t="shared" si="17"/>
        <v>30</v>
      </c>
      <c r="F151" s="3">
        <f>'Customer Count'!BH76</f>
        <v>3</v>
      </c>
      <c r="G151" s="3">
        <f>'Monthly Data'!ED151</f>
        <v>0</v>
      </c>
      <c r="I151" s="3">
        <f t="shared" si="18"/>
        <v>-4783589.0194705203</v>
      </c>
      <c r="J151" s="3">
        <f t="shared" si="19"/>
        <v>5881094.27313051</v>
      </c>
      <c r="K151" s="3">
        <f t="shared" si="20"/>
        <v>6266839.7371904403</v>
      </c>
      <c r="L151" s="3">
        <f t="shared" si="21"/>
        <v>0</v>
      </c>
      <c r="M151" s="47">
        <f t="shared" si="12"/>
        <v>7364344.99085043</v>
      </c>
      <c r="N151" s="47">
        <f>IFERROR(HLOOKUP(B151-1,'EV Forecast WRZ'!$F$124:$T$130,5,FALSE)/12,0)+IFERROR(((HLOOKUP(B151,'EV Forecast WRZ'!$F$116:$T$122,5,FALSE)-HLOOKUP(B151-1,'EV Forecast WRZ'!$F$124:$T$130,5,FALSE)))*C151/78,0)</f>
        <v>10504.74528290637</v>
      </c>
      <c r="O151" s="47">
        <f t="shared" si="13"/>
        <v>7374849.7361333361</v>
      </c>
    </row>
    <row r="152" spans="1:15">
      <c r="A152" s="2">
        <f t="shared" si="14"/>
        <v>46599</v>
      </c>
      <c r="B152">
        <f t="shared" si="15"/>
        <v>2027</v>
      </c>
      <c r="C152">
        <f t="shared" si="16"/>
        <v>7</v>
      </c>
      <c r="E152" s="47">
        <f t="shared" si="17"/>
        <v>31</v>
      </c>
      <c r="F152" s="3">
        <f>'Customer Count'!BH77</f>
        <v>3</v>
      </c>
      <c r="G152" s="3">
        <f>'Monthly Data'!ED152</f>
        <v>0</v>
      </c>
      <c r="I152" s="3">
        <f t="shared" si="18"/>
        <v>-4783589.0194705203</v>
      </c>
      <c r="J152" s="3">
        <f t="shared" si="19"/>
        <v>6077130.7489015264</v>
      </c>
      <c r="K152" s="3">
        <f t="shared" si="20"/>
        <v>6266839.7371904403</v>
      </c>
      <c r="L152" s="3">
        <f t="shared" si="21"/>
        <v>0</v>
      </c>
      <c r="M152" s="47">
        <f t="shared" si="12"/>
        <v>7560381.4666214464</v>
      </c>
      <c r="N152" s="47">
        <f>IFERROR(HLOOKUP(B152-1,'EV Forecast WRZ'!$F$124:$T$130,5,FALSE)/12,0)+IFERROR(((HLOOKUP(B152,'EV Forecast WRZ'!$F$116:$T$122,5,FALSE)-HLOOKUP(B152-1,'EV Forecast WRZ'!$F$124:$T$130,5,FALSE)))*C152/78,0)</f>
        <v>10677.514832601199</v>
      </c>
      <c r="O152" s="47">
        <f t="shared" si="13"/>
        <v>7571058.9814540474</v>
      </c>
    </row>
    <row r="153" spans="1:15">
      <c r="A153" s="2">
        <f t="shared" si="14"/>
        <v>46630</v>
      </c>
      <c r="B153">
        <f t="shared" si="15"/>
        <v>2027</v>
      </c>
      <c r="C153">
        <f t="shared" si="16"/>
        <v>8</v>
      </c>
      <c r="E153" s="47">
        <f t="shared" si="17"/>
        <v>31</v>
      </c>
      <c r="F153" s="3">
        <f>'Customer Count'!BH78</f>
        <v>3</v>
      </c>
      <c r="G153" s="3">
        <f>'Monthly Data'!ED153</f>
        <v>0</v>
      </c>
      <c r="I153" s="3">
        <f t="shared" si="18"/>
        <v>-4783589.0194705203</v>
      </c>
      <c r="J153" s="3">
        <f t="shared" si="19"/>
        <v>6077130.7489015264</v>
      </c>
      <c r="K153" s="3">
        <f t="shared" si="20"/>
        <v>6266839.7371904403</v>
      </c>
      <c r="L153" s="3">
        <f t="shared" si="21"/>
        <v>0</v>
      </c>
      <c r="M153" s="47">
        <f t="shared" si="12"/>
        <v>7560381.4666214464</v>
      </c>
      <c r="N153" s="47">
        <f>IFERROR(HLOOKUP(B153-1,'EV Forecast WRZ'!$F$124:$T$130,5,FALSE)/12,0)+IFERROR(((HLOOKUP(B153,'EV Forecast WRZ'!$F$116:$T$122,5,FALSE)-HLOOKUP(B153-1,'EV Forecast WRZ'!$F$124:$T$130,5,FALSE)))*C153/78,0)</f>
        <v>10850.284382296028</v>
      </c>
      <c r="O153" s="47">
        <f t="shared" si="13"/>
        <v>7571231.7510037422</v>
      </c>
    </row>
    <row r="154" spans="1:15">
      <c r="A154" s="2">
        <f t="shared" si="14"/>
        <v>46660</v>
      </c>
      <c r="B154">
        <f t="shared" si="15"/>
        <v>2027</v>
      </c>
      <c r="C154">
        <f t="shared" si="16"/>
        <v>9</v>
      </c>
      <c r="E154" s="47">
        <f t="shared" si="17"/>
        <v>30</v>
      </c>
      <c r="F154" s="3">
        <f>'Customer Count'!BH79</f>
        <v>3</v>
      </c>
      <c r="G154" s="3">
        <f>'Monthly Data'!ED154</f>
        <v>0</v>
      </c>
      <c r="I154" s="3">
        <f t="shared" si="18"/>
        <v>-4783589.0194705203</v>
      </c>
      <c r="J154" s="3">
        <f t="shared" si="19"/>
        <v>5881094.27313051</v>
      </c>
      <c r="K154" s="3">
        <f t="shared" si="20"/>
        <v>6266839.7371904403</v>
      </c>
      <c r="L154" s="3">
        <f t="shared" si="21"/>
        <v>0</v>
      </c>
      <c r="M154" s="47">
        <f t="shared" si="12"/>
        <v>7364344.99085043</v>
      </c>
      <c r="N154" s="47">
        <f>IFERROR(HLOOKUP(B154-1,'EV Forecast WRZ'!$F$124:$T$130,5,FALSE)/12,0)+IFERROR(((HLOOKUP(B154,'EV Forecast WRZ'!$F$116:$T$122,5,FALSE)-HLOOKUP(B154-1,'EV Forecast WRZ'!$F$124:$T$130,5,FALSE)))*C154/78,0)</f>
        <v>11023.053931990855</v>
      </c>
      <c r="O154" s="47">
        <f t="shared" si="13"/>
        <v>7375368.0447824206</v>
      </c>
    </row>
    <row r="155" spans="1:15">
      <c r="A155" s="2">
        <f t="shared" si="14"/>
        <v>46691</v>
      </c>
      <c r="B155">
        <f t="shared" si="15"/>
        <v>2027</v>
      </c>
      <c r="C155">
        <f t="shared" si="16"/>
        <v>10</v>
      </c>
      <c r="E155" s="47">
        <f t="shared" si="17"/>
        <v>31</v>
      </c>
      <c r="F155" s="3">
        <f>'Customer Count'!BH80</f>
        <v>3</v>
      </c>
      <c r="G155" s="3">
        <f>'Monthly Data'!ED155</f>
        <v>0</v>
      </c>
      <c r="I155" s="3">
        <f t="shared" si="18"/>
        <v>-4783589.0194705203</v>
      </c>
      <c r="J155" s="3">
        <f t="shared" si="19"/>
        <v>6077130.7489015264</v>
      </c>
      <c r="K155" s="3">
        <f t="shared" si="20"/>
        <v>6266839.7371904403</v>
      </c>
      <c r="L155" s="3">
        <f t="shared" si="21"/>
        <v>0</v>
      </c>
      <c r="M155" s="47">
        <f t="shared" si="12"/>
        <v>7560381.4666214464</v>
      </c>
      <c r="N155" s="47">
        <f>IFERROR(HLOOKUP(B155-1,'EV Forecast WRZ'!$F$124:$T$130,5,FALSE)/12,0)+IFERROR(((HLOOKUP(B155,'EV Forecast WRZ'!$F$116:$T$122,5,FALSE)-HLOOKUP(B155-1,'EV Forecast WRZ'!$F$124:$T$130,5,FALSE)))*C155/78,0)</f>
        <v>11195.823481685684</v>
      </c>
      <c r="O155" s="47">
        <f t="shared" si="13"/>
        <v>7571577.2901031319</v>
      </c>
    </row>
    <row r="156" spans="1:15">
      <c r="A156" s="2">
        <f t="shared" si="14"/>
        <v>46721</v>
      </c>
      <c r="B156">
        <f t="shared" si="15"/>
        <v>2027</v>
      </c>
      <c r="C156">
        <f t="shared" si="16"/>
        <v>11</v>
      </c>
      <c r="E156" s="47">
        <f t="shared" si="17"/>
        <v>30</v>
      </c>
      <c r="F156" s="3">
        <f>'Customer Count'!BH81</f>
        <v>3</v>
      </c>
      <c r="G156" s="3">
        <f>'Monthly Data'!ED156</f>
        <v>0</v>
      </c>
      <c r="I156" s="3">
        <f t="shared" si="18"/>
        <v>-4783589.0194705203</v>
      </c>
      <c r="J156" s="3">
        <f t="shared" si="19"/>
        <v>5881094.27313051</v>
      </c>
      <c r="K156" s="3">
        <f t="shared" si="20"/>
        <v>6266839.7371904403</v>
      </c>
      <c r="L156" s="3">
        <f t="shared" si="21"/>
        <v>0</v>
      </c>
      <c r="M156" s="47">
        <f t="shared" si="12"/>
        <v>7364344.99085043</v>
      </c>
      <c r="N156" s="47">
        <f>IFERROR(HLOOKUP(B156-1,'EV Forecast WRZ'!$F$124:$T$130,5,FALSE)/12,0)+IFERROR(((HLOOKUP(B156,'EV Forecast WRZ'!$F$116:$T$122,5,FALSE)-HLOOKUP(B156-1,'EV Forecast WRZ'!$F$124:$T$130,5,FALSE)))*C156/78,0)</f>
        <v>11368.593031380511</v>
      </c>
      <c r="O156" s="47">
        <f t="shared" si="13"/>
        <v>7375713.5838818103</v>
      </c>
    </row>
    <row r="157" spans="1:15">
      <c r="A157" s="2">
        <f t="shared" si="14"/>
        <v>46752</v>
      </c>
      <c r="B157">
        <f t="shared" si="15"/>
        <v>2027</v>
      </c>
      <c r="C157">
        <f t="shared" si="16"/>
        <v>12</v>
      </c>
      <c r="E157" s="47">
        <f t="shared" si="17"/>
        <v>31</v>
      </c>
      <c r="F157" s="3">
        <f>'Customer Count'!BH82</f>
        <v>3</v>
      </c>
      <c r="G157" s="3">
        <f>'Monthly Data'!ED157</f>
        <v>0</v>
      </c>
      <c r="I157" s="3">
        <f t="shared" si="18"/>
        <v>-4783589.0194705203</v>
      </c>
      <c r="J157" s="3">
        <f t="shared" si="19"/>
        <v>6077130.7489015264</v>
      </c>
      <c r="K157" s="3">
        <f t="shared" si="20"/>
        <v>6266839.7371904403</v>
      </c>
      <c r="L157" s="3">
        <f t="shared" si="21"/>
        <v>0</v>
      </c>
      <c r="M157" s="47">
        <f t="shared" si="12"/>
        <v>7560381.4666214464</v>
      </c>
      <c r="N157" s="47">
        <f>IFERROR(HLOOKUP(B157-1,'EV Forecast WRZ'!$F$124:$T$130,5,FALSE)/12,0)+IFERROR(((HLOOKUP(B157,'EV Forecast WRZ'!$F$116:$T$122,5,FALSE)-HLOOKUP(B157-1,'EV Forecast WRZ'!$F$124:$T$130,5,FALSE)))*C157/78,0)</f>
        <v>11541.36258107534</v>
      </c>
      <c r="O157" s="47">
        <f t="shared" si="13"/>
        <v>7571922.8292025216</v>
      </c>
    </row>
    <row r="158" spans="1:15">
      <c r="A158" s="2">
        <f t="shared" si="14"/>
        <v>46783</v>
      </c>
      <c r="B158">
        <f t="shared" si="15"/>
        <v>2028</v>
      </c>
      <c r="C158">
        <f t="shared" si="16"/>
        <v>1</v>
      </c>
      <c r="E158" s="47">
        <f t="shared" si="17"/>
        <v>31</v>
      </c>
      <c r="F158" s="3">
        <f>'Customer Count'!BH83</f>
        <v>3</v>
      </c>
      <c r="G158" s="3">
        <f>'Monthly Data'!ED158</f>
        <v>0</v>
      </c>
      <c r="I158" s="3">
        <f t="shared" si="18"/>
        <v>-4783589.0194705203</v>
      </c>
      <c r="J158" s="3">
        <f t="shared" si="19"/>
        <v>6077130.7489015264</v>
      </c>
      <c r="K158" s="3">
        <f t="shared" si="20"/>
        <v>6266839.7371904403</v>
      </c>
      <c r="L158" s="3">
        <f t="shared" si="21"/>
        <v>0</v>
      </c>
      <c r="M158" s="47">
        <f t="shared" si="12"/>
        <v>7560381.4666214464</v>
      </c>
      <c r="N158" s="47">
        <f>IFERROR(HLOOKUP(B158-1,'EV Forecast WRZ'!$F$124:$T$130,5,FALSE)/12,0)+IFERROR(((HLOOKUP(B158,'EV Forecast WRZ'!$F$116:$T$122,5,FALSE)-HLOOKUP(B158-1,'EV Forecast WRZ'!$F$124:$T$130,5,FALSE)))*C158/78,0)</f>
        <v>12096.700618377292</v>
      </c>
      <c r="O158" s="47">
        <f t="shared" si="13"/>
        <v>7572478.1672398234</v>
      </c>
    </row>
    <row r="159" spans="1:15">
      <c r="A159" s="2">
        <f t="shared" si="14"/>
        <v>46812</v>
      </c>
      <c r="B159">
        <f t="shared" si="15"/>
        <v>2028</v>
      </c>
      <c r="C159">
        <f t="shared" si="16"/>
        <v>2</v>
      </c>
      <c r="E159" s="47">
        <f t="shared" si="17"/>
        <v>28</v>
      </c>
      <c r="F159" s="3">
        <f>'Customer Count'!BH84</f>
        <v>3</v>
      </c>
      <c r="G159" s="3">
        <f>'Monthly Data'!ED159</f>
        <v>0</v>
      </c>
      <c r="I159" s="3">
        <f t="shared" si="18"/>
        <v>-4783589.0194705203</v>
      </c>
      <c r="J159" s="3">
        <f t="shared" si="19"/>
        <v>5489021.3215884762</v>
      </c>
      <c r="K159" s="3">
        <f t="shared" si="20"/>
        <v>6266839.7371904403</v>
      </c>
      <c r="L159" s="3">
        <f t="shared" si="21"/>
        <v>0</v>
      </c>
      <c r="M159" s="47">
        <f t="shared" si="12"/>
        <v>6972272.0393083962</v>
      </c>
      <c r="N159" s="47">
        <f>IFERROR(HLOOKUP(B159-1,'EV Forecast WRZ'!$F$124:$T$130,5,FALSE)/12,0)+IFERROR(((HLOOKUP(B159,'EV Forecast WRZ'!$F$116:$T$122,5,FALSE)-HLOOKUP(B159-1,'EV Forecast WRZ'!$F$124:$T$130,5,FALSE)))*C159/78,0)</f>
        <v>12297.930105984411</v>
      </c>
      <c r="O159" s="47">
        <f t="shared" si="13"/>
        <v>6984569.9694143804</v>
      </c>
    </row>
    <row r="160" spans="1:15">
      <c r="A160" s="2">
        <f t="shared" si="14"/>
        <v>46843</v>
      </c>
      <c r="B160">
        <f t="shared" si="15"/>
        <v>2028</v>
      </c>
      <c r="C160">
        <f t="shared" si="16"/>
        <v>3</v>
      </c>
      <c r="E160" s="47">
        <f t="shared" si="17"/>
        <v>31</v>
      </c>
      <c r="F160" s="3">
        <f>'Customer Count'!BH85</f>
        <v>3</v>
      </c>
      <c r="G160" s="3">
        <f>'Monthly Data'!ED160</f>
        <v>0</v>
      </c>
      <c r="I160" s="3">
        <f t="shared" si="18"/>
        <v>-4783589.0194705203</v>
      </c>
      <c r="J160" s="3">
        <f t="shared" si="19"/>
        <v>6077130.7489015264</v>
      </c>
      <c r="K160" s="3">
        <f t="shared" si="20"/>
        <v>6266839.7371904403</v>
      </c>
      <c r="L160" s="3">
        <f t="shared" si="21"/>
        <v>0</v>
      </c>
      <c r="M160" s="47">
        <f t="shared" si="12"/>
        <v>7560381.4666214464</v>
      </c>
      <c r="N160" s="47">
        <f>IFERROR(HLOOKUP(B160-1,'EV Forecast WRZ'!$F$124:$T$130,5,FALSE)/12,0)+IFERROR(((HLOOKUP(B160,'EV Forecast WRZ'!$F$116:$T$122,5,FALSE)-HLOOKUP(B160-1,'EV Forecast WRZ'!$F$124:$T$130,5,FALSE)))*C160/78,0)</f>
        <v>12499.159593591532</v>
      </c>
      <c r="O160" s="47">
        <f t="shared" si="13"/>
        <v>7572880.6262150379</v>
      </c>
    </row>
    <row r="161" spans="1:15">
      <c r="A161" s="2">
        <f t="shared" si="14"/>
        <v>46873</v>
      </c>
      <c r="B161">
        <f t="shared" si="15"/>
        <v>2028</v>
      </c>
      <c r="C161">
        <f t="shared" si="16"/>
        <v>4</v>
      </c>
      <c r="E161" s="47">
        <f t="shared" si="17"/>
        <v>30</v>
      </c>
      <c r="F161" s="3">
        <f>'Customer Count'!BH86</f>
        <v>3</v>
      </c>
      <c r="G161" s="3">
        <f>'Monthly Data'!ED161</f>
        <v>0</v>
      </c>
      <c r="I161" s="3">
        <f t="shared" si="18"/>
        <v>-4783589.0194705203</v>
      </c>
      <c r="J161" s="3">
        <f t="shared" si="19"/>
        <v>5881094.27313051</v>
      </c>
      <c r="K161" s="3">
        <f t="shared" si="20"/>
        <v>6266839.7371904403</v>
      </c>
      <c r="L161" s="3">
        <f t="shared" si="21"/>
        <v>0</v>
      </c>
      <c r="M161" s="47">
        <f t="shared" si="12"/>
        <v>7364344.99085043</v>
      </c>
      <c r="N161" s="47">
        <f>IFERROR(HLOOKUP(B161-1,'EV Forecast WRZ'!$F$124:$T$130,5,FALSE)/12,0)+IFERROR(((HLOOKUP(B161,'EV Forecast WRZ'!$F$116:$T$122,5,FALSE)-HLOOKUP(B161-1,'EV Forecast WRZ'!$F$124:$T$130,5,FALSE)))*C161/78,0)</f>
        <v>12700.389081198653</v>
      </c>
      <c r="O161" s="47">
        <f t="shared" si="13"/>
        <v>7377045.3799316287</v>
      </c>
    </row>
    <row r="162" spans="1:15">
      <c r="A162" s="2">
        <f t="shared" si="14"/>
        <v>46904</v>
      </c>
      <c r="B162">
        <f t="shared" si="15"/>
        <v>2028</v>
      </c>
      <c r="C162">
        <f t="shared" si="16"/>
        <v>5</v>
      </c>
      <c r="E162" s="47">
        <f t="shared" si="17"/>
        <v>31</v>
      </c>
      <c r="F162" s="3">
        <f>'Customer Count'!BH87</f>
        <v>3</v>
      </c>
      <c r="G162" s="3">
        <f>'Monthly Data'!ED162</f>
        <v>0</v>
      </c>
      <c r="I162" s="3">
        <f t="shared" si="18"/>
        <v>-4783589.0194705203</v>
      </c>
      <c r="J162" s="3">
        <f t="shared" si="19"/>
        <v>6077130.7489015264</v>
      </c>
      <c r="K162" s="3">
        <f t="shared" si="20"/>
        <v>6266839.7371904403</v>
      </c>
      <c r="L162" s="3">
        <f t="shared" si="21"/>
        <v>0</v>
      </c>
      <c r="M162" s="47">
        <f t="shared" si="12"/>
        <v>7560381.4666214464</v>
      </c>
      <c r="N162" s="47">
        <f>IFERROR(HLOOKUP(B162-1,'EV Forecast WRZ'!$F$124:$T$130,5,FALSE)/12,0)+IFERROR(((HLOOKUP(B162,'EV Forecast WRZ'!$F$116:$T$122,5,FALSE)-HLOOKUP(B162-1,'EV Forecast WRZ'!$F$124:$T$130,5,FALSE)))*C162/78,0)</f>
        <v>12901.618568805774</v>
      </c>
      <c r="O162" s="47">
        <f t="shared" si="13"/>
        <v>7573283.0851902524</v>
      </c>
    </row>
    <row r="163" spans="1:15">
      <c r="A163" s="2">
        <f t="shared" si="14"/>
        <v>46934</v>
      </c>
      <c r="B163">
        <f t="shared" si="15"/>
        <v>2028</v>
      </c>
      <c r="C163">
        <f t="shared" si="16"/>
        <v>6</v>
      </c>
      <c r="E163" s="47">
        <f t="shared" si="17"/>
        <v>30</v>
      </c>
      <c r="F163" s="3">
        <f>'Customer Count'!BH88</f>
        <v>3</v>
      </c>
      <c r="G163" s="3">
        <f>'Monthly Data'!ED163</f>
        <v>0</v>
      </c>
      <c r="I163" s="3">
        <f t="shared" si="18"/>
        <v>-4783589.0194705203</v>
      </c>
      <c r="J163" s="3">
        <f t="shared" si="19"/>
        <v>5881094.27313051</v>
      </c>
      <c r="K163" s="3">
        <f t="shared" si="20"/>
        <v>6266839.7371904403</v>
      </c>
      <c r="L163" s="3">
        <f t="shared" si="21"/>
        <v>0</v>
      </c>
      <c r="M163" s="47">
        <f t="shared" si="12"/>
        <v>7364344.99085043</v>
      </c>
      <c r="N163" s="47">
        <f>IFERROR(HLOOKUP(B163-1,'EV Forecast WRZ'!$F$124:$T$130,5,FALSE)/12,0)+IFERROR(((HLOOKUP(B163,'EV Forecast WRZ'!$F$116:$T$122,5,FALSE)-HLOOKUP(B163-1,'EV Forecast WRZ'!$F$124:$T$130,5,FALSE)))*C163/78,0)</f>
        <v>13102.848056412895</v>
      </c>
      <c r="O163" s="47">
        <f t="shared" si="13"/>
        <v>7377447.8389068432</v>
      </c>
    </row>
    <row r="164" spans="1:15">
      <c r="A164" s="2">
        <f t="shared" si="14"/>
        <v>46965</v>
      </c>
      <c r="B164">
        <f t="shared" si="15"/>
        <v>2028</v>
      </c>
      <c r="C164">
        <f t="shared" si="16"/>
        <v>7</v>
      </c>
      <c r="E164" s="47">
        <f t="shared" si="17"/>
        <v>31</v>
      </c>
      <c r="F164" s="3">
        <f>'Customer Count'!BH89</f>
        <v>3</v>
      </c>
      <c r="G164" s="3">
        <f>'Monthly Data'!ED164</f>
        <v>0</v>
      </c>
      <c r="I164" s="3">
        <f t="shared" si="18"/>
        <v>-4783589.0194705203</v>
      </c>
      <c r="J164" s="3">
        <f t="shared" si="19"/>
        <v>6077130.7489015264</v>
      </c>
      <c r="K164" s="3">
        <f t="shared" si="20"/>
        <v>6266839.7371904403</v>
      </c>
      <c r="L164" s="3">
        <f t="shared" si="21"/>
        <v>0</v>
      </c>
      <c r="M164" s="47">
        <f t="shared" si="12"/>
        <v>7560381.4666214464</v>
      </c>
      <c r="N164" s="47">
        <f>IFERROR(HLOOKUP(B164-1,'EV Forecast WRZ'!$F$124:$T$130,5,FALSE)/12,0)+IFERROR(((HLOOKUP(B164,'EV Forecast WRZ'!$F$116:$T$122,5,FALSE)-HLOOKUP(B164-1,'EV Forecast WRZ'!$F$124:$T$130,5,FALSE)))*C164/78,0)</f>
        <v>13304.077544020014</v>
      </c>
      <c r="O164" s="47">
        <f t="shared" si="13"/>
        <v>7573685.544165466</v>
      </c>
    </row>
    <row r="165" spans="1:15">
      <c r="A165" s="2">
        <f t="shared" si="14"/>
        <v>46996</v>
      </c>
      <c r="B165">
        <f t="shared" si="15"/>
        <v>2028</v>
      </c>
      <c r="C165">
        <f t="shared" si="16"/>
        <v>8</v>
      </c>
      <c r="E165" s="47">
        <f t="shared" si="17"/>
        <v>31</v>
      </c>
      <c r="F165" s="3">
        <f>'Customer Count'!BH90</f>
        <v>3</v>
      </c>
      <c r="G165" s="3">
        <f>'Monthly Data'!ED165</f>
        <v>0</v>
      </c>
      <c r="I165" s="3">
        <f t="shared" si="18"/>
        <v>-4783589.0194705203</v>
      </c>
      <c r="J165" s="3">
        <f t="shared" si="19"/>
        <v>6077130.7489015264</v>
      </c>
      <c r="K165" s="3">
        <f t="shared" si="20"/>
        <v>6266839.7371904403</v>
      </c>
      <c r="L165" s="3">
        <f t="shared" si="21"/>
        <v>0</v>
      </c>
      <c r="M165" s="47">
        <f t="shared" si="12"/>
        <v>7560381.4666214464</v>
      </c>
      <c r="N165" s="47">
        <f>IFERROR(HLOOKUP(B165-1,'EV Forecast WRZ'!$F$124:$T$130,5,FALSE)/12,0)+IFERROR(((HLOOKUP(B165,'EV Forecast WRZ'!$F$116:$T$122,5,FALSE)-HLOOKUP(B165-1,'EV Forecast WRZ'!$F$124:$T$130,5,FALSE)))*C165/78,0)</f>
        <v>13505.307031627135</v>
      </c>
      <c r="O165" s="47">
        <f t="shared" si="13"/>
        <v>7573886.7736530732</v>
      </c>
    </row>
    <row r="166" spans="1:15">
      <c r="A166" s="2">
        <f t="shared" si="14"/>
        <v>47026</v>
      </c>
      <c r="B166">
        <f t="shared" si="15"/>
        <v>2028</v>
      </c>
      <c r="C166">
        <f t="shared" si="16"/>
        <v>9</v>
      </c>
      <c r="E166" s="47">
        <f t="shared" si="17"/>
        <v>30</v>
      </c>
      <c r="F166" s="3">
        <f>'Customer Count'!BH91</f>
        <v>3</v>
      </c>
      <c r="G166" s="3">
        <f>'Monthly Data'!ED166</f>
        <v>0</v>
      </c>
      <c r="I166" s="3">
        <f t="shared" si="18"/>
        <v>-4783589.0194705203</v>
      </c>
      <c r="J166" s="3">
        <f t="shared" si="19"/>
        <v>5881094.27313051</v>
      </c>
      <c r="K166" s="3">
        <f t="shared" si="20"/>
        <v>6266839.7371904403</v>
      </c>
      <c r="L166" s="3">
        <f t="shared" si="21"/>
        <v>0</v>
      </c>
      <c r="M166" s="47">
        <f t="shared" si="12"/>
        <v>7364344.99085043</v>
      </c>
      <c r="N166" s="47">
        <f>IFERROR(HLOOKUP(B166-1,'EV Forecast WRZ'!$F$124:$T$130,5,FALSE)/12,0)+IFERROR(((HLOOKUP(B166,'EV Forecast WRZ'!$F$116:$T$122,5,FALSE)-HLOOKUP(B166-1,'EV Forecast WRZ'!$F$124:$T$130,5,FALSE)))*C166/78,0)</f>
        <v>13706.536519234256</v>
      </c>
      <c r="O166" s="47">
        <f t="shared" si="13"/>
        <v>7378051.5273696641</v>
      </c>
    </row>
    <row r="167" spans="1:15">
      <c r="A167" s="2">
        <f t="shared" si="14"/>
        <v>47057</v>
      </c>
      <c r="B167">
        <f t="shared" si="15"/>
        <v>2028</v>
      </c>
      <c r="C167">
        <f t="shared" si="16"/>
        <v>10</v>
      </c>
      <c r="E167" s="47">
        <f t="shared" si="17"/>
        <v>31</v>
      </c>
      <c r="F167" s="3">
        <f>'Customer Count'!BH92</f>
        <v>3</v>
      </c>
      <c r="G167" s="3">
        <f>'Monthly Data'!ED167</f>
        <v>0</v>
      </c>
      <c r="I167" s="3">
        <f t="shared" si="18"/>
        <v>-4783589.0194705203</v>
      </c>
      <c r="J167" s="3">
        <f t="shared" si="19"/>
        <v>6077130.7489015264</v>
      </c>
      <c r="K167" s="3">
        <f t="shared" si="20"/>
        <v>6266839.7371904403</v>
      </c>
      <c r="L167" s="3">
        <f t="shared" si="21"/>
        <v>0</v>
      </c>
      <c r="M167" s="47">
        <f t="shared" si="12"/>
        <v>7560381.4666214464</v>
      </c>
      <c r="N167" s="47">
        <f>IFERROR(HLOOKUP(B167-1,'EV Forecast WRZ'!$F$124:$T$130,5,FALSE)/12,0)+IFERROR(((HLOOKUP(B167,'EV Forecast WRZ'!$F$116:$T$122,5,FALSE)-HLOOKUP(B167-1,'EV Forecast WRZ'!$F$124:$T$130,5,FALSE)))*C167/78,0)</f>
        <v>13907.766006841375</v>
      </c>
      <c r="O167" s="47">
        <f t="shared" si="13"/>
        <v>7574289.2326282877</v>
      </c>
    </row>
    <row r="168" spans="1:15">
      <c r="A168" s="2">
        <f t="shared" si="14"/>
        <v>47087</v>
      </c>
      <c r="B168">
        <f t="shared" si="15"/>
        <v>2028</v>
      </c>
      <c r="C168">
        <f t="shared" si="16"/>
        <v>11</v>
      </c>
      <c r="E168" s="47">
        <f t="shared" si="17"/>
        <v>30</v>
      </c>
      <c r="F168" s="3">
        <f>'Customer Count'!BH93</f>
        <v>3</v>
      </c>
      <c r="G168" s="3">
        <f>'Monthly Data'!ED168</f>
        <v>0</v>
      </c>
      <c r="I168" s="3">
        <f t="shared" si="18"/>
        <v>-4783589.0194705203</v>
      </c>
      <c r="J168" s="3">
        <f t="shared" si="19"/>
        <v>5881094.27313051</v>
      </c>
      <c r="K168" s="3">
        <f t="shared" si="20"/>
        <v>6266839.7371904403</v>
      </c>
      <c r="L168" s="3">
        <f t="shared" si="21"/>
        <v>0</v>
      </c>
      <c r="M168" s="47">
        <f t="shared" si="12"/>
        <v>7364344.99085043</v>
      </c>
      <c r="N168" s="47">
        <f>IFERROR(HLOOKUP(B168-1,'EV Forecast WRZ'!$F$124:$T$130,5,FALSE)/12,0)+IFERROR(((HLOOKUP(B168,'EV Forecast WRZ'!$F$116:$T$122,5,FALSE)-HLOOKUP(B168-1,'EV Forecast WRZ'!$F$124:$T$130,5,FALSE)))*C168/78,0)</f>
        <v>14108.995494448496</v>
      </c>
      <c r="O168" s="47">
        <f t="shared" si="13"/>
        <v>7378453.9863448786</v>
      </c>
    </row>
    <row r="169" spans="1:15">
      <c r="A169" s="2">
        <f t="shared" si="14"/>
        <v>47118</v>
      </c>
      <c r="B169">
        <f t="shared" si="15"/>
        <v>2028</v>
      </c>
      <c r="C169">
        <f t="shared" si="16"/>
        <v>12</v>
      </c>
      <c r="E169" s="47">
        <f t="shared" si="17"/>
        <v>31</v>
      </c>
      <c r="F169" s="3">
        <f>'Customer Count'!BH94</f>
        <v>3</v>
      </c>
      <c r="G169" s="3">
        <f>'Monthly Data'!ED169</f>
        <v>0</v>
      </c>
      <c r="I169" s="3">
        <f t="shared" si="18"/>
        <v>-4783589.0194705203</v>
      </c>
      <c r="J169" s="3">
        <f t="shared" si="19"/>
        <v>6077130.7489015264</v>
      </c>
      <c r="K169" s="3">
        <f t="shared" si="20"/>
        <v>6266839.7371904403</v>
      </c>
      <c r="L169" s="3">
        <f t="shared" si="21"/>
        <v>0</v>
      </c>
      <c r="M169" s="47">
        <f t="shared" si="12"/>
        <v>7560381.4666214464</v>
      </c>
      <c r="N169" s="47">
        <f>IFERROR(HLOOKUP(B169-1,'EV Forecast WRZ'!$F$124:$T$130,5,FALSE)/12,0)+IFERROR(((HLOOKUP(B169,'EV Forecast WRZ'!$F$116:$T$122,5,FALSE)-HLOOKUP(B169-1,'EV Forecast WRZ'!$F$124:$T$130,5,FALSE)))*C169/78,0)</f>
        <v>14310.224982055617</v>
      </c>
      <c r="O169" s="47">
        <f t="shared" si="13"/>
        <v>7574691.6916035023</v>
      </c>
    </row>
    <row r="170" spans="1:15">
      <c r="A170" s="2">
        <f t="shared" si="14"/>
        <v>47149</v>
      </c>
      <c r="B170">
        <f t="shared" si="15"/>
        <v>2029</v>
      </c>
      <c r="C170">
        <f t="shared" si="16"/>
        <v>1</v>
      </c>
      <c r="E170" s="47">
        <f t="shared" si="17"/>
        <v>31</v>
      </c>
      <c r="F170" s="3">
        <f>'Customer Count'!BH95</f>
        <v>3</v>
      </c>
      <c r="G170" s="3">
        <f>'Monthly Data'!ED170</f>
        <v>0</v>
      </c>
      <c r="I170" s="3">
        <f t="shared" si="18"/>
        <v>-4783589.0194705203</v>
      </c>
      <c r="J170" s="3">
        <f t="shared" si="19"/>
        <v>6077130.7489015264</v>
      </c>
      <c r="K170" s="3">
        <f t="shared" si="20"/>
        <v>6266839.7371904403</v>
      </c>
      <c r="L170" s="3">
        <f t="shared" si="21"/>
        <v>0</v>
      </c>
      <c r="M170" s="47">
        <f t="shared" si="12"/>
        <v>7560381.4666214464</v>
      </c>
      <c r="N170" s="47">
        <f>IFERROR(HLOOKUP(B170-1,'EV Forecast WRZ'!$F$124:$T$130,5,FALSE)/12,0)+IFERROR(((HLOOKUP(B170,'EV Forecast WRZ'!$F$116:$T$122,5,FALSE)-HLOOKUP(B170-1,'EV Forecast WRZ'!$F$124:$T$130,5,FALSE)))*C170/78,0)</f>
        <v>14950.326784017227</v>
      </c>
      <c r="O170" s="47">
        <f t="shared" si="13"/>
        <v>7575331.7934054639</v>
      </c>
    </row>
    <row r="171" spans="1:15">
      <c r="A171" s="2">
        <f t="shared" si="14"/>
        <v>47177</v>
      </c>
      <c r="B171">
        <f t="shared" si="15"/>
        <v>2029</v>
      </c>
      <c r="C171">
        <f t="shared" si="16"/>
        <v>2</v>
      </c>
      <c r="E171" s="47">
        <f t="shared" si="17"/>
        <v>28</v>
      </c>
      <c r="F171" s="3">
        <f>'Customer Count'!BH96</f>
        <v>3</v>
      </c>
      <c r="G171" s="3">
        <f>'Monthly Data'!ED171</f>
        <v>0</v>
      </c>
      <c r="I171" s="3">
        <f t="shared" si="18"/>
        <v>-4783589.0194705203</v>
      </c>
      <c r="J171" s="3">
        <f t="shared" si="19"/>
        <v>5489021.3215884762</v>
      </c>
      <c r="K171" s="3">
        <f t="shared" si="20"/>
        <v>6266839.7371904403</v>
      </c>
      <c r="L171" s="3">
        <f t="shared" si="21"/>
        <v>0</v>
      </c>
      <c r="M171" s="47">
        <f t="shared" si="12"/>
        <v>6972272.0393083962</v>
      </c>
      <c r="N171" s="47">
        <f>IFERROR(HLOOKUP(B171-1,'EV Forecast WRZ'!$F$124:$T$130,5,FALSE)/12,0)+IFERROR(((HLOOKUP(B171,'EV Forecast WRZ'!$F$116:$T$122,5,FALSE)-HLOOKUP(B171-1,'EV Forecast WRZ'!$F$124:$T$130,5,FALSE)))*C171/78,0)</f>
        <v>15195.27226503838</v>
      </c>
      <c r="O171" s="47">
        <f t="shared" si="13"/>
        <v>6987467.3115734346</v>
      </c>
    </row>
    <row r="172" spans="1:15">
      <c r="A172" s="2">
        <f t="shared" si="14"/>
        <v>47208</v>
      </c>
      <c r="B172">
        <f t="shared" si="15"/>
        <v>2029</v>
      </c>
      <c r="C172">
        <f t="shared" si="16"/>
        <v>3</v>
      </c>
      <c r="E172" s="47">
        <f t="shared" si="17"/>
        <v>31</v>
      </c>
      <c r="F172" s="3">
        <f>'Customer Count'!BH97</f>
        <v>3</v>
      </c>
      <c r="G172" s="3">
        <f>'Monthly Data'!ED172</f>
        <v>0</v>
      </c>
      <c r="I172" s="3">
        <f t="shared" si="18"/>
        <v>-4783589.0194705203</v>
      </c>
      <c r="J172" s="3">
        <f t="shared" si="19"/>
        <v>6077130.7489015264</v>
      </c>
      <c r="K172" s="3">
        <f t="shared" si="20"/>
        <v>6266839.7371904403</v>
      </c>
      <c r="L172" s="3">
        <f t="shared" si="21"/>
        <v>0</v>
      </c>
      <c r="M172" s="47">
        <f t="shared" si="12"/>
        <v>7560381.4666214464</v>
      </c>
      <c r="N172" s="47">
        <f>IFERROR(HLOOKUP(B172-1,'EV Forecast WRZ'!$F$124:$T$130,5,FALSE)/12,0)+IFERROR(((HLOOKUP(B172,'EV Forecast WRZ'!$F$116:$T$122,5,FALSE)-HLOOKUP(B172-1,'EV Forecast WRZ'!$F$124:$T$130,5,FALSE)))*C172/78,0)</f>
        <v>15440.217746059536</v>
      </c>
      <c r="O172" s="47">
        <f t="shared" si="13"/>
        <v>7575821.6843675058</v>
      </c>
    </row>
    <row r="173" spans="1:15">
      <c r="A173" s="2">
        <f t="shared" si="14"/>
        <v>47238</v>
      </c>
      <c r="B173">
        <f t="shared" si="15"/>
        <v>2029</v>
      </c>
      <c r="C173">
        <f t="shared" si="16"/>
        <v>4</v>
      </c>
      <c r="E173" s="47">
        <f t="shared" si="17"/>
        <v>30</v>
      </c>
      <c r="F173" s="3">
        <f>'Customer Count'!BH98</f>
        <v>3</v>
      </c>
      <c r="G173" s="3">
        <f>'Monthly Data'!ED173</f>
        <v>0</v>
      </c>
      <c r="I173" s="3">
        <f t="shared" si="18"/>
        <v>-4783589.0194705203</v>
      </c>
      <c r="J173" s="3">
        <f t="shared" si="19"/>
        <v>5881094.27313051</v>
      </c>
      <c r="K173" s="3">
        <f t="shared" si="20"/>
        <v>6266839.7371904403</v>
      </c>
      <c r="L173" s="3">
        <f t="shared" si="21"/>
        <v>0</v>
      </c>
      <c r="M173" s="47">
        <f t="shared" si="12"/>
        <v>7364344.99085043</v>
      </c>
      <c r="N173" s="47">
        <f>IFERROR(HLOOKUP(B173-1,'EV Forecast WRZ'!$F$124:$T$130,5,FALSE)/12,0)+IFERROR(((HLOOKUP(B173,'EV Forecast WRZ'!$F$116:$T$122,5,FALSE)-HLOOKUP(B173-1,'EV Forecast WRZ'!$F$124:$T$130,5,FALSE)))*C173/78,0)</f>
        <v>15685.163227080689</v>
      </c>
      <c r="O173" s="47">
        <f t="shared" si="13"/>
        <v>7380030.1540775103</v>
      </c>
    </row>
    <row r="174" spans="1:15">
      <c r="A174" s="2">
        <f t="shared" si="14"/>
        <v>47269</v>
      </c>
      <c r="B174">
        <f t="shared" si="15"/>
        <v>2029</v>
      </c>
      <c r="C174">
        <f t="shared" si="16"/>
        <v>5</v>
      </c>
      <c r="E174" s="47">
        <f t="shared" si="17"/>
        <v>31</v>
      </c>
      <c r="F174" s="3">
        <f>'Customer Count'!BH99</f>
        <v>3</v>
      </c>
      <c r="G174" s="3">
        <f>'Monthly Data'!ED174</f>
        <v>0</v>
      </c>
      <c r="I174" s="3">
        <f t="shared" si="18"/>
        <v>-4783589.0194705203</v>
      </c>
      <c r="J174" s="3">
        <f t="shared" si="19"/>
        <v>6077130.7489015264</v>
      </c>
      <c r="K174" s="3">
        <f t="shared" si="20"/>
        <v>6266839.7371904403</v>
      </c>
      <c r="L174" s="3">
        <f t="shared" si="21"/>
        <v>0</v>
      </c>
      <c r="M174" s="47">
        <f t="shared" si="12"/>
        <v>7560381.4666214464</v>
      </c>
      <c r="N174" s="47">
        <f>IFERROR(HLOOKUP(B174-1,'EV Forecast WRZ'!$F$124:$T$130,5,FALSE)/12,0)+IFERROR(((HLOOKUP(B174,'EV Forecast WRZ'!$F$116:$T$122,5,FALSE)-HLOOKUP(B174-1,'EV Forecast WRZ'!$F$124:$T$130,5,FALSE)))*C174/78,0)</f>
        <v>15930.108708101845</v>
      </c>
      <c r="O174" s="47">
        <f t="shared" si="13"/>
        <v>7576311.5753295487</v>
      </c>
    </row>
    <row r="175" spans="1:15">
      <c r="A175" s="2">
        <f t="shared" ref="A175:A205" si="22">EOMONTH(A174,1)</f>
        <v>47299</v>
      </c>
      <c r="B175">
        <f t="shared" ref="B175:B205" si="23">YEAR(A175)</f>
        <v>2029</v>
      </c>
      <c r="C175">
        <f t="shared" ref="C175:C205" si="24">MONTH(A175)</f>
        <v>6</v>
      </c>
      <c r="E175" s="47">
        <f t="shared" ref="E175:E205" si="25">E139</f>
        <v>30</v>
      </c>
      <c r="F175" s="3">
        <f>'Customer Count'!BH100</f>
        <v>3</v>
      </c>
      <c r="G175" s="3">
        <f>'Monthly Data'!ED175</f>
        <v>0</v>
      </c>
      <c r="I175" s="3">
        <f t="shared" si="18"/>
        <v>-4783589.0194705203</v>
      </c>
      <c r="J175" s="3">
        <f t="shared" si="19"/>
        <v>5881094.27313051</v>
      </c>
      <c r="K175" s="3">
        <f t="shared" si="20"/>
        <v>6266839.7371904403</v>
      </c>
      <c r="L175" s="3">
        <f t="shared" si="21"/>
        <v>0</v>
      </c>
      <c r="M175" s="47">
        <f t="shared" si="12"/>
        <v>7364344.99085043</v>
      </c>
      <c r="N175" s="47">
        <f>IFERROR(HLOOKUP(B175-1,'EV Forecast WRZ'!$F$124:$T$130,5,FALSE)/12,0)+IFERROR(((HLOOKUP(B175,'EV Forecast WRZ'!$F$116:$T$122,5,FALSE)-HLOOKUP(B175-1,'EV Forecast WRZ'!$F$124:$T$130,5,FALSE)))*C175/78,0)</f>
        <v>16175.054189122999</v>
      </c>
      <c r="O175" s="47">
        <f t="shared" si="13"/>
        <v>7380520.0450395532</v>
      </c>
    </row>
    <row r="176" spans="1:15">
      <c r="A176" s="2">
        <f t="shared" si="22"/>
        <v>47330</v>
      </c>
      <c r="B176">
        <f t="shared" si="23"/>
        <v>2029</v>
      </c>
      <c r="C176">
        <f t="shared" si="24"/>
        <v>7</v>
      </c>
      <c r="E176" s="47">
        <f t="shared" si="25"/>
        <v>31</v>
      </c>
      <c r="F176" s="3">
        <f>'Customer Count'!BH101</f>
        <v>3</v>
      </c>
      <c r="G176" s="3">
        <f>'Monthly Data'!ED176</f>
        <v>0</v>
      </c>
      <c r="I176" s="3">
        <f t="shared" si="18"/>
        <v>-4783589.0194705203</v>
      </c>
      <c r="J176" s="3">
        <f t="shared" si="19"/>
        <v>6077130.7489015264</v>
      </c>
      <c r="K176" s="3">
        <f t="shared" si="20"/>
        <v>6266839.7371904403</v>
      </c>
      <c r="L176" s="3">
        <f t="shared" si="21"/>
        <v>0</v>
      </c>
      <c r="M176" s="47">
        <f t="shared" si="12"/>
        <v>7560381.4666214464</v>
      </c>
      <c r="N176" s="47">
        <f>IFERROR(HLOOKUP(B176-1,'EV Forecast WRZ'!$F$124:$T$130,5,FALSE)/12,0)+IFERROR(((HLOOKUP(B176,'EV Forecast WRZ'!$F$116:$T$122,5,FALSE)-HLOOKUP(B176-1,'EV Forecast WRZ'!$F$124:$T$130,5,FALSE)))*C176/78,0)</f>
        <v>16419.999670144152</v>
      </c>
      <c r="O176" s="47">
        <f t="shared" si="13"/>
        <v>7576801.4662915906</v>
      </c>
    </row>
    <row r="177" spans="1:15">
      <c r="A177" s="2">
        <f t="shared" si="22"/>
        <v>47361</v>
      </c>
      <c r="B177">
        <f t="shared" si="23"/>
        <v>2029</v>
      </c>
      <c r="C177">
        <f t="shared" si="24"/>
        <v>8</v>
      </c>
      <c r="E177" s="47">
        <f t="shared" si="25"/>
        <v>31</v>
      </c>
      <c r="F177" s="3">
        <f>'Customer Count'!BH102</f>
        <v>3</v>
      </c>
      <c r="G177" s="3">
        <f>'Monthly Data'!ED177</f>
        <v>0</v>
      </c>
      <c r="I177" s="3">
        <f t="shared" si="18"/>
        <v>-4783589.0194705203</v>
      </c>
      <c r="J177" s="3">
        <f t="shared" si="19"/>
        <v>6077130.7489015264</v>
      </c>
      <c r="K177" s="3">
        <f t="shared" si="20"/>
        <v>6266839.7371904403</v>
      </c>
      <c r="L177" s="3">
        <f t="shared" si="21"/>
        <v>0</v>
      </c>
      <c r="M177" s="47">
        <f t="shared" si="12"/>
        <v>7560381.4666214464</v>
      </c>
      <c r="N177" s="47">
        <f>IFERROR(HLOOKUP(B177-1,'EV Forecast WRZ'!$F$124:$T$130,5,FALSE)/12,0)+IFERROR(((HLOOKUP(B177,'EV Forecast WRZ'!$F$116:$T$122,5,FALSE)-HLOOKUP(B177-1,'EV Forecast WRZ'!$F$124:$T$130,5,FALSE)))*C177/78,0)</f>
        <v>16664.94515116531</v>
      </c>
      <c r="O177" s="47">
        <f t="shared" si="13"/>
        <v>7577046.4117726116</v>
      </c>
    </row>
    <row r="178" spans="1:15">
      <c r="A178" s="2">
        <f t="shared" si="22"/>
        <v>47391</v>
      </c>
      <c r="B178">
        <f t="shared" si="23"/>
        <v>2029</v>
      </c>
      <c r="C178">
        <f t="shared" si="24"/>
        <v>9</v>
      </c>
      <c r="E178" s="47">
        <f t="shared" si="25"/>
        <v>30</v>
      </c>
      <c r="F178" s="3">
        <f>'Customer Count'!BH103</f>
        <v>3</v>
      </c>
      <c r="G178" s="3">
        <f>'Monthly Data'!ED178</f>
        <v>0</v>
      </c>
      <c r="I178" s="3">
        <f t="shared" si="18"/>
        <v>-4783589.0194705203</v>
      </c>
      <c r="J178" s="3">
        <f t="shared" si="19"/>
        <v>5881094.27313051</v>
      </c>
      <c r="K178" s="3">
        <f t="shared" si="20"/>
        <v>6266839.7371904403</v>
      </c>
      <c r="L178" s="3">
        <f t="shared" si="21"/>
        <v>0</v>
      </c>
      <c r="M178" s="47">
        <f t="shared" si="12"/>
        <v>7364344.99085043</v>
      </c>
      <c r="N178" s="47">
        <f>IFERROR(HLOOKUP(B178-1,'EV Forecast WRZ'!$F$124:$T$130,5,FALSE)/12,0)+IFERROR(((HLOOKUP(B178,'EV Forecast WRZ'!$F$116:$T$122,5,FALSE)-HLOOKUP(B178-1,'EV Forecast WRZ'!$F$124:$T$130,5,FALSE)))*C178/78,0)</f>
        <v>16909.890632186463</v>
      </c>
      <c r="O178" s="47">
        <f t="shared" si="13"/>
        <v>7381254.8814826161</v>
      </c>
    </row>
    <row r="179" spans="1:15">
      <c r="A179" s="2">
        <f t="shared" si="22"/>
        <v>47422</v>
      </c>
      <c r="B179">
        <f t="shared" si="23"/>
        <v>2029</v>
      </c>
      <c r="C179">
        <f t="shared" si="24"/>
        <v>10</v>
      </c>
      <c r="E179" s="47">
        <f t="shared" si="25"/>
        <v>31</v>
      </c>
      <c r="F179" s="3">
        <f>'Customer Count'!BH104</f>
        <v>3</v>
      </c>
      <c r="G179" s="3">
        <f>'Monthly Data'!ED179</f>
        <v>0</v>
      </c>
      <c r="I179" s="3">
        <f t="shared" si="18"/>
        <v>-4783589.0194705203</v>
      </c>
      <c r="J179" s="3">
        <f t="shared" si="19"/>
        <v>6077130.7489015264</v>
      </c>
      <c r="K179" s="3">
        <f t="shared" si="20"/>
        <v>6266839.7371904403</v>
      </c>
      <c r="L179" s="3">
        <f t="shared" si="21"/>
        <v>0</v>
      </c>
      <c r="M179" s="47">
        <f t="shared" si="12"/>
        <v>7560381.4666214464</v>
      </c>
      <c r="N179" s="47">
        <f>IFERROR(HLOOKUP(B179-1,'EV Forecast WRZ'!$F$124:$T$130,5,FALSE)/12,0)+IFERROR(((HLOOKUP(B179,'EV Forecast WRZ'!$F$116:$T$122,5,FALSE)-HLOOKUP(B179-1,'EV Forecast WRZ'!$F$124:$T$130,5,FALSE)))*C179/78,0)</f>
        <v>17154.836113207617</v>
      </c>
      <c r="O179" s="47">
        <f t="shared" si="13"/>
        <v>7577536.3027346544</v>
      </c>
    </row>
    <row r="180" spans="1:15">
      <c r="A180" s="2">
        <f t="shared" si="22"/>
        <v>47452</v>
      </c>
      <c r="B180">
        <f t="shared" si="23"/>
        <v>2029</v>
      </c>
      <c r="C180">
        <f t="shared" si="24"/>
        <v>11</v>
      </c>
      <c r="E180" s="47">
        <f t="shared" si="25"/>
        <v>30</v>
      </c>
      <c r="F180" s="3">
        <f>'Customer Count'!BH105</f>
        <v>3</v>
      </c>
      <c r="G180" s="3">
        <f>'Monthly Data'!ED180</f>
        <v>0</v>
      </c>
      <c r="I180" s="3">
        <f t="shared" si="18"/>
        <v>-4783589.0194705203</v>
      </c>
      <c r="J180" s="3">
        <f t="shared" si="19"/>
        <v>5881094.27313051</v>
      </c>
      <c r="K180" s="3">
        <f t="shared" si="20"/>
        <v>6266839.7371904403</v>
      </c>
      <c r="L180" s="3">
        <f t="shared" si="21"/>
        <v>0</v>
      </c>
      <c r="M180" s="47">
        <f t="shared" si="12"/>
        <v>7364344.99085043</v>
      </c>
      <c r="N180" s="47">
        <f>IFERROR(HLOOKUP(B180-1,'EV Forecast WRZ'!$F$124:$T$130,5,FALSE)/12,0)+IFERROR(((HLOOKUP(B180,'EV Forecast WRZ'!$F$116:$T$122,5,FALSE)-HLOOKUP(B180-1,'EV Forecast WRZ'!$F$124:$T$130,5,FALSE)))*C180/78,0)</f>
        <v>17399.781594228771</v>
      </c>
      <c r="O180" s="47">
        <f t="shared" si="13"/>
        <v>7381744.7724446589</v>
      </c>
    </row>
    <row r="181" spans="1:15">
      <c r="A181" s="2">
        <f t="shared" si="22"/>
        <v>47483</v>
      </c>
      <c r="B181">
        <f t="shared" si="23"/>
        <v>2029</v>
      </c>
      <c r="C181">
        <f t="shared" si="24"/>
        <v>12</v>
      </c>
      <c r="E181" s="47">
        <f t="shared" si="25"/>
        <v>31</v>
      </c>
      <c r="F181" s="3">
        <f>'Customer Count'!BH106</f>
        <v>3</v>
      </c>
      <c r="G181" s="3">
        <f>'Monthly Data'!ED181</f>
        <v>0</v>
      </c>
      <c r="I181" s="3">
        <f t="shared" si="18"/>
        <v>-4783589.0194705203</v>
      </c>
      <c r="J181" s="3">
        <f t="shared" si="19"/>
        <v>6077130.7489015264</v>
      </c>
      <c r="K181" s="3">
        <f t="shared" si="20"/>
        <v>6266839.7371904403</v>
      </c>
      <c r="L181" s="3">
        <f t="shared" si="21"/>
        <v>0</v>
      </c>
      <c r="M181" s="47">
        <f t="shared" si="12"/>
        <v>7560381.4666214464</v>
      </c>
      <c r="N181" s="47">
        <f>IFERROR(HLOOKUP(B181-1,'EV Forecast WRZ'!$F$124:$T$130,5,FALSE)/12,0)+IFERROR(((HLOOKUP(B181,'EV Forecast WRZ'!$F$116:$T$122,5,FALSE)-HLOOKUP(B181-1,'EV Forecast WRZ'!$F$124:$T$130,5,FALSE)))*C181/78,0)</f>
        <v>17644.727075249928</v>
      </c>
      <c r="O181" s="47">
        <f t="shared" si="13"/>
        <v>7578026.1936966963</v>
      </c>
    </row>
    <row r="182" spans="1:15">
      <c r="A182" s="2">
        <f t="shared" si="22"/>
        <v>47514</v>
      </c>
      <c r="B182">
        <f t="shared" si="23"/>
        <v>2030</v>
      </c>
      <c r="C182">
        <f t="shared" si="24"/>
        <v>1</v>
      </c>
      <c r="E182" s="47">
        <f t="shared" si="25"/>
        <v>31</v>
      </c>
      <c r="F182" s="3">
        <f>'Customer Count'!BH107</f>
        <v>3</v>
      </c>
      <c r="G182" s="3">
        <f>'Monthly Data'!ED182</f>
        <v>0</v>
      </c>
      <c r="I182" s="3">
        <f t="shared" si="18"/>
        <v>-4783589.0194705203</v>
      </c>
      <c r="J182" s="3">
        <f t="shared" si="19"/>
        <v>6077130.7489015264</v>
      </c>
      <c r="K182" s="3">
        <f t="shared" si="20"/>
        <v>6266839.7371904403</v>
      </c>
      <c r="L182" s="3">
        <f t="shared" si="21"/>
        <v>0</v>
      </c>
      <c r="M182" s="47">
        <f t="shared" si="12"/>
        <v>7560381.4666214464</v>
      </c>
      <c r="N182" s="47">
        <f>IFERROR(HLOOKUP(B182-1,'EV Forecast WRZ'!$F$124:$T$130,5,FALSE)/12,0)+IFERROR(((HLOOKUP(B182,'EV Forecast WRZ'!$F$116:$T$122,5,FALSE)-HLOOKUP(B182-1,'EV Forecast WRZ'!$F$124:$T$130,5,FALSE)))*C182/78,0)</f>
        <v>18274.903812893943</v>
      </c>
      <c r="O182" s="47">
        <f t="shared" si="13"/>
        <v>7578656.3704343401</v>
      </c>
    </row>
    <row r="183" spans="1:15">
      <c r="A183" s="2">
        <f t="shared" si="22"/>
        <v>47542</v>
      </c>
      <c r="B183">
        <f t="shared" si="23"/>
        <v>2030</v>
      </c>
      <c r="C183">
        <f t="shared" si="24"/>
        <v>2</v>
      </c>
      <c r="E183" s="47">
        <f t="shared" si="25"/>
        <v>29</v>
      </c>
      <c r="F183" s="3">
        <f>'Customer Count'!BH108</f>
        <v>3</v>
      </c>
      <c r="G183" s="3">
        <f>'Monthly Data'!ED183</f>
        <v>0</v>
      </c>
      <c r="I183" s="3">
        <f t="shared" si="18"/>
        <v>-4783589.0194705203</v>
      </c>
      <c r="J183" s="3">
        <f t="shared" si="19"/>
        <v>5685057.7973594926</v>
      </c>
      <c r="K183" s="3">
        <f t="shared" si="20"/>
        <v>6266839.7371904403</v>
      </c>
      <c r="L183" s="3">
        <f t="shared" si="21"/>
        <v>0</v>
      </c>
      <c r="M183" s="47">
        <f t="shared" ref="M183:M205" si="26">SUM(I183:L183)</f>
        <v>7168308.5150794126</v>
      </c>
      <c r="N183" s="47">
        <f>IFERROR(HLOOKUP(B183-1,'EV Forecast WRZ'!$F$124:$T$130,5,FALSE)/12,0)+IFERROR(((HLOOKUP(B183,'EV Forecast WRZ'!$F$116:$T$122,5,FALSE)-HLOOKUP(B183-1,'EV Forecast WRZ'!$F$124:$T$130,5,FALSE)))*C183/78,0)</f>
        <v>18545.403402850137</v>
      </c>
      <c r="O183" s="47">
        <f t="shared" ref="O183:O205" si="27">M183+N183</f>
        <v>7186853.9184822626</v>
      </c>
    </row>
    <row r="184" spans="1:15">
      <c r="A184" s="2">
        <f t="shared" si="22"/>
        <v>47573</v>
      </c>
      <c r="B184">
        <f t="shared" si="23"/>
        <v>2030</v>
      </c>
      <c r="C184">
        <f t="shared" si="24"/>
        <v>3</v>
      </c>
      <c r="E184" s="47">
        <f t="shared" si="25"/>
        <v>31</v>
      </c>
      <c r="F184" s="3">
        <f>'Customer Count'!BH109</f>
        <v>3</v>
      </c>
      <c r="G184" s="3">
        <f>'Monthly Data'!ED184</f>
        <v>0</v>
      </c>
      <c r="I184" s="3">
        <f t="shared" si="18"/>
        <v>-4783589.0194705203</v>
      </c>
      <c r="J184" s="3">
        <f t="shared" si="19"/>
        <v>6077130.7489015264</v>
      </c>
      <c r="K184" s="3">
        <f t="shared" si="20"/>
        <v>6266839.7371904403</v>
      </c>
      <c r="L184" s="3">
        <f t="shared" si="21"/>
        <v>0</v>
      </c>
      <c r="M184" s="47">
        <f t="shared" si="26"/>
        <v>7560381.4666214464</v>
      </c>
      <c r="N184" s="47">
        <f>IFERROR(HLOOKUP(B184-1,'EV Forecast WRZ'!$F$124:$T$130,5,FALSE)/12,0)+IFERROR(((HLOOKUP(B184,'EV Forecast WRZ'!$F$116:$T$122,5,FALSE)-HLOOKUP(B184-1,'EV Forecast WRZ'!$F$124:$T$130,5,FALSE)))*C184/78,0)</f>
        <v>18815.902992806332</v>
      </c>
      <c r="O184" s="47">
        <f t="shared" si="27"/>
        <v>7579197.3696142528</v>
      </c>
    </row>
    <row r="185" spans="1:15">
      <c r="A185" s="2">
        <f t="shared" si="22"/>
        <v>47603</v>
      </c>
      <c r="B185">
        <f t="shared" si="23"/>
        <v>2030</v>
      </c>
      <c r="C185">
        <f t="shared" si="24"/>
        <v>4</v>
      </c>
      <c r="E185" s="47">
        <f t="shared" si="25"/>
        <v>30</v>
      </c>
      <c r="F185" s="3">
        <f>'Customer Count'!BH110</f>
        <v>3</v>
      </c>
      <c r="G185" s="3">
        <f>'Monthly Data'!ED185</f>
        <v>0</v>
      </c>
      <c r="I185" s="3">
        <f t="shared" si="18"/>
        <v>-4783589.0194705203</v>
      </c>
      <c r="J185" s="3">
        <f t="shared" si="19"/>
        <v>5881094.27313051</v>
      </c>
      <c r="K185" s="3">
        <f t="shared" si="20"/>
        <v>6266839.7371904403</v>
      </c>
      <c r="L185" s="3">
        <f t="shared" si="21"/>
        <v>0</v>
      </c>
      <c r="M185" s="47">
        <f t="shared" si="26"/>
        <v>7364344.99085043</v>
      </c>
      <c r="N185" s="47">
        <f>IFERROR(HLOOKUP(B185-1,'EV Forecast WRZ'!$F$124:$T$130,5,FALSE)/12,0)+IFERROR(((HLOOKUP(B185,'EV Forecast WRZ'!$F$116:$T$122,5,FALSE)-HLOOKUP(B185-1,'EV Forecast WRZ'!$F$124:$T$130,5,FALSE)))*C185/78,0)</f>
        <v>19086.402582762526</v>
      </c>
      <c r="O185" s="47">
        <f t="shared" si="27"/>
        <v>7383431.3934331927</v>
      </c>
    </row>
    <row r="186" spans="1:15">
      <c r="A186" s="2">
        <f t="shared" si="22"/>
        <v>47634</v>
      </c>
      <c r="B186">
        <f t="shared" si="23"/>
        <v>2030</v>
      </c>
      <c r="C186">
        <f t="shared" si="24"/>
        <v>5</v>
      </c>
      <c r="E186" s="47">
        <f t="shared" si="25"/>
        <v>31</v>
      </c>
      <c r="F186" s="3">
        <f>'Customer Count'!BH111</f>
        <v>3</v>
      </c>
      <c r="G186" s="3">
        <f>'Monthly Data'!ED186</f>
        <v>0</v>
      </c>
      <c r="I186" s="3">
        <f t="shared" si="18"/>
        <v>-4783589.0194705203</v>
      </c>
      <c r="J186" s="3">
        <f t="shared" si="19"/>
        <v>6077130.7489015264</v>
      </c>
      <c r="K186" s="3">
        <f t="shared" si="20"/>
        <v>6266839.7371904403</v>
      </c>
      <c r="L186" s="3">
        <f t="shared" si="21"/>
        <v>0</v>
      </c>
      <c r="M186" s="47">
        <f t="shared" si="26"/>
        <v>7560381.4666214464</v>
      </c>
      <c r="N186" s="47">
        <f>IFERROR(HLOOKUP(B186-1,'EV Forecast WRZ'!$F$124:$T$130,5,FALSE)/12,0)+IFERROR(((HLOOKUP(B186,'EV Forecast WRZ'!$F$116:$T$122,5,FALSE)-HLOOKUP(B186-1,'EV Forecast WRZ'!$F$124:$T$130,5,FALSE)))*C186/78,0)</f>
        <v>19356.902172718721</v>
      </c>
      <c r="O186" s="47">
        <f t="shared" si="27"/>
        <v>7579738.3687941656</v>
      </c>
    </row>
    <row r="187" spans="1:15">
      <c r="A187" s="2">
        <f t="shared" si="22"/>
        <v>47664</v>
      </c>
      <c r="B187">
        <f t="shared" si="23"/>
        <v>2030</v>
      </c>
      <c r="C187">
        <f t="shared" si="24"/>
        <v>6</v>
      </c>
      <c r="E187" s="47">
        <f t="shared" si="25"/>
        <v>30</v>
      </c>
      <c r="F187" s="3">
        <f>'Customer Count'!BH112</f>
        <v>3</v>
      </c>
      <c r="G187" s="3">
        <f>'Monthly Data'!ED187</f>
        <v>0</v>
      </c>
      <c r="I187" s="3">
        <f t="shared" si="18"/>
        <v>-4783589.0194705203</v>
      </c>
      <c r="J187" s="3">
        <f t="shared" si="19"/>
        <v>5881094.27313051</v>
      </c>
      <c r="K187" s="3">
        <f t="shared" si="20"/>
        <v>6266839.7371904403</v>
      </c>
      <c r="L187" s="3">
        <f t="shared" si="21"/>
        <v>0</v>
      </c>
      <c r="M187" s="47">
        <f t="shared" si="26"/>
        <v>7364344.99085043</v>
      </c>
      <c r="N187" s="47">
        <f>IFERROR(HLOOKUP(B187-1,'EV Forecast WRZ'!$F$124:$T$130,5,FALSE)/12,0)+IFERROR(((HLOOKUP(B187,'EV Forecast WRZ'!$F$116:$T$122,5,FALSE)-HLOOKUP(B187-1,'EV Forecast WRZ'!$F$124:$T$130,5,FALSE)))*C187/78,0)</f>
        <v>19627.401762674916</v>
      </c>
      <c r="O187" s="47">
        <f t="shared" si="27"/>
        <v>7383972.3926131045</v>
      </c>
    </row>
    <row r="188" spans="1:15">
      <c r="A188" s="2">
        <f t="shared" si="22"/>
        <v>47695</v>
      </c>
      <c r="B188">
        <f t="shared" si="23"/>
        <v>2030</v>
      </c>
      <c r="C188">
        <f t="shared" si="24"/>
        <v>7</v>
      </c>
      <c r="E188" s="47">
        <f t="shared" si="25"/>
        <v>31</v>
      </c>
      <c r="F188" s="3">
        <f>'Customer Count'!BH113</f>
        <v>3</v>
      </c>
      <c r="G188" s="3">
        <f>'Monthly Data'!ED188</f>
        <v>0</v>
      </c>
      <c r="I188" s="3">
        <f t="shared" si="18"/>
        <v>-4783589.0194705203</v>
      </c>
      <c r="J188" s="3">
        <f t="shared" si="19"/>
        <v>6077130.7489015264</v>
      </c>
      <c r="K188" s="3">
        <f t="shared" si="20"/>
        <v>6266839.7371904403</v>
      </c>
      <c r="L188" s="3">
        <f t="shared" si="21"/>
        <v>0</v>
      </c>
      <c r="M188" s="47">
        <f t="shared" si="26"/>
        <v>7560381.4666214464</v>
      </c>
      <c r="N188" s="47">
        <f>IFERROR(HLOOKUP(B188-1,'EV Forecast WRZ'!$F$124:$T$130,5,FALSE)/12,0)+IFERROR(((HLOOKUP(B188,'EV Forecast WRZ'!$F$116:$T$122,5,FALSE)-HLOOKUP(B188-1,'EV Forecast WRZ'!$F$124:$T$130,5,FALSE)))*C188/78,0)</f>
        <v>19897.90135263111</v>
      </c>
      <c r="O188" s="47">
        <f t="shared" si="27"/>
        <v>7580279.3679740774</v>
      </c>
    </row>
    <row r="189" spans="1:15">
      <c r="A189" s="2">
        <f t="shared" si="22"/>
        <v>47726</v>
      </c>
      <c r="B189">
        <f t="shared" si="23"/>
        <v>2030</v>
      </c>
      <c r="C189">
        <f t="shared" si="24"/>
        <v>8</v>
      </c>
      <c r="E189" s="47">
        <f t="shared" si="25"/>
        <v>31</v>
      </c>
      <c r="F189" s="3">
        <f>'Customer Count'!BH114</f>
        <v>3</v>
      </c>
      <c r="G189" s="3">
        <f>'Monthly Data'!ED189</f>
        <v>0</v>
      </c>
      <c r="I189" s="3">
        <f t="shared" si="18"/>
        <v>-4783589.0194705203</v>
      </c>
      <c r="J189" s="3">
        <f t="shared" si="19"/>
        <v>6077130.7489015264</v>
      </c>
      <c r="K189" s="3">
        <f t="shared" si="20"/>
        <v>6266839.7371904403</v>
      </c>
      <c r="L189" s="3">
        <f t="shared" si="21"/>
        <v>0</v>
      </c>
      <c r="M189" s="47">
        <f t="shared" si="26"/>
        <v>7560381.4666214464</v>
      </c>
      <c r="N189" s="47">
        <f>IFERROR(HLOOKUP(B189-1,'EV Forecast WRZ'!$F$124:$T$130,5,FALSE)/12,0)+IFERROR(((HLOOKUP(B189,'EV Forecast WRZ'!$F$116:$T$122,5,FALSE)-HLOOKUP(B189-1,'EV Forecast WRZ'!$F$124:$T$130,5,FALSE)))*C189/78,0)</f>
        <v>20168.400942587305</v>
      </c>
      <c r="O189" s="47">
        <f t="shared" si="27"/>
        <v>7580549.8675640337</v>
      </c>
    </row>
    <row r="190" spans="1:15">
      <c r="A190" s="2">
        <f t="shared" si="22"/>
        <v>47756</v>
      </c>
      <c r="B190">
        <f t="shared" si="23"/>
        <v>2030</v>
      </c>
      <c r="C190">
        <f t="shared" si="24"/>
        <v>9</v>
      </c>
      <c r="E190" s="47">
        <f t="shared" si="25"/>
        <v>30</v>
      </c>
      <c r="F190" s="3">
        <f>'Customer Count'!BH115</f>
        <v>3</v>
      </c>
      <c r="G190" s="3">
        <f>'Monthly Data'!ED190</f>
        <v>0</v>
      </c>
      <c r="I190" s="3">
        <f t="shared" si="18"/>
        <v>-4783589.0194705203</v>
      </c>
      <c r="J190" s="3">
        <f t="shared" si="19"/>
        <v>5881094.27313051</v>
      </c>
      <c r="K190" s="3">
        <f t="shared" si="20"/>
        <v>6266839.7371904403</v>
      </c>
      <c r="L190" s="3">
        <f t="shared" si="21"/>
        <v>0</v>
      </c>
      <c r="M190" s="47">
        <f t="shared" si="26"/>
        <v>7364344.99085043</v>
      </c>
      <c r="N190" s="47">
        <f>IFERROR(HLOOKUP(B190-1,'EV Forecast WRZ'!$F$124:$T$130,5,FALSE)/12,0)+IFERROR(((HLOOKUP(B190,'EV Forecast WRZ'!$F$116:$T$122,5,FALSE)-HLOOKUP(B190-1,'EV Forecast WRZ'!$F$124:$T$130,5,FALSE)))*C190/78,0)</f>
        <v>20438.900532543499</v>
      </c>
      <c r="O190" s="47">
        <f t="shared" si="27"/>
        <v>7384783.8913829736</v>
      </c>
    </row>
    <row r="191" spans="1:15">
      <c r="A191" s="2">
        <f t="shared" si="22"/>
        <v>47787</v>
      </c>
      <c r="B191">
        <f t="shared" si="23"/>
        <v>2030</v>
      </c>
      <c r="C191">
        <f t="shared" si="24"/>
        <v>10</v>
      </c>
      <c r="E191" s="47">
        <f t="shared" si="25"/>
        <v>31</v>
      </c>
      <c r="F191" s="3">
        <f>'Customer Count'!BH116</f>
        <v>3</v>
      </c>
      <c r="G191" s="3">
        <f>'Monthly Data'!ED191</f>
        <v>0</v>
      </c>
      <c r="I191" s="3">
        <f t="shared" si="18"/>
        <v>-4783589.0194705203</v>
      </c>
      <c r="J191" s="3">
        <f t="shared" si="19"/>
        <v>6077130.7489015264</v>
      </c>
      <c r="K191" s="3">
        <f t="shared" si="20"/>
        <v>6266839.7371904403</v>
      </c>
      <c r="L191" s="3">
        <f t="shared" si="21"/>
        <v>0</v>
      </c>
      <c r="M191" s="47">
        <f t="shared" si="26"/>
        <v>7560381.4666214464</v>
      </c>
      <c r="N191" s="47">
        <f>IFERROR(HLOOKUP(B191-1,'EV Forecast WRZ'!$F$124:$T$130,5,FALSE)/12,0)+IFERROR(((HLOOKUP(B191,'EV Forecast WRZ'!$F$116:$T$122,5,FALSE)-HLOOKUP(B191-1,'EV Forecast WRZ'!$F$124:$T$130,5,FALSE)))*C191/78,0)</f>
        <v>20709.400122499694</v>
      </c>
      <c r="O191" s="47">
        <f t="shared" si="27"/>
        <v>7581090.8667439464</v>
      </c>
    </row>
    <row r="192" spans="1:15">
      <c r="A192" s="2">
        <f t="shared" si="22"/>
        <v>47817</v>
      </c>
      <c r="B192">
        <f t="shared" si="23"/>
        <v>2030</v>
      </c>
      <c r="C192">
        <f t="shared" si="24"/>
        <v>11</v>
      </c>
      <c r="E192" s="47">
        <f t="shared" si="25"/>
        <v>30</v>
      </c>
      <c r="F192" s="3">
        <f>'Customer Count'!BH117</f>
        <v>3</v>
      </c>
      <c r="G192" s="3">
        <f>'Monthly Data'!ED192</f>
        <v>0</v>
      </c>
      <c r="I192" s="3">
        <f t="shared" si="18"/>
        <v>-4783589.0194705203</v>
      </c>
      <c r="J192" s="3">
        <f t="shared" si="19"/>
        <v>5881094.27313051</v>
      </c>
      <c r="K192" s="3">
        <f t="shared" si="20"/>
        <v>6266839.7371904403</v>
      </c>
      <c r="L192" s="3">
        <f t="shared" si="21"/>
        <v>0</v>
      </c>
      <c r="M192" s="47">
        <f t="shared" si="26"/>
        <v>7364344.99085043</v>
      </c>
      <c r="N192" s="47">
        <f>IFERROR(HLOOKUP(B192-1,'EV Forecast WRZ'!$F$124:$T$130,5,FALSE)/12,0)+IFERROR(((HLOOKUP(B192,'EV Forecast WRZ'!$F$116:$T$122,5,FALSE)-HLOOKUP(B192-1,'EV Forecast WRZ'!$F$124:$T$130,5,FALSE)))*C192/78,0)</f>
        <v>20979.899712455888</v>
      </c>
      <c r="O192" s="47">
        <f t="shared" si="27"/>
        <v>7385324.8905628854</v>
      </c>
    </row>
    <row r="193" spans="1:15">
      <c r="A193" s="2">
        <f t="shared" si="22"/>
        <v>47848</v>
      </c>
      <c r="B193">
        <f t="shared" si="23"/>
        <v>2030</v>
      </c>
      <c r="C193">
        <f t="shared" si="24"/>
        <v>12</v>
      </c>
      <c r="E193" s="47">
        <f t="shared" si="25"/>
        <v>31</v>
      </c>
      <c r="F193" s="3">
        <f>'Customer Count'!BH118</f>
        <v>3</v>
      </c>
      <c r="G193" s="3">
        <f>'Monthly Data'!ED193</f>
        <v>0</v>
      </c>
      <c r="I193" s="3">
        <f t="shared" si="18"/>
        <v>-4783589.0194705203</v>
      </c>
      <c r="J193" s="3">
        <f t="shared" si="19"/>
        <v>6077130.7489015264</v>
      </c>
      <c r="K193" s="3">
        <f t="shared" si="20"/>
        <v>6266839.7371904403</v>
      </c>
      <c r="L193" s="3">
        <f t="shared" si="21"/>
        <v>0</v>
      </c>
      <c r="M193" s="47">
        <f t="shared" si="26"/>
        <v>7560381.4666214464</v>
      </c>
      <c r="N193" s="47">
        <f>IFERROR(HLOOKUP(B193-1,'EV Forecast WRZ'!$F$124:$T$130,5,FALSE)/12,0)+IFERROR(((HLOOKUP(B193,'EV Forecast WRZ'!$F$116:$T$122,5,FALSE)-HLOOKUP(B193-1,'EV Forecast WRZ'!$F$124:$T$130,5,FALSE)))*C193/78,0)</f>
        <v>21250.399302412083</v>
      </c>
      <c r="O193" s="47">
        <f t="shared" si="27"/>
        <v>7581631.8659238582</v>
      </c>
    </row>
    <row r="194" spans="1:15">
      <c r="A194" s="2">
        <f t="shared" si="22"/>
        <v>47879</v>
      </c>
      <c r="B194">
        <f t="shared" si="23"/>
        <v>2031</v>
      </c>
      <c r="C194">
        <f t="shared" si="24"/>
        <v>1</v>
      </c>
      <c r="E194" s="47">
        <f t="shared" si="25"/>
        <v>31</v>
      </c>
      <c r="F194" s="3">
        <f>'Customer Count'!BH119</f>
        <v>3</v>
      </c>
      <c r="G194" s="3">
        <f>'Monthly Data'!ED194</f>
        <v>0</v>
      </c>
      <c r="I194" s="3">
        <f t="shared" ref="I194:I205" si="28">$S$8</f>
        <v>-4783589.0194705203</v>
      </c>
      <c r="J194" s="3">
        <f t="shared" ref="J194:J205" si="29">E194*$S$9</f>
        <v>6077130.7489015264</v>
      </c>
      <c r="K194" s="3">
        <f t="shared" ref="K194:K205" si="30">F194*$S$10</f>
        <v>6266839.7371904403</v>
      </c>
      <c r="L194" s="3">
        <f t="shared" ref="L194:L205" si="31">G194*$S$11</f>
        <v>0</v>
      </c>
      <c r="M194" s="47">
        <f t="shared" si="26"/>
        <v>7560381.4666214464</v>
      </c>
      <c r="N194" s="47">
        <f>IFERROR(HLOOKUP(B194-1,'EV Forecast WRZ'!$F$124:$T$130,5,FALSE)/12,0)+IFERROR(((HLOOKUP(B194,'EV Forecast WRZ'!$F$116:$T$122,5,FALSE)-HLOOKUP(B194-1,'EV Forecast WRZ'!$F$124:$T$130,5,FALSE)))*C194/78,0)</f>
        <v>21972.368335475789</v>
      </c>
      <c r="O194" s="47">
        <f t="shared" si="27"/>
        <v>7582353.8349569226</v>
      </c>
    </row>
    <row r="195" spans="1:15">
      <c r="A195" s="2">
        <f t="shared" si="22"/>
        <v>47907</v>
      </c>
      <c r="B195">
        <f t="shared" si="23"/>
        <v>2031</v>
      </c>
      <c r="C195">
        <f t="shared" si="24"/>
        <v>2</v>
      </c>
      <c r="E195" s="47">
        <f t="shared" si="25"/>
        <v>28</v>
      </c>
      <c r="F195" s="3">
        <f>'Customer Count'!BH120</f>
        <v>3</v>
      </c>
      <c r="G195" s="3">
        <f>'Monthly Data'!ED195</f>
        <v>0</v>
      </c>
      <c r="I195" s="3">
        <f t="shared" si="28"/>
        <v>-4783589.0194705203</v>
      </c>
      <c r="J195" s="3">
        <f t="shared" si="29"/>
        <v>5489021.3215884762</v>
      </c>
      <c r="K195" s="3">
        <f t="shared" si="30"/>
        <v>6266839.7371904403</v>
      </c>
      <c r="L195" s="3">
        <f t="shared" si="31"/>
        <v>0</v>
      </c>
      <c r="M195" s="47">
        <f t="shared" si="26"/>
        <v>6972272.0393083962</v>
      </c>
      <c r="N195" s="47">
        <f>IFERROR(HLOOKUP(B195-1,'EV Forecast WRZ'!$F$124:$T$130,5,FALSE)/12,0)+IFERROR(((HLOOKUP(B195,'EV Forecast WRZ'!$F$116:$T$122,5,FALSE)-HLOOKUP(B195-1,'EV Forecast WRZ'!$F$124:$T$130,5,FALSE)))*C195/78,0)</f>
        <v>22262.651445249965</v>
      </c>
      <c r="O195" s="47">
        <f t="shared" si="27"/>
        <v>6994534.6907536462</v>
      </c>
    </row>
    <row r="196" spans="1:15">
      <c r="A196" s="2">
        <f t="shared" si="22"/>
        <v>47938</v>
      </c>
      <c r="B196">
        <f t="shared" si="23"/>
        <v>2031</v>
      </c>
      <c r="C196">
        <f t="shared" si="24"/>
        <v>3</v>
      </c>
      <c r="E196" s="47">
        <f t="shared" si="25"/>
        <v>31</v>
      </c>
      <c r="F196" s="3">
        <f>'Customer Count'!BH121</f>
        <v>3</v>
      </c>
      <c r="G196" s="3">
        <f>'Monthly Data'!ED196</f>
        <v>0</v>
      </c>
      <c r="I196" s="3">
        <f t="shared" si="28"/>
        <v>-4783589.0194705203</v>
      </c>
      <c r="J196" s="3">
        <f t="shared" si="29"/>
        <v>6077130.7489015264</v>
      </c>
      <c r="K196" s="3">
        <f t="shared" si="30"/>
        <v>6266839.7371904403</v>
      </c>
      <c r="L196" s="3">
        <f t="shared" si="31"/>
        <v>0</v>
      </c>
      <c r="M196" s="47">
        <f t="shared" si="26"/>
        <v>7560381.4666214464</v>
      </c>
      <c r="N196" s="47">
        <f>IFERROR(HLOOKUP(B196-1,'EV Forecast WRZ'!$F$124:$T$130,5,FALSE)/12,0)+IFERROR(((HLOOKUP(B196,'EV Forecast WRZ'!$F$116:$T$122,5,FALSE)-HLOOKUP(B196-1,'EV Forecast WRZ'!$F$124:$T$130,5,FALSE)))*C196/78,0)</f>
        <v>22552.934555024141</v>
      </c>
      <c r="O196" s="47">
        <f t="shared" si="27"/>
        <v>7582934.4011764703</v>
      </c>
    </row>
    <row r="197" spans="1:15">
      <c r="A197" s="2">
        <f t="shared" si="22"/>
        <v>47968</v>
      </c>
      <c r="B197">
        <f t="shared" si="23"/>
        <v>2031</v>
      </c>
      <c r="C197">
        <f t="shared" si="24"/>
        <v>4</v>
      </c>
      <c r="E197" s="47">
        <f t="shared" si="25"/>
        <v>30</v>
      </c>
      <c r="F197" s="3">
        <f>'Customer Count'!BH122</f>
        <v>3</v>
      </c>
      <c r="G197" s="3">
        <f>'Monthly Data'!ED197</f>
        <v>0</v>
      </c>
      <c r="I197" s="3">
        <f t="shared" si="28"/>
        <v>-4783589.0194705203</v>
      </c>
      <c r="J197" s="3">
        <f t="shared" si="29"/>
        <v>5881094.27313051</v>
      </c>
      <c r="K197" s="3">
        <f t="shared" si="30"/>
        <v>6266839.7371904403</v>
      </c>
      <c r="L197" s="3">
        <f t="shared" si="31"/>
        <v>0</v>
      </c>
      <c r="M197" s="47">
        <f t="shared" si="26"/>
        <v>7364344.99085043</v>
      </c>
      <c r="N197" s="47">
        <f>IFERROR(HLOOKUP(B197-1,'EV Forecast WRZ'!$F$124:$T$130,5,FALSE)/12,0)+IFERROR(((HLOOKUP(B197,'EV Forecast WRZ'!$F$116:$T$122,5,FALSE)-HLOOKUP(B197-1,'EV Forecast WRZ'!$F$124:$T$130,5,FALSE)))*C197/78,0)</f>
        <v>22843.217664798318</v>
      </c>
      <c r="O197" s="47">
        <f t="shared" si="27"/>
        <v>7387188.2085152287</v>
      </c>
    </row>
    <row r="198" spans="1:15">
      <c r="A198" s="2">
        <f t="shared" si="22"/>
        <v>47999</v>
      </c>
      <c r="B198">
        <f t="shared" si="23"/>
        <v>2031</v>
      </c>
      <c r="C198">
        <f t="shared" si="24"/>
        <v>5</v>
      </c>
      <c r="E198" s="47">
        <f t="shared" si="25"/>
        <v>31</v>
      </c>
      <c r="F198" s="3">
        <f>'Customer Count'!BH123</f>
        <v>3</v>
      </c>
      <c r="G198" s="3">
        <f>'Monthly Data'!ED198</f>
        <v>0</v>
      </c>
      <c r="I198" s="3">
        <f t="shared" si="28"/>
        <v>-4783589.0194705203</v>
      </c>
      <c r="J198" s="3">
        <f t="shared" si="29"/>
        <v>6077130.7489015264</v>
      </c>
      <c r="K198" s="3">
        <f t="shared" si="30"/>
        <v>6266839.7371904403</v>
      </c>
      <c r="L198" s="3">
        <f t="shared" si="31"/>
        <v>0</v>
      </c>
      <c r="M198" s="47">
        <f t="shared" si="26"/>
        <v>7560381.4666214464</v>
      </c>
      <c r="N198" s="47">
        <f>IFERROR(HLOOKUP(B198-1,'EV Forecast WRZ'!$F$124:$T$130,5,FALSE)/12,0)+IFERROR(((HLOOKUP(B198,'EV Forecast WRZ'!$F$116:$T$122,5,FALSE)-HLOOKUP(B198-1,'EV Forecast WRZ'!$F$124:$T$130,5,FALSE)))*C198/78,0)</f>
        <v>23133.500774572494</v>
      </c>
      <c r="O198" s="47">
        <f t="shared" si="27"/>
        <v>7583514.967396019</v>
      </c>
    </row>
    <row r="199" spans="1:15">
      <c r="A199" s="2">
        <f t="shared" si="22"/>
        <v>48029</v>
      </c>
      <c r="B199">
        <f t="shared" si="23"/>
        <v>2031</v>
      </c>
      <c r="C199">
        <f t="shared" si="24"/>
        <v>6</v>
      </c>
      <c r="E199" s="47">
        <f t="shared" si="25"/>
        <v>30</v>
      </c>
      <c r="F199" s="3">
        <f>'Customer Count'!BH124</f>
        <v>3</v>
      </c>
      <c r="G199" s="3">
        <f>'Monthly Data'!ED199</f>
        <v>0</v>
      </c>
      <c r="I199" s="3">
        <f t="shared" si="28"/>
        <v>-4783589.0194705203</v>
      </c>
      <c r="J199" s="3">
        <f t="shared" si="29"/>
        <v>5881094.27313051</v>
      </c>
      <c r="K199" s="3">
        <f t="shared" si="30"/>
        <v>6266839.7371904403</v>
      </c>
      <c r="L199" s="3">
        <f t="shared" si="31"/>
        <v>0</v>
      </c>
      <c r="M199" s="47">
        <f t="shared" si="26"/>
        <v>7364344.99085043</v>
      </c>
      <c r="N199" s="47">
        <f>IFERROR(HLOOKUP(B199-1,'EV Forecast WRZ'!$F$124:$T$130,5,FALSE)/12,0)+IFERROR(((HLOOKUP(B199,'EV Forecast WRZ'!$F$116:$T$122,5,FALSE)-HLOOKUP(B199-1,'EV Forecast WRZ'!$F$124:$T$130,5,FALSE)))*C199/78,0)</f>
        <v>23423.783884346671</v>
      </c>
      <c r="O199" s="47">
        <f t="shared" si="27"/>
        <v>7387768.7747347765</v>
      </c>
    </row>
    <row r="200" spans="1:15">
      <c r="A200" s="2">
        <f t="shared" si="22"/>
        <v>48060</v>
      </c>
      <c r="B200">
        <f t="shared" si="23"/>
        <v>2031</v>
      </c>
      <c r="C200">
        <f t="shared" si="24"/>
        <v>7</v>
      </c>
      <c r="E200" s="47">
        <f t="shared" si="25"/>
        <v>31</v>
      </c>
      <c r="F200" s="3">
        <f>'Customer Count'!BH125</f>
        <v>3</v>
      </c>
      <c r="G200" s="3">
        <f>'Monthly Data'!ED200</f>
        <v>0</v>
      </c>
      <c r="I200" s="3">
        <f t="shared" si="28"/>
        <v>-4783589.0194705203</v>
      </c>
      <c r="J200" s="3">
        <f t="shared" si="29"/>
        <v>6077130.7489015264</v>
      </c>
      <c r="K200" s="3">
        <f t="shared" si="30"/>
        <v>6266839.7371904403</v>
      </c>
      <c r="L200" s="3">
        <f t="shared" si="31"/>
        <v>0</v>
      </c>
      <c r="M200" s="47">
        <f t="shared" si="26"/>
        <v>7560381.4666214464</v>
      </c>
      <c r="N200" s="47">
        <f>IFERROR(HLOOKUP(B200-1,'EV Forecast WRZ'!$F$124:$T$130,5,FALSE)/12,0)+IFERROR(((HLOOKUP(B200,'EV Forecast WRZ'!$F$116:$T$122,5,FALSE)-HLOOKUP(B200-1,'EV Forecast WRZ'!$F$124:$T$130,5,FALSE)))*C200/78,0)</f>
        <v>23714.066994120843</v>
      </c>
      <c r="O200" s="47">
        <f t="shared" si="27"/>
        <v>7584095.5336155677</v>
      </c>
    </row>
    <row r="201" spans="1:15">
      <c r="A201" s="2">
        <f t="shared" si="22"/>
        <v>48091</v>
      </c>
      <c r="B201">
        <f t="shared" si="23"/>
        <v>2031</v>
      </c>
      <c r="C201">
        <f t="shared" si="24"/>
        <v>8</v>
      </c>
      <c r="E201" s="47">
        <f t="shared" si="25"/>
        <v>31</v>
      </c>
      <c r="F201" s="3">
        <f>'Customer Count'!BH126</f>
        <v>3</v>
      </c>
      <c r="G201" s="3">
        <f>'Monthly Data'!ED201</f>
        <v>0</v>
      </c>
      <c r="I201" s="3">
        <f t="shared" si="28"/>
        <v>-4783589.0194705203</v>
      </c>
      <c r="J201" s="3">
        <f t="shared" si="29"/>
        <v>6077130.7489015264</v>
      </c>
      <c r="K201" s="3">
        <f t="shared" si="30"/>
        <v>6266839.7371904403</v>
      </c>
      <c r="L201" s="3">
        <f t="shared" si="31"/>
        <v>0</v>
      </c>
      <c r="M201" s="47">
        <f t="shared" si="26"/>
        <v>7560381.4666214464</v>
      </c>
      <c r="N201" s="47">
        <f>IFERROR(HLOOKUP(B201-1,'EV Forecast WRZ'!$F$124:$T$130,5,FALSE)/12,0)+IFERROR(((HLOOKUP(B201,'EV Forecast WRZ'!$F$116:$T$122,5,FALSE)-HLOOKUP(B201-1,'EV Forecast WRZ'!$F$124:$T$130,5,FALSE)))*C201/78,0)</f>
        <v>24004.35010389502</v>
      </c>
      <c r="O201" s="47">
        <f t="shared" si="27"/>
        <v>7584385.8167253416</v>
      </c>
    </row>
    <row r="202" spans="1:15">
      <c r="A202" s="2">
        <f t="shared" si="22"/>
        <v>48121</v>
      </c>
      <c r="B202">
        <f t="shared" si="23"/>
        <v>2031</v>
      </c>
      <c r="C202">
        <f t="shared" si="24"/>
        <v>9</v>
      </c>
      <c r="E202" s="47">
        <f t="shared" si="25"/>
        <v>30</v>
      </c>
      <c r="F202" s="3">
        <f>'Customer Count'!BH127</f>
        <v>3</v>
      </c>
      <c r="G202" s="3">
        <f>'Monthly Data'!ED202</f>
        <v>0</v>
      </c>
      <c r="I202" s="3">
        <f t="shared" si="28"/>
        <v>-4783589.0194705203</v>
      </c>
      <c r="J202" s="3">
        <f t="shared" si="29"/>
        <v>5881094.27313051</v>
      </c>
      <c r="K202" s="3">
        <f t="shared" si="30"/>
        <v>6266839.7371904403</v>
      </c>
      <c r="L202" s="3">
        <f t="shared" si="31"/>
        <v>0</v>
      </c>
      <c r="M202" s="47">
        <f t="shared" si="26"/>
        <v>7364344.99085043</v>
      </c>
      <c r="N202" s="47">
        <f>IFERROR(HLOOKUP(B202-1,'EV Forecast WRZ'!$F$124:$T$130,5,FALSE)/12,0)+IFERROR(((HLOOKUP(B202,'EV Forecast WRZ'!$F$116:$T$122,5,FALSE)-HLOOKUP(B202-1,'EV Forecast WRZ'!$F$124:$T$130,5,FALSE)))*C202/78,0)</f>
        <v>24294.633213669196</v>
      </c>
      <c r="O202" s="47">
        <f t="shared" si="27"/>
        <v>7388639.624064099</v>
      </c>
    </row>
    <row r="203" spans="1:15">
      <c r="A203" s="2">
        <f t="shared" si="22"/>
        <v>48152</v>
      </c>
      <c r="B203">
        <f t="shared" si="23"/>
        <v>2031</v>
      </c>
      <c r="C203">
        <f t="shared" si="24"/>
        <v>10</v>
      </c>
      <c r="E203" s="47">
        <f t="shared" si="25"/>
        <v>31</v>
      </c>
      <c r="F203" s="3">
        <f>'Customer Count'!BH128</f>
        <v>3</v>
      </c>
      <c r="G203" s="3">
        <f>'Monthly Data'!ED203</f>
        <v>0</v>
      </c>
      <c r="I203" s="3">
        <f t="shared" si="28"/>
        <v>-4783589.0194705203</v>
      </c>
      <c r="J203" s="3">
        <f t="shared" si="29"/>
        <v>6077130.7489015264</v>
      </c>
      <c r="K203" s="3">
        <f t="shared" si="30"/>
        <v>6266839.7371904403</v>
      </c>
      <c r="L203" s="3">
        <f t="shared" si="31"/>
        <v>0</v>
      </c>
      <c r="M203" s="47">
        <f t="shared" si="26"/>
        <v>7560381.4666214464</v>
      </c>
      <c r="N203" s="47">
        <f>IFERROR(HLOOKUP(B203-1,'EV Forecast WRZ'!$F$124:$T$130,5,FALSE)/12,0)+IFERROR(((HLOOKUP(B203,'EV Forecast WRZ'!$F$116:$T$122,5,FALSE)-HLOOKUP(B203-1,'EV Forecast WRZ'!$F$124:$T$130,5,FALSE)))*C203/78,0)</f>
        <v>24584.916323443373</v>
      </c>
      <c r="O203" s="47">
        <f t="shared" si="27"/>
        <v>7584966.3829448894</v>
      </c>
    </row>
    <row r="204" spans="1:15">
      <c r="A204" s="2">
        <f t="shared" si="22"/>
        <v>48182</v>
      </c>
      <c r="B204">
        <f t="shared" si="23"/>
        <v>2031</v>
      </c>
      <c r="C204">
        <f t="shared" si="24"/>
        <v>11</v>
      </c>
      <c r="E204" s="47">
        <f t="shared" si="25"/>
        <v>30</v>
      </c>
      <c r="F204" s="3">
        <f>'Customer Count'!BH129</f>
        <v>3</v>
      </c>
      <c r="G204" s="3">
        <f>'Monthly Data'!ED204</f>
        <v>0</v>
      </c>
      <c r="I204" s="3">
        <f t="shared" si="28"/>
        <v>-4783589.0194705203</v>
      </c>
      <c r="J204" s="3">
        <f t="shared" si="29"/>
        <v>5881094.27313051</v>
      </c>
      <c r="K204" s="3">
        <f t="shared" si="30"/>
        <v>6266839.7371904403</v>
      </c>
      <c r="L204" s="3">
        <f t="shared" si="31"/>
        <v>0</v>
      </c>
      <c r="M204" s="47">
        <f t="shared" si="26"/>
        <v>7364344.99085043</v>
      </c>
      <c r="N204" s="47">
        <f>IFERROR(HLOOKUP(B204-1,'EV Forecast WRZ'!$F$124:$T$130,5,FALSE)/12,0)+IFERROR(((HLOOKUP(B204,'EV Forecast WRZ'!$F$116:$T$122,5,FALSE)-HLOOKUP(B204-1,'EV Forecast WRZ'!$F$124:$T$130,5,FALSE)))*C204/78,0)</f>
        <v>24875.199433217549</v>
      </c>
      <c r="O204" s="47">
        <f t="shared" si="27"/>
        <v>7389220.1902836477</v>
      </c>
    </row>
    <row r="205" spans="1:15">
      <c r="A205" s="2">
        <f t="shared" si="22"/>
        <v>48213</v>
      </c>
      <c r="B205">
        <f t="shared" si="23"/>
        <v>2031</v>
      </c>
      <c r="C205">
        <f t="shared" si="24"/>
        <v>12</v>
      </c>
      <c r="E205" s="47">
        <f t="shared" si="25"/>
        <v>31</v>
      </c>
      <c r="F205" s="3">
        <f>'Customer Count'!BH130</f>
        <v>3</v>
      </c>
      <c r="G205" s="3">
        <f>'Monthly Data'!ED205</f>
        <v>0</v>
      </c>
      <c r="I205" s="3">
        <f t="shared" si="28"/>
        <v>-4783589.0194705203</v>
      </c>
      <c r="J205" s="3">
        <f t="shared" si="29"/>
        <v>6077130.7489015264</v>
      </c>
      <c r="K205" s="3">
        <f t="shared" si="30"/>
        <v>6266839.7371904403</v>
      </c>
      <c r="L205" s="3">
        <f t="shared" si="31"/>
        <v>0</v>
      </c>
      <c r="M205" s="47">
        <f t="shared" si="26"/>
        <v>7560381.4666214464</v>
      </c>
      <c r="N205" s="47">
        <f>IFERROR(HLOOKUP(B205-1,'EV Forecast WRZ'!$F$124:$T$130,5,FALSE)/12,0)+IFERROR(((HLOOKUP(B205,'EV Forecast WRZ'!$F$116:$T$122,5,FALSE)-HLOOKUP(B205-1,'EV Forecast WRZ'!$F$124:$T$130,5,FALSE)))*C205/78,0)</f>
        <v>25165.482542991725</v>
      </c>
      <c r="O205" s="47">
        <f t="shared" si="27"/>
        <v>7585546.9491644381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79651-9056-46D7-AA73-ABB7E4652E03}">
  <sheetPr codeName="Sheet37">
    <tabColor rgb="FFFF0000"/>
  </sheetPr>
  <dimension ref="B1:ET68"/>
  <sheetViews>
    <sheetView workbookViewId="0">
      <selection activeCell="A5" sqref="A5:XFD5"/>
    </sheetView>
  </sheetViews>
  <sheetFormatPr defaultColWidth="8.5703125" defaultRowHeight="12.75"/>
  <cols>
    <col min="1" max="1" width="8.5703125" style="106"/>
    <col min="2" max="2" width="5.42578125" style="106" customWidth="1"/>
    <col min="3" max="3" width="13.42578125" style="106" customWidth="1"/>
    <col min="4" max="4" width="11.85546875" style="106" bestFit="1" customWidth="1"/>
    <col min="5" max="6" width="12.5703125" style="106" customWidth="1"/>
    <col min="7" max="7" width="11.5703125" style="106" customWidth="1"/>
    <col min="8" max="8" width="13.85546875" style="106" customWidth="1"/>
    <col min="9" max="10" width="13.85546875" style="106" hidden="1" customWidth="1"/>
    <col min="11" max="11" width="10.42578125" style="106" bestFit="1" customWidth="1"/>
    <col min="12" max="12" width="7" style="106" customWidth="1"/>
    <col min="13" max="13" width="13.42578125" style="106" customWidth="1"/>
    <col min="14" max="18" width="11.85546875" style="106" bestFit="1" customWidth="1"/>
    <col min="19" max="19" width="11.5703125" style="106" hidden="1" customWidth="1"/>
    <col min="20" max="20" width="15.42578125" style="106" hidden="1" customWidth="1"/>
    <col min="21" max="21" width="10.42578125" style="106" customWidth="1"/>
    <col min="22" max="22" width="5.42578125" style="106" bestFit="1" customWidth="1"/>
    <col min="23" max="23" width="13.42578125" style="106" customWidth="1"/>
    <col min="24" max="24" width="11.42578125" style="106" customWidth="1"/>
    <col min="25" max="26" width="11.85546875" style="106" bestFit="1" customWidth="1"/>
    <col min="27" max="27" width="11.42578125" style="106" customWidth="1"/>
    <col min="28" max="28" width="11.85546875" style="106" bestFit="1" customWidth="1"/>
    <col min="29" max="29" width="12.42578125" style="106" hidden="1" customWidth="1"/>
    <col min="30" max="30" width="14.5703125" style="106" hidden="1" customWidth="1"/>
    <col min="31" max="35" width="14.5703125" style="106" customWidth="1"/>
    <col min="36" max="36" width="12.5703125" style="106" customWidth="1"/>
    <col min="37" max="41" width="14.5703125" style="106" customWidth="1"/>
    <col min="42" max="42" width="8.42578125" style="106" customWidth="1"/>
    <col min="43" max="46" width="14.5703125" style="106" customWidth="1"/>
    <col min="47" max="47" width="12" style="106" customWidth="1"/>
    <col min="48" max="48" width="13.5703125" style="106" customWidth="1"/>
    <col min="49" max="52" width="14.5703125" style="106" customWidth="1"/>
    <col min="53" max="53" width="8" style="106" customWidth="1"/>
    <col min="54" max="63" width="14.5703125" style="106" customWidth="1"/>
    <col min="64" max="64" width="6.5703125" style="106" customWidth="1"/>
    <col min="65" max="65" width="13" style="106" bestFit="1" customWidth="1"/>
    <col min="66" max="66" width="10.42578125" style="106" customWidth="1"/>
    <col min="67" max="67" width="8.5703125" style="106" customWidth="1"/>
    <col min="68" max="68" width="10.42578125" style="106" customWidth="1"/>
    <col min="69" max="69" width="12.140625" style="106" customWidth="1"/>
    <col min="70" max="71" width="8.5703125" style="106"/>
    <col min="72" max="76" width="8.85546875" style="106" bestFit="1" customWidth="1"/>
    <col min="77" max="78" width="8.5703125" style="106"/>
    <col min="79" max="79" width="8.85546875" style="106" bestFit="1" customWidth="1"/>
    <col min="80" max="80" width="13.42578125" style="106" customWidth="1"/>
    <col min="81" max="81" width="12.42578125" style="106" bestFit="1" customWidth="1"/>
    <col min="82" max="82" width="11.5703125" style="106" customWidth="1"/>
    <col min="83" max="83" width="9.85546875" style="106" bestFit="1" customWidth="1"/>
    <col min="84" max="84" width="8.5703125" style="106"/>
    <col min="85" max="85" width="11.5703125" style="106" bestFit="1" customWidth="1"/>
    <col min="86" max="87" width="8.5703125" style="106"/>
    <col min="88" max="88" width="8.85546875" style="106" bestFit="1" customWidth="1"/>
    <col min="89" max="89" width="11.140625" style="106" bestFit="1" customWidth="1"/>
    <col min="90" max="90" width="11.42578125" style="106" customWidth="1"/>
    <col min="91" max="91" width="11.140625" style="106" bestFit="1" customWidth="1"/>
    <col min="92" max="92" width="11.42578125" style="106" bestFit="1" customWidth="1"/>
    <col min="93" max="93" width="11.5703125" style="106" customWidth="1"/>
    <col min="94" max="94" width="12.42578125" style="106" customWidth="1"/>
    <col min="95" max="95" width="11.42578125" style="106" customWidth="1"/>
    <col min="96" max="96" width="11.5703125" style="106" customWidth="1"/>
    <col min="97" max="97" width="11.140625" style="106" bestFit="1" customWidth="1"/>
    <col min="98" max="98" width="8.85546875" style="106" bestFit="1" customWidth="1"/>
    <col min="99" max="99" width="10.140625" style="106" bestFit="1" customWidth="1"/>
    <col min="100" max="100" width="11.42578125" style="106" customWidth="1"/>
    <col min="101" max="101" width="10.140625" style="106" bestFit="1" customWidth="1"/>
    <col min="102" max="102" width="11.140625" style="106" bestFit="1" customWidth="1"/>
    <col min="103" max="104" width="11.42578125" style="106" customWidth="1"/>
    <col min="105" max="105" width="8.85546875" style="106" bestFit="1" customWidth="1"/>
    <col min="106" max="106" width="11.42578125" style="106" customWidth="1"/>
    <col min="107" max="107" width="8.5703125" style="106"/>
    <col min="108" max="108" width="8.85546875" style="106" bestFit="1" customWidth="1"/>
    <col min="109" max="109" width="11.140625" style="106" bestFit="1" customWidth="1"/>
    <col min="110" max="110" width="10.140625" style="106" bestFit="1" customWidth="1"/>
    <col min="111" max="111" width="11.140625" style="106" bestFit="1" customWidth="1"/>
    <col min="112" max="112" width="11.42578125" style="106" bestFit="1" customWidth="1"/>
    <col min="113" max="113" width="10.42578125" style="106" customWidth="1"/>
    <col min="114" max="114" width="11.42578125" style="106" bestFit="1" customWidth="1"/>
    <col min="115" max="115" width="10.42578125" style="106" customWidth="1"/>
    <col min="116" max="116" width="10.85546875" style="106" customWidth="1"/>
    <col min="117" max="117" width="14" style="106" customWidth="1"/>
    <col min="118" max="118" width="11.140625" style="106" customWidth="1"/>
    <col min="119" max="119" width="8.85546875" style="106" bestFit="1" customWidth="1"/>
    <col min="120" max="121" width="10.5703125" style="106" customWidth="1"/>
    <col min="122" max="122" width="10" style="106" customWidth="1"/>
    <col min="123" max="123" width="10.5703125" style="106" customWidth="1"/>
    <col min="124" max="124" width="10.42578125" style="106" customWidth="1"/>
    <col min="125" max="126" width="10.5703125" style="106" customWidth="1"/>
    <col min="127" max="127" width="13.5703125" style="106" customWidth="1"/>
    <col min="128" max="128" width="11.140625" style="106" bestFit="1" customWidth="1"/>
    <col min="129" max="129" width="8.5703125" style="106"/>
    <col min="130" max="130" width="8.85546875" style="106" bestFit="1" customWidth="1"/>
    <col min="131" max="131" width="10.5703125" style="106" customWidth="1"/>
    <col min="132" max="133" width="8.85546875" style="106" bestFit="1" customWidth="1"/>
    <col min="134" max="134" width="9.140625" style="106" bestFit="1" customWidth="1"/>
    <col min="135" max="136" width="8.5703125" style="106"/>
    <col min="137" max="141" width="8.85546875" style="106" bestFit="1" customWidth="1"/>
    <col min="142" max="143" width="8.5703125" style="106"/>
    <col min="144" max="144" width="8.85546875" style="106" bestFit="1" customWidth="1"/>
    <col min="145" max="145" width="9.140625" style="106" bestFit="1" customWidth="1"/>
    <col min="146" max="147" width="8.85546875" style="106" bestFit="1" customWidth="1"/>
    <col min="148" max="148" width="9.140625" style="106" bestFit="1" customWidth="1"/>
    <col min="149" max="16384" width="8.5703125" style="106"/>
  </cols>
  <sheetData>
    <row r="1" spans="2:148">
      <c r="AE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9"/>
      <c r="BB1" s="705"/>
      <c r="BC1" s="705"/>
      <c r="BD1" s="705"/>
      <c r="BE1" s="705"/>
      <c r="BF1" s="705"/>
      <c r="BG1" s="705"/>
      <c r="BH1" s="705"/>
      <c r="BI1" s="705"/>
      <c r="BJ1" s="705"/>
      <c r="BK1" s="705"/>
      <c r="DC1" s="705"/>
      <c r="DM1" s="705"/>
      <c r="DN1" s="705"/>
      <c r="DO1" s="705"/>
      <c r="DP1" s="705"/>
      <c r="DQ1" s="705"/>
      <c r="DR1" s="705"/>
      <c r="DS1" s="705"/>
      <c r="DT1" s="705"/>
      <c r="DU1" s="705"/>
      <c r="DV1" s="705"/>
      <c r="DW1" s="705"/>
      <c r="DX1" s="705"/>
    </row>
    <row r="2" spans="2:148">
      <c r="B2" s="870" t="s">
        <v>728</v>
      </c>
      <c r="C2" s="870"/>
      <c r="D2" s="870"/>
      <c r="E2" s="870"/>
      <c r="F2" s="870"/>
      <c r="G2" s="870"/>
      <c r="H2" s="870"/>
      <c r="I2" s="700"/>
      <c r="J2" s="700"/>
      <c r="L2" s="870" t="s">
        <v>729</v>
      </c>
      <c r="M2" s="870"/>
      <c r="N2" s="870"/>
      <c r="O2" s="870"/>
      <c r="P2" s="870"/>
      <c r="Q2" s="870"/>
      <c r="R2" s="870"/>
      <c r="S2" s="700"/>
      <c r="T2" s="700"/>
      <c r="V2" s="870" t="s">
        <v>730</v>
      </c>
      <c r="W2" s="870"/>
      <c r="X2" s="870"/>
      <c r="Y2" s="870"/>
      <c r="Z2" s="870"/>
      <c r="AA2" s="870"/>
      <c r="AB2" s="870"/>
      <c r="AC2" s="870"/>
      <c r="AD2" s="870"/>
      <c r="AE2" s="90"/>
      <c r="AF2" s="870" t="s">
        <v>721</v>
      </c>
      <c r="AG2" s="870"/>
      <c r="AH2" s="870"/>
      <c r="AI2" s="870"/>
      <c r="AJ2" s="870"/>
      <c r="AK2" s="870"/>
      <c r="AL2" s="870"/>
      <c r="AM2" s="870"/>
      <c r="AN2" s="870"/>
      <c r="AO2" s="870"/>
      <c r="AP2" s="90"/>
      <c r="AQ2" s="870" t="s">
        <v>722</v>
      </c>
      <c r="AR2" s="870"/>
      <c r="AS2" s="870"/>
      <c r="AT2" s="870"/>
      <c r="AU2" s="870"/>
      <c r="AV2" s="870"/>
      <c r="AW2" s="870"/>
      <c r="AX2" s="870"/>
      <c r="AY2" s="870"/>
      <c r="AZ2" s="870"/>
      <c r="BA2" s="709"/>
      <c r="BB2" s="870" t="s">
        <v>731</v>
      </c>
      <c r="BC2" s="870"/>
      <c r="BD2" s="870"/>
      <c r="BE2" s="870"/>
      <c r="BF2" s="870"/>
      <c r="BG2" s="870"/>
      <c r="BH2" s="870"/>
      <c r="BI2" s="870"/>
      <c r="BJ2" s="870"/>
      <c r="BK2" s="870"/>
      <c r="BM2" s="870" t="s">
        <v>517</v>
      </c>
      <c r="BN2" s="870"/>
      <c r="BO2" s="870"/>
      <c r="BP2" s="870"/>
      <c r="BQ2" s="870"/>
      <c r="BT2" s="870" t="s">
        <v>518</v>
      </c>
      <c r="BU2" s="870"/>
      <c r="BV2" s="870"/>
      <c r="BW2" s="870"/>
      <c r="BX2" s="870"/>
      <c r="CA2" s="870" t="s">
        <v>519</v>
      </c>
      <c r="CB2" s="870"/>
      <c r="CC2" s="870"/>
      <c r="CD2" s="870"/>
      <c r="CE2" s="870"/>
      <c r="CJ2" s="870" t="s">
        <v>724</v>
      </c>
      <c r="CK2" s="870"/>
      <c r="CL2" s="870"/>
      <c r="CM2" s="870"/>
      <c r="CN2" s="870"/>
      <c r="CO2" s="870"/>
      <c r="CP2" s="870"/>
      <c r="CQ2" s="870"/>
      <c r="CR2" s="870"/>
      <c r="CT2" s="870" t="s">
        <v>732</v>
      </c>
      <c r="CU2" s="870"/>
      <c r="CV2" s="870"/>
      <c r="CW2" s="870"/>
      <c r="CX2" s="870"/>
      <c r="CY2" s="870"/>
      <c r="CZ2" s="870"/>
      <c r="DA2" s="870"/>
      <c r="DB2" s="870"/>
      <c r="DC2" s="90"/>
      <c r="DD2" s="870" t="s">
        <v>726</v>
      </c>
      <c r="DE2" s="870"/>
      <c r="DF2" s="870"/>
      <c r="DG2" s="870"/>
      <c r="DH2" s="870"/>
      <c r="DI2" s="870"/>
      <c r="DJ2" s="870"/>
      <c r="DK2" s="870"/>
      <c r="DL2" s="870"/>
      <c r="DM2" s="870"/>
      <c r="DN2" s="90"/>
      <c r="DO2" s="870" t="s">
        <v>727</v>
      </c>
      <c r="DP2" s="870"/>
      <c r="DQ2" s="870"/>
      <c r="DR2" s="870"/>
      <c r="DS2" s="870"/>
      <c r="DT2" s="870"/>
      <c r="DU2" s="870"/>
      <c r="DV2" s="870"/>
      <c r="DW2" s="870"/>
      <c r="DX2" s="870"/>
      <c r="DZ2" s="870" t="s">
        <v>520</v>
      </c>
      <c r="EA2" s="870"/>
      <c r="EB2" s="870"/>
      <c r="EC2" s="870"/>
      <c r="ED2" s="870"/>
      <c r="EG2" s="870" t="s">
        <v>521</v>
      </c>
      <c r="EH2" s="870"/>
      <c r="EI2" s="870"/>
      <c r="EJ2" s="870"/>
      <c r="EK2" s="870"/>
      <c r="EN2" s="870" t="s">
        <v>522</v>
      </c>
      <c r="EO2" s="870"/>
      <c r="EP2" s="870"/>
      <c r="EQ2" s="870"/>
      <c r="ER2" s="870"/>
    </row>
    <row r="3" spans="2:148" s="706" customFormat="1" ht="76.5">
      <c r="B3" s="95" t="s">
        <v>35</v>
      </c>
      <c r="C3" s="95" t="s">
        <v>350</v>
      </c>
      <c r="D3" s="95" t="s">
        <v>440</v>
      </c>
      <c r="E3" s="95" t="s">
        <v>441</v>
      </c>
      <c r="F3" s="95" t="s">
        <v>442</v>
      </c>
      <c r="G3" s="95" t="s">
        <v>440</v>
      </c>
      <c r="H3" s="95" t="s">
        <v>439</v>
      </c>
      <c r="I3" s="95" t="s">
        <v>443</v>
      </c>
      <c r="J3" s="95" t="s">
        <v>444</v>
      </c>
      <c r="L3" s="95" t="s">
        <v>35</v>
      </c>
      <c r="M3" s="95" t="s">
        <v>350</v>
      </c>
      <c r="N3" s="95" t="s">
        <v>440</v>
      </c>
      <c r="O3" s="95" t="s">
        <v>441</v>
      </c>
      <c r="P3" s="95" t="s">
        <v>445</v>
      </c>
      <c r="Q3" s="95" t="s">
        <v>440</v>
      </c>
      <c r="R3" s="95" t="s">
        <v>439</v>
      </c>
      <c r="S3" s="95" t="s">
        <v>443</v>
      </c>
      <c r="T3" s="95" t="s">
        <v>444</v>
      </c>
      <c r="V3" s="95" t="s">
        <v>35</v>
      </c>
      <c r="W3" s="95" t="s">
        <v>350</v>
      </c>
      <c r="X3" s="95" t="s">
        <v>440</v>
      </c>
      <c r="Y3" s="95" t="s">
        <v>441</v>
      </c>
      <c r="Z3" s="95" t="s">
        <v>442</v>
      </c>
      <c r="AA3" s="95" t="s">
        <v>440</v>
      </c>
      <c r="AB3" s="95" t="s">
        <v>439</v>
      </c>
      <c r="AC3" s="95" t="s">
        <v>446</v>
      </c>
      <c r="AD3" s="95" t="s">
        <v>444</v>
      </c>
      <c r="AE3" s="89"/>
      <c r="AF3" s="95" t="s">
        <v>35</v>
      </c>
      <c r="AG3" s="95" t="s">
        <v>350</v>
      </c>
      <c r="AH3" s="95" t="s">
        <v>440</v>
      </c>
      <c r="AI3" s="95" t="s">
        <v>441</v>
      </c>
      <c r="AJ3" s="95" t="s">
        <v>442</v>
      </c>
      <c r="AK3" s="95" t="s">
        <v>440</v>
      </c>
      <c r="AL3" s="95" t="s">
        <v>439</v>
      </c>
      <c r="AM3" s="95" t="s">
        <v>443</v>
      </c>
      <c r="AN3" s="95" t="s">
        <v>444</v>
      </c>
      <c r="AO3" s="95" t="s">
        <v>737</v>
      </c>
      <c r="AP3" s="90"/>
      <c r="AQ3" s="95" t="s">
        <v>35</v>
      </c>
      <c r="AR3" s="95" t="s">
        <v>350</v>
      </c>
      <c r="AS3" s="95" t="s">
        <v>440</v>
      </c>
      <c r="AT3" s="95" t="s">
        <v>441</v>
      </c>
      <c r="AU3" s="95" t="s">
        <v>442</v>
      </c>
      <c r="AV3" s="95" t="s">
        <v>440</v>
      </c>
      <c r="AW3" s="95" t="s">
        <v>439</v>
      </c>
      <c r="AX3" s="95" t="s">
        <v>446</v>
      </c>
      <c r="AY3" s="95" t="s">
        <v>444</v>
      </c>
      <c r="AZ3" s="95" t="s">
        <v>737</v>
      </c>
      <c r="BA3" s="709"/>
      <c r="BB3" s="95" t="s">
        <v>35</v>
      </c>
      <c r="BC3" s="95" t="s">
        <v>350</v>
      </c>
      <c r="BD3" s="95" t="s">
        <v>440</v>
      </c>
      <c r="BE3" s="95" t="s">
        <v>441</v>
      </c>
      <c r="BF3" s="95" t="s">
        <v>442</v>
      </c>
      <c r="BG3" s="95" t="s">
        <v>440</v>
      </c>
      <c r="BH3" s="95" t="s">
        <v>439</v>
      </c>
      <c r="BI3" s="95" t="s">
        <v>446</v>
      </c>
      <c r="BJ3" s="95" t="s">
        <v>444</v>
      </c>
      <c r="BK3" s="95" t="s">
        <v>737</v>
      </c>
      <c r="BM3" s="94" t="s">
        <v>35</v>
      </c>
      <c r="BN3" s="93" t="s">
        <v>350</v>
      </c>
      <c r="BO3" s="93" t="s">
        <v>447</v>
      </c>
      <c r="BP3" s="93" t="s">
        <v>448</v>
      </c>
      <c r="BQ3" s="93" t="s">
        <v>449</v>
      </c>
      <c r="BT3" s="94" t="s">
        <v>35</v>
      </c>
      <c r="BU3" s="93" t="s">
        <v>350</v>
      </c>
      <c r="BV3" s="93" t="s">
        <v>447</v>
      </c>
      <c r="BW3" s="93" t="s">
        <v>448</v>
      </c>
      <c r="BX3" s="93" t="s">
        <v>449</v>
      </c>
      <c r="CA3" s="94" t="s">
        <v>35</v>
      </c>
      <c r="CB3" s="94" t="s">
        <v>350</v>
      </c>
      <c r="CC3" s="94" t="s">
        <v>733</v>
      </c>
      <c r="CD3" s="93" t="s">
        <v>734</v>
      </c>
      <c r="CE3" s="93" t="s">
        <v>449</v>
      </c>
      <c r="CJ3" s="95" t="s">
        <v>35</v>
      </c>
      <c r="CK3" s="95" t="s">
        <v>350</v>
      </c>
      <c r="CL3" s="95" t="s">
        <v>440</v>
      </c>
      <c r="CM3" s="95" t="s">
        <v>441</v>
      </c>
      <c r="CN3" s="95" t="s">
        <v>442</v>
      </c>
      <c r="CO3" s="95" t="s">
        <v>440</v>
      </c>
      <c r="CP3" s="95" t="s">
        <v>439</v>
      </c>
      <c r="CQ3" s="95" t="s">
        <v>443</v>
      </c>
      <c r="CR3" s="95" t="s">
        <v>444</v>
      </c>
      <c r="CT3" s="95" t="s">
        <v>35</v>
      </c>
      <c r="CU3" s="95" t="s">
        <v>350</v>
      </c>
      <c r="CV3" s="95" t="s">
        <v>440</v>
      </c>
      <c r="CW3" s="95" t="s">
        <v>441</v>
      </c>
      <c r="CX3" s="95" t="s">
        <v>442</v>
      </c>
      <c r="CY3" s="95" t="s">
        <v>440</v>
      </c>
      <c r="CZ3" s="95" t="s">
        <v>439</v>
      </c>
      <c r="DA3" s="95" t="s">
        <v>446</v>
      </c>
      <c r="DB3" s="95" t="s">
        <v>444</v>
      </c>
      <c r="DC3" s="89"/>
      <c r="DD3" s="95" t="s">
        <v>35</v>
      </c>
      <c r="DE3" s="95" t="s">
        <v>350</v>
      </c>
      <c r="DF3" s="95" t="s">
        <v>440</v>
      </c>
      <c r="DG3" s="95" t="s">
        <v>441</v>
      </c>
      <c r="DH3" s="95" t="s">
        <v>442</v>
      </c>
      <c r="DI3" s="95" t="s">
        <v>440</v>
      </c>
      <c r="DJ3" s="95" t="s">
        <v>439</v>
      </c>
      <c r="DK3" s="95" t="s">
        <v>446</v>
      </c>
      <c r="DL3" s="95" t="s">
        <v>444</v>
      </c>
      <c r="DM3" s="95" t="s">
        <v>737</v>
      </c>
      <c r="DN3" s="90"/>
      <c r="DO3" s="95" t="s">
        <v>35</v>
      </c>
      <c r="DP3" s="95" t="s">
        <v>350</v>
      </c>
      <c r="DQ3" s="95" t="s">
        <v>440</v>
      </c>
      <c r="DR3" s="95" t="s">
        <v>441</v>
      </c>
      <c r="DS3" s="95" t="s">
        <v>442</v>
      </c>
      <c r="DT3" s="95" t="s">
        <v>440</v>
      </c>
      <c r="DU3" s="95" t="s">
        <v>439</v>
      </c>
      <c r="DV3" s="95" t="s">
        <v>446</v>
      </c>
      <c r="DW3" s="95" t="s">
        <v>444</v>
      </c>
      <c r="DX3" s="95" t="s">
        <v>737</v>
      </c>
      <c r="DZ3" s="94" t="s">
        <v>35</v>
      </c>
      <c r="EA3" s="93" t="s">
        <v>350</v>
      </c>
      <c r="EB3" s="93" t="s">
        <v>447</v>
      </c>
      <c r="EC3" s="93" t="s">
        <v>448</v>
      </c>
      <c r="ED3" s="93" t="s">
        <v>449</v>
      </c>
      <c r="EG3" s="94" t="s">
        <v>35</v>
      </c>
      <c r="EH3" s="93" t="s">
        <v>350</v>
      </c>
      <c r="EI3" s="93" t="s">
        <v>447</v>
      </c>
      <c r="EJ3" s="93" t="s">
        <v>448</v>
      </c>
      <c r="EK3" s="93" t="s">
        <v>449</v>
      </c>
      <c r="EN3" s="94" t="s">
        <v>35</v>
      </c>
      <c r="EO3" s="94" t="s">
        <v>350</v>
      </c>
      <c r="EP3" s="94" t="s">
        <v>733</v>
      </c>
      <c r="EQ3" s="93" t="s">
        <v>734</v>
      </c>
      <c r="ER3" s="93" t="s">
        <v>449</v>
      </c>
    </row>
    <row r="4" spans="2:148" s="707" customFormat="1">
      <c r="B4" s="701"/>
      <c r="C4" s="701" t="s">
        <v>181</v>
      </c>
      <c r="D4" s="701" t="s">
        <v>182</v>
      </c>
      <c r="E4" s="701" t="s">
        <v>450</v>
      </c>
      <c r="F4" s="701" t="s">
        <v>184</v>
      </c>
      <c r="G4" s="701" t="s">
        <v>451</v>
      </c>
      <c r="H4" s="701" t="s">
        <v>452</v>
      </c>
      <c r="I4" s="701" t="s">
        <v>187</v>
      </c>
      <c r="J4" s="701" t="s">
        <v>453</v>
      </c>
      <c r="L4" s="701"/>
      <c r="M4" s="701" t="s">
        <v>181</v>
      </c>
      <c r="N4" s="701" t="s">
        <v>182</v>
      </c>
      <c r="O4" s="701" t="s">
        <v>450</v>
      </c>
      <c r="P4" s="701" t="s">
        <v>184</v>
      </c>
      <c r="Q4" s="701" t="s">
        <v>451</v>
      </c>
      <c r="R4" s="701" t="s">
        <v>452</v>
      </c>
      <c r="S4" s="701" t="s">
        <v>187</v>
      </c>
      <c r="T4" s="701" t="s">
        <v>453</v>
      </c>
      <c r="V4" s="701"/>
      <c r="W4" s="701" t="s">
        <v>181</v>
      </c>
      <c r="X4" s="701" t="s">
        <v>182</v>
      </c>
      <c r="Y4" s="701" t="s">
        <v>450</v>
      </c>
      <c r="Z4" s="701" t="s">
        <v>184</v>
      </c>
      <c r="AA4" s="701" t="s">
        <v>451</v>
      </c>
      <c r="AB4" s="701" t="s">
        <v>452</v>
      </c>
      <c r="AC4" s="701" t="s">
        <v>187</v>
      </c>
      <c r="AD4" s="701" t="s">
        <v>453</v>
      </c>
      <c r="AE4" s="702"/>
      <c r="AF4" s="701"/>
      <c r="AG4" s="701" t="s">
        <v>181</v>
      </c>
      <c r="AH4" s="701" t="s">
        <v>182</v>
      </c>
      <c r="AI4" s="701" t="s">
        <v>450</v>
      </c>
      <c r="AJ4" s="701" t="s">
        <v>184</v>
      </c>
      <c r="AK4" s="701" t="s">
        <v>451</v>
      </c>
      <c r="AL4" s="701" t="s">
        <v>452</v>
      </c>
      <c r="AM4" s="701" t="s">
        <v>187</v>
      </c>
      <c r="AN4" s="701" t="s">
        <v>453</v>
      </c>
      <c r="AO4" s="701" t="s">
        <v>738</v>
      </c>
      <c r="AP4" s="90"/>
      <c r="AQ4" s="701"/>
      <c r="AR4" s="701" t="s">
        <v>181</v>
      </c>
      <c r="AS4" s="701" t="s">
        <v>182</v>
      </c>
      <c r="AT4" s="701" t="s">
        <v>450</v>
      </c>
      <c r="AU4" s="701" t="s">
        <v>184</v>
      </c>
      <c r="AV4" s="701" t="s">
        <v>451</v>
      </c>
      <c r="AW4" s="701" t="s">
        <v>452</v>
      </c>
      <c r="AX4" s="701" t="s">
        <v>187</v>
      </c>
      <c r="AY4" s="701" t="s">
        <v>453</v>
      </c>
      <c r="AZ4" s="701" t="s">
        <v>738</v>
      </c>
      <c r="BA4" s="709"/>
      <c r="BB4" s="701"/>
      <c r="BC4" s="701" t="s">
        <v>181</v>
      </c>
      <c r="BD4" s="701" t="s">
        <v>182</v>
      </c>
      <c r="BE4" s="701" t="s">
        <v>450</v>
      </c>
      <c r="BF4" s="701" t="s">
        <v>184</v>
      </c>
      <c r="BG4" s="701" t="s">
        <v>451</v>
      </c>
      <c r="BH4" s="701" t="s">
        <v>452</v>
      </c>
      <c r="BI4" s="701" t="s">
        <v>187</v>
      </c>
      <c r="BJ4" s="701" t="s">
        <v>453</v>
      </c>
      <c r="BK4" s="701" t="s">
        <v>738</v>
      </c>
      <c r="BM4" s="218"/>
      <c r="BN4" s="218" t="s">
        <v>181</v>
      </c>
      <c r="BO4" s="218" t="s">
        <v>182</v>
      </c>
      <c r="BP4" s="218" t="s">
        <v>281</v>
      </c>
      <c r="BQ4" s="218" t="s">
        <v>454</v>
      </c>
      <c r="BT4" s="218"/>
      <c r="BU4" s="218" t="s">
        <v>181</v>
      </c>
      <c r="BV4" s="218" t="s">
        <v>182</v>
      </c>
      <c r="BW4" s="218" t="s">
        <v>281</v>
      </c>
      <c r="BX4" s="218" t="s">
        <v>454</v>
      </c>
      <c r="CA4" s="218"/>
      <c r="CB4" s="218" t="s">
        <v>181</v>
      </c>
      <c r="CC4" s="218" t="s">
        <v>182</v>
      </c>
      <c r="CD4" s="218" t="s">
        <v>281</v>
      </c>
      <c r="CE4" s="218" t="s">
        <v>454</v>
      </c>
      <c r="CJ4" s="701"/>
      <c r="CK4" s="701" t="s">
        <v>181</v>
      </c>
      <c r="CL4" s="701" t="s">
        <v>182</v>
      </c>
      <c r="CM4" s="701" t="s">
        <v>450</v>
      </c>
      <c r="CN4" s="701" t="s">
        <v>184</v>
      </c>
      <c r="CO4" s="701" t="s">
        <v>451</v>
      </c>
      <c r="CP4" s="701" t="s">
        <v>452</v>
      </c>
      <c r="CQ4" s="701" t="s">
        <v>187</v>
      </c>
      <c r="CR4" s="701" t="s">
        <v>453</v>
      </c>
      <c r="CT4" s="701"/>
      <c r="CU4" s="701" t="s">
        <v>181</v>
      </c>
      <c r="CV4" s="701" t="s">
        <v>182</v>
      </c>
      <c r="CW4" s="701" t="s">
        <v>450</v>
      </c>
      <c r="CX4" s="701" t="s">
        <v>184</v>
      </c>
      <c r="CY4" s="701" t="s">
        <v>451</v>
      </c>
      <c r="CZ4" s="701" t="s">
        <v>452</v>
      </c>
      <c r="DA4" s="701" t="s">
        <v>187</v>
      </c>
      <c r="DB4" s="701" t="s">
        <v>453</v>
      </c>
      <c r="DC4" s="702"/>
      <c r="DD4" s="701"/>
      <c r="DE4" s="701" t="s">
        <v>181</v>
      </c>
      <c r="DF4" s="701" t="s">
        <v>182</v>
      </c>
      <c r="DG4" s="701" t="s">
        <v>450</v>
      </c>
      <c r="DH4" s="701" t="s">
        <v>184</v>
      </c>
      <c r="DI4" s="701" t="s">
        <v>451</v>
      </c>
      <c r="DJ4" s="701" t="s">
        <v>452</v>
      </c>
      <c r="DK4" s="701" t="s">
        <v>187</v>
      </c>
      <c r="DL4" s="701" t="s">
        <v>453</v>
      </c>
      <c r="DM4" s="701" t="s">
        <v>738</v>
      </c>
      <c r="DN4" s="90"/>
      <c r="DO4" s="701"/>
      <c r="DP4" s="701" t="s">
        <v>181</v>
      </c>
      <c r="DQ4" s="701" t="s">
        <v>182</v>
      </c>
      <c r="DR4" s="701" t="s">
        <v>450</v>
      </c>
      <c r="DS4" s="701" t="s">
        <v>184</v>
      </c>
      <c r="DT4" s="701" t="s">
        <v>451</v>
      </c>
      <c r="DU4" s="701" t="s">
        <v>452</v>
      </c>
      <c r="DV4" s="701" t="s">
        <v>187</v>
      </c>
      <c r="DW4" s="701" t="s">
        <v>453</v>
      </c>
      <c r="DX4" s="701" t="s">
        <v>738</v>
      </c>
      <c r="DZ4" s="218"/>
      <c r="EA4" s="218" t="s">
        <v>181</v>
      </c>
      <c r="EB4" s="218" t="s">
        <v>182</v>
      </c>
      <c r="EC4" s="218" t="s">
        <v>281</v>
      </c>
      <c r="ED4" s="218" t="s">
        <v>454</v>
      </c>
      <c r="EG4" s="218"/>
      <c r="EH4" s="218" t="s">
        <v>181</v>
      </c>
      <c r="EI4" s="218" t="s">
        <v>182</v>
      </c>
      <c r="EJ4" s="218" t="s">
        <v>281</v>
      </c>
      <c r="EK4" s="218" t="s">
        <v>454</v>
      </c>
      <c r="EN4" s="218"/>
      <c r="EO4" s="218" t="s">
        <v>181</v>
      </c>
      <c r="EP4" s="218" t="s">
        <v>182</v>
      </c>
      <c r="EQ4" s="218" t="s">
        <v>281</v>
      </c>
      <c r="ER4" s="218" t="s">
        <v>454</v>
      </c>
    </row>
    <row r="5" spans="2:148" hidden="1">
      <c r="B5" s="92">
        <v>2014</v>
      </c>
      <c r="C5" s="55">
        <f>SUMIFS('Monthly Data'!D:D,'Monthly Data'!$B:$B,B5)</f>
        <v>0</v>
      </c>
      <c r="D5" s="55">
        <f>SUMIFS('Monthly Data'!E:E,'Monthly Data'!$B:$B,B5)</f>
        <v>0</v>
      </c>
      <c r="E5" s="55">
        <f>SUMIFS('Monthly Data'!I:I,'Monthly Data'!$B:$B,B5)</f>
        <v>0</v>
      </c>
      <c r="F5" s="55">
        <f>SUMIFS('VRZ Residential Normalized'!X:X,'VRZ Residential Normalized'!B:B,B5)</f>
        <v>0</v>
      </c>
      <c r="G5" s="55">
        <f t="shared" ref="G5:G15" si="0">D5</f>
        <v>0</v>
      </c>
      <c r="H5" s="55">
        <f t="shared" ref="H5:H18" si="1">F5-G5</f>
        <v>0</v>
      </c>
      <c r="I5" s="55"/>
      <c r="J5" s="55">
        <f t="shared" ref="J5:J18" si="2">H5+I5</f>
        <v>0</v>
      </c>
      <c r="L5" s="92">
        <f>B5</f>
        <v>2014</v>
      </c>
      <c r="M5" s="55">
        <f>SUMIFS('Monthly Data'!J:J,'Monthly Data'!$B:$B,L5)</f>
        <v>0</v>
      </c>
      <c r="N5" s="55">
        <f>SUMIFS('Monthly Data'!K:K,'Monthly Data'!$B:$B,L5)</f>
        <v>0</v>
      </c>
      <c r="O5" s="55">
        <f>SUMIFS('Monthly Data'!L:L,'Monthly Data'!$B:$B,L5)</f>
        <v>0</v>
      </c>
      <c r="P5" s="55">
        <f>SUMIFS('VRZ Seasonal Normalized'!V:V,'VRZ Seasonal Normalized'!B:B,L5)</f>
        <v>0</v>
      </c>
      <c r="Q5" s="55">
        <f t="shared" ref="Q5:Q15" si="3">N5</f>
        <v>0</v>
      </c>
      <c r="R5" s="55">
        <f t="shared" ref="R5:R21" si="4">P5-Q5</f>
        <v>0</v>
      </c>
      <c r="S5" s="55"/>
      <c r="T5" s="55">
        <f t="shared" ref="T5:T18" si="5">R5+S5</f>
        <v>0</v>
      </c>
      <c r="V5" s="92">
        <f>L5</f>
        <v>2014</v>
      </c>
      <c r="W5" s="55">
        <f>SUMIFS('Monthly Data'!P:P,'Monthly Data'!$B:$B,V5)</f>
        <v>0</v>
      </c>
      <c r="X5" s="55">
        <f>SUMIFS('Monthly Data'!Q:Q,'Monthly Data'!$B:$B,V5)</f>
        <v>0</v>
      </c>
      <c r="Y5" s="55">
        <f>SUMIFS('Monthly Data'!R:R,'Monthly Data'!$B:$B,V5)</f>
        <v>0</v>
      </c>
      <c r="Z5" s="55">
        <f>SUMIFS('VRZ GS &lt; 50 Normalized'!T:T,'VRZ GS &lt; 50 Normalized'!B:B,V5)</f>
        <v>0</v>
      </c>
      <c r="AA5" s="55">
        <f t="shared" ref="AA5:AA15" si="6">X5</f>
        <v>0</v>
      </c>
      <c r="AB5" s="55">
        <f t="shared" ref="AB5:AB19" si="7">Z5-AA5</f>
        <v>0</v>
      </c>
      <c r="AC5" s="55"/>
      <c r="AD5" s="55">
        <f t="shared" ref="AD5:AD18" si="8">AB5+AC5</f>
        <v>0</v>
      </c>
      <c r="AE5" s="55"/>
      <c r="AF5" s="92">
        <f>V5</f>
        <v>2014</v>
      </c>
      <c r="AG5" s="55">
        <f>SUMIFS('Monthly Data'!V:V,'Monthly Data'!$B:$B,AF5)</f>
        <v>0</v>
      </c>
      <c r="AH5" s="55">
        <f>SUMIFS('Monthly Data'!W:W,'Monthly Data'!$B:$B,AF5)</f>
        <v>0</v>
      </c>
      <c r="AI5" s="55">
        <f>SUMIFS('Monthly Data'!X:X,'Monthly Data'!$B:$B,AF5)</f>
        <v>0</v>
      </c>
      <c r="AJ5" s="55">
        <f>SUMIFS('VRZ GS 50-2,999 Normalized'!V:V,'VRZ GS 50-2,999 Normalized'!B:B,AF5)</f>
        <v>0</v>
      </c>
      <c r="AK5" s="55">
        <f t="shared" ref="AK5:AK15" si="9">AH5</f>
        <v>0</v>
      </c>
      <c r="AL5" s="55">
        <f t="shared" ref="AL5:AL19" si="10">AJ5-AK5</f>
        <v>0</v>
      </c>
      <c r="AM5" s="55"/>
      <c r="AN5" s="55">
        <f t="shared" ref="AN5:AN18" si="11">AL5+AM5</f>
        <v>0</v>
      </c>
      <c r="AO5" s="55"/>
      <c r="AP5" s="90"/>
      <c r="AQ5" s="92">
        <f>AF5</f>
        <v>2014</v>
      </c>
      <c r="AR5" s="55">
        <f>SUMIFS('Monthly Data'!AB:AB,'Monthly Data'!$B:$B,AQ5)</f>
        <v>0</v>
      </c>
      <c r="AS5" s="55">
        <f>SUMIFS('Monthly Data'!AC:AC,'Monthly Data'!$B:$B,AQ5)</f>
        <v>0</v>
      </c>
      <c r="AT5" s="55">
        <f>SUMIFS('Monthly Data'!AD:AD,'Monthly Data'!$B:$B,AQ5)</f>
        <v>0</v>
      </c>
      <c r="AU5" s="55">
        <f>SUMIFS('VRZ GS 3,000-4,999 Normalized'!M:M,'VRZ GS 3,000-4,999 Normalized'!B:B,'Normalized Annual Summary'!AQ5)</f>
        <v>0</v>
      </c>
      <c r="AV5" s="55">
        <f t="shared" ref="AV5:AV15" si="12">AS5</f>
        <v>0</v>
      </c>
      <c r="AW5" s="55">
        <f t="shared" ref="AW5:AW19" si="13">AU5-AV5</f>
        <v>0</v>
      </c>
      <c r="AX5" s="55"/>
      <c r="AY5" s="55">
        <f t="shared" ref="AY5:AY18" si="14">AW5+AX5</f>
        <v>0</v>
      </c>
      <c r="AZ5" s="55"/>
      <c r="BA5" s="709"/>
      <c r="BB5" s="92">
        <f>AQ5</f>
        <v>2014</v>
      </c>
      <c r="BC5" s="55">
        <f>SUMIFS('Monthly Data'!AG:AG,'Monthly Data'!$B:$B,BB5)</f>
        <v>0</v>
      </c>
      <c r="BD5" s="55">
        <f>SUMIFS('Monthly Data'!AH:AH,'Monthly Data'!$B:$B,BB5)</f>
        <v>0</v>
      </c>
      <c r="BE5" s="55">
        <f>SUMIFS('Monthly Data'!AI:AI,'Monthly Data'!$B:$B,BB5)</f>
        <v>0</v>
      </c>
      <c r="BF5" s="55">
        <f>SUMIFS('VRZ Large Use Normalized'!Q:Q,'VRZ Large Use Normalized'!B:B,'Normalized Annual Summary'!BB5)</f>
        <v>0</v>
      </c>
      <c r="BG5" s="55">
        <f t="shared" ref="BG5:BG15" si="15">BD5</f>
        <v>0</v>
      </c>
      <c r="BH5" s="55">
        <f t="shared" ref="BH5:BH19" si="16">BF5-BG5</f>
        <v>0</v>
      </c>
      <c r="BI5" s="55"/>
      <c r="BJ5" s="55">
        <f t="shared" ref="BJ5:BJ18" si="17">BH5+BI5</f>
        <v>0</v>
      </c>
      <c r="BK5" s="55"/>
      <c r="BM5" s="92">
        <f>V5</f>
        <v>2014</v>
      </c>
      <c r="BN5" s="55">
        <f>SUMIFS('Monthly Data'!AL:AL,'Monthly Data'!$B:$B,BM5)</f>
        <v>0</v>
      </c>
      <c r="BO5" s="55"/>
      <c r="BP5" s="55"/>
      <c r="BQ5" s="55"/>
      <c r="BT5" s="92">
        <f>BM5</f>
        <v>2014</v>
      </c>
      <c r="BU5" s="55">
        <f>SUMIFS('Monthly Data'!AM:AM,'Monthly Data'!$B:$B,BT5)</f>
        <v>0</v>
      </c>
      <c r="BV5" s="55"/>
      <c r="BW5" s="55"/>
      <c r="BX5" s="55"/>
      <c r="CA5" s="92">
        <f>BM5</f>
        <v>2014</v>
      </c>
      <c r="CB5" s="55">
        <f>SUMIFS('Monthly Data'!AN:AN,'Monthly Data'!$B:$B,BT5)</f>
        <v>0</v>
      </c>
      <c r="CC5" s="55"/>
      <c r="CD5" s="55"/>
      <c r="CE5" s="55"/>
      <c r="CJ5" s="92">
        <v>2014</v>
      </c>
      <c r="CK5" s="55">
        <f>SUMIFS('Monthly Data'!BC:BC,'Monthly Data'!$B:$B,CJ5)</f>
        <v>0</v>
      </c>
      <c r="CL5" s="55">
        <f>SUMIFS('Monthly Data'!BD:BD,'Monthly Data'!$B:$B,CJ5)</f>
        <v>0</v>
      </c>
      <c r="CM5" s="55">
        <f>SUMIFS('Monthly Data'!BE:BE,'Monthly Data'!$B:$B,CJ5)</f>
        <v>0</v>
      </c>
      <c r="CN5" s="55">
        <f>SUMIFS('WRZ Residential Normalized'!X:X,'WRZ Residential Normalized'!B:B,'Normalized Annual Summary'!CJ5)</f>
        <v>0</v>
      </c>
      <c r="CO5" s="55">
        <f t="shared" ref="CO5:CO15" si="18">CL5</f>
        <v>0</v>
      </c>
      <c r="CP5" s="55">
        <f t="shared" ref="CP5:CP18" si="19">CN5-CO5</f>
        <v>0</v>
      </c>
      <c r="CQ5" s="55"/>
      <c r="CR5" s="55">
        <f t="shared" ref="CR5:CR18" si="20">CP5+CQ5</f>
        <v>0</v>
      </c>
      <c r="CT5" s="92">
        <f>CJ5</f>
        <v>2014</v>
      </c>
      <c r="CU5" s="55">
        <f>SUMIFS('Monthly Data'!BI:BI,'Monthly Data'!$B:$B,CT5)</f>
        <v>0</v>
      </c>
      <c r="CV5" s="55">
        <f>SUMIFS('Monthly Data'!BJ:BJ,'Monthly Data'!$B:$B,CT5)</f>
        <v>0</v>
      </c>
      <c r="CW5" s="55">
        <f>SUMIFS('Monthly Data'!BK:BK,'Monthly Data'!$B:$B,CT5)</f>
        <v>0</v>
      </c>
      <c r="CX5" s="55">
        <f>SUMIFS('WRZ GS &lt; 50 Normalized'!V:V,'WRZ GS &lt; 50 Normalized'!B:B,CT5)</f>
        <v>0</v>
      </c>
      <c r="CY5" s="55">
        <f t="shared" ref="CY5:CY15" si="21">CV5</f>
        <v>0</v>
      </c>
      <c r="CZ5" s="55">
        <f t="shared" ref="CZ5:CZ19" si="22">CX5-CY5</f>
        <v>0</v>
      </c>
      <c r="DA5" s="55"/>
      <c r="DB5" s="55">
        <f t="shared" ref="DB5:DB18" si="23">CZ5+DA5</f>
        <v>0</v>
      </c>
      <c r="DC5" s="55"/>
      <c r="DD5" s="92">
        <f>CT5</f>
        <v>2014</v>
      </c>
      <c r="DE5" s="55">
        <f>SUMIFS('Monthly Data'!BO:BO,'Monthly Data'!$B:$B,DD5)</f>
        <v>0</v>
      </c>
      <c r="DF5" s="55">
        <f>SUMIFS('Monthly Data'!BP:BP,'Monthly Data'!$B:$B,DD5)</f>
        <v>0</v>
      </c>
      <c r="DG5" s="55">
        <f>SUMIFS('Monthly Data'!BQ:BQ,'Monthly Data'!$B:$B,DD5)</f>
        <v>0</v>
      </c>
      <c r="DH5" s="55">
        <f>SUMIFS('WRZ GS 50-2,999 Normalized'!T:T,'WRZ GS 50-2,999 Normalized'!B:B,'Normalized Annual Summary'!DD5)</f>
        <v>0</v>
      </c>
      <c r="DI5" s="55">
        <f t="shared" ref="DI5:DI15" si="24">DF5</f>
        <v>0</v>
      </c>
      <c r="DJ5" s="55">
        <f t="shared" ref="DJ5:DJ19" si="25">DH5-DI5</f>
        <v>0</v>
      </c>
      <c r="DK5" s="55"/>
      <c r="DL5" s="55">
        <f t="shared" ref="DL5:DL18" si="26">DJ5+DK5</f>
        <v>0</v>
      </c>
      <c r="DM5" s="55"/>
      <c r="DN5" s="90"/>
      <c r="DO5" s="92">
        <f>DD5</f>
        <v>2014</v>
      </c>
      <c r="DP5" s="55">
        <f>SUMIFS('Monthly Data'!BU:BU,'Monthly Data'!$B:$B,DO5)</f>
        <v>0</v>
      </c>
      <c r="DQ5" s="55">
        <f>SUMIFS('Monthly Data'!BV:BV,'Monthly Data'!$B:$B,DO5)</f>
        <v>0</v>
      </c>
      <c r="DR5" s="55">
        <f>SUMIFS('Monthly Data'!BW:BW,'Monthly Data'!$B:$B,DO5)</f>
        <v>0</v>
      </c>
      <c r="DS5" s="55">
        <f>SUMIFS('WRZ GS 3,000-4,999 Normalized'!O:O,'WRZ GS 3,000-4,999 Normalized'!B:B,'Normalized Annual Summary'!DO5)</f>
        <v>0</v>
      </c>
      <c r="DT5" s="55">
        <f t="shared" ref="DT5:DT15" si="27">DQ5</f>
        <v>0</v>
      </c>
      <c r="DU5" s="55">
        <f t="shared" ref="DU5:DU19" si="28">DS5-DT5</f>
        <v>0</v>
      </c>
      <c r="DV5" s="55"/>
      <c r="DW5" s="55">
        <f t="shared" ref="DW5:DW18" si="29">DU5+DV5</f>
        <v>0</v>
      </c>
      <c r="DX5" s="55"/>
      <c r="DZ5" s="92">
        <f>CT5</f>
        <v>2014</v>
      </c>
      <c r="EA5" s="55">
        <f>SUMIFS('Monthly Data'!BZ:BZ,'Monthly Data'!$B:$B,DZ5)</f>
        <v>0</v>
      </c>
      <c r="EB5" s="55"/>
      <c r="EC5" s="55"/>
      <c r="ED5" s="55"/>
      <c r="EG5" s="92">
        <f>DZ5</f>
        <v>2014</v>
      </c>
      <c r="EH5" s="55">
        <f>SUMIFS('Monthly Data'!CA:CA,'Monthly Data'!$B:$B,EG5)</f>
        <v>0</v>
      </c>
      <c r="EI5" s="55"/>
      <c r="EJ5" s="55"/>
      <c r="EK5" s="55"/>
      <c r="EN5" s="92">
        <f>DZ5</f>
        <v>2014</v>
      </c>
      <c r="EO5" s="55">
        <f>SUMIFS('Monthly Data'!CB:CB,'Monthly Data'!$B:$B,EN5)</f>
        <v>0</v>
      </c>
      <c r="EP5" s="55"/>
      <c r="EQ5" s="55"/>
      <c r="ER5" s="55"/>
    </row>
    <row r="6" spans="2:148">
      <c r="B6" s="708">
        <f t="shared" ref="B6:B18" si="30">B5+1</f>
        <v>2015</v>
      </c>
      <c r="C6" s="709">
        <f>SUMIFS('Monthly Data'!D:D,'Monthly Data'!$B:$B,B6)</f>
        <v>870387178.79194212</v>
      </c>
      <c r="D6" s="709">
        <f>SUMIFS('Monthly Data'!E:E,'Monthly Data'!$B:$B,B6)</f>
        <v>7706952.6761553641</v>
      </c>
      <c r="E6" s="709">
        <f>SUMIFS('Monthly Data'!I:I,'Monthly Data'!$B:$B,B6)</f>
        <v>878094131.46809757</v>
      </c>
      <c r="F6" s="709">
        <f ca="1">SUMIFS('VRZ Residential Normalized'!X:X,'VRZ Residential Normalized'!B:B,B6)</f>
        <v>916973138.64800918</v>
      </c>
      <c r="G6" s="709">
        <f t="shared" si="0"/>
        <v>7706952.6761553641</v>
      </c>
      <c r="H6" s="709">
        <f t="shared" ca="1" si="1"/>
        <v>909266185.97185385</v>
      </c>
      <c r="I6" s="709"/>
      <c r="J6" s="709">
        <f t="shared" ca="1" si="2"/>
        <v>909266185.97185385</v>
      </c>
      <c r="K6" s="707"/>
      <c r="L6" s="708">
        <f t="shared" ref="L6:L18" si="31">L5+1</f>
        <v>2015</v>
      </c>
      <c r="M6" s="709">
        <f>SUMIFS('Monthly Data'!J:J,'Monthly Data'!$B:$B,L6)</f>
        <v>9513187.7383200023</v>
      </c>
      <c r="N6" s="709">
        <f>SUMIFS('Monthly Data'!K:K,'Monthly Data'!$B:$B,L6)</f>
        <v>88273.922140599519</v>
      </c>
      <c r="O6" s="709">
        <f>SUMIFS('Monthly Data'!L:L,'Monthly Data'!$B:$B,L6)</f>
        <v>9601461.6604606025</v>
      </c>
      <c r="P6" s="709">
        <f ca="1">SUMIFS('VRZ Seasonal Normalized'!V:V,'VRZ Seasonal Normalized'!B:B,L6)</f>
        <v>9053225.6378647089</v>
      </c>
      <c r="Q6" s="709">
        <f t="shared" si="3"/>
        <v>88273.922140599519</v>
      </c>
      <c r="R6" s="709">
        <f t="shared" ca="1" si="4"/>
        <v>8964951.7157241087</v>
      </c>
      <c r="S6" s="709"/>
      <c r="T6" s="709">
        <f t="shared" ca="1" si="5"/>
        <v>8964951.7157241087</v>
      </c>
      <c r="U6" s="707"/>
      <c r="V6" s="708">
        <f t="shared" ref="V6:V18" si="32">V5+1</f>
        <v>2015</v>
      </c>
      <c r="W6" s="709">
        <f>SUMIFS('Monthly Data'!P:P,'Monthly Data'!$B:$B,V6)</f>
        <v>268409342.55561978</v>
      </c>
      <c r="X6" s="709">
        <f>SUMIFS('Monthly Data'!Q:Q,'Monthly Data'!$B:$B,V6)</f>
        <v>3862662.0457551139</v>
      </c>
      <c r="Y6" s="709">
        <f>SUMIFS('Monthly Data'!R:R,'Monthly Data'!$B:$B,V6)</f>
        <v>272272004.60137492</v>
      </c>
      <c r="Z6" s="709">
        <f ca="1">SUMIFS('VRZ GS &lt; 50 Normalized'!T:T,'VRZ GS &lt; 50 Normalized'!B:B,V6)</f>
        <v>282431102.94554877</v>
      </c>
      <c r="AA6" s="709">
        <f t="shared" si="6"/>
        <v>3862662.0457551139</v>
      </c>
      <c r="AB6" s="709">
        <f t="shared" ca="1" si="7"/>
        <v>278568440.89979368</v>
      </c>
      <c r="AC6" s="709"/>
      <c r="AD6" s="709">
        <f t="shared" ca="1" si="8"/>
        <v>278568440.89979368</v>
      </c>
      <c r="AE6" s="709"/>
      <c r="AF6" s="708">
        <f t="shared" ref="AF6:AF18" si="33">AF5+1</f>
        <v>2015</v>
      </c>
      <c r="AG6" s="709">
        <f>SUMIFS('Monthly Data'!V:V,'Monthly Data'!$B:$B,AF6)</f>
        <v>950526710.68660581</v>
      </c>
      <c r="AH6" s="709">
        <f>SUMIFS('Monthly Data'!W:W,'Monthly Data'!$B:$B,AF6)</f>
        <v>14434995.112896938</v>
      </c>
      <c r="AI6" s="709">
        <f>SUMIFS('Monthly Data'!X:X,'Monthly Data'!$B:$B,AF6)</f>
        <v>964961705.79950273</v>
      </c>
      <c r="AJ6" s="709">
        <f ca="1">SUMIFS('VRZ GS 50-2,999 Normalized'!V:V,'VRZ GS 50-2,999 Normalized'!B:B,AF6)</f>
        <v>957755232.17629278</v>
      </c>
      <c r="AK6" s="709">
        <f t="shared" si="9"/>
        <v>14434995.112896938</v>
      </c>
      <c r="AL6" s="709">
        <f t="shared" ca="1" si="10"/>
        <v>943320237.06339586</v>
      </c>
      <c r="AM6" s="709"/>
      <c r="AN6" s="709">
        <f t="shared" ca="1" si="11"/>
        <v>943320237.06339586</v>
      </c>
      <c r="AO6" s="709">
        <f ca="1">AJ6+AM6</f>
        <v>957755232.17629278</v>
      </c>
      <c r="AP6" s="709"/>
      <c r="AQ6" s="708">
        <f t="shared" ref="AQ6:AQ18" si="34">AQ5+1</f>
        <v>2015</v>
      </c>
      <c r="AR6" s="709">
        <f>SUMIFS('Monthly Data'!AB:AB,'Monthly Data'!$B:$B,AQ6)</f>
        <v>83062699.86432375</v>
      </c>
      <c r="AS6" s="709">
        <f>SUMIFS('Monthly Data'!AC:AC,'Monthly Data'!$B:$B,AQ6)</f>
        <v>147172.11075544692</v>
      </c>
      <c r="AT6" s="709">
        <f>SUMIFS('Monthly Data'!AD:AD,'Monthly Data'!$B:$B,AQ6)</f>
        <v>83209871.975079209</v>
      </c>
      <c r="AU6" s="709">
        <f>SUMIFS('VRZ GS 3,000-4,999 Normalized'!M:M,'VRZ GS 3,000-4,999 Normalized'!B:B,'Normalized Annual Summary'!AQ6)</f>
        <v>85043267.734339997</v>
      </c>
      <c r="AV6" s="709">
        <f t="shared" si="12"/>
        <v>147172.11075544692</v>
      </c>
      <c r="AW6" s="709">
        <f t="shared" si="13"/>
        <v>84896095.623584554</v>
      </c>
      <c r="AX6" s="709"/>
      <c r="AY6" s="709">
        <f t="shared" si="14"/>
        <v>84896095.623584554</v>
      </c>
      <c r="AZ6" s="709">
        <f>AU6+AX6</f>
        <v>85043267.734339997</v>
      </c>
      <c r="BA6" s="709"/>
      <c r="BB6" s="708">
        <f t="shared" ref="BB6:BB18" si="35">BB5+1</f>
        <v>2015</v>
      </c>
      <c r="BC6" s="709">
        <f>SUMIFS('Monthly Data'!AG:AG,'Monthly Data'!$B:$B,BB6)</f>
        <v>210460829.48535237</v>
      </c>
      <c r="BD6" s="709">
        <f>SUMIFS('Monthly Data'!AH:AH,'Monthly Data'!$B:$B,BB6)</f>
        <v>4341138.7283844277</v>
      </c>
      <c r="BE6" s="709">
        <f>SUMIFS('Monthly Data'!AI:AI,'Monthly Data'!$B:$B,BB6)</f>
        <v>214801968.2137368</v>
      </c>
      <c r="BF6" s="709">
        <f>SUMIFS('VRZ Large Use Normalized'!Q:Q,'VRZ Large Use Normalized'!B:B,'Normalized Annual Summary'!BB6)</f>
        <v>220911577.70774004</v>
      </c>
      <c r="BG6" s="709">
        <f t="shared" si="15"/>
        <v>4341138.7283844277</v>
      </c>
      <c r="BH6" s="709">
        <f t="shared" si="16"/>
        <v>216570438.9793556</v>
      </c>
      <c r="BI6" s="709"/>
      <c r="BJ6" s="709">
        <f t="shared" si="17"/>
        <v>216570438.9793556</v>
      </c>
      <c r="BK6" s="709">
        <f>BF6+BI6</f>
        <v>220911577.70774004</v>
      </c>
      <c r="BL6" s="707"/>
      <c r="BM6" s="708">
        <f t="shared" ref="BM6:BM18" si="36">BM5+1</f>
        <v>2015</v>
      </c>
      <c r="BN6" s="709">
        <f>SUMIFS('Monthly Data'!AL:AL,'Monthly Data'!$B:$B,BM6)</f>
        <v>21466090.209724449</v>
      </c>
      <c r="BO6" s="709">
        <f>'Customer Count'!AG5</f>
        <v>29840.625</v>
      </c>
      <c r="BP6" s="709">
        <f t="shared" ref="BP5:BP13" si="37">BN6/BO6</f>
        <v>719.35792932368031</v>
      </c>
      <c r="BQ6" s="709">
        <f t="shared" ref="BQ6:BQ21" si="38">BP6*BO6</f>
        <v>21466090.209724449</v>
      </c>
      <c r="BR6" s="707"/>
      <c r="BS6" s="707"/>
      <c r="BT6" s="708">
        <f t="shared" ref="BT6:BT18" si="39">BT5+1</f>
        <v>2015</v>
      </c>
      <c r="BU6" s="709">
        <f>SUMIFS('Monthly Data'!AM:AM,'Monthly Data'!$B:$B,BT6)</f>
        <v>116055.18000000001</v>
      </c>
      <c r="BV6" s="709">
        <f>'Customer Count'!AK5</f>
        <v>442.66666666666657</v>
      </c>
      <c r="BW6" s="709">
        <f t="shared" ref="BW5:BW13" si="40">BU6/BV6</f>
        <v>262.17284638554224</v>
      </c>
      <c r="BX6" s="709">
        <f t="shared" ref="BX6:BX22" si="41">BW6*BV6</f>
        <v>116055.18000000001</v>
      </c>
      <c r="BY6" s="707"/>
      <c r="BZ6" s="707"/>
      <c r="CA6" s="708">
        <f t="shared" ref="CA6:CA18" si="42">CA5+1</f>
        <v>2015</v>
      </c>
      <c r="CB6" s="709">
        <f>SUMIFS('Monthly Data'!AN:AN,'Monthly Data'!$B:$B,BT6)</f>
        <v>5083749.959999999</v>
      </c>
      <c r="CC6" s="709">
        <f>'Customer Count'!AO5</f>
        <v>872.5</v>
      </c>
      <c r="CD6" s="709">
        <f t="shared" ref="CD5:CD13" si="43">CB6/CC6</f>
        <v>5826.6475186246407</v>
      </c>
      <c r="CE6" s="709">
        <f t="shared" ref="CE5:CE11" si="44">CD6*CC6</f>
        <v>5083749.959999999</v>
      </c>
      <c r="CF6" s="707"/>
      <c r="CG6" s="707"/>
      <c r="CH6" s="707"/>
      <c r="CI6" s="707"/>
      <c r="CJ6" s="708">
        <f t="shared" ref="CJ6:CJ18" si="45">CJ5+1</f>
        <v>2015</v>
      </c>
      <c r="CK6" s="709">
        <f>SUMIFS('Monthly Data'!BC:BC,'Monthly Data'!$B:$B,CJ6)</f>
        <v>338703899.02863026</v>
      </c>
      <c r="CL6" s="709">
        <f>SUMIFS('Monthly Data'!BD:BD,'Monthly Data'!$B:$B,CJ6)</f>
        <v>3115752.2198884822</v>
      </c>
      <c r="CM6" s="709">
        <f>SUMIFS('Monthly Data'!BE:BE,'Monthly Data'!$B:$B,CJ6)</f>
        <v>341819651.24851882</v>
      </c>
      <c r="CN6" s="709">
        <f ca="1">SUMIFS('WRZ Residential Normalized'!X:X,'WRZ Residential Normalized'!B:B,'Normalized Annual Summary'!CJ6)</f>
        <v>351788028.8079707</v>
      </c>
      <c r="CO6" s="709">
        <f t="shared" si="18"/>
        <v>3115752.2198884822</v>
      </c>
      <c r="CP6" s="709">
        <f t="shared" ca="1" si="19"/>
        <v>348672276.58808219</v>
      </c>
      <c r="CQ6" s="709"/>
      <c r="CR6" s="709">
        <f t="shared" ca="1" si="20"/>
        <v>348672276.58808219</v>
      </c>
      <c r="CS6" s="738"/>
      <c r="CT6" s="708">
        <f t="shared" ref="CT6:CT18" si="46">CT5+1</f>
        <v>2015</v>
      </c>
      <c r="CU6" s="709">
        <f>SUMIFS('Monthly Data'!BI:BI,'Monthly Data'!$B:$B,CT6)</f>
        <v>79714047.749680027</v>
      </c>
      <c r="CV6" s="709">
        <f>SUMIFS('Monthly Data'!BJ:BJ,'Monthly Data'!$B:$B,CT6)</f>
        <v>1102210.2957640002</v>
      </c>
      <c r="CW6" s="709">
        <f>SUMIFS('Monthly Data'!BK:BK,'Monthly Data'!$B:$B,CT6)</f>
        <v>80816258.045444056</v>
      </c>
      <c r="CX6" s="709">
        <f ca="1">SUMIFS('WRZ GS &lt; 50 Normalized'!V:V,'WRZ GS &lt; 50 Normalized'!B:B,CT6)</f>
        <v>85363019.685540453</v>
      </c>
      <c r="CY6" s="709">
        <f t="shared" si="21"/>
        <v>1102210.2957640002</v>
      </c>
      <c r="CZ6" s="709">
        <f t="shared" ca="1" si="22"/>
        <v>84260809.389776453</v>
      </c>
      <c r="DA6" s="709"/>
      <c r="DB6" s="709">
        <f t="shared" ca="1" si="23"/>
        <v>84260809.389776453</v>
      </c>
      <c r="DC6" s="709"/>
      <c r="DD6" s="708">
        <f t="shared" ref="DD6:DD18" si="47">DD5+1</f>
        <v>2015</v>
      </c>
      <c r="DE6" s="709">
        <f>SUMIFS('Monthly Data'!BO:BO,'Monthly Data'!$B:$B,DD6)</f>
        <v>352899431.06331873</v>
      </c>
      <c r="DF6" s="709">
        <f>SUMIFS('Monthly Data'!BP:BP,'Monthly Data'!$B:$B,DD6)</f>
        <v>3381318.5422220915</v>
      </c>
      <c r="DG6" s="709">
        <f>SUMIFS('Monthly Data'!BQ:BQ,'Monthly Data'!$B:$B,DD6)</f>
        <v>356280749.60554087</v>
      </c>
      <c r="DH6" s="709">
        <f ca="1">SUMIFS('WRZ GS 50-2,999 Normalized'!T:T,'WRZ GS 50-2,999 Normalized'!B:B,'Normalized Annual Summary'!DD6)</f>
        <v>361553861.47906214</v>
      </c>
      <c r="DI6" s="709">
        <f t="shared" si="24"/>
        <v>3381318.5422220915</v>
      </c>
      <c r="DJ6" s="709">
        <f t="shared" ca="1" si="25"/>
        <v>358172542.93684006</v>
      </c>
      <c r="DK6" s="709"/>
      <c r="DL6" s="709">
        <f t="shared" ca="1" si="26"/>
        <v>358172542.93684006</v>
      </c>
      <c r="DM6" s="709">
        <f ca="1">DH6+DK6</f>
        <v>361553861.47906214</v>
      </c>
      <c r="DN6" s="90"/>
      <c r="DO6" s="708">
        <f t="shared" ref="DO6:DO18" si="48">DO5+1</f>
        <v>2015</v>
      </c>
      <c r="DP6" s="709">
        <f>SUMIFS('Monthly Data'!BU:BU,'Monthly Data'!$B:$B,DO6)</f>
        <v>59790687.039999992</v>
      </c>
      <c r="DQ6" s="709">
        <f>SUMIFS('Monthly Data'!BV:BV,'Monthly Data'!$B:$B,DO6)</f>
        <v>760195.32471390988</v>
      </c>
      <c r="DR6" s="709">
        <f>SUMIFS('Monthly Data'!BW:BW,'Monthly Data'!$B:$B,DO6)</f>
        <v>60550882.364713915</v>
      </c>
      <c r="DS6" s="709">
        <f>SUMIFS('WRZ GS 3,000-4,999 Normalized'!O:O,'WRZ GS 3,000-4,999 Normalized'!B:B,'Normalized Annual Summary'!DO6)</f>
        <v>64032948.581763573</v>
      </c>
      <c r="DT6" s="709">
        <f t="shared" si="27"/>
        <v>760195.32471390988</v>
      </c>
      <c r="DU6" s="709">
        <f t="shared" si="28"/>
        <v>63272753.257049665</v>
      </c>
      <c r="DV6" s="709"/>
      <c r="DW6" s="709">
        <f t="shared" si="29"/>
        <v>63272753.257049665</v>
      </c>
      <c r="DX6" s="709">
        <f>DS6+DV6</f>
        <v>64032948.581763573</v>
      </c>
      <c r="DY6" s="707"/>
      <c r="DZ6" s="708">
        <f t="shared" ref="DZ6:DZ18" si="49">DZ5+1</f>
        <v>2015</v>
      </c>
      <c r="EA6" s="709">
        <f>SUMIFS('Monthly Data'!BZ:BZ,'Monthly Data'!$B:$B,DZ6)</f>
        <v>9273958.5999999996</v>
      </c>
      <c r="EB6" s="709">
        <f>'Customer Count'!BN5</f>
        <v>11827.041666666672</v>
      </c>
      <c r="EC6" s="709">
        <f t="shared" ref="EC5:EC13" si="50">EA6/EB6</f>
        <v>784.13172637564298</v>
      </c>
      <c r="ED6" s="709">
        <f t="shared" ref="ED6:ED22" si="51">EC6*EB6</f>
        <v>9273958.5999999996</v>
      </c>
      <c r="EE6" s="707"/>
      <c r="EF6" s="707"/>
      <c r="EG6" s="708">
        <f t="shared" ref="EG6:EG18" si="52">EG5+1</f>
        <v>2015</v>
      </c>
      <c r="EH6" s="709">
        <f>SUMIFS('Monthly Data'!CA:CA,'Monthly Data'!$B:$B,EG6)</f>
        <v>32743.20528781541</v>
      </c>
      <c r="EI6" s="709">
        <f>'Customer Count'!BR5</f>
        <v>40.375</v>
      </c>
      <c r="EJ6" s="709">
        <f t="shared" ref="EJ5:EJ13" si="53">EH6/EI6</f>
        <v>810.97722075084607</v>
      </c>
      <c r="EK6" s="709">
        <f t="shared" ref="EK6:EK22" si="54">EJ6*EI6</f>
        <v>32743.20528781541</v>
      </c>
      <c r="EL6" s="707"/>
      <c r="EM6" s="707"/>
      <c r="EN6" s="708">
        <f t="shared" ref="EN6:EN18" si="55">EN5+1</f>
        <v>2015</v>
      </c>
      <c r="EO6" s="709">
        <f>SUMIFS('Monthly Data'!CB:CB,'Monthly Data'!$B:$B,EN6)</f>
        <v>632882.16</v>
      </c>
      <c r="EP6" s="709">
        <f>'Customer Count'!BV5</f>
        <v>378.29166666666652</v>
      </c>
      <c r="EQ6" s="709">
        <f t="shared" ref="EQ5:EQ13" si="56">EO6/EP6</f>
        <v>1673.0005330983597</v>
      </c>
      <c r="ER6" s="709">
        <f t="shared" ref="ER5:ER11" si="57">EQ6*EP6</f>
        <v>632882.16</v>
      </c>
    </row>
    <row r="7" spans="2:148">
      <c r="B7" s="708">
        <f t="shared" si="30"/>
        <v>2016</v>
      </c>
      <c r="C7" s="709">
        <f>SUMIFS('Monthly Data'!D:D,'Monthly Data'!$B:$B,B7)</f>
        <v>959221389.1347183</v>
      </c>
      <c r="D7" s="709">
        <f>SUMIFS('Monthly Data'!E:E,'Monthly Data'!$B:$B,B7)</f>
        <v>15668447.662871411</v>
      </c>
      <c r="E7" s="709">
        <f>SUMIFS('Monthly Data'!I:I,'Monthly Data'!$B:$B,B7)</f>
        <v>974889836.79758954</v>
      </c>
      <c r="F7" s="709">
        <f ca="1">SUMIFS('VRZ Residential Normalized'!X:X,'VRZ Residential Normalized'!B:B,B7)</f>
        <v>938223820.84800923</v>
      </c>
      <c r="G7" s="709">
        <f t="shared" si="0"/>
        <v>15668447.662871411</v>
      </c>
      <c r="H7" s="709">
        <f t="shared" ca="1" si="1"/>
        <v>922555373.18513787</v>
      </c>
      <c r="I7" s="709"/>
      <c r="J7" s="709">
        <f t="shared" ca="1" si="2"/>
        <v>922555373.18513787</v>
      </c>
      <c r="K7" s="707"/>
      <c r="L7" s="708">
        <f t="shared" si="31"/>
        <v>2016</v>
      </c>
      <c r="M7" s="709">
        <f>SUMIFS('Monthly Data'!J:J,'Monthly Data'!$B:$B,L7)</f>
        <v>9487858.6249600016</v>
      </c>
      <c r="N7" s="709">
        <f>SUMIFS('Monthly Data'!K:K,'Monthly Data'!$B:$B,L7)</f>
        <v>179463.32190874958</v>
      </c>
      <c r="O7" s="709">
        <f>SUMIFS('Monthly Data'!L:L,'Monthly Data'!$B:$B,L7)</f>
        <v>9667321.9468687549</v>
      </c>
      <c r="P7" s="709">
        <f ca="1">SUMIFS('VRZ Seasonal Normalized'!V:V,'VRZ Seasonal Normalized'!B:B,L7)</f>
        <v>9475222.0338647086</v>
      </c>
      <c r="Q7" s="709">
        <f t="shared" si="3"/>
        <v>179463.32190874958</v>
      </c>
      <c r="R7" s="709">
        <f t="shared" ca="1" si="4"/>
        <v>9295758.711955959</v>
      </c>
      <c r="S7" s="709"/>
      <c r="T7" s="709">
        <f t="shared" ca="1" si="5"/>
        <v>9295758.711955959</v>
      </c>
      <c r="U7" s="707"/>
      <c r="V7" s="708">
        <f t="shared" si="32"/>
        <v>2016</v>
      </c>
      <c r="W7" s="709">
        <f>SUMIFS('Monthly Data'!P:P,'Monthly Data'!$B:$B,V7)</f>
        <v>284102093.54465967</v>
      </c>
      <c r="X7" s="709">
        <f>SUMIFS('Monthly Data'!Q:Q,'Monthly Data'!$B:$B,V7)</f>
        <v>6266003.6809074264</v>
      </c>
      <c r="Y7" s="709">
        <f>SUMIFS('Monthly Data'!R:R,'Monthly Data'!$B:$B,V7)</f>
        <v>290368097.2255671</v>
      </c>
      <c r="Z7" s="709">
        <f ca="1">SUMIFS('VRZ GS &lt; 50 Normalized'!T:T,'VRZ GS &lt; 50 Normalized'!B:B,V7)</f>
        <v>283748232.49954879</v>
      </c>
      <c r="AA7" s="709">
        <f t="shared" si="6"/>
        <v>6266003.6809074264</v>
      </c>
      <c r="AB7" s="709">
        <f t="shared" ca="1" si="7"/>
        <v>277482228.81864136</v>
      </c>
      <c r="AC7" s="709"/>
      <c r="AD7" s="709">
        <f t="shared" ca="1" si="8"/>
        <v>277482228.81864136</v>
      </c>
      <c r="AE7" s="709"/>
      <c r="AF7" s="708">
        <f t="shared" si="33"/>
        <v>2016</v>
      </c>
      <c r="AG7" s="709">
        <f>SUMIFS('Monthly Data'!V:V,'Monthly Data'!$B:$B,AF7)</f>
        <v>966717854.80000007</v>
      </c>
      <c r="AH7" s="709">
        <f>SUMIFS('Monthly Data'!W:W,'Monthly Data'!$B:$B,AF7)</f>
        <v>22146619.607547037</v>
      </c>
      <c r="AI7" s="709">
        <f>SUMIFS('Monthly Data'!X:X,'Monthly Data'!$B:$B,AF7)</f>
        <v>988864474.407547</v>
      </c>
      <c r="AJ7" s="709">
        <f ca="1">SUMIFS('VRZ GS 50-2,999 Normalized'!V:V,'VRZ GS 50-2,999 Normalized'!B:B,AF7)</f>
        <v>965278694.85256279</v>
      </c>
      <c r="AK7" s="709">
        <f t="shared" si="9"/>
        <v>22146619.607547037</v>
      </c>
      <c r="AL7" s="709">
        <f t="shared" ca="1" si="10"/>
        <v>943132075.24501574</v>
      </c>
      <c r="AM7" s="709"/>
      <c r="AN7" s="709">
        <f t="shared" ca="1" si="11"/>
        <v>943132075.24501574</v>
      </c>
      <c r="AO7" s="709">
        <f t="shared" ref="AO7:AO21" ca="1" si="58">AJ7+AM7</f>
        <v>965278694.85256279</v>
      </c>
      <c r="AP7" s="709"/>
      <c r="AQ7" s="708">
        <f t="shared" si="34"/>
        <v>2016</v>
      </c>
      <c r="AR7" s="709">
        <f>SUMIFS('Monthly Data'!AB:AB,'Monthly Data'!$B:$B,AQ7)</f>
        <v>81278308.774999991</v>
      </c>
      <c r="AS7" s="709">
        <f>SUMIFS('Monthly Data'!AC:AC,'Monthly Data'!$B:$B,AQ7)</f>
        <v>498549.66246977251</v>
      </c>
      <c r="AT7" s="709">
        <f>SUMIFS('Monthly Data'!AD:AD,'Monthly Data'!$B:$B,AQ7)</f>
        <v>81776858.437469766</v>
      </c>
      <c r="AU7" s="709">
        <f>SUMIFS('VRZ GS 3,000-4,999 Normalized'!M:M,'VRZ GS 3,000-4,999 Normalized'!B:B,'Normalized Annual Summary'!AQ7)</f>
        <v>87440501.024150014</v>
      </c>
      <c r="AV7" s="709">
        <f t="shared" si="12"/>
        <v>498549.66246977251</v>
      </c>
      <c r="AW7" s="709">
        <f t="shared" si="13"/>
        <v>86941951.361680239</v>
      </c>
      <c r="AX7" s="709"/>
      <c r="AY7" s="709">
        <f t="shared" si="14"/>
        <v>86941951.361680239</v>
      </c>
      <c r="AZ7" s="709">
        <f t="shared" ref="AZ7:AZ21" si="59">AU7+AX7</f>
        <v>87440501.024150014</v>
      </c>
      <c r="BA7" s="709"/>
      <c r="BB7" s="708">
        <f t="shared" si="35"/>
        <v>2016</v>
      </c>
      <c r="BC7" s="709">
        <f>SUMIFS('Monthly Data'!AG:AG,'Monthly Data'!$B:$B,BB7)</f>
        <v>215800519.09</v>
      </c>
      <c r="BD7" s="709">
        <f>SUMIFS('Monthly Data'!AH:AH,'Monthly Data'!$B:$B,BB7)</f>
        <v>7128817.1578657255</v>
      </c>
      <c r="BE7" s="709">
        <f>SUMIFS('Monthly Data'!AI:AI,'Monthly Data'!$B:$B,BB7)</f>
        <v>222929336.24786574</v>
      </c>
      <c r="BF7" s="709">
        <f>SUMIFS('VRZ Large Use Normalized'!Q:Q,'VRZ Large Use Normalized'!B:B,'Normalized Annual Summary'!BB7)</f>
        <v>233856153.54065007</v>
      </c>
      <c r="BG7" s="709">
        <f t="shared" si="15"/>
        <v>7128817.1578657255</v>
      </c>
      <c r="BH7" s="709">
        <f t="shared" si="16"/>
        <v>226727336.38278434</v>
      </c>
      <c r="BI7" s="709"/>
      <c r="BJ7" s="709">
        <f t="shared" si="17"/>
        <v>226727336.38278434</v>
      </c>
      <c r="BK7" s="709">
        <f t="shared" ref="BK7:BK21" si="60">BF7+BI7</f>
        <v>233856153.54065007</v>
      </c>
      <c r="BL7" s="707"/>
      <c r="BM7" s="708">
        <f t="shared" si="36"/>
        <v>2016</v>
      </c>
      <c r="BN7" s="709">
        <f>SUMIFS('Monthly Data'!AL:AL,'Monthly Data'!$B:$B,BM7)</f>
        <v>21694274.73</v>
      </c>
      <c r="BO7" s="709">
        <f>'Customer Count'!AG6</f>
        <v>30030.75</v>
      </c>
      <c r="BP7" s="709">
        <f t="shared" si="37"/>
        <v>722.40202892035666</v>
      </c>
      <c r="BQ7" s="709">
        <f t="shared" si="38"/>
        <v>21694274.73</v>
      </c>
      <c r="BR7" s="707"/>
      <c r="BS7" s="707"/>
      <c r="BT7" s="708">
        <f t="shared" si="39"/>
        <v>2016</v>
      </c>
      <c r="BU7" s="709">
        <f>SUMIFS('Monthly Data'!AM:AM,'Monthly Data'!$B:$B,BT7)</f>
        <v>156261.63999999998</v>
      </c>
      <c r="BV7" s="709">
        <f>'Customer Count'!AK6</f>
        <v>439</v>
      </c>
      <c r="BW7" s="709">
        <f t="shared" si="40"/>
        <v>355.94906605922546</v>
      </c>
      <c r="BX7" s="709">
        <f t="shared" si="41"/>
        <v>156261.63999999998</v>
      </c>
      <c r="BY7" s="707"/>
      <c r="BZ7" s="707"/>
      <c r="CA7" s="708">
        <f t="shared" si="42"/>
        <v>2016</v>
      </c>
      <c r="CB7" s="709">
        <f>SUMIFS('Monthly Data'!AN:AN,'Monthly Data'!$B:$B,BT7)</f>
        <v>4975743.38</v>
      </c>
      <c r="CC7" s="709">
        <f>'Customer Count'!AO6</f>
        <v>837.41666666666686</v>
      </c>
      <c r="CD7" s="709">
        <f t="shared" si="43"/>
        <v>5941.7773469997001</v>
      </c>
      <c r="CE7" s="709">
        <f t="shared" si="44"/>
        <v>4975743.38</v>
      </c>
      <c r="CF7" s="707"/>
      <c r="CG7" s="707"/>
      <c r="CH7" s="707"/>
      <c r="CI7" s="707"/>
      <c r="CJ7" s="708">
        <f t="shared" si="45"/>
        <v>2016</v>
      </c>
      <c r="CK7" s="709">
        <f>SUMIFS('Monthly Data'!BC:BC,'Monthly Data'!$B:$B,CJ7)</f>
        <v>370346014.4023304</v>
      </c>
      <c r="CL7" s="709">
        <f>SUMIFS('Monthly Data'!BD:BD,'Monthly Data'!$B:$B,CJ7)</f>
        <v>7827292.6426584842</v>
      </c>
      <c r="CM7" s="709">
        <f>SUMIFS('Monthly Data'!BE:BE,'Monthly Data'!$B:$B,CJ7)</f>
        <v>378173307.04498887</v>
      </c>
      <c r="CN7" s="709">
        <f ca="1">SUMIFS('WRZ Residential Normalized'!X:X,'WRZ Residential Normalized'!B:B,'Normalized Annual Summary'!CJ7)</f>
        <v>360365829.47536319</v>
      </c>
      <c r="CO7" s="709">
        <f t="shared" si="18"/>
        <v>7827292.6426584842</v>
      </c>
      <c r="CP7" s="709">
        <f t="shared" ca="1" si="19"/>
        <v>352538536.83270472</v>
      </c>
      <c r="CQ7" s="709"/>
      <c r="CR7" s="709">
        <f t="shared" ca="1" si="20"/>
        <v>352538536.83270472</v>
      </c>
      <c r="CS7" s="707"/>
      <c r="CT7" s="708">
        <f t="shared" si="46"/>
        <v>2016</v>
      </c>
      <c r="CU7" s="709">
        <f>SUMIFS('Monthly Data'!BI:BI,'Monthly Data'!$B:$B,CT7)</f>
        <v>89219216.553899974</v>
      </c>
      <c r="CV7" s="709">
        <f>SUMIFS('Monthly Data'!BJ:BJ,'Monthly Data'!$B:$B,CT7)</f>
        <v>1385622.3728529485</v>
      </c>
      <c r="CW7" s="709">
        <f>SUMIFS('Monthly Data'!BK:BK,'Monthly Data'!$B:$B,CT7)</f>
        <v>90604838.92675291</v>
      </c>
      <c r="CX7" s="709">
        <f ca="1">SUMIFS('WRZ GS &lt; 50 Normalized'!V:V,'WRZ GS &lt; 50 Normalized'!B:B,CT7)</f>
        <v>88258734.460540459</v>
      </c>
      <c r="CY7" s="709">
        <f t="shared" si="21"/>
        <v>1385622.3728529485</v>
      </c>
      <c r="CZ7" s="709">
        <f t="shared" ca="1" si="22"/>
        <v>86873112.087687507</v>
      </c>
      <c r="DA7" s="709"/>
      <c r="DB7" s="709">
        <f t="shared" ca="1" si="23"/>
        <v>86873112.087687507</v>
      </c>
      <c r="DC7" s="709"/>
      <c r="DD7" s="708">
        <f t="shared" si="47"/>
        <v>2016</v>
      </c>
      <c r="DE7" s="709">
        <f>SUMIFS('Monthly Data'!BO:BO,'Monthly Data'!$B:$B,DD7)</f>
        <v>358773984.16000003</v>
      </c>
      <c r="DF7" s="709">
        <f>SUMIFS('Monthly Data'!BP:BP,'Monthly Data'!$B:$B,DD7)</f>
        <v>5095617.3960494818</v>
      </c>
      <c r="DG7" s="709">
        <f>SUMIFS('Monthly Data'!BQ:BQ,'Monthly Data'!$B:$B,DD7)</f>
        <v>363869601.55604947</v>
      </c>
      <c r="DH7" s="709">
        <f ca="1">SUMIFS('WRZ GS 50-2,999 Normalized'!T:T,'WRZ GS 50-2,999 Normalized'!B:B,'Normalized Annual Summary'!DD7)</f>
        <v>361965211.04233634</v>
      </c>
      <c r="DI7" s="709">
        <f t="shared" si="24"/>
        <v>5095617.3960494818</v>
      </c>
      <c r="DJ7" s="709">
        <f t="shared" ca="1" si="25"/>
        <v>356869593.64628685</v>
      </c>
      <c r="DK7" s="709"/>
      <c r="DL7" s="709">
        <f t="shared" ca="1" si="26"/>
        <v>356869593.64628685</v>
      </c>
      <c r="DM7" s="709">
        <f t="shared" ref="DM7:DM22" ca="1" si="61">DH7+DK7</f>
        <v>361965211.04233634</v>
      </c>
      <c r="DN7" s="90"/>
      <c r="DO7" s="708">
        <f t="shared" si="48"/>
        <v>2016</v>
      </c>
      <c r="DP7" s="709">
        <f>SUMIFS('Monthly Data'!BU:BU,'Monthly Data'!$B:$B,DO7)</f>
        <v>62626456.32</v>
      </c>
      <c r="DQ7" s="709">
        <f>SUMIFS('Monthly Data'!BV:BV,'Monthly Data'!$B:$B,DO7)</f>
        <v>1145607.6890235953</v>
      </c>
      <c r="DR7" s="709">
        <f>SUMIFS('Monthly Data'!BW:BW,'Monthly Data'!$B:$B,DO7)</f>
        <v>63772064.009023599</v>
      </c>
      <c r="DS7" s="709">
        <f>SUMIFS('WRZ GS 3,000-4,999 Normalized'!O:O,'WRZ GS 3,000-4,999 Normalized'!B:B,'Normalized Annual Summary'!DO7)</f>
        <v>64228985.05753459</v>
      </c>
      <c r="DT7" s="709">
        <f t="shared" si="27"/>
        <v>1145607.6890235953</v>
      </c>
      <c r="DU7" s="709">
        <f t="shared" si="28"/>
        <v>63083377.368510991</v>
      </c>
      <c r="DV7" s="709"/>
      <c r="DW7" s="709">
        <f t="shared" si="29"/>
        <v>63083377.368510991</v>
      </c>
      <c r="DX7" s="709">
        <f t="shared" ref="DX7:DX22" si="62">DS7+DV7</f>
        <v>64228985.05753459</v>
      </c>
      <c r="DY7" s="707"/>
      <c r="DZ7" s="708">
        <f t="shared" si="49"/>
        <v>2016</v>
      </c>
      <c r="EA7" s="709">
        <f>SUMIFS('Monthly Data'!BZ:BZ,'Monthly Data'!$B:$B,DZ7)</f>
        <v>6314646.5300000003</v>
      </c>
      <c r="EB7" s="709">
        <f>'Customer Count'!BN6</f>
        <v>11857.375</v>
      </c>
      <c r="EC7" s="709">
        <f t="shared" si="50"/>
        <v>532.55012428973532</v>
      </c>
      <c r="ED7" s="709">
        <f t="shared" si="51"/>
        <v>6314646.5300000003</v>
      </c>
      <c r="EE7" s="707"/>
      <c r="EF7" s="707"/>
      <c r="EG7" s="708">
        <f t="shared" si="52"/>
        <v>2016</v>
      </c>
      <c r="EH7" s="709">
        <f>SUMIFS('Monthly Data'!CA:CA,'Monthly Data'!$B:$B,EG7)</f>
        <v>31709.209331358081</v>
      </c>
      <c r="EI7" s="709">
        <f>'Customer Count'!BR6</f>
        <v>39</v>
      </c>
      <c r="EJ7" s="709">
        <f t="shared" si="53"/>
        <v>813.05664952200209</v>
      </c>
      <c r="EK7" s="709">
        <f t="shared" si="54"/>
        <v>31709.209331358081</v>
      </c>
      <c r="EL7" s="707"/>
      <c r="EM7" s="707"/>
      <c r="EN7" s="708">
        <f t="shared" si="55"/>
        <v>2016</v>
      </c>
      <c r="EO7" s="709">
        <f>SUMIFS('Monthly Data'!CB:CB,'Monthly Data'!$B:$B,EN7)</f>
        <v>598539.54</v>
      </c>
      <c r="EP7" s="709">
        <f>'Customer Count'!BV6</f>
        <v>372.20833333333348</v>
      </c>
      <c r="EQ7" s="709">
        <f t="shared" si="56"/>
        <v>1608.0766774879655</v>
      </c>
      <c r="ER7" s="709">
        <f t="shared" si="57"/>
        <v>598539.54</v>
      </c>
    </row>
    <row r="8" spans="2:148">
      <c r="B8" s="708">
        <f t="shared" si="30"/>
        <v>2017</v>
      </c>
      <c r="C8" s="709">
        <f>SUMIFS('Monthly Data'!D:D,'Monthly Data'!$B:$B,B8)</f>
        <v>901971744.11813986</v>
      </c>
      <c r="D8" s="709">
        <f>SUMIFS('Monthly Data'!E:E,'Monthly Data'!$B:$B,B8)</f>
        <v>33039525.220143016</v>
      </c>
      <c r="E8" s="709">
        <f>SUMIFS('Monthly Data'!I:I,'Monthly Data'!$B:$B,B8)</f>
        <v>934766397.90774131</v>
      </c>
      <c r="F8" s="709">
        <f ca="1">SUMIFS('VRZ Residential Normalized'!X:X,'VRZ Residential Normalized'!B:B,B8)</f>
        <v>955797712.47855055</v>
      </c>
      <c r="G8" s="709">
        <f t="shared" si="0"/>
        <v>33039525.220143016</v>
      </c>
      <c r="H8" s="709">
        <f t="shared" ca="1" si="1"/>
        <v>922758187.25840759</v>
      </c>
      <c r="I8" s="709"/>
      <c r="J8" s="709">
        <f t="shared" ca="1" si="2"/>
        <v>922758187.25840759</v>
      </c>
      <c r="K8" s="707"/>
      <c r="L8" s="708">
        <f t="shared" si="31"/>
        <v>2017</v>
      </c>
      <c r="M8" s="709">
        <f>SUMIFS('Monthly Data'!J:J,'Monthly Data'!$B:$B,L8)</f>
        <v>9912683.662969999</v>
      </c>
      <c r="N8" s="709">
        <f>SUMIFS('Monthly Data'!K:K,'Monthly Data'!$B:$B,L8)</f>
        <v>378428.23219464702</v>
      </c>
      <c r="O8" s="709">
        <f>SUMIFS('Monthly Data'!L:L,'Monthly Data'!$B:$B,L8)</f>
        <v>10291111.895164648</v>
      </c>
      <c r="P8" s="709">
        <f ca="1">SUMIFS('VRZ Seasonal Normalized'!V:V,'VRZ Seasonal Normalized'!B:B,L8)</f>
        <v>9824708.839323312</v>
      </c>
      <c r="Q8" s="709">
        <f t="shared" si="3"/>
        <v>378428.23219464702</v>
      </c>
      <c r="R8" s="709">
        <f t="shared" ca="1" si="4"/>
        <v>9446280.6071286649</v>
      </c>
      <c r="S8" s="709"/>
      <c r="T8" s="709">
        <f t="shared" ca="1" si="5"/>
        <v>9446280.6071286649</v>
      </c>
      <c r="U8" s="707"/>
      <c r="V8" s="708">
        <f t="shared" si="32"/>
        <v>2017</v>
      </c>
      <c r="W8" s="709">
        <f>SUMIFS('Monthly Data'!P:P,'Monthly Data'!$B:$B,V8)</f>
        <v>273963830.4916901</v>
      </c>
      <c r="X8" s="709">
        <f>SUMIFS('Monthly Data'!Q:Q,'Monthly Data'!$B:$B,V8)</f>
        <v>8395441.8564269301</v>
      </c>
      <c r="Y8" s="709">
        <f>SUMIFS('Monthly Data'!R:R,'Monthly Data'!$B:$B,V8)</f>
        <v>282359272.34811705</v>
      </c>
      <c r="Z8" s="709">
        <f ca="1">SUMIFS('VRZ GS &lt; 50 Normalized'!T:T,'VRZ GS &lt; 50 Normalized'!B:B,V8)</f>
        <v>285325899.9435488</v>
      </c>
      <c r="AA8" s="709">
        <f t="shared" si="6"/>
        <v>8395441.8564269301</v>
      </c>
      <c r="AB8" s="709">
        <f t="shared" ca="1" si="7"/>
        <v>276930458.08712184</v>
      </c>
      <c r="AC8" s="709"/>
      <c r="AD8" s="709">
        <f t="shared" ca="1" si="8"/>
        <v>276930458.08712184</v>
      </c>
      <c r="AE8" s="709"/>
      <c r="AF8" s="708">
        <f t="shared" si="33"/>
        <v>2017</v>
      </c>
      <c r="AG8" s="709">
        <f>SUMIFS('Monthly Data'!V:V,'Monthly Data'!$B:$B,AF8)</f>
        <v>944651265.3499999</v>
      </c>
      <c r="AH8" s="709">
        <f>SUMIFS('Monthly Data'!W:W,'Monthly Data'!$B:$B,AF8)</f>
        <v>31009573.56877904</v>
      </c>
      <c r="AI8" s="709">
        <f>SUMIFS('Monthly Data'!X:X,'Monthly Data'!$B:$B,AF8)</f>
        <v>975660838.91877925</v>
      </c>
      <c r="AJ8" s="709">
        <f ca="1">SUMIFS('VRZ GS 50-2,999 Normalized'!V:V,'VRZ GS 50-2,999 Normalized'!B:B,AF8)</f>
        <v>974655439.96330297</v>
      </c>
      <c r="AK8" s="709">
        <f t="shared" si="9"/>
        <v>31009573.56877904</v>
      </c>
      <c r="AL8" s="709">
        <f t="shared" ca="1" si="10"/>
        <v>943645866.39452398</v>
      </c>
      <c r="AM8" s="709"/>
      <c r="AN8" s="709">
        <f t="shared" ca="1" si="11"/>
        <v>943645866.39452398</v>
      </c>
      <c r="AO8" s="709">
        <f t="shared" ca="1" si="58"/>
        <v>974655439.96330297</v>
      </c>
      <c r="AP8" s="709"/>
      <c r="AQ8" s="708">
        <f t="shared" si="34"/>
        <v>2017</v>
      </c>
      <c r="AR8" s="709">
        <f>SUMIFS('Monthly Data'!AB:AB,'Monthly Data'!$B:$B,AQ8)</f>
        <v>90758853.419999987</v>
      </c>
      <c r="AS8" s="709">
        <f>SUMIFS('Monthly Data'!AC:AC,'Monthly Data'!$B:$B,AQ8)</f>
        <v>1165452.6221753072</v>
      </c>
      <c r="AT8" s="709">
        <f>SUMIFS('Monthly Data'!AD:AD,'Monthly Data'!$B:$B,AQ8)</f>
        <v>91924306.042175293</v>
      </c>
      <c r="AU8" s="709">
        <f>SUMIFS('VRZ GS 3,000-4,999 Normalized'!M:M,'VRZ GS 3,000-4,999 Normalized'!B:B,'Normalized Annual Summary'!AQ8)</f>
        <v>90611201.810369998</v>
      </c>
      <c r="AV8" s="709">
        <f t="shared" si="12"/>
        <v>1165452.6221753072</v>
      </c>
      <c r="AW8" s="709">
        <f t="shared" si="13"/>
        <v>89445749.188194692</v>
      </c>
      <c r="AX8" s="709"/>
      <c r="AY8" s="709">
        <f t="shared" si="14"/>
        <v>89445749.188194692</v>
      </c>
      <c r="AZ8" s="709">
        <f t="shared" si="59"/>
        <v>90611201.810369998</v>
      </c>
      <c r="BA8" s="709"/>
      <c r="BB8" s="708">
        <f t="shared" si="35"/>
        <v>2017</v>
      </c>
      <c r="BC8" s="709">
        <f>SUMIFS('Monthly Data'!AG:AG,'Monthly Data'!$B:$B,BB8)</f>
        <v>223859611.13000003</v>
      </c>
      <c r="BD8" s="709">
        <f>SUMIFS('Monthly Data'!AH:AH,'Monthly Data'!$B:$B,BB8)</f>
        <v>9855831.7522191294</v>
      </c>
      <c r="BE8" s="709">
        <f>SUMIFS('Monthly Data'!AI:AI,'Monthly Data'!$B:$B,BB8)</f>
        <v>233715442.88221914</v>
      </c>
      <c r="BF8" s="709">
        <f>SUMIFS('VRZ Large Use Normalized'!Q:Q,'VRZ Large Use Normalized'!B:B,'Normalized Annual Summary'!BB8)</f>
        <v>250408889.27107006</v>
      </c>
      <c r="BG8" s="709">
        <f t="shared" si="15"/>
        <v>9855831.7522191294</v>
      </c>
      <c r="BH8" s="709">
        <f t="shared" si="16"/>
        <v>240553057.51885092</v>
      </c>
      <c r="BI8" s="709"/>
      <c r="BJ8" s="709">
        <f t="shared" si="17"/>
        <v>240553057.51885092</v>
      </c>
      <c r="BK8" s="709">
        <f t="shared" si="60"/>
        <v>250408889.27107006</v>
      </c>
      <c r="BL8" s="707"/>
      <c r="BM8" s="708">
        <f t="shared" si="36"/>
        <v>2017</v>
      </c>
      <c r="BN8" s="709">
        <f>SUMIFS('Monthly Data'!AL:AL,'Monthly Data'!$B:$B,BM8)</f>
        <v>20460691.740000002</v>
      </c>
      <c r="BO8" s="709">
        <f>'Customer Count'!AG7</f>
        <v>30411.75</v>
      </c>
      <c r="BP8" s="709">
        <f t="shared" si="37"/>
        <v>672.78902858270249</v>
      </c>
      <c r="BQ8" s="709">
        <f t="shared" si="38"/>
        <v>20460691.740000002</v>
      </c>
      <c r="BR8" s="707"/>
      <c r="BS8" s="707"/>
      <c r="BT8" s="708">
        <f t="shared" si="39"/>
        <v>2017</v>
      </c>
      <c r="BU8" s="709">
        <f>SUMIFS('Monthly Data'!AM:AM,'Monthly Data'!$B:$B,BT8)</f>
        <v>311450.02999999997</v>
      </c>
      <c r="BV8" s="709">
        <f>'Customer Count'!AK7</f>
        <v>439</v>
      </c>
      <c r="BW8" s="709">
        <f t="shared" si="40"/>
        <v>709.45337129840539</v>
      </c>
      <c r="BX8" s="709">
        <f t="shared" si="41"/>
        <v>311450.02999999997</v>
      </c>
      <c r="BY8" s="707"/>
      <c r="BZ8" s="707"/>
      <c r="CA8" s="708">
        <f t="shared" si="42"/>
        <v>2017</v>
      </c>
      <c r="CB8" s="709">
        <f>SUMIFS('Monthly Data'!AN:AN,'Monthly Data'!$B:$B,BT8)</f>
        <v>4919673.07</v>
      </c>
      <c r="CC8" s="709">
        <f>'Customer Count'!AO7</f>
        <v>825.58333333333314</v>
      </c>
      <c r="CD8" s="709">
        <f t="shared" si="43"/>
        <v>5959.0266316745756</v>
      </c>
      <c r="CE8" s="709">
        <f t="shared" si="44"/>
        <v>4919673.07</v>
      </c>
      <c r="CF8" s="707"/>
      <c r="CG8" s="707"/>
      <c r="CH8" s="707"/>
      <c r="CI8" s="707"/>
      <c r="CJ8" s="708">
        <f t="shared" si="45"/>
        <v>2017</v>
      </c>
      <c r="CK8" s="709">
        <f>SUMIFS('Monthly Data'!BC:BC,'Monthly Data'!$B:$B,CJ8)</f>
        <v>342395880.86244047</v>
      </c>
      <c r="CL8" s="709">
        <f>SUMIFS('Monthly Data'!BD:BD,'Monthly Data'!$B:$B,CJ8)</f>
        <v>17132013.012366947</v>
      </c>
      <c r="CM8" s="709">
        <f>SUMIFS('Monthly Data'!BE:BE,'Monthly Data'!$B:$B,CJ8)</f>
        <v>359527893.87480748</v>
      </c>
      <c r="CN8" s="709">
        <f ca="1">SUMIFS('WRZ Residential Normalized'!X:X,'WRZ Residential Normalized'!B:B,'Normalized Annual Summary'!CJ8)</f>
        <v>367379437.53635198</v>
      </c>
      <c r="CO8" s="709">
        <f t="shared" si="18"/>
        <v>17132013.012366947</v>
      </c>
      <c r="CP8" s="709">
        <f t="shared" ca="1" si="19"/>
        <v>350247424.52398503</v>
      </c>
      <c r="CQ8" s="709"/>
      <c r="CR8" s="709">
        <f t="shared" ca="1" si="20"/>
        <v>350247424.52398503</v>
      </c>
      <c r="CS8" s="707"/>
      <c r="CT8" s="708">
        <f t="shared" si="46"/>
        <v>2017</v>
      </c>
      <c r="CU8" s="709">
        <f>SUMIFS('Monthly Data'!BI:BI,'Monthly Data'!$B:$B,CT8)</f>
        <v>87028896.619829968</v>
      </c>
      <c r="CV8" s="709">
        <f>SUMIFS('Monthly Data'!BJ:BJ,'Monthly Data'!$B:$B,CT8)</f>
        <v>1654412.3870165935</v>
      </c>
      <c r="CW8" s="709">
        <f>SUMIFS('Monthly Data'!BK:BK,'Monthly Data'!$B:$B,CT8)</f>
        <v>88683309.006846577</v>
      </c>
      <c r="CX8" s="709">
        <f ca="1">SUMIFS('WRZ GS &lt; 50 Normalized'!V:V,'WRZ GS &lt; 50 Normalized'!B:B,CT8)</f>
        <v>87872986.62054044</v>
      </c>
      <c r="CY8" s="709">
        <f t="shared" si="21"/>
        <v>1654412.3870165935</v>
      </c>
      <c r="CZ8" s="709">
        <f t="shared" ca="1" si="22"/>
        <v>86218574.233523846</v>
      </c>
      <c r="DA8" s="709"/>
      <c r="DB8" s="709">
        <f t="shared" ca="1" si="23"/>
        <v>86218574.233523846</v>
      </c>
      <c r="DC8" s="709"/>
      <c r="DD8" s="708">
        <f t="shared" si="47"/>
        <v>2017</v>
      </c>
      <c r="DE8" s="709">
        <f>SUMIFS('Monthly Data'!BO:BO,'Monthly Data'!$B:$B,DD8)</f>
        <v>343423307.15999997</v>
      </c>
      <c r="DF8" s="709">
        <f>SUMIFS('Monthly Data'!BP:BP,'Monthly Data'!$B:$B,DD8)</f>
        <v>8610844.415497696</v>
      </c>
      <c r="DG8" s="709">
        <f>SUMIFS('Monthly Data'!BQ:BQ,'Monthly Data'!$B:$B,DD8)</f>
        <v>352034151.57549763</v>
      </c>
      <c r="DH8" s="709">
        <f ca="1">SUMIFS('WRZ GS 50-2,999 Normalized'!T:T,'WRZ GS 50-2,999 Normalized'!B:B,'Normalized Annual Summary'!DD8)</f>
        <v>361558928.78506219</v>
      </c>
      <c r="DI8" s="709">
        <f t="shared" si="24"/>
        <v>8610844.415497696</v>
      </c>
      <c r="DJ8" s="709">
        <f t="shared" ca="1" si="25"/>
        <v>352948084.36956447</v>
      </c>
      <c r="DK8" s="709"/>
      <c r="DL8" s="709">
        <f t="shared" ca="1" si="26"/>
        <v>352948084.36956447</v>
      </c>
      <c r="DM8" s="709">
        <f t="shared" ca="1" si="61"/>
        <v>361558928.78506219</v>
      </c>
      <c r="DN8" s="709"/>
      <c r="DO8" s="708">
        <f t="shared" si="48"/>
        <v>2017</v>
      </c>
      <c r="DP8" s="709">
        <f>SUMIFS('Monthly Data'!BU:BU,'Monthly Data'!$B:$B,DO8)</f>
        <v>61143400.199999996</v>
      </c>
      <c r="DQ8" s="709">
        <f>SUMIFS('Monthly Data'!BV:BV,'Monthly Data'!$B:$B,DO8)</f>
        <v>1935908.6062913383</v>
      </c>
      <c r="DR8" s="709">
        <f>SUMIFS('Monthly Data'!BW:BW,'Monthly Data'!$B:$B,DO8)</f>
        <v>63079308.806291334</v>
      </c>
      <c r="DS8" s="709">
        <f>SUMIFS('WRZ GS 3,000-4,999 Normalized'!O:O,'WRZ GS 3,000-4,999 Normalized'!B:B,'Normalized Annual Summary'!DO8)</f>
        <v>64034036.61576356</v>
      </c>
      <c r="DT8" s="709">
        <f t="shared" si="27"/>
        <v>1935908.6062913383</v>
      </c>
      <c r="DU8" s="709">
        <f t="shared" si="28"/>
        <v>62098128.009472221</v>
      </c>
      <c r="DV8" s="709"/>
      <c r="DW8" s="709">
        <f t="shared" si="29"/>
        <v>62098128.009472221</v>
      </c>
      <c r="DX8" s="709">
        <f t="shared" si="62"/>
        <v>64034036.61576356</v>
      </c>
      <c r="DY8" s="707"/>
      <c r="DZ8" s="708">
        <f t="shared" si="49"/>
        <v>2017</v>
      </c>
      <c r="EA8" s="709">
        <f>SUMIFS('Monthly Data'!BZ:BZ,'Monthly Data'!$B:$B,DZ8)</f>
        <v>4989079.4000000004</v>
      </c>
      <c r="EB8" s="709">
        <f>'Customer Count'!BN7</f>
        <v>11891</v>
      </c>
      <c r="EC8" s="709">
        <f t="shared" si="50"/>
        <v>419.56768984946603</v>
      </c>
      <c r="ED8" s="709">
        <f t="shared" si="51"/>
        <v>4989079.4000000004</v>
      </c>
      <c r="EE8" s="707"/>
      <c r="EF8" s="707"/>
      <c r="EG8" s="708">
        <f t="shared" si="52"/>
        <v>2017</v>
      </c>
      <c r="EH8" s="709">
        <f>SUMIFS('Monthly Data'!CA:CA,'Monthly Data'!$B:$B,EG8)</f>
        <v>30330.54805608164</v>
      </c>
      <c r="EI8" s="709">
        <f>'Customer Count'!BR7</f>
        <v>38.458333333333321</v>
      </c>
      <c r="EJ8" s="709">
        <f t="shared" si="53"/>
        <v>788.65997112238301</v>
      </c>
      <c r="EK8" s="709">
        <f t="shared" si="54"/>
        <v>30330.548056081636</v>
      </c>
      <c r="EL8" s="707"/>
      <c r="EM8" s="707"/>
      <c r="EN8" s="708">
        <f t="shared" si="55"/>
        <v>2017</v>
      </c>
      <c r="EO8" s="709">
        <f>SUMIFS('Monthly Data'!CB:CB,'Monthly Data'!$B:$B,EN8)</f>
        <v>597299.67999999982</v>
      </c>
      <c r="EP8" s="709">
        <f>'Customer Count'!BV7</f>
        <v>370.625</v>
      </c>
      <c r="EQ8" s="709">
        <f t="shared" si="56"/>
        <v>1611.6011602023605</v>
      </c>
      <c r="ER8" s="709">
        <f t="shared" si="57"/>
        <v>597299.67999999982</v>
      </c>
    </row>
    <row r="9" spans="2:148">
      <c r="B9" s="708">
        <f t="shared" si="30"/>
        <v>2018</v>
      </c>
      <c r="C9" s="709">
        <f>SUMIFS('Monthly Data'!D:D,'Monthly Data'!$B:$B,B9)</f>
        <v>979700023.53915226</v>
      </c>
      <c r="D9" s="709">
        <f>SUMIFS('Monthly Data'!E:E,'Monthly Data'!$B:$B,B9)</f>
        <v>42806369.441916883</v>
      </c>
      <c r="E9" s="709">
        <f>SUMIFS('Monthly Data'!I:I,'Monthly Data'!$B:$B,B9)</f>
        <v>1021402864.1907089</v>
      </c>
      <c r="F9" s="709">
        <f ca="1">SUMIFS('VRZ Residential Normalized'!X:X,'VRZ Residential Normalized'!B:B,B9)</f>
        <v>975946221.03836966</v>
      </c>
      <c r="G9" s="709">
        <f t="shared" si="0"/>
        <v>42806369.441916883</v>
      </c>
      <c r="H9" s="709">
        <f t="shared" ca="1" si="1"/>
        <v>933139851.59645271</v>
      </c>
      <c r="I9" s="709"/>
      <c r="J9" s="709">
        <f t="shared" ca="1" si="2"/>
        <v>933139851.59645271</v>
      </c>
      <c r="K9" s="707"/>
      <c r="L9" s="708">
        <f t="shared" si="31"/>
        <v>2018</v>
      </c>
      <c r="M9" s="709">
        <f>SUMIFS('Monthly Data'!J:J,'Monthly Data'!$B:$B,L9)</f>
        <v>10517338.461090002</v>
      </c>
      <c r="N9" s="709">
        <f>SUMIFS('Monthly Data'!K:K,'Monthly Data'!$B:$B,L9)</f>
        <v>490295.74749153882</v>
      </c>
      <c r="O9" s="709">
        <f>SUMIFS('Monthly Data'!L:L,'Monthly Data'!$B:$B,L9)</f>
        <v>11007634.208581543</v>
      </c>
      <c r="P9" s="709">
        <f ca="1">SUMIFS('VRZ Seasonal Normalized'!V:V,'VRZ Seasonal Normalized'!B:B,L9)</f>
        <v>10220466.295504279</v>
      </c>
      <c r="Q9" s="709">
        <f t="shared" si="3"/>
        <v>490295.74749153882</v>
      </c>
      <c r="R9" s="709">
        <f t="shared" ca="1" si="4"/>
        <v>9730170.5480127409</v>
      </c>
      <c r="S9" s="709"/>
      <c r="T9" s="709">
        <f t="shared" ca="1" si="5"/>
        <v>9730170.5480127409</v>
      </c>
      <c r="U9" s="707"/>
      <c r="V9" s="708">
        <f t="shared" si="32"/>
        <v>2018</v>
      </c>
      <c r="W9" s="709">
        <f>SUMIFS('Monthly Data'!P:P,'Monthly Data'!$B:$B,V9)</f>
        <v>280954109.73978019</v>
      </c>
      <c r="X9" s="709">
        <f>SUMIFS('Monthly Data'!Q:Q,'Monthly Data'!$B:$B,V9)</f>
        <v>12035401.390313063</v>
      </c>
      <c r="Y9" s="709">
        <f>SUMIFS('Monthly Data'!R:R,'Monthly Data'!$B:$B,V9)</f>
        <v>292989511.13009322</v>
      </c>
      <c r="Z9" s="709">
        <f ca="1">SUMIFS('VRZ GS &lt; 50 Normalized'!T:T,'VRZ GS &lt; 50 Normalized'!B:B,V9)</f>
        <v>287154504.5175488</v>
      </c>
      <c r="AA9" s="709">
        <f t="shared" si="6"/>
        <v>12035401.390313063</v>
      </c>
      <c r="AB9" s="709">
        <f t="shared" ca="1" si="7"/>
        <v>275119103.12723571</v>
      </c>
      <c r="AC9" s="709"/>
      <c r="AD9" s="709">
        <f t="shared" ca="1" si="8"/>
        <v>275119103.12723571</v>
      </c>
      <c r="AE9" s="709"/>
      <c r="AF9" s="708">
        <f t="shared" si="33"/>
        <v>2018</v>
      </c>
      <c r="AG9" s="709">
        <f>SUMIFS('Monthly Data'!V:V,'Monthly Data'!$B:$B,AF9)</f>
        <v>966857797.06000006</v>
      </c>
      <c r="AH9" s="709">
        <f>SUMIFS('Monthly Data'!W:W,'Monthly Data'!$B:$B,AF9)</f>
        <v>42215473.979362331</v>
      </c>
      <c r="AI9" s="709">
        <f>SUMIFS('Monthly Data'!X:X,'Monthly Data'!$B:$B,AF9)</f>
        <v>1009073271.0393625</v>
      </c>
      <c r="AJ9" s="709">
        <f ca="1">SUMIFS('VRZ GS 50-2,999 Normalized'!V:V,'VRZ GS 50-2,999 Normalized'!B:B,AF9)</f>
        <v>990370520.64838278</v>
      </c>
      <c r="AK9" s="709">
        <f t="shared" si="9"/>
        <v>42215473.979362331</v>
      </c>
      <c r="AL9" s="709">
        <f t="shared" ca="1" si="10"/>
        <v>948155046.66902041</v>
      </c>
      <c r="AM9" s="709"/>
      <c r="AN9" s="709">
        <f t="shared" ca="1" si="11"/>
        <v>948155046.66902041</v>
      </c>
      <c r="AO9" s="709">
        <f t="shared" ca="1" si="58"/>
        <v>990370520.64838278</v>
      </c>
      <c r="AP9" s="709"/>
      <c r="AQ9" s="708">
        <f t="shared" si="34"/>
        <v>2018</v>
      </c>
      <c r="AR9" s="709">
        <f>SUMIFS('Monthly Data'!AB:AB,'Monthly Data'!$B:$B,AQ9)</f>
        <v>83863297.689999998</v>
      </c>
      <c r="AS9" s="709">
        <f>SUMIFS('Monthly Data'!AC:AC,'Monthly Data'!$B:$B,AQ9)</f>
        <v>1987430.9185984104</v>
      </c>
      <c r="AT9" s="709">
        <f>SUMIFS('Monthly Data'!AD:AD,'Monthly Data'!$B:$B,AQ9)</f>
        <v>85850728.608598396</v>
      </c>
      <c r="AU9" s="709">
        <f>SUMIFS('VRZ GS 3,000-4,999 Normalized'!M:M,'VRZ GS 3,000-4,999 Normalized'!B:B,'Normalized Annual Summary'!AQ9)</f>
        <v>94290579.245609999</v>
      </c>
      <c r="AV9" s="709">
        <f t="shared" si="12"/>
        <v>1987430.9185984104</v>
      </c>
      <c r="AW9" s="709">
        <f t="shared" si="13"/>
        <v>92303148.327011585</v>
      </c>
      <c r="AX9" s="709"/>
      <c r="AY9" s="709">
        <f t="shared" si="14"/>
        <v>92303148.327011585</v>
      </c>
      <c r="AZ9" s="709">
        <f t="shared" si="59"/>
        <v>94290579.245609999</v>
      </c>
      <c r="BA9" s="709"/>
      <c r="BB9" s="708">
        <f t="shared" si="35"/>
        <v>2018</v>
      </c>
      <c r="BC9" s="709">
        <f>SUMIFS('Monthly Data'!AG:AG,'Monthly Data'!$B:$B,BB9)</f>
        <v>250221085.47000003</v>
      </c>
      <c r="BD9" s="709">
        <f>SUMIFS('Monthly Data'!AH:AH,'Monthly Data'!$B:$B,BB9)</f>
        <v>16245528.999497306</v>
      </c>
      <c r="BE9" s="709">
        <f>SUMIFS('Monthly Data'!AI:AI,'Monthly Data'!$B:$B,BB9)</f>
        <v>266466614.46949729</v>
      </c>
      <c r="BF9" s="709">
        <f>SUMIFS('VRZ Large Use Normalized'!Q:Q,'VRZ Large Use Normalized'!B:B,'Normalized Annual Summary'!BB9)</f>
        <v>270234553.03471005</v>
      </c>
      <c r="BG9" s="709">
        <f t="shared" si="15"/>
        <v>16245528.999497306</v>
      </c>
      <c r="BH9" s="709">
        <f t="shared" si="16"/>
        <v>253989024.03521276</v>
      </c>
      <c r="BI9" s="709"/>
      <c r="BJ9" s="709">
        <f t="shared" si="17"/>
        <v>253989024.03521276</v>
      </c>
      <c r="BK9" s="709">
        <f t="shared" si="60"/>
        <v>270234553.03471005</v>
      </c>
      <c r="BL9" s="707"/>
      <c r="BM9" s="708">
        <f t="shared" si="36"/>
        <v>2018</v>
      </c>
      <c r="BN9" s="709">
        <f>SUMIFS('Monthly Data'!AL:AL,'Monthly Data'!$B:$B,BM9)</f>
        <v>16161422.92</v>
      </c>
      <c r="BO9" s="709">
        <f>'Customer Count'!AG8</f>
        <v>30897.625</v>
      </c>
      <c r="BP9" s="709">
        <f t="shared" si="37"/>
        <v>523.06359857756058</v>
      </c>
      <c r="BQ9" s="709">
        <f t="shared" si="38"/>
        <v>16161422.92</v>
      </c>
      <c r="BR9" s="707"/>
      <c r="BS9" s="707"/>
      <c r="BT9" s="708">
        <f t="shared" si="39"/>
        <v>2018</v>
      </c>
      <c r="BU9" s="709">
        <f>SUMIFS('Monthly Data'!AM:AM,'Monthly Data'!$B:$B,BT9)</f>
        <v>247862.16999999998</v>
      </c>
      <c r="BV9" s="709">
        <f>'Customer Count'!AK8</f>
        <v>439</v>
      </c>
      <c r="BW9" s="709">
        <f t="shared" si="40"/>
        <v>564.60630979498853</v>
      </c>
      <c r="BX9" s="709">
        <f t="shared" si="41"/>
        <v>247862.16999999995</v>
      </c>
      <c r="BY9" s="707"/>
      <c r="BZ9" s="707"/>
      <c r="CA9" s="708">
        <f t="shared" si="42"/>
        <v>2018</v>
      </c>
      <c r="CB9" s="709">
        <f>SUMIFS('Monthly Data'!AN:AN,'Monthly Data'!$B:$B,BT9)</f>
        <v>4890679</v>
      </c>
      <c r="CC9" s="709">
        <f>'Customer Count'!AO8</f>
        <v>817.75</v>
      </c>
      <c r="CD9" s="710">
        <f t="shared" si="43"/>
        <v>5980.6530113115259</v>
      </c>
      <c r="CE9" s="709">
        <f t="shared" si="44"/>
        <v>4890679</v>
      </c>
      <c r="CF9" s="707"/>
      <c r="CG9" s="707"/>
      <c r="CH9" s="707"/>
      <c r="CI9" s="707"/>
      <c r="CJ9" s="708">
        <f t="shared" si="45"/>
        <v>2018</v>
      </c>
      <c r="CK9" s="709">
        <f>SUMIFS('Monthly Data'!BC:BC,'Monthly Data'!$B:$B,CJ9)</f>
        <v>368689346.9634791</v>
      </c>
      <c r="CL9" s="709">
        <f>SUMIFS('Monthly Data'!BD:BD,'Monthly Data'!$B:$B,CJ9)</f>
        <v>21750215.183498174</v>
      </c>
      <c r="CM9" s="709">
        <f>SUMIFS('Monthly Data'!BE:BE,'Monthly Data'!$B:$B,CJ9)</f>
        <v>390439562.14697731</v>
      </c>
      <c r="CN9" s="709">
        <f ca="1">SUMIFS('WRZ Residential Normalized'!X:X,'WRZ Residential Normalized'!B:B,'Normalized Annual Summary'!CJ9)</f>
        <v>375377117.66054261</v>
      </c>
      <c r="CO9" s="709">
        <f t="shared" si="18"/>
        <v>21750215.183498174</v>
      </c>
      <c r="CP9" s="709">
        <f t="shared" ca="1" si="19"/>
        <v>353626902.47704446</v>
      </c>
      <c r="CQ9" s="709"/>
      <c r="CR9" s="709">
        <f t="shared" ca="1" si="20"/>
        <v>353626902.47704446</v>
      </c>
      <c r="CS9" s="707"/>
      <c r="CT9" s="708">
        <f t="shared" si="46"/>
        <v>2018</v>
      </c>
      <c r="CU9" s="709">
        <f>SUMIFS('Monthly Data'!BI:BI,'Monthly Data'!$B:$B,CT9)</f>
        <v>90146107.58235006</v>
      </c>
      <c r="CV9" s="709">
        <f>SUMIFS('Monthly Data'!BJ:BJ,'Monthly Data'!$B:$B,CT9)</f>
        <v>2178865.286832728</v>
      </c>
      <c r="CW9" s="709">
        <f>SUMIFS('Monthly Data'!BK:BK,'Monthly Data'!$B:$B,CT9)</f>
        <v>92324972.869182795</v>
      </c>
      <c r="CX9" s="709">
        <f ca="1">SUMIFS('WRZ GS &lt; 50 Normalized'!V:V,'WRZ GS &lt; 50 Normalized'!B:B,CT9)</f>
        <v>89132614.805540457</v>
      </c>
      <c r="CY9" s="709">
        <f t="shared" si="21"/>
        <v>2178865.286832728</v>
      </c>
      <c r="CZ9" s="709">
        <f t="shared" ca="1" si="22"/>
        <v>86953749.518707722</v>
      </c>
      <c r="DA9" s="709"/>
      <c r="DB9" s="709">
        <f t="shared" ca="1" si="23"/>
        <v>86953749.518707722</v>
      </c>
      <c r="DC9" s="709"/>
      <c r="DD9" s="708">
        <f t="shared" si="47"/>
        <v>2018</v>
      </c>
      <c r="DE9" s="709">
        <f>SUMIFS('Monthly Data'!BO:BO,'Monthly Data'!$B:$B,DD9)</f>
        <v>350668948.01999998</v>
      </c>
      <c r="DF9" s="709">
        <f>SUMIFS('Monthly Data'!BP:BP,'Monthly Data'!$B:$B,DD9)</f>
        <v>12569733.819180507</v>
      </c>
      <c r="DG9" s="709">
        <f>SUMIFS('Monthly Data'!BQ:BQ,'Monthly Data'!$B:$B,DD9)</f>
        <v>363238681.83918047</v>
      </c>
      <c r="DH9" s="709">
        <f ca="1">SUMIFS('WRZ GS 50-2,999 Normalized'!T:T,'WRZ GS 50-2,999 Normalized'!B:B,'Normalized Annual Summary'!DD9)</f>
        <v>361572893.14006215</v>
      </c>
      <c r="DI9" s="709">
        <f t="shared" si="24"/>
        <v>12569733.819180507</v>
      </c>
      <c r="DJ9" s="709">
        <f t="shared" ca="1" si="25"/>
        <v>349003159.32088166</v>
      </c>
      <c r="DK9" s="709"/>
      <c r="DL9" s="709">
        <f t="shared" ca="1" si="26"/>
        <v>349003159.32088166</v>
      </c>
      <c r="DM9" s="709">
        <f t="shared" ca="1" si="61"/>
        <v>361572893.14006215</v>
      </c>
      <c r="DN9" s="709"/>
      <c r="DO9" s="708">
        <f t="shared" si="48"/>
        <v>2018</v>
      </c>
      <c r="DP9" s="709">
        <f>SUMIFS('Monthly Data'!BU:BU,'Monthly Data'!$B:$B,DO9)</f>
        <v>72194607.670000002</v>
      </c>
      <c r="DQ9" s="709">
        <f>SUMIFS('Monthly Data'!BV:BV,'Monthly Data'!$B:$B,DO9)</f>
        <v>2825954.6573094549</v>
      </c>
      <c r="DR9" s="709">
        <f>SUMIFS('Monthly Data'!BW:BW,'Monthly Data'!$B:$B,DO9)</f>
        <v>75020562.327309459</v>
      </c>
      <c r="DS9" s="709">
        <f>SUMIFS('WRZ GS 3,000-4,999 Normalized'!O:O,'WRZ GS 3,000-4,999 Normalized'!B:B,'Normalized Annual Summary'!DO9)</f>
        <v>77614440.974676207</v>
      </c>
      <c r="DT9" s="709">
        <f t="shared" si="27"/>
        <v>2825954.6573094549</v>
      </c>
      <c r="DU9" s="709">
        <f t="shared" si="28"/>
        <v>74788486.317366749</v>
      </c>
      <c r="DV9" s="709"/>
      <c r="DW9" s="709">
        <f t="shared" si="29"/>
        <v>74788486.317366749</v>
      </c>
      <c r="DX9" s="709">
        <f t="shared" si="62"/>
        <v>77614440.974676207</v>
      </c>
      <c r="DY9" s="707"/>
      <c r="DZ9" s="708">
        <f t="shared" si="49"/>
        <v>2018</v>
      </c>
      <c r="EA9" s="709">
        <f>SUMIFS('Monthly Data'!BZ:BZ,'Monthly Data'!$B:$B,DZ9)</f>
        <v>3813016.9899999998</v>
      </c>
      <c r="EB9" s="709">
        <f>'Customer Count'!BN8</f>
        <v>12053.666666666672</v>
      </c>
      <c r="EC9" s="709">
        <f t="shared" si="50"/>
        <v>316.33668786814508</v>
      </c>
      <c r="ED9" s="709">
        <f t="shared" si="51"/>
        <v>3813016.9899999998</v>
      </c>
      <c r="EE9" s="707"/>
      <c r="EF9" s="707"/>
      <c r="EG9" s="708">
        <f t="shared" si="52"/>
        <v>2018</v>
      </c>
      <c r="EH9" s="709">
        <f>SUMIFS('Monthly Data'!CA:CA,'Monthly Data'!$B:$B,EG9)</f>
        <v>29985.882737262535</v>
      </c>
      <c r="EI9" s="709">
        <f>'Customer Count'!BR8</f>
        <v>37.458333333333321</v>
      </c>
      <c r="EJ9" s="709">
        <f t="shared" si="53"/>
        <v>800.51299854760964</v>
      </c>
      <c r="EK9" s="709">
        <f t="shared" si="54"/>
        <v>29985.882737262535</v>
      </c>
      <c r="EL9" s="707"/>
      <c r="EM9" s="707"/>
      <c r="EN9" s="708">
        <f t="shared" si="55"/>
        <v>2018</v>
      </c>
      <c r="EO9" s="709">
        <f>SUMIFS('Monthly Data'!CB:CB,'Monthly Data'!$B:$B,EN9)</f>
        <v>604470.16999999993</v>
      </c>
      <c r="EP9" s="709">
        <f>'Customer Count'!BV8</f>
        <v>376.875</v>
      </c>
      <c r="EQ9" s="710">
        <f t="shared" si="56"/>
        <v>1603.9009485903812</v>
      </c>
      <c r="ER9" s="709">
        <f t="shared" si="57"/>
        <v>604470.16999999993</v>
      </c>
    </row>
    <row r="10" spans="2:148">
      <c r="B10" s="708">
        <f t="shared" si="30"/>
        <v>2019</v>
      </c>
      <c r="C10" s="709">
        <f>SUMIFS('Monthly Data'!D:D,'Monthly Data'!$B:$B,B10)</f>
        <v>955759610.43615055</v>
      </c>
      <c r="D10" s="709">
        <f>SUMIFS('Monthly Data'!E:E,'Monthly Data'!$B:$B,B10)</f>
        <v>45836334.722457305</v>
      </c>
      <c r="E10" s="709">
        <f ca="1">SUMIFS('Monthly Data'!I:I,'Monthly Data'!$B:$B,B10)</f>
        <v>998784213.70210195</v>
      </c>
      <c r="F10" s="709">
        <f ca="1">SUMIFS('VRZ Residential Normalized'!X:X,'VRZ Residential Normalized'!B:B,B10)</f>
        <v>996944274.90451503</v>
      </c>
      <c r="G10" s="709">
        <f t="shared" si="0"/>
        <v>45836334.722457305</v>
      </c>
      <c r="H10" s="709">
        <f t="shared" ca="1" si="1"/>
        <v>951107940.18205774</v>
      </c>
      <c r="I10" s="709"/>
      <c r="J10" s="709">
        <f t="shared" ca="1" si="2"/>
        <v>951107940.18205774</v>
      </c>
      <c r="K10" s="707"/>
      <c r="L10" s="708">
        <f t="shared" si="31"/>
        <v>2019</v>
      </c>
      <c r="M10" s="709">
        <f>SUMIFS('Monthly Data'!J:J,'Monthly Data'!$B:$B,L10)</f>
        <v>10858188.68736</v>
      </c>
      <c r="N10" s="709">
        <f>SUMIFS('Monthly Data'!K:K,'Monthly Data'!$B:$B,L10)</f>
        <v>525000.374664178</v>
      </c>
      <c r="O10" s="709">
        <f>SUMIFS('Monthly Data'!L:L,'Monthly Data'!$B:$B,L10)</f>
        <v>11383189.062024178</v>
      </c>
      <c r="P10" s="709">
        <f ca="1">SUMIFS('VRZ Seasonal Normalized'!V:V,'VRZ Seasonal Normalized'!B:B,L10)</f>
        <v>10628168.137623681</v>
      </c>
      <c r="Q10" s="709">
        <f t="shared" si="3"/>
        <v>525000.374664178</v>
      </c>
      <c r="R10" s="709">
        <f t="shared" ca="1" si="4"/>
        <v>10103167.762959503</v>
      </c>
      <c r="S10" s="709"/>
      <c r="T10" s="709">
        <f t="shared" ca="1" si="5"/>
        <v>10103167.762959503</v>
      </c>
      <c r="U10" s="707"/>
      <c r="V10" s="708">
        <f t="shared" si="32"/>
        <v>2019</v>
      </c>
      <c r="W10" s="709">
        <f>SUMIFS('Monthly Data'!P:P,'Monthly Data'!$B:$B,V10)</f>
        <v>289308515.85117018</v>
      </c>
      <c r="X10" s="709">
        <f>SUMIFS('Monthly Data'!Q:Q,'Monthly Data'!$B:$B,V10)</f>
        <v>15081361.218734965</v>
      </c>
      <c r="Y10" s="709">
        <f>SUMIFS('Monthly Data'!R:R,'Monthly Data'!$B:$B,V10)</f>
        <v>304389877.06990516</v>
      </c>
      <c r="Z10" s="709">
        <f ca="1">SUMIFS('VRZ GS &lt; 50 Normalized'!T:T,'VRZ GS &lt; 50 Normalized'!B:B,V10)</f>
        <v>289415982.38864392</v>
      </c>
      <c r="AA10" s="709">
        <f t="shared" si="6"/>
        <v>15081361.218734965</v>
      </c>
      <c r="AB10" s="709">
        <f t="shared" ca="1" si="7"/>
        <v>274334621.16990894</v>
      </c>
      <c r="AC10" s="709"/>
      <c r="AD10" s="709">
        <f t="shared" ca="1" si="8"/>
        <v>274334621.16990894</v>
      </c>
      <c r="AE10" s="709"/>
      <c r="AF10" s="708">
        <f t="shared" si="33"/>
        <v>2019</v>
      </c>
      <c r="AG10" s="709">
        <f>SUMIFS('Monthly Data'!V:V,'Monthly Data'!$B:$B,AF10)</f>
        <v>943844507.63000011</v>
      </c>
      <c r="AH10" s="709">
        <f>SUMIFS('Monthly Data'!W:W,'Monthly Data'!$B:$B,AF10)</f>
        <v>53160687.282865867</v>
      </c>
      <c r="AI10" s="709">
        <f>SUMIFS('Monthly Data'!X:X,'Monthly Data'!$B:$B,AF10)</f>
        <v>997005194.91286576</v>
      </c>
      <c r="AJ10" s="709">
        <f ca="1">SUMIFS('VRZ GS 50-2,999 Normalized'!V:V,'VRZ GS 50-2,999 Normalized'!B:B,AF10)</f>
        <v>998237758.24828899</v>
      </c>
      <c r="AK10" s="709">
        <f t="shared" si="9"/>
        <v>53160687.282865867</v>
      </c>
      <c r="AL10" s="709">
        <f t="shared" ca="1" si="10"/>
        <v>945077070.96542311</v>
      </c>
      <c r="AM10" s="709"/>
      <c r="AN10" s="709">
        <f t="shared" ca="1" si="11"/>
        <v>945077070.96542311</v>
      </c>
      <c r="AO10" s="709">
        <f t="shared" ca="1" si="58"/>
        <v>998237758.24828899</v>
      </c>
      <c r="AP10" s="709"/>
      <c r="AQ10" s="708">
        <f t="shared" si="34"/>
        <v>2019</v>
      </c>
      <c r="AR10" s="709">
        <f>SUMIFS('Monthly Data'!AB:AB,'Monthly Data'!$B:$B,AQ10)</f>
        <v>93267622.239999995</v>
      </c>
      <c r="AS10" s="709">
        <f>SUMIFS('Monthly Data'!AC:AC,'Monthly Data'!$B:$B,AQ10)</f>
        <v>2523293.7631115634</v>
      </c>
      <c r="AT10" s="709">
        <f>SUMIFS('Monthly Data'!AD:AD,'Monthly Data'!$B:$B,AQ10)</f>
        <v>95790916.003111556</v>
      </c>
      <c r="AU10" s="709">
        <f>SUMIFS('VRZ GS 3,000-4,999 Normalized'!M:M,'VRZ GS 3,000-4,999 Normalized'!B:B,'Normalized Annual Summary'!AQ10)</f>
        <v>97064476.966140002</v>
      </c>
      <c r="AV10" s="709">
        <f t="shared" si="12"/>
        <v>2523293.7631115634</v>
      </c>
      <c r="AW10" s="709">
        <f t="shared" si="13"/>
        <v>94541183.20302844</v>
      </c>
      <c r="AX10" s="709"/>
      <c r="AY10" s="709">
        <f t="shared" si="14"/>
        <v>94541183.20302844</v>
      </c>
      <c r="AZ10" s="709">
        <f t="shared" si="59"/>
        <v>97064476.966140002</v>
      </c>
      <c r="BA10" s="709"/>
      <c r="BB10" s="708">
        <f t="shared" si="35"/>
        <v>2019</v>
      </c>
      <c r="BC10" s="709">
        <f>SUMIFS('Monthly Data'!AG:AG,'Monthly Data'!$B:$B,BB10)</f>
        <v>259592384.06</v>
      </c>
      <c r="BD10" s="709">
        <f>SUMIFS('Monthly Data'!AH:AH,'Monthly Data'!$B:$B,BB10)</f>
        <v>18748905.302183963</v>
      </c>
      <c r="BE10" s="709">
        <f>SUMIFS('Monthly Data'!AI:AI,'Monthly Data'!$B:$B,BB10)</f>
        <v>278341289.36218399</v>
      </c>
      <c r="BF10" s="709">
        <f>SUMIFS('VRZ Large Use Normalized'!Q:Q,'VRZ Large Use Normalized'!B:B,'Normalized Annual Summary'!BB10)</f>
        <v>284615656.08954006</v>
      </c>
      <c r="BG10" s="709">
        <f t="shared" si="15"/>
        <v>18748905.302183963</v>
      </c>
      <c r="BH10" s="709">
        <f t="shared" si="16"/>
        <v>265866750.78735611</v>
      </c>
      <c r="BI10" s="709"/>
      <c r="BJ10" s="709">
        <f t="shared" si="17"/>
        <v>265866750.78735611</v>
      </c>
      <c r="BK10" s="709">
        <f t="shared" si="60"/>
        <v>284615656.08954006</v>
      </c>
      <c r="BL10" s="707"/>
      <c r="BM10" s="708">
        <f t="shared" si="36"/>
        <v>2019</v>
      </c>
      <c r="BN10" s="709">
        <f>SUMIFS('Monthly Data'!AL:AL,'Monthly Data'!$B:$B,BM10)</f>
        <v>13788944.16</v>
      </c>
      <c r="BO10" s="709">
        <f>'Customer Count'!AG9</f>
        <v>31143.041666666657</v>
      </c>
      <c r="BP10" s="709">
        <f t="shared" si="37"/>
        <v>442.76163862178964</v>
      </c>
      <c r="BQ10" s="709">
        <f t="shared" si="38"/>
        <v>13788944.16</v>
      </c>
      <c r="BR10" s="707"/>
      <c r="BS10" s="707"/>
      <c r="BT10" s="708">
        <f t="shared" si="39"/>
        <v>2019</v>
      </c>
      <c r="BU10" s="709">
        <f>SUMIFS('Monthly Data'!AM:AM,'Monthly Data'!$B:$B,BT10)</f>
        <v>229776.43000000002</v>
      </c>
      <c r="BV10" s="709">
        <f>'Customer Count'!AK9</f>
        <v>342.04166666666652</v>
      </c>
      <c r="BW10" s="709">
        <f t="shared" si="40"/>
        <v>671.77906200511666</v>
      </c>
      <c r="BX10" s="709">
        <f t="shared" si="41"/>
        <v>229776.43000000002</v>
      </c>
      <c r="BY10" s="707"/>
      <c r="BZ10" s="707"/>
      <c r="CA10" s="708">
        <f t="shared" si="42"/>
        <v>2019</v>
      </c>
      <c r="CB10" s="709">
        <f>SUMIFS('Monthly Data'!AN:AN,'Monthly Data'!$B:$B,BT10)</f>
        <v>4846041.4799999995</v>
      </c>
      <c r="CC10" s="709">
        <f>'Customer Count'!AO9</f>
        <v>809.04166666666697</v>
      </c>
      <c r="CD10" s="709">
        <f t="shared" si="43"/>
        <v>5989.8540207035048</v>
      </c>
      <c r="CE10" s="709">
        <f t="shared" si="44"/>
        <v>4846041.4799999995</v>
      </c>
      <c r="CF10" s="707"/>
      <c r="CG10" s="707"/>
      <c r="CH10" s="707"/>
      <c r="CI10" s="707"/>
      <c r="CJ10" s="708">
        <f t="shared" si="45"/>
        <v>2019</v>
      </c>
      <c r="CK10" s="709">
        <f>SUMIFS('Monthly Data'!BC:BC,'Monthly Data'!$B:$B,CJ10)</f>
        <v>353188013.54001999</v>
      </c>
      <c r="CL10" s="709">
        <f>SUMIFS('Monthly Data'!BD:BD,'Monthly Data'!$B:$B,CJ10)</f>
        <v>23029344.909228727</v>
      </c>
      <c r="CM10" s="709">
        <f>SUMIFS('Monthly Data'!BE:BE,'Monthly Data'!$B:$B,CJ10)</f>
        <v>376217358.44924873</v>
      </c>
      <c r="CN10" s="709">
        <f ca="1">SUMIFS('WRZ Residential Normalized'!X:X,'WRZ Residential Normalized'!B:B,'Normalized Annual Summary'!CJ10)</f>
        <v>383697571.65176457</v>
      </c>
      <c r="CO10" s="709">
        <f t="shared" si="18"/>
        <v>23029344.909228727</v>
      </c>
      <c r="CP10" s="709">
        <f t="shared" ca="1" si="19"/>
        <v>360668226.74253583</v>
      </c>
      <c r="CQ10" s="709"/>
      <c r="CR10" s="709">
        <f t="shared" ca="1" si="20"/>
        <v>360668226.74253583</v>
      </c>
      <c r="CS10" s="707"/>
      <c r="CT10" s="708">
        <f t="shared" si="46"/>
        <v>2019</v>
      </c>
      <c r="CU10" s="709">
        <f>SUMIFS('Monthly Data'!BI:BI,'Monthly Data'!$B:$B,CT10)</f>
        <v>89224578.835409939</v>
      </c>
      <c r="CV10" s="709">
        <f>SUMIFS('Monthly Data'!BJ:BJ,'Monthly Data'!$B:$B,CT10)</f>
        <v>2473207.88925929</v>
      </c>
      <c r="CW10" s="709">
        <f>SUMIFS('Monthly Data'!BK:BK,'Monthly Data'!$B:$B,CT10)</f>
        <v>91697786.724669263</v>
      </c>
      <c r="CX10" s="709">
        <f ca="1">SUMIFS('WRZ GS &lt; 50 Normalized'!V:V,'WRZ GS &lt; 50 Normalized'!B:B,CT10)</f>
        <v>89213013.504924536</v>
      </c>
      <c r="CY10" s="709">
        <f t="shared" si="21"/>
        <v>2473207.88925929</v>
      </c>
      <c r="CZ10" s="709">
        <f t="shared" ca="1" si="22"/>
        <v>86739805.615665242</v>
      </c>
      <c r="DA10" s="709"/>
      <c r="DB10" s="709">
        <f t="shared" ca="1" si="23"/>
        <v>86739805.615665242</v>
      </c>
      <c r="DC10" s="709"/>
      <c r="DD10" s="708">
        <f t="shared" si="47"/>
        <v>2019</v>
      </c>
      <c r="DE10" s="709">
        <f>SUMIFS('Monthly Data'!BO:BO,'Monthly Data'!$B:$B,DD10)</f>
        <v>339922011.33999991</v>
      </c>
      <c r="DF10" s="709">
        <f>SUMIFS('Monthly Data'!BP:BP,'Monthly Data'!$B:$B,DD10)</f>
        <v>18209134.962835405</v>
      </c>
      <c r="DG10" s="709">
        <f>SUMIFS('Monthly Data'!BQ:BQ,'Monthly Data'!$B:$B,DD10)</f>
        <v>358131146.3028354</v>
      </c>
      <c r="DH10" s="709">
        <f ca="1">SUMIFS('WRZ GS 50-2,999 Normalized'!T:T,'WRZ GS 50-2,999 Normalized'!B:B,'Normalized Annual Summary'!DD10)</f>
        <v>361622439.81376976</v>
      </c>
      <c r="DI10" s="709">
        <f t="shared" si="24"/>
        <v>18209134.962835405</v>
      </c>
      <c r="DJ10" s="709">
        <f t="shared" ca="1" si="25"/>
        <v>343413304.85093433</v>
      </c>
      <c r="DK10" s="709"/>
      <c r="DL10" s="709">
        <f t="shared" ca="1" si="26"/>
        <v>343413304.85093433</v>
      </c>
      <c r="DM10" s="709">
        <f t="shared" ca="1" si="61"/>
        <v>361622439.81376976</v>
      </c>
      <c r="DN10" s="709"/>
      <c r="DO10" s="708">
        <f t="shared" si="48"/>
        <v>2019</v>
      </c>
      <c r="DP10" s="709">
        <f>SUMIFS('Monthly Data'!BU:BU,'Monthly Data'!$B:$B,DO10)</f>
        <v>79821855.49000001</v>
      </c>
      <c r="DQ10" s="709">
        <f>SUMIFS('Monthly Data'!BV:BV,'Monthly Data'!$B:$B,DO10)</f>
        <v>4093816.9808560032</v>
      </c>
      <c r="DR10" s="709">
        <f>SUMIFS('Monthly Data'!BW:BW,'Monthly Data'!$B:$B,DO10)</f>
        <v>83915672.470856011</v>
      </c>
      <c r="DS10" s="709">
        <f>SUMIFS('WRZ GS 3,000-4,999 Normalized'!O:O,'WRZ GS 3,000-4,999 Normalized'!B:B,'Normalized Annual Summary'!DO10)</f>
        <v>89105499.11052531</v>
      </c>
      <c r="DT10" s="709">
        <f t="shared" si="27"/>
        <v>4093816.9808560032</v>
      </c>
      <c r="DU10" s="709">
        <f t="shared" si="28"/>
        <v>85011682.129669309</v>
      </c>
      <c r="DV10" s="709"/>
      <c r="DW10" s="709">
        <f t="shared" si="29"/>
        <v>85011682.129669309</v>
      </c>
      <c r="DX10" s="709">
        <f t="shared" si="62"/>
        <v>89105499.11052531</v>
      </c>
      <c r="DY10" s="707"/>
      <c r="DZ10" s="708">
        <f t="shared" si="49"/>
        <v>2019</v>
      </c>
      <c r="EA10" s="709">
        <f>SUMIFS('Monthly Data'!BZ:BZ,'Monthly Data'!$B:$B,DZ10)</f>
        <v>3495126.45</v>
      </c>
      <c r="EB10" s="709">
        <f>'Customer Count'!BN9</f>
        <v>12408.416666666672</v>
      </c>
      <c r="EC10" s="709">
        <f t="shared" si="50"/>
        <v>281.67384638115249</v>
      </c>
      <c r="ED10" s="709">
        <f t="shared" si="51"/>
        <v>3495126.45</v>
      </c>
      <c r="EE10" s="707"/>
      <c r="EF10" s="707"/>
      <c r="EG10" s="708">
        <f t="shared" si="52"/>
        <v>2019</v>
      </c>
      <c r="EH10" s="709">
        <f>SUMIFS('Monthly Data'!CA:CA,'Monthly Data'!$B:$B,EG10)</f>
        <v>29641.217418443437</v>
      </c>
      <c r="EI10" s="709">
        <f>'Customer Count'!BR9</f>
        <v>37</v>
      </c>
      <c r="EJ10" s="709">
        <f t="shared" si="53"/>
        <v>801.11398428225505</v>
      </c>
      <c r="EK10" s="709">
        <f t="shared" si="54"/>
        <v>29641.217418443437</v>
      </c>
      <c r="EL10" s="707"/>
      <c r="EM10" s="707"/>
      <c r="EN10" s="708">
        <f t="shared" si="55"/>
        <v>2019</v>
      </c>
      <c r="EO10" s="709">
        <f>SUMIFS('Monthly Data'!CB:CB,'Monthly Data'!$B:$B,EN10)</f>
        <v>597885.07999999996</v>
      </c>
      <c r="EP10" s="709">
        <f>'Customer Count'!BV9</f>
        <v>384.25</v>
      </c>
      <c r="EQ10" s="709">
        <f t="shared" si="56"/>
        <v>1555.979388418998</v>
      </c>
      <c r="ER10" s="709">
        <f t="shared" si="57"/>
        <v>597885.07999999996</v>
      </c>
    </row>
    <row r="11" spans="2:148">
      <c r="B11" s="708">
        <f t="shared" si="30"/>
        <v>2020</v>
      </c>
      <c r="C11" s="709">
        <f>SUMIFS('Monthly Data'!D:D,'Monthly Data'!$B:$B,B11)</f>
        <v>1034148021.2598839</v>
      </c>
      <c r="D11" s="709">
        <f>SUMIFS('Monthly Data'!E:E,'Monthly Data'!$B:$B,B11)</f>
        <v>45977943.062860571</v>
      </c>
      <c r="E11" s="709">
        <f ca="1">SUMIFS('Monthly Data'!I:I,'Monthly Data'!$B:$B,B11)</f>
        <v>1074448829.0355334</v>
      </c>
      <c r="F11" s="709">
        <f ca="1">SUMIFS('VRZ Residential Normalized'!X:X,'VRZ Residential Normalized'!B:B,B11)</f>
        <v>1048600450.4469582</v>
      </c>
      <c r="G11" s="709">
        <f t="shared" si="0"/>
        <v>45977943.062860571</v>
      </c>
      <c r="H11" s="709">
        <f t="shared" ca="1" si="1"/>
        <v>1002622507.3840976</v>
      </c>
      <c r="I11" s="709"/>
      <c r="J11" s="709">
        <f t="shared" ca="1" si="2"/>
        <v>1002622507.3840976</v>
      </c>
      <c r="K11" s="707"/>
      <c r="L11" s="708">
        <f t="shared" si="31"/>
        <v>2020</v>
      </c>
      <c r="M11" s="709">
        <f>SUMIFS('Monthly Data'!J:J,'Monthly Data'!$B:$B,L11)</f>
        <v>12379582.885860002</v>
      </c>
      <c r="N11" s="709">
        <f>SUMIFS('Monthly Data'!K:K,'Monthly Data'!$B:$B,L11)</f>
        <v>526622.32878021791</v>
      </c>
      <c r="O11" s="709">
        <f>SUMIFS('Monthly Data'!L:L,'Monthly Data'!$B:$B,L11)</f>
        <v>12906205.214640219</v>
      </c>
      <c r="P11" s="709">
        <f ca="1">SUMIFS('VRZ Seasonal Normalized'!V:V,'VRZ Seasonal Normalized'!B:B,L11)</f>
        <v>11954245.114098581</v>
      </c>
      <c r="Q11" s="709">
        <f t="shared" si="3"/>
        <v>526622.32878021791</v>
      </c>
      <c r="R11" s="709">
        <f t="shared" ca="1" si="4"/>
        <v>11427622.785318363</v>
      </c>
      <c r="S11" s="709"/>
      <c r="T11" s="709">
        <f t="shared" ca="1" si="5"/>
        <v>11427622.785318363</v>
      </c>
      <c r="U11" s="707"/>
      <c r="V11" s="708">
        <f t="shared" si="32"/>
        <v>2020</v>
      </c>
      <c r="W11" s="709">
        <f>SUMIFS('Monthly Data'!P:P,'Monthly Data'!$B:$B,V11)</f>
        <v>266656241.54906043</v>
      </c>
      <c r="X11" s="709">
        <f>SUMIFS('Monthly Data'!Q:Q,'Monthly Data'!$B:$B,V11)</f>
        <v>16208808.983902762</v>
      </c>
      <c r="Y11" s="709">
        <f>SUMIFS('Monthly Data'!R:R,'Monthly Data'!$B:$B,V11)</f>
        <v>282865050.5329631</v>
      </c>
      <c r="Z11" s="709">
        <f ca="1">SUMIFS('VRZ GS &lt; 50 Normalized'!T:T,'VRZ GS &lt; 50 Normalized'!B:B,V11)</f>
        <v>271776989.57223094</v>
      </c>
      <c r="AA11" s="709">
        <f t="shared" si="6"/>
        <v>16208808.983902762</v>
      </c>
      <c r="AB11" s="709">
        <f t="shared" ca="1" si="7"/>
        <v>255568180.58832818</v>
      </c>
      <c r="AC11" s="709"/>
      <c r="AD11" s="709">
        <f t="shared" ca="1" si="8"/>
        <v>255568180.58832818</v>
      </c>
      <c r="AE11" s="709"/>
      <c r="AF11" s="708">
        <f t="shared" si="33"/>
        <v>2020</v>
      </c>
      <c r="AG11" s="709">
        <f>SUMIFS('Monthly Data'!V:V,'Monthly Data'!$B:$B,AF11)</f>
        <v>894106942.2700001</v>
      </c>
      <c r="AH11" s="709">
        <f>SUMIFS('Monthly Data'!W:W,'Monthly Data'!$B:$B,AF11)</f>
        <v>58143132.380277865</v>
      </c>
      <c r="AI11" s="709">
        <f>SUMIFS('Monthly Data'!X:X,'Monthly Data'!$B:$B,AF11)</f>
        <v>952250074.65027785</v>
      </c>
      <c r="AJ11" s="709">
        <f ca="1">SUMIFS('VRZ GS 50-2,999 Normalized'!V:V,'VRZ GS 50-2,999 Normalized'!B:B,AF11)</f>
        <v>947685254.66095865</v>
      </c>
      <c r="AK11" s="709">
        <f t="shared" si="9"/>
        <v>58143132.380277865</v>
      </c>
      <c r="AL11" s="709">
        <f t="shared" ca="1" si="10"/>
        <v>889542122.28068078</v>
      </c>
      <c r="AM11" s="709"/>
      <c r="AN11" s="709">
        <f t="shared" ca="1" si="11"/>
        <v>889542122.28068078</v>
      </c>
      <c r="AO11" s="709">
        <f t="shared" ca="1" si="58"/>
        <v>947685254.66095865</v>
      </c>
      <c r="AP11" s="709"/>
      <c r="AQ11" s="708">
        <f t="shared" si="34"/>
        <v>2020</v>
      </c>
      <c r="AR11" s="709">
        <f>SUMIFS('Monthly Data'!AB:AB,'Monthly Data'!$B:$B,AQ11)</f>
        <v>89415660.890000015</v>
      </c>
      <c r="AS11" s="709">
        <f>SUMIFS('Monthly Data'!AC:AC,'Monthly Data'!$B:$B,AQ11)</f>
        <v>2728507.3357045613</v>
      </c>
      <c r="AT11" s="709">
        <f>SUMIFS('Monthly Data'!AD:AD,'Monthly Data'!$B:$B,AQ11)</f>
        <v>92144168.225704566</v>
      </c>
      <c r="AU11" s="709">
        <f>SUMIFS('VRZ GS 3,000-4,999 Normalized'!M:M,'VRZ GS 3,000-4,999 Normalized'!B:B,'Normalized Annual Summary'!AQ11)</f>
        <v>91600779.706669986</v>
      </c>
      <c r="AV11" s="709">
        <f t="shared" si="12"/>
        <v>2728507.3357045613</v>
      </c>
      <c r="AW11" s="709">
        <f t="shared" si="13"/>
        <v>88872272.370965421</v>
      </c>
      <c r="AX11" s="709"/>
      <c r="AY11" s="709">
        <f t="shared" si="14"/>
        <v>88872272.370965421</v>
      </c>
      <c r="AZ11" s="709">
        <f t="shared" si="59"/>
        <v>91600779.706669986</v>
      </c>
      <c r="BA11" s="709"/>
      <c r="BB11" s="708">
        <f t="shared" si="35"/>
        <v>2020</v>
      </c>
      <c r="BC11" s="709">
        <f>SUMIFS('Monthly Data'!AG:AG,'Monthly Data'!$B:$B,BB11)</f>
        <v>264242586.03</v>
      </c>
      <c r="BD11" s="709">
        <f>SUMIFS('Monthly Data'!AH:AH,'Monthly Data'!$B:$B,BB11)</f>
        <v>19533897.241536319</v>
      </c>
      <c r="BE11" s="709">
        <f>SUMIFS('Monthly Data'!AI:AI,'Monthly Data'!$B:$B,BB11)</f>
        <v>283776483.27153635</v>
      </c>
      <c r="BF11" s="709">
        <f>SUMIFS('VRZ Large Use Normalized'!Q:Q,'VRZ Large Use Normalized'!B:B,'Normalized Annual Summary'!BB11)</f>
        <v>276141611.22537005</v>
      </c>
      <c r="BG11" s="709">
        <f t="shared" si="15"/>
        <v>19533897.241536319</v>
      </c>
      <c r="BH11" s="709">
        <f t="shared" si="16"/>
        <v>256607713.98383373</v>
      </c>
      <c r="BI11" s="709"/>
      <c r="BJ11" s="709">
        <f t="shared" si="17"/>
        <v>256607713.98383373</v>
      </c>
      <c r="BK11" s="709">
        <f t="shared" si="60"/>
        <v>276141611.22537005</v>
      </c>
      <c r="BL11" s="707"/>
      <c r="BM11" s="708">
        <f t="shared" si="36"/>
        <v>2020</v>
      </c>
      <c r="BN11" s="709">
        <f>SUMIFS('Monthly Data'!AL:AL,'Monthly Data'!$B:$B,BM11)</f>
        <v>11924083.520000001</v>
      </c>
      <c r="BO11" s="709">
        <f>'Customer Count'!AG10</f>
        <v>31414.916666666657</v>
      </c>
      <c r="BP11" s="709">
        <f t="shared" si="37"/>
        <v>379.56756806082052</v>
      </c>
      <c r="BQ11" s="709">
        <f t="shared" si="38"/>
        <v>11924083.520000001</v>
      </c>
      <c r="BR11" s="707"/>
      <c r="BS11" s="707"/>
      <c r="BT11" s="708">
        <f t="shared" si="39"/>
        <v>2020</v>
      </c>
      <c r="BU11" s="709">
        <f>SUMIFS('Monthly Data'!AM:AM,'Monthly Data'!$B:$B,BT11)</f>
        <v>229649.84000000003</v>
      </c>
      <c r="BV11" s="709">
        <f>'Customer Count'!AK10</f>
        <v>255.125</v>
      </c>
      <c r="BW11" s="709">
        <f t="shared" si="40"/>
        <v>900.14635962763361</v>
      </c>
      <c r="BX11" s="709">
        <f t="shared" si="41"/>
        <v>229649.84000000003</v>
      </c>
      <c r="BY11" s="707"/>
      <c r="BZ11" s="707"/>
      <c r="CA11" s="708">
        <f t="shared" si="42"/>
        <v>2020</v>
      </c>
      <c r="CB11" s="709">
        <f>SUMIFS('Monthly Data'!AN:AN,'Monthly Data'!$B:$B,BT11)</f>
        <v>4814697.32</v>
      </c>
      <c r="CC11" s="709">
        <f>'Customer Count'!AO10</f>
        <v>801.83333333333303</v>
      </c>
      <c r="CD11" s="709">
        <f t="shared" si="43"/>
        <v>6004.6110829349436</v>
      </c>
      <c r="CE11" s="709">
        <f t="shared" si="44"/>
        <v>4814697.32</v>
      </c>
      <c r="CF11" s="707"/>
      <c r="CG11" s="707"/>
      <c r="CH11" s="707"/>
      <c r="CI11" s="707"/>
      <c r="CJ11" s="708">
        <f t="shared" si="45"/>
        <v>2020</v>
      </c>
      <c r="CK11" s="709">
        <f>SUMIFS('Monthly Data'!BC:BC,'Monthly Data'!$B:$B,CJ11)</f>
        <v>393916006.9360795</v>
      </c>
      <c r="CL11" s="709">
        <f>SUMIFS('Monthly Data'!BD:BD,'Monthly Data'!$B:$B,CJ11)</f>
        <v>23039289.717194855</v>
      </c>
      <c r="CM11" s="709">
        <f>SUMIFS('Monthly Data'!BE:BE,'Monthly Data'!$B:$B,CJ11)</f>
        <v>416955296.65327436</v>
      </c>
      <c r="CN11" s="709">
        <f ca="1">SUMIFS('WRZ Residential Normalized'!X:X,'WRZ Residential Normalized'!B:B,'Normalized Annual Summary'!CJ11)</f>
        <v>409060431.12655532</v>
      </c>
      <c r="CO11" s="709">
        <f t="shared" si="18"/>
        <v>23039289.717194855</v>
      </c>
      <c r="CP11" s="709">
        <f t="shared" ca="1" si="19"/>
        <v>386021141.40936047</v>
      </c>
      <c r="CQ11" s="709"/>
      <c r="CR11" s="709">
        <f t="shared" ca="1" si="20"/>
        <v>386021141.40936047</v>
      </c>
      <c r="CS11" s="707"/>
      <c r="CT11" s="708">
        <f t="shared" si="46"/>
        <v>2020</v>
      </c>
      <c r="CU11" s="709">
        <f>SUMIFS('Monthly Data'!BI:BI,'Monthly Data'!$B:$B,CT11)</f>
        <v>81674844.845230013</v>
      </c>
      <c r="CV11" s="709">
        <f>SUMIFS('Monthly Data'!BJ:BJ,'Monthly Data'!$B:$B,CT11)</f>
        <v>2609960.8076858083</v>
      </c>
      <c r="CW11" s="709">
        <f>SUMIFS('Monthly Data'!BK:BK,'Monthly Data'!$B:$B,CT11)</f>
        <v>84284805.65291582</v>
      </c>
      <c r="CX11" s="709">
        <f ca="1">SUMIFS('WRZ GS &lt; 50 Normalized'!V:V,'WRZ GS &lt; 50 Normalized'!B:B,CT11)</f>
        <v>83529639.299442291</v>
      </c>
      <c r="CY11" s="709">
        <f t="shared" si="21"/>
        <v>2609960.8076858083</v>
      </c>
      <c r="CZ11" s="709">
        <f t="shared" ca="1" si="22"/>
        <v>80919678.491756484</v>
      </c>
      <c r="DA11" s="709"/>
      <c r="DB11" s="709">
        <f t="shared" ca="1" si="23"/>
        <v>80919678.491756484</v>
      </c>
      <c r="DC11" s="709"/>
      <c r="DD11" s="708">
        <f t="shared" si="47"/>
        <v>2020</v>
      </c>
      <c r="DE11" s="709">
        <f>SUMIFS('Monthly Data'!BO:BO,'Monthly Data'!$B:$B,DD11)</f>
        <v>322964211.5</v>
      </c>
      <c r="DF11" s="709">
        <f>SUMIFS('Monthly Data'!BP:BP,'Monthly Data'!$B:$B,DD11)</f>
        <v>22144913.05671316</v>
      </c>
      <c r="DG11" s="709">
        <f>SUMIFS('Monthly Data'!BQ:BQ,'Monthly Data'!$B:$B,DD11)</f>
        <v>345109124.5567131</v>
      </c>
      <c r="DH11" s="709">
        <f ca="1">SUMIFS('WRZ GS 50-2,999 Normalized'!T:T,'WRZ GS 50-2,999 Normalized'!B:B,'Normalized Annual Summary'!DD11)</f>
        <v>344634904.24437159</v>
      </c>
      <c r="DI11" s="709">
        <f t="shared" si="24"/>
        <v>22144913.05671316</v>
      </c>
      <c r="DJ11" s="709">
        <f t="shared" ca="1" si="25"/>
        <v>322489991.18765843</v>
      </c>
      <c r="DK11" s="709"/>
      <c r="DL11" s="709">
        <f t="shared" ca="1" si="26"/>
        <v>322489991.18765843</v>
      </c>
      <c r="DM11" s="709">
        <f t="shared" ca="1" si="61"/>
        <v>344634904.24437159</v>
      </c>
      <c r="DN11" s="709"/>
      <c r="DO11" s="708">
        <f t="shared" si="48"/>
        <v>2020</v>
      </c>
      <c r="DP11" s="709">
        <f>SUMIFS('Monthly Data'!BU:BU,'Monthly Data'!$B:$B,DO11)</f>
        <v>85368173.439999998</v>
      </c>
      <c r="DQ11" s="709">
        <f>SUMIFS('Monthly Data'!BV:BV,'Monthly Data'!$B:$B,DO11)</f>
        <v>4978667.0973762516</v>
      </c>
      <c r="DR11" s="709">
        <f>SUMIFS('Monthly Data'!BW:BW,'Monthly Data'!$B:$B,DO11)</f>
        <v>90346840.537376255</v>
      </c>
      <c r="DS11" s="709">
        <f>SUMIFS('WRZ GS 3,000-4,999 Normalized'!O:O,'WRZ GS 3,000-4,999 Normalized'!B:B,'Normalized Annual Summary'!DO11)</f>
        <v>89303191.094296351</v>
      </c>
      <c r="DT11" s="709">
        <f t="shared" si="27"/>
        <v>4978667.0973762516</v>
      </c>
      <c r="DU11" s="709">
        <f t="shared" si="28"/>
        <v>84324523.996920094</v>
      </c>
      <c r="DV11" s="709"/>
      <c r="DW11" s="709">
        <f t="shared" si="29"/>
        <v>84324523.996920094</v>
      </c>
      <c r="DX11" s="709">
        <f t="shared" si="62"/>
        <v>89303191.094296351</v>
      </c>
      <c r="DY11" s="707"/>
      <c r="DZ11" s="708">
        <f t="shared" si="49"/>
        <v>2020</v>
      </c>
      <c r="EA11" s="709">
        <f>SUMIFS('Monthly Data'!BZ:BZ,'Monthly Data'!$B:$B,DZ11)</f>
        <v>3375506.85</v>
      </c>
      <c r="EB11" s="709">
        <f>'Customer Count'!BN10</f>
        <v>12707.791666666672</v>
      </c>
      <c r="EC11" s="709">
        <f t="shared" si="50"/>
        <v>265.62497549075852</v>
      </c>
      <c r="ED11" s="709">
        <f t="shared" si="51"/>
        <v>3375506.85</v>
      </c>
      <c r="EE11" s="707"/>
      <c r="EF11" s="707"/>
      <c r="EG11" s="708">
        <f t="shared" si="52"/>
        <v>2020</v>
      </c>
      <c r="EH11" s="709">
        <f>SUMIFS('Monthly Data'!CA:CA,'Monthly Data'!$B:$B,EG11)</f>
        <v>24815.902954975896</v>
      </c>
      <c r="EI11" s="709">
        <f>'Customer Count'!BR10</f>
        <v>37</v>
      </c>
      <c r="EJ11" s="709">
        <f t="shared" si="53"/>
        <v>670.70007986421342</v>
      </c>
      <c r="EK11" s="709">
        <f t="shared" si="54"/>
        <v>24815.902954975896</v>
      </c>
      <c r="EL11" s="707"/>
      <c r="EM11" s="707"/>
      <c r="EN11" s="708">
        <f t="shared" si="55"/>
        <v>2020</v>
      </c>
      <c r="EO11" s="709">
        <f>SUMIFS('Monthly Data'!CB:CB,'Monthly Data'!$B:$B,EN11)</f>
        <v>1852577.37</v>
      </c>
      <c r="EP11" s="709">
        <f>'Customer Count'!BV10</f>
        <v>389.16666666666652</v>
      </c>
      <c r="EQ11" s="709">
        <f t="shared" si="56"/>
        <v>4760.3701156316938</v>
      </c>
      <c r="ER11" s="709">
        <f t="shared" si="57"/>
        <v>1852577.37</v>
      </c>
    </row>
    <row r="12" spans="2:148">
      <c r="B12" s="708">
        <f t="shared" si="30"/>
        <v>2021</v>
      </c>
      <c r="C12" s="709">
        <f>SUMIFS('Monthly Data'!D:D,'Monthly Data'!$B:$B,B12)</f>
        <v>1026240017.5725335</v>
      </c>
      <c r="D12" s="709">
        <f ca="1">SUMIFS('Monthly Data'!E:E,'Monthly Data'!$B:$B,B12)</f>
        <v>46124535.321949117</v>
      </c>
      <c r="E12" s="709">
        <f ca="1">SUMIFS('Monthly Data'!I:I,'Monthly Data'!$B:$B,B12)</f>
        <v>1063178254.2108846</v>
      </c>
      <c r="F12" s="709">
        <f ca="1">SUMIFS('VRZ Residential Normalized'!X:X,'VRZ Residential Normalized'!B:B,B12)</f>
        <v>1070303863.3513017</v>
      </c>
      <c r="G12" s="709">
        <f t="shared" ca="1" si="0"/>
        <v>46124535.321949117</v>
      </c>
      <c r="H12" s="709">
        <f t="shared" ca="1" si="1"/>
        <v>1024179328.0293525</v>
      </c>
      <c r="I12" s="709"/>
      <c r="J12" s="709">
        <f t="shared" ca="1" si="2"/>
        <v>1024179328.0293525</v>
      </c>
      <c r="K12" s="707"/>
      <c r="L12" s="708">
        <f t="shared" si="31"/>
        <v>2021</v>
      </c>
      <c r="M12" s="709">
        <f>SUMIFS('Monthly Data'!J:J,'Monthly Data'!$B:$B,L12)</f>
        <v>12593975.35183</v>
      </c>
      <c r="N12" s="709">
        <f ca="1">SUMIFS('Monthly Data'!K:K,'Monthly Data'!$B:$B,L12)</f>
        <v>528301.3677219305</v>
      </c>
      <c r="O12" s="709">
        <f ca="1">SUMIFS('Monthly Data'!L:L,'Monthly Data'!$B:$B,L12)</f>
        <v>13122276.719551934</v>
      </c>
      <c r="P12" s="709">
        <f ca="1">SUMIFS('VRZ Seasonal Normalized'!V:V,'VRZ Seasonal Normalized'!B:B,L12)</f>
        <v>12478143.274828224</v>
      </c>
      <c r="Q12" s="709">
        <f t="shared" ca="1" si="3"/>
        <v>528301.3677219305</v>
      </c>
      <c r="R12" s="709">
        <f t="shared" ca="1" si="4"/>
        <v>11949841.907106293</v>
      </c>
      <c r="S12" s="709"/>
      <c r="T12" s="709">
        <f t="shared" ca="1" si="5"/>
        <v>11949841.907106293</v>
      </c>
      <c r="U12" s="707"/>
      <c r="V12" s="708">
        <f t="shared" si="32"/>
        <v>2021</v>
      </c>
      <c r="W12" s="709">
        <f>SUMIFS('Monthly Data'!P:P,'Monthly Data'!$B:$B,V12)</f>
        <v>265709797.19570994</v>
      </c>
      <c r="X12" s="709">
        <f ca="1">SUMIFS('Monthly Data'!Q:Q,'Monthly Data'!$B:$B,V12)</f>
        <v>16926706.595811814</v>
      </c>
      <c r="Y12" s="709">
        <f ca="1">SUMIFS('Monthly Data'!R:R,'Monthly Data'!$B:$B,V12)</f>
        <v>282636503.79152179</v>
      </c>
      <c r="Z12" s="709">
        <f ca="1">SUMIFS('VRZ GS &lt; 50 Normalized'!T:T,'VRZ GS &lt; 50 Normalized'!B:B,V12)</f>
        <v>275778162.30615741</v>
      </c>
      <c r="AA12" s="709">
        <f t="shared" ca="1" si="6"/>
        <v>16926706.595811814</v>
      </c>
      <c r="AB12" s="709">
        <f t="shared" ca="1" si="7"/>
        <v>258851455.7103456</v>
      </c>
      <c r="AC12" s="709"/>
      <c r="AD12" s="709">
        <f t="shared" ca="1" si="8"/>
        <v>258851455.7103456</v>
      </c>
      <c r="AE12" s="709"/>
      <c r="AF12" s="708">
        <f t="shared" si="33"/>
        <v>2021</v>
      </c>
      <c r="AG12" s="709">
        <f>SUMIFS('Monthly Data'!V:V,'Monthly Data'!$B:$B,AF12)</f>
        <v>916418748.80999994</v>
      </c>
      <c r="AH12" s="709">
        <f ca="1">SUMIFS('Monthly Data'!W:W,'Monthly Data'!$B:$B,AF12)</f>
        <v>63936098.037740745</v>
      </c>
      <c r="AI12" s="709">
        <f ca="1">SUMIFS('Monthly Data'!X:X,'Monthly Data'!$B:$B,AF12)</f>
        <v>980354846.84774089</v>
      </c>
      <c r="AJ12" s="709">
        <f ca="1">SUMIFS('VRZ GS 50-2,999 Normalized'!V:V,'VRZ GS 50-2,999 Normalized'!B:B,AF12)</f>
        <v>986593554.58645928</v>
      </c>
      <c r="AK12" s="709">
        <f t="shared" ca="1" si="9"/>
        <v>63936098.037740745</v>
      </c>
      <c r="AL12" s="709">
        <f t="shared" ca="1" si="10"/>
        <v>922657456.54871857</v>
      </c>
      <c r="AM12" s="709"/>
      <c r="AN12" s="709">
        <f t="shared" ca="1" si="11"/>
        <v>922657456.54871857</v>
      </c>
      <c r="AO12" s="709">
        <f t="shared" ca="1" si="58"/>
        <v>986593554.58645928</v>
      </c>
      <c r="AP12" s="709"/>
      <c r="AQ12" s="708">
        <f t="shared" si="34"/>
        <v>2021</v>
      </c>
      <c r="AR12" s="709">
        <f>SUMIFS('Monthly Data'!AB:AB,'Monthly Data'!$B:$B,AQ12)</f>
        <v>98129912.180000007</v>
      </c>
      <c r="AS12" s="709">
        <f ca="1">SUMIFS('Monthly Data'!AC:AC,'Monthly Data'!$B:$B,AQ12)</f>
        <v>2915318.9221192827</v>
      </c>
      <c r="AT12" s="709">
        <f ca="1">SUMIFS('Monthly Data'!AD:AD,'Monthly Data'!$B:$B,AQ12)</f>
        <v>101045231.10211928</v>
      </c>
      <c r="AU12" s="709">
        <f>SUMIFS('VRZ GS 3,000-4,999 Normalized'!M:M,'VRZ GS 3,000-4,999 Normalized'!B:B,'Normalized Annual Summary'!AQ12)</f>
        <v>98036923.848089993</v>
      </c>
      <c r="AV12" s="709">
        <f t="shared" ca="1" si="12"/>
        <v>2915318.9221192827</v>
      </c>
      <c r="AW12" s="709">
        <f t="shared" ca="1" si="13"/>
        <v>95121604.925970703</v>
      </c>
      <c r="AX12" s="709"/>
      <c r="AY12" s="709">
        <f t="shared" ca="1" si="14"/>
        <v>95121604.925970703</v>
      </c>
      <c r="AZ12" s="709">
        <f t="shared" si="59"/>
        <v>98036923.848089993</v>
      </c>
      <c r="BA12" s="709"/>
      <c r="BB12" s="708">
        <f t="shared" si="35"/>
        <v>2021</v>
      </c>
      <c r="BC12" s="709">
        <f>SUMIFS('Monthly Data'!AG:AG,'Monthly Data'!$B:$B,BB12)</f>
        <v>284809430.72000003</v>
      </c>
      <c r="BD12" s="709">
        <f ca="1">SUMIFS('Monthly Data'!AH:AH,'Monthly Data'!$B:$B,BB12)</f>
        <v>20679875.671607785</v>
      </c>
      <c r="BE12" s="709">
        <f ca="1">SUMIFS('Monthly Data'!AI:AI,'Monthly Data'!$B:$B,BB12)</f>
        <v>305489306.39160782</v>
      </c>
      <c r="BF12" s="709">
        <f>SUMIFS('VRZ Large Use Normalized'!Q:Q,'VRZ Large Use Normalized'!B:B,'Normalized Annual Summary'!BB12)</f>
        <v>312525376.9539901</v>
      </c>
      <c r="BG12" s="709">
        <f t="shared" ca="1" si="15"/>
        <v>20679875.671607785</v>
      </c>
      <c r="BH12" s="709">
        <f t="shared" ca="1" si="16"/>
        <v>291845501.28238231</v>
      </c>
      <c r="BI12" s="709"/>
      <c r="BJ12" s="709">
        <f t="shared" ca="1" si="17"/>
        <v>291845501.28238231</v>
      </c>
      <c r="BK12" s="709">
        <f t="shared" si="60"/>
        <v>312525376.9539901</v>
      </c>
      <c r="BL12" s="707"/>
      <c r="BM12" s="708">
        <f t="shared" si="36"/>
        <v>2021</v>
      </c>
      <c r="BN12" s="709">
        <f>SUMIFS('Monthly Data'!AL:AL,'Monthly Data'!$B:$B,BM12)</f>
        <v>11682342.399999999</v>
      </c>
      <c r="BO12" s="709">
        <f>'Customer Count'!AG11</f>
        <v>31679.166666666657</v>
      </c>
      <c r="BP12" s="709">
        <f t="shared" si="37"/>
        <v>368.77050848349342</v>
      </c>
      <c r="BQ12" s="709">
        <f t="shared" si="38"/>
        <v>11682342.399999999</v>
      </c>
      <c r="BR12" s="707"/>
      <c r="BS12" s="707"/>
      <c r="BT12" s="708">
        <f t="shared" si="39"/>
        <v>2021</v>
      </c>
      <c r="BU12" s="709">
        <f>SUMIFS('Monthly Data'!AM:AM,'Monthly Data'!$B:$B,BT12)</f>
        <v>227251.3</v>
      </c>
      <c r="BV12" s="709">
        <f>'Customer Count'!AK11</f>
        <v>248.83333333333326</v>
      </c>
      <c r="BW12" s="709">
        <f t="shared" si="40"/>
        <v>913.26711319490983</v>
      </c>
      <c r="BX12" s="709">
        <f t="shared" si="41"/>
        <v>227251.3</v>
      </c>
      <c r="BY12" s="707"/>
      <c r="BZ12" s="707"/>
      <c r="CA12" s="708">
        <f t="shared" si="42"/>
        <v>2021</v>
      </c>
      <c r="CB12" s="709">
        <f>SUMIFS('Monthly Data'!AN:AN,'Monthly Data'!$B:$B,BT12)</f>
        <v>4782281.78</v>
      </c>
      <c r="CC12" s="709">
        <f>'Customer Count'!AO11</f>
        <v>801.625</v>
      </c>
      <c r="CD12" s="709">
        <f t="shared" si="43"/>
        <v>5965.7343271479813</v>
      </c>
      <c r="CE12" s="709">
        <f>CD12*CC12</f>
        <v>4782281.78</v>
      </c>
      <c r="CF12" s="707"/>
      <c r="CG12" s="707"/>
      <c r="CH12" s="707"/>
      <c r="CI12" s="707"/>
      <c r="CJ12" s="708">
        <f t="shared" si="45"/>
        <v>2021</v>
      </c>
      <c r="CK12" s="709">
        <f>SUMIFS('Monthly Data'!BC:BC,'Monthly Data'!$B:$B,CJ12)</f>
        <v>395025787.98234016</v>
      </c>
      <c r="CL12" s="709">
        <f ca="1">SUMIFS('Monthly Data'!BD:BD,'Monthly Data'!$B:$B,CJ12)</f>
        <v>20372488.849605791</v>
      </c>
      <c r="CM12" s="709">
        <f ca="1">SUMIFS('Monthly Data'!BE:BE,'Monthly Data'!$B:$B,CJ12)</f>
        <v>415398276.8319459</v>
      </c>
      <c r="CN12" s="709">
        <f ca="1">SUMIFS('WRZ Residential Normalized'!X:X,'WRZ Residential Normalized'!B:B,'Normalized Annual Summary'!CJ12)</f>
        <v>418323950.47412866</v>
      </c>
      <c r="CO12" s="709">
        <f t="shared" ca="1" si="18"/>
        <v>20372488.849605791</v>
      </c>
      <c r="CP12" s="709">
        <f t="shared" ca="1" si="19"/>
        <v>397951461.62452286</v>
      </c>
      <c r="CQ12" s="709"/>
      <c r="CR12" s="709">
        <f t="shared" ca="1" si="20"/>
        <v>397951461.62452286</v>
      </c>
      <c r="CS12" s="707"/>
      <c r="CT12" s="708">
        <f t="shared" si="46"/>
        <v>2021</v>
      </c>
      <c r="CU12" s="709">
        <f>SUMIFS('Monthly Data'!BI:BI,'Monthly Data'!$B:$B,CT12)</f>
        <v>82555807.732179999</v>
      </c>
      <c r="CV12" s="709">
        <f ca="1">SUMIFS('Monthly Data'!BJ:BJ,'Monthly Data'!$B:$B,CT12)</f>
        <v>2782986.476865402</v>
      </c>
      <c r="CW12" s="709">
        <f ca="1">SUMIFS('Monthly Data'!BK:BK,'Monthly Data'!$B:$B,CT12)</f>
        <v>85338794.20904538</v>
      </c>
      <c r="CX12" s="709">
        <f ca="1">SUMIFS('WRZ GS &lt; 50 Normalized'!V:V,'WRZ GS &lt; 50 Normalized'!B:B,CT12)</f>
        <v>84780449.875127614</v>
      </c>
      <c r="CY12" s="709">
        <f t="shared" ca="1" si="21"/>
        <v>2782986.476865402</v>
      </c>
      <c r="CZ12" s="709">
        <f t="shared" ca="1" si="22"/>
        <v>81997463.398262218</v>
      </c>
      <c r="DA12" s="709"/>
      <c r="DB12" s="709">
        <f t="shared" ca="1" si="23"/>
        <v>81997463.398262218</v>
      </c>
      <c r="DC12" s="709"/>
      <c r="DD12" s="708">
        <f t="shared" si="47"/>
        <v>2021</v>
      </c>
      <c r="DE12" s="709">
        <f>SUMIFS('Monthly Data'!BO:BO,'Monthly Data'!$B:$B,DD12)</f>
        <v>317381493.69</v>
      </c>
      <c r="DF12" s="709">
        <f ca="1">SUMIFS('Monthly Data'!BP:BP,'Monthly Data'!$B:$B,DD12)</f>
        <v>25689096.871034406</v>
      </c>
      <c r="DG12" s="709">
        <f ca="1">SUMIFS('Monthly Data'!BQ:BQ,'Monthly Data'!$B:$B,DD12)</f>
        <v>343070590.56103444</v>
      </c>
      <c r="DH12" s="709">
        <f ca="1">SUMIFS('WRZ GS 50-2,999 Normalized'!T:T,'WRZ GS 50-2,999 Normalized'!B:B,'Normalized Annual Summary'!DD12)</f>
        <v>344331082.33708519</v>
      </c>
      <c r="DI12" s="709">
        <f t="shared" ca="1" si="24"/>
        <v>25689096.871034406</v>
      </c>
      <c r="DJ12" s="709">
        <f t="shared" ca="1" si="25"/>
        <v>318641985.4660508</v>
      </c>
      <c r="DK12" s="709"/>
      <c r="DL12" s="709">
        <f t="shared" ca="1" si="26"/>
        <v>318641985.4660508</v>
      </c>
      <c r="DM12" s="709">
        <f t="shared" ca="1" si="61"/>
        <v>344331082.33708519</v>
      </c>
      <c r="DN12" s="709"/>
      <c r="DO12" s="708">
        <f t="shared" si="48"/>
        <v>2021</v>
      </c>
      <c r="DP12" s="709">
        <f>SUMIFS('Monthly Data'!BU:BU,'Monthly Data'!$B:$B,DO12)</f>
        <v>88615341.370000005</v>
      </c>
      <c r="DQ12" s="709">
        <f ca="1">SUMIFS('Monthly Data'!BV:BV,'Monthly Data'!$B:$B,DO12)</f>
        <v>5775700.3620081274</v>
      </c>
      <c r="DR12" s="709">
        <f ca="1">SUMIFS('Monthly Data'!BW:BW,'Monthly Data'!$B:$B,DO12)</f>
        <v>94391041.732008129</v>
      </c>
      <c r="DS12" s="709">
        <f>SUMIFS('WRZ GS 3,000-4,999 Normalized'!O:O,'WRZ GS 3,000-4,999 Normalized'!B:B,'Normalized Annual Summary'!DO12)</f>
        <v>89109639.552525327</v>
      </c>
      <c r="DT12" s="709">
        <f t="shared" ca="1" si="27"/>
        <v>5775700.3620081274</v>
      </c>
      <c r="DU12" s="709">
        <f t="shared" ca="1" si="28"/>
        <v>83333939.190517202</v>
      </c>
      <c r="DV12" s="709"/>
      <c r="DW12" s="709">
        <f t="shared" ca="1" si="29"/>
        <v>83333939.190517202</v>
      </c>
      <c r="DX12" s="709">
        <f t="shared" si="62"/>
        <v>89109639.552525327</v>
      </c>
      <c r="DY12" s="707"/>
      <c r="DZ12" s="708">
        <f t="shared" si="49"/>
        <v>2021</v>
      </c>
      <c r="EA12" s="709">
        <f>SUMIFS('Monthly Data'!BZ:BZ,'Monthly Data'!$B:$B,DZ12)</f>
        <v>3254529.2399999998</v>
      </c>
      <c r="EB12" s="709">
        <f>'Customer Count'!BN11</f>
        <v>13023.791666666672</v>
      </c>
      <c r="EC12" s="709">
        <f t="shared" si="50"/>
        <v>249.89107038080937</v>
      </c>
      <c r="ED12" s="709">
        <f t="shared" si="51"/>
        <v>3254529.2399999998</v>
      </c>
      <c r="EE12" s="707"/>
      <c r="EF12" s="707"/>
      <c r="EG12" s="708">
        <f t="shared" si="52"/>
        <v>2021</v>
      </c>
      <c r="EH12" s="709">
        <f>SUMIFS('Monthly Data'!CA:CA,'Monthly Data'!$B:$B,EG12)</f>
        <v>25473.639999999985</v>
      </c>
      <c r="EI12" s="709">
        <f>'Customer Count'!BR11</f>
        <v>42.416666666666679</v>
      </c>
      <c r="EJ12" s="709">
        <f t="shared" si="53"/>
        <v>600.55732809430208</v>
      </c>
      <c r="EK12" s="709">
        <f t="shared" si="54"/>
        <v>25473.639999999989</v>
      </c>
      <c r="EL12" s="707"/>
      <c r="EM12" s="707"/>
      <c r="EN12" s="708">
        <f t="shared" si="55"/>
        <v>2021</v>
      </c>
      <c r="EO12" s="709">
        <f>SUMIFS('Monthly Data'!CB:CB,'Monthly Data'!$B:$B,EN12)</f>
        <v>1969676.7400000002</v>
      </c>
      <c r="EP12" s="709">
        <f>'Customer Count'!BV11</f>
        <v>391.54166666666652</v>
      </c>
      <c r="EQ12" s="709">
        <f t="shared" si="56"/>
        <v>5030.5673895924256</v>
      </c>
      <c r="ER12" s="709">
        <f>EQ12*EP12</f>
        <v>1969676.7400000002</v>
      </c>
    </row>
    <row r="13" spans="2:148">
      <c r="B13" s="708">
        <f t="shared" si="30"/>
        <v>2022</v>
      </c>
      <c r="C13" s="709">
        <f>SUMIFS('Monthly Data'!D:D,'Monthly Data'!$B:$B,B13)</f>
        <v>1017709390.8256538</v>
      </c>
      <c r="D13" s="709">
        <f ca="1">SUMIFS('Monthly Data'!E:E,'Monthly Data'!$B:$B,B13)</f>
        <v>46174752.589602843</v>
      </c>
      <c r="E13" s="709">
        <f ca="1">SUMIFS('Monthly Data'!I:I,'Monthly Data'!$B:$B,B13)</f>
        <v>1048977487.5152615</v>
      </c>
      <c r="F13" s="709">
        <f ca="1">SUMIFS('VRZ Residential Normalized'!X:X,'VRZ Residential Normalized'!B:B,B13)</f>
        <v>1081094597.5554805</v>
      </c>
      <c r="G13" s="709">
        <f t="shared" ca="1" si="0"/>
        <v>46174752.589602843</v>
      </c>
      <c r="H13" s="709">
        <f t="shared" ca="1" si="1"/>
        <v>1034919844.9658777</v>
      </c>
      <c r="I13" s="709"/>
      <c r="J13" s="709">
        <f t="shared" ca="1" si="2"/>
        <v>1034919844.9658777</v>
      </c>
      <c r="K13" s="707"/>
      <c r="L13" s="708">
        <f t="shared" si="31"/>
        <v>2022</v>
      </c>
      <c r="M13" s="709">
        <f>SUMIFS('Monthly Data'!J:J,'Monthly Data'!$B:$B,L13)</f>
        <v>12600240.583780002</v>
      </c>
      <c r="N13" s="709">
        <f ca="1">SUMIFS('Monthly Data'!K:K,'Monthly Data'!$B:$B,L13)</f>
        <v>528876.54644187959</v>
      </c>
      <c r="O13" s="709">
        <f ca="1">SUMIFS('Monthly Data'!L:L,'Monthly Data'!$B:$B,L13)</f>
        <v>13129117.130221883</v>
      </c>
      <c r="P13" s="709">
        <f ca="1">SUMIFS('VRZ Seasonal Normalized'!V:V,'VRZ Seasonal Normalized'!B:B,L13)</f>
        <v>12484762.507726202</v>
      </c>
      <c r="Q13" s="709">
        <f t="shared" ca="1" si="3"/>
        <v>528876.54644187959</v>
      </c>
      <c r="R13" s="709">
        <f t="shared" ca="1" si="4"/>
        <v>11955885.961284323</v>
      </c>
      <c r="S13" s="709"/>
      <c r="T13" s="709">
        <f t="shared" ca="1" si="5"/>
        <v>11955885.961284323</v>
      </c>
      <c r="U13" s="707"/>
      <c r="V13" s="708">
        <f t="shared" si="32"/>
        <v>2022</v>
      </c>
      <c r="W13" s="709">
        <f>SUMIFS('Monthly Data'!P:P,'Monthly Data'!$B:$B,V13)</f>
        <v>278598120.57730973</v>
      </c>
      <c r="X13" s="709">
        <f ca="1">SUMIFS('Monthly Data'!Q:Q,'Monthly Data'!$B:$B,V13)</f>
        <v>18330488.783476453</v>
      </c>
      <c r="Y13" s="709">
        <f ca="1">SUMIFS('Monthly Data'!R:R,'Monthly Data'!$B:$B,V13)</f>
        <v>296928609.36078614</v>
      </c>
      <c r="Z13" s="709">
        <f ca="1">SUMIFS('VRZ GS &lt; 50 Normalized'!T:T,'VRZ GS &lt; 50 Normalized'!B:B,V13)</f>
        <v>288859012.39537257</v>
      </c>
      <c r="AA13" s="709">
        <f t="shared" ca="1" si="6"/>
        <v>18330488.783476453</v>
      </c>
      <c r="AB13" s="709">
        <f t="shared" ca="1" si="7"/>
        <v>270528523.6118961</v>
      </c>
      <c r="AC13" s="709"/>
      <c r="AD13" s="709">
        <f t="shared" ca="1" si="8"/>
        <v>270528523.6118961</v>
      </c>
      <c r="AE13" s="709"/>
      <c r="AF13" s="708">
        <f t="shared" si="33"/>
        <v>2022</v>
      </c>
      <c r="AG13" s="709">
        <f>SUMIFS('Monthly Data'!V:V,'Monthly Data'!$B:$B,AF13)</f>
        <v>931880224.76000011</v>
      </c>
      <c r="AH13" s="709">
        <f ca="1">SUMIFS('Monthly Data'!W:W,'Monthly Data'!$B:$B,AF13)</f>
        <v>73456510.710382164</v>
      </c>
      <c r="AI13" s="709">
        <f ca="1">SUMIFS('Monthly Data'!X:X,'Monthly Data'!$B:$B,AF13)</f>
        <v>1005336735.4703821</v>
      </c>
      <c r="AJ13" s="709">
        <f ca="1">SUMIFS('VRZ GS 50-2,999 Normalized'!V:V,'VRZ GS 50-2,999 Normalized'!B:B,AF13)</f>
        <v>1011660609.1150819</v>
      </c>
      <c r="AK13" s="709">
        <f t="shared" ca="1" si="9"/>
        <v>73456510.710382164</v>
      </c>
      <c r="AL13" s="709">
        <f t="shared" ca="1" si="10"/>
        <v>938204098.4046998</v>
      </c>
      <c r="AM13" s="709"/>
      <c r="AN13" s="709">
        <f t="shared" ca="1" si="11"/>
        <v>938204098.4046998</v>
      </c>
      <c r="AO13" s="709">
        <f t="shared" ca="1" si="58"/>
        <v>1011660609.1150819</v>
      </c>
      <c r="AP13" s="709"/>
      <c r="AQ13" s="708">
        <f t="shared" si="34"/>
        <v>2022</v>
      </c>
      <c r="AR13" s="709">
        <f>SUMIFS('Monthly Data'!AB:AB,'Monthly Data'!$B:$B,AQ13)</f>
        <v>108822585.41</v>
      </c>
      <c r="AS13" s="709">
        <f ca="1">SUMIFS('Monthly Data'!AC:AC,'Monthly Data'!$B:$B,AQ13)</f>
        <v>3289696.7387988465</v>
      </c>
      <c r="AT13" s="709">
        <f ca="1">SUMIFS('Monthly Data'!AD:AD,'Monthly Data'!$B:$B,AQ13)</f>
        <v>112112282.14879882</v>
      </c>
      <c r="AU13" s="709">
        <f>SUMIFS('VRZ GS 3,000-4,999 Normalized'!M:M,'VRZ GS 3,000-4,999 Normalized'!B:B,'Normalized Annual Summary'!AQ13)</f>
        <v>102915842.06420998</v>
      </c>
      <c r="AV13" s="709">
        <f t="shared" ca="1" si="12"/>
        <v>3289696.7387988465</v>
      </c>
      <c r="AW13" s="709">
        <f t="shared" ca="1" si="13"/>
        <v>99626145.325411141</v>
      </c>
      <c r="AX13" s="709"/>
      <c r="AY13" s="709">
        <f t="shared" ca="1" si="14"/>
        <v>99626145.325411141</v>
      </c>
      <c r="AZ13" s="709">
        <f t="shared" si="59"/>
        <v>102915842.06420998</v>
      </c>
      <c r="BA13" s="709"/>
      <c r="BB13" s="708">
        <f t="shared" si="35"/>
        <v>2022</v>
      </c>
      <c r="BC13" s="709">
        <f>SUMIFS('Monthly Data'!AG:AG,'Monthly Data'!$B:$B,BB13)</f>
        <v>289202900.55000001</v>
      </c>
      <c r="BD13" s="709">
        <f ca="1">SUMIFS('Monthly Data'!AH:AH,'Monthly Data'!$B:$B,BB13)</f>
        <v>20968880.20168275</v>
      </c>
      <c r="BE13" s="709">
        <f ca="1">SUMIFS('Monthly Data'!AI:AI,'Monthly Data'!$B:$B,BB13)</f>
        <v>310171780.75168276</v>
      </c>
      <c r="BF13" s="709">
        <f>SUMIFS('VRZ Large Use Normalized'!Q:Q,'VRZ Large Use Normalized'!B:B,'Normalized Annual Summary'!BB13)</f>
        <v>328255228.07031006</v>
      </c>
      <c r="BG13" s="709">
        <f t="shared" ca="1" si="15"/>
        <v>20968880.20168275</v>
      </c>
      <c r="BH13" s="709">
        <f t="shared" ca="1" si="16"/>
        <v>307286347.86862731</v>
      </c>
      <c r="BI13" s="709"/>
      <c r="BJ13" s="709">
        <f t="shared" ca="1" si="17"/>
        <v>307286347.86862731</v>
      </c>
      <c r="BK13" s="709">
        <f t="shared" si="60"/>
        <v>328255228.07031006</v>
      </c>
      <c r="BL13" s="707"/>
      <c r="BM13" s="708">
        <f t="shared" si="36"/>
        <v>2022</v>
      </c>
      <c r="BN13" s="709">
        <f>SUMIFS('Monthly Data'!AL:AL,'Monthly Data'!$B:$B,BM13)</f>
        <v>11643673.439999999</v>
      </c>
      <c r="BO13" s="709">
        <f>'Customer Count'!AG12</f>
        <v>31795.041666666657</v>
      </c>
      <c r="BP13" s="709">
        <f t="shared" si="37"/>
        <v>366.21035323904027</v>
      </c>
      <c r="BQ13" s="709">
        <f t="shared" si="38"/>
        <v>11643673.439999999</v>
      </c>
      <c r="BR13" s="707"/>
      <c r="BS13" s="707"/>
      <c r="BT13" s="708">
        <f t="shared" si="39"/>
        <v>2022</v>
      </c>
      <c r="BU13" s="709">
        <f>SUMIFS('Monthly Data'!AM:AM,'Monthly Data'!$B:$B,BT13)</f>
        <v>216445.25</v>
      </c>
      <c r="BV13" s="709">
        <f>'Customer Count'!AK12</f>
        <v>245.91666666666674</v>
      </c>
      <c r="BW13" s="709">
        <f t="shared" si="40"/>
        <v>880.15689596746836</v>
      </c>
      <c r="BX13" s="709">
        <f t="shared" si="41"/>
        <v>216445.25</v>
      </c>
      <c r="BY13" s="707"/>
      <c r="BZ13" s="707"/>
      <c r="CA13" s="708">
        <f t="shared" si="42"/>
        <v>2022</v>
      </c>
      <c r="CB13" s="709">
        <f>SUMIFS('Monthly Data'!AN:AN,'Monthly Data'!$B:$B,BT13)</f>
        <v>4773215.28</v>
      </c>
      <c r="CC13" s="709">
        <f>'Customer Count'!AO12</f>
        <v>800.83333333333303</v>
      </c>
      <c r="CD13" s="709">
        <f t="shared" si="43"/>
        <v>5960.3104432882437</v>
      </c>
      <c r="CE13" s="709">
        <f>CD13*CC13</f>
        <v>4773215.28</v>
      </c>
      <c r="CF13" s="707"/>
      <c r="CG13" s="707"/>
      <c r="CH13" s="707"/>
      <c r="CI13" s="707"/>
      <c r="CJ13" s="708">
        <f t="shared" si="45"/>
        <v>2022</v>
      </c>
      <c r="CK13" s="709">
        <f>SUMIFS('Monthly Data'!BC:BC,'Monthly Data'!$B:$B,CJ13)</f>
        <v>393586007.66831976</v>
      </c>
      <c r="CL13" s="709">
        <f ca="1">SUMIFS('Monthly Data'!BD:BD,'Monthly Data'!$B:$B,CJ13)</f>
        <v>20417888.257595446</v>
      </c>
      <c r="CM13" s="709">
        <f ca="1">SUMIFS('Monthly Data'!BE:BE,'Monthly Data'!$B:$B,CJ13)</f>
        <v>414003895.92591512</v>
      </c>
      <c r="CN13" s="709">
        <f ca="1">SUMIFS('WRZ Residential Normalized'!X:X,'WRZ Residential Normalized'!B:B,'Normalized Annual Summary'!CJ13)</f>
        <v>420171715.42200243</v>
      </c>
      <c r="CO13" s="709">
        <f t="shared" ca="1" si="18"/>
        <v>20417888.257595446</v>
      </c>
      <c r="CP13" s="709">
        <f t="shared" ca="1" si="19"/>
        <v>399753827.16440701</v>
      </c>
      <c r="CQ13" s="709"/>
      <c r="CR13" s="709">
        <f t="shared" ca="1" si="20"/>
        <v>399753827.16440701</v>
      </c>
      <c r="CS13" s="707"/>
      <c r="CT13" s="708">
        <f t="shared" si="46"/>
        <v>2022</v>
      </c>
      <c r="CU13" s="709">
        <f>SUMIFS('Monthly Data'!BI:BI,'Monthly Data'!$B:$B,CT13)</f>
        <v>87488274.475439951</v>
      </c>
      <c r="CV13" s="709">
        <f ca="1">SUMIFS('Monthly Data'!BJ:BJ,'Monthly Data'!$B:$B,CT13)</f>
        <v>3161995.1301914072</v>
      </c>
      <c r="CW13" s="709">
        <f ca="1">SUMIFS('Monthly Data'!BK:BK,'Monthly Data'!$B:$B,CT13)</f>
        <v>90650269.605631351</v>
      </c>
      <c r="CX13" s="709">
        <f ca="1">SUMIFS('WRZ GS &lt; 50 Normalized'!V:V,'WRZ GS &lt; 50 Normalized'!B:B,CT13)</f>
        <v>90732947.486301199</v>
      </c>
      <c r="CY13" s="709">
        <f t="shared" ca="1" si="21"/>
        <v>3161995.1301914072</v>
      </c>
      <c r="CZ13" s="709">
        <f t="shared" ca="1" si="22"/>
        <v>87570952.356109798</v>
      </c>
      <c r="DA13" s="709"/>
      <c r="DB13" s="709">
        <f t="shared" ca="1" si="23"/>
        <v>87570952.356109798</v>
      </c>
      <c r="DC13" s="709"/>
      <c r="DD13" s="708">
        <f t="shared" si="47"/>
        <v>2022</v>
      </c>
      <c r="DE13" s="709">
        <f>SUMIFS('Monthly Data'!BO:BO,'Monthly Data'!$B:$B,DD13)</f>
        <v>327733925.63999999</v>
      </c>
      <c r="DF13" s="709">
        <f ca="1">SUMIFS('Monthly Data'!BP:BP,'Monthly Data'!$B:$B,DD13)</f>
        <v>30714210.229835942</v>
      </c>
      <c r="DG13" s="709">
        <f ca="1">SUMIFS('Monthly Data'!BQ:BQ,'Monthly Data'!$B:$B,DD13)</f>
        <v>358448135.86983597</v>
      </c>
      <c r="DH13" s="709">
        <f ca="1">SUMIFS('WRZ GS 50-2,999 Normalized'!T:T,'WRZ GS 50-2,999 Normalized'!B:B,'Normalized Annual Summary'!DD13)</f>
        <v>353248703.2722581</v>
      </c>
      <c r="DI13" s="709">
        <f t="shared" ca="1" si="24"/>
        <v>30714210.229835942</v>
      </c>
      <c r="DJ13" s="709">
        <f t="shared" ca="1" si="25"/>
        <v>322534493.04242218</v>
      </c>
      <c r="DK13" s="709"/>
      <c r="DL13" s="709">
        <f t="shared" ca="1" si="26"/>
        <v>322534493.04242218</v>
      </c>
      <c r="DM13" s="709">
        <f t="shared" ca="1" si="61"/>
        <v>353248703.2722581</v>
      </c>
      <c r="DN13" s="709"/>
      <c r="DO13" s="708">
        <f t="shared" si="48"/>
        <v>2022</v>
      </c>
      <c r="DP13" s="709">
        <f>SUMIFS('Monthly Data'!BU:BU,'Monthly Data'!$B:$B,DO13)</f>
        <v>88680038.160000011</v>
      </c>
      <c r="DQ13" s="709">
        <f ca="1">SUMIFS('Monthly Data'!BV:BV,'Monthly Data'!$B:$B,DO13)</f>
        <v>6906016.9683509069</v>
      </c>
      <c r="DR13" s="709">
        <f ca="1">SUMIFS('Monthly Data'!BW:BW,'Monthly Data'!$B:$B,DO13)</f>
        <v>95586055.128350899</v>
      </c>
      <c r="DS13" s="709">
        <f>SUMIFS('WRZ GS 3,000-4,999 Normalized'!O:O,'WRZ GS 3,000-4,999 Normalized'!B:B,'Normalized Annual Summary'!DO13)</f>
        <v>89115697.68152532</v>
      </c>
      <c r="DT13" s="709">
        <f t="shared" ca="1" si="27"/>
        <v>6906016.9683509069</v>
      </c>
      <c r="DU13" s="709">
        <f t="shared" ca="1" si="28"/>
        <v>82209680.713174418</v>
      </c>
      <c r="DV13" s="709"/>
      <c r="DW13" s="709">
        <f t="shared" ca="1" si="29"/>
        <v>82209680.713174418</v>
      </c>
      <c r="DX13" s="709">
        <f t="shared" si="62"/>
        <v>89115697.68152532</v>
      </c>
      <c r="DY13" s="707"/>
      <c r="DZ13" s="708">
        <f t="shared" si="49"/>
        <v>2022</v>
      </c>
      <c r="EA13" s="709">
        <f>SUMIFS('Monthly Data'!BZ:BZ,'Monthly Data'!$B:$B,DZ13)</f>
        <v>3584406.7699999996</v>
      </c>
      <c r="EB13" s="709">
        <f>'Customer Count'!BN12</f>
        <v>13342.91666666667</v>
      </c>
      <c r="EC13" s="709">
        <f t="shared" si="50"/>
        <v>268.63742460106789</v>
      </c>
      <c r="ED13" s="709">
        <f t="shared" si="51"/>
        <v>3584406.7699999996</v>
      </c>
      <c r="EE13" s="707"/>
      <c r="EF13" s="707"/>
      <c r="EG13" s="708">
        <f t="shared" si="52"/>
        <v>2022</v>
      </c>
      <c r="EH13" s="709">
        <f>SUMIFS('Monthly Data'!CA:CA,'Monthly Data'!$B:$B,EG13)</f>
        <v>30995.533717316393</v>
      </c>
      <c r="EI13" s="709">
        <f>'Customer Count'!BR12</f>
        <v>46.458333333333314</v>
      </c>
      <c r="EJ13" s="709">
        <f t="shared" si="53"/>
        <v>667.16843875838003</v>
      </c>
      <c r="EK13" s="709">
        <f t="shared" si="54"/>
        <v>30995.533717316393</v>
      </c>
      <c r="EL13" s="707"/>
      <c r="EM13" s="707"/>
      <c r="EN13" s="708">
        <f t="shared" si="55"/>
        <v>2022</v>
      </c>
      <c r="EO13" s="709">
        <f>SUMIFS('Monthly Data'!CB:CB,'Monthly Data'!$B:$B,EN13)</f>
        <v>1956354.06</v>
      </c>
      <c r="EP13" s="709">
        <f>'Customer Count'!BV12</f>
        <v>393.08333333333348</v>
      </c>
      <c r="EQ13" s="709">
        <f t="shared" si="56"/>
        <v>4976.9448208607146</v>
      </c>
      <c r="ER13" s="709">
        <f>EQ13*EP13</f>
        <v>1956354.06</v>
      </c>
    </row>
    <row r="14" spans="2:148">
      <c r="B14" s="708">
        <f t="shared" si="30"/>
        <v>2023</v>
      </c>
      <c r="C14" s="709">
        <f>SUMIFS('Monthly Data'!D:D,'Monthly Data'!$B:$B,B14)</f>
        <v>1008624979.9975282</v>
      </c>
      <c r="D14" s="709">
        <f ca="1">SUMIFS('Monthly Data'!E:E,'Monthly Data'!$B:$B,B14)</f>
        <v>46187681.83478193</v>
      </c>
      <c r="E14" s="709">
        <f ca="1">SUMIFS('Monthly Data'!I:I,'Monthly Data'!$B:$B,B14)</f>
        <v>1034333081.2325902</v>
      </c>
      <c r="F14" s="709">
        <f ca="1">SUMIFS('VRZ Residential Normalized'!X:X,'VRZ Residential Normalized'!B:B,B14)</f>
        <v>1091771528.8477292</v>
      </c>
      <c r="G14" s="709">
        <f t="shared" ca="1" si="0"/>
        <v>46187681.83478193</v>
      </c>
      <c r="H14" s="709">
        <f t="shared" ref="H14:H15" ca="1" si="63">F14-G14</f>
        <v>1045583847.0129473</v>
      </c>
      <c r="I14" s="709"/>
      <c r="J14" s="709">
        <f t="shared" ref="J14:J15" ca="1" si="64">H14+I14</f>
        <v>1045583847.0129473</v>
      </c>
      <c r="K14" s="707"/>
      <c r="L14" s="708">
        <f t="shared" si="31"/>
        <v>2023</v>
      </c>
      <c r="M14" s="709">
        <f>SUMIFS('Monthly Data'!J:J,'Monthly Data'!$B:$B,L14)</f>
        <v>12172613.888050001</v>
      </c>
      <c r="N14" s="709">
        <f ca="1">SUMIFS('Monthly Data'!K:K,'Monthly Data'!$B:$B,L14)</f>
        <v>529023.59335604229</v>
      </c>
      <c r="O14" s="709">
        <f ca="1">SUMIFS('Monthly Data'!L:L,'Monthly Data'!$B:$B,L14)</f>
        <v>12701637.48140604</v>
      </c>
      <c r="P14" s="709">
        <f ca="1">SUMIFS('VRZ Seasonal Normalized'!V:V,'VRZ Seasonal Normalized'!B:B,L14)</f>
        <v>12388459.908018716</v>
      </c>
      <c r="Q14" s="709">
        <f t="shared" ca="1" si="3"/>
        <v>529023.59335604229</v>
      </c>
      <c r="R14" s="709">
        <f t="shared" ref="R14:R15" ca="1" si="65">P14-Q14</f>
        <v>11859436.314662673</v>
      </c>
      <c r="S14" s="709"/>
      <c r="T14" s="709">
        <f t="shared" ref="T14:T15" ca="1" si="66">R14+S14</f>
        <v>11859436.314662673</v>
      </c>
      <c r="U14" s="707"/>
      <c r="V14" s="708">
        <f t="shared" si="32"/>
        <v>2023</v>
      </c>
      <c r="W14" s="709">
        <f>SUMIFS('Monthly Data'!P:P,'Monthly Data'!$B:$B,V14)</f>
        <v>276211527.25760943</v>
      </c>
      <c r="X14" s="709">
        <f ca="1">SUMIFS('Monthly Data'!Q:Q,'Monthly Data'!$B:$B,V14)</f>
        <v>18995001.106992897</v>
      </c>
      <c r="Y14" s="709">
        <f ca="1">SUMIFS('Monthly Data'!R:R,'Monthly Data'!$B:$B,V14)</f>
        <v>295206528.36460227</v>
      </c>
      <c r="Z14" s="709">
        <f ca="1">SUMIFS('VRZ GS &lt; 50 Normalized'!T:T,'VRZ GS &lt; 50 Normalized'!B:B,V14)</f>
        <v>300050492.71601939</v>
      </c>
      <c r="AA14" s="709">
        <f t="shared" ca="1" si="6"/>
        <v>18995001.106992897</v>
      </c>
      <c r="AB14" s="709">
        <f t="shared" ref="AB14:AB15" ca="1" si="67">Z14-AA14</f>
        <v>281055491.60902649</v>
      </c>
      <c r="AC14" s="709"/>
      <c r="AD14" s="709">
        <f t="shared" ref="AD14:AD15" ca="1" si="68">AB14+AC14</f>
        <v>281055491.60902649</v>
      </c>
      <c r="AE14" s="709"/>
      <c r="AF14" s="708">
        <f t="shared" si="33"/>
        <v>2023</v>
      </c>
      <c r="AG14" s="709">
        <f>SUMIFS('Monthly Data'!V:V,'Monthly Data'!$B:$B,AF14)</f>
        <v>927766309.05000007</v>
      </c>
      <c r="AH14" s="709">
        <f ca="1">SUMIFS('Monthly Data'!W:W,'Monthly Data'!$B:$B,AF14)</f>
        <v>78114239.036518067</v>
      </c>
      <c r="AI14" s="709">
        <f ca="1">SUMIFS('Monthly Data'!X:X,'Monthly Data'!$B:$B,AF14)</f>
        <v>1005880548.0865182</v>
      </c>
      <c r="AJ14" s="709">
        <f ca="1">SUMIFS('VRZ GS 50-2,999 Normalized'!V:V,'VRZ GS 50-2,999 Normalized'!B:B,AF14)</f>
        <v>1017247501.2247169</v>
      </c>
      <c r="AK14" s="709">
        <f t="shared" ca="1" si="9"/>
        <v>78114239.036518067</v>
      </c>
      <c r="AL14" s="709">
        <f t="shared" ref="AL14:AL15" ca="1" si="69">AJ14-AK14</f>
        <v>939133262.1881988</v>
      </c>
      <c r="AM14" s="709"/>
      <c r="AN14" s="709">
        <f t="shared" ref="AN14:AN15" ca="1" si="70">AL14+AM14</f>
        <v>939133262.1881988</v>
      </c>
      <c r="AO14" s="709">
        <f t="shared" ca="1" si="58"/>
        <v>1017247501.2247169</v>
      </c>
      <c r="AP14" s="709"/>
      <c r="AQ14" s="708">
        <f t="shared" si="34"/>
        <v>2023</v>
      </c>
      <c r="AR14" s="709">
        <f>SUMIFS('Monthly Data'!AB:AB,'Monthly Data'!$B:$B,AQ14)</f>
        <v>109703301.45</v>
      </c>
      <c r="AS14" s="709">
        <f ca="1">SUMIFS('Monthly Data'!AC:AC,'Monthly Data'!$B:$B,AQ14)</f>
        <v>3641970.9470070093</v>
      </c>
      <c r="AT14" s="709">
        <f ca="1">SUMIFS('Monthly Data'!AD:AD,'Monthly Data'!$B:$B,AQ14)</f>
        <v>113345272.397007</v>
      </c>
      <c r="AU14" s="709">
        <f>SUMIFS('VRZ GS 3,000-4,999 Normalized'!M:M,'VRZ GS 3,000-4,999 Normalized'!B:B,'Normalized Annual Summary'!AQ14)</f>
        <v>105367079.23533997</v>
      </c>
      <c r="AV14" s="709">
        <f t="shared" ca="1" si="12"/>
        <v>3641970.9470070093</v>
      </c>
      <c r="AW14" s="709">
        <f t="shared" ref="AW14:AW15" ca="1" si="71">AU14-AV14</f>
        <v>101725108.28833295</v>
      </c>
      <c r="AX14" s="709"/>
      <c r="AY14" s="709">
        <f t="shared" ref="AY14:AY15" ca="1" si="72">AW14+AX14</f>
        <v>101725108.28833295</v>
      </c>
      <c r="AZ14" s="709">
        <f t="shared" si="59"/>
        <v>105367079.23533997</v>
      </c>
      <c r="BA14" s="709"/>
      <c r="BB14" s="708">
        <f t="shared" si="35"/>
        <v>2023</v>
      </c>
      <c r="BC14" s="709">
        <f>SUMIFS('Monthly Data'!AG:AG,'Monthly Data'!$B:$B,BB14)</f>
        <v>303910758.94632399</v>
      </c>
      <c r="BD14" s="709">
        <f ca="1">SUMIFS('Monthly Data'!AH:AH,'Monthly Data'!$B:$B,BB14)</f>
        <v>22381216.580736894</v>
      </c>
      <c r="BE14" s="709">
        <f ca="1">SUMIFS('Monthly Data'!AI:AI,'Monthly Data'!$B:$B,BB14)</f>
        <v>326291975.52706087</v>
      </c>
      <c r="BF14" s="709">
        <f>SUMIFS('VRZ Large Use Normalized'!Q:Q,'VRZ Large Use Normalized'!B:B,'Normalized Annual Summary'!BB14)</f>
        <v>330259709.39774007</v>
      </c>
      <c r="BG14" s="709">
        <f t="shared" ca="1" si="15"/>
        <v>22381216.580736894</v>
      </c>
      <c r="BH14" s="709">
        <f t="shared" ref="BH14:BH15" ca="1" si="73">BF14-BG14</f>
        <v>307878492.81700319</v>
      </c>
      <c r="BI14" s="709"/>
      <c r="BJ14" s="709">
        <f t="shared" ref="BJ14:BJ15" ca="1" si="74">BH14+BI14</f>
        <v>307878492.81700319</v>
      </c>
      <c r="BK14" s="709">
        <f t="shared" si="60"/>
        <v>330259709.39774007</v>
      </c>
      <c r="BL14" s="707"/>
      <c r="BM14" s="708">
        <f t="shared" si="36"/>
        <v>2023</v>
      </c>
      <c r="BN14" s="709">
        <f>SUMIFS('Monthly Data'!AL:AL,'Monthly Data'!$B:$B,BM14)</f>
        <v>11868526.83</v>
      </c>
      <c r="BO14" s="709">
        <f>'Customer Count'!AG13</f>
        <v>32131.541666666657</v>
      </c>
      <c r="BP14" s="709">
        <f t="shared" ref="BP14:BP15" si="75">BN14/BO14</f>
        <v>369.37308994147764</v>
      </c>
      <c r="BQ14" s="709">
        <f t="shared" ref="BQ14:BQ15" si="76">BP14*BO14</f>
        <v>11868526.83</v>
      </c>
      <c r="BR14" s="707"/>
      <c r="BS14" s="707"/>
      <c r="BT14" s="708">
        <f t="shared" si="39"/>
        <v>2023</v>
      </c>
      <c r="BU14" s="709">
        <f>SUMIFS('Monthly Data'!AM:AM,'Monthly Data'!$B:$B,BT14)</f>
        <v>218811.02999999997</v>
      </c>
      <c r="BV14" s="709">
        <f>'Customer Count'!AK13</f>
        <v>242.83333333333326</v>
      </c>
      <c r="BW14" s="709">
        <f t="shared" ref="BW14:BW15" si="77">BU14/BV14</f>
        <v>901.07493479752929</v>
      </c>
      <c r="BX14" s="709">
        <f t="shared" ref="BX14:BX15" si="78">BW14*BV14</f>
        <v>218811.02999999997</v>
      </c>
      <c r="BY14" s="707"/>
      <c r="BZ14" s="707"/>
      <c r="CA14" s="708">
        <f t="shared" si="42"/>
        <v>2023</v>
      </c>
      <c r="CB14" s="709">
        <f>SUMIFS('Monthly Data'!AN:AN,'Monthly Data'!$B:$B,BT14)</f>
        <v>4755033.3099999996</v>
      </c>
      <c r="CC14" s="709">
        <f>'Customer Count'!AO13</f>
        <v>797.91666666666697</v>
      </c>
      <c r="CD14" s="709">
        <f t="shared" ref="CD14:CD15" si="79">CB14/CC14</f>
        <v>5959.310675718013</v>
      </c>
      <c r="CE14" s="709">
        <f>CD14*CC14</f>
        <v>4755033.3099999996</v>
      </c>
      <c r="CF14" s="707"/>
      <c r="CG14" s="707"/>
      <c r="CH14" s="707"/>
      <c r="CI14" s="707"/>
      <c r="CJ14" s="708">
        <f t="shared" si="45"/>
        <v>2023</v>
      </c>
      <c r="CK14" s="709">
        <f>SUMIFS('Monthly Data'!BC:BC,'Monthly Data'!$B:$B,CJ14)</f>
        <v>392504225.69293898</v>
      </c>
      <c r="CL14" s="709">
        <f ca="1">SUMIFS('Monthly Data'!BD:BD,'Monthly Data'!$B:$B,CJ14)</f>
        <v>20474981.617655464</v>
      </c>
      <c r="CM14" s="709">
        <f ca="1">SUMIFS('Monthly Data'!BE:BE,'Monthly Data'!$B:$B,CJ14)</f>
        <v>412979207.31059444</v>
      </c>
      <c r="CN14" s="709">
        <f ca="1">SUMIFS('WRZ Residential Normalized'!X:X,'WRZ Residential Normalized'!B:B,'Normalized Annual Summary'!CJ14)</f>
        <v>421728985.36294419</v>
      </c>
      <c r="CO14" s="709">
        <f t="shared" ca="1" si="18"/>
        <v>20474981.617655464</v>
      </c>
      <c r="CP14" s="709">
        <f t="shared" ref="CP14:CP15" ca="1" si="80">CN14-CO14</f>
        <v>401254003.74528873</v>
      </c>
      <c r="CQ14" s="709"/>
      <c r="CR14" s="709">
        <f t="shared" ref="CR14:CR15" ca="1" si="81">CP14+CQ14</f>
        <v>401254003.74528873</v>
      </c>
      <c r="CS14" s="707"/>
      <c r="CT14" s="708">
        <f t="shared" si="46"/>
        <v>2023</v>
      </c>
      <c r="CU14" s="709">
        <f>SUMIFS('Monthly Data'!BI:BI,'Monthly Data'!$B:$B,CT14)</f>
        <v>88772162.724419996</v>
      </c>
      <c r="CV14" s="709">
        <f ca="1">SUMIFS('Monthly Data'!BJ:BJ,'Monthly Data'!$B:$B,CT14)</f>
        <v>3402710.8536004983</v>
      </c>
      <c r="CW14" s="709">
        <f ca="1">SUMIFS('Monthly Data'!BK:BK,'Monthly Data'!$B:$B,CT14)</f>
        <v>92174873.578020483</v>
      </c>
      <c r="CX14" s="709">
        <f ca="1">SUMIFS('WRZ GS &lt; 50 Normalized'!V:V,'WRZ GS &lt; 50 Normalized'!B:B,CT14)</f>
        <v>93878946.817682192</v>
      </c>
      <c r="CY14" s="709">
        <f t="shared" ca="1" si="21"/>
        <v>3402710.8536004983</v>
      </c>
      <c r="CZ14" s="709">
        <f t="shared" ref="CZ14:CZ15" ca="1" si="82">CX14-CY14</f>
        <v>90476235.96408169</v>
      </c>
      <c r="DA14" s="709"/>
      <c r="DB14" s="709">
        <f t="shared" ref="DB14:DB15" ca="1" si="83">CZ14+DA14</f>
        <v>90476235.96408169</v>
      </c>
      <c r="DC14" s="709"/>
      <c r="DD14" s="708">
        <f t="shared" si="47"/>
        <v>2023</v>
      </c>
      <c r="DE14" s="709">
        <f>SUMIFS('Monthly Data'!BO:BO,'Monthly Data'!$B:$B,DD14)</f>
        <v>328654262.78999996</v>
      </c>
      <c r="DF14" s="709">
        <f ca="1">SUMIFS('Monthly Data'!BP:BP,'Monthly Data'!$B:$B,DD14)</f>
        <v>33134452.707924627</v>
      </c>
      <c r="DG14" s="709">
        <f ca="1">SUMIFS('Monthly Data'!BQ:BQ,'Monthly Data'!$B:$B,DD14)</f>
        <v>361788715.49792469</v>
      </c>
      <c r="DH14" s="709">
        <f ca="1">SUMIFS('WRZ GS 50-2,999 Normalized'!T:T,'WRZ GS 50-2,999 Normalized'!B:B,'Normalized Annual Summary'!DD14)</f>
        <v>362132436.81118047</v>
      </c>
      <c r="DI14" s="709">
        <f t="shared" ca="1" si="24"/>
        <v>33134452.707924627</v>
      </c>
      <c r="DJ14" s="709">
        <f t="shared" ref="DJ14:DJ15" ca="1" si="84">DH14-DI14</f>
        <v>328997984.10325587</v>
      </c>
      <c r="DK14" s="709"/>
      <c r="DL14" s="709">
        <f t="shared" ref="DL14:DL15" ca="1" si="85">DJ14+DK14</f>
        <v>328997984.10325587</v>
      </c>
      <c r="DM14" s="709">
        <f t="shared" ca="1" si="61"/>
        <v>362132436.81118047</v>
      </c>
      <c r="DN14" s="709"/>
      <c r="DO14" s="708">
        <f t="shared" si="48"/>
        <v>2023</v>
      </c>
      <c r="DP14" s="709">
        <f>SUMIFS('Monthly Data'!BU:BU,'Monthly Data'!$B:$B,DO14)</f>
        <v>85763218.280000001</v>
      </c>
      <c r="DQ14" s="709">
        <f ca="1">SUMIFS('Monthly Data'!BV:BV,'Monthly Data'!$B:$B,DO14)</f>
        <v>7450687.6723769512</v>
      </c>
      <c r="DR14" s="709">
        <f ca="1">SUMIFS('Monthly Data'!BW:BW,'Monthly Data'!$B:$B,DO14)</f>
        <v>93213905.952376962</v>
      </c>
      <c r="DS14" s="709">
        <f>SUMIFS('WRZ GS 3,000-4,999 Normalized'!O:O,'WRZ GS 3,000-4,999 Normalized'!B:B,'Normalized Annual Summary'!DO14)</f>
        <v>89126935.138525322</v>
      </c>
      <c r="DT14" s="709">
        <f t="shared" ca="1" si="27"/>
        <v>7450687.6723769512</v>
      </c>
      <c r="DU14" s="709">
        <f t="shared" ref="DU14:DU15" ca="1" si="86">DS14-DT14</f>
        <v>81676247.466148376</v>
      </c>
      <c r="DV14" s="709"/>
      <c r="DW14" s="709">
        <f t="shared" ref="DW14:DW15" ca="1" si="87">DU14+DV14</f>
        <v>81676247.466148376</v>
      </c>
      <c r="DX14" s="709">
        <f t="shared" si="62"/>
        <v>89126935.138525322</v>
      </c>
      <c r="DY14" s="707"/>
      <c r="DZ14" s="708">
        <f t="shared" si="49"/>
        <v>2023</v>
      </c>
      <c r="EA14" s="709">
        <f>SUMIFS('Monthly Data'!BZ:BZ,'Monthly Data'!$B:$B,DZ14)</f>
        <v>3668423.59</v>
      </c>
      <c r="EB14" s="709">
        <f>'Customer Count'!BN13</f>
        <v>13555.45833333333</v>
      </c>
      <c r="EC14" s="709">
        <f t="shared" ref="EC14:EC15" si="88">EA14/EB14</f>
        <v>270.62335332323084</v>
      </c>
      <c r="ED14" s="709">
        <f t="shared" ref="ED14:ED15" si="89">EC14*EB14</f>
        <v>3668423.59</v>
      </c>
      <c r="EE14" s="707"/>
      <c r="EF14" s="707"/>
      <c r="EG14" s="708">
        <f t="shared" si="52"/>
        <v>2023</v>
      </c>
      <c r="EH14" s="709">
        <f>SUMIFS('Monthly Data'!CA:CA,'Monthly Data'!$B:$B,EG14)</f>
        <v>31196.699999999993</v>
      </c>
      <c r="EI14" s="709">
        <f>'Customer Count'!BR13</f>
        <v>46</v>
      </c>
      <c r="EJ14" s="709">
        <f t="shared" ref="EJ14:EJ15" si="90">EH14/EI14</f>
        <v>678.18913043478244</v>
      </c>
      <c r="EK14" s="709">
        <f t="shared" ref="EK14:EK15" si="91">EJ14*EI14</f>
        <v>31196.699999999993</v>
      </c>
      <c r="EL14" s="707"/>
      <c r="EM14" s="707"/>
      <c r="EN14" s="708">
        <f t="shared" si="55"/>
        <v>2023</v>
      </c>
      <c r="EO14" s="709">
        <f>SUMIFS('Monthly Data'!CB:CB,'Monthly Data'!$B:$B,EN14)</f>
        <v>1961564.28</v>
      </c>
      <c r="EP14" s="709">
        <f>'Customer Count'!BV13</f>
        <v>400.5</v>
      </c>
      <c r="EQ14" s="709">
        <f t="shared" ref="EQ14:EQ15" si="92">EO14/EP14</f>
        <v>4897.7884644194755</v>
      </c>
      <c r="ER14" s="709">
        <f>EQ14*EP14</f>
        <v>1961564.28</v>
      </c>
    </row>
    <row r="15" spans="2:148" s="711" customFormat="1">
      <c r="B15" s="708">
        <f t="shared" si="30"/>
        <v>2024</v>
      </c>
      <c r="C15" s="709">
        <f>SUMIFS('Monthly Data'!D:D,'Monthly Data'!$B:$B,B15)</f>
        <v>1052968776.2624577</v>
      </c>
      <c r="D15" s="709">
        <f ca="1">SUMIFS('Monthly Data'!E:E,'Monthly Data'!$B:$B,B15)</f>
        <v>48210343.405689582</v>
      </c>
      <c r="E15" s="709">
        <f ca="1">SUMIFS('Monthly Data'!I:I,'Monthly Data'!$B:$B,B15)</f>
        <v>1073489952.5199789</v>
      </c>
      <c r="F15" s="709">
        <f ca="1">SUMIFS('VRZ Residential Normalized'!X:X,'VRZ Residential Normalized'!B:B,B15)</f>
        <v>1120231797.5961776</v>
      </c>
      <c r="G15" s="709">
        <f t="shared" ca="1" si="0"/>
        <v>48210343.405689582</v>
      </c>
      <c r="H15" s="709">
        <f t="shared" ca="1" si="63"/>
        <v>1072021454.190488</v>
      </c>
      <c r="I15" s="709"/>
      <c r="J15" s="709">
        <f t="shared" ca="1" si="64"/>
        <v>1072021454.190488</v>
      </c>
      <c r="K15" s="707"/>
      <c r="L15" s="708">
        <f t="shared" si="31"/>
        <v>2024</v>
      </c>
      <c r="M15" s="709">
        <f>SUMIFS('Monthly Data'!J:J,'Monthly Data'!$B:$B,L15)</f>
        <v>12230713.602862934</v>
      </c>
      <c r="N15" s="709">
        <f ca="1">SUMIFS('Monthly Data'!K:K,'Monthly Data'!$B:$B,L15)</f>
        <v>552185.20462173456</v>
      </c>
      <c r="O15" s="709">
        <f ca="1">SUMIFS('Monthly Data'!L:L,'Monthly Data'!$B:$B,L15)</f>
        <v>12782898.807484668</v>
      </c>
      <c r="P15" s="709">
        <f ca="1">SUMIFS('VRZ Seasonal Normalized'!V:V,'VRZ Seasonal Normalized'!B:B,L15)</f>
        <v>12900971.950514344</v>
      </c>
      <c r="Q15" s="709">
        <f t="shared" ca="1" si="3"/>
        <v>552185.20462173456</v>
      </c>
      <c r="R15" s="709">
        <f t="shared" ca="1" si="65"/>
        <v>12348786.74589261</v>
      </c>
      <c r="S15" s="709"/>
      <c r="T15" s="709">
        <f t="shared" ca="1" si="66"/>
        <v>12348786.74589261</v>
      </c>
      <c r="U15" s="707"/>
      <c r="V15" s="708">
        <f t="shared" si="32"/>
        <v>2024</v>
      </c>
      <c r="W15" s="709">
        <f>SUMIFS('Monthly Data'!P:P,'Monthly Data'!$B:$B,V15)</f>
        <v>257530700.52195185</v>
      </c>
      <c r="X15" s="709">
        <f ca="1">SUMIFS('Monthly Data'!Q:Q,'Monthly Data'!$B:$B,V15)</f>
        <v>20534227.127559092</v>
      </c>
      <c r="Y15" s="709">
        <f ca="1">SUMIFS('Monthly Data'!R:R,'Monthly Data'!$B:$B,V15)</f>
        <v>278064927.64951092</v>
      </c>
      <c r="Z15" s="709">
        <f ca="1">SUMIFS('VRZ GS &lt; 50 Normalized'!T:T,'VRZ GS &lt; 50 Normalized'!B:B,V15)</f>
        <v>303393063.78317285</v>
      </c>
      <c r="AA15" s="709">
        <f t="shared" ca="1" si="6"/>
        <v>20534227.127559092</v>
      </c>
      <c r="AB15" s="709">
        <f t="shared" ca="1" si="67"/>
        <v>282858836.65561378</v>
      </c>
      <c r="AC15" s="709"/>
      <c r="AD15" s="709">
        <f t="shared" ca="1" si="68"/>
        <v>282858836.65561378</v>
      </c>
      <c r="AE15" s="709"/>
      <c r="AF15" s="708">
        <f t="shared" si="33"/>
        <v>2024</v>
      </c>
      <c r="AG15" s="709">
        <f>SUMIFS('Monthly Data'!V:V,'Monthly Data'!$B:$B,AF15)</f>
        <v>965931354.38279605</v>
      </c>
      <c r="AH15" s="709">
        <f ca="1">SUMIFS('Monthly Data'!W:W,'Monthly Data'!$B:$B,AF15)</f>
        <v>83700791.462406725</v>
      </c>
      <c r="AI15" s="709">
        <f ca="1">SUMIFS('Monthly Data'!X:X,'Monthly Data'!$B:$B,AF15)</f>
        <v>1049632145.8452027</v>
      </c>
      <c r="AJ15" s="709">
        <f ca="1">SUMIFS('VRZ GS 50-2,999 Normalized'!V:V,'VRZ GS 50-2,999 Normalized'!B:B,AF15)</f>
        <v>1019262845.2085385</v>
      </c>
      <c r="AK15" s="709">
        <f t="shared" ca="1" si="9"/>
        <v>83700791.462406725</v>
      </c>
      <c r="AL15" s="709">
        <f t="shared" ca="1" si="69"/>
        <v>935562053.74613178</v>
      </c>
      <c r="AM15" s="709"/>
      <c r="AN15" s="709">
        <f t="shared" ca="1" si="70"/>
        <v>935562053.74613178</v>
      </c>
      <c r="AO15" s="709">
        <f t="shared" ca="1" si="58"/>
        <v>1019262845.2085385</v>
      </c>
      <c r="AP15" s="709"/>
      <c r="AQ15" s="708">
        <f t="shared" si="34"/>
        <v>2024</v>
      </c>
      <c r="AR15" s="709">
        <f>SUMIFS('Monthly Data'!AB:AB,'Monthly Data'!$B:$B,AQ15)</f>
        <v>98198227.430000007</v>
      </c>
      <c r="AS15" s="709">
        <f ca="1">SUMIFS('Monthly Data'!AC:AC,'Monthly Data'!$B:$B,AQ15)</f>
        <v>4218257.0821728967</v>
      </c>
      <c r="AT15" s="709">
        <f ca="1">SUMIFS('Monthly Data'!AD:AD,'Monthly Data'!$B:$B,AQ15)</f>
        <v>102416484.51217289</v>
      </c>
      <c r="AU15" s="709">
        <f>SUMIFS('VRZ GS 3,000-4,999 Normalized'!M:M,'VRZ GS 3,000-4,999 Normalized'!B:B,'Normalized Annual Summary'!AQ15)</f>
        <v>107316693.46996999</v>
      </c>
      <c r="AV15" s="709">
        <f t="shared" ca="1" si="12"/>
        <v>4218257.0821728967</v>
      </c>
      <c r="AW15" s="709">
        <f t="shared" ca="1" si="71"/>
        <v>103098436.38779709</v>
      </c>
      <c r="AX15" s="709"/>
      <c r="AY15" s="709">
        <f t="shared" ca="1" si="72"/>
        <v>103098436.38779709</v>
      </c>
      <c r="AZ15" s="709">
        <f t="shared" si="59"/>
        <v>107316693.46996999</v>
      </c>
      <c r="BA15" s="709"/>
      <c r="BB15" s="708">
        <f t="shared" si="35"/>
        <v>2024</v>
      </c>
      <c r="BC15" s="709">
        <f>SUMIFS('Monthly Data'!AG:AG,'Monthly Data'!$B:$B,BB15)</f>
        <v>321893041.52938205</v>
      </c>
      <c r="BD15" s="709">
        <f ca="1">SUMIFS('Monthly Data'!AH:AH,'Monthly Data'!$B:$B,BB15)</f>
        <v>24762941.564390022</v>
      </c>
      <c r="BE15" s="709">
        <f ca="1">SUMIFS('Monthly Data'!AI:AI,'Monthly Data'!$B:$B,BB15)</f>
        <v>346655983.09377205</v>
      </c>
      <c r="BF15" s="709">
        <f>SUMIFS('VRZ Large Use Normalized'!Q:Q,'VRZ Large Use Normalized'!B:B,'Normalized Annual Summary'!BB15)</f>
        <v>339476594.18367004</v>
      </c>
      <c r="BG15" s="709">
        <f t="shared" ca="1" si="15"/>
        <v>24762941.564390022</v>
      </c>
      <c r="BH15" s="709">
        <f t="shared" ca="1" si="73"/>
        <v>314713652.61928004</v>
      </c>
      <c r="BI15" s="709"/>
      <c r="BJ15" s="709">
        <f t="shared" ca="1" si="74"/>
        <v>314713652.61928004</v>
      </c>
      <c r="BK15" s="709">
        <f t="shared" si="60"/>
        <v>339476594.18367004</v>
      </c>
      <c r="BL15" s="707"/>
      <c r="BM15" s="708">
        <f t="shared" si="36"/>
        <v>2024</v>
      </c>
      <c r="BN15" s="709">
        <f>SUMIFS('Monthly Data'!AL:AL,'Monthly Data'!$B:$B,BM15)</f>
        <v>12144394.529999999</v>
      </c>
      <c r="BO15" s="709">
        <f>'Customer Count'!AG14</f>
        <v>32717.416666666661</v>
      </c>
      <c r="BP15" s="709">
        <f t="shared" si="75"/>
        <v>371.19050852120051</v>
      </c>
      <c r="BQ15" s="709">
        <f t="shared" si="76"/>
        <v>12144394.529999999</v>
      </c>
      <c r="BR15" s="707"/>
      <c r="BS15" s="707"/>
      <c r="BT15" s="708">
        <f t="shared" si="39"/>
        <v>2024</v>
      </c>
      <c r="BU15" s="709">
        <f>SUMIFS('Monthly Data'!AM:AM,'Monthly Data'!$B:$B,BT15)</f>
        <v>216725.99999999994</v>
      </c>
      <c r="BV15" s="709">
        <f>'Customer Count'!AK14</f>
        <v>238.29166666666674</v>
      </c>
      <c r="BW15" s="709">
        <f t="shared" si="77"/>
        <v>909.49886343766343</v>
      </c>
      <c r="BX15" s="709">
        <f t="shared" si="78"/>
        <v>216725.99999999994</v>
      </c>
      <c r="BY15" s="707"/>
      <c r="BZ15" s="707"/>
      <c r="CA15" s="708">
        <f t="shared" si="42"/>
        <v>2024</v>
      </c>
      <c r="CB15" s="709">
        <f>SUMIFS('Monthly Data'!AN:AN,'Monthly Data'!$B:$B,BT15)</f>
        <v>4744114.4700000007</v>
      </c>
      <c r="CC15" s="709">
        <f>'Customer Count'!AO14</f>
        <v>769.91666666666697</v>
      </c>
      <c r="CD15" s="709">
        <f t="shared" si="79"/>
        <v>6161.8544907457499</v>
      </c>
      <c r="CE15" s="709">
        <f>CD15*CC15</f>
        <v>4744114.4700000007</v>
      </c>
      <c r="CF15" s="707"/>
      <c r="CG15" s="707"/>
      <c r="CH15" s="707"/>
      <c r="CI15" s="707"/>
      <c r="CJ15" s="708">
        <f t="shared" si="45"/>
        <v>2024</v>
      </c>
      <c r="CK15" s="709">
        <f>SUMIFS('Monthly Data'!BC:BC,'Monthly Data'!$B:$B,CJ15)</f>
        <v>410753366.73417681</v>
      </c>
      <c r="CL15" s="709">
        <f ca="1">SUMIFS('Monthly Data'!BD:BD,'Monthly Data'!$B:$B,CJ15)</f>
        <v>21301907.860237032</v>
      </c>
      <c r="CM15" s="709">
        <f ca="1">SUMIFS('Monthly Data'!BE:BE,'Monthly Data'!$B:$B,CJ15)</f>
        <v>432055274.59441376</v>
      </c>
      <c r="CN15" s="709">
        <f ca="1">SUMIFS('WRZ Residential Normalized'!X:X,'WRZ Residential Normalized'!B:B,'Normalized Annual Summary'!CJ15)</f>
        <v>433061430.0813455</v>
      </c>
      <c r="CO15" s="709">
        <f t="shared" ca="1" si="18"/>
        <v>21301907.860237032</v>
      </c>
      <c r="CP15" s="709">
        <f t="shared" ca="1" si="80"/>
        <v>411759522.22110844</v>
      </c>
      <c r="CQ15" s="709"/>
      <c r="CR15" s="709">
        <f t="shared" ca="1" si="81"/>
        <v>411759522.22110844</v>
      </c>
      <c r="CS15" s="707"/>
      <c r="CT15" s="708">
        <f t="shared" si="46"/>
        <v>2024</v>
      </c>
      <c r="CU15" s="709">
        <f>SUMIFS('Monthly Data'!BI:BI,'Monthly Data'!$B:$B,CT15)</f>
        <v>88408717.91074124</v>
      </c>
      <c r="CV15" s="709">
        <f ca="1">SUMIFS('Monthly Data'!BJ:BJ,'Monthly Data'!$B:$B,CT15)</f>
        <v>3878107.6453262577</v>
      </c>
      <c r="CW15" s="709">
        <f ca="1">SUMIFS('Monthly Data'!BK:BK,'Monthly Data'!$B:$B,CT15)</f>
        <v>92286825.556067497</v>
      </c>
      <c r="CX15" s="709">
        <f ca="1">SUMIFS('WRZ GS &lt; 50 Normalized'!V:V,'WRZ GS &lt; 50 Normalized'!B:B,CT15)</f>
        <v>95659539.91217944</v>
      </c>
      <c r="CY15" s="709">
        <f t="shared" ca="1" si="21"/>
        <v>3878107.6453262577</v>
      </c>
      <c r="CZ15" s="709">
        <f t="shared" ca="1" si="82"/>
        <v>91781432.266853184</v>
      </c>
      <c r="DA15" s="709"/>
      <c r="DB15" s="709">
        <f t="shared" ca="1" si="83"/>
        <v>91781432.266853184</v>
      </c>
      <c r="DC15" s="709"/>
      <c r="DD15" s="708">
        <f t="shared" si="47"/>
        <v>2024</v>
      </c>
      <c r="DE15" s="709">
        <f>SUMIFS('Monthly Data'!BO:BO,'Monthly Data'!$B:$B,DD15)</f>
        <v>336698539.93000007</v>
      </c>
      <c r="DF15" s="709">
        <f ca="1">SUMIFS('Monthly Data'!BP:BP,'Monthly Data'!$B:$B,DD15)</f>
        <v>36355587.210857391</v>
      </c>
      <c r="DG15" s="709">
        <f ca="1">SUMIFS('Monthly Data'!BQ:BQ,'Monthly Data'!$B:$B,DD15)</f>
        <v>373054127.14085734</v>
      </c>
      <c r="DH15" s="709">
        <f ca="1">SUMIFS('WRZ GS 50-2,999 Normalized'!T:T,'WRZ GS 50-2,999 Normalized'!B:B,'Normalized Annual Summary'!DD15)</f>
        <v>362738968.07433426</v>
      </c>
      <c r="DI15" s="709">
        <f t="shared" ca="1" si="24"/>
        <v>36355587.210857391</v>
      </c>
      <c r="DJ15" s="709">
        <f t="shared" ca="1" si="84"/>
        <v>326383380.86347687</v>
      </c>
      <c r="DK15" s="709"/>
      <c r="DL15" s="709">
        <f t="shared" ca="1" si="85"/>
        <v>326383380.86347687</v>
      </c>
      <c r="DM15" s="709">
        <f t="shared" ca="1" si="61"/>
        <v>362738968.07433426</v>
      </c>
      <c r="DN15" s="709"/>
      <c r="DO15" s="708">
        <f t="shared" si="48"/>
        <v>2024</v>
      </c>
      <c r="DP15" s="709">
        <f>SUMIFS('Monthly Data'!BU:BU,'Monthly Data'!$B:$B,DO15)</f>
        <v>82433193.179999992</v>
      </c>
      <c r="DQ15" s="709">
        <f ca="1">SUMIFS('Monthly Data'!BV:BV,'Monthly Data'!$B:$B,DO15)</f>
        <v>8175926.9072192432</v>
      </c>
      <c r="DR15" s="709">
        <f ca="1">SUMIFS('Monthly Data'!BW:BW,'Monthly Data'!$B:$B,DO15)</f>
        <v>90609120.087219253</v>
      </c>
      <c r="DS15" s="709">
        <f>SUMIFS('WRZ GS 3,000-4,999 Normalized'!O:O,'WRZ GS 3,000-4,999 Normalized'!B:B,'Normalized Annual Summary'!DO15)</f>
        <v>89345385.240296334</v>
      </c>
      <c r="DT15" s="709">
        <f t="shared" ca="1" si="27"/>
        <v>8175926.9072192432</v>
      </c>
      <c r="DU15" s="709">
        <f t="shared" ca="1" si="86"/>
        <v>81169458.333077088</v>
      </c>
      <c r="DV15" s="709"/>
      <c r="DW15" s="709">
        <f t="shared" ca="1" si="87"/>
        <v>81169458.333077088</v>
      </c>
      <c r="DX15" s="709">
        <f t="shared" si="62"/>
        <v>89345385.240296334</v>
      </c>
      <c r="DY15" s="707"/>
      <c r="DZ15" s="708">
        <f t="shared" si="49"/>
        <v>2024</v>
      </c>
      <c r="EA15" s="709">
        <f>SUMIFS('Monthly Data'!BZ:BZ,'Monthly Data'!$B:$B,DZ15)</f>
        <v>3708102.8000000003</v>
      </c>
      <c r="EB15" s="709">
        <f>'Customer Count'!BN14</f>
        <v>13708</v>
      </c>
      <c r="EC15" s="709">
        <f t="shared" si="88"/>
        <v>270.50647796906918</v>
      </c>
      <c r="ED15" s="709">
        <f t="shared" si="89"/>
        <v>3708102.8000000003</v>
      </c>
      <c r="EE15" s="707"/>
      <c r="EF15" s="707"/>
      <c r="EG15" s="708">
        <f t="shared" si="52"/>
        <v>2024</v>
      </c>
      <c r="EH15" s="709">
        <f>SUMIFS('Monthly Data'!CA:CA,'Monthly Data'!$B:$B,EG15)</f>
        <v>29865.999999999989</v>
      </c>
      <c r="EI15" s="709">
        <f>'Customer Count'!BR14</f>
        <v>45.458333333333314</v>
      </c>
      <c r="EJ15" s="709">
        <f t="shared" si="90"/>
        <v>656.99725022914765</v>
      </c>
      <c r="EK15" s="709">
        <f t="shared" si="91"/>
        <v>29865.999999999993</v>
      </c>
      <c r="EL15" s="707"/>
      <c r="EM15" s="707"/>
      <c r="EN15" s="708">
        <f t="shared" si="55"/>
        <v>2024</v>
      </c>
      <c r="EO15" s="709">
        <f>SUMIFS('Monthly Data'!CB:CB,'Monthly Data'!$B:$B,EN15)</f>
        <v>1961874.72</v>
      </c>
      <c r="EP15" s="709">
        <f>'Customer Count'!BV14</f>
        <v>396.25</v>
      </c>
      <c r="EQ15" s="709">
        <f t="shared" si="92"/>
        <v>4951.1033943217662</v>
      </c>
      <c r="ER15" s="709">
        <f>EQ15*EP15</f>
        <v>1961874.72</v>
      </c>
    </row>
    <row r="16" spans="2:148" s="711" customFormat="1">
      <c r="B16" s="703">
        <f t="shared" si="30"/>
        <v>2025</v>
      </c>
      <c r="C16" s="704"/>
      <c r="D16" s="704"/>
      <c r="E16" s="704"/>
      <c r="F16" s="704">
        <f ca="1">SUMIFS('VRZ Residential Normalized'!X:X,'VRZ Residential Normalized'!B:B,B16)</f>
        <v>1148261883.8130274</v>
      </c>
      <c r="G16" s="704">
        <f ca="1">CDM!W25</f>
        <v>47340361.843181349</v>
      </c>
      <c r="H16" s="704">
        <f t="shared" ca="1" si="1"/>
        <v>1100921521.969846</v>
      </c>
      <c r="I16" s="704"/>
      <c r="J16" s="704">
        <f t="shared" ca="1" si="2"/>
        <v>1100921521.969846</v>
      </c>
      <c r="K16" s="712"/>
      <c r="L16" s="703">
        <f t="shared" si="31"/>
        <v>2025</v>
      </c>
      <c r="M16" s="704"/>
      <c r="N16" s="704"/>
      <c r="O16" s="704"/>
      <c r="P16" s="704">
        <f ca="1">SUMIFS('VRZ Seasonal Normalized'!V:V,'VRZ Seasonal Normalized'!B:B,L16)</f>
        <v>13376795.258399203</v>
      </c>
      <c r="Q16" s="704">
        <f ca="1">CDM!X25</f>
        <v>542221.12826574605</v>
      </c>
      <c r="R16" s="704">
        <f t="shared" ca="1" si="4"/>
        <v>12834574.130133457</v>
      </c>
      <c r="S16" s="704"/>
      <c r="T16" s="704">
        <f t="shared" ca="1" si="5"/>
        <v>12834574.130133457</v>
      </c>
      <c r="U16" s="712"/>
      <c r="V16" s="703">
        <f t="shared" si="32"/>
        <v>2025</v>
      </c>
      <c r="W16" s="704"/>
      <c r="X16" s="704"/>
      <c r="Y16" s="704"/>
      <c r="Z16" s="704">
        <f ca="1">SUMIFS('VRZ GS &lt; 50 Normalized'!T:T,'VRZ GS &lt; 50 Normalized'!B:B,V16)</f>
        <v>305942236.13344646</v>
      </c>
      <c r="AA16" s="704">
        <f ca="1">CDM!Y25</f>
        <v>19185956.658384457</v>
      </c>
      <c r="AB16" s="704">
        <f t="shared" ca="1" si="7"/>
        <v>286756279.47506201</v>
      </c>
      <c r="AC16" s="704"/>
      <c r="AD16" s="704">
        <f t="shared" ca="1" si="8"/>
        <v>286756279.47506201</v>
      </c>
      <c r="AE16" s="704"/>
      <c r="AF16" s="703">
        <f t="shared" si="33"/>
        <v>2025</v>
      </c>
      <c r="AG16" s="704"/>
      <c r="AH16" s="704"/>
      <c r="AI16" s="704"/>
      <c r="AJ16" s="704">
        <f ca="1">SUMIFS('VRZ GS 50-2,999 Normalized'!V:V,'VRZ GS 50-2,999 Normalized'!B:B,AF16)</f>
        <v>1017477272.0675334</v>
      </c>
      <c r="AK16" s="704">
        <f ca="1">CDM!Z25</f>
        <v>80397620.421312556</v>
      </c>
      <c r="AL16" s="704">
        <f ca="1">AJ16-AK16</f>
        <v>937079651.6462208</v>
      </c>
      <c r="AM16" s="704">
        <f>'Total Additional'!E21</f>
        <v>19650768.933455087</v>
      </c>
      <c r="AN16" s="704">
        <f ca="1">AL16+AM16</f>
        <v>956730420.57967591</v>
      </c>
      <c r="AO16" s="704">
        <f t="shared" ca="1" si="58"/>
        <v>1037128041.0009885</v>
      </c>
      <c r="AP16" s="704"/>
      <c r="AQ16" s="703">
        <f t="shared" si="34"/>
        <v>2025</v>
      </c>
      <c r="AR16" s="704"/>
      <c r="AS16" s="704"/>
      <c r="AT16" s="704"/>
      <c r="AU16" s="704">
        <f>SUMIFS('VRZ GS 3,000-4,999 Normalized'!M:M,'VRZ GS 3,000-4,999 Normalized'!B:B,'Normalized Annual Summary'!AQ16)</f>
        <v>107721708.96025747</v>
      </c>
      <c r="AV16" s="704">
        <f ca="1">CDM!AA25</f>
        <v>4113672.7685040799</v>
      </c>
      <c r="AW16" s="704">
        <f t="shared" ca="1" si="13"/>
        <v>103608036.19175339</v>
      </c>
      <c r="AX16" s="704">
        <f>'Total Additional'!E22</f>
        <v>21674772.198770355</v>
      </c>
      <c r="AY16" s="704">
        <f t="shared" ca="1" si="14"/>
        <v>125282808.39052375</v>
      </c>
      <c r="AZ16" s="704">
        <f t="shared" si="59"/>
        <v>129396481.15902783</v>
      </c>
      <c r="BA16" s="704"/>
      <c r="BB16" s="703">
        <f t="shared" si="35"/>
        <v>2025</v>
      </c>
      <c r="BC16" s="704"/>
      <c r="BD16" s="704"/>
      <c r="BE16" s="704"/>
      <c r="BF16" s="704">
        <f>SUMIFS('VRZ Large Use Normalized'!Q:Q,'VRZ Large Use Normalized'!B:B,'Normalized Annual Summary'!BB16)</f>
        <v>341988102.41142708</v>
      </c>
      <c r="BG16" s="704">
        <f ca="1">CDM!AB25</f>
        <v>23553829.053332716</v>
      </c>
      <c r="BH16" s="704">
        <f t="shared" ca="1" si="16"/>
        <v>318434273.35809433</v>
      </c>
      <c r="BI16" s="704">
        <f>'Total Additional'!E23</f>
        <v>19570666.894211665</v>
      </c>
      <c r="BJ16" s="704">
        <f t="shared" ca="1" si="17"/>
        <v>338004940.25230598</v>
      </c>
      <c r="BK16" s="704">
        <f t="shared" si="60"/>
        <v>361558769.30563873</v>
      </c>
      <c r="BL16" s="712"/>
      <c r="BM16" s="703">
        <f t="shared" si="36"/>
        <v>2025</v>
      </c>
      <c r="BN16" s="704"/>
      <c r="BO16" s="704">
        <f>'Customer Count'!AG15</f>
        <v>33053.711877799957</v>
      </c>
      <c r="BP16" s="704">
        <f>BP15</f>
        <v>371.19050852120051</v>
      </c>
      <c r="BQ16" s="704">
        <f t="shared" si="38"/>
        <v>12269224.120433811</v>
      </c>
      <c r="BR16" s="712"/>
      <c r="BS16" s="712"/>
      <c r="BT16" s="703">
        <f t="shared" si="39"/>
        <v>2025</v>
      </c>
      <c r="BU16" s="704"/>
      <c r="BV16" s="704">
        <f>'Customer Count'!AK15</f>
        <v>234.25982478178059</v>
      </c>
      <c r="BW16" s="704">
        <f>BW15</f>
        <v>909.49886343766343</v>
      </c>
      <c r="BX16" s="704">
        <f t="shared" si="41"/>
        <v>213059.04438813563</v>
      </c>
      <c r="BY16" s="712"/>
      <c r="BZ16" s="712"/>
      <c r="CA16" s="703">
        <f t="shared" si="42"/>
        <v>2025</v>
      </c>
      <c r="CB16" s="704"/>
      <c r="CC16" s="704">
        <f>'Customer Count'!AO15</f>
        <v>741.40363373070261</v>
      </c>
      <c r="CD16" s="704">
        <f>CD15</f>
        <v>6161.8544907457499</v>
      </c>
      <c r="CE16" s="704">
        <f t="shared" ref="CE16:CE19" si="93">CD16*CC16</f>
        <v>4568421.3099587467</v>
      </c>
      <c r="CF16" s="712"/>
      <c r="CG16" s="712"/>
      <c r="CH16" s="712"/>
      <c r="CI16" s="712"/>
      <c r="CJ16" s="703">
        <f t="shared" si="45"/>
        <v>2025</v>
      </c>
      <c r="CK16" s="704"/>
      <c r="CL16" s="704"/>
      <c r="CM16" s="704"/>
      <c r="CN16" s="704">
        <f ca="1">SUMIFS('WRZ Residential Normalized'!X:X,'WRZ Residential Normalized'!B:B,'Normalized Annual Summary'!CJ16)</f>
        <v>444099919.16970873</v>
      </c>
      <c r="CO16" s="704">
        <f ca="1">CDM!AF25</f>
        <v>20963709.373924643</v>
      </c>
      <c r="CP16" s="704">
        <f t="shared" ca="1" si="19"/>
        <v>423136209.79578412</v>
      </c>
      <c r="CQ16" s="704"/>
      <c r="CR16" s="704">
        <f t="shared" ca="1" si="20"/>
        <v>423136209.79578412</v>
      </c>
      <c r="CS16" s="712"/>
      <c r="CT16" s="703">
        <f t="shared" si="46"/>
        <v>2025</v>
      </c>
      <c r="CU16" s="704"/>
      <c r="CV16" s="704"/>
      <c r="CW16" s="704"/>
      <c r="CX16" s="704">
        <f ca="1">SUMIFS('WRZ GS &lt; 50 Normalized'!V:V,'WRZ GS &lt; 50 Normalized'!B:B,CT16)</f>
        <v>96086663.349585429</v>
      </c>
      <c r="CY16" s="704">
        <f ca="1">CDM!AG25</f>
        <v>3190078.8846549485</v>
      </c>
      <c r="CZ16" s="704">
        <f t="shared" ca="1" si="22"/>
        <v>92896584.464930475</v>
      </c>
      <c r="DA16" s="704"/>
      <c r="DB16" s="704">
        <f t="shared" ca="1" si="23"/>
        <v>92896584.464930475</v>
      </c>
      <c r="DC16" s="704"/>
      <c r="DD16" s="703">
        <f t="shared" si="47"/>
        <v>2025</v>
      </c>
      <c r="DE16" s="704"/>
      <c r="DF16" s="704"/>
      <c r="DG16" s="704"/>
      <c r="DH16" s="704">
        <f ca="1">SUMIFS('WRZ GS 50-2,999 Normalized'!T:T,'WRZ GS 50-2,999 Normalized'!B:B,'Normalized Annual Summary'!DD16)</f>
        <v>362631271.710455</v>
      </c>
      <c r="DI16" s="704">
        <f ca="1">CDM!AH25</f>
        <v>35655243.392007224</v>
      </c>
      <c r="DJ16" s="704">
        <f ca="1">DH16-DI16</f>
        <v>326976028.31844777</v>
      </c>
      <c r="DK16" s="704">
        <f>'Total Additional'!E47</f>
        <v>11937883.472228866</v>
      </c>
      <c r="DL16" s="704">
        <f t="shared" ca="1" si="26"/>
        <v>338913911.79067665</v>
      </c>
      <c r="DM16" s="704">
        <f t="shared" ca="1" si="61"/>
        <v>374569155.18268389</v>
      </c>
      <c r="DN16" s="704"/>
      <c r="DO16" s="703">
        <f t="shared" si="48"/>
        <v>2025</v>
      </c>
      <c r="DP16" s="704"/>
      <c r="DQ16" s="704"/>
      <c r="DR16" s="704"/>
      <c r="DS16" s="704">
        <f>SUMIFS('WRZ GS 3,000-4,999 Normalized'!O:O,'WRZ GS 3,000-4,999 Normalized'!B:B,'Normalized Annual Summary'!DO16)</f>
        <v>89428142.682902068</v>
      </c>
      <c r="DT16" s="704">
        <f ca="1">CDM!AI25</f>
        <v>8018474.3483405542</v>
      </c>
      <c r="DU16" s="704">
        <f t="shared" ca="1" si="28"/>
        <v>81409668.334561512</v>
      </c>
      <c r="DV16" s="704">
        <f>'Total Additional'!E48</f>
        <v>10497452.998833166</v>
      </c>
      <c r="DW16" s="704">
        <f t="shared" ca="1" si="29"/>
        <v>91907121.333394676</v>
      </c>
      <c r="DX16" s="704">
        <f t="shared" si="62"/>
        <v>99925595.681735232</v>
      </c>
      <c r="DY16" s="712"/>
      <c r="DZ16" s="703">
        <f t="shared" si="49"/>
        <v>2025</v>
      </c>
      <c r="EA16" s="704"/>
      <c r="EB16" s="704">
        <f>'Customer Count'!BN15</f>
        <v>13934.650879118182</v>
      </c>
      <c r="EC16" s="704">
        <f>EC15</f>
        <v>270.50647796906918</v>
      </c>
      <c r="ED16" s="704">
        <f t="shared" si="51"/>
        <v>3769413.3310388532</v>
      </c>
      <c r="EE16" s="712"/>
      <c r="EF16" s="712"/>
      <c r="EG16" s="703">
        <f t="shared" si="52"/>
        <v>2025</v>
      </c>
      <c r="EH16" s="704"/>
      <c r="EI16" s="704">
        <f>'Customer Count'!BR15</f>
        <v>46.061262694763407</v>
      </c>
      <c r="EJ16" s="798">
        <f>EJ14</f>
        <v>678.18913043478244</v>
      </c>
      <c r="EK16" s="704">
        <f t="shared" si="54"/>
        <v>31238.247693689678</v>
      </c>
      <c r="EL16" s="712"/>
      <c r="EM16" s="712"/>
      <c r="EN16" s="703">
        <f t="shared" si="55"/>
        <v>2025</v>
      </c>
      <c r="EO16" s="704"/>
      <c r="EP16" s="704">
        <f>'Customer Count'!BV15</f>
        <v>389.08499529412256</v>
      </c>
      <c r="EQ16" s="704">
        <f>EQ15</f>
        <v>4951.1033943217662</v>
      </c>
      <c r="ER16" s="704">
        <f t="shared" ref="ER16:ER19" si="94">EQ16*EP16</f>
        <v>1926400.0408803986</v>
      </c>
    </row>
    <row r="17" spans="2:150" s="711" customFormat="1">
      <c r="B17" s="703">
        <f t="shared" si="30"/>
        <v>2026</v>
      </c>
      <c r="C17" s="704"/>
      <c r="D17" s="704"/>
      <c r="E17" s="704"/>
      <c r="F17" s="704">
        <f ca="1">SUMIFS('VRZ Residential Normalized'!X:X,'VRZ Residential Normalized'!B:B,B17)</f>
        <v>1178048343.5934205</v>
      </c>
      <c r="G17" s="704">
        <f ca="1">CDM!W26</f>
        <v>47092784.983948983</v>
      </c>
      <c r="H17" s="704">
        <f t="shared" ca="1" si="1"/>
        <v>1130955558.6094716</v>
      </c>
      <c r="I17" s="704"/>
      <c r="J17" s="704">
        <f t="shared" ca="1" si="2"/>
        <v>1130955558.6094716</v>
      </c>
      <c r="K17" s="712"/>
      <c r="L17" s="703">
        <f t="shared" si="31"/>
        <v>2026</v>
      </c>
      <c r="M17" s="704"/>
      <c r="N17" s="704"/>
      <c r="O17" s="704"/>
      <c r="P17" s="704">
        <f ca="1">SUMIFS('VRZ Seasonal Normalized'!V:V,'VRZ Seasonal Normalized'!B:B,L17)</f>
        <v>13886859.800541107</v>
      </c>
      <c r="Q17" s="704">
        <f ca="1">CDM!X26</f>
        <v>539385.4587761733</v>
      </c>
      <c r="R17" s="704">
        <f t="shared" ca="1" si="4"/>
        <v>13347474.341764932</v>
      </c>
      <c r="S17" s="704"/>
      <c r="T17" s="704">
        <f t="shared" ca="1" si="5"/>
        <v>13347474.341764932</v>
      </c>
      <c r="U17" s="712"/>
      <c r="V17" s="703">
        <f t="shared" si="32"/>
        <v>2026</v>
      </c>
      <c r="W17" s="704"/>
      <c r="X17" s="704"/>
      <c r="Y17" s="704"/>
      <c r="Z17" s="704">
        <f ca="1">SUMIFS('VRZ GS &lt; 50 Normalized'!T:T,'VRZ GS &lt; 50 Normalized'!B:B,V17)</f>
        <v>307974909.93360817</v>
      </c>
      <c r="AA17" s="704">
        <f ca="1">CDM!Y26</f>
        <v>17320822.499046709</v>
      </c>
      <c r="AB17" s="704">
        <f t="shared" ca="1" si="7"/>
        <v>290654087.43456149</v>
      </c>
      <c r="AC17" s="704"/>
      <c r="AD17" s="704">
        <f t="shared" ca="1" si="8"/>
        <v>290654087.43456149</v>
      </c>
      <c r="AE17" s="704"/>
      <c r="AF17" s="703">
        <f t="shared" si="33"/>
        <v>2026</v>
      </c>
      <c r="AG17" s="704"/>
      <c r="AH17" s="704"/>
      <c r="AI17" s="704"/>
      <c r="AJ17" s="704">
        <f ca="1">SUMIFS('VRZ GS 50-2,999 Normalized'!V:V,'VRZ GS 50-2,999 Normalized'!B:B,AF17)</f>
        <v>1018281256.1070039</v>
      </c>
      <c r="AK17" s="704">
        <f ca="1">CDM!Z26</f>
        <v>77276692.240201831</v>
      </c>
      <c r="AL17" s="704">
        <f t="shared" ca="1" si="10"/>
        <v>941004563.8668021</v>
      </c>
      <c r="AM17" s="704">
        <f>'Total Additional'!F21</f>
        <v>68270016.542859137</v>
      </c>
      <c r="AN17" s="704">
        <f t="shared" ca="1" si="11"/>
        <v>1009274580.4096613</v>
      </c>
      <c r="AO17" s="704">
        <f t="shared" ca="1" si="58"/>
        <v>1086551272.649863</v>
      </c>
      <c r="AP17" s="704"/>
      <c r="AQ17" s="703">
        <f t="shared" si="34"/>
        <v>2026</v>
      </c>
      <c r="AR17" s="704"/>
      <c r="AS17" s="704"/>
      <c r="AT17" s="704"/>
      <c r="AU17" s="704">
        <f>SUMIFS('VRZ GS 3,000-4,999 Normalized'!M:M,'VRZ GS 3,000-4,999 Normalized'!B:B,'Normalized Annual Summary'!AQ17)</f>
        <v>107939890.69802138</v>
      </c>
      <c r="AV17" s="704">
        <f ca="1">CDM!AA26</f>
        <v>4070737.9207027359</v>
      </c>
      <c r="AW17" s="704">
        <f t="shared" ca="1" si="13"/>
        <v>103869152.77731864</v>
      </c>
      <c r="AX17" s="704">
        <f>'Total Additional'!F22</f>
        <v>63151966.577685975</v>
      </c>
      <c r="AY17" s="704">
        <f t="shared" ca="1" si="14"/>
        <v>167021119.35500461</v>
      </c>
      <c r="AZ17" s="704">
        <f t="shared" si="59"/>
        <v>171091857.27570736</v>
      </c>
      <c r="BA17" s="704"/>
      <c r="BB17" s="703">
        <f t="shared" si="35"/>
        <v>2026</v>
      </c>
      <c r="BC17" s="704"/>
      <c r="BD17" s="704"/>
      <c r="BE17" s="704"/>
      <c r="BF17" s="704">
        <f>SUMIFS('VRZ Large Use Normalized'!Q:Q,'VRZ Large Use Normalized'!B:B,'Normalized Annual Summary'!BB17)</f>
        <v>342344697.61589575</v>
      </c>
      <c r="BG17" s="704">
        <f ca="1">CDM!AB26</f>
        <v>22625563.300378267</v>
      </c>
      <c r="BH17" s="704">
        <f t="shared" ca="1" si="16"/>
        <v>319719134.31551749</v>
      </c>
      <c r="BI17" s="704">
        <f>'Total Additional'!F23</f>
        <v>53851781.743112437</v>
      </c>
      <c r="BJ17" s="704">
        <f t="shared" ca="1" si="17"/>
        <v>373570916.05862993</v>
      </c>
      <c r="BK17" s="704">
        <f t="shared" si="60"/>
        <v>396196479.35900819</v>
      </c>
      <c r="BL17" s="712"/>
      <c r="BM17" s="703">
        <f t="shared" si="36"/>
        <v>2026</v>
      </c>
      <c r="BN17" s="704"/>
      <c r="BO17" s="704">
        <f>'Customer Count'!AG16</f>
        <v>33393.463794277181</v>
      </c>
      <c r="BP17" s="704">
        <f>BP16</f>
        <v>371.19050852120051</v>
      </c>
      <c r="BQ17" s="704">
        <f t="shared" si="38"/>
        <v>12395336.807082044</v>
      </c>
      <c r="BR17" s="712"/>
      <c r="BS17" s="712"/>
      <c r="BT17" s="703">
        <f t="shared" si="39"/>
        <v>2026</v>
      </c>
      <c r="BU17" s="704"/>
      <c r="BV17" s="704">
        <f>'Customer Count'!AK16</f>
        <v>230.29620076289083</v>
      </c>
      <c r="BW17" s="704">
        <f>BW16</f>
        <v>909.49886343766343</v>
      </c>
      <c r="BX17" s="704">
        <f t="shared" si="41"/>
        <v>209454.13284786118</v>
      </c>
      <c r="BY17" s="712"/>
      <c r="BZ17" s="712"/>
      <c r="CA17" s="703">
        <f t="shared" si="42"/>
        <v>2026</v>
      </c>
      <c r="CB17" s="704"/>
      <c r="CC17" s="704">
        <f>'Customer Count'!AO16</f>
        <v>731.17101056299305</v>
      </c>
      <c r="CD17" s="704">
        <f t="shared" ref="CD17:CD22" si="95">CD16</f>
        <v>6161.8544907457499</v>
      </c>
      <c r="CE17" s="704">
        <f t="shared" si="93"/>
        <v>4505369.3749406869</v>
      </c>
      <c r="CF17" s="712"/>
      <c r="CG17" s="712"/>
      <c r="CH17" s="712"/>
      <c r="CI17" s="712"/>
      <c r="CJ17" s="703">
        <f t="shared" si="45"/>
        <v>2026</v>
      </c>
      <c r="CK17" s="704"/>
      <c r="CL17" s="704"/>
      <c r="CM17" s="704"/>
      <c r="CN17" s="704">
        <f ca="1">SUMIFS('WRZ Residential Normalized'!X:X,'WRZ Residential Normalized'!B:B,'Normalized Annual Summary'!CJ17)</f>
        <v>455673577.8068462</v>
      </c>
      <c r="CO17" s="704">
        <f ca="1">CDM!AF26</f>
        <v>20818156.43655296</v>
      </c>
      <c r="CP17" s="704">
        <f t="shared" ca="1" si="19"/>
        <v>434855421.37029326</v>
      </c>
      <c r="CQ17" s="704"/>
      <c r="CR17" s="704">
        <f t="shared" ca="1" si="20"/>
        <v>434855421.37029326</v>
      </c>
      <c r="CS17" s="712"/>
      <c r="CT17" s="703">
        <f t="shared" si="46"/>
        <v>2026</v>
      </c>
      <c r="CU17" s="704"/>
      <c r="CV17" s="704"/>
      <c r="CW17" s="704"/>
      <c r="CX17" s="704">
        <f ca="1">SUMIFS('WRZ GS &lt; 50 Normalized'!V:V,'WRZ GS &lt; 50 Normalized'!B:B,CT17)</f>
        <v>96798731.571301192</v>
      </c>
      <c r="CY17" s="704">
        <f ca="1">CDM!AG26</f>
        <v>2876704.9469285747</v>
      </c>
      <c r="CZ17" s="704">
        <f t="shared" ca="1" si="22"/>
        <v>93922026.624372616</v>
      </c>
      <c r="DA17" s="704"/>
      <c r="DB17" s="704">
        <f t="shared" ca="1" si="23"/>
        <v>93922026.624372616</v>
      </c>
      <c r="DC17" s="704"/>
      <c r="DD17" s="703">
        <f t="shared" si="47"/>
        <v>2026</v>
      </c>
      <c r="DE17" s="704"/>
      <c r="DF17" s="704"/>
      <c r="DG17" s="704"/>
      <c r="DH17" s="704">
        <f ca="1">SUMIFS('WRZ GS 50-2,999 Normalized'!T:T,'WRZ GS 50-2,999 Normalized'!B:B,'Normalized Annual Summary'!DD17)</f>
        <v>362888388.12089878</v>
      </c>
      <c r="DI17" s="704">
        <f ca="1">CDM!AH26</f>
        <v>34169498.520810001</v>
      </c>
      <c r="DJ17" s="704">
        <f t="shared" ca="1" si="25"/>
        <v>328718889.60008878</v>
      </c>
      <c r="DK17" s="704">
        <f>'Total Additional'!F47</f>
        <v>31288962.566759847</v>
      </c>
      <c r="DL17" s="704">
        <f t="shared" ca="1" si="26"/>
        <v>360007852.1668486</v>
      </c>
      <c r="DM17" s="704">
        <f t="shared" ca="1" si="61"/>
        <v>394177350.68765861</v>
      </c>
      <c r="DN17" s="704"/>
      <c r="DO17" s="703">
        <f t="shared" si="48"/>
        <v>2026</v>
      </c>
      <c r="DP17" s="704"/>
      <c r="DQ17" s="704"/>
      <c r="DR17" s="704"/>
      <c r="DS17" s="704">
        <f>SUMIFS('WRZ GS 3,000-4,999 Normalized'!O:O,'WRZ GS 3,000-4,999 Normalized'!B:B,'Normalized Annual Summary'!DO17)</f>
        <v>89452572.592810497</v>
      </c>
      <c r="DT17" s="704">
        <f ca="1">CDM!AI26</f>
        <v>7684417.9464851022</v>
      </c>
      <c r="DU17" s="704">
        <f t="shared" ca="1" si="28"/>
        <v>81768154.646325395</v>
      </c>
      <c r="DV17" s="704">
        <f>'Total Additional'!F48</f>
        <v>30392668.658289995</v>
      </c>
      <c r="DW17" s="704">
        <f t="shared" ca="1" si="29"/>
        <v>112160823.30461539</v>
      </c>
      <c r="DX17" s="704">
        <f t="shared" si="62"/>
        <v>119845241.2511005</v>
      </c>
      <c r="DY17" s="712"/>
      <c r="DZ17" s="703">
        <f t="shared" si="49"/>
        <v>2026</v>
      </c>
      <c r="EA17" s="704"/>
      <c r="EB17" s="704">
        <f>'Customer Count'!BN16</f>
        <v>14165.04925028517</v>
      </c>
      <c r="EC17" s="704">
        <f>EC16</f>
        <v>270.50647796906918</v>
      </c>
      <c r="ED17" s="704">
        <f t="shared" si="51"/>
        <v>3831737.5829530451</v>
      </c>
      <c r="EE17" s="712"/>
      <c r="EF17" s="712"/>
      <c r="EG17" s="703">
        <f t="shared" si="52"/>
        <v>2026</v>
      </c>
      <c r="EH17" s="704"/>
      <c r="EI17" s="704">
        <f>'Customer Count'!BR16</f>
        <v>46.672188913715949</v>
      </c>
      <c r="EJ17" s="704">
        <f>EJ16</f>
        <v>678.18913043478244</v>
      </c>
      <c r="EK17" s="704">
        <f t="shared" si="54"/>
        <v>31652.571214880914</v>
      </c>
      <c r="EL17" s="712"/>
      <c r="EM17" s="712"/>
      <c r="EN17" s="703">
        <f t="shared" si="55"/>
        <v>2026</v>
      </c>
      <c r="EO17" s="704"/>
      <c r="EP17" s="704">
        <f>'Customer Count'!BV16</f>
        <v>391.09524756324345</v>
      </c>
      <c r="EQ17" s="704">
        <f t="shared" ref="EQ17:EQ22" si="96">EQ16</f>
        <v>4951.1033943217662</v>
      </c>
      <c r="ER17" s="704">
        <f t="shared" si="94"/>
        <v>1936353.0077134862</v>
      </c>
    </row>
    <row r="18" spans="2:150" s="711" customFormat="1">
      <c r="B18" s="703">
        <f t="shared" si="30"/>
        <v>2027</v>
      </c>
      <c r="C18" s="704"/>
      <c r="D18" s="704"/>
      <c r="E18" s="704"/>
      <c r="F18" s="704">
        <f ca="1">SUMIFS('VRZ Residential Normalized'!X:X,'VRZ Residential Normalized'!B:B,B18)</f>
        <v>1208839411.8326604</v>
      </c>
      <c r="G18" s="704">
        <f ca="1">CDM!W27</f>
        <v>46690164.070315555</v>
      </c>
      <c r="H18" s="704">
        <f t="shared" ca="1" si="1"/>
        <v>1162149247.7623448</v>
      </c>
      <c r="I18" s="704"/>
      <c r="J18" s="704">
        <f t="shared" ca="1" si="2"/>
        <v>1162149247.7623448</v>
      </c>
      <c r="K18" s="712"/>
      <c r="L18" s="703">
        <f t="shared" si="31"/>
        <v>2027</v>
      </c>
      <c r="M18" s="704"/>
      <c r="N18" s="704"/>
      <c r="O18" s="704"/>
      <c r="P18" s="704">
        <f ca="1">SUMIFS('VRZ Seasonal Normalized'!V:V,'VRZ Seasonal Normalized'!B:B,L18)</f>
        <v>14445621.261004012</v>
      </c>
      <c r="Q18" s="704">
        <f ca="1">CDM!X27</f>
        <v>534773.9262652616</v>
      </c>
      <c r="R18" s="704">
        <f t="shared" ca="1" si="4"/>
        <v>13910847.33473875</v>
      </c>
      <c r="S18" s="704"/>
      <c r="T18" s="704">
        <f t="shared" ca="1" si="5"/>
        <v>13910847.33473875</v>
      </c>
      <c r="U18" s="712"/>
      <c r="V18" s="703">
        <f t="shared" si="32"/>
        <v>2027</v>
      </c>
      <c r="W18" s="704"/>
      <c r="X18" s="704"/>
      <c r="Y18" s="704"/>
      <c r="Z18" s="704">
        <f ca="1">SUMIFS('VRZ GS &lt; 50 Normalized'!T:T,'VRZ GS &lt; 50 Normalized'!B:B,V18)</f>
        <v>311142761.62242991</v>
      </c>
      <c r="AA18" s="704">
        <f ca="1">CDM!Y27</f>
        <v>15732810.588081434</v>
      </c>
      <c r="AB18" s="704">
        <f t="shared" ca="1" si="7"/>
        <v>295409951.03434849</v>
      </c>
      <c r="AC18" s="704"/>
      <c r="AD18" s="704">
        <f t="shared" ca="1" si="8"/>
        <v>295409951.03434849</v>
      </c>
      <c r="AE18" s="704"/>
      <c r="AF18" s="703">
        <f t="shared" si="33"/>
        <v>2027</v>
      </c>
      <c r="AG18" s="704"/>
      <c r="AH18" s="704"/>
      <c r="AI18" s="704"/>
      <c r="AJ18" s="704">
        <f ca="1">SUMIFS('VRZ GS 50-2,999 Normalized'!V:V,'VRZ GS 50-2,999 Normalized'!B:B,AF18)</f>
        <v>1020471639.7246099</v>
      </c>
      <c r="AK18" s="704">
        <f ca="1">CDM!Z27</f>
        <v>72642010.213213444</v>
      </c>
      <c r="AL18" s="704">
        <f t="shared" ca="1" si="10"/>
        <v>947829629.51139641</v>
      </c>
      <c r="AM18" s="704">
        <f>'Total Additional'!G21</f>
        <v>110997669.38088377</v>
      </c>
      <c r="AN18" s="704">
        <f t="shared" ca="1" si="11"/>
        <v>1058827298.8922802</v>
      </c>
      <c r="AO18" s="704">
        <f ca="1">AJ18+AM18</f>
        <v>1131469309.1054935</v>
      </c>
      <c r="AP18" s="704"/>
      <c r="AQ18" s="703">
        <f t="shared" si="34"/>
        <v>2027</v>
      </c>
      <c r="AR18" s="704"/>
      <c r="AS18" s="704"/>
      <c r="AT18" s="704"/>
      <c r="AU18" s="704">
        <f>SUMIFS('VRZ GS 3,000-4,999 Normalized'!M:M,'VRZ GS 3,000-4,999 Normalized'!B:B,'Normalized Annual Summary'!AQ18)</f>
        <v>107660288.12471133</v>
      </c>
      <c r="AV18" s="704">
        <f ca="1">CDM!AA27</f>
        <v>3882778.1772899865</v>
      </c>
      <c r="AW18" s="704">
        <f t="shared" ca="1" si="13"/>
        <v>103777509.94742134</v>
      </c>
      <c r="AX18" s="704">
        <f>'Total Additional'!G22</f>
        <v>87281169.546116427</v>
      </c>
      <c r="AY18" s="704">
        <f t="shared" ca="1" si="14"/>
        <v>191058679.49353778</v>
      </c>
      <c r="AZ18" s="704">
        <f t="shared" si="59"/>
        <v>194941457.67082775</v>
      </c>
      <c r="BA18" s="704"/>
      <c r="BB18" s="703">
        <f t="shared" si="35"/>
        <v>2027</v>
      </c>
      <c r="BC18" s="704"/>
      <c r="BD18" s="704"/>
      <c r="BE18" s="704"/>
      <c r="BF18" s="704">
        <f>SUMIFS('VRZ Large Use Normalized'!Q:Q,'VRZ Large Use Normalized'!B:B,'Normalized Annual Summary'!BB18)</f>
        <v>341658102.8974874</v>
      </c>
      <c r="BG18" s="704">
        <f ca="1">CDM!AB27</f>
        <v>19408459.108166493</v>
      </c>
      <c r="BH18" s="704">
        <f t="shared" ca="1" si="16"/>
        <v>322249643.78932089</v>
      </c>
      <c r="BI18" s="704">
        <f>'Total Additional'!G23</f>
        <v>106673547.97863017</v>
      </c>
      <c r="BJ18" s="704">
        <f t="shared" ca="1" si="17"/>
        <v>428923191.76795107</v>
      </c>
      <c r="BK18" s="704">
        <f t="shared" si="60"/>
        <v>448331650.87611759</v>
      </c>
      <c r="BL18" s="712"/>
      <c r="BM18" s="703">
        <f t="shared" si="36"/>
        <v>2027</v>
      </c>
      <c r="BN18" s="704"/>
      <c r="BO18" s="704">
        <f>'Customer Count'!AG17</f>
        <v>33736.707946820861</v>
      </c>
      <c r="BP18" s="704">
        <f t="shared" ref="BP18:BP22" si="97">BP17</f>
        <v>371.19050852120051</v>
      </c>
      <c r="BQ18" s="704">
        <f t="shared" si="38"/>
        <v>12522745.778611662</v>
      </c>
      <c r="BR18" s="712"/>
      <c r="BS18" s="712"/>
      <c r="BT18" s="703">
        <f t="shared" si="39"/>
        <v>2027</v>
      </c>
      <c r="BU18" s="704"/>
      <c r="BV18" s="704">
        <f>'Customer Count'!AK17</f>
        <v>226.39964037891053</v>
      </c>
      <c r="BW18" s="704">
        <f t="shared" ref="BW18:BW22" si="98">BW17</f>
        <v>909.49886343766343</v>
      </c>
      <c r="BX18" s="704">
        <f t="shared" si="41"/>
        <v>205910.21560731487</v>
      </c>
      <c r="BY18" s="712"/>
      <c r="BZ18" s="712"/>
      <c r="CA18" s="703">
        <f t="shared" si="42"/>
        <v>2027</v>
      </c>
      <c r="CB18" s="704"/>
      <c r="CC18" s="704">
        <f>'Customer Count'!AO17</f>
        <v>721.07961488882222</v>
      </c>
      <c r="CD18" s="704">
        <f t="shared" si="95"/>
        <v>6161.8544907457499</v>
      </c>
      <c r="CE18" s="704">
        <f t="shared" si="93"/>
        <v>4443187.6631879052</v>
      </c>
      <c r="CF18" s="712"/>
      <c r="CG18" s="712"/>
      <c r="CH18" s="712"/>
      <c r="CI18" s="712"/>
      <c r="CJ18" s="703">
        <f t="shared" si="45"/>
        <v>2027</v>
      </c>
      <c r="CK18" s="704"/>
      <c r="CL18" s="704"/>
      <c r="CM18" s="704"/>
      <c r="CN18" s="704">
        <f ca="1">SUMIFS('WRZ Residential Normalized'!X:X,'WRZ Residential Normalized'!B:B,'Normalized Annual Summary'!CJ18)</f>
        <v>468402941.90159392</v>
      </c>
      <c r="CO18" s="704">
        <f ca="1">CDM!AF27</f>
        <v>20541187.711464174</v>
      </c>
      <c r="CP18" s="704">
        <f t="shared" ca="1" si="19"/>
        <v>447861754.19012976</v>
      </c>
      <c r="CQ18" s="704"/>
      <c r="CR18" s="704">
        <f t="shared" ca="1" si="20"/>
        <v>447861754.19012976</v>
      </c>
      <c r="CS18" s="712"/>
      <c r="CT18" s="703">
        <f t="shared" si="46"/>
        <v>2027</v>
      </c>
      <c r="CU18" s="704"/>
      <c r="CV18" s="704"/>
      <c r="CW18" s="704"/>
      <c r="CX18" s="704">
        <f ca="1">SUMIFS('WRZ GS &lt; 50 Normalized'!V:V,'WRZ GS &lt; 50 Normalized'!B:B,CT18)</f>
        <v>97925079.163123459</v>
      </c>
      <c r="CY18" s="704">
        <f ca="1">CDM!AG27</f>
        <v>2587209.6779302293</v>
      </c>
      <c r="CZ18" s="704">
        <f t="shared" ca="1" si="22"/>
        <v>95337869.485193223</v>
      </c>
      <c r="DA18" s="704"/>
      <c r="DB18" s="704">
        <f t="shared" ca="1" si="23"/>
        <v>95337869.485193223</v>
      </c>
      <c r="DC18" s="704"/>
      <c r="DD18" s="703">
        <f t="shared" si="47"/>
        <v>2027</v>
      </c>
      <c r="DE18" s="704"/>
      <c r="DF18" s="704"/>
      <c r="DG18" s="704"/>
      <c r="DH18" s="704">
        <f ca="1">SUMIFS('WRZ GS 50-2,999 Normalized'!T:T,'WRZ GS 50-2,999 Normalized'!B:B,'Normalized Annual Summary'!DD18)</f>
        <v>363576619.37133181</v>
      </c>
      <c r="DI18" s="704">
        <f ca="1">CDM!AH27</f>
        <v>32298361.425108843</v>
      </c>
      <c r="DJ18" s="704">
        <f t="shared" ca="1" si="25"/>
        <v>331278257.94622296</v>
      </c>
      <c r="DK18" s="704">
        <f>'Total Additional'!G47</f>
        <v>43922554.135554776</v>
      </c>
      <c r="DL18" s="704">
        <f t="shared" ca="1" si="26"/>
        <v>375200812.08177775</v>
      </c>
      <c r="DM18" s="704">
        <f t="shared" ca="1" si="61"/>
        <v>407499173.5068866</v>
      </c>
      <c r="DN18" s="704"/>
      <c r="DO18" s="703">
        <f t="shared" si="48"/>
        <v>2027</v>
      </c>
      <c r="DP18" s="704"/>
      <c r="DQ18" s="704"/>
      <c r="DR18" s="704"/>
      <c r="DS18" s="704">
        <f>SUMIFS('WRZ GS 3,000-4,999 Normalized'!O:O,'WRZ GS 3,000-4,999 Normalized'!B:B,'Normalized Annual Summary'!DO18)</f>
        <v>89675452.305524305</v>
      </c>
      <c r="DT18" s="704">
        <f ca="1">CDM!AI27</f>
        <v>7263712.3704899792</v>
      </c>
      <c r="DU18" s="704">
        <f t="shared" ca="1" si="28"/>
        <v>82411739.93503432</v>
      </c>
      <c r="DV18" s="704">
        <f>'Total Additional'!G48</f>
        <v>43431079.806463368</v>
      </c>
      <c r="DW18" s="704">
        <f t="shared" ca="1" si="29"/>
        <v>125842819.7414977</v>
      </c>
      <c r="DX18" s="704">
        <f t="shared" si="62"/>
        <v>133106532.11198768</v>
      </c>
      <c r="DY18" s="712"/>
      <c r="DZ18" s="703">
        <f t="shared" si="49"/>
        <v>2027</v>
      </c>
      <c r="EA18" s="704"/>
      <c r="EB18" s="704">
        <f>'Customer Count'!BN17</f>
        <v>14399.25707530191</v>
      </c>
      <c r="EC18" s="704">
        <f t="shared" ref="EC18:EC22" si="99">EC17</f>
        <v>270.50647796906918</v>
      </c>
      <c r="ED18" s="704">
        <f t="shared" si="51"/>
        <v>3895092.3168111197</v>
      </c>
      <c r="EE18" s="712"/>
      <c r="EF18" s="712"/>
      <c r="EG18" s="703">
        <f t="shared" si="52"/>
        <v>2027</v>
      </c>
      <c r="EH18" s="704"/>
      <c r="EI18" s="704">
        <f>'Customer Count'!BR17</f>
        <v>47.29121805523657</v>
      </c>
      <c r="EJ18" s="704">
        <f t="shared" ref="EJ18:EJ22" si="100">EJ17</f>
        <v>678.18913043478244</v>
      </c>
      <c r="EK18" s="704">
        <f t="shared" si="54"/>
        <v>32072.390050082573</v>
      </c>
      <c r="EL18" s="712"/>
      <c r="EM18" s="712"/>
      <c r="EN18" s="703">
        <f t="shared" si="55"/>
        <v>2027</v>
      </c>
      <c r="EO18" s="704"/>
      <c r="EP18" s="704">
        <f>'Customer Count'!BV17</f>
        <v>393.11588603135527</v>
      </c>
      <c r="EQ18" s="704">
        <f t="shared" si="96"/>
        <v>4951.1033943217662</v>
      </c>
      <c r="ER18" s="704">
        <f t="shared" si="94"/>
        <v>1946357.3976916517</v>
      </c>
    </row>
    <row r="19" spans="2:150" s="711" customFormat="1">
      <c r="B19" s="703">
        <f>B18+1</f>
        <v>2028</v>
      </c>
      <c r="C19" s="704"/>
      <c r="D19" s="704"/>
      <c r="E19" s="704"/>
      <c r="F19" s="704">
        <f ca="1">SUMIFS('VRZ Residential Normalized'!X:X,'VRZ Residential Normalized'!B:B,B19)</f>
        <v>1242326214.5491366</v>
      </c>
      <c r="G19" s="704">
        <f ca="1">CDM!W28</f>
        <v>46387182.929008655</v>
      </c>
      <c r="H19" s="704">
        <f ca="1">F19-G19</f>
        <v>1195939031.6201279</v>
      </c>
      <c r="I19" s="704"/>
      <c r="J19" s="704">
        <f ca="1">H19+I19</f>
        <v>1195939031.6201279</v>
      </c>
      <c r="K19" s="712"/>
      <c r="L19" s="703">
        <f>L18+1</f>
        <v>2028</v>
      </c>
      <c r="M19" s="704"/>
      <c r="N19" s="704"/>
      <c r="O19" s="704"/>
      <c r="P19" s="704">
        <f ca="1">SUMIFS('VRZ Seasonal Normalized'!V:V,'VRZ Seasonal Normalized'!B:B,L19)</f>
        <v>14936537.187027877</v>
      </c>
      <c r="Q19" s="704">
        <f ca="1">CDM!X28</f>
        <v>531303.65624098026</v>
      </c>
      <c r="R19" s="704">
        <f t="shared" ca="1" si="4"/>
        <v>14405233.530786896</v>
      </c>
      <c r="S19" s="704"/>
      <c r="T19" s="704">
        <f ca="1">R19+S19</f>
        <v>14405233.530786896</v>
      </c>
      <c r="U19" s="712"/>
      <c r="V19" s="703">
        <f>V18+1</f>
        <v>2028</v>
      </c>
      <c r="W19" s="704"/>
      <c r="X19" s="704"/>
      <c r="Y19" s="704"/>
      <c r="Z19" s="704">
        <f ca="1">SUMIFS('VRZ GS &lt; 50 Normalized'!T:T,'VRZ GS &lt; 50 Normalized'!B:B,V19)</f>
        <v>313468693.02485758</v>
      </c>
      <c r="AA19" s="704">
        <f ca="1">CDM!Y28</f>
        <v>14401490.09286269</v>
      </c>
      <c r="AB19" s="704">
        <f t="shared" ca="1" si="7"/>
        <v>299067202.93199492</v>
      </c>
      <c r="AC19" s="704"/>
      <c r="AD19" s="704">
        <f ca="1">AB19+AC19</f>
        <v>299067202.93199492</v>
      </c>
      <c r="AE19" s="704"/>
      <c r="AF19" s="703">
        <f>AF18+1</f>
        <v>2028</v>
      </c>
      <c r="AG19" s="704"/>
      <c r="AH19" s="704"/>
      <c r="AI19" s="704"/>
      <c r="AJ19" s="704">
        <f ca="1">SUMIFS('VRZ GS 50-2,999 Normalized'!V:V,'VRZ GS 50-2,999 Normalized'!B:B,AF19)</f>
        <v>1031973820.2636802</v>
      </c>
      <c r="AK19" s="704">
        <f ca="1">CDM!Z28</f>
        <v>68459276.931112111</v>
      </c>
      <c r="AL19" s="704">
        <f t="shared" ca="1" si="10"/>
        <v>963514543.33256817</v>
      </c>
      <c r="AM19" s="704">
        <f>'Total Additional'!H21</f>
        <v>130123374.4617451</v>
      </c>
      <c r="AN19" s="704">
        <f ca="1">AL19+AM19</f>
        <v>1093637917.7943132</v>
      </c>
      <c r="AO19" s="704">
        <f t="shared" ca="1" si="58"/>
        <v>1162097194.7254252</v>
      </c>
      <c r="AP19" s="704"/>
      <c r="AQ19" s="703">
        <f>AQ18+1</f>
        <v>2028</v>
      </c>
      <c r="AR19" s="704"/>
      <c r="AS19" s="704"/>
      <c r="AT19" s="704"/>
      <c r="AU19" s="704">
        <f>SUMIFS('VRZ GS 3,000-4,999 Normalized'!M:M,'VRZ GS 3,000-4,999 Normalized'!B:B,'Normalized Annual Summary'!AQ19)</f>
        <v>110335736.61070818</v>
      </c>
      <c r="AV19" s="704">
        <f ca="1">CDM!AA28</f>
        <v>3635483.2122286302</v>
      </c>
      <c r="AW19" s="704">
        <f t="shared" ca="1" si="13"/>
        <v>106700253.39847955</v>
      </c>
      <c r="AX19" s="704">
        <f>'Total Additional'!H22</f>
        <v>93713638.641388759</v>
      </c>
      <c r="AY19" s="704">
        <f ca="1">AW19+AX19</f>
        <v>200413892.0398683</v>
      </c>
      <c r="AZ19" s="704">
        <f t="shared" si="59"/>
        <v>204049375.25209695</v>
      </c>
      <c r="BA19" s="704"/>
      <c r="BB19" s="703">
        <f>BB18+1</f>
        <v>2028</v>
      </c>
      <c r="BC19" s="704"/>
      <c r="BD19" s="704"/>
      <c r="BE19" s="704"/>
      <c r="BF19" s="704">
        <f>SUMIFS('VRZ Large Use Normalized'!Q:Q,'VRZ Large Use Normalized'!B:B,'Normalized Annual Summary'!BB19)</f>
        <v>355245111.58071363</v>
      </c>
      <c r="BG19" s="704">
        <f ca="1">CDM!AB28</f>
        <v>16253142.03059708</v>
      </c>
      <c r="BH19" s="704">
        <f t="shared" ca="1" si="16"/>
        <v>338991969.55011654</v>
      </c>
      <c r="BI19" s="704">
        <f>'Total Additional'!H23</f>
        <v>191849663.51649636</v>
      </c>
      <c r="BJ19" s="704">
        <f ca="1">BH19+BI19</f>
        <v>530841633.0666129</v>
      </c>
      <c r="BK19" s="704">
        <f t="shared" si="60"/>
        <v>547094775.09720993</v>
      </c>
      <c r="BL19" s="712"/>
      <c r="BM19" s="703">
        <f>BM18+1</f>
        <v>2028</v>
      </c>
      <c r="BN19" s="704"/>
      <c r="BO19" s="704">
        <f>'Customer Count'!AG18</f>
        <v>34083.480231366098</v>
      </c>
      <c r="BP19" s="704">
        <f t="shared" si="97"/>
        <v>371.19050852120051</v>
      </c>
      <c r="BQ19" s="704">
        <f t="shared" si="38"/>
        <v>12651464.359253068</v>
      </c>
      <c r="BR19" s="712"/>
      <c r="BS19" s="712"/>
      <c r="BT19" s="703">
        <f>BT18+1</f>
        <v>2028</v>
      </c>
      <c r="BU19" s="704"/>
      <c r="BV19" s="704">
        <f>'Customer Count'!AK18</f>
        <v>222.56900892808551</v>
      </c>
      <c r="BW19" s="704">
        <f t="shared" si="98"/>
        <v>909.49886343766343</v>
      </c>
      <c r="BX19" s="704">
        <f t="shared" si="41"/>
        <v>202426.26065654092</v>
      </c>
      <c r="BY19" s="712"/>
      <c r="BZ19" s="712"/>
      <c r="CA19" s="703">
        <f>CA18+1</f>
        <v>2028</v>
      </c>
      <c r="CB19" s="704"/>
      <c r="CC19" s="704">
        <f>'Customer Count'!AO18</f>
        <v>711.12749753009541</v>
      </c>
      <c r="CD19" s="704">
        <f t="shared" si="95"/>
        <v>6161.8544907457499</v>
      </c>
      <c r="CE19" s="704">
        <f t="shared" si="93"/>
        <v>4381864.1641486054</v>
      </c>
      <c r="CF19" s="712"/>
      <c r="CG19" s="712"/>
      <c r="CH19" s="712"/>
      <c r="CI19" s="712"/>
      <c r="CJ19" s="703">
        <f>CJ18+1</f>
        <v>2028</v>
      </c>
      <c r="CK19" s="704"/>
      <c r="CL19" s="704"/>
      <c r="CM19" s="704"/>
      <c r="CN19" s="704">
        <f ca="1">SUMIFS('WRZ Residential Normalized'!X:X,'WRZ Residential Normalized'!B:B,'Normalized Annual Summary'!CJ19)</f>
        <v>479840998.31363481</v>
      </c>
      <c r="CO19" s="704">
        <f ca="1">CDM!AF28</f>
        <v>20464127.002367388</v>
      </c>
      <c r="CP19" s="704">
        <f ca="1">CN19-CO19</f>
        <v>459376871.31126744</v>
      </c>
      <c r="CQ19" s="704"/>
      <c r="CR19" s="704">
        <f ca="1">CP19+CQ19</f>
        <v>459376871.31126744</v>
      </c>
      <c r="CS19" s="712"/>
      <c r="CT19" s="703">
        <f>CT18+1</f>
        <v>2028</v>
      </c>
      <c r="CU19" s="704"/>
      <c r="CV19" s="704"/>
      <c r="CW19" s="704"/>
      <c r="CX19" s="704">
        <f ca="1">SUMIFS('WRZ GS &lt; 50 Normalized'!V:V,'WRZ GS &lt; 50 Normalized'!B:B,CT19)</f>
        <v>98790896.532085583</v>
      </c>
      <c r="CY19" s="704">
        <f ca="1">CDM!AG28</f>
        <v>2429927.7266018046</v>
      </c>
      <c r="CZ19" s="704">
        <f t="shared" ca="1" si="22"/>
        <v>96360968.805483773</v>
      </c>
      <c r="DA19" s="704"/>
      <c r="DB19" s="704">
        <f ca="1">CZ19+DA19</f>
        <v>96360968.805483773</v>
      </c>
      <c r="DC19" s="704"/>
      <c r="DD19" s="703">
        <f>DD18+1</f>
        <v>2028</v>
      </c>
      <c r="DE19" s="704"/>
      <c r="DF19" s="704"/>
      <c r="DG19" s="704"/>
      <c r="DH19" s="704">
        <f ca="1">SUMIFS('WRZ GS 50-2,999 Normalized'!T:T,'WRZ GS 50-2,999 Normalized'!B:B,'Normalized Annual Summary'!DD19)</f>
        <v>363465105.48704308</v>
      </c>
      <c r="DI19" s="704">
        <f ca="1">CDM!AH28</f>
        <v>30915246.026042618</v>
      </c>
      <c r="DJ19" s="704">
        <f t="shared" ca="1" si="25"/>
        <v>332549859.46100044</v>
      </c>
      <c r="DK19" s="704">
        <f>'Total Additional'!H47</f>
        <v>53555995.286292247</v>
      </c>
      <c r="DL19" s="704">
        <f ca="1">DJ19+DK19</f>
        <v>386105854.7472927</v>
      </c>
      <c r="DM19" s="704">
        <f t="shared" ca="1" si="61"/>
        <v>417021100.77333534</v>
      </c>
      <c r="DN19" s="704"/>
      <c r="DO19" s="703">
        <f>DO18+1</f>
        <v>2028</v>
      </c>
      <c r="DP19" s="704"/>
      <c r="DQ19" s="704"/>
      <c r="DR19" s="704"/>
      <c r="DS19" s="704">
        <f>SUMIFS('WRZ GS 3,000-4,999 Normalized'!O:O,'WRZ GS 3,000-4,999 Normalized'!B:B,'Normalized Annual Summary'!DO19)</f>
        <v>89510763.82266283</v>
      </c>
      <c r="DT19" s="704">
        <f ca="1">CDM!AI28</f>
        <v>6952727.4831439583</v>
      </c>
      <c r="DU19" s="704">
        <f t="shared" ca="1" si="28"/>
        <v>82558036.339518875</v>
      </c>
      <c r="DV19" s="704">
        <f>'Total Additional'!H48</f>
        <v>49394270.598075524</v>
      </c>
      <c r="DW19" s="704">
        <f ca="1">DU19+DV19</f>
        <v>131952306.9375944</v>
      </c>
      <c r="DX19" s="704">
        <f t="shared" si="62"/>
        <v>138905034.42073834</v>
      </c>
      <c r="DY19" s="712"/>
      <c r="DZ19" s="703">
        <f>DZ18+1</f>
        <v>2028</v>
      </c>
      <c r="EA19" s="704"/>
      <c r="EB19" s="704">
        <f>'Customer Count'!BN18</f>
        <v>14637.337340458451</v>
      </c>
      <c r="EC19" s="704">
        <f t="shared" si="99"/>
        <v>270.50647796906918</v>
      </c>
      <c r="ED19" s="704">
        <f t="shared" si="51"/>
        <v>3959494.5708125578</v>
      </c>
      <c r="EE19" s="712"/>
      <c r="EF19" s="712"/>
      <c r="EG19" s="703">
        <f>EG18+1</f>
        <v>2028</v>
      </c>
      <c r="EH19" s="704"/>
      <c r="EI19" s="704">
        <f>'Customer Count'!BR18</f>
        <v>47.918457591147735</v>
      </c>
      <c r="EJ19" s="704">
        <f t="shared" si="100"/>
        <v>678.18913043478244</v>
      </c>
      <c r="EK19" s="704">
        <f t="shared" si="54"/>
        <v>32497.777085516482</v>
      </c>
      <c r="EL19" s="712"/>
      <c r="EM19" s="712"/>
      <c r="EN19" s="703">
        <f>EN18+1</f>
        <v>2028</v>
      </c>
      <c r="EO19" s="704"/>
      <c r="EP19" s="704">
        <f>'Customer Count'!BV18</f>
        <v>395.14696435994671</v>
      </c>
      <c r="EQ19" s="704">
        <f t="shared" si="96"/>
        <v>4951.1033943217662</v>
      </c>
      <c r="ER19" s="704">
        <f t="shared" si="94"/>
        <v>1956413.4764984741</v>
      </c>
    </row>
    <row r="20" spans="2:150" s="711" customFormat="1">
      <c r="B20" s="703">
        <f t="shared" ref="B20:B21" si="101">B19+1</f>
        <v>2029</v>
      </c>
      <c r="C20" s="703"/>
      <c r="D20" s="703"/>
      <c r="E20" s="703"/>
      <c r="F20" s="704">
        <f ca="1">SUMIFS('VRZ Residential Normalized'!X:X,'VRZ Residential Normalized'!B:B,B20)</f>
        <v>1273974581.6469772</v>
      </c>
      <c r="G20" s="704">
        <f ca="1">CDM!W29</f>
        <v>46101197.414687872</v>
      </c>
      <c r="H20" s="704">
        <f ca="1">F20-G20</f>
        <v>1227873384.2322893</v>
      </c>
      <c r="I20" s="704"/>
      <c r="J20" s="704">
        <f t="shared" ref="J20:J21" ca="1" si="102">H20+I20</f>
        <v>1227873384.2322893</v>
      </c>
      <c r="K20" s="713"/>
      <c r="L20" s="703">
        <f t="shared" ref="L20:L21" si="103">L19+1</f>
        <v>2029</v>
      </c>
      <c r="M20" s="703"/>
      <c r="N20" s="703"/>
      <c r="O20" s="703"/>
      <c r="P20" s="704">
        <f ca="1">SUMIFS('VRZ Seasonal Normalized'!V:V,'VRZ Seasonal Normalized'!B:B,L20)</f>
        <v>15491957.929152679</v>
      </c>
      <c r="Q20" s="704">
        <f ca="1">CDM!X29</f>
        <v>528028.04305496975</v>
      </c>
      <c r="R20" s="704">
        <f t="shared" ca="1" si="4"/>
        <v>14963929.886097709</v>
      </c>
      <c r="S20" s="704"/>
      <c r="T20" s="704">
        <f t="shared" ref="T20:T21" ca="1" si="104">R20+S20</f>
        <v>14963929.886097709</v>
      </c>
      <c r="U20" s="712"/>
      <c r="V20" s="703">
        <f t="shared" ref="V20:V21" si="105">V19+1</f>
        <v>2029</v>
      </c>
      <c r="W20" s="703"/>
      <c r="X20" s="703"/>
      <c r="Y20" s="703"/>
      <c r="Z20" s="704">
        <f ca="1">SUMIFS('VRZ GS &lt; 50 Normalized'!T:T,'VRZ GS &lt; 50 Normalized'!B:B,V20)</f>
        <v>316563216.72317541</v>
      </c>
      <c r="AA20" s="704">
        <f ca="1">CDM!Y29</f>
        <v>12927193.308932692</v>
      </c>
      <c r="AB20" s="704">
        <f ca="1">Z20-AA20</f>
        <v>303636023.41424274</v>
      </c>
      <c r="AC20" s="704"/>
      <c r="AD20" s="704">
        <f t="shared" ref="AD20:AD21" ca="1" si="106">AB20+AC20</f>
        <v>303636023.41424274</v>
      </c>
      <c r="AE20" s="704"/>
      <c r="AF20" s="703">
        <f t="shared" ref="AF20:AF21" si="107">AF19+1</f>
        <v>2029</v>
      </c>
      <c r="AG20" s="703"/>
      <c r="AH20" s="703"/>
      <c r="AI20" s="703"/>
      <c r="AJ20" s="704">
        <f ca="1">SUMIFS('VRZ GS 50-2,999 Normalized'!V:V,'VRZ GS 50-2,999 Normalized'!B:B,AF20)</f>
        <v>1039957126.7463381</v>
      </c>
      <c r="AK20" s="704">
        <f ca="1">CDM!Z29</f>
        <v>60897439.982127123</v>
      </c>
      <c r="AL20" s="704">
        <f ca="1">AJ20-AK20</f>
        <v>979059686.76421106</v>
      </c>
      <c r="AM20" s="704">
        <f>'Total Additional'!I21</f>
        <v>137454982.27387628</v>
      </c>
      <c r="AN20" s="704">
        <f t="shared" ref="AN20:AN21" ca="1" si="108">AL20+AM20</f>
        <v>1116514669.0380874</v>
      </c>
      <c r="AO20" s="704">
        <f t="shared" ca="1" si="58"/>
        <v>1177412109.0202143</v>
      </c>
      <c r="AP20" s="704"/>
      <c r="AQ20" s="703">
        <f t="shared" ref="AQ20:AQ21" si="109">AQ19+1</f>
        <v>2029</v>
      </c>
      <c r="AR20" s="703"/>
      <c r="AS20" s="703"/>
      <c r="AT20" s="703"/>
      <c r="AU20" s="704">
        <f>SUMIFS('VRZ GS 3,000-4,999 Normalized'!M:M,'VRZ GS 3,000-4,999 Normalized'!B:B,'Normalized Annual Summary'!AQ20)</f>
        <v>112907385.54155092</v>
      </c>
      <c r="AV20" s="704">
        <f ca="1">CDM!AA29</f>
        <v>3157980.5690414892</v>
      </c>
      <c r="AW20" s="704">
        <f ca="1">AU20-AV20</f>
        <v>109749404.97250943</v>
      </c>
      <c r="AX20" s="704">
        <f>'Total Additional'!I22</f>
        <v>96944177.079095483</v>
      </c>
      <c r="AY20" s="704">
        <f t="shared" ref="AY20:AY21" ca="1" si="110">AW20+AX20</f>
        <v>206693582.05160493</v>
      </c>
      <c r="AZ20" s="704">
        <f t="shared" si="59"/>
        <v>209851562.62064642</v>
      </c>
      <c r="BA20" s="704"/>
      <c r="BB20" s="703">
        <f t="shared" ref="BB20:BB21" si="111">BB19+1</f>
        <v>2029</v>
      </c>
      <c r="BC20" s="703"/>
      <c r="BD20" s="703"/>
      <c r="BE20" s="703"/>
      <c r="BF20" s="704">
        <f>SUMIFS('VRZ Large Use Normalized'!Q:Q,'VRZ Large Use Normalized'!B:B,'Normalized Annual Summary'!BB20)</f>
        <v>368736844.88959515</v>
      </c>
      <c r="BG20" s="704">
        <f ca="1">CDM!AB29</f>
        <v>13611951.029143259</v>
      </c>
      <c r="BH20" s="704">
        <f ca="1">BF20-BG20</f>
        <v>355124893.86045188</v>
      </c>
      <c r="BI20" s="704">
        <f>'Total Additional'!I23</f>
        <v>255361702.73615021</v>
      </c>
      <c r="BJ20" s="704">
        <f t="shared" ref="BJ20" ca="1" si="112">BH20+BI20</f>
        <v>610486596.59660208</v>
      </c>
      <c r="BK20" s="704">
        <f t="shared" si="60"/>
        <v>624098547.6257453</v>
      </c>
      <c r="BL20" s="712"/>
      <c r="BM20" s="703">
        <f t="shared" ref="BM20:BM21" si="113">BM19+1</f>
        <v>2029</v>
      </c>
      <c r="BN20" s="703"/>
      <c r="BO20" s="704">
        <f>'Customer Count'!AG19</f>
        <v>34433.816912814502</v>
      </c>
      <c r="BP20" s="704">
        <f t="shared" si="97"/>
        <v>371.19050852120051</v>
      </c>
      <c r="BQ20" s="704">
        <f t="shared" si="38"/>
        <v>12781506.01019353</v>
      </c>
      <c r="BR20" s="712"/>
      <c r="BS20" s="712"/>
      <c r="BT20" s="703">
        <f t="shared" ref="BT20:BT21" si="114">BT19+1</f>
        <v>2029</v>
      </c>
      <c r="BU20" s="703"/>
      <c r="BV20" s="704">
        <f>'Customer Count'!AK19</f>
        <v>218.80319090756225</v>
      </c>
      <c r="BW20" s="704">
        <f t="shared" si="98"/>
        <v>909.49886343766343</v>
      </c>
      <c r="BX20" s="704">
        <f t="shared" si="41"/>
        <v>199001.25344696196</v>
      </c>
      <c r="BY20" s="712"/>
      <c r="BZ20" s="712"/>
      <c r="CA20" s="703">
        <f t="shared" ref="CA20:CA21" si="115">CA19+1</f>
        <v>2029</v>
      </c>
      <c r="CB20" s="703"/>
      <c r="CC20" s="704">
        <f>'Customer Count'!AO19</f>
        <v>701.31273621066964</v>
      </c>
      <c r="CD20" s="704">
        <f t="shared" si="95"/>
        <v>6161.8544907457499</v>
      </c>
      <c r="CE20" s="704">
        <f>CD20*CC20</f>
        <v>4321387.0330369044</v>
      </c>
      <c r="CF20" s="712"/>
      <c r="CG20" s="712"/>
      <c r="CH20" s="712"/>
      <c r="CI20" s="712"/>
      <c r="CJ20" s="703">
        <f t="shared" ref="CJ20:CJ21" si="116">CJ19+1</f>
        <v>2029</v>
      </c>
      <c r="CK20" s="703"/>
      <c r="CL20" s="703"/>
      <c r="CM20" s="703"/>
      <c r="CN20" s="704">
        <f ca="1">SUMIFS('WRZ Residential Normalized'!X:X,'WRZ Residential Normalized'!B:B,'Normalized Annual Summary'!CJ20)</f>
        <v>492727271.88186651</v>
      </c>
      <c r="CO20" s="704">
        <f ca="1">CDM!AF29</f>
        <v>20426022.615645766</v>
      </c>
      <c r="CP20" s="704">
        <f ca="1">CN20-CO20</f>
        <v>472301249.26622075</v>
      </c>
      <c r="CQ20" s="704"/>
      <c r="CR20" s="704">
        <f t="shared" ref="CR20:CR21" ca="1" si="117">CP20+CQ20</f>
        <v>472301249.26622075</v>
      </c>
      <c r="CS20" s="713"/>
      <c r="CT20" s="703">
        <f t="shared" ref="CT20:CT21" si="118">CT19+1</f>
        <v>2029</v>
      </c>
      <c r="CU20" s="703"/>
      <c r="CV20" s="703"/>
      <c r="CW20" s="703"/>
      <c r="CX20" s="704">
        <f ca="1">SUMIFS('WRZ GS &lt; 50 Normalized'!V:V,'WRZ GS &lt; 50 Normalized'!B:B,CT20)</f>
        <v>99905288.376930594</v>
      </c>
      <c r="CY20" s="704">
        <f ca="1">CDM!AG29</f>
        <v>2249740.6572309947</v>
      </c>
      <c r="CZ20" s="704">
        <f ca="1">CX20-CY20</f>
        <v>97655547.719699606</v>
      </c>
      <c r="DA20" s="704"/>
      <c r="DB20" s="704">
        <f t="shared" ref="DB20:DB21" ca="1" si="119">CZ20+DA20</f>
        <v>97655547.719699606</v>
      </c>
      <c r="DC20" s="704"/>
      <c r="DD20" s="703">
        <f t="shared" ref="DD20:DD21" si="120">DD19+1</f>
        <v>2029</v>
      </c>
      <c r="DE20" s="703"/>
      <c r="DF20" s="703"/>
      <c r="DG20" s="703"/>
      <c r="DH20" s="704">
        <f ca="1">SUMIFS('WRZ GS 50-2,999 Normalized'!T:T,'WRZ GS 50-2,999 Normalized'!B:B,'Normalized Annual Summary'!DD20)</f>
        <v>363801912.38467926</v>
      </c>
      <c r="DI20" s="704">
        <f ca="1">CDM!AH29</f>
        <v>27630078.657191455</v>
      </c>
      <c r="DJ20" s="704">
        <f ca="1">DH20-DI20</f>
        <v>336171833.7274878</v>
      </c>
      <c r="DK20" s="704">
        <f>'Total Additional'!I47</f>
        <v>63151747.083923563</v>
      </c>
      <c r="DL20" s="704">
        <f t="shared" ref="DL20:DL21" ca="1" si="121">DJ20+DK20</f>
        <v>399323580.81141138</v>
      </c>
      <c r="DM20" s="704">
        <f t="shared" ca="1" si="61"/>
        <v>426953659.46860284</v>
      </c>
      <c r="DN20" s="704"/>
      <c r="DO20" s="703">
        <f t="shared" ref="DO20:DO21" si="122">DO19+1</f>
        <v>2029</v>
      </c>
      <c r="DP20" s="703"/>
      <c r="DQ20" s="703"/>
      <c r="DR20" s="703"/>
      <c r="DS20" s="704">
        <f>SUMIFS('WRZ GS 3,000-4,999 Normalized'!O:O,'WRZ GS 3,000-4,999 Normalized'!B:B,'Normalized Annual Summary'!DO20)</f>
        <v>89547892.592215851</v>
      </c>
      <c r="DT20" s="704">
        <f ca="1">CDM!AI29</f>
        <v>6214102.9073612718</v>
      </c>
      <c r="DU20" s="704">
        <f ca="1">DS20-DT20</f>
        <v>83333789.684854582</v>
      </c>
      <c r="DV20" s="704">
        <f>'Total Additional'!I48</f>
        <v>54513896.496231042</v>
      </c>
      <c r="DW20" s="704">
        <f t="shared" ref="DW20:DW21" ca="1" si="123">DU20+DV20</f>
        <v>137847686.18108562</v>
      </c>
      <c r="DX20" s="704">
        <f t="shared" si="62"/>
        <v>144061789.08844689</v>
      </c>
      <c r="DY20" s="712"/>
      <c r="DZ20" s="703">
        <f t="shared" ref="DZ20:DZ21" si="124">DZ19+1</f>
        <v>2029</v>
      </c>
      <c r="EA20" s="703"/>
      <c r="EB20" s="704">
        <f>'Customer Count'!BN19</f>
        <v>14879.354073473061</v>
      </c>
      <c r="EC20" s="704">
        <f t="shared" si="99"/>
        <v>270.50647796906918</v>
      </c>
      <c r="ED20" s="704">
        <f t="shared" si="51"/>
        <v>4024961.6648699204</v>
      </c>
      <c r="EE20" s="712"/>
      <c r="EF20" s="712"/>
      <c r="EG20" s="703">
        <f t="shared" ref="EG20:EG21" si="125">EG19+1</f>
        <v>2029</v>
      </c>
      <c r="EH20" s="703"/>
      <c r="EI20" s="704">
        <f>'Customer Count'!BR19</f>
        <v>48.554016418707313</v>
      </c>
      <c r="EJ20" s="704">
        <f t="shared" si="100"/>
        <v>678.18913043478244</v>
      </c>
      <c r="EK20" s="704">
        <f t="shared" si="54"/>
        <v>32928.806174119265</v>
      </c>
      <c r="EL20" s="712"/>
      <c r="EM20" s="712"/>
      <c r="EN20" s="703">
        <f t="shared" ref="EN20:EN21" si="126">EN19+1</f>
        <v>2029</v>
      </c>
      <c r="EO20" s="703"/>
      <c r="EP20" s="704">
        <f>'Customer Count'!BV19</f>
        <v>397.18853648775479</v>
      </c>
      <c r="EQ20" s="704">
        <f t="shared" si="96"/>
        <v>4951.1033943217662</v>
      </c>
      <c r="ER20" s="704">
        <f>EQ20*EP20</f>
        <v>1966521.5111902175</v>
      </c>
    </row>
    <row r="21" spans="2:150" s="711" customFormat="1">
      <c r="B21" s="703">
        <f t="shared" si="101"/>
        <v>2030</v>
      </c>
      <c r="C21" s="703"/>
      <c r="D21" s="703"/>
      <c r="E21" s="703"/>
      <c r="F21" s="704">
        <f ca="1">SUMIFS('VRZ Residential Normalized'!X:X,'VRZ Residential Normalized'!B:B,B21)</f>
        <v>1309083066.8393183</v>
      </c>
      <c r="G21" s="704">
        <f ca="1">CDM!W30</f>
        <v>43156994.328947246</v>
      </c>
      <c r="H21" s="704">
        <f ca="1">F21-G21</f>
        <v>1265926072.510371</v>
      </c>
      <c r="I21" s="704"/>
      <c r="J21" s="704">
        <f t="shared" ca="1" si="102"/>
        <v>1265926072.510371</v>
      </c>
      <c r="K21" s="712"/>
      <c r="L21" s="703">
        <f t="shared" si="103"/>
        <v>2030</v>
      </c>
      <c r="M21" s="703"/>
      <c r="N21" s="703"/>
      <c r="O21" s="703"/>
      <c r="P21" s="704">
        <f ca="1">SUMIFS('VRZ Seasonal Normalized'!V:V,'VRZ Seasonal Normalized'!B:B,L21)</f>
        <v>16103206.760842895</v>
      </c>
      <c r="Q21" s="704">
        <f ca="1">CDM!X30</f>
        <v>494305.72108931164</v>
      </c>
      <c r="R21" s="704">
        <f t="shared" ca="1" si="4"/>
        <v>15608901.039753584</v>
      </c>
      <c r="S21" s="704"/>
      <c r="T21" s="704">
        <f t="shared" ca="1" si="104"/>
        <v>15608901.039753584</v>
      </c>
      <c r="U21" s="712"/>
      <c r="V21" s="703">
        <f t="shared" si="105"/>
        <v>2030</v>
      </c>
      <c r="W21" s="703"/>
      <c r="X21" s="703"/>
      <c r="Y21" s="703"/>
      <c r="Z21" s="704">
        <f ca="1">SUMIFS('VRZ GS &lt; 50 Normalized'!T:T,'VRZ GS &lt; 50 Normalized'!B:B,V21)</f>
        <v>320341038.31779039</v>
      </c>
      <c r="AA21" s="704">
        <f ca="1">CDM!Y30</f>
        <v>11751203.136852752</v>
      </c>
      <c r="AB21" s="704">
        <f ca="1">Z21-AA21</f>
        <v>308589835.18093765</v>
      </c>
      <c r="AC21" s="704"/>
      <c r="AD21" s="704">
        <f t="shared" ca="1" si="106"/>
        <v>308589835.18093765</v>
      </c>
      <c r="AE21" s="704"/>
      <c r="AF21" s="703">
        <f t="shared" si="107"/>
        <v>2030</v>
      </c>
      <c r="AG21" s="703"/>
      <c r="AH21" s="703"/>
      <c r="AI21" s="703"/>
      <c r="AJ21" s="704">
        <f ca="1">SUMIFS('VRZ GS 50-2,999 Normalized'!V:V,'VRZ GS 50-2,999 Normalized'!B:B,AF21)</f>
        <v>1049706437.5397798</v>
      </c>
      <c r="AK21" s="704">
        <f ca="1">CDM!Z30</f>
        <v>55454861.583945863</v>
      </c>
      <c r="AL21" s="704">
        <f ca="1">AJ21-AK21</f>
        <v>994251575.95583391</v>
      </c>
      <c r="AM21" s="704">
        <f>'Total Additional'!J21</f>
        <v>139743251.04785353</v>
      </c>
      <c r="AN21" s="704">
        <f t="shared" ca="1" si="108"/>
        <v>1133994827.0036874</v>
      </c>
      <c r="AO21" s="704">
        <f t="shared" ca="1" si="58"/>
        <v>1189449688.5876334</v>
      </c>
      <c r="AP21" s="704"/>
      <c r="AQ21" s="703">
        <f t="shared" si="109"/>
        <v>2030</v>
      </c>
      <c r="AR21" s="703"/>
      <c r="AS21" s="703"/>
      <c r="AT21" s="703"/>
      <c r="AU21" s="704">
        <f>SUMIFS('VRZ GS 3,000-4,999 Normalized'!M:M,'VRZ GS 3,000-4,999 Normalized'!B:B,'Normalized Annual Summary'!AQ21)</f>
        <v>115536066.69952179</v>
      </c>
      <c r="AV21" s="704">
        <f ca="1">CDM!AA30</f>
        <v>2960085.3455208577</v>
      </c>
      <c r="AW21" s="704">
        <f ca="1">AU21-AV21</f>
        <v>112575981.35400094</v>
      </c>
      <c r="AX21" s="704">
        <f>'Total Additional'!J22</f>
        <v>99586991.054038703</v>
      </c>
      <c r="AY21" s="704">
        <f t="shared" ca="1" si="110"/>
        <v>212162972.40803963</v>
      </c>
      <c r="AZ21" s="704">
        <f t="shared" si="59"/>
        <v>215123057.75356048</v>
      </c>
      <c r="BA21" s="704"/>
      <c r="BB21" s="703">
        <f t="shared" si="111"/>
        <v>2030</v>
      </c>
      <c r="BC21" s="703"/>
      <c r="BD21" s="703"/>
      <c r="BE21" s="703"/>
      <c r="BF21" s="704">
        <f>SUMIFS('VRZ Large Use Normalized'!Q:Q,'VRZ Large Use Normalized'!B:B,'Normalized Annual Summary'!BB21)</f>
        <v>382486378.40070462</v>
      </c>
      <c r="BG21" s="704">
        <f ca="1">CDM!AB30</f>
        <v>12575352.747192459</v>
      </c>
      <c r="BH21" s="704">
        <f ca="1">BF21-BG21</f>
        <v>369911025.65351218</v>
      </c>
      <c r="BI21" s="704">
        <f>'Total Additional'!J23</f>
        <v>275605893.80518705</v>
      </c>
      <c r="BJ21" s="704">
        <f ca="1">BH21+BI21</f>
        <v>645516919.45869923</v>
      </c>
      <c r="BK21" s="704">
        <f t="shared" si="60"/>
        <v>658092272.20589161</v>
      </c>
      <c r="BL21" s="712"/>
      <c r="BM21" s="703">
        <f t="shared" si="113"/>
        <v>2030</v>
      </c>
      <c r="BN21" s="703"/>
      <c r="BO21" s="704">
        <f>'Customer Count'!AG20</f>
        <v>34787.754628826726</v>
      </c>
      <c r="BP21" s="704">
        <f t="shared" si="97"/>
        <v>371.19050852120051</v>
      </c>
      <c r="BQ21" s="704">
        <f t="shared" si="38"/>
        <v>12912884.330984939</v>
      </c>
      <c r="BR21" s="712"/>
      <c r="BS21" s="712"/>
      <c r="BT21" s="703">
        <f t="shared" si="114"/>
        <v>2030</v>
      </c>
      <c r="BU21" s="703"/>
      <c r="BV21" s="704">
        <f>'Customer Count'!AK20</f>
        <v>215.10108968854698</v>
      </c>
      <c r="BW21" s="704">
        <f t="shared" si="98"/>
        <v>909.49886343766343</v>
      </c>
      <c r="BX21" s="704">
        <f t="shared" si="41"/>
        <v>195634.19659593637</v>
      </c>
      <c r="BY21" s="712"/>
      <c r="BZ21" s="712"/>
      <c r="CA21" s="703">
        <f t="shared" si="115"/>
        <v>2030</v>
      </c>
      <c r="CB21" s="703"/>
      <c r="CC21" s="704">
        <f>'Customer Count'!AO20</f>
        <v>691.63343518506156</v>
      </c>
      <c r="CD21" s="704">
        <f t="shared" si="95"/>
        <v>6161.8544907457499</v>
      </c>
      <c r="CE21" s="704">
        <f>CD21*CC21</f>
        <v>4261744.5885449816</v>
      </c>
      <c r="CF21" s="712"/>
      <c r="CG21" s="714"/>
      <c r="CH21" s="712"/>
      <c r="CI21" s="712"/>
      <c r="CJ21" s="703">
        <f t="shared" si="116"/>
        <v>2030</v>
      </c>
      <c r="CK21" s="703"/>
      <c r="CL21" s="703"/>
      <c r="CM21" s="703"/>
      <c r="CN21" s="704">
        <f ca="1">SUMIFS('WRZ Residential Normalized'!X:X,'WRZ Residential Normalized'!B:B,'Normalized Annual Summary'!CJ21)</f>
        <v>506979080.62629479</v>
      </c>
      <c r="CO21" s="704">
        <f ca="1">CDM!AF30</f>
        <v>18885927.202980667</v>
      </c>
      <c r="CP21" s="704">
        <f ca="1">CN21-CO21</f>
        <v>488093153.42331409</v>
      </c>
      <c r="CQ21" s="704"/>
      <c r="CR21" s="704">
        <f t="shared" ca="1" si="117"/>
        <v>488093153.42331409</v>
      </c>
      <c r="CS21" s="712"/>
      <c r="CT21" s="703">
        <f t="shared" si="118"/>
        <v>2030</v>
      </c>
      <c r="CU21" s="703"/>
      <c r="CV21" s="703"/>
      <c r="CW21" s="703"/>
      <c r="CX21" s="704">
        <f ca="1">SUMIFS('WRZ GS &lt; 50 Normalized'!V:V,'WRZ GS &lt; 50 Normalized'!B:B,CT21)</f>
        <v>101255110.24677813</v>
      </c>
      <c r="CY21" s="704">
        <f ca="1">CDM!AG30</f>
        <v>2172824.5700703794</v>
      </c>
      <c r="CZ21" s="704">
        <f ca="1">CX21-CY21</f>
        <v>99082285.676707745</v>
      </c>
      <c r="DA21" s="704"/>
      <c r="DB21" s="704">
        <f t="shared" ca="1" si="119"/>
        <v>99082285.676707745</v>
      </c>
      <c r="DC21" s="704"/>
      <c r="DD21" s="703">
        <f t="shared" si="120"/>
        <v>2030</v>
      </c>
      <c r="DE21" s="703"/>
      <c r="DF21" s="703"/>
      <c r="DG21" s="703"/>
      <c r="DH21" s="704">
        <f ca="1">SUMIFS('WRZ GS 50-2,999 Normalized'!T:T,'WRZ GS 50-2,999 Normalized'!B:B,'Normalized Annual Summary'!DD21)</f>
        <v>364580752.55036223</v>
      </c>
      <c r="DI21" s="704">
        <f ca="1">CDM!AH30</f>
        <v>26126764.299402285</v>
      </c>
      <c r="DJ21" s="704">
        <f ca="1">DH21-DI21</f>
        <v>338453988.25095993</v>
      </c>
      <c r="DK21" s="704">
        <f>'Total Additional'!J47</f>
        <v>70744819.282936454</v>
      </c>
      <c r="DL21" s="704">
        <f t="shared" ca="1" si="121"/>
        <v>409198807.53389639</v>
      </c>
      <c r="DM21" s="704">
        <f t="shared" ca="1" si="61"/>
        <v>435325571.83329868</v>
      </c>
      <c r="DN21" s="704"/>
      <c r="DO21" s="703">
        <f t="shared" si="122"/>
        <v>2030</v>
      </c>
      <c r="DP21" s="703"/>
      <c r="DQ21" s="703"/>
      <c r="DR21" s="703"/>
      <c r="DS21" s="704">
        <f>SUMIFS('WRZ GS 3,000-4,999 Normalized'!O:O,'WRZ GS 3,000-4,999 Normalized'!B:B,'Normalized Annual Summary'!DO21)</f>
        <v>89785510.563523099</v>
      </c>
      <c r="DT21" s="704">
        <f ca="1">CDM!AI30</f>
        <v>5876087.6325790985</v>
      </c>
      <c r="DU21" s="704">
        <f ca="1">DS21-DT21</f>
        <v>83909422.930943996</v>
      </c>
      <c r="DV21" s="704">
        <f>'Total Additional'!J48</f>
        <v>64274570.806848966</v>
      </c>
      <c r="DW21" s="704">
        <f t="shared" ca="1" si="123"/>
        <v>148183993.73779297</v>
      </c>
      <c r="DX21" s="704">
        <f t="shared" si="62"/>
        <v>154060081.37037206</v>
      </c>
      <c r="DY21" s="712"/>
      <c r="DZ21" s="703">
        <f t="shared" si="124"/>
        <v>2030</v>
      </c>
      <c r="EA21" s="703"/>
      <c r="EB21" s="704">
        <f>'Customer Count'!BN20</f>
        <v>15125.372360711415</v>
      </c>
      <c r="EC21" s="704">
        <f t="shared" si="99"/>
        <v>270.50647796906918</v>
      </c>
      <c r="ED21" s="704">
        <f t="shared" si="51"/>
        <v>4091511.2052667504</v>
      </c>
      <c r="EE21" s="712"/>
      <c r="EF21" s="712"/>
      <c r="EG21" s="703">
        <f t="shared" si="125"/>
        <v>2030</v>
      </c>
      <c r="EH21" s="703"/>
      <c r="EI21" s="704">
        <f>'Customer Count'!BR20</f>
        <v>49.198004879514592</v>
      </c>
      <c r="EJ21" s="704">
        <f t="shared" si="100"/>
        <v>678.18913043478244</v>
      </c>
      <c r="EK21" s="704">
        <f t="shared" si="54"/>
        <v>33365.552148364186</v>
      </c>
      <c r="EL21" s="712"/>
      <c r="EM21" s="712"/>
      <c r="EN21" s="703">
        <f t="shared" si="126"/>
        <v>2030</v>
      </c>
      <c r="EO21" s="703"/>
      <c r="EP21" s="704">
        <f>'Customer Count'!BV20</f>
        <v>399.2406566321971</v>
      </c>
      <c r="EQ21" s="704">
        <f t="shared" si="96"/>
        <v>4951.1033943217662</v>
      </c>
      <c r="ER21" s="704">
        <f>EQ21*EP21</f>
        <v>1976681.7702029219</v>
      </c>
      <c r="ET21" s="715"/>
    </row>
    <row r="22" spans="2:150" s="711" customFormat="1">
      <c r="B22" s="703">
        <f>B21+1</f>
        <v>2031</v>
      </c>
      <c r="C22" s="704"/>
      <c r="D22" s="704"/>
      <c r="E22" s="704"/>
      <c r="F22" s="704">
        <f ca="1">SUMIFS('VRZ Residential Normalized'!X:X,'VRZ Residential Normalized'!B:B,B22)</f>
        <v>1345137094.0296788</v>
      </c>
      <c r="G22" s="704">
        <f ca="1">CDM!W31</f>
        <v>39220818.67180559</v>
      </c>
      <c r="H22" s="704">
        <f ca="1">F22-G22</f>
        <v>1305916275.3578732</v>
      </c>
      <c r="I22" s="704"/>
      <c r="J22" s="704">
        <f ca="1">H22+I22</f>
        <v>1305916275.3578732</v>
      </c>
      <c r="K22" s="712"/>
      <c r="L22" s="703">
        <f>L21+1</f>
        <v>2031</v>
      </c>
      <c r="M22" s="704"/>
      <c r="N22" s="704"/>
      <c r="O22" s="704"/>
      <c r="P22" s="704">
        <f ca="1">SUMIFS('VRZ Seasonal Normalized'!V:V,'VRZ Seasonal Normalized'!B:B,L22)</f>
        <v>16648703.706576519</v>
      </c>
      <c r="Q22" s="704">
        <f ca="1">CDM!X31</f>
        <v>449221.54827601853</v>
      </c>
      <c r="R22" s="704">
        <f t="shared" ref="R22" ca="1" si="127">P22-Q22</f>
        <v>16199482.1583005</v>
      </c>
      <c r="S22" s="704"/>
      <c r="T22" s="704">
        <f ca="1">R22+S22</f>
        <v>16199482.1583005</v>
      </c>
      <c r="U22" s="712"/>
      <c r="V22" s="703">
        <f>V21+1</f>
        <v>2031</v>
      </c>
      <c r="W22" s="704"/>
      <c r="X22" s="704"/>
      <c r="Y22" s="704"/>
      <c r="Z22" s="704">
        <f ca="1">SUMIFS('VRZ GS &lt; 50 Normalized'!T:T,'VRZ GS &lt; 50 Normalized'!B:B,V22)</f>
        <v>323302778.36333299</v>
      </c>
      <c r="AA22" s="704">
        <f ca="1">CDM!Y31</f>
        <v>8104464.3798648268</v>
      </c>
      <c r="AB22" s="704">
        <f t="shared" ref="AB22" ca="1" si="128">Z22-AA22</f>
        <v>315198313.98346817</v>
      </c>
      <c r="AC22" s="704"/>
      <c r="AD22" s="704">
        <f ca="1">AB22+AC22</f>
        <v>315198313.98346817</v>
      </c>
      <c r="AE22" s="704"/>
      <c r="AF22" s="703">
        <f>AF21+1</f>
        <v>2031</v>
      </c>
      <c r="AG22" s="704"/>
      <c r="AH22" s="704"/>
      <c r="AI22" s="704"/>
      <c r="AJ22" s="704">
        <f ca="1">SUMIFS('VRZ GS 50-2,999 Normalized'!V:V,'VRZ GS 50-2,999 Normalized'!B:B,AF22)</f>
        <v>1057230262.430619</v>
      </c>
      <c r="AK22" s="704">
        <f ca="1">CDM!Z31</f>
        <v>36896814.359585539</v>
      </c>
      <c r="AL22" s="704">
        <f t="shared" ref="AL22" ca="1" si="129">AJ22-AK22</f>
        <v>1020333448.0710335</v>
      </c>
      <c r="AM22" s="704">
        <f>'Total Additional'!K21</f>
        <v>140830616.07841814</v>
      </c>
      <c r="AN22" s="704">
        <f ca="1">AL22+AM22</f>
        <v>1161164064.1494517</v>
      </c>
      <c r="AO22" s="704">
        <f ca="1">AJ22+AM22</f>
        <v>1198060878.509037</v>
      </c>
      <c r="AP22" s="704"/>
      <c r="AQ22" s="703">
        <f>AQ21+1</f>
        <v>2031</v>
      </c>
      <c r="AR22" s="704"/>
      <c r="AS22" s="704"/>
      <c r="AT22" s="704"/>
      <c r="AU22" s="704">
        <f>SUMIFS('VRZ GS 3,000-4,999 Normalized'!M:M,'VRZ GS 3,000-4,999 Normalized'!B:B,'Normalized Annual Summary'!AQ22)</f>
        <v>118218659.62101927</v>
      </c>
      <c r="AV22" s="704">
        <f ca="1">CDM!AA31</f>
        <v>1860600.2196895164</v>
      </c>
      <c r="AW22" s="704">
        <f t="shared" ref="AW22" ca="1" si="130">AU22-AV22</f>
        <v>116358059.40132976</v>
      </c>
      <c r="AX22" s="704">
        <f>'Total Additional'!K22</f>
        <v>101562290.15902203</v>
      </c>
      <c r="AY22" s="704">
        <f ca="1">AW22+AX22</f>
        <v>217920349.56035179</v>
      </c>
      <c r="AZ22" s="704">
        <f>AU22+AX22</f>
        <v>219780949.78004131</v>
      </c>
      <c r="BA22" s="704"/>
      <c r="BB22" s="703">
        <f>BB21+1</f>
        <v>2031</v>
      </c>
      <c r="BC22" s="704"/>
      <c r="BD22" s="704"/>
      <c r="BE22" s="704"/>
      <c r="BF22" s="704">
        <f>SUMIFS('VRZ Large Use Normalized'!Q:Q,'VRZ Large Use Normalized'!B:B,'Normalized Annual Summary'!BB22)</f>
        <v>396498640.90742618</v>
      </c>
      <c r="BG22" s="704">
        <f ca="1">CDM!AB31</f>
        <v>9139421.292333236</v>
      </c>
      <c r="BH22" s="704">
        <f t="shared" ref="BH22" ca="1" si="131">BF22-BG22</f>
        <v>387359219.61509293</v>
      </c>
      <c r="BI22" s="704">
        <f>'Total Additional'!K23</f>
        <v>280147342.73639601</v>
      </c>
      <c r="BJ22" s="704">
        <f ca="1">BH22+BI22</f>
        <v>667506562.35148895</v>
      </c>
      <c r="BK22" s="704">
        <f>BF22+BI22</f>
        <v>676645983.64382219</v>
      </c>
      <c r="BL22" s="712"/>
      <c r="BM22" s="703">
        <f>BM21+1</f>
        <v>2031</v>
      </c>
      <c r="BN22" s="704"/>
      <c r="BO22" s="704">
        <f>'Customer Count'!AG21</f>
        <v>35145.33039365396</v>
      </c>
      <c r="BP22" s="704">
        <f t="shared" si="97"/>
        <v>371.19050852120051</v>
      </c>
      <c r="BQ22" s="704">
        <f t="shared" ref="BQ22" si="132">BP22*BO22</f>
        <v>13045613.060966017</v>
      </c>
      <c r="BR22" s="712"/>
      <c r="BS22" s="712"/>
      <c r="BT22" s="703">
        <f>BT21+1</f>
        <v>2031</v>
      </c>
      <c r="BU22" s="704"/>
      <c r="BV22" s="704">
        <f>'Customer Count'!AK21</f>
        <v>211.46162719696062</v>
      </c>
      <c r="BW22" s="704">
        <f t="shared" si="98"/>
        <v>909.49886343766343</v>
      </c>
      <c r="BX22" s="704">
        <f t="shared" si="41"/>
        <v>192324.10959631458</v>
      </c>
      <c r="BY22" s="712"/>
      <c r="BZ22" s="712"/>
      <c r="CA22" s="703">
        <f>CA21+1</f>
        <v>2031</v>
      </c>
      <c r="CB22" s="704"/>
      <c r="CC22" s="704">
        <f>'Customer Count'!AO21</f>
        <v>682.08772487227952</v>
      </c>
      <c r="CD22" s="704">
        <f t="shared" si="95"/>
        <v>6161.8544907457499</v>
      </c>
      <c r="CE22" s="704">
        <f t="shared" ref="CE22" si="133">CD22*CC22</f>
        <v>4202925.3105868073</v>
      </c>
      <c r="CF22" s="712"/>
      <c r="CG22" s="712"/>
      <c r="CH22" s="712"/>
      <c r="CI22" s="712"/>
      <c r="CJ22" s="703">
        <f>CJ21+1</f>
        <v>2031</v>
      </c>
      <c r="CK22" s="704"/>
      <c r="CL22" s="704"/>
      <c r="CM22" s="704"/>
      <c r="CN22" s="704">
        <f ca="1">SUMIFS('WRZ Residential Normalized'!X:X,'WRZ Residential Normalized'!B:B,'Normalized Annual Summary'!CJ22)</f>
        <v>519908671.2573303</v>
      </c>
      <c r="CO22" s="704">
        <f ca="1">CDM!AF31</f>
        <v>17518140.908956416</v>
      </c>
      <c r="CP22" s="704">
        <f ca="1">CN22-CO22</f>
        <v>502390530.34837389</v>
      </c>
      <c r="CQ22" s="704"/>
      <c r="CR22" s="704">
        <f ca="1">CP22+CQ22</f>
        <v>502390530.34837389</v>
      </c>
      <c r="CS22" s="712"/>
      <c r="CT22" s="703">
        <f>CT21+1</f>
        <v>2031</v>
      </c>
      <c r="CU22" s="704"/>
      <c r="CV22" s="704"/>
      <c r="CW22" s="704"/>
      <c r="CX22" s="704">
        <f ca="1">SUMIFS('WRZ GS &lt; 50 Normalized'!V:V,'WRZ GS &lt; 50 Normalized'!B:B,CT22)</f>
        <v>102340431.38473395</v>
      </c>
      <c r="CY22" s="704">
        <f ca="1">CDM!AG31</f>
        <v>1686033.1070272452</v>
      </c>
      <c r="CZ22" s="704">
        <f t="shared" ref="CZ22" ca="1" si="134">CX22-CY22</f>
        <v>100654398.2777067</v>
      </c>
      <c r="DA22" s="704"/>
      <c r="DB22" s="704">
        <f ca="1">CZ22+DA22</f>
        <v>100654398.2777067</v>
      </c>
      <c r="DC22" s="704"/>
      <c r="DD22" s="703">
        <f>DD21+1</f>
        <v>2031</v>
      </c>
      <c r="DE22" s="704"/>
      <c r="DF22" s="704"/>
      <c r="DG22" s="704"/>
      <c r="DH22" s="704">
        <f ca="1">SUMIFS('WRZ GS 50-2,999 Normalized'!T:T,'WRZ GS 50-2,999 Normalized'!B:B,'Normalized Annual Summary'!DD22)</f>
        <v>364557393.24603492</v>
      </c>
      <c r="DI22" s="704">
        <f ca="1">CDM!AH31</f>
        <v>21133228.636251938</v>
      </c>
      <c r="DJ22" s="704">
        <f t="shared" ref="DJ22" ca="1" si="135">DH22-DI22</f>
        <v>343424164.60978299</v>
      </c>
      <c r="DK22" s="704">
        <f>'Total Additional'!K47</f>
        <v>74231637.789058805</v>
      </c>
      <c r="DL22" s="704">
        <f ca="1">DJ22+DK22</f>
        <v>417655802.3988418</v>
      </c>
      <c r="DM22" s="704">
        <f t="shared" ca="1" si="61"/>
        <v>438789031.03509372</v>
      </c>
      <c r="DN22" s="704"/>
      <c r="DO22" s="703">
        <f>DO21+1</f>
        <v>2031</v>
      </c>
      <c r="DP22" s="704"/>
      <c r="DQ22" s="704"/>
      <c r="DR22" s="704"/>
      <c r="DS22" s="704">
        <f>SUMIFS('WRZ GS 3,000-4,999 Normalized'!O:O,'WRZ GS 3,000-4,999 Normalized'!B:B,'Normalized Annual Summary'!DO22)</f>
        <v>89635149.374331027</v>
      </c>
      <c r="DT22" s="704">
        <f ca="1">CDM!AI31</f>
        <v>4753363.2025522729</v>
      </c>
      <c r="DU22" s="704">
        <f t="shared" ref="DU22" ca="1" si="136">DS22-DT22</f>
        <v>84881786.171778753</v>
      </c>
      <c r="DV22" s="704">
        <f>'Total Additional'!K48</f>
        <v>74697757.80549264</v>
      </c>
      <c r="DW22" s="704">
        <f ca="1">DU22+DV22</f>
        <v>159579543.97727138</v>
      </c>
      <c r="DX22" s="704">
        <f t="shared" si="62"/>
        <v>164332907.17982367</v>
      </c>
      <c r="DY22" s="712"/>
      <c r="DZ22" s="703">
        <f>DZ21+1</f>
        <v>2031</v>
      </c>
      <c r="EA22" s="704"/>
      <c r="EB22" s="704">
        <f>'Customer Count'!BN21</f>
        <v>15375.458364690485</v>
      </c>
      <c r="EC22" s="704">
        <f t="shared" si="99"/>
        <v>270.50647796906918</v>
      </c>
      <c r="ED22" s="704">
        <f t="shared" si="51"/>
        <v>4159161.089392487</v>
      </c>
      <c r="EE22" s="712"/>
      <c r="EF22" s="712"/>
      <c r="EG22" s="703">
        <f>EG21+1</f>
        <v>2031</v>
      </c>
      <c r="EH22" s="704"/>
      <c r="EI22" s="704">
        <f>'Customer Count'!BR21</f>
        <v>49.850534778667082</v>
      </c>
      <c r="EJ22" s="704">
        <f t="shared" si="100"/>
        <v>678.18913043478244</v>
      </c>
      <c r="EK22" s="704">
        <f t="shared" si="54"/>
        <v>33808.090833253111</v>
      </c>
      <c r="EL22" s="712"/>
      <c r="EM22" s="712"/>
      <c r="EN22" s="703">
        <f>EN21+1</f>
        <v>2031</v>
      </c>
      <c r="EO22" s="704"/>
      <c r="EP22" s="704">
        <f>'Customer Count'!BV21</f>
        <v>401.30337929081179</v>
      </c>
      <c r="EQ22" s="704">
        <f t="shared" si="96"/>
        <v>4951.1033943217662</v>
      </c>
      <c r="ER22" s="704">
        <f t="shared" ref="ER22" si="137">EQ22*EP22</f>
        <v>1986894.5233595334</v>
      </c>
    </row>
    <row r="46" spans="3:124">
      <c r="C46" s="311"/>
      <c r="G46" s="718"/>
      <c r="Q46" s="718"/>
      <c r="R46" s="718"/>
      <c r="AA46" s="718"/>
      <c r="AK46" s="718"/>
      <c r="AV46" s="718"/>
      <c r="BG46" s="718"/>
      <c r="CO46" s="718"/>
      <c r="CY46" s="718"/>
      <c r="DI46" s="718"/>
      <c r="DT46" s="718"/>
    </row>
    <row r="49" spans="2:136">
      <c r="B49" s="88"/>
      <c r="C49" s="88"/>
      <c r="D49" s="88"/>
      <c r="E49" s="88"/>
      <c r="F49" s="88"/>
      <c r="G49" s="88"/>
      <c r="H49" s="88"/>
      <c r="I49" s="88"/>
      <c r="J49" s="88"/>
      <c r="L49" s="88"/>
      <c r="M49" s="88"/>
      <c r="N49" s="88"/>
      <c r="O49" s="88"/>
      <c r="P49" s="88"/>
      <c r="Q49" s="88"/>
      <c r="R49" s="88"/>
      <c r="S49" s="88"/>
      <c r="T49" s="88"/>
      <c r="V49" s="88"/>
      <c r="W49" s="88"/>
      <c r="X49" s="88"/>
      <c r="Y49" s="88"/>
      <c r="Z49" s="88"/>
      <c r="AA49" s="88"/>
      <c r="AB49" s="88"/>
      <c r="AC49" s="88"/>
      <c r="AD49" s="88"/>
      <c r="CJ49" s="88"/>
      <c r="CK49" s="88"/>
      <c r="CL49" s="88"/>
      <c r="CM49" s="88"/>
      <c r="CN49" s="88"/>
      <c r="CO49" s="88"/>
      <c r="CP49" s="88"/>
      <c r="CQ49" s="88"/>
      <c r="CR49" s="88"/>
      <c r="CT49" s="88"/>
      <c r="CU49" s="88"/>
      <c r="CV49" s="88"/>
      <c r="CW49" s="88"/>
      <c r="CX49" s="88"/>
      <c r="CY49" s="88"/>
      <c r="CZ49" s="88"/>
      <c r="DA49" s="88"/>
      <c r="DB49" s="88"/>
    </row>
    <row r="50" spans="2:136">
      <c r="B50" s="87"/>
      <c r="C50" s="87"/>
      <c r="D50" s="87"/>
      <c r="E50" s="87"/>
      <c r="F50" s="87"/>
      <c r="G50" s="87"/>
      <c r="H50" s="87"/>
      <c r="I50" s="87"/>
      <c r="J50" s="87"/>
      <c r="K50" s="706"/>
      <c r="L50" s="87"/>
      <c r="M50" s="87"/>
      <c r="N50" s="87"/>
      <c r="O50" s="87"/>
      <c r="P50" s="87"/>
      <c r="Q50" s="87"/>
      <c r="R50" s="87"/>
      <c r="S50" s="87"/>
      <c r="T50" s="87"/>
      <c r="U50" s="706"/>
      <c r="V50" s="87"/>
      <c r="W50" s="87"/>
      <c r="X50" s="87"/>
      <c r="Y50" s="87"/>
      <c r="Z50" s="87"/>
      <c r="AA50" s="87"/>
      <c r="AB50" s="87"/>
      <c r="AC50" s="87"/>
      <c r="AD50" s="87"/>
      <c r="CJ50" s="87"/>
      <c r="CK50" s="87"/>
      <c r="CL50" s="87"/>
      <c r="CM50" s="87"/>
      <c r="CN50" s="87"/>
      <c r="CO50" s="87"/>
      <c r="CP50" s="87"/>
      <c r="CQ50" s="87"/>
      <c r="CR50" s="87"/>
      <c r="CS50" s="706"/>
      <c r="CT50" s="87"/>
      <c r="CU50" s="87"/>
      <c r="CV50" s="87"/>
      <c r="CW50" s="87"/>
      <c r="CX50" s="87"/>
      <c r="CY50" s="87"/>
      <c r="CZ50" s="87"/>
      <c r="DA50" s="87"/>
      <c r="DB50" s="87"/>
    </row>
    <row r="51" spans="2:136">
      <c r="B51" s="86"/>
      <c r="C51" s="86"/>
      <c r="D51" s="86"/>
      <c r="E51" s="86"/>
      <c r="F51" s="86"/>
      <c r="G51" s="86"/>
      <c r="H51" s="86"/>
      <c r="I51" s="86"/>
      <c r="J51" s="86"/>
      <c r="L51" s="86"/>
      <c r="M51" s="86"/>
      <c r="N51" s="86"/>
      <c r="O51" s="86"/>
      <c r="P51" s="86"/>
      <c r="Q51" s="86"/>
      <c r="R51" s="86"/>
      <c r="S51" s="86"/>
      <c r="T51" s="86"/>
      <c r="V51" s="86"/>
      <c r="W51" s="86"/>
      <c r="X51" s="86"/>
      <c r="Y51" s="86"/>
      <c r="Z51" s="86"/>
      <c r="AA51" s="86"/>
      <c r="AB51" s="86"/>
      <c r="AC51" s="86"/>
      <c r="AD51" s="86"/>
      <c r="CJ51" s="86"/>
      <c r="CK51" s="86"/>
      <c r="CL51" s="86"/>
      <c r="CM51" s="86"/>
      <c r="CN51" s="86"/>
      <c r="CO51" s="86"/>
      <c r="CP51" s="86"/>
      <c r="CQ51" s="86"/>
      <c r="CR51" s="86"/>
      <c r="CT51" s="86"/>
      <c r="CU51" s="86"/>
      <c r="CV51" s="86"/>
      <c r="CW51" s="86"/>
      <c r="CX51" s="86"/>
      <c r="CY51" s="86"/>
      <c r="CZ51" s="86"/>
      <c r="DA51" s="86"/>
      <c r="DB51" s="86"/>
    </row>
    <row r="52" spans="2:136">
      <c r="B52" s="716"/>
      <c r="C52" s="717"/>
      <c r="D52" s="717"/>
      <c r="E52" s="717"/>
      <c r="F52" s="717"/>
      <c r="G52" s="717"/>
      <c r="H52" s="717"/>
      <c r="I52" s="717"/>
      <c r="J52" s="717"/>
      <c r="K52" s="718"/>
      <c r="L52" s="716"/>
      <c r="M52" s="717"/>
      <c r="N52" s="717"/>
      <c r="O52" s="717"/>
      <c r="P52" s="717"/>
      <c r="Q52" s="717"/>
      <c r="R52" s="717"/>
      <c r="S52" s="717"/>
      <c r="T52" s="717"/>
      <c r="U52" s="718"/>
      <c r="V52" s="716"/>
      <c r="W52" s="717"/>
      <c r="X52" s="717"/>
      <c r="Y52" s="717"/>
      <c r="Z52" s="717"/>
      <c r="AA52" s="717"/>
      <c r="AB52" s="717"/>
      <c r="AC52" s="717"/>
      <c r="AD52" s="717"/>
      <c r="BL52" s="718"/>
      <c r="BS52" s="718"/>
      <c r="CJ52" s="716"/>
      <c r="CK52" s="717"/>
      <c r="CL52" s="717"/>
      <c r="CM52" s="717"/>
      <c r="CN52" s="717"/>
      <c r="CO52" s="717"/>
      <c r="CP52" s="717"/>
      <c r="CQ52" s="717"/>
      <c r="CR52" s="717"/>
      <c r="CS52" s="718"/>
      <c r="CT52" s="716"/>
      <c r="CU52" s="717"/>
      <c r="CV52" s="717"/>
      <c r="CW52" s="717"/>
      <c r="CX52" s="717"/>
      <c r="CY52" s="717"/>
      <c r="CZ52" s="717"/>
      <c r="DA52" s="717"/>
      <c r="DB52" s="717"/>
      <c r="DY52" s="718"/>
      <c r="EF52" s="718"/>
    </row>
    <row r="53" spans="2:136">
      <c r="B53" s="716"/>
      <c r="C53" s="717"/>
      <c r="D53" s="717"/>
      <c r="E53" s="717"/>
      <c r="F53" s="717"/>
      <c r="G53" s="717"/>
      <c r="H53" s="717"/>
      <c r="I53" s="717"/>
      <c r="J53" s="717"/>
      <c r="K53" s="718"/>
      <c r="L53" s="716"/>
      <c r="M53" s="717"/>
      <c r="N53" s="717"/>
      <c r="O53" s="717"/>
      <c r="P53" s="717"/>
      <c r="Q53" s="717"/>
      <c r="R53" s="717"/>
      <c r="S53" s="717"/>
      <c r="T53" s="717"/>
      <c r="U53" s="718"/>
      <c r="V53" s="716"/>
      <c r="W53" s="717"/>
      <c r="X53" s="717"/>
      <c r="Y53" s="717"/>
      <c r="Z53" s="717"/>
      <c r="AA53" s="717"/>
      <c r="AB53" s="717"/>
      <c r="AC53" s="717"/>
      <c r="AD53" s="717"/>
      <c r="BL53" s="718"/>
      <c r="BS53" s="718"/>
      <c r="CJ53" s="716"/>
      <c r="CK53" s="717"/>
      <c r="CL53" s="717"/>
      <c r="CM53" s="717"/>
      <c r="CN53" s="717"/>
      <c r="CO53" s="717"/>
      <c r="CP53" s="717"/>
      <c r="CQ53" s="717"/>
      <c r="CR53" s="717"/>
      <c r="CS53" s="718"/>
      <c r="CT53" s="716"/>
      <c r="CU53" s="717"/>
      <c r="CV53" s="717"/>
      <c r="CW53" s="717"/>
      <c r="CX53" s="717"/>
      <c r="CY53" s="717"/>
      <c r="CZ53" s="717"/>
      <c r="DA53" s="717"/>
      <c r="DB53" s="717"/>
      <c r="DY53" s="718"/>
      <c r="EF53" s="718"/>
    </row>
    <row r="54" spans="2:136">
      <c r="B54" s="716"/>
      <c r="C54" s="717"/>
      <c r="D54" s="717"/>
      <c r="E54" s="717"/>
      <c r="F54" s="717"/>
      <c r="G54" s="717"/>
      <c r="H54" s="717"/>
      <c r="I54" s="717"/>
      <c r="J54" s="717"/>
      <c r="K54" s="718"/>
      <c r="L54" s="716"/>
      <c r="M54" s="717"/>
      <c r="N54" s="717"/>
      <c r="O54" s="717"/>
      <c r="P54" s="717"/>
      <c r="Q54" s="717"/>
      <c r="R54" s="717"/>
      <c r="S54" s="717"/>
      <c r="T54" s="717"/>
      <c r="U54" s="718"/>
      <c r="V54" s="716"/>
      <c r="W54" s="717"/>
      <c r="X54" s="717"/>
      <c r="Y54" s="717"/>
      <c r="Z54" s="717"/>
      <c r="AA54" s="717"/>
      <c r="AB54" s="717"/>
      <c r="AC54" s="717"/>
      <c r="AD54" s="717"/>
      <c r="AE54" s="717"/>
      <c r="AF54" s="717"/>
      <c r="AG54" s="717"/>
      <c r="AH54" s="717"/>
      <c r="AI54" s="717"/>
      <c r="AJ54" s="717"/>
      <c r="AK54" s="717"/>
      <c r="AL54" s="717"/>
      <c r="AM54" s="717"/>
      <c r="AN54" s="717"/>
      <c r="AO54" s="717"/>
      <c r="AP54" s="717"/>
      <c r="AQ54" s="717"/>
      <c r="AR54" s="717"/>
      <c r="AS54" s="717"/>
      <c r="AT54" s="717"/>
      <c r="AU54" s="717"/>
      <c r="AV54" s="717"/>
      <c r="AW54" s="717"/>
      <c r="AX54" s="717"/>
      <c r="AY54" s="717"/>
      <c r="AZ54" s="717"/>
      <c r="BA54" s="717"/>
      <c r="BB54" s="717"/>
      <c r="BC54" s="717"/>
      <c r="BD54" s="717"/>
      <c r="BE54" s="717"/>
      <c r="BF54" s="717"/>
      <c r="BG54" s="717"/>
      <c r="BH54" s="717"/>
      <c r="BI54" s="717"/>
      <c r="BJ54" s="717"/>
      <c r="BK54" s="717"/>
      <c r="BL54" s="718"/>
      <c r="BS54" s="718"/>
      <c r="CJ54" s="716"/>
      <c r="CK54" s="717"/>
      <c r="CL54" s="717"/>
      <c r="CM54" s="717"/>
      <c r="CN54" s="717"/>
      <c r="CO54" s="717"/>
      <c r="CP54" s="717"/>
      <c r="CQ54" s="717"/>
      <c r="CR54" s="717"/>
      <c r="CS54" s="718"/>
      <c r="CT54" s="716"/>
      <c r="CU54" s="717"/>
      <c r="CV54" s="717"/>
      <c r="CW54" s="717"/>
      <c r="CX54" s="717"/>
      <c r="CY54" s="717"/>
      <c r="CZ54" s="717"/>
      <c r="DA54" s="717"/>
      <c r="DB54" s="717"/>
      <c r="DC54" s="717"/>
      <c r="DD54" s="717"/>
      <c r="DE54" s="717"/>
      <c r="DF54" s="717"/>
      <c r="DG54" s="717"/>
      <c r="DH54" s="717"/>
      <c r="DI54" s="717"/>
      <c r="DJ54" s="717"/>
      <c r="DK54" s="717"/>
      <c r="DL54" s="717"/>
      <c r="DM54" s="717"/>
      <c r="DN54" s="717"/>
      <c r="DO54" s="717"/>
      <c r="DP54" s="717"/>
      <c r="DQ54" s="717"/>
      <c r="DR54" s="717"/>
      <c r="DS54" s="717"/>
      <c r="DT54" s="717"/>
      <c r="DU54" s="717"/>
      <c r="DV54" s="717"/>
      <c r="DW54" s="717"/>
      <c r="DX54" s="717"/>
      <c r="DY54" s="718"/>
      <c r="EF54" s="718"/>
    </row>
    <row r="55" spans="2:136">
      <c r="B55" s="716"/>
      <c r="C55" s="717"/>
      <c r="D55" s="717"/>
      <c r="E55" s="717"/>
      <c r="F55" s="717"/>
      <c r="G55" s="717"/>
      <c r="H55" s="717"/>
      <c r="I55" s="717"/>
      <c r="J55" s="717"/>
      <c r="K55" s="718"/>
      <c r="L55" s="716"/>
      <c r="M55" s="717"/>
      <c r="N55" s="717"/>
      <c r="O55" s="717"/>
      <c r="P55" s="717"/>
      <c r="Q55" s="717"/>
      <c r="R55" s="717"/>
      <c r="S55" s="717"/>
      <c r="T55" s="717"/>
      <c r="U55" s="718"/>
      <c r="V55" s="716"/>
      <c r="W55" s="717"/>
      <c r="X55" s="717"/>
      <c r="Y55" s="717"/>
      <c r="Z55" s="717"/>
      <c r="AA55" s="717"/>
      <c r="AB55" s="717"/>
      <c r="AC55" s="717"/>
      <c r="AD55" s="717"/>
      <c r="AE55" s="717"/>
      <c r="AF55" s="717"/>
      <c r="AG55" s="717"/>
      <c r="AH55" s="717"/>
      <c r="AI55" s="717"/>
      <c r="AJ55" s="717"/>
      <c r="AK55" s="717"/>
      <c r="AL55" s="717"/>
      <c r="AM55" s="717"/>
      <c r="AN55" s="717"/>
      <c r="AO55" s="717"/>
      <c r="AP55" s="717"/>
      <c r="AQ55" s="717"/>
      <c r="AR55" s="717"/>
      <c r="AS55" s="717"/>
      <c r="AT55" s="717"/>
      <c r="AU55" s="717"/>
      <c r="AV55" s="717"/>
      <c r="AW55" s="717"/>
      <c r="AX55" s="717"/>
      <c r="AY55" s="717"/>
      <c r="AZ55" s="717"/>
      <c r="BA55" s="717"/>
      <c r="BB55" s="717"/>
      <c r="BC55" s="717"/>
      <c r="BD55" s="717"/>
      <c r="BE55" s="717"/>
      <c r="BF55" s="717"/>
      <c r="BG55" s="717"/>
      <c r="BH55" s="717"/>
      <c r="BI55" s="717"/>
      <c r="BJ55" s="717"/>
      <c r="BK55" s="717"/>
      <c r="BL55" s="718"/>
      <c r="BS55" s="718"/>
      <c r="CJ55" s="716"/>
      <c r="CK55" s="717"/>
      <c r="CL55" s="717"/>
      <c r="CM55" s="717"/>
      <c r="CN55" s="717"/>
      <c r="CO55" s="717"/>
      <c r="CP55" s="717"/>
      <c r="CQ55" s="717"/>
      <c r="CR55" s="717"/>
      <c r="CS55" s="718"/>
      <c r="CT55" s="716"/>
      <c r="CU55" s="717"/>
      <c r="CV55" s="717"/>
      <c r="CW55" s="717"/>
      <c r="CX55" s="717"/>
      <c r="CY55" s="717"/>
      <c r="CZ55" s="717"/>
      <c r="DA55" s="717"/>
      <c r="DB55" s="717"/>
      <c r="DC55" s="717"/>
      <c r="DD55" s="717"/>
      <c r="DE55" s="717"/>
      <c r="DF55" s="717"/>
      <c r="DG55" s="717"/>
      <c r="DH55" s="717"/>
      <c r="DI55" s="717"/>
      <c r="DJ55" s="717"/>
      <c r="DK55" s="717"/>
      <c r="DL55" s="717"/>
      <c r="DM55" s="717"/>
      <c r="DN55" s="717"/>
      <c r="DO55" s="717"/>
      <c r="DP55" s="717"/>
      <c r="DQ55" s="717"/>
      <c r="DR55" s="717"/>
      <c r="DS55" s="717"/>
      <c r="DT55" s="717"/>
      <c r="DU55" s="717"/>
      <c r="DV55" s="717"/>
      <c r="DW55" s="717"/>
      <c r="DX55" s="717"/>
      <c r="DY55" s="718"/>
      <c r="EF55" s="718"/>
    </row>
    <row r="56" spans="2:136">
      <c r="B56" s="716"/>
      <c r="C56" s="717"/>
      <c r="D56" s="717"/>
      <c r="E56" s="717"/>
      <c r="F56" s="717"/>
      <c r="G56" s="717"/>
      <c r="H56" s="717"/>
      <c r="I56" s="717"/>
      <c r="J56" s="717"/>
      <c r="K56" s="718"/>
      <c r="L56" s="716"/>
      <c r="M56" s="717"/>
      <c r="N56" s="717"/>
      <c r="O56" s="717"/>
      <c r="P56" s="717"/>
      <c r="Q56" s="717"/>
      <c r="R56" s="717"/>
      <c r="S56" s="717"/>
      <c r="T56" s="717"/>
      <c r="U56" s="718"/>
      <c r="V56" s="716"/>
      <c r="W56" s="717"/>
      <c r="X56" s="717"/>
      <c r="Y56" s="717"/>
      <c r="Z56" s="717"/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/>
      <c r="AM56" s="717"/>
      <c r="AN56" s="717"/>
      <c r="AO56" s="717"/>
      <c r="AP56" s="717"/>
      <c r="AQ56" s="717"/>
      <c r="AR56" s="717"/>
      <c r="AS56" s="717"/>
      <c r="AT56" s="717"/>
      <c r="AU56" s="717"/>
      <c r="AV56" s="717"/>
      <c r="AW56" s="717"/>
      <c r="AX56" s="717"/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8"/>
      <c r="BS56" s="718"/>
      <c r="CJ56" s="716"/>
      <c r="CK56" s="717"/>
      <c r="CL56" s="717"/>
      <c r="CM56" s="717"/>
      <c r="CN56" s="717"/>
      <c r="CO56" s="717"/>
      <c r="CP56" s="717"/>
      <c r="CQ56" s="717"/>
      <c r="CR56" s="717"/>
      <c r="CS56" s="718"/>
      <c r="CT56" s="716"/>
      <c r="CU56" s="717"/>
      <c r="CV56" s="717"/>
      <c r="CW56" s="717"/>
      <c r="CX56" s="717"/>
      <c r="CY56" s="717"/>
      <c r="CZ56" s="717"/>
      <c r="DA56" s="717"/>
      <c r="DB56" s="717"/>
      <c r="DC56" s="717"/>
      <c r="DD56" s="717"/>
      <c r="DE56" s="717"/>
      <c r="DF56" s="717"/>
      <c r="DG56" s="717"/>
      <c r="DH56" s="717"/>
      <c r="DI56" s="717"/>
      <c r="DJ56" s="717"/>
      <c r="DK56" s="717"/>
      <c r="DL56" s="717"/>
      <c r="DM56" s="717"/>
      <c r="DN56" s="717"/>
      <c r="DO56" s="717"/>
      <c r="DP56" s="717"/>
      <c r="DQ56" s="717"/>
      <c r="DR56" s="717"/>
      <c r="DS56" s="717"/>
      <c r="DT56" s="717"/>
      <c r="DU56" s="717"/>
      <c r="DV56" s="717"/>
      <c r="DW56" s="717"/>
      <c r="DX56" s="717"/>
      <c r="DY56" s="718"/>
      <c r="EF56" s="718"/>
    </row>
    <row r="57" spans="2:136">
      <c r="B57" s="716"/>
      <c r="C57" s="717"/>
      <c r="D57" s="717"/>
      <c r="E57" s="717"/>
      <c r="F57" s="717"/>
      <c r="G57" s="717"/>
      <c r="H57" s="717"/>
      <c r="I57" s="717"/>
      <c r="J57" s="717"/>
      <c r="K57" s="718"/>
      <c r="L57" s="716"/>
      <c r="M57" s="717"/>
      <c r="N57" s="717"/>
      <c r="O57" s="717"/>
      <c r="P57" s="717"/>
      <c r="Q57" s="717"/>
      <c r="R57" s="717"/>
      <c r="S57" s="717"/>
      <c r="T57" s="717"/>
      <c r="U57" s="718"/>
      <c r="V57" s="716"/>
      <c r="W57" s="717"/>
      <c r="X57" s="717"/>
      <c r="Y57" s="717"/>
      <c r="Z57" s="717"/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7"/>
      <c r="AL57" s="717"/>
      <c r="AM57" s="717"/>
      <c r="AN57" s="717"/>
      <c r="AO57" s="717"/>
      <c r="AP57" s="717"/>
      <c r="AQ57" s="717"/>
      <c r="AR57" s="717"/>
      <c r="AS57" s="717"/>
      <c r="AT57" s="717"/>
      <c r="AU57" s="717"/>
      <c r="AV57" s="717"/>
      <c r="AW57" s="717"/>
      <c r="AX57" s="717"/>
      <c r="AY57" s="717"/>
      <c r="AZ57" s="717"/>
      <c r="BA57" s="717"/>
      <c r="BB57" s="717"/>
      <c r="BC57" s="717"/>
      <c r="BD57" s="717"/>
      <c r="BE57" s="717"/>
      <c r="BF57" s="717"/>
      <c r="BG57" s="717"/>
      <c r="BH57" s="717"/>
      <c r="BI57" s="717"/>
      <c r="BJ57" s="717"/>
      <c r="BK57" s="717"/>
      <c r="BL57" s="718"/>
      <c r="BS57" s="718"/>
      <c r="CJ57" s="716"/>
      <c r="CK57" s="717"/>
      <c r="CL57" s="717"/>
      <c r="CM57" s="717"/>
      <c r="CN57" s="717"/>
      <c r="CO57" s="717"/>
      <c r="CP57" s="717"/>
      <c r="CQ57" s="717"/>
      <c r="CR57" s="717"/>
      <c r="CS57" s="718"/>
      <c r="CT57" s="716"/>
      <c r="CU57" s="717"/>
      <c r="CV57" s="717"/>
      <c r="CW57" s="717"/>
      <c r="CX57" s="717"/>
      <c r="CY57" s="717"/>
      <c r="CZ57" s="717"/>
      <c r="DA57" s="717"/>
      <c r="DB57" s="717"/>
      <c r="DC57" s="717"/>
      <c r="DD57" s="717"/>
      <c r="DE57" s="717"/>
      <c r="DF57" s="717"/>
      <c r="DG57" s="717"/>
      <c r="DH57" s="717"/>
      <c r="DI57" s="717"/>
      <c r="DJ57" s="717"/>
      <c r="DK57" s="717"/>
      <c r="DL57" s="717"/>
      <c r="DM57" s="717"/>
      <c r="DN57" s="717"/>
      <c r="DO57" s="717"/>
      <c r="DP57" s="717"/>
      <c r="DQ57" s="717"/>
      <c r="DR57" s="717"/>
      <c r="DS57" s="717"/>
      <c r="DT57" s="717"/>
      <c r="DU57" s="717"/>
      <c r="DV57" s="717"/>
      <c r="DW57" s="717"/>
      <c r="DX57" s="717"/>
      <c r="DY57" s="718"/>
      <c r="EF57" s="718"/>
    </row>
    <row r="58" spans="2:136">
      <c r="B58" s="716"/>
      <c r="C58" s="717"/>
      <c r="D58" s="717"/>
      <c r="E58" s="717"/>
      <c r="F58" s="717"/>
      <c r="G58" s="717"/>
      <c r="H58" s="717"/>
      <c r="I58" s="717"/>
      <c r="J58" s="717"/>
      <c r="K58" s="718"/>
      <c r="L58" s="716"/>
      <c r="M58" s="717"/>
      <c r="N58" s="717"/>
      <c r="O58" s="717"/>
      <c r="P58" s="717"/>
      <c r="Q58" s="717"/>
      <c r="R58" s="717"/>
      <c r="S58" s="717"/>
      <c r="T58" s="717"/>
      <c r="U58" s="718"/>
      <c r="V58" s="716"/>
      <c r="W58" s="717"/>
      <c r="X58" s="717"/>
      <c r="Y58" s="717"/>
      <c r="Z58" s="717"/>
      <c r="AA58" s="717"/>
      <c r="AB58" s="717"/>
      <c r="AC58" s="717"/>
      <c r="AD58" s="717"/>
      <c r="AE58" s="717"/>
      <c r="AF58" s="717"/>
      <c r="AG58" s="717"/>
      <c r="AH58" s="717"/>
      <c r="AI58" s="717"/>
      <c r="AJ58" s="717"/>
      <c r="AK58" s="717"/>
      <c r="AL58" s="717"/>
      <c r="AM58" s="717"/>
      <c r="AN58" s="717"/>
      <c r="AO58" s="717"/>
      <c r="AP58" s="717"/>
      <c r="AQ58" s="717"/>
      <c r="AR58" s="717"/>
      <c r="AS58" s="717"/>
      <c r="AT58" s="717"/>
      <c r="AU58" s="717"/>
      <c r="AV58" s="717"/>
      <c r="AW58" s="717"/>
      <c r="AX58" s="717"/>
      <c r="AY58" s="717"/>
      <c r="AZ58" s="717"/>
      <c r="BA58" s="717"/>
      <c r="BB58" s="717"/>
      <c r="BC58" s="717"/>
      <c r="BD58" s="717"/>
      <c r="BE58" s="717"/>
      <c r="BF58" s="717"/>
      <c r="BG58" s="717"/>
      <c r="BH58" s="717"/>
      <c r="BI58" s="717"/>
      <c r="BJ58" s="717"/>
      <c r="BK58" s="717"/>
      <c r="BL58" s="718"/>
      <c r="BS58" s="718"/>
      <c r="CJ58" s="716"/>
      <c r="CK58" s="717"/>
      <c r="CL58" s="717"/>
      <c r="CM58" s="717"/>
      <c r="CN58" s="717"/>
      <c r="CO58" s="717"/>
      <c r="CP58" s="717"/>
      <c r="CQ58" s="717"/>
      <c r="CR58" s="717"/>
      <c r="CS58" s="718"/>
      <c r="CT58" s="716"/>
      <c r="CU58" s="717"/>
      <c r="CV58" s="717"/>
      <c r="CW58" s="717"/>
      <c r="CX58" s="717"/>
      <c r="CY58" s="717"/>
      <c r="CZ58" s="717"/>
      <c r="DA58" s="717"/>
      <c r="DB58" s="717"/>
      <c r="DC58" s="717"/>
      <c r="DD58" s="717"/>
      <c r="DE58" s="717"/>
      <c r="DF58" s="717"/>
      <c r="DG58" s="717"/>
      <c r="DH58" s="717"/>
      <c r="DI58" s="717"/>
      <c r="DJ58" s="717"/>
      <c r="DK58" s="717"/>
      <c r="DL58" s="717"/>
      <c r="DM58" s="717"/>
      <c r="DN58" s="717"/>
      <c r="DO58" s="717"/>
      <c r="DP58" s="717"/>
      <c r="DQ58" s="717"/>
      <c r="DR58" s="717"/>
      <c r="DS58" s="717"/>
      <c r="DT58" s="717"/>
      <c r="DU58" s="717"/>
      <c r="DV58" s="717"/>
      <c r="DW58" s="717"/>
      <c r="DX58" s="717"/>
      <c r="DY58" s="718"/>
      <c r="EF58" s="718"/>
    </row>
    <row r="59" spans="2:136">
      <c r="B59" s="716"/>
      <c r="C59" s="717"/>
      <c r="D59" s="717"/>
      <c r="E59" s="717"/>
      <c r="F59" s="717"/>
      <c r="G59" s="717"/>
      <c r="H59" s="717"/>
      <c r="I59" s="717"/>
      <c r="J59" s="717"/>
      <c r="K59" s="718"/>
      <c r="L59" s="716"/>
      <c r="M59" s="717"/>
      <c r="N59" s="717"/>
      <c r="O59" s="717"/>
      <c r="P59" s="717"/>
      <c r="Q59" s="717"/>
      <c r="R59" s="717"/>
      <c r="S59" s="717"/>
      <c r="T59" s="717"/>
      <c r="U59" s="718"/>
      <c r="V59" s="716"/>
      <c r="W59" s="717"/>
      <c r="X59" s="717"/>
      <c r="Y59" s="717"/>
      <c r="Z59" s="717"/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/>
      <c r="AM59" s="717"/>
      <c r="AN59" s="717"/>
      <c r="AO59" s="717"/>
      <c r="AP59" s="717"/>
      <c r="AQ59" s="717"/>
      <c r="AR59" s="717"/>
      <c r="AS59" s="717"/>
      <c r="AT59" s="717"/>
      <c r="AU59" s="717"/>
      <c r="AV59" s="717"/>
      <c r="AW59" s="717"/>
      <c r="AX59" s="717"/>
      <c r="AY59" s="717"/>
      <c r="AZ59" s="717"/>
      <c r="BA59" s="717"/>
      <c r="BB59" s="717"/>
      <c r="BC59" s="717"/>
      <c r="BD59" s="717"/>
      <c r="BE59" s="717"/>
      <c r="BF59" s="717"/>
      <c r="BG59" s="717"/>
      <c r="BH59" s="717"/>
      <c r="BI59" s="717"/>
      <c r="BJ59" s="717"/>
      <c r="BK59" s="717"/>
      <c r="BL59" s="718"/>
      <c r="BS59" s="718"/>
      <c r="CJ59" s="716"/>
      <c r="CK59" s="717"/>
      <c r="CL59" s="717"/>
      <c r="CM59" s="717"/>
      <c r="CN59" s="717"/>
      <c r="CO59" s="717"/>
      <c r="CP59" s="717"/>
      <c r="CQ59" s="717"/>
      <c r="CR59" s="717"/>
      <c r="CS59" s="718"/>
      <c r="CT59" s="716"/>
      <c r="CU59" s="717"/>
      <c r="CV59" s="717"/>
      <c r="CW59" s="717"/>
      <c r="CX59" s="717"/>
      <c r="CY59" s="717"/>
      <c r="CZ59" s="717"/>
      <c r="DA59" s="717"/>
      <c r="DB59" s="717"/>
      <c r="DC59" s="717"/>
      <c r="DD59" s="717"/>
      <c r="DE59" s="717"/>
      <c r="DF59" s="717"/>
      <c r="DG59" s="717"/>
      <c r="DH59" s="717"/>
      <c r="DI59" s="717"/>
      <c r="DJ59" s="717"/>
      <c r="DK59" s="717"/>
      <c r="DL59" s="717"/>
      <c r="DM59" s="717"/>
      <c r="DN59" s="717"/>
      <c r="DO59" s="717"/>
      <c r="DP59" s="717"/>
      <c r="DQ59" s="717"/>
      <c r="DR59" s="717"/>
      <c r="DS59" s="717"/>
      <c r="DT59" s="717"/>
      <c r="DU59" s="717"/>
      <c r="DV59" s="717"/>
      <c r="DW59" s="717"/>
      <c r="DX59" s="717"/>
      <c r="DY59" s="718"/>
      <c r="EF59" s="718"/>
    </row>
    <row r="60" spans="2:136">
      <c r="B60" s="716"/>
      <c r="C60" s="717"/>
      <c r="D60" s="717"/>
      <c r="E60" s="717"/>
      <c r="F60" s="717"/>
      <c r="G60" s="717"/>
      <c r="H60" s="717"/>
      <c r="I60" s="717"/>
      <c r="J60" s="717"/>
      <c r="K60" s="718"/>
      <c r="L60" s="716"/>
      <c r="M60" s="717"/>
      <c r="N60" s="717"/>
      <c r="O60" s="717"/>
      <c r="P60" s="717"/>
      <c r="Q60" s="717"/>
      <c r="R60" s="717"/>
      <c r="S60" s="717"/>
      <c r="T60" s="717"/>
      <c r="U60" s="718"/>
      <c r="V60" s="716"/>
      <c r="W60" s="717"/>
      <c r="X60" s="717"/>
      <c r="Y60" s="717"/>
      <c r="Z60" s="717"/>
      <c r="AA60" s="717"/>
      <c r="AB60" s="717"/>
      <c r="AC60" s="717"/>
      <c r="AD60" s="717"/>
      <c r="AE60" s="717"/>
      <c r="AF60" s="717"/>
      <c r="AG60" s="717"/>
      <c r="AH60" s="717"/>
      <c r="AI60" s="717"/>
      <c r="AJ60" s="717"/>
      <c r="AK60" s="717"/>
      <c r="AL60" s="717"/>
      <c r="AM60" s="717"/>
      <c r="AN60" s="717"/>
      <c r="AO60" s="717"/>
      <c r="AP60" s="717"/>
      <c r="AQ60" s="717"/>
      <c r="AR60" s="717"/>
      <c r="AS60" s="717"/>
      <c r="AT60" s="717"/>
      <c r="AU60" s="717"/>
      <c r="AV60" s="717"/>
      <c r="AW60" s="717"/>
      <c r="AX60" s="717"/>
      <c r="AY60" s="717"/>
      <c r="AZ60" s="717"/>
      <c r="BA60" s="717"/>
      <c r="BB60" s="717"/>
      <c r="BC60" s="717"/>
      <c r="BD60" s="717"/>
      <c r="BE60" s="717"/>
      <c r="BF60" s="717"/>
      <c r="BG60" s="717"/>
      <c r="BH60" s="717"/>
      <c r="BI60" s="717"/>
      <c r="BJ60" s="717"/>
      <c r="BK60" s="717"/>
      <c r="BL60" s="718"/>
      <c r="BS60" s="718"/>
      <c r="CJ60" s="716"/>
      <c r="CK60" s="717"/>
      <c r="CL60" s="717"/>
      <c r="CM60" s="717"/>
      <c r="CN60" s="717"/>
      <c r="CO60" s="717"/>
      <c r="CP60" s="717"/>
      <c r="CQ60" s="717"/>
      <c r="CR60" s="717"/>
      <c r="CS60" s="718"/>
      <c r="CT60" s="716"/>
      <c r="CU60" s="717"/>
      <c r="CV60" s="717"/>
      <c r="CW60" s="717"/>
      <c r="CX60" s="717"/>
      <c r="CY60" s="717"/>
      <c r="CZ60" s="717"/>
      <c r="DA60" s="717"/>
      <c r="DB60" s="717"/>
      <c r="DC60" s="717"/>
      <c r="DD60" s="717"/>
      <c r="DE60" s="717"/>
      <c r="DF60" s="717"/>
      <c r="DG60" s="717"/>
      <c r="DH60" s="717"/>
      <c r="DI60" s="717"/>
      <c r="DJ60" s="717"/>
      <c r="DK60" s="717"/>
      <c r="DL60" s="717"/>
      <c r="DM60" s="717"/>
      <c r="DN60" s="717"/>
      <c r="DO60" s="717"/>
      <c r="DP60" s="717"/>
      <c r="DQ60" s="717"/>
      <c r="DR60" s="717"/>
      <c r="DS60" s="717"/>
      <c r="DT60" s="717"/>
      <c r="DU60" s="717"/>
      <c r="DV60" s="717"/>
      <c r="DW60" s="717"/>
      <c r="DX60" s="717"/>
      <c r="DY60" s="718"/>
      <c r="EF60" s="718"/>
    </row>
    <row r="61" spans="2:136">
      <c r="B61" s="716"/>
      <c r="C61" s="717"/>
      <c r="D61" s="717"/>
      <c r="E61" s="717"/>
      <c r="F61" s="717"/>
      <c r="G61" s="717"/>
      <c r="H61" s="717"/>
      <c r="I61" s="717"/>
      <c r="J61" s="717"/>
      <c r="K61" s="718"/>
      <c r="L61" s="716"/>
      <c r="M61" s="717"/>
      <c r="N61" s="717"/>
      <c r="O61" s="717"/>
      <c r="P61" s="717"/>
      <c r="Q61" s="717"/>
      <c r="R61" s="717"/>
      <c r="S61" s="717"/>
      <c r="T61" s="717"/>
      <c r="U61" s="718"/>
      <c r="V61" s="716"/>
      <c r="W61" s="717"/>
      <c r="X61" s="717"/>
      <c r="Y61" s="717"/>
      <c r="Z61" s="717"/>
      <c r="AA61" s="717"/>
      <c r="AB61" s="717"/>
      <c r="AC61" s="717"/>
      <c r="AD61" s="717"/>
      <c r="AE61" s="717"/>
      <c r="AF61" s="717"/>
      <c r="AG61" s="717"/>
      <c r="AH61" s="717"/>
      <c r="AI61" s="717"/>
      <c r="AJ61" s="717"/>
      <c r="AK61" s="717"/>
      <c r="AL61" s="717"/>
      <c r="AM61" s="717"/>
      <c r="AN61" s="717"/>
      <c r="AO61" s="717"/>
      <c r="AP61" s="717"/>
      <c r="AQ61" s="717"/>
      <c r="AR61" s="717"/>
      <c r="AS61" s="717"/>
      <c r="AT61" s="717"/>
      <c r="AU61" s="717"/>
      <c r="AV61" s="717"/>
      <c r="AW61" s="717"/>
      <c r="AX61" s="717"/>
      <c r="AY61" s="717"/>
      <c r="AZ61" s="717"/>
      <c r="BA61" s="717"/>
      <c r="BB61" s="717"/>
      <c r="BC61" s="717"/>
      <c r="BD61" s="717"/>
      <c r="BE61" s="717"/>
      <c r="BF61" s="717"/>
      <c r="BG61" s="717"/>
      <c r="BH61" s="717"/>
      <c r="BI61" s="717"/>
      <c r="BJ61" s="717"/>
      <c r="BK61" s="717"/>
      <c r="BL61" s="718"/>
      <c r="BS61" s="718"/>
      <c r="CJ61" s="716"/>
      <c r="CK61" s="717"/>
      <c r="CL61" s="717"/>
      <c r="CM61" s="717"/>
      <c r="CN61" s="717"/>
      <c r="CO61" s="717"/>
      <c r="CP61" s="717"/>
      <c r="CQ61" s="717"/>
      <c r="CR61" s="717"/>
      <c r="CS61" s="718"/>
      <c r="CT61" s="716"/>
      <c r="CU61" s="717"/>
      <c r="CV61" s="717"/>
      <c r="CW61" s="717"/>
      <c r="CX61" s="717"/>
      <c r="CY61" s="717"/>
      <c r="CZ61" s="717"/>
      <c r="DA61" s="717"/>
      <c r="DB61" s="717"/>
      <c r="DC61" s="717"/>
      <c r="DD61" s="717"/>
      <c r="DE61" s="717"/>
      <c r="DF61" s="717"/>
      <c r="DG61" s="717"/>
      <c r="DH61" s="717"/>
      <c r="DI61" s="717"/>
      <c r="DJ61" s="717"/>
      <c r="DK61" s="717"/>
      <c r="DL61" s="717"/>
      <c r="DM61" s="717"/>
      <c r="DN61" s="717"/>
      <c r="DO61" s="717"/>
      <c r="DP61" s="717"/>
      <c r="DQ61" s="717"/>
      <c r="DR61" s="717"/>
      <c r="DS61" s="717"/>
      <c r="DT61" s="717"/>
      <c r="DU61" s="717"/>
      <c r="DV61" s="717"/>
      <c r="DW61" s="717"/>
      <c r="DX61" s="717"/>
      <c r="DY61" s="718"/>
      <c r="EF61" s="718"/>
    </row>
    <row r="62" spans="2:136">
      <c r="B62" s="716"/>
      <c r="C62" s="717"/>
      <c r="D62" s="717"/>
      <c r="E62" s="717"/>
      <c r="F62" s="717"/>
      <c r="G62" s="717"/>
      <c r="H62" s="717"/>
      <c r="I62" s="717"/>
      <c r="J62" s="717"/>
      <c r="K62" s="718"/>
      <c r="L62" s="716"/>
      <c r="M62" s="717"/>
      <c r="N62" s="717"/>
      <c r="O62" s="717"/>
      <c r="P62" s="717"/>
      <c r="Q62" s="717"/>
      <c r="R62" s="717"/>
      <c r="S62" s="717"/>
      <c r="T62" s="717"/>
      <c r="U62" s="718"/>
      <c r="V62" s="716"/>
      <c r="W62" s="717"/>
      <c r="X62" s="717"/>
      <c r="Y62" s="717"/>
      <c r="Z62" s="717"/>
      <c r="AA62" s="717"/>
      <c r="AB62" s="717"/>
      <c r="AC62" s="717"/>
      <c r="AD62" s="717"/>
      <c r="AE62" s="717"/>
      <c r="AF62" s="717"/>
      <c r="AG62" s="717"/>
      <c r="AH62" s="717"/>
      <c r="AI62" s="717"/>
      <c r="AJ62" s="717"/>
      <c r="AK62" s="717"/>
      <c r="AL62" s="717"/>
      <c r="AM62" s="717"/>
      <c r="AN62" s="717"/>
      <c r="AO62" s="717"/>
      <c r="AP62" s="717"/>
      <c r="AQ62" s="717"/>
      <c r="AR62" s="717"/>
      <c r="AS62" s="717"/>
      <c r="AT62" s="717"/>
      <c r="AU62" s="717"/>
      <c r="AV62" s="717"/>
      <c r="AW62" s="717"/>
      <c r="AX62" s="717"/>
      <c r="AY62" s="717"/>
      <c r="AZ62" s="717"/>
      <c r="BA62" s="717"/>
      <c r="BB62" s="717"/>
      <c r="BC62" s="717"/>
      <c r="BD62" s="717"/>
      <c r="BE62" s="717"/>
      <c r="BF62" s="717"/>
      <c r="BG62" s="717"/>
      <c r="BH62" s="717"/>
      <c r="BI62" s="717"/>
      <c r="BJ62" s="717"/>
      <c r="BK62" s="717"/>
      <c r="BL62" s="718"/>
      <c r="CJ62" s="716"/>
      <c r="CK62" s="717"/>
      <c r="CL62" s="717"/>
      <c r="CM62" s="717"/>
      <c r="CN62" s="717"/>
      <c r="CO62" s="717"/>
      <c r="CP62" s="717"/>
      <c r="CQ62" s="717"/>
      <c r="CR62" s="717"/>
      <c r="CS62" s="718"/>
      <c r="CT62" s="716"/>
      <c r="CU62" s="717"/>
      <c r="CV62" s="717"/>
      <c r="CW62" s="717"/>
      <c r="CX62" s="717"/>
      <c r="CY62" s="717"/>
      <c r="CZ62" s="717"/>
      <c r="DA62" s="717"/>
      <c r="DB62" s="717"/>
      <c r="DC62" s="717"/>
      <c r="DD62" s="717"/>
      <c r="DE62" s="717"/>
      <c r="DF62" s="717"/>
      <c r="DG62" s="717"/>
      <c r="DH62" s="717"/>
      <c r="DI62" s="717"/>
      <c r="DJ62" s="717"/>
      <c r="DK62" s="717"/>
      <c r="DL62" s="717"/>
      <c r="DM62" s="717"/>
      <c r="DN62" s="717"/>
      <c r="DO62" s="717"/>
      <c r="DP62" s="717"/>
      <c r="DQ62" s="717"/>
      <c r="DR62" s="717"/>
      <c r="DS62" s="717"/>
      <c r="DT62" s="717"/>
      <c r="DU62" s="717"/>
      <c r="DV62" s="717"/>
      <c r="DW62" s="717"/>
      <c r="DX62" s="717"/>
      <c r="DY62" s="718"/>
    </row>
    <row r="63" spans="2:136">
      <c r="B63" s="716"/>
      <c r="C63" s="717"/>
      <c r="D63" s="717"/>
      <c r="E63" s="717"/>
      <c r="F63" s="717"/>
      <c r="G63" s="717"/>
      <c r="H63" s="717"/>
      <c r="I63" s="717"/>
      <c r="J63" s="717"/>
      <c r="K63" s="718"/>
      <c r="L63" s="716"/>
      <c r="M63" s="717"/>
      <c r="N63" s="717"/>
      <c r="O63" s="717"/>
      <c r="P63" s="717"/>
      <c r="Q63" s="717"/>
      <c r="R63" s="717"/>
      <c r="S63" s="717"/>
      <c r="T63" s="717"/>
      <c r="U63" s="718"/>
      <c r="V63" s="716"/>
      <c r="W63" s="717"/>
      <c r="X63" s="717"/>
      <c r="Y63" s="717"/>
      <c r="Z63" s="717"/>
      <c r="AA63" s="717"/>
      <c r="AB63" s="717"/>
      <c r="AC63" s="717"/>
      <c r="AD63" s="717"/>
      <c r="AE63" s="717"/>
      <c r="AF63" s="717"/>
      <c r="AG63" s="717"/>
      <c r="AH63" s="717"/>
      <c r="AI63" s="717"/>
      <c r="AJ63" s="717"/>
      <c r="AK63" s="717"/>
      <c r="AL63" s="717"/>
      <c r="AM63" s="717"/>
      <c r="AN63" s="717"/>
      <c r="AO63" s="717"/>
      <c r="AP63" s="717"/>
      <c r="AQ63" s="717"/>
      <c r="AR63" s="717"/>
      <c r="AS63" s="717"/>
      <c r="AT63" s="717"/>
      <c r="AU63" s="717"/>
      <c r="AV63" s="717"/>
      <c r="AW63" s="717"/>
      <c r="AX63" s="717"/>
      <c r="AY63" s="717"/>
      <c r="AZ63" s="717"/>
      <c r="BA63" s="717"/>
      <c r="BB63" s="717"/>
      <c r="BC63" s="717"/>
      <c r="BD63" s="717"/>
      <c r="BE63" s="717"/>
      <c r="BF63" s="717"/>
      <c r="BG63" s="717"/>
      <c r="BH63" s="717"/>
      <c r="BI63" s="717"/>
      <c r="BJ63" s="717"/>
      <c r="BK63" s="717"/>
      <c r="BL63" s="718"/>
      <c r="CJ63" s="716"/>
      <c r="CK63" s="717"/>
      <c r="CL63" s="717"/>
      <c r="CM63" s="717"/>
      <c r="CN63" s="717"/>
      <c r="CO63" s="717"/>
      <c r="CP63" s="717"/>
      <c r="CQ63" s="717"/>
      <c r="CR63" s="717"/>
      <c r="CS63" s="718"/>
      <c r="CT63" s="716"/>
      <c r="CU63" s="717"/>
      <c r="CV63" s="717"/>
      <c r="CW63" s="717"/>
      <c r="CX63" s="717"/>
      <c r="CY63" s="717"/>
      <c r="CZ63" s="717"/>
      <c r="DA63" s="717"/>
      <c r="DB63" s="717"/>
      <c r="DC63" s="717"/>
      <c r="DD63" s="717"/>
      <c r="DE63" s="717"/>
      <c r="DF63" s="717"/>
      <c r="DG63" s="717"/>
      <c r="DH63" s="717"/>
      <c r="DI63" s="717"/>
      <c r="DJ63" s="717"/>
      <c r="DK63" s="717"/>
      <c r="DL63" s="717"/>
      <c r="DM63" s="717"/>
      <c r="DN63" s="717"/>
      <c r="DO63" s="717"/>
      <c r="DP63" s="717"/>
      <c r="DQ63" s="717"/>
      <c r="DR63" s="717"/>
      <c r="DS63" s="717"/>
      <c r="DT63" s="717"/>
      <c r="DU63" s="717"/>
      <c r="DV63" s="717"/>
      <c r="DW63" s="717"/>
      <c r="DX63" s="717"/>
      <c r="DY63" s="718"/>
    </row>
    <row r="64" spans="2:136">
      <c r="B64" s="716"/>
      <c r="C64" s="717"/>
      <c r="D64" s="717"/>
      <c r="E64" s="717"/>
      <c r="F64" s="717"/>
      <c r="G64" s="717"/>
      <c r="H64" s="717"/>
      <c r="I64" s="717"/>
      <c r="J64" s="717"/>
      <c r="K64" s="718"/>
      <c r="L64" s="716"/>
      <c r="M64" s="717"/>
      <c r="N64" s="717"/>
      <c r="O64" s="717"/>
      <c r="P64" s="717"/>
      <c r="Q64" s="717"/>
      <c r="R64" s="717"/>
      <c r="S64" s="717"/>
      <c r="T64" s="717"/>
      <c r="U64" s="718"/>
      <c r="V64" s="716"/>
      <c r="W64" s="717"/>
      <c r="X64" s="717"/>
      <c r="Y64" s="717"/>
      <c r="Z64" s="717"/>
      <c r="AA64" s="717"/>
      <c r="AB64" s="717"/>
      <c r="AC64" s="717"/>
      <c r="AD64" s="717"/>
      <c r="AE64" s="717"/>
      <c r="AF64" s="717"/>
      <c r="AG64" s="717"/>
      <c r="AH64" s="717"/>
      <c r="AI64" s="717"/>
      <c r="AJ64" s="717"/>
      <c r="AK64" s="717"/>
      <c r="AL64" s="717"/>
      <c r="AM64" s="717"/>
      <c r="AN64" s="717"/>
      <c r="AO64" s="717"/>
      <c r="AP64" s="717"/>
      <c r="AQ64" s="717"/>
      <c r="AR64" s="717"/>
      <c r="AS64" s="717"/>
      <c r="AT64" s="717"/>
      <c r="AU64" s="717"/>
      <c r="AV64" s="717"/>
      <c r="AW64" s="717"/>
      <c r="AX64" s="717"/>
      <c r="AY64" s="717"/>
      <c r="AZ64" s="717"/>
      <c r="BA64" s="717"/>
      <c r="BB64" s="717"/>
      <c r="BC64" s="717"/>
      <c r="BD64" s="717"/>
      <c r="BE64" s="717"/>
      <c r="BF64" s="717"/>
      <c r="BG64" s="717"/>
      <c r="BH64" s="717"/>
      <c r="BI64" s="717"/>
      <c r="BJ64" s="717"/>
      <c r="BK64" s="717"/>
      <c r="BL64" s="718"/>
    </row>
    <row r="65" spans="2:64">
      <c r="B65" s="716"/>
      <c r="C65" s="717"/>
      <c r="D65" s="717"/>
      <c r="E65" s="717"/>
      <c r="F65" s="717"/>
      <c r="G65" s="717"/>
      <c r="H65" s="717"/>
      <c r="I65" s="717"/>
      <c r="J65" s="717"/>
      <c r="K65" s="718"/>
      <c r="L65" s="716"/>
      <c r="M65" s="717"/>
      <c r="N65" s="717"/>
      <c r="O65" s="717"/>
      <c r="P65" s="717"/>
      <c r="Q65" s="717"/>
      <c r="R65" s="717"/>
      <c r="S65" s="717"/>
      <c r="T65" s="717"/>
      <c r="U65" s="718"/>
      <c r="V65" s="716"/>
      <c r="W65" s="717"/>
      <c r="X65" s="717"/>
      <c r="Y65" s="717"/>
      <c r="Z65" s="717"/>
      <c r="AA65" s="717"/>
      <c r="AB65" s="717"/>
      <c r="AC65" s="717"/>
      <c r="AD65" s="717"/>
      <c r="AE65" s="717"/>
      <c r="AF65" s="717"/>
      <c r="AG65" s="717"/>
      <c r="AH65" s="717"/>
      <c r="AI65" s="717"/>
      <c r="AJ65" s="717"/>
      <c r="AK65" s="717"/>
      <c r="AL65" s="717"/>
      <c r="AM65" s="717"/>
      <c r="AN65" s="717"/>
      <c r="AO65" s="717"/>
      <c r="AP65" s="717"/>
      <c r="AQ65" s="717"/>
      <c r="AR65" s="717"/>
      <c r="AS65" s="717"/>
      <c r="AT65" s="717"/>
      <c r="AU65" s="717"/>
      <c r="AV65" s="717"/>
      <c r="AW65" s="717"/>
      <c r="AX65" s="717"/>
      <c r="AY65" s="717"/>
      <c r="AZ65" s="717"/>
      <c r="BA65" s="717"/>
      <c r="BB65" s="717"/>
      <c r="BC65" s="717"/>
      <c r="BD65" s="717"/>
      <c r="BE65" s="717"/>
      <c r="BF65" s="717"/>
      <c r="BG65" s="717"/>
      <c r="BH65" s="717"/>
      <c r="BI65" s="717"/>
      <c r="BJ65" s="717"/>
      <c r="BK65" s="717"/>
      <c r="BL65" s="718"/>
    </row>
    <row r="66" spans="2:64">
      <c r="B66" s="84"/>
      <c r="C66" s="85"/>
      <c r="D66" s="85"/>
      <c r="E66" s="85"/>
      <c r="F66" s="717"/>
      <c r="G66" s="85"/>
      <c r="H66" s="85"/>
      <c r="I66" s="85"/>
      <c r="J66" s="85"/>
      <c r="K66" s="718"/>
      <c r="L66" s="84"/>
      <c r="M66" s="85"/>
      <c r="N66" s="85"/>
      <c r="O66" s="85"/>
      <c r="P66" s="717"/>
      <c r="Q66" s="85"/>
      <c r="R66" s="85"/>
      <c r="S66" s="85"/>
      <c r="T66" s="85"/>
      <c r="U66" s="718"/>
      <c r="V66" s="84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718"/>
    </row>
    <row r="67" spans="2:64">
      <c r="B67" s="84"/>
      <c r="C67" s="84"/>
      <c r="D67" s="84"/>
      <c r="E67" s="84"/>
      <c r="F67" s="717"/>
      <c r="G67" s="85"/>
      <c r="H67" s="85"/>
      <c r="I67" s="85"/>
      <c r="J67" s="85"/>
      <c r="K67" s="718"/>
      <c r="L67" s="84"/>
      <c r="M67" s="84"/>
      <c r="N67" s="84"/>
      <c r="O67" s="84"/>
      <c r="P67" s="717"/>
      <c r="Q67" s="85"/>
      <c r="R67" s="85"/>
      <c r="S67" s="85"/>
      <c r="T67" s="85"/>
      <c r="U67" s="718"/>
      <c r="V67" s="84"/>
      <c r="W67" s="84"/>
      <c r="X67" s="84"/>
      <c r="Y67" s="84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718"/>
    </row>
    <row r="68" spans="2:64">
      <c r="B68" s="84"/>
      <c r="C68" s="84"/>
      <c r="D68" s="84"/>
      <c r="E68" s="84"/>
      <c r="F68" s="717"/>
      <c r="G68" s="85"/>
      <c r="H68" s="85"/>
      <c r="I68" s="85"/>
      <c r="J68" s="85"/>
      <c r="K68" s="718"/>
      <c r="L68" s="84"/>
      <c r="M68" s="84"/>
      <c r="N68" s="84"/>
      <c r="O68" s="84"/>
      <c r="P68" s="717"/>
      <c r="Q68" s="85"/>
      <c r="R68" s="85"/>
      <c r="S68" s="85"/>
      <c r="T68" s="85"/>
      <c r="U68" s="718"/>
      <c r="V68" s="84"/>
      <c r="W68" s="84"/>
      <c r="X68" s="84"/>
      <c r="Y68" s="84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718"/>
    </row>
  </sheetData>
  <mergeCells count="16">
    <mergeCell ref="EG2:EK2"/>
    <mergeCell ref="EN2:ER2"/>
    <mergeCell ref="CJ2:CR2"/>
    <mergeCell ref="CT2:DB2"/>
    <mergeCell ref="DZ2:ED2"/>
    <mergeCell ref="DD2:DM2"/>
    <mergeCell ref="DO2:DX2"/>
    <mergeCell ref="B2:H2"/>
    <mergeCell ref="L2:R2"/>
    <mergeCell ref="V2:AD2"/>
    <mergeCell ref="BM2:BQ2"/>
    <mergeCell ref="CA2:CE2"/>
    <mergeCell ref="BT2:BX2"/>
    <mergeCell ref="AF2:AO2"/>
    <mergeCell ref="AQ2:AZ2"/>
    <mergeCell ref="BB2:BK2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2882C-FD02-4C07-BC36-9F7BCA9FB74C}">
  <sheetPr codeName="Sheet38"/>
  <dimension ref="B1:BL144"/>
  <sheetViews>
    <sheetView workbookViewId="0">
      <selection activeCell="J24" sqref="J24"/>
    </sheetView>
  </sheetViews>
  <sheetFormatPr defaultColWidth="8.5703125" defaultRowHeight="14.25"/>
  <cols>
    <col min="1" max="1" width="8.5703125" style="330"/>
    <col min="2" max="2" width="26.140625" style="330" bestFit="1" customWidth="1"/>
    <col min="3" max="3" width="17.5703125" style="330" customWidth="1"/>
    <col min="4" max="4" width="19.42578125" style="330" bestFit="1" customWidth="1"/>
    <col min="5" max="6" width="18.85546875" style="330" bestFit="1" customWidth="1"/>
    <col min="7" max="7" width="19" style="330" bestFit="1" customWidth="1"/>
    <col min="8" max="8" width="17.42578125" style="330" customWidth="1"/>
    <col min="9" max="9" width="18.85546875" style="330" customWidth="1"/>
    <col min="10" max="13" width="13.5703125" style="330" customWidth="1"/>
    <col min="14" max="16" width="9.140625" style="330" customWidth="1"/>
    <col min="17" max="17" width="17.5703125" style="330" bestFit="1" customWidth="1"/>
    <col min="18" max="18" width="15.42578125" style="330" bestFit="1" customWidth="1"/>
    <col min="19" max="19" width="26.42578125" style="330" bestFit="1" customWidth="1"/>
    <col min="20" max="20" width="12.5703125" style="330" customWidth="1"/>
    <col min="21" max="21" width="16.42578125" style="330" customWidth="1"/>
    <col min="22" max="22" width="13.42578125" style="330" bestFit="1" customWidth="1"/>
    <col min="23" max="23" width="13.140625" style="330" customWidth="1"/>
    <col min="24" max="24" width="12.42578125" style="330" bestFit="1" customWidth="1"/>
    <col min="25" max="25" width="13.5703125" style="330" customWidth="1"/>
    <col min="26" max="26" width="13.85546875" style="330" customWidth="1"/>
    <col min="27" max="28" width="14.42578125" style="330" customWidth="1"/>
    <col min="29" max="30" width="13.5703125" style="330" bestFit="1" customWidth="1"/>
    <col min="31" max="31" width="13" style="330" customWidth="1"/>
    <col min="32" max="32" width="15.42578125" style="330" bestFit="1" customWidth="1"/>
    <col min="33" max="33" width="26.42578125" style="330" bestFit="1" customWidth="1"/>
    <col min="34" max="34" width="12.5703125" style="330" customWidth="1"/>
    <col min="35" max="35" width="16.42578125" style="330" customWidth="1"/>
    <col min="36" max="36" width="13.42578125" style="330" bestFit="1" customWidth="1"/>
    <col min="37" max="37" width="13.5703125" style="330" bestFit="1" customWidth="1"/>
    <col min="38" max="38" width="13.42578125" style="330" bestFit="1" customWidth="1"/>
    <col min="39" max="39" width="13.5703125" style="330" customWidth="1"/>
    <col min="40" max="40" width="16.140625" style="330" customWidth="1"/>
    <col min="41" max="42" width="14.5703125" style="330" customWidth="1"/>
    <col min="43" max="44" width="13.42578125" style="330" bestFit="1" customWidth="1"/>
    <col min="45" max="16384" width="8.5703125" style="330"/>
  </cols>
  <sheetData>
    <row r="1" spans="2:64" ht="15">
      <c r="C1" s="344" t="s">
        <v>145</v>
      </c>
      <c r="V1" s="344"/>
      <c r="AJ1" s="344"/>
      <c r="AX1" s="550"/>
      <c r="AY1" s="437"/>
      <c r="AZ1" s="437"/>
      <c r="BA1" s="437"/>
      <c r="BB1" s="437"/>
      <c r="BC1" s="437"/>
      <c r="BD1" s="551" t="s">
        <v>561</v>
      </c>
      <c r="BE1" s="437"/>
      <c r="BF1" s="437"/>
      <c r="BG1" s="437"/>
      <c r="BH1" s="437"/>
      <c r="BI1" s="437"/>
      <c r="BJ1" s="437"/>
      <c r="BK1" s="437"/>
      <c r="BL1" s="440"/>
    </row>
    <row r="2" spans="2:64" ht="15">
      <c r="B2" s="173"/>
      <c r="C2" s="548" t="s">
        <v>663</v>
      </c>
      <c r="D2" s="178"/>
      <c r="E2" s="549"/>
      <c r="F2" s="543" t="s">
        <v>664</v>
      </c>
      <c r="G2" s="872" t="s">
        <v>665</v>
      </c>
      <c r="H2" s="873"/>
      <c r="I2" s="874"/>
      <c r="J2" s="875"/>
      <c r="K2" s="876"/>
      <c r="L2" s="876"/>
      <c r="M2" s="877"/>
      <c r="T2" s="344" t="s">
        <v>146</v>
      </c>
      <c r="U2" s="344"/>
      <c r="V2" s="344"/>
      <c r="W2" s="344"/>
      <c r="AH2" s="344" t="s">
        <v>146</v>
      </c>
      <c r="AI2" s="344"/>
      <c r="AJ2" s="344"/>
      <c r="AK2" s="344"/>
      <c r="AX2" s="159"/>
      <c r="AY2" s="871" t="s">
        <v>562</v>
      </c>
      <c r="AZ2" s="871"/>
      <c r="BA2" s="871"/>
      <c r="BB2" s="871"/>
      <c r="BC2" s="871"/>
      <c r="BL2" s="158"/>
    </row>
    <row r="3" spans="2:64" ht="15">
      <c r="B3" s="173"/>
      <c r="C3" s="454">
        <v>2021</v>
      </c>
      <c r="D3" s="455">
        <v>2022</v>
      </c>
      <c r="E3" s="456">
        <v>2023</v>
      </c>
      <c r="F3" s="544">
        <v>2024</v>
      </c>
      <c r="G3" s="534">
        <v>2025</v>
      </c>
      <c r="H3" s="213">
        <v>2026</v>
      </c>
      <c r="I3" s="535">
        <v>2027</v>
      </c>
      <c r="J3" s="534">
        <v>2028</v>
      </c>
      <c r="K3" s="213">
        <v>2029</v>
      </c>
      <c r="L3" s="213">
        <v>2030</v>
      </c>
      <c r="M3" s="535">
        <v>2031</v>
      </c>
      <c r="N3" s="173" t="s">
        <v>202</v>
      </c>
      <c r="O3" s="173" t="s">
        <v>203</v>
      </c>
      <c r="P3" s="173"/>
      <c r="T3" s="344">
        <v>2021</v>
      </c>
      <c r="U3" s="344">
        <v>2022</v>
      </c>
      <c r="V3" s="344">
        <v>2023</v>
      </c>
      <c r="W3" s="344">
        <v>2024</v>
      </c>
      <c r="X3" s="344">
        <v>2025</v>
      </c>
      <c r="Y3" s="344">
        <v>2026</v>
      </c>
      <c r="Z3" s="344">
        <v>2027</v>
      </c>
      <c r="AA3" s="344">
        <v>2028</v>
      </c>
      <c r="AB3" s="344">
        <v>2029</v>
      </c>
      <c r="AC3" s="344">
        <v>2030</v>
      </c>
      <c r="AD3" s="344">
        <v>2031</v>
      </c>
      <c r="AE3" s="344"/>
      <c r="AH3" s="344">
        <v>2021</v>
      </c>
      <c r="AI3" s="344">
        <v>2022</v>
      </c>
      <c r="AJ3" s="344">
        <v>2023</v>
      </c>
      <c r="AK3" s="344">
        <v>2024</v>
      </c>
      <c r="AL3" s="344">
        <v>2025</v>
      </c>
      <c r="AM3" s="344">
        <v>2026</v>
      </c>
      <c r="AN3" s="344">
        <v>2027</v>
      </c>
      <c r="AO3" s="344">
        <v>2028</v>
      </c>
      <c r="AP3" s="344">
        <v>2029</v>
      </c>
      <c r="AQ3" s="344">
        <v>2030</v>
      </c>
      <c r="AR3" s="344">
        <v>2031</v>
      </c>
      <c r="AX3" s="159"/>
      <c r="AZ3" s="553">
        <v>2021</v>
      </c>
      <c r="BA3" s="553">
        <v>2022</v>
      </c>
      <c r="BB3" s="553">
        <v>2023</v>
      </c>
      <c r="BC3" s="553">
        <v>2024</v>
      </c>
      <c r="BE3" s="344" t="s">
        <v>563</v>
      </c>
      <c r="BF3" s="213" t="s">
        <v>564</v>
      </c>
      <c r="BG3" s="213" t="s">
        <v>565</v>
      </c>
      <c r="BH3" s="213"/>
      <c r="BI3" s="344" t="s">
        <v>566</v>
      </c>
      <c r="BJ3" s="344" t="s">
        <v>567</v>
      </c>
      <c r="BL3" s="158"/>
    </row>
    <row r="4" spans="2:64">
      <c r="B4" s="173" t="s">
        <v>147</v>
      </c>
      <c r="C4" s="457">
        <f>BE4</f>
        <v>416.5</v>
      </c>
      <c r="D4" s="148">
        <f>BF4-BE4</f>
        <v>624.29999999999995</v>
      </c>
      <c r="E4" s="458">
        <f>BG4-BF4</f>
        <v>162.20000000000005</v>
      </c>
      <c r="F4" s="545">
        <v>560</v>
      </c>
      <c r="G4" s="536">
        <v>446</v>
      </c>
      <c r="H4" s="537">
        <v>519</v>
      </c>
      <c r="I4" s="538">
        <v>476</v>
      </c>
      <c r="J4" s="542">
        <f>AVERAGE(G4:I4)</f>
        <v>480.33333333333331</v>
      </c>
      <c r="K4" s="537">
        <f>J4</f>
        <v>480.33333333333331</v>
      </c>
      <c r="L4" s="537">
        <f t="shared" ref="L4:L9" si="0">K4</f>
        <v>480.33333333333331</v>
      </c>
      <c r="M4" s="538">
        <f t="shared" ref="M4:M9" si="1">L4</f>
        <v>480.33333333333331</v>
      </c>
      <c r="N4" s="212">
        <f>U59*$H$110+(V59+W59)*$H$116+X59*$H$122</f>
        <v>2.3364220884678218E-2</v>
      </c>
      <c r="O4" s="212">
        <f>AH59*$H$111+(AI59+AJ59)*$H$117</f>
        <v>8.1716455348515692E-3</v>
      </c>
      <c r="P4" s="359" t="s">
        <v>148</v>
      </c>
      <c r="R4" s="211"/>
      <c r="S4" s="173" t="s">
        <v>147</v>
      </c>
      <c r="T4" s="358">
        <f t="shared" ref="T4:Z8" si="2">C4*$N4*1000000</f>
        <v>9731197.9984684773</v>
      </c>
      <c r="U4" s="358">
        <f t="shared" si="2"/>
        <v>14586283.098304611</v>
      </c>
      <c r="V4" s="358">
        <f t="shared" si="2"/>
        <v>3789676.6274948083</v>
      </c>
      <c r="W4" s="358">
        <f t="shared" si="2"/>
        <v>13083963.695419803</v>
      </c>
      <c r="X4" s="358">
        <f t="shared" si="2"/>
        <v>10420442.514566485</v>
      </c>
      <c r="Y4" s="358">
        <f t="shared" si="2"/>
        <v>12126030.639147995</v>
      </c>
      <c r="Z4" s="358">
        <f t="shared" si="2"/>
        <v>11121369.141106831</v>
      </c>
      <c r="AA4" s="358">
        <f t="shared" ref="AA4:AD17" si="3">J4*$N4*1000000</f>
        <v>11222614.098273769</v>
      </c>
      <c r="AB4" s="358">
        <f t="shared" si="3"/>
        <v>11222614.098273769</v>
      </c>
      <c r="AC4" s="358">
        <f t="shared" si="3"/>
        <v>11222614.098273769</v>
      </c>
      <c r="AD4" s="358">
        <f t="shared" si="3"/>
        <v>11222614.098273769</v>
      </c>
      <c r="AE4" s="358"/>
      <c r="AF4" s="211"/>
      <c r="AG4" s="173" t="str">
        <f>S4</f>
        <v>Retrofit</v>
      </c>
      <c r="AH4" s="358">
        <f t="shared" ref="AH4:AO4" si="4">C4*$O4*1000000</f>
        <v>3403490.3652656786</v>
      </c>
      <c r="AI4" s="358">
        <f t="shared" si="4"/>
        <v>5101558.3074078346</v>
      </c>
      <c r="AJ4" s="358">
        <f t="shared" si="4"/>
        <v>1325440.9057529247</v>
      </c>
      <c r="AK4" s="358">
        <f t="shared" si="4"/>
        <v>4576121.4995168792</v>
      </c>
      <c r="AL4" s="358">
        <f t="shared" si="4"/>
        <v>3644553.9085438</v>
      </c>
      <c r="AM4" s="358">
        <f t="shared" si="4"/>
        <v>4241084.0325879641</v>
      </c>
      <c r="AN4" s="358">
        <f t="shared" si="4"/>
        <v>3889703.2745893472</v>
      </c>
      <c r="AO4" s="358">
        <f t="shared" si="4"/>
        <v>3925113.7385737034</v>
      </c>
      <c r="AP4" s="358">
        <f>AO4</f>
        <v>3925113.7385737034</v>
      </c>
      <c r="AQ4" s="358">
        <f t="shared" ref="AQ4:AR4" si="5">AP4</f>
        <v>3925113.7385737034</v>
      </c>
      <c r="AR4" s="358">
        <f t="shared" si="5"/>
        <v>3925113.7385737034</v>
      </c>
      <c r="AX4" s="159"/>
      <c r="AY4" s="554" t="s">
        <v>147</v>
      </c>
      <c r="AZ4" s="555">
        <v>322</v>
      </c>
      <c r="BA4" s="555">
        <v>570</v>
      </c>
      <c r="BB4" s="555">
        <v>359</v>
      </c>
      <c r="BC4" s="555">
        <v>560</v>
      </c>
      <c r="BE4" s="330">
        <v>416.5</v>
      </c>
      <c r="BF4" s="330">
        <f>1040.8</f>
        <v>1040.8</v>
      </c>
      <c r="BG4" s="556">
        <f>1014.8+188.2</f>
        <v>1203</v>
      </c>
      <c r="BH4" s="556"/>
      <c r="BI4" s="557">
        <f t="shared" ref="BI4:BI8" si="6">SUM(AZ4:BB4)</f>
        <v>1251</v>
      </c>
      <c r="BJ4" s="558">
        <f>BG4/BI4</f>
        <v>0.9616306954436451</v>
      </c>
      <c r="BL4" s="158"/>
    </row>
    <row r="5" spans="2:64">
      <c r="B5" s="210" t="s">
        <v>149</v>
      </c>
      <c r="C5" s="459">
        <f t="shared" ref="C5:C17" si="7">BE5</f>
        <v>11.6</v>
      </c>
      <c r="D5" s="460">
        <f t="shared" ref="D5:D17" si="8">BF5-BE5</f>
        <v>5.0999999999999996</v>
      </c>
      <c r="E5" s="461">
        <f t="shared" ref="E5:E17" si="9">BG5-BF5</f>
        <v>7.1999999999999993</v>
      </c>
      <c r="F5" s="546">
        <v>65</v>
      </c>
      <c r="G5" s="536">
        <v>14</v>
      </c>
      <c r="H5" s="537">
        <v>15</v>
      </c>
      <c r="I5" s="538">
        <v>16</v>
      </c>
      <c r="J5" s="542" cm="1">
        <f t="array" ref="J5">TREND($G5:$I5,$G$3:$I$3,J$3)</f>
        <v>17</v>
      </c>
      <c r="K5" s="537" cm="1">
        <f t="array" ref="K5">TREND($G5:$I5,$G$3:$I$3,K$3)</f>
        <v>18</v>
      </c>
      <c r="L5" s="537" cm="1">
        <f t="array" ref="L5">TREND($G5:$I5,$G$3:$I$3,L$3)</f>
        <v>19</v>
      </c>
      <c r="M5" s="538" cm="1">
        <f t="array" ref="M5">TREND($G5:$I5,$G$3:$I$3,M$3)</f>
        <v>20</v>
      </c>
      <c r="N5" s="212">
        <f>U60*$H$110+(V60+W60)*$H$116+X60*$H$122</f>
        <v>2.0772526401751451E-2</v>
      </c>
      <c r="O5" s="212">
        <f>AH60*$H$111+(AI60+AJ60)*$H$117</f>
        <v>6.4848401861346723E-3</v>
      </c>
      <c r="P5" s="359" t="str">
        <f>P4</f>
        <v>% of provincial kWh</v>
      </c>
      <c r="R5" s="359"/>
      <c r="S5" s="210" t="s">
        <v>149</v>
      </c>
      <c r="T5" s="358">
        <f t="shared" si="2"/>
        <v>240961.30626031684</v>
      </c>
      <c r="U5" s="358">
        <f t="shared" si="2"/>
        <v>105939.88464893239</v>
      </c>
      <c r="V5" s="358">
        <f t="shared" si="2"/>
        <v>149562.19009261043</v>
      </c>
      <c r="W5" s="358">
        <f t="shared" si="2"/>
        <v>1350214.2161138444</v>
      </c>
      <c r="X5" s="358">
        <f t="shared" si="2"/>
        <v>290815.3696245203</v>
      </c>
      <c r="Y5" s="358">
        <f t="shared" si="2"/>
        <v>311587.8960262718</v>
      </c>
      <c r="Z5" s="358">
        <f t="shared" si="2"/>
        <v>332360.42242802324</v>
      </c>
      <c r="AA5" s="358">
        <f t="shared" si="3"/>
        <v>353132.94882977463</v>
      </c>
      <c r="AB5" s="358">
        <f t="shared" si="3"/>
        <v>373905.47523152613</v>
      </c>
      <c r="AC5" s="358">
        <f t="shared" si="3"/>
        <v>394678.00163327757</v>
      </c>
      <c r="AD5" s="358">
        <f t="shared" si="3"/>
        <v>415450.52803502901</v>
      </c>
      <c r="AE5" s="358"/>
      <c r="AF5" s="359"/>
      <c r="AG5" s="173" t="str">
        <f t="shared" ref="AG5:AG17" si="10">S5</f>
        <v>Small Business</v>
      </c>
      <c r="AH5" s="358">
        <f t="shared" ref="AH5:AH17" si="11">C5*$O5*1000000</f>
        <v>75224.146159162206</v>
      </c>
      <c r="AI5" s="358">
        <f t="shared" ref="AI5:AI17" si="12">D5*$O5*1000000</f>
        <v>33072.684949286828</v>
      </c>
      <c r="AJ5" s="358">
        <f t="shared" ref="AJ5:AJ17" si="13">E5*$O5*1000000</f>
        <v>46690.849340169632</v>
      </c>
      <c r="AK5" s="358">
        <f t="shared" ref="AK5:AK17" si="14">F5*$O5*1000000</f>
        <v>421514.61209875369</v>
      </c>
      <c r="AL5" s="358">
        <f t="shared" ref="AL5:AL17" si="15">G5*$O5*1000000</f>
        <v>90787.762605885422</v>
      </c>
      <c r="AM5" s="358">
        <f t="shared" ref="AM5:AM17" si="16">H5*$O5*1000000</f>
        <v>97272.602792020087</v>
      </c>
      <c r="AN5" s="358">
        <f t="shared" ref="AN5:AN17" si="17">I5*$O5*1000000</f>
        <v>103757.44297815475</v>
      </c>
      <c r="AO5" s="358">
        <f t="shared" ref="AO5:AO17" si="18">J5*$O5*1000000</f>
        <v>110242.28316428943</v>
      </c>
      <c r="AP5" s="358">
        <f t="shared" ref="AP5:AP17" si="19">AO5</f>
        <v>110242.28316428943</v>
      </c>
      <c r="AQ5" s="358">
        <f t="shared" ref="AQ5:AQ17" si="20">AP5</f>
        <v>110242.28316428943</v>
      </c>
      <c r="AR5" s="358">
        <f t="shared" ref="AR5:AR17" si="21">AQ5</f>
        <v>110242.28316428943</v>
      </c>
      <c r="AX5" s="159"/>
      <c r="AY5" s="554" t="s">
        <v>149</v>
      </c>
      <c r="AZ5" s="555">
        <v>10</v>
      </c>
      <c r="BA5" s="555">
        <v>4</v>
      </c>
      <c r="BB5" s="555">
        <v>20</v>
      </c>
      <c r="BC5" s="555">
        <v>65</v>
      </c>
      <c r="BE5" s="330">
        <v>11.6</v>
      </c>
      <c r="BF5" s="330">
        <v>16.7</v>
      </c>
      <c r="BG5" s="556">
        <v>23.9</v>
      </c>
      <c r="BH5" s="556"/>
      <c r="BI5" s="557">
        <f t="shared" si="6"/>
        <v>34</v>
      </c>
      <c r="BJ5" s="558">
        <f>BG5/BI5</f>
        <v>0.70294117647058818</v>
      </c>
      <c r="BL5" s="158"/>
    </row>
    <row r="6" spans="2:64">
      <c r="B6" s="173" t="s">
        <v>150</v>
      </c>
      <c r="C6" s="457">
        <f t="shared" si="7"/>
        <v>12.6</v>
      </c>
      <c r="D6" s="148">
        <f t="shared" si="8"/>
        <v>19.600000000000001</v>
      </c>
      <c r="E6" s="458">
        <f t="shared" si="9"/>
        <v>5.6999999999999957</v>
      </c>
      <c r="F6" s="545">
        <v>54</v>
      </c>
      <c r="G6" s="536"/>
      <c r="H6" s="537"/>
      <c r="I6" s="538"/>
      <c r="J6" s="542">
        <f t="shared" ref="J6:J17" si="22">I6</f>
        <v>0</v>
      </c>
      <c r="K6" s="537">
        <f t="shared" ref="K6:K9" si="23">J6</f>
        <v>0</v>
      </c>
      <c r="L6" s="537">
        <f t="shared" si="0"/>
        <v>0</v>
      </c>
      <c r="M6" s="538">
        <f t="shared" si="1"/>
        <v>0</v>
      </c>
      <c r="N6" s="212">
        <f>U61*$H$110+(V61+W61)*$H$116+X61*$H$122</f>
        <v>2.9973546755006884E-2</v>
      </c>
      <c r="O6" s="212">
        <f>AH61*$H$111+(AI61+AJ61)*$H$117</f>
        <v>8.1176465874544662E-3</v>
      </c>
      <c r="P6" s="359" t="str">
        <f>P5</f>
        <v>% of provincial kWh</v>
      </c>
      <c r="R6" s="359"/>
      <c r="S6" s="173" t="s">
        <v>150</v>
      </c>
      <c r="T6" s="358">
        <f t="shared" si="2"/>
        <v>377666.68911308673</v>
      </c>
      <c r="U6" s="358">
        <f t="shared" si="2"/>
        <v>587481.51639813499</v>
      </c>
      <c r="V6" s="358">
        <f t="shared" si="2"/>
        <v>170849.21650353909</v>
      </c>
      <c r="W6" s="358">
        <f t="shared" si="2"/>
        <v>1618571.5247703718</v>
      </c>
      <c r="X6" s="358">
        <f t="shared" si="2"/>
        <v>0</v>
      </c>
      <c r="Y6" s="358">
        <f t="shared" si="2"/>
        <v>0</v>
      </c>
      <c r="Z6" s="358">
        <f t="shared" si="2"/>
        <v>0</v>
      </c>
      <c r="AA6" s="358">
        <f>J6*$N6*1000000</f>
        <v>0</v>
      </c>
      <c r="AB6" s="358">
        <f t="shared" si="3"/>
        <v>0</v>
      </c>
      <c r="AC6" s="358">
        <f t="shared" si="3"/>
        <v>0</v>
      </c>
      <c r="AD6" s="358">
        <f t="shared" si="3"/>
        <v>0</v>
      </c>
      <c r="AE6" s="358"/>
      <c r="AF6" s="359"/>
      <c r="AG6" s="173" t="str">
        <f t="shared" si="10"/>
        <v xml:space="preserve">Energy Performance </v>
      </c>
      <c r="AH6" s="358">
        <f t="shared" si="11"/>
        <v>102282.34700192627</v>
      </c>
      <c r="AI6" s="358">
        <f t="shared" si="12"/>
        <v>159105.87311410753</v>
      </c>
      <c r="AJ6" s="358">
        <f t="shared" si="13"/>
        <v>46270.585548490424</v>
      </c>
      <c r="AK6" s="358">
        <f t="shared" si="14"/>
        <v>438352.91572254122</v>
      </c>
      <c r="AL6" s="358">
        <f t="shared" si="15"/>
        <v>0</v>
      </c>
      <c r="AM6" s="358">
        <f t="shared" si="16"/>
        <v>0</v>
      </c>
      <c r="AN6" s="358">
        <f t="shared" si="17"/>
        <v>0</v>
      </c>
      <c r="AO6" s="358">
        <f t="shared" si="18"/>
        <v>0</v>
      </c>
      <c r="AP6" s="358">
        <f t="shared" si="19"/>
        <v>0</v>
      </c>
      <c r="AQ6" s="358">
        <f t="shared" si="20"/>
        <v>0</v>
      </c>
      <c r="AR6" s="358">
        <f t="shared" si="21"/>
        <v>0</v>
      </c>
      <c r="AX6" s="159"/>
      <c r="AY6" s="554" t="s">
        <v>150</v>
      </c>
      <c r="AZ6" s="555">
        <v>16</v>
      </c>
      <c r="BA6" s="555">
        <v>20</v>
      </c>
      <c r="BB6" s="555">
        <v>50</v>
      </c>
      <c r="BC6" s="555">
        <v>54</v>
      </c>
      <c r="BE6" s="330">
        <v>12.6</v>
      </c>
      <c r="BF6" s="330">
        <v>32.200000000000003</v>
      </c>
      <c r="BG6" s="556">
        <v>37.9</v>
      </c>
      <c r="BH6" s="556"/>
      <c r="BI6" s="557">
        <f t="shared" si="6"/>
        <v>86</v>
      </c>
      <c r="BJ6" s="558">
        <f>BG6/BI6</f>
        <v>0.44069767441860463</v>
      </c>
      <c r="BL6" s="158"/>
    </row>
    <row r="7" spans="2:64">
      <c r="B7" s="210" t="s">
        <v>151</v>
      </c>
      <c r="C7" s="459">
        <f t="shared" si="7"/>
        <v>0.8</v>
      </c>
      <c r="D7" s="460">
        <f t="shared" si="8"/>
        <v>14.899999999999999</v>
      </c>
      <c r="E7" s="461">
        <f t="shared" si="9"/>
        <v>-5.7999999999999989</v>
      </c>
      <c r="F7" s="546">
        <v>96</v>
      </c>
      <c r="G7" s="536">
        <v>52</v>
      </c>
      <c r="H7" s="537">
        <v>59</v>
      </c>
      <c r="I7" s="538">
        <v>64</v>
      </c>
      <c r="J7" s="542" cm="1">
        <f t="array" ref="J7">TREND($G7:$I7,$G$3:$I$3,J$3)</f>
        <v>70.33333333333394</v>
      </c>
      <c r="K7" s="537" cm="1">
        <f t="array" ref="K7">TREND($G7:$I7,$G$3:$I$3,K$3)</f>
        <v>76.33333333333394</v>
      </c>
      <c r="L7" s="537" cm="1">
        <f t="array" ref="L7">TREND($G7:$I7,$G$3:$I$3,L$3)</f>
        <v>82.33333333333394</v>
      </c>
      <c r="M7" s="538" cm="1">
        <f t="array" ref="M7">TREND($G7:$I7,$G$3:$I$3,M$3)</f>
        <v>88.33333333333394</v>
      </c>
      <c r="N7" s="212">
        <f>U62*$H$110+(V62+W62)*$H$116+X62*$H$122</f>
        <v>2.9973546755006884E-2</v>
      </c>
      <c r="O7" s="212">
        <f>AH62*$H$111+(AI62+AJ62)*$H$117</f>
        <v>8.1176465874544662E-3</v>
      </c>
      <c r="P7" s="359" t="str">
        <f>P6</f>
        <v>% of provincial kWh</v>
      </c>
      <c r="R7" s="330" t="s">
        <v>152</v>
      </c>
      <c r="S7" s="210" t="s">
        <v>151</v>
      </c>
      <c r="T7" s="358">
        <f t="shared" si="2"/>
        <v>23978.83740400551</v>
      </c>
      <c r="U7" s="358">
        <f t="shared" si="2"/>
        <v>446605.84664960252</v>
      </c>
      <c r="V7" s="358">
        <f t="shared" si="2"/>
        <v>-173846.57117903989</v>
      </c>
      <c r="W7" s="358">
        <f t="shared" si="2"/>
        <v>2877460.4884806611</v>
      </c>
      <c r="X7" s="358">
        <f t="shared" si="2"/>
        <v>1558624.4312603578</v>
      </c>
      <c r="Y7" s="358">
        <f t="shared" si="2"/>
        <v>1768439.2585454062</v>
      </c>
      <c r="Z7" s="358">
        <f t="shared" si="2"/>
        <v>1918306.9923204405</v>
      </c>
      <c r="AA7" s="358">
        <f t="shared" si="3"/>
        <v>2108139.455102169</v>
      </c>
      <c r="AB7" s="358">
        <f t="shared" si="3"/>
        <v>2287980.7356322105</v>
      </c>
      <c r="AC7" s="358">
        <f t="shared" si="3"/>
        <v>2467822.0161622516</v>
      </c>
      <c r="AD7" s="358">
        <f t="shared" si="3"/>
        <v>2647663.2966922931</v>
      </c>
      <c r="AE7" s="358"/>
      <c r="AF7" s="330" t="s">
        <v>152</v>
      </c>
      <c r="AG7" s="173" t="str">
        <f t="shared" si="10"/>
        <v>Energy Management</v>
      </c>
      <c r="AH7" s="358">
        <f t="shared" si="11"/>
        <v>6494.1172699635727</v>
      </c>
      <c r="AI7" s="358">
        <f t="shared" si="12"/>
        <v>120952.93415307155</v>
      </c>
      <c r="AJ7" s="358">
        <f t="shared" si="13"/>
        <v>-47082.350207235897</v>
      </c>
      <c r="AK7" s="358">
        <f t="shared" si="14"/>
        <v>779294.07239562878</v>
      </c>
      <c r="AL7" s="358">
        <f t="shared" si="15"/>
        <v>422117.62254763226</v>
      </c>
      <c r="AM7" s="358">
        <f t="shared" si="16"/>
        <v>478941.14865981351</v>
      </c>
      <c r="AN7" s="358">
        <f t="shared" si="17"/>
        <v>519529.38159708586</v>
      </c>
      <c r="AO7" s="358">
        <f t="shared" si="18"/>
        <v>570941.14331763564</v>
      </c>
      <c r="AP7" s="358">
        <f t="shared" si="19"/>
        <v>570941.14331763564</v>
      </c>
      <c r="AQ7" s="358">
        <f t="shared" si="20"/>
        <v>570941.14331763564</v>
      </c>
      <c r="AR7" s="358">
        <f t="shared" si="21"/>
        <v>570941.14331763564</v>
      </c>
      <c r="AX7" s="159"/>
      <c r="AY7" s="554" t="s">
        <v>151</v>
      </c>
      <c r="AZ7" s="555">
        <v>1</v>
      </c>
      <c r="BA7" s="555">
        <v>15</v>
      </c>
      <c r="BB7" s="555">
        <v>29</v>
      </c>
      <c r="BC7" s="555">
        <v>96</v>
      </c>
      <c r="BE7" s="330">
        <v>0.8</v>
      </c>
      <c r="BF7" s="330">
        <v>15.7</v>
      </c>
      <c r="BG7" s="556">
        <v>9.9</v>
      </c>
      <c r="BH7" s="556"/>
      <c r="BI7" s="557">
        <f t="shared" si="6"/>
        <v>45</v>
      </c>
      <c r="BJ7" s="558">
        <f>BG7/BI7</f>
        <v>0.22</v>
      </c>
      <c r="BL7" s="158"/>
    </row>
    <row r="8" spans="2:64">
      <c r="B8" s="173" t="s">
        <v>153</v>
      </c>
      <c r="C8" s="457">
        <f t="shared" si="7"/>
        <v>0</v>
      </c>
      <c r="D8" s="148">
        <f t="shared" si="8"/>
        <v>0</v>
      </c>
      <c r="E8" s="458">
        <f t="shared" si="9"/>
        <v>87.3</v>
      </c>
      <c r="F8" s="545">
        <v>165</v>
      </c>
      <c r="G8" s="536">
        <v>133</v>
      </c>
      <c r="H8" s="537">
        <v>160</v>
      </c>
      <c r="I8" s="538">
        <v>195</v>
      </c>
      <c r="J8" s="542" cm="1">
        <f t="array" ref="J8">TREND($G8:$I8,$G$3:$I$3,J$3)</f>
        <v>224.66666666666424</v>
      </c>
      <c r="K8" s="537" cm="1">
        <f t="array" ref="K8">TREND($G8:$I8,$G$3:$I$3,K$3)</f>
        <v>255.66666666666424</v>
      </c>
      <c r="L8" s="537" cm="1">
        <f t="array" ref="L8">TREND($G8:$I8,$G$3:$I$3,L$3)</f>
        <v>286.66666666666424</v>
      </c>
      <c r="M8" s="538" cm="1">
        <f t="array" ref="M8">TREND($G8:$I8,$G$3:$I$3,M$3)</f>
        <v>317.66666666666424</v>
      </c>
      <c r="N8" s="212">
        <f>U63*$H$110+(V63+W63)*$H$116+X63*$H$122</f>
        <v>3.1191328860584802E-2</v>
      </c>
      <c r="O8" s="212">
        <f>AH63*$H$111+(AI63+AJ63)*$H$117</f>
        <v>8.3337533170409085E-3</v>
      </c>
      <c r="P8" s="359" t="str">
        <f>P7</f>
        <v>% of provincial kWh</v>
      </c>
      <c r="R8" s="359"/>
      <c r="S8" s="173" t="s">
        <v>153</v>
      </c>
      <c r="T8" s="358">
        <f t="shared" si="2"/>
        <v>0</v>
      </c>
      <c r="U8" s="358">
        <f t="shared" si="2"/>
        <v>0</v>
      </c>
      <c r="V8" s="358">
        <f t="shared" si="2"/>
        <v>2723003.0095290528</v>
      </c>
      <c r="W8" s="358">
        <f t="shared" si="2"/>
        <v>5146569.2619964927</v>
      </c>
      <c r="X8" s="358">
        <f t="shared" si="2"/>
        <v>4148446.7384577785</v>
      </c>
      <c r="Y8" s="358">
        <f t="shared" si="2"/>
        <v>4990612.6176935676</v>
      </c>
      <c r="Z8" s="358">
        <f t="shared" si="2"/>
        <v>6082309.1278140359</v>
      </c>
      <c r="AA8" s="358">
        <f t="shared" si="3"/>
        <v>7007651.8840113096</v>
      </c>
      <c r="AB8" s="358">
        <f t="shared" si="3"/>
        <v>7974583.0786894392</v>
      </c>
      <c r="AC8" s="358">
        <f t="shared" si="3"/>
        <v>8941514.2733675689</v>
      </c>
      <c r="AD8" s="358">
        <f t="shared" si="3"/>
        <v>9908445.4680456966</v>
      </c>
      <c r="AE8" s="358"/>
      <c r="AF8" s="359"/>
      <c r="AG8" s="173" t="str">
        <f t="shared" si="10"/>
        <v>Industrial Energy Efficiency</v>
      </c>
      <c r="AH8" s="358">
        <f t="shared" si="11"/>
        <v>0</v>
      </c>
      <c r="AI8" s="358">
        <f t="shared" si="12"/>
        <v>0</v>
      </c>
      <c r="AJ8" s="358">
        <f t="shared" si="13"/>
        <v>727536.66457767133</v>
      </c>
      <c r="AK8" s="358">
        <f t="shared" si="14"/>
        <v>1375069.29731175</v>
      </c>
      <c r="AL8" s="358">
        <f t="shared" si="15"/>
        <v>1108389.1911664407</v>
      </c>
      <c r="AM8" s="358">
        <f t="shared" si="16"/>
        <v>1333400.5307265453</v>
      </c>
      <c r="AN8" s="358">
        <f t="shared" si="17"/>
        <v>1625081.8968229771</v>
      </c>
      <c r="AO8" s="358">
        <f t="shared" si="18"/>
        <v>1872316.5785618371</v>
      </c>
      <c r="AP8" s="358">
        <f t="shared" si="19"/>
        <v>1872316.5785618371</v>
      </c>
      <c r="AQ8" s="358">
        <f t="shared" si="20"/>
        <v>1872316.5785618371</v>
      </c>
      <c r="AR8" s="358">
        <f t="shared" si="21"/>
        <v>1872316.5785618371</v>
      </c>
      <c r="AX8" s="159"/>
      <c r="AY8" s="554" t="s">
        <v>153</v>
      </c>
      <c r="AZ8" s="555">
        <v>0</v>
      </c>
      <c r="BA8" s="555">
        <v>0</v>
      </c>
      <c r="BB8" s="555">
        <v>165</v>
      </c>
      <c r="BC8" s="555">
        <v>165</v>
      </c>
      <c r="BE8" s="330">
        <v>0</v>
      </c>
      <c r="BF8" s="330">
        <v>0</v>
      </c>
      <c r="BG8" s="556">
        <v>87.3</v>
      </c>
      <c r="BH8" s="556"/>
      <c r="BI8" s="557">
        <f t="shared" si="6"/>
        <v>165</v>
      </c>
      <c r="BJ8" s="558">
        <f>BG8/BI8</f>
        <v>0.52909090909090906</v>
      </c>
      <c r="BL8" s="158"/>
    </row>
    <row r="9" spans="2:64">
      <c r="B9" s="210" t="s">
        <v>530</v>
      </c>
      <c r="C9" s="457">
        <f t="shared" si="7"/>
        <v>0</v>
      </c>
      <c r="D9" s="148">
        <f t="shared" si="8"/>
        <v>0</v>
      </c>
      <c r="E9" s="458">
        <f t="shared" si="9"/>
        <v>0</v>
      </c>
      <c r="F9" s="545"/>
      <c r="G9" s="536"/>
      <c r="H9" s="537"/>
      <c r="I9" s="538">
        <v>106</v>
      </c>
      <c r="J9" s="542">
        <f t="shared" si="22"/>
        <v>106</v>
      </c>
      <c r="K9" s="537">
        <f t="shared" si="23"/>
        <v>106</v>
      </c>
      <c r="L9" s="537">
        <f t="shared" si="0"/>
        <v>106</v>
      </c>
      <c r="M9" s="538">
        <f t="shared" si="1"/>
        <v>106</v>
      </c>
      <c r="N9" s="212">
        <f>N7</f>
        <v>2.9973546755006884E-2</v>
      </c>
      <c r="O9" s="212">
        <f>O7</f>
        <v>8.1176465874544662E-3</v>
      </c>
      <c r="P9" s="359" t="str">
        <f t="shared" ref="P9:P10" si="24">P8</f>
        <v>% of provincial kWh</v>
      </c>
      <c r="R9" s="359"/>
      <c r="S9" s="173" t="str">
        <f>B9</f>
        <v>New Construction</v>
      </c>
      <c r="T9" s="358">
        <f t="shared" ref="T9:T12" si="25">C9*$N9*1000000</f>
        <v>0</v>
      </c>
      <c r="U9" s="358">
        <f t="shared" ref="U9:U12" si="26">D9*$N9*1000000</f>
        <v>0</v>
      </c>
      <c r="V9" s="358">
        <f t="shared" ref="V9:V12" si="27">E9*$N9*1000000</f>
        <v>0</v>
      </c>
      <c r="W9" s="358">
        <f t="shared" ref="W9:W12" si="28">F9*$N9*1000000</f>
        <v>0</v>
      </c>
      <c r="X9" s="358">
        <f t="shared" ref="X9:X12" si="29">G9*$N9*1000000</f>
        <v>0</v>
      </c>
      <c r="Y9" s="358">
        <f t="shared" ref="Y9:Y12" si="30">H9*$N9*1000000</f>
        <v>0</v>
      </c>
      <c r="Z9" s="358">
        <f>I9*$N9*1000000</f>
        <v>3177195.9560307297</v>
      </c>
      <c r="AA9" s="358">
        <f t="shared" si="3"/>
        <v>3177195.9560307297</v>
      </c>
      <c r="AB9" s="358">
        <f t="shared" si="3"/>
        <v>3177195.9560307297</v>
      </c>
      <c r="AC9" s="358">
        <f t="shared" si="3"/>
        <v>3177195.9560307297</v>
      </c>
      <c r="AD9" s="358">
        <f t="shared" si="3"/>
        <v>3177195.9560307297</v>
      </c>
      <c r="AE9" s="358"/>
      <c r="AF9" s="359"/>
      <c r="AG9" s="173" t="str">
        <f t="shared" si="10"/>
        <v>New Construction</v>
      </c>
      <c r="AH9" s="358">
        <f t="shared" si="11"/>
        <v>0</v>
      </c>
      <c r="AI9" s="358">
        <f t="shared" si="12"/>
        <v>0</v>
      </c>
      <c r="AJ9" s="358">
        <f t="shared" si="13"/>
        <v>0</v>
      </c>
      <c r="AK9" s="358">
        <f t="shared" si="14"/>
        <v>0</v>
      </c>
      <c r="AL9" s="358">
        <f t="shared" si="15"/>
        <v>0</v>
      </c>
      <c r="AM9" s="358">
        <f t="shared" si="16"/>
        <v>0</v>
      </c>
      <c r="AN9" s="358">
        <f t="shared" si="17"/>
        <v>860470.53827017336</v>
      </c>
      <c r="AO9" s="358">
        <f t="shared" si="18"/>
        <v>860470.53827017336</v>
      </c>
      <c r="AP9" s="358">
        <f t="shared" si="19"/>
        <v>860470.53827017336</v>
      </c>
      <c r="AQ9" s="358">
        <f t="shared" si="20"/>
        <v>860470.53827017336</v>
      </c>
      <c r="AR9" s="358">
        <f t="shared" si="21"/>
        <v>860470.53827017336</v>
      </c>
      <c r="AX9" s="159"/>
      <c r="AY9" s="554"/>
      <c r="AZ9" s="555"/>
      <c r="BA9" s="555"/>
      <c r="BB9" s="555"/>
      <c r="BC9" s="555"/>
      <c r="BG9" s="556"/>
      <c r="BH9" s="556"/>
      <c r="BI9" s="557"/>
      <c r="BJ9" s="558"/>
      <c r="BL9" s="158"/>
    </row>
    <row r="10" spans="2:64">
      <c r="B10" s="173" t="s">
        <v>531</v>
      </c>
      <c r="C10" s="457">
        <f t="shared" si="7"/>
        <v>0</v>
      </c>
      <c r="D10" s="148">
        <f t="shared" si="8"/>
        <v>0</v>
      </c>
      <c r="E10" s="458">
        <f t="shared" si="9"/>
        <v>0</v>
      </c>
      <c r="F10" s="545"/>
      <c r="G10" s="536">
        <v>61</v>
      </c>
      <c r="H10" s="537">
        <v>66</v>
      </c>
      <c r="I10" s="538">
        <v>66</v>
      </c>
      <c r="J10" s="542" cm="1">
        <f t="array" ref="J10">TREND($G10:$I10,$G$3:$I$3,J$3)</f>
        <v>69.33333333333303</v>
      </c>
      <c r="K10" s="537" cm="1">
        <f t="array" ref="K10">TREND($G10:$I10,$G$3:$I$3,K$3)</f>
        <v>71.83333333333303</v>
      </c>
      <c r="L10" s="537" cm="1">
        <f t="array" ref="L10">TREND($G10:$I10,$G$3:$I$3,L$3)</f>
        <v>74.33333333333303</v>
      </c>
      <c r="M10" s="538" cm="1">
        <f t="array" ref="M10">TREND($G10:$I10,$G$3:$I$3,M$3)</f>
        <v>76.83333333333303</v>
      </c>
      <c r="N10" s="212">
        <f>H104</f>
        <v>2.3930105254135428E-2</v>
      </c>
      <c r="O10" s="212">
        <f>H105</f>
        <v>9.0420782511464581E-3</v>
      </c>
      <c r="P10" s="359" t="str">
        <f t="shared" si="24"/>
        <v>% of provincial kWh</v>
      </c>
      <c r="R10" s="359"/>
      <c r="S10" s="173" t="str">
        <f t="shared" ref="S10:S12" si="31">B10</f>
        <v>Home Renovation Savings</v>
      </c>
      <c r="T10" s="358">
        <f t="shared" si="25"/>
        <v>0</v>
      </c>
      <c r="U10" s="358">
        <f t="shared" si="26"/>
        <v>0</v>
      </c>
      <c r="V10" s="358">
        <f t="shared" si="27"/>
        <v>0</v>
      </c>
      <c r="W10" s="358">
        <f t="shared" si="28"/>
        <v>0</v>
      </c>
      <c r="X10" s="358">
        <f t="shared" si="29"/>
        <v>1459736.4205022613</v>
      </c>
      <c r="Y10" s="358">
        <f t="shared" si="30"/>
        <v>1579386.9467729381</v>
      </c>
      <c r="Z10" s="358">
        <f>I10*$N10*1000000</f>
        <v>1579386.9467729381</v>
      </c>
      <c r="AA10" s="358">
        <f t="shared" si="3"/>
        <v>1659153.9642867157</v>
      </c>
      <c r="AB10" s="358">
        <f t="shared" si="3"/>
        <v>1718979.2274220544</v>
      </c>
      <c r="AC10" s="358">
        <f t="shared" si="3"/>
        <v>1778804.4905573931</v>
      </c>
      <c r="AD10" s="358">
        <f t="shared" si="3"/>
        <v>1838629.7536927315</v>
      </c>
      <c r="AE10" s="358"/>
      <c r="AF10" s="359"/>
      <c r="AG10" s="173" t="str">
        <f t="shared" si="10"/>
        <v>Home Renovation Savings</v>
      </c>
      <c r="AH10" s="358">
        <f t="shared" si="11"/>
        <v>0</v>
      </c>
      <c r="AI10" s="358">
        <f t="shared" si="12"/>
        <v>0</v>
      </c>
      <c r="AJ10" s="358">
        <f t="shared" si="13"/>
        <v>0</v>
      </c>
      <c r="AK10" s="358">
        <f t="shared" si="14"/>
        <v>0</v>
      </c>
      <c r="AL10" s="358">
        <f t="shared" si="15"/>
        <v>551566.77331993403</v>
      </c>
      <c r="AM10" s="358">
        <f t="shared" si="16"/>
        <v>596777.16457566619</v>
      </c>
      <c r="AN10" s="358">
        <f t="shared" si="17"/>
        <v>596777.16457566619</v>
      </c>
      <c r="AO10" s="358">
        <f t="shared" si="18"/>
        <v>626917.42541281832</v>
      </c>
      <c r="AP10" s="358">
        <f t="shared" si="19"/>
        <v>626917.42541281832</v>
      </c>
      <c r="AQ10" s="358">
        <f t="shared" si="20"/>
        <v>626917.42541281832</v>
      </c>
      <c r="AR10" s="358">
        <f t="shared" si="21"/>
        <v>626917.42541281832</v>
      </c>
      <c r="AX10" s="159"/>
      <c r="AY10" s="554"/>
      <c r="AZ10" s="555"/>
      <c r="BA10" s="555"/>
      <c r="BB10" s="555"/>
      <c r="BC10" s="555"/>
      <c r="BG10" s="556"/>
      <c r="BH10" s="556"/>
      <c r="BI10" s="557"/>
      <c r="BJ10" s="558"/>
      <c r="BL10" s="158"/>
    </row>
    <row r="11" spans="2:64">
      <c r="B11" s="210" t="s">
        <v>532</v>
      </c>
      <c r="C11" s="457">
        <f t="shared" si="7"/>
        <v>0</v>
      </c>
      <c r="D11" s="148">
        <f t="shared" si="8"/>
        <v>0</v>
      </c>
      <c r="E11" s="458">
        <f t="shared" si="9"/>
        <v>0</v>
      </c>
      <c r="F11" s="545"/>
      <c r="G11" s="536"/>
      <c r="H11" s="537"/>
      <c r="I11" s="538"/>
      <c r="J11" s="542"/>
      <c r="K11" s="537"/>
      <c r="L11" s="537"/>
      <c r="M11" s="538"/>
      <c r="N11" s="212"/>
      <c r="O11" s="212"/>
      <c r="P11" s="359"/>
      <c r="R11" s="359"/>
      <c r="S11" s="173" t="str">
        <f t="shared" si="31"/>
        <v>Commercial HVAC DR</v>
      </c>
      <c r="T11" s="358">
        <f t="shared" si="25"/>
        <v>0</v>
      </c>
      <c r="U11" s="358">
        <f t="shared" si="26"/>
        <v>0</v>
      </c>
      <c r="V11" s="358">
        <f t="shared" si="27"/>
        <v>0</v>
      </c>
      <c r="W11" s="358">
        <f t="shared" si="28"/>
        <v>0</v>
      </c>
      <c r="X11" s="358">
        <f t="shared" si="29"/>
        <v>0</v>
      </c>
      <c r="Y11" s="358">
        <f t="shared" si="30"/>
        <v>0</v>
      </c>
      <c r="Z11" s="358">
        <f t="shared" ref="Z11:Z13" si="32">I11*$N11*1000000</f>
        <v>0</v>
      </c>
      <c r="AA11" s="358">
        <f t="shared" si="3"/>
        <v>0</v>
      </c>
      <c r="AB11" s="358">
        <f t="shared" si="3"/>
        <v>0</v>
      </c>
      <c r="AC11" s="358">
        <f t="shared" si="3"/>
        <v>0</v>
      </c>
      <c r="AD11" s="358">
        <f t="shared" si="3"/>
        <v>0</v>
      </c>
      <c r="AE11" s="358"/>
      <c r="AF11" s="359"/>
      <c r="AG11" s="173" t="str">
        <f t="shared" si="10"/>
        <v>Commercial HVAC DR</v>
      </c>
      <c r="AH11" s="358">
        <f t="shared" si="11"/>
        <v>0</v>
      </c>
      <c r="AI11" s="358">
        <f t="shared" si="12"/>
        <v>0</v>
      </c>
      <c r="AJ11" s="358">
        <f t="shared" si="13"/>
        <v>0</v>
      </c>
      <c r="AK11" s="358">
        <f t="shared" si="14"/>
        <v>0</v>
      </c>
      <c r="AL11" s="358">
        <f t="shared" si="15"/>
        <v>0</v>
      </c>
      <c r="AM11" s="358">
        <f t="shared" si="16"/>
        <v>0</v>
      </c>
      <c r="AN11" s="358">
        <f t="shared" si="17"/>
        <v>0</v>
      </c>
      <c r="AO11" s="358">
        <f t="shared" si="18"/>
        <v>0</v>
      </c>
      <c r="AP11" s="358">
        <f t="shared" si="19"/>
        <v>0</v>
      </c>
      <c r="AQ11" s="358">
        <f t="shared" si="20"/>
        <v>0</v>
      </c>
      <c r="AR11" s="358">
        <f t="shared" si="21"/>
        <v>0</v>
      </c>
      <c r="AX11" s="159"/>
      <c r="AY11" s="554"/>
      <c r="AZ11" s="555"/>
      <c r="BA11" s="555"/>
      <c r="BB11" s="555"/>
      <c r="BC11" s="555"/>
      <c r="BG11" s="556"/>
      <c r="BH11" s="556"/>
      <c r="BI11" s="557"/>
      <c r="BJ11" s="558"/>
      <c r="BL11" s="158"/>
    </row>
    <row r="12" spans="2:64">
      <c r="B12" s="173" t="s">
        <v>533</v>
      </c>
      <c r="C12" s="457">
        <f t="shared" si="7"/>
        <v>0</v>
      </c>
      <c r="D12" s="148">
        <f t="shared" si="8"/>
        <v>0</v>
      </c>
      <c r="E12" s="458">
        <f t="shared" si="9"/>
        <v>23.7</v>
      </c>
      <c r="F12" s="545"/>
      <c r="G12" s="536"/>
      <c r="H12" s="537"/>
      <c r="I12" s="538"/>
      <c r="J12" s="542"/>
      <c r="K12" s="537"/>
      <c r="L12" s="537"/>
      <c r="M12" s="538"/>
      <c r="N12" s="212"/>
      <c r="O12" s="212"/>
      <c r="P12" s="359"/>
      <c r="R12" s="359"/>
      <c r="S12" s="173" t="str">
        <f t="shared" si="31"/>
        <v>Peak Perks</v>
      </c>
      <c r="T12" s="358">
        <f t="shared" si="25"/>
        <v>0</v>
      </c>
      <c r="U12" s="358">
        <f t="shared" si="26"/>
        <v>0</v>
      </c>
      <c r="V12" s="358">
        <f t="shared" si="27"/>
        <v>0</v>
      </c>
      <c r="W12" s="358">
        <f t="shared" si="28"/>
        <v>0</v>
      </c>
      <c r="X12" s="358">
        <f t="shared" si="29"/>
        <v>0</v>
      </c>
      <c r="Y12" s="358">
        <f t="shared" si="30"/>
        <v>0</v>
      </c>
      <c r="Z12" s="358">
        <f t="shared" si="32"/>
        <v>0</v>
      </c>
      <c r="AA12" s="358">
        <f t="shared" si="3"/>
        <v>0</v>
      </c>
      <c r="AB12" s="358">
        <f t="shared" si="3"/>
        <v>0</v>
      </c>
      <c r="AC12" s="358">
        <f t="shared" si="3"/>
        <v>0</v>
      </c>
      <c r="AD12" s="358">
        <f t="shared" si="3"/>
        <v>0</v>
      </c>
      <c r="AE12" s="358"/>
      <c r="AF12" s="359"/>
      <c r="AG12" s="173" t="str">
        <f t="shared" si="10"/>
        <v>Peak Perks</v>
      </c>
      <c r="AH12" s="358">
        <f t="shared" si="11"/>
        <v>0</v>
      </c>
      <c r="AI12" s="358">
        <f t="shared" si="12"/>
        <v>0</v>
      </c>
      <c r="AJ12" s="358">
        <f t="shared" si="13"/>
        <v>0</v>
      </c>
      <c r="AK12" s="358">
        <f t="shared" si="14"/>
        <v>0</v>
      </c>
      <c r="AL12" s="358">
        <f t="shared" si="15"/>
        <v>0</v>
      </c>
      <c r="AM12" s="358">
        <f t="shared" si="16"/>
        <v>0</v>
      </c>
      <c r="AN12" s="358">
        <f t="shared" si="17"/>
        <v>0</v>
      </c>
      <c r="AO12" s="358">
        <f t="shared" si="18"/>
        <v>0</v>
      </c>
      <c r="AP12" s="358">
        <f t="shared" si="19"/>
        <v>0</v>
      </c>
      <c r="AQ12" s="358">
        <f t="shared" si="20"/>
        <v>0</v>
      </c>
      <c r="AR12" s="358">
        <f t="shared" si="21"/>
        <v>0</v>
      </c>
      <c r="AX12" s="159"/>
      <c r="AY12" s="554" t="s">
        <v>568</v>
      </c>
      <c r="AZ12" s="555"/>
      <c r="BA12" s="555"/>
      <c r="BB12" s="555"/>
      <c r="BC12" s="555"/>
      <c r="BF12" s="330">
        <v>0</v>
      </c>
      <c r="BG12" s="556">
        <v>23.7</v>
      </c>
      <c r="BH12" s="556"/>
      <c r="BI12" s="557">
        <f t="shared" ref="BI12:BI18" si="33">SUM(AZ12:BB12)</f>
        <v>0</v>
      </c>
      <c r="BJ12" s="558"/>
      <c r="BL12" s="158"/>
    </row>
    <row r="13" spans="2:64">
      <c r="B13" s="210" t="s">
        <v>154</v>
      </c>
      <c r="C13" s="459">
        <f t="shared" si="7"/>
        <v>0</v>
      </c>
      <c r="D13" s="460">
        <f t="shared" si="8"/>
        <v>0</v>
      </c>
      <c r="E13" s="461">
        <f t="shared" si="9"/>
        <v>242</v>
      </c>
      <c r="F13" s="546">
        <v>333</v>
      </c>
      <c r="G13" s="536"/>
      <c r="H13" s="537"/>
      <c r="I13" s="538"/>
      <c r="J13" s="542"/>
      <c r="K13" s="537"/>
      <c r="L13" s="537"/>
      <c r="M13" s="538"/>
      <c r="N13" s="212"/>
      <c r="O13" s="212"/>
      <c r="P13" s="359"/>
      <c r="R13" s="359"/>
      <c r="S13" s="210" t="s">
        <v>154</v>
      </c>
      <c r="T13" s="358">
        <f t="shared" ref="T13:Y17" si="34">C13*$N13*1000000</f>
        <v>0</v>
      </c>
      <c r="U13" s="358">
        <f t="shared" si="34"/>
        <v>0</v>
      </c>
      <c r="V13" s="358">
        <f t="shared" si="34"/>
        <v>0</v>
      </c>
      <c r="W13" s="358">
        <f t="shared" si="34"/>
        <v>0</v>
      </c>
      <c r="X13" s="358">
        <f t="shared" si="34"/>
        <v>0</v>
      </c>
      <c r="Y13" s="358">
        <f t="shared" si="34"/>
        <v>0</v>
      </c>
      <c r="Z13" s="358">
        <f t="shared" si="32"/>
        <v>0</v>
      </c>
      <c r="AA13" s="358">
        <f t="shared" si="3"/>
        <v>0</v>
      </c>
      <c r="AB13" s="358">
        <f t="shared" si="3"/>
        <v>0</v>
      </c>
      <c r="AC13" s="358">
        <f t="shared" si="3"/>
        <v>0</v>
      </c>
      <c r="AD13" s="358">
        <f t="shared" si="3"/>
        <v>0</v>
      </c>
      <c r="AE13" s="358"/>
      <c r="AF13" s="359"/>
      <c r="AG13" s="173" t="str">
        <f t="shared" si="10"/>
        <v>Targeted Greenhouse</v>
      </c>
      <c r="AH13" s="358">
        <f t="shared" si="11"/>
        <v>0</v>
      </c>
      <c r="AI13" s="358">
        <f t="shared" si="12"/>
        <v>0</v>
      </c>
      <c r="AJ13" s="358">
        <f t="shared" si="13"/>
        <v>0</v>
      </c>
      <c r="AK13" s="358">
        <f t="shared" si="14"/>
        <v>0</v>
      </c>
      <c r="AL13" s="358">
        <f t="shared" si="15"/>
        <v>0</v>
      </c>
      <c r="AM13" s="358">
        <f t="shared" si="16"/>
        <v>0</v>
      </c>
      <c r="AN13" s="358">
        <f t="shared" si="17"/>
        <v>0</v>
      </c>
      <c r="AO13" s="358">
        <f t="shared" si="18"/>
        <v>0</v>
      </c>
      <c r="AP13" s="358">
        <f t="shared" si="19"/>
        <v>0</v>
      </c>
      <c r="AQ13" s="358">
        <f t="shared" si="20"/>
        <v>0</v>
      </c>
      <c r="AR13" s="358">
        <f t="shared" si="21"/>
        <v>0</v>
      </c>
      <c r="AX13" s="159"/>
      <c r="AY13" s="554" t="s">
        <v>154</v>
      </c>
      <c r="AZ13" s="555">
        <v>0</v>
      </c>
      <c r="BA13" s="555">
        <v>0</v>
      </c>
      <c r="BB13" s="555">
        <v>333</v>
      </c>
      <c r="BC13" s="555">
        <v>333</v>
      </c>
      <c r="BE13" s="330">
        <v>0</v>
      </c>
      <c r="BF13" s="330">
        <v>0</v>
      </c>
      <c r="BG13" s="556">
        <v>242</v>
      </c>
      <c r="BH13" s="556"/>
      <c r="BI13" s="557">
        <f t="shared" si="33"/>
        <v>333</v>
      </c>
      <c r="BJ13" s="558">
        <f t="shared" ref="BJ13:BJ18" si="35">BG13/BI13</f>
        <v>0.72672672672672678</v>
      </c>
      <c r="BL13" s="158"/>
    </row>
    <row r="14" spans="2:64">
      <c r="B14" s="173" t="s">
        <v>155</v>
      </c>
      <c r="C14" s="457">
        <f t="shared" si="7"/>
        <v>0</v>
      </c>
      <c r="D14" s="148">
        <f t="shared" si="8"/>
        <v>0</v>
      </c>
      <c r="E14" s="458">
        <f t="shared" si="9"/>
        <v>39.799999999999997</v>
      </c>
      <c r="F14" s="545">
        <v>181</v>
      </c>
      <c r="G14" s="536">
        <v>641</v>
      </c>
      <c r="H14" s="537">
        <v>693</v>
      </c>
      <c r="I14" s="538">
        <v>750</v>
      </c>
      <c r="J14" s="542" cm="1">
        <f t="array" ref="J14">TREND($G14:$I14,$G$3:$I$3,J$3)</f>
        <v>803.66666666667152</v>
      </c>
      <c r="K14" s="537" cm="1">
        <f t="array" ref="K14">TREND($G14:$I14,$G$3:$I$3,K$3)</f>
        <v>858.16666666667152</v>
      </c>
      <c r="L14" s="537" cm="1">
        <f t="array" ref="L14">TREND($G14:$I14,$G$3:$I$3,L$3)</f>
        <v>912.66666666667152</v>
      </c>
      <c r="M14" s="538" cm="1">
        <f t="array" ref="M14">TREND($G14:$I14,$G$3:$I$3,M$3)</f>
        <v>967.16666666667152</v>
      </c>
      <c r="N14" s="212">
        <f>H128</f>
        <v>2.3145383442121321E-2</v>
      </c>
      <c r="O14" s="212">
        <f>H129</f>
        <v>7.8777081306127816E-3</v>
      </c>
      <c r="P14" s="359" t="str">
        <f>P10</f>
        <v>% of provincial kWh</v>
      </c>
      <c r="R14" s="211"/>
      <c r="S14" s="173" t="s">
        <v>155</v>
      </c>
      <c r="T14" s="358">
        <f t="shared" si="34"/>
        <v>0</v>
      </c>
      <c r="U14" s="358">
        <f t="shared" si="34"/>
        <v>0</v>
      </c>
      <c r="V14" s="358">
        <f t="shared" si="34"/>
        <v>921186.26099642855</v>
      </c>
      <c r="W14" s="358">
        <f t="shared" si="34"/>
        <v>4189314.4030239587</v>
      </c>
      <c r="X14" s="358">
        <f t="shared" si="34"/>
        <v>14836190.786399767</v>
      </c>
      <c r="Y14" s="358">
        <f t="shared" si="34"/>
        <v>16039750.725390075</v>
      </c>
      <c r="Z14" s="358">
        <f t="shared" ref="Z14:Z17" si="36">I14*$N14*1000000</f>
        <v>17359037.581590988</v>
      </c>
      <c r="AA14" s="358">
        <f t="shared" si="3"/>
        <v>18601173.159651611</v>
      </c>
      <c r="AB14" s="358">
        <f t="shared" si="3"/>
        <v>19862596.557247225</v>
      </c>
      <c r="AC14" s="358">
        <f t="shared" si="3"/>
        <v>21124019.954842836</v>
      </c>
      <c r="AD14" s="358">
        <f t="shared" si="3"/>
        <v>22385443.35243845</v>
      </c>
      <c r="AE14" s="358"/>
      <c r="AF14" s="211"/>
      <c r="AG14" s="173" t="str">
        <f t="shared" si="10"/>
        <v>Local Initiatives</v>
      </c>
      <c r="AH14" s="358">
        <f t="shared" si="11"/>
        <v>0</v>
      </c>
      <c r="AI14" s="358">
        <f t="shared" si="12"/>
        <v>0</v>
      </c>
      <c r="AJ14" s="358">
        <f t="shared" si="13"/>
        <v>313532.78359838872</v>
      </c>
      <c r="AK14" s="358">
        <f t="shared" si="14"/>
        <v>1425865.1716409135</v>
      </c>
      <c r="AL14" s="358">
        <f t="shared" si="15"/>
        <v>5049610.9117227923</v>
      </c>
      <c r="AM14" s="358">
        <f t="shared" si="16"/>
        <v>5459251.7345146583</v>
      </c>
      <c r="AN14" s="358">
        <f t="shared" si="17"/>
        <v>5908281.0979595855</v>
      </c>
      <c r="AO14" s="358">
        <f t="shared" si="18"/>
        <v>6331051.4343025107</v>
      </c>
      <c r="AP14" s="358">
        <f t="shared" si="19"/>
        <v>6331051.4343025107</v>
      </c>
      <c r="AQ14" s="358">
        <f t="shared" si="20"/>
        <v>6331051.4343025107</v>
      </c>
      <c r="AR14" s="358">
        <f t="shared" si="21"/>
        <v>6331051.4343025107</v>
      </c>
      <c r="AX14" s="159"/>
      <c r="AY14" s="554" t="s">
        <v>155</v>
      </c>
      <c r="AZ14" s="555">
        <v>0</v>
      </c>
      <c r="BA14" s="555">
        <v>61</v>
      </c>
      <c r="BB14" s="555">
        <v>161</v>
      </c>
      <c r="BC14" s="555">
        <v>181</v>
      </c>
      <c r="BE14" s="330">
        <v>0</v>
      </c>
      <c r="BF14" s="330">
        <v>0</v>
      </c>
      <c r="BG14" s="556">
        <f>6.8+33</f>
        <v>39.799999999999997</v>
      </c>
      <c r="BH14" s="556"/>
      <c r="BI14" s="557">
        <f t="shared" si="33"/>
        <v>222</v>
      </c>
      <c r="BJ14" s="558">
        <f t="shared" si="35"/>
        <v>0.17927927927927928</v>
      </c>
      <c r="BL14" s="158"/>
    </row>
    <row r="15" spans="2:64">
      <c r="B15" s="210" t="s">
        <v>156</v>
      </c>
      <c r="C15" s="459">
        <f t="shared" si="7"/>
        <v>0</v>
      </c>
      <c r="D15" s="460">
        <f t="shared" si="8"/>
        <v>0</v>
      </c>
      <c r="E15" s="461">
        <f t="shared" si="9"/>
        <v>0</v>
      </c>
      <c r="F15" s="546">
        <v>7</v>
      </c>
      <c r="G15" s="536"/>
      <c r="H15" s="537"/>
      <c r="I15" s="538"/>
      <c r="J15" s="542">
        <f t="shared" si="22"/>
        <v>0</v>
      </c>
      <c r="K15" s="537">
        <f t="shared" ref="K15:K17" si="37">J15</f>
        <v>0</v>
      </c>
      <c r="L15" s="537">
        <f t="shared" ref="L15:L17" si="38">K15</f>
        <v>0</v>
      </c>
      <c r="M15" s="538">
        <f t="shared" ref="M15:M17" si="39">L15</f>
        <v>0</v>
      </c>
      <c r="N15" s="212"/>
      <c r="O15" s="212"/>
      <c r="P15" s="359"/>
      <c r="R15" s="359"/>
      <c r="S15" s="210" t="s">
        <v>156</v>
      </c>
      <c r="T15" s="358">
        <f t="shared" si="34"/>
        <v>0</v>
      </c>
      <c r="U15" s="358">
        <f t="shared" si="34"/>
        <v>0</v>
      </c>
      <c r="V15" s="358">
        <f t="shared" si="34"/>
        <v>0</v>
      </c>
      <c r="W15" s="358">
        <f t="shared" si="34"/>
        <v>0</v>
      </c>
      <c r="X15" s="358">
        <f t="shared" si="34"/>
        <v>0</v>
      </c>
      <c r="Y15" s="358">
        <f t="shared" si="34"/>
        <v>0</v>
      </c>
      <c r="Z15" s="358">
        <f t="shared" si="36"/>
        <v>0</v>
      </c>
      <c r="AA15" s="358">
        <f t="shared" si="3"/>
        <v>0</v>
      </c>
      <c r="AB15" s="358">
        <f t="shared" si="3"/>
        <v>0</v>
      </c>
      <c r="AC15" s="358">
        <f t="shared" si="3"/>
        <v>0</v>
      </c>
      <c r="AD15" s="358">
        <f t="shared" si="3"/>
        <v>0</v>
      </c>
      <c r="AE15" s="358"/>
      <c r="AF15" s="359"/>
      <c r="AG15" s="173" t="str">
        <f t="shared" si="10"/>
        <v>Residential Demand Response</v>
      </c>
      <c r="AH15" s="358">
        <f t="shared" si="11"/>
        <v>0</v>
      </c>
      <c r="AI15" s="358">
        <f t="shared" si="12"/>
        <v>0</v>
      </c>
      <c r="AJ15" s="358">
        <f t="shared" si="13"/>
        <v>0</v>
      </c>
      <c r="AK15" s="358">
        <f t="shared" si="14"/>
        <v>0</v>
      </c>
      <c r="AL15" s="358">
        <f t="shared" si="15"/>
        <v>0</v>
      </c>
      <c r="AM15" s="358">
        <f t="shared" si="16"/>
        <v>0</v>
      </c>
      <c r="AN15" s="358">
        <f t="shared" si="17"/>
        <v>0</v>
      </c>
      <c r="AO15" s="358">
        <f t="shared" si="18"/>
        <v>0</v>
      </c>
      <c r="AP15" s="358">
        <f t="shared" si="19"/>
        <v>0</v>
      </c>
      <c r="AQ15" s="358">
        <f t="shared" si="20"/>
        <v>0</v>
      </c>
      <c r="AR15" s="358">
        <f t="shared" si="21"/>
        <v>0</v>
      </c>
      <c r="AX15" s="159"/>
      <c r="AY15" s="554" t="s">
        <v>156</v>
      </c>
      <c r="AZ15" s="555">
        <v>0</v>
      </c>
      <c r="BA15" s="555">
        <v>0</v>
      </c>
      <c r="BB15" s="555">
        <v>3</v>
      </c>
      <c r="BC15" s="555">
        <v>7</v>
      </c>
      <c r="BE15" s="330">
        <v>0</v>
      </c>
      <c r="BF15" s="330">
        <v>0</v>
      </c>
      <c r="BG15" s="556">
        <v>0</v>
      </c>
      <c r="BH15" s="556"/>
      <c r="BI15" s="557">
        <f t="shared" si="33"/>
        <v>3</v>
      </c>
      <c r="BJ15" s="558">
        <f t="shared" si="35"/>
        <v>0</v>
      </c>
      <c r="BL15" s="158"/>
    </row>
    <row r="16" spans="2:64">
      <c r="B16" s="173" t="s">
        <v>157</v>
      </c>
      <c r="C16" s="457">
        <f t="shared" si="7"/>
        <v>8.8000000000000007</v>
      </c>
      <c r="D16" s="148">
        <f t="shared" si="8"/>
        <v>9.3000000000000007</v>
      </c>
      <c r="E16" s="458">
        <f t="shared" si="9"/>
        <v>10.599999999999998</v>
      </c>
      <c r="F16" s="545">
        <v>97</v>
      </c>
      <c r="G16" s="536">
        <v>27</v>
      </c>
      <c r="H16" s="537">
        <v>30</v>
      </c>
      <c r="I16" s="538">
        <v>44</v>
      </c>
      <c r="J16" s="542" cm="1">
        <f t="array" ref="J16">TREND($G16:$I16,$G$3:$I$3,J$3)</f>
        <v>50.666666666667879</v>
      </c>
      <c r="K16" s="537" cm="1">
        <f t="array" ref="K16">TREND($G16:$I16,$G$3:$I$3,K$3)</f>
        <v>59.166666666667879</v>
      </c>
      <c r="L16" s="537" cm="1">
        <f t="array" ref="L16">TREND($G16:$I16,$G$3:$I$3,L$3)</f>
        <v>67.666666666667879</v>
      </c>
      <c r="M16" s="538" cm="1">
        <f t="array" ref="M16">TREND($G16:$I16,$G$3:$I$3,M$3)</f>
        <v>76.166666666667879</v>
      </c>
      <c r="N16" s="212">
        <f>I44</f>
        <v>2.3406310290072892E-2</v>
      </c>
      <c r="O16" s="212">
        <f>I47</f>
        <v>9.7371741251475862E-3</v>
      </c>
      <c r="P16" s="211" t="s">
        <v>158</v>
      </c>
      <c r="R16" s="359"/>
      <c r="S16" s="173" t="s">
        <v>157</v>
      </c>
      <c r="T16" s="358">
        <f t="shared" si="34"/>
        <v>205975.53055264149</v>
      </c>
      <c r="U16" s="358">
        <f t="shared" si="34"/>
        <v>217678.68569767792</v>
      </c>
      <c r="V16" s="358">
        <f t="shared" si="34"/>
        <v>248106.8890747726</v>
      </c>
      <c r="W16" s="358">
        <f t="shared" si="34"/>
        <v>2270412.0981370704</v>
      </c>
      <c r="X16" s="358">
        <f t="shared" si="34"/>
        <v>631970.37783196813</v>
      </c>
      <c r="Y16" s="358">
        <f t="shared" si="34"/>
        <v>702189.3087021868</v>
      </c>
      <c r="Z16" s="358">
        <f t="shared" si="36"/>
        <v>1029877.6527632072</v>
      </c>
      <c r="AA16" s="358">
        <f t="shared" si="3"/>
        <v>1185919.7213637216</v>
      </c>
      <c r="AB16" s="358">
        <f t="shared" si="3"/>
        <v>1384873.3588293411</v>
      </c>
      <c r="AC16" s="358">
        <f t="shared" si="3"/>
        <v>1583826.9962949606</v>
      </c>
      <c r="AD16" s="358">
        <f t="shared" si="3"/>
        <v>1782780.6337605803</v>
      </c>
      <c r="AE16" s="358"/>
      <c r="AF16" s="359"/>
      <c r="AG16" s="173" t="str">
        <f t="shared" si="10"/>
        <v>Energy Affordability Program</v>
      </c>
      <c r="AH16" s="358">
        <f t="shared" si="11"/>
        <v>85687.132301298756</v>
      </c>
      <c r="AI16" s="358">
        <f t="shared" si="12"/>
        <v>90555.719363872558</v>
      </c>
      <c r="AJ16" s="358">
        <f t="shared" si="13"/>
        <v>103214.04572656439</v>
      </c>
      <c r="AK16" s="358">
        <f t="shared" si="14"/>
        <v>944505.89013931586</v>
      </c>
      <c r="AL16" s="358">
        <f t="shared" si="15"/>
        <v>262903.70137898484</v>
      </c>
      <c r="AM16" s="358">
        <f t="shared" si="16"/>
        <v>292115.22375442763</v>
      </c>
      <c r="AN16" s="358">
        <f t="shared" si="17"/>
        <v>428435.66150649381</v>
      </c>
      <c r="AO16" s="358">
        <f t="shared" si="18"/>
        <v>493350.15567415621</v>
      </c>
      <c r="AP16" s="358">
        <f t="shared" si="19"/>
        <v>493350.15567415621</v>
      </c>
      <c r="AQ16" s="358">
        <f t="shared" si="20"/>
        <v>493350.15567415621</v>
      </c>
      <c r="AR16" s="358">
        <f t="shared" si="21"/>
        <v>493350.15567415621</v>
      </c>
      <c r="AX16" s="159"/>
      <c r="AY16" s="554" t="s">
        <v>157</v>
      </c>
      <c r="AZ16" s="555">
        <v>7</v>
      </c>
      <c r="BA16" s="555">
        <v>14</v>
      </c>
      <c r="BB16" s="555">
        <v>49</v>
      </c>
      <c r="BC16" s="555">
        <v>97</v>
      </c>
      <c r="BE16" s="330">
        <v>8.8000000000000007</v>
      </c>
      <c r="BF16" s="330">
        <v>18.100000000000001</v>
      </c>
      <c r="BG16" s="556">
        <v>28.7</v>
      </c>
      <c r="BH16" s="556"/>
      <c r="BI16" s="557">
        <f t="shared" si="33"/>
        <v>70</v>
      </c>
      <c r="BJ16" s="558">
        <f t="shared" si="35"/>
        <v>0.41</v>
      </c>
      <c r="BL16" s="158"/>
    </row>
    <row r="17" spans="2:64">
      <c r="B17" s="210" t="s">
        <v>159</v>
      </c>
      <c r="C17" s="459">
        <f t="shared" si="7"/>
        <v>0.8</v>
      </c>
      <c r="D17" s="460">
        <f t="shared" si="8"/>
        <v>9.9999999999999978E-2</v>
      </c>
      <c r="E17" s="461">
        <f t="shared" si="9"/>
        <v>1.2000000000000002</v>
      </c>
      <c r="F17" s="546">
        <v>16</v>
      </c>
      <c r="G17" s="536">
        <v>1</v>
      </c>
      <c r="H17" s="537">
        <v>1</v>
      </c>
      <c r="I17" s="538">
        <v>1</v>
      </c>
      <c r="J17" s="542">
        <f t="shared" si="22"/>
        <v>1</v>
      </c>
      <c r="K17" s="537">
        <f t="shared" si="37"/>
        <v>1</v>
      </c>
      <c r="L17" s="537">
        <f t="shared" si="38"/>
        <v>1</v>
      </c>
      <c r="M17" s="538">
        <f t="shared" si="39"/>
        <v>1</v>
      </c>
      <c r="N17" s="359"/>
      <c r="O17" s="359"/>
      <c r="R17" s="359"/>
      <c r="S17" s="210" t="s">
        <v>159</v>
      </c>
      <c r="T17" s="358">
        <f t="shared" si="34"/>
        <v>0</v>
      </c>
      <c r="U17" s="358">
        <f t="shared" si="34"/>
        <v>0</v>
      </c>
      <c r="V17" s="358">
        <f t="shared" si="34"/>
        <v>0</v>
      </c>
      <c r="W17" s="358">
        <f t="shared" si="34"/>
        <v>0</v>
      </c>
      <c r="X17" s="358">
        <f t="shared" si="34"/>
        <v>0</v>
      </c>
      <c r="Y17" s="358">
        <f t="shared" si="34"/>
        <v>0</v>
      </c>
      <c r="Z17" s="358">
        <f t="shared" si="36"/>
        <v>0</v>
      </c>
      <c r="AA17" s="358">
        <f t="shared" si="3"/>
        <v>0</v>
      </c>
      <c r="AB17" s="358">
        <f t="shared" si="3"/>
        <v>0</v>
      </c>
      <c r="AC17" s="358">
        <f t="shared" si="3"/>
        <v>0</v>
      </c>
      <c r="AD17" s="358">
        <f t="shared" si="3"/>
        <v>0</v>
      </c>
      <c r="AE17" s="358"/>
      <c r="AF17" s="359"/>
      <c r="AG17" s="173" t="str">
        <f t="shared" si="10"/>
        <v>First Nations Program</v>
      </c>
      <c r="AH17" s="358">
        <f t="shared" si="11"/>
        <v>0</v>
      </c>
      <c r="AI17" s="358">
        <f t="shared" si="12"/>
        <v>0</v>
      </c>
      <c r="AJ17" s="358">
        <f t="shared" si="13"/>
        <v>0</v>
      </c>
      <c r="AK17" s="358">
        <f t="shared" si="14"/>
        <v>0</v>
      </c>
      <c r="AL17" s="358">
        <f t="shared" si="15"/>
        <v>0</v>
      </c>
      <c r="AM17" s="358">
        <f t="shared" si="16"/>
        <v>0</v>
      </c>
      <c r="AN17" s="358">
        <f t="shared" si="17"/>
        <v>0</v>
      </c>
      <c r="AO17" s="358">
        <f t="shared" si="18"/>
        <v>0</v>
      </c>
      <c r="AP17" s="358">
        <f t="shared" si="19"/>
        <v>0</v>
      </c>
      <c r="AQ17" s="358">
        <f t="shared" si="20"/>
        <v>0</v>
      </c>
      <c r="AR17" s="358">
        <f t="shared" si="21"/>
        <v>0</v>
      </c>
      <c r="AX17" s="159"/>
      <c r="AY17" s="554" t="s">
        <v>159</v>
      </c>
      <c r="AZ17" s="555">
        <v>1</v>
      </c>
      <c r="BA17" s="555">
        <v>0</v>
      </c>
      <c r="BB17" s="555">
        <v>15</v>
      </c>
      <c r="BC17" s="555">
        <v>16</v>
      </c>
      <c r="BE17" s="330">
        <v>0.8</v>
      </c>
      <c r="BF17" s="330">
        <v>0.9</v>
      </c>
      <c r="BG17" s="556">
        <v>2.1</v>
      </c>
      <c r="BH17" s="556"/>
      <c r="BI17" s="557">
        <f t="shared" si="33"/>
        <v>16</v>
      </c>
      <c r="BJ17" s="558">
        <f t="shared" si="35"/>
        <v>0.13125000000000001</v>
      </c>
      <c r="BL17" s="158"/>
    </row>
    <row r="18" spans="2:64" ht="15">
      <c r="B18" s="173"/>
      <c r="C18" s="462">
        <f>SUM(C4:C17)</f>
        <v>451.10000000000008</v>
      </c>
      <c r="D18" s="463">
        <f>SUM(D4:D17)</f>
        <v>673.3</v>
      </c>
      <c r="E18" s="464">
        <f>SUM(E4:E17)</f>
        <v>573.9</v>
      </c>
      <c r="F18" s="547">
        <f>SUM(F4:F17)</f>
        <v>1574</v>
      </c>
      <c r="G18" s="539">
        <f>SUM(G4:G17)</f>
        <v>1375</v>
      </c>
      <c r="H18" s="540">
        <f t="shared" ref="H18:J18" si="40">SUM(H4:H17)</f>
        <v>1543</v>
      </c>
      <c r="I18" s="541">
        <f t="shared" si="40"/>
        <v>1718</v>
      </c>
      <c r="J18" s="728">
        <f t="shared" si="40"/>
        <v>1823.0000000000039</v>
      </c>
      <c r="K18" s="729">
        <f t="shared" ref="K18:M18" si="41">SUM(K4:K17)</f>
        <v>1926.5000000000039</v>
      </c>
      <c r="L18" s="729">
        <f t="shared" si="41"/>
        <v>2030.0000000000039</v>
      </c>
      <c r="M18" s="730">
        <f t="shared" si="41"/>
        <v>2133.5000000000036</v>
      </c>
      <c r="N18" s="359"/>
      <c r="O18" s="359"/>
      <c r="P18" s="359"/>
      <c r="S18" s="189"/>
      <c r="T18" s="188">
        <f>SUM(T4:T17)</f>
        <v>10579780.361798529</v>
      </c>
      <c r="U18" s="188">
        <f t="shared" ref="U18:AD18" si="42">SUM(U4:U17)</f>
        <v>15943989.031698959</v>
      </c>
      <c r="V18" s="188">
        <f t="shared" si="42"/>
        <v>7828537.622512172</v>
      </c>
      <c r="W18" s="188">
        <f t="shared" si="42"/>
        <v>30536505.687942203</v>
      </c>
      <c r="X18" s="188">
        <f t="shared" si="42"/>
        <v>33346226.638643138</v>
      </c>
      <c r="Y18" s="188">
        <f t="shared" si="42"/>
        <v>37517997.39227844</v>
      </c>
      <c r="Z18" s="188">
        <f t="shared" si="42"/>
        <v>42599843.820827194</v>
      </c>
      <c r="AA18" s="188">
        <f t="shared" si="42"/>
        <v>45314981.1875498</v>
      </c>
      <c r="AB18" s="188">
        <f t="shared" si="42"/>
        <v>48002728.487356298</v>
      </c>
      <c r="AC18" s="188">
        <f t="shared" si="42"/>
        <v>50690475.787162788</v>
      </c>
      <c r="AD18" s="188">
        <f t="shared" si="42"/>
        <v>53378223.086969279</v>
      </c>
      <c r="AE18" s="188"/>
      <c r="AG18" s="189"/>
      <c r="AH18" s="188">
        <f t="shared" ref="AH18:AQ18" si="43">SUM(AH4:AH17)</f>
        <v>3673178.1079980298</v>
      </c>
      <c r="AI18" s="188">
        <f t="shared" si="43"/>
        <v>5505245.5189881735</v>
      </c>
      <c r="AJ18" s="188">
        <f t="shared" si="43"/>
        <v>2515603.4843369732</v>
      </c>
      <c r="AK18" s="188">
        <f t="shared" si="43"/>
        <v>9960723.4588257819</v>
      </c>
      <c r="AL18" s="188">
        <f t="shared" si="43"/>
        <v>11129929.871285468</v>
      </c>
      <c r="AM18" s="188">
        <f t="shared" si="43"/>
        <v>12498842.437611096</v>
      </c>
      <c r="AN18" s="188">
        <f t="shared" si="43"/>
        <v>13932036.458299486</v>
      </c>
      <c r="AO18" s="188">
        <f t="shared" si="43"/>
        <v>14790403.297277125</v>
      </c>
      <c r="AP18" s="188">
        <f t="shared" si="43"/>
        <v>14790403.297277125</v>
      </c>
      <c r="AQ18" s="188">
        <f t="shared" si="43"/>
        <v>14790403.297277125</v>
      </c>
      <c r="AR18" s="188">
        <f>SUM(AR4:AR17)</f>
        <v>14790403.297277125</v>
      </c>
      <c r="AX18" s="159"/>
      <c r="AZ18" s="559">
        <f>SUM(AZ4:AZ17)</f>
        <v>357</v>
      </c>
      <c r="BA18" s="559">
        <f>SUM(BA4:BA17)</f>
        <v>684</v>
      </c>
      <c r="BB18" s="559">
        <f>SUM(BB4:BB17)</f>
        <v>1184</v>
      </c>
      <c r="BC18" s="559">
        <f>SUM(BC4:BC17)</f>
        <v>1574</v>
      </c>
      <c r="BE18" s="560">
        <f>SUM(BE4:BE17)</f>
        <v>451.10000000000008</v>
      </c>
      <c r="BF18" s="560">
        <f>SUM(BF4:BF17)</f>
        <v>1124.4000000000001</v>
      </c>
      <c r="BG18" s="560">
        <f>SUM(BG4:BG17)</f>
        <v>1698.3000000000002</v>
      </c>
      <c r="BH18" s="560"/>
      <c r="BI18" s="561">
        <f t="shared" si="33"/>
        <v>2225</v>
      </c>
      <c r="BJ18" s="562">
        <f t="shared" si="35"/>
        <v>0.7632808988764046</v>
      </c>
      <c r="BL18" s="158"/>
    </row>
    <row r="19" spans="2:64" ht="15">
      <c r="B19" s="173"/>
      <c r="C19" s="189"/>
      <c r="D19" s="209"/>
      <c r="E19" s="209"/>
      <c r="F19" s="209"/>
      <c r="G19" s="173"/>
      <c r="H19" s="359"/>
      <c r="S19" s="189"/>
      <c r="T19" s="188"/>
      <c r="U19" s="188"/>
      <c r="V19" s="188"/>
      <c r="W19" s="188"/>
      <c r="X19" s="188"/>
      <c r="Y19" s="188"/>
      <c r="Z19" s="188"/>
      <c r="AG19" s="189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X19" s="159"/>
      <c r="BD19" s="563" t="s">
        <v>569</v>
      </c>
      <c r="BL19" s="158"/>
    </row>
    <row r="20" spans="2:64" ht="15">
      <c r="B20" s="173" t="s">
        <v>160</v>
      </c>
      <c r="C20" s="330" t="s">
        <v>561</v>
      </c>
      <c r="D20" s="173"/>
      <c r="E20" s="173"/>
      <c r="F20" s="173" t="s">
        <v>161</v>
      </c>
      <c r="G20" s="37" t="s">
        <v>534</v>
      </c>
      <c r="H20" s="359"/>
      <c r="AX20" s="159"/>
      <c r="BD20" s="551" t="s">
        <v>561</v>
      </c>
      <c r="BL20" s="158"/>
    </row>
    <row r="21" spans="2:64">
      <c r="B21" s="173"/>
      <c r="C21" s="173"/>
      <c r="D21" s="173"/>
      <c r="E21" s="173"/>
      <c r="F21" s="173"/>
      <c r="G21" s="173"/>
      <c r="H21" s="173"/>
      <c r="I21" s="173"/>
      <c r="AX21" s="159"/>
      <c r="BD21" s="564" t="s">
        <v>570</v>
      </c>
      <c r="BE21" s="552" t="s">
        <v>571</v>
      </c>
      <c r="BF21" s="552" t="s">
        <v>572</v>
      </c>
      <c r="BG21" s="552" t="s">
        <v>573</v>
      </c>
      <c r="BL21" s="158"/>
    </row>
    <row r="22" spans="2:64" ht="15" thickBot="1">
      <c r="B22" s="208"/>
      <c r="C22" s="207"/>
      <c r="D22" s="207"/>
      <c r="E22" s="207"/>
      <c r="F22" s="207"/>
      <c r="G22" s="207"/>
      <c r="H22" s="207"/>
      <c r="I22" s="206"/>
      <c r="R22" s="357"/>
      <c r="S22" s="356" t="str">
        <f>S4</f>
        <v>Retrofit</v>
      </c>
      <c r="T22" s="355">
        <f>T4/2</f>
        <v>4865598.9992342386</v>
      </c>
      <c r="U22" s="355">
        <f>U4/2+T4/2</f>
        <v>12158740.548386544</v>
      </c>
      <c r="V22" s="355">
        <f>V4/2+U4+$T4/2</f>
        <v>21346720.411286253</v>
      </c>
      <c r="W22" s="355">
        <f>W4/2+SUM($U4:V4)+$T4/2</f>
        <v>29783540.572743557</v>
      </c>
      <c r="X22" s="355">
        <f>X4/2+SUM($U4:W4)+$T4/2</f>
        <v>41535743.6777367</v>
      </c>
      <c r="Y22" s="355">
        <f>Y4/2+SUM($U4:X4)+$T4/2</f>
        <v>52808980.254593946</v>
      </c>
      <c r="Z22" s="355">
        <f>Z4/2+SUM($U4:Y4)+$T4/2</f>
        <v>64432680.144721359</v>
      </c>
      <c r="AA22" s="355">
        <f>AA4/2+SUM($U4:Z4)+$T4/2</f>
        <v>75604671.764411673</v>
      </c>
      <c r="AB22" s="355">
        <f>AB4/2+SUM($U4:AA4)+$T4/2</f>
        <v>86827285.862685427</v>
      </c>
      <c r="AC22" s="355">
        <f>AC4/2+SUM($U4:AB4)+$T4/2</f>
        <v>98049899.960959211</v>
      </c>
      <c r="AD22" s="355">
        <f>AD4/2+SUM($U4:AC4)+$T4/2</f>
        <v>109272514.05923297</v>
      </c>
      <c r="AE22" s="355"/>
      <c r="AF22" s="740"/>
      <c r="AG22" s="741" t="str">
        <f>AG4</f>
        <v>Retrofit</v>
      </c>
      <c r="AH22" s="742">
        <f>AH4/2</f>
        <v>1701745.1826328393</v>
      </c>
      <c r="AI22" s="742">
        <f>AI4/2+AH4/2</f>
        <v>4252524.3363367561</v>
      </c>
      <c r="AJ22" s="742">
        <f>AJ4/2+AI4+$AH4/2</f>
        <v>7466023.9429171365</v>
      </c>
      <c r="AK22" s="742">
        <f>AK4/2+SUM($AI4:AJ4)+$AH4/2</f>
        <v>10416805.145552037</v>
      </c>
      <c r="AL22" s="742">
        <f>AL4/2+SUM($AI4:AK4)+$AH4/2</f>
        <v>14527142.849582378</v>
      </c>
      <c r="AM22" s="742">
        <f>AM4/2+SUM($AI4:AL4)+$AH4/2</f>
        <v>18469961.820148259</v>
      </c>
      <c r="AN22" s="742">
        <f>AN4/2+SUM($AI4:AM4)+$AH4/2</f>
        <v>22535355.473736912</v>
      </c>
      <c r="AO22" s="742">
        <f>AO4/2+SUM($AI4:AN4)+$AH4/2</f>
        <v>26442763.980318442</v>
      </c>
      <c r="AP22" s="742">
        <f>AP4/2+SUM($AI4:AO4)+$AH4/2</f>
        <v>30367877.718892142</v>
      </c>
      <c r="AQ22" s="742">
        <f>AQ4/2+SUM($AI4:AP4)+$AH4/2</f>
        <v>34292991.45746585</v>
      </c>
      <c r="AR22" s="743">
        <f>AR4/2+SUM($AI4:AQ4)+$AH4/2</f>
        <v>38218105.19603955</v>
      </c>
      <c r="AX22" s="155"/>
      <c r="AY22" s="565"/>
      <c r="AZ22" s="565"/>
      <c r="BA22" s="565"/>
      <c r="BB22" s="565"/>
      <c r="BC22" s="565"/>
      <c r="BD22" s="565"/>
      <c r="BE22" s="565"/>
      <c r="BF22" s="565"/>
      <c r="BG22" s="565"/>
      <c r="BH22" s="565"/>
      <c r="BI22" s="565"/>
      <c r="BJ22" s="565"/>
      <c r="BK22" s="565"/>
      <c r="BL22" s="566"/>
    </row>
    <row r="23" spans="2:64">
      <c r="B23" s="208"/>
      <c r="C23" s="207"/>
      <c r="D23" s="207"/>
      <c r="E23" s="207"/>
      <c r="F23" s="207"/>
      <c r="G23" s="207"/>
      <c r="H23" s="207"/>
      <c r="I23" s="206"/>
      <c r="R23" s="354"/>
      <c r="S23" s="330" t="str">
        <f>S5</f>
        <v>Small Business</v>
      </c>
      <c r="T23" s="353">
        <f>T5/2</f>
        <v>120480.65313015842</v>
      </c>
      <c r="U23" s="353">
        <f>U5/2+T5/2</f>
        <v>173450.59545462462</v>
      </c>
      <c r="V23" s="353">
        <f>V5/2+U5+$T5/2</f>
        <v>301201.63282539602</v>
      </c>
      <c r="W23" s="353">
        <f>W5/2+SUM($U5:V5)+$T5/2</f>
        <v>1051089.8359286233</v>
      </c>
      <c r="X23" s="353">
        <f>X5/2+SUM($U5:W5)+$T5/2</f>
        <v>1871604.6287978056</v>
      </c>
      <c r="Y23" s="353">
        <f>Y5/2+SUM($U5:X5)+$T5/2</f>
        <v>2172806.2616232019</v>
      </c>
      <c r="Z23" s="353">
        <f>Z5/2+SUM($U5:Y5)+$T5/2</f>
        <v>2494780.4208503491</v>
      </c>
      <c r="AA23" s="353">
        <f>AA5/2+SUM($U5:Z5)+$T5/2</f>
        <v>2837527.106479248</v>
      </c>
      <c r="AB23" s="353">
        <f>AB5/2+SUM($U5:AA5)+$T5/2</f>
        <v>3201046.3185098986</v>
      </c>
      <c r="AC23" s="353">
        <f>AC5/2+SUM($U5:AB5)+$T5/2</f>
        <v>3585338.0569422999</v>
      </c>
      <c r="AD23" s="353">
        <f>AD5/2+SUM($U5:AC5)+$T5/2</f>
        <v>3990402.3217764534</v>
      </c>
      <c r="AE23" s="353"/>
      <c r="AF23" s="744"/>
      <c r="AG23" s="330" t="str">
        <f>AG5</f>
        <v>Small Business</v>
      </c>
      <c r="AH23" s="353">
        <f>AH5/2</f>
        <v>37612.073079581103</v>
      </c>
      <c r="AI23" s="353">
        <f>AI5/2+AH5/2</f>
        <v>54148.415554224513</v>
      </c>
      <c r="AJ23" s="353">
        <f t="shared" ref="AJ23:AJ35" si="44">AJ5/2+AI5+$AH5/2</f>
        <v>94030.182698952747</v>
      </c>
      <c r="AK23" s="353">
        <f>AK5/2+SUM($AI5:AJ5)+$AH5/2</f>
        <v>328132.91341841436</v>
      </c>
      <c r="AL23" s="353">
        <f>AL5/2+SUM($AI5:AK5)+$AH5/2</f>
        <v>584284.10077073402</v>
      </c>
      <c r="AM23" s="353">
        <f>AM5/2+SUM($AI5:AL5)+$AH5/2</f>
        <v>678314.28346968675</v>
      </c>
      <c r="AN23" s="353">
        <f>AN5/2+SUM($AI5:AM5)+$AH5/2</f>
        <v>778829.30635477416</v>
      </c>
      <c r="AO23" s="353">
        <f>AO5/2+SUM($AI5:AN5)+$AH5/2</f>
        <v>885829.16942599625</v>
      </c>
      <c r="AP23" s="353">
        <f>AP5/2+SUM($AI5:AO5)+$AH5/2</f>
        <v>996071.45259028557</v>
      </c>
      <c r="AQ23" s="353">
        <f>AQ5/2+SUM($AI5:AP5)+$AH5/2</f>
        <v>1106313.7357545751</v>
      </c>
      <c r="AR23" s="352">
        <f>AR5/2+SUM($AI5:AQ5)+$AH5/2</f>
        <v>1216556.0189188644</v>
      </c>
    </row>
    <row r="24" spans="2:64" ht="15">
      <c r="B24" s="205" t="s">
        <v>162</v>
      </c>
      <c r="C24" s="204">
        <v>2019</v>
      </c>
      <c r="D24" s="204">
        <f>C24+1</f>
        <v>2020</v>
      </c>
      <c r="E24" s="204">
        <f t="shared" ref="E24:G24" si="45">D24+1</f>
        <v>2021</v>
      </c>
      <c r="F24" s="204">
        <f t="shared" si="45"/>
        <v>2022</v>
      </c>
      <c r="G24" s="204">
        <f t="shared" si="45"/>
        <v>2023</v>
      </c>
      <c r="H24" s="204"/>
      <c r="I24" s="203" t="s">
        <v>163</v>
      </c>
      <c r="J24" s="202"/>
      <c r="K24" s="202"/>
      <c r="L24" s="202"/>
      <c r="M24" s="202"/>
      <c r="N24" s="202"/>
      <c r="O24" s="202"/>
      <c r="P24" s="202"/>
      <c r="Q24" s="202"/>
      <c r="R24" s="354"/>
      <c r="S24" s="330" t="str">
        <f>S6</f>
        <v xml:space="preserve">Energy Performance </v>
      </c>
      <c r="T24" s="353">
        <f t="shared" ref="T24:T35" si="46">T6/2</f>
        <v>188833.34455654336</v>
      </c>
      <c r="U24" s="353">
        <f>U6/2+T6/2</f>
        <v>482574.10275561083</v>
      </c>
      <c r="V24" s="353">
        <f>V6/2+U6+$T6/2</f>
        <v>861739.46920644795</v>
      </c>
      <c r="W24" s="353">
        <f>W6/2+SUM($U6:V6)+$T6/2</f>
        <v>1756449.8398434033</v>
      </c>
      <c r="X24" s="353">
        <f>X6/2+SUM($U6:W6)+$T6/2</f>
        <v>2565735.6022285894</v>
      </c>
      <c r="Y24" s="353">
        <f>Y6/2+SUM($U6:X6)+$T6/2</f>
        <v>2565735.6022285894</v>
      </c>
      <c r="Z24" s="353">
        <f>Z6/2+SUM($U6:Y6)+$T6/2</f>
        <v>2565735.6022285894</v>
      </c>
      <c r="AA24" s="353">
        <f>AA6/2+SUM($U6:Z6)+$T6/2</f>
        <v>2565735.6022285894</v>
      </c>
      <c r="AB24" s="353">
        <f>AB6/2+SUM($U6:AA6)+$T6/2</f>
        <v>2565735.6022285894</v>
      </c>
      <c r="AC24" s="353">
        <f>AC6/2+SUM($U6:AB6)+$T6/2</f>
        <v>2565735.6022285894</v>
      </c>
      <c r="AD24" s="353">
        <f>AD6/2+SUM($U6:AC6)+$T6/2</f>
        <v>2565735.6022285894</v>
      </c>
      <c r="AE24" s="353"/>
      <c r="AF24" s="354"/>
      <c r="AG24" s="330" t="str">
        <f>AG6</f>
        <v xml:space="preserve">Energy Performance </v>
      </c>
      <c r="AH24" s="353">
        <f>AH6/2</f>
        <v>51141.173500963137</v>
      </c>
      <c r="AI24" s="353">
        <f>AI6/2+AH6/2</f>
        <v>130694.1100580169</v>
      </c>
      <c r="AJ24" s="353">
        <f t="shared" si="44"/>
        <v>233382.33938931586</v>
      </c>
      <c r="AK24" s="353">
        <f>AK6/2+SUM($AI6:AJ6)+$AH6/2</f>
        <v>475694.0900248317</v>
      </c>
      <c r="AL24" s="353">
        <f>AL6/2+SUM($AI6:AK6)+$AH6/2</f>
        <v>694870.54788610234</v>
      </c>
      <c r="AM24" s="353">
        <f>AM6/2+SUM($AI6:AL6)+$AH6/2</f>
        <v>694870.54788610234</v>
      </c>
      <c r="AN24" s="353">
        <f>AN6/2+SUM($AI6:AM6)+$AH6/2</f>
        <v>694870.54788610234</v>
      </c>
      <c r="AO24" s="353">
        <f>AO6/2+SUM($AI6:AN6)+$AH6/2</f>
        <v>694870.54788610234</v>
      </c>
      <c r="AP24" s="353">
        <f>AP6/2+SUM($AI6:AO6)+$AH6/2</f>
        <v>694870.54788610234</v>
      </c>
      <c r="AQ24" s="353">
        <f>AQ6/2+SUM($AI6:AP6)+$AH6/2</f>
        <v>694870.54788610234</v>
      </c>
      <c r="AR24" s="352">
        <f>AR6/2+SUM($AI6:AQ6)+$AH6/2</f>
        <v>694870.54788610234</v>
      </c>
    </row>
    <row r="25" spans="2:64" ht="15">
      <c r="B25" s="201" t="s">
        <v>164</v>
      </c>
      <c r="C25" s="200">
        <v>128998218668.8248</v>
      </c>
      <c r="D25" s="200">
        <v>127404529765.21001</v>
      </c>
      <c r="E25" s="200">
        <v>128402542286.69998</v>
      </c>
      <c r="F25" s="200">
        <v>130335939993.45</v>
      </c>
      <c r="G25" s="200">
        <v>129496424296.92206</v>
      </c>
      <c r="H25" s="200"/>
      <c r="I25" s="199">
        <f>AVERAGE(C25:G25)</f>
        <v>128927531002.22136</v>
      </c>
      <c r="J25" s="188"/>
      <c r="K25" s="188"/>
      <c r="L25" s="188"/>
      <c r="M25" s="188"/>
      <c r="N25" s="188"/>
      <c r="O25" s="188"/>
      <c r="P25" s="188"/>
      <c r="Q25" s="188"/>
      <c r="R25" s="198" t="s">
        <v>165</v>
      </c>
      <c r="S25" s="330" t="str">
        <f>S7</f>
        <v>Energy Management</v>
      </c>
      <c r="T25" s="353">
        <f t="shared" si="46"/>
        <v>11989.418702002755</v>
      </c>
      <c r="U25" s="353">
        <f>U7/2+T7/2</f>
        <v>235292.34202680402</v>
      </c>
      <c r="V25" s="353">
        <f>V7/2+U7+$T7/2</f>
        <v>371671.97976208531</v>
      </c>
      <c r="W25" s="353">
        <f>W7/2+SUM($U7:V7)+$T7/2</f>
        <v>1723478.9384128961</v>
      </c>
      <c r="X25" s="353">
        <f>X7/2+SUM($U7:W7)+$T7/2</f>
        <v>3941521.3982834052</v>
      </c>
      <c r="Y25" s="353">
        <f>Y7/2+SUM($U7:X7)+$T7/2</f>
        <v>5605053.2431862876</v>
      </c>
      <c r="Z25" s="353">
        <f>Z7/2+SUM($U7:Y7)+$T7/2</f>
        <v>7448426.368619211</v>
      </c>
      <c r="AA25" s="353">
        <f>AA7/2+SUM($U7:Z7)+$T7/2</f>
        <v>9461649.5923305154</v>
      </c>
      <c r="AB25" s="353">
        <f>AB7/2+SUM($U7:AA7)+$T7/2</f>
        <v>11659709.687697705</v>
      </c>
      <c r="AC25" s="353">
        <f>AC7/2+SUM($U7:AB7)+$T7/2</f>
        <v>14037611.063594935</v>
      </c>
      <c r="AD25" s="353">
        <f>AD7/2+SUM($U7:AC7)+$T7/2</f>
        <v>16595353.720022209</v>
      </c>
      <c r="AE25" s="353"/>
      <c r="AF25" s="198" t="s">
        <v>165</v>
      </c>
      <c r="AG25" s="330" t="str">
        <f>AG7</f>
        <v>Energy Management</v>
      </c>
      <c r="AH25" s="353">
        <f>AH7/2</f>
        <v>3247.0586349817863</v>
      </c>
      <c r="AI25" s="353">
        <f>AI7/2+AH7/2</f>
        <v>63723.525711517563</v>
      </c>
      <c r="AJ25" s="353">
        <f t="shared" si="44"/>
        <v>100658.81768443539</v>
      </c>
      <c r="AK25" s="353">
        <f>AK7/2+SUM($AI7:AJ7)+$AH7/2</f>
        <v>466764.67877863185</v>
      </c>
      <c r="AL25" s="353">
        <f>AL7/2+SUM($AI7:AK7)+$AH7/2</f>
        <v>1067470.5262502623</v>
      </c>
      <c r="AM25" s="353">
        <f>AM7/2+SUM($AI7:AL7)+$AH7/2</f>
        <v>1517999.9118539854</v>
      </c>
      <c r="AN25" s="353">
        <f>AN7/2+SUM($AI7:AM7)+$AH7/2</f>
        <v>2017235.1769824349</v>
      </c>
      <c r="AO25" s="353">
        <f>AO7/2+SUM($AI7:AN7)+$AH7/2</f>
        <v>2562470.4394397964</v>
      </c>
      <c r="AP25" s="353">
        <f>AP7/2+SUM($AI7:AO7)+$AH7/2</f>
        <v>3133411.5827574315</v>
      </c>
      <c r="AQ25" s="353">
        <f>AQ7/2+SUM($AI7:AP7)+$AH7/2</f>
        <v>3704352.7260750677</v>
      </c>
      <c r="AR25" s="352">
        <f>AR7/2+SUM($AI7:AQ7)+$AH7/2</f>
        <v>4275293.8693927024</v>
      </c>
    </row>
    <row r="26" spans="2:64" ht="15">
      <c r="B26" s="201" t="s">
        <v>397</v>
      </c>
      <c r="C26" s="353">
        <v>3443454454</v>
      </c>
      <c r="D26" s="353">
        <v>3475068653</v>
      </c>
      <c r="E26" s="353">
        <v>3515660342</v>
      </c>
      <c r="F26" s="353">
        <v>3578237129</v>
      </c>
      <c r="G26" s="353">
        <v>3558423907</v>
      </c>
      <c r="H26" s="353"/>
      <c r="I26" s="199">
        <f>AVERAGE(C26:G26)</f>
        <v>3514168897</v>
      </c>
      <c r="J26" s="188"/>
      <c r="K26" s="733"/>
      <c r="L26" s="188"/>
      <c r="M26" s="188"/>
      <c r="N26" s="188"/>
      <c r="O26" s="188"/>
      <c r="P26" s="188"/>
      <c r="Q26" s="188"/>
      <c r="R26" s="351" t="s">
        <v>166</v>
      </c>
      <c r="S26" s="330" t="str">
        <f>S8</f>
        <v>Industrial Energy Efficiency</v>
      </c>
      <c r="T26" s="353">
        <f t="shared" si="46"/>
        <v>0</v>
      </c>
      <c r="U26" s="353">
        <f>U8/2+T8/2</f>
        <v>0</v>
      </c>
      <c r="V26" s="353">
        <f>V8/2+U8+$T8/2</f>
        <v>1361501.5047645264</v>
      </c>
      <c r="W26" s="353">
        <f>W8/2+SUM($U8:V8)+$T8/2</f>
        <v>5296287.6405272987</v>
      </c>
      <c r="X26" s="353">
        <f>X8/2+SUM($U8:W8)+$T8/2</f>
        <v>9943795.6407544352</v>
      </c>
      <c r="Y26" s="353">
        <f>Y8/2+SUM($U8:X8)+$T8/2</f>
        <v>14513325.318830106</v>
      </c>
      <c r="Z26" s="353">
        <f>Z8/2+SUM($U8:Y8)+$T8/2</f>
        <v>20049786.191583909</v>
      </c>
      <c r="AA26" s="353">
        <f>AA8/2+SUM($U8:Z8)+$T8/2</f>
        <v>26594766.697496578</v>
      </c>
      <c r="AB26" s="353">
        <f>AB8/2+SUM($U8:AA8)+$T8/2</f>
        <v>34085884.178846955</v>
      </c>
      <c r="AC26" s="353">
        <f>AC8/2+SUM($U8:AB8)+$T8/2</f>
        <v>42543932.85487546</v>
      </c>
      <c r="AD26" s="353">
        <f>AD8/2+SUM($U8:AC8)+$T8/2</f>
        <v>51968912.725582093</v>
      </c>
      <c r="AE26" s="353"/>
      <c r="AF26" s="351" t="s">
        <v>166</v>
      </c>
      <c r="AG26" s="330" t="str">
        <f>AG8</f>
        <v>Industrial Energy Efficiency</v>
      </c>
      <c r="AH26" s="353">
        <f>AH8/2</f>
        <v>0</v>
      </c>
      <c r="AI26" s="353">
        <f>AI8/2+AH8/2</f>
        <v>0</v>
      </c>
      <c r="AJ26" s="353">
        <f t="shared" si="44"/>
        <v>363768.33228883566</v>
      </c>
      <c r="AK26" s="353">
        <f>AK8/2+SUM($AI8:AJ8)+$AH8/2</f>
        <v>1415071.3132335464</v>
      </c>
      <c r="AL26" s="353">
        <f>AL8/2+SUM($AI8:AK8)+$AH8/2</f>
        <v>2656800.557472642</v>
      </c>
      <c r="AM26" s="353">
        <f>AM8/2+SUM($AI8:AL8)+$AH8/2</f>
        <v>3877695.4184191353</v>
      </c>
      <c r="AN26" s="353">
        <f>AN8/2+SUM($AI8:AM8)+$AH8/2</f>
        <v>5356936.6321938969</v>
      </c>
      <c r="AO26" s="353">
        <f>AO8/2+SUM($AI8:AN8)+$AH8/2</f>
        <v>7105635.8698863033</v>
      </c>
      <c r="AP26" s="353">
        <f>AP8/2+SUM($AI8:AO8)+$AH8/2</f>
        <v>8977952.4484481402</v>
      </c>
      <c r="AQ26" s="353">
        <f>AQ8/2+SUM($AI8:AP8)+$AH8/2</f>
        <v>10850269.027009979</v>
      </c>
      <c r="AR26" s="352">
        <f>AR8/2+SUM($AI8:AQ8)+$AH8/2</f>
        <v>12722585.605571816</v>
      </c>
    </row>
    <row r="27" spans="2:64" ht="15">
      <c r="B27" s="201" t="s">
        <v>681</v>
      </c>
      <c r="C27" s="197">
        <f t="shared" ref="C27:G27" si="47">C26/C25</f>
        <v>2.6693813988550721E-2</v>
      </c>
      <c r="D27" s="197">
        <f t="shared" si="47"/>
        <v>2.7275864205174652E-2</v>
      </c>
      <c r="E27" s="197">
        <f t="shared" si="47"/>
        <v>2.7379990141863059E-2</v>
      </c>
      <c r="F27" s="197">
        <f t="shared" si="47"/>
        <v>2.7453955748351709E-2</v>
      </c>
      <c r="G27" s="197">
        <f t="shared" si="47"/>
        <v>2.7478935625596102E-2</v>
      </c>
      <c r="H27" s="197"/>
      <c r="I27" s="196">
        <f>I26/I25</f>
        <v>2.7256931624165304E-2</v>
      </c>
      <c r="J27" s="195"/>
      <c r="K27" s="733"/>
      <c r="L27" s="195"/>
      <c r="M27" s="195"/>
      <c r="N27" s="195"/>
      <c r="O27" s="195"/>
      <c r="P27" s="195"/>
      <c r="R27" s="354"/>
      <c r="S27" s="330" t="str">
        <f t="shared" ref="S27:S30" si="48">S9</f>
        <v>New Construction</v>
      </c>
      <c r="T27" s="353">
        <f t="shared" si="46"/>
        <v>0</v>
      </c>
      <c r="U27" s="353">
        <f t="shared" ref="U27:U30" si="49">U9/2+T9/2</f>
        <v>0</v>
      </c>
      <c r="V27" s="353">
        <f t="shared" ref="V27:V29" si="50">V9/2+U9+$T9/2</f>
        <v>0</v>
      </c>
      <c r="W27" s="353">
        <f>W9/2+SUM($U9:V9)+$T9/2</f>
        <v>0</v>
      </c>
      <c r="X27" s="353">
        <f>X9/2+SUM($U9:W9)+$T9/2</f>
        <v>0</v>
      </c>
      <c r="Y27" s="353">
        <f>Y9/2+SUM($U9:X9)+$T9/2</f>
        <v>0</v>
      </c>
      <c r="Z27" s="353">
        <f>Z9/2+SUM($U9:Y9)+$T9/2</f>
        <v>1588597.9780153648</v>
      </c>
      <c r="AA27" s="353">
        <f>AA9/2+SUM($U9:Z9)+$T9/2</f>
        <v>4765793.9340460943</v>
      </c>
      <c r="AB27" s="353">
        <f>AB9/2+SUM($U9:AA9)+$T9/2</f>
        <v>7942989.8900768245</v>
      </c>
      <c r="AC27" s="353">
        <f>AC9/2+SUM($U9:AB9)+$T9/2</f>
        <v>11120185.846107554</v>
      </c>
      <c r="AD27" s="353">
        <f>AD9/2+SUM($U9:AC9)+$T9/2</f>
        <v>14297381.802138284</v>
      </c>
      <c r="AE27" s="353"/>
      <c r="AF27" s="354"/>
      <c r="AG27" s="330" t="str">
        <f t="shared" ref="AG27:AG30" si="51">AG9</f>
        <v>New Construction</v>
      </c>
      <c r="AH27" s="353">
        <f t="shared" ref="AH27:AH30" si="52">AH9/2</f>
        <v>0</v>
      </c>
      <c r="AI27" s="353">
        <f t="shared" ref="AI27:AI30" si="53">AI9/2+AH9/2</f>
        <v>0</v>
      </c>
      <c r="AJ27" s="353">
        <f t="shared" si="44"/>
        <v>0</v>
      </c>
      <c r="AK27" s="353">
        <f>AK9/2+SUM($AI9:AJ9)+$AH9/2</f>
        <v>0</v>
      </c>
      <c r="AL27" s="353">
        <f>AL9/2+SUM($AI9:AK9)+$AH9/2</f>
        <v>0</v>
      </c>
      <c r="AM27" s="353">
        <f>AM9/2+SUM($AI9:AL9)+$AH9/2</f>
        <v>0</v>
      </c>
      <c r="AN27" s="353">
        <f>AN9/2+SUM($AI9:AM9)+$AH9/2</f>
        <v>430235.26913508668</v>
      </c>
      <c r="AO27" s="353">
        <f>AO9/2+SUM($AI9:AN9)+$AH9/2</f>
        <v>1290705.8074052599</v>
      </c>
      <c r="AP27" s="353">
        <f>AP9/2+SUM($AI9:AO9)+$AH9/2</f>
        <v>2151176.3456754335</v>
      </c>
      <c r="AQ27" s="353">
        <f>AQ9/2+SUM($AI9:AP9)+$AH9/2</f>
        <v>3011646.8839456066</v>
      </c>
      <c r="AR27" s="352">
        <f>AR9/2+SUM($AI9:AQ9)+$AH9/2</f>
        <v>3872117.4222157802</v>
      </c>
    </row>
    <row r="28" spans="2:64" ht="15">
      <c r="B28" s="201"/>
      <c r="C28" s="173"/>
      <c r="D28" s="173"/>
      <c r="E28" s="173"/>
      <c r="F28" s="173"/>
      <c r="G28" s="173"/>
      <c r="H28" s="173"/>
      <c r="I28" s="194"/>
      <c r="J28" s="189"/>
      <c r="K28" s="733"/>
      <c r="L28" s="189"/>
      <c r="M28" s="189"/>
      <c r="N28" s="189"/>
      <c r="O28" s="189"/>
      <c r="P28" s="189"/>
      <c r="R28" s="354"/>
      <c r="S28" s="330" t="str">
        <f t="shared" si="48"/>
        <v>Home Renovation Savings</v>
      </c>
      <c r="T28" s="353">
        <f t="shared" si="46"/>
        <v>0</v>
      </c>
      <c r="U28" s="353">
        <f t="shared" si="49"/>
        <v>0</v>
      </c>
      <c r="V28" s="353">
        <f t="shared" si="50"/>
        <v>0</v>
      </c>
      <c r="W28" s="353">
        <f>W10/2+SUM($U10:V10)+$T10/2</f>
        <v>0</v>
      </c>
      <c r="X28" s="353">
        <f>X10/2+SUM($U10:W10)+$T10/2</f>
        <v>729868.21025113063</v>
      </c>
      <c r="Y28" s="353">
        <f>Y10/2+SUM($U10:X10)+$T10/2</f>
        <v>2249429.8938887306</v>
      </c>
      <c r="Z28" s="353">
        <f>Z10/2+SUM($U10:Y10)+$T10/2</f>
        <v>3828816.8406616682</v>
      </c>
      <c r="AA28" s="353">
        <f>AA10/2+SUM($U10:Z10)+$T10/2</f>
        <v>5448087.2961914949</v>
      </c>
      <c r="AB28" s="353">
        <f>AB10/2+SUM($U10:AA10)+$T10/2</f>
        <v>7137153.8920458807</v>
      </c>
      <c r="AC28" s="353">
        <f>AC10/2+SUM($U10:AB10)+$T10/2</f>
        <v>8886045.7510356046</v>
      </c>
      <c r="AD28" s="353">
        <f>AD10/2+SUM($U10:AC10)+$T10/2</f>
        <v>10694762.873160666</v>
      </c>
      <c r="AE28" s="353"/>
      <c r="AF28" s="354"/>
      <c r="AG28" s="330" t="str">
        <f t="shared" si="51"/>
        <v>Home Renovation Savings</v>
      </c>
      <c r="AH28" s="353">
        <f t="shared" si="52"/>
        <v>0</v>
      </c>
      <c r="AI28" s="353">
        <f t="shared" si="53"/>
        <v>0</v>
      </c>
      <c r="AJ28" s="353">
        <f t="shared" si="44"/>
        <v>0</v>
      </c>
      <c r="AK28" s="353">
        <f>AK10/2+SUM($AI10:AJ10)+$AH10/2</f>
        <v>0</v>
      </c>
      <c r="AL28" s="353">
        <f>AL10/2+SUM($AI10:AK10)+$AH10/2</f>
        <v>275783.38665996701</v>
      </c>
      <c r="AM28" s="353">
        <f>AM10/2+SUM($AI10:AL10)+$AH10/2</f>
        <v>849955.35560776712</v>
      </c>
      <c r="AN28" s="353">
        <f>AN10/2+SUM($AI10:AM10)+$AH10/2</f>
        <v>1446732.5201834333</v>
      </c>
      <c r="AO28" s="353">
        <f>AO10/2+SUM($AI10:AN10)+$AH10/2</f>
        <v>2058579.8151776756</v>
      </c>
      <c r="AP28" s="353">
        <f>AP10/2+SUM($AI10:AO10)+$AH10/2</f>
        <v>2685497.2405904941</v>
      </c>
      <c r="AQ28" s="353">
        <f>AQ10/2+SUM($AI10:AP10)+$AH10/2</f>
        <v>3312414.666003312</v>
      </c>
      <c r="AR28" s="352">
        <f>AR10/2+SUM($AI10:AQ10)+$AH10/2</f>
        <v>3939332.0914161308</v>
      </c>
    </row>
    <row r="29" spans="2:64">
      <c r="B29" s="201" t="s">
        <v>160</v>
      </c>
      <c r="C29" s="173" t="s">
        <v>167</v>
      </c>
      <c r="D29" s="173"/>
      <c r="E29" s="173"/>
      <c r="F29" s="173"/>
      <c r="G29" s="173"/>
      <c r="H29" s="173"/>
      <c r="I29" s="193"/>
      <c r="K29" s="732"/>
      <c r="R29" s="354"/>
      <c r="S29" s="330" t="str">
        <f t="shared" si="48"/>
        <v>Commercial HVAC DR</v>
      </c>
      <c r="T29" s="353">
        <f t="shared" si="46"/>
        <v>0</v>
      </c>
      <c r="U29" s="353">
        <f t="shared" si="49"/>
        <v>0</v>
      </c>
      <c r="V29" s="353">
        <f t="shared" si="50"/>
        <v>0</v>
      </c>
      <c r="W29" s="353">
        <f>W11/2+SUM($U11:V11)+$T11/2</f>
        <v>0</v>
      </c>
      <c r="X29" s="353">
        <f>X11/2+SUM($U11:W11)+$T11/2</f>
        <v>0</v>
      </c>
      <c r="Y29" s="353">
        <f>Y11/2+SUM($U11:X11)+$T11/2</f>
        <v>0</v>
      </c>
      <c r="Z29" s="353">
        <f>Z11/2+SUM($U11:Y11)+$T11/2</f>
        <v>0</v>
      </c>
      <c r="AA29" s="353">
        <f>AA11/2+SUM($U11:Z11)+$T11/2</f>
        <v>0</v>
      </c>
      <c r="AB29" s="353">
        <f>AB11/2+SUM($U11:AA11)+$T11/2</f>
        <v>0</v>
      </c>
      <c r="AC29" s="353">
        <f>AC11/2+SUM($U11:AB11)+$T11/2</f>
        <v>0</v>
      </c>
      <c r="AD29" s="353">
        <f>AD11/2+SUM($U11:AC11)+$T11/2</f>
        <v>0</v>
      </c>
      <c r="AE29" s="353"/>
      <c r="AF29" s="354"/>
      <c r="AG29" s="330" t="str">
        <f t="shared" si="51"/>
        <v>Commercial HVAC DR</v>
      </c>
      <c r="AH29" s="353">
        <f t="shared" si="52"/>
        <v>0</v>
      </c>
      <c r="AI29" s="353">
        <f t="shared" si="53"/>
        <v>0</v>
      </c>
      <c r="AJ29" s="353">
        <f t="shared" si="44"/>
        <v>0</v>
      </c>
      <c r="AK29" s="353">
        <f>AK11/2+SUM($AI11:AJ11)+$AH11/2</f>
        <v>0</v>
      </c>
      <c r="AL29" s="353">
        <f>AL11/2+SUM($AI11:AK11)+$AH11/2</f>
        <v>0</v>
      </c>
      <c r="AM29" s="353">
        <f>AM11/2+SUM($AI11:AL11)+$AH11/2</f>
        <v>0</v>
      </c>
      <c r="AN29" s="353">
        <f>AN11/2+SUM($AI11:AM11)+$AH11/2</f>
        <v>0</v>
      </c>
      <c r="AO29" s="353">
        <f>AO11/2+SUM($AI11:AN11)+$AH11/2</f>
        <v>0</v>
      </c>
      <c r="AP29" s="353">
        <f>AP11/2+SUM($AI11:AO11)+$AH11/2</f>
        <v>0</v>
      </c>
      <c r="AQ29" s="353">
        <f>AQ11/2+SUM($AI11:AP11)+$AH11/2</f>
        <v>0</v>
      </c>
      <c r="AR29" s="352">
        <f>AR11/2+SUM($AI11:AQ11)+$AH11/2</f>
        <v>0</v>
      </c>
    </row>
    <row r="30" spans="2:64">
      <c r="B30" s="354"/>
      <c r="I30" s="350"/>
      <c r="K30" s="732"/>
      <c r="R30" s="354"/>
      <c r="S30" s="330" t="str">
        <f t="shared" si="48"/>
        <v>Peak Perks</v>
      </c>
      <c r="T30" s="353">
        <f t="shared" si="46"/>
        <v>0</v>
      </c>
      <c r="U30" s="353">
        <f t="shared" si="49"/>
        <v>0</v>
      </c>
      <c r="V30" s="353">
        <f t="shared" ref="V30:V35" si="54">V12/2+U12+$T12/2</f>
        <v>0</v>
      </c>
      <c r="W30" s="353">
        <f>W12/2+SUM($U12:V12)+$T12/2</f>
        <v>0</v>
      </c>
      <c r="X30" s="353">
        <f>X12/2+SUM($U12:W12)+$T12/2</f>
        <v>0</v>
      </c>
      <c r="Y30" s="353">
        <f>Y12/2+SUM($U12:X12)+$T12/2</f>
        <v>0</v>
      </c>
      <c r="Z30" s="353">
        <f>Z12/2+SUM($U12:Y12)+$T12/2</f>
        <v>0</v>
      </c>
      <c r="AA30" s="353">
        <f>AA12/2+SUM($U12:Z12)+$T12/2</f>
        <v>0</v>
      </c>
      <c r="AB30" s="353">
        <f>AB12/2+SUM($U12:AA12)+$T12/2</f>
        <v>0</v>
      </c>
      <c r="AC30" s="353">
        <f>AC12/2+SUM($U12:AB12)+$T12/2</f>
        <v>0</v>
      </c>
      <c r="AD30" s="353">
        <f>AD12/2+SUM($U12:AC12)+$T12/2</f>
        <v>0</v>
      </c>
      <c r="AE30" s="353"/>
      <c r="AF30" s="354"/>
      <c r="AG30" s="330" t="str">
        <f t="shared" si="51"/>
        <v>Peak Perks</v>
      </c>
      <c r="AH30" s="353">
        <f t="shared" si="52"/>
        <v>0</v>
      </c>
      <c r="AI30" s="353">
        <f t="shared" si="53"/>
        <v>0</v>
      </c>
      <c r="AJ30" s="353">
        <f t="shared" si="44"/>
        <v>0</v>
      </c>
      <c r="AK30" s="353">
        <f>AK12/2+SUM($AI12:AJ12)+$AH12/2</f>
        <v>0</v>
      </c>
      <c r="AL30" s="353">
        <f>AL12/2+SUM($AI12:AK12)+$AH12/2</f>
        <v>0</v>
      </c>
      <c r="AM30" s="353">
        <f>AM12/2+SUM($AI12:AL12)+$AH12/2</f>
        <v>0</v>
      </c>
      <c r="AN30" s="353">
        <f>AN12/2+SUM($AI12:AM12)+$AH12/2</f>
        <v>0</v>
      </c>
      <c r="AO30" s="353">
        <f>AO12/2+SUM($AI12:AN12)+$AH12/2</f>
        <v>0</v>
      </c>
      <c r="AP30" s="353">
        <f>AP12/2+SUM($AI12:AO12)+$AH12/2</f>
        <v>0</v>
      </c>
      <c r="AQ30" s="353">
        <f>AQ12/2+SUM($AI12:AP12)+$AH12/2</f>
        <v>0</v>
      </c>
      <c r="AR30" s="352">
        <f>AR12/2+SUM($AI12:AQ12)+$AH12/2</f>
        <v>0</v>
      </c>
    </row>
    <row r="31" spans="2:64">
      <c r="B31" s="201"/>
      <c r="C31" s="349"/>
      <c r="D31" s="349"/>
      <c r="E31" s="349"/>
      <c r="F31" s="349"/>
      <c r="G31" s="349"/>
      <c r="H31" s="349"/>
      <c r="I31" s="348"/>
      <c r="J31" s="347"/>
      <c r="K31" s="347"/>
      <c r="L31" s="347"/>
      <c r="M31" s="347"/>
      <c r="N31" s="346"/>
      <c r="O31" s="346"/>
      <c r="R31" s="354"/>
      <c r="S31" s="330" t="str">
        <f>S13</f>
        <v>Targeted Greenhouse</v>
      </c>
      <c r="T31" s="353">
        <f t="shared" si="46"/>
        <v>0</v>
      </c>
      <c r="U31" s="353">
        <f>U13/2+T13/2</f>
        <v>0</v>
      </c>
      <c r="V31" s="353">
        <f t="shared" si="54"/>
        <v>0</v>
      </c>
      <c r="W31" s="353">
        <f>W13/2+SUM($U13:V13)+$T13/2</f>
        <v>0</v>
      </c>
      <c r="X31" s="353">
        <f>X13/2+SUM($U13:W13)+$T13/2</f>
        <v>0</v>
      </c>
      <c r="Y31" s="353">
        <f>Y13/2+SUM($U13:X13)+$T13/2</f>
        <v>0</v>
      </c>
      <c r="Z31" s="353">
        <f>Z13/2+SUM($U13:Y13)+$T13/2</f>
        <v>0</v>
      </c>
      <c r="AA31" s="353">
        <f>AA13/2+SUM($U13:Z13)+$T13/2</f>
        <v>0</v>
      </c>
      <c r="AB31" s="353">
        <f>AB13/2+SUM($U13:AA13)+$T13/2</f>
        <v>0</v>
      </c>
      <c r="AC31" s="353">
        <f>AC13/2+SUM($U13:AB13)+$T13/2</f>
        <v>0</v>
      </c>
      <c r="AD31" s="353">
        <f>AD13/2+SUM($U13:AC13)+$T13/2</f>
        <v>0</v>
      </c>
      <c r="AE31" s="353"/>
      <c r="AF31" s="354"/>
      <c r="AG31" s="330" t="str">
        <f>AG13</f>
        <v>Targeted Greenhouse</v>
      </c>
      <c r="AH31" s="353">
        <f>AH13/2</f>
        <v>0</v>
      </c>
      <c r="AI31" s="353">
        <f>AI13/2+AH13/2</f>
        <v>0</v>
      </c>
      <c r="AJ31" s="353">
        <f t="shared" si="44"/>
        <v>0</v>
      </c>
      <c r="AK31" s="353">
        <f>AK13/2+SUM($AI13:AJ13)+$AH13/2</f>
        <v>0</v>
      </c>
      <c r="AL31" s="353">
        <f>AL13/2+SUM($AI13:AK13)+$AH13/2</f>
        <v>0</v>
      </c>
      <c r="AM31" s="353">
        <f>AM13/2+SUM($AI13:AL13)+$AH13/2</f>
        <v>0</v>
      </c>
      <c r="AN31" s="353">
        <f>AN13/2+SUM($AI13:AM13)+$AH13/2</f>
        <v>0</v>
      </c>
      <c r="AO31" s="353">
        <f>AO13/2+SUM($AI13:AN13)+$AH13/2</f>
        <v>0</v>
      </c>
      <c r="AP31" s="353">
        <f>AP13/2+SUM($AI13:AO13)+$AH13/2</f>
        <v>0</v>
      </c>
      <c r="AQ31" s="353">
        <f>AQ13/2+SUM($AI13:AP13)+$AH13/2</f>
        <v>0</v>
      </c>
      <c r="AR31" s="352">
        <f>AR13/2+SUM($AI13:AQ13)+$AH13/2</f>
        <v>0</v>
      </c>
    </row>
    <row r="32" spans="2:64" ht="15">
      <c r="B32" s="201"/>
      <c r="C32" s="349"/>
      <c r="D32" s="349"/>
      <c r="E32" s="349"/>
      <c r="F32" s="349"/>
      <c r="G32" s="349"/>
      <c r="I32" s="348"/>
      <c r="J32" s="347"/>
      <c r="K32" s="732"/>
      <c r="L32" s="347"/>
      <c r="M32" s="347"/>
      <c r="N32" s="191"/>
      <c r="O32" s="191"/>
      <c r="P32" s="189"/>
      <c r="Q32" s="189"/>
      <c r="R32" s="354"/>
      <c r="S32" s="330" t="str">
        <f>S14</f>
        <v>Local Initiatives</v>
      </c>
      <c r="T32" s="353">
        <f t="shared" si="46"/>
        <v>0</v>
      </c>
      <c r="U32" s="353">
        <f>U14/2+T14/2</f>
        <v>0</v>
      </c>
      <c r="V32" s="353">
        <f t="shared" si="54"/>
        <v>460593.13049821428</v>
      </c>
      <c r="W32" s="353">
        <f>W14/2+SUM($U14:V14)+$T14/2</f>
        <v>3015843.4625084079</v>
      </c>
      <c r="X32" s="353">
        <f>X14/2+SUM($U14:W14)+$T14/2</f>
        <v>12528596.057220271</v>
      </c>
      <c r="Y32" s="353">
        <f>Y14/2+SUM($U14:X14)+$T14/2</f>
        <v>27966566.813115194</v>
      </c>
      <c r="Z32" s="353">
        <f>Z14/2+SUM($U14:Y14)+$T14/2</f>
        <v>44665960.966605723</v>
      </c>
      <c r="AA32" s="353">
        <f>AA14/2+SUM($U14:Z14)+$T14/2</f>
        <v>62646066.337227024</v>
      </c>
      <c r="AB32" s="353">
        <f>AB14/2+SUM($U14:AA14)+$T14/2</f>
        <v>81877951.195676446</v>
      </c>
      <c r="AC32" s="353">
        <f>AC14/2+SUM($U14:AB14)+$T14/2</f>
        <v>102371259.45172147</v>
      </c>
      <c r="AD32" s="353">
        <f>AD14/2+SUM($U14:AC14)+$T14/2</f>
        <v>124125991.10536212</v>
      </c>
      <c r="AE32" s="353"/>
      <c r="AF32" s="354"/>
      <c r="AG32" s="330" t="str">
        <f>AG14</f>
        <v>Local Initiatives</v>
      </c>
      <c r="AH32" s="353">
        <f>AH14/2</f>
        <v>0</v>
      </c>
      <c r="AI32" s="353">
        <f>AI14/2+AH14/2</f>
        <v>0</v>
      </c>
      <c r="AJ32" s="353">
        <f t="shared" si="44"/>
        <v>156766.39179919436</v>
      </c>
      <c r="AK32" s="353">
        <f>AK14/2+SUM($AI14:AJ14)+$AH14/2</f>
        <v>1026465.3694188455</v>
      </c>
      <c r="AL32" s="353">
        <f>AL14/2+SUM($AI14:AK14)+$AH14/2</f>
        <v>4264203.4111006986</v>
      </c>
      <c r="AM32" s="353">
        <f>AM14/2+SUM($AI14:AL14)+$AH14/2</f>
        <v>9518634.7342194244</v>
      </c>
      <c r="AN32" s="353">
        <f>AN14/2+SUM($AI14:AM14)+$AH14/2</f>
        <v>15202401.150456546</v>
      </c>
      <c r="AO32" s="353">
        <f>AO14/2+SUM($AI14:AN14)+$AH14/2</f>
        <v>21322067.416587591</v>
      </c>
      <c r="AP32" s="353">
        <f>AP14/2+SUM($AI14:AO14)+$AH14/2</f>
        <v>27653118.8508901</v>
      </c>
      <c r="AQ32" s="353">
        <f>AQ14/2+SUM($AI14:AP14)+$AH14/2</f>
        <v>33984170.285192609</v>
      </c>
      <c r="AR32" s="352">
        <f>AR14/2+SUM($AI14:AQ14)+$AH14/2</f>
        <v>40315221.719495118</v>
      </c>
    </row>
    <row r="33" spans="2:44" ht="15">
      <c r="B33" s="201"/>
      <c r="C33" s="173"/>
      <c r="D33" s="173"/>
      <c r="E33" s="173"/>
      <c r="F33" s="173"/>
      <c r="G33" s="173"/>
      <c r="H33" s="173"/>
      <c r="I33" s="193"/>
      <c r="N33" s="189"/>
      <c r="O33" s="189"/>
      <c r="P33" s="189"/>
      <c r="Q33" s="189"/>
      <c r="R33" s="192"/>
      <c r="S33" s="330" t="str">
        <f>S15</f>
        <v>Residential Demand Response</v>
      </c>
      <c r="T33" s="353">
        <f t="shared" si="46"/>
        <v>0</v>
      </c>
      <c r="U33" s="353">
        <f>U15/2+T15/2</f>
        <v>0</v>
      </c>
      <c r="V33" s="353">
        <f t="shared" si="54"/>
        <v>0</v>
      </c>
      <c r="W33" s="353">
        <f>W15/2+SUM($U15:V15)+$T15/2</f>
        <v>0</v>
      </c>
      <c r="X33" s="353">
        <f>X15/2+SUM($U15:W15)+$T15/2</f>
        <v>0</v>
      </c>
      <c r="Y33" s="353">
        <f>Y15/2+SUM($U15:X15)+$T15/2</f>
        <v>0</v>
      </c>
      <c r="Z33" s="353">
        <f>Z15/2+SUM($U15:Y15)+$T15/2</f>
        <v>0</v>
      </c>
      <c r="AA33" s="353">
        <f>AA15/2+SUM($U15:Z15)+$T15/2</f>
        <v>0</v>
      </c>
      <c r="AB33" s="353">
        <f>AB15/2+SUM($U15:AA15)+$T15/2</f>
        <v>0</v>
      </c>
      <c r="AC33" s="353">
        <f>AC15/2+SUM($U15:AB15)+$T15/2</f>
        <v>0</v>
      </c>
      <c r="AD33" s="353">
        <f>AD15/2+SUM($U15:AC15)+$T15/2</f>
        <v>0</v>
      </c>
      <c r="AE33" s="353"/>
      <c r="AF33" s="192"/>
      <c r="AG33" s="330" t="str">
        <f>AG15</f>
        <v>Residential Demand Response</v>
      </c>
      <c r="AH33" s="353">
        <f>AH15/2</f>
        <v>0</v>
      </c>
      <c r="AI33" s="353">
        <f>AI15/2+AH15/2</f>
        <v>0</v>
      </c>
      <c r="AJ33" s="353">
        <f t="shared" si="44"/>
        <v>0</v>
      </c>
      <c r="AK33" s="353">
        <f>AK15/2+SUM($AI15:AJ15)+$AH15/2</f>
        <v>0</v>
      </c>
      <c r="AL33" s="353">
        <f>AL15/2+SUM($AI15:AK15)+$AH15/2</f>
        <v>0</v>
      </c>
      <c r="AM33" s="353">
        <f>AM15/2+SUM($AI15:AL15)+$AH15/2</f>
        <v>0</v>
      </c>
      <c r="AN33" s="353">
        <f>AN15/2+SUM($AI15:AM15)+$AH15/2</f>
        <v>0</v>
      </c>
      <c r="AO33" s="353">
        <f>AO15/2+SUM($AI15:AN15)+$AH15/2</f>
        <v>0</v>
      </c>
      <c r="AP33" s="353">
        <f>AP15/2+SUM($AI15:AO15)+$AH15/2</f>
        <v>0</v>
      </c>
      <c r="AQ33" s="353">
        <f>AQ15/2+SUM($AI15:AP15)+$AH15/2</f>
        <v>0</v>
      </c>
      <c r="AR33" s="352">
        <f>AR15/2+SUM($AI15:AQ15)+$AH15/2</f>
        <v>0</v>
      </c>
    </row>
    <row r="34" spans="2:44" ht="15">
      <c r="B34" s="208"/>
      <c r="C34" s="207"/>
      <c r="D34" s="207"/>
      <c r="E34" s="207"/>
      <c r="F34" s="207"/>
      <c r="G34" s="207"/>
      <c r="H34" s="207"/>
      <c r="I34" s="206"/>
      <c r="N34" s="189"/>
      <c r="O34" s="189"/>
      <c r="P34" s="189"/>
      <c r="Q34" s="189"/>
      <c r="R34" s="354"/>
      <c r="S34" s="330" t="str">
        <f>S16</f>
        <v>Energy Affordability Program</v>
      </c>
      <c r="T34" s="353">
        <f t="shared" si="46"/>
        <v>102987.76527632074</v>
      </c>
      <c r="U34" s="353">
        <f>U16/2+T16/2</f>
        <v>211827.10812515969</v>
      </c>
      <c r="V34" s="353">
        <f t="shared" si="54"/>
        <v>444719.89551138494</v>
      </c>
      <c r="W34" s="353">
        <f>W16/2+SUM($U16:V16)+$T16/2</f>
        <v>1703979.3891173066</v>
      </c>
      <c r="X34" s="353">
        <f>X16/2+SUM($U16:W16)+$T16/2</f>
        <v>3155170.627101826</v>
      </c>
      <c r="Y34" s="353">
        <f>Y16/2+SUM($U16:X16)+$T16/2</f>
        <v>3822250.4703689031</v>
      </c>
      <c r="Z34" s="353">
        <f>Z16/2+SUM($U16:Y16)+$T16/2</f>
        <v>4688283.9511015993</v>
      </c>
      <c r="AA34" s="353">
        <f>AA16/2+SUM($U16:Z16)+$T16/2</f>
        <v>5796182.6381650642</v>
      </c>
      <c r="AB34" s="353">
        <f>AB16/2+SUM($U16:AA16)+$T16/2</f>
        <v>7081579.1782615967</v>
      </c>
      <c r="AC34" s="353">
        <f>AC16/2+SUM($U16:AB16)+$T16/2</f>
        <v>8565929.355823746</v>
      </c>
      <c r="AD34" s="353">
        <f>AD16/2+SUM($U16:AC16)+$T16/2</f>
        <v>10249233.170851516</v>
      </c>
      <c r="AE34" s="353"/>
      <c r="AF34" s="354"/>
      <c r="AG34" s="330" t="str">
        <f>AG16</f>
        <v>Energy Affordability Program</v>
      </c>
      <c r="AH34" s="353">
        <f>AH16/2</f>
        <v>42843.566150649378</v>
      </c>
      <c r="AI34" s="353">
        <f>AI16/2+AH16/2</f>
        <v>88121.425832585664</v>
      </c>
      <c r="AJ34" s="353">
        <f t="shared" si="44"/>
        <v>185006.30837780412</v>
      </c>
      <c r="AK34" s="353">
        <f>AK16/2+SUM($AI16:AJ16)+$AH16/2</f>
        <v>708866.27631074423</v>
      </c>
      <c r="AL34" s="353">
        <f>AL16/2+SUM($AI16:AK16)+$AH16/2</f>
        <v>1312571.0720698948</v>
      </c>
      <c r="AM34" s="353">
        <f>AM16/2+SUM($AI16:AL16)+$AH16/2</f>
        <v>1590080.5346366009</v>
      </c>
      <c r="AN34" s="353">
        <f>AN16/2+SUM($AI16:AM16)+$AH16/2</f>
        <v>1950355.9772670618</v>
      </c>
      <c r="AO34" s="353">
        <f>AO16/2+SUM($AI16:AN16)+$AH16/2</f>
        <v>2411248.8858573865</v>
      </c>
      <c r="AP34" s="353">
        <f>AP16/2+SUM($AI16:AO16)+$AH16/2</f>
        <v>2904599.0415315428</v>
      </c>
      <c r="AQ34" s="353">
        <f>AQ16/2+SUM($AI16:AP16)+$AH16/2</f>
        <v>3397949.197205699</v>
      </c>
      <c r="AR34" s="352">
        <f>AR16/2+SUM($AI16:AQ16)+$AH16/2</f>
        <v>3891299.3528798553</v>
      </c>
    </row>
    <row r="35" spans="2:44" ht="15">
      <c r="B35" s="205" t="s">
        <v>168</v>
      </c>
      <c r="C35" s="189">
        <v>2016</v>
      </c>
      <c r="D35" s="189"/>
      <c r="E35" s="189">
        <v>2021</v>
      </c>
      <c r="G35" s="173"/>
      <c r="H35" s="173"/>
      <c r="I35" s="194" t="s">
        <v>169</v>
      </c>
      <c r="J35" s="189"/>
      <c r="K35" s="189"/>
      <c r="L35" s="189"/>
      <c r="M35" s="189"/>
      <c r="N35" s="189"/>
      <c r="O35" s="189"/>
      <c r="P35" s="189"/>
      <c r="Q35" s="189"/>
      <c r="R35" s="354"/>
      <c r="S35" s="330" t="str">
        <f>S17</f>
        <v>First Nations Program</v>
      </c>
      <c r="T35" s="353">
        <f t="shared" si="46"/>
        <v>0</v>
      </c>
      <c r="U35" s="353">
        <f>U17/2+T17/2</f>
        <v>0</v>
      </c>
      <c r="V35" s="353">
        <f t="shared" si="54"/>
        <v>0</v>
      </c>
      <c r="W35" s="353">
        <f>W17/2+SUM($U17:V17)+$T17/2</f>
        <v>0</v>
      </c>
      <c r="X35" s="353">
        <f>X17/2+SUM($U17:W17)+$T17/2</f>
        <v>0</v>
      </c>
      <c r="Y35" s="353">
        <f>Y17/2+SUM($U17:X17)+$T17/2</f>
        <v>0</v>
      </c>
      <c r="Z35" s="353">
        <f>Z17/2+SUM($U17:Y17)+$T17/2</f>
        <v>0</v>
      </c>
      <c r="AA35" s="353">
        <f>AA17/2+SUM($U17:Z17)+$T17/2</f>
        <v>0</v>
      </c>
      <c r="AB35" s="353">
        <f>AB17/2+SUM($U17:AA17)+$T17/2</f>
        <v>0</v>
      </c>
      <c r="AC35" s="353">
        <f>AC17/2+SUM($U17:AB17)+$T17/2</f>
        <v>0</v>
      </c>
      <c r="AD35" s="353">
        <f>AD17/2+SUM($U17:AC17)+$T17/2</f>
        <v>0</v>
      </c>
      <c r="AE35" s="353"/>
      <c r="AF35" s="354"/>
      <c r="AG35" s="330" t="str">
        <f>AG17</f>
        <v>First Nations Program</v>
      </c>
      <c r="AH35" s="353">
        <f>AH17/2</f>
        <v>0</v>
      </c>
      <c r="AI35" s="353">
        <f>AI17/2+AH17/2</f>
        <v>0</v>
      </c>
      <c r="AJ35" s="353">
        <f t="shared" si="44"/>
        <v>0</v>
      </c>
      <c r="AK35" s="353">
        <f>AK17/2+SUM($AI17:AJ17)+$AH17/2</f>
        <v>0</v>
      </c>
      <c r="AL35" s="353">
        <f>AL17/2+SUM($AI17:AK17)+$AH17/2</f>
        <v>0</v>
      </c>
      <c r="AM35" s="353">
        <f>AM17/2+SUM($AI17:AL17)+$AH17/2</f>
        <v>0</v>
      </c>
      <c r="AN35" s="353">
        <f>AN17/2+SUM($AI17:AM17)+$AH17/2</f>
        <v>0</v>
      </c>
      <c r="AO35" s="353">
        <f>AO17/2+SUM($AI17:AN17)+$AH17/2</f>
        <v>0</v>
      </c>
      <c r="AP35" s="353">
        <f>AP17/2+SUM($AI17:AO17)+$AH17/2</f>
        <v>0</v>
      </c>
      <c r="AQ35" s="353">
        <f>AQ17/2+SUM($AI17:AP17)+$AH17/2</f>
        <v>0</v>
      </c>
      <c r="AR35" s="352">
        <f>AR17/2+SUM($AI17:AQ17)+$AH17/2</f>
        <v>0</v>
      </c>
    </row>
    <row r="36" spans="2:44" ht="15">
      <c r="B36" s="201" t="s">
        <v>164</v>
      </c>
      <c r="C36" s="149">
        <v>13448494</v>
      </c>
      <c r="D36" s="149"/>
      <c r="E36" s="149">
        <v>14223942</v>
      </c>
      <c r="G36" s="173"/>
      <c r="H36" s="173"/>
      <c r="I36" s="194"/>
      <c r="J36" s="189"/>
      <c r="K36" s="189"/>
      <c r="L36" s="189"/>
      <c r="M36" s="189"/>
      <c r="N36" s="189"/>
      <c r="O36" s="189"/>
      <c r="P36" s="189"/>
      <c r="Q36" s="189"/>
      <c r="R36" s="190"/>
      <c r="S36" s="189" t="s">
        <v>65</v>
      </c>
      <c r="T36" s="188">
        <f t="shared" ref="T36:AD36" si="55">SUM(T22:T35)</f>
        <v>5289890.1808992643</v>
      </c>
      <c r="U36" s="188">
        <f t="shared" si="55"/>
        <v>13261884.696748743</v>
      </c>
      <c r="V36" s="188">
        <f t="shared" si="55"/>
        <v>25148148.023854312</v>
      </c>
      <c r="W36" s="188">
        <f t="shared" si="55"/>
        <v>44330669.6790815</v>
      </c>
      <c r="X36" s="188">
        <f t="shared" si="55"/>
        <v>76272035.842374161</v>
      </c>
      <c r="Y36" s="188">
        <f t="shared" si="55"/>
        <v>111704147.85783496</v>
      </c>
      <c r="Z36" s="188">
        <f t="shared" si="55"/>
        <v>151763068.46438777</v>
      </c>
      <c r="AA36" s="188">
        <f t="shared" si="55"/>
        <v>195720480.96857625</v>
      </c>
      <c r="AB36" s="188">
        <f t="shared" si="55"/>
        <v>242379335.80602932</v>
      </c>
      <c r="AC36" s="188">
        <f t="shared" si="55"/>
        <v>291725937.94328886</v>
      </c>
      <c r="AD36" s="188">
        <f t="shared" si="55"/>
        <v>343760287.38035488</v>
      </c>
      <c r="AE36" s="188"/>
      <c r="AF36" s="190"/>
      <c r="AG36" s="189" t="s">
        <v>65</v>
      </c>
      <c r="AH36" s="188">
        <f t="shared" ref="AH36:AR36" si="56">SUM(AH22:AH35)</f>
        <v>1836589.0539990149</v>
      </c>
      <c r="AI36" s="188">
        <f t="shared" si="56"/>
        <v>4589211.8134931009</v>
      </c>
      <c r="AJ36" s="188">
        <f t="shared" si="56"/>
        <v>8599636.3151556756</v>
      </c>
      <c r="AK36" s="188">
        <f t="shared" si="56"/>
        <v>14837799.786737053</v>
      </c>
      <c r="AL36" s="188">
        <f t="shared" si="56"/>
        <v>25383126.451792683</v>
      </c>
      <c r="AM36" s="188">
        <f t="shared" si="56"/>
        <v>37197512.606240958</v>
      </c>
      <c r="AN36" s="188">
        <f t="shared" si="56"/>
        <v>50412952.054196253</v>
      </c>
      <c r="AO36" s="188">
        <f t="shared" si="56"/>
        <v>64774171.931984566</v>
      </c>
      <c r="AP36" s="188">
        <f t="shared" si="56"/>
        <v>79564575.229261667</v>
      </c>
      <c r="AQ36" s="188">
        <f t="shared" si="56"/>
        <v>94354978.526538789</v>
      </c>
      <c r="AR36" s="199">
        <f t="shared" si="56"/>
        <v>109145381.82381591</v>
      </c>
    </row>
    <row r="37" spans="2:44" ht="15">
      <c r="B37" s="201" t="s">
        <v>353</v>
      </c>
      <c r="C37" s="149">
        <v>119677</v>
      </c>
      <c r="D37" s="148"/>
      <c r="E37" s="149">
        <v>126666</v>
      </c>
      <c r="G37" s="173"/>
      <c r="H37" s="173"/>
      <c r="I37" s="186"/>
      <c r="J37" s="189"/>
      <c r="K37" s="189"/>
      <c r="L37" s="189"/>
      <c r="M37" s="189"/>
      <c r="N37" s="189"/>
      <c r="O37" s="189"/>
      <c r="P37" s="189"/>
      <c r="Q37" s="189"/>
      <c r="R37" s="190"/>
      <c r="AF37" s="190"/>
      <c r="AR37" s="350"/>
    </row>
    <row r="38" spans="2:44" ht="15">
      <c r="B38" s="354" t="s">
        <v>354</v>
      </c>
      <c r="C38" s="163">
        <v>91771</v>
      </c>
      <c r="D38" s="163"/>
      <c r="E38" s="163">
        <v>99186</v>
      </c>
      <c r="I38" s="350"/>
      <c r="R38" s="187"/>
      <c r="S38" s="330" t="s">
        <v>63</v>
      </c>
      <c r="T38" s="331">
        <f>SUMPRODUCT(T$22:T$35,$S$59:$S$72)</f>
        <v>101821.52156822581</v>
      </c>
      <c r="U38" s="331">
        <f t="shared" ref="U38:V38" si="57">SUMPRODUCT(U$22:U$35,$S$59:$S$72)</f>
        <v>209428.35686191899</v>
      </c>
      <c r="V38" s="331">
        <f t="shared" si="57"/>
        <v>615921.72624836781</v>
      </c>
      <c r="W38" s="331">
        <f t="shared" ref="W38:AD38" si="58">SUMPRODUCT(W$22:W$35,$S$59:$S$72)</f>
        <v>2838642.9633688638</v>
      </c>
      <c r="X38" s="331">
        <f t="shared" si="58"/>
        <v>8634891.8149100747</v>
      </c>
      <c r="Y38" s="331">
        <f t="shared" si="58"/>
        <v>16703840.340989545</v>
      </c>
      <c r="Z38" s="331">
        <f t="shared" si="58"/>
        <v>25511298.868812319</v>
      </c>
      <c r="AA38" s="331">
        <f t="shared" si="58"/>
        <v>35087357.246257856</v>
      </c>
      <c r="AB38" s="331">
        <f t="shared" si="58"/>
        <v>45386880.701507024</v>
      </c>
      <c r="AC38" s="331">
        <f t="shared" si="58"/>
        <v>56424914.158499502</v>
      </c>
      <c r="AD38" s="331">
        <f t="shared" si="58"/>
        <v>68201457.617235273</v>
      </c>
      <c r="AE38" s="331"/>
      <c r="AF38" s="187"/>
      <c r="AG38" s="330" t="s">
        <v>63</v>
      </c>
      <c r="AH38" s="331">
        <f>SUMPRODUCT(AH$22:AH$35,$AG$59:$AG$72)</f>
        <v>42843.566150649378</v>
      </c>
      <c r="AI38" s="331">
        <f t="shared" ref="AI38:AR38" si="59">SUMPRODUCT(AI$22:AI$35,$AG$59:$AG$72)</f>
        <v>88121.425832585664</v>
      </c>
      <c r="AJ38" s="331">
        <f t="shared" si="59"/>
        <v>252203.93118351305</v>
      </c>
      <c r="AK38" s="331">
        <f t="shared" si="59"/>
        <v>1148858.7512647077</v>
      </c>
      <c r="AL38" s="331">
        <f t="shared" si="59"/>
        <v>3416197.3343444467</v>
      </c>
      <c r="AM38" s="331">
        <f t="shared" si="59"/>
        <v>6520180.9975879909</v>
      </c>
      <c r="AN38" s="331">
        <f t="shared" si="59"/>
        <v>9913569.5271217059</v>
      </c>
      <c r="AO38" s="331">
        <f t="shared" si="59"/>
        <v>13609493.314436676</v>
      </c>
      <c r="AP38" s="331">
        <f t="shared" si="59"/>
        <v>17443554.339151211</v>
      </c>
      <c r="AQ38" s="331">
        <f t="shared" si="59"/>
        <v>21277615.363865741</v>
      </c>
      <c r="AR38" s="345">
        <f t="shared" si="59"/>
        <v>25111676.388580274</v>
      </c>
    </row>
    <row r="39" spans="2:44">
      <c r="B39" s="354" t="s">
        <v>355</v>
      </c>
      <c r="C39" s="163">
        <v>21176</v>
      </c>
      <c r="D39" s="163"/>
      <c r="E39" s="163">
        <v>21556</v>
      </c>
      <c r="I39" s="350"/>
      <c r="R39" s="354"/>
      <c r="S39" s="330" t="s">
        <v>211</v>
      </c>
      <c r="T39" s="331">
        <f>SUMPRODUCT(T$22:T$35,$T$59:$T$72)</f>
        <v>1166.2437080948475</v>
      </c>
      <c r="U39" s="331">
        <f t="shared" ref="U39:AC39" si="60">SUMPRODUCT(U$22:U$35,$T$59:$T$72)</f>
        <v>2398.7512632405383</v>
      </c>
      <c r="V39" s="331">
        <f t="shared" si="60"/>
        <v>7053.6043515741139</v>
      </c>
      <c r="W39" s="331">
        <f t="shared" si="60"/>
        <v>32506.435398643502</v>
      </c>
      <c r="X39" s="331">
        <f t="shared" si="60"/>
        <v>98874.008042680711</v>
      </c>
      <c r="Y39" s="331">
        <f t="shared" si="60"/>
        <v>191259.23017782299</v>
      </c>
      <c r="Z39" s="331">
        <f t="shared" si="60"/>
        <v>292100.34676490491</v>
      </c>
      <c r="AA39" s="331">
        <f t="shared" si="60"/>
        <v>401741.95737135294</v>
      </c>
      <c r="AB39" s="331">
        <f t="shared" si="60"/>
        <v>519667.16264602798</v>
      </c>
      <c r="AC39" s="331">
        <f t="shared" si="60"/>
        <v>646048.26237264276</v>
      </c>
      <c r="AD39" s="331">
        <f>SUMPRODUCT(AD$22:AD$35,$T$59:$T$72)</f>
        <v>780885.25655119703</v>
      </c>
      <c r="AE39" s="331"/>
      <c r="AF39" s="198" t="s">
        <v>165</v>
      </c>
      <c r="AG39" s="330" t="s">
        <v>170</v>
      </c>
      <c r="AH39" s="331">
        <f>SUMPRODUCT(AH$22:AH$35,$AH$59:$AH$72)</f>
        <v>193173.62736521312</v>
      </c>
      <c r="AI39" s="331">
        <f t="shared" ref="AI39:AR39" si="61">SUMPRODUCT(AI$22:AI$35,$AH$59:$AH$72)</f>
        <v>449722.56995018595</v>
      </c>
      <c r="AJ39" s="331">
        <f t="shared" si="61"/>
        <v>803126.45977165306</v>
      </c>
      <c r="AK39" s="331">
        <f t="shared" si="61"/>
        <v>1452779.897645609</v>
      </c>
      <c r="AL39" s="331">
        <f t="shared" si="61"/>
        <v>2484266.7914444846</v>
      </c>
      <c r="AM39" s="331">
        <f t="shared" si="61"/>
        <v>3494545.7161884252</v>
      </c>
      <c r="AN39" s="331">
        <f>SUMPRODUCT(AN$22:AN$35,$AH$59:$AH$72)</f>
        <v>4570066.0407645404</v>
      </c>
      <c r="AO39" s="331">
        <f t="shared" si="61"/>
        <v>5686559.7975442195</v>
      </c>
      <c r="AP39" s="331">
        <f t="shared" si="61"/>
        <v>6831687.7051164005</v>
      </c>
      <c r="AQ39" s="331">
        <f t="shared" si="61"/>
        <v>7976815.6126885843</v>
      </c>
      <c r="AR39" s="345">
        <f t="shared" si="61"/>
        <v>9121943.5202607661</v>
      </c>
    </row>
    <row r="40" spans="2:44">
      <c r="B40" s="354" t="s">
        <v>84</v>
      </c>
      <c r="C40" s="163">
        <v>50716</v>
      </c>
      <c r="D40" s="163"/>
      <c r="E40" s="163">
        <v>55071</v>
      </c>
      <c r="I40" s="350"/>
      <c r="R40" s="198" t="s">
        <v>165</v>
      </c>
      <c r="S40" s="330" t="s">
        <v>170</v>
      </c>
      <c r="T40" s="331">
        <f>SUMPRODUCT(T$22:T$35,$U$59:$U$72)</f>
        <v>802242.20178964152</v>
      </c>
      <c r="U40" s="331">
        <f t="shared" ref="U40:AC40" si="62">SUMPRODUCT(U$22:U$35,$U$59:$U$72)</f>
        <v>1902367.7220451129</v>
      </c>
      <c r="V40" s="331">
        <f t="shared" si="62"/>
        <v>3382727.1671777391</v>
      </c>
      <c r="W40" s="331">
        <f t="shared" si="62"/>
        <v>5809970.0138728069</v>
      </c>
      <c r="X40" s="331">
        <f t="shared" si="62"/>
        <v>9591857.2461318262</v>
      </c>
      <c r="Y40" s="331">
        <f t="shared" si="62"/>
        <v>13264009.070895411</v>
      </c>
      <c r="Z40" s="331">
        <f t="shared" si="62"/>
        <v>17160296.27265846</v>
      </c>
      <c r="AA40" s="331">
        <f t="shared" si="62"/>
        <v>21173084.750943754</v>
      </c>
      <c r="AB40" s="331">
        <f t="shared" si="62"/>
        <v>25368994.142688204</v>
      </c>
      <c r="AC40" s="331">
        <f t="shared" si="62"/>
        <v>29741623.154542655</v>
      </c>
      <c r="AD40" s="331">
        <f>SUMPRODUCT(AD$22:AD$35,$U$59:$U$72)</f>
        <v>34290971.7865071</v>
      </c>
      <c r="AE40" s="331"/>
      <c r="AF40" s="351" t="s">
        <v>166</v>
      </c>
      <c r="AG40" s="330" t="s">
        <v>204</v>
      </c>
      <c r="AH40" s="331">
        <f>SUMPRODUCT(AH$22:AH$35,$AI$59:$AI$72)</f>
        <v>1306597.5614178407</v>
      </c>
      <c r="AI40" s="331">
        <f t="shared" ref="AI40:AR40" si="63">SUMPRODUCT(AI$22:AI$35,$AI$59:$AI$72)</f>
        <v>3307265.8689687145</v>
      </c>
      <c r="AJ40" s="331">
        <f t="shared" si="63"/>
        <v>6158617.0082517723</v>
      </c>
      <c r="AK40" s="331">
        <f t="shared" si="63"/>
        <v>9988398.9555520173</v>
      </c>
      <c r="AL40" s="331">
        <f t="shared" si="63"/>
        <v>15902300.130486568</v>
      </c>
      <c r="AM40" s="331">
        <f t="shared" si="63"/>
        <v>22185312.043221463</v>
      </c>
      <c r="AN40" s="331">
        <f t="shared" si="63"/>
        <v>29322375.457808308</v>
      </c>
      <c r="AO40" s="331">
        <f t="shared" si="63"/>
        <v>37114193.118540533</v>
      </c>
      <c r="AP40" s="331">
        <f t="shared" si="63"/>
        <v>45120121.317568079</v>
      </c>
      <c r="AQ40" s="331">
        <f t="shared" si="63"/>
        <v>53126049.516595632</v>
      </c>
      <c r="AR40" s="345">
        <f t="shared" si="63"/>
        <v>61131977.715623185</v>
      </c>
    </row>
    <row r="41" spans="2:44">
      <c r="B41" s="354" t="s">
        <v>356</v>
      </c>
      <c r="C41" s="163">
        <v>12311</v>
      </c>
      <c r="D41" s="163"/>
      <c r="E41" s="163">
        <v>13157</v>
      </c>
      <c r="I41" s="350"/>
      <c r="R41" s="351" t="s">
        <v>166</v>
      </c>
      <c r="S41" s="330" t="s">
        <v>204</v>
      </c>
      <c r="T41" s="331">
        <f>SUMPRODUCT(T$22:T$35,$V$59:$V$72)</f>
        <v>3473791.0323107447</v>
      </c>
      <c r="U41" s="331">
        <f t="shared" ref="U41:AC41" si="64">SUMPRODUCT(U$22:U$35,$V$59:$V$72)</f>
        <v>8765149.6708558258</v>
      </c>
      <c r="V41" s="331">
        <f t="shared" si="64"/>
        <v>16149773.291109147</v>
      </c>
      <c r="W41" s="331">
        <f t="shared" si="64"/>
        <v>25594425.77215061</v>
      </c>
      <c r="X41" s="331">
        <f t="shared" si="64"/>
        <v>40527284.12789207</v>
      </c>
      <c r="Y41" s="331">
        <f t="shared" si="64"/>
        <v>56733579.285125643</v>
      </c>
      <c r="Z41" s="331">
        <f t="shared" si="64"/>
        <v>74848699.977525502</v>
      </c>
      <c r="AA41" s="331">
        <f t="shared" si="64"/>
        <v>94334455.895995259</v>
      </c>
      <c r="AB41" s="331">
        <f t="shared" si="64"/>
        <v>114806002.89607011</v>
      </c>
      <c r="AC41" s="331">
        <f t="shared" si="64"/>
        <v>136238805.78871378</v>
      </c>
      <c r="AD41" s="331">
        <f>SUMPRODUCT(AD$22:AD$35,$V$59:$V$72)</f>
        <v>158632864.5739263</v>
      </c>
      <c r="AE41" s="331"/>
      <c r="AF41" s="354"/>
      <c r="AG41" s="330" t="s">
        <v>205</v>
      </c>
      <c r="AH41" s="331">
        <f>SUMPRODUCT(AH$22:AH$35,$AJ$59:$AJ$72)</f>
        <v>293974.29906531161</v>
      </c>
      <c r="AI41" s="331">
        <f t="shared" ref="AI41:AR41" si="65">SUMPRODUCT(AI$22:AI$35,$AJ$59:$AJ$72)</f>
        <v>744101.9487416147</v>
      </c>
      <c r="AJ41" s="331">
        <f t="shared" si="65"/>
        <v>1385688.9159487372</v>
      </c>
      <c r="AK41" s="331">
        <f t="shared" si="65"/>
        <v>2247762.1822747174</v>
      </c>
      <c r="AL41" s="331">
        <f t="shared" si="65"/>
        <v>3580362.1955171814</v>
      </c>
      <c r="AM41" s="331">
        <f t="shared" si="65"/>
        <v>4997473.8492430877</v>
      </c>
      <c r="AN41" s="331">
        <f t="shared" si="65"/>
        <v>6606941.028501695</v>
      </c>
      <c r="AO41" s="331">
        <f t="shared" si="65"/>
        <v>8363925.7014631294</v>
      </c>
      <c r="AP41" s="331">
        <f t="shared" si="65"/>
        <v>10169211.867425986</v>
      </c>
      <c r="AQ41" s="331">
        <f t="shared" si="65"/>
        <v>11974498.033388844</v>
      </c>
      <c r="AR41" s="345">
        <f t="shared" si="65"/>
        <v>13779784.199351698</v>
      </c>
    </row>
    <row r="42" spans="2:44" ht="15">
      <c r="B42" s="354" t="s">
        <v>351</v>
      </c>
      <c r="C42" s="163">
        <v>16753</v>
      </c>
      <c r="D42" s="163"/>
      <c r="E42" s="163">
        <v>17294</v>
      </c>
      <c r="I42" s="350"/>
      <c r="J42" s="189"/>
      <c r="K42" s="189"/>
      <c r="L42" s="189"/>
      <c r="M42" s="189"/>
      <c r="R42" s="354"/>
      <c r="S42" s="330" t="s">
        <v>205</v>
      </c>
      <c r="T42" s="331">
        <f>SUMPRODUCT(T$22:T$35,$W$59:$W$72)</f>
        <v>173510.99022092359</v>
      </c>
      <c r="U42" s="331">
        <f t="shared" ref="U42:AC42" si="66">SUMPRODUCT(U$22:U$35,$W$59:$W$72)</f>
        <v>441305.24126793217</v>
      </c>
      <c r="V42" s="331">
        <f t="shared" si="66"/>
        <v>845714.90682499309</v>
      </c>
      <c r="W42" s="331">
        <f t="shared" si="66"/>
        <v>1466870.2481358231</v>
      </c>
      <c r="X42" s="331">
        <f t="shared" si="66"/>
        <v>2512302.3647330762</v>
      </c>
      <c r="Y42" s="331">
        <f t="shared" si="66"/>
        <v>3706005.625734318</v>
      </c>
      <c r="Z42" s="331">
        <f t="shared" si="66"/>
        <v>5067553.6706890957</v>
      </c>
      <c r="AA42" s="331">
        <f t="shared" si="66"/>
        <v>6571552.7338755308</v>
      </c>
      <c r="AB42" s="331">
        <f t="shared" si="66"/>
        <v>8167886.3279514611</v>
      </c>
      <c r="AC42" s="331">
        <f t="shared" si="66"/>
        <v>9855838.7524335682</v>
      </c>
      <c r="AD42" s="331">
        <f>SUMPRODUCT(AD$22:AD$35,$W$59:$W$72)</f>
        <v>11635410.007321853</v>
      </c>
      <c r="AE42" s="331"/>
      <c r="AF42" s="354"/>
      <c r="AG42" s="330" t="s">
        <v>206</v>
      </c>
      <c r="AH42" s="331"/>
      <c r="AI42" s="331"/>
      <c r="AJ42" s="331"/>
      <c r="AK42" s="331"/>
      <c r="AL42" s="331"/>
      <c r="AM42" s="331"/>
      <c r="AN42" s="331"/>
      <c r="AO42" s="331"/>
      <c r="AP42" s="331"/>
      <c r="AQ42" s="331"/>
      <c r="AR42" s="345"/>
    </row>
    <row r="43" spans="2:44" ht="15">
      <c r="B43" s="205" t="s">
        <v>392</v>
      </c>
      <c r="C43" s="147">
        <f>SUM(C37:C42)</f>
        <v>312404</v>
      </c>
      <c r="D43" s="146"/>
      <c r="E43" s="147">
        <f>SUM(E37:E42)</f>
        <v>332930</v>
      </c>
      <c r="G43" s="173"/>
      <c r="H43" s="173"/>
      <c r="I43" s="194"/>
      <c r="R43" s="354"/>
      <c r="S43" s="330" t="s">
        <v>206</v>
      </c>
      <c r="T43" s="331">
        <f>SUMPRODUCT(T$22:T$35,$X$59:$X$72)</f>
        <v>737358.19130163279</v>
      </c>
      <c r="U43" s="331">
        <f t="shared" ref="U43:AD43" si="67">SUMPRODUCT(U$22:U$35,$X$59:$X$72)</f>
        <v>1941234.9544547107</v>
      </c>
      <c r="V43" s="331">
        <f t="shared" si="67"/>
        <v>4146957.3281424847</v>
      </c>
      <c r="W43" s="331">
        <f t="shared" si="67"/>
        <v>8588254.2461547405</v>
      </c>
      <c r="X43" s="331">
        <f t="shared" si="67"/>
        <v>14906826.280664437</v>
      </c>
      <c r="Y43" s="331">
        <f t="shared" si="67"/>
        <v>21105454.304912224</v>
      </c>
      <c r="Z43" s="331">
        <f t="shared" si="67"/>
        <v>28883119.327937491</v>
      </c>
      <c r="AA43" s="331">
        <f t="shared" si="67"/>
        <v>38152288.384132542</v>
      </c>
      <c r="AB43" s="331">
        <f t="shared" si="67"/>
        <v>48129904.575166516</v>
      </c>
      <c r="AC43" s="331">
        <f t="shared" si="67"/>
        <v>58818707.826726735</v>
      </c>
      <c r="AD43" s="331">
        <f t="shared" si="67"/>
        <v>70218698.138813168</v>
      </c>
      <c r="AE43" s="331"/>
      <c r="AF43" s="354"/>
      <c r="AG43" s="189" t="s">
        <v>65</v>
      </c>
      <c r="AH43" s="188">
        <f t="shared" ref="AH43:AM43" si="68">SUM(AH38:AH42)</f>
        <v>1836589.0539990149</v>
      </c>
      <c r="AI43" s="188">
        <f t="shared" si="68"/>
        <v>4589211.8134931009</v>
      </c>
      <c r="AJ43" s="188">
        <f t="shared" si="68"/>
        <v>8599636.3151556756</v>
      </c>
      <c r="AK43" s="188">
        <f t="shared" si="68"/>
        <v>14837799.786737051</v>
      </c>
      <c r="AL43" s="188">
        <f t="shared" si="68"/>
        <v>25383126.45179268</v>
      </c>
      <c r="AM43" s="188">
        <f t="shared" si="68"/>
        <v>37197512.606240965</v>
      </c>
      <c r="AN43" s="188">
        <f t="shared" ref="AN43:AR43" si="69">SUM(AN38:AN42)</f>
        <v>50412952.054196253</v>
      </c>
      <c r="AO43" s="188">
        <f t="shared" si="69"/>
        <v>64774171.931984559</v>
      </c>
      <c r="AP43" s="188">
        <f t="shared" si="69"/>
        <v>79564575.229261667</v>
      </c>
      <c r="AQ43" s="188">
        <f t="shared" si="69"/>
        <v>94354978.526538804</v>
      </c>
      <c r="AR43" s="199">
        <f t="shared" si="69"/>
        <v>109145381.82381593</v>
      </c>
    </row>
    <row r="44" spans="2:44" ht="15">
      <c r="B44" s="201" t="s">
        <v>393</v>
      </c>
      <c r="C44" s="185">
        <f>C43/C36</f>
        <v>2.322966422857459E-2</v>
      </c>
      <c r="D44" s="171"/>
      <c r="E44" s="185">
        <f>E43/E36</f>
        <v>2.3406310290072892E-2</v>
      </c>
      <c r="G44" s="173"/>
      <c r="H44" s="173"/>
      <c r="I44" s="196">
        <f>E44</f>
        <v>2.3406310290072892E-2</v>
      </c>
      <c r="R44" s="354"/>
      <c r="S44" s="189" t="s">
        <v>65</v>
      </c>
      <c r="T44" s="188">
        <f>SUM(T38:T43)</f>
        <v>5289890.1808992634</v>
      </c>
      <c r="U44" s="188">
        <f t="shared" ref="U44:Y44" si="70">SUM(U38:U43)</f>
        <v>13261884.696748741</v>
      </c>
      <c r="V44" s="188">
        <f t="shared" si="70"/>
        <v>25148148.023854308</v>
      </c>
      <c r="W44" s="188">
        <f t="shared" si="70"/>
        <v>44330669.679081485</v>
      </c>
      <c r="X44" s="188">
        <f t="shared" si="70"/>
        <v>76272035.842374161</v>
      </c>
      <c r="Y44" s="188">
        <f t="shared" si="70"/>
        <v>111704147.85783496</v>
      </c>
      <c r="Z44" s="188">
        <f t="shared" ref="Z44:AD44" si="71">SUM(Z38:Z43)</f>
        <v>151763068.46438777</v>
      </c>
      <c r="AA44" s="188">
        <f t="shared" si="71"/>
        <v>195720480.96857631</v>
      </c>
      <c r="AB44" s="188">
        <f t="shared" si="71"/>
        <v>242379335.80602935</v>
      </c>
      <c r="AC44" s="188">
        <f t="shared" si="71"/>
        <v>291725937.94328892</v>
      </c>
      <c r="AD44" s="188">
        <f t="shared" si="71"/>
        <v>343760287.38035488</v>
      </c>
      <c r="AE44" s="188"/>
      <c r="AF44" s="354"/>
      <c r="AR44" s="350"/>
    </row>
    <row r="45" spans="2:44">
      <c r="B45" s="201"/>
      <c r="C45" s="173"/>
      <c r="D45" s="173"/>
      <c r="E45" s="173"/>
      <c r="G45" s="173"/>
      <c r="H45" s="173"/>
      <c r="I45" s="193"/>
      <c r="R45" s="354"/>
      <c r="AF45" s="354"/>
      <c r="AR45" s="350"/>
    </row>
    <row r="46" spans="2:44" ht="15">
      <c r="B46" s="354" t="s">
        <v>352</v>
      </c>
      <c r="C46" s="172">
        <v>128377</v>
      </c>
      <c r="D46" s="185"/>
      <c r="E46" s="172">
        <v>138501</v>
      </c>
      <c r="I46" s="350"/>
      <c r="R46" s="354"/>
      <c r="S46" s="330" t="str">
        <f>S38</f>
        <v>Residential</v>
      </c>
      <c r="T46" s="331">
        <f>SUMPRODUCT(T$4:T$17,$S$59:$S$72)</f>
        <v>203643.04313645163</v>
      </c>
      <c r="U46" s="331">
        <f t="shared" ref="U46:AD46" si="72">SUMPRODUCT(U$4:U$17,$S$59:$S$72)</f>
        <v>215213.67058738638</v>
      </c>
      <c r="V46" s="331">
        <f t="shared" si="72"/>
        <v>597773.06818551128</v>
      </c>
      <c r="W46" s="331">
        <f t="shared" si="72"/>
        <v>3847669.4060554798</v>
      </c>
      <c r="X46" s="331">
        <f t="shared" si="72"/>
        <v>7744828.2970269434</v>
      </c>
      <c r="Y46" s="331">
        <f t="shared" si="72"/>
        <v>8393068.7551319934</v>
      </c>
      <c r="Z46" s="331">
        <f t="shared" si="72"/>
        <v>9221848.3005135581</v>
      </c>
      <c r="AA46" s="331">
        <f t="shared" si="72"/>
        <v>9930268.4543775115</v>
      </c>
      <c r="AB46" s="331">
        <f t="shared" si="72"/>
        <v>10668778.456120823</v>
      </c>
      <c r="AC46" s="331">
        <f t="shared" si="72"/>
        <v>11407288.457864128</v>
      </c>
      <c r="AD46" s="331">
        <f t="shared" si="72"/>
        <v>12145798.459607437</v>
      </c>
      <c r="AE46" s="331"/>
      <c r="AF46" s="354"/>
      <c r="AG46" s="330" t="str">
        <f>AG38</f>
        <v>Residential</v>
      </c>
      <c r="AH46" s="331">
        <f>SUMPRODUCT(AH$4:AH$17,$AG$59:$AG$72)</f>
        <v>85687.132301298756</v>
      </c>
      <c r="AI46" s="331">
        <f t="shared" ref="AI46:AR46" si="73">SUMPRODUCT(AI$4:AI$17,$AG$59:$AG$72)</f>
        <v>90555.719363872558</v>
      </c>
      <c r="AJ46" s="331">
        <f t="shared" si="73"/>
        <v>237609.29133798226</v>
      </c>
      <c r="AK46" s="331">
        <f t="shared" si="73"/>
        <v>1555700.3488244072</v>
      </c>
      <c r="AL46" s="331">
        <f t="shared" si="73"/>
        <v>2978976.8173350706</v>
      </c>
      <c r="AM46" s="331">
        <f t="shared" si="73"/>
        <v>3228990.5091520185</v>
      </c>
      <c r="AN46" s="331">
        <f t="shared" si="73"/>
        <v>3557786.5499154106</v>
      </c>
      <c r="AO46" s="331">
        <f t="shared" si="73"/>
        <v>3834061.0247145328</v>
      </c>
      <c r="AP46" s="331">
        <f t="shared" si="73"/>
        <v>3834061.0247145328</v>
      </c>
      <c r="AQ46" s="331">
        <f t="shared" si="73"/>
        <v>3834061.0247145328</v>
      </c>
      <c r="AR46" s="345">
        <f t="shared" si="73"/>
        <v>3834061.0247145328</v>
      </c>
    </row>
    <row r="47" spans="2:44" ht="15">
      <c r="B47" s="354" t="s">
        <v>394</v>
      </c>
      <c r="C47" s="185">
        <f>C46/C36</f>
        <v>9.5458272130693588E-3</v>
      </c>
      <c r="D47" s="171"/>
      <c r="E47" s="185">
        <f>E46/E36</f>
        <v>9.7371741251475862E-3</v>
      </c>
      <c r="I47" s="196">
        <f>E47</f>
        <v>9.7371741251475862E-3</v>
      </c>
      <c r="R47" s="354"/>
      <c r="S47" s="330" t="s">
        <v>211</v>
      </c>
      <c r="T47" s="331">
        <f>SUMPRODUCT(T$4:T$17,$T$59:$T$72)</f>
        <v>2332.4874161896951</v>
      </c>
      <c r="U47" s="331">
        <f t="shared" ref="U47:AD47" si="74">SUMPRODUCT(U$4:U$17,$T$59:$T$72)</f>
        <v>2465.0151102913819</v>
      </c>
      <c r="V47" s="331">
        <f t="shared" si="74"/>
        <v>6844.6910663757699</v>
      </c>
      <c r="W47" s="331">
        <f t="shared" si="74"/>
        <v>44060.971027763</v>
      </c>
      <c r="X47" s="331">
        <f t="shared" si="74"/>
        <v>88674.174260311396</v>
      </c>
      <c r="Y47" s="331">
        <f t="shared" si="74"/>
        <v>96096.270009973174</v>
      </c>
      <c r="Z47" s="331">
        <f t="shared" si="74"/>
        <v>105585.96316419075</v>
      </c>
      <c r="AA47" s="331">
        <f t="shared" si="74"/>
        <v>113697.2580487052</v>
      </c>
      <c r="AB47" s="331">
        <f t="shared" si="74"/>
        <v>122153.15250064488</v>
      </c>
      <c r="AC47" s="331">
        <f t="shared" si="74"/>
        <v>130609.04695258455</v>
      </c>
      <c r="AD47" s="331">
        <f t="shared" si="74"/>
        <v>139064.94140452426</v>
      </c>
      <c r="AE47" s="331"/>
      <c r="AF47" s="354"/>
      <c r="AG47" s="330" t="str">
        <f>AG39</f>
        <v>GS &lt; 50</v>
      </c>
      <c r="AH47" s="331">
        <f>SUMPRODUCT(AH$4:AH$17,$AH$59:$AH$72)</f>
        <v>386347.25473042624</v>
      </c>
      <c r="AI47" s="331">
        <f t="shared" ref="AI47:AR47" si="75">SUMPRODUCT(AI$4:AI$17,$AH$59:$AH$72)</f>
        <v>513097.88516994577</v>
      </c>
      <c r="AJ47" s="331">
        <f t="shared" si="75"/>
        <v>193709.89447298835</v>
      </c>
      <c r="AK47" s="331">
        <f t="shared" si="75"/>
        <v>1105596.9812749238</v>
      </c>
      <c r="AL47" s="331">
        <f t="shared" si="75"/>
        <v>957376.806322827</v>
      </c>
      <c r="AM47" s="331">
        <f t="shared" si="75"/>
        <v>1063181.0431650544</v>
      </c>
      <c r="AN47" s="331">
        <f t="shared" si="75"/>
        <v>1087859.6059871754</v>
      </c>
      <c r="AO47" s="331">
        <f t="shared" si="75"/>
        <v>1145127.9075721826</v>
      </c>
      <c r="AP47" s="331">
        <f t="shared" si="75"/>
        <v>1145127.9075721826</v>
      </c>
      <c r="AQ47" s="331">
        <f t="shared" si="75"/>
        <v>1145127.9075721826</v>
      </c>
      <c r="AR47" s="345">
        <f t="shared" si="75"/>
        <v>1145127.9075721826</v>
      </c>
    </row>
    <row r="48" spans="2:44">
      <c r="B48" s="201" t="s">
        <v>160</v>
      </c>
      <c r="C48" s="173" t="s">
        <v>171</v>
      </c>
      <c r="D48" s="173"/>
      <c r="E48" s="173"/>
      <c r="F48" s="173"/>
      <c r="G48" s="173"/>
      <c r="H48" s="173"/>
      <c r="I48" s="193"/>
      <c r="R48" s="354"/>
      <c r="S48" s="330" t="str">
        <f>S40</f>
        <v>GS &lt; 50</v>
      </c>
      <c r="T48" s="331">
        <f>SUMPRODUCT(T$4:T$17,$U$59:$U$72)</f>
        <v>1604484.403579283</v>
      </c>
      <c r="U48" s="331">
        <f t="shared" ref="U48:AD48" si="76">SUMPRODUCT(U$4:U$17,$U$59:$U$72)</f>
        <v>2200251.0405109427</v>
      </c>
      <c r="V48" s="331">
        <f t="shared" si="76"/>
        <v>760467.84975430951</v>
      </c>
      <c r="W48" s="331">
        <f t="shared" si="76"/>
        <v>4094017.8436358268</v>
      </c>
      <c r="X48" s="331">
        <f t="shared" si="76"/>
        <v>3469756.6208822108</v>
      </c>
      <c r="Y48" s="331">
        <f t="shared" si="76"/>
        <v>3874547.0286449548</v>
      </c>
      <c r="Z48" s="331">
        <f t="shared" si="76"/>
        <v>3918027.3748811418</v>
      </c>
      <c r="AA48" s="331">
        <f t="shared" si="76"/>
        <v>4107549.58168945</v>
      </c>
      <c r="AB48" s="331">
        <f t="shared" si="76"/>
        <v>4284269.2017994504</v>
      </c>
      <c r="AC48" s="331">
        <f t="shared" si="76"/>
        <v>4460988.82190945</v>
      </c>
      <c r="AD48" s="331">
        <f t="shared" si="76"/>
        <v>4637708.4420194505</v>
      </c>
      <c r="AE48" s="331"/>
      <c r="AF48" s="354" t="s">
        <v>152</v>
      </c>
      <c r="AG48" s="330" t="str">
        <f>AG40</f>
        <v>GS 50-2,999</v>
      </c>
      <c r="AH48" s="331">
        <f>SUMPRODUCT(AH$4:AH$17,$AI$59:$AI$72)</f>
        <v>2613195.1228356813</v>
      </c>
      <c r="AI48" s="331">
        <f t="shared" ref="AI48:AR48" si="77">SUMPRODUCT(AI$4:AI$17,$AI$59:$AI$72)</f>
        <v>4001336.6151017491</v>
      </c>
      <c r="AJ48" s="331">
        <f t="shared" si="77"/>
        <v>1701365.6634643639</v>
      </c>
      <c r="AK48" s="331">
        <f t="shared" si="77"/>
        <v>5958198.2311361292</v>
      </c>
      <c r="AL48" s="331">
        <f t="shared" si="77"/>
        <v>5869604.1187329674</v>
      </c>
      <c r="AM48" s="331">
        <f t="shared" si="77"/>
        <v>6696419.7067368161</v>
      </c>
      <c r="AN48" s="331">
        <f t="shared" si="77"/>
        <v>7577707.1224368885</v>
      </c>
      <c r="AO48" s="331">
        <f t="shared" si="77"/>
        <v>8005928.1990275532</v>
      </c>
      <c r="AP48" s="331">
        <f t="shared" si="77"/>
        <v>8005928.1990275532</v>
      </c>
      <c r="AQ48" s="331">
        <f t="shared" si="77"/>
        <v>8005928.1990275532</v>
      </c>
      <c r="AR48" s="345">
        <f t="shared" si="77"/>
        <v>8005928.1990275532</v>
      </c>
    </row>
    <row r="49" spans="2:44">
      <c r="B49" s="201"/>
      <c r="C49" s="173" t="s">
        <v>172</v>
      </c>
      <c r="D49" s="173"/>
      <c r="E49" s="173"/>
      <c r="F49" s="173"/>
      <c r="G49" s="173"/>
      <c r="H49" s="173"/>
      <c r="I49" s="193"/>
      <c r="R49" s="354" t="s">
        <v>152</v>
      </c>
      <c r="S49" s="330" t="str">
        <f>S41</f>
        <v>GS 50-2,999</v>
      </c>
      <c r="T49" s="331">
        <f>SUMPRODUCT(T$4:T$17,$V$59:$V$72)</f>
        <v>6947582.0646214895</v>
      </c>
      <c r="U49" s="331">
        <f t="shared" ref="U49:AD49" si="78">SUMPRODUCT(U$4:U$17,$V$59:$V$72)</f>
        <v>10582717.277090162</v>
      </c>
      <c r="V49" s="331">
        <f t="shared" si="78"/>
        <v>4186529.9634164791</v>
      </c>
      <c r="W49" s="331">
        <f t="shared" si="78"/>
        <v>14702774.998666458</v>
      </c>
      <c r="X49" s="331">
        <f t="shared" si="78"/>
        <v>15162941.712816454</v>
      </c>
      <c r="Y49" s="331">
        <f t="shared" si="78"/>
        <v>17249648.601650693</v>
      </c>
      <c r="Z49" s="331">
        <f t="shared" si="78"/>
        <v>18980592.783149049</v>
      </c>
      <c r="AA49" s="331">
        <f t="shared" si="78"/>
        <v>19990919.053790435</v>
      </c>
      <c r="AB49" s="331">
        <f t="shared" si="78"/>
        <v>20952174.946359269</v>
      </c>
      <c r="AC49" s="331">
        <f t="shared" si="78"/>
        <v>21913430.838928107</v>
      </c>
      <c r="AD49" s="331">
        <f t="shared" si="78"/>
        <v>22874686.731496945</v>
      </c>
      <c r="AE49" s="331"/>
      <c r="AF49" s="354"/>
      <c r="AG49" s="330" t="str">
        <f>AG41</f>
        <v>GS 3,000-4,999</v>
      </c>
      <c r="AH49" s="331">
        <f>SUMPRODUCT(AH$4:AH$17,$AJ$59:$AJ$72)</f>
        <v>587948.59813062323</v>
      </c>
      <c r="AI49" s="331">
        <f t="shared" ref="AI49:AR49" si="79">SUMPRODUCT(AI$4:AI$17,$AJ$59:$AJ$72)</f>
        <v>900255.29935260606</v>
      </c>
      <c r="AJ49" s="331">
        <f t="shared" si="79"/>
        <v>382918.63506163895</v>
      </c>
      <c r="AK49" s="331">
        <f t="shared" si="79"/>
        <v>1341227.8975903215</v>
      </c>
      <c r="AL49" s="331">
        <f t="shared" si="79"/>
        <v>1323972.1288946057</v>
      </c>
      <c r="AM49" s="331">
        <f t="shared" si="79"/>
        <v>1510251.1785572066</v>
      </c>
      <c r="AN49" s="331">
        <f t="shared" si="79"/>
        <v>1708683.1799600101</v>
      </c>
      <c r="AO49" s="331">
        <f t="shared" si="79"/>
        <v>1805286.165962857</v>
      </c>
      <c r="AP49" s="331">
        <f t="shared" si="79"/>
        <v>1805286.165962857</v>
      </c>
      <c r="AQ49" s="331">
        <f t="shared" si="79"/>
        <v>1805286.165962857</v>
      </c>
      <c r="AR49" s="345">
        <f t="shared" si="79"/>
        <v>1805286.165962857</v>
      </c>
    </row>
    <row r="50" spans="2:44">
      <c r="B50" s="182"/>
      <c r="C50" s="181"/>
      <c r="D50" s="181"/>
      <c r="E50" s="181"/>
      <c r="F50" s="181"/>
      <c r="G50" s="181"/>
      <c r="H50" s="181"/>
      <c r="I50" s="180"/>
      <c r="R50" s="354"/>
      <c r="S50" s="330" t="str">
        <f>S42</f>
        <v>GS 3,000-4,999</v>
      </c>
      <c r="T50" s="331">
        <f>SUMPRODUCT(T$4:T$17,$W$59:$W$72)</f>
        <v>347021.98044184718</v>
      </c>
      <c r="U50" s="331">
        <f t="shared" ref="U50:AD50" si="80">SUMPRODUCT(U$4:U$17,$W$59:$W$72)</f>
        <v>535588.50209401711</v>
      </c>
      <c r="V50" s="331">
        <f t="shared" si="80"/>
        <v>273230.82902010489</v>
      </c>
      <c r="W50" s="331">
        <f t="shared" si="80"/>
        <v>969079.85360155499</v>
      </c>
      <c r="X50" s="331">
        <f t="shared" si="80"/>
        <v>1121784.3795929514</v>
      </c>
      <c r="Y50" s="331">
        <f t="shared" si="80"/>
        <v>1265622.1424095314</v>
      </c>
      <c r="Z50" s="331">
        <f t="shared" si="80"/>
        <v>1457473.9475000249</v>
      </c>
      <c r="AA50" s="331">
        <f t="shared" si="80"/>
        <v>1550524.1788728423</v>
      </c>
      <c r="AB50" s="331">
        <f t="shared" si="80"/>
        <v>1642143.0092790192</v>
      </c>
      <c r="AC50" s="331">
        <f t="shared" si="80"/>
        <v>1733761.8396851956</v>
      </c>
      <c r="AD50" s="331">
        <f t="shared" si="80"/>
        <v>1825380.670091372</v>
      </c>
      <c r="AE50" s="331"/>
      <c r="AF50" s="354"/>
      <c r="AG50" s="330" t="str">
        <f>AG42</f>
        <v>Large Use</v>
      </c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45"/>
    </row>
    <row r="51" spans="2:44" ht="15">
      <c r="R51" s="354"/>
      <c r="S51" s="330" t="str">
        <f>S43</f>
        <v>Large Use</v>
      </c>
      <c r="T51" s="331">
        <f>SUMPRODUCT(T$4:T$17,$X$59:$X$72)</f>
        <v>1474716.3826032656</v>
      </c>
      <c r="U51" s="331">
        <f t="shared" ref="U51:AD51" si="81">SUMPRODUCT(U$4:U$17,$X$59:$X$72)</f>
        <v>2407753.5263061561</v>
      </c>
      <c r="V51" s="331">
        <f t="shared" si="81"/>
        <v>2003691.2210693914</v>
      </c>
      <c r="W51" s="331">
        <f t="shared" si="81"/>
        <v>6878902.6149551198</v>
      </c>
      <c r="X51" s="331">
        <f t="shared" si="81"/>
        <v>5758241.4540642723</v>
      </c>
      <c r="Y51" s="331">
        <f t="shared" si="81"/>
        <v>6639014.5944312997</v>
      </c>
      <c r="Z51" s="331">
        <f t="shared" si="81"/>
        <v>8916315.4516192377</v>
      </c>
      <c r="AA51" s="331">
        <f t="shared" si="81"/>
        <v>9622022.6607708633</v>
      </c>
      <c r="AB51" s="331">
        <f t="shared" si="81"/>
        <v>10333209.721297096</v>
      </c>
      <c r="AC51" s="331">
        <f t="shared" si="81"/>
        <v>11044396.781823326</v>
      </c>
      <c r="AD51" s="331">
        <f t="shared" si="81"/>
        <v>11755583.842349557</v>
      </c>
      <c r="AE51" s="331"/>
      <c r="AF51" s="651"/>
      <c r="AG51" s="745" t="s">
        <v>65</v>
      </c>
      <c r="AH51" s="746">
        <f t="shared" ref="AH51:AM51" si="82">SUM(AH46:AH50)</f>
        <v>3673178.1079980298</v>
      </c>
      <c r="AI51" s="746">
        <f t="shared" si="82"/>
        <v>5505245.5189881735</v>
      </c>
      <c r="AJ51" s="746">
        <f t="shared" si="82"/>
        <v>2515603.4843369736</v>
      </c>
      <c r="AK51" s="746">
        <f t="shared" si="82"/>
        <v>9960723.4588257819</v>
      </c>
      <c r="AL51" s="746">
        <f t="shared" si="82"/>
        <v>11129929.871285472</v>
      </c>
      <c r="AM51" s="746">
        <f t="shared" si="82"/>
        <v>12498842.437611096</v>
      </c>
      <c r="AN51" s="746">
        <f t="shared" ref="AN51:AR51" si="83">SUM(AN46:AN50)</f>
        <v>13932036.458299486</v>
      </c>
      <c r="AO51" s="746">
        <f t="shared" si="83"/>
        <v>14790403.297277125</v>
      </c>
      <c r="AP51" s="746">
        <f t="shared" si="83"/>
        <v>14790403.297277125</v>
      </c>
      <c r="AQ51" s="746">
        <f t="shared" si="83"/>
        <v>14790403.297277125</v>
      </c>
      <c r="AR51" s="747">
        <f t="shared" si="83"/>
        <v>14790403.297277125</v>
      </c>
    </row>
    <row r="52" spans="2:44" ht="15">
      <c r="R52" s="343"/>
      <c r="S52" s="184" t="s">
        <v>65</v>
      </c>
      <c r="T52" s="183">
        <f t="shared" ref="T52:Y52" si="84">SUM(T46:T51)</f>
        <v>10579780.361798527</v>
      </c>
      <c r="U52" s="183">
        <f t="shared" si="84"/>
        <v>15943989.031698955</v>
      </c>
      <c r="V52" s="183">
        <f t="shared" si="84"/>
        <v>7828537.6225121729</v>
      </c>
      <c r="W52" s="183">
        <f t="shared" si="84"/>
        <v>30536505.687942203</v>
      </c>
      <c r="X52" s="183">
        <f t="shared" si="84"/>
        <v>33346226.638643142</v>
      </c>
      <c r="Y52" s="183">
        <f t="shared" si="84"/>
        <v>37517997.392278448</v>
      </c>
      <c r="Z52" s="183">
        <f t="shared" ref="Z52:AD52" si="85">SUM(Z46:Z51)</f>
        <v>42599843.820827201</v>
      </c>
      <c r="AA52" s="183">
        <f t="shared" si="85"/>
        <v>45314981.1875498</v>
      </c>
      <c r="AB52" s="183">
        <f t="shared" si="85"/>
        <v>48002728.487356305</v>
      </c>
      <c r="AC52" s="183">
        <f t="shared" si="85"/>
        <v>50690475.787162796</v>
      </c>
      <c r="AD52" s="183">
        <f t="shared" si="85"/>
        <v>53378223.086969286</v>
      </c>
      <c r="AE52" s="188"/>
    </row>
    <row r="54" spans="2:44" ht="15">
      <c r="B54" s="208"/>
      <c r="C54" s="178" t="s">
        <v>145</v>
      </c>
      <c r="D54" s="178"/>
      <c r="E54" s="178"/>
      <c r="F54" s="178"/>
      <c r="G54" s="356"/>
      <c r="H54" s="356"/>
      <c r="I54" s="356"/>
      <c r="J54" s="342"/>
    </row>
    <row r="55" spans="2:44" ht="15">
      <c r="B55" s="201"/>
      <c r="C55" s="213">
        <v>2021</v>
      </c>
      <c r="D55" s="213">
        <v>2023</v>
      </c>
      <c r="E55" s="213">
        <v>2024</v>
      </c>
      <c r="F55" s="213">
        <v>2025</v>
      </c>
      <c r="G55" s="213">
        <v>2026</v>
      </c>
      <c r="H55" s="213">
        <v>2027</v>
      </c>
      <c r="I55" s="213"/>
      <c r="J55" s="193" t="s">
        <v>174</v>
      </c>
      <c r="K55" s="173"/>
      <c r="L55" s="173"/>
      <c r="M55" s="173"/>
    </row>
    <row r="56" spans="2:44">
      <c r="B56" s="201" t="s">
        <v>175</v>
      </c>
      <c r="C56" s="177">
        <v>0</v>
      </c>
      <c r="D56" s="177">
        <v>0</v>
      </c>
      <c r="E56" s="177">
        <v>0.5</v>
      </c>
      <c r="F56" s="177">
        <v>1</v>
      </c>
      <c r="G56" s="177">
        <v>1</v>
      </c>
      <c r="H56" s="177">
        <v>0.5</v>
      </c>
      <c r="I56" s="177"/>
      <c r="J56" s="350"/>
      <c r="R56" s="357"/>
      <c r="S56" s="179" t="s">
        <v>63</v>
      </c>
      <c r="T56" s="356" t="str">
        <f>S39</f>
        <v>Residential Seasonal</v>
      </c>
      <c r="U56" s="179" t="s">
        <v>173</v>
      </c>
      <c r="V56" s="179" t="str">
        <f>S41</f>
        <v>GS 50-2,999</v>
      </c>
      <c r="W56" s="179" t="str">
        <f>S42</f>
        <v>GS 3,000-4,999</v>
      </c>
      <c r="X56" s="179" t="str">
        <f>S43</f>
        <v>Large Use</v>
      </c>
      <c r="Y56" s="356"/>
      <c r="Z56" s="342"/>
      <c r="AF56" s="357"/>
      <c r="AG56" s="179" t="s">
        <v>63</v>
      </c>
      <c r="AH56" s="179" t="s">
        <v>173</v>
      </c>
      <c r="AI56" s="179" t="str">
        <f>AG40</f>
        <v>GS 50-2,999</v>
      </c>
      <c r="AJ56" s="179" t="str">
        <f>AG41</f>
        <v>GS 3,000-4,999</v>
      </c>
      <c r="AK56" s="179" t="str">
        <f>AG42</f>
        <v>Large Use</v>
      </c>
      <c r="AL56" s="356"/>
      <c r="AM56" s="342"/>
    </row>
    <row r="57" spans="2:44" ht="15">
      <c r="B57" s="201"/>
      <c r="C57" s="344"/>
      <c r="D57" s="344"/>
      <c r="E57" s="344"/>
      <c r="F57" s="344"/>
      <c r="G57" s="344"/>
      <c r="H57" s="344"/>
      <c r="I57" s="344"/>
      <c r="J57" s="350"/>
      <c r="R57" s="354"/>
      <c r="Z57" s="350"/>
      <c r="AF57" s="354"/>
      <c r="AM57" s="350"/>
    </row>
    <row r="58" spans="2:44">
      <c r="B58" s="201" t="str">
        <f>B4</f>
        <v>Retrofit</v>
      </c>
      <c r="C58" s="176">
        <f>C$56*T4</f>
        <v>0</v>
      </c>
      <c r="D58" s="176">
        <f t="shared" ref="D58:H62" si="86">D$56*V4</f>
        <v>0</v>
      </c>
      <c r="E58" s="176">
        <f t="shared" si="86"/>
        <v>6541981.8477099016</v>
      </c>
      <c r="F58" s="176">
        <f t="shared" si="86"/>
        <v>10420442.514566485</v>
      </c>
      <c r="G58" s="176">
        <f t="shared" si="86"/>
        <v>12126030.639147995</v>
      </c>
      <c r="H58" s="176">
        <f t="shared" si="86"/>
        <v>5560684.5705534155</v>
      </c>
      <c r="I58" s="176"/>
      <c r="J58" s="345">
        <f>SUM(C58:I58)</f>
        <v>34649139.571977794</v>
      </c>
      <c r="K58" s="331"/>
      <c r="L58" s="331"/>
      <c r="M58" s="331"/>
      <c r="R58" s="354"/>
      <c r="Z58" s="350"/>
      <c r="AF58" s="354"/>
      <c r="AM58" s="350"/>
    </row>
    <row r="59" spans="2:44">
      <c r="B59" s="175" t="s">
        <v>149</v>
      </c>
      <c r="C59" s="174">
        <f>C$56*T5</f>
        <v>0</v>
      </c>
      <c r="D59" s="174">
        <f t="shared" si="86"/>
        <v>0</v>
      </c>
      <c r="E59" s="174">
        <f t="shared" si="86"/>
        <v>675107.10805692221</v>
      </c>
      <c r="F59" s="174">
        <f t="shared" si="86"/>
        <v>290815.3696245203</v>
      </c>
      <c r="G59" s="174">
        <f t="shared" si="86"/>
        <v>311587.8960262718</v>
      </c>
      <c r="H59" s="174">
        <f t="shared" si="86"/>
        <v>166180.21121401162</v>
      </c>
      <c r="I59" s="174"/>
      <c r="J59" s="345">
        <f t="shared" ref="J59:J71" si="87">SUM(C59:I59)</f>
        <v>1443690.5849217258</v>
      </c>
      <c r="K59" s="331"/>
      <c r="L59" s="331"/>
      <c r="M59" s="331"/>
      <c r="P59" s="330" t="str">
        <f>P77</f>
        <v>Retrofit</v>
      </c>
      <c r="R59" s="354"/>
      <c r="U59" s="341">
        <v>0.13529449472764754</v>
      </c>
      <c r="V59" s="341">
        <v>0.69781901914342814</v>
      </c>
      <c r="W59" s="341">
        <v>3.4186694937695106E-2</v>
      </c>
      <c r="X59" s="341">
        <v>0.13269979119122907</v>
      </c>
      <c r="Z59" s="443">
        <f>SUM(S59:X59)</f>
        <v>0.99999999999999989</v>
      </c>
      <c r="AF59" s="354"/>
      <c r="AH59" s="341">
        <v>8.7677338366828769E-2</v>
      </c>
      <c r="AI59" s="341">
        <f>1-AH59-AJ59</f>
        <v>0.744754717719877</v>
      </c>
      <c r="AJ59" s="341">
        <v>0.16756794391329424</v>
      </c>
      <c r="AK59" s="341"/>
      <c r="AM59" s="443">
        <f>SUM(AG59:AK59)</f>
        <v>1</v>
      </c>
    </row>
    <row r="60" spans="2:44">
      <c r="B60" s="201" t="s">
        <v>150</v>
      </c>
      <c r="C60" s="176">
        <f>C$56*T6</f>
        <v>0</v>
      </c>
      <c r="D60" s="176">
        <f t="shared" si="86"/>
        <v>0</v>
      </c>
      <c r="E60" s="176">
        <f t="shared" si="86"/>
        <v>809285.76238518592</v>
      </c>
      <c r="F60" s="176">
        <f t="shared" si="86"/>
        <v>0</v>
      </c>
      <c r="G60" s="176">
        <f t="shared" si="86"/>
        <v>0</v>
      </c>
      <c r="H60" s="176">
        <f t="shared" si="86"/>
        <v>0</v>
      </c>
      <c r="I60" s="176"/>
      <c r="J60" s="345">
        <f t="shared" si="87"/>
        <v>809285.76238518592</v>
      </c>
      <c r="K60" s="331"/>
      <c r="L60" s="331"/>
      <c r="M60" s="331"/>
      <c r="P60" s="330" t="str">
        <f>P78</f>
        <v>Small Business</v>
      </c>
      <c r="R60" s="354"/>
      <c r="U60" s="341">
        <v>1</v>
      </c>
      <c r="V60" s="341"/>
      <c r="W60" s="341"/>
      <c r="X60" s="341"/>
      <c r="Z60" s="443">
        <f t="shared" ref="Z60:Z71" si="88">SUM(S60:X60)</f>
        <v>1</v>
      </c>
      <c r="AF60" s="354"/>
      <c r="AH60" s="341">
        <v>1</v>
      </c>
      <c r="AI60" s="341"/>
      <c r="AJ60" s="341"/>
      <c r="AK60" s="341"/>
      <c r="AM60" s="443">
        <f t="shared" ref="AM60:AM71" si="89">SUM(AG60:AK60)</f>
        <v>1</v>
      </c>
    </row>
    <row r="61" spans="2:44">
      <c r="B61" s="175" t="s">
        <v>151</v>
      </c>
      <c r="C61" s="174">
        <f>C$56*T7</f>
        <v>0</v>
      </c>
      <c r="D61" s="174">
        <f t="shared" si="86"/>
        <v>0</v>
      </c>
      <c r="E61" s="174">
        <f t="shared" si="86"/>
        <v>1438730.2442403305</v>
      </c>
      <c r="F61" s="174">
        <f t="shared" si="86"/>
        <v>1558624.4312603578</v>
      </c>
      <c r="G61" s="174">
        <f t="shared" si="86"/>
        <v>1768439.2585454062</v>
      </c>
      <c r="H61" s="174">
        <f t="shared" si="86"/>
        <v>959153.49616022024</v>
      </c>
      <c r="I61" s="174"/>
      <c r="J61" s="345">
        <f t="shared" si="87"/>
        <v>5724947.4302063147</v>
      </c>
      <c r="K61" s="331"/>
      <c r="L61" s="331"/>
      <c r="M61" s="331"/>
      <c r="P61" s="330" t="str">
        <f>P79</f>
        <v xml:space="preserve">Energy Performance </v>
      </c>
      <c r="R61" s="354"/>
      <c r="U61" s="341">
        <v>0.11688311688311691</v>
      </c>
      <c r="V61" s="341">
        <v>0.39080983572972922</v>
      </c>
      <c r="W61" s="341">
        <v>3.5714285714285726E-2</v>
      </c>
      <c r="X61" s="341">
        <v>0.45659276167286822</v>
      </c>
      <c r="Z61" s="443">
        <f t="shared" si="88"/>
        <v>1</v>
      </c>
      <c r="AF61" s="354"/>
      <c r="AH61" s="341">
        <f>U61</f>
        <v>0.11688311688311691</v>
      </c>
      <c r="AI61" s="341">
        <f>1-AH61-AJ61</f>
        <v>0.72101641761293667</v>
      </c>
      <c r="AJ61" s="341">
        <f>(1-AH61)*SUM('Monthly Data'!BU2:BU109)/SUM('Monthly Data'!BO2:BO109,'Monthly Data'!BU2:BU109)</f>
        <v>0.16210046550394641</v>
      </c>
      <c r="AK61" s="341"/>
      <c r="AM61" s="443">
        <f t="shared" si="89"/>
        <v>1</v>
      </c>
    </row>
    <row r="62" spans="2:44">
      <c r="B62" s="201" t="s">
        <v>153</v>
      </c>
      <c r="C62" s="176">
        <f>C$56*T8</f>
        <v>0</v>
      </c>
      <c r="D62" s="176">
        <f t="shared" si="86"/>
        <v>0</v>
      </c>
      <c r="E62" s="176">
        <f t="shared" si="86"/>
        <v>2573284.6309982464</v>
      </c>
      <c r="F62" s="176">
        <f t="shared" si="86"/>
        <v>4148446.7384577785</v>
      </c>
      <c r="G62" s="176">
        <f t="shared" si="86"/>
        <v>4990612.6176935676</v>
      </c>
      <c r="H62" s="176">
        <f t="shared" si="86"/>
        <v>3041154.5639070179</v>
      </c>
      <c r="I62" s="176"/>
      <c r="J62" s="345">
        <f t="shared" si="87"/>
        <v>14753498.55105661</v>
      </c>
      <c r="K62" s="331"/>
      <c r="L62" s="331"/>
      <c r="M62" s="331"/>
      <c r="P62" s="330" t="str">
        <f t="shared" ref="P62:P72" si="90">P80</f>
        <v>Energy Management</v>
      </c>
      <c r="R62" s="354"/>
      <c r="U62" s="341">
        <f>U61</f>
        <v>0.11688311688311691</v>
      </c>
      <c r="V62" s="341">
        <f t="shared" ref="V62:X62" si="91">V61</f>
        <v>0.39080983572972922</v>
      </c>
      <c r="W62" s="341">
        <f t="shared" si="91"/>
        <v>3.5714285714285726E-2</v>
      </c>
      <c r="X62" s="341">
        <f t="shared" si="91"/>
        <v>0.45659276167286822</v>
      </c>
      <c r="Z62" s="443">
        <f t="shared" si="88"/>
        <v>1</v>
      </c>
      <c r="AF62" s="354"/>
      <c r="AH62" s="341">
        <f>AH61</f>
        <v>0.11688311688311691</v>
      </c>
      <c r="AI62" s="341">
        <f>1-AH62-AJ62</f>
        <v>0.72101641761293667</v>
      </c>
      <c r="AJ62" s="341">
        <f>AJ61</f>
        <v>0.16210046550394641</v>
      </c>
      <c r="AK62" s="341"/>
      <c r="AM62" s="443">
        <f t="shared" si="89"/>
        <v>1</v>
      </c>
      <c r="AN62" s="330" t="s">
        <v>176</v>
      </c>
    </row>
    <row r="63" spans="2:44">
      <c r="B63" s="201" t="str">
        <f>B9</f>
        <v>New Construction</v>
      </c>
      <c r="C63" s="176">
        <f t="shared" ref="C63:C66" si="92">C$56*T9</f>
        <v>0</v>
      </c>
      <c r="D63" s="176">
        <f t="shared" ref="D63:H63" si="93">D$56*V9</f>
        <v>0</v>
      </c>
      <c r="E63" s="176">
        <f t="shared" si="93"/>
        <v>0</v>
      </c>
      <c r="F63" s="176">
        <f t="shared" si="93"/>
        <v>0</v>
      </c>
      <c r="G63" s="176">
        <f t="shared" si="93"/>
        <v>0</v>
      </c>
      <c r="H63" s="176">
        <f t="shared" si="93"/>
        <v>1588597.9780153648</v>
      </c>
      <c r="I63" s="176"/>
      <c r="J63" s="345">
        <f t="shared" ref="J63:J66" si="94">SUM(C63:I63)</f>
        <v>1588597.9780153648</v>
      </c>
      <c r="K63" s="331"/>
      <c r="L63" s="331"/>
      <c r="M63" s="331"/>
      <c r="P63" s="330" t="str">
        <f t="shared" si="90"/>
        <v>Industrial Energy Efficiency</v>
      </c>
      <c r="R63" s="354"/>
      <c r="U63" s="341"/>
      <c r="V63" s="341">
        <f>V62/SUM($V$62:$X$62)</f>
        <v>0.44253466692925214</v>
      </c>
      <c r="W63" s="341">
        <f>W62/SUM($V$62:$X$62)</f>
        <v>4.0441176470588244E-2</v>
      </c>
      <c r="X63" s="341">
        <f>X62/SUM($V$62:$X$62)</f>
        <v>0.51702415660015955</v>
      </c>
      <c r="Z63" s="443">
        <f t="shared" si="88"/>
        <v>1</v>
      </c>
      <c r="AF63" s="354"/>
      <c r="AH63" s="341"/>
      <c r="AI63" s="341">
        <f>1-AH63-AJ63</f>
        <v>0.81644506112053128</v>
      </c>
      <c r="AJ63" s="341">
        <f>AJ62/SUM($AI$62:$AJ$62)</f>
        <v>0.18355493887946875</v>
      </c>
      <c r="AK63" s="341"/>
      <c r="AM63" s="443">
        <f t="shared" si="89"/>
        <v>1</v>
      </c>
    </row>
    <row r="64" spans="2:44">
      <c r="B64" s="201" t="str">
        <f t="shared" ref="B64:B66" si="95">B10</f>
        <v>Home Renovation Savings</v>
      </c>
      <c r="C64" s="176">
        <f t="shared" si="92"/>
        <v>0</v>
      </c>
      <c r="D64" s="176">
        <f t="shared" ref="D64:H64" si="96">D$56*V10</f>
        <v>0</v>
      </c>
      <c r="E64" s="176">
        <f t="shared" si="96"/>
        <v>0</v>
      </c>
      <c r="F64" s="176">
        <f t="shared" si="96"/>
        <v>1459736.4205022613</v>
      </c>
      <c r="G64" s="176">
        <f t="shared" si="96"/>
        <v>1579386.9467729381</v>
      </c>
      <c r="H64" s="176">
        <f t="shared" si="96"/>
        <v>789693.47338646906</v>
      </c>
      <c r="I64" s="176"/>
      <c r="J64" s="345">
        <f t="shared" si="94"/>
        <v>3828816.8406616682</v>
      </c>
      <c r="K64" s="331"/>
      <c r="L64" s="331"/>
      <c r="M64" s="331"/>
      <c r="P64" s="330" t="str">
        <f t="shared" si="90"/>
        <v>New Construction</v>
      </c>
      <c r="R64" s="354"/>
      <c r="U64" s="341"/>
      <c r="V64" s="341">
        <f>V63</f>
        <v>0.44253466692925214</v>
      </c>
      <c r="W64" s="341">
        <f t="shared" ref="W64:X64" si="97">W63</f>
        <v>4.0441176470588244E-2</v>
      </c>
      <c r="X64" s="341">
        <f t="shared" si="97"/>
        <v>0.51702415660015955</v>
      </c>
      <c r="Z64" s="443">
        <f t="shared" si="88"/>
        <v>1</v>
      </c>
      <c r="AF64" s="354"/>
      <c r="AH64" s="341"/>
      <c r="AI64" s="341">
        <f>AI63</f>
        <v>0.81644506112053128</v>
      </c>
      <c r="AJ64" s="315">
        <f>AJ63</f>
        <v>0.18355493887946875</v>
      </c>
      <c r="AM64" s="443">
        <f t="shared" si="89"/>
        <v>1</v>
      </c>
    </row>
    <row r="65" spans="2:39">
      <c r="B65" s="201" t="str">
        <f t="shared" si="95"/>
        <v>Commercial HVAC DR</v>
      </c>
      <c r="C65" s="176">
        <f t="shared" si="92"/>
        <v>0</v>
      </c>
      <c r="D65" s="176">
        <f t="shared" ref="D65:H65" si="98">D$56*V11</f>
        <v>0</v>
      </c>
      <c r="E65" s="176">
        <f t="shared" si="98"/>
        <v>0</v>
      </c>
      <c r="F65" s="176">
        <f t="shared" si="98"/>
        <v>0</v>
      </c>
      <c r="G65" s="176">
        <f t="shared" si="98"/>
        <v>0</v>
      </c>
      <c r="H65" s="176">
        <f t="shared" si="98"/>
        <v>0</v>
      </c>
      <c r="I65" s="176"/>
      <c r="J65" s="345">
        <f t="shared" si="94"/>
        <v>0</v>
      </c>
      <c r="K65" s="331"/>
      <c r="L65" s="331"/>
      <c r="M65" s="331"/>
      <c r="P65" s="330" t="str">
        <f t="shared" si="90"/>
        <v>Home Renovation Savings</v>
      </c>
      <c r="R65" s="354"/>
      <c r="S65" s="315">
        <f>S71</f>
        <v>0.9886759004337472</v>
      </c>
      <c r="T65" s="315">
        <f>T71</f>
        <v>1.1324099566252009E-2</v>
      </c>
      <c r="Z65" s="443">
        <f t="shared" si="88"/>
        <v>0.99999999999999922</v>
      </c>
      <c r="AF65" s="354"/>
      <c r="AG65" s="340">
        <v>1</v>
      </c>
      <c r="AM65" s="443">
        <f t="shared" si="89"/>
        <v>1</v>
      </c>
    </row>
    <row r="66" spans="2:39">
      <c r="B66" s="201" t="str">
        <f t="shared" si="95"/>
        <v>Peak Perks</v>
      </c>
      <c r="C66" s="176">
        <f t="shared" si="92"/>
        <v>0</v>
      </c>
      <c r="D66" s="176">
        <f t="shared" ref="D66:H66" si="99">D$56*V12</f>
        <v>0</v>
      </c>
      <c r="E66" s="176">
        <f t="shared" si="99"/>
        <v>0</v>
      </c>
      <c r="F66" s="176">
        <f t="shared" si="99"/>
        <v>0</v>
      </c>
      <c r="G66" s="176">
        <f t="shared" si="99"/>
        <v>0</v>
      </c>
      <c r="H66" s="176">
        <f t="shared" si="99"/>
        <v>0</v>
      </c>
      <c r="I66" s="176"/>
      <c r="J66" s="345">
        <f t="shared" si="94"/>
        <v>0</v>
      </c>
      <c r="K66" s="331"/>
      <c r="L66" s="331"/>
      <c r="M66" s="331"/>
      <c r="P66" s="330" t="str">
        <f t="shared" si="90"/>
        <v>Commercial HVAC DR</v>
      </c>
      <c r="R66" s="354"/>
      <c r="Z66" s="443">
        <f t="shared" si="88"/>
        <v>0</v>
      </c>
      <c r="AF66" s="354"/>
      <c r="AM66" s="443">
        <f t="shared" si="89"/>
        <v>0</v>
      </c>
    </row>
    <row r="67" spans="2:39">
      <c r="B67" s="175" t="s">
        <v>154</v>
      </c>
      <c r="C67" s="174">
        <f>C$56*T13</f>
        <v>0</v>
      </c>
      <c r="D67" s="174">
        <f t="shared" ref="D67:H71" si="100">D$56*V13</f>
        <v>0</v>
      </c>
      <c r="E67" s="174">
        <f t="shared" si="100"/>
        <v>0</v>
      </c>
      <c r="F67" s="174">
        <f t="shared" si="100"/>
        <v>0</v>
      </c>
      <c r="G67" s="174">
        <f t="shared" si="100"/>
        <v>0</v>
      </c>
      <c r="H67" s="174">
        <f t="shared" si="100"/>
        <v>0</v>
      </c>
      <c r="I67" s="174"/>
      <c r="J67" s="345">
        <f t="shared" si="87"/>
        <v>0</v>
      </c>
      <c r="K67" s="331"/>
      <c r="L67" s="331"/>
      <c r="M67" s="331"/>
      <c r="P67" s="330" t="str">
        <f t="shared" si="90"/>
        <v>Peak Perks</v>
      </c>
      <c r="R67" s="354"/>
      <c r="Z67" s="443">
        <f t="shared" si="88"/>
        <v>0</v>
      </c>
      <c r="AF67" s="354"/>
      <c r="AM67" s="443">
        <f t="shared" si="89"/>
        <v>0</v>
      </c>
    </row>
    <row r="68" spans="2:39">
      <c r="B68" s="201" t="s">
        <v>155</v>
      </c>
      <c r="C68" s="176">
        <f>C$56*T14</f>
        <v>0</v>
      </c>
      <c r="D68" s="176">
        <f t="shared" si="100"/>
        <v>0</v>
      </c>
      <c r="E68" s="176">
        <f t="shared" si="100"/>
        <v>2094657.2015119793</v>
      </c>
      <c r="F68" s="176">
        <f t="shared" si="100"/>
        <v>14836190.786399767</v>
      </c>
      <c r="G68" s="176">
        <f t="shared" si="100"/>
        <v>16039750.725390075</v>
      </c>
      <c r="H68" s="176">
        <f t="shared" si="100"/>
        <v>8679518.7907954939</v>
      </c>
      <c r="I68" s="176"/>
      <c r="J68" s="345">
        <f t="shared" si="87"/>
        <v>41650117.504097313</v>
      </c>
      <c r="K68" s="331"/>
      <c r="L68" s="331"/>
      <c r="M68" s="331"/>
      <c r="P68" s="330" t="str">
        <f t="shared" si="90"/>
        <v>Targeted Greenhouse</v>
      </c>
      <c r="R68" s="354"/>
      <c r="Z68" s="443">
        <f t="shared" si="88"/>
        <v>0</v>
      </c>
      <c r="AF68" s="354"/>
      <c r="AM68" s="443">
        <f t="shared" si="89"/>
        <v>0</v>
      </c>
    </row>
    <row r="69" spans="2:39">
      <c r="B69" s="175" t="s">
        <v>156</v>
      </c>
      <c r="C69" s="174">
        <f>C$56*T15</f>
        <v>0</v>
      </c>
      <c r="D69" s="174">
        <f t="shared" si="100"/>
        <v>0</v>
      </c>
      <c r="E69" s="174">
        <f t="shared" si="100"/>
        <v>0</v>
      </c>
      <c r="F69" s="174">
        <f t="shared" si="100"/>
        <v>0</v>
      </c>
      <c r="G69" s="174">
        <f t="shared" si="100"/>
        <v>0</v>
      </c>
      <c r="H69" s="174">
        <f t="shared" si="100"/>
        <v>0</v>
      </c>
      <c r="I69" s="174"/>
      <c r="J69" s="345">
        <f t="shared" si="87"/>
        <v>0</v>
      </c>
      <c r="K69" s="331"/>
      <c r="L69" s="331"/>
      <c r="M69" s="331"/>
      <c r="P69" s="330" t="str">
        <f t="shared" si="90"/>
        <v>Local Initiatives</v>
      </c>
      <c r="R69" s="354"/>
      <c r="S69" s="442">
        <v>0.38263246115332711</v>
      </c>
      <c r="T69" s="442">
        <v>4.3803344907199461E-3</v>
      </c>
      <c r="U69" s="442">
        <v>0.10696383510312957</v>
      </c>
      <c r="V69" s="442">
        <v>0.36710241618296729</v>
      </c>
      <c r="W69" s="442">
        <v>3.6539747509887914E-2</v>
      </c>
      <c r="X69" s="442">
        <v>0.10238120555996864</v>
      </c>
      <c r="Z69" s="443">
        <f t="shared" si="88"/>
        <v>1.0000000000000004</v>
      </c>
      <c r="AF69" s="354"/>
      <c r="AG69" s="442">
        <v>0.42864814348590674</v>
      </c>
      <c r="AH69" s="442">
        <v>9.8563204723616266E-2</v>
      </c>
      <c r="AI69" s="442">
        <v>0.38537875856831566</v>
      </c>
      <c r="AJ69" s="442">
        <v>8.7409893222161472E-2</v>
      </c>
      <c r="AM69" s="443">
        <f t="shared" si="89"/>
        <v>1</v>
      </c>
    </row>
    <row r="70" spans="2:39">
      <c r="B70" s="201" t="s">
        <v>157</v>
      </c>
      <c r="C70" s="176"/>
      <c r="D70" s="176">
        <f t="shared" si="100"/>
        <v>0</v>
      </c>
      <c r="E70" s="176">
        <f t="shared" si="100"/>
        <v>1135206.0490685352</v>
      </c>
      <c r="F70" s="176">
        <f t="shared" si="100"/>
        <v>631970.37783196813</v>
      </c>
      <c r="G70" s="176">
        <f t="shared" si="100"/>
        <v>702189.3087021868</v>
      </c>
      <c r="H70" s="176">
        <f t="shared" si="100"/>
        <v>514938.82638160361</v>
      </c>
      <c r="I70" s="176"/>
      <c r="J70" s="345">
        <f t="shared" si="87"/>
        <v>2984304.5619842936</v>
      </c>
      <c r="K70" s="331"/>
      <c r="L70" s="331"/>
      <c r="M70" s="331"/>
      <c r="P70" s="330" t="str">
        <f t="shared" si="90"/>
        <v>Residential Demand Response</v>
      </c>
      <c r="R70" s="354"/>
      <c r="Z70" s="443">
        <f t="shared" si="88"/>
        <v>0</v>
      </c>
      <c r="AF70" s="354"/>
      <c r="AM70" s="443">
        <f t="shared" si="89"/>
        <v>0</v>
      </c>
    </row>
    <row r="71" spans="2:39">
      <c r="B71" s="175" t="s">
        <v>159</v>
      </c>
      <c r="C71" s="174"/>
      <c r="D71" s="174">
        <f t="shared" si="100"/>
        <v>0</v>
      </c>
      <c r="E71" s="174">
        <f t="shared" si="100"/>
        <v>0</v>
      </c>
      <c r="F71" s="174">
        <f t="shared" si="100"/>
        <v>0</v>
      </c>
      <c r="G71" s="174">
        <f t="shared" si="100"/>
        <v>0</v>
      </c>
      <c r="H71" s="174">
        <f t="shared" si="100"/>
        <v>0</v>
      </c>
      <c r="I71" s="174"/>
      <c r="J71" s="345">
        <f t="shared" si="87"/>
        <v>0</v>
      </c>
      <c r="K71" s="331"/>
      <c r="L71" s="331"/>
      <c r="M71" s="331"/>
      <c r="P71" s="330" t="str">
        <f t="shared" si="90"/>
        <v>Energy Affordability Program</v>
      </c>
      <c r="R71" s="354"/>
      <c r="S71" s="315">
        <f>CDM!C1</f>
        <v>0.9886759004337472</v>
      </c>
      <c r="T71" s="315">
        <f>CDM!D1</f>
        <v>1.1324099566252009E-2</v>
      </c>
      <c r="Z71" s="443">
        <f t="shared" si="88"/>
        <v>0.99999999999999922</v>
      </c>
      <c r="AF71" s="354"/>
      <c r="AG71" s="340">
        <v>1</v>
      </c>
      <c r="AM71" s="443">
        <f t="shared" si="89"/>
        <v>1</v>
      </c>
    </row>
    <row r="72" spans="2:39">
      <c r="B72" s="354"/>
      <c r="J72" s="350"/>
      <c r="P72" s="330" t="str">
        <f t="shared" si="90"/>
        <v>First Nations Program</v>
      </c>
      <c r="R72" s="354"/>
      <c r="Z72" s="444"/>
      <c r="AF72" s="354"/>
      <c r="AM72" s="444"/>
    </row>
    <row r="73" spans="2:39">
      <c r="B73" s="354"/>
      <c r="C73" s="331">
        <f>SUM(C58:C69)</f>
        <v>0</v>
      </c>
      <c r="D73" s="331">
        <f>SUM(D58:D71)</f>
        <v>0</v>
      </c>
      <c r="E73" s="331">
        <f t="shared" ref="E73" si="101">SUM(E58:E71)</f>
        <v>15268252.843971102</v>
      </c>
      <c r="F73" s="331">
        <f>SUM(F58:F71)</f>
        <v>33346226.638643138</v>
      </c>
      <c r="G73" s="331">
        <f t="shared" ref="G73:H73" si="102">SUM(G58:G71)</f>
        <v>37517997.39227844</v>
      </c>
      <c r="H73" s="331">
        <f t="shared" si="102"/>
        <v>21299921.910413597</v>
      </c>
      <c r="I73" s="331"/>
      <c r="J73" s="345">
        <f>SUM(J58:J72)</f>
        <v>107432398.78530627</v>
      </c>
      <c r="K73" s="331"/>
      <c r="L73" s="331"/>
      <c r="M73" s="331"/>
      <c r="R73" s="343"/>
      <c r="S73" s="339"/>
      <c r="T73" s="339"/>
      <c r="U73" s="339"/>
      <c r="V73" s="339"/>
      <c r="W73" s="339"/>
      <c r="X73" s="339"/>
      <c r="Y73" s="339"/>
      <c r="Z73" s="338"/>
      <c r="AF73" s="343"/>
      <c r="AG73" s="339"/>
      <c r="AH73" s="339"/>
      <c r="AI73" s="339"/>
      <c r="AJ73" s="339"/>
      <c r="AK73" s="339"/>
      <c r="AL73" s="339"/>
      <c r="AM73" s="338"/>
    </row>
    <row r="74" spans="2:39">
      <c r="B74" s="343"/>
      <c r="C74" s="339"/>
      <c r="D74" s="339"/>
      <c r="E74" s="339"/>
      <c r="F74" s="339"/>
      <c r="G74" s="339"/>
      <c r="H74" s="339"/>
      <c r="I74" s="339"/>
      <c r="J74" s="338"/>
      <c r="R74" s="357"/>
      <c r="S74" s="356"/>
      <c r="T74" s="356"/>
      <c r="U74" s="356"/>
      <c r="V74" s="356"/>
      <c r="W74" s="356"/>
      <c r="X74" s="356"/>
      <c r="Y74" s="356"/>
      <c r="Z74" s="342"/>
      <c r="AF74" s="357"/>
      <c r="AG74" s="356"/>
      <c r="AH74" s="356"/>
      <c r="AI74" s="356"/>
      <c r="AJ74" s="356"/>
      <c r="AK74" s="356"/>
      <c r="AL74" s="356"/>
      <c r="AM74" s="342"/>
    </row>
    <row r="75" spans="2:39">
      <c r="R75" s="354"/>
      <c r="Z75" s="350"/>
      <c r="AF75" s="354"/>
      <c r="AM75" s="350"/>
    </row>
    <row r="76" spans="2:39" ht="15">
      <c r="B76" s="208"/>
      <c r="C76" s="178" t="s">
        <v>145</v>
      </c>
      <c r="D76" s="178"/>
      <c r="E76" s="178"/>
      <c r="F76" s="178"/>
      <c r="G76" s="356"/>
      <c r="H76" s="356"/>
      <c r="I76" s="356"/>
      <c r="J76" s="342"/>
      <c r="R76" s="354"/>
      <c r="S76" s="330" t="str">
        <f>S56</f>
        <v>Residential</v>
      </c>
      <c r="T76" s="330" t="str">
        <f>T56</f>
        <v>Residential Seasonal</v>
      </c>
      <c r="U76" s="330" t="str">
        <f>U56</f>
        <v>GS&lt; 50</v>
      </c>
      <c r="V76" s="330" t="str">
        <f>V56</f>
        <v>GS 50-2,999</v>
      </c>
      <c r="W76" s="330" t="str">
        <f t="shared" ref="W76:X76" si="103">W56</f>
        <v>GS 3,000-4,999</v>
      </c>
      <c r="X76" s="330" t="str">
        <f t="shared" si="103"/>
        <v>Large Use</v>
      </c>
      <c r="Z76" s="350"/>
      <c r="AF76" s="354"/>
      <c r="AG76" s="330" t="str">
        <f>AG56</f>
        <v>Residential</v>
      </c>
      <c r="AH76" s="330" t="str">
        <f>AH56</f>
        <v>GS&lt; 50</v>
      </c>
      <c r="AI76" s="330" t="str">
        <f>AI56</f>
        <v>GS 50-2,999</v>
      </c>
      <c r="AJ76" s="330" t="str">
        <f t="shared" ref="AJ76:AK76" si="104">AJ56</f>
        <v>GS 3,000-4,999</v>
      </c>
      <c r="AK76" s="330" t="str">
        <f t="shared" si="104"/>
        <v>Large Use</v>
      </c>
      <c r="AM76" s="350"/>
    </row>
    <row r="77" spans="2:39" ht="15">
      <c r="B77" s="201"/>
      <c r="C77" s="213">
        <v>2021</v>
      </c>
      <c r="D77" s="213">
        <v>2023</v>
      </c>
      <c r="E77" s="213">
        <v>2024</v>
      </c>
      <c r="F77" s="213">
        <v>2025</v>
      </c>
      <c r="G77" s="213">
        <v>2026</v>
      </c>
      <c r="H77" s="213">
        <v>2027</v>
      </c>
      <c r="I77" s="213"/>
      <c r="J77" s="193" t="s">
        <v>174</v>
      </c>
      <c r="K77" s="173"/>
      <c r="L77" s="173"/>
      <c r="M77" s="173"/>
      <c r="P77" s="330" t="str">
        <f t="shared" ref="P77:P90" si="105">B58</f>
        <v>Retrofit</v>
      </c>
      <c r="R77" s="354"/>
      <c r="S77" s="331">
        <f t="shared" ref="S77:X90" si="106">S59*$J58</f>
        <v>0</v>
      </c>
      <c r="T77" s="331">
        <f t="shared" si="106"/>
        <v>0</v>
      </c>
      <c r="U77" s="331">
        <f t="shared" si="106"/>
        <v>4687837.831138473</v>
      </c>
      <c r="V77" s="331">
        <f t="shared" si="106"/>
        <v>24178828.590281285</v>
      </c>
      <c r="W77" s="331">
        <f t="shared" si="106"/>
        <v>1184539.5644008245</v>
      </c>
      <c r="X77" s="331">
        <f t="shared" si="106"/>
        <v>4597933.5861572055</v>
      </c>
      <c r="Z77" s="345">
        <f t="shared" ref="Z77:Z85" si="107">SUM(S77:X77)</f>
        <v>34649139.571977787</v>
      </c>
      <c r="AF77" s="354"/>
      <c r="AG77" s="331">
        <f>AG59*$J80</f>
        <v>0</v>
      </c>
      <c r="AH77" s="331">
        <f t="shared" ref="AH77:AJ77" si="108">AH59*$J80</f>
        <v>1062522.2376397094</v>
      </c>
      <c r="AI77" s="331">
        <f t="shared" si="108"/>
        <v>9025347.5288414527</v>
      </c>
      <c r="AJ77" s="331">
        <f t="shared" si="108"/>
        <v>2030680.5617037173</v>
      </c>
      <c r="AK77" s="331"/>
      <c r="AM77" s="345">
        <f>SUM(AG77:AK77)</f>
        <v>12118550.328184878</v>
      </c>
    </row>
    <row r="78" spans="2:39">
      <c r="B78" s="201" t="s">
        <v>175</v>
      </c>
      <c r="C78" s="177">
        <v>0</v>
      </c>
      <c r="D78" s="177">
        <v>0</v>
      </c>
      <c r="E78" s="177">
        <v>0.5</v>
      </c>
      <c r="F78" s="177">
        <v>1</v>
      </c>
      <c r="G78" s="177">
        <v>1</v>
      </c>
      <c r="H78" s="177">
        <v>0.5</v>
      </c>
      <c r="I78" s="177"/>
      <c r="J78" s="350"/>
      <c r="P78" s="330" t="str">
        <f t="shared" si="105"/>
        <v>Small Business</v>
      </c>
      <c r="R78" s="354"/>
      <c r="S78" s="331">
        <f t="shared" si="106"/>
        <v>0</v>
      </c>
      <c r="T78" s="331">
        <f t="shared" si="106"/>
        <v>0</v>
      </c>
      <c r="U78" s="331">
        <f t="shared" si="106"/>
        <v>1443690.5849217258</v>
      </c>
      <c r="V78" s="331">
        <f t="shared" si="106"/>
        <v>0</v>
      </c>
      <c r="W78" s="331">
        <f t="shared" si="106"/>
        <v>0</v>
      </c>
      <c r="X78" s="331">
        <f t="shared" si="106"/>
        <v>0</v>
      </c>
      <c r="Z78" s="345">
        <f t="shared" si="107"/>
        <v>1443690.5849217258</v>
      </c>
      <c r="AF78" s="354"/>
      <c r="AG78" s="331">
        <f t="shared" ref="AG78:AJ91" si="109">AG60*$J81</f>
        <v>0</v>
      </c>
      <c r="AH78" s="331">
        <f t="shared" si="109"/>
        <v>450696.39293635968</v>
      </c>
      <c r="AI78" s="331">
        <f t="shared" si="109"/>
        <v>0</v>
      </c>
      <c r="AJ78" s="331">
        <f t="shared" si="109"/>
        <v>0</v>
      </c>
      <c r="AK78" s="331"/>
      <c r="AM78" s="345">
        <f t="shared" ref="AM78:AM91" si="110">SUM(AG78:AK78)</f>
        <v>450696.39293635968</v>
      </c>
    </row>
    <row r="79" spans="2:39" ht="15">
      <c r="B79" s="201"/>
      <c r="C79" s="344"/>
      <c r="D79" s="344"/>
      <c r="E79" s="344"/>
      <c r="F79" s="344"/>
      <c r="G79" s="344"/>
      <c r="H79" s="344"/>
      <c r="I79" s="344"/>
      <c r="J79" s="350"/>
      <c r="P79" s="330" t="str">
        <f t="shared" si="105"/>
        <v xml:space="preserve">Energy Performance </v>
      </c>
      <c r="R79" s="354"/>
      <c r="S79" s="331">
        <f t="shared" si="106"/>
        <v>0</v>
      </c>
      <c r="T79" s="331">
        <f t="shared" si="106"/>
        <v>0</v>
      </c>
      <c r="U79" s="331">
        <f t="shared" si="106"/>
        <v>94591.842356710069</v>
      </c>
      <c r="V79" s="331">
        <f t="shared" si="106"/>
        <v>316276.83585616318</v>
      </c>
      <c r="W79" s="331">
        <f t="shared" si="106"/>
        <v>28903.062942328077</v>
      </c>
      <c r="X79" s="331">
        <f t="shared" si="106"/>
        <v>369514.02122998465</v>
      </c>
      <c r="Z79" s="345">
        <f t="shared" si="107"/>
        <v>809285.76238518604</v>
      </c>
      <c r="AF79" s="354"/>
      <c r="AG79" s="331">
        <f t="shared" si="109"/>
        <v>0</v>
      </c>
      <c r="AH79" s="331">
        <f t="shared" si="109"/>
        <v>25618.027542226442</v>
      </c>
      <c r="AI79" s="331">
        <f t="shared" si="109"/>
        <v>158029.82447222612</v>
      </c>
      <c r="AJ79" s="331">
        <f t="shared" si="109"/>
        <v>35528.605846818064</v>
      </c>
      <c r="AK79" s="331"/>
      <c r="AM79" s="345">
        <f t="shared" si="110"/>
        <v>219176.45786127064</v>
      </c>
    </row>
    <row r="80" spans="2:39">
      <c r="B80" s="201" t="s">
        <v>147</v>
      </c>
      <c r="C80" s="176">
        <f t="shared" ref="C80:D82" si="111">C$78*AH4</f>
        <v>0</v>
      </c>
      <c r="D80" s="176">
        <f t="shared" si="111"/>
        <v>0</v>
      </c>
      <c r="E80" s="176">
        <f>E$78*AK4</f>
        <v>2288060.7497584396</v>
      </c>
      <c r="F80" s="176">
        <f t="shared" ref="F80:H93" si="112">F$78*AL4</f>
        <v>3644553.9085438</v>
      </c>
      <c r="G80" s="176">
        <f t="shared" si="112"/>
        <v>4241084.0325879641</v>
      </c>
      <c r="H80" s="176">
        <f t="shared" si="112"/>
        <v>1944851.6372946736</v>
      </c>
      <c r="I80" s="176"/>
      <c r="J80" s="345">
        <f>SUM(C80:I80)</f>
        <v>12118550.328184878</v>
      </c>
      <c r="K80" s="331"/>
      <c r="L80" s="331"/>
      <c r="M80" s="331"/>
      <c r="P80" s="330" t="str">
        <f t="shared" si="105"/>
        <v>Energy Management</v>
      </c>
      <c r="R80" s="354"/>
      <c r="S80" s="331">
        <f t="shared" si="106"/>
        <v>0</v>
      </c>
      <c r="T80" s="331">
        <f t="shared" si="106"/>
        <v>0</v>
      </c>
      <c r="U80" s="331">
        <f t="shared" si="106"/>
        <v>669149.6996345045</v>
      </c>
      <c r="V80" s="331">
        <f t="shared" si="106"/>
        <v>2237365.7647602651</v>
      </c>
      <c r="W80" s="331">
        <f t="shared" si="106"/>
        <v>204462.40822165416</v>
      </c>
      <c r="X80" s="331">
        <f t="shared" si="106"/>
        <v>2613969.5575898914</v>
      </c>
      <c r="Z80" s="345">
        <f t="shared" si="107"/>
        <v>5724947.4302063156</v>
      </c>
      <c r="AF80" s="354"/>
      <c r="AG80" s="331">
        <f t="shared" si="109"/>
        <v>0</v>
      </c>
      <c r="AH80" s="331">
        <f t="shared" si="109"/>
        <v>181223.82446537961</v>
      </c>
      <c r="AI80" s="331">
        <f t="shared" si="109"/>
        <v>1117914.6842294512</v>
      </c>
      <c r="AJ80" s="331">
        <f t="shared" si="109"/>
        <v>251331.98950897218</v>
      </c>
      <c r="AK80" s="331"/>
      <c r="AM80" s="345">
        <f t="shared" si="110"/>
        <v>1550470.4982038031</v>
      </c>
    </row>
    <row r="81" spans="2:39">
      <c r="B81" s="175" t="s">
        <v>149</v>
      </c>
      <c r="C81" s="174">
        <f t="shared" si="111"/>
        <v>0</v>
      </c>
      <c r="D81" s="174">
        <f t="shared" si="111"/>
        <v>0</v>
      </c>
      <c r="E81" s="176">
        <f t="shared" ref="E81:E93" si="113">E$78*AK5</f>
        <v>210757.30604937684</v>
      </c>
      <c r="F81" s="176">
        <f t="shared" si="112"/>
        <v>90787.762605885422</v>
      </c>
      <c r="G81" s="176">
        <f t="shared" si="112"/>
        <v>97272.602792020087</v>
      </c>
      <c r="H81" s="176">
        <f t="shared" si="112"/>
        <v>51878.721489077376</v>
      </c>
      <c r="I81" s="174"/>
      <c r="J81" s="345">
        <f t="shared" ref="J81:J82" si="114">SUM(C81:I81)</f>
        <v>450696.39293635968</v>
      </c>
      <c r="K81" s="331"/>
      <c r="L81" s="331"/>
      <c r="M81" s="331"/>
      <c r="P81" s="330" t="str">
        <f t="shared" si="105"/>
        <v>Industrial Energy Efficiency</v>
      </c>
      <c r="R81" s="354"/>
      <c r="S81" s="331">
        <f t="shared" si="106"/>
        <v>0</v>
      </c>
      <c r="T81" s="331">
        <f t="shared" si="106"/>
        <v>0</v>
      </c>
      <c r="U81" s="331">
        <f t="shared" si="106"/>
        <v>0</v>
      </c>
      <c r="V81" s="331">
        <f t="shared" si="106"/>
        <v>6528934.5673330408</v>
      </c>
      <c r="W81" s="331">
        <f t="shared" si="106"/>
        <v>596648.83846184833</v>
      </c>
      <c r="X81" s="331">
        <f t="shared" si="106"/>
        <v>7627915.1452617198</v>
      </c>
      <c r="Z81" s="345">
        <f t="shared" si="107"/>
        <v>14753498.551056609</v>
      </c>
      <c r="AF81" s="354"/>
      <c r="AG81" s="331">
        <f t="shared" si="109"/>
        <v>0</v>
      </c>
      <c r="AH81" s="331">
        <f t="shared" si="109"/>
        <v>0</v>
      </c>
      <c r="AI81" s="331">
        <f t="shared" si="109"/>
        <v>3218316.4712674851</v>
      </c>
      <c r="AJ81" s="331">
        <f t="shared" si="109"/>
        <v>723548.8476928646</v>
      </c>
      <c r="AK81" s="331"/>
      <c r="AM81" s="345">
        <f t="shared" si="110"/>
        <v>3941865.3189603495</v>
      </c>
    </row>
    <row r="82" spans="2:39">
      <c r="B82" s="201" t="s">
        <v>150</v>
      </c>
      <c r="C82" s="176">
        <f t="shared" si="111"/>
        <v>0</v>
      </c>
      <c r="D82" s="176">
        <f t="shared" si="111"/>
        <v>0</v>
      </c>
      <c r="E82" s="176">
        <f t="shared" si="113"/>
        <v>219176.45786127061</v>
      </c>
      <c r="F82" s="176">
        <f t="shared" si="112"/>
        <v>0</v>
      </c>
      <c r="G82" s="176">
        <f t="shared" si="112"/>
        <v>0</v>
      </c>
      <c r="H82" s="176">
        <f t="shared" si="112"/>
        <v>0</v>
      </c>
      <c r="I82" s="176"/>
      <c r="J82" s="345">
        <f t="shared" si="114"/>
        <v>219176.45786127061</v>
      </c>
      <c r="K82" s="331"/>
      <c r="L82" s="331"/>
      <c r="M82" s="331"/>
      <c r="P82" s="330" t="str">
        <f t="shared" si="105"/>
        <v>New Construction</v>
      </c>
      <c r="R82" s="354"/>
      <c r="S82" s="331">
        <f t="shared" si="106"/>
        <v>0</v>
      </c>
      <c r="T82" s="331">
        <f t="shared" si="106"/>
        <v>0</v>
      </c>
      <c r="U82" s="331">
        <f t="shared" si="106"/>
        <v>0</v>
      </c>
      <c r="V82" s="331">
        <f t="shared" si="106"/>
        <v>703009.6770855129</v>
      </c>
      <c r="W82" s="331">
        <f t="shared" si="106"/>
        <v>64244.771169739033</v>
      </c>
      <c r="X82" s="331">
        <f t="shared" si="106"/>
        <v>821343.52976011275</v>
      </c>
      <c r="Z82" s="345">
        <f t="shared" si="107"/>
        <v>1588597.9780153646</v>
      </c>
      <c r="AF82" s="354"/>
      <c r="AG82" s="331">
        <f t="shared" si="109"/>
        <v>0</v>
      </c>
      <c r="AH82" s="331">
        <f t="shared" si="109"/>
        <v>0</v>
      </c>
      <c r="AI82" s="331">
        <f t="shared" si="109"/>
        <v>351263.46060520405</v>
      </c>
      <c r="AJ82" s="331">
        <f>AJ64*$J85</f>
        <v>78971.808529882619</v>
      </c>
      <c r="AK82" s="331"/>
      <c r="AM82" s="345">
        <f t="shared" si="110"/>
        <v>430235.26913508668</v>
      </c>
    </row>
    <row r="83" spans="2:39">
      <c r="B83" s="175" t="s">
        <v>151</v>
      </c>
      <c r="C83" s="176">
        <f t="shared" ref="C83:D83" si="115">C$78*AH7</f>
        <v>0</v>
      </c>
      <c r="D83" s="176">
        <f t="shared" si="115"/>
        <v>0</v>
      </c>
      <c r="E83" s="176">
        <f t="shared" si="113"/>
        <v>389647.03619781439</v>
      </c>
      <c r="F83" s="176">
        <f t="shared" si="112"/>
        <v>422117.62254763226</v>
      </c>
      <c r="G83" s="176">
        <f t="shared" si="112"/>
        <v>478941.14865981351</v>
      </c>
      <c r="H83" s="176">
        <f t="shared" si="112"/>
        <v>259764.69079854293</v>
      </c>
      <c r="I83" s="176"/>
      <c r="J83" s="345">
        <f t="shared" ref="J83:J93" si="116">SUM(C83:I83)</f>
        <v>1550470.4982038031</v>
      </c>
      <c r="K83" s="331"/>
      <c r="L83" s="331"/>
      <c r="M83" s="331"/>
      <c r="P83" s="330" t="str">
        <f t="shared" si="105"/>
        <v>Home Renovation Savings</v>
      </c>
      <c r="R83" s="354"/>
      <c r="S83" s="331">
        <f t="shared" si="106"/>
        <v>3785458.9375370699</v>
      </c>
      <c r="T83" s="331">
        <f t="shared" si="106"/>
        <v>43357.903124595185</v>
      </c>
      <c r="U83" s="331">
        <f t="shared" si="106"/>
        <v>0</v>
      </c>
      <c r="V83" s="331">
        <f t="shared" si="106"/>
        <v>0</v>
      </c>
      <c r="W83" s="331">
        <f t="shared" si="106"/>
        <v>0</v>
      </c>
      <c r="X83" s="331">
        <f t="shared" si="106"/>
        <v>0</v>
      </c>
      <c r="Z83" s="345">
        <f t="shared" si="107"/>
        <v>3828816.840661665</v>
      </c>
      <c r="AF83" s="354"/>
      <c r="AG83" s="331">
        <f t="shared" si="109"/>
        <v>1446732.5201834333</v>
      </c>
      <c r="AH83" s="331">
        <f t="shared" si="109"/>
        <v>0</v>
      </c>
      <c r="AI83" s="331">
        <f t="shared" si="109"/>
        <v>0</v>
      </c>
      <c r="AJ83" s="331">
        <f t="shared" si="109"/>
        <v>0</v>
      </c>
      <c r="AK83" s="331"/>
      <c r="AM83" s="345">
        <f t="shared" si="110"/>
        <v>1446732.5201834333</v>
      </c>
    </row>
    <row r="84" spans="2:39">
      <c r="B84" s="201" t="s">
        <v>153</v>
      </c>
      <c r="C84" s="176">
        <f t="shared" ref="C84:D84" si="117">C$78*AH8</f>
        <v>0</v>
      </c>
      <c r="D84" s="176">
        <f t="shared" si="117"/>
        <v>0</v>
      </c>
      <c r="E84" s="176">
        <f t="shared" si="113"/>
        <v>687534.648655875</v>
      </c>
      <c r="F84" s="176">
        <f t="shared" si="112"/>
        <v>1108389.1911664407</v>
      </c>
      <c r="G84" s="176">
        <f t="shared" si="112"/>
        <v>1333400.5307265453</v>
      </c>
      <c r="H84" s="176">
        <f t="shared" si="112"/>
        <v>812540.94841148856</v>
      </c>
      <c r="I84" s="176"/>
      <c r="J84" s="345">
        <f t="shared" si="116"/>
        <v>3941865.3189603495</v>
      </c>
      <c r="K84" s="331"/>
      <c r="L84" s="331"/>
      <c r="M84" s="331"/>
      <c r="P84" s="330" t="str">
        <f t="shared" si="105"/>
        <v>Commercial HVAC DR</v>
      </c>
      <c r="R84" s="354"/>
      <c r="S84" s="331">
        <f t="shared" si="106"/>
        <v>0</v>
      </c>
      <c r="T84" s="331">
        <f t="shared" si="106"/>
        <v>0</v>
      </c>
      <c r="U84" s="331">
        <f t="shared" si="106"/>
        <v>0</v>
      </c>
      <c r="V84" s="331">
        <f t="shared" si="106"/>
        <v>0</v>
      </c>
      <c r="W84" s="331">
        <f t="shared" si="106"/>
        <v>0</v>
      </c>
      <c r="X84" s="331">
        <f t="shared" si="106"/>
        <v>0</v>
      </c>
      <c r="Z84" s="345">
        <f t="shared" si="107"/>
        <v>0</v>
      </c>
      <c r="AF84" s="354"/>
      <c r="AG84" s="331">
        <f t="shared" si="109"/>
        <v>0</v>
      </c>
      <c r="AH84" s="331">
        <f t="shared" si="109"/>
        <v>0</v>
      </c>
      <c r="AI84" s="331">
        <f t="shared" si="109"/>
        <v>0</v>
      </c>
      <c r="AJ84" s="331">
        <f t="shared" si="109"/>
        <v>0</v>
      </c>
      <c r="AK84" s="331"/>
      <c r="AM84" s="345">
        <f t="shared" si="110"/>
        <v>0</v>
      </c>
    </row>
    <row r="85" spans="2:39">
      <c r="B85" s="330" t="str">
        <f>B63</f>
        <v>New Construction</v>
      </c>
      <c r="C85" s="176">
        <f t="shared" ref="C85:D85" si="118">C$78*AH9</f>
        <v>0</v>
      </c>
      <c r="D85" s="176">
        <f t="shared" si="118"/>
        <v>0</v>
      </c>
      <c r="E85" s="176">
        <f t="shared" si="113"/>
        <v>0</v>
      </c>
      <c r="F85" s="176">
        <f t="shared" si="112"/>
        <v>0</v>
      </c>
      <c r="G85" s="176">
        <f t="shared" si="112"/>
        <v>0</v>
      </c>
      <c r="H85" s="176">
        <f t="shared" si="112"/>
        <v>430235.26913508668</v>
      </c>
      <c r="I85" s="176"/>
      <c r="J85" s="345">
        <f t="shared" si="116"/>
        <v>430235.26913508668</v>
      </c>
      <c r="L85" s="331"/>
      <c r="M85" s="331"/>
      <c r="P85" s="330" t="str">
        <f t="shared" si="105"/>
        <v>Peak Perks</v>
      </c>
      <c r="R85" s="354"/>
      <c r="S85" s="331">
        <f t="shared" si="106"/>
        <v>0</v>
      </c>
      <c r="T85" s="331">
        <f t="shared" si="106"/>
        <v>0</v>
      </c>
      <c r="U85" s="331">
        <f t="shared" si="106"/>
        <v>0</v>
      </c>
      <c r="V85" s="331">
        <f t="shared" si="106"/>
        <v>0</v>
      </c>
      <c r="W85" s="331">
        <f t="shared" si="106"/>
        <v>0</v>
      </c>
      <c r="X85" s="331">
        <f t="shared" si="106"/>
        <v>0</v>
      </c>
      <c r="Z85" s="345">
        <f t="shared" si="107"/>
        <v>0</v>
      </c>
      <c r="AF85" s="354"/>
      <c r="AG85" s="331">
        <f t="shared" si="109"/>
        <v>0</v>
      </c>
      <c r="AH85" s="331">
        <f t="shared" si="109"/>
        <v>0</v>
      </c>
      <c r="AI85" s="331">
        <f t="shared" si="109"/>
        <v>0</v>
      </c>
      <c r="AJ85" s="331">
        <f t="shared" si="109"/>
        <v>0</v>
      </c>
      <c r="AK85" s="331"/>
      <c r="AM85" s="345">
        <f t="shared" si="110"/>
        <v>0</v>
      </c>
    </row>
    <row r="86" spans="2:39">
      <c r="B86" s="330" t="str">
        <f t="shared" ref="B86:B88" si="119">B64</f>
        <v>Home Renovation Savings</v>
      </c>
      <c r="C86" s="176">
        <f t="shared" ref="C86:D86" si="120">C$78*AH10</f>
        <v>0</v>
      </c>
      <c r="D86" s="176">
        <f t="shared" si="120"/>
        <v>0</v>
      </c>
      <c r="E86" s="176">
        <f t="shared" si="113"/>
        <v>0</v>
      </c>
      <c r="F86" s="176">
        <f t="shared" si="112"/>
        <v>551566.77331993403</v>
      </c>
      <c r="G86" s="176">
        <f t="shared" si="112"/>
        <v>596777.16457566619</v>
      </c>
      <c r="H86" s="176">
        <f t="shared" si="112"/>
        <v>298388.58228783309</v>
      </c>
      <c r="I86" s="176"/>
      <c r="J86" s="345">
        <f t="shared" si="116"/>
        <v>1446732.5201834333</v>
      </c>
      <c r="L86" s="331"/>
      <c r="M86" s="331"/>
      <c r="P86" s="330" t="str">
        <f t="shared" si="105"/>
        <v>Targeted Greenhouse</v>
      </c>
      <c r="R86" s="354"/>
      <c r="S86" s="331">
        <f t="shared" si="106"/>
        <v>0</v>
      </c>
      <c r="T86" s="331">
        <f t="shared" si="106"/>
        <v>0</v>
      </c>
      <c r="U86" s="331">
        <f t="shared" si="106"/>
        <v>0</v>
      </c>
      <c r="V86" s="331">
        <f t="shared" si="106"/>
        <v>0</v>
      </c>
      <c r="W86" s="331">
        <f t="shared" si="106"/>
        <v>0</v>
      </c>
      <c r="X86" s="331">
        <f t="shared" si="106"/>
        <v>0</v>
      </c>
      <c r="Z86" s="345">
        <f>SUM(S86:X86)</f>
        <v>0</v>
      </c>
      <c r="AF86" s="354"/>
      <c r="AG86" s="331">
        <f t="shared" si="109"/>
        <v>0</v>
      </c>
      <c r="AH86" s="331">
        <f t="shared" si="109"/>
        <v>0</v>
      </c>
      <c r="AI86" s="331">
        <f t="shared" si="109"/>
        <v>0</v>
      </c>
      <c r="AJ86" s="331">
        <f t="shared" si="109"/>
        <v>0</v>
      </c>
      <c r="AK86" s="331"/>
      <c r="AM86" s="345">
        <f t="shared" si="110"/>
        <v>0</v>
      </c>
    </row>
    <row r="87" spans="2:39">
      <c r="B87" s="330" t="str">
        <f t="shared" si="119"/>
        <v>Commercial HVAC DR</v>
      </c>
      <c r="C87" s="176">
        <f t="shared" ref="C87:D87" si="121">C$78*AH11</f>
        <v>0</v>
      </c>
      <c r="D87" s="176">
        <f t="shared" si="121"/>
        <v>0</v>
      </c>
      <c r="E87" s="176">
        <f t="shared" si="113"/>
        <v>0</v>
      </c>
      <c r="F87" s="176">
        <f t="shared" si="112"/>
        <v>0</v>
      </c>
      <c r="G87" s="176">
        <f t="shared" si="112"/>
        <v>0</v>
      </c>
      <c r="H87" s="176">
        <f t="shared" si="112"/>
        <v>0</v>
      </c>
      <c r="I87" s="176"/>
      <c r="J87" s="345">
        <f t="shared" si="116"/>
        <v>0</v>
      </c>
      <c r="L87" s="331"/>
      <c r="M87" s="331"/>
      <c r="P87" s="330" t="str">
        <f t="shared" si="105"/>
        <v>Local Initiatives</v>
      </c>
      <c r="R87" s="354"/>
      <c r="S87" s="331">
        <f t="shared" si="106"/>
        <v>15936686.967918025</v>
      </c>
      <c r="T87" s="331">
        <f t="shared" si="106"/>
        <v>182441.44624573601</v>
      </c>
      <c r="U87" s="331">
        <f t="shared" si="106"/>
        <v>4455056.300734235</v>
      </c>
      <c r="V87" s="331">
        <f t="shared" si="106"/>
        <v>15289858.770058623</v>
      </c>
      <c r="W87" s="331">
        <f t="shared" si="106"/>
        <v>1521884.7773568789</v>
      </c>
      <c r="X87" s="331">
        <f t="shared" si="106"/>
        <v>4264189.241783835</v>
      </c>
      <c r="Z87" s="345">
        <f>SUM(S87:X87)</f>
        <v>41650117.504097335</v>
      </c>
      <c r="AF87" s="354"/>
      <c r="AG87" s="331">
        <f t="shared" si="109"/>
        <v>6076488.5547172474</v>
      </c>
      <c r="AH87" s="331">
        <f t="shared" si="109"/>
        <v>1397225.6605352559</v>
      </c>
      <c r="AI87" s="331">
        <f t="shared" si="109"/>
        <v>5463104.5328404745</v>
      </c>
      <c r="AJ87" s="331">
        <f t="shared" si="109"/>
        <v>1239117.0329447235</v>
      </c>
      <c r="AK87" s="331"/>
      <c r="AM87" s="345">
        <f t="shared" si="110"/>
        <v>14175935.781037703</v>
      </c>
    </row>
    <row r="88" spans="2:39">
      <c r="B88" s="330" t="str">
        <f t="shared" si="119"/>
        <v>Peak Perks</v>
      </c>
      <c r="C88" s="176">
        <f t="shared" ref="C88:D88" si="122">C$78*AH12</f>
        <v>0</v>
      </c>
      <c r="D88" s="176">
        <f t="shared" si="122"/>
        <v>0</v>
      </c>
      <c r="E88" s="176">
        <f t="shared" si="113"/>
        <v>0</v>
      </c>
      <c r="F88" s="176">
        <f t="shared" si="112"/>
        <v>0</v>
      </c>
      <c r="G88" s="176">
        <f t="shared" si="112"/>
        <v>0</v>
      </c>
      <c r="H88" s="176">
        <f t="shared" si="112"/>
        <v>0</v>
      </c>
      <c r="I88" s="176"/>
      <c r="J88" s="345">
        <f t="shared" si="116"/>
        <v>0</v>
      </c>
      <c r="L88" s="331"/>
      <c r="M88" s="331"/>
      <c r="P88" s="330" t="str">
        <f t="shared" si="105"/>
        <v>Residential Demand Response</v>
      </c>
      <c r="R88" s="354"/>
      <c r="S88" s="331">
        <f t="shared" si="106"/>
        <v>0</v>
      </c>
      <c r="T88" s="331">
        <f t="shared" si="106"/>
        <v>0</v>
      </c>
      <c r="U88" s="331">
        <f t="shared" si="106"/>
        <v>0</v>
      </c>
      <c r="V88" s="331">
        <f t="shared" si="106"/>
        <v>0</v>
      </c>
      <c r="W88" s="331">
        <f t="shared" si="106"/>
        <v>0</v>
      </c>
      <c r="X88" s="331">
        <f t="shared" si="106"/>
        <v>0</v>
      </c>
      <c r="Z88" s="345">
        <f>SUM(S88:X88)</f>
        <v>0</v>
      </c>
      <c r="AF88" s="354"/>
      <c r="AG88" s="331">
        <f t="shared" si="109"/>
        <v>0</v>
      </c>
      <c r="AH88" s="331">
        <f t="shared" si="109"/>
        <v>0</v>
      </c>
      <c r="AI88" s="331">
        <f t="shared" si="109"/>
        <v>0</v>
      </c>
      <c r="AJ88" s="331">
        <f t="shared" si="109"/>
        <v>0</v>
      </c>
      <c r="AK88" s="331"/>
      <c r="AM88" s="345">
        <f t="shared" si="110"/>
        <v>0</v>
      </c>
    </row>
    <row r="89" spans="2:39">
      <c r="B89" s="175" t="s">
        <v>154</v>
      </c>
      <c r="C89" s="176">
        <f t="shared" ref="C89:D89" si="123">C$78*AH13</f>
        <v>0</v>
      </c>
      <c r="D89" s="176">
        <f t="shared" si="123"/>
        <v>0</v>
      </c>
      <c r="E89" s="176">
        <f t="shared" si="113"/>
        <v>0</v>
      </c>
      <c r="F89" s="176">
        <f t="shared" si="112"/>
        <v>0</v>
      </c>
      <c r="G89" s="176">
        <f t="shared" si="112"/>
        <v>0</v>
      </c>
      <c r="H89" s="176">
        <f t="shared" si="112"/>
        <v>0</v>
      </c>
      <c r="I89" s="176"/>
      <c r="J89" s="345">
        <f t="shared" si="116"/>
        <v>0</v>
      </c>
      <c r="K89" s="331"/>
      <c r="L89" s="331"/>
      <c r="M89" s="331"/>
      <c r="P89" s="330" t="str">
        <f t="shared" si="105"/>
        <v>Energy Affordability Program</v>
      </c>
      <c r="R89" s="354"/>
      <c r="S89" s="331">
        <f t="shared" si="106"/>
        <v>2950509.9999883613</v>
      </c>
      <c r="T89" s="331">
        <f t="shared" si="106"/>
        <v>33794.561995930235</v>
      </c>
      <c r="U89" s="331">
        <f t="shared" si="106"/>
        <v>0</v>
      </c>
      <c r="V89" s="331">
        <f t="shared" si="106"/>
        <v>0</v>
      </c>
      <c r="W89" s="331">
        <f t="shared" si="106"/>
        <v>0</v>
      </c>
      <c r="X89" s="331">
        <f t="shared" si="106"/>
        <v>0</v>
      </c>
      <c r="Z89" s="345">
        <f>SUM(S89:X89)</f>
        <v>2984304.5619842913</v>
      </c>
      <c r="AF89" s="354"/>
      <c r="AG89" s="331">
        <f t="shared" si="109"/>
        <v>1241489.7009563171</v>
      </c>
      <c r="AH89" s="331">
        <f t="shared" si="109"/>
        <v>0</v>
      </c>
      <c r="AI89" s="331">
        <f t="shared" si="109"/>
        <v>0</v>
      </c>
      <c r="AJ89" s="331">
        <f t="shared" si="109"/>
        <v>0</v>
      </c>
      <c r="AK89" s="331"/>
      <c r="AM89" s="345">
        <f t="shared" si="110"/>
        <v>1241489.7009563171</v>
      </c>
    </row>
    <row r="90" spans="2:39">
      <c r="B90" s="201" t="s">
        <v>155</v>
      </c>
      <c r="C90" s="176">
        <f t="shared" ref="C90:D90" si="124">C$78*AH14</f>
        <v>0</v>
      </c>
      <c r="D90" s="176">
        <f t="shared" si="124"/>
        <v>0</v>
      </c>
      <c r="E90" s="176">
        <f t="shared" si="113"/>
        <v>712932.58582045673</v>
      </c>
      <c r="F90" s="176">
        <f t="shared" si="112"/>
        <v>5049610.9117227923</v>
      </c>
      <c r="G90" s="176">
        <f t="shared" si="112"/>
        <v>5459251.7345146583</v>
      </c>
      <c r="H90" s="176">
        <f t="shared" si="112"/>
        <v>2954140.5489797927</v>
      </c>
      <c r="I90" s="176"/>
      <c r="J90" s="345">
        <f t="shared" si="116"/>
        <v>14175935.781037699</v>
      </c>
      <c r="K90" s="331"/>
      <c r="P90" s="330" t="str">
        <f t="shared" si="105"/>
        <v>First Nations Program</v>
      </c>
      <c r="R90" s="354"/>
      <c r="S90" s="331">
        <f t="shared" si="106"/>
        <v>0</v>
      </c>
      <c r="T90" s="331">
        <f t="shared" si="106"/>
        <v>0</v>
      </c>
      <c r="U90" s="331">
        <f t="shared" si="106"/>
        <v>0</v>
      </c>
      <c r="V90" s="331">
        <f t="shared" si="106"/>
        <v>0</v>
      </c>
      <c r="W90" s="331">
        <f t="shared" si="106"/>
        <v>0</v>
      </c>
      <c r="X90" s="331">
        <f t="shared" si="106"/>
        <v>0</v>
      </c>
      <c r="Z90" s="345">
        <f>SUM(S90:X90)</f>
        <v>0</v>
      </c>
      <c r="AF90" s="354"/>
      <c r="AG90" s="331">
        <f t="shared" si="109"/>
        <v>0</v>
      </c>
      <c r="AH90" s="331">
        <f t="shared" si="109"/>
        <v>0</v>
      </c>
      <c r="AI90" s="331">
        <f t="shared" si="109"/>
        <v>0</v>
      </c>
      <c r="AJ90" s="331">
        <f t="shared" si="109"/>
        <v>0</v>
      </c>
      <c r="AK90" s="331"/>
      <c r="AM90" s="345">
        <f t="shared" si="110"/>
        <v>0</v>
      </c>
    </row>
    <row r="91" spans="2:39">
      <c r="B91" s="175" t="s">
        <v>156</v>
      </c>
      <c r="C91" s="176">
        <f t="shared" ref="C91:D91" si="125">C$78*AH15</f>
        <v>0</v>
      </c>
      <c r="D91" s="176">
        <f t="shared" si="125"/>
        <v>0</v>
      </c>
      <c r="E91" s="176">
        <f t="shared" si="113"/>
        <v>0</v>
      </c>
      <c r="F91" s="176">
        <f t="shared" si="112"/>
        <v>0</v>
      </c>
      <c r="G91" s="176">
        <f t="shared" si="112"/>
        <v>0</v>
      </c>
      <c r="H91" s="176">
        <f t="shared" si="112"/>
        <v>0</v>
      </c>
      <c r="I91" s="176"/>
      <c r="J91" s="345">
        <f t="shared" si="116"/>
        <v>0</v>
      </c>
      <c r="K91" s="331"/>
      <c r="L91" s="331"/>
      <c r="M91" s="331"/>
      <c r="R91" s="354"/>
      <c r="S91" s="331"/>
      <c r="T91" s="331"/>
      <c r="U91" s="331"/>
      <c r="V91" s="331"/>
      <c r="W91" s="331"/>
      <c r="X91" s="331"/>
      <c r="Z91" s="350"/>
      <c r="AF91" s="354"/>
      <c r="AG91" s="331">
        <f t="shared" si="109"/>
        <v>0</v>
      </c>
      <c r="AH91" s="331">
        <f t="shared" si="109"/>
        <v>0</v>
      </c>
      <c r="AI91" s="331">
        <f t="shared" si="109"/>
        <v>0</v>
      </c>
      <c r="AJ91" s="331">
        <f t="shared" si="109"/>
        <v>0</v>
      </c>
      <c r="AK91" s="331"/>
      <c r="AM91" s="345">
        <f t="shared" si="110"/>
        <v>0</v>
      </c>
    </row>
    <row r="92" spans="2:39">
      <c r="B92" s="201" t="s">
        <v>157</v>
      </c>
      <c r="C92" s="176">
        <f t="shared" ref="C92:D92" si="126">C$78*AH16</f>
        <v>0</v>
      </c>
      <c r="D92" s="176">
        <f t="shared" si="126"/>
        <v>0</v>
      </c>
      <c r="E92" s="176">
        <f t="shared" si="113"/>
        <v>472252.94506965793</v>
      </c>
      <c r="F92" s="176">
        <f t="shared" si="112"/>
        <v>262903.70137898484</v>
      </c>
      <c r="G92" s="176">
        <f t="shared" si="112"/>
        <v>292115.22375442763</v>
      </c>
      <c r="H92" s="176">
        <f t="shared" si="112"/>
        <v>214217.8307532469</v>
      </c>
      <c r="I92" s="176"/>
      <c r="J92" s="345">
        <f t="shared" si="116"/>
        <v>1241489.7009563171</v>
      </c>
      <c r="K92" s="331"/>
      <c r="R92" s="354"/>
      <c r="S92" s="331">
        <f t="shared" ref="S92:X92" si="127">SUM(S77:S90)</f>
        <v>22672655.905443456</v>
      </c>
      <c r="T92" s="331">
        <f t="shared" si="127"/>
        <v>259593.91136626143</v>
      </c>
      <c r="U92" s="331">
        <f t="shared" si="127"/>
        <v>11350326.258785648</v>
      </c>
      <c r="V92" s="331">
        <f t="shared" si="127"/>
        <v>49254274.205374889</v>
      </c>
      <c r="W92" s="331">
        <f t="shared" si="127"/>
        <v>3600683.4225532729</v>
      </c>
      <c r="X92" s="331">
        <f t="shared" si="127"/>
        <v>20294865.081782751</v>
      </c>
      <c r="Z92" s="345">
        <f>SUM(S92:X92)</f>
        <v>107432398.78530627</v>
      </c>
      <c r="AF92" s="354"/>
      <c r="AG92" s="331">
        <f>SUM(AG77:AG90)</f>
        <v>8764710.7758569978</v>
      </c>
      <c r="AH92" s="331">
        <f>SUM(AH77:AH90)</f>
        <v>3117286.143118931</v>
      </c>
      <c r="AI92" s="331">
        <f>SUM(AI77:AI90)</f>
        <v>19333976.502256293</v>
      </c>
      <c r="AJ92" s="331">
        <f>SUM(AJ77:AJ90)</f>
        <v>4359178.8462269781</v>
      </c>
      <c r="AK92" s="331"/>
      <c r="AL92" s="331"/>
      <c r="AM92" s="345">
        <f>SUM(AG92:AK92)</f>
        <v>35575152.267459199</v>
      </c>
    </row>
    <row r="93" spans="2:39">
      <c r="B93" s="175" t="s">
        <v>159</v>
      </c>
      <c r="C93" s="176">
        <f t="shared" ref="C93:D93" si="128">C$78*AH17</f>
        <v>0</v>
      </c>
      <c r="D93" s="176">
        <f t="shared" si="128"/>
        <v>0</v>
      </c>
      <c r="E93" s="176">
        <f t="shared" si="113"/>
        <v>0</v>
      </c>
      <c r="F93" s="176">
        <f t="shared" si="112"/>
        <v>0</v>
      </c>
      <c r="G93" s="176">
        <f t="shared" si="112"/>
        <v>0</v>
      </c>
      <c r="H93" s="176">
        <f t="shared" si="112"/>
        <v>0</v>
      </c>
      <c r="I93" s="176"/>
      <c r="J93" s="345">
        <f t="shared" si="116"/>
        <v>0</v>
      </c>
      <c r="K93" s="331"/>
      <c r="R93" s="343"/>
      <c r="S93" s="337"/>
      <c r="T93" s="339"/>
      <c r="U93" s="337"/>
      <c r="V93" s="337"/>
      <c r="W93" s="339"/>
      <c r="X93" s="339"/>
      <c r="Y93" s="339"/>
      <c r="Z93" s="338"/>
      <c r="AF93" s="343"/>
      <c r="AG93" s="337"/>
      <c r="AH93" s="337"/>
      <c r="AI93" s="337"/>
      <c r="AJ93" s="339"/>
      <c r="AK93" s="339"/>
      <c r="AL93" s="339"/>
      <c r="AM93" s="338"/>
    </row>
    <row r="94" spans="2:39">
      <c r="B94" s="354"/>
      <c r="J94" s="350"/>
      <c r="S94" s="331"/>
      <c r="T94" s="331"/>
      <c r="U94" s="331"/>
      <c r="AG94" s="331"/>
      <c r="AH94" s="331"/>
      <c r="AI94" s="331"/>
    </row>
    <row r="95" spans="2:39">
      <c r="B95" s="354"/>
      <c r="C95" s="331">
        <f>SUM(C80:C91)</f>
        <v>0</v>
      </c>
      <c r="D95" s="331">
        <f>SUM(D80:D93)</f>
        <v>0</v>
      </c>
      <c r="E95" s="331">
        <f>SUM(E80:E93)</f>
        <v>4980361.729412891</v>
      </c>
      <c r="F95" s="331">
        <f>SUM(F80:F93)</f>
        <v>11129929.871285468</v>
      </c>
      <c r="G95" s="331">
        <f>SUM(G80:G93)</f>
        <v>12498842.437611096</v>
      </c>
      <c r="H95" s="331">
        <f>SUM(H80:H93)</f>
        <v>6966018.229149743</v>
      </c>
      <c r="I95" s="331"/>
      <c r="J95" s="345">
        <f>SUM(J80:J94)</f>
        <v>35575152.267459199</v>
      </c>
      <c r="K95" s="331"/>
      <c r="AG95" s="331"/>
      <c r="AH95" s="331"/>
      <c r="AI95" s="331"/>
    </row>
    <row r="96" spans="2:39">
      <c r="B96" s="343"/>
      <c r="C96" s="339"/>
      <c r="D96" s="339"/>
      <c r="E96" s="339"/>
      <c r="F96" s="339"/>
      <c r="G96" s="339"/>
      <c r="H96" s="339"/>
      <c r="I96" s="339"/>
      <c r="J96" s="338"/>
    </row>
    <row r="98" spans="2:8" ht="15" thickBot="1"/>
    <row r="99" spans="2:8">
      <c r="B99" s="162"/>
      <c r="C99" s="161">
        <v>2019</v>
      </c>
      <c r="D99" s="161">
        <v>2020</v>
      </c>
      <c r="E99" s="161">
        <v>2021</v>
      </c>
      <c r="F99" s="161">
        <v>2022</v>
      </c>
      <c r="G99" s="161">
        <v>2023</v>
      </c>
      <c r="H99" s="160" t="s">
        <v>59</v>
      </c>
    </row>
    <row r="100" spans="2:8" ht="15">
      <c r="B100" s="151" t="s">
        <v>63</v>
      </c>
      <c r="H100" s="158"/>
    </row>
    <row r="101" spans="2:8">
      <c r="B101" s="159" t="s">
        <v>164</v>
      </c>
      <c r="C101" s="163">
        <v>40380447498.227806</v>
      </c>
      <c r="D101" s="163">
        <v>43245011031.389999</v>
      </c>
      <c r="E101" s="163">
        <v>43371552787.290001</v>
      </c>
      <c r="F101" s="163">
        <v>43540648596.360001</v>
      </c>
      <c r="G101" s="163">
        <v>42711992242.221634</v>
      </c>
      <c r="H101" s="157">
        <f>AVERAGE(C101:G101)</f>
        <v>42649930431.097885</v>
      </c>
    </row>
    <row r="102" spans="2:8">
      <c r="B102" s="159" t="s">
        <v>362</v>
      </c>
      <c r="C102" s="163">
        <f>SUMIFS('Monthly Data'!$D:$D,'Monthly Data'!$B:$B,'CDM-eDSM Framework'!C99)+SUMIFS('Monthly Data'!$J:$J,'Monthly Data'!$B:$B,'CDM-eDSM Framework'!C99)</f>
        <v>966617799.1235106</v>
      </c>
      <c r="D102" s="163">
        <f>SUMIFS('Monthly Data'!$D:$D,'Monthly Data'!$B:$B,'CDM-eDSM Framework'!D99)+SUMIFS('Monthly Data'!$J:$J,'Monthly Data'!$B:$B,'CDM-eDSM Framework'!D99)</f>
        <v>1046527604.1457438</v>
      </c>
      <c r="E102" s="163">
        <f>SUMIFS('Monthly Data'!$D:$D,'Monthly Data'!$B:$B,'CDM-eDSM Framework'!E99)+SUMIFS('Monthly Data'!$J:$J,'Monthly Data'!$B:$B,'CDM-eDSM Framework'!E99)</f>
        <v>1038833992.9243635</v>
      </c>
      <c r="F102" s="163">
        <f>SUMIFS('Monthly Data'!$D:$D,'Monthly Data'!$B:$B,'CDM-eDSM Framework'!F99)+SUMIFS('Monthly Data'!$J:$J,'Monthly Data'!$B:$B,'CDM-eDSM Framework'!F99)</f>
        <v>1030309631.4094338</v>
      </c>
      <c r="G102" s="163">
        <f>SUMIFS('Monthly Data'!$D:$D,'Monthly Data'!$B:$B,'CDM-eDSM Framework'!G99)+SUMIFS('Monthly Data'!$J:$J,'Monthly Data'!$B:$B,'CDM-eDSM Framework'!G99)</f>
        <v>1020797593.8855782</v>
      </c>
      <c r="H102" s="157">
        <f t="shared" ref="H102:H103" si="129">AVERAGE(C102:G102)</f>
        <v>1020617324.297726</v>
      </c>
    </row>
    <row r="103" spans="2:8">
      <c r="B103" s="159" t="s">
        <v>361</v>
      </c>
      <c r="C103" s="163">
        <f>SUMIFS('Monthly Data'!$BC:$BC,'Monthly Data'!$B:$B,'CDM-eDSM Framework'!C99)</f>
        <v>353188013.54001999</v>
      </c>
      <c r="D103" s="163">
        <f>SUMIFS('Monthly Data'!$BC:$BC,'Monthly Data'!$B:$B,'CDM-eDSM Framework'!D99)</f>
        <v>393916006.9360795</v>
      </c>
      <c r="E103" s="163">
        <f>SUMIFS('Monthly Data'!$BC:$BC,'Monthly Data'!$B:$B,'CDM-eDSM Framework'!E99)</f>
        <v>395025787.98234016</v>
      </c>
      <c r="F103" s="163">
        <f>SUMIFS('Monthly Data'!$BC:$BC,'Monthly Data'!$B:$B,'CDM-eDSM Framework'!F99)</f>
        <v>393586007.66831976</v>
      </c>
      <c r="G103" s="163">
        <f>SUMIFS('Monthly Data'!$BC:$BC,'Monthly Data'!$B:$B,'CDM-eDSM Framework'!G99)</f>
        <v>392504225.69293898</v>
      </c>
      <c r="H103" s="157">
        <f t="shared" si="129"/>
        <v>385644008.36393964</v>
      </c>
    </row>
    <row r="104" spans="2:8">
      <c r="B104" s="159" t="s">
        <v>393</v>
      </c>
      <c r="C104" s="314">
        <f>C102/C101</f>
        <v>2.3937768375794571E-2</v>
      </c>
      <c r="D104" s="314">
        <f t="shared" ref="D104:G104" si="130">D102/D101</f>
        <v>2.419996154900058E-2</v>
      </c>
      <c r="E104" s="314">
        <f t="shared" si="130"/>
        <v>2.395196681149938E-2</v>
      </c>
      <c r="F104" s="314">
        <f t="shared" si="130"/>
        <v>2.3663166825116329E-2</v>
      </c>
      <c r="G104" s="314">
        <f t="shared" si="130"/>
        <v>2.3899554675337758E-2</v>
      </c>
      <c r="H104" s="156">
        <f t="shared" ref="H104" si="131">H102/H101</f>
        <v>2.3930105254135428E-2</v>
      </c>
    </row>
    <row r="105" spans="2:8" ht="15" thickBot="1">
      <c r="B105" s="155" t="s">
        <v>394</v>
      </c>
      <c r="C105" s="154">
        <f>C103/C101</f>
        <v>8.7465106362558387E-3</v>
      </c>
      <c r="D105" s="154">
        <f t="shared" ref="D105:G105" si="132">D103/D101</f>
        <v>9.1089352862033044E-3</v>
      </c>
      <c r="E105" s="154">
        <f t="shared" si="132"/>
        <v>9.1079466285122757E-3</v>
      </c>
      <c r="F105" s="154">
        <f t="shared" si="132"/>
        <v>9.0395072273044535E-3</v>
      </c>
      <c r="G105" s="154">
        <f t="shared" si="132"/>
        <v>9.1895555577700475E-3</v>
      </c>
      <c r="H105" s="153">
        <f t="shared" ref="H105" si="133">H103/H101</f>
        <v>9.0420782511464581E-3</v>
      </c>
    </row>
    <row r="106" spans="2:8" ht="15">
      <c r="B106" s="151" t="s">
        <v>170</v>
      </c>
      <c r="C106" s="163"/>
      <c r="D106" s="163"/>
      <c r="E106" s="163"/>
      <c r="F106" s="163"/>
      <c r="G106" s="163"/>
      <c r="H106" s="158"/>
    </row>
    <row r="107" spans="2:8">
      <c r="B107" s="159" t="s">
        <v>164</v>
      </c>
      <c r="C107" s="163">
        <v>13348732845.470968</v>
      </c>
      <c r="D107" s="163">
        <v>12530281718.650002</v>
      </c>
      <c r="E107" s="163">
        <v>12853976851.250002</v>
      </c>
      <c r="F107" s="163">
        <v>13791653390.570002</v>
      </c>
      <c r="G107" s="163">
        <v>13740005714.122889</v>
      </c>
      <c r="H107" s="157">
        <f>AVERAGE(C107:G107)</f>
        <v>13252930104.012772</v>
      </c>
    </row>
    <row r="108" spans="2:8">
      <c r="B108" s="159" t="s">
        <v>362</v>
      </c>
      <c r="C108" s="163">
        <f>SUMIFS('Monthly Data'!$P:$P,'Monthly Data'!$B:$B,'CDM-eDSM Framework'!C99)</f>
        <v>289308515.85117018</v>
      </c>
      <c r="D108" s="163">
        <f>SUMIFS('Monthly Data'!$P:$P,'Monthly Data'!$B:$B,'CDM-eDSM Framework'!D99)</f>
        <v>266656241.54906043</v>
      </c>
      <c r="E108" s="163">
        <f>SUMIFS('Monthly Data'!$P:$P,'Monthly Data'!$B:$B,'CDM-eDSM Framework'!E99)</f>
        <v>265709797.19570994</v>
      </c>
      <c r="F108" s="163">
        <f>SUMIFS('Monthly Data'!$P:$P,'Monthly Data'!$B:$B,'CDM-eDSM Framework'!F99)</f>
        <v>278598120.57730973</v>
      </c>
      <c r="G108" s="163">
        <f>SUMIFS('Monthly Data'!$P:$P,'Monthly Data'!$B:$B,'CDM-eDSM Framework'!G99)</f>
        <v>276211527.25760943</v>
      </c>
      <c r="H108" s="157">
        <f t="shared" ref="H108:H109" si="134">AVERAGE(C108:G108)</f>
        <v>275296840.4861719</v>
      </c>
    </row>
    <row r="109" spans="2:8">
      <c r="B109" s="159" t="s">
        <v>361</v>
      </c>
      <c r="C109" s="163">
        <f>SUMIFS('Monthly Data'!$BI:$BI,'Monthly Data'!$B:$B,'CDM-eDSM Framework'!C99)</f>
        <v>89224578.835409939</v>
      </c>
      <c r="D109" s="163">
        <f>SUMIFS('Monthly Data'!$BI:$BI,'Monthly Data'!$B:$B,'CDM-eDSM Framework'!D99)</f>
        <v>81674844.845230013</v>
      </c>
      <c r="E109" s="163">
        <f>SUMIFS('Monthly Data'!$BI:$BI,'Monthly Data'!$B:$B,'CDM-eDSM Framework'!E99)</f>
        <v>82555807.732179999</v>
      </c>
      <c r="F109" s="163">
        <f>SUMIFS('Monthly Data'!$BI:$BI,'Monthly Data'!$B:$B,'CDM-eDSM Framework'!F99)</f>
        <v>87488274.475439951</v>
      </c>
      <c r="G109" s="163">
        <f>SUMIFS('Monthly Data'!$BI:$BI,'Monthly Data'!$B:$B,'CDM-eDSM Framework'!G99)</f>
        <v>88772162.724419996</v>
      </c>
      <c r="H109" s="157">
        <f t="shared" si="134"/>
        <v>85943133.722535983</v>
      </c>
    </row>
    <row r="110" spans="2:8">
      <c r="B110" s="159" t="s">
        <v>393</v>
      </c>
      <c r="C110" s="314">
        <f>C108/C107</f>
        <v>2.1673107043214845E-2</v>
      </c>
      <c r="D110" s="314">
        <f t="shared" ref="D110:G110" si="135">D108/D107</f>
        <v>2.1280945435741543E-2</v>
      </c>
      <c r="E110" s="314">
        <f t="shared" si="135"/>
        <v>2.0671407788467478E-2</v>
      </c>
      <c r="F110" s="314">
        <f t="shared" si="135"/>
        <v>2.0200487402605424E-2</v>
      </c>
      <c r="G110" s="314">
        <f t="shared" si="135"/>
        <v>2.0102722881235845E-2</v>
      </c>
      <c r="H110" s="156">
        <f t="shared" ref="H110" si="136">H108/H107</f>
        <v>2.0772526401751451E-2</v>
      </c>
    </row>
    <row r="111" spans="2:8" ht="15" thickBot="1">
      <c r="B111" s="159" t="s">
        <v>394</v>
      </c>
      <c r="C111" s="314">
        <f>C109/C107</f>
        <v>6.6841234945894173E-3</v>
      </c>
      <c r="D111" s="314">
        <f t="shared" ref="D111:G111" si="137">D109/D107</f>
        <v>6.5181970109790613E-3</v>
      </c>
      <c r="E111" s="314">
        <f t="shared" si="137"/>
        <v>6.4225887978125425E-3</v>
      </c>
      <c r="F111" s="314">
        <f t="shared" si="137"/>
        <v>6.3435667934679807E-3</v>
      </c>
      <c r="G111" s="314">
        <f t="shared" si="137"/>
        <v>6.4608534065727563E-3</v>
      </c>
      <c r="H111" s="156">
        <f t="shared" ref="H111" si="138">H109/H107</f>
        <v>6.4848401861346723E-3</v>
      </c>
    </row>
    <row r="112" spans="2:8" ht="15">
      <c r="B112" s="150" t="s">
        <v>395</v>
      </c>
      <c r="C112" s="152"/>
      <c r="D112" s="152"/>
      <c r="E112" s="152"/>
      <c r="F112" s="152"/>
      <c r="G112" s="152"/>
      <c r="H112" s="160"/>
    </row>
    <row r="113" spans="2:8">
      <c r="B113" s="159" t="s">
        <v>164</v>
      </c>
      <c r="C113" s="163">
        <v>51307299220.885895</v>
      </c>
      <c r="D113" s="163">
        <v>48237791431.169998</v>
      </c>
      <c r="E113" s="163">
        <v>48842596890.82</v>
      </c>
      <c r="F113" s="163">
        <v>49862673590.640007</v>
      </c>
      <c r="G113" s="163">
        <v>49525695241.667503</v>
      </c>
      <c r="H113" s="157">
        <f>AVERAGE(C113:G113)</f>
        <v>49555211275.036682</v>
      </c>
    </row>
    <row r="114" spans="2:8">
      <c r="B114" s="159" t="s">
        <v>362</v>
      </c>
      <c r="C114" s="163">
        <f>SUMIFS('Monthly Data'!$V:$V,'Monthly Data'!$B:$B,'CDM-eDSM Framework'!C99)+SUMIFS('Monthly Data'!$AB:$AB,'Monthly Data'!$B:$B,'CDM-eDSM Framework'!C99)</f>
        <v>1037112129.8700001</v>
      </c>
      <c r="D114" s="163">
        <f>SUMIFS('Monthly Data'!$V:$V,'Monthly Data'!$B:$B,'CDM-eDSM Framework'!D99)+SUMIFS('Monthly Data'!$AB:$AB,'Monthly Data'!$B:$B,'CDM-eDSM Framework'!D99)</f>
        <v>983522603.16000009</v>
      </c>
      <c r="E114" s="163">
        <f>SUMIFS('Monthly Data'!$V:$V,'Monthly Data'!$B:$B,'CDM-eDSM Framework'!E99)+SUMIFS('Monthly Data'!$AB:$AB,'Monthly Data'!$B:$B,'CDM-eDSM Framework'!E99)</f>
        <v>1014548660.99</v>
      </c>
      <c r="F114" s="163">
        <f>SUMIFS('Monthly Data'!$V:$V,'Monthly Data'!$B:$B,'CDM-eDSM Framework'!F99)+SUMIFS('Monthly Data'!$AB:$AB,'Monthly Data'!$B:$B,'CDM-eDSM Framework'!F99)</f>
        <v>1040702810.1700001</v>
      </c>
      <c r="G114" s="163">
        <f>SUMIFS('Monthly Data'!$V:$V,'Monthly Data'!$B:$B,'CDM-eDSM Framework'!G99)+SUMIFS('Monthly Data'!$AB:$AB,'Monthly Data'!$B:$B,'CDM-eDSM Framework'!G99)</f>
        <v>1037469610.5000001</v>
      </c>
      <c r="H114" s="157">
        <f t="shared" ref="H114:H115" si="139">AVERAGE(C114:G114)</f>
        <v>1022671162.9380001</v>
      </c>
    </row>
    <row r="115" spans="2:8">
      <c r="B115" s="159" t="s">
        <v>361</v>
      </c>
      <c r="C115" s="163">
        <f>SUMIFS('Monthly Data'!$BO:$BO,'Monthly Data'!$B:$B,'CDM-eDSM Framework'!C99)+SUMIFS('Monthly Data'!$BU:$BU,'Monthly Data'!$B:$B,'CDM-eDSM Framework'!C99)</f>
        <v>419743866.82999992</v>
      </c>
      <c r="D115" s="163">
        <f>SUMIFS('Monthly Data'!$BO:$BO,'Monthly Data'!$B:$B,'CDM-eDSM Framework'!D99)+SUMIFS('Monthly Data'!$BU:$BU,'Monthly Data'!$B:$B,'CDM-eDSM Framework'!D99)</f>
        <v>408332384.94</v>
      </c>
      <c r="E115" s="163">
        <f>SUMIFS('Monthly Data'!$BO:$BO,'Monthly Data'!$B:$B,'CDM-eDSM Framework'!E99)+SUMIFS('Monthly Data'!$BU:$BU,'Monthly Data'!$B:$B,'CDM-eDSM Framework'!E99)</f>
        <v>405996835.06</v>
      </c>
      <c r="F115" s="163">
        <f>SUMIFS('Monthly Data'!$BO:$BO,'Monthly Data'!$B:$B,'CDM-eDSM Framework'!F99)+SUMIFS('Monthly Data'!$BU:$BU,'Monthly Data'!$B:$B,'CDM-eDSM Framework'!F99)</f>
        <v>416413963.80000001</v>
      </c>
      <c r="G115" s="163">
        <f>SUMIFS('Monthly Data'!$BO:$BO,'Monthly Data'!$B:$B,'CDM-eDSM Framework'!G99)+SUMIFS('Monthly Data'!$BU:$BU,'Monthly Data'!$B:$B,'CDM-eDSM Framework'!G99)</f>
        <v>414417481.06999993</v>
      </c>
      <c r="H115" s="157">
        <f t="shared" si="139"/>
        <v>412980906.33999997</v>
      </c>
    </row>
    <row r="116" spans="2:8">
      <c r="B116" s="159" t="s">
        <v>393</v>
      </c>
      <c r="C116" s="314">
        <f>C114/C113</f>
        <v>2.0213734607332796E-2</v>
      </c>
      <c r="D116" s="314">
        <f t="shared" ref="D116:G116" si="140">D114/D113</f>
        <v>2.0389047134618057E-2</v>
      </c>
      <c r="E116" s="314">
        <f t="shared" si="140"/>
        <v>2.0771800141132241E-2</v>
      </c>
      <c r="F116" s="314">
        <f t="shared" si="140"/>
        <v>2.0871380036977319E-2</v>
      </c>
      <c r="G116" s="314">
        <f t="shared" si="140"/>
        <v>2.0948107955628348E-2</v>
      </c>
      <c r="H116" s="156">
        <f t="shared" ref="H116" si="141">H114/H113</f>
        <v>2.0637005405184667E-2</v>
      </c>
    </row>
    <row r="117" spans="2:8" ht="15" thickBot="1">
      <c r="B117" s="155" t="s">
        <v>394</v>
      </c>
      <c r="C117" s="154">
        <f>C115/C113</f>
        <v>8.1809776231435878E-3</v>
      </c>
      <c r="D117" s="154">
        <f t="shared" ref="D117:G117" si="142">D115/D113</f>
        <v>8.4649892299203874E-3</v>
      </c>
      <c r="E117" s="154">
        <f t="shared" si="142"/>
        <v>8.3123515313393865E-3</v>
      </c>
      <c r="F117" s="154">
        <f t="shared" si="142"/>
        <v>8.3512161264888002E-3</v>
      </c>
      <c r="G117" s="154">
        <f t="shared" si="142"/>
        <v>8.367726672948099E-3</v>
      </c>
      <c r="H117" s="153">
        <f t="shared" ref="H117" si="143">H115/H113</f>
        <v>8.3337533170409085E-3</v>
      </c>
    </row>
    <row r="118" spans="2:8" ht="15">
      <c r="B118" s="151" t="s">
        <v>206</v>
      </c>
      <c r="C118" s="163"/>
      <c r="D118" s="163"/>
      <c r="E118" s="163"/>
      <c r="F118" s="163"/>
      <c r="G118" s="163"/>
      <c r="H118" s="158"/>
    </row>
    <row r="119" spans="2:8">
      <c r="B119" s="159" t="s">
        <v>164</v>
      </c>
      <c r="C119" s="163">
        <v>7278232554.2416992</v>
      </c>
      <c r="D119" s="163">
        <v>6838043223.4399996</v>
      </c>
      <c r="E119" s="163">
        <v>6589682637.6499996</v>
      </c>
      <c r="F119" s="163">
        <v>6743150699.4500008</v>
      </c>
      <c r="G119" s="163">
        <v>6697966276.2600012</v>
      </c>
      <c r="H119" s="157">
        <f>AVERAGE(C119:G119)</f>
        <v>6829415078.2083397</v>
      </c>
    </row>
    <row r="120" spans="2:8">
      <c r="B120" s="159" t="s">
        <v>362</v>
      </c>
      <c r="C120" s="163">
        <f>SUMIFS('Monthly Data'!$AG:$AG,'Monthly Data'!$B:$B,'CDM-eDSM Framework'!C99)</f>
        <v>259592384.06</v>
      </c>
      <c r="D120" s="163">
        <f>SUMIFS('Monthly Data'!$AG:$AG,'Monthly Data'!$B:$B,'CDM-eDSM Framework'!D99)</f>
        <v>264242586.03</v>
      </c>
      <c r="E120" s="163">
        <f>SUMIFS('Monthly Data'!$AG:$AG,'Monthly Data'!$B:$B,'CDM-eDSM Framework'!E99)</f>
        <v>284809430.72000003</v>
      </c>
      <c r="F120" s="163">
        <f>SUMIFS('Monthly Data'!$AG:$AG,'Monthly Data'!$B:$B,'CDM-eDSM Framework'!F99)</f>
        <v>289202900.55000001</v>
      </c>
      <c r="G120" s="163">
        <f>SUMIFS('Monthly Data'!$AG:$AG,'Monthly Data'!$B:$B,'CDM-eDSM Framework'!G99)</f>
        <v>303910758.94632399</v>
      </c>
      <c r="H120" s="157">
        <f t="shared" ref="H120" si="144">AVERAGE(C120:G120)</f>
        <v>280351612.06126481</v>
      </c>
    </row>
    <row r="121" spans="2:8">
      <c r="B121" s="159" t="s">
        <v>361</v>
      </c>
      <c r="H121" s="157"/>
    </row>
    <row r="122" spans="2:8">
      <c r="B122" s="159" t="s">
        <v>393</v>
      </c>
      <c r="C122" s="314">
        <f>C120/C119</f>
        <v>3.5666953772823806E-2</v>
      </c>
      <c r="D122" s="314">
        <f t="shared" ref="D122:G122" si="145">D120/D119</f>
        <v>3.8643011954678466E-2</v>
      </c>
      <c r="E122" s="314">
        <f t="shared" si="145"/>
        <v>4.3220507933530501E-2</v>
      </c>
      <c r="F122" s="314">
        <f t="shared" si="145"/>
        <v>4.2888393488460609E-2</v>
      </c>
      <c r="G122" s="314">
        <f t="shared" si="145"/>
        <v>4.5373587505731838E-2</v>
      </c>
      <c r="H122" s="156">
        <f t="shared" ref="H122" si="146">H120/H119</f>
        <v>4.1050603726785567E-2</v>
      </c>
    </row>
    <row r="123" spans="2:8" ht="15" thickBot="1">
      <c r="B123" s="155" t="s">
        <v>394</v>
      </c>
      <c r="C123" s="154"/>
      <c r="D123" s="154"/>
      <c r="E123" s="154"/>
      <c r="F123" s="154"/>
      <c r="G123" s="154"/>
      <c r="H123" s="153"/>
    </row>
    <row r="124" spans="2:8" ht="15">
      <c r="B124" s="436" t="s">
        <v>65</v>
      </c>
      <c r="C124" s="437"/>
      <c r="D124" s="438"/>
      <c r="E124" s="438"/>
      <c r="F124" s="439"/>
      <c r="G124" s="437"/>
      <c r="H124" s="440"/>
    </row>
    <row r="125" spans="2:8">
      <c r="B125" s="159" t="str">
        <f>B119</f>
        <v>Province</v>
      </c>
      <c r="C125" s="441">
        <f>C101+C107+C113+C119</f>
        <v>112314712118.82637</v>
      </c>
      <c r="D125" s="441">
        <f t="shared" ref="D125:G125" si="147">D101+D107+D113+D119</f>
        <v>110851127404.64999</v>
      </c>
      <c r="E125" s="441">
        <f t="shared" si="147"/>
        <v>111657809167.00999</v>
      </c>
      <c r="F125" s="441">
        <f t="shared" si="147"/>
        <v>113938126277.02</v>
      </c>
      <c r="G125" s="441">
        <f t="shared" si="147"/>
        <v>112675659474.27202</v>
      </c>
      <c r="H125" s="157">
        <f>AVERAGE(C125:G125)</f>
        <v>112287486888.35568</v>
      </c>
    </row>
    <row r="126" spans="2:8">
      <c r="B126" s="159" t="str">
        <f t="shared" ref="B126:B129" si="148">B120</f>
        <v>Veridian RZ</v>
      </c>
      <c r="C126" s="441">
        <f t="shared" ref="C126:G127" si="149">C102+C108+C114+C120</f>
        <v>2552630828.9046807</v>
      </c>
      <c r="D126" s="441">
        <f t="shared" si="149"/>
        <v>2560949034.8848042</v>
      </c>
      <c r="E126" s="441">
        <f t="shared" si="149"/>
        <v>2603901881.8300734</v>
      </c>
      <c r="F126" s="441">
        <f t="shared" si="149"/>
        <v>2638813462.7067437</v>
      </c>
      <c r="G126" s="441">
        <f t="shared" si="149"/>
        <v>2638389490.5895114</v>
      </c>
      <c r="H126" s="157">
        <f t="shared" ref="H126:H127" si="150">AVERAGE(C126:G126)</f>
        <v>2598936939.7831626</v>
      </c>
    </row>
    <row r="127" spans="2:8">
      <c r="B127" s="159" t="str">
        <f t="shared" si="148"/>
        <v>Whitby RZ</v>
      </c>
      <c r="C127" s="441">
        <f t="shared" si="149"/>
        <v>862156459.20542979</v>
      </c>
      <c r="D127" s="441">
        <f t="shared" si="149"/>
        <v>883923236.72130942</v>
      </c>
      <c r="E127" s="441">
        <f t="shared" si="149"/>
        <v>883578430.77452016</v>
      </c>
      <c r="F127" s="441">
        <f t="shared" si="149"/>
        <v>897488245.94375968</v>
      </c>
      <c r="G127" s="441">
        <f t="shared" si="149"/>
        <v>895693869.48735893</v>
      </c>
      <c r="H127" s="157">
        <f t="shared" si="150"/>
        <v>884568048.42647576</v>
      </c>
    </row>
    <row r="128" spans="2:8">
      <c r="B128" s="159" t="str">
        <f t="shared" si="148"/>
        <v>VRZ %</v>
      </c>
      <c r="C128" s="314">
        <f>C126/C125</f>
        <v>2.2727484055731328E-2</v>
      </c>
      <c r="D128" s="314">
        <f t="shared" ref="D128:H128" si="151">D126/D125</f>
        <v>2.3102598005488372E-2</v>
      </c>
      <c r="E128" s="314">
        <f t="shared" si="151"/>
        <v>2.3320374107782624E-2</v>
      </c>
      <c r="F128" s="314">
        <f t="shared" si="151"/>
        <v>2.3160056681035327E-2</v>
      </c>
      <c r="G128" s="314">
        <f t="shared" si="151"/>
        <v>2.3415789203274664E-2</v>
      </c>
      <c r="H128" s="156">
        <f t="shared" si="151"/>
        <v>2.3145383442121321E-2</v>
      </c>
    </row>
    <row r="129" spans="2:36" ht="15" thickBot="1">
      <c r="B129" s="155" t="str">
        <f t="shared" si="148"/>
        <v>WRZ %</v>
      </c>
      <c r="C129" s="154">
        <f>C127/C125</f>
        <v>7.6762557900098448E-3</v>
      </c>
      <c r="D129" s="154">
        <f t="shared" ref="D129:H129" si="152">D127/D125</f>
        <v>7.9739670440576015E-3</v>
      </c>
      <c r="E129" s="154">
        <f t="shared" si="152"/>
        <v>7.9132703513188664E-3</v>
      </c>
      <c r="F129" s="154">
        <f t="shared" si="152"/>
        <v>7.8769791576322658E-3</v>
      </c>
      <c r="G129" s="154">
        <f t="shared" si="152"/>
        <v>7.9493110904922514E-3</v>
      </c>
      <c r="H129" s="153">
        <f t="shared" si="152"/>
        <v>7.8777081306127816E-3</v>
      </c>
    </row>
    <row r="134" spans="2:36">
      <c r="S134" s="331"/>
      <c r="T134" s="331"/>
      <c r="U134" s="331"/>
      <c r="V134" s="331"/>
      <c r="AG134" s="331"/>
      <c r="AH134" s="331"/>
      <c r="AI134" s="331"/>
      <c r="AJ134" s="331"/>
    </row>
    <row r="135" spans="2:36">
      <c r="S135" s="331"/>
      <c r="T135" s="331"/>
      <c r="U135" s="331"/>
      <c r="V135" s="331"/>
      <c r="AG135" s="331"/>
      <c r="AH135" s="331"/>
      <c r="AI135" s="331"/>
      <c r="AJ135" s="331"/>
    </row>
    <row r="136" spans="2:36">
      <c r="S136" s="331"/>
      <c r="T136" s="331"/>
      <c r="U136" s="331"/>
      <c r="V136" s="331"/>
      <c r="AG136" s="331"/>
      <c r="AH136" s="331"/>
      <c r="AI136" s="331"/>
      <c r="AJ136" s="331"/>
    </row>
    <row r="137" spans="2:36">
      <c r="S137" s="331"/>
      <c r="T137" s="331"/>
      <c r="U137" s="331"/>
      <c r="V137" s="331"/>
      <c r="AG137" s="331"/>
      <c r="AH137" s="331"/>
      <c r="AI137" s="331"/>
      <c r="AJ137" s="331"/>
    </row>
    <row r="138" spans="2:36">
      <c r="S138" s="331"/>
      <c r="T138" s="331"/>
      <c r="U138" s="331"/>
      <c r="V138" s="331"/>
      <c r="AG138" s="331"/>
      <c r="AH138" s="331"/>
      <c r="AI138" s="331"/>
      <c r="AJ138" s="331"/>
    </row>
    <row r="139" spans="2:36">
      <c r="S139" s="331"/>
      <c r="T139" s="331"/>
      <c r="U139" s="331"/>
      <c r="V139" s="331"/>
      <c r="AG139" s="331"/>
      <c r="AH139" s="331"/>
      <c r="AI139" s="331"/>
      <c r="AJ139" s="331"/>
    </row>
    <row r="140" spans="2:36">
      <c r="S140" s="331"/>
      <c r="T140" s="331"/>
      <c r="U140" s="331"/>
      <c r="V140" s="331"/>
      <c r="AG140" s="331"/>
      <c r="AH140" s="331"/>
      <c r="AI140" s="331"/>
      <c r="AJ140" s="331"/>
    </row>
    <row r="141" spans="2:36">
      <c r="S141" s="331"/>
      <c r="T141" s="331"/>
      <c r="U141" s="331"/>
      <c r="AG141" s="331"/>
      <c r="AH141" s="331"/>
      <c r="AI141" s="331"/>
    </row>
    <row r="142" spans="2:36">
      <c r="S142" s="331"/>
      <c r="T142" s="331"/>
      <c r="U142" s="331"/>
      <c r="V142" s="331"/>
      <c r="AG142" s="331"/>
      <c r="AH142" s="331"/>
      <c r="AI142" s="331"/>
      <c r="AJ142" s="331"/>
    </row>
    <row r="143" spans="2:36">
      <c r="S143" s="331"/>
      <c r="T143" s="331"/>
      <c r="U143" s="331"/>
      <c r="AG143" s="331"/>
      <c r="AH143" s="331"/>
      <c r="AI143" s="331"/>
    </row>
    <row r="144" spans="2:36">
      <c r="S144" s="331"/>
      <c r="T144" s="331"/>
      <c r="U144" s="331"/>
      <c r="AG144" s="331"/>
      <c r="AH144" s="331"/>
      <c r="AI144" s="331"/>
    </row>
  </sheetData>
  <mergeCells count="3">
    <mergeCell ref="AY2:BC2"/>
    <mergeCell ref="G2:I2"/>
    <mergeCell ref="J2:M2"/>
  </mergeCells>
  <hyperlinks>
    <hyperlink ref="G20" r:id="rId1" xr:uid="{FD67BB45-1D2E-4A5B-8608-FCE39E2A5F74}"/>
  </hyperlinks>
  <pageMargins left="0.7" right="0.7" top="0.75" bottom="0.75" header="0.3" footer="0.3"/>
  <ignoredErrors>
    <ignoredError sqref="J4 AJ61 BI4:BI8 BI13:BI17 F18:I18 AZ18:BC18 C43 E43" formulaRange="1"/>
    <ignoredError sqref="AI62 V63:X63 AJ63 K5:M5 J6:M6 J9:M9 J15:M16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B83C-3096-4A9F-AA1A-5FCE20759FFB}">
  <sheetPr codeName="Sheet41"/>
  <dimension ref="A2:BR57"/>
  <sheetViews>
    <sheetView workbookViewId="0"/>
  </sheetViews>
  <sheetFormatPr defaultColWidth="8.5703125" defaultRowHeight="12.75"/>
  <cols>
    <col min="1" max="1" width="8.5703125" style="106"/>
    <col min="2" max="2" width="8.85546875" style="106" bestFit="1" customWidth="1"/>
    <col min="3" max="3" width="16" style="106" bestFit="1" customWidth="1"/>
    <col min="4" max="4" width="13.85546875" style="106" customWidth="1"/>
    <col min="5" max="5" width="11.5703125" style="106" customWidth="1"/>
    <col min="6" max="6" width="11.42578125" style="106" customWidth="1"/>
    <col min="7" max="7" width="12.5703125" style="106" customWidth="1"/>
    <col min="8" max="8" width="8.5703125" style="106"/>
    <col min="9" max="9" width="8.85546875" style="106" bestFit="1" customWidth="1"/>
    <col min="10" max="10" width="11.140625" style="106" customWidth="1"/>
    <col min="11" max="11" width="8.85546875" style="106" bestFit="1" customWidth="1"/>
    <col min="12" max="12" width="11.42578125" style="106" customWidth="1"/>
    <col min="13" max="13" width="10.85546875" style="106" customWidth="1"/>
    <col min="14" max="15" width="8.85546875" style="106" bestFit="1" customWidth="1"/>
    <col min="16" max="16" width="8.5703125" style="106"/>
    <col min="17" max="17" width="8.85546875" style="106" bestFit="1" customWidth="1"/>
    <col min="18" max="18" width="13" style="106" customWidth="1"/>
    <col min="19" max="20" width="12.5703125" style="106" customWidth="1"/>
    <col min="21" max="21" width="9.5703125" style="106" customWidth="1"/>
    <col min="22" max="22" width="8.85546875" style="106" bestFit="1" customWidth="1"/>
    <col min="23" max="23" width="10.42578125" style="106" customWidth="1"/>
    <col min="24" max="24" width="8.5703125" style="106"/>
    <col min="25" max="25" width="8.85546875" style="106" bestFit="1" customWidth="1"/>
    <col min="26" max="26" width="13.42578125" style="106" customWidth="1"/>
    <col min="27" max="27" width="14.5703125" style="106" customWidth="1"/>
    <col min="28" max="28" width="14.42578125" style="106" customWidth="1"/>
    <col min="29" max="29" width="10" style="106" customWidth="1"/>
    <col min="30" max="30" width="8.85546875" style="106" bestFit="1" customWidth="1"/>
    <col min="31" max="31" width="8.42578125" style="106" customWidth="1"/>
    <col min="32" max="32" width="9.85546875" style="106" bestFit="1" customWidth="1"/>
    <col min="33" max="34" width="8.85546875" style="106" bestFit="1" customWidth="1"/>
    <col min="35" max="35" width="10" style="106" bestFit="1" customWidth="1"/>
    <col min="36" max="36" width="10.140625" style="106" customWidth="1"/>
    <col min="37" max="37" width="8.85546875" style="106" bestFit="1" customWidth="1"/>
    <col min="38" max="40" width="8.5703125" style="106"/>
    <col min="41" max="41" width="8.85546875" style="106" bestFit="1" customWidth="1"/>
    <col min="42" max="42" width="16" style="106" bestFit="1" customWidth="1"/>
    <col min="43" max="43" width="13.85546875" style="106" customWidth="1"/>
    <col min="44" max="44" width="11.5703125" style="106" customWidth="1"/>
    <col min="45" max="45" width="10.42578125" style="106" bestFit="1" customWidth="1"/>
    <col min="46" max="46" width="10.42578125" style="106" customWidth="1"/>
    <col min="47" max="47" width="11.140625" style="106" customWidth="1"/>
    <col min="48" max="48" width="8.5703125" style="106"/>
    <col min="49" max="49" width="8.85546875" style="106" bestFit="1" customWidth="1"/>
    <col min="50" max="50" width="11.140625" style="106" customWidth="1"/>
    <col min="51" max="51" width="8.85546875" style="106" bestFit="1" customWidth="1"/>
    <col min="52" max="52" width="11.42578125" style="106" customWidth="1"/>
    <col min="53" max="53" width="10.85546875" style="106" customWidth="1"/>
    <col min="54" max="55" width="8.85546875" style="106" bestFit="1" customWidth="1"/>
    <col min="56" max="56" width="8.5703125" style="106"/>
    <col min="57" max="57" width="8.85546875" style="106" bestFit="1" customWidth="1"/>
    <col min="58" max="58" width="13.42578125" style="106" customWidth="1"/>
    <col min="59" max="59" width="14.5703125" style="106" customWidth="1"/>
    <col min="60" max="60" width="14.42578125" style="106" customWidth="1"/>
    <col min="61" max="61" width="10" style="106" customWidth="1"/>
    <col min="62" max="62" width="8.85546875" style="106" bestFit="1" customWidth="1"/>
    <col min="63" max="63" width="8.42578125" style="106" customWidth="1"/>
    <col min="64" max="64" width="9.85546875" style="106" bestFit="1" customWidth="1"/>
    <col min="65" max="66" width="8.85546875" style="106" bestFit="1" customWidth="1"/>
    <col min="67" max="67" width="9.85546875" style="106" bestFit="1" customWidth="1"/>
    <col min="68" max="68" width="10.140625" style="106" customWidth="1"/>
    <col min="69" max="69" width="8.85546875" style="106" bestFit="1" customWidth="1"/>
    <col min="70" max="16384" width="8.5703125" style="106"/>
  </cols>
  <sheetData>
    <row r="2" spans="1:70">
      <c r="C2" s="870" t="s">
        <v>204</v>
      </c>
      <c r="D2" s="870"/>
      <c r="E2" s="870"/>
      <c r="J2" s="870" t="s">
        <v>205</v>
      </c>
      <c r="K2" s="870"/>
      <c r="L2" s="870"/>
      <c r="M2" s="719"/>
      <c r="R2" s="870" t="s">
        <v>206</v>
      </c>
      <c r="S2" s="870"/>
      <c r="T2" s="870"/>
      <c r="U2" s="719"/>
      <c r="Z2" s="870" t="s">
        <v>455</v>
      </c>
      <c r="AA2" s="870"/>
      <c r="AB2" s="870"/>
      <c r="AC2" s="719"/>
      <c r="AG2" s="870" t="s">
        <v>473</v>
      </c>
      <c r="AH2" s="870"/>
      <c r="AI2" s="870"/>
      <c r="AJ2" s="719"/>
      <c r="AP2" s="870" t="s">
        <v>204</v>
      </c>
      <c r="AQ2" s="870"/>
      <c r="AR2" s="870"/>
      <c r="AS2" s="719"/>
      <c r="AX2" s="870" t="s">
        <v>205</v>
      </c>
      <c r="AY2" s="870"/>
      <c r="AZ2" s="870"/>
      <c r="BA2" s="719"/>
      <c r="BF2" s="870" t="s">
        <v>455</v>
      </c>
      <c r="BG2" s="870"/>
      <c r="BH2" s="870"/>
      <c r="BI2" s="719"/>
      <c r="BM2" s="870" t="s">
        <v>473</v>
      </c>
      <c r="BN2" s="870"/>
      <c r="BO2" s="870"/>
      <c r="BP2" s="719"/>
    </row>
    <row r="3" spans="1:70">
      <c r="A3" s="83"/>
      <c r="B3" s="83"/>
      <c r="C3" s="218" t="s">
        <v>178</v>
      </c>
      <c r="D3" s="218" t="s">
        <v>199</v>
      </c>
      <c r="E3" s="218" t="s">
        <v>456</v>
      </c>
      <c r="F3" s="720"/>
      <c r="G3" s="720"/>
      <c r="I3" s="83"/>
      <c r="J3" s="218" t="s">
        <v>178</v>
      </c>
      <c r="K3" s="218" t="s">
        <v>199</v>
      </c>
      <c r="L3" s="218" t="s">
        <v>456</v>
      </c>
      <c r="M3" s="218" t="s">
        <v>457</v>
      </c>
      <c r="N3" s="720"/>
      <c r="O3" s="720"/>
      <c r="Q3" s="83"/>
      <c r="R3" s="218" t="s">
        <v>178</v>
      </c>
      <c r="S3" s="218" t="s">
        <v>199</v>
      </c>
      <c r="T3" s="218" t="s">
        <v>456</v>
      </c>
      <c r="U3" s="218" t="s">
        <v>457</v>
      </c>
      <c r="V3" s="720"/>
      <c r="W3" s="720"/>
      <c r="Y3" s="83"/>
      <c r="Z3" s="218" t="s">
        <v>178</v>
      </c>
      <c r="AA3" s="218" t="s">
        <v>199</v>
      </c>
      <c r="AB3" s="218" t="s">
        <v>456</v>
      </c>
      <c r="AC3" s="218" t="s">
        <v>457</v>
      </c>
      <c r="AE3" s="83"/>
      <c r="AF3" s="83"/>
      <c r="AG3" s="218" t="s">
        <v>178</v>
      </c>
      <c r="AH3" s="218" t="s">
        <v>199</v>
      </c>
      <c r="AI3" s="218" t="s">
        <v>456</v>
      </c>
      <c r="AJ3" s="218" t="s">
        <v>457</v>
      </c>
      <c r="AL3" s="83"/>
      <c r="AN3" s="83"/>
      <c r="AO3" s="83"/>
      <c r="AP3" s="218" t="s">
        <v>178</v>
      </c>
      <c r="AQ3" s="218" t="s">
        <v>199</v>
      </c>
      <c r="AR3" s="218" t="s">
        <v>456</v>
      </c>
      <c r="AS3" s="218" t="s">
        <v>457</v>
      </c>
      <c r="AT3" s="720"/>
      <c r="AU3" s="720"/>
      <c r="AW3" s="83"/>
      <c r="AX3" s="218" t="s">
        <v>178</v>
      </c>
      <c r="AY3" s="218" t="s">
        <v>199</v>
      </c>
      <c r="AZ3" s="218" t="s">
        <v>456</v>
      </c>
      <c r="BA3" s="218" t="s">
        <v>457</v>
      </c>
      <c r="BB3" s="720"/>
      <c r="BC3" s="720"/>
      <c r="BE3" s="83"/>
      <c r="BF3" s="218" t="s">
        <v>178</v>
      </c>
      <c r="BG3" s="218" t="s">
        <v>199</v>
      </c>
      <c r="BH3" s="218" t="s">
        <v>456</v>
      </c>
      <c r="BI3" s="218" t="s">
        <v>457</v>
      </c>
      <c r="BK3" s="83"/>
      <c r="BL3" s="83"/>
      <c r="BM3" s="218" t="s">
        <v>178</v>
      </c>
      <c r="BN3" s="218" t="s">
        <v>199</v>
      </c>
      <c r="BO3" s="218" t="s">
        <v>456</v>
      </c>
      <c r="BP3" s="218" t="s">
        <v>457</v>
      </c>
      <c r="BR3" s="83"/>
    </row>
    <row r="4" spans="1:70">
      <c r="A4" s="83"/>
      <c r="B4" s="83"/>
      <c r="C4" s="218" t="s">
        <v>181</v>
      </c>
      <c r="D4" s="218" t="s">
        <v>182</v>
      </c>
      <c r="E4" s="218" t="s">
        <v>200</v>
      </c>
      <c r="F4" s="720"/>
      <c r="G4" s="720"/>
      <c r="I4" s="83"/>
      <c r="J4" s="218" t="s">
        <v>181</v>
      </c>
      <c r="K4" s="218" t="s">
        <v>182</v>
      </c>
      <c r="L4" s="218" t="s">
        <v>200</v>
      </c>
      <c r="M4" s="218"/>
      <c r="N4" s="720"/>
      <c r="O4" s="720"/>
      <c r="Q4" s="83"/>
      <c r="R4" s="218" t="s">
        <v>181</v>
      </c>
      <c r="S4" s="218" t="s">
        <v>182</v>
      </c>
      <c r="T4" s="218" t="s">
        <v>200</v>
      </c>
      <c r="U4" s="218"/>
      <c r="V4" s="720"/>
      <c r="W4" s="720"/>
      <c r="Y4" s="83"/>
      <c r="Z4" s="218" t="s">
        <v>181</v>
      </c>
      <c r="AA4" s="218" t="s">
        <v>182</v>
      </c>
      <c r="AB4" s="218" t="s">
        <v>200</v>
      </c>
      <c r="AC4" s="218"/>
      <c r="AE4" s="83"/>
      <c r="AF4" s="83"/>
      <c r="AG4" s="218" t="s">
        <v>181</v>
      </c>
      <c r="AH4" s="218" t="s">
        <v>182</v>
      </c>
      <c r="AI4" s="218" t="s">
        <v>200</v>
      </c>
      <c r="AJ4" s="218"/>
      <c r="AL4" s="83"/>
      <c r="AN4" s="83"/>
      <c r="AO4" s="83"/>
      <c r="AP4" s="218" t="s">
        <v>181</v>
      </c>
      <c r="AQ4" s="218" t="s">
        <v>182</v>
      </c>
      <c r="AR4" s="218" t="s">
        <v>200</v>
      </c>
      <c r="AS4" s="218"/>
      <c r="AT4" s="720"/>
      <c r="AU4" s="720"/>
      <c r="AW4" s="83"/>
      <c r="AX4" s="218" t="s">
        <v>181</v>
      </c>
      <c r="AY4" s="218" t="s">
        <v>182</v>
      </c>
      <c r="AZ4" s="218" t="s">
        <v>200</v>
      </c>
      <c r="BA4" s="218"/>
      <c r="BB4" s="720"/>
      <c r="BC4" s="720"/>
      <c r="BE4" s="83"/>
      <c r="BF4" s="218" t="s">
        <v>181</v>
      </c>
      <c r="BG4" s="218" t="s">
        <v>182</v>
      </c>
      <c r="BH4" s="218" t="s">
        <v>200</v>
      </c>
      <c r="BI4" s="218"/>
      <c r="BK4" s="83"/>
      <c r="BL4" s="83"/>
      <c r="BM4" s="218" t="s">
        <v>181</v>
      </c>
      <c r="BN4" s="218" t="s">
        <v>182</v>
      </c>
      <c r="BO4" s="218" t="s">
        <v>200</v>
      </c>
      <c r="BP4" s="218"/>
      <c r="BR4" s="83"/>
    </row>
    <row r="5" spans="1:70" hidden="1">
      <c r="A5" s="716"/>
      <c r="B5" s="716">
        <v>2014</v>
      </c>
      <c r="C5" s="717">
        <f>'Normalized Annual Summary'!AG5</f>
        <v>0</v>
      </c>
      <c r="D5" s="717">
        <f>SUMIFS('Monthly Data'!AO:AO,'Monthly Data'!$B:$B,'kW Forecast'!B5)</f>
        <v>0</v>
      </c>
      <c r="E5" s="721"/>
      <c r="I5" s="716">
        <v>2014</v>
      </c>
      <c r="J5" s="717">
        <f>'Normalized Annual Summary'!AR5</f>
        <v>0</v>
      </c>
      <c r="K5" s="717">
        <f>SUMIFS('Monthly Data'!AP:AP,'Monthly Data'!$B:$B,'kW Forecast'!I5)</f>
        <v>0</v>
      </c>
      <c r="L5" s="721"/>
      <c r="Q5" s="716">
        <v>2014</v>
      </c>
      <c r="R5" s="717">
        <f>'Normalized Annual Summary'!BC5</f>
        <v>0</v>
      </c>
      <c r="S5" s="717">
        <f>SUMIFS('Monthly Data'!AQ:AQ,'Monthly Data'!$B:$B,'kW Forecast'!Q5)</f>
        <v>0</v>
      </c>
      <c r="T5" s="721"/>
      <c r="Y5" s="716">
        <f>B5</f>
        <v>2014</v>
      </c>
      <c r="Z5" s="717">
        <f>'Normalized Annual Summary'!BN5</f>
        <v>0</v>
      </c>
      <c r="AA5" s="717">
        <f>SUMIFS('Monthly Data'!AR:AR,'Monthly Data'!$B:$B,'kW Forecast'!Y5)</f>
        <v>0</v>
      </c>
      <c r="AB5" s="721"/>
      <c r="AE5" s="716"/>
      <c r="AF5" s="716">
        <f>Y5</f>
        <v>2014</v>
      </c>
      <c r="AG5" s="717">
        <f>'Normalized Annual Summary'!BU5</f>
        <v>0</v>
      </c>
      <c r="AH5" s="717">
        <f>SUMIFS('Monthly Data'!AS:AS,'Monthly Data'!$B:$B,'kW Forecast'!AF5)</f>
        <v>0</v>
      </c>
      <c r="AI5" s="721"/>
      <c r="AL5" s="716"/>
      <c r="AN5" s="716"/>
      <c r="AO5" s="716">
        <v>2014</v>
      </c>
      <c r="AP5" s="717">
        <f>'Normalized Annual Summary'!DE5</f>
        <v>0</v>
      </c>
      <c r="AQ5" s="717">
        <f>SUMIFS('Monthly Data'!CC:CC,'Monthly Data'!B:B,'kW Forecast'!AO5)</f>
        <v>0</v>
      </c>
      <c r="AR5" s="721"/>
      <c r="AW5" s="716">
        <v>2014</v>
      </c>
      <c r="AX5" s="717">
        <f>'Normalized Annual Summary'!DP5</f>
        <v>0</v>
      </c>
      <c r="AY5" s="717">
        <f>SUMIFS('Monthly Data'!CD:CD,'Monthly Data'!B:B,'kW Forecast'!AO5)</f>
        <v>0</v>
      </c>
      <c r="AZ5" s="721"/>
      <c r="BE5" s="716">
        <f>AO5</f>
        <v>2014</v>
      </c>
      <c r="BF5" s="717">
        <f>'Normalized Annual Summary'!EA5</f>
        <v>0</v>
      </c>
      <c r="BG5" s="717">
        <f>SUMIFS('Monthly Data'!CE:CE,'Monthly Data'!B:B,'kW Forecast'!BE5)</f>
        <v>0</v>
      </c>
      <c r="BH5" s="721"/>
      <c r="BK5" s="716"/>
      <c r="BL5" s="716">
        <f>BE5</f>
        <v>2014</v>
      </c>
      <c r="BM5" s="717">
        <f>'Normalized Annual Summary'!EH5</f>
        <v>0</v>
      </c>
      <c r="BN5" s="717">
        <f>SUMIFS('Monthly Data'!CF:CF,'Monthly Data'!B:B,'kW Forecast'!BE5)</f>
        <v>0</v>
      </c>
      <c r="BO5" s="721"/>
      <c r="BR5" s="716"/>
    </row>
    <row r="6" spans="1:70">
      <c r="A6" s="716"/>
      <c r="B6" s="716">
        <f t="shared" ref="B6:B15" si="0">B5+1</f>
        <v>2015</v>
      </c>
      <c r="C6" s="717">
        <f>'Normalized Annual Summary'!AG6</f>
        <v>950526710.68660581</v>
      </c>
      <c r="D6" s="717">
        <f>SUMIFS('Monthly Data'!AO:AO,'Monthly Data'!$B:$B,'kW Forecast'!B6)</f>
        <v>2278207.1437237901</v>
      </c>
      <c r="E6" s="721">
        <f t="shared" ref="E6:E14" si="1">D6/C6</f>
        <v>2.3967839284370499E-3</v>
      </c>
      <c r="F6" s="679">
        <f t="shared" ref="F6:F15" si="2">C6/(D6/12*8760)</f>
        <v>0.57154213921649677</v>
      </c>
      <c r="G6" s="722"/>
      <c r="I6" s="716">
        <f t="shared" ref="I6:I15" si="3">I5+1</f>
        <v>2015</v>
      </c>
      <c r="J6" s="717">
        <f>'Normalized Annual Summary'!AR6</f>
        <v>83062699.86432375</v>
      </c>
      <c r="K6" s="717">
        <f>SUMIFS('Monthly Data'!AP:AP,'Monthly Data'!$B:$B,'kW Forecast'!I6)</f>
        <v>194667.50288459152</v>
      </c>
      <c r="L6" s="721">
        <f t="shared" ref="L6:L14" si="4">K6/J6</f>
        <v>2.3436211825833405E-3</v>
      </c>
      <c r="M6" s="722"/>
      <c r="N6" s="679">
        <f>J6/(K6/12*8760)</f>
        <v>0.58450701157626905</v>
      </c>
      <c r="O6" s="722"/>
      <c r="Q6" s="716">
        <f t="shared" ref="Q6:Q15" si="5">Q5+1</f>
        <v>2015</v>
      </c>
      <c r="R6" s="717">
        <f>'Normalized Annual Summary'!BC6</f>
        <v>210460829.48535237</v>
      </c>
      <c r="S6" s="717">
        <f>SUMIFS('Monthly Data'!AQ:AQ,'Monthly Data'!$B:$B,'kW Forecast'!Q6)</f>
        <v>361254.63310506125</v>
      </c>
      <c r="T6" s="721">
        <f t="shared" ref="T6:T14" si="6">S6/R6</f>
        <v>1.7164934396032294E-3</v>
      </c>
      <c r="U6" s="722"/>
      <c r="V6" s="679">
        <f>R6/(S6/12*8760)</f>
        <v>0.79805898589118784</v>
      </c>
      <c r="W6" s="722"/>
      <c r="Y6" s="716">
        <f t="shared" ref="Y6:Y15" si="7">Y5+1</f>
        <v>2015</v>
      </c>
      <c r="Z6" s="717">
        <f>'Normalized Annual Summary'!BN6</f>
        <v>21466090.209724449</v>
      </c>
      <c r="AA6" s="717">
        <f>SUMIFS('Monthly Data'!AR:AR,'Monthly Data'!$B:$B,'kW Forecast'!Y6)</f>
        <v>57817.140000000007</v>
      </c>
      <c r="AB6" s="721">
        <f t="shared" ref="AB6:AB14" si="8">AA6/Z6</f>
        <v>2.6934173589659104E-3</v>
      </c>
      <c r="AC6" s="722"/>
      <c r="AD6" s="679">
        <f>Z6/(AA6/12*8760)</f>
        <v>0.50859663807341193</v>
      </c>
      <c r="AE6" s="716"/>
      <c r="AF6" s="716">
        <f t="shared" ref="AF6:AF15" si="9">AF5+1</f>
        <v>2015</v>
      </c>
      <c r="AG6" s="717">
        <f>'Normalized Annual Summary'!BU6</f>
        <v>116055.18000000001</v>
      </c>
      <c r="AH6" s="717">
        <f>SUMIFS('Monthly Data'!AS:AS,'Monthly Data'!$B:$B,'kW Forecast'!AF6)</f>
        <v>1014</v>
      </c>
      <c r="AI6" s="721">
        <f t="shared" ref="AI6:AI14" si="10">AH6/AG6</f>
        <v>8.7372231036994645E-3</v>
      </c>
      <c r="AJ6" s="722"/>
      <c r="AK6" s="679">
        <f>AG6/(AH6/12*8760)</f>
        <v>0.15678471265299507</v>
      </c>
      <c r="AL6" s="716"/>
      <c r="AN6" s="716"/>
      <c r="AO6" s="716">
        <f t="shared" ref="AO6:AO15" si="11">AO5+1</f>
        <v>2015</v>
      </c>
      <c r="AP6" s="717">
        <f>'Normalized Annual Summary'!DE6</f>
        <v>352899431.06331873</v>
      </c>
      <c r="AQ6" s="717">
        <f>SUMIFS('Monthly Data'!CC:CC,'Monthly Data'!B:B,'kW Forecast'!AO6)</f>
        <v>823988.30999999982</v>
      </c>
      <c r="AR6" s="721">
        <f t="shared" ref="AR6:AR14" si="12">AQ6/AP6</f>
        <v>2.3349097149781358E-3</v>
      </c>
      <c r="AS6" s="722"/>
      <c r="AT6" s="679">
        <f>AP6/(AQ6/12*8760)</f>
        <v>0.5866877870742242</v>
      </c>
      <c r="AU6" s="722"/>
      <c r="AW6" s="716">
        <f t="shared" ref="AW6:AW15" si="13">AW5+1</f>
        <v>2015</v>
      </c>
      <c r="AX6" s="717">
        <f>'Normalized Annual Summary'!DP6</f>
        <v>59790687.039999992</v>
      </c>
      <c r="AY6" s="717">
        <f>SUMIFS('Monthly Data'!CD:CD,'Monthly Data'!B:B,'kW Forecast'!AO6)</f>
        <v>90011.670000000013</v>
      </c>
      <c r="AZ6" s="721">
        <f t="shared" ref="AZ6:AZ14" si="14">AY6/AX6</f>
        <v>1.5054463237691544E-3</v>
      </c>
      <c r="BA6" s="722"/>
      <c r="BB6" s="679">
        <f>AX6/(AY6/12*8760)</f>
        <v>0.90993813068601004</v>
      </c>
      <c r="BC6" s="722"/>
      <c r="BE6" s="716">
        <f t="shared" ref="BE6:BE15" si="15">BE5+1</f>
        <v>2015</v>
      </c>
      <c r="BF6" s="717">
        <f>'Normalized Annual Summary'!EA6</f>
        <v>9273958.5999999996</v>
      </c>
      <c r="BG6" s="717">
        <f>SUMIFS('Monthly Data'!CE:CE,'Monthly Data'!B:B,'kW Forecast'!BE6)</f>
        <v>23991.02</v>
      </c>
      <c r="BH6" s="721">
        <f t="shared" ref="BH6:BH14" si="16">BG6/BF6</f>
        <v>2.5869233446869176E-3</v>
      </c>
      <c r="BI6" s="722"/>
      <c r="BJ6" s="679">
        <f>BF6/(BG6/12*8760)</f>
        <v>0.52953367037801335</v>
      </c>
      <c r="BK6" s="716"/>
      <c r="BL6" s="716">
        <f t="shared" ref="BL6:BL15" si="17">BL5+1</f>
        <v>2015</v>
      </c>
      <c r="BM6" s="753">
        <f>'Normalized Annual Summary'!EH6</f>
        <v>32743.20528781541</v>
      </c>
      <c r="BN6" s="717">
        <f>SUMIFS('Monthly Data'!CF:CF,'Monthly Data'!B:B,'kW Forecast'!BE6)</f>
        <v>95.000000000000014</v>
      </c>
      <c r="BO6" s="721">
        <f t="shared" ref="BO6:BO14" si="18">BN6/BM6</f>
        <v>2.9013653112131927E-3</v>
      </c>
      <c r="BP6" s="722"/>
      <c r="BQ6" s="679">
        <f>BM6/(BN6/12*8760)</f>
        <v>0.47214427235494455</v>
      </c>
      <c r="BR6" s="716"/>
    </row>
    <row r="7" spans="1:70">
      <c r="A7" s="716"/>
      <c r="B7" s="716">
        <f t="shared" si="0"/>
        <v>2016</v>
      </c>
      <c r="C7" s="717">
        <f>'Normalized Annual Summary'!AG7</f>
        <v>966717854.80000007</v>
      </c>
      <c r="D7" s="717">
        <f>SUMIFS('Monthly Data'!AO:AO,'Monthly Data'!$B:$B,'kW Forecast'!B7)</f>
        <v>2342969.96</v>
      </c>
      <c r="E7" s="721">
        <f t="shared" si="1"/>
        <v>2.4236336883264936E-3</v>
      </c>
      <c r="F7" s="679">
        <f t="shared" si="2"/>
        <v>0.56521041950217876</v>
      </c>
      <c r="G7" s="722"/>
      <c r="I7" s="716">
        <f t="shared" si="3"/>
        <v>2016</v>
      </c>
      <c r="J7" s="717">
        <f>'Normalized Annual Summary'!AR7</f>
        <v>81278308.774999991</v>
      </c>
      <c r="K7" s="717">
        <f>SUMIFS('Monthly Data'!AP:AP,'Monthly Data'!$B:$B,'kW Forecast'!I7)</f>
        <v>223616.35</v>
      </c>
      <c r="L7" s="721">
        <f t="shared" si="4"/>
        <v>2.751242654655003E-3</v>
      </c>
      <c r="M7" s="722"/>
      <c r="N7" s="679">
        <f t="shared" ref="N7:N15" si="19">J7/(K7/12*8760)</f>
        <v>0.49790701353836292</v>
      </c>
      <c r="O7" s="722"/>
      <c r="Q7" s="716">
        <f t="shared" si="5"/>
        <v>2016</v>
      </c>
      <c r="R7" s="717">
        <f>'Normalized Annual Summary'!BC7</f>
        <v>215800519.09</v>
      </c>
      <c r="S7" s="717">
        <f>SUMIFS('Monthly Data'!AQ:AQ,'Monthly Data'!$B:$B,'kW Forecast'!Q7)</f>
        <v>421758</v>
      </c>
      <c r="T7" s="721">
        <f t="shared" si="6"/>
        <v>1.9543882553132554E-3</v>
      </c>
      <c r="U7" s="722"/>
      <c r="V7" s="679">
        <f t="shared" ref="V7:V15" si="20">R7/(S7/12*8760)</f>
        <v>0.70091651951677547</v>
      </c>
      <c r="W7" s="722"/>
      <c r="Y7" s="716">
        <f t="shared" si="7"/>
        <v>2016</v>
      </c>
      <c r="Z7" s="717">
        <f>'Normalized Annual Summary'!BN7</f>
        <v>21694274.73</v>
      </c>
      <c r="AA7" s="717">
        <f>SUMIFS('Monthly Data'!AR:AR,'Monthly Data'!$B:$B,'kW Forecast'!Y7)</f>
        <v>57564.81</v>
      </c>
      <c r="AB7" s="721">
        <f t="shared" si="8"/>
        <v>2.6534563020166931E-3</v>
      </c>
      <c r="AC7" s="722"/>
      <c r="AD7" s="679">
        <f t="shared" ref="AD7:AD15" si="21">Z7/(AA7/12*8760)</f>
        <v>0.51625610440899283</v>
      </c>
      <c r="AE7" s="716"/>
      <c r="AF7" s="716">
        <f t="shared" si="9"/>
        <v>2016</v>
      </c>
      <c r="AG7" s="717">
        <f>'Normalized Annual Summary'!BU7</f>
        <v>156261.63999999998</v>
      </c>
      <c r="AH7" s="717">
        <f>SUMIFS('Monthly Data'!AS:AS,'Monthly Data'!$B:$B,'kW Forecast'!AF7)</f>
        <v>1014</v>
      </c>
      <c r="AI7" s="721">
        <f t="shared" si="10"/>
        <v>6.4891165867707523E-3</v>
      </c>
      <c r="AJ7" s="722"/>
      <c r="AK7" s="679">
        <f t="shared" ref="AK7:AK15" si="22">AG7/(AH7/12*8760)</f>
        <v>0.21110161843776173</v>
      </c>
      <c r="AL7" s="716"/>
      <c r="AN7" s="716"/>
      <c r="AO7" s="716">
        <f t="shared" si="11"/>
        <v>2016</v>
      </c>
      <c r="AP7" s="717">
        <f>'Normalized Annual Summary'!DE7</f>
        <v>358773984.16000003</v>
      </c>
      <c r="AQ7" s="717">
        <f>SUMIFS('Monthly Data'!CC:CC,'Monthly Data'!B:B,'kW Forecast'!AO7)</f>
        <v>847805.77999999991</v>
      </c>
      <c r="AR7" s="721">
        <f t="shared" si="12"/>
        <v>2.3630637042565206E-3</v>
      </c>
      <c r="AS7" s="722"/>
      <c r="AT7" s="679">
        <f t="shared" ref="AT7:AT15" si="23">AP7/(AQ7/12*8760)</f>
        <v>0.57969787747623314</v>
      </c>
      <c r="AU7" s="722"/>
      <c r="AW7" s="716">
        <f t="shared" si="13"/>
        <v>2016</v>
      </c>
      <c r="AX7" s="717">
        <f>'Normalized Annual Summary'!DP7</f>
        <v>62626456.32</v>
      </c>
      <c r="AY7" s="717">
        <f>SUMIFS('Monthly Data'!CD:CD,'Monthly Data'!B:B,'kW Forecast'!AO7)</f>
        <v>93876.75</v>
      </c>
      <c r="AZ7" s="721">
        <f t="shared" si="14"/>
        <v>1.4989950815725798E-3</v>
      </c>
      <c r="BA7" s="722"/>
      <c r="BB7" s="679">
        <f t="shared" ref="BB7:BB15" si="24">AX7/(AY7/12*8760)</f>
        <v>0.91385424177744567</v>
      </c>
      <c r="BC7" s="722"/>
      <c r="BE7" s="716">
        <f t="shared" si="15"/>
        <v>2016</v>
      </c>
      <c r="BF7" s="717">
        <f>'Normalized Annual Summary'!EA7</f>
        <v>6314646.5300000003</v>
      </c>
      <c r="BG7" s="717">
        <f>SUMIFS('Monthly Data'!CE:CE,'Monthly Data'!B:B,'kW Forecast'!BE7)</f>
        <v>16142.07</v>
      </c>
      <c r="BH7" s="721">
        <f t="shared" si="16"/>
        <v>2.5562903518528374E-3</v>
      </c>
      <c r="BI7" s="722"/>
      <c r="BJ7" s="679">
        <f t="shared" ref="BJ7:BJ15" si="25">BF7/(BG7/12*8760)</f>
        <v>0.53587927236267707</v>
      </c>
      <c r="BK7" s="716"/>
      <c r="BL7" s="716">
        <f t="shared" si="17"/>
        <v>2016</v>
      </c>
      <c r="BM7" s="753">
        <f>'Normalized Annual Summary'!EH7</f>
        <v>31709.209331358081</v>
      </c>
      <c r="BN7" s="717">
        <f>SUMIFS('Monthly Data'!CF:CF,'Monthly Data'!B:B,'kW Forecast'!BE7)</f>
        <v>92.000000000000014</v>
      </c>
      <c r="BO7" s="721">
        <f t="shared" si="18"/>
        <v>2.9013653112131927E-3</v>
      </c>
      <c r="BP7" s="722"/>
      <c r="BQ7" s="679">
        <f t="shared" ref="BQ7:BQ15" si="26">BM7/(BN7/12*8760)</f>
        <v>0.47214427235494449</v>
      </c>
      <c r="BR7" s="716"/>
    </row>
    <row r="8" spans="1:70">
      <c r="A8" s="716"/>
      <c r="B8" s="716">
        <f t="shared" si="0"/>
        <v>2017</v>
      </c>
      <c r="C8" s="717">
        <f>'Normalized Annual Summary'!AG8</f>
        <v>944651265.3499999</v>
      </c>
      <c r="D8" s="717">
        <f>SUMIFS('Monthly Data'!AO:AO,'Monthly Data'!$B:$B,'kW Forecast'!B8)</f>
        <v>2295183.8399999994</v>
      </c>
      <c r="E8" s="721">
        <f t="shared" si="1"/>
        <v>2.4296625899819417E-3</v>
      </c>
      <c r="F8" s="679">
        <f t="shared" si="2"/>
        <v>0.56380792104504163</v>
      </c>
      <c r="G8" s="722"/>
      <c r="I8" s="716">
        <f t="shared" si="3"/>
        <v>2017</v>
      </c>
      <c r="J8" s="717">
        <f>'Normalized Annual Summary'!AR8</f>
        <v>90758853.419999987</v>
      </c>
      <c r="K8" s="717">
        <f>SUMIFS('Monthly Data'!AP:AP,'Monthly Data'!$B:$B,'kW Forecast'!I8)</f>
        <v>200189.70000000004</v>
      </c>
      <c r="L8" s="721">
        <f t="shared" si="4"/>
        <v>2.2057319198777519E-3</v>
      </c>
      <c r="M8" s="722">
        <f t="shared" ref="M8:M14" si="27">AVERAGE(L6:L8)</f>
        <v>2.4335319190386985E-3</v>
      </c>
      <c r="N8" s="679">
        <f t="shared" si="19"/>
        <v>0.62104691932578637</v>
      </c>
      <c r="O8" s="722"/>
      <c r="Q8" s="716">
        <f t="shared" si="5"/>
        <v>2017</v>
      </c>
      <c r="R8" s="717">
        <f>'Normalized Annual Summary'!BC8</f>
        <v>223859611.13000003</v>
      </c>
      <c r="S8" s="717">
        <f>SUMIFS('Monthly Data'!AQ:AQ,'Monthly Data'!$B:$B,'kW Forecast'!Q8)</f>
        <v>382866</v>
      </c>
      <c r="T8" s="721">
        <f t="shared" si="6"/>
        <v>1.710295117852508E-3</v>
      </c>
      <c r="U8" s="722">
        <f t="shared" ref="U8:U14" si="28">AVERAGE(T6:T8)</f>
        <v>1.7937256042563309E-3</v>
      </c>
      <c r="V8" s="679">
        <f t="shared" si="20"/>
        <v>0.80095125069331108</v>
      </c>
      <c r="W8" s="722"/>
      <c r="Y8" s="716">
        <f t="shared" si="7"/>
        <v>2017</v>
      </c>
      <c r="Z8" s="717">
        <f>'Normalized Annual Summary'!BN8</f>
        <v>20460691.740000002</v>
      </c>
      <c r="AA8" s="717">
        <f>SUMIFS('Monthly Data'!AR:AR,'Monthly Data'!$B:$B,'kW Forecast'!Y8)</f>
        <v>54832.51</v>
      </c>
      <c r="AB8" s="721">
        <f t="shared" si="8"/>
        <v>2.6798952203949287E-3</v>
      </c>
      <c r="AC8" s="722">
        <f t="shared" ref="AC8:AC15" si="29">AVERAGE(AB6:AB8)</f>
        <v>2.6755896271258447E-3</v>
      </c>
      <c r="AD8" s="679">
        <f t="shared" si="21"/>
        <v>0.51116290042741197</v>
      </c>
      <c r="AE8" s="716"/>
      <c r="AF8" s="716">
        <f t="shared" si="9"/>
        <v>2017</v>
      </c>
      <c r="AG8" s="717">
        <f>'Normalized Annual Summary'!BU8</f>
        <v>311450.02999999997</v>
      </c>
      <c r="AH8" s="717">
        <f>SUMIFS('Monthly Data'!AS:AS,'Monthly Data'!$B:$B,'kW Forecast'!AF8)</f>
        <v>967.00000000000011</v>
      </c>
      <c r="AI8" s="721">
        <f t="shared" si="10"/>
        <v>3.104831937245279E-3</v>
      </c>
      <c r="AJ8" s="722">
        <f t="shared" ref="AJ8" si="30">AVERAGE(AI6:AI8)</f>
        <v>6.1103905425718323E-3</v>
      </c>
      <c r="AK8" s="679">
        <f t="shared" si="22"/>
        <v>0.44120359535918163</v>
      </c>
      <c r="AL8" s="716"/>
      <c r="AN8" s="716"/>
      <c r="AO8" s="716">
        <f t="shared" si="11"/>
        <v>2017</v>
      </c>
      <c r="AP8" s="717">
        <f>'Normalized Annual Summary'!DE8</f>
        <v>343423307.15999997</v>
      </c>
      <c r="AQ8" s="717">
        <f>SUMIFS('Monthly Data'!CC:CC,'Monthly Data'!B:B,'kW Forecast'!AO8)</f>
        <v>816193.45000000007</v>
      </c>
      <c r="AR8" s="721">
        <f t="shared" si="12"/>
        <v>2.3766396542787291E-3</v>
      </c>
      <c r="AS8" s="722">
        <f t="shared" ref="AS8:AS14" si="31">AVERAGE(AR6:AR8)</f>
        <v>2.3582043578377954E-3</v>
      </c>
      <c r="AT8" s="679">
        <f t="shared" si="23"/>
        <v>0.5763865006764608</v>
      </c>
      <c r="AU8" s="722"/>
      <c r="AW8" s="716">
        <f t="shared" si="13"/>
        <v>2017</v>
      </c>
      <c r="AX8" s="717">
        <f>'Normalized Annual Summary'!DP8</f>
        <v>61143400.199999996</v>
      </c>
      <c r="AY8" s="717">
        <f>SUMIFS('Monthly Data'!CD:CD,'Monthly Data'!B:B,'kW Forecast'!AO8)</f>
        <v>90337.329999999987</v>
      </c>
      <c r="AZ8" s="721">
        <f t="shared" si="14"/>
        <v>1.4774665737349686E-3</v>
      </c>
      <c r="BA8" s="722">
        <f t="shared" ref="BA8:BA15" si="32">AVERAGE(AZ6:AZ8)</f>
        <v>1.493969326358901E-3</v>
      </c>
      <c r="BB8" s="679">
        <f t="shared" si="24"/>
        <v>0.92717022371320279</v>
      </c>
      <c r="BC8" s="722"/>
      <c r="BE8" s="716">
        <f t="shared" si="15"/>
        <v>2017</v>
      </c>
      <c r="BF8" s="717">
        <f>'Normalized Annual Summary'!EA8</f>
        <v>4989079.4000000004</v>
      </c>
      <c r="BG8" s="717">
        <f>SUMIFS('Monthly Data'!CE:CE,'Monthly Data'!B:B,'kW Forecast'!BE8)</f>
        <v>12797.349999999999</v>
      </c>
      <c r="BH8" s="721">
        <f t="shared" si="16"/>
        <v>2.5650724259870463E-3</v>
      </c>
      <c r="BI8" s="722">
        <f t="shared" ref="BI8:BI15" si="33">AVERAGE(BH6:BH8)</f>
        <v>2.5694287075089337E-3</v>
      </c>
      <c r="BJ8" s="679">
        <f t="shared" si="25"/>
        <v>0.53404457504606462</v>
      </c>
      <c r="BK8" s="716"/>
      <c r="BL8" s="716">
        <f t="shared" si="17"/>
        <v>2017</v>
      </c>
      <c r="BM8" s="753">
        <f>'Normalized Annual Summary'!EH8</f>
        <v>30330.54805608164</v>
      </c>
      <c r="BN8" s="717">
        <f>SUMIFS('Monthly Data'!CF:CF,'Monthly Data'!B:B,'kW Forecast'!BE8)</f>
        <v>87.999999999999986</v>
      </c>
      <c r="BO8" s="721">
        <f t="shared" si="18"/>
        <v>2.9013653112131923E-3</v>
      </c>
      <c r="BP8" s="722">
        <f t="shared" ref="BP8:BP11" si="34">AVERAGE(BO6:BO8)</f>
        <v>2.9013653112131923E-3</v>
      </c>
      <c r="BQ8" s="679">
        <f t="shared" si="26"/>
        <v>0.47214427235494461</v>
      </c>
      <c r="BR8" s="716"/>
    </row>
    <row r="9" spans="1:70">
      <c r="A9" s="716"/>
      <c r="B9" s="716">
        <f t="shared" si="0"/>
        <v>2018</v>
      </c>
      <c r="C9" s="717">
        <f>'Normalized Annual Summary'!AG9</f>
        <v>966857797.06000006</v>
      </c>
      <c r="D9" s="717">
        <f>SUMIFS('Monthly Data'!AO:AO,'Monthly Data'!$B:$B,'kW Forecast'!B9)</f>
        <v>2313760.27</v>
      </c>
      <c r="E9" s="721">
        <f t="shared" si="1"/>
        <v>2.3930719460872442E-3</v>
      </c>
      <c r="F9" s="679">
        <f t="shared" si="2"/>
        <v>0.57242867935433528</v>
      </c>
      <c r="G9" s="722"/>
      <c r="I9" s="716">
        <f t="shared" si="3"/>
        <v>2018</v>
      </c>
      <c r="J9" s="717">
        <f>'Normalized Annual Summary'!AR9</f>
        <v>83863297.689999998</v>
      </c>
      <c r="K9" s="717">
        <f>SUMIFS('Monthly Data'!AP:AP,'Monthly Data'!$B:$B,'kW Forecast'!I9)</f>
        <v>189119.25000000003</v>
      </c>
      <c r="L9" s="721">
        <f t="shared" si="4"/>
        <v>2.2550895947244741E-3</v>
      </c>
      <c r="M9" s="722">
        <f t="shared" si="27"/>
        <v>2.4040213897524097E-3</v>
      </c>
      <c r="N9" s="679">
        <f t="shared" si="19"/>
        <v>0.60745391974814167</v>
      </c>
      <c r="O9" s="722"/>
      <c r="Q9" s="716">
        <f t="shared" si="5"/>
        <v>2018</v>
      </c>
      <c r="R9" s="717">
        <f>'Normalized Annual Summary'!BC9</f>
        <v>250221085.47000003</v>
      </c>
      <c r="S9" s="717">
        <f>SUMIFS('Monthly Data'!AQ:AQ,'Monthly Data'!$B:$B,'kW Forecast'!Q9)</f>
        <v>423038</v>
      </c>
      <c r="T9" s="721">
        <f t="shared" si="6"/>
        <v>1.6906568813151426E-3</v>
      </c>
      <c r="U9" s="722">
        <f t="shared" si="28"/>
        <v>1.785113418160302E-3</v>
      </c>
      <c r="V9" s="679">
        <f t="shared" si="20"/>
        <v>0.81025489490985858</v>
      </c>
      <c r="W9" s="722"/>
      <c r="Y9" s="716">
        <f t="shared" si="7"/>
        <v>2018</v>
      </c>
      <c r="Z9" s="717">
        <f>'Normalized Annual Summary'!BN9</f>
        <v>16161422.92</v>
      </c>
      <c r="AA9" s="717">
        <f>SUMIFS('Monthly Data'!AR:AR,'Monthly Data'!$B:$B,'kW Forecast'!Y9)</f>
        <v>43114.93</v>
      </c>
      <c r="AB9" s="721">
        <f t="shared" si="8"/>
        <v>2.6677681917874098E-3</v>
      </c>
      <c r="AC9" s="722">
        <f t="shared" si="29"/>
        <v>2.6670399047330103E-3</v>
      </c>
      <c r="AD9" s="679">
        <f t="shared" si="21"/>
        <v>0.51348652327278077</v>
      </c>
      <c r="AE9" s="716"/>
      <c r="AF9" s="716">
        <f t="shared" si="9"/>
        <v>2018</v>
      </c>
      <c r="AG9" s="717">
        <f>'Normalized Annual Summary'!BU9</f>
        <v>247862.16999999998</v>
      </c>
      <c r="AH9" s="717">
        <f>SUMIFS('Monthly Data'!AS:AS,'Monthly Data'!$B:$B,'kW Forecast'!AF9)</f>
        <v>720</v>
      </c>
      <c r="AI9" s="721">
        <f t="shared" si="10"/>
        <v>2.9048402182551701E-3</v>
      </c>
      <c r="AJ9" s="722">
        <f>AVERAGE(AI7:AI9)</f>
        <v>4.1662629140904002E-3</v>
      </c>
      <c r="AK9" s="679">
        <f t="shared" si="22"/>
        <v>0.47157947108066967</v>
      </c>
      <c r="AL9" s="716"/>
      <c r="AN9" s="716"/>
      <c r="AO9" s="716">
        <f t="shared" si="11"/>
        <v>2018</v>
      </c>
      <c r="AP9" s="717">
        <f>'Normalized Annual Summary'!DE9</f>
        <v>350668948.01999998</v>
      </c>
      <c r="AQ9" s="717">
        <f>SUMIFS('Monthly Data'!CC:CC,'Monthly Data'!B:B,'kW Forecast'!AO9)</f>
        <v>835852.88</v>
      </c>
      <c r="AR9" s="721">
        <f t="shared" si="12"/>
        <v>2.38359536742423E-3</v>
      </c>
      <c r="AS9" s="722">
        <f t="shared" si="31"/>
        <v>2.3744329086531602E-3</v>
      </c>
      <c r="AT9" s="679">
        <f t="shared" si="23"/>
        <v>0.57470451252761789</v>
      </c>
      <c r="AU9" s="722"/>
      <c r="AW9" s="716">
        <f t="shared" si="13"/>
        <v>2018</v>
      </c>
      <c r="AX9" s="717">
        <f>'Normalized Annual Summary'!DP9</f>
        <v>72194607.670000002</v>
      </c>
      <c r="AY9" s="717">
        <f>SUMIFS('Monthly Data'!CD:CD,'Monthly Data'!B:B,'kW Forecast'!AO9)</f>
        <v>114913.62000000001</v>
      </c>
      <c r="AZ9" s="721">
        <f t="shared" si="14"/>
        <v>1.591720264278846E-3</v>
      </c>
      <c r="BA9" s="722">
        <f t="shared" si="32"/>
        <v>1.522727306528798E-3</v>
      </c>
      <c r="BB9" s="679">
        <f t="shared" si="24"/>
        <v>0.86061793924529073</v>
      </c>
      <c r="BC9" s="722"/>
      <c r="BE9" s="716">
        <f t="shared" si="15"/>
        <v>2018</v>
      </c>
      <c r="BF9" s="717">
        <f>'Normalized Annual Summary'!EA9</f>
        <v>3813016.9899999998</v>
      </c>
      <c r="BG9" s="717">
        <f>SUMIFS('Monthly Data'!CE:CE,'Monthly Data'!B:B,'kW Forecast'!BE9)</f>
        <v>9791.36</v>
      </c>
      <c r="BH9" s="721">
        <f t="shared" si="16"/>
        <v>2.5678773594974202E-3</v>
      </c>
      <c r="BI9" s="722">
        <f>AVERAGE(BH7:BH9)</f>
        <v>2.5630800457791011E-3</v>
      </c>
      <c r="BJ9" s="679">
        <f t="shared" si="25"/>
        <v>0.53346122961524023</v>
      </c>
      <c r="BK9" s="716"/>
      <c r="BL9" s="716">
        <f t="shared" si="17"/>
        <v>2018</v>
      </c>
      <c r="BM9" s="753">
        <f>'Normalized Annual Summary'!EH9</f>
        <v>29985.882737262535</v>
      </c>
      <c r="BN9" s="717">
        <f>SUMIFS('Monthly Data'!CF:CF,'Monthly Data'!B:B,'kW Forecast'!BE9)</f>
        <v>87</v>
      </c>
      <c r="BO9" s="721">
        <f t="shared" si="18"/>
        <v>2.9013653112131923E-3</v>
      </c>
      <c r="BP9" s="722">
        <f t="shared" si="34"/>
        <v>2.9013653112131923E-3</v>
      </c>
      <c r="BQ9" s="679">
        <f t="shared" si="26"/>
        <v>0.47214427235494466</v>
      </c>
      <c r="BR9" s="716"/>
    </row>
    <row r="10" spans="1:70">
      <c r="A10" s="716"/>
      <c r="B10" s="716">
        <f t="shared" si="0"/>
        <v>2019</v>
      </c>
      <c r="C10" s="717">
        <f>'Normalized Annual Summary'!AG10</f>
        <v>943844507.63000011</v>
      </c>
      <c r="D10" s="717">
        <f>SUMIFS('Monthly Data'!AO:AO,'Monthly Data'!$B:$B,'kW Forecast'!B10)</f>
        <v>2245850.48</v>
      </c>
      <c r="E10" s="721">
        <f t="shared" si="1"/>
        <v>2.3794708363979841E-3</v>
      </c>
      <c r="F10" s="679">
        <f t="shared" si="2"/>
        <v>0.57570069476972996</v>
      </c>
      <c r="G10" s="722"/>
      <c r="I10" s="716">
        <f t="shared" si="3"/>
        <v>2019</v>
      </c>
      <c r="J10" s="717">
        <f>'Normalized Annual Summary'!AR10</f>
        <v>93267622.239999995</v>
      </c>
      <c r="K10" s="717">
        <f>SUMIFS('Monthly Data'!AP:AP,'Monthly Data'!$B:$B,'kW Forecast'!I10)</f>
        <v>195386.42</v>
      </c>
      <c r="L10" s="721">
        <f t="shared" si="4"/>
        <v>2.0949008381196191E-3</v>
      </c>
      <c r="M10" s="722">
        <f t="shared" si="27"/>
        <v>2.1852407842406149E-3</v>
      </c>
      <c r="N10" s="679">
        <f t="shared" si="19"/>
        <v>0.65390351121736989</v>
      </c>
      <c r="O10" s="722"/>
      <c r="Q10" s="716">
        <f t="shared" si="5"/>
        <v>2019</v>
      </c>
      <c r="R10" s="717">
        <f>'Normalized Annual Summary'!BC10</f>
        <v>259592384.06</v>
      </c>
      <c r="S10" s="717">
        <f>SUMIFS('Monthly Data'!AQ:AQ,'Monthly Data'!$B:$B,'kW Forecast'!Q10)</f>
        <v>433414</v>
      </c>
      <c r="T10" s="721">
        <f t="shared" si="6"/>
        <v>1.6695944357898586E-3</v>
      </c>
      <c r="U10" s="722">
        <f t="shared" si="28"/>
        <v>1.6901821449858366E-3</v>
      </c>
      <c r="V10" s="679">
        <f t="shared" si="20"/>
        <v>0.82047650874601152</v>
      </c>
      <c r="W10" s="722"/>
      <c r="Y10" s="716">
        <f t="shared" si="7"/>
        <v>2019</v>
      </c>
      <c r="Z10" s="717">
        <f>'Normalized Annual Summary'!BN10</f>
        <v>13788944.16</v>
      </c>
      <c r="AA10" s="717">
        <f>SUMIFS('Monthly Data'!AR:AR,'Monthly Data'!$B:$B,'kW Forecast'!Y10)</f>
        <v>36690.920000000006</v>
      </c>
      <c r="AB10" s="721">
        <f t="shared" si="8"/>
        <v>2.6608940883549132E-3</v>
      </c>
      <c r="AC10" s="722">
        <f t="shared" si="29"/>
        <v>2.6695191668457507E-3</v>
      </c>
      <c r="AD10" s="679">
        <f t="shared" si="21"/>
        <v>0.51481305463966898</v>
      </c>
      <c r="AE10" s="716"/>
      <c r="AF10" s="716">
        <f t="shared" si="9"/>
        <v>2019</v>
      </c>
      <c r="AG10" s="717">
        <f>'Normalized Annual Summary'!BU10</f>
        <v>229776.43000000002</v>
      </c>
      <c r="AH10" s="717">
        <f>SUMIFS('Monthly Data'!AS:AS,'Monthly Data'!$B:$B,'kW Forecast'!AF10)</f>
        <v>629</v>
      </c>
      <c r="AI10" s="721">
        <f t="shared" si="10"/>
        <v>2.7374435228191157E-3</v>
      </c>
      <c r="AJ10" s="722">
        <f t="shared" ref="AJ10:AJ15" si="35">AVERAGE(AI8:AI10)</f>
        <v>2.9157052261065217E-3</v>
      </c>
      <c r="AK10" s="679">
        <f t="shared" si="22"/>
        <v>0.50041690441448705</v>
      </c>
      <c r="AL10" s="716"/>
      <c r="AN10" s="716"/>
      <c r="AO10" s="716">
        <f t="shared" si="11"/>
        <v>2019</v>
      </c>
      <c r="AP10" s="717">
        <f>'Normalized Annual Summary'!DE10</f>
        <v>339922011.33999991</v>
      </c>
      <c r="AQ10" s="717">
        <f>SUMIFS('Monthly Data'!CC:CC,'Monthly Data'!B:B,'kW Forecast'!AO10)</f>
        <v>811487.09999999986</v>
      </c>
      <c r="AR10" s="721">
        <f t="shared" si="12"/>
        <v>2.3872743539056279E-3</v>
      </c>
      <c r="AS10" s="722">
        <f t="shared" si="31"/>
        <v>2.3825031252028622E-3</v>
      </c>
      <c r="AT10" s="679">
        <f t="shared" si="23"/>
        <v>0.5738188455204184</v>
      </c>
      <c r="AU10" s="722"/>
      <c r="AW10" s="716">
        <f t="shared" si="13"/>
        <v>2019</v>
      </c>
      <c r="AX10" s="717">
        <f>'Normalized Annual Summary'!DP10</f>
        <v>79821855.49000001</v>
      </c>
      <c r="AY10" s="717">
        <f>SUMIFS('Monthly Data'!CD:CD,'Monthly Data'!B:B,'kW Forecast'!AO10)</f>
        <v>147600.45000000001</v>
      </c>
      <c r="AZ10" s="721">
        <f t="shared" si="14"/>
        <v>1.8491232644734902E-3</v>
      </c>
      <c r="BA10" s="722">
        <f t="shared" si="32"/>
        <v>1.6394367008291015E-3</v>
      </c>
      <c r="BB10" s="679">
        <f t="shared" si="24"/>
        <v>0.74081757555988448</v>
      </c>
      <c r="BC10" s="722"/>
      <c r="BE10" s="716">
        <f t="shared" si="15"/>
        <v>2019</v>
      </c>
      <c r="BF10" s="717">
        <f>'Normalized Annual Summary'!EA10</f>
        <v>3495126.45</v>
      </c>
      <c r="BG10" s="717">
        <f>SUMIFS('Monthly Data'!CE:CE,'Monthly Data'!B:B,'kW Forecast'!BE10)</f>
        <v>8980.67</v>
      </c>
      <c r="BH10" s="721">
        <f t="shared" si="16"/>
        <v>2.5694835733339489E-3</v>
      </c>
      <c r="BI10" s="722">
        <f t="shared" si="33"/>
        <v>2.5674777862728054E-3</v>
      </c>
      <c r="BJ10" s="679">
        <f t="shared" si="25"/>
        <v>0.53312775684384284</v>
      </c>
      <c r="BK10" s="716"/>
      <c r="BL10" s="716">
        <f t="shared" si="17"/>
        <v>2019</v>
      </c>
      <c r="BM10" s="753">
        <f>'Normalized Annual Summary'!EH10</f>
        <v>29641.217418443437</v>
      </c>
      <c r="BN10" s="717">
        <f>SUMIFS('Monthly Data'!CF:CF,'Monthly Data'!B:B,'kW Forecast'!BE10)</f>
        <v>86.000000000000014</v>
      </c>
      <c r="BO10" s="721">
        <f t="shared" si="18"/>
        <v>2.9013653112131914E-3</v>
      </c>
      <c r="BP10" s="722">
        <f t="shared" si="34"/>
        <v>2.9013653112131919E-3</v>
      </c>
      <c r="BQ10" s="679">
        <f t="shared" si="26"/>
        <v>0.47214427235494477</v>
      </c>
      <c r="BR10" s="716"/>
    </row>
    <row r="11" spans="1:70">
      <c r="A11" s="716"/>
      <c r="B11" s="716">
        <f t="shared" si="0"/>
        <v>2020</v>
      </c>
      <c r="C11" s="717">
        <f>'Normalized Annual Summary'!AG11</f>
        <v>894106942.2700001</v>
      </c>
      <c r="D11" s="717">
        <f>SUMIFS('Monthly Data'!AO:AO,'Monthly Data'!$B:$B,'kW Forecast'!B11)</f>
        <v>2160161.04</v>
      </c>
      <c r="E11" s="721">
        <f t="shared" si="1"/>
        <v>2.415998509658904E-3</v>
      </c>
      <c r="F11" s="679">
        <f t="shared" si="2"/>
        <v>0.56699663026366287</v>
      </c>
      <c r="G11" s="722"/>
      <c r="I11" s="716">
        <f t="shared" si="3"/>
        <v>2020</v>
      </c>
      <c r="J11" s="717">
        <f>'Normalized Annual Summary'!AR11</f>
        <v>89415660.890000015</v>
      </c>
      <c r="K11" s="717">
        <f>SUMIFS('Monthly Data'!AP:AP,'Monthly Data'!$B:$B,'kW Forecast'!I11)</f>
        <v>192683.53999999998</v>
      </c>
      <c r="L11" s="721">
        <f t="shared" si="4"/>
        <v>2.1549193741020501E-3</v>
      </c>
      <c r="M11" s="722">
        <f t="shared" si="27"/>
        <v>2.1683032689820479E-3</v>
      </c>
      <c r="N11" s="679">
        <f t="shared" si="19"/>
        <v>0.63569107511015299</v>
      </c>
      <c r="O11" s="722"/>
      <c r="Q11" s="716">
        <f t="shared" si="5"/>
        <v>2020</v>
      </c>
      <c r="R11" s="717">
        <f>'Normalized Annual Summary'!BC11</f>
        <v>264242586.03</v>
      </c>
      <c r="S11" s="717">
        <f>SUMIFS('Monthly Data'!AQ:AQ,'Monthly Data'!$B:$B,'kW Forecast'!Q11)</f>
        <v>453257</v>
      </c>
      <c r="T11" s="721">
        <f t="shared" si="6"/>
        <v>1.7153064038986539E-3</v>
      </c>
      <c r="U11" s="722">
        <f t="shared" si="28"/>
        <v>1.6918525736678849E-3</v>
      </c>
      <c r="V11" s="679">
        <f t="shared" si="20"/>
        <v>0.79861126302864671</v>
      </c>
      <c r="W11" s="722"/>
      <c r="Y11" s="716">
        <f t="shared" si="7"/>
        <v>2020</v>
      </c>
      <c r="Z11" s="717">
        <f>'Normalized Annual Summary'!BN11</f>
        <v>11924083.520000001</v>
      </c>
      <c r="AA11" s="717">
        <f>SUMIFS('Monthly Data'!AR:AR,'Monthly Data'!$B:$B,'kW Forecast'!Y11)</f>
        <v>31667.35</v>
      </c>
      <c r="AB11" s="721">
        <f t="shared" si="8"/>
        <v>2.655747080845673E-3</v>
      </c>
      <c r="AC11" s="722">
        <f t="shared" si="29"/>
        <v>2.6614697869959988E-3</v>
      </c>
      <c r="AD11" s="679">
        <f t="shared" si="21"/>
        <v>0.51581079522919893</v>
      </c>
      <c r="AE11" s="716"/>
      <c r="AF11" s="716">
        <f t="shared" si="9"/>
        <v>2020</v>
      </c>
      <c r="AG11" s="717">
        <f>'Normalized Annual Summary'!BU11</f>
        <v>229649.84000000003</v>
      </c>
      <c r="AH11" s="717">
        <f>SUMIFS('Monthly Data'!AS:AS,'Monthly Data'!$B:$B,'kW Forecast'!AF11)</f>
        <v>642</v>
      </c>
      <c r="AI11" s="721">
        <f t="shared" si="10"/>
        <v>2.7955604062254078E-3</v>
      </c>
      <c r="AJ11" s="722">
        <f t="shared" si="35"/>
        <v>2.8126147157665642E-3</v>
      </c>
      <c r="AK11" s="679">
        <f t="shared" si="22"/>
        <v>0.49001374130499731</v>
      </c>
      <c r="AL11" s="716"/>
      <c r="AN11" s="716"/>
      <c r="AO11" s="716">
        <f t="shared" si="11"/>
        <v>2020</v>
      </c>
      <c r="AP11" s="717">
        <f>'Normalized Annual Summary'!DE11</f>
        <v>322964211.5</v>
      </c>
      <c r="AQ11" s="717">
        <f>SUMIFS('Monthly Data'!CC:CC,'Monthly Data'!B:B,'kW Forecast'!AO11)</f>
        <v>783041.75999999989</v>
      </c>
      <c r="AR11" s="721">
        <f t="shared" si="12"/>
        <v>2.4245465352435804E-3</v>
      </c>
      <c r="AS11" s="722">
        <f t="shared" si="31"/>
        <v>2.398472085524479E-3</v>
      </c>
      <c r="AT11" s="679">
        <f t="shared" si="23"/>
        <v>0.56499761657946801</v>
      </c>
      <c r="AU11" s="722"/>
      <c r="AW11" s="716">
        <f t="shared" si="13"/>
        <v>2020</v>
      </c>
      <c r="AX11" s="717">
        <f>'Normalized Annual Summary'!DP11</f>
        <v>85368173.439999998</v>
      </c>
      <c r="AY11" s="717">
        <f>SUMIFS('Monthly Data'!CD:CD,'Monthly Data'!B:B,'kW Forecast'!AO11)</f>
        <v>146756.25999999998</v>
      </c>
      <c r="AZ11" s="721">
        <f t="shared" si="14"/>
        <v>1.7190980442277574E-3</v>
      </c>
      <c r="BA11" s="722">
        <f t="shared" si="32"/>
        <v>1.7199805243266978E-3</v>
      </c>
      <c r="BB11" s="679">
        <f t="shared" si="24"/>
        <v>0.79684984710339291</v>
      </c>
      <c r="BC11" s="722"/>
      <c r="BE11" s="716">
        <f t="shared" si="15"/>
        <v>2020</v>
      </c>
      <c r="BF11" s="717">
        <f>'Normalized Annual Summary'!EA11</f>
        <v>3375506.85</v>
      </c>
      <c r="BG11" s="717">
        <f>SUMIFS('Monthly Data'!CE:CE,'Monthly Data'!B:B,'kW Forecast'!BE11)</f>
        <v>9314.0300000000025</v>
      </c>
      <c r="BH11" s="721">
        <f t="shared" si="16"/>
        <v>2.7592982073195919E-3</v>
      </c>
      <c r="BI11" s="722">
        <f t="shared" si="33"/>
        <v>2.6322197133836537E-3</v>
      </c>
      <c r="BJ11" s="679">
        <f t="shared" si="25"/>
        <v>0.49645341343128252</v>
      </c>
      <c r="BK11" s="716"/>
      <c r="BL11" s="716">
        <f t="shared" si="17"/>
        <v>2020</v>
      </c>
      <c r="BM11" s="753">
        <f>'Normalized Annual Summary'!EH11</f>
        <v>24815.902954975896</v>
      </c>
      <c r="BN11" s="717">
        <f>SUMIFS('Monthly Data'!CF:CF,'Monthly Data'!B:B,'kW Forecast'!BE11)</f>
        <v>72</v>
      </c>
      <c r="BO11" s="721">
        <f t="shared" si="18"/>
        <v>2.9013653112131914E-3</v>
      </c>
      <c r="BP11" s="722">
        <f t="shared" si="34"/>
        <v>2.9013653112131919E-3</v>
      </c>
      <c r="BQ11" s="679">
        <f t="shared" si="26"/>
        <v>0.47214427235494477</v>
      </c>
      <c r="BR11" s="716"/>
    </row>
    <row r="12" spans="1:70">
      <c r="A12" s="716"/>
      <c r="B12" s="716">
        <f t="shared" si="0"/>
        <v>2021</v>
      </c>
      <c r="C12" s="717">
        <f>'Normalized Annual Summary'!AG12</f>
        <v>916418748.80999994</v>
      </c>
      <c r="D12" s="717">
        <f>SUMIFS('Monthly Data'!AO:AO,'Monthly Data'!$B:$B,'kW Forecast'!B12)</f>
        <v>2190090.0699999994</v>
      </c>
      <c r="E12" s="721">
        <f t="shared" si="1"/>
        <v>2.389835512252345E-3</v>
      </c>
      <c r="F12" s="679">
        <f t="shared" si="2"/>
        <v>0.57320389067596422</v>
      </c>
      <c r="G12" s="722"/>
      <c r="I12" s="716">
        <f t="shared" si="3"/>
        <v>2021</v>
      </c>
      <c r="J12" s="717">
        <f>'Normalized Annual Summary'!AR12</f>
        <v>98129912.180000007</v>
      </c>
      <c r="K12" s="717">
        <f>SUMIFS('Monthly Data'!AP:AP,'Monthly Data'!$B:$B,'kW Forecast'!I12)</f>
        <v>216388.10000000003</v>
      </c>
      <c r="L12" s="721">
        <f t="shared" si="4"/>
        <v>2.2051186553910152E-3</v>
      </c>
      <c r="M12" s="722">
        <f t="shared" si="27"/>
        <v>2.151646289204228E-3</v>
      </c>
      <c r="N12" s="679">
        <f t="shared" si="19"/>
        <v>0.62121963838527483</v>
      </c>
      <c r="O12" s="722"/>
      <c r="Q12" s="716">
        <f t="shared" si="5"/>
        <v>2021</v>
      </c>
      <c r="R12" s="717">
        <f>'Normalized Annual Summary'!BC12</f>
        <v>284809430.72000003</v>
      </c>
      <c r="S12" s="717">
        <f>SUMIFS('Monthly Data'!AQ:AQ,'Monthly Data'!$B:$B,'kW Forecast'!Q12)</f>
        <v>481567</v>
      </c>
      <c r="T12" s="721">
        <f t="shared" si="6"/>
        <v>1.690839375587373E-3</v>
      </c>
      <c r="U12" s="722">
        <f t="shared" si="28"/>
        <v>1.6919134050919617E-3</v>
      </c>
      <c r="V12" s="679">
        <f t="shared" si="20"/>
        <v>0.8101674431509851</v>
      </c>
      <c r="W12" s="722"/>
      <c r="Y12" s="716">
        <f t="shared" si="7"/>
        <v>2021</v>
      </c>
      <c r="Z12" s="717">
        <f>'Normalized Annual Summary'!BN12</f>
        <v>11682342.399999999</v>
      </c>
      <c r="AA12" s="717">
        <f>SUMIFS('Monthly Data'!AR:AR,'Monthly Data'!$B:$B,'kW Forecast'!Y12)</f>
        <v>31122.25</v>
      </c>
      <c r="AB12" s="721">
        <f t="shared" si="8"/>
        <v>2.6640419304950354E-3</v>
      </c>
      <c r="AC12" s="722">
        <f t="shared" si="29"/>
        <v>2.6602276998985409E-3</v>
      </c>
      <c r="AD12" s="679">
        <f t="shared" si="21"/>
        <v>0.5142047495641634</v>
      </c>
      <c r="AE12" s="716"/>
      <c r="AF12" s="716">
        <f t="shared" si="9"/>
        <v>2021</v>
      </c>
      <c r="AG12" s="717">
        <f>'Normalized Annual Summary'!BU12</f>
        <v>227251.3</v>
      </c>
      <c r="AH12" s="717">
        <f>SUMIFS('Monthly Data'!AS:AS,'Monthly Data'!$B:$B,'kW Forecast'!AF12)</f>
        <v>632</v>
      </c>
      <c r="AI12" s="721">
        <f t="shared" si="10"/>
        <v>2.7810621985440787E-3</v>
      </c>
      <c r="AJ12" s="722">
        <f t="shared" si="35"/>
        <v>2.771355375862867E-3</v>
      </c>
      <c r="AK12" s="679">
        <f t="shared" si="22"/>
        <v>0.49256827640020806</v>
      </c>
      <c r="AL12" s="716"/>
      <c r="AN12" s="716"/>
      <c r="AO12" s="716">
        <f t="shared" si="11"/>
        <v>2021</v>
      </c>
      <c r="AP12" s="717">
        <f>'Normalized Annual Summary'!DE12</f>
        <v>317381493.69</v>
      </c>
      <c r="AQ12" s="717">
        <f>SUMIFS('Monthly Data'!CC:CC,'Monthly Data'!B:B,'kW Forecast'!AO12)</f>
        <v>760128.48</v>
      </c>
      <c r="AR12" s="721">
        <f t="shared" si="12"/>
        <v>2.3949993780747968E-3</v>
      </c>
      <c r="AS12" s="722">
        <f t="shared" si="31"/>
        <v>2.4022734224080021E-3</v>
      </c>
      <c r="AT12" s="679">
        <f t="shared" si="23"/>
        <v>0.57196800393317215</v>
      </c>
      <c r="AU12" s="722"/>
      <c r="AW12" s="716">
        <f t="shared" si="13"/>
        <v>2021</v>
      </c>
      <c r="AX12" s="717">
        <f>'Normalized Annual Summary'!DP12</f>
        <v>88615341.370000005</v>
      </c>
      <c r="AY12" s="717">
        <f>SUMIFS('Monthly Data'!CD:CD,'Monthly Data'!B:B,'kW Forecast'!AO12)</f>
        <v>151779.59</v>
      </c>
      <c r="AZ12" s="721">
        <f t="shared" si="14"/>
        <v>1.7127913480157707E-3</v>
      </c>
      <c r="BA12" s="722">
        <f t="shared" si="32"/>
        <v>1.7603375522390061E-3</v>
      </c>
      <c r="BB12" s="679">
        <f t="shared" si="24"/>
        <v>0.79978394057488966</v>
      </c>
      <c r="BC12" s="722"/>
      <c r="BE12" s="716">
        <f t="shared" si="15"/>
        <v>2021</v>
      </c>
      <c r="BF12" s="717">
        <f>'Normalized Annual Summary'!EA12</f>
        <v>3254529.2399999998</v>
      </c>
      <c r="BG12" s="717">
        <f>SUMIFS('Monthly Data'!CE:CE,'Monthly Data'!B:B,'kW Forecast'!BE12)</f>
        <v>9362</v>
      </c>
      <c r="BH12" s="721">
        <f t="shared" si="16"/>
        <v>2.8766065103781342E-3</v>
      </c>
      <c r="BI12" s="722">
        <f t="shared" si="33"/>
        <v>2.7351294303438918E-3</v>
      </c>
      <c r="BJ12" s="679">
        <f t="shared" si="25"/>
        <v>0.47620799325749968</v>
      </c>
      <c r="BK12" s="716"/>
      <c r="BL12" s="716">
        <f t="shared" si="17"/>
        <v>2021</v>
      </c>
      <c r="BM12" s="717">
        <f>'Normalized Annual Summary'!EH12</f>
        <v>25473.639999999985</v>
      </c>
      <c r="BN12" s="717">
        <f>SUMIFS('Monthly Data'!CF:CF,'Monthly Data'!B:B,'kW Forecast'!BE12)</f>
        <v>71</v>
      </c>
      <c r="BO12" s="721">
        <f t="shared" si="18"/>
        <v>2.7871949199250695E-3</v>
      </c>
      <c r="BP12" s="722">
        <f>AVERAGE(BO10:BO11)</f>
        <v>2.9013653112131914E-3</v>
      </c>
      <c r="BQ12" s="679">
        <f t="shared" si="26"/>
        <v>0.49148446845456273</v>
      </c>
      <c r="BR12" s="716"/>
    </row>
    <row r="13" spans="1:70">
      <c r="A13" s="716"/>
      <c r="B13" s="716">
        <f t="shared" si="0"/>
        <v>2022</v>
      </c>
      <c r="C13" s="717">
        <f>'Normalized Annual Summary'!AG13</f>
        <v>931880224.76000011</v>
      </c>
      <c r="D13" s="717">
        <f>SUMIFS('Monthly Data'!AO:AO,'Monthly Data'!$B:$B,'kW Forecast'!B13)</f>
        <v>2248196.86</v>
      </c>
      <c r="E13" s="721">
        <f t="shared" si="1"/>
        <v>2.4125384360195097E-3</v>
      </c>
      <c r="F13" s="679">
        <f t="shared" si="2"/>
        <v>0.56780981941941278</v>
      </c>
      <c r="G13" s="722"/>
      <c r="I13" s="716">
        <f t="shared" si="3"/>
        <v>2022</v>
      </c>
      <c r="J13" s="717">
        <f>'Normalized Annual Summary'!AR13</f>
        <v>108822585.41</v>
      </c>
      <c r="K13" s="717">
        <f>SUMIFS('Monthly Data'!AP:AP,'Monthly Data'!$B:$B,'kW Forecast'!I13)</f>
        <v>228646.87000000002</v>
      </c>
      <c r="L13" s="721">
        <f t="shared" si="4"/>
        <v>2.1010975721496602E-3</v>
      </c>
      <c r="M13" s="722">
        <f t="shared" si="27"/>
        <v>2.1537118672142418E-3</v>
      </c>
      <c r="N13" s="679">
        <f t="shared" si="19"/>
        <v>0.65197496387428866</v>
      </c>
      <c r="O13" s="722"/>
      <c r="Q13" s="716">
        <f t="shared" si="5"/>
        <v>2022</v>
      </c>
      <c r="R13" s="717">
        <f>'Normalized Annual Summary'!BC13</f>
        <v>289202900.55000001</v>
      </c>
      <c r="S13" s="717">
        <f>SUMIFS('Monthly Data'!AQ:AQ,'Monthly Data'!$B:$B,'kW Forecast'!Q13)</f>
        <v>490452</v>
      </c>
      <c r="T13" s="721">
        <f t="shared" si="6"/>
        <v>1.6958751072941132E-3</v>
      </c>
      <c r="U13" s="722">
        <f t="shared" si="28"/>
        <v>1.7006736289267134E-3</v>
      </c>
      <c r="V13" s="679">
        <f t="shared" si="20"/>
        <v>0.80776173186735545</v>
      </c>
      <c r="W13" s="722"/>
      <c r="Y13" s="716">
        <f t="shared" si="7"/>
        <v>2022</v>
      </c>
      <c r="Z13" s="717">
        <f>'Normalized Annual Summary'!BN13</f>
        <v>11643673.439999999</v>
      </c>
      <c r="AA13" s="717">
        <f>SUMIFS('Monthly Data'!AR:AR,'Monthly Data'!$B:$B,'kW Forecast'!Y13)</f>
        <v>31016.899999999998</v>
      </c>
      <c r="AB13" s="721">
        <f t="shared" si="8"/>
        <v>2.6638414551756785E-3</v>
      </c>
      <c r="AC13" s="722">
        <f t="shared" si="29"/>
        <v>2.661210155505462E-3</v>
      </c>
      <c r="AD13" s="679">
        <f t="shared" si="21"/>
        <v>0.51424344757345508</v>
      </c>
      <c r="AE13" s="716"/>
      <c r="AF13" s="716">
        <f t="shared" si="9"/>
        <v>2022</v>
      </c>
      <c r="AG13" s="717">
        <f>'Normalized Annual Summary'!BU13</f>
        <v>216445.25</v>
      </c>
      <c r="AH13" s="717">
        <f>SUMIFS('Monthly Data'!AS:AS,'Monthly Data'!$B:$B,'kW Forecast'!AF13)</f>
        <v>601</v>
      </c>
      <c r="AI13" s="721">
        <f t="shared" si="10"/>
        <v>2.776683711007749E-3</v>
      </c>
      <c r="AJ13" s="722">
        <f t="shared" si="35"/>
        <v>2.784435438592412E-3</v>
      </c>
      <c r="AK13" s="679">
        <f t="shared" si="22"/>
        <v>0.49334499578328356</v>
      </c>
      <c r="AL13" s="716"/>
      <c r="AN13" s="716"/>
      <c r="AO13" s="716">
        <f t="shared" si="11"/>
        <v>2022</v>
      </c>
      <c r="AP13" s="717">
        <f>'Normalized Annual Summary'!DE13</f>
        <v>327733925.63999999</v>
      </c>
      <c r="AQ13" s="717">
        <f>SUMIFS('Monthly Data'!CC:CC,'Monthly Data'!B:B,'kW Forecast'!AO13)</f>
        <v>795164.42999999993</v>
      </c>
      <c r="AR13" s="721">
        <f t="shared" si="12"/>
        <v>2.4262499783847522E-3</v>
      </c>
      <c r="AS13" s="722">
        <f t="shared" si="31"/>
        <v>2.4152652972343762E-3</v>
      </c>
      <c r="AT13" s="679">
        <f t="shared" si="23"/>
        <v>0.56460093803302192</v>
      </c>
      <c r="AU13" s="722"/>
      <c r="AW13" s="716">
        <f t="shared" si="13"/>
        <v>2022</v>
      </c>
      <c r="AX13" s="717">
        <f>'Normalized Annual Summary'!DP13</f>
        <v>88680038.160000011</v>
      </c>
      <c r="AY13" s="717">
        <f>SUMIFS('Monthly Data'!CD:CD,'Monthly Data'!B:B,'kW Forecast'!AO13)</f>
        <v>164454.65</v>
      </c>
      <c r="AZ13" s="721">
        <f t="shared" si="14"/>
        <v>1.8544720256354022E-3</v>
      </c>
      <c r="BA13" s="722">
        <f t="shared" si="32"/>
        <v>1.7621204726263101E-3</v>
      </c>
      <c r="BB13" s="679">
        <f t="shared" si="24"/>
        <v>0.7386808723789029</v>
      </c>
      <c r="BC13" s="722"/>
      <c r="BE13" s="716">
        <f t="shared" si="15"/>
        <v>2022</v>
      </c>
      <c r="BF13" s="717">
        <f>'Normalized Annual Summary'!EA13</f>
        <v>3584406.7699999996</v>
      </c>
      <c r="BG13" s="717">
        <f>SUMIFS('Monthly Data'!CE:CE,'Monthly Data'!B:B,'kW Forecast'!BE13)</f>
        <v>9581</v>
      </c>
      <c r="BH13" s="721">
        <f t="shared" si="16"/>
        <v>2.6729667180044971E-3</v>
      </c>
      <c r="BI13" s="722">
        <f t="shared" si="33"/>
        <v>2.7696238119007412E-3</v>
      </c>
      <c r="BJ13" s="679">
        <f t="shared" si="25"/>
        <v>0.51248786768332866</v>
      </c>
      <c r="BK13" s="716"/>
      <c r="BL13" s="716">
        <f t="shared" si="17"/>
        <v>2022</v>
      </c>
      <c r="BM13" s="717">
        <f>'Normalized Annual Summary'!EH13</f>
        <v>30995.533717316393</v>
      </c>
      <c r="BN13" s="717">
        <f>SUMIFS('Monthly Data'!CF:CF,'Monthly Data'!B:B,'kW Forecast'!BE13)</f>
        <v>95.000000000000014</v>
      </c>
      <c r="BO13" s="721">
        <f t="shared" si="18"/>
        <v>3.0649577086303242E-3</v>
      </c>
      <c r="BP13" s="722">
        <f>AVERAGE(BO11,BO13)</f>
        <v>2.9831615099217578E-3</v>
      </c>
      <c r="BQ13" s="679">
        <f t="shared" si="26"/>
        <v>0.44694352872842663</v>
      </c>
      <c r="BR13" s="716"/>
    </row>
    <row r="14" spans="1:70">
      <c r="A14" s="716"/>
      <c r="B14" s="716">
        <f t="shared" si="0"/>
        <v>2023</v>
      </c>
      <c r="C14" s="717">
        <f>'Normalized Annual Summary'!AG14</f>
        <v>927766309.05000007</v>
      </c>
      <c r="D14" s="717">
        <f>SUMIFS('Monthly Data'!AO:AO,'Monthly Data'!$B:$B,'kW Forecast'!B14)</f>
        <v>2217562.73</v>
      </c>
      <c r="E14" s="721">
        <f t="shared" si="1"/>
        <v>2.3902169203263114E-3</v>
      </c>
      <c r="F14" s="679">
        <f t="shared" si="2"/>
        <v>0.57311242425294895</v>
      </c>
      <c r="G14" s="311"/>
      <c r="I14" s="716">
        <f t="shared" si="3"/>
        <v>2023</v>
      </c>
      <c r="J14" s="717">
        <f>'Normalized Annual Summary'!AR14</f>
        <v>109703301.45</v>
      </c>
      <c r="K14" s="717">
        <f>SUMIFS('Monthly Data'!AP:AP,'Monthly Data'!$B:$B,'kW Forecast'!I14)</f>
        <v>234048.35</v>
      </c>
      <c r="L14" s="721">
        <f t="shared" si="4"/>
        <v>2.133466786381751E-3</v>
      </c>
      <c r="M14" s="722">
        <f t="shared" si="27"/>
        <v>2.146561004640809E-3</v>
      </c>
      <c r="N14" s="679">
        <f t="shared" si="19"/>
        <v>0.64208312144471991</v>
      </c>
      <c r="O14" s="722"/>
      <c r="Q14" s="716">
        <f t="shared" si="5"/>
        <v>2023</v>
      </c>
      <c r="R14" s="717">
        <f>'Normalized Annual Summary'!BC14</f>
        <v>303910758.94632399</v>
      </c>
      <c r="S14" s="717">
        <f>SUMIFS('Monthly Data'!AQ:AQ,'Monthly Data'!$B:$B,'kW Forecast'!Q14)</f>
        <v>518389.27999999997</v>
      </c>
      <c r="T14" s="721">
        <f t="shared" si="6"/>
        <v>1.7057286217746462E-3</v>
      </c>
      <c r="U14" s="722">
        <f t="shared" si="28"/>
        <v>1.6974810348853776E-3</v>
      </c>
      <c r="V14" s="679">
        <f t="shared" si="20"/>
        <v>0.80309551954015967</v>
      </c>
      <c r="W14" s="722"/>
      <c r="Y14" s="716">
        <f t="shared" si="7"/>
        <v>2023</v>
      </c>
      <c r="Z14" s="717">
        <f>'Normalized Annual Summary'!BN14</f>
        <v>11868526.83</v>
      </c>
      <c r="AA14" s="717">
        <f>SUMIFS('Monthly Data'!AR:AR,'Monthly Data'!$B:$B,'kW Forecast'!Y14)</f>
        <v>31561.47</v>
      </c>
      <c r="AB14" s="721">
        <f t="shared" si="8"/>
        <v>2.6592575853830714E-3</v>
      </c>
      <c r="AC14" s="722">
        <f t="shared" si="29"/>
        <v>2.6623803236845954E-3</v>
      </c>
      <c r="AD14" s="679">
        <f t="shared" si="21"/>
        <v>0.51512986979081932</v>
      </c>
      <c r="AE14" s="716"/>
      <c r="AF14" s="716">
        <f t="shared" si="9"/>
        <v>2023</v>
      </c>
      <c r="AG14" s="717">
        <f>'Normalized Annual Summary'!BU14</f>
        <v>218811.02999999997</v>
      </c>
      <c r="AH14" s="717">
        <f>SUMIFS('Monthly Data'!AS:AS,'Monthly Data'!$B:$B,'kW Forecast'!AF14)</f>
        <v>608</v>
      </c>
      <c r="AI14" s="721">
        <f t="shared" si="10"/>
        <v>2.7786533430238874E-3</v>
      </c>
      <c r="AJ14" s="722">
        <f t="shared" si="35"/>
        <v>2.7787997508585717E-3</v>
      </c>
      <c r="AK14" s="679">
        <f t="shared" si="22"/>
        <v>0.49299529109589035</v>
      </c>
      <c r="AL14" s="716"/>
      <c r="AN14" s="716"/>
      <c r="AO14" s="716">
        <f t="shared" si="11"/>
        <v>2023</v>
      </c>
      <c r="AP14" s="717">
        <f>'Normalized Annual Summary'!DE14</f>
        <v>328654262.78999996</v>
      </c>
      <c r="AQ14" s="717">
        <f>SUMIFS('Monthly Data'!CC:CC,'Monthly Data'!B:B,'kW Forecast'!AO14)</f>
        <v>773424.36</v>
      </c>
      <c r="AR14" s="721">
        <f t="shared" si="12"/>
        <v>2.3533069476545767E-3</v>
      </c>
      <c r="AS14" s="722">
        <f t="shared" si="31"/>
        <v>2.391518768038042E-3</v>
      </c>
      <c r="AT14" s="679">
        <f t="shared" si="23"/>
        <v>0.58210129157350432</v>
      </c>
      <c r="AU14" s="722"/>
      <c r="AW14" s="716">
        <f t="shared" si="13"/>
        <v>2023</v>
      </c>
      <c r="AX14" s="717">
        <f>'Normalized Annual Summary'!DP14</f>
        <v>85763218.280000001</v>
      </c>
      <c r="AY14" s="717">
        <f>SUMIFS('Monthly Data'!CD:CD,'Monthly Data'!B:B,'kW Forecast'!AO14)</f>
        <v>160651.39000000001</v>
      </c>
      <c r="AZ14" s="721">
        <f t="shared" si="14"/>
        <v>1.8731968461760016E-3</v>
      </c>
      <c r="BA14" s="722">
        <f t="shared" si="32"/>
        <v>1.8134867399423914E-3</v>
      </c>
      <c r="BB14" s="679">
        <f t="shared" si="24"/>
        <v>0.73129688238324131</v>
      </c>
      <c r="BC14" s="722"/>
      <c r="BE14" s="716">
        <f t="shared" si="15"/>
        <v>2023</v>
      </c>
      <c r="BF14" s="717">
        <f>'Normalized Annual Summary'!EA14</f>
        <v>3668423.59</v>
      </c>
      <c r="BG14" s="717">
        <f>SUMIFS('Monthly Data'!CE:CE,'Monthly Data'!B:B,'kW Forecast'!BE14)</f>
        <v>9810</v>
      </c>
      <c r="BH14" s="721">
        <f t="shared" si="16"/>
        <v>2.6741731861995798E-3</v>
      </c>
      <c r="BI14" s="722">
        <f t="shared" si="33"/>
        <v>2.741248804860737E-3</v>
      </c>
      <c r="BJ14" s="679">
        <f t="shared" si="25"/>
        <v>0.51225665591442893</v>
      </c>
      <c r="BK14" s="716"/>
      <c r="BL14" s="716">
        <f t="shared" si="17"/>
        <v>2023</v>
      </c>
      <c r="BM14" s="717">
        <f>'Normalized Annual Summary'!EH14</f>
        <v>31196.699999999993</v>
      </c>
      <c r="BN14" s="717">
        <f>SUMIFS('Monthly Data'!CF:CF,'Monthly Data'!B:B,'kW Forecast'!BE14)</f>
        <v>92.000000000000014</v>
      </c>
      <c r="BO14" s="721">
        <f t="shared" si="18"/>
        <v>2.949029865338322E-3</v>
      </c>
      <c r="BP14" s="722">
        <f>AVERAGE(BO13:BO14)</f>
        <v>3.0069937869843231E-3</v>
      </c>
      <c r="BQ14" s="679">
        <f t="shared" si="26"/>
        <v>0.46451310303752213</v>
      </c>
      <c r="BR14" s="716"/>
    </row>
    <row r="15" spans="1:70">
      <c r="A15" s="716"/>
      <c r="B15" s="716">
        <f t="shared" si="0"/>
        <v>2024</v>
      </c>
      <c r="C15" s="717">
        <f>'Normalized Annual Summary'!AG15</f>
        <v>965931354.38279605</v>
      </c>
      <c r="D15" s="717">
        <f>SUMIFS('Monthly Data'!AO:AO,'Monthly Data'!$B:$B,'kW Forecast'!B15)</f>
        <v>2202593.3899999997</v>
      </c>
      <c r="E15" s="721">
        <f t="shared" ref="E15" si="36">D15/C15</f>
        <v>2.2802794215199661E-3</v>
      </c>
      <c r="F15" s="679">
        <f t="shared" si="2"/>
        <v>0.60074348817546253</v>
      </c>
      <c r="G15" s="311"/>
      <c r="I15" s="716">
        <f t="shared" si="3"/>
        <v>2024</v>
      </c>
      <c r="J15" s="717">
        <f>'Normalized Annual Summary'!AR15</f>
        <v>98198227.430000007</v>
      </c>
      <c r="K15" s="717">
        <f>SUMIFS('Monthly Data'!AP:AP,'Monthly Data'!$B:$B,'kW Forecast'!I15)</f>
        <v>215659.85000000003</v>
      </c>
      <c r="L15" s="721">
        <f t="shared" ref="L15" si="37">K15/J15</f>
        <v>2.1961684609198453E-3</v>
      </c>
      <c r="M15" s="722">
        <f t="shared" ref="M15" si="38">AVERAGE(L13:L15)</f>
        <v>2.1435776064837524E-3</v>
      </c>
      <c r="N15" s="679">
        <f t="shared" si="19"/>
        <v>0.62375133696477703</v>
      </c>
      <c r="O15" s="722"/>
      <c r="Q15" s="716">
        <f t="shared" si="5"/>
        <v>2024</v>
      </c>
      <c r="R15" s="717">
        <f>'Normalized Annual Summary'!BC15</f>
        <v>321893041.52938205</v>
      </c>
      <c r="S15" s="717">
        <f>SUMIFS('Monthly Data'!AQ:AQ,'Monthly Data'!$B:$B,'kW Forecast'!Q15)</f>
        <v>532510.09</v>
      </c>
      <c r="T15" s="721">
        <f>S15/R15</f>
        <v>1.6543075534343075E-3</v>
      </c>
      <c r="U15" s="722">
        <f t="shared" ref="U15" si="39">AVERAGE(T13:T15)</f>
        <v>1.6853037608343556E-3</v>
      </c>
      <c r="V15" s="679">
        <f t="shared" si="20"/>
        <v>0.828058247606271</v>
      </c>
      <c r="W15" s="722"/>
      <c r="Y15" s="716">
        <f t="shared" si="7"/>
        <v>2024</v>
      </c>
      <c r="Z15" s="717">
        <f>'Normalized Annual Summary'!BN15</f>
        <v>12144394.529999999</v>
      </c>
      <c r="AA15" s="717">
        <f>SUMIFS('Monthly Data'!AR:AR,'Monthly Data'!$B:$B,'kW Forecast'!Y15)</f>
        <v>32173.850000000002</v>
      </c>
      <c r="AB15" s="721">
        <f t="shared" ref="AB15" si="40">AA15/Z15</f>
        <v>2.6492757560306304E-3</v>
      </c>
      <c r="AC15" s="722">
        <f t="shared" si="29"/>
        <v>2.6574582655297936E-3</v>
      </c>
      <c r="AD15" s="679">
        <f t="shared" si="21"/>
        <v>0.5170707543676295</v>
      </c>
      <c r="AE15" s="716"/>
      <c r="AF15" s="716">
        <f t="shared" si="9"/>
        <v>2024</v>
      </c>
      <c r="AG15" s="717">
        <f>'Normalized Annual Summary'!BU15</f>
        <v>216725.99999999994</v>
      </c>
      <c r="AH15" s="717">
        <f>SUMIFS('Monthly Data'!AS:AS,'Monthly Data'!$B:$B,'kW Forecast'!AF15)</f>
        <v>602</v>
      </c>
      <c r="AI15" s="721">
        <f t="shared" ref="AI15" si="41">AH15/AG15</f>
        <v>2.7777008757601772E-3</v>
      </c>
      <c r="AJ15" s="722">
        <f t="shared" si="35"/>
        <v>2.777679309930605E-3</v>
      </c>
      <c r="AK15" s="679">
        <f t="shared" si="22"/>
        <v>0.4931643380512446</v>
      </c>
      <c r="AL15" s="716"/>
      <c r="AN15" s="716"/>
      <c r="AO15" s="716">
        <f t="shared" si="11"/>
        <v>2024</v>
      </c>
      <c r="AP15" s="717">
        <f>'Normalized Annual Summary'!DE15</f>
        <v>336698539.93000007</v>
      </c>
      <c r="AQ15" s="717">
        <f>SUMIFS('Monthly Data'!CC:CC,'Monthly Data'!B:B,'kW Forecast'!AO15)</f>
        <v>765937.02</v>
      </c>
      <c r="AR15" s="721">
        <f t="shared" ref="AR15" si="42">AQ15/AP15</f>
        <v>2.2748450889013032E-3</v>
      </c>
      <c r="AS15" s="722">
        <f t="shared" ref="AS15" si="43">AVERAGE(AR13:AR15)</f>
        <v>2.3514673383135442E-3</v>
      </c>
      <c r="AT15" s="679">
        <f t="shared" si="23"/>
        <v>0.60217859245978012</v>
      </c>
      <c r="AU15" s="722"/>
      <c r="AW15" s="716">
        <f t="shared" si="13"/>
        <v>2024</v>
      </c>
      <c r="AX15" s="717">
        <f>'Normalized Annual Summary'!DP15</f>
        <v>82433193.179999992</v>
      </c>
      <c r="AY15" s="717">
        <f>SUMIFS('Monthly Data'!CD:CD,'Monthly Data'!B:B,'kW Forecast'!AO15)</f>
        <v>160377.93</v>
      </c>
      <c r="AZ15" s="721">
        <f t="shared" ref="AZ15" si="44">AY15/AX15</f>
        <v>1.9455503761670488E-3</v>
      </c>
      <c r="BA15" s="722">
        <f t="shared" si="32"/>
        <v>1.8910730826594841E-3</v>
      </c>
      <c r="BB15" s="679">
        <f t="shared" si="24"/>
        <v>0.70410051082687097</v>
      </c>
      <c r="BC15" s="722"/>
      <c r="BE15" s="716">
        <f t="shared" si="15"/>
        <v>2024</v>
      </c>
      <c r="BF15" s="717">
        <f>'Normalized Annual Summary'!EA15</f>
        <v>3708102.8000000003</v>
      </c>
      <c r="BG15" s="717">
        <f>SUMIFS('Monthly Data'!CE:CE,'Monthly Data'!B:B,'kW Forecast'!BE15)</f>
        <v>9886</v>
      </c>
      <c r="BH15" s="721">
        <f t="shared" ref="BH15" si="45">BG15/BF15</f>
        <v>2.6660533791026501E-3</v>
      </c>
      <c r="BI15" s="722">
        <f t="shared" si="33"/>
        <v>2.6710644277689092E-3</v>
      </c>
      <c r="BJ15" s="679">
        <f t="shared" si="25"/>
        <v>0.5138167991819067</v>
      </c>
      <c r="BK15" s="716"/>
      <c r="BL15" s="716">
        <f t="shared" si="17"/>
        <v>2024</v>
      </c>
      <c r="BM15" s="717">
        <f>'Normalized Annual Summary'!EH15</f>
        <v>29865.999999999989</v>
      </c>
      <c r="BN15" s="717">
        <f>SUMIFS('Monthly Data'!CF:CF,'Monthly Data'!B:B,'kW Forecast'!BE15)</f>
        <v>83</v>
      </c>
      <c r="BO15" s="721">
        <f t="shared" ref="BO15" si="46">BN15/BM15</f>
        <v>2.779079890176121E-3</v>
      </c>
      <c r="BP15" s="722">
        <f>AVERAGE(BO13,BO15)</f>
        <v>2.9220187994032226E-3</v>
      </c>
      <c r="BQ15" s="679">
        <f t="shared" si="26"/>
        <v>0.49291962370028042</v>
      </c>
      <c r="BR15" s="716"/>
    </row>
    <row r="16" spans="1:70">
      <c r="A16" s="716"/>
      <c r="B16" s="716"/>
      <c r="C16" s="717"/>
      <c r="D16" s="717"/>
      <c r="E16" s="721"/>
      <c r="F16" s="722"/>
      <c r="G16" s="722"/>
      <c r="I16" s="716"/>
      <c r="J16" s="717"/>
      <c r="K16" s="717"/>
      <c r="L16" s="721"/>
      <c r="M16" s="722"/>
      <c r="N16" s="722"/>
      <c r="O16" s="722"/>
      <c r="Q16" s="716"/>
      <c r="R16" s="717"/>
      <c r="S16" s="717"/>
      <c r="T16" s="721"/>
      <c r="U16" s="722"/>
      <c r="V16" s="722"/>
      <c r="W16" s="722"/>
      <c r="Y16" s="716"/>
      <c r="Z16" s="717"/>
      <c r="AA16" s="717"/>
      <c r="AB16" s="721"/>
      <c r="AC16" s="722"/>
      <c r="AD16" s="722"/>
      <c r="AE16" s="716"/>
      <c r="AF16" s="716"/>
      <c r="AG16" s="717"/>
      <c r="AH16" s="717"/>
      <c r="AI16" s="721"/>
      <c r="AJ16" s="722"/>
      <c r="AK16" s="722"/>
      <c r="AL16" s="716"/>
      <c r="AN16" s="716"/>
      <c r="AO16" s="716"/>
      <c r="AP16" s="717"/>
      <c r="AQ16" s="717"/>
      <c r="AR16" s="721"/>
      <c r="AS16" s="722"/>
      <c r="AT16" s="722"/>
      <c r="AU16" s="722"/>
      <c r="AW16" s="716"/>
      <c r="AX16" s="717"/>
      <c r="AY16" s="717"/>
      <c r="AZ16" s="721"/>
      <c r="BA16" s="722"/>
      <c r="BB16" s="722"/>
      <c r="BC16" s="722"/>
      <c r="BE16" s="716"/>
      <c r="BF16" s="717"/>
      <c r="BG16" s="717"/>
      <c r="BH16" s="721"/>
      <c r="BI16" s="722"/>
      <c r="BJ16" s="722"/>
      <c r="BK16" s="716"/>
      <c r="BL16" s="716"/>
      <c r="BM16" s="717"/>
      <c r="BN16" s="717"/>
      <c r="BO16" s="721"/>
      <c r="BP16" s="722"/>
      <c r="BQ16" s="722"/>
      <c r="BR16" s="716"/>
    </row>
    <row r="17" spans="1:70" ht="14.25">
      <c r="B17" s="716"/>
      <c r="C17" s="716" t="s">
        <v>458</v>
      </c>
      <c r="D17" s="723" t="s">
        <v>459</v>
      </c>
      <c r="E17" s="106" t="s">
        <v>460</v>
      </c>
      <c r="F17" s="106" t="s">
        <v>446</v>
      </c>
      <c r="G17" s="106" t="s">
        <v>462</v>
      </c>
      <c r="I17" s="716"/>
      <c r="J17" s="716" t="s">
        <v>458</v>
      </c>
      <c r="K17" s="723" t="s">
        <v>459</v>
      </c>
      <c r="L17" s="106" t="s">
        <v>460</v>
      </c>
      <c r="M17" s="106" t="s">
        <v>461</v>
      </c>
      <c r="N17" s="106" t="s">
        <v>446</v>
      </c>
      <c r="O17" s="106" t="s">
        <v>462</v>
      </c>
      <c r="Q17" s="716"/>
      <c r="R17" s="716" t="s">
        <v>458</v>
      </c>
      <c r="S17" s="723" t="s">
        <v>459</v>
      </c>
      <c r="T17" s="106" t="s">
        <v>460</v>
      </c>
      <c r="U17" s="106" t="s">
        <v>461</v>
      </c>
      <c r="V17" s="106" t="s">
        <v>446</v>
      </c>
      <c r="W17" s="106" t="s">
        <v>462</v>
      </c>
      <c r="Y17" s="716"/>
      <c r="Z17" s="716" t="s">
        <v>458</v>
      </c>
      <c r="AA17" s="723" t="s">
        <v>459</v>
      </c>
      <c r="AB17" s="106" t="s">
        <v>460</v>
      </c>
      <c r="AC17" s="106" t="s">
        <v>463</v>
      </c>
      <c r="AE17" s="716"/>
      <c r="AF17" s="716"/>
      <c r="AG17" s="716" t="s">
        <v>458</v>
      </c>
      <c r="AH17" s="723" t="s">
        <v>459</v>
      </c>
      <c r="AI17" s="106" t="s">
        <v>460</v>
      </c>
      <c r="AJ17" s="106" t="s">
        <v>463</v>
      </c>
      <c r="AL17" s="716"/>
      <c r="AO17" s="716"/>
      <c r="AP17" s="716" t="s">
        <v>458</v>
      </c>
      <c r="AQ17" s="723" t="s">
        <v>459</v>
      </c>
      <c r="AR17" s="106" t="s">
        <v>460</v>
      </c>
      <c r="AS17" s="106" t="s">
        <v>461</v>
      </c>
      <c r="AT17" s="106" t="s">
        <v>446</v>
      </c>
      <c r="AU17" s="106" t="s">
        <v>462</v>
      </c>
      <c r="AW17" s="716"/>
      <c r="AX17" s="716" t="s">
        <v>458</v>
      </c>
      <c r="AY17" s="723" t="s">
        <v>459</v>
      </c>
      <c r="AZ17" s="106" t="s">
        <v>460</v>
      </c>
      <c r="BA17" s="106" t="s">
        <v>461</v>
      </c>
      <c r="BB17" s="106" t="s">
        <v>446</v>
      </c>
      <c r="BC17" s="106" t="s">
        <v>462</v>
      </c>
      <c r="BE17" s="716"/>
      <c r="BF17" s="716" t="s">
        <v>458</v>
      </c>
      <c r="BG17" s="723" t="s">
        <v>459</v>
      </c>
      <c r="BH17" s="106" t="s">
        <v>460</v>
      </c>
      <c r="BI17" s="106" t="s">
        <v>463</v>
      </c>
      <c r="BK17" s="716"/>
      <c r="BL17" s="716"/>
      <c r="BM17" s="716" t="s">
        <v>458</v>
      </c>
      <c r="BN17" s="723" t="s">
        <v>459</v>
      </c>
      <c r="BO17" s="106" t="s">
        <v>460</v>
      </c>
      <c r="BP17" s="106" t="s">
        <v>463</v>
      </c>
      <c r="BR17" s="716"/>
    </row>
    <row r="18" spans="1:70">
      <c r="B18" s="83"/>
      <c r="C18" s="83" t="s">
        <v>184</v>
      </c>
      <c r="D18" s="82" t="s">
        <v>464</v>
      </c>
      <c r="E18" s="81" t="s">
        <v>282</v>
      </c>
      <c r="F18" s="724" t="s">
        <v>187</v>
      </c>
      <c r="G18" s="724" t="s">
        <v>743</v>
      </c>
      <c r="I18" s="83"/>
      <c r="J18" s="83" t="s">
        <v>184</v>
      </c>
      <c r="K18" s="82" t="s">
        <v>464</v>
      </c>
      <c r="L18" s="81" t="s">
        <v>282</v>
      </c>
      <c r="M18" s="724" t="s">
        <v>187</v>
      </c>
      <c r="N18" s="724" t="s">
        <v>188</v>
      </c>
      <c r="O18" s="724" t="s">
        <v>465</v>
      </c>
      <c r="Q18" s="83"/>
      <c r="R18" s="83" t="s">
        <v>184</v>
      </c>
      <c r="S18" s="82" t="s">
        <v>464</v>
      </c>
      <c r="T18" s="81" t="s">
        <v>282</v>
      </c>
      <c r="U18" s="724" t="s">
        <v>187</v>
      </c>
      <c r="V18" s="724" t="s">
        <v>188</v>
      </c>
      <c r="W18" s="724" t="s">
        <v>465</v>
      </c>
      <c r="Y18" s="83"/>
      <c r="Z18" s="83" t="s">
        <v>184</v>
      </c>
      <c r="AA18" s="82" t="s">
        <v>466</v>
      </c>
      <c r="AB18" s="81" t="s">
        <v>282</v>
      </c>
      <c r="AC18" s="724" t="s">
        <v>187</v>
      </c>
      <c r="AE18" s="83"/>
      <c r="AF18" s="83"/>
      <c r="AG18" s="83" t="s">
        <v>184</v>
      </c>
      <c r="AH18" s="82" t="s">
        <v>466</v>
      </c>
      <c r="AI18" s="81" t="s">
        <v>282</v>
      </c>
      <c r="AJ18" s="724" t="s">
        <v>187</v>
      </c>
      <c r="AL18" s="83"/>
      <c r="AO18" s="83"/>
      <c r="AP18" s="83" t="s">
        <v>184</v>
      </c>
      <c r="AQ18" s="82" t="s">
        <v>464</v>
      </c>
      <c r="AR18" s="81" t="s">
        <v>282</v>
      </c>
      <c r="AS18" s="724" t="s">
        <v>187</v>
      </c>
      <c r="AT18" s="724" t="s">
        <v>188</v>
      </c>
      <c r="AU18" s="724" t="s">
        <v>465</v>
      </c>
      <c r="AW18" s="83"/>
      <c r="AX18" s="83" t="s">
        <v>184</v>
      </c>
      <c r="AY18" s="82" t="s">
        <v>464</v>
      </c>
      <c r="AZ18" s="81" t="s">
        <v>282</v>
      </c>
      <c r="BA18" s="724" t="s">
        <v>187</v>
      </c>
      <c r="BB18" s="724" t="s">
        <v>188</v>
      </c>
      <c r="BC18" s="724" t="s">
        <v>465</v>
      </c>
      <c r="BE18" s="83"/>
      <c r="BF18" s="83" t="s">
        <v>184</v>
      </c>
      <c r="BG18" s="82" t="s">
        <v>466</v>
      </c>
      <c r="BH18" s="81" t="s">
        <v>282</v>
      </c>
      <c r="BI18" s="724" t="s">
        <v>187</v>
      </c>
      <c r="BK18" s="83"/>
      <c r="BL18" s="83"/>
      <c r="BM18" s="83" t="s">
        <v>184</v>
      </c>
      <c r="BN18" s="82" t="s">
        <v>466</v>
      </c>
      <c r="BO18" s="81" t="s">
        <v>282</v>
      </c>
      <c r="BP18" s="724" t="s">
        <v>187</v>
      </c>
      <c r="BR18" s="83"/>
    </row>
    <row r="19" spans="1:70">
      <c r="B19" s="84">
        <v>2023</v>
      </c>
      <c r="C19" s="85">
        <f ca="1">'Normalized Annual Summary'!AL14</f>
        <v>939133262.1881988</v>
      </c>
      <c r="D19" s="80">
        <f ca="1">C19*E19</f>
        <v>2245607.7287597186</v>
      </c>
      <c r="E19" s="79">
        <f>AVERAGE(E6:E15)</f>
        <v>2.3911491789007757E-3</v>
      </c>
      <c r="F19" s="77"/>
      <c r="G19" s="76">
        <f t="shared" ref="G19:G27" ca="1" si="47">D19+F19</f>
        <v>2245607.7287597186</v>
      </c>
      <c r="I19" s="84">
        <v>2023</v>
      </c>
      <c r="J19" s="85">
        <f ca="1">'Normalized Annual Summary'!AW14</f>
        <v>101725108.28833295</v>
      </c>
      <c r="K19" s="80">
        <f ca="1">J19*L19</f>
        <v>219538.46662468955</v>
      </c>
      <c r="L19" s="79">
        <f>AVERAGE(L11:L15)</f>
        <v>2.1581541697888646E-3</v>
      </c>
      <c r="M19" s="78">
        <f>TREND($L$6:$L$15,$I$6:$I$15,I19)</f>
        <v>2.1112508519062212E-3</v>
      </c>
      <c r="N19" s="77"/>
      <c r="O19" s="76">
        <f ca="1">K19+N19</f>
        <v>219538.46662468955</v>
      </c>
      <c r="Q19" s="84">
        <v>2023</v>
      </c>
      <c r="R19" s="85">
        <f ca="1">'Normalized Annual Summary'!BH14</f>
        <v>307878492.81700319</v>
      </c>
      <c r="S19" s="80">
        <f ca="1">R19*T19</f>
        <v>521057.07487533614</v>
      </c>
      <c r="T19" s="79">
        <f>AVERAGE(T11:T15)</f>
        <v>1.692411412397819E-3</v>
      </c>
      <c r="U19" s="78">
        <f>TREND($T$6:$T$15,$Q$6:$Q$15,Q19)</f>
        <v>1.6710063462011572E-3</v>
      </c>
      <c r="V19" s="77"/>
      <c r="W19" s="76">
        <f ca="1">S19+V19</f>
        <v>521057.07487533614</v>
      </c>
      <c r="Y19" s="84">
        <v>2023</v>
      </c>
      <c r="Z19" s="85">
        <f>'Normalized Annual Summary'!BQ14</f>
        <v>11868526.83</v>
      </c>
      <c r="AA19" s="80">
        <f>Z19*AB19</f>
        <v>31626.769584988968</v>
      </c>
      <c r="AB19" s="79">
        <f>AVERAGE(AB6:AB15)</f>
        <v>2.6647594969449943E-3</v>
      </c>
      <c r="AC19" s="78">
        <f>TREND($AC$8:$AC$15,$Y$8:$Y$15,Y19)</f>
        <v>2.6591122663633046E-3</v>
      </c>
      <c r="AE19" s="83"/>
      <c r="AF19" s="84">
        <v>2023</v>
      </c>
      <c r="AG19" s="85">
        <f>'Normalized Annual Summary'!BX14</f>
        <v>218811.02999999997</v>
      </c>
      <c r="AH19" s="80">
        <f>AG19*AI19</f>
        <v>606.95567913112018</v>
      </c>
      <c r="AI19" s="418">
        <f>AVERAGE(AI10:AI14)</f>
        <v>2.7738806363240475E-3</v>
      </c>
      <c r="AJ19" s="78">
        <f>TREND($AJ$8:$AJ$15,$AF$8:$AF$15,AF19)</f>
        <v>2.4759243631778949E-3</v>
      </c>
      <c r="AL19" s="83"/>
      <c r="AO19" s="84">
        <v>2023</v>
      </c>
      <c r="AP19" s="85">
        <f ca="1">'Normalized Annual Summary'!DJ14</f>
        <v>328997984.10325587</v>
      </c>
      <c r="AQ19" s="80">
        <f ca="1">AP19*AR19</f>
        <v>780364.48919774743</v>
      </c>
      <c r="AR19" s="79">
        <f>AVERAGE(AR6:AR15)</f>
        <v>2.3719430723102256E-3</v>
      </c>
      <c r="AS19" s="78">
        <f>TREND($AS$8:$AS$15,$AO$8:$AO$15,AO19)</f>
        <v>2.388444484723935E-3</v>
      </c>
      <c r="AT19" s="77"/>
      <c r="AU19" s="76">
        <f ca="1">AQ19+AT19</f>
        <v>780364.48919774743</v>
      </c>
      <c r="AW19" s="84">
        <v>2023</v>
      </c>
      <c r="AX19" s="85">
        <f ca="1">'Normalized Annual Summary'!DU14</f>
        <v>81676247.466148376</v>
      </c>
      <c r="AY19" s="80">
        <f ca="1">AX19*AZ19</f>
        <v>148734.22130098724</v>
      </c>
      <c r="AZ19" s="79">
        <f>AVERAGE(AZ11:AZ15)</f>
        <v>1.821021728044396E-3</v>
      </c>
      <c r="BA19" s="78">
        <f>TREND($BA$8:$BA$15,$AW$8:$AW$15,AW19)</f>
        <v>1.8385441954648918E-3</v>
      </c>
      <c r="BB19" s="77"/>
      <c r="BC19" s="76">
        <f ca="1">AY19+BB19</f>
        <v>148734.22130098724</v>
      </c>
      <c r="BE19" s="84">
        <v>2023</v>
      </c>
      <c r="BF19" s="85">
        <f>'Normalized Annual Summary'!ED14</f>
        <v>3668423.59</v>
      </c>
      <c r="BG19" s="80">
        <f>BF19*BH19</f>
        <v>9719.3947775796514</v>
      </c>
      <c r="BH19" s="79">
        <f>AVERAGE(BH6:BH15)</f>
        <v>2.6494745056362622E-3</v>
      </c>
      <c r="BI19" s="78">
        <f>TREND($BI$8:$BI$15,$BE$8:$BE$15,BE19)</f>
        <v>2.7249579490449677E-3</v>
      </c>
      <c r="BK19" s="83"/>
      <c r="BL19" s="84">
        <v>2023</v>
      </c>
      <c r="BM19" s="85">
        <f>'Normalized Annual Summary'!EK14</f>
        <v>31196.699999999993</v>
      </c>
      <c r="BN19" s="80">
        <f>BM19*BO19</f>
        <v>91.522616635751334</v>
      </c>
      <c r="BO19" s="418">
        <f>AVERAGE(BO12:BO14)</f>
        <v>2.9337274979645716E-3</v>
      </c>
      <c r="BP19" s="78"/>
      <c r="BR19" s="83"/>
    </row>
    <row r="20" spans="1:70">
      <c r="B20" s="84">
        <v>2024</v>
      </c>
      <c r="C20" s="85">
        <f ca="1">'Normalized Annual Summary'!AL15</f>
        <v>935562053.74613178</v>
      </c>
      <c r="D20" s="80">
        <f t="shared" ref="D20:D22" ca="1" si="48">C20*E20</f>
        <v>2237068.4366257861</v>
      </c>
      <c r="E20" s="79">
        <f>E19</f>
        <v>2.3911491789007757E-3</v>
      </c>
      <c r="F20" s="74">
        <f>'Total Additional'!N21</f>
        <v>0</v>
      </c>
      <c r="G20" s="76">
        <f t="shared" ca="1" si="47"/>
        <v>2237068.4366257861</v>
      </c>
      <c r="I20" s="84">
        <v>2024</v>
      </c>
      <c r="J20" s="85">
        <f ca="1">'Normalized Annual Summary'!AW15</f>
        <v>103098436.38779709</v>
      </c>
      <c r="K20" s="80">
        <f t="shared" ref="K20:K27" ca="1" si="49">J20*L20</f>
        <v>222502.32038903629</v>
      </c>
      <c r="L20" s="79">
        <f>L19</f>
        <v>2.1581541697888646E-3</v>
      </c>
      <c r="M20" s="78">
        <f t="shared" ref="M20:M27" si="50">TREND($L$6:$L$15,$I$6:$I$15,I20)</f>
        <v>2.0732837513392915E-3</v>
      </c>
      <c r="N20" s="74">
        <f>'Total Additional'!N22</f>
        <v>0</v>
      </c>
      <c r="O20" s="76">
        <f ca="1">K20+N20</f>
        <v>222502.32038903629</v>
      </c>
      <c r="Q20" s="84">
        <v>2024</v>
      </c>
      <c r="R20" s="85">
        <f ca="1">'Normalized Annual Summary'!BH15</f>
        <v>314713652.61928004</v>
      </c>
      <c r="S20" s="80">
        <f t="shared" ref="S20:S27" ca="1" si="51">R20*T20</f>
        <v>532624.97733027232</v>
      </c>
      <c r="T20" s="79">
        <f>T19</f>
        <v>1.692411412397819E-3</v>
      </c>
      <c r="U20" s="78">
        <f t="shared" ref="U20:U27" si="52">TREND($T$6:$T$15,$Q$6:$Q$15,Q20)</f>
        <v>1.6569085824911164E-3</v>
      </c>
      <c r="V20" s="74">
        <f>'Total Additional'!N23</f>
        <v>0</v>
      </c>
      <c r="W20" s="76">
        <f ca="1">S20+V20</f>
        <v>532624.97733027232</v>
      </c>
      <c r="Y20" s="84">
        <v>2024</v>
      </c>
      <c r="Z20" s="85">
        <f>'Normalized Annual Summary'!BQ15</f>
        <v>12144394.529999999</v>
      </c>
      <c r="AA20" s="80">
        <f>Z20*AB20</f>
        <v>32361.890658464337</v>
      </c>
      <c r="AB20" s="79">
        <f>AB19</f>
        <v>2.6647594969449943E-3</v>
      </c>
      <c r="AC20" s="78">
        <f t="shared" ref="AC20:AC27" si="53">TREND($AC$8:$AC$14,$Y$8:$Y$14,Y20)</f>
        <v>2.6566939698661647E-3</v>
      </c>
      <c r="AE20" s="84"/>
      <c r="AF20" s="84">
        <v>2024</v>
      </c>
      <c r="AG20" s="85">
        <f>'Normalized Annual Summary'!BX15</f>
        <v>216725.99999999994</v>
      </c>
      <c r="AH20" s="80">
        <f>AG20*AI20</f>
        <v>601.17205478796541</v>
      </c>
      <c r="AI20" s="79">
        <f>AI19</f>
        <v>2.7738806363240475E-3</v>
      </c>
      <c r="AJ20" s="78">
        <f t="shared" ref="AJ20:AJ27" si="54">TREND($AJ$8:$AJ$14,$AF$8:$AF$14,AF20)</f>
        <v>1.6338266839241999E-3</v>
      </c>
      <c r="AL20" s="84"/>
      <c r="AO20" s="84">
        <v>2024</v>
      </c>
      <c r="AP20" s="85">
        <f ca="1">'Normalized Annual Summary'!DJ15</f>
        <v>326383380.86347687</v>
      </c>
      <c r="AQ20" s="80">
        <f t="shared" ref="AQ20:AQ27" ca="1" si="55">AP20*AR20</f>
        <v>774162.79915631376</v>
      </c>
      <c r="AR20" s="79">
        <f>AR19</f>
        <v>2.3719430723102256E-3</v>
      </c>
      <c r="AS20" s="78">
        <f t="shared" ref="AS20:AS27" si="56">TREND($AS$8:$AS$15,$AO$8:$AO$15,AO20)</f>
        <v>2.390115413452896E-3</v>
      </c>
      <c r="AT20" s="74">
        <f>'Total Additional'!N47</f>
        <v>0</v>
      </c>
      <c r="AU20" s="76">
        <f ca="1">AQ20+AT20</f>
        <v>774162.79915631376</v>
      </c>
      <c r="AW20" s="84">
        <v>2024</v>
      </c>
      <c r="AX20" s="85">
        <f ca="1">'Normalized Annual Summary'!DU15</f>
        <v>81169458.333077088</v>
      </c>
      <c r="AY20" s="80">
        <f t="shared" ref="AY20:AY27" ca="1" si="57">AX20*AZ20</f>
        <v>147811.34727812762</v>
      </c>
      <c r="AZ20" s="79">
        <f>AZ19</f>
        <v>1.821021728044396E-3</v>
      </c>
      <c r="BA20" s="78">
        <f t="shared" ref="BA20:BA27" si="58">TREND($BA$8:$BA$15,$AW$8:$AW$15,AW20)</f>
        <v>1.893805288375322E-3</v>
      </c>
      <c r="BB20" s="74">
        <f>'Total Additional'!N48</f>
        <v>0</v>
      </c>
      <c r="BC20" s="76">
        <f ca="1">AY20+BB20</f>
        <v>147811.34727812762</v>
      </c>
      <c r="BE20" s="84">
        <v>2024</v>
      </c>
      <c r="BF20" s="85">
        <f>'Normalized Annual Summary'!ED15</f>
        <v>3708102.8000000003</v>
      </c>
      <c r="BG20" s="80">
        <f>BF20*BH20</f>
        <v>9824.5238328784399</v>
      </c>
      <c r="BH20" s="79">
        <f>BH19</f>
        <v>2.6494745056362622E-3</v>
      </c>
      <c r="BI20" s="78">
        <f t="shared" ref="BI20:BI27" si="59">TREND($BI$8:$BI$15,$BE$8:$BE$15,BE20)</f>
        <v>2.752477492272018E-3</v>
      </c>
      <c r="BK20" s="84"/>
      <c r="BL20" s="84">
        <v>2024</v>
      </c>
      <c r="BM20" s="85">
        <f>'Normalized Annual Summary'!EK15</f>
        <v>29865.999999999993</v>
      </c>
      <c r="BN20" s="80">
        <f>BM20*BO20</f>
        <v>87.618705454209874</v>
      </c>
      <c r="BO20" s="79">
        <f>BO19</f>
        <v>2.9337274979645716E-3</v>
      </c>
      <c r="BP20" s="78"/>
      <c r="BR20" s="84"/>
    </row>
    <row r="21" spans="1:70">
      <c r="B21" s="84">
        <v>2025</v>
      </c>
      <c r="C21" s="85">
        <f ca="1">'Normalized Annual Summary'!AL16</f>
        <v>937079651.6462208</v>
      </c>
      <c r="D21" s="80">
        <f t="shared" ca="1" si="48"/>
        <v>2240697.2395984856</v>
      </c>
      <c r="E21" s="79">
        <f>E20</f>
        <v>2.3911491789007757E-3</v>
      </c>
      <c r="F21" s="74">
        <f>'Total Additional'!O21+'EV Forecast VRZ'!N150</f>
        <v>50861.513450294369</v>
      </c>
      <c r="G21" s="76">
        <f t="shared" ca="1" si="47"/>
        <v>2291558.7530487799</v>
      </c>
      <c r="I21" s="84">
        <v>2025</v>
      </c>
      <c r="J21" s="85">
        <f ca="1">'Normalized Annual Summary'!AW16</f>
        <v>103608036.19175339</v>
      </c>
      <c r="K21" s="80">
        <f t="shared" ca="1" si="49"/>
        <v>223602.11533086817</v>
      </c>
      <c r="L21" s="79">
        <f>L20</f>
        <v>2.1581541697888646E-3</v>
      </c>
      <c r="M21" s="78">
        <f t="shared" si="50"/>
        <v>2.0353166507723619E-3</v>
      </c>
      <c r="N21" s="74">
        <f>'Total Additional'!O22+'EV Forecast VRZ'!N151</f>
        <v>47293.467040843097</v>
      </c>
      <c r="O21" s="76">
        <f t="shared" ref="O21" ca="1" si="60">K21+N21</f>
        <v>270895.58237171127</v>
      </c>
      <c r="Q21" s="84">
        <v>2025</v>
      </c>
      <c r="R21" s="85">
        <f ca="1">'Normalized Annual Summary'!BH16</f>
        <v>318434273.35809433</v>
      </c>
      <c r="S21" s="80">
        <f t="shared" ca="1" si="51"/>
        <v>538921.79832984565</v>
      </c>
      <c r="T21" s="79">
        <f>T20</f>
        <v>1.692411412397819E-3</v>
      </c>
      <c r="U21" s="78">
        <f t="shared" si="52"/>
        <v>1.6428108187810722E-3</v>
      </c>
      <c r="V21" s="74">
        <f>'Total Additional'!O23+'EV Forecast VRZ'!N152</f>
        <v>33255.364732617796</v>
      </c>
      <c r="W21" s="76">
        <f t="shared" ref="W21" ca="1" si="61">S21+V21</f>
        <v>572177.1630624634</v>
      </c>
      <c r="Y21" s="84">
        <v>2025</v>
      </c>
      <c r="Z21" s="85">
        <f>'Normalized Annual Summary'!BQ16</f>
        <v>12269224.120433811</v>
      </c>
      <c r="AA21" s="80">
        <f t="shared" ref="AA21:AA22" si="62">Z21*AB21</f>
        <v>32694.531495072591</v>
      </c>
      <c r="AB21" s="79">
        <f>AB20</f>
        <v>2.6647594969449943E-3</v>
      </c>
      <c r="AC21" s="78">
        <f t="shared" si="53"/>
        <v>2.6545304385902349E-3</v>
      </c>
      <c r="AE21" s="84"/>
      <c r="AF21" s="84">
        <v>2025</v>
      </c>
      <c r="AG21" s="85">
        <f>'Normalized Annual Summary'!BX16</f>
        <v>213059.04438813563</v>
      </c>
      <c r="AH21" s="80">
        <f t="shared" ref="AH21:AH27" si="63">AG21*AI21</f>
        <v>591.00035762195512</v>
      </c>
      <c r="AI21" s="79">
        <f>AI20</f>
        <v>2.7738806363240475E-3</v>
      </c>
      <c r="AJ21" s="78">
        <f t="shared" si="54"/>
        <v>1.1730132133392912E-3</v>
      </c>
      <c r="AL21" s="84"/>
      <c r="AO21" s="84">
        <v>2025</v>
      </c>
      <c r="AP21" s="85">
        <f ca="1">'Normalized Annual Summary'!DJ16</f>
        <v>326976028.31844777</v>
      </c>
      <c r="AQ21" s="80">
        <f t="shared" ca="1" si="55"/>
        <v>775568.52518145437</v>
      </c>
      <c r="AR21" s="79">
        <f>AR20</f>
        <v>2.3719430723102256E-3</v>
      </c>
      <c r="AS21" s="78">
        <f t="shared" si="56"/>
        <v>2.3917863421818565E-3</v>
      </c>
      <c r="AT21" s="74">
        <f>'Total Additional'!O47+'EV Forecast WRZ'!N150</f>
        <v>30003.608837851898</v>
      </c>
      <c r="AU21" s="76">
        <f t="shared" ref="AU21" ca="1" si="64">AQ21+AT21</f>
        <v>805572.13401930628</v>
      </c>
      <c r="AW21" s="84">
        <v>2025</v>
      </c>
      <c r="AX21" s="85">
        <f ca="1">'Normalized Annual Summary'!DU16</f>
        <v>81409668.334561512</v>
      </c>
      <c r="AY21" s="80">
        <f t="shared" ca="1" si="57"/>
        <v>148248.77491012434</v>
      </c>
      <c r="AZ21" s="79">
        <f>AZ20</f>
        <v>1.821021728044396E-3</v>
      </c>
      <c r="BA21" s="78">
        <f t="shared" si="58"/>
        <v>1.9490663812857523E-3</v>
      </c>
      <c r="BB21" s="74">
        <f>'Total Additional'!O48+'EV Forecast WRZ'!N151</f>
        <v>19482.928080025056</v>
      </c>
      <c r="BC21" s="76">
        <f t="shared" ref="BC21" ca="1" si="65">AY21+BB21</f>
        <v>167731.70299014938</v>
      </c>
      <c r="BE21" s="84">
        <v>2025</v>
      </c>
      <c r="BF21" s="85">
        <f>'Normalized Annual Summary'!ED16</f>
        <v>3769413.3310388532</v>
      </c>
      <c r="BG21" s="80">
        <f t="shared" ref="BG21:BG27" si="66">BF21*BH21</f>
        <v>9986.964521792901</v>
      </c>
      <c r="BH21" s="79">
        <f>BH20</f>
        <v>2.6494745056362622E-3</v>
      </c>
      <c r="BI21" s="78">
        <f t="shared" si="59"/>
        <v>2.7799970354990683E-3</v>
      </c>
      <c r="BK21" s="84"/>
      <c r="BL21" s="84">
        <v>2025</v>
      </c>
      <c r="BM21" s="85">
        <f>'Normalized Annual Summary'!EK16</f>
        <v>31238.247693689678</v>
      </c>
      <c r="BN21" s="80">
        <f t="shared" ref="BN21:BN27" si="67">BM21*BO21</f>
        <v>91.644506247205769</v>
      </c>
      <c r="BO21" s="79">
        <f>BO20</f>
        <v>2.9337274979645716E-3</v>
      </c>
      <c r="BP21" s="78"/>
      <c r="BR21" s="84"/>
    </row>
    <row r="22" spans="1:70">
      <c r="B22" s="84">
        <v>2026</v>
      </c>
      <c r="C22" s="85">
        <f ca="1">'Normalized Annual Summary'!AL17</f>
        <v>941004563.8668021</v>
      </c>
      <c r="D22" s="80">
        <f t="shared" ca="1" si="48"/>
        <v>2250082.2902319864</v>
      </c>
      <c r="E22" s="79">
        <f>E21</f>
        <v>2.3911491789007757E-3</v>
      </c>
      <c r="F22" s="74">
        <f>'Total Additional'!P21+'EV Forecast VRZ'!O150</f>
        <v>171442.3580090903</v>
      </c>
      <c r="G22" s="76">
        <f t="shared" ca="1" si="47"/>
        <v>2421524.6482410766</v>
      </c>
      <c r="I22" s="84">
        <v>2026</v>
      </c>
      <c r="J22" s="85">
        <f ca="1">'Normalized Annual Summary'!AW17</f>
        <v>103869152.77731864</v>
      </c>
      <c r="K22" s="80">
        <f t="shared" ca="1" si="49"/>
        <v>224165.64517880685</v>
      </c>
      <c r="L22" s="79">
        <f>L21</f>
        <v>2.1581541697888646E-3</v>
      </c>
      <c r="M22" s="78">
        <f t="shared" si="50"/>
        <v>1.9973495502054461E-3</v>
      </c>
      <c r="N22" s="74">
        <f>'Total Additional'!P22+'EV Forecast VRZ'!O151</f>
        <v>137382.33832493617</v>
      </c>
      <c r="O22" s="76">
        <f ca="1">K22+N22</f>
        <v>361547.98350374302</v>
      </c>
      <c r="Q22" s="84">
        <v>2026</v>
      </c>
      <c r="R22" s="85">
        <f ca="1">'Normalized Annual Summary'!BH17</f>
        <v>319719134.31551749</v>
      </c>
      <c r="S22" s="80">
        <f t="shared" ca="1" si="51"/>
        <v>541096.31167753297</v>
      </c>
      <c r="T22" s="79">
        <f>T21</f>
        <v>1.692411412397819E-3</v>
      </c>
      <c r="U22" s="78">
        <f t="shared" si="52"/>
        <v>1.6287130550710315E-3</v>
      </c>
      <c r="V22" s="74">
        <f>'Total Additional'!P23+'EV Forecast VRZ'!O152</f>
        <v>91372.168656923997</v>
      </c>
      <c r="W22" s="76">
        <f ca="1">S22+V22</f>
        <v>632468.48033445701</v>
      </c>
      <c r="Y22" s="84">
        <v>2026</v>
      </c>
      <c r="Z22" s="85">
        <f>'Normalized Annual Summary'!BQ17</f>
        <v>12395336.807082044</v>
      </c>
      <c r="AA22" s="80">
        <f t="shared" si="62"/>
        <v>33030.591474503723</v>
      </c>
      <c r="AB22" s="79">
        <f>AB21</f>
        <v>2.6647594969449943E-3</v>
      </c>
      <c r="AC22" s="78">
        <f t="shared" si="53"/>
        <v>2.6523669073143042E-3</v>
      </c>
      <c r="AE22" s="84"/>
      <c r="AF22" s="84">
        <v>2026</v>
      </c>
      <c r="AG22" s="85">
        <f>'Normalized Annual Summary'!BX17</f>
        <v>209454.13284786118</v>
      </c>
      <c r="AH22" s="80">
        <f t="shared" si="63"/>
        <v>581.00076330472677</v>
      </c>
      <c r="AI22" s="79">
        <f>AI21</f>
        <v>2.7738806363240475E-3</v>
      </c>
      <c r="AJ22" s="78">
        <f t="shared" si="54"/>
        <v>7.1219974275427145E-4</v>
      </c>
      <c r="AL22" s="84"/>
      <c r="AO22" s="84">
        <v>2026</v>
      </c>
      <c r="AP22" s="85">
        <f ca="1">'Normalized Annual Summary'!DJ17</f>
        <v>328718889.60008878</v>
      </c>
      <c r="AQ22" s="80">
        <f t="shared" ca="1" si="55"/>
        <v>779702.49292444042</v>
      </c>
      <c r="AR22" s="79">
        <f>AR21</f>
        <v>2.3719430723102256E-3</v>
      </c>
      <c r="AS22" s="78">
        <f t="shared" si="56"/>
        <v>2.3934572709108175E-3</v>
      </c>
      <c r="AT22" s="74">
        <f>'Total Additional'!P47+'EV Forecast WRZ'!O150</f>
        <v>81447.60183283074</v>
      </c>
      <c r="AU22" s="76">
        <f ca="1">AQ22+AT22</f>
        <v>861150.09475727112</v>
      </c>
      <c r="AW22" s="84">
        <v>2026</v>
      </c>
      <c r="AX22" s="85">
        <f ca="1">'Normalized Annual Summary'!DU17</f>
        <v>81768154.646325395</v>
      </c>
      <c r="AY22" s="80">
        <f t="shared" ca="1" si="57"/>
        <v>148901.58627305288</v>
      </c>
      <c r="AZ22" s="79">
        <f>AZ21</f>
        <v>1.821021728044396E-3</v>
      </c>
      <c r="BA22" s="78">
        <f t="shared" si="58"/>
        <v>2.0043274741961825E-3</v>
      </c>
      <c r="BB22" s="74">
        <f>'Total Additional'!P48+'EV Forecast WRZ'!O151</f>
        <v>56047.204380140458</v>
      </c>
      <c r="BC22" s="76">
        <f ca="1">AY22+BB22</f>
        <v>204948.79065319334</v>
      </c>
      <c r="BE22" s="84">
        <v>2026</v>
      </c>
      <c r="BF22" s="85">
        <f>'Normalized Annual Summary'!ED17</f>
        <v>3831737.5829530451</v>
      </c>
      <c r="BG22" s="80">
        <f t="shared" si="66"/>
        <v>10152.091038322405</v>
      </c>
      <c r="BH22" s="79">
        <f>BH21</f>
        <v>2.6494745056362622E-3</v>
      </c>
      <c r="BI22" s="78">
        <f t="shared" si="59"/>
        <v>2.8075165787261117E-3</v>
      </c>
      <c r="BK22" s="84"/>
      <c r="BL22" s="84">
        <v>2026</v>
      </c>
      <c r="BM22" s="85">
        <f>'Normalized Annual Summary'!EK17</f>
        <v>31652.571214880914</v>
      </c>
      <c r="BN22" s="80">
        <f t="shared" si="67"/>
        <v>92.860018554378001</v>
      </c>
      <c r="BO22" s="79">
        <f>BO21</f>
        <v>2.9337274979645716E-3</v>
      </c>
      <c r="BP22" s="78"/>
      <c r="BR22" s="84"/>
    </row>
    <row r="23" spans="1:70">
      <c r="B23" s="84">
        <v>2027</v>
      </c>
      <c r="C23" s="85">
        <f ca="1">'Normalized Annual Summary'!AL18</f>
        <v>947829629.51139641</v>
      </c>
      <c r="D23" s="80">
        <f t="shared" ref="D23:D27" ca="1" si="68">C23*E23</f>
        <v>2266402.0403440017</v>
      </c>
      <c r="E23" s="79">
        <f t="shared" ref="E23:E27" si="69">E22</f>
        <v>2.3911491789007757E-3</v>
      </c>
      <c r="F23" s="74">
        <f>'Total Additional'!Q21+'EV Forecast VRZ'!P150</f>
        <v>278416.87545175973</v>
      </c>
      <c r="G23" s="76">
        <f t="shared" ca="1" si="47"/>
        <v>2544818.9157957616</v>
      </c>
      <c r="I23" s="84">
        <v>2027</v>
      </c>
      <c r="J23" s="85">
        <f ca="1">'Normalized Annual Summary'!AW18</f>
        <v>103777509.94742134</v>
      </c>
      <c r="K23" s="80">
        <f t="shared" ca="1" si="49"/>
        <v>223967.86582333274</v>
      </c>
      <c r="L23" s="79">
        <f t="shared" ref="L23:L27" si="70">L22</f>
        <v>2.1581541697888646E-3</v>
      </c>
      <c r="M23" s="78">
        <f t="shared" si="50"/>
        <v>1.9593824496385165E-3</v>
      </c>
      <c r="N23" s="74">
        <f>'Total Additional'!Q22+'EV Forecast VRZ'!P151</f>
        <v>190086.79562322504</v>
      </c>
      <c r="O23" s="76">
        <f t="shared" ref="O23:O27" ca="1" si="71">K23+N23</f>
        <v>414054.66144655779</v>
      </c>
      <c r="Q23" s="84">
        <v>2027</v>
      </c>
      <c r="R23" s="85">
        <f ca="1">'Normalized Annual Summary'!BH18</f>
        <v>322249643.78932089</v>
      </c>
      <c r="S23" s="80">
        <f t="shared" ca="1" si="51"/>
        <v>545378.97479017859</v>
      </c>
      <c r="T23" s="79">
        <f t="shared" ref="T23:T27" si="72">T22</f>
        <v>1.692411412397819E-3</v>
      </c>
      <c r="U23" s="78">
        <f t="shared" si="52"/>
        <v>1.6146152913609872E-3</v>
      </c>
      <c r="V23" s="74">
        <f>'Total Additional'!Q23+'EV Forecast VRZ'!P152</f>
        <v>180885.67962762658</v>
      </c>
      <c r="W23" s="76">
        <f t="shared" ref="W23:W27" ca="1" si="73">S23+V23</f>
        <v>726264.65441780514</v>
      </c>
      <c r="Y23" s="84">
        <v>2027</v>
      </c>
      <c r="Z23" s="85">
        <f>'Normalized Annual Summary'!BQ18</f>
        <v>12522745.778611662</v>
      </c>
      <c r="AA23" s="80">
        <f t="shared" ref="AA23:AA27" si="74">Z23*AB23</f>
        <v>33370.10574138326</v>
      </c>
      <c r="AB23" s="79">
        <f t="shared" ref="AB23:AB27" si="75">AB22</f>
        <v>2.6647594969449943E-3</v>
      </c>
      <c r="AC23" s="78">
        <f t="shared" si="53"/>
        <v>2.6502033760383735E-3</v>
      </c>
      <c r="AE23" s="84"/>
      <c r="AF23" s="84">
        <v>2027</v>
      </c>
      <c r="AG23" s="85">
        <f>'Normalized Annual Summary'!BX18</f>
        <v>205910.21560731487</v>
      </c>
      <c r="AH23" s="80">
        <f t="shared" si="63"/>
        <v>571.17035989444037</v>
      </c>
      <c r="AI23" s="79">
        <f t="shared" ref="AI23:AI27" si="76">AI22</f>
        <v>2.7738806363240475E-3</v>
      </c>
      <c r="AJ23" s="78">
        <f t="shared" si="54"/>
        <v>2.5138627216925169E-4</v>
      </c>
      <c r="AL23" s="84"/>
      <c r="AO23" s="84">
        <v>2027</v>
      </c>
      <c r="AP23" s="85">
        <f ca="1">'Normalized Annual Summary'!DJ18</f>
        <v>331278257.94622296</v>
      </c>
      <c r="AQ23" s="80">
        <f t="shared" ca="1" si="55"/>
        <v>785773.16894254345</v>
      </c>
      <c r="AR23" s="79">
        <f t="shared" ref="AR23:AR27" si="77">AR22</f>
        <v>2.3719430723102256E-3</v>
      </c>
      <c r="AS23" s="78">
        <f t="shared" si="56"/>
        <v>2.3951281996397785E-3</v>
      </c>
      <c r="AT23" s="74">
        <f>'Total Additional'!Q47+'EV Forecast WRZ'!P150</f>
        <v>113379.08555792758</v>
      </c>
      <c r="AU23" s="76">
        <f t="shared" ref="AU23:AU27" ca="1" si="78">AQ23+AT23</f>
        <v>899152.25450047106</v>
      </c>
      <c r="AW23" s="84">
        <v>2027</v>
      </c>
      <c r="AX23" s="85">
        <f ca="1">'Normalized Annual Summary'!DU18</f>
        <v>82411739.93503432</v>
      </c>
      <c r="AY23" s="80">
        <f t="shared" ca="1" si="57"/>
        <v>150073.56906764154</v>
      </c>
      <c r="AZ23" s="79">
        <f t="shared" ref="AZ23:AZ27" si="79">AZ22</f>
        <v>1.821021728044396E-3</v>
      </c>
      <c r="BA23" s="78">
        <f t="shared" si="58"/>
        <v>2.0595885671066128E-3</v>
      </c>
      <c r="BB23" s="74">
        <f>'Total Additional'!Q48+'EV Forecast WRZ'!P151</f>
        <v>80158.149954699242</v>
      </c>
      <c r="BC23" s="76">
        <f t="shared" ref="BC23:BC27" ca="1" si="80">AY23+BB23</f>
        <v>230231.71902234078</v>
      </c>
      <c r="BE23" s="84">
        <v>2027</v>
      </c>
      <c r="BF23" s="85">
        <f>'Normalized Annual Summary'!ED18</f>
        <v>3895092.3168111197</v>
      </c>
      <c r="BG23" s="80">
        <f t="shared" si="66"/>
        <v>10319.947790490745</v>
      </c>
      <c r="BH23" s="79">
        <f t="shared" ref="BH23:BH27" si="81">BH22</f>
        <v>2.6494745056362622E-3</v>
      </c>
      <c r="BI23" s="78">
        <f t="shared" si="59"/>
        <v>2.835036121953162E-3</v>
      </c>
      <c r="BK23" s="84"/>
      <c r="BL23" s="84">
        <v>2027</v>
      </c>
      <c r="BM23" s="85">
        <f>'Normalized Annual Summary'!EK18</f>
        <v>32072.390050082573</v>
      </c>
      <c r="BN23" s="80">
        <f t="shared" si="67"/>
        <v>94.091652615372567</v>
      </c>
      <c r="BO23" s="79">
        <f t="shared" ref="BO23:BO27" si="82">BO22</f>
        <v>2.9337274979645716E-3</v>
      </c>
      <c r="BP23" s="78"/>
      <c r="BR23" s="84"/>
    </row>
    <row r="24" spans="1:70">
      <c r="B24" s="84">
        <v>2028</v>
      </c>
      <c r="C24" s="85">
        <f ca="1">'Normalized Annual Summary'!AL19</f>
        <v>963514543.33256817</v>
      </c>
      <c r="D24" s="80">
        <f t="shared" ca="1" si="68"/>
        <v>2303907.0091486261</v>
      </c>
      <c r="E24" s="79">
        <f t="shared" si="69"/>
        <v>2.3911491789007757E-3</v>
      </c>
      <c r="F24" s="74">
        <f>'Total Additional'!R21+'EV Forecast VRZ'!Q150</f>
        <v>329303.47746806679</v>
      </c>
      <c r="G24" s="76">
        <f t="shared" ca="1" si="47"/>
        <v>2633210.486616693</v>
      </c>
      <c r="I24" s="84">
        <v>2028</v>
      </c>
      <c r="J24" s="85">
        <f ca="1">'Normalized Annual Summary'!AW19</f>
        <v>106700253.39847955</v>
      </c>
      <c r="K24" s="80">
        <f t="shared" ca="1" si="49"/>
        <v>230275.59678945711</v>
      </c>
      <c r="L24" s="79">
        <f t="shared" si="70"/>
        <v>2.1581541697888646E-3</v>
      </c>
      <c r="M24" s="78">
        <f t="shared" si="50"/>
        <v>1.9214153490715868E-3</v>
      </c>
      <c r="N24" s="74">
        <f>'Total Additional'!R22+'EV Forecast VRZ'!Q151</f>
        <v>204631.56681424312</v>
      </c>
      <c r="O24" s="76">
        <f t="shared" ca="1" si="71"/>
        <v>434907.16360370023</v>
      </c>
      <c r="Q24" s="84">
        <v>2028</v>
      </c>
      <c r="R24" s="85">
        <f ca="1">'Normalized Annual Summary'!BH19</f>
        <v>338991969.55011654</v>
      </c>
      <c r="S24" s="80">
        <f t="shared" ca="1" si="51"/>
        <v>573713.87797783117</v>
      </c>
      <c r="T24" s="79">
        <f t="shared" si="72"/>
        <v>1.692411412397819E-3</v>
      </c>
      <c r="U24" s="78">
        <f t="shared" si="52"/>
        <v>1.600517527650943E-3</v>
      </c>
      <c r="V24" s="74">
        <f>'Total Additional'!R23+'EV Forecast VRZ'!Q152</f>
        <v>325175.04990501172</v>
      </c>
      <c r="W24" s="76">
        <f t="shared" ca="1" si="73"/>
        <v>898888.92788284295</v>
      </c>
      <c r="Y24" s="84">
        <v>2028</v>
      </c>
      <c r="Z24" s="85">
        <f>'Normalized Annual Summary'!BQ19</f>
        <v>12651464.359253068</v>
      </c>
      <c r="AA24" s="80">
        <f t="shared" si="74"/>
        <v>33713.109801580729</v>
      </c>
      <c r="AB24" s="79">
        <f t="shared" si="75"/>
        <v>2.6647594969449943E-3</v>
      </c>
      <c r="AC24" s="78">
        <f t="shared" si="53"/>
        <v>2.6480398447624428E-3</v>
      </c>
      <c r="AE24" s="84"/>
      <c r="AF24" s="84">
        <v>2028</v>
      </c>
      <c r="AG24" s="85">
        <f>'Normalized Annual Summary'!BX19</f>
        <v>202426.26065654092</v>
      </c>
      <c r="AH24" s="80">
        <f t="shared" si="63"/>
        <v>561.50628471866321</v>
      </c>
      <c r="AI24" s="79">
        <f t="shared" si="76"/>
        <v>2.7738806363240475E-3</v>
      </c>
      <c r="AJ24" s="78">
        <f t="shared" si="54"/>
        <v>-2.0942719841565705E-4</v>
      </c>
      <c r="AL24" s="84"/>
      <c r="AO24" s="84">
        <v>2028</v>
      </c>
      <c r="AP24" s="85">
        <f ca="1">'Normalized Annual Summary'!DJ19</f>
        <v>332549859.46100044</v>
      </c>
      <c r="AQ24" s="80">
        <f t="shared" ca="1" si="55"/>
        <v>788789.33534625918</v>
      </c>
      <c r="AR24" s="79">
        <f t="shared" si="77"/>
        <v>2.3719430723102256E-3</v>
      </c>
      <c r="AS24" s="78">
        <f t="shared" si="56"/>
        <v>2.3967991283687395E-3</v>
      </c>
      <c r="AT24" s="74">
        <f>'Total Additional'!R47+'EV Forecast WRZ'!Q150</f>
        <v>138427.24145678408</v>
      </c>
      <c r="AU24" s="76">
        <f t="shared" ca="1" si="78"/>
        <v>927216.57680304325</v>
      </c>
      <c r="AW24" s="84">
        <v>2028</v>
      </c>
      <c r="AX24" s="85">
        <f ca="1">'Normalized Annual Summary'!DU19</f>
        <v>82558036.339518875</v>
      </c>
      <c r="AY24" s="80">
        <f t="shared" ca="1" si="57"/>
        <v>150339.97799894269</v>
      </c>
      <c r="AZ24" s="79">
        <f t="shared" si="79"/>
        <v>1.821021728044396E-3</v>
      </c>
      <c r="BA24" s="78">
        <f t="shared" si="58"/>
        <v>2.114849660017043E-3</v>
      </c>
      <c r="BB24" s="74">
        <f>'Total Additional'!R48+'EV Forecast WRZ'!Q151</f>
        <v>91446.674515104052</v>
      </c>
      <c r="BC24" s="76">
        <f t="shared" ca="1" si="80"/>
        <v>241786.65251404676</v>
      </c>
      <c r="BE24" s="84">
        <v>2028</v>
      </c>
      <c r="BF24" s="85">
        <f>'Normalized Annual Summary'!ED19</f>
        <v>3959494.5708125578</v>
      </c>
      <c r="BG24" s="80">
        <f t="shared" si="66"/>
        <v>10490.579920573065</v>
      </c>
      <c r="BH24" s="79">
        <f t="shared" si="81"/>
        <v>2.6494745056362622E-3</v>
      </c>
      <c r="BI24" s="78">
        <f t="shared" si="59"/>
        <v>2.8625556651802123E-3</v>
      </c>
      <c r="BK24" s="84"/>
      <c r="BL24" s="84">
        <v>2028</v>
      </c>
      <c r="BM24" s="85">
        <f>'Normalized Annual Summary'!EK19</f>
        <v>32497.777085516482</v>
      </c>
      <c r="BN24" s="80">
        <f t="shared" si="67"/>
        <v>95.339622258502658</v>
      </c>
      <c r="BO24" s="79">
        <f t="shared" si="82"/>
        <v>2.9337274979645716E-3</v>
      </c>
      <c r="BP24" s="78"/>
      <c r="BR24" s="84"/>
    </row>
    <row r="25" spans="1:70">
      <c r="B25" s="84">
        <v>2029</v>
      </c>
      <c r="C25" s="85">
        <f ca="1">'Normalized Annual Summary'!AL20</f>
        <v>979059686.76421106</v>
      </c>
      <c r="D25" s="80">
        <f ca="1">C25*E25</f>
        <v>2341077.766101094</v>
      </c>
      <c r="E25" s="79">
        <f t="shared" si="69"/>
        <v>2.3911491789007757E-3</v>
      </c>
      <c r="F25" s="74">
        <f>'Total Additional'!S21+'EV Forecast VRZ'!R150</f>
        <v>353267.48830178892</v>
      </c>
      <c r="G25" s="76">
        <f t="shared" ca="1" si="47"/>
        <v>2694345.2544028829</v>
      </c>
      <c r="I25" s="84">
        <v>2029</v>
      </c>
      <c r="J25" s="85">
        <f ca="1">'Normalized Annual Summary'!AW20</f>
        <v>109749404.97250943</v>
      </c>
      <c r="K25" s="80">
        <f t="shared" ca="1" si="49"/>
        <v>236856.13597326798</v>
      </c>
      <c r="L25" s="79">
        <f t="shared" si="70"/>
        <v>2.1581541697888646E-3</v>
      </c>
      <c r="M25" s="78">
        <f t="shared" si="50"/>
        <v>1.8834482485046711E-3</v>
      </c>
      <c r="N25" s="74">
        <f>'Total Additional'!S22+'EV Forecast VRZ'!R151</f>
        <v>212464.0895977575</v>
      </c>
      <c r="O25" s="76">
        <f t="shared" ca="1" si="71"/>
        <v>449320.22557102551</v>
      </c>
      <c r="Q25" s="84">
        <v>2029</v>
      </c>
      <c r="R25" s="85">
        <f ca="1">'Normalized Annual Summary'!BH20</f>
        <v>355124893.86045188</v>
      </c>
      <c r="S25" s="80">
        <f t="shared" ca="1" si="51"/>
        <v>601017.42319599295</v>
      </c>
      <c r="T25" s="79">
        <f t="shared" si="72"/>
        <v>1.692411412397819E-3</v>
      </c>
      <c r="U25" s="78">
        <f t="shared" si="52"/>
        <v>1.5864197639409022E-3</v>
      </c>
      <c r="V25" s="74">
        <f>'Total Additional'!S23+'EV Forecast VRZ'!R152</f>
        <v>432819.59212095838</v>
      </c>
      <c r="W25" s="76">
        <f t="shared" ca="1" si="73"/>
        <v>1033837.0153169513</v>
      </c>
      <c r="Y25" s="84">
        <v>2029</v>
      </c>
      <c r="Z25" s="85">
        <f>'Normalized Annual Summary'!BQ20</f>
        <v>12781506.01019353</v>
      </c>
      <c r="AA25" s="80">
        <f t="shared" si="74"/>
        <v>34059.639525922736</v>
      </c>
      <c r="AB25" s="79">
        <f t="shared" si="75"/>
        <v>2.6647594969449943E-3</v>
      </c>
      <c r="AC25" s="78">
        <f t="shared" si="53"/>
        <v>2.6458763134865129E-3</v>
      </c>
      <c r="AE25" s="84"/>
      <c r="AF25" s="84">
        <v>2029</v>
      </c>
      <c r="AG25" s="85">
        <f>'Normalized Annual Summary'!BX20</f>
        <v>199001.25344696196</v>
      </c>
      <c r="AH25" s="80">
        <f t="shared" si="63"/>
        <v>552.00572354074188</v>
      </c>
      <c r="AI25" s="79">
        <f t="shared" si="76"/>
        <v>2.7738806363240475E-3</v>
      </c>
      <c r="AJ25" s="78">
        <f t="shared" si="54"/>
        <v>-6.702406690006768E-4</v>
      </c>
      <c r="AL25" s="84"/>
      <c r="AO25" s="84">
        <v>2029</v>
      </c>
      <c r="AP25" s="85">
        <f ca="1">'Normalized Annual Summary'!DJ20</f>
        <v>336171833.7274878</v>
      </c>
      <c r="AQ25" s="80">
        <f ca="1">AP25*AR25</f>
        <v>797380.4521157397</v>
      </c>
      <c r="AR25" s="79">
        <f t="shared" si="77"/>
        <v>2.3719430723102256E-3</v>
      </c>
      <c r="AS25" s="78">
        <f t="shared" si="56"/>
        <v>2.3984700570977005E-3</v>
      </c>
      <c r="AT25" s="74">
        <f>'Total Additional'!S47+'EV Forecast WRZ'!R150</f>
        <v>163807.84269057901</v>
      </c>
      <c r="AU25" s="76">
        <f t="shared" ca="1" si="78"/>
        <v>961188.29480631871</v>
      </c>
      <c r="AW25" s="84">
        <v>2029</v>
      </c>
      <c r="AX25" s="85">
        <f ca="1">'Normalized Annual Summary'!DU20</f>
        <v>83333789.684854582</v>
      </c>
      <c r="AY25" s="80">
        <f t="shared" ca="1" si="57"/>
        <v>151752.64169640216</v>
      </c>
      <c r="AZ25" s="79">
        <f t="shared" si="79"/>
        <v>1.821021728044396E-3</v>
      </c>
      <c r="BA25" s="78">
        <f t="shared" si="58"/>
        <v>2.1701107529274732E-3</v>
      </c>
      <c r="BB25" s="74">
        <f>'Total Additional'!S48+'EV Forecast WRZ'!R151</f>
        <v>101278.23779665209</v>
      </c>
      <c r="BC25" s="76">
        <f t="shared" ca="1" si="80"/>
        <v>253030.87949305424</v>
      </c>
      <c r="BE25" s="84">
        <v>2029</v>
      </c>
      <c r="BF25" s="85">
        <f>'Normalized Annual Summary'!ED20</f>
        <v>4024961.6648699204</v>
      </c>
      <c r="BG25" s="80">
        <f t="shared" si="66"/>
        <v>10664.033317236139</v>
      </c>
      <c r="BH25" s="79">
        <f t="shared" si="81"/>
        <v>2.6494745056362622E-3</v>
      </c>
      <c r="BI25" s="78">
        <f t="shared" si="59"/>
        <v>2.8900752084072626E-3</v>
      </c>
      <c r="BK25" s="84"/>
      <c r="BL25" s="84">
        <v>2029</v>
      </c>
      <c r="BM25" s="85">
        <f>'Normalized Annual Summary'!EK20</f>
        <v>32928.806174119265</v>
      </c>
      <c r="BN25" s="80">
        <f t="shared" si="67"/>
        <v>96.60414414815925</v>
      </c>
      <c r="BO25" s="79">
        <f t="shared" si="82"/>
        <v>2.9337274979645716E-3</v>
      </c>
      <c r="BP25" s="78"/>
      <c r="BR25" s="84"/>
    </row>
    <row r="26" spans="1:70">
      <c r="B26" s="84">
        <v>2030</v>
      </c>
      <c r="C26" s="85">
        <f ca="1">'Normalized Annual Summary'!AL21</f>
        <v>994251575.95583391</v>
      </c>
      <c r="D26" s="80">
        <f t="shared" ca="1" si="68"/>
        <v>2377403.8394675944</v>
      </c>
      <c r="E26" s="79">
        <f t="shared" si="69"/>
        <v>2.3911491789007757E-3</v>
      </c>
      <c r="F26" s="74">
        <f>'Total Additional'!T21+'EV Forecast VRZ'!S150</f>
        <v>366005.79612392088</v>
      </c>
      <c r="G26" s="76">
        <f t="shared" ca="1" si="47"/>
        <v>2743409.6355915153</v>
      </c>
      <c r="I26" s="84">
        <v>2030</v>
      </c>
      <c r="J26" s="85">
        <f ca="1">'Normalized Annual Summary'!AW21</f>
        <v>112575981.35400094</v>
      </c>
      <c r="K26" s="80">
        <f t="shared" ca="1" si="49"/>
        <v>242956.3235772106</v>
      </c>
      <c r="L26" s="79">
        <f t="shared" si="70"/>
        <v>2.1581541697888646E-3</v>
      </c>
      <c r="M26" s="78">
        <f t="shared" si="50"/>
        <v>1.8454811479377414E-3</v>
      </c>
      <c r="N26" s="74">
        <f>'Total Additional'!T22+'EV Forecast VRZ'!S151</f>
        <v>219138.66035862017</v>
      </c>
      <c r="O26" s="76">
        <f t="shared" ca="1" si="71"/>
        <v>462094.98393583077</v>
      </c>
      <c r="Q26" s="84">
        <v>2030</v>
      </c>
      <c r="R26" s="85">
        <f ca="1">'Normalized Annual Summary'!BH21</f>
        <v>369911025.65351218</v>
      </c>
      <c r="S26" s="80">
        <f t="shared" ca="1" si="51"/>
        <v>626041.64138778637</v>
      </c>
      <c r="T26" s="79">
        <f t="shared" si="72"/>
        <v>1.692411412397819E-3</v>
      </c>
      <c r="U26" s="78">
        <f t="shared" si="52"/>
        <v>1.572322000230858E-3</v>
      </c>
      <c r="V26" s="74">
        <f>'Total Additional'!T23+'EV Forecast VRZ'!S152</f>
        <v>467257.56981689815</v>
      </c>
      <c r="W26" s="76">
        <f t="shared" ca="1" si="73"/>
        <v>1093299.2112046846</v>
      </c>
      <c r="Y26" s="84">
        <v>2030</v>
      </c>
      <c r="Z26" s="85">
        <f>'Normalized Annual Summary'!BQ21</f>
        <v>12912884.330984939</v>
      </c>
      <c r="AA26" s="80">
        <f t="shared" si="74"/>
        <v>34409.731153944325</v>
      </c>
      <c r="AB26" s="79">
        <f t="shared" si="75"/>
        <v>2.6647594969449943E-3</v>
      </c>
      <c r="AC26" s="78">
        <f t="shared" si="53"/>
        <v>2.6437127822105822E-3</v>
      </c>
      <c r="AE26" s="84"/>
      <c r="AF26" s="84">
        <v>2030</v>
      </c>
      <c r="AG26" s="85">
        <f>'Normalized Annual Summary'!BX21</f>
        <v>195634.19659593637</v>
      </c>
      <c r="AH26" s="80">
        <f t="shared" si="63"/>
        <v>542.66590974027986</v>
      </c>
      <c r="AI26" s="79">
        <f t="shared" si="76"/>
        <v>2.7738806363240475E-3</v>
      </c>
      <c r="AJ26" s="78">
        <f t="shared" si="54"/>
        <v>-1.1310541395856966E-3</v>
      </c>
      <c r="AL26" s="84"/>
      <c r="AO26" s="84">
        <v>2030</v>
      </c>
      <c r="AP26" s="85">
        <f ca="1">'Normalized Annual Summary'!DJ21</f>
        <v>338453988.25095993</v>
      </c>
      <c r="AQ26" s="80">
        <f t="shared" ca="1" si="55"/>
        <v>802793.59272763086</v>
      </c>
      <c r="AR26" s="79">
        <f t="shared" si="77"/>
        <v>2.3719430723102256E-3</v>
      </c>
      <c r="AS26" s="78">
        <f t="shared" si="56"/>
        <v>2.400140985826661E-3</v>
      </c>
      <c r="AT26" s="74">
        <f>'Total Additional'!T47+'EV Forecast WRZ'!S150</f>
        <v>184777.05783833785</v>
      </c>
      <c r="AU26" s="76">
        <f t="shared" ca="1" si="78"/>
        <v>987570.65056596871</v>
      </c>
      <c r="AW26" s="84">
        <v>2030</v>
      </c>
      <c r="AX26" s="85">
        <f ca="1">'Normalized Annual Summary'!DU21</f>
        <v>83909422.930943996</v>
      </c>
      <c r="AY26" s="80">
        <f t="shared" ca="1" si="57"/>
        <v>152800.88234491571</v>
      </c>
      <c r="AZ26" s="79">
        <f t="shared" si="79"/>
        <v>1.821021728044396E-3</v>
      </c>
      <c r="BA26" s="78">
        <f t="shared" si="58"/>
        <v>2.2253718458378896E-3</v>
      </c>
      <c r="BB26" s="74">
        <f>'Total Additional'!T48+'EV Forecast WRZ'!S151</f>
        <v>119622.24732454569</v>
      </c>
      <c r="BC26" s="76">
        <f t="shared" ca="1" si="80"/>
        <v>272423.1296694614</v>
      </c>
      <c r="BE26" s="84">
        <v>2030</v>
      </c>
      <c r="BF26" s="85">
        <f>'Normalized Annual Summary'!ED21</f>
        <v>4091511.2052667504</v>
      </c>
      <c r="BG26" s="80">
        <f t="shared" si="66"/>
        <v>10840.354627879351</v>
      </c>
      <c r="BH26" s="79">
        <f t="shared" si="81"/>
        <v>2.6494745056362622E-3</v>
      </c>
      <c r="BI26" s="78">
        <f t="shared" si="59"/>
        <v>2.9175947516343059E-3</v>
      </c>
      <c r="BK26" s="84"/>
      <c r="BL26" s="84">
        <v>2030</v>
      </c>
      <c r="BM26" s="85">
        <f>'Normalized Annual Summary'!EK21</f>
        <v>33365.552148364186</v>
      </c>
      <c r="BN26" s="80">
        <f t="shared" si="67"/>
        <v>97.885437822426894</v>
      </c>
      <c r="BO26" s="79">
        <f t="shared" si="82"/>
        <v>2.9337274979645716E-3</v>
      </c>
      <c r="BP26" s="78"/>
      <c r="BR26" s="84"/>
    </row>
    <row r="27" spans="1:70">
      <c r="B27" s="84">
        <v>2031</v>
      </c>
      <c r="C27" s="85">
        <f ca="1">'Normalized Annual Summary'!AL22</f>
        <v>1020333448.0710335</v>
      </c>
      <c r="D27" s="80">
        <f t="shared" ca="1" si="68"/>
        <v>2439769.486560049</v>
      </c>
      <c r="E27" s="79">
        <f t="shared" si="69"/>
        <v>2.3911491789007757E-3</v>
      </c>
      <c r="F27" s="74">
        <f>'Total Additional'!U21+'EV Forecast VRZ'!T150</f>
        <v>376350.61271791795</v>
      </c>
      <c r="G27" s="76">
        <f t="shared" ca="1" si="47"/>
        <v>2816120.0992779671</v>
      </c>
      <c r="I27" s="84">
        <v>2031</v>
      </c>
      <c r="J27" s="85">
        <f ca="1">'Normalized Annual Summary'!AW22</f>
        <v>116358059.40132976</v>
      </c>
      <c r="K27" s="80">
        <f t="shared" ca="1" si="49"/>
        <v>251118.6310855202</v>
      </c>
      <c r="L27" s="79">
        <f t="shared" si="70"/>
        <v>2.1581541697888646E-3</v>
      </c>
      <c r="M27" s="78">
        <f t="shared" si="50"/>
        <v>1.8075140473708118E-3</v>
      </c>
      <c r="N27" s="74">
        <f>'Total Additional'!U22+'EV Forecast VRZ'!T151</f>
        <v>224436.65642425278</v>
      </c>
      <c r="O27" s="76">
        <f t="shared" ca="1" si="71"/>
        <v>475555.28750977298</v>
      </c>
      <c r="Q27" s="84">
        <v>2031</v>
      </c>
      <c r="R27" s="85">
        <f ca="1">'Normalized Annual Summary'!BH22</f>
        <v>387359219.61509293</v>
      </c>
      <c r="S27" s="80">
        <f t="shared" ca="1" si="51"/>
        <v>655571.16397409642</v>
      </c>
      <c r="T27" s="79">
        <f t="shared" si="72"/>
        <v>1.692411412397819E-3</v>
      </c>
      <c r="U27" s="78">
        <f t="shared" si="52"/>
        <v>1.5582242365208172E-3</v>
      </c>
      <c r="V27" s="74">
        <f>'Total Additional'!U23+'EV Forecast VRZ'!T152</f>
        <v>475141.23799514433</v>
      </c>
      <c r="W27" s="76">
        <f t="shared" ca="1" si="73"/>
        <v>1130712.4019692407</v>
      </c>
      <c r="Y27" s="84">
        <v>2031</v>
      </c>
      <c r="Z27" s="85">
        <f>'Normalized Annual Summary'!BQ22</f>
        <v>13045613.060966017</v>
      </c>
      <c r="AA27" s="80">
        <f t="shared" si="74"/>
        <v>34763.421297678848</v>
      </c>
      <c r="AB27" s="79">
        <f t="shared" si="75"/>
        <v>2.6647594969449943E-3</v>
      </c>
      <c r="AC27" s="78">
        <f t="shared" si="53"/>
        <v>2.6415492509346515E-3</v>
      </c>
      <c r="AE27" s="84"/>
      <c r="AF27" s="84">
        <v>2031</v>
      </c>
      <c r="AG27" s="85">
        <f>'Normalized Annual Summary'!BX22</f>
        <v>192324.10959631458</v>
      </c>
      <c r="AH27" s="80">
        <f t="shared" si="63"/>
        <v>533.48412350748094</v>
      </c>
      <c r="AI27" s="79">
        <f t="shared" si="76"/>
        <v>2.7738806363240475E-3</v>
      </c>
      <c r="AJ27" s="78">
        <f t="shared" si="54"/>
        <v>-1.5918676101706053E-3</v>
      </c>
      <c r="AL27" s="84"/>
      <c r="AO27" s="84">
        <v>2031</v>
      </c>
      <c r="AP27" s="85">
        <f ca="1">'Normalized Annual Summary'!DJ22</f>
        <v>343424164.60978299</v>
      </c>
      <c r="AQ27" s="80">
        <f t="shared" ca="1" si="55"/>
        <v>814582.56811010127</v>
      </c>
      <c r="AR27" s="79">
        <f t="shared" si="77"/>
        <v>2.3719430723102256E-3</v>
      </c>
      <c r="AS27" s="78">
        <f t="shared" si="56"/>
        <v>2.401811914555622E-3</v>
      </c>
      <c r="AT27" s="74">
        <f>'Total Additional'!U47+'EV Forecast WRZ'!T150</f>
        <v>196206.66644667351</v>
      </c>
      <c r="AU27" s="76">
        <f t="shared" ca="1" si="78"/>
        <v>1010789.2345567748</v>
      </c>
      <c r="AW27" s="84">
        <v>2031</v>
      </c>
      <c r="AX27" s="85">
        <f ca="1">'Normalized Annual Summary'!DU22</f>
        <v>84881786.171778753</v>
      </c>
      <c r="AY27" s="80">
        <f t="shared" ca="1" si="57"/>
        <v>154571.57693402746</v>
      </c>
      <c r="AZ27" s="79">
        <f t="shared" si="79"/>
        <v>1.821021728044396E-3</v>
      </c>
      <c r="BA27" s="78">
        <f t="shared" si="58"/>
        <v>2.2806329387483198E-3</v>
      </c>
      <c r="BB27" s="74">
        <f>'Total Additional'!U48+'EV Forecast WRZ'!T151</f>
        <v>139228.78618179183</v>
      </c>
      <c r="BC27" s="76">
        <f t="shared" ca="1" si="80"/>
        <v>293800.36311581929</v>
      </c>
      <c r="BE27" s="84">
        <v>2031</v>
      </c>
      <c r="BF27" s="85">
        <f>'Normalized Annual Summary'!ED22</f>
        <v>4159161.089392487</v>
      </c>
      <c r="BG27" s="80">
        <f t="shared" si="66"/>
        <v>11019.591271179737</v>
      </c>
      <c r="BH27" s="79">
        <f t="shared" si="81"/>
        <v>2.6494745056362622E-3</v>
      </c>
      <c r="BI27" s="78">
        <f t="shared" si="59"/>
        <v>2.9451142948613562E-3</v>
      </c>
      <c r="BK27" s="84"/>
      <c r="BL27" s="84">
        <v>2031</v>
      </c>
      <c r="BM27" s="85">
        <f>'Normalized Annual Summary'!EK22</f>
        <v>33808.090833253111</v>
      </c>
      <c r="BN27" s="80">
        <f t="shared" si="67"/>
        <v>99.183725731198621</v>
      </c>
      <c r="BO27" s="79">
        <f t="shared" si="82"/>
        <v>2.9337274979645716E-3</v>
      </c>
      <c r="BP27" s="78"/>
      <c r="BR27" s="84"/>
    </row>
    <row r="28" spans="1:70">
      <c r="B28" s="84"/>
      <c r="C28" s="85"/>
      <c r="D28" s="80"/>
      <c r="E28" s="79"/>
      <c r="F28" s="74"/>
      <c r="G28" s="76"/>
      <c r="I28" s="84"/>
      <c r="J28" s="85"/>
      <c r="K28" s="80"/>
      <c r="L28" s="79"/>
      <c r="M28" s="78"/>
      <c r="N28" s="74"/>
      <c r="O28" s="76"/>
      <c r="Q28" s="84"/>
      <c r="R28" s="85"/>
      <c r="S28" s="80"/>
      <c r="T28" s="79"/>
      <c r="U28" s="78"/>
      <c r="V28" s="74"/>
      <c r="W28" s="76"/>
      <c r="Y28" s="84"/>
      <c r="Z28" s="85"/>
      <c r="AA28" s="80"/>
      <c r="AB28" s="79"/>
      <c r="AC28" s="75"/>
      <c r="AE28" s="84"/>
      <c r="AF28" s="84"/>
      <c r="AG28" s="85"/>
      <c r="AH28" s="80"/>
      <c r="AI28" s="79"/>
      <c r="AJ28" s="75"/>
      <c r="AL28" s="84"/>
      <c r="AO28" s="84"/>
      <c r="AP28" s="85"/>
      <c r="AQ28" s="80"/>
      <c r="AR28" s="79"/>
      <c r="AS28" s="78"/>
      <c r="AT28" s="74"/>
      <c r="AU28" s="76"/>
      <c r="AW28" s="84"/>
      <c r="AX28" s="85"/>
      <c r="AY28" s="80"/>
      <c r="AZ28" s="79"/>
      <c r="BA28" s="78"/>
      <c r="BB28" s="74"/>
      <c r="BC28" s="76"/>
      <c r="BE28" s="84"/>
      <c r="BF28" s="85"/>
      <c r="BG28" s="80"/>
      <c r="BH28" s="79"/>
      <c r="BI28" s="75"/>
      <c r="BK28" s="84"/>
      <c r="BL28" s="84"/>
      <c r="BM28" s="85"/>
      <c r="BN28" s="80"/>
      <c r="BO28" s="79"/>
      <c r="BP28" s="75"/>
      <c r="BR28" s="84"/>
    </row>
    <row r="29" spans="1:70">
      <c r="G29" s="725">
        <f ca="1">D27/12</f>
        <v>203314.12388000407</v>
      </c>
    </row>
    <row r="30" spans="1:70">
      <c r="A30" s="716"/>
      <c r="B30" s="716"/>
      <c r="C30" s="710" t="s">
        <v>178</v>
      </c>
      <c r="D30" s="73" t="s">
        <v>199</v>
      </c>
      <c r="E30" s="721" t="s">
        <v>467</v>
      </c>
      <c r="F30" s="716"/>
      <c r="G30" s="679">
        <f>(1/E27)*12/8760</f>
        <v>0.57288897982030695</v>
      </c>
      <c r="H30" s="716"/>
      <c r="I30" s="716"/>
      <c r="J30" s="710" t="s">
        <v>178</v>
      </c>
      <c r="K30" s="73" t="s">
        <v>199</v>
      </c>
      <c r="L30" s="721" t="s">
        <v>467</v>
      </c>
      <c r="M30" s="716"/>
      <c r="N30" s="716"/>
      <c r="O30" s="716"/>
      <c r="P30" s="716"/>
      <c r="Q30" s="716"/>
      <c r="R30" s="710" t="s">
        <v>178</v>
      </c>
      <c r="S30" s="73" t="s">
        <v>199</v>
      </c>
      <c r="T30" s="721" t="s">
        <v>467</v>
      </c>
      <c r="U30" s="716"/>
      <c r="V30" s="716"/>
      <c r="W30" s="716"/>
      <c r="X30" s="716"/>
      <c r="Y30" s="716"/>
      <c r="Z30" s="710" t="s">
        <v>178</v>
      </c>
      <c r="AA30" s="73" t="s">
        <v>199</v>
      </c>
      <c r="AB30" s="721" t="s">
        <v>467</v>
      </c>
      <c r="AF30" s="716"/>
      <c r="AG30" s="710" t="s">
        <v>178</v>
      </c>
      <c r="AH30" s="73" t="s">
        <v>199</v>
      </c>
      <c r="AI30" s="721" t="s">
        <v>467</v>
      </c>
      <c r="AN30" s="716"/>
      <c r="AO30" s="716"/>
      <c r="AP30" s="710" t="s">
        <v>178</v>
      </c>
      <c r="AQ30" s="73" t="s">
        <v>199</v>
      </c>
      <c r="AR30" s="721" t="s">
        <v>467</v>
      </c>
      <c r="AS30" s="716"/>
      <c r="AT30" s="716"/>
      <c r="AU30" s="716"/>
      <c r="AV30" s="716"/>
      <c r="AW30" s="716"/>
      <c r="AX30" s="710" t="s">
        <v>178</v>
      </c>
      <c r="AY30" s="73" t="s">
        <v>199</v>
      </c>
      <c r="AZ30" s="721" t="s">
        <v>467</v>
      </c>
      <c r="BA30" s="716"/>
      <c r="BB30" s="716"/>
      <c r="BC30" s="716"/>
      <c r="BD30" s="716"/>
      <c r="BE30" s="716"/>
      <c r="BF30" s="710" t="s">
        <v>178</v>
      </c>
      <c r="BG30" s="73" t="s">
        <v>199</v>
      </c>
      <c r="BH30" s="721" t="s">
        <v>467</v>
      </c>
      <c r="BL30" s="716"/>
      <c r="BM30" s="710"/>
      <c r="BN30" s="73"/>
      <c r="BO30" s="721"/>
    </row>
    <row r="31" spans="1:70">
      <c r="A31" s="716" t="s">
        <v>468</v>
      </c>
      <c r="B31" s="716"/>
      <c r="C31" s="72">
        <f>C15/C11-1</f>
        <v>8.0330896358376203E-2</v>
      </c>
      <c r="D31" s="72">
        <f>D15/D11-1</f>
        <v>1.9643141976118494E-2</v>
      </c>
      <c r="E31" s="726">
        <f>D31-C31</f>
        <v>-6.0687754382257708E-2</v>
      </c>
      <c r="F31" s="716"/>
      <c r="G31" s="678">
        <f>E27*12/8760</f>
        <v>3.2755468204120216E-6</v>
      </c>
      <c r="H31" s="716"/>
      <c r="I31" s="716"/>
      <c r="J31" s="72">
        <f>J15/J11-1</f>
        <v>9.8221793057084117E-2</v>
      </c>
      <c r="K31" s="72">
        <f>K15/K11-1</f>
        <v>0.11924376103947476</v>
      </c>
      <c r="L31" s="726">
        <f>K31-J31</f>
        <v>2.1021967982390644E-2</v>
      </c>
      <c r="M31" s="716"/>
      <c r="N31" s="716"/>
      <c r="O31" s="716"/>
      <c r="P31" s="716"/>
      <c r="Q31" s="716"/>
      <c r="R31" s="72">
        <f>R15/R11-1</f>
        <v>0.2181724617728229</v>
      </c>
      <c r="S31" s="72">
        <f>S15/S11-1</f>
        <v>0.17485243471143286</v>
      </c>
      <c r="T31" s="726">
        <f>S31-R31</f>
        <v>-4.3320027061390043E-2</v>
      </c>
      <c r="U31" s="716"/>
      <c r="V31" s="716"/>
      <c r="W31" s="716"/>
      <c r="X31" s="716"/>
      <c r="Y31" s="716"/>
      <c r="Z31" s="72">
        <f>Z15/Z11-1</f>
        <v>1.8476137778679291E-2</v>
      </c>
      <c r="AA31" s="72">
        <f>AA15/AA11-1</f>
        <v>1.5994391699968746E-2</v>
      </c>
      <c r="AB31" s="726">
        <f>AA31-Z31</f>
        <v>-2.481746078710545E-3</v>
      </c>
      <c r="AF31" s="716"/>
      <c r="AG31" s="72">
        <f>AG15/AG11-1</f>
        <v>-5.6276285670393111E-2</v>
      </c>
      <c r="AH31" s="419">
        <f>AH15/AH11-1</f>
        <v>-6.230529595015577E-2</v>
      </c>
      <c r="AI31" s="726">
        <f>AH31-AG31</f>
        <v>-6.0290102797626588E-3</v>
      </c>
      <c r="AN31" s="716" t="s">
        <v>468</v>
      </c>
      <c r="AO31" s="716"/>
      <c r="AP31" s="72">
        <f>AP15/AP11-1</f>
        <v>4.2525852527780961E-2</v>
      </c>
      <c r="AQ31" s="72">
        <f>AQ15/AQ11-1</f>
        <v>-2.1843969087931958E-2</v>
      </c>
      <c r="AR31" s="726">
        <f>AQ31-AP31</f>
        <v>-6.4369821615712919E-2</v>
      </c>
      <c r="AS31" s="716"/>
      <c r="AT31" s="716"/>
      <c r="AU31" s="716"/>
      <c r="AV31" s="716"/>
      <c r="AW31" s="716"/>
      <c r="AX31" s="72">
        <f>AX15/AX11-1</f>
        <v>-3.4380263062121386E-2</v>
      </c>
      <c r="AY31" s="72">
        <f>AY15/AY11-1</f>
        <v>9.2818323388726309E-2</v>
      </c>
      <c r="AZ31" s="726">
        <f>AY31-AX31</f>
        <v>0.12719858645084769</v>
      </c>
      <c r="BA31" s="716"/>
      <c r="BB31" s="716"/>
      <c r="BC31" s="716"/>
      <c r="BD31" s="716"/>
      <c r="BE31" s="716"/>
      <c r="BF31" s="72">
        <f>BF15/BF11-1</f>
        <v>9.8532150808700036E-2</v>
      </c>
      <c r="BG31" s="72">
        <f>BG15/BG11-1</f>
        <v>6.1409508021768922E-2</v>
      </c>
      <c r="BH31" s="726">
        <f>BG31-BF31</f>
        <v>-3.7122642786931115E-2</v>
      </c>
      <c r="BL31" s="716"/>
      <c r="BM31" s="72"/>
      <c r="BN31" s="72"/>
      <c r="BO31" s="726"/>
    </row>
    <row r="32" spans="1:70">
      <c r="A32" s="716" t="s">
        <v>469</v>
      </c>
      <c r="B32" s="716"/>
      <c r="C32" s="72">
        <f>C15/C6-1</f>
        <v>1.6206429049282489E-2</v>
      </c>
      <c r="D32" s="72">
        <f>D15/D6-1</f>
        <v>-3.3190025732338646E-2</v>
      </c>
      <c r="E32" s="726">
        <f>D32-C32</f>
        <v>-4.9396454781621135E-2</v>
      </c>
      <c r="F32" s="716"/>
      <c r="G32" s="679">
        <f>12/(8760*E27)</f>
        <v>0.57288897982030706</v>
      </c>
      <c r="H32" s="716"/>
      <c r="I32" s="716"/>
      <c r="J32" s="72">
        <f>J15/J6-1</f>
        <v>0.182218102594774</v>
      </c>
      <c r="K32" s="72">
        <f>K15/K6-1</f>
        <v>0.10783693633679481</v>
      </c>
      <c r="L32" s="726">
        <f>K32-J32</f>
        <v>-7.4381166257979192E-2</v>
      </c>
      <c r="M32" s="716"/>
      <c r="N32" s="716"/>
      <c r="O32" s="716"/>
      <c r="P32" s="716"/>
      <c r="Q32" s="716"/>
      <c r="R32" s="72">
        <f>R15/R6-1</f>
        <v>0.5294677034036166</v>
      </c>
      <c r="S32" s="72">
        <f>S15/S6-1</f>
        <v>0.47405746861420495</v>
      </c>
      <c r="T32" s="726">
        <f>S32-R32</f>
        <v>-5.541023478941165E-2</v>
      </c>
      <c r="U32" s="716"/>
      <c r="V32" s="716"/>
      <c r="W32" s="716"/>
      <c r="X32" s="716"/>
      <c r="Y32" s="716"/>
      <c r="Z32" s="72">
        <f>Z15/Z6-1</f>
        <v>-0.43425214320126104</v>
      </c>
      <c r="AA32" s="72">
        <f>AA15/AA6-1</f>
        <v>-0.44352401381320494</v>
      </c>
      <c r="AB32" s="726">
        <f>AA32-Z32</f>
        <v>-9.2718706119438998E-3</v>
      </c>
      <c r="AF32" s="716"/>
      <c r="AG32" s="72">
        <f>AG15/AG6-1</f>
        <v>0.86743926466703103</v>
      </c>
      <c r="AH32" s="419">
        <f>AH15/AH6-1</f>
        <v>-0.40631163708086782</v>
      </c>
      <c r="AI32" s="726">
        <f>AH32-AG32</f>
        <v>-1.2737509017478987</v>
      </c>
      <c r="AN32" s="716" t="s">
        <v>469</v>
      </c>
      <c r="AO32" s="716"/>
      <c r="AP32" s="72">
        <f>AP15/AP6-1</f>
        <v>-4.5907954808835694E-2</v>
      </c>
      <c r="AQ32" s="72">
        <f>AQ15/AQ6-1</f>
        <v>-7.0451594149436247E-2</v>
      </c>
      <c r="AR32" s="726">
        <f>AQ32-AP32</f>
        <v>-2.4543639340600554E-2</v>
      </c>
      <c r="AS32" s="716"/>
      <c r="AT32" s="716"/>
      <c r="AU32" s="716"/>
      <c r="AV32" s="716"/>
      <c r="AW32" s="716"/>
      <c r="AX32" s="72">
        <f>AX15/AX6-1</f>
        <v>0.37869620271886406</v>
      </c>
      <c r="AY32" s="72">
        <f>AY15/AY6-1</f>
        <v>0.78174596693961984</v>
      </c>
      <c r="AZ32" s="726">
        <f>AY32-AX32</f>
        <v>0.40304976422075578</v>
      </c>
      <c r="BA32" s="716"/>
      <c r="BB32" s="716"/>
      <c r="BC32" s="716"/>
      <c r="BD32" s="716"/>
      <c r="BE32" s="716"/>
      <c r="BF32" s="72">
        <f>BF15/BF6-1</f>
        <v>-0.60015965566203833</v>
      </c>
      <c r="BG32" s="72">
        <f>BG15/BG6-1</f>
        <v>-0.58792915015701708</v>
      </c>
      <c r="BH32" s="726">
        <f>BG32-BF32</f>
        <v>1.223050550502125E-2</v>
      </c>
      <c r="BL32" s="716"/>
      <c r="BM32" s="72"/>
      <c r="BN32" s="72"/>
      <c r="BO32" s="726"/>
    </row>
    <row r="33" spans="1:67">
      <c r="A33" s="716"/>
      <c r="B33" s="716"/>
      <c r="C33" s="716"/>
      <c r="D33" s="716"/>
      <c r="E33" s="716"/>
      <c r="F33" s="716"/>
      <c r="G33" s="716"/>
      <c r="H33" s="716"/>
      <c r="I33" s="716"/>
      <c r="J33" s="716"/>
      <c r="K33" s="716"/>
      <c r="L33" s="716"/>
      <c r="M33" s="716"/>
      <c r="N33" s="716"/>
      <c r="O33" s="716"/>
      <c r="P33" s="716"/>
      <c r="Q33" s="716"/>
      <c r="R33" s="716"/>
      <c r="S33" s="716"/>
      <c r="T33" s="716"/>
      <c r="U33" s="716"/>
      <c r="V33" s="716"/>
      <c r="W33" s="716"/>
      <c r="X33" s="716"/>
      <c r="Y33" s="716"/>
      <c r="Z33" s="716"/>
      <c r="AA33" s="716"/>
      <c r="AB33" s="716"/>
      <c r="AF33" s="716"/>
      <c r="AG33" s="716"/>
      <c r="AH33" s="716"/>
      <c r="AI33" s="716"/>
      <c r="AN33" s="716"/>
      <c r="AO33" s="716"/>
      <c r="AP33" s="716"/>
      <c r="AQ33" s="716"/>
      <c r="AR33" s="716"/>
      <c r="AS33" s="716"/>
      <c r="AT33" s="716"/>
      <c r="AU33" s="716"/>
      <c r="AV33" s="716"/>
      <c r="AW33" s="716"/>
      <c r="AX33" s="716"/>
      <c r="AY33" s="716"/>
      <c r="AZ33" s="716"/>
      <c r="BA33" s="716"/>
      <c r="BB33" s="716"/>
      <c r="BC33" s="716"/>
      <c r="BD33" s="716"/>
      <c r="BE33" s="716"/>
      <c r="BF33" s="716"/>
      <c r="BG33" s="716"/>
      <c r="BH33" s="716"/>
      <c r="BL33" s="716"/>
      <c r="BM33" s="716"/>
      <c r="BN33" s="716"/>
      <c r="BO33" s="716"/>
    </row>
    <row r="34" spans="1:67">
      <c r="A34" s="716"/>
      <c r="B34" s="716"/>
      <c r="C34" s="716"/>
      <c r="D34" s="716" t="s">
        <v>470</v>
      </c>
      <c r="E34" s="716"/>
      <c r="F34" s="716"/>
      <c r="G34" s="716"/>
      <c r="H34" s="716"/>
      <c r="I34" s="716"/>
      <c r="J34" s="716"/>
      <c r="K34" s="716" t="s">
        <v>471</v>
      </c>
      <c r="L34" s="716"/>
      <c r="M34" s="716"/>
      <c r="N34" s="716"/>
      <c r="O34" s="716"/>
      <c r="P34" s="716"/>
      <c r="Q34" s="716"/>
      <c r="R34" s="716"/>
      <c r="S34" s="716" t="s">
        <v>470</v>
      </c>
      <c r="T34" s="716"/>
      <c r="U34" s="716"/>
      <c r="V34" s="716"/>
      <c r="W34" s="716"/>
      <c r="X34" s="716"/>
      <c r="Y34" s="716"/>
      <c r="Z34" s="716"/>
      <c r="AA34" s="716" t="s">
        <v>79</v>
      </c>
      <c r="AB34" s="716"/>
      <c r="AF34" s="716"/>
      <c r="AG34" s="716"/>
      <c r="AH34" s="716" t="s">
        <v>474</v>
      </c>
      <c r="AI34" s="716"/>
      <c r="AN34" s="716"/>
      <c r="AO34" s="716"/>
      <c r="AP34" s="716"/>
      <c r="AQ34" s="716" t="s">
        <v>470</v>
      </c>
      <c r="AR34" s="716"/>
      <c r="AS34" s="716"/>
      <c r="AT34" s="716"/>
      <c r="AU34" s="716"/>
      <c r="AV34" s="716"/>
      <c r="AW34" s="716"/>
      <c r="AX34" s="716"/>
      <c r="AY34" s="716" t="s">
        <v>471</v>
      </c>
      <c r="AZ34" s="716"/>
      <c r="BA34" s="716"/>
      <c r="BB34" s="716"/>
      <c r="BC34" s="716"/>
      <c r="BD34" s="716"/>
      <c r="BE34" s="716"/>
      <c r="BF34" s="716"/>
      <c r="BG34" s="716" t="s">
        <v>79</v>
      </c>
      <c r="BH34" s="716"/>
      <c r="BL34" s="716"/>
      <c r="BM34" s="716"/>
      <c r="BN34" s="716" t="s">
        <v>475</v>
      </c>
      <c r="BO34" s="716"/>
    </row>
    <row r="35" spans="1:67">
      <c r="S35" s="106" t="s">
        <v>472</v>
      </c>
    </row>
    <row r="57" spans="5:44">
      <c r="E57" s="727"/>
      <c r="AR57" s="727"/>
    </row>
  </sheetData>
  <mergeCells count="9">
    <mergeCell ref="AP2:AR2"/>
    <mergeCell ref="AX2:AZ2"/>
    <mergeCell ref="BF2:BH2"/>
    <mergeCell ref="BM2:BO2"/>
    <mergeCell ref="C2:E2"/>
    <mergeCell ref="Z2:AB2"/>
    <mergeCell ref="J2:L2"/>
    <mergeCell ref="R2:T2"/>
    <mergeCell ref="AG2:AI2"/>
  </mergeCells>
  <pageMargins left="0.7" right="0.7" top="0.75" bottom="0.75" header="0.3" footer="0.3"/>
  <ignoredErrors>
    <ignoredError sqref="BP14" formula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3708-41A5-49AF-83BB-7A2D22DB604D}">
  <sheetPr codeName="Sheet39"/>
  <dimension ref="B1:AS57"/>
  <sheetViews>
    <sheetView workbookViewId="0">
      <selection activeCell="G6" sqref="G6"/>
    </sheetView>
  </sheetViews>
  <sheetFormatPr defaultColWidth="8.5703125" defaultRowHeight="14.25"/>
  <cols>
    <col min="1" max="1" width="8.5703125" style="330"/>
    <col min="2" max="2" width="17.85546875" style="330" customWidth="1"/>
    <col min="3" max="3" width="16.42578125" style="330" customWidth="1"/>
    <col min="4" max="4" width="12.140625" style="330" bestFit="1" customWidth="1"/>
    <col min="5" max="6" width="14.5703125" style="330" bestFit="1" customWidth="1"/>
    <col min="7" max="7" width="14.5703125" style="330" customWidth="1"/>
    <col min="8" max="8" width="17" style="330" customWidth="1"/>
    <col min="9" max="9" width="14.5703125" style="330" bestFit="1" customWidth="1"/>
    <col min="10" max="10" width="12.42578125" style="330" customWidth="1"/>
    <col min="11" max="11" width="14.5703125" style="330" bestFit="1" customWidth="1"/>
    <col min="12" max="12" width="14.5703125" style="330" customWidth="1"/>
    <col min="13" max="13" width="15.85546875" style="330" customWidth="1"/>
    <col min="14" max="14" width="13.85546875" style="330" customWidth="1"/>
    <col min="15" max="15" width="13.5703125" style="330" customWidth="1"/>
    <col min="16" max="16" width="11" style="330" bestFit="1" customWidth="1"/>
    <col min="17" max="17" width="12.5703125" style="330" customWidth="1"/>
    <col min="18" max="18" width="15.42578125" style="330" customWidth="1"/>
    <col min="19" max="19" width="12.140625" style="330" bestFit="1" customWidth="1"/>
    <col min="20" max="20" width="12.5703125" style="330" customWidth="1"/>
    <col min="21" max="21" width="12.140625" style="330" bestFit="1" customWidth="1"/>
    <col min="22" max="22" width="12.5703125" style="330" customWidth="1"/>
    <col min="23" max="23" width="13.85546875" style="330" customWidth="1"/>
    <col min="24" max="24" width="12.5703125" style="330" bestFit="1" customWidth="1"/>
    <col min="25" max="27" width="12.5703125" style="330" customWidth="1"/>
    <col min="28" max="28" width="15.5703125" style="330" customWidth="1"/>
    <col min="29" max="29" width="12.5703125" style="330" customWidth="1"/>
    <col min="30" max="30" width="14.42578125" style="330" customWidth="1"/>
    <col min="31" max="31" width="14.85546875" style="330" customWidth="1"/>
    <col min="32" max="32" width="14" style="330" bestFit="1" customWidth="1"/>
    <col min="33" max="33" width="16.42578125" style="330" customWidth="1"/>
    <col min="34" max="34" width="15.5703125" style="330" customWidth="1"/>
    <col min="35" max="35" width="13.42578125" style="330" customWidth="1"/>
    <col min="36" max="37" width="13.42578125" style="330" bestFit="1" customWidth="1"/>
    <col min="38" max="38" width="15.5703125" style="330" customWidth="1"/>
    <col min="39" max="39" width="13.42578125" style="330" bestFit="1" customWidth="1"/>
    <col min="40" max="40" width="13.85546875" style="330" bestFit="1" customWidth="1"/>
    <col min="41" max="41" width="11" style="330" bestFit="1" customWidth="1"/>
    <col min="42" max="42" width="10.85546875" style="330" customWidth="1"/>
    <col min="43" max="43" width="10.42578125" style="330" customWidth="1"/>
    <col min="44" max="51" width="11.42578125" style="330" customWidth="1"/>
    <col min="52" max="16384" width="8.5703125" style="330"/>
  </cols>
  <sheetData>
    <row r="1" spans="2:41" ht="15" thickBot="1"/>
    <row r="2" spans="2:41" ht="14.45" customHeight="1">
      <c r="B2" s="880"/>
      <c r="C2" s="881"/>
      <c r="D2" s="881"/>
      <c r="E2" s="881"/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  <c r="U2" s="881"/>
      <c r="V2" s="881"/>
      <c r="W2" s="881"/>
      <c r="X2" s="881"/>
      <c r="Y2" s="881"/>
      <c r="Z2" s="881"/>
    </row>
    <row r="3" spans="2:41" ht="15.75" thickBot="1">
      <c r="B3" s="882" t="s">
        <v>745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3"/>
      <c r="Z3" s="883"/>
      <c r="AD3" s="330" t="s">
        <v>218</v>
      </c>
    </row>
    <row r="4" spans="2:41" ht="15.75" thickBot="1">
      <c r="B4" s="889" t="s">
        <v>177</v>
      </c>
      <c r="C4" s="891">
        <v>2024</v>
      </c>
      <c r="D4" s="892"/>
      <c r="E4" s="893"/>
      <c r="F4" s="894">
        <v>2025</v>
      </c>
      <c r="G4" s="894"/>
      <c r="H4" s="894"/>
      <c r="I4" s="885">
        <v>2026</v>
      </c>
      <c r="J4" s="884"/>
      <c r="K4" s="886"/>
      <c r="L4" s="884">
        <v>2027</v>
      </c>
      <c r="M4" s="884"/>
      <c r="N4" s="884"/>
      <c r="O4" s="885">
        <v>2027</v>
      </c>
      <c r="P4" s="884"/>
      <c r="Q4" s="884"/>
      <c r="R4" s="885">
        <v>2028</v>
      </c>
      <c r="S4" s="884"/>
      <c r="T4" s="886"/>
      <c r="U4" s="884">
        <v>2030</v>
      </c>
      <c r="V4" s="884"/>
      <c r="W4" s="886"/>
      <c r="X4" s="884">
        <v>2031</v>
      </c>
      <c r="Y4" s="884"/>
      <c r="Z4" s="884"/>
    </row>
    <row r="5" spans="2:41" ht="30.75" thickBot="1">
      <c r="B5" s="890"/>
      <c r="C5" s="799" t="s">
        <v>178</v>
      </c>
      <c r="D5" s="800" t="s">
        <v>179</v>
      </c>
      <c r="E5" s="801" t="s">
        <v>180</v>
      </c>
      <c r="F5" s="167" t="s">
        <v>178</v>
      </c>
      <c r="G5" s="335" t="s">
        <v>179</v>
      </c>
      <c r="H5" s="334" t="s">
        <v>180</v>
      </c>
      <c r="I5" s="113" t="s">
        <v>178</v>
      </c>
      <c r="J5" s="335" t="s">
        <v>179</v>
      </c>
      <c r="K5" s="170" t="s">
        <v>180</v>
      </c>
      <c r="L5" s="167" t="s">
        <v>178</v>
      </c>
      <c r="M5" s="335" t="s">
        <v>179</v>
      </c>
      <c r="N5" s="170" t="s">
        <v>180</v>
      </c>
      <c r="O5" s="167" t="s">
        <v>178</v>
      </c>
      <c r="P5" s="335" t="s">
        <v>179</v>
      </c>
      <c r="Q5" s="334" t="s">
        <v>180</v>
      </c>
      <c r="R5" s="113" t="s">
        <v>178</v>
      </c>
      <c r="S5" s="335" t="s">
        <v>179</v>
      </c>
      <c r="T5" s="334" t="s">
        <v>180</v>
      </c>
      <c r="U5" s="113" t="s">
        <v>178</v>
      </c>
      <c r="V5" s="335" t="s">
        <v>179</v>
      </c>
      <c r="W5" s="170" t="s">
        <v>180</v>
      </c>
      <c r="X5" s="167" t="s">
        <v>178</v>
      </c>
      <c r="Y5" s="335" t="s">
        <v>179</v>
      </c>
      <c r="Z5" s="334" t="s">
        <v>180</v>
      </c>
      <c r="AB5" s="734">
        <v>2025</v>
      </c>
      <c r="AC5" s="735">
        <v>2026</v>
      </c>
      <c r="AD5" s="735">
        <v>2027</v>
      </c>
      <c r="AE5" s="735">
        <v>2028</v>
      </c>
      <c r="AF5" s="735">
        <v>2029</v>
      </c>
      <c r="AG5" s="735">
        <v>2030</v>
      </c>
      <c r="AH5" s="736">
        <v>2031</v>
      </c>
    </row>
    <row r="6" spans="2:41" ht="35.1" customHeight="1">
      <c r="B6" s="109"/>
      <c r="C6" s="802" t="s">
        <v>181</v>
      </c>
      <c r="D6" s="803" t="s">
        <v>182</v>
      </c>
      <c r="E6" s="804" t="s">
        <v>183</v>
      </c>
      <c r="F6" s="802" t="s">
        <v>184</v>
      </c>
      <c r="G6" s="803" t="s">
        <v>185</v>
      </c>
      <c r="H6" s="804" t="s">
        <v>186</v>
      </c>
      <c r="I6" s="166" t="s">
        <v>187</v>
      </c>
      <c r="J6" s="333" t="s">
        <v>188</v>
      </c>
      <c r="K6" s="332" t="s">
        <v>189</v>
      </c>
      <c r="L6" s="112" t="s">
        <v>190</v>
      </c>
      <c r="M6" s="333" t="s">
        <v>191</v>
      </c>
      <c r="N6" s="169" t="s">
        <v>192</v>
      </c>
      <c r="O6" s="166" t="s">
        <v>747</v>
      </c>
      <c r="P6" s="333" t="s">
        <v>748</v>
      </c>
      <c r="Q6" s="332" t="s">
        <v>749</v>
      </c>
      <c r="R6" s="112" t="s">
        <v>284</v>
      </c>
      <c r="S6" s="333" t="s">
        <v>285</v>
      </c>
      <c r="T6" s="332" t="s">
        <v>756</v>
      </c>
      <c r="U6" s="112" t="s">
        <v>750</v>
      </c>
      <c r="V6" s="333" t="s">
        <v>751</v>
      </c>
      <c r="W6" s="169" t="s">
        <v>752</v>
      </c>
      <c r="X6" s="166" t="s">
        <v>753</v>
      </c>
      <c r="Y6" s="333" t="s">
        <v>754</v>
      </c>
      <c r="Z6" s="332" t="s">
        <v>755</v>
      </c>
      <c r="AB6" s="819" t="s">
        <v>781</v>
      </c>
      <c r="AC6" s="820" t="s">
        <v>782</v>
      </c>
      <c r="AD6" s="820" t="s">
        <v>783</v>
      </c>
      <c r="AE6" s="820" t="s">
        <v>785</v>
      </c>
      <c r="AF6" s="820" t="s">
        <v>784</v>
      </c>
      <c r="AG6" s="820" t="s">
        <v>786</v>
      </c>
      <c r="AH6" s="821" t="s">
        <v>787</v>
      </c>
      <c r="AI6" s="822" t="s">
        <v>788</v>
      </c>
    </row>
    <row r="7" spans="2:41">
      <c r="B7" s="136" t="s">
        <v>63</v>
      </c>
      <c r="C7" s="805">
        <f>'CDM-eDSM Framework'!W46</f>
        <v>3847669.4060554798</v>
      </c>
      <c r="D7" s="806">
        <f>D16</f>
        <v>0.5</v>
      </c>
      <c r="E7" s="807">
        <f>C7*D7</f>
        <v>1923834.7030277399</v>
      </c>
      <c r="F7" s="165">
        <f>'CDM-eDSM Framework'!X46</f>
        <v>7744828.2970269434</v>
      </c>
      <c r="G7" s="121">
        <f>G16</f>
        <v>0.5</v>
      </c>
      <c r="H7" s="164">
        <f>F7*G7</f>
        <v>3872414.1485134717</v>
      </c>
      <c r="I7" s="111">
        <f>'CDM-eDSM Framework'!Y46</f>
        <v>8393068.7551319934</v>
      </c>
      <c r="J7" s="121">
        <f>J16</f>
        <v>0.5</v>
      </c>
      <c r="K7" s="168">
        <f>I7*J7</f>
        <v>4196534.3775659967</v>
      </c>
      <c r="L7" s="165">
        <f>'CDM-eDSM Framework'!Z46</f>
        <v>9221848.3005135581</v>
      </c>
      <c r="M7" s="121">
        <f>M16</f>
        <v>0.5</v>
      </c>
      <c r="N7" s="168">
        <f>L7*M7</f>
        <v>4610924.150256779</v>
      </c>
      <c r="O7" s="165">
        <f>'CDM-eDSM Framework'!AA46</f>
        <v>9930268.4543775115</v>
      </c>
      <c r="P7" s="121">
        <f>P16</f>
        <v>0.5</v>
      </c>
      <c r="Q7" s="164">
        <f>O7*P7</f>
        <v>4965134.2271887558</v>
      </c>
      <c r="R7" s="111">
        <f>'CDM-eDSM Framework'!AB46</f>
        <v>10668778.456120823</v>
      </c>
      <c r="S7" s="121">
        <f>S16</f>
        <v>0.5</v>
      </c>
      <c r="T7" s="164">
        <f>R7*S7</f>
        <v>5334389.2280604113</v>
      </c>
      <c r="U7" s="111">
        <f>'CDM-eDSM Framework'!AC46</f>
        <v>11407288.457864128</v>
      </c>
      <c r="V7" s="121">
        <f>V16</f>
        <v>0.5</v>
      </c>
      <c r="W7" s="168">
        <f>U7*V7</f>
        <v>5703644.228932064</v>
      </c>
      <c r="X7" s="165">
        <f>'CDM-eDSM Framework'!AD46</f>
        <v>12145798.459607437</v>
      </c>
      <c r="Y7" s="121">
        <f>Y16</f>
        <v>0.5</v>
      </c>
      <c r="Z7" s="164">
        <f>X7*Y7</f>
        <v>6072899.2298037186</v>
      </c>
      <c r="AB7" s="812">
        <f t="shared" ref="AB7:AB15" si="0">E7+H7</f>
        <v>5796248.8515412118</v>
      </c>
      <c r="AC7" s="813">
        <f t="shared" ref="AC7:AC15" si="1">E7+F7+K7</f>
        <v>13865197.37762068</v>
      </c>
      <c r="AD7" s="814">
        <f t="shared" ref="AD7:AD15" si="2">E7+F7+I7+N7</f>
        <v>22672655.905443456</v>
      </c>
      <c r="AE7" s="814">
        <f t="shared" ref="AE7:AE15" si="3">E7+F7+I7+L7+Q7</f>
        <v>32248714.28288899</v>
      </c>
      <c r="AF7" s="814">
        <f t="shared" ref="AF7:AF15" si="4">E7+F7+I7+L7+O7+T7</f>
        <v>42548237.738138154</v>
      </c>
      <c r="AG7" s="814">
        <f t="shared" ref="AG7:AG15" si="5">E7+F7+I7+L7+O7+R7+W7</f>
        <v>53586271.195130631</v>
      </c>
      <c r="AH7" s="815">
        <f t="shared" ref="AH7:AH15" si="6">E7+F7+I7+L7+O7+R7+U7+Z7</f>
        <v>65362814.65386641</v>
      </c>
      <c r="AN7" s="336"/>
      <c r="AO7" s="442"/>
    </row>
    <row r="8" spans="2:41">
      <c r="B8" s="130" t="s">
        <v>385</v>
      </c>
      <c r="C8" s="805">
        <f>'CDM-eDSM Framework'!W47</f>
        <v>44060.971027763</v>
      </c>
      <c r="D8" s="808">
        <f>D16</f>
        <v>0.5</v>
      </c>
      <c r="E8" s="807">
        <f t="shared" ref="E8:E12" si="7">C8*D8</f>
        <v>22030.4855138815</v>
      </c>
      <c r="F8" s="165">
        <f>'CDM-eDSM Framework'!X47</f>
        <v>88674.174260311396</v>
      </c>
      <c r="G8" s="114">
        <f>G16</f>
        <v>0.5</v>
      </c>
      <c r="H8" s="164">
        <f t="shared" ref="H8:H12" si="8">F8*G8</f>
        <v>44337.087130155698</v>
      </c>
      <c r="I8" s="111">
        <f>'CDM-eDSM Framework'!Y47</f>
        <v>96096.270009973174</v>
      </c>
      <c r="J8" s="114">
        <f>J16</f>
        <v>0.5</v>
      </c>
      <c r="K8" s="168">
        <f t="shared" ref="K8:K12" si="9">I8*J8</f>
        <v>48048.135004986587</v>
      </c>
      <c r="L8" s="165">
        <f>'CDM-eDSM Framework'!Z47</f>
        <v>105585.96316419075</v>
      </c>
      <c r="M8" s="114">
        <f>M16</f>
        <v>0.5</v>
      </c>
      <c r="N8" s="168">
        <f t="shared" ref="N8:N12" si="10">L8*M8</f>
        <v>52792.981582095374</v>
      </c>
      <c r="O8" s="165">
        <f>'CDM-eDSM Framework'!AA47</f>
        <v>113697.2580487052</v>
      </c>
      <c r="P8" s="114">
        <f>P16</f>
        <v>0.5</v>
      </c>
      <c r="Q8" s="164">
        <f t="shared" ref="Q8:Q12" si="11">O8*P8</f>
        <v>56848.629024352602</v>
      </c>
      <c r="R8" s="111">
        <f>'CDM-eDSM Framework'!AB47</f>
        <v>122153.15250064488</v>
      </c>
      <c r="S8" s="114">
        <f>S16</f>
        <v>0.5</v>
      </c>
      <c r="T8" s="164">
        <f t="shared" ref="T8:T12" si="12">R8*S8</f>
        <v>61076.57625032244</v>
      </c>
      <c r="U8" s="111">
        <f>'CDM-eDSM Framework'!AC47</f>
        <v>130609.04695258455</v>
      </c>
      <c r="V8" s="114">
        <f>V16</f>
        <v>0.5</v>
      </c>
      <c r="W8" s="168">
        <f t="shared" ref="W8:W12" si="13">U8*V8</f>
        <v>65304.523476292277</v>
      </c>
      <c r="X8" s="165">
        <f>'CDM-eDSM Framework'!AD47</f>
        <v>139064.94140452426</v>
      </c>
      <c r="Y8" s="114">
        <f>Y16</f>
        <v>0.5</v>
      </c>
      <c r="Z8" s="164">
        <f t="shared" ref="Z8:Z12" si="14">X8*Y8</f>
        <v>69532.47070226213</v>
      </c>
      <c r="AB8" s="812">
        <f t="shared" si="0"/>
        <v>66367.572644037195</v>
      </c>
      <c r="AC8" s="813">
        <f t="shared" si="1"/>
        <v>158752.7947791795</v>
      </c>
      <c r="AD8" s="814">
        <f t="shared" si="2"/>
        <v>259593.91136626145</v>
      </c>
      <c r="AE8" s="814">
        <f t="shared" si="3"/>
        <v>369235.52197270939</v>
      </c>
      <c r="AF8" s="814">
        <f t="shared" si="4"/>
        <v>487160.72724738444</v>
      </c>
      <c r="AG8" s="814">
        <f t="shared" si="5"/>
        <v>613541.82697399915</v>
      </c>
      <c r="AH8" s="815">
        <f t="shared" si="6"/>
        <v>748378.82115255354</v>
      </c>
      <c r="AN8" s="336"/>
      <c r="AO8" s="442"/>
    </row>
    <row r="9" spans="2:41">
      <c r="B9" s="136" t="s">
        <v>170</v>
      </c>
      <c r="C9" s="805">
        <f>'CDM-eDSM Framework'!W48</f>
        <v>4094017.8436358268</v>
      </c>
      <c r="D9" s="808">
        <f>D16</f>
        <v>0.5</v>
      </c>
      <c r="E9" s="807">
        <f t="shared" si="7"/>
        <v>2047008.9218179134</v>
      </c>
      <c r="F9" s="165">
        <f>'CDM-eDSM Framework'!X48</f>
        <v>3469756.6208822108</v>
      </c>
      <c r="G9" s="114">
        <f>G16</f>
        <v>0.5</v>
      </c>
      <c r="H9" s="164">
        <f t="shared" si="8"/>
        <v>1734878.3104411054</v>
      </c>
      <c r="I9" s="111">
        <f>'CDM-eDSM Framework'!Y48</f>
        <v>3874547.0286449548</v>
      </c>
      <c r="J9" s="114">
        <f>J16</f>
        <v>0.5</v>
      </c>
      <c r="K9" s="168">
        <f t="shared" si="9"/>
        <v>1937273.5143224774</v>
      </c>
      <c r="L9" s="165">
        <f>'CDM-eDSM Framework'!Z48</f>
        <v>3918027.3748811418</v>
      </c>
      <c r="M9" s="114">
        <f>M16</f>
        <v>0.5</v>
      </c>
      <c r="N9" s="168">
        <f t="shared" si="10"/>
        <v>1959013.6874405709</v>
      </c>
      <c r="O9" s="165">
        <f>'CDM-eDSM Framework'!AA48</f>
        <v>4107549.58168945</v>
      </c>
      <c r="P9" s="114">
        <f>P16</f>
        <v>0.5</v>
      </c>
      <c r="Q9" s="164">
        <f t="shared" si="11"/>
        <v>2053774.790844725</v>
      </c>
      <c r="R9" s="111">
        <f>'CDM-eDSM Framework'!AB48</f>
        <v>4284269.2017994504</v>
      </c>
      <c r="S9" s="114">
        <f>S16</f>
        <v>0.5</v>
      </c>
      <c r="T9" s="164">
        <f t="shared" si="12"/>
        <v>2142134.6008997252</v>
      </c>
      <c r="U9" s="111">
        <f>'CDM-eDSM Framework'!AC48</f>
        <v>4460988.82190945</v>
      </c>
      <c r="V9" s="114">
        <f>V16</f>
        <v>0.5</v>
      </c>
      <c r="W9" s="168">
        <f t="shared" si="13"/>
        <v>2230494.410954725</v>
      </c>
      <c r="X9" s="165">
        <f>'CDM-eDSM Framework'!AD48</f>
        <v>4637708.4420194505</v>
      </c>
      <c r="Y9" s="114">
        <f>Y16</f>
        <v>0.5</v>
      </c>
      <c r="Z9" s="164">
        <f t="shared" si="14"/>
        <v>2318854.2210097252</v>
      </c>
      <c r="AB9" s="812">
        <f t="shared" si="0"/>
        <v>3781887.2322590188</v>
      </c>
      <c r="AC9" s="813">
        <f t="shared" si="1"/>
        <v>7454039.0570226014</v>
      </c>
      <c r="AD9" s="814">
        <f t="shared" si="2"/>
        <v>11350326.25878565</v>
      </c>
      <c r="AE9" s="814">
        <f t="shared" si="3"/>
        <v>15363114.737070946</v>
      </c>
      <c r="AF9" s="814">
        <f t="shared" si="4"/>
        <v>19559024.128815398</v>
      </c>
      <c r="AG9" s="814">
        <f t="shared" si="5"/>
        <v>23931653.140669849</v>
      </c>
      <c r="AH9" s="815">
        <f t="shared" si="6"/>
        <v>28481001.772634298</v>
      </c>
      <c r="AN9" s="336"/>
      <c r="AO9" s="442"/>
    </row>
    <row r="10" spans="2:41">
      <c r="B10" s="130" t="str">
        <f>'CDM-eDSM Framework'!AG40</f>
        <v>GS 50-2,999</v>
      </c>
      <c r="C10" s="805">
        <f>'CDM-eDSM Framework'!W49</f>
        <v>14702774.998666458</v>
      </c>
      <c r="D10" s="808">
        <f>D16</f>
        <v>0.5</v>
      </c>
      <c r="E10" s="807">
        <f t="shared" si="7"/>
        <v>7351387.4993332289</v>
      </c>
      <c r="F10" s="165">
        <f>'CDM-eDSM Framework'!X49</f>
        <v>15162941.712816454</v>
      </c>
      <c r="G10" s="114">
        <f>G16</f>
        <v>0.5</v>
      </c>
      <c r="H10" s="164">
        <f t="shared" si="8"/>
        <v>7581470.8564082272</v>
      </c>
      <c r="I10" s="111">
        <f>'CDM-eDSM Framework'!Y49</f>
        <v>17249648.601650693</v>
      </c>
      <c r="J10" s="114">
        <f>J16</f>
        <v>0.5</v>
      </c>
      <c r="K10" s="168">
        <f t="shared" si="9"/>
        <v>8624824.3008253463</v>
      </c>
      <c r="L10" s="165">
        <f>'CDM-eDSM Framework'!Z49</f>
        <v>18980592.783149049</v>
      </c>
      <c r="M10" s="114">
        <f>M16</f>
        <v>0.5</v>
      </c>
      <c r="N10" s="168">
        <f t="shared" si="10"/>
        <v>9490296.3915745243</v>
      </c>
      <c r="O10" s="165">
        <f>'CDM-eDSM Framework'!AA49</f>
        <v>19990919.053790435</v>
      </c>
      <c r="P10" s="114">
        <f>P16</f>
        <v>0.5</v>
      </c>
      <c r="Q10" s="164">
        <f t="shared" si="11"/>
        <v>9995459.5268952176</v>
      </c>
      <c r="R10" s="111">
        <f>'CDM-eDSM Framework'!AB49</f>
        <v>20952174.946359269</v>
      </c>
      <c r="S10" s="114">
        <f>S16</f>
        <v>0.5</v>
      </c>
      <c r="T10" s="164">
        <f t="shared" si="12"/>
        <v>10476087.473179635</v>
      </c>
      <c r="U10" s="111">
        <f>'CDM-eDSM Framework'!AC49</f>
        <v>21913430.838928107</v>
      </c>
      <c r="V10" s="114">
        <f>V16</f>
        <v>0.5</v>
      </c>
      <c r="W10" s="168">
        <f t="shared" si="13"/>
        <v>10956715.419464054</v>
      </c>
      <c r="X10" s="165">
        <f>'CDM-eDSM Framework'!AD49</f>
        <v>22874686.731496945</v>
      </c>
      <c r="Y10" s="114">
        <f>Y16</f>
        <v>0.5</v>
      </c>
      <c r="Z10" s="164">
        <f t="shared" si="14"/>
        <v>11437343.365748473</v>
      </c>
      <c r="AB10" s="812">
        <f t="shared" si="0"/>
        <v>14932858.355741456</v>
      </c>
      <c r="AC10" s="813">
        <f t="shared" si="1"/>
        <v>31139153.51297503</v>
      </c>
      <c r="AD10" s="814">
        <f t="shared" si="2"/>
        <v>49254274.205374904</v>
      </c>
      <c r="AE10" s="814">
        <f t="shared" si="3"/>
        <v>68740030.123844653</v>
      </c>
      <c r="AF10" s="814">
        <f t="shared" si="4"/>
        <v>89211577.123919502</v>
      </c>
      <c r="AG10" s="814">
        <f t="shared" si="5"/>
        <v>110644380.01656318</v>
      </c>
      <c r="AH10" s="815">
        <f t="shared" si="6"/>
        <v>133038438.80177569</v>
      </c>
      <c r="AN10" s="336"/>
      <c r="AO10" s="442"/>
    </row>
    <row r="11" spans="2:41">
      <c r="B11" s="136" t="str">
        <f>'CDM-eDSM Framework'!AG41</f>
        <v>GS 3,000-4,999</v>
      </c>
      <c r="C11" s="805">
        <f>'CDM-eDSM Framework'!W50</f>
        <v>969079.85360155499</v>
      </c>
      <c r="D11" s="808">
        <f>D16</f>
        <v>0.5</v>
      </c>
      <c r="E11" s="807">
        <f t="shared" si="7"/>
        <v>484539.9268007775</v>
      </c>
      <c r="F11" s="165">
        <f>'CDM-eDSM Framework'!X50</f>
        <v>1121784.3795929514</v>
      </c>
      <c r="G11" s="114">
        <f>G16</f>
        <v>0.5</v>
      </c>
      <c r="H11" s="164">
        <f t="shared" si="8"/>
        <v>560892.18979647569</v>
      </c>
      <c r="I11" s="111">
        <f>'CDM-eDSM Framework'!Y50</f>
        <v>1265622.1424095314</v>
      </c>
      <c r="J11" s="114">
        <f>J16</f>
        <v>0.5</v>
      </c>
      <c r="K11" s="168">
        <f t="shared" si="9"/>
        <v>632811.0712047657</v>
      </c>
      <c r="L11" s="165">
        <f>'CDM-eDSM Framework'!Z50</f>
        <v>1457473.9475000249</v>
      </c>
      <c r="M11" s="114">
        <f>M16</f>
        <v>0.5</v>
      </c>
      <c r="N11" s="168">
        <f t="shared" si="10"/>
        <v>728736.97375001246</v>
      </c>
      <c r="O11" s="165">
        <f>'CDM-eDSM Framework'!AA50</f>
        <v>1550524.1788728423</v>
      </c>
      <c r="P11" s="114">
        <f>P16</f>
        <v>0.5</v>
      </c>
      <c r="Q11" s="164">
        <f t="shared" si="11"/>
        <v>775262.08943642117</v>
      </c>
      <c r="R11" s="111">
        <f>'CDM-eDSM Framework'!AB50</f>
        <v>1642143.0092790192</v>
      </c>
      <c r="S11" s="114">
        <f>S16</f>
        <v>0.5</v>
      </c>
      <c r="T11" s="164">
        <f t="shared" si="12"/>
        <v>821071.5046395096</v>
      </c>
      <c r="U11" s="111">
        <f>'CDM-eDSM Framework'!AC50</f>
        <v>1733761.8396851956</v>
      </c>
      <c r="V11" s="114">
        <f>V16</f>
        <v>0.5</v>
      </c>
      <c r="W11" s="168">
        <f t="shared" si="13"/>
        <v>866880.9198425978</v>
      </c>
      <c r="X11" s="165">
        <f>'CDM-eDSM Framework'!AD50</f>
        <v>1825380.670091372</v>
      </c>
      <c r="Y11" s="114">
        <f>Y16</f>
        <v>0.5</v>
      </c>
      <c r="Z11" s="164">
        <f t="shared" si="14"/>
        <v>912690.33504568599</v>
      </c>
      <c r="AB11" s="812">
        <f t="shared" si="0"/>
        <v>1045432.1165972531</v>
      </c>
      <c r="AC11" s="813">
        <f t="shared" si="1"/>
        <v>2239135.3775984943</v>
      </c>
      <c r="AD11" s="814">
        <f t="shared" si="2"/>
        <v>3600683.4225532725</v>
      </c>
      <c r="AE11" s="814">
        <f t="shared" si="3"/>
        <v>5104682.4857397061</v>
      </c>
      <c r="AF11" s="814">
        <f t="shared" si="4"/>
        <v>6701016.0798156373</v>
      </c>
      <c r="AG11" s="814">
        <f t="shared" si="5"/>
        <v>8388968.5042977445</v>
      </c>
      <c r="AH11" s="815">
        <f t="shared" si="6"/>
        <v>10168539.759186028</v>
      </c>
      <c r="AN11" s="336"/>
      <c r="AO11" s="442"/>
    </row>
    <row r="12" spans="2:41">
      <c r="B12" s="136" t="str">
        <f>'CDM-eDSM Framework'!AG42</f>
        <v>Large Use</v>
      </c>
      <c r="C12" s="805">
        <f>'CDM-eDSM Framework'!W51</f>
        <v>6878902.6149551198</v>
      </c>
      <c r="D12" s="808">
        <f>D16</f>
        <v>0.5</v>
      </c>
      <c r="E12" s="807">
        <f t="shared" si="7"/>
        <v>3439451.3074775599</v>
      </c>
      <c r="F12" s="165">
        <f>'CDM-eDSM Framework'!X51</f>
        <v>5758241.4540642723</v>
      </c>
      <c r="G12" s="114">
        <f>G16</f>
        <v>0.5</v>
      </c>
      <c r="H12" s="164">
        <f t="shared" si="8"/>
        <v>2879120.7270321362</v>
      </c>
      <c r="I12" s="111">
        <f>'CDM-eDSM Framework'!Y51</f>
        <v>6639014.5944312997</v>
      </c>
      <c r="J12" s="114">
        <f>J16</f>
        <v>0.5</v>
      </c>
      <c r="K12" s="168">
        <f t="shared" si="9"/>
        <v>3319507.2972156499</v>
      </c>
      <c r="L12" s="165">
        <f>'CDM-eDSM Framework'!Z51</f>
        <v>8916315.4516192377</v>
      </c>
      <c r="M12" s="114">
        <f>M16</f>
        <v>0.5</v>
      </c>
      <c r="N12" s="168">
        <f t="shared" si="10"/>
        <v>4458157.7258096188</v>
      </c>
      <c r="O12" s="165">
        <f>'CDM-eDSM Framework'!AA51</f>
        <v>9622022.6607708633</v>
      </c>
      <c r="P12" s="114">
        <f>P16</f>
        <v>0.5</v>
      </c>
      <c r="Q12" s="164">
        <f t="shared" si="11"/>
        <v>4811011.3303854316</v>
      </c>
      <c r="R12" s="111">
        <f>'CDM-eDSM Framework'!AB51</f>
        <v>10333209.721297096</v>
      </c>
      <c r="S12" s="114">
        <f>S16</f>
        <v>0.5</v>
      </c>
      <c r="T12" s="164">
        <f t="shared" si="12"/>
        <v>5166604.8606485482</v>
      </c>
      <c r="U12" s="111">
        <f>'CDM-eDSM Framework'!AC51</f>
        <v>11044396.781823326</v>
      </c>
      <c r="V12" s="114">
        <f>V16</f>
        <v>0.5</v>
      </c>
      <c r="W12" s="168">
        <f t="shared" si="13"/>
        <v>5522198.390911663</v>
      </c>
      <c r="X12" s="165">
        <f>'CDM-eDSM Framework'!AD51</f>
        <v>11755583.842349557</v>
      </c>
      <c r="Y12" s="114">
        <f>Y16</f>
        <v>0.5</v>
      </c>
      <c r="Z12" s="164">
        <f t="shared" si="14"/>
        <v>5877791.9211747786</v>
      </c>
      <c r="AB12" s="812">
        <f t="shared" si="0"/>
        <v>6318572.0345096961</v>
      </c>
      <c r="AC12" s="813">
        <f t="shared" si="1"/>
        <v>12517200.058757482</v>
      </c>
      <c r="AD12" s="814">
        <f t="shared" si="2"/>
        <v>20294865.081782751</v>
      </c>
      <c r="AE12" s="814">
        <f t="shared" si="3"/>
        <v>29564034.137977801</v>
      </c>
      <c r="AF12" s="814">
        <f t="shared" si="4"/>
        <v>39541650.329011783</v>
      </c>
      <c r="AG12" s="814">
        <f t="shared" si="5"/>
        <v>50230453.580571987</v>
      </c>
      <c r="AH12" s="815">
        <f t="shared" si="6"/>
        <v>61630443.892658427</v>
      </c>
      <c r="AN12" s="336"/>
      <c r="AO12" s="442"/>
    </row>
    <row r="13" spans="2:41">
      <c r="B13" s="130" t="s">
        <v>193</v>
      </c>
      <c r="C13" s="805"/>
      <c r="D13" s="806">
        <f>D16</f>
        <v>0.5</v>
      </c>
      <c r="E13" s="807"/>
      <c r="F13" s="165"/>
      <c r="G13" s="121">
        <f>G16</f>
        <v>0.5</v>
      </c>
      <c r="H13" s="164"/>
      <c r="I13" s="111"/>
      <c r="J13" s="121">
        <f>J16</f>
        <v>0.5</v>
      </c>
      <c r="K13" s="168"/>
      <c r="L13" s="165"/>
      <c r="M13" s="121">
        <f>M16</f>
        <v>0.5</v>
      </c>
      <c r="N13" s="168"/>
      <c r="O13" s="165"/>
      <c r="P13" s="121">
        <f>P16</f>
        <v>0.5</v>
      </c>
      <c r="Q13" s="164"/>
      <c r="R13" s="111"/>
      <c r="S13" s="121">
        <f>S16</f>
        <v>0.5</v>
      </c>
      <c r="T13" s="164"/>
      <c r="U13" s="111"/>
      <c r="V13" s="121">
        <f>V16</f>
        <v>0.5</v>
      </c>
      <c r="W13" s="168"/>
      <c r="X13" s="165"/>
      <c r="Y13" s="121">
        <f>Y16</f>
        <v>0.5</v>
      </c>
      <c r="Z13" s="164"/>
      <c r="AB13" s="812">
        <f t="shared" si="0"/>
        <v>0</v>
      </c>
      <c r="AC13" s="813">
        <f t="shared" si="1"/>
        <v>0</v>
      </c>
      <c r="AD13" s="814">
        <f t="shared" si="2"/>
        <v>0</v>
      </c>
      <c r="AE13" s="814">
        <f t="shared" si="3"/>
        <v>0</v>
      </c>
      <c r="AF13" s="814">
        <f t="shared" si="4"/>
        <v>0</v>
      </c>
      <c r="AG13" s="814">
        <f t="shared" si="5"/>
        <v>0</v>
      </c>
      <c r="AH13" s="815">
        <f t="shared" si="6"/>
        <v>0</v>
      </c>
      <c r="AN13" s="336"/>
      <c r="AO13" s="442"/>
    </row>
    <row r="14" spans="2:41">
      <c r="B14" s="136" t="s">
        <v>396</v>
      </c>
      <c r="C14" s="805"/>
      <c r="D14" s="806">
        <f>D16</f>
        <v>0.5</v>
      </c>
      <c r="E14" s="807"/>
      <c r="F14" s="165"/>
      <c r="G14" s="121">
        <f>G16</f>
        <v>0.5</v>
      </c>
      <c r="H14" s="164"/>
      <c r="I14" s="111"/>
      <c r="J14" s="121">
        <f>J16</f>
        <v>0.5</v>
      </c>
      <c r="K14" s="168"/>
      <c r="L14" s="165"/>
      <c r="M14" s="121">
        <f>M16</f>
        <v>0.5</v>
      </c>
      <c r="N14" s="168"/>
      <c r="O14" s="165"/>
      <c r="P14" s="121">
        <f>P16</f>
        <v>0.5</v>
      </c>
      <c r="Q14" s="164"/>
      <c r="R14" s="111"/>
      <c r="S14" s="121">
        <f>S16</f>
        <v>0.5</v>
      </c>
      <c r="T14" s="164"/>
      <c r="U14" s="111"/>
      <c r="V14" s="121">
        <f>V16</f>
        <v>0.5</v>
      </c>
      <c r="W14" s="168"/>
      <c r="X14" s="165"/>
      <c r="Y14" s="121">
        <f>Y16</f>
        <v>0.5</v>
      </c>
      <c r="Z14" s="164"/>
      <c r="AB14" s="812">
        <f t="shared" si="0"/>
        <v>0</v>
      </c>
      <c r="AC14" s="813">
        <f t="shared" si="1"/>
        <v>0</v>
      </c>
      <c r="AD14" s="814">
        <f t="shared" si="2"/>
        <v>0</v>
      </c>
      <c r="AE14" s="814">
        <f t="shared" si="3"/>
        <v>0</v>
      </c>
      <c r="AF14" s="814">
        <f t="shared" si="4"/>
        <v>0</v>
      </c>
      <c r="AG14" s="814">
        <f t="shared" si="5"/>
        <v>0</v>
      </c>
      <c r="AH14" s="815">
        <f t="shared" si="6"/>
        <v>0</v>
      </c>
      <c r="AN14" s="336"/>
      <c r="AO14" s="442"/>
    </row>
    <row r="15" spans="2:41">
      <c r="B15" s="130" t="s">
        <v>64</v>
      </c>
      <c r="C15" s="805"/>
      <c r="D15" s="806">
        <f>D16</f>
        <v>0.5</v>
      </c>
      <c r="E15" s="807"/>
      <c r="F15" s="165"/>
      <c r="G15" s="121">
        <f>G16</f>
        <v>0.5</v>
      </c>
      <c r="H15" s="164"/>
      <c r="I15" s="111"/>
      <c r="J15" s="121">
        <f>J16</f>
        <v>0.5</v>
      </c>
      <c r="K15" s="168"/>
      <c r="L15" s="165"/>
      <c r="M15" s="121">
        <f>M16</f>
        <v>0.5</v>
      </c>
      <c r="N15" s="168"/>
      <c r="O15" s="165"/>
      <c r="P15" s="121">
        <f>P16</f>
        <v>0.5</v>
      </c>
      <c r="Q15" s="164"/>
      <c r="R15" s="111"/>
      <c r="S15" s="121">
        <f>S16</f>
        <v>0.5</v>
      </c>
      <c r="T15" s="164"/>
      <c r="U15" s="111"/>
      <c r="V15" s="121">
        <f>V16</f>
        <v>0.5</v>
      </c>
      <c r="W15" s="168"/>
      <c r="X15" s="165"/>
      <c r="Y15" s="121">
        <f>Y16</f>
        <v>0.5</v>
      </c>
      <c r="Z15" s="164"/>
      <c r="AB15" s="812">
        <f t="shared" si="0"/>
        <v>0</v>
      </c>
      <c r="AC15" s="813">
        <f t="shared" si="1"/>
        <v>0</v>
      </c>
      <c r="AD15" s="814">
        <f t="shared" si="2"/>
        <v>0</v>
      </c>
      <c r="AE15" s="814">
        <f t="shared" si="3"/>
        <v>0</v>
      </c>
      <c r="AF15" s="814">
        <f t="shared" si="4"/>
        <v>0</v>
      </c>
      <c r="AG15" s="814">
        <f t="shared" si="5"/>
        <v>0</v>
      </c>
      <c r="AH15" s="815">
        <f t="shared" si="6"/>
        <v>0</v>
      </c>
      <c r="AN15" s="336"/>
      <c r="AO15" s="442"/>
    </row>
    <row r="16" spans="2:41" ht="15.75" thickBot="1">
      <c r="B16" s="127" t="s">
        <v>194</v>
      </c>
      <c r="C16" s="809">
        <f>SUM(C7:C15)</f>
        <v>30536505.687942203</v>
      </c>
      <c r="D16" s="810">
        <v>0.5</v>
      </c>
      <c r="E16" s="811">
        <f>C16*D16</f>
        <v>15268252.843971102</v>
      </c>
      <c r="F16" s="118">
        <f>SUM(F7:F15)</f>
        <v>33346226.638643142</v>
      </c>
      <c r="G16" s="120">
        <v>0.5</v>
      </c>
      <c r="H16" s="117">
        <f>F16*G16</f>
        <v>16673113.319321571</v>
      </c>
      <c r="I16" s="110">
        <f>SUM(I7:I15)</f>
        <v>37517997.392278448</v>
      </c>
      <c r="J16" s="120">
        <v>0.5</v>
      </c>
      <c r="K16" s="119">
        <f>I16*J16</f>
        <v>18758998.696139224</v>
      </c>
      <c r="L16" s="118">
        <f>SUM(L7:L15)</f>
        <v>42599843.820827201</v>
      </c>
      <c r="M16" s="120">
        <v>0.5</v>
      </c>
      <c r="N16" s="119">
        <f>L16*M16</f>
        <v>21299921.910413601</v>
      </c>
      <c r="O16" s="118">
        <f>SUM(O7:O15)</f>
        <v>45314981.1875498</v>
      </c>
      <c r="P16" s="120">
        <v>0.5</v>
      </c>
      <c r="Q16" s="117">
        <f>O16*P16</f>
        <v>22657490.5937749</v>
      </c>
      <c r="R16" s="110">
        <f>SUM(R7:R15)</f>
        <v>48002728.487356305</v>
      </c>
      <c r="S16" s="120">
        <v>0.5</v>
      </c>
      <c r="T16" s="117">
        <f>R16*S16</f>
        <v>24001364.243678153</v>
      </c>
      <c r="U16" s="110">
        <f>SUM(U7:U15)</f>
        <v>50690475.787162796</v>
      </c>
      <c r="V16" s="120">
        <v>0.5</v>
      </c>
      <c r="W16" s="119">
        <f>U16*V16</f>
        <v>25345237.893581398</v>
      </c>
      <c r="X16" s="118">
        <f>SUM(X7:X15)</f>
        <v>53378223.086969286</v>
      </c>
      <c r="Y16" s="120">
        <v>0.5</v>
      </c>
      <c r="Z16" s="117">
        <f>X16*Y16</f>
        <v>26689111.543484643</v>
      </c>
      <c r="AB16" s="816">
        <f t="shared" ref="AB16:AH16" si="15">SUM(AB7:AB15)</f>
        <v>31941366.163292672</v>
      </c>
      <c r="AC16" s="817">
        <f t="shared" si="15"/>
        <v>67373478.178753465</v>
      </c>
      <c r="AD16" s="817">
        <f t="shared" si="15"/>
        <v>107432398.7853063</v>
      </c>
      <c r="AE16" s="817">
        <f t="shared" si="15"/>
        <v>151389811.28949481</v>
      </c>
      <c r="AF16" s="817">
        <f t="shared" si="15"/>
        <v>198048666.12694788</v>
      </c>
      <c r="AG16" s="817">
        <f t="shared" si="15"/>
        <v>247395268.26420736</v>
      </c>
      <c r="AH16" s="818">
        <f t="shared" si="15"/>
        <v>299429617.70127338</v>
      </c>
      <c r="AN16" s="336"/>
      <c r="AO16" s="442"/>
    </row>
    <row r="17" spans="2:4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AN17" s="336"/>
      <c r="AO17" s="442"/>
    </row>
    <row r="18" spans="2:45">
      <c r="AN18" s="336"/>
      <c r="AO18" s="442"/>
    </row>
    <row r="19" spans="2:45" ht="15" thickBot="1">
      <c r="AN19" s="336"/>
      <c r="AO19" s="442"/>
    </row>
    <row r="20" spans="2:45" ht="15" customHeight="1" thickBot="1">
      <c r="B20" s="878" t="s">
        <v>746</v>
      </c>
      <c r="C20" s="879"/>
      <c r="D20" s="879"/>
      <c r="E20" s="879"/>
      <c r="F20" s="879"/>
      <c r="G20" s="879"/>
      <c r="H20" s="879"/>
      <c r="I20" s="879"/>
      <c r="J20" s="879"/>
      <c r="K20" s="879"/>
      <c r="L20" s="879"/>
      <c r="M20" s="879"/>
      <c r="N20" s="879"/>
      <c r="O20" s="879"/>
      <c r="P20" s="879"/>
      <c r="Q20" s="879"/>
      <c r="R20" s="879"/>
      <c r="S20" s="879"/>
      <c r="T20" s="879"/>
      <c r="U20" s="879"/>
      <c r="V20" s="879"/>
      <c r="W20" s="879"/>
      <c r="X20" s="879"/>
      <c r="Y20" s="879"/>
      <c r="Z20" s="879"/>
      <c r="AA20" s="879"/>
      <c r="AB20" s="879"/>
      <c r="AC20" s="879"/>
      <c r="AD20" s="879"/>
      <c r="AE20" s="879"/>
      <c r="AF20" s="879"/>
      <c r="AG20" s="879"/>
      <c r="AH20" s="879"/>
      <c r="AI20" s="879"/>
      <c r="AJ20" s="879"/>
      <c r="AK20" s="879"/>
      <c r="AN20" s="336"/>
      <c r="AO20" s="330" t="s">
        <v>218</v>
      </c>
    </row>
    <row r="21" spans="2:45" ht="15.75" thickBot="1">
      <c r="B21" s="52" t="s">
        <v>177</v>
      </c>
      <c r="C21" s="895" t="s">
        <v>195</v>
      </c>
      <c r="D21" s="887"/>
      <c r="E21" s="887"/>
      <c r="F21" s="887"/>
      <c r="G21" s="888"/>
      <c r="H21" s="895" t="s">
        <v>196</v>
      </c>
      <c r="I21" s="887"/>
      <c r="J21" s="887"/>
      <c r="K21" s="887"/>
      <c r="L21" s="888"/>
      <c r="M21" s="887" t="s">
        <v>487</v>
      </c>
      <c r="N21" s="887"/>
      <c r="O21" s="887"/>
      <c r="P21" s="887"/>
      <c r="Q21" s="888"/>
      <c r="R21" s="887" t="s">
        <v>488</v>
      </c>
      <c r="S21" s="887"/>
      <c r="T21" s="887"/>
      <c r="U21" s="887"/>
      <c r="V21" s="888"/>
      <c r="W21" s="887" t="s">
        <v>489</v>
      </c>
      <c r="X21" s="887"/>
      <c r="Y21" s="887"/>
      <c r="Z21" s="887"/>
      <c r="AA21" s="888"/>
      <c r="AB21" s="887" t="s">
        <v>490</v>
      </c>
      <c r="AC21" s="887"/>
      <c r="AD21" s="887"/>
      <c r="AE21" s="887"/>
      <c r="AF21" s="888"/>
      <c r="AG21" s="887" t="s">
        <v>491</v>
      </c>
      <c r="AH21" s="887"/>
      <c r="AI21" s="887"/>
      <c r="AJ21" s="887"/>
      <c r="AK21" s="888"/>
      <c r="AN21" s="336"/>
      <c r="AO21" s="442"/>
    </row>
    <row r="22" spans="2:45" ht="45.75" thickBot="1">
      <c r="B22" s="140"/>
      <c r="C22" s="139" t="s">
        <v>197</v>
      </c>
      <c r="D22" s="335" t="s">
        <v>175</v>
      </c>
      <c r="E22" s="335" t="s">
        <v>198</v>
      </c>
      <c r="F22" s="335" t="s">
        <v>199</v>
      </c>
      <c r="G22" s="138" t="s">
        <v>175</v>
      </c>
      <c r="H22" s="137" t="s">
        <v>197</v>
      </c>
      <c r="I22" s="335" t="s">
        <v>175</v>
      </c>
      <c r="J22" s="335" t="s">
        <v>198</v>
      </c>
      <c r="K22" s="335" t="s">
        <v>199</v>
      </c>
      <c r="L22" s="138" t="s">
        <v>175</v>
      </c>
      <c r="M22" s="137" t="s">
        <v>197</v>
      </c>
      <c r="N22" s="335" t="s">
        <v>175</v>
      </c>
      <c r="O22" s="335" t="s">
        <v>198</v>
      </c>
      <c r="P22" s="335" t="s">
        <v>199</v>
      </c>
      <c r="Q22" s="138" t="s">
        <v>175</v>
      </c>
      <c r="R22" s="137" t="s">
        <v>197</v>
      </c>
      <c r="S22" s="335" t="s">
        <v>175</v>
      </c>
      <c r="T22" s="335" t="s">
        <v>198</v>
      </c>
      <c r="U22" s="335" t="s">
        <v>199</v>
      </c>
      <c r="V22" s="138" t="s">
        <v>175</v>
      </c>
      <c r="W22" s="137" t="s">
        <v>197</v>
      </c>
      <c r="X22" s="335" t="s">
        <v>175</v>
      </c>
      <c r="Y22" s="335" t="s">
        <v>198</v>
      </c>
      <c r="Z22" s="335" t="s">
        <v>199</v>
      </c>
      <c r="AA22" s="138" t="s">
        <v>175</v>
      </c>
      <c r="AB22" s="137" t="s">
        <v>197</v>
      </c>
      <c r="AC22" s="335" t="s">
        <v>175</v>
      </c>
      <c r="AD22" s="335" t="s">
        <v>198</v>
      </c>
      <c r="AE22" s="335" t="s">
        <v>199</v>
      </c>
      <c r="AF22" s="138" t="s">
        <v>175</v>
      </c>
      <c r="AG22" s="137" t="s">
        <v>197</v>
      </c>
      <c r="AH22" s="335" t="s">
        <v>175</v>
      </c>
      <c r="AI22" s="335" t="s">
        <v>198</v>
      </c>
      <c r="AJ22" s="335" t="s">
        <v>199</v>
      </c>
      <c r="AK22" s="138" t="s">
        <v>175</v>
      </c>
      <c r="AM22" s="734">
        <v>2025</v>
      </c>
      <c r="AN22" s="735">
        <v>2026</v>
      </c>
      <c r="AO22" s="735">
        <v>2027</v>
      </c>
      <c r="AP22" s="735">
        <v>2028</v>
      </c>
      <c r="AQ22" s="735">
        <v>2029</v>
      </c>
      <c r="AR22" s="735">
        <v>2030</v>
      </c>
      <c r="AS22" s="736">
        <v>2031</v>
      </c>
    </row>
    <row r="23" spans="2:45" ht="30">
      <c r="B23" s="140"/>
      <c r="C23" s="139" t="s">
        <v>181</v>
      </c>
      <c r="D23" s="335" t="s">
        <v>182</v>
      </c>
      <c r="E23" s="335" t="s">
        <v>200</v>
      </c>
      <c r="F23" s="335" t="s">
        <v>184</v>
      </c>
      <c r="G23" s="138" t="s">
        <v>201</v>
      </c>
      <c r="H23" s="137" t="s">
        <v>282</v>
      </c>
      <c r="I23" s="335" t="s">
        <v>187</v>
      </c>
      <c r="J23" s="335" t="s">
        <v>757</v>
      </c>
      <c r="K23" s="335" t="s">
        <v>294</v>
      </c>
      <c r="L23" s="138" t="s">
        <v>758</v>
      </c>
      <c r="M23" s="137" t="s">
        <v>191</v>
      </c>
      <c r="N23" s="335" t="s">
        <v>759</v>
      </c>
      <c r="O23" s="335" t="s">
        <v>772</v>
      </c>
      <c r="P23" s="335" t="s">
        <v>748</v>
      </c>
      <c r="Q23" s="138" t="s">
        <v>749</v>
      </c>
      <c r="R23" s="137" t="s">
        <v>284</v>
      </c>
      <c r="S23" s="335" t="s">
        <v>285</v>
      </c>
      <c r="T23" s="335" t="s">
        <v>773</v>
      </c>
      <c r="U23" s="335" t="s">
        <v>750</v>
      </c>
      <c r="V23" s="138" t="s">
        <v>774</v>
      </c>
      <c r="W23" s="137" t="s">
        <v>761</v>
      </c>
      <c r="X23" s="335" t="s">
        <v>753</v>
      </c>
      <c r="Y23" s="335" t="s">
        <v>775</v>
      </c>
      <c r="Z23" s="335" t="s">
        <v>762</v>
      </c>
      <c r="AA23" s="138" t="s">
        <v>776</v>
      </c>
      <c r="AB23" s="137" t="s">
        <v>764</v>
      </c>
      <c r="AC23" s="335" t="s">
        <v>765</v>
      </c>
      <c r="AD23" s="335" t="s">
        <v>777</v>
      </c>
      <c r="AE23" s="335" t="s">
        <v>766</v>
      </c>
      <c r="AF23" s="138" t="s">
        <v>778</v>
      </c>
      <c r="AG23" s="137" t="s">
        <v>768</v>
      </c>
      <c r="AH23" s="335" t="s">
        <v>769</v>
      </c>
      <c r="AI23" s="335" t="s">
        <v>779</v>
      </c>
      <c r="AJ23" s="335" t="s">
        <v>770</v>
      </c>
      <c r="AK23" s="138" t="s">
        <v>780</v>
      </c>
      <c r="AM23" s="819" t="s">
        <v>185</v>
      </c>
      <c r="AN23" s="820" t="s">
        <v>190</v>
      </c>
      <c r="AO23" s="820" t="s">
        <v>760</v>
      </c>
      <c r="AP23" s="820" t="s">
        <v>751</v>
      </c>
      <c r="AQ23" s="820" t="s">
        <v>763</v>
      </c>
      <c r="AR23" s="820" t="s">
        <v>767</v>
      </c>
      <c r="AS23" s="821" t="s">
        <v>771</v>
      </c>
    </row>
    <row r="24" spans="2:45">
      <c r="B24" s="136" t="str">
        <f>B10</f>
        <v>GS 50-2,999</v>
      </c>
      <c r="C24" s="135">
        <f ca="1">'Normalized Annual Summary'!AN16</f>
        <v>956730420.57967591</v>
      </c>
      <c r="D24" s="115">
        <f>AB10</f>
        <v>14932858.355741456</v>
      </c>
      <c r="E24" s="134">
        <f ca="1">D24/C24</f>
        <v>1.5608219446700301E-2</v>
      </c>
      <c r="F24" s="133">
        <f ca="1">'kW Forecast'!D21</f>
        <v>2240697.2395984856</v>
      </c>
      <c r="G24" s="132">
        <f ca="1">E24*F24</f>
        <v>34973.294229268766</v>
      </c>
      <c r="H24" s="131">
        <f ca="1">'Normalized Annual Summary'!AN17</f>
        <v>1009274580.4096613</v>
      </c>
      <c r="I24" s="115">
        <f>AC10</f>
        <v>31139153.51297503</v>
      </c>
      <c r="J24" s="134">
        <f ca="1">I24/H24</f>
        <v>3.0853004838718664E-2</v>
      </c>
      <c r="K24" s="133">
        <f ca="1">'kW Forecast'!D22</f>
        <v>2250082.2902319864</v>
      </c>
      <c r="L24" s="132">
        <f ca="1">J24*K24</f>
        <v>69421.799788042656</v>
      </c>
      <c r="M24" s="131">
        <f ca="1">'Normalized Annual Summary'!AN18</f>
        <v>1058827298.8922802</v>
      </c>
      <c r="N24" s="115">
        <f>AD10</f>
        <v>49254274.205374904</v>
      </c>
      <c r="O24" s="134">
        <f ca="1">N24/M24</f>
        <v>4.6517760032163458E-2</v>
      </c>
      <c r="P24" s="133">
        <f ca="1">'kW Forecast'!D23</f>
        <v>2266402.0403440017</v>
      </c>
      <c r="Q24" s="132">
        <f ca="1">O24*P24</f>
        <v>105427.94624912791</v>
      </c>
      <c r="R24" s="131">
        <f ca="1">'Normalized Annual Summary'!AN19</f>
        <v>1093637917.7943132</v>
      </c>
      <c r="S24" s="115">
        <f>AE10</f>
        <v>68740030.123844653</v>
      </c>
      <c r="T24" s="134">
        <f ca="1">S24/R24</f>
        <v>6.2854468563491223E-2</v>
      </c>
      <c r="U24" s="133">
        <f ca="1">'kW Forecast'!D24</f>
        <v>2303907.0091486261</v>
      </c>
      <c r="V24" s="132">
        <f ca="1">T24*U24</f>
        <v>144810.85067973941</v>
      </c>
      <c r="W24" s="131">
        <f ca="1">'Normalized Annual Summary'!AN20</f>
        <v>1116514669.0380874</v>
      </c>
      <c r="X24" s="115">
        <f>AF10</f>
        <v>89211577.123919502</v>
      </c>
      <c r="Y24" s="134">
        <f ca="1">X24/W24</f>
        <v>7.9901840609741467E-2</v>
      </c>
      <c r="Z24" s="133">
        <f ca="1">'kW Forecast'!D25</f>
        <v>2341077.766101094</v>
      </c>
      <c r="AA24" s="132">
        <f ca="1">Y24*Z24</f>
        <v>187056.42252201922</v>
      </c>
      <c r="AB24" s="131">
        <f ca="1">'Normalized Annual Summary'!AN21</f>
        <v>1133994827.0036874</v>
      </c>
      <c r="AC24" s="115">
        <f>AG10</f>
        <v>110644380.01656318</v>
      </c>
      <c r="AD24" s="134">
        <f ca="1">AC24/AB24</f>
        <v>9.757044510415866E-2</v>
      </c>
      <c r="AE24" s="133">
        <f ca="1">'kW Forecast'!D26</f>
        <v>2377403.8394675944</v>
      </c>
      <c r="AF24" s="132">
        <f ca="1">AD24*AE24</f>
        <v>231964.35080918894</v>
      </c>
      <c r="AG24" s="131">
        <f ca="1">'Normalized Annual Summary'!AN22</f>
        <v>1161164064.1494517</v>
      </c>
      <c r="AH24" s="115">
        <f>AH10</f>
        <v>133038438.80177569</v>
      </c>
      <c r="AI24" s="134">
        <f ca="1">AH24/AG24</f>
        <v>0.114573334560802</v>
      </c>
      <c r="AJ24" s="133">
        <f ca="1">'kW Forecast'!D27</f>
        <v>2439769.486560049</v>
      </c>
      <c r="AK24" s="132">
        <f ca="1">AI24*AJ24</f>
        <v>279532.52563488064</v>
      </c>
      <c r="AM24" s="145">
        <f ca="1">G24</f>
        <v>34973.294229268766</v>
      </c>
      <c r="AN24" s="145">
        <f ca="1">L24</f>
        <v>69421.799788042656</v>
      </c>
      <c r="AO24" s="144">
        <f ca="1">Q24</f>
        <v>105427.94624912791</v>
      </c>
      <c r="AP24" s="144">
        <f ca="1">V24</f>
        <v>144810.85067973941</v>
      </c>
      <c r="AQ24" s="144">
        <f ca="1">AA24</f>
        <v>187056.42252201922</v>
      </c>
      <c r="AR24" s="144">
        <f ca="1">AF24</f>
        <v>231964.35080918894</v>
      </c>
      <c r="AS24" s="143">
        <f ca="1">AK24</f>
        <v>279532.52563488064</v>
      </c>
    </row>
    <row r="25" spans="2:45">
      <c r="B25" s="130" t="str">
        <f>B11</f>
        <v>GS 3,000-4,999</v>
      </c>
      <c r="C25" s="129">
        <f ca="1">'Normalized Annual Summary'!AY16</f>
        <v>125282808.39052375</v>
      </c>
      <c r="D25" s="115">
        <f>AB11</f>
        <v>1045432.1165972531</v>
      </c>
      <c r="E25" s="134">
        <f t="shared" ref="E25:E28" ca="1" si="16">D25/C25</f>
        <v>8.3445776002921117E-3</v>
      </c>
      <c r="F25" s="128">
        <f ca="1">'kW Forecast'!K21</f>
        <v>223602.11533086817</v>
      </c>
      <c r="G25" s="132">
        <f t="shared" ref="G25:G28" ca="1" si="17">E25*F25</f>
        <v>1865.8652029678958</v>
      </c>
      <c r="H25" s="53">
        <f ca="1">'Normalized Annual Summary'!AY17</f>
        <v>167021119.35500461</v>
      </c>
      <c r="I25" s="115">
        <f>AC11</f>
        <v>2239135.3775984943</v>
      </c>
      <c r="J25" s="134">
        <f t="shared" ref="J25:J28" ca="1" si="18">I25/H25</f>
        <v>1.3406300869288247E-2</v>
      </c>
      <c r="K25" s="128">
        <f ca="1">'kW Forecast'!K22</f>
        <v>224165.64517880685</v>
      </c>
      <c r="L25" s="132">
        <f t="shared" ref="L25:L28" ca="1" si="19">J25*K25</f>
        <v>3005.232083825199</v>
      </c>
      <c r="M25" s="53">
        <f ca="1">'Normalized Annual Summary'!AY18</f>
        <v>191058679.49353778</v>
      </c>
      <c r="N25" s="115">
        <f>AD11</f>
        <v>3600683.4225532725</v>
      </c>
      <c r="O25" s="134">
        <f t="shared" ref="O25:O28" ca="1" si="20">N25/M25</f>
        <v>1.884595576656364E-2</v>
      </c>
      <c r="P25" s="128">
        <f ca="1">'kW Forecast'!K23</f>
        <v>223967.86582333274</v>
      </c>
      <c r="Q25" s="132">
        <f t="shared" ref="Q25:Q28" ca="1" si="21">O25*P25</f>
        <v>4220.8884924381891</v>
      </c>
      <c r="R25" s="53">
        <f ca="1">'Normalized Annual Summary'!AY19</f>
        <v>200413892.0398683</v>
      </c>
      <c r="S25" s="115">
        <f>AE11</f>
        <v>5104682.4857397061</v>
      </c>
      <c r="T25" s="134">
        <f t="shared" ref="T25:T28" ca="1" si="22">S25/R25</f>
        <v>2.5470701825022351E-2</v>
      </c>
      <c r="U25" s="128">
        <f ca="1">'kW Forecast'!K24</f>
        <v>230275.59678945711</v>
      </c>
      <c r="V25" s="132">
        <f t="shared" ref="V25:V28" ca="1" si="23">T25*U25</f>
        <v>5865.2810634033358</v>
      </c>
      <c r="W25" s="53">
        <f ca="1">'Normalized Annual Summary'!AY20</f>
        <v>206693582.05160493</v>
      </c>
      <c r="X25" s="115">
        <f>AF11</f>
        <v>6701016.0798156373</v>
      </c>
      <c r="Y25" s="134">
        <f t="shared" ref="Y25:Y28" ca="1" si="24">X25/W25</f>
        <v>3.2420049105068988E-2</v>
      </c>
      <c r="Z25" s="128">
        <f ca="1">'kW Forecast'!K25</f>
        <v>236856.13597326798</v>
      </c>
      <c r="AA25" s="132">
        <f t="shared" ref="AA25:AA28" ca="1" si="25">Y25*Z25</f>
        <v>7678.8875590902453</v>
      </c>
      <c r="AB25" s="53">
        <f ca="1">'Normalized Annual Summary'!AY21</f>
        <v>212162972.40803963</v>
      </c>
      <c r="AC25" s="115">
        <f>AG11</f>
        <v>8388968.5042977445</v>
      </c>
      <c r="AD25" s="134">
        <f t="shared" ref="AD25:AD28" ca="1" si="26">AC25/AB25</f>
        <v>3.9540210099261675E-2</v>
      </c>
      <c r="AE25" s="128">
        <f ca="1">'kW Forecast'!K26</f>
        <v>242956.3235772106</v>
      </c>
      <c r="AF25" s="132">
        <f t="shared" ref="AF25:AF28" ca="1" si="27">AD25*AE25</f>
        <v>9606.5440791871097</v>
      </c>
      <c r="AG25" s="53">
        <f ca="1">'Normalized Annual Summary'!AY22</f>
        <v>217920349.56035179</v>
      </c>
      <c r="AH25" s="115">
        <f>AH11</f>
        <v>10168539.759186028</v>
      </c>
      <c r="AI25" s="134">
        <f t="shared" ref="AI25:AI28" ca="1" si="28">AH25/AG25</f>
        <v>4.6661726542292961E-2</v>
      </c>
      <c r="AJ25" s="128">
        <f ca="1">'kW Forecast'!K27</f>
        <v>251118.6310855202</v>
      </c>
      <c r="AK25" s="132">
        <f t="shared" ref="AK25:AK28" ca="1" si="29">AI25*AJ25</f>
        <v>11717.628893387493</v>
      </c>
      <c r="AM25" s="145">
        <f ca="1">G25</f>
        <v>1865.8652029678958</v>
      </c>
      <c r="AN25" s="145">
        <f ca="1">L25</f>
        <v>3005.232083825199</v>
      </c>
      <c r="AO25" s="144">
        <f ca="1">Q25</f>
        <v>4220.8884924381891</v>
      </c>
      <c r="AP25" s="144">
        <f ca="1">V25</f>
        <v>5865.2810634033358</v>
      </c>
      <c r="AQ25" s="144">
        <f ca="1">AA25</f>
        <v>7678.8875590902453</v>
      </c>
      <c r="AR25" s="144">
        <f ca="1">AF25</f>
        <v>9606.5440791871097</v>
      </c>
      <c r="AS25" s="143">
        <f ca="1">AK25</f>
        <v>11717.628893387493</v>
      </c>
    </row>
    <row r="26" spans="2:45">
      <c r="B26" s="130" t="str">
        <f>B12</f>
        <v>Large Use</v>
      </c>
      <c r="C26" s="129">
        <f ca="1">'Normalized Annual Summary'!BJ16</f>
        <v>338004940.25230598</v>
      </c>
      <c r="D26" s="115">
        <f>AB12</f>
        <v>6318572.0345096961</v>
      </c>
      <c r="E26" s="134">
        <f t="shared" ca="1" si="16"/>
        <v>1.8693726872137304E-2</v>
      </c>
      <c r="F26" s="128">
        <f ca="1">'kW Forecast'!S21</f>
        <v>538921.79832984565</v>
      </c>
      <c r="G26" s="132">
        <f t="shared" ca="1" si="17"/>
        <v>10074.456903419197</v>
      </c>
      <c r="H26" s="53">
        <f ca="1">'Normalized Annual Summary'!BJ17</f>
        <v>373570916.05862993</v>
      </c>
      <c r="I26" s="115">
        <f>AC12</f>
        <v>12517200.058757482</v>
      </c>
      <c r="J26" s="134">
        <f t="shared" ca="1" si="18"/>
        <v>3.3506891250583801E-2</v>
      </c>
      <c r="K26" s="128">
        <f ca="1">'kW Forecast'!S22</f>
        <v>541096.31167753297</v>
      </c>
      <c r="L26" s="132">
        <f t="shared" ca="1" si="19"/>
        <v>18130.455271471095</v>
      </c>
      <c r="M26" s="53">
        <f ca="1">'Normalized Annual Summary'!BJ18</f>
        <v>428923191.76795107</v>
      </c>
      <c r="N26" s="115">
        <f>AD12</f>
        <v>20294865.081782751</v>
      </c>
      <c r="O26" s="134">
        <f t="shared" ca="1" si="20"/>
        <v>4.7315849250609755E-2</v>
      </c>
      <c r="P26" s="128">
        <f ca="1">'kW Forecast'!S23</f>
        <v>545378.97479017859</v>
      </c>
      <c r="Q26" s="132">
        <f t="shared" ca="1" si="21"/>
        <v>25805.069355624189</v>
      </c>
      <c r="R26" s="53">
        <f ca="1">'Normalized Annual Summary'!BJ19</f>
        <v>530841633.0666129</v>
      </c>
      <c r="S26" s="115">
        <f>AE12</f>
        <v>29564034.137977801</v>
      </c>
      <c r="T26" s="134">
        <f t="shared" ca="1" si="22"/>
        <v>5.5692757117013741E-2</v>
      </c>
      <c r="U26" s="128">
        <f ca="1">'kW Forecast'!S24</f>
        <v>573713.87797783117</v>
      </c>
      <c r="V26" s="132">
        <f t="shared" ca="1" si="23"/>
        <v>31951.707660879409</v>
      </c>
      <c r="W26" s="53">
        <f ca="1">'Normalized Annual Summary'!BJ20</f>
        <v>610486596.59660208</v>
      </c>
      <c r="X26" s="115">
        <f>AF12</f>
        <v>39541650.329011783</v>
      </c>
      <c r="Y26" s="134">
        <f t="shared" ca="1" si="24"/>
        <v>6.4770710035981602E-2</v>
      </c>
      <c r="Z26" s="128">
        <f ca="1">'kW Forecast'!S25</f>
        <v>601017.42319599295</v>
      </c>
      <c r="AA26" s="132">
        <f t="shared" ca="1" si="25"/>
        <v>38928.325244400505</v>
      </c>
      <c r="AB26" s="53">
        <f ca="1">'Normalized Annual Summary'!BJ21</f>
        <v>645516919.45869923</v>
      </c>
      <c r="AC26" s="115">
        <f>AG12</f>
        <v>50230453.580571987</v>
      </c>
      <c r="AD26" s="134">
        <f t="shared" ca="1" si="26"/>
        <v>7.7814309844415744E-2</v>
      </c>
      <c r="AE26" s="128">
        <f ca="1">'kW Forecast'!S26</f>
        <v>626041.64138778637</v>
      </c>
      <c r="AF26" s="132">
        <f t="shared" ca="1" si="27"/>
        <v>48714.998258455817</v>
      </c>
      <c r="AG26" s="53">
        <f ca="1">'Normalized Annual Summary'!BJ22</f>
        <v>667506562.35148895</v>
      </c>
      <c r="AH26" s="115">
        <f>AH12</f>
        <v>61630443.892658427</v>
      </c>
      <c r="AI26" s="134">
        <f t="shared" ca="1" si="28"/>
        <v>9.2329345310923974E-2</v>
      </c>
      <c r="AJ26" s="128">
        <f ca="1">'kW Forecast'!S27</f>
        <v>655571.16397409642</v>
      </c>
      <c r="AK26" s="132">
        <f t="shared" ca="1" si="29"/>
        <v>60528.45637444871</v>
      </c>
      <c r="AM26" s="145">
        <f ca="1">G26</f>
        <v>10074.456903419197</v>
      </c>
      <c r="AN26" s="145">
        <f ca="1">L26</f>
        <v>18130.455271471095</v>
      </c>
      <c r="AO26" s="144">
        <f ca="1">Q26</f>
        <v>25805.069355624189</v>
      </c>
      <c r="AP26" s="144">
        <f ca="1">V26</f>
        <v>31951.707660879409</v>
      </c>
      <c r="AQ26" s="144">
        <f ca="1">AA26</f>
        <v>38928.325244400505</v>
      </c>
      <c r="AR26" s="144">
        <f ca="1">AF26</f>
        <v>48714.998258455817</v>
      </c>
      <c r="AS26" s="143">
        <f ca="1">AK26</f>
        <v>60528.45637444871</v>
      </c>
    </row>
    <row r="27" spans="2:45">
      <c r="B27" s="130" t="str">
        <f>B13</f>
        <v>Street Light</v>
      </c>
      <c r="C27" s="129">
        <f>'Normalized Annual Summary'!BQ16</f>
        <v>12269224.120433811</v>
      </c>
      <c r="D27" s="115">
        <f>AB13</f>
        <v>0</v>
      </c>
      <c r="E27" s="134">
        <f t="shared" si="16"/>
        <v>0</v>
      </c>
      <c r="F27" s="128">
        <f>'kW Forecast'!AA21</f>
        <v>32694.531495072591</v>
      </c>
      <c r="G27" s="132">
        <f t="shared" si="17"/>
        <v>0</v>
      </c>
      <c r="H27" s="53">
        <f>'Normalized Annual Summary'!BQ17</f>
        <v>12395336.807082044</v>
      </c>
      <c r="I27" s="115">
        <f>AC13</f>
        <v>0</v>
      </c>
      <c r="J27" s="134">
        <f t="shared" si="18"/>
        <v>0</v>
      </c>
      <c r="K27" s="128">
        <f>'kW Forecast'!AA22</f>
        <v>33030.591474503723</v>
      </c>
      <c r="L27" s="132">
        <f t="shared" si="19"/>
        <v>0</v>
      </c>
      <c r="M27" s="53">
        <f>'Normalized Annual Summary'!BQ18</f>
        <v>12522745.778611662</v>
      </c>
      <c r="N27" s="115">
        <f>AD13</f>
        <v>0</v>
      </c>
      <c r="O27" s="134">
        <f t="shared" si="20"/>
        <v>0</v>
      </c>
      <c r="P27" s="128">
        <f>'kW Forecast'!AA23</f>
        <v>33370.10574138326</v>
      </c>
      <c r="Q27" s="132">
        <f t="shared" si="21"/>
        <v>0</v>
      </c>
      <c r="R27" s="53">
        <f>'Normalized Annual Summary'!BQ19</f>
        <v>12651464.359253068</v>
      </c>
      <c r="S27" s="115">
        <f>AE13</f>
        <v>0</v>
      </c>
      <c r="T27" s="134">
        <f t="shared" si="22"/>
        <v>0</v>
      </c>
      <c r="U27" s="128">
        <f>'kW Forecast'!AA24</f>
        <v>33713.109801580729</v>
      </c>
      <c r="V27" s="132">
        <f t="shared" si="23"/>
        <v>0</v>
      </c>
      <c r="W27" s="53">
        <f>'Normalized Annual Summary'!BQ20</f>
        <v>12781506.01019353</v>
      </c>
      <c r="X27" s="115">
        <f>AF13</f>
        <v>0</v>
      </c>
      <c r="Y27" s="134">
        <f t="shared" si="24"/>
        <v>0</v>
      </c>
      <c r="Z27" s="128">
        <f>'kW Forecast'!AA25</f>
        <v>34059.639525922736</v>
      </c>
      <c r="AA27" s="132">
        <f t="shared" si="25"/>
        <v>0</v>
      </c>
      <c r="AB27" s="53">
        <f>'Normalized Annual Summary'!BQ21</f>
        <v>12912884.330984939</v>
      </c>
      <c r="AC27" s="115">
        <f>AG13</f>
        <v>0</v>
      </c>
      <c r="AD27" s="134">
        <f t="shared" si="26"/>
        <v>0</v>
      </c>
      <c r="AE27" s="128">
        <f>'kW Forecast'!AA26</f>
        <v>34409.731153944325</v>
      </c>
      <c r="AF27" s="132">
        <f t="shared" si="27"/>
        <v>0</v>
      </c>
      <c r="AG27" s="53">
        <f>'Normalized Annual Summary'!BQ22</f>
        <v>13045613.060966017</v>
      </c>
      <c r="AH27" s="115">
        <f>AH13</f>
        <v>0</v>
      </c>
      <c r="AI27" s="134">
        <f t="shared" si="28"/>
        <v>0</v>
      </c>
      <c r="AJ27" s="128">
        <f>'kW Forecast'!AA27</f>
        <v>34763.421297678848</v>
      </c>
      <c r="AK27" s="132">
        <f t="shared" si="29"/>
        <v>0</v>
      </c>
      <c r="AM27" s="145">
        <f>G27</f>
        <v>0</v>
      </c>
      <c r="AN27" s="145">
        <f>L27</f>
        <v>0</v>
      </c>
      <c r="AO27" s="144">
        <f>Q27</f>
        <v>0</v>
      </c>
      <c r="AP27" s="144">
        <f>V27</f>
        <v>0</v>
      </c>
      <c r="AQ27" s="144">
        <f>AA27</f>
        <v>0</v>
      </c>
      <c r="AR27" s="144">
        <f>AF27</f>
        <v>0</v>
      </c>
      <c r="AS27" s="143">
        <f>AK27</f>
        <v>0</v>
      </c>
    </row>
    <row r="28" spans="2:45">
      <c r="B28" s="130" t="str">
        <f>B14</f>
        <v>Sentinel Light</v>
      </c>
      <c r="C28" s="129">
        <f>'Normalized Annual Summary'!BX16</f>
        <v>213059.04438813563</v>
      </c>
      <c r="D28" s="115">
        <f>AB14</f>
        <v>0</v>
      </c>
      <c r="E28" s="134">
        <f t="shared" si="16"/>
        <v>0</v>
      </c>
      <c r="F28" s="128">
        <f>'kW Forecast'!AH21</f>
        <v>591.00035762195512</v>
      </c>
      <c r="G28" s="132">
        <f t="shared" si="17"/>
        <v>0</v>
      </c>
      <c r="H28" s="129">
        <f>'Normalized Annual Summary'!BX17</f>
        <v>209454.13284786118</v>
      </c>
      <c r="I28" s="115">
        <f>AC14</f>
        <v>0</v>
      </c>
      <c r="J28" s="134">
        <f t="shared" si="18"/>
        <v>0</v>
      </c>
      <c r="K28" s="128">
        <f>'kW Forecast'!AH22</f>
        <v>581.00076330472677</v>
      </c>
      <c r="L28" s="132">
        <f t="shared" si="19"/>
        <v>0</v>
      </c>
      <c r="M28" s="129">
        <f>'Normalized Annual Summary'!BX18</f>
        <v>205910.21560731487</v>
      </c>
      <c r="N28" s="115">
        <f>AD14</f>
        <v>0</v>
      </c>
      <c r="O28" s="134">
        <f t="shared" si="20"/>
        <v>0</v>
      </c>
      <c r="P28" s="128">
        <f>'kW Forecast'!AH23</f>
        <v>571.17035989444037</v>
      </c>
      <c r="Q28" s="132">
        <f t="shared" si="21"/>
        <v>0</v>
      </c>
      <c r="R28" s="129">
        <f>'Normalized Annual Summary'!BX19</f>
        <v>202426.26065654092</v>
      </c>
      <c r="S28" s="115">
        <f>AE14</f>
        <v>0</v>
      </c>
      <c r="T28" s="134">
        <f t="shared" si="22"/>
        <v>0</v>
      </c>
      <c r="U28" s="128">
        <f>'kW Forecast'!AH24</f>
        <v>561.50628471866321</v>
      </c>
      <c r="V28" s="132">
        <f t="shared" si="23"/>
        <v>0</v>
      </c>
      <c r="W28" s="129">
        <f>'Normalized Annual Summary'!BX20</f>
        <v>199001.25344696196</v>
      </c>
      <c r="X28" s="115">
        <f>AF14</f>
        <v>0</v>
      </c>
      <c r="Y28" s="134">
        <f t="shared" si="24"/>
        <v>0</v>
      </c>
      <c r="Z28" s="128">
        <f>'kW Forecast'!AH25</f>
        <v>552.00572354074188</v>
      </c>
      <c r="AA28" s="132">
        <f t="shared" si="25"/>
        <v>0</v>
      </c>
      <c r="AB28" s="129">
        <f>'Normalized Annual Summary'!BX21</f>
        <v>195634.19659593637</v>
      </c>
      <c r="AC28" s="115">
        <f>AG14</f>
        <v>0</v>
      </c>
      <c r="AD28" s="134">
        <f t="shared" si="26"/>
        <v>0</v>
      </c>
      <c r="AE28" s="128">
        <f>'kW Forecast'!AH26</f>
        <v>542.66590974027986</v>
      </c>
      <c r="AF28" s="132">
        <f t="shared" si="27"/>
        <v>0</v>
      </c>
      <c r="AG28" s="129">
        <f>'Normalized Annual Summary'!BX22</f>
        <v>192324.10959631458</v>
      </c>
      <c r="AH28" s="115">
        <f>AH14</f>
        <v>0</v>
      </c>
      <c r="AI28" s="134">
        <f t="shared" si="28"/>
        <v>0</v>
      </c>
      <c r="AJ28" s="128">
        <f>'kW Forecast'!AH27</f>
        <v>533.48412350748094</v>
      </c>
      <c r="AK28" s="132">
        <f t="shared" si="29"/>
        <v>0</v>
      </c>
      <c r="AM28" s="145">
        <f>G28</f>
        <v>0</v>
      </c>
      <c r="AN28" s="145">
        <f>L28</f>
        <v>0</v>
      </c>
      <c r="AO28" s="144">
        <f>Q28</f>
        <v>0</v>
      </c>
      <c r="AP28" s="144">
        <f>V28</f>
        <v>0</v>
      </c>
      <c r="AQ28" s="144">
        <f>AA28</f>
        <v>0</v>
      </c>
      <c r="AR28" s="144">
        <f>AF28</f>
        <v>0</v>
      </c>
      <c r="AS28" s="143">
        <f>AK28</f>
        <v>0</v>
      </c>
    </row>
    <row r="29" spans="2:45" ht="15.75" thickBot="1">
      <c r="B29" s="127" t="s">
        <v>194</v>
      </c>
      <c r="C29" s="126">
        <f t="shared" ref="C29:L29" ca="1" si="30">SUM(C24:C28)</f>
        <v>1432500452.3873274</v>
      </c>
      <c r="D29" s="125">
        <f t="shared" si="30"/>
        <v>22296862.506848406</v>
      </c>
      <c r="E29" s="124">
        <f t="shared" ca="1" si="30"/>
        <v>4.2646523919129722E-2</v>
      </c>
      <c r="F29" s="123">
        <f t="shared" ca="1" si="30"/>
        <v>3036506.6851118938</v>
      </c>
      <c r="G29" s="123">
        <f t="shared" ca="1" si="30"/>
        <v>46913.616335655854</v>
      </c>
      <c r="H29" s="122">
        <f t="shared" ca="1" si="30"/>
        <v>1562471406.7632256</v>
      </c>
      <c r="I29" s="125">
        <f t="shared" si="30"/>
        <v>45895488.949331008</v>
      </c>
      <c r="J29" s="124">
        <f t="shared" ca="1" si="30"/>
        <v>7.7766196958590716E-2</v>
      </c>
      <c r="K29" s="123">
        <f t="shared" ca="1" si="30"/>
        <v>3048955.8393261344</v>
      </c>
      <c r="L29" s="123">
        <f t="shared" ca="1" si="30"/>
        <v>90557.487143338949</v>
      </c>
      <c r="M29" s="122">
        <f t="shared" ref="M29:AK29" ca="1" si="31">SUM(M24:M28)</f>
        <v>1691537826.1479881</v>
      </c>
      <c r="N29" s="125">
        <f t="shared" si="31"/>
        <v>73149822.709710926</v>
      </c>
      <c r="O29" s="124">
        <f t="shared" ca="1" si="31"/>
        <v>0.11267956504933685</v>
      </c>
      <c r="P29" s="123">
        <f t="shared" ca="1" si="31"/>
        <v>3069690.1570587908</v>
      </c>
      <c r="Q29" s="123">
        <f t="shared" ca="1" si="31"/>
        <v>135453.9040971903</v>
      </c>
      <c r="R29" s="122">
        <f t="shared" ca="1" si="31"/>
        <v>1837747333.5207043</v>
      </c>
      <c r="S29" s="125">
        <f t="shared" si="31"/>
        <v>103408746.74756217</v>
      </c>
      <c r="T29" s="124">
        <f t="shared" ca="1" si="31"/>
        <v>0.14401792750552733</v>
      </c>
      <c r="U29" s="123">
        <f t="shared" ca="1" si="31"/>
        <v>3142171.1000022138</v>
      </c>
      <c r="V29" s="123">
        <f t="shared" ca="1" si="31"/>
        <v>182627.83940402215</v>
      </c>
      <c r="W29" s="122">
        <f t="shared" ca="1" si="31"/>
        <v>1946675354.9499352</v>
      </c>
      <c r="X29" s="125">
        <f t="shared" si="31"/>
        <v>135454243.53274691</v>
      </c>
      <c r="Y29" s="124">
        <f t="shared" ca="1" si="31"/>
        <v>0.17709259975079206</v>
      </c>
      <c r="Z29" s="123">
        <f t="shared" ca="1" si="31"/>
        <v>3213562.9705198188</v>
      </c>
      <c r="AA29" s="123">
        <f t="shared" ca="1" si="31"/>
        <v>233663.63532550997</v>
      </c>
      <c r="AB29" s="122">
        <f t="shared" ca="1" si="31"/>
        <v>2004783237.3980069</v>
      </c>
      <c r="AC29" s="125">
        <f t="shared" si="31"/>
        <v>169263802.10143292</v>
      </c>
      <c r="AD29" s="124">
        <f t="shared" ca="1" si="31"/>
        <v>0.21492496504783609</v>
      </c>
      <c r="AE29" s="123">
        <f t="shared" ca="1" si="31"/>
        <v>3281354.2014962761</v>
      </c>
      <c r="AF29" s="123">
        <f t="shared" ca="1" si="31"/>
        <v>290285.89314683189</v>
      </c>
      <c r="AG29" s="122">
        <f t="shared" ca="1" si="31"/>
        <v>2059828913.2318549</v>
      </c>
      <c r="AH29" s="125">
        <f t="shared" si="31"/>
        <v>204837422.45362014</v>
      </c>
      <c r="AI29" s="124">
        <f t="shared" ca="1" si="31"/>
        <v>0.25356440641401895</v>
      </c>
      <c r="AJ29" s="123">
        <f t="shared" ca="1" si="31"/>
        <v>3381756.1870408519</v>
      </c>
      <c r="AK29" s="123">
        <f t="shared" ca="1" si="31"/>
        <v>351778.61090271687</v>
      </c>
      <c r="AM29" s="142">
        <f t="shared" ref="AM29:AS29" ca="1" si="32">SUM(AM24:AM28)</f>
        <v>46913.616335655854</v>
      </c>
      <c r="AN29" s="142">
        <f t="shared" ca="1" si="32"/>
        <v>90557.487143338949</v>
      </c>
      <c r="AO29" s="142">
        <f t="shared" ca="1" si="32"/>
        <v>135453.9040971903</v>
      </c>
      <c r="AP29" s="142">
        <f t="shared" ca="1" si="32"/>
        <v>182627.83940402215</v>
      </c>
      <c r="AQ29" s="142">
        <f t="shared" ca="1" si="32"/>
        <v>233663.63532550997</v>
      </c>
      <c r="AR29" s="142">
        <f t="shared" ca="1" si="32"/>
        <v>290285.89314683189</v>
      </c>
      <c r="AS29" s="142">
        <f t="shared" ca="1" si="32"/>
        <v>351778.61090271687</v>
      </c>
    </row>
    <row r="32" spans="2:45" ht="15" thickBot="1"/>
    <row r="33" spans="2:40">
      <c r="B33" s="880"/>
      <c r="C33" s="881"/>
      <c r="D33" s="881"/>
      <c r="E33" s="881"/>
      <c r="F33" s="881"/>
      <c r="G33" s="881"/>
      <c r="H33" s="881"/>
      <c r="I33" s="881"/>
      <c r="J33" s="881"/>
      <c r="K33" s="881"/>
      <c r="L33" s="881"/>
      <c r="M33" s="881"/>
      <c r="N33" s="881"/>
      <c r="O33" s="881"/>
      <c r="P33" s="881"/>
      <c r="Q33" s="881"/>
      <c r="R33" s="881"/>
      <c r="S33" s="881"/>
      <c r="T33" s="881"/>
      <c r="U33" s="881"/>
      <c r="V33" s="881"/>
      <c r="W33" s="881"/>
      <c r="X33" s="881"/>
      <c r="Y33" s="881"/>
      <c r="Z33" s="881"/>
    </row>
    <row r="34" spans="2:40" ht="15.75" thickBot="1">
      <c r="B34" s="882" t="s">
        <v>745</v>
      </c>
      <c r="C34" s="883"/>
      <c r="D34" s="883"/>
      <c r="E34" s="883"/>
      <c r="F34" s="883"/>
      <c r="G34" s="883"/>
      <c r="H34" s="883"/>
      <c r="I34" s="883"/>
      <c r="J34" s="883"/>
      <c r="K34" s="883"/>
      <c r="L34" s="883"/>
      <c r="M34" s="883"/>
      <c r="N34" s="883"/>
      <c r="O34" s="883"/>
      <c r="P34" s="883"/>
      <c r="Q34" s="883"/>
      <c r="R34" s="883"/>
      <c r="S34" s="883"/>
      <c r="T34" s="883"/>
      <c r="U34" s="883"/>
      <c r="V34" s="883"/>
      <c r="W34" s="883"/>
      <c r="X34" s="883"/>
      <c r="Y34" s="883"/>
      <c r="Z34" s="883"/>
      <c r="AD34" s="330" t="s">
        <v>218</v>
      </c>
    </row>
    <row r="35" spans="2:40" ht="15.75" thickBot="1">
      <c r="B35" s="889" t="s">
        <v>177</v>
      </c>
      <c r="C35" s="891">
        <v>2024</v>
      </c>
      <c r="D35" s="892"/>
      <c r="E35" s="893"/>
      <c r="F35" s="894">
        <v>2025</v>
      </c>
      <c r="G35" s="894"/>
      <c r="H35" s="894"/>
      <c r="I35" s="885">
        <v>2026</v>
      </c>
      <c r="J35" s="884"/>
      <c r="K35" s="886"/>
      <c r="L35" s="884">
        <v>2027</v>
      </c>
      <c r="M35" s="884"/>
      <c r="N35" s="884"/>
      <c r="O35" s="885">
        <v>2027</v>
      </c>
      <c r="P35" s="884"/>
      <c r="Q35" s="884"/>
      <c r="R35" s="885">
        <v>2028</v>
      </c>
      <c r="S35" s="884"/>
      <c r="T35" s="886"/>
      <c r="U35" s="884">
        <v>2030</v>
      </c>
      <c r="V35" s="884"/>
      <c r="W35" s="886"/>
      <c r="X35" s="884">
        <v>2031</v>
      </c>
      <c r="Y35" s="884"/>
      <c r="Z35" s="884"/>
    </row>
    <row r="36" spans="2:40" ht="30.75" thickBot="1">
      <c r="B36" s="890"/>
      <c r="C36" s="799" t="s">
        <v>178</v>
      </c>
      <c r="D36" s="800" t="s">
        <v>179</v>
      </c>
      <c r="E36" s="801" t="s">
        <v>180</v>
      </c>
      <c r="F36" s="167" t="s">
        <v>178</v>
      </c>
      <c r="G36" s="335" t="s">
        <v>179</v>
      </c>
      <c r="H36" s="334" t="s">
        <v>180</v>
      </c>
      <c r="I36" s="113" t="s">
        <v>178</v>
      </c>
      <c r="J36" s="335" t="s">
        <v>179</v>
      </c>
      <c r="K36" s="170" t="s">
        <v>180</v>
      </c>
      <c r="L36" s="167" t="s">
        <v>178</v>
      </c>
      <c r="M36" s="335" t="s">
        <v>179</v>
      </c>
      <c r="N36" s="170" t="s">
        <v>180</v>
      </c>
      <c r="O36" s="167" t="s">
        <v>178</v>
      </c>
      <c r="P36" s="335" t="s">
        <v>179</v>
      </c>
      <c r="Q36" s="334" t="s">
        <v>180</v>
      </c>
      <c r="R36" s="113" t="s">
        <v>178</v>
      </c>
      <c r="S36" s="335" t="s">
        <v>179</v>
      </c>
      <c r="T36" s="334" t="s">
        <v>180</v>
      </c>
      <c r="U36" s="113" t="s">
        <v>178</v>
      </c>
      <c r="V36" s="335" t="s">
        <v>179</v>
      </c>
      <c r="W36" s="170" t="s">
        <v>180</v>
      </c>
      <c r="X36" s="167" t="s">
        <v>178</v>
      </c>
      <c r="Y36" s="335" t="s">
        <v>179</v>
      </c>
      <c r="Z36" s="334" t="s">
        <v>180</v>
      </c>
      <c r="AB36" s="734">
        <v>2025</v>
      </c>
      <c r="AC36" s="735">
        <v>2026</v>
      </c>
      <c r="AD36" s="735">
        <v>2027</v>
      </c>
      <c r="AE36" s="735">
        <v>2028</v>
      </c>
      <c r="AF36" s="735">
        <v>2029</v>
      </c>
      <c r="AG36" s="735">
        <v>2030</v>
      </c>
      <c r="AH36" s="736">
        <v>2031</v>
      </c>
    </row>
    <row r="37" spans="2:40" ht="45">
      <c r="B37" s="109"/>
      <c r="C37" s="802" t="s">
        <v>181</v>
      </c>
      <c r="D37" s="803" t="s">
        <v>182</v>
      </c>
      <c r="E37" s="804" t="s">
        <v>183</v>
      </c>
      <c r="F37" s="802" t="s">
        <v>184</v>
      </c>
      <c r="G37" s="803" t="s">
        <v>185</v>
      </c>
      <c r="H37" s="804" t="s">
        <v>186</v>
      </c>
      <c r="I37" s="166" t="s">
        <v>187</v>
      </c>
      <c r="J37" s="333" t="s">
        <v>188</v>
      </c>
      <c r="K37" s="332" t="s">
        <v>189</v>
      </c>
      <c r="L37" s="112" t="s">
        <v>190</v>
      </c>
      <c r="M37" s="333" t="s">
        <v>191</v>
      </c>
      <c r="N37" s="169" t="s">
        <v>192</v>
      </c>
      <c r="O37" s="166" t="s">
        <v>747</v>
      </c>
      <c r="P37" s="333" t="s">
        <v>748</v>
      </c>
      <c r="Q37" s="332" t="s">
        <v>749</v>
      </c>
      <c r="R37" s="112" t="s">
        <v>284</v>
      </c>
      <c r="S37" s="333" t="s">
        <v>285</v>
      </c>
      <c r="T37" s="332" t="s">
        <v>756</v>
      </c>
      <c r="U37" s="112" t="s">
        <v>750</v>
      </c>
      <c r="V37" s="333" t="s">
        <v>751</v>
      </c>
      <c r="W37" s="169" t="s">
        <v>752</v>
      </c>
      <c r="X37" s="166" t="s">
        <v>753</v>
      </c>
      <c r="Y37" s="333" t="s">
        <v>754</v>
      </c>
      <c r="Z37" s="332" t="s">
        <v>755</v>
      </c>
      <c r="AB37" s="819" t="s">
        <v>781</v>
      </c>
      <c r="AC37" s="820" t="s">
        <v>782</v>
      </c>
      <c r="AD37" s="820" t="s">
        <v>783</v>
      </c>
      <c r="AE37" s="820" t="s">
        <v>785</v>
      </c>
      <c r="AF37" s="820" t="s">
        <v>784</v>
      </c>
      <c r="AG37" s="820" t="s">
        <v>786</v>
      </c>
      <c r="AH37" s="821" t="s">
        <v>787</v>
      </c>
      <c r="AI37" s="822" t="s">
        <v>788</v>
      </c>
    </row>
    <row r="38" spans="2:40">
      <c r="B38" s="136" t="s">
        <v>63</v>
      </c>
      <c r="C38" s="805">
        <f>'CDM-eDSM Framework'!AK46</f>
        <v>1555700.3488244072</v>
      </c>
      <c r="D38" s="806">
        <f>D45</f>
        <v>0.5</v>
      </c>
      <c r="E38" s="807">
        <f>C38*D38</f>
        <v>777850.1744122036</v>
      </c>
      <c r="F38" s="165">
        <f>'CDM-eDSM Framework'!AL46</f>
        <v>2978976.8173350706</v>
      </c>
      <c r="G38" s="121">
        <f>G45</f>
        <v>0.5</v>
      </c>
      <c r="H38" s="164">
        <f>F38*G38</f>
        <v>1489488.4086675353</v>
      </c>
      <c r="I38" s="111">
        <f>'CDM-eDSM Framework'!AM46</f>
        <v>3228990.5091520185</v>
      </c>
      <c r="J38" s="121">
        <f>J45</f>
        <v>0.5</v>
      </c>
      <c r="K38" s="168">
        <f>I38*J38</f>
        <v>1614495.2545760092</v>
      </c>
      <c r="L38" s="165">
        <f>'CDM-eDSM Framework'!AN46</f>
        <v>3557786.5499154106</v>
      </c>
      <c r="M38" s="121">
        <f>M45</f>
        <v>0.5</v>
      </c>
      <c r="N38" s="168">
        <f>L38*M38</f>
        <v>1778893.2749577053</v>
      </c>
      <c r="O38" s="165">
        <f>'CDM-eDSM Framework'!AO46</f>
        <v>3834061.0247145328</v>
      </c>
      <c r="P38" s="121">
        <f>P45</f>
        <v>0.5</v>
      </c>
      <c r="Q38" s="164">
        <f>O38*P38</f>
        <v>1917030.5123572664</v>
      </c>
      <c r="R38" s="111">
        <f>'CDM-eDSM Framework'!AP46</f>
        <v>3834061.0247145328</v>
      </c>
      <c r="S38" s="121">
        <f>S45</f>
        <v>0.5</v>
      </c>
      <c r="T38" s="164">
        <f>R38*S38</f>
        <v>1917030.5123572664</v>
      </c>
      <c r="U38" s="111">
        <f>'CDM-eDSM Framework'!AQ46</f>
        <v>3834061.0247145328</v>
      </c>
      <c r="V38" s="121">
        <f>V45</f>
        <v>0.5</v>
      </c>
      <c r="W38" s="168">
        <f>U38*V38</f>
        <v>1917030.5123572664</v>
      </c>
      <c r="X38" s="165">
        <f>'CDM-eDSM Framework'!AR46</f>
        <v>3834061.0247145328</v>
      </c>
      <c r="Y38" s="121">
        <f>Y45</f>
        <v>0.5</v>
      </c>
      <c r="Z38" s="164">
        <f>X38*Y38</f>
        <v>1917030.5123572664</v>
      </c>
      <c r="AB38" s="145">
        <f t="shared" ref="AB38:AB44" si="33">E38+H38</f>
        <v>2267338.583079739</v>
      </c>
      <c r="AC38" s="145">
        <f t="shared" ref="AC38:AC44" si="34">E38+F38+K38</f>
        <v>5371322.2463232838</v>
      </c>
      <c r="AD38" s="144">
        <f t="shared" ref="AD38:AD44" si="35">E38+F38+I38+N38</f>
        <v>8764710.7758569978</v>
      </c>
      <c r="AE38" s="144">
        <f t="shared" ref="AE38:AE44" si="36">E38+F38+I38+L38+Q38</f>
        <v>12460634.56317197</v>
      </c>
      <c r="AF38" s="144">
        <f t="shared" ref="AF38:AF44" si="37">E38+F38+I38+L38+O38+T38</f>
        <v>16294695.587886503</v>
      </c>
      <c r="AG38" s="144">
        <f t="shared" ref="AG38:AG44" si="38">E38+F38+I38+L38+O38+R38+W38</f>
        <v>20128756.612601034</v>
      </c>
      <c r="AH38" s="143">
        <f t="shared" ref="AH38:AH44" si="39">E38+F38+I38+L38+O38+R38+U38+Z38</f>
        <v>23962817.637315568</v>
      </c>
      <c r="AN38" s="451"/>
    </row>
    <row r="39" spans="2:40">
      <c r="B39" s="130" t="s">
        <v>170</v>
      </c>
      <c r="C39" s="805">
        <f>'CDM-eDSM Framework'!AK47</f>
        <v>1105596.9812749238</v>
      </c>
      <c r="D39" s="808">
        <f>D45</f>
        <v>0.5</v>
      </c>
      <c r="E39" s="807">
        <f t="shared" ref="E39:E41" si="40">C39*D39</f>
        <v>552798.49063746189</v>
      </c>
      <c r="F39" s="165">
        <f>'CDM-eDSM Framework'!AL47</f>
        <v>957376.806322827</v>
      </c>
      <c r="G39" s="114">
        <f>G45</f>
        <v>0.5</v>
      </c>
      <c r="H39" s="164">
        <f t="shared" ref="H39:H41" si="41">F39*G39</f>
        <v>478688.4031614135</v>
      </c>
      <c r="I39" s="111">
        <f>'CDM-eDSM Framework'!AM47</f>
        <v>1063181.0431650544</v>
      </c>
      <c r="J39" s="114">
        <f>J45</f>
        <v>0.5</v>
      </c>
      <c r="K39" s="168">
        <f t="shared" ref="K39:K41" si="42">I39*J39</f>
        <v>531590.5215825272</v>
      </c>
      <c r="L39" s="165">
        <f>'CDM-eDSM Framework'!AN47</f>
        <v>1087859.6059871754</v>
      </c>
      <c r="M39" s="114">
        <f>M45</f>
        <v>0.5</v>
      </c>
      <c r="N39" s="168">
        <f t="shared" ref="N39:N41" si="43">L39*M39</f>
        <v>543929.80299358768</v>
      </c>
      <c r="O39" s="165">
        <f>'CDM-eDSM Framework'!AO47</f>
        <v>1145127.9075721826</v>
      </c>
      <c r="P39" s="114">
        <f>P45</f>
        <v>0.5</v>
      </c>
      <c r="Q39" s="164">
        <f t="shared" ref="Q39:Q41" si="44">O39*P39</f>
        <v>572563.9537860913</v>
      </c>
      <c r="R39" s="111">
        <f>'CDM-eDSM Framework'!AP47</f>
        <v>1145127.9075721826</v>
      </c>
      <c r="S39" s="114">
        <f>S45</f>
        <v>0.5</v>
      </c>
      <c r="T39" s="164">
        <f t="shared" ref="T39:T41" si="45">R39*S39</f>
        <v>572563.9537860913</v>
      </c>
      <c r="U39" s="111">
        <f>'CDM-eDSM Framework'!AQ47</f>
        <v>1145127.9075721826</v>
      </c>
      <c r="V39" s="114">
        <f>V45</f>
        <v>0.5</v>
      </c>
      <c r="W39" s="168">
        <f t="shared" ref="W39:W41" si="46">U39*V39</f>
        <v>572563.9537860913</v>
      </c>
      <c r="X39" s="165">
        <f>'CDM-eDSM Framework'!AR47</f>
        <v>1145127.9075721826</v>
      </c>
      <c r="Y39" s="114">
        <f>Y45</f>
        <v>0.5</v>
      </c>
      <c r="Z39" s="164">
        <f t="shared" ref="Z39:Z41" si="47">X39*Y39</f>
        <v>572563.9537860913</v>
      </c>
      <c r="AB39" s="145">
        <f t="shared" si="33"/>
        <v>1031486.8937988754</v>
      </c>
      <c r="AC39" s="145">
        <f t="shared" si="34"/>
        <v>2041765.8185428162</v>
      </c>
      <c r="AD39" s="144">
        <f t="shared" si="35"/>
        <v>3117286.143118931</v>
      </c>
      <c r="AE39" s="144">
        <f t="shared" si="36"/>
        <v>4233779.8998986101</v>
      </c>
      <c r="AF39" s="144">
        <f t="shared" si="37"/>
        <v>5378907.807470792</v>
      </c>
      <c r="AG39" s="144">
        <f t="shared" si="38"/>
        <v>6524035.7150429748</v>
      </c>
      <c r="AH39" s="143">
        <f t="shared" si="39"/>
        <v>7669163.6226151576</v>
      </c>
      <c r="AN39" s="451"/>
    </row>
    <row r="40" spans="2:40">
      <c r="B40" s="136" t="str">
        <f>B10</f>
        <v>GS 50-2,999</v>
      </c>
      <c r="C40" s="805">
        <f>'CDM-eDSM Framework'!AK48</f>
        <v>5958198.2311361292</v>
      </c>
      <c r="D40" s="808">
        <f>D45</f>
        <v>0.5</v>
      </c>
      <c r="E40" s="807">
        <f t="shared" si="40"/>
        <v>2979099.1155680646</v>
      </c>
      <c r="F40" s="165">
        <f>'CDM-eDSM Framework'!AL48</f>
        <v>5869604.1187329674</v>
      </c>
      <c r="G40" s="114">
        <f>G45</f>
        <v>0.5</v>
      </c>
      <c r="H40" s="164">
        <f t="shared" si="41"/>
        <v>2934802.0593664837</v>
      </c>
      <c r="I40" s="111">
        <f>'CDM-eDSM Framework'!AM48</f>
        <v>6696419.7067368161</v>
      </c>
      <c r="J40" s="114">
        <f>J45</f>
        <v>0.5</v>
      </c>
      <c r="K40" s="168">
        <f t="shared" si="42"/>
        <v>3348209.853368408</v>
      </c>
      <c r="L40" s="165">
        <f>'CDM-eDSM Framework'!AN48</f>
        <v>7577707.1224368885</v>
      </c>
      <c r="M40" s="114">
        <f>M45</f>
        <v>0.5</v>
      </c>
      <c r="N40" s="168">
        <f t="shared" si="43"/>
        <v>3788853.5612184443</v>
      </c>
      <c r="O40" s="165">
        <f>'CDM-eDSM Framework'!AO48</f>
        <v>8005928.1990275532</v>
      </c>
      <c r="P40" s="114">
        <f>P45</f>
        <v>0.5</v>
      </c>
      <c r="Q40" s="164">
        <f t="shared" si="44"/>
        <v>4002964.0995137766</v>
      </c>
      <c r="R40" s="111">
        <f>'CDM-eDSM Framework'!AP48</f>
        <v>8005928.1990275532</v>
      </c>
      <c r="S40" s="114">
        <f>S45</f>
        <v>0.5</v>
      </c>
      <c r="T40" s="164">
        <f t="shared" si="45"/>
        <v>4002964.0995137766</v>
      </c>
      <c r="U40" s="111">
        <f>'CDM-eDSM Framework'!AQ48</f>
        <v>8005928.1990275532</v>
      </c>
      <c r="V40" s="114">
        <f>V45</f>
        <v>0.5</v>
      </c>
      <c r="W40" s="168">
        <f t="shared" si="46"/>
        <v>4002964.0995137766</v>
      </c>
      <c r="X40" s="165">
        <f>'CDM-eDSM Framework'!AR48</f>
        <v>8005928.1990275532</v>
      </c>
      <c r="Y40" s="114">
        <f>Y45</f>
        <v>0.5</v>
      </c>
      <c r="Z40" s="164">
        <f t="shared" si="47"/>
        <v>4002964.0995137766</v>
      </c>
      <c r="AB40" s="145">
        <f t="shared" si="33"/>
        <v>5913901.1749345483</v>
      </c>
      <c r="AC40" s="145">
        <f t="shared" si="34"/>
        <v>12196913.08766944</v>
      </c>
      <c r="AD40" s="144">
        <f t="shared" si="35"/>
        <v>19333976.502256293</v>
      </c>
      <c r="AE40" s="144">
        <f t="shared" si="36"/>
        <v>27125794.162988514</v>
      </c>
      <c r="AF40" s="144">
        <f t="shared" si="37"/>
        <v>35131722.362016067</v>
      </c>
      <c r="AG40" s="144">
        <f t="shared" si="38"/>
        <v>43137650.56104362</v>
      </c>
      <c r="AH40" s="143">
        <f t="shared" si="39"/>
        <v>51143578.760071173</v>
      </c>
      <c r="AN40" s="451"/>
    </row>
    <row r="41" spans="2:40">
      <c r="B41" s="136" t="str">
        <f t="shared" ref="B41" si="48">B11</f>
        <v>GS 3,000-4,999</v>
      </c>
      <c r="C41" s="805">
        <f>'CDM-eDSM Framework'!AK49</f>
        <v>1341227.8975903215</v>
      </c>
      <c r="D41" s="808">
        <f>D45</f>
        <v>0.5</v>
      </c>
      <c r="E41" s="807">
        <f t="shared" si="40"/>
        <v>670613.94879516074</v>
      </c>
      <c r="F41" s="165">
        <f>'CDM-eDSM Framework'!AL49</f>
        <v>1323972.1288946057</v>
      </c>
      <c r="G41" s="114">
        <f>G45</f>
        <v>0.5</v>
      </c>
      <c r="H41" s="164">
        <f t="shared" si="41"/>
        <v>661986.06444730284</v>
      </c>
      <c r="I41" s="111">
        <f>'CDM-eDSM Framework'!AM49</f>
        <v>1510251.1785572066</v>
      </c>
      <c r="J41" s="114">
        <f>J45</f>
        <v>0.5</v>
      </c>
      <c r="K41" s="168">
        <f t="shared" si="42"/>
        <v>755125.58927860332</v>
      </c>
      <c r="L41" s="165">
        <f>'CDM-eDSM Framework'!AN49</f>
        <v>1708683.1799600101</v>
      </c>
      <c r="M41" s="114">
        <f>M45</f>
        <v>0.5</v>
      </c>
      <c r="N41" s="168">
        <f t="shared" si="43"/>
        <v>854341.58998000505</v>
      </c>
      <c r="O41" s="165">
        <f>'CDM-eDSM Framework'!AO49</f>
        <v>1805286.165962857</v>
      </c>
      <c r="P41" s="114">
        <f>P45</f>
        <v>0.5</v>
      </c>
      <c r="Q41" s="164">
        <f t="shared" si="44"/>
        <v>902643.08298142848</v>
      </c>
      <c r="R41" s="111">
        <f>'CDM-eDSM Framework'!AP49</f>
        <v>1805286.165962857</v>
      </c>
      <c r="S41" s="114">
        <f>S45</f>
        <v>0.5</v>
      </c>
      <c r="T41" s="164">
        <f t="shared" si="45"/>
        <v>902643.08298142848</v>
      </c>
      <c r="U41" s="111">
        <f>'CDM-eDSM Framework'!AQ49</f>
        <v>1805286.165962857</v>
      </c>
      <c r="V41" s="114">
        <f>V45</f>
        <v>0.5</v>
      </c>
      <c r="W41" s="168">
        <f t="shared" si="46"/>
        <v>902643.08298142848</v>
      </c>
      <c r="X41" s="165">
        <f>'CDM-eDSM Framework'!AR49</f>
        <v>1805286.165962857</v>
      </c>
      <c r="Y41" s="114">
        <f>Y45</f>
        <v>0.5</v>
      </c>
      <c r="Z41" s="164">
        <f t="shared" si="47"/>
        <v>902643.08298142848</v>
      </c>
      <c r="AB41" s="145">
        <f t="shared" si="33"/>
        <v>1332600.0132424636</v>
      </c>
      <c r="AC41" s="145">
        <f t="shared" si="34"/>
        <v>2749711.6669683699</v>
      </c>
      <c r="AD41" s="144">
        <f t="shared" si="35"/>
        <v>4359178.8462269781</v>
      </c>
      <c r="AE41" s="144">
        <f t="shared" si="36"/>
        <v>6116163.5191884115</v>
      </c>
      <c r="AF41" s="144">
        <f t="shared" si="37"/>
        <v>7921449.6851512687</v>
      </c>
      <c r="AG41" s="144">
        <f t="shared" si="38"/>
        <v>9726735.8511141259</v>
      </c>
      <c r="AH41" s="143">
        <f t="shared" si="39"/>
        <v>11532022.017076982</v>
      </c>
      <c r="AN41" s="451"/>
    </row>
    <row r="42" spans="2:40">
      <c r="B42" s="130" t="s">
        <v>193</v>
      </c>
      <c r="C42" s="805"/>
      <c r="D42" s="806">
        <f>D45</f>
        <v>0.5</v>
      </c>
      <c r="E42" s="807"/>
      <c r="F42" s="165"/>
      <c r="G42" s="121">
        <f>G45</f>
        <v>0.5</v>
      </c>
      <c r="H42" s="164"/>
      <c r="I42" s="111"/>
      <c r="J42" s="121">
        <f>J45</f>
        <v>0.5</v>
      </c>
      <c r="K42" s="168"/>
      <c r="L42" s="165"/>
      <c r="M42" s="121">
        <f>M45</f>
        <v>0.5</v>
      </c>
      <c r="N42" s="168"/>
      <c r="O42" s="165"/>
      <c r="P42" s="121">
        <f>P45</f>
        <v>0.5</v>
      </c>
      <c r="Q42" s="164"/>
      <c r="R42" s="111"/>
      <c r="S42" s="121">
        <f>S45</f>
        <v>0.5</v>
      </c>
      <c r="T42" s="164"/>
      <c r="U42" s="111"/>
      <c r="V42" s="121">
        <f>V45</f>
        <v>0.5</v>
      </c>
      <c r="W42" s="168"/>
      <c r="X42" s="165"/>
      <c r="Y42" s="121">
        <f>Y45</f>
        <v>0.5</v>
      </c>
      <c r="Z42" s="164"/>
      <c r="AB42" s="145">
        <f t="shared" si="33"/>
        <v>0</v>
      </c>
      <c r="AC42" s="145">
        <f t="shared" si="34"/>
        <v>0</v>
      </c>
      <c r="AD42" s="144">
        <f t="shared" si="35"/>
        <v>0</v>
      </c>
      <c r="AE42" s="144">
        <f t="shared" si="36"/>
        <v>0</v>
      </c>
      <c r="AF42" s="144">
        <f t="shared" si="37"/>
        <v>0</v>
      </c>
      <c r="AG42" s="144">
        <f t="shared" si="38"/>
        <v>0</v>
      </c>
      <c r="AH42" s="143">
        <f t="shared" si="39"/>
        <v>0</v>
      </c>
      <c r="AN42" s="451"/>
    </row>
    <row r="43" spans="2:40">
      <c r="B43" s="136" t="s">
        <v>396</v>
      </c>
      <c r="C43" s="805"/>
      <c r="D43" s="806">
        <f>D45</f>
        <v>0.5</v>
      </c>
      <c r="E43" s="807"/>
      <c r="F43" s="165"/>
      <c r="G43" s="121">
        <f>G45</f>
        <v>0.5</v>
      </c>
      <c r="H43" s="164"/>
      <c r="I43" s="111"/>
      <c r="J43" s="121">
        <f>J45</f>
        <v>0.5</v>
      </c>
      <c r="K43" s="168"/>
      <c r="L43" s="165"/>
      <c r="M43" s="121">
        <f>M45</f>
        <v>0.5</v>
      </c>
      <c r="N43" s="168"/>
      <c r="O43" s="165"/>
      <c r="P43" s="121">
        <f>P45</f>
        <v>0.5</v>
      </c>
      <c r="Q43" s="164"/>
      <c r="R43" s="111"/>
      <c r="S43" s="121">
        <f>S45</f>
        <v>0.5</v>
      </c>
      <c r="T43" s="164"/>
      <c r="U43" s="111"/>
      <c r="V43" s="121">
        <f>V45</f>
        <v>0.5</v>
      </c>
      <c r="W43" s="168"/>
      <c r="X43" s="165"/>
      <c r="Y43" s="121">
        <f>Y45</f>
        <v>0.5</v>
      </c>
      <c r="Z43" s="164"/>
      <c r="AB43" s="145">
        <f t="shared" si="33"/>
        <v>0</v>
      </c>
      <c r="AC43" s="145">
        <f t="shared" si="34"/>
        <v>0</v>
      </c>
      <c r="AD43" s="144">
        <f t="shared" si="35"/>
        <v>0</v>
      </c>
      <c r="AE43" s="144">
        <f t="shared" si="36"/>
        <v>0</v>
      </c>
      <c r="AF43" s="144">
        <f t="shared" si="37"/>
        <v>0</v>
      </c>
      <c r="AG43" s="144">
        <f t="shared" si="38"/>
        <v>0</v>
      </c>
      <c r="AH43" s="143">
        <f t="shared" si="39"/>
        <v>0</v>
      </c>
      <c r="AN43" s="451"/>
    </row>
    <row r="44" spans="2:40">
      <c r="B44" s="130" t="s">
        <v>64</v>
      </c>
      <c r="C44" s="805"/>
      <c r="D44" s="806">
        <f>D45</f>
        <v>0.5</v>
      </c>
      <c r="E44" s="807"/>
      <c r="F44" s="165"/>
      <c r="G44" s="121">
        <f>G45</f>
        <v>0.5</v>
      </c>
      <c r="H44" s="164"/>
      <c r="I44" s="111"/>
      <c r="J44" s="121">
        <f>J45</f>
        <v>0.5</v>
      </c>
      <c r="K44" s="168"/>
      <c r="L44" s="165"/>
      <c r="M44" s="121">
        <f>M45</f>
        <v>0.5</v>
      </c>
      <c r="N44" s="168"/>
      <c r="O44" s="165"/>
      <c r="P44" s="121">
        <f>P45</f>
        <v>0.5</v>
      </c>
      <c r="Q44" s="164"/>
      <c r="R44" s="111"/>
      <c r="S44" s="121">
        <f>S45</f>
        <v>0.5</v>
      </c>
      <c r="T44" s="164"/>
      <c r="U44" s="111"/>
      <c r="V44" s="121">
        <f>V45</f>
        <v>0.5</v>
      </c>
      <c r="W44" s="168"/>
      <c r="X44" s="165"/>
      <c r="Y44" s="121">
        <f>Y45</f>
        <v>0.5</v>
      </c>
      <c r="Z44" s="164"/>
      <c r="AB44" s="145">
        <f t="shared" si="33"/>
        <v>0</v>
      </c>
      <c r="AC44" s="145">
        <f t="shared" si="34"/>
        <v>0</v>
      </c>
      <c r="AD44" s="144">
        <f t="shared" si="35"/>
        <v>0</v>
      </c>
      <c r="AE44" s="144">
        <f t="shared" si="36"/>
        <v>0</v>
      </c>
      <c r="AF44" s="144">
        <f t="shared" si="37"/>
        <v>0</v>
      </c>
      <c r="AG44" s="144">
        <f t="shared" si="38"/>
        <v>0</v>
      </c>
      <c r="AH44" s="143">
        <f t="shared" si="39"/>
        <v>0</v>
      </c>
      <c r="AN44" s="451"/>
    </row>
    <row r="45" spans="2:40" ht="15.75" thickBot="1">
      <c r="B45" s="127" t="s">
        <v>194</v>
      </c>
      <c r="C45" s="809">
        <f>SUM(C38:C44)</f>
        <v>9960723.4588257819</v>
      </c>
      <c r="D45" s="810">
        <v>0.5</v>
      </c>
      <c r="E45" s="811">
        <f>C45*D45</f>
        <v>4980361.729412891</v>
      </c>
      <c r="F45" s="118">
        <f>SUM(F38:F44)</f>
        <v>11129929.871285472</v>
      </c>
      <c r="G45" s="120">
        <v>0.5</v>
      </c>
      <c r="H45" s="117">
        <f>F45*G45</f>
        <v>5564964.935642736</v>
      </c>
      <c r="I45" s="110">
        <f>SUM(I38:I44)</f>
        <v>12498842.437611096</v>
      </c>
      <c r="J45" s="120">
        <v>0.5</v>
      </c>
      <c r="K45" s="119">
        <f>I45*J45</f>
        <v>6249421.2188055478</v>
      </c>
      <c r="L45" s="118">
        <f>SUM(L38:L44)</f>
        <v>13932036.458299486</v>
      </c>
      <c r="M45" s="120">
        <v>0.5</v>
      </c>
      <c r="N45" s="119">
        <f>L45*M45</f>
        <v>6966018.229149743</v>
      </c>
      <c r="O45" s="118">
        <f>SUM(O38:O44)</f>
        <v>14790403.297277125</v>
      </c>
      <c r="P45" s="120">
        <v>0.5</v>
      </c>
      <c r="Q45" s="117">
        <f>O45*P45</f>
        <v>7395201.6486385623</v>
      </c>
      <c r="R45" s="110">
        <f>SUM(R38:R44)</f>
        <v>14790403.297277125</v>
      </c>
      <c r="S45" s="120">
        <v>0.5</v>
      </c>
      <c r="T45" s="117">
        <f>R45*S45</f>
        <v>7395201.6486385623</v>
      </c>
      <c r="U45" s="110">
        <f>SUM(U38:U44)</f>
        <v>14790403.297277125</v>
      </c>
      <c r="V45" s="120">
        <v>0.5</v>
      </c>
      <c r="W45" s="119">
        <f>U45*V45</f>
        <v>7395201.6486385623</v>
      </c>
      <c r="X45" s="118">
        <f>SUM(X38:X44)</f>
        <v>14790403.297277125</v>
      </c>
      <c r="Y45" s="120">
        <v>0.5</v>
      </c>
      <c r="Z45" s="117">
        <f>X45*Y45</f>
        <v>7395201.6486385623</v>
      </c>
      <c r="AB45" s="142">
        <f t="shared" ref="AB45:AH45" si="49">SUM(AB38:AB44)</f>
        <v>10545326.665055625</v>
      </c>
      <c r="AC45" s="142">
        <f t="shared" si="49"/>
        <v>22359712.819503911</v>
      </c>
      <c r="AD45" s="142">
        <f t="shared" si="49"/>
        <v>35575152.267459199</v>
      </c>
      <c r="AE45" s="142">
        <f t="shared" si="49"/>
        <v>49936372.145247504</v>
      </c>
      <c r="AF45" s="142">
        <f t="shared" si="49"/>
        <v>64726775.442524634</v>
      </c>
      <c r="AG45" s="142">
        <f t="shared" si="49"/>
        <v>79517178.73980175</v>
      </c>
      <c r="AH45" s="141">
        <f t="shared" si="49"/>
        <v>94307582.037078887</v>
      </c>
      <c r="AN45" s="451"/>
    </row>
    <row r="48" spans="2:40" ht="15" thickBot="1"/>
    <row r="49" spans="2:45" ht="15.75" thickBot="1">
      <c r="B49" s="878" t="s">
        <v>746</v>
      </c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  <c r="AD49" s="879"/>
      <c r="AE49" s="879"/>
      <c r="AF49" s="879"/>
      <c r="AG49" s="879"/>
      <c r="AH49" s="879"/>
      <c r="AI49" s="879"/>
      <c r="AJ49" s="879"/>
      <c r="AK49" s="879"/>
      <c r="AN49" s="336"/>
      <c r="AO49" s="330" t="s">
        <v>218</v>
      </c>
    </row>
    <row r="50" spans="2:45" ht="15.75" thickBot="1">
      <c r="B50" s="52" t="s">
        <v>177</v>
      </c>
      <c r="C50" s="895" t="s">
        <v>195</v>
      </c>
      <c r="D50" s="887"/>
      <c r="E50" s="887"/>
      <c r="F50" s="887"/>
      <c r="G50" s="888"/>
      <c r="H50" s="895" t="s">
        <v>196</v>
      </c>
      <c r="I50" s="887"/>
      <c r="J50" s="887"/>
      <c r="K50" s="887"/>
      <c r="L50" s="888"/>
      <c r="M50" s="887" t="s">
        <v>487</v>
      </c>
      <c r="N50" s="887"/>
      <c r="O50" s="887"/>
      <c r="P50" s="887"/>
      <c r="Q50" s="888"/>
      <c r="R50" s="887" t="s">
        <v>488</v>
      </c>
      <c r="S50" s="887"/>
      <c r="T50" s="887"/>
      <c r="U50" s="887"/>
      <c r="V50" s="888"/>
      <c r="W50" s="887" t="s">
        <v>489</v>
      </c>
      <c r="X50" s="887"/>
      <c r="Y50" s="887"/>
      <c r="Z50" s="887"/>
      <c r="AA50" s="888"/>
      <c r="AB50" s="887" t="s">
        <v>490</v>
      </c>
      <c r="AC50" s="887"/>
      <c r="AD50" s="887"/>
      <c r="AE50" s="887"/>
      <c r="AF50" s="888"/>
      <c r="AG50" s="887" t="s">
        <v>491</v>
      </c>
      <c r="AH50" s="887"/>
      <c r="AI50" s="887"/>
      <c r="AJ50" s="887"/>
      <c r="AK50" s="888"/>
      <c r="AN50" s="336"/>
      <c r="AO50" s="442"/>
    </row>
    <row r="51" spans="2:45" ht="45.75" thickBot="1">
      <c r="B51" s="140"/>
      <c r="C51" s="139" t="s">
        <v>197</v>
      </c>
      <c r="D51" s="335" t="s">
        <v>175</v>
      </c>
      <c r="E51" s="335" t="s">
        <v>198</v>
      </c>
      <c r="F51" s="335" t="s">
        <v>199</v>
      </c>
      <c r="G51" s="138" t="s">
        <v>175</v>
      </c>
      <c r="H51" s="137" t="s">
        <v>197</v>
      </c>
      <c r="I51" s="335" t="s">
        <v>175</v>
      </c>
      <c r="J51" s="335" t="s">
        <v>198</v>
      </c>
      <c r="K51" s="335" t="s">
        <v>199</v>
      </c>
      <c r="L51" s="138" t="s">
        <v>175</v>
      </c>
      <c r="M51" s="137" t="s">
        <v>197</v>
      </c>
      <c r="N51" s="335" t="s">
        <v>175</v>
      </c>
      <c r="O51" s="335" t="s">
        <v>198</v>
      </c>
      <c r="P51" s="335" t="s">
        <v>199</v>
      </c>
      <c r="Q51" s="138" t="s">
        <v>175</v>
      </c>
      <c r="R51" s="137" t="s">
        <v>197</v>
      </c>
      <c r="S51" s="335" t="s">
        <v>175</v>
      </c>
      <c r="T51" s="335" t="s">
        <v>198</v>
      </c>
      <c r="U51" s="335" t="s">
        <v>199</v>
      </c>
      <c r="V51" s="138" t="s">
        <v>175</v>
      </c>
      <c r="W51" s="137" t="s">
        <v>197</v>
      </c>
      <c r="X51" s="335" t="s">
        <v>175</v>
      </c>
      <c r="Y51" s="335" t="s">
        <v>198</v>
      </c>
      <c r="Z51" s="335" t="s">
        <v>199</v>
      </c>
      <c r="AA51" s="138" t="s">
        <v>175</v>
      </c>
      <c r="AB51" s="137" t="s">
        <v>197</v>
      </c>
      <c r="AC51" s="335" t="s">
        <v>175</v>
      </c>
      <c r="AD51" s="335" t="s">
        <v>198</v>
      </c>
      <c r="AE51" s="335" t="s">
        <v>199</v>
      </c>
      <c r="AF51" s="138" t="s">
        <v>175</v>
      </c>
      <c r="AG51" s="137" t="s">
        <v>197</v>
      </c>
      <c r="AH51" s="335" t="s">
        <v>175</v>
      </c>
      <c r="AI51" s="335" t="s">
        <v>198</v>
      </c>
      <c r="AJ51" s="335" t="s">
        <v>199</v>
      </c>
      <c r="AK51" s="138" t="s">
        <v>175</v>
      </c>
      <c r="AM51" s="734">
        <v>2025</v>
      </c>
      <c r="AN51" s="735">
        <v>2026</v>
      </c>
      <c r="AO51" s="735">
        <v>2027</v>
      </c>
      <c r="AP51" s="735">
        <v>2028</v>
      </c>
      <c r="AQ51" s="735">
        <v>2029</v>
      </c>
      <c r="AR51" s="735">
        <v>2030</v>
      </c>
      <c r="AS51" s="736">
        <v>2031</v>
      </c>
    </row>
    <row r="52" spans="2:45" ht="30">
      <c r="B52" s="140"/>
      <c r="C52" s="139" t="s">
        <v>181</v>
      </c>
      <c r="D52" s="335" t="s">
        <v>182</v>
      </c>
      <c r="E52" s="335" t="s">
        <v>200</v>
      </c>
      <c r="F52" s="335" t="s">
        <v>184</v>
      </c>
      <c r="G52" s="138" t="s">
        <v>201</v>
      </c>
      <c r="H52" s="137" t="s">
        <v>282</v>
      </c>
      <c r="I52" s="335" t="s">
        <v>187</v>
      </c>
      <c r="J52" s="335" t="s">
        <v>757</v>
      </c>
      <c r="K52" s="335" t="s">
        <v>294</v>
      </c>
      <c r="L52" s="138" t="s">
        <v>758</v>
      </c>
      <c r="M52" s="137" t="s">
        <v>191</v>
      </c>
      <c r="N52" s="335" t="s">
        <v>759</v>
      </c>
      <c r="O52" s="335" t="s">
        <v>772</v>
      </c>
      <c r="P52" s="335" t="s">
        <v>748</v>
      </c>
      <c r="Q52" s="138" t="s">
        <v>749</v>
      </c>
      <c r="R52" s="137" t="s">
        <v>284</v>
      </c>
      <c r="S52" s="335" t="s">
        <v>285</v>
      </c>
      <c r="T52" s="335" t="s">
        <v>773</v>
      </c>
      <c r="U52" s="335" t="s">
        <v>750</v>
      </c>
      <c r="V52" s="138" t="s">
        <v>774</v>
      </c>
      <c r="W52" s="137" t="s">
        <v>761</v>
      </c>
      <c r="X52" s="335" t="s">
        <v>753</v>
      </c>
      <c r="Y52" s="335" t="s">
        <v>775</v>
      </c>
      <c r="Z52" s="335" t="s">
        <v>762</v>
      </c>
      <c r="AA52" s="138" t="s">
        <v>776</v>
      </c>
      <c r="AB52" s="137" t="s">
        <v>764</v>
      </c>
      <c r="AC52" s="335" t="s">
        <v>765</v>
      </c>
      <c r="AD52" s="335" t="s">
        <v>777</v>
      </c>
      <c r="AE52" s="335" t="s">
        <v>766</v>
      </c>
      <c r="AF52" s="138" t="s">
        <v>778</v>
      </c>
      <c r="AG52" s="137" t="s">
        <v>768</v>
      </c>
      <c r="AH52" s="335" t="s">
        <v>769</v>
      </c>
      <c r="AI52" s="335" t="s">
        <v>779</v>
      </c>
      <c r="AJ52" s="335" t="s">
        <v>770</v>
      </c>
      <c r="AK52" s="138" t="s">
        <v>780</v>
      </c>
      <c r="AM52" s="819" t="s">
        <v>185</v>
      </c>
      <c r="AN52" s="820" t="s">
        <v>190</v>
      </c>
      <c r="AO52" s="820" t="s">
        <v>760</v>
      </c>
      <c r="AP52" s="820" t="s">
        <v>751</v>
      </c>
      <c r="AQ52" s="820" t="s">
        <v>763</v>
      </c>
      <c r="AR52" s="820" t="s">
        <v>767</v>
      </c>
      <c r="AS52" s="821" t="s">
        <v>771</v>
      </c>
    </row>
    <row r="53" spans="2:45">
      <c r="B53" s="130" t="str">
        <f>B40</f>
        <v>GS 50-2,999</v>
      </c>
      <c r="C53" s="129">
        <f ca="1">'Normalized Annual Summary'!DL16</f>
        <v>338913911.79067665</v>
      </c>
      <c r="D53" s="115">
        <f>AB40</f>
        <v>5913901.1749345483</v>
      </c>
      <c r="E53" s="134">
        <f t="shared" ref="E53:E56" ca="1" si="50">D53/C53</f>
        <v>1.7449567483636227E-2</v>
      </c>
      <c r="F53" s="128">
        <f ca="1">'kW Forecast'!AQ21</f>
        <v>775568.52518145437</v>
      </c>
      <c r="G53" s="132">
        <f t="shared" ref="G53:G56" ca="1" si="51">E53*F53</f>
        <v>13533.335318338011</v>
      </c>
      <c r="H53" s="53">
        <f ca="1">'Normalized Annual Summary'!DL17</f>
        <v>360007852.1668486</v>
      </c>
      <c r="I53" s="115">
        <f>AC40</f>
        <v>12196913.08766944</v>
      </c>
      <c r="J53" s="134">
        <f t="shared" ref="J53:J56" ca="1" si="52">I53/H53</f>
        <v>3.3879575165534664E-2</v>
      </c>
      <c r="K53" s="128">
        <f ca="1">'kW Forecast'!AQ22</f>
        <v>779702.49292444042</v>
      </c>
      <c r="L53" s="132">
        <f t="shared" ref="L53:L56" ca="1" si="53">J53*K53</f>
        <v>26415.989215788341</v>
      </c>
      <c r="M53" s="53">
        <f ca="1">'Normalized Annual Summary'!DL18</f>
        <v>375200812.08177775</v>
      </c>
      <c r="N53" s="115">
        <f>AD40</f>
        <v>19333976.502256293</v>
      </c>
      <c r="O53" s="134">
        <f t="shared" ref="O53:O56" ca="1" si="54">N53/M53</f>
        <v>5.1529676588339346E-2</v>
      </c>
      <c r="P53" s="128">
        <f ca="1">'kW Forecast'!AQ23</f>
        <v>785773.16894254345</v>
      </c>
      <c r="Q53" s="132">
        <f t="shared" ref="Q53:Q56" ca="1" si="55">O53*P53</f>
        <v>40490.637267403799</v>
      </c>
      <c r="R53" s="53">
        <f ca="1">'Normalized Annual Summary'!DL19</f>
        <v>386105854.7472927</v>
      </c>
      <c r="S53" s="115">
        <f>AE40</f>
        <v>27125794.162988514</v>
      </c>
      <c r="T53" s="134">
        <f t="shared" ref="T53:T56" ca="1" si="56">S53/R53</f>
        <v>7.0254811807353754E-2</v>
      </c>
      <c r="U53" s="128">
        <f ca="1">'kW Forecast'!AQ24</f>
        <v>788789.33534625918</v>
      </c>
      <c r="V53" s="132">
        <f t="shared" ref="V53:V56" ca="1" si="57">T53*U53</f>
        <v>55416.246310399089</v>
      </c>
      <c r="W53" s="53">
        <f ca="1">'Normalized Annual Summary'!DL20</f>
        <v>399323580.81141138</v>
      </c>
      <c r="X53" s="115">
        <f>AF40</f>
        <v>35131722.362016067</v>
      </c>
      <c r="Y53" s="134">
        <f t="shared" ref="Y53:Y56" ca="1" si="58">X53/W53</f>
        <v>8.7978081060551577E-2</v>
      </c>
      <c r="Z53" s="128">
        <f ca="1">'kW Forecast'!AQ25</f>
        <v>797380.4521157397</v>
      </c>
      <c r="AA53" s="132">
        <f t="shared" ref="AA53:AA56" ca="1" si="59">Y53*Z53</f>
        <v>70152.002052337819</v>
      </c>
      <c r="AB53" s="53">
        <f ca="1">'Normalized Annual Summary'!DL21</f>
        <v>409198807.53389639</v>
      </c>
      <c r="AC53" s="115">
        <f>AG40</f>
        <v>43137650.56104362</v>
      </c>
      <c r="AD53" s="134">
        <f t="shared" ref="AD53:AD56" ca="1" si="60">AC53/AB53</f>
        <v>0.10541978560744039</v>
      </c>
      <c r="AE53" s="128">
        <f ca="1">'kW Forecast'!AQ26</f>
        <v>802793.59272763086</v>
      </c>
      <c r="AF53" s="132">
        <f t="shared" ref="AF53:AF56" ca="1" si="61">AD53*AE53</f>
        <v>84630.328432373659</v>
      </c>
      <c r="AG53" s="53">
        <f ca="1">'Normalized Annual Summary'!DL22</f>
        <v>417655802.3988418</v>
      </c>
      <c r="AH53" s="115">
        <f>AH40</f>
        <v>51143578.760071173</v>
      </c>
      <c r="AI53" s="134">
        <f t="shared" ref="AI53:AI56" ca="1" si="62">AH53/AG53</f>
        <v>0.12245389257451628</v>
      </c>
      <c r="AJ53" s="128">
        <f ca="1">'kW Forecast'!AQ27</f>
        <v>814582.56811010127</v>
      </c>
      <c r="AK53" s="132">
        <f t="shared" ref="AK53:AK56" ca="1" si="63">AI53*AJ53</f>
        <v>99748.806288427935</v>
      </c>
      <c r="AM53" s="145">
        <f ca="1">G53</f>
        <v>13533.335318338011</v>
      </c>
      <c r="AN53" s="145">
        <f ca="1">L53</f>
        <v>26415.989215788341</v>
      </c>
      <c r="AO53" s="144">
        <f ca="1">Q53</f>
        <v>40490.637267403799</v>
      </c>
      <c r="AP53" s="144">
        <f ca="1">V53</f>
        <v>55416.246310399089</v>
      </c>
      <c r="AQ53" s="144">
        <f ca="1">AA53</f>
        <v>70152.002052337819</v>
      </c>
      <c r="AR53" s="144">
        <f ca="1">AF53</f>
        <v>84630.328432373659</v>
      </c>
      <c r="AS53" s="143">
        <f ca="1">AK53</f>
        <v>99748.806288427935</v>
      </c>
    </row>
    <row r="54" spans="2:45">
      <c r="B54" s="130" t="str">
        <f>B41</f>
        <v>GS 3,000-4,999</v>
      </c>
      <c r="C54" s="129">
        <f ca="1">'Normalized Annual Summary'!DW16</f>
        <v>91907121.333394676</v>
      </c>
      <c r="D54" s="115">
        <f>AB41</f>
        <v>1332600.0132424636</v>
      </c>
      <c r="E54" s="134">
        <f t="shared" ca="1" si="50"/>
        <v>1.4499420653253124E-2</v>
      </c>
      <c r="F54" s="128">
        <f ca="1">'kW Forecast'!AY21</f>
        <v>148248.77491012434</v>
      </c>
      <c r="G54" s="132">
        <f t="shared" ca="1" si="51"/>
        <v>2149.5213487513306</v>
      </c>
      <c r="H54" s="53">
        <f ca="1">'Normalized Annual Summary'!DW17</f>
        <v>112160823.30461539</v>
      </c>
      <c r="I54" s="115">
        <f>AC41</f>
        <v>2749711.6669683699</v>
      </c>
      <c r="J54" s="134">
        <f t="shared" ca="1" si="52"/>
        <v>2.4515794249302909E-2</v>
      </c>
      <c r="K54" s="128">
        <f ca="1">'kW Forecast'!AY22</f>
        <v>148901.58627305288</v>
      </c>
      <c r="L54" s="132">
        <f t="shared" ca="1" si="53"/>
        <v>3650.4406524649908</v>
      </c>
      <c r="M54" s="53">
        <f ca="1">'Normalized Annual Summary'!DW18</f>
        <v>125842819.7414977</v>
      </c>
      <c r="N54" s="115">
        <f>AD41</f>
        <v>4359178.8462269781</v>
      </c>
      <c r="O54" s="134">
        <f t="shared" ca="1" si="54"/>
        <v>3.4639869443337842E-2</v>
      </c>
      <c r="P54" s="128">
        <f ca="1">'kW Forecast'!AY23</f>
        <v>150073.56906764154</v>
      </c>
      <c r="Q54" s="132">
        <f t="shared" ca="1" si="55"/>
        <v>5198.5288393988476</v>
      </c>
      <c r="R54" s="53">
        <f ca="1">'Normalized Annual Summary'!DW19</f>
        <v>131952306.9375944</v>
      </c>
      <c r="S54" s="115">
        <f>AE41</f>
        <v>6116163.5191884115</v>
      </c>
      <c r="T54" s="134">
        <f t="shared" ca="1" si="56"/>
        <v>4.6351319360266992E-2</v>
      </c>
      <c r="U54" s="128">
        <f ca="1">'kW Forecast'!AY24</f>
        <v>150339.97799894269</v>
      </c>
      <c r="V54" s="132">
        <f t="shared" ca="1" si="57"/>
        <v>6968.4563328445056</v>
      </c>
      <c r="W54" s="53">
        <f ca="1">'Normalized Annual Summary'!DW20</f>
        <v>137847686.18108562</v>
      </c>
      <c r="X54" s="115">
        <f>AF41</f>
        <v>7921449.6851512687</v>
      </c>
      <c r="Y54" s="134">
        <f t="shared" ca="1" si="58"/>
        <v>5.746523503299969E-2</v>
      </c>
      <c r="Z54" s="128">
        <f ca="1">'kW Forecast'!AY25</f>
        <v>151752.64169640216</v>
      </c>
      <c r="AA54" s="132">
        <f t="shared" ca="1" si="59"/>
        <v>8720.5012219623386</v>
      </c>
      <c r="AB54" s="53">
        <f ca="1">'Normalized Annual Summary'!DW21</f>
        <v>148183993.73779297</v>
      </c>
      <c r="AC54" s="115">
        <f>AG41</f>
        <v>9726735.8511141259</v>
      </c>
      <c r="AD54" s="134">
        <f t="shared" ca="1" si="60"/>
        <v>6.5639584990031294E-2</v>
      </c>
      <c r="AE54" s="128">
        <f ca="1">'kW Forecast'!AY26</f>
        <v>152800.88234491571</v>
      </c>
      <c r="AF54" s="132">
        <f t="shared" ca="1" si="61"/>
        <v>10029.786503230867</v>
      </c>
      <c r="AG54" s="53">
        <f ca="1">'Normalized Annual Summary'!DW22</f>
        <v>159579543.97727138</v>
      </c>
      <c r="AH54" s="115">
        <f>AH41</f>
        <v>11532022.017076982</v>
      </c>
      <c r="AI54" s="134">
        <f t="shared" ca="1" si="62"/>
        <v>7.2265039300522541E-2</v>
      </c>
      <c r="AJ54" s="128">
        <f ca="1">'kW Forecast'!AY27</f>
        <v>154571.57693402746</v>
      </c>
      <c r="AK54" s="132">
        <f t="shared" ca="1" si="63"/>
        <v>11170.121081881238</v>
      </c>
      <c r="AM54" s="145">
        <f ca="1">G54</f>
        <v>2149.5213487513306</v>
      </c>
      <c r="AN54" s="145">
        <f ca="1">L54</f>
        <v>3650.4406524649908</v>
      </c>
      <c r="AO54" s="144">
        <f ca="1">Q54</f>
        <v>5198.5288393988476</v>
      </c>
      <c r="AP54" s="144">
        <f ca="1">V54</f>
        <v>6968.4563328445056</v>
      </c>
      <c r="AQ54" s="144">
        <f ca="1">AA54</f>
        <v>8720.5012219623386</v>
      </c>
      <c r="AR54" s="144">
        <f ca="1">AF54</f>
        <v>10029.786503230867</v>
      </c>
      <c r="AS54" s="143">
        <f ca="1">AK54</f>
        <v>11170.121081881238</v>
      </c>
    </row>
    <row r="55" spans="2:45">
      <c r="B55" s="130" t="str">
        <f>B42</f>
        <v>Street Light</v>
      </c>
      <c r="C55" s="129">
        <f>'Normalized Annual Summary'!ED16</f>
        <v>3769413.3310388532</v>
      </c>
      <c r="D55" s="115">
        <f>AB42</f>
        <v>0</v>
      </c>
      <c r="E55" s="134">
        <f t="shared" si="50"/>
        <v>0</v>
      </c>
      <c r="F55" s="128">
        <f>'kW Forecast'!BG21</f>
        <v>9986.964521792901</v>
      </c>
      <c r="G55" s="132">
        <f t="shared" si="51"/>
        <v>0</v>
      </c>
      <c r="H55" s="53">
        <f>'Normalized Annual Summary'!ED17</f>
        <v>3831737.5829530451</v>
      </c>
      <c r="I55" s="115">
        <f>AC42</f>
        <v>0</v>
      </c>
      <c r="J55" s="134">
        <f t="shared" si="52"/>
        <v>0</v>
      </c>
      <c r="K55" s="128">
        <f>'kW Forecast'!BG22</f>
        <v>10152.091038322405</v>
      </c>
      <c r="L55" s="132">
        <f t="shared" si="53"/>
        <v>0</v>
      </c>
      <c r="M55" s="53">
        <f>'Normalized Annual Summary'!ED18</f>
        <v>3895092.3168111197</v>
      </c>
      <c r="N55" s="115">
        <f>AD42</f>
        <v>0</v>
      </c>
      <c r="O55" s="134">
        <f t="shared" si="54"/>
        <v>0</v>
      </c>
      <c r="P55" s="128">
        <f>'kW Forecast'!BG23</f>
        <v>10319.947790490745</v>
      </c>
      <c r="Q55" s="132">
        <f t="shared" si="55"/>
        <v>0</v>
      </c>
      <c r="R55" s="53">
        <f>'Normalized Annual Summary'!ED19</f>
        <v>3959494.5708125578</v>
      </c>
      <c r="S55" s="115">
        <f>AE42</f>
        <v>0</v>
      </c>
      <c r="T55" s="134">
        <f t="shared" si="56"/>
        <v>0</v>
      </c>
      <c r="U55" s="128">
        <f>'kW Forecast'!BG24</f>
        <v>10490.579920573065</v>
      </c>
      <c r="V55" s="132">
        <f t="shared" si="57"/>
        <v>0</v>
      </c>
      <c r="W55" s="53">
        <f>'Normalized Annual Summary'!ED20</f>
        <v>4024961.6648699204</v>
      </c>
      <c r="X55" s="115">
        <f>AF42</f>
        <v>0</v>
      </c>
      <c r="Y55" s="134">
        <f t="shared" si="58"/>
        <v>0</v>
      </c>
      <c r="Z55" s="128">
        <f>'kW Forecast'!BG25</f>
        <v>10664.033317236139</v>
      </c>
      <c r="AA55" s="132">
        <f t="shared" si="59"/>
        <v>0</v>
      </c>
      <c r="AB55" s="53">
        <f>'Normalized Annual Summary'!ED21</f>
        <v>4091511.2052667504</v>
      </c>
      <c r="AC55" s="115">
        <f>AG42</f>
        <v>0</v>
      </c>
      <c r="AD55" s="134">
        <f t="shared" si="60"/>
        <v>0</v>
      </c>
      <c r="AE55" s="128">
        <f>'kW Forecast'!BG26</f>
        <v>10840.354627879351</v>
      </c>
      <c r="AF55" s="132">
        <f t="shared" si="61"/>
        <v>0</v>
      </c>
      <c r="AG55" s="53">
        <f>'Normalized Annual Summary'!ED22</f>
        <v>4159161.089392487</v>
      </c>
      <c r="AH55" s="115">
        <f>AH42</f>
        <v>0</v>
      </c>
      <c r="AI55" s="134">
        <f t="shared" si="62"/>
        <v>0</v>
      </c>
      <c r="AJ55" s="128">
        <f>'kW Forecast'!BG27</f>
        <v>11019.591271179737</v>
      </c>
      <c r="AK55" s="132">
        <f t="shared" si="63"/>
        <v>0</v>
      </c>
      <c r="AM55" s="145">
        <f>G55</f>
        <v>0</v>
      </c>
      <c r="AN55" s="145">
        <f>L55</f>
        <v>0</v>
      </c>
      <c r="AO55" s="144">
        <f>Q55</f>
        <v>0</v>
      </c>
      <c r="AP55" s="144">
        <f>V55</f>
        <v>0</v>
      </c>
      <c r="AQ55" s="144">
        <f>AA55</f>
        <v>0</v>
      </c>
      <c r="AR55" s="144">
        <f>AF55</f>
        <v>0</v>
      </c>
      <c r="AS55" s="143">
        <f>AK55</f>
        <v>0</v>
      </c>
    </row>
    <row r="56" spans="2:45">
      <c r="B56" s="130" t="str">
        <f>B43</f>
        <v>Sentinel Light</v>
      </c>
      <c r="C56" s="129">
        <f>'Normalized Annual Summary'!EK16</f>
        <v>31238.247693689678</v>
      </c>
      <c r="D56" s="115">
        <f>AB43</f>
        <v>0</v>
      </c>
      <c r="E56" s="134">
        <f t="shared" si="50"/>
        <v>0</v>
      </c>
      <c r="F56" s="128">
        <f>'kW Forecast'!BN21</f>
        <v>91.644506247205769</v>
      </c>
      <c r="G56" s="132">
        <f t="shared" si="51"/>
        <v>0</v>
      </c>
      <c r="H56" s="129">
        <f>'Normalized Annual Summary'!EK17</f>
        <v>31652.571214880914</v>
      </c>
      <c r="I56" s="115">
        <f>AC43</f>
        <v>0</v>
      </c>
      <c r="J56" s="134">
        <f t="shared" si="52"/>
        <v>0</v>
      </c>
      <c r="K56" s="128">
        <f>'kW Forecast'!BN22</f>
        <v>92.860018554378001</v>
      </c>
      <c r="L56" s="132">
        <f t="shared" si="53"/>
        <v>0</v>
      </c>
      <c r="M56" s="129">
        <f>'Normalized Annual Summary'!EK18</f>
        <v>32072.390050082573</v>
      </c>
      <c r="N56" s="115">
        <f>AD43</f>
        <v>0</v>
      </c>
      <c r="O56" s="134">
        <f t="shared" si="54"/>
        <v>0</v>
      </c>
      <c r="P56" s="128">
        <f>'kW Forecast'!BN23</f>
        <v>94.091652615372567</v>
      </c>
      <c r="Q56" s="132">
        <f t="shared" si="55"/>
        <v>0</v>
      </c>
      <c r="R56" s="129">
        <f>'Normalized Annual Summary'!EK19</f>
        <v>32497.777085516482</v>
      </c>
      <c r="S56" s="115">
        <f>AE43</f>
        <v>0</v>
      </c>
      <c r="T56" s="134">
        <f t="shared" si="56"/>
        <v>0</v>
      </c>
      <c r="U56" s="128">
        <f>'kW Forecast'!BN24</f>
        <v>95.339622258502658</v>
      </c>
      <c r="V56" s="132">
        <f t="shared" si="57"/>
        <v>0</v>
      </c>
      <c r="W56" s="129">
        <f>'Normalized Annual Summary'!EK20</f>
        <v>32928.806174119265</v>
      </c>
      <c r="X56" s="115">
        <f>AF43</f>
        <v>0</v>
      </c>
      <c r="Y56" s="134">
        <f t="shared" si="58"/>
        <v>0</v>
      </c>
      <c r="Z56" s="128">
        <f>'kW Forecast'!BN25</f>
        <v>96.60414414815925</v>
      </c>
      <c r="AA56" s="132">
        <f t="shared" si="59"/>
        <v>0</v>
      </c>
      <c r="AB56" s="129">
        <f>'Normalized Annual Summary'!EK21</f>
        <v>33365.552148364186</v>
      </c>
      <c r="AC56" s="115">
        <f>AG43</f>
        <v>0</v>
      </c>
      <c r="AD56" s="134">
        <f t="shared" si="60"/>
        <v>0</v>
      </c>
      <c r="AE56" s="128">
        <f>'kW Forecast'!BN26</f>
        <v>97.885437822426894</v>
      </c>
      <c r="AF56" s="132">
        <f t="shared" si="61"/>
        <v>0</v>
      </c>
      <c r="AG56" s="129">
        <f>'Normalized Annual Summary'!EK22</f>
        <v>33808.090833253111</v>
      </c>
      <c r="AH56" s="115">
        <f>AH43</f>
        <v>0</v>
      </c>
      <c r="AI56" s="134">
        <f t="shared" si="62"/>
        <v>0</v>
      </c>
      <c r="AJ56" s="128">
        <f>'kW Forecast'!BN27</f>
        <v>99.183725731198621</v>
      </c>
      <c r="AK56" s="132">
        <f t="shared" si="63"/>
        <v>0</v>
      </c>
      <c r="AM56" s="145">
        <f>G56</f>
        <v>0</v>
      </c>
      <c r="AN56" s="145">
        <f>L56</f>
        <v>0</v>
      </c>
      <c r="AO56" s="144">
        <f>Q56</f>
        <v>0</v>
      </c>
      <c r="AP56" s="144">
        <f>V56</f>
        <v>0</v>
      </c>
      <c r="AQ56" s="144">
        <f>AA56</f>
        <v>0</v>
      </c>
      <c r="AR56" s="144">
        <f>AF56</f>
        <v>0</v>
      </c>
      <c r="AS56" s="143">
        <f>AK56</f>
        <v>0</v>
      </c>
    </row>
    <row r="57" spans="2:45" ht="15.75" thickBot="1">
      <c r="B57" s="127" t="s">
        <v>194</v>
      </c>
      <c r="C57" s="126">
        <f t="shared" ref="C57:AK57" ca="1" si="64">SUM(C53:C56)</f>
        <v>434621684.70280391</v>
      </c>
      <c r="D57" s="125">
        <f t="shared" si="64"/>
        <v>7246501.1881770119</v>
      </c>
      <c r="E57" s="124">
        <f t="shared" ca="1" si="64"/>
        <v>3.1948988136889352E-2</v>
      </c>
      <c r="F57" s="123">
        <f t="shared" ca="1" si="64"/>
        <v>933895.90911961894</v>
      </c>
      <c r="G57" s="123">
        <f t="shared" ca="1" si="64"/>
        <v>15682.856667089341</v>
      </c>
      <c r="H57" s="122">
        <f t="shared" ca="1" si="64"/>
        <v>476032065.62563187</v>
      </c>
      <c r="I57" s="125">
        <f t="shared" si="64"/>
        <v>14946624.754637809</v>
      </c>
      <c r="J57" s="124">
        <f t="shared" ca="1" si="64"/>
        <v>5.839536941483757E-2</v>
      </c>
      <c r="K57" s="123">
        <f t="shared" ca="1" si="64"/>
        <v>938849.03025437007</v>
      </c>
      <c r="L57" s="123">
        <f t="shared" ca="1" si="64"/>
        <v>30066.42986825333</v>
      </c>
      <c r="M57" s="122">
        <f t="shared" ca="1" si="64"/>
        <v>504970796.53013664</v>
      </c>
      <c r="N57" s="125">
        <f t="shared" si="64"/>
        <v>23693155.348483272</v>
      </c>
      <c r="O57" s="124">
        <f t="shared" ca="1" si="64"/>
        <v>8.6169546031677188E-2</v>
      </c>
      <c r="P57" s="123">
        <f t="shared" ca="1" si="64"/>
        <v>946260.777453291</v>
      </c>
      <c r="Q57" s="123">
        <f t="shared" ca="1" si="64"/>
        <v>45689.166106802644</v>
      </c>
      <c r="R57" s="122">
        <f t="shared" ca="1" si="64"/>
        <v>522050154.03278524</v>
      </c>
      <c r="S57" s="125">
        <f t="shared" si="64"/>
        <v>33241957.682176925</v>
      </c>
      <c r="T57" s="124">
        <f t="shared" ca="1" si="64"/>
        <v>0.11660613116762075</v>
      </c>
      <c r="U57" s="123">
        <f t="shared" ca="1" si="64"/>
        <v>949715.2328880335</v>
      </c>
      <c r="V57" s="123">
        <f t="shared" ca="1" si="64"/>
        <v>62384.702643243596</v>
      </c>
      <c r="W57" s="122">
        <f t="shared" ca="1" si="64"/>
        <v>541229157.46354103</v>
      </c>
      <c r="X57" s="125">
        <f t="shared" si="64"/>
        <v>43053172.047167338</v>
      </c>
      <c r="Y57" s="124">
        <f t="shared" ca="1" si="64"/>
        <v>0.14544331609355127</v>
      </c>
      <c r="Z57" s="123">
        <f t="shared" ca="1" si="64"/>
        <v>959893.73127352609</v>
      </c>
      <c r="AA57" s="123">
        <f t="shared" ca="1" si="64"/>
        <v>78872.503274300165</v>
      </c>
      <c r="AB57" s="122">
        <f t="shared" ca="1" si="64"/>
        <v>561507678.02910447</v>
      </c>
      <c r="AC57" s="125">
        <f t="shared" si="64"/>
        <v>52864386.412157744</v>
      </c>
      <c r="AD57" s="124">
        <f t="shared" ca="1" si="64"/>
        <v>0.17105937059747167</v>
      </c>
      <c r="AE57" s="123">
        <f t="shared" ca="1" si="64"/>
        <v>966532.7151382484</v>
      </c>
      <c r="AF57" s="123">
        <f t="shared" ca="1" si="64"/>
        <v>94660.114935604521</v>
      </c>
      <c r="AG57" s="122">
        <f t="shared" ca="1" si="64"/>
        <v>581428315.55633903</v>
      </c>
      <c r="AH57" s="125">
        <f t="shared" si="64"/>
        <v>62675600.777148157</v>
      </c>
      <c r="AI57" s="124">
        <f t="shared" ca="1" si="64"/>
        <v>0.1947189318750388</v>
      </c>
      <c r="AJ57" s="123">
        <f t="shared" ca="1" si="64"/>
        <v>980272.9200410397</v>
      </c>
      <c r="AK57" s="123">
        <f t="shared" ca="1" si="64"/>
        <v>110918.92737030917</v>
      </c>
      <c r="AM57" s="142">
        <f t="shared" ref="AM57:AS57" ca="1" si="65">SUM(AM53:AM56)</f>
        <v>15682.856667089341</v>
      </c>
      <c r="AN57" s="142">
        <f t="shared" ca="1" si="65"/>
        <v>30066.42986825333</v>
      </c>
      <c r="AO57" s="142">
        <f t="shared" ca="1" si="65"/>
        <v>45689.166106802644</v>
      </c>
      <c r="AP57" s="142">
        <f t="shared" ca="1" si="65"/>
        <v>62384.702643243596</v>
      </c>
      <c r="AQ57" s="142">
        <f t="shared" ca="1" si="65"/>
        <v>78872.503274300165</v>
      </c>
      <c r="AR57" s="142">
        <f t="shared" ca="1" si="65"/>
        <v>94660.114935604521</v>
      </c>
      <c r="AS57" s="142">
        <f t="shared" ca="1" si="65"/>
        <v>110918.92737030917</v>
      </c>
    </row>
  </sheetData>
  <mergeCells count="38">
    <mergeCell ref="AG21:AK21"/>
    <mergeCell ref="AG50:AK50"/>
    <mergeCell ref="C50:G50"/>
    <mergeCell ref="H50:L50"/>
    <mergeCell ref="M50:Q50"/>
    <mergeCell ref="R50:V50"/>
    <mergeCell ref="W50:AA50"/>
    <mergeCell ref="AB50:AF50"/>
    <mergeCell ref="C21:G21"/>
    <mergeCell ref="H21:L21"/>
    <mergeCell ref="M21:Q21"/>
    <mergeCell ref="B34:Z34"/>
    <mergeCell ref="R35:T35"/>
    <mergeCell ref="U35:W35"/>
    <mergeCell ref="X35:Z35"/>
    <mergeCell ref="W21:AA21"/>
    <mergeCell ref="AB21:AF21"/>
    <mergeCell ref="C35:E35"/>
    <mergeCell ref="F35:H35"/>
    <mergeCell ref="I35:K35"/>
    <mergeCell ref="L35:N35"/>
    <mergeCell ref="O35:Q35"/>
    <mergeCell ref="B49:AK49"/>
    <mergeCell ref="B2:Z2"/>
    <mergeCell ref="B3:Z3"/>
    <mergeCell ref="B20:AK20"/>
    <mergeCell ref="B33:Z33"/>
    <mergeCell ref="X4:Z4"/>
    <mergeCell ref="O4:Q4"/>
    <mergeCell ref="R4:T4"/>
    <mergeCell ref="R21:V21"/>
    <mergeCell ref="U4:W4"/>
    <mergeCell ref="B4:B5"/>
    <mergeCell ref="C4:E4"/>
    <mergeCell ref="F4:H4"/>
    <mergeCell ref="I4:K4"/>
    <mergeCell ref="L4:N4"/>
    <mergeCell ref="B35:B36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C8A0-8DDB-4B2C-BBA0-6F04A42910E9}">
  <sheetPr codeName="Sheet24">
    <tabColor theme="3" tint="0.499984740745262"/>
  </sheetPr>
  <dimension ref="A1:Y82"/>
  <sheetViews>
    <sheetView workbookViewId="0"/>
  </sheetViews>
  <sheetFormatPr defaultRowHeight="15"/>
  <cols>
    <col min="2" max="2" width="10.42578125" customWidth="1"/>
    <col min="4" max="4" width="9.42578125" bestFit="1" customWidth="1"/>
    <col min="5" max="5" width="11.42578125" bestFit="1" customWidth="1"/>
    <col min="6" max="6" width="12.42578125" bestFit="1" customWidth="1"/>
    <col min="7" max="8" width="11.42578125" bestFit="1" customWidth="1"/>
    <col min="9" max="9" width="12.5703125" customWidth="1"/>
    <col min="10" max="15" width="11.42578125" bestFit="1" customWidth="1"/>
    <col min="18" max="18" width="10.42578125" bestFit="1" customWidth="1"/>
  </cols>
  <sheetData>
    <row r="1" spans="1:25" ht="15.75" thickBot="1"/>
    <row r="2" spans="1:25">
      <c r="C2" s="394"/>
      <c r="D2" s="392"/>
      <c r="E2" s="392">
        <v>2021</v>
      </c>
      <c r="F2" s="392">
        <f>E2+1</f>
        <v>2022</v>
      </c>
      <c r="G2" s="392">
        <f t="shared" ref="G2:O2" si="0">F2+1</f>
        <v>2023</v>
      </c>
      <c r="H2" s="392">
        <f t="shared" si="0"/>
        <v>2024</v>
      </c>
      <c r="I2" s="392">
        <f t="shared" si="0"/>
        <v>2025</v>
      </c>
      <c r="J2" s="392">
        <f t="shared" si="0"/>
        <v>2026</v>
      </c>
      <c r="K2" s="392">
        <f t="shared" si="0"/>
        <v>2027</v>
      </c>
      <c r="L2" s="392">
        <f t="shared" si="0"/>
        <v>2028</v>
      </c>
      <c r="M2" s="392">
        <f t="shared" si="0"/>
        <v>2029</v>
      </c>
      <c r="N2" s="392">
        <f t="shared" si="0"/>
        <v>2030</v>
      </c>
      <c r="O2" s="392">
        <f t="shared" si="0"/>
        <v>2031</v>
      </c>
      <c r="P2" s="393"/>
      <c r="R2" t="s">
        <v>739</v>
      </c>
      <c r="X2" t="s">
        <v>537</v>
      </c>
    </row>
    <row r="3" spans="1:25">
      <c r="C3" s="373"/>
      <c r="D3" t="s">
        <v>353</v>
      </c>
      <c r="E3" s="48">
        <v>39490</v>
      </c>
      <c r="F3" s="48">
        <v>39715</v>
      </c>
      <c r="G3" s="48">
        <v>39990</v>
      </c>
      <c r="H3" s="48">
        <v>40320</v>
      </c>
      <c r="I3" s="48">
        <v>41010</v>
      </c>
      <c r="J3" s="48">
        <v>42600</v>
      </c>
      <c r="K3" s="48">
        <v>44910</v>
      </c>
      <c r="L3" s="48">
        <v>47500</v>
      </c>
      <c r="M3" s="48">
        <v>50150</v>
      </c>
      <c r="N3" s="759">
        <f>M3*(1+Q19)</f>
        <v>52737.098179144348</v>
      </c>
      <c r="O3" s="759">
        <f>N3*(1+Q19)</f>
        <v>55457.657514590428</v>
      </c>
      <c r="P3" s="374"/>
      <c r="R3" t="s">
        <v>535</v>
      </c>
      <c r="X3" s="3">
        <v>37160</v>
      </c>
      <c r="Y3" s="18">
        <f t="shared" ref="Y3:Y10" si="1">X3/$X$11</f>
        <v>0.3253028923594089</v>
      </c>
    </row>
    <row r="4" spans="1:25">
      <c r="C4" s="373"/>
      <c r="D4" t="s">
        <v>354</v>
      </c>
      <c r="E4" s="48">
        <v>33430</v>
      </c>
      <c r="F4" s="48">
        <v>33875</v>
      </c>
      <c r="G4" s="48">
        <v>34480</v>
      </c>
      <c r="H4" s="48">
        <v>36820</v>
      </c>
      <c r="I4" s="48">
        <v>38330</v>
      </c>
      <c r="J4" s="48">
        <v>40260</v>
      </c>
      <c r="K4" s="48">
        <v>42160</v>
      </c>
      <c r="L4" s="48">
        <v>43940</v>
      </c>
      <c r="M4" s="48">
        <v>45590</v>
      </c>
      <c r="N4" s="759">
        <f>M4*(1+Q20)</f>
        <v>47610.449903635068</v>
      </c>
      <c r="O4" s="759">
        <f t="shared" ref="O4:O8" si="2">N4*(1+Q20)</f>
        <v>49720.441764126874</v>
      </c>
      <c r="P4" s="374"/>
      <c r="R4" t="s">
        <v>535</v>
      </c>
      <c r="X4" s="3">
        <v>34366</v>
      </c>
      <c r="Y4" s="18">
        <f t="shared" si="1"/>
        <v>0.30084389663141675</v>
      </c>
    </row>
    <row r="5" spans="1:25">
      <c r="C5" s="373"/>
      <c r="D5" t="s">
        <v>355</v>
      </c>
      <c r="E5" s="48">
        <v>8020</v>
      </c>
      <c r="F5" s="48">
        <v>8035</v>
      </c>
      <c r="G5" s="48">
        <v>8100</v>
      </c>
      <c r="H5" s="48">
        <v>8165</v>
      </c>
      <c r="I5" s="48">
        <v>8200</v>
      </c>
      <c r="J5" s="48">
        <v>8240</v>
      </c>
      <c r="K5" s="48">
        <v>8270</v>
      </c>
      <c r="L5" s="48">
        <v>8300</v>
      </c>
      <c r="M5" s="48">
        <v>8330</v>
      </c>
      <c r="N5" s="759">
        <f t="shared" ref="N5:N8" si="3">M5*(1+Q21)</f>
        <v>8362.8207598869085</v>
      </c>
      <c r="O5" s="759">
        <f t="shared" si="2"/>
        <v>8395.7708357737629</v>
      </c>
      <c r="P5" s="374"/>
      <c r="R5" t="s">
        <v>535</v>
      </c>
      <c r="X5" s="3">
        <v>1326</v>
      </c>
      <c r="Y5" s="18">
        <f t="shared" si="1"/>
        <v>1.1607955739197423E-2</v>
      </c>
    </row>
    <row r="6" spans="1:25">
      <c r="C6" s="373"/>
      <c r="D6" t="s">
        <v>538</v>
      </c>
      <c r="E6" s="48">
        <v>35970</v>
      </c>
      <c r="F6" s="48">
        <v>36685</v>
      </c>
      <c r="G6" s="48">
        <v>37230</v>
      </c>
      <c r="H6" s="48">
        <v>37575</v>
      </c>
      <c r="I6" s="48">
        <v>38450</v>
      </c>
      <c r="J6" s="48">
        <v>39660</v>
      </c>
      <c r="K6" s="48">
        <v>40910</v>
      </c>
      <c r="L6" s="48">
        <v>42240</v>
      </c>
      <c r="M6" s="48">
        <v>43690</v>
      </c>
      <c r="N6" s="759">
        <f t="shared" si="3"/>
        <v>45107.989415238815</v>
      </c>
      <c r="O6" s="759">
        <f t="shared" si="2"/>
        <v>46572.000665719774</v>
      </c>
      <c r="P6" s="374"/>
      <c r="R6" t="s">
        <v>535</v>
      </c>
      <c r="X6" s="3">
        <v>15240</v>
      </c>
      <c r="Y6" s="18">
        <f t="shared" si="1"/>
        <v>0.1334127039708663</v>
      </c>
    </row>
    <row r="7" spans="1:25">
      <c r="C7" s="373"/>
      <c r="D7" t="s">
        <v>539</v>
      </c>
      <c r="E7" s="48">
        <v>8250</v>
      </c>
      <c r="F7" s="48">
        <v>8280</v>
      </c>
      <c r="G7" s="48">
        <v>8290</v>
      </c>
      <c r="H7" s="48">
        <v>8320</v>
      </c>
      <c r="I7" s="48">
        <v>8420</v>
      </c>
      <c r="J7" s="48">
        <v>8560</v>
      </c>
      <c r="K7" s="48">
        <v>8700</v>
      </c>
      <c r="L7" s="48">
        <v>8850</v>
      </c>
      <c r="M7" s="48">
        <v>8990</v>
      </c>
      <c r="N7" s="759">
        <f>M7*(1+Q23)</f>
        <v>9138.4300480521579</v>
      </c>
      <c r="O7" s="759">
        <f>N7*(1+Q23)</f>
        <v>9289.3107611949454</v>
      </c>
      <c r="P7" s="374"/>
      <c r="R7" t="s">
        <v>535</v>
      </c>
      <c r="X7" s="3">
        <v>2059</v>
      </c>
      <c r="Y7" s="18">
        <f t="shared" si="1"/>
        <v>1.8024721619161004E-2</v>
      </c>
    </row>
    <row r="8" spans="1:25">
      <c r="A8" t="s">
        <v>657</v>
      </c>
      <c r="C8" s="373"/>
      <c r="D8" t="s">
        <v>540</v>
      </c>
      <c r="E8" s="48">
        <v>4790</v>
      </c>
      <c r="F8" s="48">
        <v>4800</v>
      </c>
      <c r="G8" s="48">
        <v>4815</v>
      </c>
      <c r="H8" s="48">
        <v>4825</v>
      </c>
      <c r="I8" s="48">
        <v>4860</v>
      </c>
      <c r="J8" s="48">
        <v>4910</v>
      </c>
      <c r="K8" s="48">
        <v>4960</v>
      </c>
      <c r="L8" s="48">
        <v>5010</v>
      </c>
      <c r="M8" s="48">
        <v>5060</v>
      </c>
      <c r="N8" s="759">
        <f t="shared" si="3"/>
        <v>5111.2730106406771</v>
      </c>
      <c r="O8" s="759">
        <f t="shared" si="2"/>
        <v>5163.0655710086585</v>
      </c>
      <c r="P8" s="374"/>
      <c r="R8" t="s">
        <v>535</v>
      </c>
      <c r="X8" s="3">
        <v>2516</v>
      </c>
      <c r="Y8" s="18">
        <f t="shared" si="1"/>
        <v>2.2025351915400237E-2</v>
      </c>
    </row>
    <row r="9" spans="1:25">
      <c r="A9" t="s">
        <v>658</v>
      </c>
      <c r="C9" s="373"/>
      <c r="D9" t="s">
        <v>84</v>
      </c>
      <c r="E9" s="48">
        <v>55071</v>
      </c>
      <c r="F9" s="48">
        <f>E9*(1.0133+1.005)/2</f>
        <v>55574.899649999999</v>
      </c>
      <c r="G9" s="48">
        <f t="shared" ref="G9:O9" si="4">F9*(1.0133+1.005)/2</f>
        <v>56083.4099817975</v>
      </c>
      <c r="H9" s="48">
        <f t="shared" si="4"/>
        <v>56596.573183130946</v>
      </c>
      <c r="I9" s="48">
        <f t="shared" si="4"/>
        <v>57114.431827756591</v>
      </c>
      <c r="J9" s="48">
        <f t="shared" si="4"/>
        <v>57637.028878980564</v>
      </c>
      <c r="K9" s="48">
        <f t="shared" si="4"/>
        <v>58164.407693223235</v>
      </c>
      <c r="L9" s="48">
        <f t="shared" si="4"/>
        <v>58696.612023616224</v>
      </c>
      <c r="M9" s="48">
        <f t="shared" si="4"/>
        <v>59233.686023632312</v>
      </c>
      <c r="N9" s="385">
        <f t="shared" si="4"/>
        <v>59775.674250748547</v>
      </c>
      <c r="O9" s="385">
        <f t="shared" si="4"/>
        <v>60322.621670142893</v>
      </c>
      <c r="P9" s="374"/>
      <c r="R9" t="s">
        <v>740</v>
      </c>
      <c r="X9" s="3">
        <v>16155</v>
      </c>
      <c r="Y9" s="18">
        <f t="shared" si="1"/>
        <v>0.14142271867777856</v>
      </c>
    </row>
    <row r="10" spans="1:25">
      <c r="C10" s="373"/>
      <c r="D10" t="s">
        <v>351</v>
      </c>
      <c r="E10" s="48">
        <v>16753</v>
      </c>
      <c r="F10" s="48">
        <f>E10+(4531/17)</f>
        <v>17019.529411764706</v>
      </c>
      <c r="G10" s="48">
        <f t="shared" ref="G10:O10" si="5">F10+(4531/17)</f>
        <v>17286.058823529413</v>
      </c>
      <c r="H10" s="48">
        <f t="shared" si="5"/>
        <v>17552.588235294119</v>
      </c>
      <c r="I10" s="48">
        <f t="shared" si="5"/>
        <v>17819.117647058825</v>
      </c>
      <c r="J10" s="48">
        <f t="shared" si="5"/>
        <v>18085.647058823532</v>
      </c>
      <c r="K10" s="48">
        <f t="shared" si="5"/>
        <v>18352.176470588238</v>
      </c>
      <c r="L10" s="48">
        <f t="shared" si="5"/>
        <v>18618.705882352944</v>
      </c>
      <c r="M10" s="48">
        <f t="shared" si="5"/>
        <v>18885.23529411765</v>
      </c>
      <c r="N10" s="385">
        <f t="shared" si="5"/>
        <v>19151.764705882357</v>
      </c>
      <c r="O10" s="385">
        <f t="shared" si="5"/>
        <v>19418.294117647063</v>
      </c>
      <c r="P10" s="374"/>
      <c r="R10" t="s">
        <v>741</v>
      </c>
      <c r="X10" s="3">
        <v>5410</v>
      </c>
      <c r="Y10" s="18">
        <f t="shared" si="1"/>
        <v>4.7359759086770779E-2</v>
      </c>
    </row>
    <row r="11" spans="1:25">
      <c r="C11" s="373"/>
      <c r="E11" s="435">
        <f t="shared" ref="E11:K11" si="6">SUM(E3:E10)</f>
        <v>201774</v>
      </c>
      <c r="F11" s="435">
        <f t="shared" si="6"/>
        <v>203984.42906176471</v>
      </c>
      <c r="G11" s="435">
        <f t="shared" si="6"/>
        <v>206274.46880532691</v>
      </c>
      <c r="H11" s="435">
        <f t="shared" si="6"/>
        <v>210174.16141842506</v>
      </c>
      <c r="I11" s="435">
        <f t="shared" si="6"/>
        <v>214203.5494748154</v>
      </c>
      <c r="J11" s="435">
        <f t="shared" si="6"/>
        <v>219952.67593780407</v>
      </c>
      <c r="K11" s="435">
        <f t="shared" si="6"/>
        <v>226426.58416381147</v>
      </c>
      <c r="L11" s="435">
        <f t="shared" ref="L11:N11" si="7">SUM(L3:L10)</f>
        <v>233155.31790596916</v>
      </c>
      <c r="M11" s="435">
        <f t="shared" si="7"/>
        <v>239928.92131774995</v>
      </c>
      <c r="N11" s="435">
        <f t="shared" si="7"/>
        <v>246995.50027322886</v>
      </c>
      <c r="O11" s="435">
        <f>SUM(O3:O10)</f>
        <v>254339.16290020436</v>
      </c>
      <c r="P11" s="374"/>
      <c r="X11" s="435">
        <f t="shared" ref="X11" si="8">SUM(X3:X10)</f>
        <v>114232</v>
      </c>
    </row>
    <row r="12" spans="1:25">
      <c r="C12" s="373"/>
      <c r="F12" s="433">
        <f t="shared" ref="F12:O12" si="9">F3/E3*$Y$3+F4/E4*$Y$4+F5/E5*$Y$5+F6/E6*$Y$6+F7/E7*$Y$7+F8/E8*$Y$8+F9/E9*$Y$9+F10/E10*$Y$10-1</f>
        <v>1.0690765488441611E-2</v>
      </c>
      <c r="G12" s="433">
        <f t="shared" si="9"/>
        <v>1.1827702486569613E-2</v>
      </c>
      <c r="H12" s="433">
        <f t="shared" si="9"/>
        <v>2.6565986157099264E-2</v>
      </c>
      <c r="I12" s="433">
        <f t="shared" si="9"/>
        <v>2.3450722703952209E-2</v>
      </c>
      <c r="J12" s="433">
        <f t="shared" si="9"/>
        <v>3.4544227553100271E-2</v>
      </c>
      <c r="K12" s="433">
        <f t="shared" si="9"/>
        <v>3.8595663272825931E-2</v>
      </c>
      <c r="L12" s="433">
        <f t="shared" si="9"/>
        <v>3.8356207224617966E-2</v>
      </c>
      <c r="M12" s="433">
        <f t="shared" si="9"/>
        <v>3.6544159887872185E-2</v>
      </c>
      <c r="N12" s="433">
        <f t="shared" si="9"/>
        <v>3.6973146252926803E-2</v>
      </c>
      <c r="O12" s="433">
        <f t="shared" si="9"/>
        <v>3.6963844419276359E-2</v>
      </c>
      <c r="P12" s="374"/>
    </row>
    <row r="13" spans="1:25">
      <c r="C13" s="373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4"/>
    </row>
    <row r="14" spans="1:25">
      <c r="C14" s="373"/>
      <c r="D14" t="s">
        <v>352</v>
      </c>
      <c r="E14" s="48">
        <v>46450</v>
      </c>
      <c r="F14" s="48">
        <v>47890</v>
      </c>
      <c r="G14" s="48">
        <v>48880</v>
      </c>
      <c r="H14" s="48">
        <v>49795</v>
      </c>
      <c r="I14" s="48">
        <v>50830</v>
      </c>
      <c r="J14" s="48">
        <v>52040</v>
      </c>
      <c r="K14" s="48">
        <v>53480</v>
      </c>
      <c r="L14" s="48">
        <v>54990</v>
      </c>
      <c r="M14" s="48">
        <v>56530</v>
      </c>
      <c r="N14" s="759">
        <f>M14*(1+Q29)</f>
        <v>58052.202885487051</v>
      </c>
      <c r="O14" s="759">
        <f>N14*(1+Q29)</f>
        <v>59615.394655187534</v>
      </c>
      <c r="P14" s="374"/>
      <c r="R14" t="s">
        <v>535</v>
      </c>
      <c r="X14" s="3">
        <v>45722</v>
      </c>
    </row>
    <row r="15" spans="1:25">
      <c r="C15" s="373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374"/>
    </row>
    <row r="16" spans="1:25">
      <c r="C16" s="373"/>
      <c r="D16" t="str">
        <f>'CDM-eDSM Framework'!B41</f>
        <v>Gravenhurst</v>
      </c>
      <c r="E16" s="48">
        <f>'CDM-eDSM Framework'!C41</f>
        <v>12311</v>
      </c>
      <c r="F16" s="48">
        <f>E16*1.012</f>
        <v>12458.732</v>
      </c>
      <c r="G16" s="48">
        <f t="shared" ref="G16:H16" si="10">F16*1.012</f>
        <v>12608.236784000001</v>
      </c>
      <c r="H16" s="48">
        <f t="shared" si="10"/>
        <v>12759.535625408002</v>
      </c>
      <c r="I16" s="48">
        <f>H16+911/10</f>
        <v>12850.635625408002</v>
      </c>
      <c r="J16" s="48">
        <f t="shared" ref="J16:O16" si="11">I16+911/10</f>
        <v>12941.735625408002</v>
      </c>
      <c r="K16" s="48">
        <f t="shared" si="11"/>
        <v>13032.835625408003</v>
      </c>
      <c r="L16" s="48">
        <f t="shared" si="11"/>
        <v>13123.935625408003</v>
      </c>
      <c r="M16" s="48">
        <f t="shared" si="11"/>
        <v>13215.035625408003</v>
      </c>
      <c r="N16" s="48">
        <f t="shared" si="11"/>
        <v>13306.135625408004</v>
      </c>
      <c r="O16" s="48">
        <f t="shared" si="11"/>
        <v>13397.235625408004</v>
      </c>
      <c r="P16" s="374"/>
    </row>
    <row r="17" spans="3:22" ht="15.75" thickBot="1">
      <c r="C17" s="378"/>
      <c r="D17" s="434"/>
      <c r="E17" s="43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79"/>
      <c r="U17" t="s">
        <v>499</v>
      </c>
    </row>
    <row r="18" spans="3:22">
      <c r="C18" s="394"/>
      <c r="D18" s="392"/>
      <c r="E18" s="432">
        <f>E2</f>
        <v>2021</v>
      </c>
      <c r="F18" s="432">
        <f>F2</f>
        <v>2022</v>
      </c>
      <c r="G18" s="432">
        <f t="shared" ref="G18:O18" si="12">G2</f>
        <v>2023</v>
      </c>
      <c r="H18" s="432">
        <f t="shared" si="12"/>
        <v>2024</v>
      </c>
      <c r="I18" s="432">
        <f t="shared" si="12"/>
        <v>2025</v>
      </c>
      <c r="J18" s="432">
        <f t="shared" si="12"/>
        <v>2026</v>
      </c>
      <c r="K18" s="432">
        <f t="shared" si="12"/>
        <v>2027</v>
      </c>
      <c r="L18" s="432">
        <f t="shared" si="12"/>
        <v>2028</v>
      </c>
      <c r="M18" s="432">
        <f t="shared" si="12"/>
        <v>2029</v>
      </c>
      <c r="N18" s="432">
        <f t="shared" si="12"/>
        <v>2030</v>
      </c>
      <c r="O18" s="432">
        <f t="shared" si="12"/>
        <v>2031</v>
      </c>
      <c r="P18" s="393"/>
      <c r="U18" s="37" t="s">
        <v>498</v>
      </c>
    </row>
    <row r="19" spans="3:22">
      <c r="C19" s="373"/>
      <c r="D19" t="str">
        <f>D3</f>
        <v>Ajax</v>
      </c>
      <c r="F19" s="377">
        <f>F3/E3-1</f>
        <v>5.6976449734109647E-3</v>
      </c>
      <c r="G19" s="377">
        <f t="shared" ref="G19:O19" si="13">G3/F3-1</f>
        <v>6.924335893239375E-3</v>
      </c>
      <c r="H19" s="377">
        <f>H3/G3-1</f>
        <v>8.2520630157538744E-3</v>
      </c>
      <c r="I19" s="377">
        <f t="shared" si="13"/>
        <v>1.7113095238095344E-2</v>
      </c>
      <c r="J19" s="377">
        <f t="shared" si="13"/>
        <v>3.8771031455742566E-2</v>
      </c>
      <c r="K19" s="377">
        <f t="shared" si="13"/>
        <v>5.4225352112676095E-2</v>
      </c>
      <c r="L19" s="377">
        <f t="shared" si="13"/>
        <v>5.767089735025599E-2</v>
      </c>
      <c r="M19" s="377">
        <f t="shared" si="13"/>
        <v>5.5789473684210611E-2</v>
      </c>
      <c r="N19" s="377">
        <f t="shared" si="13"/>
        <v>5.1587201976956099E-2</v>
      </c>
      <c r="O19" s="377">
        <f t="shared" si="13"/>
        <v>5.1587201976956099E-2</v>
      </c>
      <c r="P19" s="374"/>
      <c r="Q19" s="448" cm="1">
        <f t="array" ref="Q19">GEOMEAN(1+J19:M19)-1</f>
        <v>5.1587201976956099E-2</v>
      </c>
      <c r="U19" s="51"/>
    </row>
    <row r="20" spans="3:22">
      <c r="C20" s="373"/>
      <c r="D20" t="str">
        <f>D4</f>
        <v>Pickering</v>
      </c>
      <c r="F20" s="377">
        <f t="shared" ref="F20:O20" si="14">F4/E4-1</f>
        <v>1.3311396948848309E-2</v>
      </c>
      <c r="G20" s="377">
        <f t="shared" si="14"/>
        <v>1.7859778597785869E-2</v>
      </c>
      <c r="H20" s="377">
        <f t="shared" si="14"/>
        <v>6.7865429234338803E-2</v>
      </c>
      <c r="I20" s="377">
        <f t="shared" si="14"/>
        <v>4.1010320478001017E-2</v>
      </c>
      <c r="J20" s="377">
        <f t="shared" si="14"/>
        <v>5.0352204539525269E-2</v>
      </c>
      <c r="K20" s="377">
        <f t="shared" si="14"/>
        <v>4.7193243914555483E-2</v>
      </c>
      <c r="L20" s="377">
        <f t="shared" si="14"/>
        <v>4.2220113851992425E-2</v>
      </c>
      <c r="M20" s="377">
        <f>M4/L4-1</f>
        <v>3.7551206190259423E-2</v>
      </c>
      <c r="N20" s="377">
        <f t="shared" si="14"/>
        <v>4.4317830744353248E-2</v>
      </c>
      <c r="O20" s="377">
        <f t="shared" si="14"/>
        <v>4.4317830744353248E-2</v>
      </c>
      <c r="P20" s="374"/>
      <c r="Q20" s="448" cm="1">
        <f t="array" ref="Q20">GEOMEAN(1+J20:M20)-1</f>
        <v>4.4317830744353248E-2</v>
      </c>
      <c r="U20" s="37" t="s">
        <v>535</v>
      </c>
    </row>
    <row r="21" spans="3:22">
      <c r="C21" s="373"/>
      <c r="D21" t="str">
        <f>D5</f>
        <v>Uxbridge</v>
      </c>
      <c r="F21" s="377">
        <f t="shared" ref="F21:O21" si="15">F5/E5-1</f>
        <v>1.8703241895261513E-3</v>
      </c>
      <c r="G21" s="377">
        <f t="shared" si="15"/>
        <v>8.0896079651524566E-3</v>
      </c>
      <c r="H21" s="377">
        <f t="shared" si="15"/>
        <v>8.0246913580246382E-3</v>
      </c>
      <c r="I21" s="377">
        <f t="shared" si="15"/>
        <v>4.2865890998162737E-3</v>
      </c>
      <c r="J21" s="377">
        <f t="shared" si="15"/>
        <v>4.8780487804878092E-3</v>
      </c>
      <c r="K21" s="377">
        <f t="shared" si="15"/>
        <v>3.6407766990291801E-3</v>
      </c>
      <c r="L21" s="377">
        <f t="shared" si="15"/>
        <v>3.6275695284160303E-3</v>
      </c>
      <c r="M21" s="377">
        <f t="shared" si="15"/>
        <v>3.6144578313253017E-3</v>
      </c>
      <c r="N21" s="377">
        <f t="shared" si="15"/>
        <v>3.9400672133143022E-3</v>
      </c>
      <c r="O21" s="377">
        <f t="shared" si="15"/>
        <v>3.9400672133143022E-3</v>
      </c>
      <c r="P21" s="374"/>
      <c r="Q21" s="448" cm="1">
        <f t="array" ref="Q21">GEOMEAN(1+J21:M21)-1</f>
        <v>3.9400672133143022E-3</v>
      </c>
    </row>
    <row r="22" spans="3:22">
      <c r="C22" s="373"/>
      <c r="D22" t="str">
        <f t="shared" ref="D22:D24" si="16">D6</f>
        <v>Clarington</v>
      </c>
      <c r="F22" s="377">
        <f t="shared" ref="F22:F24" si="17">F6/E6-1</f>
        <v>1.9877675840978659E-2</v>
      </c>
      <c r="G22" s="377">
        <f t="shared" ref="G22:G24" si="18">G6/F6-1</f>
        <v>1.4856208259506509E-2</v>
      </c>
      <c r="H22" s="377">
        <f t="shared" ref="H22:H24" si="19">H6/G6-1</f>
        <v>9.266720386784888E-3</v>
      </c>
      <c r="I22" s="377">
        <f t="shared" ref="I22:I24" si="20">I6/H6-1</f>
        <v>2.3286759813705871E-2</v>
      </c>
      <c r="J22" s="377">
        <f t="shared" ref="J22:J24" si="21">J6/I6-1</f>
        <v>3.1469440832249784E-2</v>
      </c>
      <c r="K22" s="377">
        <f t="shared" ref="K22:K24" si="22">K6/J6-1</f>
        <v>3.1517902168431755E-2</v>
      </c>
      <c r="L22" s="377">
        <f t="shared" ref="L22:L24" si="23">L6/K6-1</f>
        <v>3.2510388658029798E-2</v>
      </c>
      <c r="M22" s="377">
        <f t="shared" ref="M22:M24" si="24">M6/L6-1</f>
        <v>3.4327651515151603E-2</v>
      </c>
      <c r="N22" s="377">
        <f t="shared" ref="N22:N24" si="25">N6/M6-1</f>
        <v>3.245569730461928E-2</v>
      </c>
      <c r="O22" s="377">
        <f t="shared" ref="O22:O24" si="26">O6/N6-1</f>
        <v>3.245569730461928E-2</v>
      </c>
      <c r="P22" s="374"/>
      <c r="Q22" s="448" cm="1">
        <f t="array" ref="Q22">GEOMEAN(1+J22:M22)-1</f>
        <v>3.245569730461928E-2</v>
      </c>
      <c r="U22" t="s">
        <v>84</v>
      </c>
      <c r="V22" t="s">
        <v>500</v>
      </c>
    </row>
    <row r="23" spans="3:22">
      <c r="C23" s="373"/>
      <c r="D23" t="str">
        <f t="shared" si="16"/>
        <v>Scucog</v>
      </c>
      <c r="F23" s="377">
        <f t="shared" si="17"/>
        <v>3.6363636363636598E-3</v>
      </c>
      <c r="G23" s="377">
        <f t="shared" si="18"/>
        <v>1.2077294685990392E-3</v>
      </c>
      <c r="H23" s="377">
        <f t="shared" si="19"/>
        <v>3.6188178528346882E-3</v>
      </c>
      <c r="I23" s="377">
        <f t="shared" si="20"/>
        <v>1.2019230769230838E-2</v>
      </c>
      <c r="J23" s="377">
        <f t="shared" si="21"/>
        <v>1.6627078384798155E-2</v>
      </c>
      <c r="K23" s="377">
        <f t="shared" si="22"/>
        <v>1.6355140186915973E-2</v>
      </c>
      <c r="L23" s="377">
        <f t="shared" si="23"/>
        <v>1.7241379310344751E-2</v>
      </c>
      <c r="M23" s="377">
        <f t="shared" si="24"/>
        <v>1.5819209039547921E-2</v>
      </c>
      <c r="N23" s="377">
        <f t="shared" si="25"/>
        <v>1.6510572642064236E-2</v>
      </c>
      <c r="O23" s="377">
        <f t="shared" si="26"/>
        <v>1.6510572642064236E-2</v>
      </c>
      <c r="P23" s="374"/>
      <c r="Q23" s="448" cm="1">
        <f t="array" ref="Q23">GEOMEAN(1+J23:M23)-1</f>
        <v>1.6510572642064236E-2</v>
      </c>
      <c r="V23" t="s">
        <v>501</v>
      </c>
    </row>
    <row r="24" spans="3:22">
      <c r="C24" s="373"/>
      <c r="D24" t="str">
        <f t="shared" si="16"/>
        <v>Brock</v>
      </c>
      <c r="F24" s="377">
        <f t="shared" si="17"/>
        <v>2.0876826722338038E-3</v>
      </c>
      <c r="G24" s="377">
        <f t="shared" si="18"/>
        <v>3.1250000000000444E-3</v>
      </c>
      <c r="H24" s="377">
        <f t="shared" si="19"/>
        <v>2.0768431983384517E-3</v>
      </c>
      <c r="I24" s="377">
        <f t="shared" si="20"/>
        <v>7.2538860103625868E-3</v>
      </c>
      <c r="J24" s="377">
        <f t="shared" si="21"/>
        <v>1.0288065843621297E-2</v>
      </c>
      <c r="K24" s="377">
        <f t="shared" si="22"/>
        <v>1.0183299389002087E-2</v>
      </c>
      <c r="L24" s="377">
        <f t="shared" si="23"/>
        <v>1.0080645161290258E-2</v>
      </c>
      <c r="M24" s="377">
        <f t="shared" si="24"/>
        <v>9.9800399201597223E-3</v>
      </c>
      <c r="N24" s="377">
        <f t="shared" si="25"/>
        <v>1.0133006055469851E-2</v>
      </c>
      <c r="O24" s="377">
        <f t="shared" si="26"/>
        <v>1.0133006055469851E-2</v>
      </c>
      <c r="P24" s="374"/>
      <c r="Q24" s="448" cm="1">
        <f t="array" ref="Q24">GEOMEAN(1+J24:M24)-1</f>
        <v>1.0133006055469851E-2</v>
      </c>
      <c r="V24" t="s">
        <v>541</v>
      </c>
    </row>
    <row r="25" spans="3:22">
      <c r="C25" s="373"/>
      <c r="D25" t="str">
        <f>D9</f>
        <v>Belleville</v>
      </c>
      <c r="F25" s="377">
        <f t="shared" ref="F25:O25" si="27">F9/E9-1</f>
        <v>9.1499999999999915E-3</v>
      </c>
      <c r="G25" s="377">
        <f t="shared" si="27"/>
        <v>9.1499999999999915E-3</v>
      </c>
      <c r="H25" s="377">
        <f t="shared" si="27"/>
        <v>9.1499999999999915E-3</v>
      </c>
      <c r="I25" s="377">
        <f t="shared" si="27"/>
        <v>9.1499999999999915E-3</v>
      </c>
      <c r="J25" s="377">
        <f t="shared" si="27"/>
        <v>9.1499999999999915E-3</v>
      </c>
      <c r="K25" s="377">
        <f t="shared" si="27"/>
        <v>9.1499999999999915E-3</v>
      </c>
      <c r="L25" s="377">
        <f t="shared" si="27"/>
        <v>9.1499999999999915E-3</v>
      </c>
      <c r="M25" s="377">
        <f t="shared" si="27"/>
        <v>9.1499999999999915E-3</v>
      </c>
      <c r="N25" s="377">
        <f t="shared" si="27"/>
        <v>9.1499999999999915E-3</v>
      </c>
      <c r="O25" s="377">
        <f t="shared" si="27"/>
        <v>9.1499999999999915E-3</v>
      </c>
      <c r="P25" s="374"/>
      <c r="Q25" s="448" cm="1">
        <f t="array" ref="Q25">GEOMEAN(1+J25:M25)-1</f>
        <v>9.1499999999999915E-3</v>
      </c>
    </row>
    <row r="26" spans="3:22">
      <c r="C26" s="373"/>
      <c r="D26" t="str">
        <f>D10</f>
        <v>Port Hope</v>
      </c>
      <c r="F26" s="377">
        <f t="shared" ref="F26:O26" si="28">F10/E10-1</f>
        <v>1.5909354250862817E-2</v>
      </c>
      <c r="G26" s="377">
        <f t="shared" si="28"/>
        <v>1.5660210415716191E-2</v>
      </c>
      <c r="H26" s="377">
        <f t="shared" si="28"/>
        <v>1.5418749553363309E-2</v>
      </c>
      <c r="I26" s="377">
        <f>I10/H10-1</f>
        <v>1.5184621674698473E-2</v>
      </c>
      <c r="J26" s="377">
        <f t="shared" si="28"/>
        <v>1.49574977304614E-2</v>
      </c>
      <c r="K26" s="377">
        <f t="shared" si="28"/>
        <v>1.4737068068276349E-2</v>
      </c>
      <c r="L26" s="377">
        <f t="shared" si="28"/>
        <v>1.4523041024145256E-2</v>
      </c>
      <c r="M26" s="377">
        <f t="shared" si="28"/>
        <v>1.4315141634914985E-2</v>
      </c>
      <c r="N26" s="377">
        <f t="shared" si="28"/>
        <v>1.4113110459774036E-2</v>
      </c>
      <c r="O26" s="377">
        <f t="shared" si="28"/>
        <v>1.3916702500153644E-2</v>
      </c>
      <c r="P26" s="374"/>
      <c r="Q26" s="448" cm="1">
        <f t="array" ref="Q26">GEOMEAN(1+J26:M26)-1</f>
        <v>1.4633158871164786E-2</v>
      </c>
    </row>
    <row r="27" spans="3:22">
      <c r="C27" s="373"/>
      <c r="D27" s="431" t="s">
        <v>662</v>
      </c>
      <c r="E27" s="431"/>
      <c r="F27" s="529">
        <f t="shared" ref="F27:O27" si="29">F19*$Y$3+F20*$Y$4+F21*$Y$5+F22*$Y$6+F23*$Y$7+F24*$Y$8+F25*$Y$9+F26*$Y$10</f>
        <v>1.0690765488441764E-2</v>
      </c>
      <c r="G27" s="529">
        <f t="shared" si="29"/>
        <v>1.1827702486569664E-2</v>
      </c>
      <c r="H27" s="529">
        <f t="shared" si="29"/>
        <v>2.6565986157099104E-2</v>
      </c>
      <c r="I27" s="758">
        <f t="shared" si="29"/>
        <v>2.3450722703952282E-2</v>
      </c>
      <c r="J27" s="758">
        <f t="shared" si="29"/>
        <v>3.4544227553100527E-2</v>
      </c>
      <c r="K27" s="758">
        <f t="shared" si="29"/>
        <v>3.8595663272825771E-2</v>
      </c>
      <c r="L27" s="758">
        <f t="shared" si="29"/>
        <v>3.835620722461805E-2</v>
      </c>
      <c r="M27" s="758">
        <f t="shared" si="29"/>
        <v>3.6544159887872137E-2</v>
      </c>
      <c r="N27" s="758">
        <f t="shared" si="29"/>
        <v>3.6973146252926803E-2</v>
      </c>
      <c r="O27" s="758">
        <f t="shared" si="29"/>
        <v>3.6963844419276456E-2</v>
      </c>
      <c r="P27" s="374"/>
      <c r="R27" s="448"/>
      <c r="U27" t="s">
        <v>356</v>
      </c>
      <c r="V27" t="s">
        <v>502</v>
      </c>
    </row>
    <row r="28" spans="3:22">
      <c r="C28" s="37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374"/>
      <c r="R28" s="448"/>
      <c r="V28" t="s">
        <v>508</v>
      </c>
    </row>
    <row r="29" spans="3:22">
      <c r="C29" s="373"/>
      <c r="D29" t="str">
        <f>D14</f>
        <v>Whitby</v>
      </c>
      <c r="F29" s="377">
        <f t="shared" ref="F29:O29" si="30">F14/E14-1</f>
        <v>3.1001076426264706E-2</v>
      </c>
      <c r="G29" s="377">
        <f t="shared" si="30"/>
        <v>2.0672374190854104E-2</v>
      </c>
      <c r="H29" s="377">
        <f t="shared" si="30"/>
        <v>1.8719312602291316E-2</v>
      </c>
      <c r="I29" s="377">
        <f t="shared" si="30"/>
        <v>2.0785219399538146E-2</v>
      </c>
      <c r="J29" s="377">
        <f t="shared" si="30"/>
        <v>2.3804839661617061E-2</v>
      </c>
      <c r="K29" s="377">
        <f t="shared" si="30"/>
        <v>2.7671022290545633E-2</v>
      </c>
      <c r="L29" s="377">
        <f t="shared" si="30"/>
        <v>2.8234854151084621E-2</v>
      </c>
      <c r="M29" s="377">
        <f t="shared" si="30"/>
        <v>2.8005091834879092E-2</v>
      </c>
      <c r="N29" s="377">
        <f t="shared" si="30"/>
        <v>2.6927346284929321E-2</v>
      </c>
      <c r="O29" s="377">
        <f t="shared" si="30"/>
        <v>2.6927346284929321E-2</v>
      </c>
      <c r="P29" s="374"/>
      <c r="Q29" s="448" cm="1">
        <f t="array" ref="Q29">GEOMEAN(1+J29:M29)-1</f>
        <v>2.6927346284929321E-2</v>
      </c>
      <c r="V29" t="s">
        <v>503</v>
      </c>
    </row>
    <row r="30" spans="3:22">
      <c r="C30" s="373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374"/>
      <c r="Q30" s="448"/>
    </row>
    <row r="31" spans="3:22">
      <c r="C31" s="373"/>
      <c r="D31" t="str">
        <f>D16</f>
        <v>Gravenhurst</v>
      </c>
      <c r="F31" s="377">
        <f t="shared" ref="F31:O31" si="31">F16/E16-1</f>
        <v>1.2000000000000011E-2</v>
      </c>
      <c r="G31" s="377">
        <f t="shared" si="31"/>
        <v>1.2000000000000011E-2</v>
      </c>
      <c r="H31" s="377">
        <f t="shared" si="31"/>
        <v>1.2000000000000011E-2</v>
      </c>
      <c r="I31" s="377">
        <f t="shared" si="31"/>
        <v>7.1397582697754203E-3</v>
      </c>
      <c r="J31" s="377">
        <f t="shared" si="31"/>
        <v>7.0891434988538116E-3</v>
      </c>
      <c r="K31" s="377">
        <f t="shared" si="31"/>
        <v>7.0392413071047599E-3</v>
      </c>
      <c r="L31" s="377">
        <f t="shared" si="31"/>
        <v>6.9900367516642081E-3</v>
      </c>
      <c r="M31" s="377">
        <f t="shared" si="31"/>
        <v>6.9415153045730982E-3</v>
      </c>
      <c r="N31" s="377">
        <f t="shared" si="31"/>
        <v>6.8936628384752563E-3</v>
      </c>
      <c r="O31" s="377">
        <f t="shared" si="31"/>
        <v>6.8464656129045842E-3</v>
      </c>
      <c r="P31" s="374"/>
      <c r="Q31" s="448" cm="1">
        <f t="array" ref="Q31">GEOMEAN(1+J31:M31)-1</f>
        <v>7.0149827125851605E-3</v>
      </c>
      <c r="U31" t="s">
        <v>351</v>
      </c>
      <c r="V31" t="s">
        <v>504</v>
      </c>
    </row>
    <row r="32" spans="3:22" ht="15.75" thickBot="1">
      <c r="C32" s="378"/>
      <c r="D32" s="434"/>
      <c r="E32" s="434"/>
      <c r="F32" s="434"/>
      <c r="G32" s="434"/>
      <c r="H32" s="434"/>
      <c r="I32" s="434"/>
      <c r="J32" s="434"/>
      <c r="K32" s="434"/>
      <c r="L32" s="434"/>
      <c r="M32" s="434"/>
      <c r="N32" s="434"/>
      <c r="O32" s="434"/>
      <c r="P32" s="379"/>
      <c r="V32" t="s">
        <v>505</v>
      </c>
    </row>
    <row r="33" spans="2:13" ht="15.75" thickBot="1"/>
    <row r="34" spans="2:13">
      <c r="B34" s="394"/>
      <c r="C34" s="754" t="s">
        <v>660</v>
      </c>
      <c r="D34" s="754"/>
      <c r="E34" s="754"/>
      <c r="F34" s="754"/>
      <c r="G34" s="754"/>
      <c r="H34" s="393"/>
    </row>
    <row r="35" spans="2:13">
      <c r="B35" s="373"/>
      <c r="C35" s="48" t="s">
        <v>742</v>
      </c>
      <c r="H35" s="374"/>
    </row>
    <row r="36" spans="2:13">
      <c r="B36" s="373"/>
      <c r="C36" s="755" t="s">
        <v>661</v>
      </c>
      <c r="H36" s="374"/>
    </row>
    <row r="37" spans="2:13">
      <c r="B37" s="373"/>
      <c r="H37" s="374"/>
      <c r="J37" s="3"/>
      <c r="L37" s="3"/>
    </row>
    <row r="38" spans="2:13">
      <c r="B38" s="373"/>
      <c r="F38" s="47" t="s">
        <v>674</v>
      </c>
      <c r="G38" t="s">
        <v>675</v>
      </c>
      <c r="H38" s="374"/>
      <c r="J38" s="3"/>
      <c r="L38" s="3"/>
    </row>
    <row r="39" spans="2:13">
      <c r="B39" s="373"/>
      <c r="C39">
        <v>2023</v>
      </c>
      <c r="D39">
        <v>2</v>
      </c>
      <c r="E39" t="s">
        <v>659</v>
      </c>
      <c r="F39" s="756">
        <v>766855</v>
      </c>
      <c r="H39" s="374"/>
      <c r="J39" s="3"/>
      <c r="L39" s="3"/>
    </row>
    <row r="40" spans="2:13">
      <c r="B40" s="373"/>
      <c r="C40">
        <v>2024</v>
      </c>
      <c r="D40">
        <v>2</v>
      </c>
      <c r="E40" t="s">
        <v>659</v>
      </c>
      <c r="F40" s="756">
        <v>792064</v>
      </c>
      <c r="H40" s="374"/>
      <c r="J40" s="3"/>
      <c r="L40" s="3"/>
    </row>
    <row r="41" spans="2:13">
      <c r="B41" s="373"/>
      <c r="C41">
        <v>2025</v>
      </c>
      <c r="D41">
        <v>2</v>
      </c>
      <c r="E41" t="s">
        <v>659</v>
      </c>
      <c r="F41" s="756">
        <v>809962</v>
      </c>
      <c r="G41" s="757">
        <f t="shared" ref="G41:G67" si="32">F41/F40</f>
        <v>1.0225966588558499</v>
      </c>
      <c r="H41" s="374"/>
      <c r="J41" s="3"/>
      <c r="L41" s="3"/>
    </row>
    <row r="42" spans="2:13">
      <c r="B42" s="373"/>
      <c r="C42">
        <v>2026</v>
      </c>
      <c r="D42">
        <v>2</v>
      </c>
      <c r="E42" t="s">
        <v>659</v>
      </c>
      <c r="F42" s="756">
        <v>823356</v>
      </c>
      <c r="G42" s="757">
        <f t="shared" si="32"/>
        <v>1.0165365782592271</v>
      </c>
      <c r="H42" s="374"/>
      <c r="J42" s="3"/>
      <c r="L42" s="3"/>
    </row>
    <row r="43" spans="2:13">
      <c r="B43" s="373"/>
      <c r="C43">
        <v>2027</v>
      </c>
      <c r="D43">
        <v>2</v>
      </c>
      <c r="E43" t="s">
        <v>659</v>
      </c>
      <c r="F43" s="756">
        <v>834117</v>
      </c>
      <c r="G43" s="757">
        <f t="shared" si="32"/>
        <v>1.0130696806727588</v>
      </c>
      <c r="H43" s="374"/>
      <c r="J43" s="3"/>
      <c r="K43" s="370"/>
    </row>
    <row r="44" spans="2:13">
      <c r="B44" s="373"/>
      <c r="C44">
        <v>2028</v>
      </c>
      <c r="D44">
        <v>2</v>
      </c>
      <c r="E44" t="s">
        <v>659</v>
      </c>
      <c r="F44" s="756">
        <v>843122</v>
      </c>
      <c r="G44" s="757">
        <f t="shared" si="32"/>
        <v>1.0107958475849312</v>
      </c>
      <c r="H44" s="374"/>
      <c r="J44" s="3"/>
      <c r="K44" s="370"/>
    </row>
    <row r="45" spans="2:13">
      <c r="B45" s="373"/>
      <c r="C45">
        <v>2029</v>
      </c>
      <c r="D45">
        <v>2</v>
      </c>
      <c r="E45" t="s">
        <v>659</v>
      </c>
      <c r="F45" s="756">
        <v>853676</v>
      </c>
      <c r="G45" s="757">
        <f t="shared" si="32"/>
        <v>1.0125177613678684</v>
      </c>
      <c r="H45" s="374"/>
      <c r="J45" s="3"/>
      <c r="K45" s="370"/>
      <c r="L45" s="3"/>
      <c r="M45" s="370"/>
    </row>
    <row r="46" spans="2:13">
      <c r="B46" s="373"/>
      <c r="C46">
        <v>2030</v>
      </c>
      <c r="D46">
        <v>2</v>
      </c>
      <c r="E46" t="s">
        <v>659</v>
      </c>
      <c r="F46" s="756">
        <v>865114</v>
      </c>
      <c r="G46" s="757">
        <f t="shared" si="32"/>
        <v>1.0133985259044416</v>
      </c>
      <c r="H46" s="374"/>
      <c r="K46" s="370"/>
    </row>
    <row r="47" spans="2:13">
      <c r="B47" s="373"/>
      <c r="C47">
        <v>2031</v>
      </c>
      <c r="D47">
        <v>2</v>
      </c>
      <c r="E47" t="s">
        <v>659</v>
      </c>
      <c r="F47" s="756">
        <v>876560</v>
      </c>
      <c r="G47" s="757">
        <f t="shared" si="32"/>
        <v>1.0132306262527251</v>
      </c>
      <c r="H47" s="374"/>
      <c r="J47" s="3"/>
      <c r="K47" s="370"/>
    </row>
    <row r="48" spans="2:13">
      <c r="B48" s="373"/>
      <c r="C48">
        <v>2032</v>
      </c>
      <c r="D48">
        <v>2</v>
      </c>
      <c r="E48" t="s">
        <v>659</v>
      </c>
      <c r="F48" s="756">
        <v>887997</v>
      </c>
      <c r="G48" s="382">
        <f t="shared" si="32"/>
        <v>1.0130475951446565</v>
      </c>
      <c r="H48" s="374"/>
      <c r="J48" s="3"/>
    </row>
    <row r="49" spans="2:11">
      <c r="B49" s="373"/>
      <c r="C49">
        <v>2033</v>
      </c>
      <c r="D49">
        <v>2</v>
      </c>
      <c r="E49" t="s">
        <v>659</v>
      </c>
      <c r="F49" s="756">
        <v>899420</v>
      </c>
      <c r="G49" s="382">
        <f t="shared" si="32"/>
        <v>1.0128637821974624</v>
      </c>
      <c r="H49" s="374"/>
      <c r="J49" s="3"/>
    </row>
    <row r="50" spans="2:11">
      <c r="B50" s="373"/>
      <c r="C50">
        <v>2034</v>
      </c>
      <c r="D50">
        <v>2</v>
      </c>
      <c r="E50" t="s">
        <v>659</v>
      </c>
      <c r="F50" s="756">
        <v>910831</v>
      </c>
      <c r="G50" s="382">
        <f t="shared" si="32"/>
        <v>1.0126870649974429</v>
      </c>
      <c r="H50" s="374"/>
      <c r="J50" s="3"/>
    </row>
    <row r="51" spans="2:11">
      <c r="B51" s="373"/>
      <c r="C51">
        <v>2035</v>
      </c>
      <c r="D51">
        <v>2</v>
      </c>
      <c r="E51" t="s">
        <v>659</v>
      </c>
      <c r="F51" s="756">
        <v>922230</v>
      </c>
      <c r="G51" s="382">
        <f t="shared" si="32"/>
        <v>1.0125149451435009</v>
      </c>
      <c r="H51" s="374"/>
      <c r="J51" s="3"/>
    </row>
    <row r="52" spans="2:11">
      <c r="B52" s="373"/>
      <c r="C52">
        <v>2036</v>
      </c>
      <c r="D52">
        <v>2</v>
      </c>
      <c r="E52" t="s">
        <v>659</v>
      </c>
      <c r="F52" s="756">
        <v>933625</v>
      </c>
      <c r="G52" s="382">
        <f t="shared" si="32"/>
        <v>1.0123559198898322</v>
      </c>
      <c r="H52" s="374"/>
      <c r="J52" s="3"/>
      <c r="K52" s="18"/>
    </row>
    <row r="53" spans="2:11">
      <c r="B53" s="373"/>
      <c r="C53">
        <v>2037</v>
      </c>
      <c r="D53">
        <v>2</v>
      </c>
      <c r="E53" t="s">
        <v>659</v>
      </c>
      <c r="F53" s="756">
        <v>945025</v>
      </c>
      <c r="G53" s="382">
        <f t="shared" si="32"/>
        <v>1.0122104699424288</v>
      </c>
      <c r="H53" s="374"/>
      <c r="J53" s="3"/>
    </row>
    <row r="54" spans="2:11">
      <c r="B54" s="373"/>
      <c r="C54">
        <v>2038</v>
      </c>
      <c r="D54">
        <v>2</v>
      </c>
      <c r="E54" t="s">
        <v>659</v>
      </c>
      <c r="F54" s="756">
        <v>956441</v>
      </c>
      <c r="G54" s="382">
        <f t="shared" si="32"/>
        <v>1.0120801037009604</v>
      </c>
      <c r="H54" s="374"/>
      <c r="J54" s="3"/>
    </row>
    <row r="55" spans="2:11">
      <c r="B55" s="373"/>
      <c r="C55">
        <v>2039</v>
      </c>
      <c r="D55">
        <v>2</v>
      </c>
      <c r="E55" t="s">
        <v>659</v>
      </c>
      <c r="F55" s="756">
        <v>967883</v>
      </c>
      <c r="G55" s="382">
        <f t="shared" si="32"/>
        <v>1.0119631007035457</v>
      </c>
      <c r="H55" s="374"/>
      <c r="J55" s="3"/>
    </row>
    <row r="56" spans="2:11">
      <c r="B56" s="373"/>
      <c r="C56">
        <v>2040</v>
      </c>
      <c r="D56">
        <v>2</v>
      </c>
      <c r="E56" t="s">
        <v>659</v>
      </c>
      <c r="F56" s="756">
        <v>979357</v>
      </c>
      <c r="G56" s="382">
        <f t="shared" si="32"/>
        <v>1.0118547386409307</v>
      </c>
      <c r="H56" s="374"/>
      <c r="J56" s="3"/>
    </row>
    <row r="57" spans="2:11">
      <c r="B57" s="373"/>
      <c r="C57">
        <v>2041</v>
      </c>
      <c r="D57">
        <v>2</v>
      </c>
      <c r="E57" t="s">
        <v>659</v>
      </c>
      <c r="F57" s="756">
        <v>990874</v>
      </c>
      <c r="G57" s="382">
        <f t="shared" si="32"/>
        <v>1.0117597566566634</v>
      </c>
      <c r="H57" s="374"/>
      <c r="J57" s="3"/>
    </row>
    <row r="58" spans="2:11">
      <c r="B58" s="373"/>
      <c r="C58">
        <v>2042</v>
      </c>
      <c r="D58">
        <v>2</v>
      </c>
      <c r="E58" t="s">
        <v>659</v>
      </c>
      <c r="F58" s="756">
        <v>1002442</v>
      </c>
      <c r="G58" s="382">
        <f t="shared" si="32"/>
        <v>1.0116745418690973</v>
      </c>
      <c r="H58" s="374"/>
    </row>
    <row r="59" spans="2:11">
      <c r="B59" s="373"/>
      <c r="C59">
        <v>2043</v>
      </c>
      <c r="D59">
        <v>2</v>
      </c>
      <c r="E59" t="s">
        <v>659</v>
      </c>
      <c r="F59" s="756">
        <v>1014068</v>
      </c>
      <c r="G59" s="382">
        <f t="shared" si="32"/>
        <v>1.0115976784691783</v>
      </c>
      <c r="H59" s="374"/>
    </row>
    <row r="60" spans="2:11">
      <c r="B60" s="373"/>
      <c r="C60">
        <v>2044</v>
      </c>
      <c r="D60">
        <v>2</v>
      </c>
      <c r="E60" t="s">
        <v>659</v>
      </c>
      <c r="F60" s="756">
        <v>1025758</v>
      </c>
      <c r="G60" s="382">
        <f t="shared" si="32"/>
        <v>1.0115278265362875</v>
      </c>
      <c r="H60" s="374"/>
    </row>
    <row r="61" spans="2:11">
      <c r="B61" s="373"/>
      <c r="C61">
        <v>2045</v>
      </c>
      <c r="D61">
        <v>2</v>
      </c>
      <c r="E61" t="s">
        <v>659</v>
      </c>
      <c r="F61" s="756">
        <v>1037520</v>
      </c>
      <c r="G61" s="382">
        <f t="shared" si="32"/>
        <v>1.0114666422294538</v>
      </c>
      <c r="H61" s="374"/>
    </row>
    <row r="62" spans="2:11">
      <c r="B62" s="373"/>
      <c r="C62">
        <v>2046</v>
      </c>
      <c r="D62">
        <v>2</v>
      </c>
      <c r="E62" t="s">
        <v>659</v>
      </c>
      <c r="F62" s="756">
        <v>1049357</v>
      </c>
      <c r="G62" s="382">
        <f t="shared" si="32"/>
        <v>1.0114089366951962</v>
      </c>
      <c r="H62" s="374"/>
    </row>
    <row r="63" spans="2:11">
      <c r="B63" s="373"/>
      <c r="C63">
        <v>2047</v>
      </c>
      <c r="D63">
        <v>2</v>
      </c>
      <c r="E63" t="s">
        <v>659</v>
      </c>
      <c r="F63" s="756">
        <v>1061277</v>
      </c>
      <c r="G63" s="382">
        <f t="shared" si="32"/>
        <v>1.0113593371941103</v>
      </c>
      <c r="H63" s="374"/>
    </row>
    <row r="64" spans="2:11">
      <c r="B64" s="373"/>
      <c r="C64">
        <v>2048</v>
      </c>
      <c r="D64">
        <v>2</v>
      </c>
      <c r="E64" t="s">
        <v>659</v>
      </c>
      <c r="F64" s="756">
        <v>1073287</v>
      </c>
      <c r="G64" s="382">
        <f t="shared" si="32"/>
        <v>1.0113165554327475</v>
      </c>
      <c r="H64" s="374"/>
    </row>
    <row r="65" spans="2:13">
      <c r="B65" s="373"/>
      <c r="C65">
        <v>2049</v>
      </c>
      <c r="D65">
        <v>2</v>
      </c>
      <c r="E65" t="s">
        <v>659</v>
      </c>
      <c r="F65" s="756">
        <v>1085390</v>
      </c>
      <c r="G65" s="382">
        <f t="shared" si="32"/>
        <v>1.0112765737402949</v>
      </c>
      <c r="H65" s="374"/>
    </row>
    <row r="66" spans="2:13">
      <c r="B66" s="373"/>
      <c r="C66">
        <v>2050</v>
      </c>
      <c r="D66">
        <v>2</v>
      </c>
      <c r="E66" t="s">
        <v>659</v>
      </c>
      <c r="F66" s="756">
        <v>1097590</v>
      </c>
      <c r="G66" s="382">
        <f t="shared" si="32"/>
        <v>1.0112401993753397</v>
      </c>
      <c r="H66" s="374"/>
    </row>
    <row r="67" spans="2:13">
      <c r="B67" s="373"/>
      <c r="C67">
        <v>2051</v>
      </c>
      <c r="D67">
        <v>2</v>
      </c>
      <c r="E67" t="s">
        <v>659</v>
      </c>
      <c r="F67" s="756">
        <v>1109893</v>
      </c>
      <c r="G67" s="382">
        <f t="shared" si="32"/>
        <v>1.011209103581483</v>
      </c>
      <c r="H67" s="374"/>
    </row>
    <row r="68" spans="2:13" ht="15.75" thickBot="1">
      <c r="B68" s="378"/>
      <c r="C68" s="434"/>
      <c r="D68" s="434"/>
      <c r="E68" s="434"/>
      <c r="F68" s="434"/>
      <c r="G68" s="434"/>
      <c r="H68" s="379"/>
    </row>
    <row r="71" spans="2:13">
      <c r="I71" s="37"/>
    </row>
    <row r="73" spans="2:13">
      <c r="G73" s="532"/>
      <c r="H73" s="376"/>
      <c r="I73" s="376"/>
    </row>
    <row r="74" spans="2:13">
      <c r="G74" s="3"/>
      <c r="H74" s="3"/>
      <c r="I74" s="3"/>
      <c r="J74" s="370"/>
      <c r="K74" s="47"/>
      <c r="L74" s="47"/>
      <c r="M74" s="490"/>
    </row>
    <row r="75" spans="2:13">
      <c r="G75" s="3"/>
      <c r="H75" s="3"/>
      <c r="I75" s="3"/>
      <c r="J75" s="370"/>
      <c r="K75" s="47"/>
      <c r="L75" s="47"/>
      <c r="M75" s="490"/>
    </row>
    <row r="76" spans="2:13">
      <c r="G76" s="3"/>
      <c r="H76" s="3"/>
      <c r="I76" s="3"/>
      <c r="J76" s="370"/>
      <c r="K76" s="47"/>
      <c r="L76" s="47"/>
      <c r="M76" s="490"/>
    </row>
    <row r="77" spans="2:13">
      <c r="G77" s="3"/>
      <c r="H77" s="3"/>
      <c r="I77" s="3"/>
      <c r="J77" s="370"/>
      <c r="K77" s="47"/>
      <c r="L77" s="47"/>
      <c r="M77" s="490"/>
    </row>
    <row r="78" spans="2:13">
      <c r="G78" s="3"/>
      <c r="H78" s="3"/>
      <c r="I78" s="3"/>
      <c r="J78" s="370"/>
      <c r="K78" s="47"/>
      <c r="L78" s="47"/>
      <c r="M78" s="490"/>
    </row>
    <row r="79" spans="2:13">
      <c r="G79" s="3"/>
      <c r="H79" s="3"/>
      <c r="I79" s="3"/>
      <c r="J79" s="370"/>
      <c r="K79" s="47"/>
      <c r="L79" s="47"/>
      <c r="M79" s="490"/>
    </row>
    <row r="80" spans="2:13">
      <c r="G80" s="3"/>
      <c r="H80" s="3"/>
      <c r="I80" s="3"/>
      <c r="J80" s="370"/>
      <c r="K80" s="47"/>
      <c r="L80" s="47"/>
      <c r="M80" s="490"/>
    </row>
    <row r="81" spans="7:13">
      <c r="G81" s="530"/>
      <c r="H81" s="530"/>
      <c r="I81" s="530"/>
      <c r="J81" s="531"/>
      <c r="K81" s="530"/>
      <c r="L81" s="530"/>
      <c r="M81" s="533"/>
    </row>
    <row r="82" spans="7:13">
      <c r="G82" s="3"/>
    </row>
  </sheetData>
  <hyperlinks>
    <hyperlink ref="U18" r:id="rId1" xr:uid="{89264AED-6285-4469-99AE-5C438AF760A8}"/>
    <hyperlink ref="U20" r:id="rId2" xr:uid="{BFF6EC01-DB78-4C4F-9629-EF81C4E160C1}"/>
    <hyperlink ref="C36" r:id="rId3" xr:uid="{5548C907-87A4-4B64-82CE-2B154583DC8D}"/>
  </hyperlinks>
  <pageMargins left="0.7" right="0.7" top="0.75" bottom="0.75" header="0.3" footer="0.3"/>
  <ignoredErrors>
    <ignoredError sqref="E11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08BA-75F4-4519-97C1-58FA41307B32}">
  <sheetPr codeName="Sheet40"/>
  <dimension ref="A1:CI131"/>
  <sheetViews>
    <sheetView workbookViewId="0"/>
  </sheetViews>
  <sheetFormatPr defaultColWidth="8.5703125" defaultRowHeight="12.75"/>
  <cols>
    <col min="1" max="1" width="6.42578125" style="9" customWidth="1"/>
    <col min="2" max="2" width="5.42578125" style="9" bestFit="1" customWidth="1"/>
    <col min="3" max="3" width="10.5703125" style="9" bestFit="1" customWidth="1"/>
    <col min="4" max="5" width="10.42578125" style="9" customWidth="1"/>
    <col min="6" max="6" width="5.5703125" style="9" customWidth="1"/>
    <col min="7" max="7" width="10.5703125" style="9" bestFit="1" customWidth="1"/>
    <col min="8" max="8" width="9.85546875" style="9" bestFit="1" customWidth="1"/>
    <col min="9" max="9" width="8.42578125" style="9" customWidth="1"/>
    <col min="10" max="10" width="5.42578125" style="9" bestFit="1" customWidth="1"/>
    <col min="11" max="11" width="10.5703125" style="9" bestFit="1" customWidth="1"/>
    <col min="12" max="13" width="11.5703125" style="9" customWidth="1"/>
    <col min="14" max="14" width="16.42578125" style="9" customWidth="1"/>
    <col min="15" max="15" width="7" style="9" customWidth="1"/>
    <col min="16" max="17" width="9.5703125" style="9" customWidth="1"/>
    <col min="18" max="18" width="10.85546875" style="9" customWidth="1"/>
    <col min="19" max="21" width="7" style="9" customWidth="1"/>
    <col min="22" max="22" width="8.5703125" style="9" customWidth="1"/>
    <col min="23" max="23" width="10.42578125" style="9" customWidth="1"/>
    <col min="24" max="24" width="10" style="9" customWidth="1"/>
    <col min="25" max="25" width="7" style="9" customWidth="1"/>
    <col min="26" max="26" width="5.42578125" style="9" bestFit="1" customWidth="1"/>
    <col min="27" max="27" width="10.5703125" style="9" bestFit="1" customWidth="1"/>
    <col min="28" max="28" width="9.85546875" style="9" bestFit="1" customWidth="1"/>
    <col min="29" max="29" width="9.5703125" style="9" customWidth="1"/>
    <col min="30" max="30" width="11.42578125" style="9" customWidth="1"/>
    <col min="31" max="31" width="9.5703125" style="9" customWidth="1"/>
    <col min="32" max="32" width="5" style="9" bestFit="1" customWidth="1"/>
    <col min="33" max="34" width="9.5703125" style="9" customWidth="1"/>
    <col min="35" max="35" width="7.5703125" style="9" customWidth="1"/>
    <col min="36" max="36" width="5.42578125" style="9" bestFit="1" customWidth="1"/>
    <col min="37" max="37" width="10.5703125" style="9" bestFit="1" customWidth="1"/>
    <col min="38" max="38" width="8.85546875" style="9" bestFit="1" customWidth="1"/>
    <col min="39" max="39" width="8.5703125" style="9"/>
    <col min="40" max="40" width="8.85546875" style="9" bestFit="1" customWidth="1"/>
    <col min="41" max="41" width="7.85546875" style="9" customWidth="1"/>
    <col min="42" max="42" width="8.85546875" style="9" bestFit="1" customWidth="1"/>
    <col min="43" max="43" width="4.42578125" style="9" customWidth="1"/>
    <col min="44" max="44" width="3.5703125" style="9" customWidth="1"/>
    <col min="45" max="45" width="8.85546875" style="9" bestFit="1" customWidth="1"/>
    <col min="46" max="46" width="10" style="9" bestFit="1" customWidth="1"/>
    <col min="47" max="47" width="8.85546875" style="9" bestFit="1" customWidth="1"/>
    <col min="48" max="48" width="8.5703125" style="9"/>
    <col min="49" max="51" width="8.85546875" style="9" bestFit="1" customWidth="1"/>
    <col min="52" max="52" width="8.5703125" style="9"/>
    <col min="53" max="55" width="8.85546875" style="9" bestFit="1" customWidth="1"/>
    <col min="56" max="56" width="10" style="9" customWidth="1"/>
    <col min="57" max="57" width="9.85546875" style="9" customWidth="1"/>
    <col min="58" max="58" width="8.5703125" style="9"/>
    <col min="59" max="61" width="8.85546875" style="9" bestFit="1" customWidth="1"/>
    <col min="62" max="62" width="9.85546875" style="9" customWidth="1"/>
    <col min="63" max="63" width="10.42578125" style="9" customWidth="1"/>
    <col min="64" max="64" width="8.5703125" style="9"/>
    <col min="65" max="65" width="8.85546875" style="9" bestFit="1" customWidth="1"/>
    <col min="66" max="66" width="9.42578125" style="9" bestFit="1" customWidth="1"/>
    <col min="67" max="67" width="8.85546875" style="9" bestFit="1" customWidth="1"/>
    <col min="68" max="68" width="8.5703125" style="9"/>
    <col min="69" max="71" width="8.85546875" style="9" bestFit="1" customWidth="1"/>
    <col min="72" max="72" width="8.5703125" style="9"/>
    <col min="73" max="75" width="8.85546875" style="9" bestFit="1" customWidth="1"/>
    <col min="76" max="78" width="8.5703125" style="9"/>
    <col min="79" max="79" width="16.42578125" style="9" customWidth="1"/>
    <col min="80" max="80" width="11.42578125" style="9" bestFit="1" customWidth="1"/>
    <col min="81" max="81" width="10.42578125" style="9" bestFit="1" customWidth="1"/>
    <col min="82" max="82" width="11.42578125" style="9" bestFit="1" customWidth="1"/>
    <col min="83" max="84" width="11.42578125" style="9" customWidth="1"/>
    <col min="85" max="85" width="11.42578125" style="9" bestFit="1" customWidth="1"/>
    <col min="86" max="87" width="8.5703125" style="9"/>
    <col min="88" max="88" width="11.42578125" style="9" bestFit="1" customWidth="1"/>
    <col min="89" max="89" width="10.42578125" style="9" bestFit="1" customWidth="1"/>
    <col min="90" max="16384" width="8.5703125" style="9"/>
  </cols>
  <sheetData>
    <row r="1" spans="2:87" ht="14.85" customHeight="1">
      <c r="B1" s="898" t="s">
        <v>376</v>
      </c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  <c r="AK1" s="898"/>
      <c r="AL1" s="898"/>
      <c r="AM1" s="898"/>
      <c r="AN1" s="898"/>
      <c r="AO1" s="898"/>
      <c r="AP1" s="898"/>
      <c r="AQ1" s="579"/>
      <c r="AS1" s="898" t="s">
        <v>352</v>
      </c>
      <c r="AT1" s="898"/>
      <c r="AU1" s="898"/>
      <c r="AV1" s="898"/>
      <c r="AW1" s="898"/>
      <c r="AX1" s="898"/>
      <c r="AY1" s="898"/>
      <c r="AZ1" s="898"/>
      <c r="BA1" s="898"/>
      <c r="BB1" s="898"/>
      <c r="BC1" s="898"/>
      <c r="BD1" s="898"/>
      <c r="BE1" s="898"/>
      <c r="BF1" s="898"/>
      <c r="BG1" s="898"/>
      <c r="BH1" s="898"/>
      <c r="BI1" s="898"/>
      <c r="BJ1" s="898"/>
      <c r="BK1" s="898"/>
      <c r="BL1" s="898"/>
      <c r="BM1" s="898"/>
      <c r="BN1" s="898"/>
      <c r="BO1" s="898"/>
      <c r="BP1" s="898"/>
      <c r="BQ1" s="898"/>
      <c r="BR1" s="898"/>
      <c r="BS1" s="898"/>
      <c r="BT1" s="898"/>
      <c r="BU1" s="898"/>
      <c r="BV1" s="898"/>
      <c r="BW1" s="898"/>
    </row>
    <row r="2" spans="2:87" ht="13.35" customHeight="1">
      <c r="B2" s="897" t="s">
        <v>63</v>
      </c>
      <c r="C2" s="897"/>
      <c r="D2" s="896" t="s">
        <v>379</v>
      </c>
      <c r="E2" s="577"/>
      <c r="F2" s="897" t="s">
        <v>385</v>
      </c>
      <c r="G2" s="897"/>
      <c r="H2" s="896" t="s">
        <v>379</v>
      </c>
      <c r="I2" s="577"/>
      <c r="J2" s="897" t="s">
        <v>170</v>
      </c>
      <c r="K2" s="897"/>
      <c r="L2" s="896" t="s">
        <v>379</v>
      </c>
      <c r="M2" s="577"/>
      <c r="N2" s="897" t="s">
        <v>365</v>
      </c>
      <c r="O2" s="897"/>
      <c r="P2" s="896" t="s">
        <v>379</v>
      </c>
      <c r="Q2" s="585" t="s">
        <v>668</v>
      </c>
      <c r="R2" s="585" t="s">
        <v>65</v>
      </c>
      <c r="S2" s="577"/>
      <c r="T2" s="897" t="s">
        <v>366</v>
      </c>
      <c r="U2" s="897"/>
      <c r="V2" s="896" t="s">
        <v>379</v>
      </c>
      <c r="W2" s="585" t="s">
        <v>668</v>
      </c>
      <c r="X2" s="585" t="s">
        <v>65</v>
      </c>
      <c r="Y2" s="577"/>
      <c r="Z2" s="897" t="s">
        <v>206</v>
      </c>
      <c r="AA2" s="897"/>
      <c r="AB2" s="896" t="s">
        <v>379</v>
      </c>
      <c r="AC2" s="585" t="s">
        <v>668</v>
      </c>
      <c r="AD2" s="585" t="s">
        <v>65</v>
      </c>
      <c r="AF2" s="897" t="s">
        <v>380</v>
      </c>
      <c r="AG2" s="897"/>
      <c r="AH2" s="896" t="s">
        <v>379</v>
      </c>
      <c r="AI2" s="577"/>
      <c r="AJ2" s="897" t="s">
        <v>389</v>
      </c>
      <c r="AK2" s="897"/>
      <c r="AL2" s="896" t="s">
        <v>379</v>
      </c>
      <c r="AM2" s="577"/>
      <c r="AN2" s="897" t="s">
        <v>64</v>
      </c>
      <c r="AO2" s="897"/>
      <c r="AP2" s="896" t="s">
        <v>379</v>
      </c>
      <c r="AQ2" s="579"/>
      <c r="AS2" s="897" t="s">
        <v>63</v>
      </c>
      <c r="AT2" s="897"/>
      <c r="AU2" s="896" t="s">
        <v>379</v>
      </c>
      <c r="AV2" s="577"/>
      <c r="AW2" s="897" t="s">
        <v>170</v>
      </c>
      <c r="AX2" s="897"/>
      <c r="AY2" s="896" t="s">
        <v>379</v>
      </c>
      <c r="AZ2" s="577"/>
      <c r="BA2" s="897" t="s">
        <v>365</v>
      </c>
      <c r="BB2" s="897"/>
      <c r="BC2" s="896" t="s">
        <v>379</v>
      </c>
      <c r="BD2" s="585" t="s">
        <v>668</v>
      </c>
      <c r="BE2" s="585" t="s">
        <v>65</v>
      </c>
      <c r="BF2" s="577"/>
      <c r="BG2" s="897" t="s">
        <v>366</v>
      </c>
      <c r="BH2" s="897"/>
      <c r="BI2" s="896" t="s">
        <v>379</v>
      </c>
      <c r="BJ2" s="585" t="s">
        <v>668</v>
      </c>
      <c r="BK2" s="585" t="s">
        <v>65</v>
      </c>
      <c r="BL2" s="577"/>
      <c r="BM2" s="897" t="s">
        <v>380</v>
      </c>
      <c r="BN2" s="897"/>
      <c r="BO2" s="896" t="s">
        <v>379</v>
      </c>
      <c r="BP2" s="577"/>
      <c r="BQ2" s="897" t="s">
        <v>389</v>
      </c>
      <c r="BR2" s="897"/>
      <c r="BS2" s="896" t="s">
        <v>379</v>
      </c>
      <c r="BU2" s="897" t="s">
        <v>64</v>
      </c>
      <c r="BV2" s="897"/>
      <c r="BW2" s="896" t="s">
        <v>379</v>
      </c>
    </row>
    <row r="3" spans="2:87" ht="27.6" customHeight="1">
      <c r="B3" s="573" t="s">
        <v>35</v>
      </c>
      <c r="C3" s="573" t="s">
        <v>381</v>
      </c>
      <c r="D3" s="896"/>
      <c r="E3" s="577"/>
      <c r="F3" s="573" t="s">
        <v>35</v>
      </c>
      <c r="G3" s="573" t="s">
        <v>381</v>
      </c>
      <c r="H3" s="896"/>
      <c r="I3" s="577"/>
      <c r="J3" s="573" t="s">
        <v>35</v>
      </c>
      <c r="K3" s="573" t="s">
        <v>381</v>
      </c>
      <c r="L3" s="896"/>
      <c r="M3" s="577"/>
      <c r="N3" s="573" t="s">
        <v>35</v>
      </c>
      <c r="O3" s="573" t="s">
        <v>381</v>
      </c>
      <c r="P3" s="896"/>
      <c r="Q3" s="585" t="s">
        <v>669</v>
      </c>
      <c r="R3" s="585" t="s">
        <v>381</v>
      </c>
      <c r="S3" s="577"/>
      <c r="T3" s="573" t="s">
        <v>35</v>
      </c>
      <c r="U3" s="573" t="s">
        <v>381</v>
      </c>
      <c r="V3" s="896"/>
      <c r="W3" s="585" t="s">
        <v>669</v>
      </c>
      <c r="X3" s="585" t="s">
        <v>381</v>
      </c>
      <c r="Y3" s="577"/>
      <c r="Z3" s="573" t="s">
        <v>35</v>
      </c>
      <c r="AA3" s="573" t="s">
        <v>382</v>
      </c>
      <c r="AB3" s="896"/>
      <c r="AC3" s="585" t="s">
        <v>669</v>
      </c>
      <c r="AD3" s="585" t="s">
        <v>381</v>
      </c>
      <c r="AF3" s="573" t="s">
        <v>35</v>
      </c>
      <c r="AG3" s="573" t="s">
        <v>382</v>
      </c>
      <c r="AH3" s="896"/>
      <c r="AI3" s="577"/>
      <c r="AJ3" s="573" t="s">
        <v>35</v>
      </c>
      <c r="AK3" s="573" t="s">
        <v>382</v>
      </c>
      <c r="AL3" s="896"/>
      <c r="AM3" s="577"/>
      <c r="AN3" s="573" t="s">
        <v>35</v>
      </c>
      <c r="AO3" s="573" t="s">
        <v>382</v>
      </c>
      <c r="AP3" s="896"/>
      <c r="AQ3" s="579"/>
      <c r="AS3" s="573" t="s">
        <v>35</v>
      </c>
      <c r="AT3" s="573" t="s">
        <v>381</v>
      </c>
      <c r="AU3" s="896"/>
      <c r="AV3" s="577"/>
      <c r="AW3" s="573" t="s">
        <v>35</v>
      </c>
      <c r="AX3" s="573" t="s">
        <v>381</v>
      </c>
      <c r="AY3" s="896"/>
      <c r="AZ3" s="577"/>
      <c r="BA3" s="573" t="s">
        <v>35</v>
      </c>
      <c r="BB3" s="573" t="s">
        <v>381</v>
      </c>
      <c r="BC3" s="896"/>
      <c r="BD3" s="585" t="s">
        <v>669</v>
      </c>
      <c r="BE3" s="585" t="s">
        <v>381</v>
      </c>
      <c r="BF3" s="577"/>
      <c r="BG3" s="573" t="s">
        <v>35</v>
      </c>
      <c r="BH3" s="573" t="s">
        <v>381</v>
      </c>
      <c r="BI3" s="896"/>
      <c r="BJ3" s="585" t="s">
        <v>669</v>
      </c>
      <c r="BK3" s="585" t="s">
        <v>381</v>
      </c>
      <c r="BL3" s="577"/>
      <c r="BM3" s="573" t="s">
        <v>35</v>
      </c>
      <c r="BN3" s="573" t="s">
        <v>381</v>
      </c>
      <c r="BO3" s="896"/>
      <c r="BP3" s="577"/>
      <c r="BQ3" s="573" t="s">
        <v>35</v>
      </c>
      <c r="BR3" s="573" t="s">
        <v>382</v>
      </c>
      <c r="BS3" s="896"/>
      <c r="BU3" s="573" t="s">
        <v>35</v>
      </c>
      <c r="BV3" s="573" t="s">
        <v>382</v>
      </c>
      <c r="BW3" s="896"/>
    </row>
    <row r="4" spans="2:87" hidden="1">
      <c r="B4" s="577">
        <v>2014</v>
      </c>
      <c r="C4" s="574"/>
      <c r="D4" s="575"/>
      <c r="E4" s="583"/>
      <c r="F4" s="577">
        <f>B4</f>
        <v>2014</v>
      </c>
      <c r="G4" s="574"/>
      <c r="H4" s="575"/>
      <c r="I4" s="583"/>
      <c r="J4" s="577">
        <f>F4</f>
        <v>2014</v>
      </c>
      <c r="K4" s="574"/>
      <c r="L4" s="575"/>
      <c r="M4" s="583"/>
      <c r="N4" s="577">
        <f>J4</f>
        <v>2014</v>
      </c>
      <c r="O4" s="574"/>
      <c r="P4" s="575"/>
      <c r="Q4" s="575"/>
      <c r="R4" s="575"/>
      <c r="S4" s="583"/>
      <c r="T4" s="577">
        <f>N4</f>
        <v>2014</v>
      </c>
      <c r="U4" s="574"/>
      <c r="V4" s="575"/>
      <c r="W4" s="575"/>
      <c r="X4" s="575"/>
      <c r="Y4" s="583"/>
      <c r="Z4" s="577">
        <f>J4</f>
        <v>2014</v>
      </c>
      <c r="AA4" s="574"/>
      <c r="AB4" s="575"/>
      <c r="AC4" s="575"/>
      <c r="AD4" s="575"/>
      <c r="AF4" s="577">
        <f>N4</f>
        <v>2014</v>
      </c>
      <c r="AG4" s="574"/>
      <c r="AH4" s="575"/>
      <c r="AI4" s="583"/>
      <c r="AJ4" s="577">
        <f>Z4</f>
        <v>2014</v>
      </c>
      <c r="AK4" s="574"/>
      <c r="AL4" s="575"/>
      <c r="AM4" s="583"/>
      <c r="AN4" s="577">
        <f>AF4</f>
        <v>2014</v>
      </c>
      <c r="AO4" s="574"/>
      <c r="AP4" s="575"/>
      <c r="AQ4" s="579"/>
      <c r="AS4" s="577">
        <v>2014</v>
      </c>
      <c r="AT4" s="574"/>
      <c r="AU4" s="575"/>
      <c r="AV4" s="583"/>
      <c r="AW4" s="577">
        <f>AS4</f>
        <v>2014</v>
      </c>
      <c r="AX4" s="574"/>
      <c r="AY4" s="575"/>
      <c r="AZ4" s="583"/>
      <c r="BA4" s="577">
        <f>AW4</f>
        <v>2014</v>
      </c>
      <c r="BB4" s="574"/>
      <c r="BC4" s="575"/>
      <c r="BD4" s="575"/>
      <c r="BE4" s="575"/>
      <c r="BF4" s="583"/>
      <c r="BG4" s="577">
        <f>BA4</f>
        <v>2014</v>
      </c>
      <c r="BH4" s="574"/>
      <c r="BI4" s="575"/>
      <c r="BJ4" s="575"/>
      <c r="BK4" s="575"/>
      <c r="BL4" s="583"/>
      <c r="BM4" s="577">
        <f>BG4</f>
        <v>2014</v>
      </c>
      <c r="BN4" s="574"/>
      <c r="BO4" s="575"/>
      <c r="BP4" s="583"/>
      <c r="BQ4" s="577">
        <f>BA4</f>
        <v>2014</v>
      </c>
      <c r="BR4" s="574"/>
      <c r="BS4" s="575"/>
      <c r="BU4" s="577">
        <f>BG4</f>
        <v>2014</v>
      </c>
      <c r="BV4" s="574"/>
      <c r="BW4" s="575"/>
    </row>
    <row r="5" spans="2:87">
      <c r="B5" s="577">
        <f t="shared" ref="B5:B21" si="0">B4+1</f>
        <v>2015</v>
      </c>
      <c r="C5" s="574">
        <f>AVERAGEIFS('Monthly Data'!AT:AT,'Monthly Data'!$B:$B,$B5)</f>
        <v>107215.95833333336</v>
      </c>
      <c r="D5" s="575"/>
      <c r="E5" s="583"/>
      <c r="F5" s="577">
        <f t="shared" ref="F5:F14" si="1">F4+1</f>
        <v>2015</v>
      </c>
      <c r="G5" s="574">
        <f>AVERAGEIFS('Monthly Data'!AU:AU,'Monthly Data'!$B:$B,$B5)</f>
        <v>1592.011639210438</v>
      </c>
      <c r="H5" s="575"/>
      <c r="I5" s="583"/>
      <c r="J5" s="577">
        <f t="shared" ref="J5:J14" si="2">J4+1</f>
        <v>2015</v>
      </c>
      <c r="K5" s="574">
        <f>AVERAGEIFS('Monthly Data'!AV:AV,'Monthly Data'!$B:$B,$B5)</f>
        <v>8892.9583333333303</v>
      </c>
      <c r="L5" s="575"/>
      <c r="M5" s="583"/>
      <c r="N5" s="577">
        <f t="shared" ref="N5:N14" si="3">N4+1</f>
        <v>2015</v>
      </c>
      <c r="O5" s="574">
        <f>AVERAGEIFS('Monthly Data'!AW:AW,'Monthly Data'!$B:$B,$B5)</f>
        <v>1053.75</v>
      </c>
      <c r="P5" s="575"/>
      <c r="Q5" s="575"/>
      <c r="R5" s="575"/>
      <c r="S5" s="583"/>
      <c r="T5" s="577">
        <f t="shared" ref="T5:T14" si="4">T4+1</f>
        <v>2015</v>
      </c>
      <c r="U5" s="574">
        <f>AVERAGEIFS('Monthly Data'!AX:AX,'Monthly Data'!$B:$B,$B5)</f>
        <v>5</v>
      </c>
      <c r="V5" s="575"/>
      <c r="W5" s="575"/>
      <c r="X5" s="575"/>
      <c r="Y5" s="583"/>
      <c r="Z5" s="577">
        <f t="shared" ref="Z5:Z14" si="5">Z4+1</f>
        <v>2015</v>
      </c>
      <c r="AA5" s="574">
        <f>AVERAGEIFS('Monthly Data'!AY:AY,'Monthly Data'!$B:$B,$B5)</f>
        <v>2.5416666666666674</v>
      </c>
      <c r="AB5" s="575"/>
      <c r="AC5" s="575"/>
      <c r="AD5" s="575"/>
      <c r="AF5" s="577">
        <f t="shared" ref="AF5:AF13" si="6">N5</f>
        <v>2015</v>
      </c>
      <c r="AG5" s="574">
        <f>AVERAGEIFS('Monthly Data'!AZ:AZ,'Monthly Data'!$B:$B,$B5)</f>
        <v>29840.625</v>
      </c>
      <c r="AH5" s="575"/>
      <c r="AI5" s="583"/>
      <c r="AJ5" s="577">
        <f t="shared" ref="AJ5:AJ14" si="7">AJ4+1</f>
        <v>2015</v>
      </c>
      <c r="AK5" s="574">
        <f>AVERAGEIFS('Monthly Data'!BA:BA,'Monthly Data'!$B:$B,$B5)</f>
        <v>442.66666666666657</v>
      </c>
      <c r="AL5" s="575"/>
      <c r="AM5" s="583"/>
      <c r="AN5" s="577">
        <f t="shared" ref="AN5:AN14" si="8">AN4+1</f>
        <v>2015</v>
      </c>
      <c r="AO5" s="574">
        <f>AVERAGEIFS('Monthly Data'!BB:BB,'Monthly Data'!$B:$B,$B5)</f>
        <v>872.5</v>
      </c>
      <c r="AP5" s="575"/>
      <c r="AQ5" s="579"/>
      <c r="AS5" s="577">
        <f t="shared" ref="AS5:AS21" si="9">AS4+1</f>
        <v>2015</v>
      </c>
      <c r="AT5" s="574">
        <f>AVERAGEIFS('Monthly Data'!CG:CG,'Monthly Data'!$B:$B,$B5)</f>
        <v>39119</v>
      </c>
      <c r="AU5" s="575"/>
      <c r="AV5" s="583"/>
      <c r="AW5" s="577">
        <f t="shared" ref="AW5:AW14" si="10">AW4+1</f>
        <v>2015</v>
      </c>
      <c r="AX5" s="574">
        <f>AVERAGEIFS('Monthly Data'!CH:CH,'Monthly Data'!$B:$B,$B5)</f>
        <v>2168.4583333333326</v>
      </c>
      <c r="AY5" s="575"/>
      <c r="AZ5" s="583"/>
      <c r="BA5" s="577">
        <f t="shared" ref="BA5:BA14" si="11">BA4+1</f>
        <v>2015</v>
      </c>
      <c r="BB5" s="574">
        <f>AVERAGEIFS('Monthly Data'!CI:CI,'Monthly Data'!$B:$B,$B5)</f>
        <v>366.45833333333348</v>
      </c>
      <c r="BC5" s="575"/>
      <c r="BD5" s="575"/>
      <c r="BE5" s="575"/>
      <c r="BF5" s="583"/>
      <c r="BG5" s="577">
        <f t="shared" ref="BG5:BG14" si="12">BG4+1</f>
        <v>2015</v>
      </c>
      <c r="BH5" s="574">
        <f>AVERAGEIFS('Monthly Data'!CJ:CJ,'Monthly Data'!$B:$B,$B5)</f>
        <v>2</v>
      </c>
      <c r="BI5" s="575"/>
      <c r="BJ5" s="575"/>
      <c r="BK5" s="575"/>
      <c r="BL5" s="583"/>
      <c r="BM5" s="577">
        <f t="shared" ref="BM5:BM14" si="13">BM4+1</f>
        <v>2015</v>
      </c>
      <c r="BN5" s="574">
        <f>AVERAGEIFS('Monthly Data'!CK:CK,'Monthly Data'!$B:$B,$B5)</f>
        <v>11827.041666666672</v>
      </c>
      <c r="BO5" s="575"/>
      <c r="BP5" s="583"/>
      <c r="BQ5" s="577">
        <f t="shared" ref="BQ5:BQ14" si="14">BQ4+1</f>
        <v>2015</v>
      </c>
      <c r="BR5" s="574">
        <f>AVERAGEIFS('Monthly Data'!CL:CL,'Monthly Data'!$B:$B,$B5)</f>
        <v>40.375</v>
      </c>
      <c r="BS5" s="575"/>
      <c r="BU5" s="577">
        <f t="shared" ref="BU5:BU12" si="15">BG5</f>
        <v>2015</v>
      </c>
      <c r="BV5" s="574">
        <f>AVERAGEIFS('Monthly Data'!CM:CM,'Monthly Data'!$B:$B,$B5)</f>
        <v>378.29166666666652</v>
      </c>
      <c r="BW5" s="575"/>
    </row>
    <row r="6" spans="2:87">
      <c r="B6" s="577">
        <f t="shared" si="0"/>
        <v>2016</v>
      </c>
      <c r="C6" s="574">
        <f>AVERAGEIFS('Monthly Data'!AT:AT,'Monthly Data'!$B:$B,$B6)</f>
        <v>107447.625</v>
      </c>
      <c r="D6" s="575">
        <f t="shared" ref="D6:D14" si="16">C6/C5</f>
        <v>1.0021607479918837</v>
      </c>
      <c r="E6" s="583"/>
      <c r="F6" s="577">
        <f t="shared" si="1"/>
        <v>2016</v>
      </c>
      <c r="G6" s="574">
        <f>AVERAGEIFS('Monthly Data'!AU:AU,'Monthly Data'!$B:$B,$B6)</f>
        <v>1585.75</v>
      </c>
      <c r="H6" s="575">
        <f t="shared" ref="H6:H13" si="17">G6/G5</f>
        <v>0.99606683829677056</v>
      </c>
      <c r="I6" s="583"/>
      <c r="J6" s="577">
        <f t="shared" si="2"/>
        <v>2016</v>
      </c>
      <c r="K6" s="574">
        <f>AVERAGEIFS('Monthly Data'!AV:AV,'Monthly Data'!$B:$B,$B6)</f>
        <v>8953.4166666666697</v>
      </c>
      <c r="L6" s="575">
        <f t="shared" ref="L6:L13" si="18">K6/K5</f>
        <v>1.0067984500845713</v>
      </c>
      <c r="M6" s="583"/>
      <c r="N6" s="577">
        <f t="shared" si="3"/>
        <v>2016</v>
      </c>
      <c r="O6" s="574">
        <f>AVERAGEIFS('Monthly Data'!AW:AW,'Monthly Data'!$B:$B,$B6)</f>
        <v>1056.0416666666663</v>
      </c>
      <c r="P6" s="575">
        <f t="shared" ref="P6:P13" si="19">O6/O5</f>
        <v>1.0021747726374057</v>
      </c>
      <c r="Q6" s="575"/>
      <c r="R6" s="575"/>
      <c r="S6" s="583"/>
      <c r="T6" s="577">
        <f t="shared" si="4"/>
        <v>2016</v>
      </c>
      <c r="U6" s="574">
        <f>AVERAGEIFS('Monthly Data'!AX:AX,'Monthly Data'!$B:$B,$B6)</f>
        <v>5</v>
      </c>
      <c r="V6" s="575">
        <f t="shared" ref="V6:V13" si="20">U6/U5</f>
        <v>1</v>
      </c>
      <c r="W6" s="575"/>
      <c r="X6" s="575"/>
      <c r="Y6" s="583"/>
      <c r="Z6" s="577">
        <f t="shared" si="5"/>
        <v>2016</v>
      </c>
      <c r="AA6" s="574">
        <f>AVERAGEIFS('Monthly Data'!AY:AY,'Monthly Data'!$B:$B,$B6)</f>
        <v>3</v>
      </c>
      <c r="AB6" s="575"/>
      <c r="AC6" s="575"/>
      <c r="AD6" s="575"/>
      <c r="AF6" s="577">
        <f t="shared" si="6"/>
        <v>2016</v>
      </c>
      <c r="AG6" s="574">
        <f>AVERAGEIFS('Monthly Data'!AZ:AZ,'Monthly Data'!$B:$B,$B6)</f>
        <v>30030.75</v>
      </c>
      <c r="AH6" s="575">
        <f t="shared" ref="AH6:AH13" si="21">AG6/AG5</f>
        <v>1.0063713477851084</v>
      </c>
      <c r="AI6" s="583"/>
      <c r="AJ6" s="577">
        <f t="shared" si="7"/>
        <v>2016</v>
      </c>
      <c r="AK6" s="574">
        <f>AVERAGEIFS('Monthly Data'!BA:BA,'Monthly Data'!$B:$B,$B6)</f>
        <v>439</v>
      </c>
      <c r="AL6" s="575">
        <f t="shared" ref="AL6:AL13" si="22">AK6/AK5</f>
        <v>0.99171686746987975</v>
      </c>
      <c r="AM6" s="583"/>
      <c r="AN6" s="577">
        <f t="shared" si="8"/>
        <v>2016</v>
      </c>
      <c r="AO6" s="574">
        <f>AVERAGEIFS('Monthly Data'!BB:BB,'Monthly Data'!$B:$B,$B6)</f>
        <v>837.41666666666686</v>
      </c>
      <c r="AP6" s="575">
        <f t="shared" ref="AP6:AP13" si="23">AO6/AO5</f>
        <v>0.95978987583572128</v>
      </c>
      <c r="AQ6" s="579"/>
      <c r="AS6" s="577">
        <f t="shared" si="9"/>
        <v>2016</v>
      </c>
      <c r="AT6" s="574">
        <f>AVERAGEIFS('Monthly Data'!CG:CG,'Monthly Data'!$B:$B,$B6)</f>
        <v>39433.541666666679</v>
      </c>
      <c r="AU6" s="575">
        <f t="shared" ref="AU6:AU12" si="24">AT6/AT5</f>
        <v>1.008040636689759</v>
      </c>
      <c r="AV6" s="583"/>
      <c r="AW6" s="577">
        <f t="shared" si="10"/>
        <v>2016</v>
      </c>
      <c r="AX6" s="574">
        <f>AVERAGEIFS('Monthly Data'!CH:CH,'Monthly Data'!$B:$B,$B6)</f>
        <v>2201.2083333333326</v>
      </c>
      <c r="AY6" s="575">
        <f t="shared" ref="AY6:AY12" si="25">AX6/AX5</f>
        <v>1.0151028956824164</v>
      </c>
      <c r="AZ6" s="583"/>
      <c r="BA6" s="577">
        <f t="shared" si="11"/>
        <v>2016</v>
      </c>
      <c r="BB6" s="574">
        <f>AVERAGEIFS('Monthly Data'!CI:CI,'Monthly Data'!$B:$B,$B6)</f>
        <v>367.08333333333348</v>
      </c>
      <c r="BC6" s="575">
        <f t="shared" ref="BC6:BC12" si="26">BB6/BB5</f>
        <v>1.0017055144968732</v>
      </c>
      <c r="BD6" s="575"/>
      <c r="BE6" s="575"/>
      <c r="BF6" s="583"/>
      <c r="BG6" s="577">
        <f t="shared" si="12"/>
        <v>2016</v>
      </c>
      <c r="BH6" s="574">
        <f>AVERAGEIFS('Monthly Data'!CJ:CJ,'Monthly Data'!$B:$B,$B6)</f>
        <v>2</v>
      </c>
      <c r="BI6" s="575">
        <f t="shared" ref="BI6:BI12" si="27">BH6/BH5</f>
        <v>1</v>
      </c>
      <c r="BJ6" s="575"/>
      <c r="BK6" s="575"/>
      <c r="BL6" s="583"/>
      <c r="BM6" s="577">
        <f t="shared" si="13"/>
        <v>2016</v>
      </c>
      <c r="BN6" s="574">
        <f>AVERAGEIFS('Monthly Data'!CK:CK,'Monthly Data'!$B:$B,$B6)</f>
        <v>11857.375</v>
      </c>
      <c r="BO6" s="575">
        <f t="shared" ref="BO6:BO12" si="28">BN6/BN5</f>
        <v>1.0025647439307515</v>
      </c>
      <c r="BP6" s="583"/>
      <c r="BQ6" s="577">
        <f t="shared" si="14"/>
        <v>2016</v>
      </c>
      <c r="BR6" s="574">
        <f>AVERAGEIFS('Monthly Data'!CL:CL,'Monthly Data'!$B:$B,$B6)</f>
        <v>39</v>
      </c>
      <c r="BS6" s="575">
        <f t="shared" ref="BS6:BS12" si="29">BR6/BR5</f>
        <v>0.96594427244582048</v>
      </c>
      <c r="BU6" s="577">
        <f t="shared" si="15"/>
        <v>2016</v>
      </c>
      <c r="BV6" s="574">
        <f>AVERAGEIFS('Monthly Data'!CM:CM,'Monthly Data'!$B:$B,$B6)</f>
        <v>372.20833333333348</v>
      </c>
      <c r="BW6" s="575">
        <f t="shared" ref="BW6:BW12" si="30">BV6/BV5</f>
        <v>0.9839189338032831</v>
      </c>
    </row>
    <row r="7" spans="2:87">
      <c r="B7" s="577">
        <f t="shared" si="0"/>
        <v>2017</v>
      </c>
      <c r="C7" s="574">
        <f>AVERAGEIFS('Monthly Data'!AT:AT,'Monthly Data'!$B:$B,$B7)</f>
        <v>108364.75</v>
      </c>
      <c r="D7" s="575">
        <f t="shared" si="16"/>
        <v>1.0085355539501222</v>
      </c>
      <c r="E7" s="583"/>
      <c r="F7" s="577">
        <f t="shared" si="1"/>
        <v>2017</v>
      </c>
      <c r="G7" s="574">
        <f>AVERAGEIFS('Monthly Data'!AU:AU,'Monthly Data'!$B:$B,$B7)</f>
        <v>1577.0416666666661</v>
      </c>
      <c r="H7" s="575">
        <f t="shared" si="17"/>
        <v>0.99450838194334923</v>
      </c>
      <c r="I7" s="583"/>
      <c r="J7" s="577">
        <f t="shared" si="2"/>
        <v>2017</v>
      </c>
      <c r="K7" s="574">
        <f>AVERAGEIFS('Monthly Data'!AV:AV,'Monthly Data'!$B:$B,$B7)</f>
        <v>9015.375</v>
      </c>
      <c r="L7" s="575">
        <f t="shared" si="18"/>
        <v>1.006920077065552</v>
      </c>
      <c r="M7" s="583"/>
      <c r="N7" s="577">
        <f t="shared" si="3"/>
        <v>2017</v>
      </c>
      <c r="O7" s="574">
        <f>AVERAGEIFS('Monthly Data'!AW:AW,'Monthly Data'!$B:$B,$B7)</f>
        <v>1068.3333333333337</v>
      </c>
      <c r="P7" s="575">
        <f t="shared" si="19"/>
        <v>1.0116393766028811</v>
      </c>
      <c r="Q7" s="575"/>
      <c r="R7" s="575"/>
      <c r="S7" s="583"/>
      <c r="T7" s="577">
        <f t="shared" si="4"/>
        <v>2017</v>
      </c>
      <c r="U7" s="574">
        <f>AVERAGEIFS('Monthly Data'!AX:AX,'Monthly Data'!$B:$B,$B7)</f>
        <v>5</v>
      </c>
      <c r="V7" s="575">
        <f t="shared" si="20"/>
        <v>1</v>
      </c>
      <c r="W7" s="575"/>
      <c r="X7" s="575"/>
      <c r="Y7" s="583"/>
      <c r="Z7" s="577">
        <f t="shared" si="5"/>
        <v>2017</v>
      </c>
      <c r="AA7" s="574">
        <f>AVERAGEIFS('Monthly Data'!AY:AY,'Monthly Data'!$B:$B,$B7)</f>
        <v>3</v>
      </c>
      <c r="AB7" s="575">
        <f t="shared" ref="AB7:AB13" si="31">AA7/AA6</f>
        <v>1</v>
      </c>
      <c r="AC7" s="575"/>
      <c r="AD7" s="575"/>
      <c r="AF7" s="577">
        <f t="shared" si="6"/>
        <v>2017</v>
      </c>
      <c r="AG7" s="574">
        <f>AVERAGEIFS('Monthly Data'!AZ:AZ,'Monthly Data'!$B:$B,$B7)</f>
        <v>30411.75</v>
      </c>
      <c r="AH7" s="575">
        <f t="shared" si="21"/>
        <v>1.012686995829275</v>
      </c>
      <c r="AI7" s="583"/>
      <c r="AJ7" s="577">
        <f t="shared" si="7"/>
        <v>2017</v>
      </c>
      <c r="AK7" s="574">
        <f>AVERAGEIFS('Monthly Data'!BA:BA,'Monthly Data'!$B:$B,$B7)</f>
        <v>439</v>
      </c>
      <c r="AL7" s="575">
        <f t="shared" si="22"/>
        <v>1</v>
      </c>
      <c r="AM7" s="583"/>
      <c r="AN7" s="577">
        <f t="shared" si="8"/>
        <v>2017</v>
      </c>
      <c r="AO7" s="574">
        <f>AVERAGEIFS('Monthly Data'!BB:BB,'Monthly Data'!$B:$B,$B7)</f>
        <v>825.58333333333314</v>
      </c>
      <c r="AP7" s="575">
        <f t="shared" si="23"/>
        <v>0.98586924072046922</v>
      </c>
      <c r="AQ7" s="579"/>
      <c r="AS7" s="577">
        <f t="shared" si="9"/>
        <v>2017</v>
      </c>
      <c r="AT7" s="574">
        <f>AVERAGEIFS('Monthly Data'!CG:CG,'Monthly Data'!$B:$B,$B7)</f>
        <v>39751.583333333321</v>
      </c>
      <c r="AU7" s="575">
        <f t="shared" si="24"/>
        <v>1.0080652574743365</v>
      </c>
      <c r="AV7" s="583"/>
      <c r="AW7" s="577">
        <f t="shared" si="10"/>
        <v>2017</v>
      </c>
      <c r="AX7" s="574">
        <f>AVERAGEIFS('Monthly Data'!CH:CH,'Monthly Data'!$B:$B,$B7)</f>
        <v>2229.75</v>
      </c>
      <c r="AY7" s="575">
        <f t="shared" si="25"/>
        <v>1.0129663631717432</v>
      </c>
      <c r="AZ7" s="583"/>
      <c r="BA7" s="577">
        <f t="shared" si="11"/>
        <v>2017</v>
      </c>
      <c r="BB7" s="574">
        <f>AVERAGEIFS('Monthly Data'!CI:CI,'Monthly Data'!$B:$B,$B7)</f>
        <v>368</v>
      </c>
      <c r="BC7" s="575">
        <f t="shared" si="26"/>
        <v>1.0024971623155501</v>
      </c>
      <c r="BD7" s="575"/>
      <c r="BE7" s="575"/>
      <c r="BF7" s="583"/>
      <c r="BG7" s="577">
        <f t="shared" si="12"/>
        <v>2017</v>
      </c>
      <c r="BH7" s="574">
        <f>AVERAGEIFS('Monthly Data'!CJ:CJ,'Monthly Data'!$B:$B,$B7)</f>
        <v>2</v>
      </c>
      <c r="BI7" s="575">
        <f t="shared" si="27"/>
        <v>1</v>
      </c>
      <c r="BJ7" s="575"/>
      <c r="BK7" s="575"/>
      <c r="BL7" s="583"/>
      <c r="BM7" s="577">
        <f t="shared" si="13"/>
        <v>2017</v>
      </c>
      <c r="BN7" s="574">
        <f>AVERAGEIFS('Monthly Data'!CK:CK,'Monthly Data'!$B:$B,$B7)</f>
        <v>11891</v>
      </c>
      <c r="BO7" s="575">
        <f t="shared" si="28"/>
        <v>1.002835787853551</v>
      </c>
      <c r="BP7" s="583"/>
      <c r="BQ7" s="577">
        <f t="shared" si="14"/>
        <v>2017</v>
      </c>
      <c r="BR7" s="574">
        <f>AVERAGEIFS('Monthly Data'!CL:CL,'Monthly Data'!$B:$B,$B7)</f>
        <v>38.458333333333321</v>
      </c>
      <c r="BS7" s="575">
        <f t="shared" si="29"/>
        <v>0.98611111111111083</v>
      </c>
      <c r="BU7" s="577">
        <f t="shared" si="15"/>
        <v>2017</v>
      </c>
      <c r="BV7" s="574">
        <f>AVERAGEIFS('Monthly Data'!CM:CM,'Monthly Data'!$B:$B,$B7)</f>
        <v>370.625</v>
      </c>
      <c r="BW7" s="575">
        <f t="shared" si="30"/>
        <v>0.99574610992947454</v>
      </c>
    </row>
    <row r="8" spans="2:87">
      <c r="B8" s="577">
        <f t="shared" si="0"/>
        <v>2018</v>
      </c>
      <c r="C8" s="574">
        <f>AVERAGEIFS('Monthly Data'!AT:AT,'Monthly Data'!$B:$B,$B8)</f>
        <v>109469.75</v>
      </c>
      <c r="D8" s="575">
        <f t="shared" si="16"/>
        <v>1.0101970428575713</v>
      </c>
      <c r="E8" s="583"/>
      <c r="F8" s="577">
        <f t="shared" si="1"/>
        <v>2018</v>
      </c>
      <c r="G8" s="574">
        <f>AVERAGEIFS('Monthly Data'!AU:AU,'Monthly Data'!$B:$B,$B8)</f>
        <v>1570.9166666666661</v>
      </c>
      <c r="H8" s="575">
        <f t="shared" si="17"/>
        <v>0.99611614573700757</v>
      </c>
      <c r="I8" s="583"/>
      <c r="J8" s="577">
        <f t="shared" si="2"/>
        <v>2018</v>
      </c>
      <c r="K8" s="574">
        <f>AVERAGEIFS('Monthly Data'!AV:AV,'Monthly Data'!$B:$B,$B8)</f>
        <v>9089.625</v>
      </c>
      <c r="L8" s="575">
        <f t="shared" si="18"/>
        <v>1.0082359302857618</v>
      </c>
      <c r="M8" s="583"/>
      <c r="N8" s="577">
        <f t="shared" si="3"/>
        <v>2018</v>
      </c>
      <c r="O8" s="574">
        <f>AVERAGEIFS('Monthly Data'!AW:AW,'Monthly Data'!$B:$B,$B8)</f>
        <v>1060.25</v>
      </c>
      <c r="P8" s="575">
        <f t="shared" si="19"/>
        <v>0.99243369734789355</v>
      </c>
      <c r="Q8" s="575"/>
      <c r="R8" s="575"/>
      <c r="S8" s="583"/>
      <c r="T8" s="577">
        <f t="shared" si="4"/>
        <v>2018</v>
      </c>
      <c r="U8" s="574">
        <f>AVERAGEIFS('Monthly Data'!AX:AX,'Monthly Data'!$B:$B,$B8)</f>
        <v>4.4583333333333348</v>
      </c>
      <c r="V8" s="575">
        <f t="shared" si="20"/>
        <v>0.89166666666666694</v>
      </c>
      <c r="W8" s="575"/>
      <c r="X8" s="575"/>
      <c r="Y8" s="583"/>
      <c r="Z8" s="577">
        <f t="shared" si="5"/>
        <v>2018</v>
      </c>
      <c r="AA8" s="574">
        <f>AVERAGEIFS('Monthly Data'!AY:AY,'Monthly Data'!$B:$B,$B8)</f>
        <v>3.5416666666666674</v>
      </c>
      <c r="AB8" s="575">
        <f t="shared" si="31"/>
        <v>1.1805555555555558</v>
      </c>
      <c r="AC8" s="575"/>
      <c r="AD8" s="575"/>
      <c r="AF8" s="577">
        <f t="shared" si="6"/>
        <v>2018</v>
      </c>
      <c r="AG8" s="574">
        <f>AVERAGEIFS('Monthly Data'!AZ:AZ,'Monthly Data'!$B:$B,$B8)</f>
        <v>30897.625</v>
      </c>
      <c r="AH8" s="575">
        <f t="shared" si="21"/>
        <v>1.0159765551143884</v>
      </c>
      <c r="AI8" s="583"/>
      <c r="AJ8" s="577">
        <f t="shared" si="7"/>
        <v>2018</v>
      </c>
      <c r="AK8" s="574">
        <f>AVERAGEIFS('Monthly Data'!BA:BA,'Monthly Data'!$B:$B,$B8)</f>
        <v>439</v>
      </c>
      <c r="AL8" s="575">
        <f t="shared" si="22"/>
        <v>1</v>
      </c>
      <c r="AM8" s="583"/>
      <c r="AN8" s="577">
        <f t="shared" si="8"/>
        <v>2018</v>
      </c>
      <c r="AO8" s="574">
        <f>AVERAGEIFS('Monthly Data'!BB:BB,'Monthly Data'!$B:$B,$B8)</f>
        <v>817.75</v>
      </c>
      <c r="AP8" s="575">
        <f t="shared" si="23"/>
        <v>0.99051175936206748</v>
      </c>
      <c r="AQ8" s="579"/>
      <c r="AS8" s="577">
        <f t="shared" si="9"/>
        <v>2018</v>
      </c>
      <c r="AT8" s="574">
        <f>AVERAGEIFS('Monthly Data'!CG:CG,'Monthly Data'!$B:$B,$B8)</f>
        <v>40096.916666666679</v>
      </c>
      <c r="AU8" s="575">
        <f t="shared" si="24"/>
        <v>1.0086872849928417</v>
      </c>
      <c r="AV8" s="583"/>
      <c r="AW8" s="577">
        <f t="shared" si="10"/>
        <v>2018</v>
      </c>
      <c r="AX8" s="574">
        <f>AVERAGEIFS('Monthly Data'!CH:CH,'Monthly Data'!$B:$B,$B8)</f>
        <v>2246.6666666666674</v>
      </c>
      <c r="AY8" s="575">
        <f t="shared" si="25"/>
        <v>1.0075867997159624</v>
      </c>
      <c r="AZ8" s="583"/>
      <c r="BA8" s="577">
        <f t="shared" si="11"/>
        <v>2018</v>
      </c>
      <c r="BB8" s="574">
        <f>AVERAGEIFS('Monthly Data'!CI:CI,'Monthly Data'!$B:$B,$B8)</f>
        <v>372.875</v>
      </c>
      <c r="BC8" s="575">
        <f t="shared" si="26"/>
        <v>1.0132472826086956</v>
      </c>
      <c r="BD8" s="575"/>
      <c r="BE8" s="575"/>
      <c r="BF8" s="583"/>
      <c r="BG8" s="577">
        <f t="shared" si="12"/>
        <v>2018</v>
      </c>
      <c r="BH8" s="574">
        <f>AVERAGEIFS('Monthly Data'!CJ:CJ,'Monthly Data'!$B:$B,$B8)</f>
        <v>2.5416666666666674</v>
      </c>
      <c r="BI8" s="575">
        <f t="shared" si="27"/>
        <v>1.2708333333333337</v>
      </c>
      <c r="BJ8" s="575"/>
      <c r="BK8" s="575"/>
      <c r="BL8" s="583"/>
      <c r="BM8" s="577">
        <f t="shared" si="13"/>
        <v>2018</v>
      </c>
      <c r="BN8" s="574">
        <f>AVERAGEIFS('Monthly Data'!CK:CK,'Monthly Data'!$B:$B,$B8)</f>
        <v>12053.666666666672</v>
      </c>
      <c r="BO8" s="575">
        <f t="shared" si="28"/>
        <v>1.0136798138648282</v>
      </c>
      <c r="BP8" s="583"/>
      <c r="BQ8" s="577">
        <f t="shared" si="14"/>
        <v>2018</v>
      </c>
      <c r="BR8" s="574">
        <f>AVERAGEIFS('Monthly Data'!CL:CL,'Monthly Data'!$B:$B,$B8)</f>
        <v>37.458333333333321</v>
      </c>
      <c r="BS8" s="575">
        <f t="shared" si="29"/>
        <v>0.97399783315276267</v>
      </c>
      <c r="BU8" s="577">
        <f t="shared" si="15"/>
        <v>2018</v>
      </c>
      <c r="BV8" s="574">
        <f>AVERAGEIFS('Monthly Data'!CM:CM,'Monthly Data'!$B:$B,$B8)</f>
        <v>376.875</v>
      </c>
      <c r="BW8" s="575">
        <f t="shared" si="30"/>
        <v>1.0168634064080944</v>
      </c>
    </row>
    <row r="9" spans="2:87" s="600" customFormat="1" ht="14.45" customHeight="1">
      <c r="B9" s="577">
        <f t="shared" si="0"/>
        <v>2019</v>
      </c>
      <c r="C9" s="574">
        <f>AVERAGEIFS('Monthly Data'!AT:AT,'Monthly Data'!$B:$B,$B9)</f>
        <v>110960.875</v>
      </c>
      <c r="D9" s="575">
        <f t="shared" si="16"/>
        <v>1.0136213428823944</v>
      </c>
      <c r="E9" s="583"/>
      <c r="F9" s="577">
        <f t="shared" si="1"/>
        <v>2019</v>
      </c>
      <c r="G9" s="574">
        <f>AVERAGEIFS('Monthly Data'!AU:AU,'Monthly Data'!$B:$B,$B9)</f>
        <v>1565.125</v>
      </c>
      <c r="H9" s="575">
        <f t="shared" si="17"/>
        <v>0.99631319293406229</v>
      </c>
      <c r="I9" s="583"/>
      <c r="J9" s="577">
        <f t="shared" si="2"/>
        <v>2019</v>
      </c>
      <c r="K9" s="574">
        <f>AVERAGEIFS('Monthly Data'!AV:AV,'Monthly Data'!$B:$B,$B9)</f>
        <v>9207.0416666666697</v>
      </c>
      <c r="L9" s="575">
        <f t="shared" si="18"/>
        <v>1.0129176579525194</v>
      </c>
      <c r="M9" s="583"/>
      <c r="N9" s="577">
        <f t="shared" si="3"/>
        <v>2019</v>
      </c>
      <c r="O9" s="574">
        <f>AVERAGEIFS('Monthly Data'!AW:AW,'Monthly Data'!$B:$B,$B9)</f>
        <v>1029.0833333333337</v>
      </c>
      <c r="P9" s="575">
        <f t="shared" si="19"/>
        <v>0.97060441719720225</v>
      </c>
      <c r="Q9" s="575"/>
      <c r="R9" s="575"/>
      <c r="S9" s="583"/>
      <c r="T9" s="577">
        <f t="shared" si="4"/>
        <v>2019</v>
      </c>
      <c r="U9" s="574">
        <f>AVERAGEIFS('Monthly Data'!AX:AX,'Monthly Data'!$B:$B,$B9)</f>
        <v>4</v>
      </c>
      <c r="V9" s="575">
        <f t="shared" si="20"/>
        <v>0.89719626168224265</v>
      </c>
      <c r="W9" s="575"/>
      <c r="X9" s="575"/>
      <c r="Y9" s="583"/>
      <c r="Z9" s="577">
        <f t="shared" si="5"/>
        <v>2019</v>
      </c>
      <c r="AA9" s="574">
        <f>AVERAGEIFS('Monthly Data'!AY:AY,'Monthly Data'!$B:$B,$B9)</f>
        <v>4</v>
      </c>
      <c r="AB9" s="575">
        <f t="shared" si="31"/>
        <v>1.1294117647058821</v>
      </c>
      <c r="AC9" s="575"/>
      <c r="AD9" s="575"/>
      <c r="AE9" s="9"/>
      <c r="AF9" s="577">
        <f t="shared" si="6"/>
        <v>2019</v>
      </c>
      <c r="AG9" s="574">
        <f>AVERAGEIFS('Monthly Data'!AZ:AZ,'Monthly Data'!$B:$B,$B9)</f>
        <v>31143.041666666657</v>
      </c>
      <c r="AH9" s="575">
        <f t="shared" si="21"/>
        <v>1.007942897444922</v>
      </c>
      <c r="AI9" s="583"/>
      <c r="AJ9" s="577">
        <f t="shared" si="7"/>
        <v>2019</v>
      </c>
      <c r="AK9" s="574">
        <f>AVERAGEIFS('Monthly Data'!BA:BA,'Monthly Data'!$B:$B,$B9)</f>
        <v>342.04166666666652</v>
      </c>
      <c r="AL9" s="575">
        <f t="shared" si="22"/>
        <v>0.77913819286256614</v>
      </c>
      <c r="AM9" s="583"/>
      <c r="AN9" s="577">
        <f t="shared" si="8"/>
        <v>2019</v>
      </c>
      <c r="AO9" s="574">
        <f>AVERAGEIFS('Monthly Data'!BB:BB,'Monthly Data'!$B:$B,$B9)</f>
        <v>809.04166666666697</v>
      </c>
      <c r="AP9" s="575">
        <f t="shared" si="23"/>
        <v>0.98935086110261938</v>
      </c>
      <c r="AQ9" s="589"/>
      <c r="AS9" s="577">
        <f t="shared" si="9"/>
        <v>2019</v>
      </c>
      <c r="AT9" s="574">
        <f>AVERAGEIFS('Monthly Data'!CG:CG,'Monthly Data'!$B:$B,$B9)</f>
        <v>40903.041666666679</v>
      </c>
      <c r="AU9" s="575">
        <f t="shared" si="24"/>
        <v>1.0201044136810187</v>
      </c>
      <c r="AV9" s="583"/>
      <c r="AW9" s="577">
        <f t="shared" si="10"/>
        <v>2019</v>
      </c>
      <c r="AX9" s="574">
        <f>AVERAGEIFS('Monthly Data'!CH:CH,'Monthly Data'!$B:$B,$B9)</f>
        <v>2261.0416666666674</v>
      </c>
      <c r="AY9" s="575">
        <f t="shared" si="25"/>
        <v>1.0063983679525224</v>
      </c>
      <c r="AZ9" s="583"/>
      <c r="BA9" s="577">
        <f t="shared" si="11"/>
        <v>2019</v>
      </c>
      <c r="BB9" s="574">
        <f>AVERAGEIFS('Monthly Data'!CI:CI,'Monthly Data'!$B:$B,$B9)</f>
        <v>377</v>
      </c>
      <c r="BC9" s="575">
        <f t="shared" si="26"/>
        <v>1.0110626885685552</v>
      </c>
      <c r="BD9" s="575"/>
      <c r="BE9" s="575"/>
      <c r="BF9" s="583"/>
      <c r="BG9" s="577">
        <f t="shared" si="12"/>
        <v>2019</v>
      </c>
      <c r="BH9" s="574">
        <f>AVERAGEIFS('Monthly Data'!CJ:CJ,'Monthly Data'!$B:$B,$B9)</f>
        <v>3</v>
      </c>
      <c r="BI9" s="575">
        <f t="shared" si="27"/>
        <v>1.1803278688524588</v>
      </c>
      <c r="BJ9" s="575"/>
      <c r="BK9" s="575"/>
      <c r="BL9" s="583"/>
      <c r="BM9" s="577">
        <f t="shared" si="13"/>
        <v>2019</v>
      </c>
      <c r="BN9" s="574">
        <f>AVERAGEIFS('Monthly Data'!CK:CK,'Monthly Data'!$B:$B,$B9)</f>
        <v>12408.416666666672</v>
      </c>
      <c r="BO9" s="575">
        <f t="shared" si="28"/>
        <v>1.0294308785708359</v>
      </c>
      <c r="BP9" s="583"/>
      <c r="BQ9" s="577">
        <f t="shared" si="14"/>
        <v>2019</v>
      </c>
      <c r="BR9" s="574">
        <f>AVERAGEIFS('Monthly Data'!CL:CL,'Monthly Data'!$B:$B,$B9)</f>
        <v>37</v>
      </c>
      <c r="BS9" s="575">
        <f t="shared" si="29"/>
        <v>0.98776418242491693</v>
      </c>
      <c r="BT9" s="9"/>
      <c r="BU9" s="577">
        <f t="shared" si="15"/>
        <v>2019</v>
      </c>
      <c r="BV9" s="574">
        <f>AVERAGEIFS('Monthly Data'!CM:CM,'Monthly Data'!$B:$B,$B9)</f>
        <v>384.25</v>
      </c>
      <c r="BW9" s="575">
        <f t="shared" si="30"/>
        <v>1.0195688225538972</v>
      </c>
    </row>
    <row r="10" spans="2:87" s="600" customFormat="1" ht="14.45" customHeight="1">
      <c r="B10" s="577">
        <f t="shared" si="0"/>
        <v>2020</v>
      </c>
      <c r="C10" s="574">
        <f>AVERAGEIFS('Monthly Data'!AT:AT,'Monthly Data'!$B:$B,$B10)</f>
        <v>112218.375</v>
      </c>
      <c r="D10" s="575">
        <f t="shared" si="16"/>
        <v>1.0113328233938315</v>
      </c>
      <c r="E10" s="583"/>
      <c r="F10" s="577">
        <f t="shared" si="1"/>
        <v>2020</v>
      </c>
      <c r="G10" s="574">
        <f>AVERAGEIFS('Monthly Data'!AU:AU,'Monthly Data'!$B:$B,$B10)</f>
        <v>1561</v>
      </c>
      <c r="H10" s="575">
        <f t="shared" si="17"/>
        <v>0.99736442776136092</v>
      </c>
      <c r="I10" s="583"/>
      <c r="J10" s="577">
        <f t="shared" si="2"/>
        <v>2020</v>
      </c>
      <c r="K10" s="574">
        <f>AVERAGEIFS('Monthly Data'!AV:AV,'Monthly Data'!$B:$B,$B10)</f>
        <v>9277.75</v>
      </c>
      <c r="L10" s="575">
        <f t="shared" si="18"/>
        <v>1.0076798102901308</v>
      </c>
      <c r="M10" s="583"/>
      <c r="N10" s="577">
        <f t="shared" si="3"/>
        <v>2020</v>
      </c>
      <c r="O10" s="574">
        <f>AVERAGEIFS('Monthly Data'!AW:AW,'Monthly Data'!$B:$B,$B10)</f>
        <v>1032</v>
      </c>
      <c r="P10" s="575">
        <f t="shared" si="19"/>
        <v>1.0028342375900878</v>
      </c>
      <c r="Q10" s="575"/>
      <c r="R10" s="575"/>
      <c r="S10" s="583"/>
      <c r="T10" s="577">
        <f t="shared" si="4"/>
        <v>2020</v>
      </c>
      <c r="U10" s="574">
        <f>AVERAGEIFS('Monthly Data'!AX:AX,'Monthly Data'!$B:$B,$B10)</f>
        <v>4.5416666666666652</v>
      </c>
      <c r="V10" s="575">
        <f t="shared" si="20"/>
        <v>1.1354166666666663</v>
      </c>
      <c r="W10" s="575"/>
      <c r="X10" s="575"/>
      <c r="Y10" s="583"/>
      <c r="Z10" s="577">
        <f t="shared" si="5"/>
        <v>2020</v>
      </c>
      <c r="AA10" s="574">
        <f>AVERAGEIFS('Monthly Data'!AY:AY,'Monthly Data'!$B:$B,$B10)</f>
        <v>4</v>
      </c>
      <c r="AB10" s="575">
        <f t="shared" si="31"/>
        <v>1</v>
      </c>
      <c r="AC10" s="575"/>
      <c r="AD10" s="575"/>
      <c r="AE10" s="575"/>
      <c r="AF10" s="577">
        <f t="shared" si="6"/>
        <v>2020</v>
      </c>
      <c r="AG10" s="574">
        <f>AVERAGEIFS('Monthly Data'!AZ:AZ,'Monthly Data'!$B:$B,$B10)</f>
        <v>31414.916666666657</v>
      </c>
      <c r="AH10" s="575">
        <f t="shared" si="21"/>
        <v>1.0087298794674573</v>
      </c>
      <c r="AI10" s="583"/>
      <c r="AJ10" s="577">
        <f t="shared" si="7"/>
        <v>2020</v>
      </c>
      <c r="AK10" s="574">
        <f>AVERAGEIFS('Monthly Data'!BA:BA,'Monthly Data'!$B:$B,$B10)</f>
        <v>255.125</v>
      </c>
      <c r="AL10" s="575">
        <f t="shared" si="22"/>
        <v>0.74588865878913424</v>
      </c>
      <c r="AM10" s="583"/>
      <c r="AN10" s="577">
        <f t="shared" si="8"/>
        <v>2020</v>
      </c>
      <c r="AO10" s="574">
        <f>AVERAGEIFS('Monthly Data'!BB:BB,'Monthly Data'!$B:$B,$B10)</f>
        <v>801.83333333333303</v>
      </c>
      <c r="AP10" s="575">
        <f t="shared" si="23"/>
        <v>0.99109028171190117</v>
      </c>
      <c r="AQ10" s="589"/>
      <c r="AS10" s="577">
        <f t="shared" si="9"/>
        <v>2020</v>
      </c>
      <c r="AT10" s="574">
        <f>AVERAGEIFS('Monthly Data'!CG:CG,'Monthly Data'!$B:$B,$B10)</f>
        <v>41880.625</v>
      </c>
      <c r="AU10" s="575">
        <f t="shared" si="24"/>
        <v>1.0239000155856377</v>
      </c>
      <c r="AV10" s="583"/>
      <c r="AW10" s="577">
        <f t="shared" si="10"/>
        <v>2020</v>
      </c>
      <c r="AX10" s="574">
        <f>AVERAGEIFS('Monthly Data'!CH:CH,'Monthly Data'!$B:$B,$B10)</f>
        <v>2284.3333333333326</v>
      </c>
      <c r="AY10" s="575">
        <f t="shared" si="25"/>
        <v>1.0103012991799496</v>
      </c>
      <c r="AZ10" s="583"/>
      <c r="BA10" s="577">
        <f t="shared" si="11"/>
        <v>2020</v>
      </c>
      <c r="BB10" s="574">
        <f>AVERAGEIFS('Monthly Data'!CI:CI,'Monthly Data'!$B:$B,$B10)</f>
        <v>381.875</v>
      </c>
      <c r="BC10" s="575">
        <f t="shared" si="26"/>
        <v>1.0129310344827587</v>
      </c>
      <c r="BD10" s="575"/>
      <c r="BE10" s="575"/>
      <c r="BF10" s="583"/>
      <c r="BG10" s="577">
        <f t="shared" si="12"/>
        <v>2020</v>
      </c>
      <c r="BH10" s="574">
        <f>AVERAGEIFS('Monthly Data'!CJ:CJ,'Monthly Data'!$B:$B,$B10)</f>
        <v>3</v>
      </c>
      <c r="BI10" s="575">
        <f t="shared" si="27"/>
        <v>1</v>
      </c>
      <c r="BJ10" s="575"/>
      <c r="BK10" s="575"/>
      <c r="BL10" s="583"/>
      <c r="BM10" s="577">
        <f t="shared" si="13"/>
        <v>2020</v>
      </c>
      <c r="BN10" s="574">
        <f>AVERAGEIFS('Monthly Data'!CK:CK,'Monthly Data'!$B:$B,$B10)</f>
        <v>12707.791666666672</v>
      </c>
      <c r="BO10" s="575">
        <f t="shared" si="28"/>
        <v>1.0241267687926878</v>
      </c>
      <c r="BP10" s="583"/>
      <c r="BQ10" s="577">
        <f t="shared" si="14"/>
        <v>2020</v>
      </c>
      <c r="BR10" s="574">
        <f>AVERAGEIFS('Monthly Data'!CL:CL,'Monthly Data'!$B:$B,$B10)</f>
        <v>37</v>
      </c>
      <c r="BS10" s="575">
        <f t="shared" si="29"/>
        <v>1</v>
      </c>
      <c r="BT10" s="575"/>
      <c r="BU10" s="577">
        <f t="shared" si="15"/>
        <v>2020</v>
      </c>
      <c r="BV10" s="574">
        <f>AVERAGEIFS('Monthly Data'!CM:CM,'Monthly Data'!$B:$B,$B10)</f>
        <v>389.16666666666652</v>
      </c>
      <c r="BW10" s="575">
        <f t="shared" si="30"/>
        <v>1.0127954890479285</v>
      </c>
      <c r="CI10" s="9"/>
    </row>
    <row r="11" spans="2:87" s="600" customFormat="1">
      <c r="B11" s="577">
        <f t="shared" si="0"/>
        <v>2021</v>
      </c>
      <c r="C11" s="574">
        <f>AVERAGEIFS('Monthly Data'!AT:AT,'Monthly Data'!$B:$B,$B11)</f>
        <v>113059.29166666664</v>
      </c>
      <c r="D11" s="575">
        <f t="shared" si="16"/>
        <v>1.0074935737277129</v>
      </c>
      <c r="E11" s="583"/>
      <c r="F11" s="577">
        <f t="shared" si="1"/>
        <v>2021</v>
      </c>
      <c r="G11" s="574">
        <f>AVERAGEIFS('Monthly Data'!AU:AU,'Monthly Data'!$B:$B,$B11)</f>
        <v>1558.8333333333339</v>
      </c>
      <c r="H11" s="575">
        <f t="shared" si="17"/>
        <v>0.99861200085415369</v>
      </c>
      <c r="I11" s="583"/>
      <c r="J11" s="577">
        <f t="shared" si="2"/>
        <v>2021</v>
      </c>
      <c r="K11" s="574">
        <f>AVERAGEIFS('Monthly Data'!AV:AV,'Monthly Data'!$B:$B,$B11)</f>
        <v>9314.7083333333303</v>
      </c>
      <c r="L11" s="575">
        <f t="shared" si="18"/>
        <v>1.0039835448609125</v>
      </c>
      <c r="M11" s="583"/>
      <c r="N11" s="577">
        <f t="shared" si="3"/>
        <v>2021</v>
      </c>
      <c r="O11" s="574">
        <f>AVERAGEIFS('Monthly Data'!AW:AW,'Monthly Data'!$B:$B,$B11)</f>
        <v>1052.2083333333337</v>
      </c>
      <c r="P11" s="575">
        <f t="shared" si="19"/>
        <v>1.0195817183462537</v>
      </c>
      <c r="Q11" s="575"/>
      <c r="R11" s="575"/>
      <c r="S11" s="583"/>
      <c r="T11" s="577">
        <f t="shared" si="4"/>
        <v>2021</v>
      </c>
      <c r="U11" s="574">
        <f>AVERAGEIFS('Monthly Data'!AX:AX,'Monthly Data'!$B:$B,$B11)</f>
        <v>5.5416666666666643</v>
      </c>
      <c r="V11" s="575">
        <f t="shared" si="20"/>
        <v>1.2201834862385319</v>
      </c>
      <c r="W11" s="575"/>
      <c r="X11" s="575"/>
      <c r="Y11" s="583"/>
      <c r="Z11" s="577">
        <f t="shared" si="5"/>
        <v>2021</v>
      </c>
      <c r="AA11" s="574">
        <f>AVERAGEIFS('Monthly Data'!AY:AY,'Monthly Data'!$B:$B,$B11)</f>
        <v>4</v>
      </c>
      <c r="AB11" s="575">
        <f t="shared" si="31"/>
        <v>1</v>
      </c>
      <c r="AC11" s="575"/>
      <c r="AD11" s="575"/>
      <c r="AE11" s="575"/>
      <c r="AF11" s="577">
        <f t="shared" si="6"/>
        <v>2021</v>
      </c>
      <c r="AG11" s="574">
        <f>AVERAGEIFS('Monthly Data'!AZ:AZ,'Monthly Data'!$B:$B,$B11)</f>
        <v>31679.166666666657</v>
      </c>
      <c r="AH11" s="575">
        <f t="shared" si="21"/>
        <v>1.0084116091347264</v>
      </c>
      <c r="AI11" s="583"/>
      <c r="AJ11" s="577">
        <f t="shared" si="7"/>
        <v>2021</v>
      </c>
      <c r="AK11" s="574">
        <f>AVERAGEIFS('Monthly Data'!BA:BA,'Monthly Data'!$B:$B,$B11)</f>
        <v>248.83333333333326</v>
      </c>
      <c r="AL11" s="575">
        <f t="shared" si="22"/>
        <v>0.97533888616691133</v>
      </c>
      <c r="AM11" s="583"/>
      <c r="AN11" s="577">
        <f t="shared" si="8"/>
        <v>2021</v>
      </c>
      <c r="AO11" s="574">
        <f>AVERAGEIFS('Monthly Data'!BB:BB,'Monthly Data'!$B:$B,$B11)</f>
        <v>801.625</v>
      </c>
      <c r="AP11" s="575">
        <f t="shared" si="23"/>
        <v>0.9997401787570156</v>
      </c>
      <c r="AQ11" s="589"/>
      <c r="AS11" s="577">
        <f t="shared" si="9"/>
        <v>2021</v>
      </c>
      <c r="AT11" s="574">
        <f>AVERAGEIFS('Monthly Data'!CG:CG,'Monthly Data'!$B:$B,$B11)</f>
        <v>42897.875</v>
      </c>
      <c r="AU11" s="575">
        <f t="shared" si="24"/>
        <v>1.0242892745750571</v>
      </c>
      <c r="AV11" s="583"/>
      <c r="AW11" s="577">
        <f t="shared" si="10"/>
        <v>2021</v>
      </c>
      <c r="AX11" s="574">
        <f>AVERAGEIFS('Monthly Data'!CH:CH,'Monthly Data'!$B:$B,$B11)</f>
        <v>2326.625</v>
      </c>
      <c r="AY11" s="575">
        <f t="shared" si="25"/>
        <v>1.0185137895812058</v>
      </c>
      <c r="AZ11" s="583"/>
      <c r="BA11" s="577">
        <f t="shared" si="11"/>
        <v>2021</v>
      </c>
      <c r="BB11" s="574">
        <f>AVERAGEIFS('Monthly Data'!CI:CI,'Monthly Data'!$B:$B,$B11)</f>
        <v>390.875</v>
      </c>
      <c r="BC11" s="575">
        <f t="shared" si="26"/>
        <v>1.0235679214402618</v>
      </c>
      <c r="BD11" s="575"/>
      <c r="BE11" s="575"/>
      <c r="BF11" s="583"/>
      <c r="BG11" s="577">
        <f t="shared" si="12"/>
        <v>2021</v>
      </c>
      <c r="BH11" s="574">
        <f>AVERAGEIFS('Monthly Data'!CJ:CJ,'Monthly Data'!$B:$B,$B11)</f>
        <v>3</v>
      </c>
      <c r="BI11" s="575">
        <f t="shared" si="27"/>
        <v>1</v>
      </c>
      <c r="BJ11" s="575"/>
      <c r="BK11" s="575"/>
      <c r="BL11" s="583"/>
      <c r="BM11" s="577">
        <f t="shared" si="13"/>
        <v>2021</v>
      </c>
      <c r="BN11" s="574">
        <f>AVERAGEIFS('Monthly Data'!CK:CK,'Monthly Data'!$B:$B,$B11)</f>
        <v>13023.791666666672</v>
      </c>
      <c r="BO11" s="575">
        <f t="shared" si="28"/>
        <v>1.0248666336597954</v>
      </c>
      <c r="BP11" s="583"/>
      <c r="BQ11" s="577">
        <f t="shared" si="14"/>
        <v>2021</v>
      </c>
      <c r="BR11" s="574">
        <f>AVERAGEIFS('Monthly Data'!CL:CL,'Monthly Data'!$B:$B,$B11)</f>
        <v>42.416666666666679</v>
      </c>
      <c r="BS11" s="575">
        <f t="shared" si="29"/>
        <v>1.1463963963963968</v>
      </c>
      <c r="BT11" s="575"/>
      <c r="BU11" s="577">
        <f t="shared" si="15"/>
        <v>2021</v>
      </c>
      <c r="BV11" s="574">
        <f>AVERAGEIFS('Monthly Data'!CM:CM,'Monthly Data'!$B:$B,$B11)</f>
        <v>391.54166666666652</v>
      </c>
      <c r="BW11" s="575">
        <f t="shared" si="30"/>
        <v>1.00610278372591</v>
      </c>
      <c r="CI11" s="9"/>
    </row>
    <row r="12" spans="2:87" s="600" customFormat="1">
      <c r="B12" s="577">
        <f t="shared" si="0"/>
        <v>2022</v>
      </c>
      <c r="C12" s="574">
        <f>AVERAGEIFS('Monthly Data'!AT:AT,'Monthly Data'!$B:$B,$B12)</f>
        <v>114160.83333333336</v>
      </c>
      <c r="D12" s="575">
        <f t="shared" si="16"/>
        <v>1.0097430441180757</v>
      </c>
      <c r="E12" s="583"/>
      <c r="F12" s="577">
        <f t="shared" si="1"/>
        <v>2022</v>
      </c>
      <c r="G12" s="574">
        <f>AVERAGEIFS('Monthly Data'!AU:AU,'Monthly Data'!$B:$B,$B12)</f>
        <v>1559.1666666666661</v>
      </c>
      <c r="H12" s="575">
        <f t="shared" si="17"/>
        <v>1.0002138351331116</v>
      </c>
      <c r="I12" s="583"/>
      <c r="J12" s="577">
        <f t="shared" si="2"/>
        <v>2022</v>
      </c>
      <c r="K12" s="574">
        <f>AVERAGEIFS('Monthly Data'!AV:AV,'Monthly Data'!$B:$B,$B12)</f>
        <v>9413.2083333333303</v>
      </c>
      <c r="L12" s="575">
        <f t="shared" si="18"/>
        <v>1.010574673567342</v>
      </c>
      <c r="M12" s="583"/>
      <c r="N12" s="577">
        <f t="shared" si="3"/>
        <v>2022</v>
      </c>
      <c r="O12" s="574">
        <f>AVERAGEIFS('Monthly Data'!AW:AW,'Monthly Data'!$B:$B,$B12)</f>
        <v>1037.25</v>
      </c>
      <c r="P12" s="575">
        <f t="shared" si="19"/>
        <v>0.98578386726329514</v>
      </c>
      <c r="Q12" s="575"/>
      <c r="R12" s="575"/>
      <c r="S12" s="583"/>
      <c r="T12" s="577">
        <f t="shared" si="4"/>
        <v>2022</v>
      </c>
      <c r="U12" s="574">
        <f>AVERAGEIFS('Monthly Data'!AX:AX,'Monthly Data'!$B:$B,$B12)</f>
        <v>5.4583333333333357</v>
      </c>
      <c r="V12" s="575">
        <f t="shared" si="20"/>
        <v>0.98496240601503848</v>
      </c>
      <c r="W12" s="575"/>
      <c r="X12" s="575"/>
      <c r="Y12" s="583"/>
      <c r="Z12" s="577">
        <f t="shared" si="5"/>
        <v>2022</v>
      </c>
      <c r="AA12" s="574">
        <f>AVERAGEIFS('Monthly Data'!AY:AY,'Monthly Data'!$B:$B,$B12)</f>
        <v>4</v>
      </c>
      <c r="AB12" s="575">
        <f t="shared" si="31"/>
        <v>1</v>
      </c>
      <c r="AC12" s="575"/>
      <c r="AD12" s="575"/>
      <c r="AE12" s="575"/>
      <c r="AF12" s="577">
        <f t="shared" si="6"/>
        <v>2022</v>
      </c>
      <c r="AG12" s="574">
        <f>AVERAGEIFS('Monthly Data'!AZ:AZ,'Monthly Data'!$B:$B,$B12)</f>
        <v>31795.041666666657</v>
      </c>
      <c r="AH12" s="575">
        <f t="shared" si="21"/>
        <v>1.0036577666710509</v>
      </c>
      <c r="AI12" s="583"/>
      <c r="AJ12" s="577">
        <f t="shared" si="7"/>
        <v>2022</v>
      </c>
      <c r="AK12" s="574">
        <f>AVERAGEIFS('Monthly Data'!BA:BA,'Monthly Data'!$B:$B,$B12)</f>
        <v>245.91666666666674</v>
      </c>
      <c r="AL12" s="575">
        <f t="shared" si="22"/>
        <v>0.98827863362357726</v>
      </c>
      <c r="AM12" s="583"/>
      <c r="AN12" s="577">
        <f t="shared" si="8"/>
        <v>2022</v>
      </c>
      <c r="AO12" s="574">
        <f>AVERAGEIFS('Monthly Data'!BB:BB,'Monthly Data'!$B:$B,$B12)</f>
        <v>800.83333333333303</v>
      </c>
      <c r="AP12" s="575">
        <f t="shared" si="23"/>
        <v>0.99901242268309121</v>
      </c>
      <c r="AQ12" s="589"/>
      <c r="AS12" s="577">
        <f t="shared" si="9"/>
        <v>2022</v>
      </c>
      <c r="AT12" s="574">
        <f>AVERAGEIFS('Monthly Data'!CG:CG,'Monthly Data'!$B:$B,$B12)</f>
        <v>44013.541666666686</v>
      </c>
      <c r="AU12" s="575">
        <f t="shared" si="24"/>
        <v>1.0260075042567187</v>
      </c>
      <c r="AV12" s="583"/>
      <c r="AW12" s="577">
        <f t="shared" si="10"/>
        <v>2022</v>
      </c>
      <c r="AX12" s="574">
        <f>AVERAGEIFS('Monthly Data'!CH:CH,'Monthly Data'!$B:$B,$B12)</f>
        <v>2383.5833333333326</v>
      </c>
      <c r="AY12" s="575">
        <f t="shared" si="25"/>
        <v>1.0244810974408565</v>
      </c>
      <c r="AZ12" s="583"/>
      <c r="BA12" s="577">
        <f t="shared" si="11"/>
        <v>2022</v>
      </c>
      <c r="BB12" s="574">
        <f>AVERAGEIFS('Monthly Data'!CI:CI,'Monthly Data'!$B:$B,$B12)</f>
        <v>386.33333333333348</v>
      </c>
      <c r="BC12" s="575">
        <f t="shared" si="26"/>
        <v>0.9883807696407636</v>
      </c>
      <c r="BD12" s="575"/>
      <c r="BE12" s="575"/>
      <c r="BF12" s="583"/>
      <c r="BG12" s="577">
        <f t="shared" si="12"/>
        <v>2022</v>
      </c>
      <c r="BH12" s="574">
        <f>AVERAGEIFS('Monthly Data'!CJ:CJ,'Monthly Data'!$B:$B,$B12)</f>
        <v>3</v>
      </c>
      <c r="BI12" s="575">
        <f t="shared" si="27"/>
        <v>1</v>
      </c>
      <c r="BJ12" s="575"/>
      <c r="BK12" s="575"/>
      <c r="BL12" s="583"/>
      <c r="BM12" s="577">
        <f t="shared" si="13"/>
        <v>2022</v>
      </c>
      <c r="BN12" s="574">
        <f>AVERAGEIFS('Monthly Data'!CK:CK,'Monthly Data'!$B:$B,$B12)</f>
        <v>13342.91666666667</v>
      </c>
      <c r="BO12" s="575">
        <f t="shared" si="28"/>
        <v>1.0245032328654928</v>
      </c>
      <c r="BP12" s="583"/>
      <c r="BQ12" s="577">
        <f t="shared" si="14"/>
        <v>2022</v>
      </c>
      <c r="BR12" s="574">
        <f>AVERAGEIFS('Monthly Data'!CL:CL,'Monthly Data'!$B:$B,$B12)</f>
        <v>46.458333333333314</v>
      </c>
      <c r="BS12" s="575">
        <f t="shared" si="29"/>
        <v>1.0952848722986239</v>
      </c>
      <c r="BT12" s="575"/>
      <c r="BU12" s="577">
        <f t="shared" si="15"/>
        <v>2022</v>
      </c>
      <c r="BV12" s="574">
        <f>AVERAGEIFS('Monthly Data'!CM:CM,'Monthly Data'!$B:$B,$B12)</f>
        <v>393.08333333333348</v>
      </c>
      <c r="BW12" s="575">
        <f t="shared" si="30"/>
        <v>1.0039374268383534</v>
      </c>
      <c r="CI12" s="9"/>
    </row>
    <row r="13" spans="2:87" s="600" customFormat="1">
      <c r="B13" s="577">
        <f t="shared" si="0"/>
        <v>2023</v>
      </c>
      <c r="C13" s="574">
        <f>AVERAGEIFS('Monthly Data'!AT:AT,'Monthly Data'!$B:$B,$B13)</f>
        <v>115689.125</v>
      </c>
      <c r="D13" s="575">
        <f t="shared" si="16"/>
        <v>1.0133871803668799</v>
      </c>
      <c r="E13" s="583"/>
      <c r="F13" s="577">
        <f t="shared" si="1"/>
        <v>2023</v>
      </c>
      <c r="G13" s="574">
        <f>AVERAGEIFS('Monthly Data'!AU:AU,'Monthly Data'!$B:$B,$B13)</f>
        <v>1562.625</v>
      </c>
      <c r="H13" s="575">
        <f t="shared" si="17"/>
        <v>1.0022180652057726</v>
      </c>
      <c r="I13" s="583"/>
      <c r="J13" s="577">
        <f t="shared" si="2"/>
        <v>2023</v>
      </c>
      <c r="K13" s="574">
        <f>AVERAGEIFS('Monthly Data'!AV:AV,'Monthly Data'!$B:$B,$B13)</f>
        <v>9487.375</v>
      </c>
      <c r="L13" s="575">
        <f t="shared" si="18"/>
        <v>1.0078789998096649</v>
      </c>
      <c r="M13" s="583"/>
      <c r="N13" s="577">
        <f t="shared" si="3"/>
        <v>2023</v>
      </c>
      <c r="O13" s="574">
        <f>AVERAGEIFS('Monthly Data'!AW:AW,'Monthly Data'!$B:$B,$B13)</f>
        <v>1030.4583333333335</v>
      </c>
      <c r="P13" s="575">
        <f t="shared" si="19"/>
        <v>0.99345223748694478</v>
      </c>
      <c r="Q13" s="575"/>
      <c r="R13" s="575"/>
      <c r="S13" s="583"/>
      <c r="T13" s="577">
        <f t="shared" si="4"/>
        <v>2023</v>
      </c>
      <c r="U13" s="574">
        <f>AVERAGEIFS('Monthly Data'!AX:AX,'Monthly Data'!$B:$B,$B13)</f>
        <v>5</v>
      </c>
      <c r="V13" s="575">
        <f t="shared" si="20"/>
        <v>0.91603053435114468</v>
      </c>
      <c r="W13" s="575"/>
      <c r="X13" s="575"/>
      <c r="Y13" s="583"/>
      <c r="Z13" s="577">
        <f t="shared" si="5"/>
        <v>2023</v>
      </c>
      <c r="AA13" s="574">
        <f>AVERAGEIFS('Monthly Data'!AY:AY,'Monthly Data'!$B:$B,$B13)</f>
        <v>4.5416666666666652</v>
      </c>
      <c r="AB13" s="575">
        <f t="shared" si="31"/>
        <v>1.1354166666666663</v>
      </c>
      <c r="AC13" s="575"/>
      <c r="AD13" s="575"/>
      <c r="AE13" s="575"/>
      <c r="AF13" s="577">
        <f t="shared" si="6"/>
        <v>2023</v>
      </c>
      <c r="AG13" s="574">
        <f>AVERAGEIFS('Monthly Data'!AZ:AZ,'Monthly Data'!$B:$B,$B13)</f>
        <v>32131.541666666657</v>
      </c>
      <c r="AH13" s="575">
        <f t="shared" si="21"/>
        <v>1.0105834111975007</v>
      </c>
      <c r="AI13" s="583"/>
      <c r="AJ13" s="577">
        <f t="shared" si="7"/>
        <v>2023</v>
      </c>
      <c r="AK13" s="574">
        <f>AVERAGEIFS('Monthly Data'!BA:BA,'Monthly Data'!$B:$B,$B13)</f>
        <v>242.83333333333326</v>
      </c>
      <c r="AL13" s="575">
        <f t="shared" si="22"/>
        <v>0.98746187732971813</v>
      </c>
      <c r="AM13" s="583"/>
      <c r="AN13" s="577">
        <f t="shared" si="8"/>
        <v>2023</v>
      </c>
      <c r="AO13" s="574">
        <f>AVERAGEIFS('Monthly Data'!BB:BB,'Monthly Data'!$B:$B,$B13)</f>
        <v>797.91666666666697</v>
      </c>
      <c r="AP13" s="575">
        <f t="shared" si="23"/>
        <v>0.99635796045785718</v>
      </c>
      <c r="AQ13" s="589"/>
      <c r="AS13" s="577">
        <f t="shared" si="9"/>
        <v>2023</v>
      </c>
      <c r="AT13" s="574">
        <f>AVERAGEIFS('Monthly Data'!CG:CG,'Monthly Data'!$B:$B,$B13)</f>
        <v>44945.416666666686</v>
      </c>
      <c r="AU13" s="575">
        <f t="shared" ref="AU13:AU14" si="32">AT13/AT12</f>
        <v>1.0211724611270205</v>
      </c>
      <c r="AV13" s="583"/>
      <c r="AW13" s="577">
        <f t="shared" si="10"/>
        <v>2023</v>
      </c>
      <c r="AX13" s="574">
        <f>AVERAGEIFS('Monthly Data'!CH:CH,'Monthly Data'!$B:$B,$B13)</f>
        <v>2435.2916666666674</v>
      </c>
      <c r="AY13" s="575">
        <f t="shared" ref="AY13:AY14" si="33">AX13/AX12</f>
        <v>1.0216935286508415</v>
      </c>
      <c r="AZ13" s="583"/>
      <c r="BA13" s="577">
        <f t="shared" si="11"/>
        <v>2023</v>
      </c>
      <c r="BB13" s="574">
        <f>AVERAGEIFS('Monthly Data'!CI:CI,'Monthly Data'!$B:$B,$B13)</f>
        <v>383.33333333333348</v>
      </c>
      <c r="BC13" s="575">
        <f t="shared" ref="BC13:BC14" si="34">BB13/BB12</f>
        <v>0.99223468507333912</v>
      </c>
      <c r="BD13" s="575"/>
      <c r="BE13" s="575"/>
      <c r="BF13" s="583"/>
      <c r="BG13" s="577">
        <f t="shared" si="12"/>
        <v>2023</v>
      </c>
      <c r="BH13" s="574">
        <f>AVERAGEIFS('Monthly Data'!CJ:CJ,'Monthly Data'!$B:$B,$B13)</f>
        <v>3</v>
      </c>
      <c r="BI13" s="575">
        <f t="shared" ref="BI13:BI14" si="35">BH13/BH12</f>
        <v>1</v>
      </c>
      <c r="BJ13" s="575"/>
      <c r="BK13" s="575"/>
      <c r="BL13" s="583"/>
      <c r="BM13" s="577">
        <f t="shared" si="13"/>
        <v>2023</v>
      </c>
      <c r="BN13" s="574">
        <f>AVERAGEIFS('Monthly Data'!CK:CK,'Monthly Data'!$B:$B,$B13)</f>
        <v>13555.45833333333</v>
      </c>
      <c r="BO13" s="575">
        <f t="shared" ref="BO13:BO14" si="36">BN13/BN12</f>
        <v>1.0159291759048179</v>
      </c>
      <c r="BP13" s="583"/>
      <c r="BQ13" s="577">
        <f t="shared" si="14"/>
        <v>2023</v>
      </c>
      <c r="BR13" s="574">
        <f>AVERAGEIFS('Monthly Data'!CL:CL,'Monthly Data'!$B:$B,$B13)</f>
        <v>46</v>
      </c>
      <c r="BS13" s="575">
        <f t="shared" ref="BS13:BS14" si="37">BR13/BR12</f>
        <v>0.9901345291479825</v>
      </c>
      <c r="BT13" s="575"/>
      <c r="BU13" s="577">
        <f t="shared" ref="BU13:BU14" si="38">BG13</f>
        <v>2023</v>
      </c>
      <c r="BV13" s="574">
        <f>AVERAGEIFS('Monthly Data'!CM:CM,'Monthly Data'!$B:$B,$B13)</f>
        <v>400.5</v>
      </c>
      <c r="BW13" s="575">
        <f t="shared" ref="BW13:BW14" si="39">BV13/BV12</f>
        <v>1.0188679245283014</v>
      </c>
      <c r="CI13" s="9"/>
    </row>
    <row r="14" spans="2:87">
      <c r="B14" s="577">
        <f t="shared" si="0"/>
        <v>2024</v>
      </c>
      <c r="C14" s="574">
        <f>AVERAGEIFS('Monthly Data'!AT:AT,'Monthly Data'!$B:$B,$B14)</f>
        <v>117456.375</v>
      </c>
      <c r="D14" s="575">
        <f t="shared" si="16"/>
        <v>1.0152758524191448</v>
      </c>
      <c r="E14" s="583"/>
      <c r="F14" s="577">
        <f t="shared" si="1"/>
        <v>2024</v>
      </c>
      <c r="G14" s="574">
        <f>AVERAGEIFS('Monthly Data'!AU:AU,'Monthly Data'!$B:$B,$B14)</f>
        <v>1561.8333333333339</v>
      </c>
      <c r="H14" s="575">
        <f t="shared" ref="H14" si="40">G14/G13</f>
        <v>0.99949337386342463</v>
      </c>
      <c r="I14" s="583"/>
      <c r="J14" s="577">
        <f t="shared" si="2"/>
        <v>2024</v>
      </c>
      <c r="K14" s="574">
        <f>AVERAGEIFS('Monthly Data'!AV:AV,'Monthly Data'!$B:$B,$B14)</f>
        <v>9501.875</v>
      </c>
      <c r="L14" s="575">
        <f t="shared" ref="L14" si="41">K14/K13</f>
        <v>1.0015283468820406</v>
      </c>
      <c r="M14" s="583"/>
      <c r="N14" s="577">
        <f t="shared" si="3"/>
        <v>2024</v>
      </c>
      <c r="O14" s="574">
        <f>AVERAGEIFS('Monthly Data'!AW:AW,'Monthly Data'!$B:$B,$B14)</f>
        <v>1059.4166666666663</v>
      </c>
      <c r="P14" s="575">
        <f t="shared" ref="P14" si="42">O14/O13</f>
        <v>1.0281023816262984</v>
      </c>
      <c r="Q14" s="575"/>
      <c r="R14" s="575"/>
      <c r="S14" s="583"/>
      <c r="T14" s="577">
        <f t="shared" si="4"/>
        <v>2024</v>
      </c>
      <c r="U14" s="574">
        <f>AVERAGEIFS('Monthly Data'!AX:AX,'Monthly Data'!$B:$B,$B14)</f>
        <v>5</v>
      </c>
      <c r="V14" s="575">
        <f t="shared" ref="V14" si="43">U14/U13</f>
        <v>1</v>
      </c>
      <c r="W14" s="575"/>
      <c r="X14" s="575"/>
      <c r="Y14" s="583"/>
      <c r="Z14" s="577">
        <f t="shared" si="5"/>
        <v>2024</v>
      </c>
      <c r="AA14" s="574">
        <f>AVERAGEIFS('Monthly Data'!AY:AY,'Monthly Data'!$B:$B,$B14)</f>
        <v>5</v>
      </c>
      <c r="AB14" s="575">
        <f t="shared" ref="AB14" si="44">AA14/AA13</f>
        <v>1.1009174311926608</v>
      </c>
      <c r="AC14" s="575"/>
      <c r="AD14" s="575"/>
      <c r="AE14" s="597"/>
      <c r="AF14" s="577">
        <f t="shared" ref="AF14" si="45">N14</f>
        <v>2024</v>
      </c>
      <c r="AG14" s="574">
        <f>AVERAGEIFS('Monthly Data'!AZ:AZ,'Monthly Data'!$B:$B,$B14)</f>
        <v>32717.416666666661</v>
      </c>
      <c r="AH14" s="575">
        <f t="shared" ref="AH14" si="46">AG14/AG13</f>
        <v>1.0182336411392234</v>
      </c>
      <c r="AI14" s="583"/>
      <c r="AJ14" s="577">
        <f t="shared" si="7"/>
        <v>2024</v>
      </c>
      <c r="AK14" s="574">
        <f>AVERAGEIFS('Monthly Data'!BA:BA,'Monthly Data'!$B:$B,$B14)</f>
        <v>238.29166666666674</v>
      </c>
      <c r="AL14" s="575">
        <f t="shared" ref="AL14" si="47">AK14/AK13</f>
        <v>0.98129718599862792</v>
      </c>
      <c r="AM14" s="583"/>
      <c r="AN14" s="577">
        <f t="shared" si="8"/>
        <v>2024</v>
      </c>
      <c r="AO14" s="574">
        <f>AVERAGEIFS('Monthly Data'!BB:BB,'Monthly Data'!$B:$B,$B14)</f>
        <v>769.91666666666697</v>
      </c>
      <c r="AP14" s="575">
        <f t="shared" ref="AP14" si="48">AO14/AO13</f>
        <v>0.96490861618798962</v>
      </c>
      <c r="AQ14" s="579"/>
      <c r="AS14" s="577">
        <f t="shared" si="9"/>
        <v>2024</v>
      </c>
      <c r="AT14" s="574">
        <f>AVERAGEIFS('Monthly Data'!CG:CG,'Monthly Data'!$B:$B,$B14)</f>
        <v>45520.625</v>
      </c>
      <c r="AU14" s="575">
        <f t="shared" si="32"/>
        <v>1.0127979308234984</v>
      </c>
      <c r="AV14" s="583"/>
      <c r="AW14" s="577">
        <f t="shared" si="10"/>
        <v>2024</v>
      </c>
      <c r="AX14" s="574">
        <f>AVERAGEIFS('Monthly Data'!CH:CH,'Monthly Data'!$B:$B,$B14)</f>
        <v>2464.75</v>
      </c>
      <c r="AY14" s="575">
        <f t="shared" si="33"/>
        <v>1.0120964292435879</v>
      </c>
      <c r="AZ14" s="583"/>
      <c r="BA14" s="577">
        <f t="shared" si="11"/>
        <v>2024</v>
      </c>
      <c r="BB14" s="574">
        <f>AVERAGEIFS('Monthly Data'!CI:CI,'Monthly Data'!$B:$B,$B14)</f>
        <v>388.625</v>
      </c>
      <c r="BC14" s="575">
        <f t="shared" si="34"/>
        <v>1.0138043478260865</v>
      </c>
      <c r="BD14" s="575"/>
      <c r="BE14" s="575"/>
      <c r="BF14" s="583"/>
      <c r="BG14" s="577">
        <f t="shared" si="12"/>
        <v>2024</v>
      </c>
      <c r="BH14" s="574">
        <f>AVERAGEIFS('Monthly Data'!CJ:CJ,'Monthly Data'!$B:$B,$B14)</f>
        <v>3</v>
      </c>
      <c r="BI14" s="575">
        <f t="shared" si="35"/>
        <v>1</v>
      </c>
      <c r="BJ14" s="575"/>
      <c r="BK14" s="575"/>
      <c r="BL14" s="583"/>
      <c r="BM14" s="577">
        <f t="shared" si="13"/>
        <v>2024</v>
      </c>
      <c r="BN14" s="574">
        <f>AVERAGEIFS('Monthly Data'!CK:CK,'Monthly Data'!$B:$B,$B14)</f>
        <v>13708</v>
      </c>
      <c r="BO14" s="575">
        <f t="shared" si="36"/>
        <v>1.0112531544795917</v>
      </c>
      <c r="BP14" s="583"/>
      <c r="BQ14" s="577">
        <f t="shared" si="14"/>
        <v>2024</v>
      </c>
      <c r="BR14" s="574">
        <f>AVERAGEIFS('Monthly Data'!CL:CL,'Monthly Data'!$B:$B,$B14)</f>
        <v>45.458333333333314</v>
      </c>
      <c r="BS14" s="575">
        <f t="shared" si="37"/>
        <v>0.98822463768115898</v>
      </c>
      <c r="BT14" s="575"/>
      <c r="BU14" s="577">
        <f t="shared" si="38"/>
        <v>2024</v>
      </c>
      <c r="BV14" s="574">
        <f>AVERAGEIFS('Monthly Data'!CM:CM,'Monthly Data'!$B:$B,$B14)</f>
        <v>396.25</v>
      </c>
      <c r="BW14" s="575">
        <f t="shared" si="39"/>
        <v>0.98938826466916352</v>
      </c>
    </row>
    <row r="15" spans="2:87">
      <c r="B15" s="583">
        <f>B14+1</f>
        <v>2025</v>
      </c>
      <c r="C15" s="578">
        <f ca="1">C14*D15</f>
        <v>119658.08251290793</v>
      </c>
      <c r="D15" s="580">
        <f ca="1">AVERAGE(1+OFFSET('Additional Growth'!$I$27,0,ROW()-ROW($D$15)),GEOMEAN($D$6:$D$14),'Additional Growth'!G41)</f>
        <v>1.0187448958211756</v>
      </c>
      <c r="E15" s="752"/>
      <c r="F15" s="583">
        <f>F14+1</f>
        <v>2025</v>
      </c>
      <c r="G15" s="578">
        <f>G14*H15</f>
        <v>1558.5157008672784</v>
      </c>
      <c r="H15" s="580">
        <f>GEOMEAN($H$6:$H$14)</f>
        <v>0.99787580890018857</v>
      </c>
      <c r="I15" s="576"/>
      <c r="J15" s="583">
        <f>J14+1</f>
        <v>2025</v>
      </c>
      <c r="K15" s="630">
        <f>AVERAGE(K47:K58)</f>
        <v>9543.9881818488975</v>
      </c>
      <c r="L15" s="597">
        <f>GEOMEAN(L6:L14)</f>
        <v>1.0073859629318815</v>
      </c>
      <c r="M15" s="583"/>
      <c r="N15" s="583">
        <f>N14+1</f>
        <v>2025</v>
      </c>
      <c r="O15" s="630">
        <f>AVERAGE(O47:O58)</f>
        <v>1075.3470666497312</v>
      </c>
      <c r="P15" s="597">
        <f>GEOMEAN(P6:P14)</f>
        <v>1.0005960900184245</v>
      </c>
      <c r="Q15" s="592">
        <v>5.0100000000000016</v>
      </c>
      <c r="R15" s="582">
        <f>O15+SUM($Q$15:Q15)</f>
        <v>1080.3570666497312</v>
      </c>
      <c r="S15" s="583"/>
      <c r="T15" s="583">
        <f>T14+1</f>
        <v>2025</v>
      </c>
      <c r="U15" s="581">
        <f t="shared" ref="U15:U21" si="49">U14</f>
        <v>5</v>
      </c>
      <c r="V15" s="597">
        <f>U15/U14</f>
        <v>1</v>
      </c>
      <c r="W15" s="592">
        <v>3.5999999999999996</v>
      </c>
      <c r="X15" s="582">
        <f>U15+W15/2</f>
        <v>6.8</v>
      </c>
      <c r="Y15" s="583"/>
      <c r="Z15" s="583">
        <f>Z14+1</f>
        <v>2025</v>
      </c>
      <c r="AA15" s="581">
        <f t="shared" ref="AA15:AA21" si="50">AA14</f>
        <v>5</v>
      </c>
      <c r="AB15" s="629">
        <f>AA15/AA14</f>
        <v>1</v>
      </c>
      <c r="AC15" s="592">
        <v>0.82500000000000007</v>
      </c>
      <c r="AD15" s="582">
        <f>AA15+AC15/2</f>
        <v>5.4124999999999996</v>
      </c>
      <c r="AE15" s="597"/>
      <c r="AF15" s="583">
        <f>AF14+1</f>
        <v>2025</v>
      </c>
      <c r="AG15" s="578">
        <f>AG14*AH15</f>
        <v>33053.711877799957</v>
      </c>
      <c r="AH15" s="597">
        <f>GEOMEAN(AH6:AH14)</f>
        <v>1.0102787825383512</v>
      </c>
      <c r="AI15" s="583"/>
      <c r="AJ15" s="583">
        <f>AJ14+1</f>
        <v>2025</v>
      </c>
      <c r="AK15" s="578">
        <f>AK14*AL15</f>
        <v>234.25982478178059</v>
      </c>
      <c r="AL15" s="580">
        <f>GEOMEAN(AL11:AL14)</f>
        <v>0.98308022289958608</v>
      </c>
      <c r="AN15" s="583">
        <f>AN14+1</f>
        <v>2025</v>
      </c>
      <c r="AO15" s="630">
        <f>AVERAGE(AO47:AO58)</f>
        <v>741.40363373070261</v>
      </c>
      <c r="AP15" s="597">
        <f>GEOMEAN(AP6:AP14)</f>
        <v>0.98619830993244584</v>
      </c>
      <c r="AQ15" s="579"/>
      <c r="AS15" s="583">
        <f>AS14+1</f>
        <v>2025</v>
      </c>
      <c r="AT15" s="578">
        <f ca="1">AT14*AU15</f>
        <v>46436.563069453616</v>
      </c>
      <c r="AU15" s="580">
        <f ca="1">AVERAGE(1+OFFSET('Additional Growth'!$I$29,0,ROW()-ROW($D$15)),GEOMEAN($AU$6:$AU$14),'Additional Growth'!G41)</f>
        <v>1.0201213860629905</v>
      </c>
      <c r="AV15" s="576"/>
      <c r="AW15" s="583">
        <f>AW14+1</f>
        <v>2025</v>
      </c>
      <c r="AX15" s="578">
        <f>AX14*AY15</f>
        <v>2499.8378600249093</v>
      </c>
      <c r="AY15" s="597">
        <f>GEOMEAN(AY7:AY14)</f>
        <v>1.0142358697737739</v>
      </c>
      <c r="AZ15" s="583"/>
      <c r="BA15" s="583">
        <f>BA14+1</f>
        <v>2025</v>
      </c>
      <c r="BB15" s="581">
        <f>BB14*BC15</f>
        <v>391.16928824658078</v>
      </c>
      <c r="BC15" s="597">
        <f>GEOMEAN(BC6:BC14)</f>
        <v>1.0065468980291561</v>
      </c>
      <c r="BD15" s="592">
        <v>5.7299999999999986</v>
      </c>
      <c r="BE15" s="582">
        <f>BB15+BD15/2</f>
        <v>394.03428824658079</v>
      </c>
      <c r="BF15" s="583"/>
      <c r="BG15" s="583">
        <f>BG14+1</f>
        <v>2025</v>
      </c>
      <c r="BH15" s="581">
        <f t="shared" ref="BH15:BH21" si="51">BH14*BI15</f>
        <v>3</v>
      </c>
      <c r="BI15" s="597">
        <f>BI14</f>
        <v>1</v>
      </c>
      <c r="BJ15" s="592">
        <v>1.8599999999999999</v>
      </c>
      <c r="BK15" s="582">
        <f>BH15+BJ15/2</f>
        <v>3.9299999999999997</v>
      </c>
      <c r="BL15" s="583"/>
      <c r="BM15" s="583">
        <f>BM14+1</f>
        <v>2025</v>
      </c>
      <c r="BN15" s="578">
        <f>BN14*BO15</f>
        <v>13934.650879118182</v>
      </c>
      <c r="BO15" s="597">
        <f>GEOMEAN(BO6:BO14)</f>
        <v>1.016534204779558</v>
      </c>
      <c r="BP15" s="583"/>
      <c r="BQ15" s="583">
        <f>BQ14+1</f>
        <v>2025</v>
      </c>
      <c r="BR15" s="578">
        <f>BR14*BS15</f>
        <v>46.061262694763407</v>
      </c>
      <c r="BS15" s="597">
        <f>GEOMEAN(BS6:BS14)</f>
        <v>1.0132633406730727</v>
      </c>
      <c r="BT15" s="597"/>
      <c r="BU15" s="583">
        <f>BU14+1</f>
        <v>2025</v>
      </c>
      <c r="BV15" s="630">
        <f>AVERAGE(BV47:BV58)</f>
        <v>389.08499529412256</v>
      </c>
      <c r="BW15" s="597">
        <f>GEOMEAN(BW6:BW14)</f>
        <v>1.0051666147331157</v>
      </c>
    </row>
    <row r="16" spans="2:87">
      <c r="B16" s="583">
        <f t="shared" si="0"/>
        <v>2026</v>
      </c>
      <c r="C16" s="578">
        <f ca="1">C15*D16</f>
        <v>122101.82410195106</v>
      </c>
      <c r="D16" s="580">
        <f ca="1">AVERAGE(1+OFFSET('Additional Growth'!$I$27,0,ROW()-ROW($D$15)),GEOMEAN($D$6:$D$14),'Additional Growth'!G42)</f>
        <v>1.0204227039053506</v>
      </c>
      <c r="E16" s="752"/>
      <c r="F16" s="583">
        <f t="shared" ref="F16:F21" si="52">F15+1</f>
        <v>2026</v>
      </c>
      <c r="G16" s="578">
        <f>G15*H16</f>
        <v>1555.2051156865798</v>
      </c>
      <c r="H16" s="580">
        <f t="shared" ref="H16:H21" si="53">GEOMEAN($H$6:$H$14)</f>
        <v>0.99787580890018857</v>
      </c>
      <c r="I16" s="576"/>
      <c r="J16" s="583">
        <f t="shared" ref="J16:J21" si="54">J15+1</f>
        <v>2026</v>
      </c>
      <c r="K16" s="578">
        <f>K15*L16</f>
        <v>9614.4797247823481</v>
      </c>
      <c r="L16" s="597">
        <f>L15</f>
        <v>1.0073859629318815</v>
      </c>
      <c r="M16" s="583"/>
      <c r="N16" s="583">
        <f t="shared" ref="N16:N21" si="55">N15+1</f>
        <v>2026</v>
      </c>
      <c r="O16" s="581">
        <f t="shared" ref="O16:O21" si="56">O15*P16</f>
        <v>1075.9880703025033</v>
      </c>
      <c r="P16" s="597">
        <f>P15</f>
        <v>1.0005960900184245</v>
      </c>
      <c r="Q16" s="592">
        <v>8.57</v>
      </c>
      <c r="R16" s="582">
        <f>O16+SUM($Q$15:Q16)</f>
        <v>1089.5680703025032</v>
      </c>
      <c r="S16" s="583"/>
      <c r="T16" s="583">
        <f t="shared" ref="T16:T21" si="57">T15+1</f>
        <v>2026</v>
      </c>
      <c r="U16" s="581">
        <f t="shared" si="49"/>
        <v>5</v>
      </c>
      <c r="V16" s="597">
        <f t="shared" ref="V16:V21" si="58">U16/U15</f>
        <v>1</v>
      </c>
      <c r="W16" s="592">
        <v>3.2700000000000005</v>
      </c>
      <c r="X16" s="582">
        <f>U16+SUM(W$15:W15)+W16/2</f>
        <v>10.234999999999999</v>
      </c>
      <c r="Y16" s="583"/>
      <c r="Z16" s="583">
        <f t="shared" ref="Z16:Z21" si="59">Z15+1</f>
        <v>2026</v>
      </c>
      <c r="AA16" s="581">
        <f t="shared" si="50"/>
        <v>5</v>
      </c>
      <c r="AB16" s="597">
        <f t="shared" ref="AB16:AB21" si="60">AA16/AA15</f>
        <v>1</v>
      </c>
      <c r="AC16" s="592">
        <v>0.54500000000000004</v>
      </c>
      <c r="AD16" s="582">
        <f>AA16+SUM(AC$15:AC15)+AC16/2</f>
        <v>6.0975000000000001</v>
      </c>
      <c r="AE16" s="597"/>
      <c r="AF16" s="583">
        <f t="shared" ref="AF16:AF21" si="61">AF15+1</f>
        <v>2026</v>
      </c>
      <c r="AG16" s="578">
        <f>AG15*AH16</f>
        <v>33393.463794277181</v>
      </c>
      <c r="AH16" s="597">
        <f>AH15</f>
        <v>1.0102787825383512</v>
      </c>
      <c r="AI16" s="583"/>
      <c r="AJ16" s="583">
        <f t="shared" ref="AJ16:AJ21" si="62">AJ15+1</f>
        <v>2026</v>
      </c>
      <c r="AK16" s="578">
        <f>AK15*AL16</f>
        <v>230.29620076289083</v>
      </c>
      <c r="AL16" s="597">
        <f>AL15</f>
        <v>0.98308022289958608</v>
      </c>
      <c r="AN16" s="583">
        <f t="shared" ref="AN16:AN21" si="63">AN15+1</f>
        <v>2026</v>
      </c>
      <c r="AO16" s="578">
        <f>AO15*AP16</f>
        <v>731.17101056299305</v>
      </c>
      <c r="AP16" s="597">
        <f>AP15</f>
        <v>0.98619830993244584</v>
      </c>
      <c r="AQ16" s="579"/>
      <c r="AS16" s="583">
        <f t="shared" si="9"/>
        <v>2026</v>
      </c>
      <c r="AT16" s="578">
        <f t="shared" ref="AT16:AT21" ca="1" si="64">AT15*AU16</f>
        <v>47323.86823971742</v>
      </c>
      <c r="AU16" s="580">
        <f ca="1">AVERAGE(1+OFFSET('Additional Growth'!$I$29,0,ROW()-ROW($D$15)),GEOMEAN($AU$6:$AU$14),'Additional Growth'!G42)</f>
        <v>1.019107899284809</v>
      </c>
      <c r="AV16" s="576"/>
      <c r="AW16" s="583">
        <f t="shared" ref="AW16:AW21" si="65">AW15+1</f>
        <v>2026</v>
      </c>
      <c r="AX16" s="578">
        <f>AX15*AY16</f>
        <v>2535.4252262557734</v>
      </c>
      <c r="AY16" s="597">
        <f>AY15</f>
        <v>1.0142358697737739</v>
      </c>
      <c r="AZ16" s="583"/>
      <c r="BA16" s="583">
        <f t="shared" ref="BA16:BA21" si="66">BA15+1</f>
        <v>2026</v>
      </c>
      <c r="BB16" s="581">
        <f t="shared" ref="BB16:BB21" si="67">BB15*BC16</f>
        <v>393.73023368886868</v>
      </c>
      <c r="BC16" s="597">
        <f>BC15</f>
        <v>1.0065468980291561</v>
      </c>
      <c r="BD16" s="592">
        <v>3.7549999999999999</v>
      </c>
      <c r="BE16" s="582">
        <f>BB16+SUM(BD$15:BD15)+BD16/2</f>
        <v>401.3377336888687</v>
      </c>
      <c r="BF16" s="583"/>
      <c r="BG16" s="583">
        <f t="shared" ref="BG16:BG21" si="68">BG15+1</f>
        <v>2026</v>
      </c>
      <c r="BH16" s="581">
        <f t="shared" si="51"/>
        <v>3</v>
      </c>
      <c r="BI16" s="597">
        <f t="shared" ref="BI16:BI21" si="69">BI15</f>
        <v>1</v>
      </c>
      <c r="BJ16" s="592">
        <v>1.37</v>
      </c>
      <c r="BK16" s="582">
        <f>BH16+SUM(BJ$15:BJ15)+BJ16/2</f>
        <v>5.5449999999999999</v>
      </c>
      <c r="BL16" s="583"/>
      <c r="BM16" s="583">
        <f t="shared" ref="BM16:BM21" si="70">BM15+1</f>
        <v>2026</v>
      </c>
      <c r="BN16" s="578">
        <f>BN15*BO16</f>
        <v>14165.04925028517</v>
      </c>
      <c r="BO16" s="597">
        <f>BO15</f>
        <v>1.016534204779558</v>
      </c>
      <c r="BP16" s="583"/>
      <c r="BQ16" s="583">
        <f t="shared" ref="BQ16:BQ21" si="71">BQ15+1</f>
        <v>2026</v>
      </c>
      <c r="BR16" s="578">
        <f>BR15*BS16</f>
        <v>46.672188913715949</v>
      </c>
      <c r="BS16" s="597">
        <f>BS15</f>
        <v>1.0132633406730727</v>
      </c>
      <c r="BT16" s="597"/>
      <c r="BU16" s="583">
        <f t="shared" ref="BU16:BU21" si="72">BU15+1</f>
        <v>2026</v>
      </c>
      <c r="BV16" s="578">
        <f>BV15*BW16</f>
        <v>391.09524756324345</v>
      </c>
      <c r="BW16" s="597">
        <f>BW15</f>
        <v>1.0051666147331157</v>
      </c>
    </row>
    <row r="17" spans="1:86">
      <c r="B17" s="583">
        <f t="shared" si="0"/>
        <v>2027</v>
      </c>
      <c r="C17" s="578">
        <f t="shared" ref="C17:C20" ca="1" si="73">C16*D17</f>
        <v>124619.26455933102</v>
      </c>
      <c r="D17" s="580">
        <f ca="1">AVERAGE(1+OFFSET('Additional Growth'!$I$27,0,ROW()-ROW($D$15)),GEOMEAN($D$6:$D$14),'Additional Growth'!G43)</f>
        <v>1.0206175499497696</v>
      </c>
      <c r="E17" s="752"/>
      <c r="F17" s="583">
        <f t="shared" si="52"/>
        <v>2027</v>
      </c>
      <c r="G17" s="578">
        <f t="shared" ref="G17:G20" si="74">G16*H17</f>
        <v>1551.9015628214572</v>
      </c>
      <c r="H17" s="580">
        <f t="shared" si="53"/>
        <v>0.99787580890018857</v>
      </c>
      <c r="I17" s="576"/>
      <c r="J17" s="583">
        <f t="shared" si="54"/>
        <v>2027</v>
      </c>
      <c r="K17" s="578">
        <f t="shared" ref="K17:K20" si="75">K16*L17</f>
        <v>9685.4919156389169</v>
      </c>
      <c r="L17" s="597">
        <f t="shared" ref="L17:L20" si="76">L16</f>
        <v>1.0073859629318815</v>
      </c>
      <c r="M17" s="583"/>
      <c r="N17" s="583">
        <f t="shared" si="55"/>
        <v>2027</v>
      </c>
      <c r="O17" s="581">
        <f t="shared" si="56"/>
        <v>1076.6294560511544</v>
      </c>
      <c r="P17" s="597">
        <f t="shared" ref="P17:P20" si="77">P16</f>
        <v>1.0005960900184245</v>
      </c>
      <c r="Q17" s="592">
        <v>4.0999999999999996</v>
      </c>
      <c r="R17" s="582">
        <f>O17+SUM($Q$15:Q17)</f>
        <v>1094.3094560511545</v>
      </c>
      <c r="S17" s="583"/>
      <c r="T17" s="583">
        <f t="shared" si="57"/>
        <v>2027</v>
      </c>
      <c r="U17" s="581">
        <f t="shared" si="49"/>
        <v>5</v>
      </c>
      <c r="V17" s="597">
        <f t="shared" si="58"/>
        <v>1</v>
      </c>
      <c r="W17" s="592">
        <v>0.3600000000000001</v>
      </c>
      <c r="X17" s="582">
        <f>U17+SUM(W$15:W16)+W17/2</f>
        <v>12.05</v>
      </c>
      <c r="Y17" s="583"/>
      <c r="Z17" s="583">
        <f t="shared" si="59"/>
        <v>2027</v>
      </c>
      <c r="AA17" s="581">
        <f t="shared" si="50"/>
        <v>5</v>
      </c>
      <c r="AB17" s="597">
        <f t="shared" si="60"/>
        <v>1</v>
      </c>
      <c r="AC17" s="592">
        <v>1.5149999999999999</v>
      </c>
      <c r="AD17" s="582">
        <f>AA17+SUM(AC$15:AC16)+AC17/2</f>
        <v>7.1275000000000004</v>
      </c>
      <c r="AE17" s="597"/>
      <c r="AF17" s="583">
        <f t="shared" si="61"/>
        <v>2027</v>
      </c>
      <c r="AG17" s="578">
        <f t="shared" ref="AG17:AG20" si="78">AG16*AH17</f>
        <v>33736.707946820861</v>
      </c>
      <c r="AH17" s="597">
        <f t="shared" ref="AH17:AH20" si="79">AH16</f>
        <v>1.0102787825383512</v>
      </c>
      <c r="AI17" s="583"/>
      <c r="AJ17" s="583">
        <f t="shared" si="62"/>
        <v>2027</v>
      </c>
      <c r="AK17" s="578">
        <f t="shared" ref="AK17:AK20" si="80">AK16*AL17</f>
        <v>226.39964037891053</v>
      </c>
      <c r="AL17" s="597">
        <f t="shared" ref="AL17:AL20" si="81">AL16</f>
        <v>0.98308022289958608</v>
      </c>
      <c r="AN17" s="583">
        <f t="shared" si="63"/>
        <v>2027</v>
      </c>
      <c r="AO17" s="578">
        <f t="shared" ref="AO17:AO20" si="82">AO16*AP17</f>
        <v>721.07961488882222</v>
      </c>
      <c r="AP17" s="597">
        <f t="shared" ref="AP17:AP20" si="83">AP16</f>
        <v>0.98619830993244584</v>
      </c>
      <c r="AQ17" s="579"/>
      <c r="AS17" s="583">
        <f t="shared" si="9"/>
        <v>2027</v>
      </c>
      <c r="AT17" s="578">
        <f t="shared" ca="1" si="64"/>
        <v>48234.426518722685</v>
      </c>
      <c r="AU17" s="580">
        <f ca="1">AVERAGE(1+OFFSET('Additional Growth'!$I$29,0,ROW()-ROW($D$15)),GEOMEAN($AU$6:$AU$14),'Additional Growth'!G43)</f>
        <v>1.0192409942989626</v>
      </c>
      <c r="AV17" s="576"/>
      <c r="AW17" s="583">
        <f t="shared" si="65"/>
        <v>2027</v>
      </c>
      <c r="AX17" s="578">
        <f t="shared" ref="AX17:AX20" si="84">AX16*AY17</f>
        <v>2571.5192095978919</v>
      </c>
      <c r="AY17" s="597">
        <f t="shared" ref="AY17:AY20" si="85">AY16</f>
        <v>1.0142358697737739</v>
      </c>
      <c r="AZ17" s="583"/>
      <c r="BA17" s="583">
        <f t="shared" si="66"/>
        <v>2027</v>
      </c>
      <c r="BB17" s="581">
        <f t="shared" si="67"/>
        <v>396.30794537982553</v>
      </c>
      <c r="BC17" s="597">
        <f t="shared" ref="BC17:BC20" si="86">BC16</f>
        <v>1.0065468980291561</v>
      </c>
      <c r="BD17" s="592">
        <v>2.79</v>
      </c>
      <c r="BE17" s="582">
        <f>BB17+SUM(BD$15:BD16)+BD17/2</f>
        <v>407.18794537982552</v>
      </c>
      <c r="BF17" s="583"/>
      <c r="BG17" s="583">
        <f t="shared" si="68"/>
        <v>2027</v>
      </c>
      <c r="BH17" s="581">
        <f t="shared" si="51"/>
        <v>3</v>
      </c>
      <c r="BI17" s="597">
        <f t="shared" si="69"/>
        <v>1</v>
      </c>
      <c r="BJ17" s="592">
        <v>0.25</v>
      </c>
      <c r="BK17" s="582">
        <f>BH17+SUM(BJ$15:BJ16)+BJ17/2</f>
        <v>6.3550000000000004</v>
      </c>
      <c r="BL17" s="583"/>
      <c r="BM17" s="583">
        <f t="shared" si="70"/>
        <v>2027</v>
      </c>
      <c r="BN17" s="578">
        <f t="shared" ref="BN17:BN20" si="87">BN16*BO17</f>
        <v>14399.25707530191</v>
      </c>
      <c r="BO17" s="597">
        <f t="shared" ref="BO17:BO20" si="88">BO16</f>
        <v>1.016534204779558</v>
      </c>
      <c r="BP17" s="583"/>
      <c r="BQ17" s="583">
        <f t="shared" si="71"/>
        <v>2027</v>
      </c>
      <c r="BR17" s="578">
        <f t="shared" ref="BR17:BR20" si="89">BR16*BS17</f>
        <v>47.29121805523657</v>
      </c>
      <c r="BS17" s="597">
        <f t="shared" ref="BS17:BS20" si="90">BS16</f>
        <v>1.0132633406730727</v>
      </c>
      <c r="BT17" s="597"/>
      <c r="BU17" s="583">
        <f t="shared" si="72"/>
        <v>2027</v>
      </c>
      <c r="BV17" s="578">
        <f t="shared" ref="BV17:BV20" si="91">BV16*BW17</f>
        <v>393.11588603135527</v>
      </c>
      <c r="BW17" s="597">
        <f t="shared" ref="BW17:BW20" si="92">BW16</f>
        <v>1.0051666147331157</v>
      </c>
    </row>
    <row r="18" spans="1:86">
      <c r="B18" s="583">
        <f t="shared" si="0"/>
        <v>2028</v>
      </c>
      <c r="C18" s="578">
        <f t="shared" ca="1" si="73"/>
        <v>127084.20705650066</v>
      </c>
      <c r="D18" s="580">
        <f ca="1">AVERAGE(1+OFFSET('Additional Growth'!$I$27,0,ROW()-ROW($D$15)),GEOMEAN($D$6:$D$14),'Additional Growth'!G44)</f>
        <v>1.0197797869044243</v>
      </c>
      <c r="E18" s="569"/>
      <c r="F18" s="583">
        <f t="shared" si="52"/>
        <v>2028</v>
      </c>
      <c r="G18" s="578">
        <f t="shared" si="74"/>
        <v>1548.6050273339283</v>
      </c>
      <c r="H18" s="580">
        <f t="shared" si="53"/>
        <v>0.99787580890018857</v>
      </c>
      <c r="I18" s="583"/>
      <c r="J18" s="583">
        <f t="shared" si="54"/>
        <v>2028</v>
      </c>
      <c r="K18" s="578">
        <f t="shared" si="75"/>
        <v>9757.0285999048647</v>
      </c>
      <c r="L18" s="597">
        <f t="shared" si="76"/>
        <v>1.0073859629318815</v>
      </c>
      <c r="M18" s="583"/>
      <c r="N18" s="583">
        <f t="shared" si="55"/>
        <v>2028</v>
      </c>
      <c r="O18" s="581">
        <f t="shared" si="56"/>
        <v>1077.2712241234483</v>
      </c>
      <c r="P18" s="597">
        <f t="shared" si="77"/>
        <v>1.0005960900184245</v>
      </c>
      <c r="Q18" s="592">
        <v>0.98999999999999977</v>
      </c>
      <c r="R18" s="582">
        <f>O18+SUM($Q$15:Q18)</f>
        <v>1095.9412241234484</v>
      </c>
      <c r="S18" s="583"/>
      <c r="T18" s="583">
        <f t="shared" si="57"/>
        <v>2028</v>
      </c>
      <c r="U18" s="581">
        <f t="shared" si="49"/>
        <v>5</v>
      </c>
      <c r="V18" s="597">
        <f t="shared" si="58"/>
        <v>1</v>
      </c>
      <c r="W18" s="592">
        <v>-0.10999999999999999</v>
      </c>
      <c r="X18" s="582">
        <f>U18+SUM(W$15:W17)+W18/2</f>
        <v>12.175000000000001</v>
      </c>
      <c r="Y18" s="583"/>
      <c r="Z18" s="583">
        <f t="shared" si="59"/>
        <v>2028</v>
      </c>
      <c r="AA18" s="581">
        <f t="shared" si="50"/>
        <v>5</v>
      </c>
      <c r="AB18" s="597">
        <f t="shared" si="60"/>
        <v>1</v>
      </c>
      <c r="AC18" s="592">
        <v>0.83499999999999996</v>
      </c>
      <c r="AD18" s="582">
        <f>AA18+SUM(AC$15:AC17)+AC18/2</f>
        <v>8.3025000000000002</v>
      </c>
      <c r="AE18" s="597"/>
      <c r="AF18" s="583">
        <f t="shared" si="61"/>
        <v>2028</v>
      </c>
      <c r="AG18" s="578">
        <f t="shared" si="78"/>
        <v>34083.480231366098</v>
      </c>
      <c r="AH18" s="597">
        <f t="shared" si="79"/>
        <v>1.0102787825383512</v>
      </c>
      <c r="AI18" s="583"/>
      <c r="AJ18" s="583">
        <f t="shared" si="62"/>
        <v>2028</v>
      </c>
      <c r="AK18" s="578">
        <f t="shared" si="80"/>
        <v>222.56900892808551</v>
      </c>
      <c r="AL18" s="597">
        <f t="shared" si="81"/>
        <v>0.98308022289958608</v>
      </c>
      <c r="AN18" s="583">
        <f t="shared" si="63"/>
        <v>2028</v>
      </c>
      <c r="AO18" s="578">
        <f t="shared" si="82"/>
        <v>711.12749753009541</v>
      </c>
      <c r="AP18" s="597">
        <f t="shared" si="83"/>
        <v>0.98619830993244584</v>
      </c>
      <c r="AQ18" s="579"/>
      <c r="AS18" s="583">
        <f t="shared" si="9"/>
        <v>2028</v>
      </c>
      <c r="AT18" s="578">
        <f t="shared" ca="1" si="64"/>
        <v>49135.011201534966</v>
      </c>
      <c r="AU18" s="580">
        <f ca="1">AVERAGE(1+OFFSET('Additional Growth'!$I$29,0,ROW()-ROW($D$15)),GEOMEAN($AU$6:$AU$14),'Additional Growth'!G44)</f>
        <v>1.0186709938898664</v>
      </c>
      <c r="AV18" s="583"/>
      <c r="AW18" s="583">
        <f t="shared" si="65"/>
        <v>2028</v>
      </c>
      <c r="AX18" s="578">
        <f t="shared" si="84"/>
        <v>2608.1270221864852</v>
      </c>
      <c r="AY18" s="597">
        <f t="shared" si="85"/>
        <v>1.0142358697737739</v>
      </c>
      <c r="AZ18" s="583"/>
      <c r="BA18" s="583">
        <f t="shared" si="66"/>
        <v>2028</v>
      </c>
      <c r="BB18" s="581">
        <f t="shared" si="67"/>
        <v>398.90253308637159</v>
      </c>
      <c r="BC18" s="597">
        <f t="shared" si="86"/>
        <v>1.0065468980291561</v>
      </c>
      <c r="BD18" s="592">
        <v>1.7000000000000002</v>
      </c>
      <c r="BE18" s="582">
        <f>BB18+SUM(BD$15:BD17)+BD18/2</f>
        <v>412.02753308637159</v>
      </c>
      <c r="BF18" s="583"/>
      <c r="BG18" s="583">
        <f t="shared" si="68"/>
        <v>2028</v>
      </c>
      <c r="BH18" s="581">
        <f t="shared" si="51"/>
        <v>3</v>
      </c>
      <c r="BI18" s="597">
        <f t="shared" si="69"/>
        <v>1</v>
      </c>
      <c r="BJ18" s="592">
        <v>0</v>
      </c>
      <c r="BK18" s="582">
        <f>BH18+SUM(BJ$15:BJ17)+BJ18/2</f>
        <v>6.48</v>
      </c>
      <c r="BL18" s="583"/>
      <c r="BM18" s="583">
        <f t="shared" si="70"/>
        <v>2028</v>
      </c>
      <c r="BN18" s="578">
        <f t="shared" si="87"/>
        <v>14637.337340458451</v>
      </c>
      <c r="BO18" s="597">
        <f t="shared" si="88"/>
        <v>1.016534204779558</v>
      </c>
      <c r="BP18" s="583"/>
      <c r="BQ18" s="583">
        <f t="shared" si="71"/>
        <v>2028</v>
      </c>
      <c r="BR18" s="578">
        <f t="shared" si="89"/>
        <v>47.918457591147735</v>
      </c>
      <c r="BS18" s="597">
        <f t="shared" si="90"/>
        <v>1.0132633406730727</v>
      </c>
      <c r="BT18" s="597"/>
      <c r="BU18" s="583">
        <f t="shared" si="72"/>
        <v>2028</v>
      </c>
      <c r="BV18" s="578">
        <f t="shared" si="91"/>
        <v>395.14696435994671</v>
      </c>
      <c r="BW18" s="597">
        <f t="shared" si="92"/>
        <v>1.0051666147331157</v>
      </c>
    </row>
    <row r="19" spans="1:86">
      <c r="B19" s="583">
        <f t="shared" si="0"/>
        <v>2029</v>
      </c>
      <c r="C19" s="578">
        <f t="shared" ca="1" si="73"/>
        <v>129594.08740725768</v>
      </c>
      <c r="D19" s="580">
        <f ca="1">AVERAGE(1+OFFSET('Additional Growth'!$I$27,0,ROW()-ROW($D$15)),GEOMEAN($D$6:$D$14),'Additional Growth'!G45)</f>
        <v>1.0197497423864883</v>
      </c>
      <c r="E19" s="752"/>
      <c r="F19" s="583">
        <f t="shared" si="52"/>
        <v>2029</v>
      </c>
      <c r="G19" s="578">
        <f t="shared" si="74"/>
        <v>1545.3154943177424</v>
      </c>
      <c r="H19" s="580">
        <f t="shared" si="53"/>
        <v>0.99787580890018857</v>
      </c>
      <c r="I19" s="583"/>
      <c r="J19" s="583">
        <f t="shared" si="54"/>
        <v>2029</v>
      </c>
      <c r="K19" s="578">
        <f t="shared" si="75"/>
        <v>9829.0936514690693</v>
      </c>
      <c r="L19" s="597">
        <f t="shared" si="76"/>
        <v>1.0073859629318815</v>
      </c>
      <c r="M19" s="583"/>
      <c r="N19" s="583">
        <f t="shared" si="55"/>
        <v>2029</v>
      </c>
      <c r="O19" s="581">
        <f t="shared" si="56"/>
        <v>1077.9133747472843</v>
      </c>
      <c r="P19" s="597">
        <f t="shared" si="77"/>
        <v>1.0005960900184245</v>
      </c>
      <c r="Q19" s="592">
        <v>0.30999999999999994</v>
      </c>
      <c r="R19" s="582">
        <f>O19+SUM($Q$15:Q19)</f>
        <v>1096.8933747472843</v>
      </c>
      <c r="S19" s="583"/>
      <c r="T19" s="583">
        <f t="shared" si="57"/>
        <v>2029</v>
      </c>
      <c r="U19" s="581">
        <f t="shared" si="49"/>
        <v>5</v>
      </c>
      <c r="V19" s="597">
        <f t="shared" si="58"/>
        <v>1</v>
      </c>
      <c r="W19" s="592">
        <v>0</v>
      </c>
      <c r="X19" s="582">
        <f>U19+SUM(W$15:W18)+W19/2</f>
        <v>12.120000000000001</v>
      </c>
      <c r="Y19" s="583"/>
      <c r="Z19" s="583">
        <f t="shared" si="59"/>
        <v>2029</v>
      </c>
      <c r="AA19" s="581">
        <f t="shared" si="50"/>
        <v>5</v>
      </c>
      <c r="AB19" s="597">
        <f t="shared" si="60"/>
        <v>1</v>
      </c>
      <c r="AC19" s="592">
        <v>0.12</v>
      </c>
      <c r="AD19" s="582">
        <f>AA19+SUM(AC$15:AC18)+AC19/2</f>
        <v>8.7799999999999994</v>
      </c>
      <c r="AE19" s="597"/>
      <c r="AF19" s="583">
        <f t="shared" si="61"/>
        <v>2029</v>
      </c>
      <c r="AG19" s="578">
        <f t="shared" si="78"/>
        <v>34433.816912814502</v>
      </c>
      <c r="AH19" s="597">
        <f t="shared" si="79"/>
        <v>1.0102787825383512</v>
      </c>
      <c r="AI19" s="583"/>
      <c r="AJ19" s="583">
        <f t="shared" si="62"/>
        <v>2029</v>
      </c>
      <c r="AK19" s="578">
        <f t="shared" si="80"/>
        <v>218.80319090756225</v>
      </c>
      <c r="AL19" s="597">
        <f t="shared" si="81"/>
        <v>0.98308022289958608</v>
      </c>
      <c r="AN19" s="583">
        <f t="shared" si="63"/>
        <v>2029</v>
      </c>
      <c r="AO19" s="578">
        <f t="shared" si="82"/>
        <v>701.31273621066964</v>
      </c>
      <c r="AP19" s="597">
        <f t="shared" si="83"/>
        <v>0.98619830993244584</v>
      </c>
      <c r="AQ19" s="579"/>
      <c r="AS19" s="583">
        <f t="shared" si="9"/>
        <v>2029</v>
      </c>
      <c r="AT19" s="578">
        <f t="shared" ca="1" si="64"/>
        <v>50076.849655134763</v>
      </c>
      <c r="AU19" s="580">
        <f ca="1">AVERAGE(1+OFFSET('Additional Growth'!$I$29,0,ROW()-ROW($D$15)),GEOMEAN($AU$6:$AU$14),'Additional Growth'!G45)</f>
        <v>1.0191683777121103</v>
      </c>
      <c r="AV19" s="583"/>
      <c r="AW19" s="583">
        <f t="shared" si="65"/>
        <v>2029</v>
      </c>
      <c r="AX19" s="578">
        <f t="shared" si="84"/>
        <v>2645.2559788277927</v>
      </c>
      <c r="AY19" s="597">
        <f t="shared" si="85"/>
        <v>1.0142358697737739</v>
      </c>
      <c r="AZ19" s="583"/>
      <c r="BA19" s="583">
        <f t="shared" si="66"/>
        <v>2029</v>
      </c>
      <c r="BB19" s="581">
        <f t="shared" si="67"/>
        <v>401.51410729406012</v>
      </c>
      <c r="BC19" s="597">
        <f t="shared" si="86"/>
        <v>1.0065468980291561</v>
      </c>
      <c r="BD19" s="592">
        <v>0.7</v>
      </c>
      <c r="BE19" s="582">
        <f>BB19+SUM(BD$15:BD18)+BD19/2</f>
        <v>415.83910729406017</v>
      </c>
      <c r="BF19" s="583"/>
      <c r="BG19" s="583">
        <f t="shared" si="68"/>
        <v>2029</v>
      </c>
      <c r="BH19" s="581">
        <f t="shared" si="51"/>
        <v>3</v>
      </c>
      <c r="BI19" s="597">
        <f t="shared" si="69"/>
        <v>1</v>
      </c>
      <c r="BJ19" s="592">
        <v>0</v>
      </c>
      <c r="BK19" s="582">
        <f>BH19+SUM(BJ$15:BJ18)+BJ19/2</f>
        <v>6.48</v>
      </c>
      <c r="BL19" s="583"/>
      <c r="BM19" s="583">
        <f t="shared" si="70"/>
        <v>2029</v>
      </c>
      <c r="BN19" s="578">
        <f t="shared" si="87"/>
        <v>14879.354073473061</v>
      </c>
      <c r="BO19" s="597">
        <f t="shared" si="88"/>
        <v>1.016534204779558</v>
      </c>
      <c r="BP19" s="583"/>
      <c r="BQ19" s="583">
        <f t="shared" si="71"/>
        <v>2029</v>
      </c>
      <c r="BR19" s="578">
        <f t="shared" si="89"/>
        <v>48.554016418707313</v>
      </c>
      <c r="BS19" s="597">
        <f t="shared" si="90"/>
        <v>1.0132633406730727</v>
      </c>
      <c r="BT19" s="597"/>
      <c r="BU19" s="583">
        <f t="shared" si="72"/>
        <v>2029</v>
      </c>
      <c r="BV19" s="578">
        <f t="shared" si="91"/>
        <v>397.18853648775479</v>
      </c>
      <c r="BW19" s="597">
        <f t="shared" si="92"/>
        <v>1.0051666147331157</v>
      </c>
    </row>
    <row r="20" spans="1:86">
      <c r="B20" s="583">
        <f t="shared" si="0"/>
        <v>2030</v>
      </c>
      <c r="C20" s="578">
        <f t="shared" ca="1" si="73"/>
        <v>132210.11590597217</v>
      </c>
      <c r="D20" s="580">
        <f ca="1">AVERAGE(1+OFFSET('Additional Growth'!$I$27,0,ROW()-ROW($D$15)),GEOMEAN($D$6:$D$14),'Additional Growth'!G46)</f>
        <v>1.0201863260203643</v>
      </c>
      <c r="E20" s="752"/>
      <c r="F20" s="583">
        <f t="shared" si="52"/>
        <v>2030</v>
      </c>
      <c r="G20" s="578">
        <f t="shared" si="74"/>
        <v>1542.0329488983118</v>
      </c>
      <c r="H20" s="580">
        <f t="shared" si="53"/>
        <v>0.99787580890018857</v>
      </c>
      <c r="I20" s="583"/>
      <c r="J20" s="583">
        <f t="shared" si="54"/>
        <v>2030</v>
      </c>
      <c r="K20" s="578">
        <f t="shared" si="75"/>
        <v>9901.6909728328119</v>
      </c>
      <c r="L20" s="597">
        <f t="shared" si="76"/>
        <v>1.0073859629318815</v>
      </c>
      <c r="M20" s="583"/>
      <c r="N20" s="583">
        <f t="shared" si="55"/>
        <v>2030</v>
      </c>
      <c r="O20" s="581">
        <f t="shared" si="56"/>
        <v>1078.5559081506974</v>
      </c>
      <c r="P20" s="597">
        <f t="shared" si="77"/>
        <v>1.0005960900184245</v>
      </c>
      <c r="Q20" s="592">
        <v>0.06</v>
      </c>
      <c r="R20" s="582">
        <f>O20+SUM($Q$15:Q20)</f>
        <v>1097.5959081506974</v>
      </c>
      <c r="S20" s="583"/>
      <c r="T20" s="583">
        <f t="shared" si="57"/>
        <v>2030</v>
      </c>
      <c r="U20" s="581">
        <f t="shared" si="49"/>
        <v>5</v>
      </c>
      <c r="V20" s="597">
        <f t="shared" si="58"/>
        <v>1</v>
      </c>
      <c r="W20" s="592">
        <v>0</v>
      </c>
      <c r="X20" s="582">
        <f>U20+SUM(W$15:W19)+W20/2</f>
        <v>12.120000000000001</v>
      </c>
      <c r="Y20" s="583"/>
      <c r="Z20" s="583">
        <f t="shared" si="59"/>
        <v>2030</v>
      </c>
      <c r="AA20" s="581">
        <f t="shared" si="50"/>
        <v>5</v>
      </c>
      <c r="AB20" s="597">
        <f t="shared" si="60"/>
        <v>1</v>
      </c>
      <c r="AC20" s="592">
        <v>0.09</v>
      </c>
      <c r="AD20" s="582">
        <f>AA20+SUM(AC$15:AC19)+AC20/2</f>
        <v>8.8849999999999998</v>
      </c>
      <c r="AE20" s="597"/>
      <c r="AF20" s="583">
        <f t="shared" si="61"/>
        <v>2030</v>
      </c>
      <c r="AG20" s="578">
        <f t="shared" si="78"/>
        <v>34787.754628826726</v>
      </c>
      <c r="AH20" s="597">
        <f t="shared" si="79"/>
        <v>1.0102787825383512</v>
      </c>
      <c r="AI20" s="583"/>
      <c r="AJ20" s="583">
        <f t="shared" si="62"/>
        <v>2030</v>
      </c>
      <c r="AK20" s="578">
        <f t="shared" si="80"/>
        <v>215.10108968854698</v>
      </c>
      <c r="AL20" s="597">
        <f t="shared" si="81"/>
        <v>0.98308022289958608</v>
      </c>
      <c r="AN20" s="583">
        <f t="shared" si="63"/>
        <v>2030</v>
      </c>
      <c r="AO20" s="578">
        <f t="shared" si="82"/>
        <v>691.63343518506156</v>
      </c>
      <c r="AP20" s="597">
        <f t="shared" si="83"/>
        <v>0.98619830993244584</v>
      </c>
      <c r="AQ20" s="579"/>
      <c r="AS20" s="583">
        <f t="shared" si="9"/>
        <v>2030</v>
      </c>
      <c r="AT20" s="578">
        <f t="shared" ca="1" si="64"/>
        <v>51033.453561093025</v>
      </c>
      <c r="AU20" s="580">
        <f ca="1">AVERAGE(1+OFFSET('Additional Growth'!$I$29,0,ROW()-ROW($D$15)),GEOMEAN($AU$6:$AU$14),'Additional Growth'!G46)</f>
        <v>1.0191027173743181</v>
      </c>
      <c r="AV20" s="583"/>
      <c r="AW20" s="583">
        <f t="shared" si="65"/>
        <v>2030</v>
      </c>
      <c r="AX20" s="578">
        <f t="shared" si="84"/>
        <v>2682.9134984606817</v>
      </c>
      <c r="AY20" s="597">
        <f t="shared" si="85"/>
        <v>1.0142358697737739</v>
      </c>
      <c r="AZ20" s="583"/>
      <c r="BA20" s="583">
        <f t="shared" si="66"/>
        <v>2030</v>
      </c>
      <c r="BB20" s="581">
        <f t="shared" si="67"/>
        <v>404.142779211782</v>
      </c>
      <c r="BC20" s="597">
        <f t="shared" si="86"/>
        <v>1.0065468980291561</v>
      </c>
      <c r="BD20" s="592">
        <v>0.72500000000000009</v>
      </c>
      <c r="BE20" s="582">
        <f>BB20+SUM(BD$15:BD19)+BD20/2</f>
        <v>419.18027921178202</v>
      </c>
      <c r="BF20" s="583"/>
      <c r="BG20" s="583">
        <f t="shared" si="68"/>
        <v>2030</v>
      </c>
      <c r="BH20" s="581">
        <f t="shared" si="51"/>
        <v>3</v>
      </c>
      <c r="BI20" s="597">
        <f t="shared" si="69"/>
        <v>1</v>
      </c>
      <c r="BJ20" s="592">
        <v>0.60000000000000009</v>
      </c>
      <c r="BK20" s="582">
        <f>BH20+SUM(BJ$15:BJ19)+BJ20/2</f>
        <v>6.78</v>
      </c>
      <c r="BL20" s="583"/>
      <c r="BM20" s="583">
        <f t="shared" si="70"/>
        <v>2030</v>
      </c>
      <c r="BN20" s="578">
        <f t="shared" si="87"/>
        <v>15125.372360711415</v>
      </c>
      <c r="BO20" s="597">
        <f t="shared" si="88"/>
        <v>1.016534204779558</v>
      </c>
      <c r="BP20" s="583"/>
      <c r="BQ20" s="583">
        <f t="shared" si="71"/>
        <v>2030</v>
      </c>
      <c r="BR20" s="578">
        <f t="shared" si="89"/>
        <v>49.198004879514592</v>
      </c>
      <c r="BS20" s="597">
        <f t="shared" si="90"/>
        <v>1.0132633406730727</v>
      </c>
      <c r="BT20" s="597"/>
      <c r="BU20" s="583">
        <f t="shared" si="72"/>
        <v>2030</v>
      </c>
      <c r="BV20" s="578">
        <f t="shared" si="91"/>
        <v>399.2406566321971</v>
      </c>
      <c r="BW20" s="597">
        <f t="shared" si="92"/>
        <v>1.0051666147331157</v>
      </c>
    </row>
    <row r="21" spans="1:86">
      <c r="B21" s="583">
        <f t="shared" si="0"/>
        <v>2031</v>
      </c>
      <c r="C21" s="578">
        <f ca="1">C20*D21</f>
        <v>134871.14313253391</v>
      </c>
      <c r="D21" s="580">
        <f ca="1">AVERAGE(1+OFFSET('Additional Growth'!$I$27,0,ROW()-ROW($D$15)),GEOMEAN($D$6:$D$14),'Additional Growth'!G47)</f>
        <v>1.0201272588585752</v>
      </c>
      <c r="E21" s="752"/>
      <c r="F21" s="583">
        <f t="shared" si="52"/>
        <v>2031</v>
      </c>
      <c r="G21" s="578">
        <f>G20*H21</f>
        <v>1538.757376232646</v>
      </c>
      <c r="H21" s="580">
        <f t="shared" si="53"/>
        <v>0.99787580890018857</v>
      </c>
      <c r="I21" s="583"/>
      <c r="J21" s="583">
        <f t="shared" si="54"/>
        <v>2031</v>
      </c>
      <c r="K21" s="578">
        <f>K20*L21</f>
        <v>9974.8244953211015</v>
      </c>
      <c r="L21" s="597">
        <f>L20</f>
        <v>1.0073859629318815</v>
      </c>
      <c r="M21" s="583"/>
      <c r="N21" s="583">
        <f t="shared" si="55"/>
        <v>2031</v>
      </c>
      <c r="O21" s="581">
        <f t="shared" si="56"/>
        <v>1079.1988245618588</v>
      </c>
      <c r="P21" s="597">
        <f>P20</f>
        <v>1.0005960900184245</v>
      </c>
      <c r="Q21" s="592">
        <v>0.21000000000000002</v>
      </c>
      <c r="R21" s="582">
        <f>O21+SUM($Q$15:Q21)</f>
        <v>1098.4488245618588</v>
      </c>
      <c r="S21" s="583"/>
      <c r="T21" s="583">
        <f t="shared" si="57"/>
        <v>2031</v>
      </c>
      <c r="U21" s="581">
        <f t="shared" si="49"/>
        <v>5</v>
      </c>
      <c r="V21" s="597">
        <f t="shared" si="58"/>
        <v>1</v>
      </c>
      <c r="W21" s="592">
        <v>0</v>
      </c>
      <c r="X21" s="582">
        <f>U21+SUM(W$15:W20)+W21/2</f>
        <v>12.120000000000001</v>
      </c>
      <c r="Y21" s="583"/>
      <c r="Z21" s="583">
        <f t="shared" si="59"/>
        <v>2031</v>
      </c>
      <c r="AA21" s="581">
        <f t="shared" si="50"/>
        <v>5</v>
      </c>
      <c r="AB21" s="597">
        <f t="shared" si="60"/>
        <v>1</v>
      </c>
      <c r="AC21" s="592">
        <v>0.03</v>
      </c>
      <c r="AD21" s="582">
        <f>AA21+SUM(AC$15:AC20)+AC21/2</f>
        <v>8.9450000000000003</v>
      </c>
      <c r="AE21" s="597"/>
      <c r="AF21" s="583">
        <f t="shared" si="61"/>
        <v>2031</v>
      </c>
      <c r="AG21" s="578">
        <f>AG20*AH21</f>
        <v>35145.33039365396</v>
      </c>
      <c r="AH21" s="597">
        <f>AH20</f>
        <v>1.0102787825383512</v>
      </c>
      <c r="AI21" s="583"/>
      <c r="AJ21" s="583">
        <f t="shared" si="62"/>
        <v>2031</v>
      </c>
      <c r="AK21" s="578">
        <f>AK20*AL21</f>
        <v>211.46162719696062</v>
      </c>
      <c r="AL21" s="597">
        <f>AL20</f>
        <v>0.98308022289958608</v>
      </c>
      <c r="AN21" s="583">
        <f t="shared" si="63"/>
        <v>2031</v>
      </c>
      <c r="AO21" s="578">
        <f>AO20*AP21</f>
        <v>682.08772487227952</v>
      </c>
      <c r="AP21" s="597">
        <f>AP20</f>
        <v>0.98619830993244584</v>
      </c>
      <c r="AQ21" s="579"/>
      <c r="AS21" s="583">
        <f t="shared" si="9"/>
        <v>2031</v>
      </c>
      <c r="AT21" s="578">
        <f t="shared" ca="1" si="64"/>
        <v>52005.475034746378</v>
      </c>
      <c r="AU21" s="580">
        <f ca="1">AVERAGE(1+OFFSET('Additional Growth'!$I$29,0,ROW()-ROW($D$15)),GEOMEAN($AU$6:$AU$14),'Additional Growth'!G47)</f>
        <v>1.019046750823746</v>
      </c>
      <c r="AV21" s="583"/>
      <c r="AW21" s="583">
        <f t="shared" si="65"/>
        <v>2031</v>
      </c>
      <c r="AX21" s="578">
        <f>AX20*AY21</f>
        <v>2721.1071056390679</v>
      </c>
      <c r="AY21" s="597">
        <f>AY20</f>
        <v>1.0142358697737739</v>
      </c>
      <c r="AZ21" s="583"/>
      <c r="BA21" s="583">
        <f t="shared" si="66"/>
        <v>2031</v>
      </c>
      <c r="BB21" s="581">
        <f t="shared" si="67"/>
        <v>406.78866077650127</v>
      </c>
      <c r="BC21" s="597">
        <f>BC20</f>
        <v>1.0065468980291561</v>
      </c>
      <c r="BD21" s="592">
        <v>0.64999999999999991</v>
      </c>
      <c r="BE21" s="582">
        <f>BB21+SUM(BD$15:BD20)+BD21/2</f>
        <v>422.51366077650124</v>
      </c>
      <c r="BF21" s="583"/>
      <c r="BG21" s="583">
        <f t="shared" si="68"/>
        <v>2031</v>
      </c>
      <c r="BH21" s="581">
        <f t="shared" si="51"/>
        <v>3</v>
      </c>
      <c r="BI21" s="597">
        <f t="shared" si="69"/>
        <v>1</v>
      </c>
      <c r="BJ21" s="592">
        <v>0.2</v>
      </c>
      <c r="BK21" s="582">
        <f>BH21+SUM(BJ$15:BJ20)+BJ21/2</f>
        <v>7.18</v>
      </c>
      <c r="BL21" s="583"/>
      <c r="BM21" s="583">
        <f t="shared" si="70"/>
        <v>2031</v>
      </c>
      <c r="BN21" s="578">
        <f>BN20*BO21</f>
        <v>15375.458364690485</v>
      </c>
      <c r="BO21" s="597">
        <f>BO20</f>
        <v>1.016534204779558</v>
      </c>
      <c r="BP21" s="583"/>
      <c r="BQ21" s="583">
        <f t="shared" si="71"/>
        <v>2031</v>
      </c>
      <c r="BR21" s="578">
        <f>BR20*BS21</f>
        <v>49.850534778667082</v>
      </c>
      <c r="BS21" s="597">
        <f>BS20</f>
        <v>1.0132633406730727</v>
      </c>
      <c r="BT21" s="597"/>
      <c r="BU21" s="583">
        <f t="shared" si="72"/>
        <v>2031</v>
      </c>
      <c r="BV21" s="578">
        <f>BV20*BW21</f>
        <v>401.30337929081179</v>
      </c>
      <c r="BW21" s="597">
        <f>BW20</f>
        <v>1.0051666147331157</v>
      </c>
      <c r="CH21" s="600"/>
    </row>
    <row r="22" spans="1:86" ht="13.35" customHeight="1">
      <c r="B22" s="583"/>
      <c r="C22" s="578"/>
      <c r="D22" s="597"/>
      <c r="E22" s="583"/>
      <c r="F22" s="583"/>
      <c r="G22" s="578"/>
      <c r="H22" s="597"/>
      <c r="I22" s="583"/>
      <c r="J22" s="583"/>
      <c r="K22" s="578"/>
      <c r="L22" s="597"/>
      <c r="M22" s="583"/>
      <c r="N22" s="583"/>
      <c r="O22" s="578"/>
      <c r="P22" s="597"/>
      <c r="Q22" s="597"/>
      <c r="R22" s="597"/>
      <c r="S22" s="583"/>
      <c r="T22" s="583"/>
      <c r="U22" s="578"/>
      <c r="V22" s="597"/>
      <c r="W22" s="597"/>
      <c r="X22" s="597"/>
      <c r="Y22" s="583"/>
      <c r="Z22" s="583"/>
      <c r="AA22" s="578"/>
      <c r="AB22" s="597"/>
      <c r="AC22" s="597"/>
      <c r="AD22" s="597"/>
      <c r="AE22" s="597"/>
      <c r="AF22" s="597"/>
      <c r="AG22" s="597"/>
      <c r="AH22" s="597"/>
      <c r="AI22" s="583"/>
      <c r="AJ22" s="583"/>
      <c r="AK22" s="578"/>
      <c r="AL22" s="597"/>
      <c r="AN22" s="583"/>
      <c r="AO22" s="578"/>
      <c r="AP22" s="597"/>
      <c r="AQ22" s="579"/>
      <c r="AS22" s="583"/>
      <c r="AT22" s="578"/>
      <c r="AU22" s="597"/>
      <c r="AV22" s="583"/>
      <c r="AW22" s="583"/>
      <c r="AX22" s="578"/>
      <c r="AY22" s="597"/>
      <c r="AZ22" s="583"/>
      <c r="BA22" s="583"/>
      <c r="BB22" s="578"/>
      <c r="BC22" s="597"/>
      <c r="BD22" s="597"/>
      <c r="BE22" s="597"/>
      <c r="BF22" s="583"/>
      <c r="BG22" s="583"/>
      <c r="BH22" s="578"/>
      <c r="BI22" s="597"/>
      <c r="BJ22" s="597"/>
      <c r="BK22" s="597"/>
      <c r="BL22" s="583"/>
      <c r="BM22" s="583"/>
      <c r="BN22" s="578"/>
      <c r="BO22" s="597"/>
      <c r="BP22" s="583"/>
      <c r="BQ22" s="583"/>
      <c r="BR22" s="578"/>
      <c r="BS22" s="597"/>
      <c r="BT22" s="597"/>
      <c r="BU22" s="597"/>
      <c r="BV22" s="597"/>
      <c r="BW22" s="597"/>
    </row>
    <row r="23" spans="1:86">
      <c r="B23" s="10" t="s">
        <v>672</v>
      </c>
      <c r="G23" s="9" t="s">
        <v>673</v>
      </c>
      <c r="K23" s="9" t="s">
        <v>509</v>
      </c>
      <c r="N23" s="9" t="s">
        <v>510</v>
      </c>
      <c r="T23" s="9" t="s">
        <v>511</v>
      </c>
      <c r="Z23" s="9" t="s">
        <v>511</v>
      </c>
      <c r="AF23" s="9" t="s">
        <v>512</v>
      </c>
      <c r="AJ23" s="9" t="s">
        <v>536</v>
      </c>
      <c r="AN23" s="9" t="s">
        <v>512</v>
      </c>
      <c r="AQ23" s="579"/>
      <c r="AS23" s="10" t="s">
        <v>672</v>
      </c>
      <c r="AW23" s="9" t="s">
        <v>512</v>
      </c>
      <c r="BA23" s="9" t="s">
        <v>512</v>
      </c>
      <c r="BG23" s="9" t="s">
        <v>511</v>
      </c>
      <c r="BM23" s="9" t="s">
        <v>512</v>
      </c>
      <c r="BQ23" s="9" t="s">
        <v>512</v>
      </c>
      <c r="BU23" s="9" t="s">
        <v>512</v>
      </c>
    </row>
    <row r="24" spans="1:86">
      <c r="A24" s="9" t="s">
        <v>386</v>
      </c>
      <c r="C24" s="10"/>
      <c r="K24" s="221"/>
      <c r="O24" s="221"/>
      <c r="U24" s="221"/>
      <c r="AQ24" s="579"/>
      <c r="BB24" s="221"/>
      <c r="BH24" s="221"/>
      <c r="BN24" s="221"/>
      <c r="CH24" s="601"/>
    </row>
    <row r="25" spans="1:86">
      <c r="B25" s="583">
        <f>B15</f>
        <v>2025</v>
      </c>
      <c r="C25" s="578">
        <f t="shared" ref="C25:C31" ca="1" si="93">AVERAGEIFS(C$35:C$130,$A$35:$A$130,B25)</f>
        <v>119657.95783017651</v>
      </c>
      <c r="D25" s="597"/>
      <c r="E25" s="583"/>
      <c r="F25" s="583">
        <f>F15</f>
        <v>2025</v>
      </c>
      <c r="G25" s="578">
        <f t="shared" ref="G25:G31" si="94">AVERAGEIFS(G$35:G$130,$A$35:$A$130,F25)</f>
        <v>1558.5187250772751</v>
      </c>
      <c r="H25" s="597"/>
      <c r="I25" s="583"/>
      <c r="J25" s="583">
        <f>J15</f>
        <v>2025</v>
      </c>
      <c r="K25" s="578">
        <f t="shared" ref="K25:K31" si="95">AVERAGEIFS(K$35:K$130,$A$35:$A$130,J25)</f>
        <v>9543.9881818488975</v>
      </c>
      <c r="L25" s="597"/>
      <c r="M25" s="583"/>
      <c r="N25" s="583">
        <f>N15</f>
        <v>2025</v>
      </c>
      <c r="O25" s="578">
        <f t="shared" ref="O25:O31" si="96">AVERAGEIFS(O$35:O$130,$A$35:$A$130,N25)</f>
        <v>1075.3470666497312</v>
      </c>
      <c r="P25" s="597"/>
      <c r="Q25" s="603">
        <f t="shared" ref="Q25:Q31" si="97">AVERAGEIFS(Q$35:Q$130,$A$35:$A$130,N25)</f>
        <v>2.713750000000001</v>
      </c>
      <c r="R25" s="578">
        <f t="shared" ref="R25:R31" si="98">AVERAGEIFS(R$35:R$130,$A$35:$A$130,N25)</f>
        <v>1078.0608166497311</v>
      </c>
      <c r="S25" s="583"/>
      <c r="T25" s="583">
        <f>T15</f>
        <v>2025</v>
      </c>
      <c r="U25" s="578">
        <f t="shared" ref="U25:U31" si="99">AVERAGEIFS(U$35:U$130,$A$35:$A$130,T25)</f>
        <v>5</v>
      </c>
      <c r="V25" s="597"/>
      <c r="W25" s="578">
        <f t="shared" ref="W25:W31" si="100">AVERAGEIFS(W$35:W$130,$A$35:$A$130,T25)</f>
        <v>1.95</v>
      </c>
      <c r="X25" s="578">
        <f t="shared" ref="X25:X31" si="101">AVERAGEIFS(X$35:X$130,$A$35:$A$130,T25)</f>
        <v>6.9499999999999993</v>
      </c>
      <c r="Y25" s="583"/>
      <c r="Z25" s="583">
        <f>Z15</f>
        <v>2025</v>
      </c>
      <c r="AA25" s="578">
        <f t="shared" ref="AA25:AA31" si="102">AVERAGEIFS(AA$35:AA$130,$A$35:$A$130,Z25)</f>
        <v>5</v>
      </c>
      <c r="AB25" s="597"/>
      <c r="AC25" s="578">
        <f t="shared" ref="AC25:AC31" si="103">AVERAGEIFS(AC$35:AC$130,$A$35:$A$130,Z25)</f>
        <v>0.44687499999999997</v>
      </c>
      <c r="AD25" s="578">
        <f t="shared" ref="AD25:AD31" si="104">AVERAGEIFS(AD$35:AD$130,$A$35:$A$130,Z25)</f>
        <v>5.4468749999999995</v>
      </c>
      <c r="AE25" s="597"/>
      <c r="AF25" s="583">
        <f>AF15</f>
        <v>2025</v>
      </c>
      <c r="AG25" s="578">
        <f t="shared" ref="AG25:AG31" si="105">AVERAGEIFS(AG$35:AG$130,$A$35:$A$130,AF25)</f>
        <v>33053.576197186871</v>
      </c>
      <c r="AH25" s="597"/>
      <c r="AI25" s="583"/>
      <c r="AJ25" s="583">
        <f>AJ15</f>
        <v>2025</v>
      </c>
      <c r="AK25" s="578">
        <f t="shared" ref="AK25:AK31" si="106">AVERAGEIFS(AK$35:AK$130,$A$35:$A$130,AJ25)</f>
        <v>234.26594358459579</v>
      </c>
      <c r="AL25" s="597"/>
      <c r="AN25" s="583">
        <f>AN15</f>
        <v>2025</v>
      </c>
      <c r="AO25" s="578">
        <f t="shared" ref="AO25:AO31" si="107">AVERAGEIFS(AO$35:AO$130,$A$35:$A$130,AN25)</f>
        <v>741.40363373070261</v>
      </c>
      <c r="AP25" s="597"/>
      <c r="AQ25" s="579"/>
      <c r="AS25" s="583">
        <f>AS15</f>
        <v>2025</v>
      </c>
      <c r="AT25" s="578">
        <f t="shared" ref="AT25:AT31" ca="1" si="108">AVERAGEIFS(AT$35:AT$130,$A$35:$A$130,AS25)</f>
        <v>46436.562849093105</v>
      </c>
      <c r="AU25" s="597"/>
      <c r="AV25" s="583"/>
      <c r="AW25" s="583">
        <f>AW15</f>
        <v>2025</v>
      </c>
      <c r="AX25" s="578">
        <f t="shared" ref="AX25:AX31" si="109">AVERAGEIFS(AX$35:AX$130,$A$35:$A$130,AW25)</f>
        <v>2499.8293916211937</v>
      </c>
      <c r="AY25" s="597"/>
      <c r="AZ25" s="583"/>
      <c r="BA25" s="583">
        <f>BA15</f>
        <v>2025</v>
      </c>
      <c r="BB25" s="578">
        <f t="shared" ref="BB25:BB31" si="110">AVERAGEIFS(BB$35:BB$130,$A$35:$A$130,BA25)</f>
        <v>391.16787275964538</v>
      </c>
      <c r="BC25" s="597"/>
      <c r="BD25" s="578">
        <f t="shared" ref="BD25:BD31" si="111">AVERAGEIFS(BD$35:BD$130,$A$35:$A$130,BA25)</f>
        <v>3.1037499999999993</v>
      </c>
      <c r="BE25" s="578">
        <f t="shared" ref="BE25:BE31" si="112">AVERAGEIFS(BE$35:BE$130,$A$35:$A$130,BA25)</f>
        <v>394.27162275964537</v>
      </c>
      <c r="BF25" s="583"/>
      <c r="BG25" s="583">
        <f>BG15</f>
        <v>2025</v>
      </c>
      <c r="BH25" s="578">
        <f t="shared" ref="BH25:BH31" si="113">AVERAGEIFS(BH$35:BH$130,$A$35:$A$130,BG25)</f>
        <v>3</v>
      </c>
      <c r="BI25" s="597"/>
      <c r="BJ25" s="578">
        <f t="shared" ref="BJ25:BJ31" si="114">AVERAGEIFS(BJ$35:BJ$130,$A$35:$A$130,BG25)</f>
        <v>1.0075000000000001</v>
      </c>
      <c r="BK25" s="578">
        <f t="shared" ref="BK25:BK31" si="115">AVERAGEIFS(BK$35:BK$130,$A$35:$A$130,BG25)</f>
        <v>4.0074999999999994</v>
      </c>
      <c r="BL25" s="583"/>
      <c r="BM25" s="583">
        <f>BM15</f>
        <v>2025</v>
      </c>
      <c r="BN25" s="578">
        <f t="shared" ref="BN25:BN31" si="116">AVERAGEIFS(BN$35:BN$130,$A$35:$A$130,BM25)</f>
        <v>13934.617517503802</v>
      </c>
      <c r="BO25" s="597"/>
      <c r="BP25" s="583"/>
      <c r="BQ25" s="583">
        <f>BQ15</f>
        <v>2025</v>
      </c>
      <c r="BR25" s="578">
        <f t="shared" ref="BR25:BR31" si="117">AVERAGEIFS(BR$35:BR$130,$A$35:$A$130,BQ25)</f>
        <v>46.061093157231589</v>
      </c>
      <c r="BS25" s="597"/>
      <c r="BT25" s="597"/>
      <c r="BU25" s="583">
        <f>BU15</f>
        <v>2025</v>
      </c>
      <c r="BV25" s="578">
        <f t="shared" ref="BV25:BV31" si="118">AVERAGEIFS(BV$35:BV$130,$A$35:$A$130,BU25)</f>
        <v>389.08499529412256</v>
      </c>
      <c r="BW25" s="597"/>
      <c r="CH25" s="601"/>
    </row>
    <row r="26" spans="1:86">
      <c r="B26" s="583">
        <v>2026</v>
      </c>
      <c r="C26" s="578">
        <f t="shared" ca="1" si="93"/>
        <v>122101.85367903726</v>
      </c>
      <c r="D26" s="597">
        <f t="shared" ref="D26:D31" ca="1" si="119">C26/C25</f>
        <v>1.0204240143587375</v>
      </c>
      <c r="E26" s="583"/>
      <c r="F26" s="583">
        <v>2026</v>
      </c>
      <c r="G26" s="578">
        <f t="shared" si="94"/>
        <v>1555.2081334725765</v>
      </c>
      <c r="H26" s="597">
        <f t="shared" ref="H26:H31" si="120">G26/G25</f>
        <v>0.99787580890018857</v>
      </c>
      <c r="I26" s="583"/>
      <c r="J26" s="583">
        <v>2026</v>
      </c>
      <c r="K26" s="578">
        <f t="shared" si="95"/>
        <v>9614.4429306218935</v>
      </c>
      <c r="L26" s="597">
        <f t="shared" ref="L26:L31" si="121">K26/K25</f>
        <v>1.0073821077133132</v>
      </c>
      <c r="M26" s="583"/>
      <c r="N26" s="583">
        <v>2026</v>
      </c>
      <c r="O26" s="578">
        <f t="shared" si="96"/>
        <v>1075.9875574228124</v>
      </c>
      <c r="P26" s="597">
        <f t="shared" ref="P26:P31" si="122">O26/O25</f>
        <v>1.0005956130750202</v>
      </c>
      <c r="Q26" s="603">
        <f t="shared" si="97"/>
        <v>9.6520833333333371</v>
      </c>
      <c r="R26" s="578">
        <f t="shared" si="98"/>
        <v>1085.6396407561456</v>
      </c>
      <c r="S26" s="583"/>
      <c r="T26" s="583">
        <v>2026</v>
      </c>
      <c r="U26" s="578">
        <f t="shared" si="99"/>
        <v>5</v>
      </c>
      <c r="V26" s="597">
        <f t="shared" ref="V26:V31" si="123">U26/U25</f>
        <v>1</v>
      </c>
      <c r="W26" s="578">
        <f t="shared" si="100"/>
        <v>5.3712499999999999</v>
      </c>
      <c r="X26" s="578">
        <f t="shared" si="101"/>
        <v>10.37125</v>
      </c>
      <c r="Y26" s="583"/>
      <c r="Z26" s="583">
        <v>2026</v>
      </c>
      <c r="AA26" s="578">
        <f t="shared" si="102"/>
        <v>5</v>
      </c>
      <c r="AB26" s="597">
        <f t="shared" ref="AB26:AB31" si="124">AA26/AA25</f>
        <v>1</v>
      </c>
      <c r="AC26" s="578">
        <f t="shared" si="103"/>
        <v>1.1202083333333333</v>
      </c>
      <c r="AD26" s="578">
        <f t="shared" si="104"/>
        <v>6.1202083333333341</v>
      </c>
      <c r="AE26" s="597"/>
      <c r="AF26" s="583">
        <v>2026</v>
      </c>
      <c r="AG26" s="578">
        <f t="shared" si="105"/>
        <v>33393.326719032579</v>
      </c>
      <c r="AH26" s="597">
        <f t="shared" ref="AH26:AH31" si="125">AG26/AG25</f>
        <v>1.0102787825383512</v>
      </c>
      <c r="AI26" s="583"/>
      <c r="AJ26" s="583">
        <v>2026</v>
      </c>
      <c r="AK26" s="578">
        <f t="shared" si="106"/>
        <v>230.30221603692621</v>
      </c>
      <c r="AL26" s="597">
        <f t="shared" ref="AL26:AL31" si="126">AK26/AK25</f>
        <v>0.98308022289958574</v>
      </c>
      <c r="AN26" s="583">
        <v>2026</v>
      </c>
      <c r="AO26" s="578">
        <f t="shared" si="107"/>
        <v>731.18523291414385</v>
      </c>
      <c r="AP26" s="597">
        <f t="shared" ref="AP26:AP31" si="127">AO26/AO25</f>
        <v>0.98621749293952021</v>
      </c>
      <c r="AQ26" s="579"/>
      <c r="AS26" s="583">
        <v>2026</v>
      </c>
      <c r="AT26" s="578">
        <f t="shared" ca="1" si="108"/>
        <v>47323.831186600844</v>
      </c>
      <c r="AU26" s="597">
        <f t="shared" ref="AU26:AU31" ca="1" si="128">AT26/AT25</f>
        <v>1.0191071061911092</v>
      </c>
      <c r="AV26" s="583"/>
      <c r="AW26" s="583">
        <v>2026</v>
      </c>
      <c r="AX26" s="578">
        <f t="shared" si="109"/>
        <v>2535.4166372969653</v>
      </c>
      <c r="AY26" s="597">
        <f t="shared" ref="AY26:AY31" si="129">AX26/AX25</f>
        <v>1.0142358697737739</v>
      </c>
      <c r="AZ26" s="583"/>
      <c r="BA26" s="583">
        <v>2026</v>
      </c>
      <c r="BB26" s="578">
        <f t="shared" si="110"/>
        <v>393.72880893488468</v>
      </c>
      <c r="BC26" s="597">
        <f t="shared" ref="BC26:BC31" si="130">BB26/BB25</f>
        <v>1.0065468980291561</v>
      </c>
      <c r="BD26" s="578">
        <f t="shared" si="111"/>
        <v>7.7639583333333313</v>
      </c>
      <c r="BE26" s="578">
        <f t="shared" si="112"/>
        <v>401.49276726821807</v>
      </c>
      <c r="BF26" s="583"/>
      <c r="BG26" s="583">
        <v>2026</v>
      </c>
      <c r="BH26" s="578">
        <f t="shared" si="113"/>
        <v>3</v>
      </c>
      <c r="BI26" s="597">
        <f t="shared" ref="BI26:BI31" si="131">BH26/BH25</f>
        <v>1</v>
      </c>
      <c r="BJ26" s="578">
        <f t="shared" si="114"/>
        <v>2.6020833333333337</v>
      </c>
      <c r="BK26" s="578">
        <f t="shared" si="115"/>
        <v>5.6020833333333337</v>
      </c>
      <c r="BL26" s="583"/>
      <c r="BM26" s="583">
        <v>2026</v>
      </c>
      <c r="BN26" s="578">
        <f t="shared" si="116"/>
        <v>14165.015337063031</v>
      </c>
      <c r="BO26" s="597">
        <f t="shared" ref="BO26:BO31" si="132">BN26/BN25</f>
        <v>1.0165342047795582</v>
      </c>
      <c r="BP26" s="583"/>
      <c r="BQ26" s="583">
        <v>2026</v>
      </c>
      <c r="BR26" s="578">
        <f t="shared" si="117"/>
        <v>46.672017127550085</v>
      </c>
      <c r="BS26" s="597">
        <f t="shared" ref="BS26:BS31" si="133">BR26/BR25</f>
        <v>1.0132633406730727</v>
      </c>
      <c r="BT26" s="597"/>
      <c r="BU26" s="583">
        <v>2026</v>
      </c>
      <c r="BV26" s="578">
        <f t="shared" si="118"/>
        <v>391.09401551149932</v>
      </c>
      <c r="BW26" s="597">
        <f t="shared" ref="BW26:BW31" si="134">BV26/BV25</f>
        <v>1.0051634481968601</v>
      </c>
      <c r="CH26" s="601"/>
    </row>
    <row r="27" spans="1:86">
      <c r="B27" s="583">
        <f>B26+1</f>
        <v>2027</v>
      </c>
      <c r="C27" s="578">
        <f t="shared" ca="1" si="93"/>
        <v>124619.31512275181</v>
      </c>
      <c r="D27" s="597">
        <f t="shared" ca="1" si="119"/>
        <v>1.0206177168311634</v>
      </c>
      <c r="E27" s="583"/>
      <c r="F27" s="583">
        <f>F26+1</f>
        <v>2027</v>
      </c>
      <c r="G27" s="578">
        <f t="shared" si="94"/>
        <v>1551.9045741971001</v>
      </c>
      <c r="H27" s="597">
        <f t="shared" si="120"/>
        <v>0.9978758089001889</v>
      </c>
      <c r="I27" s="583"/>
      <c r="J27" s="583">
        <f>J26+1</f>
        <v>2027</v>
      </c>
      <c r="K27" s="578">
        <f t="shared" si="95"/>
        <v>9685.4548497181604</v>
      </c>
      <c r="L27" s="597">
        <f t="shared" si="121"/>
        <v>1.0073859629318818</v>
      </c>
      <c r="M27" s="583"/>
      <c r="N27" s="583">
        <f>N26+1</f>
        <v>2027</v>
      </c>
      <c r="O27" s="578">
        <f t="shared" si="96"/>
        <v>1076.6289428657408</v>
      </c>
      <c r="P27" s="597">
        <f t="shared" si="122"/>
        <v>1.0005960900184241</v>
      </c>
      <c r="Q27" s="603">
        <f t="shared" si="97"/>
        <v>15.800833333333339</v>
      </c>
      <c r="R27" s="578">
        <f t="shared" si="98"/>
        <v>1092.4297761990745</v>
      </c>
      <c r="S27" s="583"/>
      <c r="T27" s="583">
        <f>T26+1</f>
        <v>2027</v>
      </c>
      <c r="U27" s="578">
        <f t="shared" si="99"/>
        <v>5</v>
      </c>
      <c r="V27" s="597">
        <f t="shared" si="123"/>
        <v>1</v>
      </c>
      <c r="W27" s="578">
        <f t="shared" si="100"/>
        <v>7.0650000000000013</v>
      </c>
      <c r="X27" s="578">
        <f t="shared" si="101"/>
        <v>12.065</v>
      </c>
      <c r="Y27" s="583"/>
      <c r="Z27" s="583">
        <f>Z26+1</f>
        <v>2027</v>
      </c>
      <c r="AA27" s="578">
        <f t="shared" si="102"/>
        <v>5</v>
      </c>
      <c r="AB27" s="597">
        <f t="shared" si="124"/>
        <v>1</v>
      </c>
      <c r="AC27" s="578">
        <f t="shared" si="103"/>
        <v>2.1906250000000003</v>
      </c>
      <c r="AD27" s="578">
        <f t="shared" si="104"/>
        <v>7.1906250000000016</v>
      </c>
      <c r="AE27" s="597"/>
      <c r="AF27" s="583">
        <f>AF26+1</f>
        <v>2027</v>
      </c>
      <c r="AG27" s="578">
        <f t="shared" si="105"/>
        <v>33736.569462609623</v>
      </c>
      <c r="AH27" s="597">
        <f t="shared" si="125"/>
        <v>1.010278782538351</v>
      </c>
      <c r="AI27" s="583"/>
      <c r="AJ27" s="583">
        <f>AJ26+1</f>
        <v>2027</v>
      </c>
      <c r="AK27" s="578">
        <f t="shared" si="106"/>
        <v>226.40555387585005</v>
      </c>
      <c r="AL27" s="597">
        <f t="shared" si="126"/>
        <v>0.98308022289958608</v>
      </c>
      <c r="AN27" s="583">
        <f>AN26+1</f>
        <v>2027</v>
      </c>
      <c r="AO27" s="578">
        <f t="shared" si="107"/>
        <v>721.0936409474906</v>
      </c>
      <c r="AP27" s="597">
        <f t="shared" si="127"/>
        <v>0.98619830993244606</v>
      </c>
      <c r="AQ27" s="579"/>
      <c r="AS27" s="583">
        <f>AS26+1</f>
        <v>2027</v>
      </c>
      <c r="AT27" s="578">
        <f t="shared" ca="1" si="108"/>
        <v>48234.393459292602</v>
      </c>
      <c r="AU27" s="597">
        <f t="shared" ca="1" si="128"/>
        <v>1.0192410937546741</v>
      </c>
      <c r="AV27" s="583"/>
      <c r="AW27" s="583">
        <f>AW26+1</f>
        <v>2027</v>
      </c>
      <c r="AX27" s="578">
        <f t="shared" si="109"/>
        <v>2571.5104983677843</v>
      </c>
      <c r="AY27" s="597">
        <f t="shared" si="129"/>
        <v>1.0142358697737737</v>
      </c>
      <c r="AZ27" s="583"/>
      <c r="BA27" s="583">
        <f>BA26+1</f>
        <v>2027</v>
      </c>
      <c r="BB27" s="578">
        <f t="shared" si="110"/>
        <v>396.30651129812253</v>
      </c>
      <c r="BC27" s="597">
        <f t="shared" si="130"/>
        <v>1.0065468980291563</v>
      </c>
      <c r="BD27" s="578">
        <f t="shared" si="111"/>
        <v>10.996249999999996</v>
      </c>
      <c r="BE27" s="578">
        <f t="shared" si="112"/>
        <v>407.3027612981225</v>
      </c>
      <c r="BF27" s="583"/>
      <c r="BG27" s="583">
        <f>BG26+1</f>
        <v>2027</v>
      </c>
      <c r="BH27" s="578">
        <f t="shared" si="113"/>
        <v>3</v>
      </c>
      <c r="BI27" s="597">
        <f t="shared" si="131"/>
        <v>1</v>
      </c>
      <c r="BJ27" s="578">
        <f t="shared" si="114"/>
        <v>3.3654166666666683</v>
      </c>
      <c r="BK27" s="578">
        <f t="shared" si="115"/>
        <v>6.3654166666666692</v>
      </c>
      <c r="BL27" s="583"/>
      <c r="BM27" s="583">
        <f>BM26+1</f>
        <v>2027</v>
      </c>
      <c r="BN27" s="578">
        <f t="shared" si="116"/>
        <v>14399.22260135161</v>
      </c>
      <c r="BO27" s="597">
        <f t="shared" si="132"/>
        <v>1.016534204779558</v>
      </c>
      <c r="BP27" s="583"/>
      <c r="BQ27" s="583">
        <f>BQ26+1</f>
        <v>2027</v>
      </c>
      <c r="BR27" s="578">
        <f t="shared" si="117"/>
        <v>47.291043990612273</v>
      </c>
      <c r="BS27" s="597">
        <f t="shared" si="133"/>
        <v>1.0132633406730729</v>
      </c>
      <c r="BT27" s="597"/>
      <c r="BU27" s="583">
        <f>BU26+1</f>
        <v>2027</v>
      </c>
      <c r="BV27" s="578">
        <f t="shared" si="118"/>
        <v>393.11464761407456</v>
      </c>
      <c r="BW27" s="597">
        <f t="shared" si="134"/>
        <v>1.005166614733116</v>
      </c>
      <c r="CH27" s="601"/>
    </row>
    <row r="28" spans="1:86">
      <c r="B28" s="583">
        <f t="shared" ref="B28:B31" si="135">B27+1</f>
        <v>2028</v>
      </c>
      <c r="C28" s="578">
        <f t="shared" ca="1" si="93"/>
        <v>127084.17196916509</v>
      </c>
      <c r="D28" s="597">
        <f t="shared" ca="1" si="119"/>
        <v>1.0197790915797071</v>
      </c>
      <c r="E28" s="583"/>
      <c r="F28" s="583">
        <f t="shared" ref="F28:F31" si="136">F27+1</f>
        <v>2028</v>
      </c>
      <c r="G28" s="578">
        <f t="shared" si="94"/>
        <v>1548.6080323128338</v>
      </c>
      <c r="H28" s="597">
        <f t="shared" si="120"/>
        <v>0.99787580890018845</v>
      </c>
      <c r="I28" s="583"/>
      <c r="J28" s="583">
        <f t="shared" ref="J28:J31" si="137">J27+1</f>
        <v>2028</v>
      </c>
      <c r="K28" s="578">
        <f t="shared" si="95"/>
        <v>9756.9912602165878</v>
      </c>
      <c r="L28" s="597">
        <f t="shared" si="121"/>
        <v>1.0073859629318811</v>
      </c>
      <c r="M28" s="583"/>
      <c r="N28" s="583">
        <f t="shared" ref="N28:N31" si="138">N27+1</f>
        <v>2028</v>
      </c>
      <c r="O28" s="578">
        <f t="shared" si="96"/>
        <v>1077.27071063213</v>
      </c>
      <c r="P28" s="597">
        <f t="shared" si="122"/>
        <v>1.0005960900184245</v>
      </c>
      <c r="Q28" s="603">
        <f t="shared" si="97"/>
        <v>18.216249999999995</v>
      </c>
      <c r="R28" s="578">
        <f t="shared" si="98"/>
        <v>1095.4869606321297</v>
      </c>
      <c r="S28" s="583"/>
      <c r="T28" s="583">
        <f t="shared" ref="T28:T31" si="139">T27+1</f>
        <v>2028</v>
      </c>
      <c r="U28" s="578">
        <f t="shared" si="99"/>
        <v>5</v>
      </c>
      <c r="V28" s="597">
        <f t="shared" si="123"/>
        <v>1</v>
      </c>
      <c r="W28" s="578">
        <f t="shared" si="100"/>
        <v>7.1704166666666715</v>
      </c>
      <c r="X28" s="578">
        <f t="shared" si="101"/>
        <v>12.17041666666667</v>
      </c>
      <c r="Y28" s="583"/>
      <c r="Z28" s="583">
        <f t="shared" ref="Z28:Z31" si="140">Z27+1</f>
        <v>2028</v>
      </c>
      <c r="AA28" s="578">
        <f t="shared" si="102"/>
        <v>5</v>
      </c>
      <c r="AB28" s="597">
        <f t="shared" si="124"/>
        <v>1</v>
      </c>
      <c r="AC28" s="578">
        <f t="shared" si="103"/>
        <v>3.3372916666666668</v>
      </c>
      <c r="AD28" s="578">
        <f t="shared" si="104"/>
        <v>8.3372916666666654</v>
      </c>
      <c r="AE28" s="597"/>
      <c r="AF28" s="583">
        <f t="shared" ref="AF28:AF31" si="141">AF27+1</f>
        <v>2028</v>
      </c>
      <c r="AG28" s="578">
        <f t="shared" si="105"/>
        <v>34083.340323705772</v>
      </c>
      <c r="AH28" s="597">
        <f t="shared" si="125"/>
        <v>1.0102787825383512</v>
      </c>
      <c r="AI28" s="583"/>
      <c r="AJ28" s="583">
        <f t="shared" ref="AJ28:AJ31" si="142">AJ27+1</f>
        <v>2028</v>
      </c>
      <c r="AK28" s="578">
        <f t="shared" si="106"/>
        <v>222.5748223699749</v>
      </c>
      <c r="AL28" s="597">
        <f t="shared" si="126"/>
        <v>0.98308022289958608</v>
      </c>
      <c r="AN28" s="583">
        <f t="shared" ref="AN28:AN31" si="143">AN27+1</f>
        <v>2028</v>
      </c>
      <c r="AO28" s="578">
        <f t="shared" si="107"/>
        <v>711.14133000544905</v>
      </c>
      <c r="AP28" s="597">
        <f t="shared" si="127"/>
        <v>0.98619830993244573</v>
      </c>
      <c r="AQ28" s="579"/>
      <c r="AS28" s="583">
        <f t="shared" ref="AS28:AS31" si="144">AS27+1</f>
        <v>2028</v>
      </c>
      <c r="AT28" s="578">
        <f t="shared" ca="1" si="108"/>
        <v>49134.957474907736</v>
      </c>
      <c r="AU28" s="597">
        <f t="shared" ca="1" si="128"/>
        <v>1.0186705782125189</v>
      </c>
      <c r="AV28" s="583"/>
      <c r="AW28" s="583">
        <f t="shared" ref="AW28:AW31" si="145">AW27+1</f>
        <v>2028</v>
      </c>
      <c r="AX28" s="578">
        <f t="shared" si="109"/>
        <v>2608.1181869444413</v>
      </c>
      <c r="AY28" s="597">
        <f t="shared" si="129"/>
        <v>1.0142358697737741</v>
      </c>
      <c r="AZ28" s="583"/>
      <c r="BA28" s="583">
        <f t="shared" ref="BA28:BA31" si="146">BA27+1</f>
        <v>2028</v>
      </c>
      <c r="BB28" s="578">
        <f t="shared" si="110"/>
        <v>398.90108961588197</v>
      </c>
      <c r="BC28" s="597">
        <f t="shared" si="130"/>
        <v>1.0065468980291561</v>
      </c>
      <c r="BD28" s="578">
        <f t="shared" si="111"/>
        <v>13.195833333333333</v>
      </c>
      <c r="BE28" s="578">
        <f t="shared" si="112"/>
        <v>412.09692294921524</v>
      </c>
      <c r="BF28" s="583"/>
      <c r="BG28" s="583">
        <f t="shared" ref="BG28:BG31" si="147">BG27+1</f>
        <v>2028</v>
      </c>
      <c r="BH28" s="578">
        <f t="shared" si="113"/>
        <v>3</v>
      </c>
      <c r="BI28" s="597">
        <f t="shared" si="131"/>
        <v>1</v>
      </c>
      <c r="BJ28" s="578">
        <f t="shared" si="114"/>
        <v>3.4800000000000035</v>
      </c>
      <c r="BK28" s="578">
        <f t="shared" si="115"/>
        <v>6.4800000000000031</v>
      </c>
      <c r="BL28" s="583"/>
      <c r="BM28" s="583">
        <f t="shared" ref="BM28:BM31" si="148">BM27+1</f>
        <v>2028</v>
      </c>
      <c r="BN28" s="578">
        <f t="shared" si="116"/>
        <v>14637.302296508797</v>
      </c>
      <c r="BO28" s="597">
        <f t="shared" si="132"/>
        <v>1.016534204779558</v>
      </c>
      <c r="BP28" s="583"/>
      <c r="BQ28" s="583">
        <f t="shared" ref="BQ28:BQ31" si="149">BQ27+1</f>
        <v>2028</v>
      </c>
      <c r="BR28" s="578">
        <f t="shared" si="117"/>
        <v>47.918281217845021</v>
      </c>
      <c r="BS28" s="597">
        <f t="shared" si="133"/>
        <v>1.0132633406730724</v>
      </c>
      <c r="BT28" s="597"/>
      <c r="BU28" s="583">
        <f t="shared" ref="BU28:BU31" si="150">BU27+1</f>
        <v>2028</v>
      </c>
      <c r="BV28" s="578">
        <f t="shared" si="118"/>
        <v>395.14571954424088</v>
      </c>
      <c r="BW28" s="597">
        <f t="shared" si="134"/>
        <v>1.0051666147331153</v>
      </c>
      <c r="CH28" s="601"/>
    </row>
    <row r="29" spans="1:86">
      <c r="B29" s="583">
        <f t="shared" si="135"/>
        <v>2029</v>
      </c>
      <c r="C29" s="578">
        <f t="shared" ca="1" si="93"/>
        <v>129594.04859107808</v>
      </c>
      <c r="D29" s="597">
        <f t="shared" ca="1" si="119"/>
        <v>1.0197497184977684</v>
      </c>
      <c r="E29" s="583"/>
      <c r="F29" s="583">
        <f t="shared" si="136"/>
        <v>2029</v>
      </c>
      <c r="G29" s="578">
        <f t="shared" si="94"/>
        <v>1545.3184929134979</v>
      </c>
      <c r="H29" s="597">
        <f t="shared" si="120"/>
        <v>0.99787580890018834</v>
      </c>
      <c r="I29" s="583"/>
      <c r="J29" s="583">
        <f t="shared" si="137"/>
        <v>2029</v>
      </c>
      <c r="K29" s="578">
        <f t="shared" si="95"/>
        <v>9829.0560359912397</v>
      </c>
      <c r="L29" s="597">
        <f t="shared" si="121"/>
        <v>1.0073859629318815</v>
      </c>
      <c r="M29" s="583"/>
      <c r="N29" s="583">
        <f t="shared" si="138"/>
        <v>2029</v>
      </c>
      <c r="O29" s="578">
        <f t="shared" si="96"/>
        <v>1077.9128609498791</v>
      </c>
      <c r="P29" s="597">
        <f t="shared" si="122"/>
        <v>1.0005960900184248</v>
      </c>
      <c r="Q29" s="603">
        <f t="shared" si="97"/>
        <v>18.837916666666668</v>
      </c>
      <c r="R29" s="578">
        <f t="shared" si="98"/>
        <v>1096.7507776165457</v>
      </c>
      <c r="S29" s="583"/>
      <c r="T29" s="583">
        <f t="shared" si="139"/>
        <v>2029</v>
      </c>
      <c r="U29" s="578">
        <f t="shared" si="99"/>
        <v>5</v>
      </c>
      <c r="V29" s="597">
        <f t="shared" si="123"/>
        <v>1</v>
      </c>
      <c r="W29" s="578">
        <f t="shared" si="100"/>
        <v>7.1200000000000054</v>
      </c>
      <c r="X29" s="578">
        <f t="shared" si="101"/>
        <v>12.120000000000006</v>
      </c>
      <c r="Y29" s="583"/>
      <c r="Z29" s="583">
        <f t="shared" si="140"/>
        <v>2029</v>
      </c>
      <c r="AA29" s="578">
        <f t="shared" si="102"/>
        <v>5</v>
      </c>
      <c r="AB29" s="597">
        <f t="shared" si="124"/>
        <v>1</v>
      </c>
      <c r="AC29" s="578">
        <f t="shared" si="103"/>
        <v>3.784999999999997</v>
      </c>
      <c r="AD29" s="578">
        <f t="shared" si="104"/>
        <v>8.7849999999999966</v>
      </c>
      <c r="AE29" s="597"/>
      <c r="AF29" s="583">
        <f t="shared" si="141"/>
        <v>2029</v>
      </c>
      <c r="AG29" s="578">
        <f t="shared" si="105"/>
        <v>34433.675567073762</v>
      </c>
      <c r="AH29" s="597">
        <f t="shared" si="125"/>
        <v>1.0102787825383512</v>
      </c>
      <c r="AI29" s="583"/>
      <c r="AJ29" s="583">
        <f t="shared" si="142"/>
        <v>2029</v>
      </c>
      <c r="AK29" s="578">
        <f t="shared" si="106"/>
        <v>218.80890598731071</v>
      </c>
      <c r="AL29" s="597">
        <f t="shared" si="126"/>
        <v>0.98308022289958608</v>
      </c>
      <c r="AN29" s="583">
        <f t="shared" si="143"/>
        <v>2029</v>
      </c>
      <c r="AO29" s="578">
        <f t="shared" si="107"/>
        <v>701.32637777448565</v>
      </c>
      <c r="AP29" s="597">
        <f t="shared" si="127"/>
        <v>0.98619830993244595</v>
      </c>
      <c r="AQ29" s="579"/>
      <c r="AS29" s="583">
        <f t="shared" si="144"/>
        <v>2029</v>
      </c>
      <c r="AT29" s="578">
        <f t="shared" ca="1" si="108"/>
        <v>50076.81265822248</v>
      </c>
      <c r="AU29" s="597">
        <f t="shared" ca="1" si="128"/>
        <v>1.0191687391567548</v>
      </c>
      <c r="AV29" s="583"/>
      <c r="AW29" s="583">
        <f t="shared" si="145"/>
        <v>2029</v>
      </c>
      <c r="AX29" s="578">
        <f t="shared" si="109"/>
        <v>2645.2470178083931</v>
      </c>
      <c r="AY29" s="597">
        <f t="shared" si="129"/>
        <v>1.0142358697737737</v>
      </c>
      <c r="AZ29" s="583"/>
      <c r="BA29" s="583">
        <f t="shared" si="146"/>
        <v>2029</v>
      </c>
      <c r="BB29" s="578">
        <f t="shared" si="110"/>
        <v>401.51265437331625</v>
      </c>
      <c r="BC29" s="597">
        <f t="shared" si="130"/>
        <v>1.0065468980291556</v>
      </c>
      <c r="BD29" s="578">
        <f t="shared" si="111"/>
        <v>14.354166666666673</v>
      </c>
      <c r="BE29" s="578">
        <f t="shared" si="112"/>
        <v>415.86682103998288</v>
      </c>
      <c r="BF29" s="583"/>
      <c r="BG29" s="583">
        <f t="shared" si="147"/>
        <v>2029</v>
      </c>
      <c r="BH29" s="578">
        <f t="shared" si="113"/>
        <v>3</v>
      </c>
      <c r="BI29" s="597">
        <f t="shared" si="131"/>
        <v>1</v>
      </c>
      <c r="BJ29" s="578">
        <f t="shared" si="114"/>
        <v>3.4800000000000035</v>
      </c>
      <c r="BK29" s="578">
        <f t="shared" si="115"/>
        <v>6.4800000000000031</v>
      </c>
      <c r="BL29" s="583"/>
      <c r="BM29" s="583">
        <f t="shared" si="148"/>
        <v>2029</v>
      </c>
      <c r="BN29" s="578">
        <f t="shared" si="116"/>
        <v>14879.31845009957</v>
      </c>
      <c r="BO29" s="597">
        <f t="shared" si="132"/>
        <v>1.0165342047795582</v>
      </c>
      <c r="BP29" s="583"/>
      <c r="BQ29" s="583">
        <f t="shared" si="149"/>
        <v>2029</v>
      </c>
      <c r="BR29" s="578">
        <f t="shared" si="117"/>
        <v>48.553837706105405</v>
      </c>
      <c r="BS29" s="597">
        <f t="shared" si="133"/>
        <v>1.0132633406730729</v>
      </c>
      <c r="BT29" s="597"/>
      <c r="BU29" s="583">
        <f t="shared" si="150"/>
        <v>2029</v>
      </c>
      <c r="BV29" s="578">
        <f t="shared" si="118"/>
        <v>397.18728524056587</v>
      </c>
      <c r="BW29" s="597">
        <f t="shared" si="134"/>
        <v>1.005166614733116</v>
      </c>
      <c r="CH29" s="601"/>
    </row>
    <row r="30" spans="1:86">
      <c r="B30" s="583">
        <f t="shared" si="135"/>
        <v>2030</v>
      </c>
      <c r="C30" s="578">
        <f t="shared" ca="1" si="93"/>
        <v>132210.12223609621</v>
      </c>
      <c r="D30" s="597">
        <f t="shared" ca="1" si="119"/>
        <v>1.020186680433705</v>
      </c>
      <c r="E30" s="583"/>
      <c r="F30" s="583">
        <f t="shared" si="136"/>
        <v>2030</v>
      </c>
      <c r="G30" s="578">
        <f t="shared" si="94"/>
        <v>1542.0359411244774</v>
      </c>
      <c r="H30" s="597">
        <f t="shared" si="120"/>
        <v>0.99787580890018879</v>
      </c>
      <c r="I30" s="583"/>
      <c r="J30" s="583">
        <f t="shared" si="137"/>
        <v>2030</v>
      </c>
      <c r="K30" s="578">
        <f t="shared" si="95"/>
        <v>9901.6530795284561</v>
      </c>
      <c r="L30" s="597">
        <f t="shared" si="121"/>
        <v>1.0073859629318813</v>
      </c>
      <c r="M30" s="449"/>
      <c r="N30" s="583">
        <f t="shared" si="138"/>
        <v>2030</v>
      </c>
      <c r="O30" s="578">
        <f t="shared" si="96"/>
        <v>1078.5553940470229</v>
      </c>
      <c r="P30" s="597">
        <f t="shared" si="122"/>
        <v>1.0005960900184245</v>
      </c>
      <c r="Q30" s="603">
        <f t="shared" si="97"/>
        <v>19.012500000000006</v>
      </c>
      <c r="R30" s="578">
        <f t="shared" si="98"/>
        <v>1097.5678940470227</v>
      </c>
      <c r="S30" s="583"/>
      <c r="T30" s="583">
        <f t="shared" si="139"/>
        <v>2030</v>
      </c>
      <c r="U30" s="578">
        <f t="shared" si="99"/>
        <v>5</v>
      </c>
      <c r="V30" s="597">
        <f t="shared" si="123"/>
        <v>1</v>
      </c>
      <c r="W30" s="578">
        <f t="shared" si="100"/>
        <v>7.1200000000000054</v>
      </c>
      <c r="X30" s="578">
        <f t="shared" si="101"/>
        <v>12.120000000000006</v>
      </c>
      <c r="Y30" s="583"/>
      <c r="Z30" s="583">
        <f t="shared" si="140"/>
        <v>2030</v>
      </c>
      <c r="AA30" s="578">
        <f t="shared" si="102"/>
        <v>5</v>
      </c>
      <c r="AB30" s="597">
        <f t="shared" si="124"/>
        <v>1</v>
      </c>
      <c r="AC30" s="578">
        <f t="shared" si="103"/>
        <v>3.8887499999999946</v>
      </c>
      <c r="AD30" s="578">
        <f t="shared" si="104"/>
        <v>8.8887499999999964</v>
      </c>
      <c r="AE30" s="597"/>
      <c r="AF30" s="583">
        <f t="shared" si="141"/>
        <v>2030</v>
      </c>
      <c r="AG30" s="578">
        <f t="shared" si="105"/>
        <v>34787.611830223846</v>
      </c>
      <c r="AH30" s="597">
        <f t="shared" si="125"/>
        <v>1.010278782538351</v>
      </c>
      <c r="AI30" s="583"/>
      <c r="AJ30" s="583">
        <f t="shared" si="142"/>
        <v>2030</v>
      </c>
      <c r="AK30" s="578">
        <f t="shared" si="106"/>
        <v>215.10670807042004</v>
      </c>
      <c r="AL30" s="597">
        <f t="shared" si="126"/>
        <v>0.9830802228995863</v>
      </c>
      <c r="AN30" s="583">
        <f t="shared" si="143"/>
        <v>2030</v>
      </c>
      <c r="AO30" s="578">
        <f t="shared" si="107"/>
        <v>691.6468884722417</v>
      </c>
      <c r="AP30" s="597">
        <f t="shared" si="127"/>
        <v>0.98619830993244573</v>
      </c>
      <c r="AQ30" s="579"/>
      <c r="AS30" s="583">
        <f t="shared" si="144"/>
        <v>2030</v>
      </c>
      <c r="AT30" s="578">
        <f t="shared" ca="1" si="108"/>
        <v>51033.413411049019</v>
      </c>
      <c r="AU30" s="597">
        <f t="shared" ca="1" si="128"/>
        <v>1.0191026685215652</v>
      </c>
      <c r="AV30" s="583"/>
      <c r="AW30" s="583">
        <f t="shared" si="145"/>
        <v>2030</v>
      </c>
      <c r="AX30" s="578">
        <f t="shared" si="109"/>
        <v>2682.9044098733771</v>
      </c>
      <c r="AY30" s="597">
        <f t="shared" si="129"/>
        <v>1.0142358697737739</v>
      </c>
      <c r="AZ30" s="583"/>
      <c r="BA30" s="583">
        <f t="shared" si="146"/>
        <v>2030</v>
      </c>
      <c r="BB30" s="578">
        <f t="shared" si="110"/>
        <v>404.14131677891419</v>
      </c>
      <c r="BC30" s="597">
        <f t="shared" si="130"/>
        <v>1.0065468980291561</v>
      </c>
      <c r="BD30" s="578">
        <f t="shared" si="111"/>
        <v>15.067708333333341</v>
      </c>
      <c r="BE30" s="578">
        <f t="shared" si="112"/>
        <v>419.20902511224762</v>
      </c>
      <c r="BF30" s="583"/>
      <c r="BG30" s="583">
        <f t="shared" si="147"/>
        <v>2030</v>
      </c>
      <c r="BH30" s="578">
        <f t="shared" si="113"/>
        <v>3</v>
      </c>
      <c r="BI30" s="597">
        <f t="shared" si="131"/>
        <v>1</v>
      </c>
      <c r="BJ30" s="578">
        <f t="shared" si="114"/>
        <v>3.8050000000000015</v>
      </c>
      <c r="BK30" s="578">
        <f t="shared" si="115"/>
        <v>6.8050000000000024</v>
      </c>
      <c r="BL30" s="583"/>
      <c r="BM30" s="583">
        <f t="shared" si="148"/>
        <v>2030</v>
      </c>
      <c r="BN30" s="578">
        <f t="shared" si="116"/>
        <v>15125.336148333767</v>
      </c>
      <c r="BO30" s="597">
        <f t="shared" si="132"/>
        <v>1.0165342047795576</v>
      </c>
      <c r="BP30" s="583"/>
      <c r="BQ30" s="583">
        <f t="shared" si="149"/>
        <v>2030</v>
      </c>
      <c r="BR30" s="578">
        <f t="shared" si="117"/>
        <v>49.197823796586569</v>
      </c>
      <c r="BS30" s="597">
        <f t="shared" si="133"/>
        <v>1.0132633406730729</v>
      </c>
      <c r="BT30" s="597"/>
      <c r="BU30" s="583">
        <f t="shared" si="150"/>
        <v>2030</v>
      </c>
      <c r="BV30" s="578">
        <f t="shared" si="118"/>
        <v>399.23939892029608</v>
      </c>
      <c r="BW30" s="597">
        <f t="shared" si="134"/>
        <v>1.005166614733116</v>
      </c>
      <c r="CH30" s="601"/>
    </row>
    <row r="31" spans="1:86">
      <c r="B31" s="583">
        <f t="shared" si="135"/>
        <v>2031</v>
      </c>
      <c r="C31" s="578">
        <f t="shared" ca="1" si="93"/>
        <v>134871.14313253519</v>
      </c>
      <c r="D31" s="597">
        <f t="shared" ca="1" si="119"/>
        <v>1.0201272100156371</v>
      </c>
      <c r="E31" s="583"/>
      <c r="F31" s="583">
        <f t="shared" si="136"/>
        <v>2031</v>
      </c>
      <c r="G31" s="578">
        <f t="shared" si="94"/>
        <v>1538.7603621027513</v>
      </c>
      <c r="H31" s="597">
        <f t="shared" si="120"/>
        <v>0.99787580890018845</v>
      </c>
      <c r="I31" s="583"/>
      <c r="J31" s="583">
        <f t="shared" si="137"/>
        <v>2031</v>
      </c>
      <c r="K31" s="578">
        <f t="shared" si="95"/>
        <v>9974.7863221382049</v>
      </c>
      <c r="L31" s="597">
        <f t="shared" si="121"/>
        <v>1.0073859629318815</v>
      </c>
      <c r="M31" s="449"/>
      <c r="N31" s="583">
        <f t="shared" si="138"/>
        <v>2031</v>
      </c>
      <c r="O31" s="578">
        <f t="shared" si="96"/>
        <v>1079.1983101517321</v>
      </c>
      <c r="P31" s="597">
        <f t="shared" si="122"/>
        <v>1.0005960900184243</v>
      </c>
      <c r="Q31" s="603">
        <f t="shared" si="97"/>
        <v>19.153749999999988</v>
      </c>
      <c r="R31" s="578">
        <f t="shared" si="98"/>
        <v>1098.3520601517321</v>
      </c>
      <c r="S31" s="583"/>
      <c r="T31" s="583">
        <f t="shared" si="139"/>
        <v>2031</v>
      </c>
      <c r="U31" s="578">
        <f t="shared" si="99"/>
        <v>5</v>
      </c>
      <c r="V31" s="597">
        <f t="shared" si="123"/>
        <v>1</v>
      </c>
      <c r="W31" s="578">
        <f t="shared" si="100"/>
        <v>7.1200000000000054</v>
      </c>
      <c r="X31" s="578">
        <f t="shared" si="101"/>
        <v>12.120000000000006</v>
      </c>
      <c r="Y31" s="583"/>
      <c r="Z31" s="583">
        <f t="shared" si="140"/>
        <v>2031</v>
      </c>
      <c r="AA31" s="578">
        <f t="shared" si="102"/>
        <v>5</v>
      </c>
      <c r="AB31" s="597">
        <f t="shared" si="124"/>
        <v>1</v>
      </c>
      <c r="AC31" s="578">
        <f t="shared" si="103"/>
        <v>3.9462499999999938</v>
      </c>
      <c r="AD31" s="578">
        <f t="shared" si="104"/>
        <v>8.9462499999999938</v>
      </c>
      <c r="AE31" s="597"/>
      <c r="AF31" s="583">
        <f t="shared" si="141"/>
        <v>2031</v>
      </c>
      <c r="AG31" s="578">
        <f t="shared" si="105"/>
        <v>35145.1861272553</v>
      </c>
      <c r="AH31" s="597">
        <f t="shared" si="125"/>
        <v>1.0102787825383515</v>
      </c>
      <c r="AI31" s="583"/>
      <c r="AJ31" s="583">
        <f t="shared" si="142"/>
        <v>2031</v>
      </c>
      <c r="AK31" s="578">
        <f t="shared" si="106"/>
        <v>211.46715051706465</v>
      </c>
      <c r="AL31" s="597">
        <f t="shared" si="126"/>
        <v>0.98308022289958574</v>
      </c>
      <c r="AN31" s="583">
        <f t="shared" si="143"/>
        <v>2031</v>
      </c>
      <c r="AO31" s="578">
        <f t="shared" si="107"/>
        <v>682.10099248135964</v>
      </c>
      <c r="AP31" s="597">
        <f t="shared" si="127"/>
        <v>0.98619830993244584</v>
      </c>
      <c r="AQ31" s="579"/>
      <c r="AS31" s="583">
        <f t="shared" si="144"/>
        <v>2031</v>
      </c>
      <c r="AT31" s="578">
        <f t="shared" ca="1" si="108"/>
        <v>52005.432009018485</v>
      </c>
      <c r="AU31" s="597">
        <f t="shared" ca="1" si="128"/>
        <v>1.0190467094595521</v>
      </c>
      <c r="AV31" s="583"/>
      <c r="AW31" s="583">
        <f t="shared" si="145"/>
        <v>2031</v>
      </c>
      <c r="AX31" s="578">
        <f t="shared" si="109"/>
        <v>2721.0978876678178</v>
      </c>
      <c r="AY31" s="597">
        <f t="shared" si="129"/>
        <v>1.0142358697737737</v>
      </c>
      <c r="AZ31" s="583"/>
      <c r="BA31" s="583">
        <f t="shared" si="146"/>
        <v>2031</v>
      </c>
      <c r="BB31" s="578">
        <f t="shared" si="110"/>
        <v>406.78718876923466</v>
      </c>
      <c r="BC31" s="597">
        <f t="shared" si="130"/>
        <v>1.0065468980291563</v>
      </c>
      <c r="BD31" s="578">
        <f t="shared" si="111"/>
        <v>15.752083333333346</v>
      </c>
      <c r="BE31" s="578">
        <f t="shared" si="112"/>
        <v>422.53927210256802</v>
      </c>
      <c r="BF31" s="583"/>
      <c r="BG31" s="583">
        <f t="shared" si="147"/>
        <v>2031</v>
      </c>
      <c r="BH31" s="578">
        <f t="shared" si="113"/>
        <v>3</v>
      </c>
      <c r="BI31" s="597">
        <f t="shared" si="131"/>
        <v>1</v>
      </c>
      <c r="BJ31" s="578">
        <f t="shared" si="114"/>
        <v>4.1883333333333335</v>
      </c>
      <c r="BK31" s="578">
        <f t="shared" si="115"/>
        <v>7.1883333333333335</v>
      </c>
      <c r="BL31" s="583"/>
      <c r="BM31" s="583">
        <f t="shared" si="148"/>
        <v>2031</v>
      </c>
      <c r="BN31" s="578">
        <f t="shared" si="116"/>
        <v>15375.42155356997</v>
      </c>
      <c r="BO31" s="597">
        <f t="shared" si="132"/>
        <v>1.016534204779558</v>
      </c>
      <c r="BP31" s="583"/>
      <c r="BQ31" s="583">
        <f t="shared" si="149"/>
        <v>2031</v>
      </c>
      <c r="BR31" s="578">
        <f t="shared" si="117"/>
        <v>49.850351293974491</v>
      </c>
      <c r="BS31" s="597">
        <f t="shared" si="133"/>
        <v>1.0132633406730724</v>
      </c>
      <c r="BT31" s="597"/>
      <c r="BU31" s="583">
        <f t="shared" si="150"/>
        <v>2031</v>
      </c>
      <c r="BV31" s="578">
        <f t="shared" si="118"/>
        <v>401.30211508079788</v>
      </c>
      <c r="BW31" s="597">
        <f t="shared" si="134"/>
        <v>1.0051666147331155</v>
      </c>
      <c r="CH31" s="601"/>
    </row>
    <row r="32" spans="1:86">
      <c r="C32" s="9">
        <f ca="1">(C31-C21)*1000</f>
        <v>1.280568540096283E-6</v>
      </c>
      <c r="H32" s="596"/>
      <c r="L32" s="596"/>
      <c r="M32" s="449"/>
      <c r="AQ32" s="579"/>
      <c r="AY32" s="596"/>
      <c r="BC32" s="596"/>
      <c r="BD32" s="596"/>
      <c r="BE32" s="596"/>
      <c r="CH32" s="601"/>
    </row>
    <row r="33" spans="1:86">
      <c r="A33" s="595" t="s">
        <v>383</v>
      </c>
      <c r="C33" s="590" t="str">
        <f ca="1">IF(ROUND(C30,0)=ROUND(C20,0),IF(ROUND(C31,0)=ROUND(C21,0),"Match","Check"),"Check")</f>
        <v>Match</v>
      </c>
      <c r="G33" s="590" t="str">
        <f>IF(ROUND(G30,0)=ROUND(G20,0),IF(ROUND(G31,0)=ROUND(G21,0),"Match","Check"),"Check")</f>
        <v>Match</v>
      </c>
      <c r="K33" s="590" t="str">
        <f>IF(ROUND(K30,0)=ROUND(K20,0),IF(ROUND(K31,0)=ROUND(K21,0),"Match","Check"),"Check")</f>
        <v>Match</v>
      </c>
      <c r="M33" s="449"/>
      <c r="O33" s="590" t="str">
        <f>IF(ROUND(O30,0)=ROUND(O20,0),IF(ROUND(O31,0)=ROUND(O21,0),"Match","Check"),"Check")</f>
        <v>Match</v>
      </c>
      <c r="U33" s="590" t="str">
        <f>IF(ROUND(U30,0)=ROUND(U20,0),IF(ROUND(U31,0)=ROUND(U21,0),"Match","Check"),"Check")</f>
        <v>Match</v>
      </c>
      <c r="AA33" s="590" t="str">
        <f>IF(ROUND(AA30,0)=ROUND(AA20,0),IF(ROUND(AA31,0)=ROUND(AA21,0),"Match","Check"),"Check")</f>
        <v>Match</v>
      </c>
      <c r="AG33" s="590" t="str">
        <f>IF(ROUND(AG30,0)=ROUND(AG20,0),IF(ROUND(AG31,0)=ROUND(AG21,0),"Match","Check"),"Check")</f>
        <v>Match</v>
      </c>
      <c r="AK33" s="590" t="str">
        <f>IF(ROUND(AK30,0)=ROUND(AK20,0),IF(ROUND(AK31,0)=ROUND(AK21,0),"Match","Check"),"Check")</f>
        <v>Match</v>
      </c>
      <c r="AO33" s="590" t="str">
        <f>IF(ROUND(AO30,0)=ROUND(AO20,0),IF(ROUND(AO31,0)=ROUND(AO21,0),"Match","Check"),"Check")</f>
        <v>Match</v>
      </c>
      <c r="AQ33" s="579"/>
      <c r="AT33" s="590" t="str">
        <f ca="1">IF(ROUND(AT30,0)=ROUND(AT20,0),IF(ROUND(AT31,0)=ROUND(AT21,0),"Match","Check"),"Check")</f>
        <v>Match</v>
      </c>
      <c r="AX33" s="590" t="str">
        <f>IF(ROUND(AX30,0)=ROUND(AX20,0),IF(ROUND(AX31,0)=ROUND(AX21,0),"Match","Check"),"Check")</f>
        <v>Match</v>
      </c>
      <c r="BB33" s="590" t="str">
        <f>IF(ROUND(BB30,0)=ROUND(BB20,0),IF(ROUND(BB31,0)=ROUND(BB21,0),"Match","Check"),"Check")</f>
        <v>Match</v>
      </c>
      <c r="BH33" s="590" t="str">
        <f>IF(ROUND(BH30,0)=ROUND(BH20,0),IF(ROUND(BH31,0)=ROUND(BH21,0),"Match","Check"),"Check")</f>
        <v>Match</v>
      </c>
      <c r="BN33" s="590" t="str">
        <f>IF(ROUND(BN30,0)=ROUND(BN20,0),IF(ROUND(BN31,0)=ROUND(BN21,0),"Match","Check"),"Check")</f>
        <v>Match</v>
      </c>
      <c r="BR33" s="590" t="str">
        <f>IF(ROUND(BR30,0)=ROUND(BR20,0),IF(ROUND(BR31,0)=ROUND(BR21,0),"Match","Check"),"Check")</f>
        <v>Match</v>
      </c>
      <c r="BV33" s="590" t="str">
        <f>IF(ROUND(BV30,0)=ROUND(BV20,0),IF(ROUND(BV31,0)=ROUND(BV21,0),"Match","Check"),"Check")</f>
        <v>Match</v>
      </c>
    </row>
    <row r="34" spans="1:86">
      <c r="A34" s="600"/>
      <c r="C34" s="590"/>
      <c r="G34" s="590"/>
      <c r="H34" s="594"/>
      <c r="K34" s="590"/>
      <c r="M34" s="449"/>
      <c r="N34" s="450"/>
      <c r="AA34" s="590"/>
      <c r="AK34" s="590"/>
      <c r="AO34" s="590"/>
      <c r="AQ34" s="579"/>
      <c r="AT34" s="590"/>
      <c r="AX34" s="590"/>
      <c r="AY34" s="594"/>
      <c r="BB34" s="590"/>
      <c r="BR34" s="590"/>
      <c r="CH34" s="600"/>
    </row>
    <row r="35" spans="1:86">
      <c r="A35" s="9">
        <v>2024</v>
      </c>
      <c r="B35" s="9" t="s">
        <v>104</v>
      </c>
      <c r="C35" s="748">
        <f>'Monthly Data'!AT110</f>
        <v>116599.75</v>
      </c>
      <c r="D35" s="749"/>
      <c r="E35" s="11"/>
      <c r="F35" s="11"/>
      <c r="G35" s="750">
        <f>'Monthly Data'!AU110</f>
        <v>1563.6666666666667</v>
      </c>
      <c r="H35" s="749"/>
      <c r="I35" s="11"/>
      <c r="J35" s="11"/>
      <c r="K35" s="748">
        <f>'Monthly Data'!AV110</f>
        <v>9497.75</v>
      </c>
      <c r="L35" s="749"/>
      <c r="M35" s="11"/>
      <c r="N35" s="750"/>
      <c r="O35" s="748">
        <f>'Monthly Data'!AW110</f>
        <v>1043.8333333333333</v>
      </c>
      <c r="P35" s="749"/>
      <c r="Q35" s="749"/>
      <c r="R35" s="749"/>
      <c r="S35" s="750"/>
      <c r="T35" s="750"/>
      <c r="U35" s="748">
        <f>'Monthly Data'!AX110</f>
        <v>5</v>
      </c>
      <c r="V35" s="749"/>
      <c r="W35" s="749"/>
      <c r="X35" s="749"/>
      <c r="Y35" s="750"/>
      <c r="Z35" s="11"/>
      <c r="AA35" s="748">
        <f>'Monthly Data'!AY110</f>
        <v>5</v>
      </c>
      <c r="AB35" s="751"/>
      <c r="AC35" s="751"/>
      <c r="AD35" s="751"/>
      <c r="AE35" s="751"/>
      <c r="AF35" s="751"/>
      <c r="AG35" s="748">
        <f>'Monthly Data'!AZ110</f>
        <v>32426.833333333332</v>
      </c>
      <c r="AH35" s="751"/>
      <c r="AI35" s="11"/>
      <c r="AJ35" s="11"/>
      <c r="AK35" s="748">
        <f>'Monthly Data'!BA110</f>
        <v>240.58333333333334</v>
      </c>
      <c r="AL35" s="751"/>
      <c r="AN35" s="11"/>
      <c r="AO35" s="748">
        <f>'Monthly Data'!BB110</f>
        <v>792.83333333333337</v>
      </c>
      <c r="AP35" s="751"/>
      <c r="AQ35" s="579"/>
      <c r="AT35" s="748">
        <f>'Monthly Data'!CG110</f>
        <v>45354.25</v>
      </c>
      <c r="AU35" s="749"/>
      <c r="AV35" s="11"/>
      <c r="AW35" s="11"/>
      <c r="AX35" s="750">
        <f>'Monthly Data'!CH110</f>
        <v>2456.5</v>
      </c>
      <c r="AY35" s="749"/>
      <c r="AZ35" s="11"/>
      <c r="BA35" s="11"/>
      <c r="BB35" s="748">
        <f>'Monthly Data'!CI110</f>
        <v>387.25</v>
      </c>
      <c r="BC35" s="749"/>
      <c r="BD35" s="749"/>
      <c r="BE35" s="749"/>
      <c r="BF35" s="11"/>
      <c r="BG35" s="750"/>
      <c r="BH35" s="748">
        <f>'Monthly Data'!CJ110</f>
        <v>3</v>
      </c>
      <c r="BI35" s="749"/>
      <c r="BJ35" s="749"/>
      <c r="BK35" s="749"/>
      <c r="BL35" s="750"/>
      <c r="BM35" s="750"/>
      <c r="BN35" s="748">
        <f>'Monthly Data'!CK110</f>
        <v>13653</v>
      </c>
      <c r="BO35" s="749"/>
      <c r="BP35" s="750"/>
      <c r="BQ35" s="11"/>
      <c r="BR35" s="748">
        <f>'Monthly Data'!CL110</f>
        <v>45.916666666666664</v>
      </c>
      <c r="BS35" s="751"/>
      <c r="BT35" s="751"/>
      <c r="BU35" s="751"/>
      <c r="BV35" s="748">
        <f>'Monthly Data'!CM110</f>
        <v>404.5</v>
      </c>
      <c r="BW35" s="751"/>
    </row>
    <row r="36" spans="1:86">
      <c r="A36" s="9">
        <f>A35</f>
        <v>2024</v>
      </c>
      <c r="B36" s="9" t="s">
        <v>105</v>
      </c>
      <c r="C36" s="593">
        <f>'Monthly Data'!AT111</f>
        <v>116755.5</v>
      </c>
      <c r="D36" s="598">
        <f t="shared" ref="D36:D46" si="151">C36/C35</f>
        <v>1.001335766157303</v>
      </c>
      <c r="E36" s="11"/>
      <c r="F36" s="11"/>
      <c r="G36" s="329">
        <f>'Monthly Data'!AU111</f>
        <v>1563.3333333333335</v>
      </c>
      <c r="H36" s="598">
        <f t="shared" ref="H36:H46" si="152">G36/G35</f>
        <v>0.99978682583670864</v>
      </c>
      <c r="I36" s="11"/>
      <c r="J36" s="11"/>
      <c r="K36" s="593">
        <f>'Monthly Data'!AV111</f>
        <v>9498.5</v>
      </c>
      <c r="L36" s="598">
        <f t="shared" ref="L36:L46" si="153">K36/K35</f>
        <v>1.0000789660709115</v>
      </c>
      <c r="M36" s="11"/>
      <c r="N36" s="329"/>
      <c r="O36" s="593">
        <f>'Monthly Data'!AW111</f>
        <v>1046.6666666666665</v>
      </c>
      <c r="P36" s="598">
        <f t="shared" ref="P36:P46" si="154">O36/O35</f>
        <v>1.0027143541433816</v>
      </c>
      <c r="Q36" s="598"/>
      <c r="R36" s="598"/>
      <c r="S36" s="329"/>
      <c r="T36" s="329"/>
      <c r="U36" s="593">
        <f>'Monthly Data'!AX111</f>
        <v>5</v>
      </c>
      <c r="V36" s="598">
        <f t="shared" ref="V36:V46" si="155">U36/U35</f>
        <v>1</v>
      </c>
      <c r="W36" s="598"/>
      <c r="X36" s="598"/>
      <c r="Y36" s="329"/>
      <c r="Z36" s="11"/>
      <c r="AA36" s="593">
        <f>'Monthly Data'!AY111</f>
        <v>5</v>
      </c>
      <c r="AB36" s="594">
        <f t="shared" ref="AB36:AB46" si="156">AA36/AA35</f>
        <v>1</v>
      </c>
      <c r="AC36" s="594"/>
      <c r="AD36" s="594"/>
      <c r="AE36" s="594"/>
      <c r="AF36" s="594"/>
      <c r="AG36" s="593">
        <f>'Monthly Data'!AZ111</f>
        <v>32479.666666666664</v>
      </c>
      <c r="AH36" s="594">
        <f t="shared" ref="AH36:AH46" si="157">AG36/AG35</f>
        <v>1.0016293090598836</v>
      </c>
      <c r="AI36" s="11"/>
      <c r="AJ36" s="11"/>
      <c r="AK36" s="593">
        <f>'Monthly Data'!BA111</f>
        <v>240.16666666666669</v>
      </c>
      <c r="AL36" s="594">
        <f t="shared" ref="AL36:AL46" si="158">AK36/AK35</f>
        <v>0.99826809837201247</v>
      </c>
      <c r="AN36" s="11"/>
      <c r="AO36" s="593">
        <f>'Monthly Data'!BB111</f>
        <v>788.66666666666674</v>
      </c>
      <c r="AP36" s="594">
        <f t="shared" ref="AP36:AP46" si="159">AO36/AO35</f>
        <v>0.99474458692453227</v>
      </c>
      <c r="AQ36" s="579"/>
      <c r="AT36" s="593">
        <f>'Monthly Data'!CG111</f>
        <v>45384.5</v>
      </c>
      <c r="AU36" s="598">
        <f t="shared" ref="AU36:AU46" si="160">AT36/AT35</f>
        <v>1.0006669716729966</v>
      </c>
      <c r="AV36" s="11"/>
      <c r="AW36" s="11"/>
      <c r="AX36" s="329">
        <f>'Monthly Data'!CH111</f>
        <v>2458</v>
      </c>
      <c r="AY36" s="598">
        <f t="shared" ref="AY36:AY46" si="161">AX36/AX35</f>
        <v>1.0006106248727864</v>
      </c>
      <c r="AZ36" s="11"/>
      <c r="BA36" s="11"/>
      <c r="BB36" s="593">
        <f>'Monthly Data'!CI111</f>
        <v>387.5</v>
      </c>
      <c r="BC36" s="598">
        <f t="shared" ref="BC36:BC46" si="162">BB36/BB35</f>
        <v>1.0006455777921239</v>
      </c>
      <c r="BD36" s="598"/>
      <c r="BE36" s="598"/>
      <c r="BF36" s="11"/>
      <c r="BG36" s="329"/>
      <c r="BH36" s="593">
        <f>'Monthly Data'!CJ111</f>
        <v>3</v>
      </c>
      <c r="BI36" s="598">
        <f t="shared" ref="BI36:BI46" si="163">BH36/BH35</f>
        <v>1</v>
      </c>
      <c r="BJ36" s="598"/>
      <c r="BK36" s="598"/>
      <c r="BL36" s="329"/>
      <c r="BM36" s="329"/>
      <c r="BN36" s="593">
        <f>'Monthly Data'!CK111</f>
        <v>13663</v>
      </c>
      <c r="BO36" s="598">
        <f t="shared" ref="BO36:BO46" si="164">BN36/BN35</f>
        <v>1.00073243975683</v>
      </c>
      <c r="BP36" s="329"/>
      <c r="BQ36" s="11"/>
      <c r="BR36" s="593">
        <f>'Monthly Data'!CL111</f>
        <v>45.833333333333329</v>
      </c>
      <c r="BS36" s="594">
        <f t="shared" ref="BS36:BS46" si="165">BR36/BR35</f>
        <v>0.99818511796733211</v>
      </c>
      <c r="BT36" s="594"/>
      <c r="BU36" s="594"/>
      <c r="BV36" s="593">
        <f>'Monthly Data'!CM111</f>
        <v>403</v>
      </c>
      <c r="BW36" s="594">
        <f t="shared" ref="BW36:BW46" si="166">BV36/BV35</f>
        <v>0.99629171817058093</v>
      </c>
    </row>
    <row r="37" spans="1:86">
      <c r="A37" s="9">
        <f t="shared" ref="A37:A45" si="167">A36</f>
        <v>2024</v>
      </c>
      <c r="B37" s="9" t="s">
        <v>106</v>
      </c>
      <c r="C37" s="593">
        <f>'Monthly Data'!AT112</f>
        <v>116911.25</v>
      </c>
      <c r="D37" s="598">
        <f t="shared" si="151"/>
        <v>1.0013339842662659</v>
      </c>
      <c r="E37" s="11"/>
      <c r="F37" s="11"/>
      <c r="G37" s="329">
        <f>'Monthly Data'!AU112</f>
        <v>1563.0000000000002</v>
      </c>
      <c r="H37" s="598">
        <f t="shared" si="152"/>
        <v>0.99978678038379531</v>
      </c>
      <c r="I37" s="11"/>
      <c r="J37" s="11"/>
      <c r="K37" s="593">
        <f>'Monthly Data'!AV112</f>
        <v>9499.25</v>
      </c>
      <c r="L37" s="598">
        <f t="shared" si="153"/>
        <v>1.0000789598357636</v>
      </c>
      <c r="M37" s="11"/>
      <c r="N37" s="329"/>
      <c r="O37" s="593">
        <f>'Monthly Data'!AW112</f>
        <v>1049.4999999999998</v>
      </c>
      <c r="P37" s="598">
        <f t="shared" si="154"/>
        <v>1.0027070063694268</v>
      </c>
      <c r="Q37" s="598"/>
      <c r="R37" s="598"/>
      <c r="S37" s="329"/>
      <c r="T37" s="329"/>
      <c r="U37" s="593">
        <f>'Monthly Data'!AX112</f>
        <v>5</v>
      </c>
      <c r="V37" s="598">
        <f t="shared" si="155"/>
        <v>1</v>
      </c>
      <c r="W37" s="598"/>
      <c r="X37" s="598"/>
      <c r="Y37" s="329"/>
      <c r="Z37" s="11"/>
      <c r="AA37" s="593">
        <f>'Monthly Data'!AY112</f>
        <v>5</v>
      </c>
      <c r="AB37" s="594">
        <f t="shared" si="156"/>
        <v>1</v>
      </c>
      <c r="AC37" s="594"/>
      <c r="AD37" s="594"/>
      <c r="AE37" s="594"/>
      <c r="AF37" s="594"/>
      <c r="AG37" s="593">
        <f>'Monthly Data'!AZ112</f>
        <v>32532.499999999996</v>
      </c>
      <c r="AH37" s="594">
        <f t="shared" si="157"/>
        <v>1.0016266587300773</v>
      </c>
      <c r="AI37" s="11"/>
      <c r="AJ37" s="11"/>
      <c r="AK37" s="593">
        <f>'Monthly Data'!BA112</f>
        <v>239.75000000000003</v>
      </c>
      <c r="AL37" s="594">
        <f t="shared" si="158"/>
        <v>0.9982650936849411</v>
      </c>
      <c r="AN37" s="11"/>
      <c r="AO37" s="593">
        <f>'Monthly Data'!BB112</f>
        <v>784.50000000000011</v>
      </c>
      <c r="AP37" s="594">
        <f t="shared" si="159"/>
        <v>0.99471682163989861</v>
      </c>
      <c r="AQ37" s="579"/>
      <c r="AT37" s="593">
        <f>'Monthly Data'!CG112</f>
        <v>45414.75</v>
      </c>
      <c r="AU37" s="598">
        <f t="shared" si="160"/>
        <v>1.0006665271182893</v>
      </c>
      <c r="AV37" s="11"/>
      <c r="AW37" s="11"/>
      <c r="AX37" s="329">
        <f>'Monthly Data'!CH112</f>
        <v>2459.5</v>
      </c>
      <c r="AY37" s="598">
        <f t="shared" si="161"/>
        <v>1.0006102522375915</v>
      </c>
      <c r="AZ37" s="11"/>
      <c r="BA37" s="11"/>
      <c r="BB37" s="593">
        <f>'Monthly Data'!CI112</f>
        <v>387.75</v>
      </c>
      <c r="BC37" s="598">
        <f t="shared" si="162"/>
        <v>1.0006451612903227</v>
      </c>
      <c r="BD37" s="598"/>
      <c r="BE37" s="598"/>
      <c r="BF37" s="11"/>
      <c r="BG37" s="329"/>
      <c r="BH37" s="593">
        <f>'Monthly Data'!CJ112</f>
        <v>3</v>
      </c>
      <c r="BI37" s="598">
        <f t="shared" si="163"/>
        <v>1</v>
      </c>
      <c r="BJ37" s="598"/>
      <c r="BK37" s="598"/>
      <c r="BL37" s="329"/>
      <c r="BM37" s="329"/>
      <c r="BN37" s="593">
        <f>'Monthly Data'!CK112</f>
        <v>13673</v>
      </c>
      <c r="BO37" s="598">
        <f t="shared" si="164"/>
        <v>1.0007319036814755</v>
      </c>
      <c r="BP37" s="329"/>
      <c r="BQ37" s="11"/>
      <c r="BR37" s="593">
        <f>'Monthly Data'!CL112</f>
        <v>45.749999999999993</v>
      </c>
      <c r="BS37" s="594">
        <f t="shared" si="165"/>
        <v>0.99818181818181817</v>
      </c>
      <c r="BT37" s="594"/>
      <c r="BU37" s="594"/>
      <c r="BV37" s="593">
        <f>'Monthly Data'!CM112</f>
        <v>401.5</v>
      </c>
      <c r="BW37" s="594">
        <f t="shared" si="166"/>
        <v>0.99627791563275436</v>
      </c>
    </row>
    <row r="38" spans="1:86">
      <c r="A38" s="9">
        <f t="shared" si="167"/>
        <v>2024</v>
      </c>
      <c r="B38" s="9" t="s">
        <v>107</v>
      </c>
      <c r="C38" s="593">
        <f>'Monthly Data'!AT113</f>
        <v>117067</v>
      </c>
      <c r="D38" s="598">
        <f t="shared" si="151"/>
        <v>1.0013322071229245</v>
      </c>
      <c r="E38" s="11"/>
      <c r="F38" s="11"/>
      <c r="G38" s="329">
        <f>'Monthly Data'!AU113</f>
        <v>1562.666666666667</v>
      </c>
      <c r="H38" s="598">
        <f t="shared" si="152"/>
        <v>0.99978673491149506</v>
      </c>
      <c r="I38" s="11"/>
      <c r="J38" s="11"/>
      <c r="K38" s="593">
        <f>'Monthly Data'!AV113</f>
        <v>9500</v>
      </c>
      <c r="L38" s="598">
        <f t="shared" si="153"/>
        <v>1.0000789536016002</v>
      </c>
      <c r="M38" s="11"/>
      <c r="N38" s="329"/>
      <c r="O38" s="593">
        <f>'Monthly Data'!AW113</f>
        <v>1052.333333333333</v>
      </c>
      <c r="P38" s="598">
        <f t="shared" si="154"/>
        <v>1.0026996982690168</v>
      </c>
      <c r="Q38" s="598"/>
      <c r="R38" s="598"/>
      <c r="S38" s="329"/>
      <c r="T38" s="329"/>
      <c r="U38" s="593">
        <f>'Monthly Data'!AX113</f>
        <v>5</v>
      </c>
      <c r="V38" s="598">
        <f t="shared" si="155"/>
        <v>1</v>
      </c>
      <c r="W38" s="598"/>
      <c r="X38" s="598"/>
      <c r="Y38" s="329"/>
      <c r="Z38" s="11"/>
      <c r="AA38" s="593">
        <f>'Monthly Data'!AY113</f>
        <v>5</v>
      </c>
      <c r="AB38" s="594">
        <f t="shared" si="156"/>
        <v>1</v>
      </c>
      <c r="AC38" s="594"/>
      <c r="AD38" s="594"/>
      <c r="AE38" s="594"/>
      <c r="AF38" s="594"/>
      <c r="AG38" s="593">
        <f>'Monthly Data'!AZ113</f>
        <v>32585.333333333328</v>
      </c>
      <c r="AH38" s="594">
        <f t="shared" si="157"/>
        <v>1.0016240170086324</v>
      </c>
      <c r="AI38" s="11"/>
      <c r="AJ38" s="11"/>
      <c r="AK38" s="593">
        <f>'Monthly Data'!BA113</f>
        <v>239.33333333333337</v>
      </c>
      <c r="AL38" s="594">
        <f t="shared" si="158"/>
        <v>0.99826207855404936</v>
      </c>
      <c r="AN38" s="11"/>
      <c r="AO38" s="593">
        <f>'Monthly Data'!BB113</f>
        <v>780.33333333333348</v>
      </c>
      <c r="AP38" s="594">
        <f t="shared" si="159"/>
        <v>0.99468876141916296</v>
      </c>
      <c r="AQ38" s="579"/>
      <c r="AT38" s="593">
        <f>'Monthly Data'!CG113</f>
        <v>45445</v>
      </c>
      <c r="AU38" s="598">
        <f t="shared" si="160"/>
        <v>1.000666083155803</v>
      </c>
      <c r="AV38" s="11"/>
      <c r="AW38" s="11"/>
      <c r="AX38" s="329">
        <f>'Monthly Data'!CH113</f>
        <v>2461</v>
      </c>
      <c r="AY38" s="598">
        <f t="shared" si="161"/>
        <v>1.0006098800569221</v>
      </c>
      <c r="AZ38" s="11"/>
      <c r="BA38" s="11"/>
      <c r="BB38" s="593">
        <f>'Monthly Data'!CI113</f>
        <v>388</v>
      </c>
      <c r="BC38" s="598">
        <f t="shared" si="162"/>
        <v>1.0006447453255964</v>
      </c>
      <c r="BD38" s="598"/>
      <c r="BE38" s="598"/>
      <c r="BF38" s="11"/>
      <c r="BG38" s="329"/>
      <c r="BH38" s="593">
        <f>'Monthly Data'!CJ113</f>
        <v>3</v>
      </c>
      <c r="BI38" s="598">
        <f t="shared" si="163"/>
        <v>1</v>
      </c>
      <c r="BJ38" s="598"/>
      <c r="BK38" s="598"/>
      <c r="BL38" s="329"/>
      <c r="BM38" s="329"/>
      <c r="BN38" s="593">
        <f>'Monthly Data'!CK113</f>
        <v>13683</v>
      </c>
      <c r="BO38" s="598">
        <f t="shared" si="164"/>
        <v>1.0007313683902581</v>
      </c>
      <c r="BP38" s="329"/>
      <c r="BQ38" s="11"/>
      <c r="BR38" s="593">
        <f>'Monthly Data'!CL113</f>
        <v>45.666666666666657</v>
      </c>
      <c r="BS38" s="594">
        <f t="shared" si="165"/>
        <v>0.99817850637522765</v>
      </c>
      <c r="BT38" s="594"/>
      <c r="BU38" s="594"/>
      <c r="BV38" s="593">
        <f>'Monthly Data'!CM113</f>
        <v>400</v>
      </c>
      <c r="BW38" s="594">
        <f t="shared" si="166"/>
        <v>0.99626400996264008</v>
      </c>
    </row>
    <row r="39" spans="1:86">
      <c r="A39" s="9">
        <f t="shared" si="167"/>
        <v>2024</v>
      </c>
      <c r="B39" s="9" t="s">
        <v>108</v>
      </c>
      <c r="C39" s="593">
        <f>'Monthly Data'!AT114</f>
        <v>117222.75</v>
      </c>
      <c r="D39" s="598">
        <f t="shared" si="151"/>
        <v>1.0013304347083294</v>
      </c>
      <c r="E39" s="11"/>
      <c r="F39" s="11"/>
      <c r="G39" s="329">
        <f>'Monthly Data'!AU114</f>
        <v>1562.3333333333337</v>
      </c>
      <c r="H39" s="598">
        <f t="shared" si="152"/>
        <v>0.99978668941979532</v>
      </c>
      <c r="I39" s="11"/>
      <c r="J39" s="11"/>
      <c r="K39" s="593">
        <f>'Monthly Data'!AV114</f>
        <v>9500.75</v>
      </c>
      <c r="L39" s="598">
        <f t="shared" si="153"/>
        <v>1.0000789473684211</v>
      </c>
      <c r="M39" s="11"/>
      <c r="N39" s="329"/>
      <c r="O39" s="593">
        <f>'Monthly Data'!AW114</f>
        <v>1055.1666666666663</v>
      </c>
      <c r="P39" s="598">
        <f t="shared" si="154"/>
        <v>1.0026924295216977</v>
      </c>
      <c r="Q39" s="598"/>
      <c r="R39" s="598"/>
      <c r="S39" s="329"/>
      <c r="T39" s="329"/>
      <c r="U39" s="593">
        <f>'Monthly Data'!AX114</f>
        <v>5</v>
      </c>
      <c r="V39" s="598">
        <f t="shared" si="155"/>
        <v>1</v>
      </c>
      <c r="W39" s="598"/>
      <c r="X39" s="598"/>
      <c r="Y39" s="329"/>
      <c r="Z39" s="11"/>
      <c r="AA39" s="593">
        <f>'Monthly Data'!AY114</f>
        <v>5</v>
      </c>
      <c r="AB39" s="594">
        <f t="shared" si="156"/>
        <v>1</v>
      </c>
      <c r="AC39" s="594"/>
      <c r="AD39" s="594"/>
      <c r="AE39" s="594"/>
      <c r="AF39" s="594"/>
      <c r="AG39" s="593">
        <f>'Monthly Data'!AZ114</f>
        <v>32638.166666666661</v>
      </c>
      <c r="AH39" s="594">
        <f t="shared" si="157"/>
        <v>1.0016213838536765</v>
      </c>
      <c r="AI39" s="11"/>
      <c r="AJ39" s="11"/>
      <c r="AK39" s="593">
        <f>'Monthly Data'!BA114</f>
        <v>238.91666666666671</v>
      </c>
      <c r="AL39" s="594">
        <f t="shared" si="158"/>
        <v>0.99825905292479111</v>
      </c>
      <c r="AN39" s="11"/>
      <c r="AO39" s="593">
        <f>'Monthly Data'!BB114</f>
        <v>776.16666666666686</v>
      </c>
      <c r="AP39" s="594">
        <f t="shared" si="159"/>
        <v>0.99466040153780444</v>
      </c>
      <c r="AQ39" s="579"/>
      <c r="AT39" s="593">
        <f>'Monthly Data'!CG114</f>
        <v>45475.25</v>
      </c>
      <c r="AU39" s="598">
        <f t="shared" si="160"/>
        <v>1.0006656397843547</v>
      </c>
      <c r="AV39" s="11"/>
      <c r="AW39" s="11"/>
      <c r="AX39" s="329">
        <f>'Monthly Data'!CH114</f>
        <v>2462.5</v>
      </c>
      <c r="AY39" s="598">
        <f t="shared" si="161"/>
        <v>1.0006095083299471</v>
      </c>
      <c r="AZ39" s="11"/>
      <c r="BA39" s="11"/>
      <c r="BB39" s="593">
        <f>'Monthly Data'!CI114</f>
        <v>388.25</v>
      </c>
      <c r="BC39" s="598">
        <f t="shared" si="162"/>
        <v>1.0006443298969072</v>
      </c>
      <c r="BD39" s="598"/>
      <c r="BE39" s="598"/>
      <c r="BF39" s="11"/>
      <c r="BG39" s="329"/>
      <c r="BH39" s="593">
        <f>'Monthly Data'!CJ114</f>
        <v>3</v>
      </c>
      <c r="BI39" s="598">
        <f t="shared" si="163"/>
        <v>1</v>
      </c>
      <c r="BJ39" s="598"/>
      <c r="BK39" s="598"/>
      <c r="BL39" s="329"/>
      <c r="BM39" s="329"/>
      <c r="BN39" s="593">
        <f>'Monthly Data'!CK114</f>
        <v>13693</v>
      </c>
      <c r="BO39" s="598">
        <f t="shared" si="164"/>
        <v>1.0007308338814587</v>
      </c>
      <c r="BP39" s="329"/>
      <c r="BQ39" s="11"/>
      <c r="BR39" s="593">
        <f>'Monthly Data'!CL114</f>
        <v>45.583333333333321</v>
      </c>
      <c r="BS39" s="594">
        <f t="shared" si="165"/>
        <v>0.99817518248175174</v>
      </c>
      <c r="BT39" s="594"/>
      <c r="BU39" s="594"/>
      <c r="BV39" s="593">
        <f>'Monthly Data'!CM114</f>
        <v>398.5</v>
      </c>
      <c r="BW39" s="594">
        <f t="shared" si="166"/>
        <v>0.99624999999999997</v>
      </c>
    </row>
    <row r="40" spans="1:86">
      <c r="A40" s="9">
        <f t="shared" si="167"/>
        <v>2024</v>
      </c>
      <c r="B40" s="9" t="s">
        <v>109</v>
      </c>
      <c r="C40" s="593">
        <f>'Monthly Data'!AT115</f>
        <v>117378.5</v>
      </c>
      <c r="D40" s="598">
        <f t="shared" si="151"/>
        <v>1.0013286670036319</v>
      </c>
      <c r="E40" s="11"/>
      <c r="F40" s="11"/>
      <c r="G40" s="329">
        <f>'Monthly Data'!AU115</f>
        <v>1562.0000000000005</v>
      </c>
      <c r="H40" s="598">
        <f t="shared" si="152"/>
        <v>0.99978664390868366</v>
      </c>
      <c r="I40" s="11"/>
      <c r="J40" s="11"/>
      <c r="K40" s="593">
        <f>'Monthly Data'!AV115</f>
        <v>9501.5</v>
      </c>
      <c r="L40" s="598">
        <f t="shared" si="153"/>
        <v>1.0000789411362261</v>
      </c>
      <c r="M40" s="11"/>
      <c r="N40" s="329"/>
      <c r="O40" s="593">
        <f>'Monthly Data'!AW115</f>
        <v>1057.9999999999995</v>
      </c>
      <c r="P40" s="598">
        <f t="shared" si="154"/>
        <v>1.0026851998104565</v>
      </c>
      <c r="Q40" s="598"/>
      <c r="R40" s="598"/>
      <c r="S40" s="329"/>
      <c r="T40" s="329"/>
      <c r="U40" s="593">
        <f>'Monthly Data'!AX115</f>
        <v>5</v>
      </c>
      <c r="V40" s="598">
        <f t="shared" si="155"/>
        <v>1</v>
      </c>
      <c r="W40" s="598"/>
      <c r="X40" s="598"/>
      <c r="Y40" s="329"/>
      <c r="Z40" s="11"/>
      <c r="AA40" s="593">
        <f>'Monthly Data'!AY115</f>
        <v>5</v>
      </c>
      <c r="AB40" s="594">
        <f t="shared" si="156"/>
        <v>1</v>
      </c>
      <c r="AC40" s="594"/>
      <c r="AD40" s="594"/>
      <c r="AE40" s="594"/>
      <c r="AF40" s="594"/>
      <c r="AG40" s="593">
        <f>'Monthly Data'!AZ115</f>
        <v>32690.999999999993</v>
      </c>
      <c r="AH40" s="594">
        <f t="shared" si="157"/>
        <v>1.0016187592236083</v>
      </c>
      <c r="AI40" s="11"/>
      <c r="AJ40" s="11"/>
      <c r="AK40" s="593">
        <f>'Monthly Data'!BA115</f>
        <v>238.50000000000006</v>
      </c>
      <c r="AL40" s="594">
        <f t="shared" si="158"/>
        <v>0.99825601674223929</v>
      </c>
      <c r="AN40" s="11"/>
      <c r="AO40" s="593">
        <f>'Monthly Data'!BB115</f>
        <v>772.00000000000023</v>
      </c>
      <c r="AP40" s="594">
        <f t="shared" si="159"/>
        <v>0.99463173716985187</v>
      </c>
      <c r="AQ40" s="579"/>
      <c r="AT40" s="593">
        <f>'Monthly Data'!CG115</f>
        <v>45505.5</v>
      </c>
      <c r="AU40" s="598">
        <f t="shared" si="160"/>
        <v>1.0006651970027653</v>
      </c>
      <c r="AV40" s="11"/>
      <c r="AW40" s="11"/>
      <c r="AX40" s="329">
        <f>'Monthly Data'!CH115</f>
        <v>2464</v>
      </c>
      <c r="AY40" s="598">
        <f t="shared" si="161"/>
        <v>1.0006091370558376</v>
      </c>
      <c r="AZ40" s="11"/>
      <c r="BA40" s="11"/>
      <c r="BB40" s="593">
        <f>'Monthly Data'!CI115</f>
        <v>388.5</v>
      </c>
      <c r="BC40" s="598">
        <f t="shared" si="162"/>
        <v>1.0006439150032196</v>
      </c>
      <c r="BD40" s="598"/>
      <c r="BE40" s="598"/>
      <c r="BF40" s="11"/>
      <c r="BG40" s="329"/>
      <c r="BH40" s="593">
        <f>'Monthly Data'!CJ115</f>
        <v>3</v>
      </c>
      <c r="BI40" s="598">
        <f t="shared" si="163"/>
        <v>1</v>
      </c>
      <c r="BJ40" s="598"/>
      <c r="BK40" s="598"/>
      <c r="BL40" s="329"/>
      <c r="BM40" s="329"/>
      <c r="BN40" s="593">
        <f>'Monthly Data'!CK115</f>
        <v>13703</v>
      </c>
      <c r="BO40" s="598">
        <f t="shared" si="164"/>
        <v>1.000730300153363</v>
      </c>
      <c r="BP40" s="329"/>
      <c r="BQ40" s="11"/>
      <c r="BR40" s="593">
        <f>'Monthly Data'!CL115</f>
        <v>45.499999999999986</v>
      </c>
      <c r="BS40" s="594">
        <f t="shared" si="165"/>
        <v>0.99817184643510048</v>
      </c>
      <c r="BT40" s="594"/>
      <c r="BU40" s="594"/>
      <c r="BV40" s="593">
        <f>'Monthly Data'!CM115</f>
        <v>397</v>
      </c>
      <c r="BW40" s="594">
        <f t="shared" si="166"/>
        <v>0.99623588456712675</v>
      </c>
    </row>
    <row r="41" spans="1:86">
      <c r="A41" s="9">
        <f t="shared" si="167"/>
        <v>2024</v>
      </c>
      <c r="B41" s="9" t="s">
        <v>110</v>
      </c>
      <c r="C41" s="593">
        <f>'Monthly Data'!AT116</f>
        <v>117534.25</v>
      </c>
      <c r="D41" s="598">
        <f t="shared" si="151"/>
        <v>1.0013269039900834</v>
      </c>
      <c r="E41" s="11"/>
      <c r="F41" s="11"/>
      <c r="G41" s="329">
        <f>'Monthly Data'!AU116</f>
        <v>1561.6666666666672</v>
      </c>
      <c r="H41" s="598">
        <f t="shared" si="152"/>
        <v>0.99978659837814776</v>
      </c>
      <c r="I41" s="11"/>
      <c r="J41" s="11"/>
      <c r="K41" s="593">
        <f>'Monthly Data'!AV116</f>
        <v>9502.25</v>
      </c>
      <c r="L41" s="598">
        <f t="shared" si="153"/>
        <v>1.000078934905015</v>
      </c>
      <c r="M41" s="11"/>
      <c r="N41" s="329"/>
      <c r="O41" s="593">
        <f>'Monthly Data'!AW116</f>
        <v>1060.8333333333328</v>
      </c>
      <c r="P41" s="598">
        <f t="shared" si="154"/>
        <v>1.002678008821676</v>
      </c>
      <c r="Q41" s="598"/>
      <c r="R41" s="598"/>
      <c r="S41" s="329"/>
      <c r="T41" s="329"/>
      <c r="U41" s="593">
        <f>'Monthly Data'!AX116</f>
        <v>5</v>
      </c>
      <c r="V41" s="598">
        <f t="shared" si="155"/>
        <v>1</v>
      </c>
      <c r="W41" s="598"/>
      <c r="X41" s="598"/>
      <c r="Y41" s="329"/>
      <c r="Z41" s="11"/>
      <c r="AA41" s="593">
        <f>'Monthly Data'!AY116</f>
        <v>5</v>
      </c>
      <c r="AB41" s="594">
        <f t="shared" si="156"/>
        <v>1</v>
      </c>
      <c r="AC41" s="594"/>
      <c r="AD41" s="594"/>
      <c r="AE41" s="594"/>
      <c r="AF41" s="594"/>
      <c r="AG41" s="593">
        <f>'Monthly Data'!AZ116</f>
        <v>32743.833333333325</v>
      </c>
      <c r="AH41" s="594">
        <f t="shared" si="157"/>
        <v>1.0016161430770956</v>
      </c>
      <c r="AI41" s="11"/>
      <c r="AJ41" s="11"/>
      <c r="AK41" s="593">
        <f>'Monthly Data'!BA116</f>
        <v>238.0833333333334</v>
      </c>
      <c r="AL41" s="594">
        <f t="shared" si="158"/>
        <v>0.99825296995108315</v>
      </c>
      <c r="AN41" s="11"/>
      <c r="AO41" s="593">
        <f>'Monthly Data'!BB116</f>
        <v>767.8333333333336</v>
      </c>
      <c r="AP41" s="594">
        <f t="shared" si="159"/>
        <v>0.99460276338514686</v>
      </c>
      <c r="AQ41" s="579"/>
      <c r="AT41" s="593">
        <f>'Monthly Data'!CG116</f>
        <v>45535.75</v>
      </c>
      <c r="AU41" s="598">
        <f t="shared" si="160"/>
        <v>1.0006647548098582</v>
      </c>
      <c r="AV41" s="11"/>
      <c r="AW41" s="11"/>
      <c r="AX41" s="329">
        <f>'Monthly Data'!CH116</f>
        <v>2465.5</v>
      </c>
      <c r="AY41" s="598">
        <f t="shared" si="161"/>
        <v>1.0006087662337662</v>
      </c>
      <c r="AZ41" s="11"/>
      <c r="BA41" s="11"/>
      <c r="BB41" s="593">
        <f>'Monthly Data'!CI116</f>
        <v>388.75</v>
      </c>
      <c r="BC41" s="598">
        <f t="shared" si="162"/>
        <v>1.0006435006435006</v>
      </c>
      <c r="BD41" s="598"/>
      <c r="BE41" s="598"/>
      <c r="BF41" s="11"/>
      <c r="BG41" s="329"/>
      <c r="BH41" s="593">
        <f>'Monthly Data'!CJ116</f>
        <v>3</v>
      </c>
      <c r="BI41" s="598">
        <f t="shared" si="163"/>
        <v>1</v>
      </c>
      <c r="BJ41" s="598"/>
      <c r="BK41" s="598"/>
      <c r="BL41" s="329"/>
      <c r="BM41" s="329"/>
      <c r="BN41" s="593">
        <f>'Monthly Data'!CK116</f>
        <v>13713</v>
      </c>
      <c r="BO41" s="598">
        <f t="shared" si="164"/>
        <v>1.0007297672042619</v>
      </c>
      <c r="BP41" s="329"/>
      <c r="BQ41" s="11"/>
      <c r="BR41" s="593">
        <f>'Monthly Data'!CL116</f>
        <v>45.41666666666665</v>
      </c>
      <c r="BS41" s="594">
        <f t="shared" si="165"/>
        <v>0.99816849816849806</v>
      </c>
      <c r="BT41" s="594"/>
      <c r="BU41" s="594"/>
      <c r="BV41" s="593">
        <f>'Monthly Data'!CM116</f>
        <v>395.5</v>
      </c>
      <c r="BW41" s="594">
        <f t="shared" si="166"/>
        <v>0.99622166246851385</v>
      </c>
    </row>
    <row r="42" spans="1:86">
      <c r="A42" s="9">
        <f t="shared" si="167"/>
        <v>2024</v>
      </c>
      <c r="B42" s="9" t="s">
        <v>111</v>
      </c>
      <c r="C42" s="593">
        <f>'Monthly Data'!AT117</f>
        <v>117690</v>
      </c>
      <c r="D42" s="598">
        <f t="shared" si="151"/>
        <v>1.0013251456490342</v>
      </c>
      <c r="E42" s="11"/>
      <c r="F42" s="11"/>
      <c r="G42" s="329">
        <f>'Monthly Data'!AU117</f>
        <v>1561.3333333333339</v>
      </c>
      <c r="H42" s="598">
        <f t="shared" si="152"/>
        <v>0.99978655282817508</v>
      </c>
      <c r="I42" s="11"/>
      <c r="J42" s="11"/>
      <c r="K42" s="593">
        <f>'Monthly Data'!AV117</f>
        <v>9503</v>
      </c>
      <c r="L42" s="598">
        <f t="shared" si="153"/>
        <v>1.0000789286747875</v>
      </c>
      <c r="M42" s="11"/>
      <c r="N42" s="329"/>
      <c r="O42" s="593">
        <f>'Monthly Data'!AW117</f>
        <v>1063.6666666666661</v>
      </c>
      <c r="P42" s="598">
        <f t="shared" si="154"/>
        <v>1.0026708562450903</v>
      </c>
      <c r="Q42" s="598"/>
      <c r="R42" s="598"/>
      <c r="S42" s="329"/>
      <c r="T42" s="329"/>
      <c r="U42" s="593">
        <f>'Monthly Data'!AX117</f>
        <v>5</v>
      </c>
      <c r="V42" s="598">
        <f t="shared" si="155"/>
        <v>1</v>
      </c>
      <c r="W42" s="598"/>
      <c r="X42" s="598"/>
      <c r="Y42" s="329"/>
      <c r="Z42" s="11"/>
      <c r="AA42" s="593">
        <f>'Monthly Data'!AY117</f>
        <v>5</v>
      </c>
      <c r="AB42" s="594">
        <f t="shared" si="156"/>
        <v>1</v>
      </c>
      <c r="AC42" s="594"/>
      <c r="AD42" s="594"/>
      <c r="AE42" s="594"/>
      <c r="AF42" s="594"/>
      <c r="AG42" s="593">
        <f>'Monthly Data'!AZ117</f>
        <v>32796.666666666657</v>
      </c>
      <c r="AH42" s="594">
        <f t="shared" si="157"/>
        <v>1.0016135353730728</v>
      </c>
      <c r="AI42" s="11"/>
      <c r="AJ42" s="11"/>
      <c r="AK42" s="593">
        <f>'Monthly Data'!BA117</f>
        <v>237.66666666666674</v>
      </c>
      <c r="AL42" s="594">
        <f t="shared" si="158"/>
        <v>0.99824991249562478</v>
      </c>
      <c r="AN42" s="11"/>
      <c r="AO42" s="593">
        <f>'Monthly Data'!BB117</f>
        <v>763.66666666666697</v>
      </c>
      <c r="AP42" s="594">
        <f t="shared" si="159"/>
        <v>0.99457347514651617</v>
      </c>
      <c r="AQ42" s="579"/>
      <c r="AT42" s="593">
        <f>'Monthly Data'!CG117</f>
        <v>45566</v>
      </c>
      <c r="AU42" s="598">
        <f t="shared" si="160"/>
        <v>1.0006643132044601</v>
      </c>
      <c r="AV42" s="11"/>
      <c r="AW42" s="11"/>
      <c r="AX42" s="329">
        <f>'Monthly Data'!CH117</f>
        <v>2467</v>
      </c>
      <c r="AY42" s="598">
        <f t="shared" si="161"/>
        <v>1.0006083958629082</v>
      </c>
      <c r="AZ42" s="11"/>
      <c r="BA42" s="11"/>
      <c r="BB42" s="593">
        <f>'Monthly Data'!CI117</f>
        <v>389</v>
      </c>
      <c r="BC42" s="598">
        <f t="shared" si="162"/>
        <v>1.0006430868167202</v>
      </c>
      <c r="BD42" s="598"/>
      <c r="BE42" s="598"/>
      <c r="BF42" s="11"/>
      <c r="BG42" s="329"/>
      <c r="BH42" s="593">
        <f>'Monthly Data'!CJ117</f>
        <v>3</v>
      </c>
      <c r="BI42" s="598">
        <f t="shared" si="163"/>
        <v>1</v>
      </c>
      <c r="BJ42" s="598"/>
      <c r="BK42" s="598"/>
      <c r="BL42" s="329"/>
      <c r="BM42" s="329"/>
      <c r="BN42" s="593">
        <f>'Monthly Data'!CK117</f>
        <v>13723</v>
      </c>
      <c r="BO42" s="598">
        <f t="shared" si="164"/>
        <v>1.000729235032451</v>
      </c>
      <c r="BP42" s="329"/>
      <c r="BQ42" s="11"/>
      <c r="BR42" s="593">
        <f>'Monthly Data'!CL117</f>
        <v>45.333333333333314</v>
      </c>
      <c r="BS42" s="594">
        <f t="shared" si="165"/>
        <v>0.99816513761467884</v>
      </c>
      <c r="BT42" s="594"/>
      <c r="BU42" s="594"/>
      <c r="BV42" s="593">
        <f>'Monthly Data'!CM117</f>
        <v>394</v>
      </c>
      <c r="BW42" s="594">
        <f t="shared" si="166"/>
        <v>0.99620733249051829</v>
      </c>
    </row>
    <row r="43" spans="1:86">
      <c r="A43" s="9">
        <f t="shared" si="167"/>
        <v>2024</v>
      </c>
      <c r="B43" s="9" t="s">
        <v>384</v>
      </c>
      <c r="C43" s="593">
        <f>'Monthly Data'!AT118</f>
        <v>117845.75</v>
      </c>
      <c r="D43" s="598">
        <f t="shared" si="151"/>
        <v>1.001323391961934</v>
      </c>
      <c r="E43" s="11"/>
      <c r="F43" s="11"/>
      <c r="G43" s="329">
        <f>'Monthly Data'!AU118</f>
        <v>1561.0000000000007</v>
      </c>
      <c r="H43" s="598">
        <f t="shared" si="152"/>
        <v>0.99978650725875329</v>
      </c>
      <c r="I43" s="11"/>
      <c r="J43" s="11"/>
      <c r="K43" s="593">
        <f>'Monthly Data'!AV118</f>
        <v>9503.75</v>
      </c>
      <c r="L43" s="598">
        <f t="shared" si="153"/>
        <v>1.0000789224455435</v>
      </c>
      <c r="M43" s="11"/>
      <c r="N43" s="329"/>
      <c r="O43" s="593">
        <f>'Monthly Data'!AW118</f>
        <v>1066.4999999999993</v>
      </c>
      <c r="P43" s="598">
        <f t="shared" si="154"/>
        <v>1.0026637417737385</v>
      </c>
      <c r="Q43" s="598"/>
      <c r="R43" s="598"/>
      <c r="S43" s="329"/>
      <c r="T43" s="329"/>
      <c r="U43" s="593">
        <f>'Monthly Data'!AX118</f>
        <v>5</v>
      </c>
      <c r="V43" s="598">
        <f t="shared" si="155"/>
        <v>1</v>
      </c>
      <c r="W43" s="598"/>
      <c r="X43" s="598"/>
      <c r="Y43" s="329"/>
      <c r="Z43" s="11"/>
      <c r="AA43" s="593">
        <f>'Monthly Data'!AY118</f>
        <v>5</v>
      </c>
      <c r="AB43" s="594">
        <f t="shared" si="156"/>
        <v>1</v>
      </c>
      <c r="AC43" s="594"/>
      <c r="AD43" s="594"/>
      <c r="AE43" s="594"/>
      <c r="AF43" s="594"/>
      <c r="AG43" s="593">
        <f>'Monthly Data'!AZ118</f>
        <v>32849.499999999993</v>
      </c>
      <c r="AH43" s="594">
        <f t="shared" si="157"/>
        <v>1.001610936070739</v>
      </c>
      <c r="AI43" s="11"/>
      <c r="AJ43" s="11"/>
      <c r="AK43" s="593">
        <f>'Monthly Data'!BA118</f>
        <v>237.25000000000009</v>
      </c>
      <c r="AL43" s="594">
        <f t="shared" si="158"/>
        <v>0.99824684431977562</v>
      </c>
      <c r="AN43" s="11"/>
      <c r="AO43" s="593">
        <f>'Monthly Data'!BB118</f>
        <v>759.50000000000034</v>
      </c>
      <c r="AP43" s="594">
        <f t="shared" si="159"/>
        <v>0.99454386730685296</v>
      </c>
      <c r="AQ43" s="579"/>
      <c r="AT43" s="593">
        <f>'Monthly Data'!CG118</f>
        <v>45596.25</v>
      </c>
      <c r="AU43" s="598">
        <f t="shared" si="160"/>
        <v>1.0006638721854013</v>
      </c>
      <c r="AV43" s="11"/>
      <c r="AW43" s="11"/>
      <c r="AX43" s="329">
        <f>'Monthly Data'!CH118</f>
        <v>2468.5</v>
      </c>
      <c r="AY43" s="598">
        <f t="shared" si="161"/>
        <v>1.0006080259424401</v>
      </c>
      <c r="AZ43" s="11"/>
      <c r="BA43" s="11"/>
      <c r="BB43" s="593">
        <f>'Monthly Data'!CI118</f>
        <v>389.25</v>
      </c>
      <c r="BC43" s="598">
        <f t="shared" si="162"/>
        <v>1.000642673521851</v>
      </c>
      <c r="BD43" s="598"/>
      <c r="BE43" s="598"/>
      <c r="BF43" s="11"/>
      <c r="BG43" s="329"/>
      <c r="BH43" s="593">
        <f>'Monthly Data'!CJ118</f>
        <v>3</v>
      </c>
      <c r="BI43" s="598">
        <f t="shared" si="163"/>
        <v>1</v>
      </c>
      <c r="BJ43" s="598"/>
      <c r="BK43" s="598"/>
      <c r="BL43" s="329"/>
      <c r="BM43" s="329"/>
      <c r="BN43" s="593">
        <f>'Monthly Data'!CK118</f>
        <v>13733</v>
      </c>
      <c r="BO43" s="598">
        <f t="shared" si="164"/>
        <v>1.0007287036362311</v>
      </c>
      <c r="BP43" s="329"/>
      <c r="BQ43" s="11"/>
      <c r="BR43" s="593">
        <f>'Monthly Data'!CL118</f>
        <v>45.249999999999979</v>
      </c>
      <c r="BS43" s="594">
        <f t="shared" si="165"/>
        <v>0.99816176470588225</v>
      </c>
      <c r="BT43" s="594"/>
      <c r="BU43" s="594"/>
      <c r="BV43" s="593">
        <f>'Monthly Data'!CM118</f>
        <v>392.5</v>
      </c>
      <c r="BW43" s="594">
        <f t="shared" si="166"/>
        <v>0.99619289340101524</v>
      </c>
    </row>
    <row r="44" spans="1:86">
      <c r="A44" s="9">
        <f t="shared" si="167"/>
        <v>2024</v>
      </c>
      <c r="B44" s="9" t="s">
        <v>113</v>
      </c>
      <c r="C44" s="593">
        <f>'Monthly Data'!AT119</f>
        <v>118001.5</v>
      </c>
      <c r="D44" s="598">
        <f t="shared" si="151"/>
        <v>1.0013216429103298</v>
      </c>
      <c r="E44" s="11"/>
      <c r="F44" s="11"/>
      <c r="G44" s="329">
        <f>'Monthly Data'!AU119</f>
        <v>1560.6666666666674</v>
      </c>
      <c r="H44" s="598">
        <f t="shared" si="152"/>
        <v>0.99978646166986984</v>
      </c>
      <c r="I44" s="11"/>
      <c r="J44" s="11"/>
      <c r="K44" s="593">
        <f>'Monthly Data'!AV119</f>
        <v>9504.5</v>
      </c>
      <c r="L44" s="598">
        <f t="shared" si="153"/>
        <v>1.0000789162172827</v>
      </c>
      <c r="M44" s="11"/>
      <c r="N44" s="329"/>
      <c r="O44" s="593">
        <f>'Monthly Data'!AW119</f>
        <v>1069.3333333333326</v>
      </c>
      <c r="P44" s="598">
        <f t="shared" si="154"/>
        <v>1.0026566651039224</v>
      </c>
      <c r="Q44" s="598"/>
      <c r="R44" s="598"/>
      <c r="S44" s="329"/>
      <c r="T44" s="329"/>
      <c r="U44" s="593">
        <f>'Monthly Data'!AX119</f>
        <v>5</v>
      </c>
      <c r="V44" s="598">
        <f t="shared" si="155"/>
        <v>1</v>
      </c>
      <c r="W44" s="598"/>
      <c r="X44" s="598"/>
      <c r="Y44" s="329"/>
      <c r="Z44" s="11"/>
      <c r="AA44" s="593">
        <f>'Monthly Data'!AY119</f>
        <v>5</v>
      </c>
      <c r="AB44" s="594">
        <f t="shared" si="156"/>
        <v>1</v>
      </c>
      <c r="AC44" s="594"/>
      <c r="AD44" s="594"/>
      <c r="AE44" s="594"/>
      <c r="AF44" s="594"/>
      <c r="AG44" s="593">
        <f>'Monthly Data'!AZ119</f>
        <v>32902.333333333328</v>
      </c>
      <c r="AH44" s="594">
        <f t="shared" si="157"/>
        <v>1.0016083451295557</v>
      </c>
      <c r="AI44" s="11"/>
      <c r="AJ44" s="11"/>
      <c r="AK44" s="593">
        <f>'Monthly Data'!BA119</f>
        <v>236.83333333333343</v>
      </c>
      <c r="AL44" s="594">
        <f t="shared" si="158"/>
        <v>0.99824376536705306</v>
      </c>
      <c r="AN44" s="11"/>
      <c r="AO44" s="593">
        <f>'Monthly Data'!BB119</f>
        <v>755.33333333333371</v>
      </c>
      <c r="AP44" s="594">
        <f t="shared" si="159"/>
        <v>0.9945139346061006</v>
      </c>
      <c r="AQ44" s="579"/>
      <c r="AT44" s="593">
        <f>'Monthly Data'!CG119</f>
        <v>45626.5</v>
      </c>
      <c r="AU44" s="598">
        <f t="shared" si="160"/>
        <v>1.0006634317515146</v>
      </c>
      <c r="AV44" s="11"/>
      <c r="AW44" s="11"/>
      <c r="AX44" s="329">
        <f>'Monthly Data'!CH119</f>
        <v>2470</v>
      </c>
      <c r="AY44" s="598">
        <f t="shared" si="161"/>
        <v>1.0006076564715414</v>
      </c>
      <c r="AZ44" s="11"/>
      <c r="BA44" s="11"/>
      <c r="BB44" s="593">
        <f>'Monthly Data'!CI119</f>
        <v>389.5</v>
      </c>
      <c r="BC44" s="598">
        <f t="shared" si="162"/>
        <v>1.0006422607578678</v>
      </c>
      <c r="BD44" s="598"/>
      <c r="BE44" s="598"/>
      <c r="BF44" s="11"/>
      <c r="BG44" s="329"/>
      <c r="BH44" s="593">
        <f>'Monthly Data'!CJ119</f>
        <v>3</v>
      </c>
      <c r="BI44" s="598">
        <f t="shared" si="163"/>
        <v>1</v>
      </c>
      <c r="BJ44" s="598"/>
      <c r="BK44" s="598"/>
      <c r="BL44" s="329"/>
      <c r="BM44" s="329"/>
      <c r="BN44" s="593">
        <f>'Monthly Data'!CK119</f>
        <v>13743</v>
      </c>
      <c r="BO44" s="598">
        <f t="shared" si="164"/>
        <v>1.0007281730139082</v>
      </c>
      <c r="BP44" s="329"/>
      <c r="BQ44" s="11"/>
      <c r="BR44" s="593">
        <f>'Monthly Data'!CL119</f>
        <v>45.166666666666643</v>
      </c>
      <c r="BS44" s="594">
        <f t="shared" si="165"/>
        <v>0.99815837937384888</v>
      </c>
      <c r="BT44" s="594"/>
      <c r="BU44" s="594"/>
      <c r="BV44" s="593">
        <f>'Monthly Data'!CM119</f>
        <v>391</v>
      </c>
      <c r="BW44" s="594">
        <f t="shared" si="166"/>
        <v>0.99617834394904459</v>
      </c>
    </row>
    <row r="45" spans="1:86">
      <c r="A45" s="9">
        <f t="shared" si="167"/>
        <v>2024</v>
      </c>
      <c r="B45" s="9" t="s">
        <v>114</v>
      </c>
      <c r="C45" s="593">
        <f>'Monthly Data'!AT120</f>
        <v>118157.25</v>
      </c>
      <c r="D45" s="598">
        <f t="shared" si="151"/>
        <v>1.0013198984758669</v>
      </c>
      <c r="E45" s="11"/>
      <c r="F45" s="11"/>
      <c r="G45" s="329">
        <f>'Monthly Data'!AU120</f>
        <v>1560.3333333333342</v>
      </c>
      <c r="H45" s="598">
        <f t="shared" si="152"/>
        <v>0.9997864160615122</v>
      </c>
      <c r="I45" s="11"/>
      <c r="J45" s="11"/>
      <c r="K45" s="593">
        <f>'Monthly Data'!AV120</f>
        <v>9505.25</v>
      </c>
      <c r="L45" s="598">
        <f t="shared" si="153"/>
        <v>1.0000789099900047</v>
      </c>
      <c r="M45" s="11"/>
      <c r="N45" s="329"/>
      <c r="O45" s="593">
        <f>'Monthly Data'!AW120</f>
        <v>1072.1666666666658</v>
      </c>
      <c r="P45" s="598">
        <f t="shared" si="154"/>
        <v>1.002649625935162</v>
      </c>
      <c r="Q45" s="598"/>
      <c r="R45" s="598"/>
      <c r="S45" s="329"/>
      <c r="T45" s="329"/>
      <c r="U45" s="593">
        <f>'Monthly Data'!AX120</f>
        <v>5</v>
      </c>
      <c r="V45" s="598">
        <f t="shared" si="155"/>
        <v>1</v>
      </c>
      <c r="W45" s="598"/>
      <c r="X45" s="598"/>
      <c r="Y45" s="329"/>
      <c r="Z45" s="11"/>
      <c r="AA45" s="593">
        <f>'Monthly Data'!AY120</f>
        <v>5</v>
      </c>
      <c r="AB45" s="594">
        <f t="shared" si="156"/>
        <v>1</v>
      </c>
      <c r="AC45" s="594"/>
      <c r="AD45" s="594"/>
      <c r="AE45" s="594"/>
      <c r="AF45" s="594"/>
      <c r="AG45" s="593">
        <f>'Monthly Data'!AZ120</f>
        <v>32955.166666666664</v>
      </c>
      <c r="AH45" s="594">
        <f t="shared" si="157"/>
        <v>1.0016057625092447</v>
      </c>
      <c r="AI45" s="11"/>
      <c r="AJ45" s="11"/>
      <c r="AK45" s="593">
        <f>'Monthly Data'!BA120</f>
        <v>236.41666666666677</v>
      </c>
      <c r="AL45" s="594">
        <f t="shared" si="158"/>
        <v>0.99824067558057705</v>
      </c>
      <c r="AN45" s="11"/>
      <c r="AO45" s="593">
        <f>'Monthly Data'!BB120</f>
        <v>751.16666666666708</v>
      </c>
      <c r="AP45" s="594">
        <f t="shared" si="159"/>
        <v>0.99448367166813778</v>
      </c>
      <c r="AQ45" s="579"/>
      <c r="AT45" s="593">
        <f>'Monthly Data'!CG120</f>
        <v>45656.75</v>
      </c>
      <c r="AU45" s="598">
        <f t="shared" si="160"/>
        <v>1.0006629919016361</v>
      </c>
      <c r="AV45" s="11"/>
      <c r="AW45" s="11"/>
      <c r="AX45" s="329">
        <f>'Monthly Data'!CH120</f>
        <v>2471.5</v>
      </c>
      <c r="AY45" s="598">
        <f t="shared" si="161"/>
        <v>1.0006072874493928</v>
      </c>
      <c r="AZ45" s="11"/>
      <c r="BA45" s="11"/>
      <c r="BB45" s="593">
        <f>'Monthly Data'!CI120</f>
        <v>389.75</v>
      </c>
      <c r="BC45" s="598">
        <f t="shared" si="162"/>
        <v>1.0006418485237485</v>
      </c>
      <c r="BD45" s="598"/>
      <c r="BE45" s="598"/>
      <c r="BF45" s="11"/>
      <c r="BG45" s="329"/>
      <c r="BH45" s="593">
        <f>'Monthly Data'!CJ120</f>
        <v>3</v>
      </c>
      <c r="BI45" s="598">
        <f t="shared" si="163"/>
        <v>1</v>
      </c>
      <c r="BJ45" s="598"/>
      <c r="BK45" s="598"/>
      <c r="BL45" s="329"/>
      <c r="BM45" s="329"/>
      <c r="BN45" s="593">
        <f>'Monthly Data'!CK120</f>
        <v>13753</v>
      </c>
      <c r="BO45" s="598">
        <f t="shared" si="164"/>
        <v>1.0007276431637924</v>
      </c>
      <c r="BP45" s="329"/>
      <c r="BQ45" s="11"/>
      <c r="BR45" s="593">
        <f>'Monthly Data'!CL120</f>
        <v>45.083333333333307</v>
      </c>
      <c r="BS45" s="594">
        <f t="shared" si="165"/>
        <v>0.99815498154981541</v>
      </c>
      <c r="BT45" s="594"/>
      <c r="BU45" s="594"/>
      <c r="BV45" s="593">
        <f>'Monthly Data'!CM120</f>
        <v>389.5</v>
      </c>
      <c r="BW45" s="594">
        <f t="shared" si="166"/>
        <v>0.99616368286445012</v>
      </c>
    </row>
    <row r="46" spans="1:86" s="586" customFormat="1">
      <c r="A46" s="9">
        <f>A45</f>
        <v>2024</v>
      </c>
      <c r="B46" s="586" t="s">
        <v>115</v>
      </c>
      <c r="C46" s="587">
        <f>'Monthly Data'!AT121</f>
        <v>118313</v>
      </c>
      <c r="D46" s="588">
        <f t="shared" si="151"/>
        <v>1.0013181586402866</v>
      </c>
      <c r="E46" s="445"/>
      <c r="F46" s="445"/>
      <c r="G46" s="446">
        <f>'Monthly Data'!AU121</f>
        <v>1560</v>
      </c>
      <c r="H46" s="588">
        <f t="shared" si="152"/>
        <v>0.99978637043366747</v>
      </c>
      <c r="I46" s="445"/>
      <c r="J46" s="445"/>
      <c r="K46" s="587">
        <f>'Monthly Data'!AV121</f>
        <v>9506</v>
      </c>
      <c r="L46" s="588">
        <f t="shared" si="153"/>
        <v>1.0000789037637094</v>
      </c>
      <c r="M46" s="445"/>
      <c r="N46" s="446"/>
      <c r="O46" s="587">
        <f>'Monthly Data'!AW121</f>
        <v>1075</v>
      </c>
      <c r="P46" s="588">
        <f t="shared" si="154"/>
        <v>1.0026426239701547</v>
      </c>
      <c r="Q46" s="588"/>
      <c r="R46" s="588"/>
      <c r="S46" s="446"/>
      <c r="T46" s="446"/>
      <c r="U46" s="587">
        <f>'Monthly Data'!AX121</f>
        <v>5</v>
      </c>
      <c r="V46" s="588">
        <f t="shared" si="155"/>
        <v>1</v>
      </c>
      <c r="W46" s="588"/>
      <c r="X46" s="588"/>
      <c r="Y46" s="446"/>
      <c r="Z46" s="445"/>
      <c r="AA46" s="587">
        <f>'Monthly Data'!AY121</f>
        <v>5</v>
      </c>
      <c r="AB46" s="591">
        <f t="shared" si="156"/>
        <v>1</v>
      </c>
      <c r="AC46" s="591"/>
      <c r="AD46" s="591"/>
      <c r="AE46" s="591"/>
      <c r="AF46" s="591"/>
      <c r="AG46" s="587">
        <f>'Monthly Data'!AZ121</f>
        <v>33008</v>
      </c>
      <c r="AH46" s="591">
        <f t="shared" si="157"/>
        <v>1.0016031881697862</v>
      </c>
      <c r="AI46" s="445"/>
      <c r="AJ46" s="445"/>
      <c r="AK46" s="587">
        <f>'Monthly Data'!BA121</f>
        <v>236</v>
      </c>
      <c r="AL46" s="591">
        <f t="shared" si="158"/>
        <v>0.99823757490306619</v>
      </c>
      <c r="AN46" s="445"/>
      <c r="AO46" s="587">
        <f>'Monthly Data'!BB121</f>
        <v>747</v>
      </c>
      <c r="AP46" s="591">
        <f t="shared" si="159"/>
        <v>0.99445307299755881</v>
      </c>
      <c r="AQ46" s="599"/>
      <c r="AT46" s="587">
        <f>'Monthly Data'!CG121</f>
        <v>45687</v>
      </c>
      <c r="AU46" s="588">
        <f t="shared" si="160"/>
        <v>1.0006625526346049</v>
      </c>
      <c r="AV46" s="445"/>
      <c r="AW46" s="445"/>
      <c r="AX46" s="446">
        <f>'Monthly Data'!CH121</f>
        <v>2473</v>
      </c>
      <c r="AY46" s="588">
        <f t="shared" si="161"/>
        <v>1.0006069188751769</v>
      </c>
      <c r="AZ46" s="445"/>
      <c r="BA46" s="445"/>
      <c r="BB46" s="587">
        <f>'Monthly Data'!CI121</f>
        <v>390</v>
      </c>
      <c r="BC46" s="588">
        <f t="shared" si="162"/>
        <v>1.0006414368184733</v>
      </c>
      <c r="BD46" s="588"/>
      <c r="BE46" s="588"/>
      <c r="BF46" s="445"/>
      <c r="BG46" s="446"/>
      <c r="BH46" s="587">
        <f>'Monthly Data'!CJ121</f>
        <v>3</v>
      </c>
      <c r="BI46" s="588">
        <f t="shared" si="163"/>
        <v>1</v>
      </c>
      <c r="BJ46" s="588"/>
      <c r="BK46" s="588"/>
      <c r="BL46" s="446"/>
      <c r="BM46" s="446"/>
      <c r="BN46" s="587">
        <f>'Monthly Data'!CK121</f>
        <v>13763</v>
      </c>
      <c r="BO46" s="588">
        <f t="shared" si="164"/>
        <v>1.0007271140841998</v>
      </c>
      <c r="BP46" s="446"/>
      <c r="BQ46" s="445"/>
      <c r="BR46" s="587">
        <f>'Monthly Data'!CL121</f>
        <v>45</v>
      </c>
      <c r="BS46" s="591">
        <f t="shared" si="165"/>
        <v>0.9981515711645107</v>
      </c>
      <c r="BT46" s="591"/>
      <c r="BU46" s="591"/>
      <c r="BV46" s="587">
        <f>'Monthly Data'!CM121</f>
        <v>388</v>
      </c>
      <c r="BW46" s="591">
        <f t="shared" si="166"/>
        <v>0.99614890885750962</v>
      </c>
    </row>
    <row r="47" spans="1:86">
      <c r="A47" s="9">
        <f t="shared" ref="A47:A99" si="168">A35+1</f>
        <v>2025</v>
      </c>
      <c r="B47" s="9" t="s">
        <v>104</v>
      </c>
      <c r="C47" s="220">
        <f ca="1">C15/D15^(5.50989446627246/12)</f>
        <v>118642.07293948183</v>
      </c>
      <c r="D47" s="219">
        <f t="shared" ref="D47:D70" ca="1" si="169">C47/C46</f>
        <v>1.0027813760067097</v>
      </c>
      <c r="E47" s="11"/>
      <c r="F47" s="11"/>
      <c r="G47" s="220">
        <f>G15/H15^(5.50989446627246/12)</f>
        <v>1560.0381419928988</v>
      </c>
      <c r="H47" s="219">
        <f t="shared" ref="H47:H100" si="170">G47/G46</f>
        <v>1.000024449995448</v>
      </c>
      <c r="I47" s="11"/>
      <c r="J47" s="11"/>
      <c r="K47" s="220">
        <f>K46*L47</f>
        <v>9511.8311998935005</v>
      </c>
      <c r="L47" s="219">
        <f>L15^(1/12)</f>
        <v>1.0006134230899959</v>
      </c>
      <c r="M47" s="11"/>
      <c r="N47" s="11"/>
      <c r="O47" s="220">
        <f>O46*P47</f>
        <v>1075.0533851471412</v>
      </c>
      <c r="P47" s="219">
        <f>P15^(1/12)</f>
        <v>1.0000496606019917</v>
      </c>
      <c r="Q47" s="569">
        <f>SUMIFS(Q$15:Q$21,N$15:N$21,$A47)/12+Q46</f>
        <v>0.41750000000000015</v>
      </c>
      <c r="R47" s="570">
        <f>Q47+O47</f>
        <v>1075.4708851471412</v>
      </c>
      <c r="S47" s="11"/>
      <c r="T47" s="11"/>
      <c r="U47" s="220">
        <f>U15/V15^(5.50989446627246/12)</f>
        <v>5</v>
      </c>
      <c r="V47" s="219">
        <f t="shared" ref="V47:V100" si="171">U47/U46</f>
        <v>1</v>
      </c>
      <c r="W47" s="569">
        <f>SUMIFS(W$15:W$21,T$15:T$21,$A47)/12+W46</f>
        <v>0.3</v>
      </c>
      <c r="X47" s="570">
        <f>W47+U47</f>
        <v>5.3</v>
      </c>
      <c r="Y47" s="11"/>
      <c r="Z47" s="11"/>
      <c r="AA47" s="220">
        <f>AA15/AB15^(5.50989446627246/12)</f>
        <v>5</v>
      </c>
      <c r="AB47" s="219">
        <f t="shared" ref="AB47:AB100" si="172">AA47/AA46</f>
        <v>1</v>
      </c>
      <c r="AC47" s="569">
        <f>SUMIFS(AC$15:AC$21,Z$15:Z$21,$A47)/12+AC46</f>
        <v>6.8750000000000006E-2</v>
      </c>
      <c r="AD47" s="570">
        <f>AC47+AA47</f>
        <v>5.0687499999999996</v>
      </c>
      <c r="AE47" s="219"/>
      <c r="AF47" s="219"/>
      <c r="AG47" s="220">
        <f>AG15/AH15^(5.50989446627246/12)</f>
        <v>32898.872211417824</v>
      </c>
      <c r="AH47" s="219">
        <f t="shared" ref="AH47:AH100" si="173">AG47/AG46</f>
        <v>0.99669389879477166</v>
      </c>
      <c r="AI47" s="11"/>
      <c r="AJ47" s="11"/>
      <c r="AK47" s="220">
        <f>AK15/AL15^(5.50989446627246/12)</f>
        <v>236.10253594512028</v>
      </c>
      <c r="AL47" s="219">
        <f t="shared" ref="AL47:AL100" si="174">AK47/AK46</f>
        <v>1.0004344743437299</v>
      </c>
      <c r="AN47" s="11"/>
      <c r="AO47" s="220">
        <f>AO46*AP47</f>
        <v>746.13536156065754</v>
      </c>
      <c r="AP47" s="219">
        <f>AP15^(1/12)</f>
        <v>0.9988425188228347</v>
      </c>
      <c r="AQ47" s="579"/>
      <c r="AT47" s="220">
        <f ca="1">AT15/AU15^(5.50989446627246/12)</f>
        <v>46013.736645290781</v>
      </c>
      <c r="AU47" s="219">
        <f ca="1">AT47/AT46</f>
        <v>1.0071516327465315</v>
      </c>
      <c r="AV47" s="11"/>
      <c r="AW47" s="11"/>
      <c r="AX47" s="220">
        <f>AX15/AY15^(5.50989446627246/12)</f>
        <v>2483.665396932462</v>
      </c>
      <c r="AY47" s="219">
        <f t="shared" ref="AY47:AY100" si="175">AX47/AX46</f>
        <v>1.0043127363252979</v>
      </c>
      <c r="AZ47" s="11"/>
      <c r="BA47" s="11"/>
      <c r="BB47" s="220">
        <f>BB15/BC15^(5.50989446627246/12)</f>
        <v>389.99899657194425</v>
      </c>
      <c r="BC47" s="219">
        <f t="shared" ref="BC47:BC100" si="176">BB47/BB46</f>
        <v>0.99999742710754935</v>
      </c>
      <c r="BD47" s="569">
        <f>SUMIFS(BD$15:BD$21,BA$15:BA$21,$A47)/12+BD46</f>
        <v>0.47749999999999987</v>
      </c>
      <c r="BE47" s="570">
        <f>BD47+BB47</f>
        <v>390.47649657194427</v>
      </c>
      <c r="BF47" s="11"/>
      <c r="BG47" s="11"/>
      <c r="BH47" s="220">
        <f>BH15/BI15^(5.50989446627246/12)</f>
        <v>3</v>
      </c>
      <c r="BI47" s="219">
        <f t="shared" ref="BI47:BI100" si="177">BH47/BH46</f>
        <v>1</v>
      </c>
      <c r="BJ47" s="569">
        <f>SUMIFS(BJ$15:BJ$21,BG$15:BG$21,$A47)/12+BJ46</f>
        <v>0.155</v>
      </c>
      <c r="BK47" s="570">
        <f>BJ47+BH47</f>
        <v>3.1549999999999998</v>
      </c>
      <c r="BL47" s="11"/>
      <c r="BM47" s="11"/>
      <c r="BN47" s="220">
        <f>BN15/BO15^(5.50989446627246/12)</f>
        <v>13830.12073720833</v>
      </c>
      <c r="BO47" s="219">
        <f t="shared" ref="BO47:BO100" si="178">BN47/BN46</f>
        <v>1.0048768972759086</v>
      </c>
      <c r="BP47" s="11"/>
      <c r="BQ47" s="11"/>
      <c r="BR47" s="220">
        <f>BR15/BS15^(5.50989446627246/12)</f>
        <v>45.783436348379496</v>
      </c>
      <c r="BS47" s="219">
        <f t="shared" ref="BS47:BS100" si="179">BR47/BR46</f>
        <v>1.0174096966306554</v>
      </c>
      <c r="BT47" s="219"/>
      <c r="BU47" s="219"/>
      <c r="BV47" s="220">
        <f>BV46*BW47</f>
        <v>388.16665958838405</v>
      </c>
      <c r="BW47" s="219">
        <f>BW15^(1/12)</f>
        <v>1.0004295350216084</v>
      </c>
    </row>
    <row r="48" spans="1:86">
      <c r="A48" s="9">
        <f t="shared" si="168"/>
        <v>2025</v>
      </c>
      <c r="B48" s="9" t="s">
        <v>105</v>
      </c>
      <c r="C48" s="220">
        <f t="shared" ref="C48:C58" ca="1" si="180">C47*D$15^(1/12)</f>
        <v>118825.82729874781</v>
      </c>
      <c r="D48" s="219">
        <f t="shared" ca="1" si="169"/>
        <v>1.0015488127838066</v>
      </c>
      <c r="E48" s="11"/>
      <c r="F48" s="11"/>
      <c r="G48" s="220">
        <f t="shared" ref="G48:G58" si="181">G47*H$15^(1/12)</f>
        <v>1559.7617211749794</v>
      </c>
      <c r="H48" s="219">
        <f t="shared" si="170"/>
        <v>0.99982281150025842</v>
      </c>
      <c r="I48" s="11"/>
      <c r="J48" s="11"/>
      <c r="K48" s="220">
        <f t="shared" ref="K48:K58" si="182">K47*L$15^(1/12)</f>
        <v>9517.6659767796591</v>
      </c>
      <c r="L48" s="219">
        <f t="shared" ref="L48:L100" si="183">K48/K47</f>
        <v>1.0006134230899959</v>
      </c>
      <c r="M48" s="11"/>
      <c r="N48" s="11"/>
      <c r="O48" s="220">
        <f t="shared" ref="O48:O58" si="184">O47*P$15^(1/12)</f>
        <v>1075.1067729454207</v>
      </c>
      <c r="P48" s="219">
        <f>O48/O47</f>
        <v>1.0000496606019917</v>
      </c>
      <c r="Q48" s="569">
        <f>SUMIFS(Q$15:Q$21,N$15:N$21,$A48)/12+Q47</f>
        <v>0.8350000000000003</v>
      </c>
      <c r="R48" s="570">
        <f t="shared" ref="R48:R111" si="185">Q48+O48</f>
        <v>1075.9417729454208</v>
      </c>
      <c r="S48" s="11"/>
      <c r="T48" s="11"/>
      <c r="U48" s="220">
        <f t="shared" ref="U48:U58" si="186">U47*V$15^(1/12)</f>
        <v>5</v>
      </c>
      <c r="V48" s="219">
        <f t="shared" si="171"/>
        <v>1</v>
      </c>
      <c r="W48" s="569">
        <f t="shared" ref="W48:W111" si="187">SUMIFS(W$15:W$21,T$15:T$21,$A48)/12+W47</f>
        <v>0.6</v>
      </c>
      <c r="X48" s="570">
        <f t="shared" ref="X48:X111" si="188">W48+U48</f>
        <v>5.6</v>
      </c>
      <c r="Y48" s="11"/>
      <c r="Z48" s="11"/>
      <c r="AA48" s="220">
        <f t="shared" ref="AA48:AA58" si="189">AA47*AB$15^(1/12)</f>
        <v>5</v>
      </c>
      <c r="AB48" s="219">
        <f t="shared" si="172"/>
        <v>1</v>
      </c>
      <c r="AC48" s="569">
        <f t="shared" ref="AC48:AC111" si="190">SUMIFS(AC$15:AC$21,Z$15:Z$21,$A48)/12+AC47</f>
        <v>0.13750000000000001</v>
      </c>
      <c r="AD48" s="570">
        <f t="shared" ref="AD48:AD111" si="191">AC48+AA48</f>
        <v>5.1375000000000002</v>
      </c>
      <c r="AE48" s="219"/>
      <c r="AF48" s="219"/>
      <c r="AG48" s="220">
        <f t="shared" ref="AG48:AG58" si="192">AG47*AH$15^(1/12)</f>
        <v>32926.920347019259</v>
      </c>
      <c r="AH48" s="219">
        <f t="shared" si="173"/>
        <v>1.0008525561429944</v>
      </c>
      <c r="AI48" s="11"/>
      <c r="AJ48" s="11"/>
      <c r="AK48" s="220">
        <f t="shared" ref="AK48:AK58" si="193">AK47*AL$15^(1/12)</f>
        <v>235.76702589234313</v>
      </c>
      <c r="AL48" s="219">
        <f t="shared" si="174"/>
        <v>0.9985789646374017</v>
      </c>
      <c r="AN48" s="11"/>
      <c r="AO48" s="220">
        <f t="shared" ref="AO48:AO58" si="194">AO47*AP$15^(1/12)</f>
        <v>745.27172392403361</v>
      </c>
      <c r="AP48" s="219">
        <f t="shared" ref="AP48:AP100" si="195">AO48/AO47</f>
        <v>0.99884251882283459</v>
      </c>
      <c r="AQ48" s="579"/>
      <c r="AT48" s="220">
        <f t="shared" ref="AT48:AT58" ca="1" si="196">AT47*AU$15^(1/12)</f>
        <v>46090.189126776313</v>
      </c>
      <c r="AU48" s="219">
        <f ca="1">AT48/AT47</f>
        <v>1.0016615143011507</v>
      </c>
      <c r="AV48" s="11"/>
      <c r="AW48" s="11"/>
      <c r="AX48" s="220">
        <f t="shared" ref="AX48:AX58" si="197">AX47*AY$15^(1/12)</f>
        <v>2486.5927733091007</v>
      </c>
      <c r="AY48" s="219">
        <f t="shared" si="175"/>
        <v>1.0011786516735524</v>
      </c>
      <c r="AZ48" s="11"/>
      <c r="BA48" s="11"/>
      <c r="BB48" s="220">
        <f t="shared" ref="BB48:BB58" si="198">BB47*BC$15^(1/12)</f>
        <v>390.21113440659695</v>
      </c>
      <c r="BC48" s="219">
        <f t="shared" si="176"/>
        <v>1.0005439445652871</v>
      </c>
      <c r="BD48" s="569">
        <f t="shared" ref="BD48:BD111" si="199">SUMIFS(BD$15:BD$21,BA$15:BA$21,$A48)/12+BD47</f>
        <v>0.95499999999999974</v>
      </c>
      <c r="BE48" s="570">
        <f t="shared" ref="BE48:BE111" si="200">BD48+BB48</f>
        <v>391.16613440659694</v>
      </c>
      <c r="BF48" s="11"/>
      <c r="BG48" s="11"/>
      <c r="BH48" s="220">
        <f t="shared" ref="BH48:BH58" si="201">BH47*BI$15^(1/12)</f>
        <v>3</v>
      </c>
      <c r="BI48" s="219">
        <f t="shared" si="177"/>
        <v>1</v>
      </c>
      <c r="BJ48" s="569">
        <f t="shared" ref="BJ48:BJ111" si="202">SUMIFS(BJ$15:BJ$21,BG$15:BG$21,$A48)/12+BJ47</f>
        <v>0.31</v>
      </c>
      <c r="BK48" s="570">
        <f t="shared" ref="BK48:BK111" si="203">BJ48+BH48</f>
        <v>3.31</v>
      </c>
      <c r="BL48" s="11"/>
      <c r="BM48" s="11"/>
      <c r="BN48" s="220">
        <f t="shared" ref="BN48:BN58" si="204">BN47*BO$15^(1/12)</f>
        <v>13849.033673368422</v>
      </c>
      <c r="BO48" s="219">
        <f t="shared" si="178"/>
        <v>1.0013675177910204</v>
      </c>
      <c r="BP48" s="11"/>
      <c r="BQ48" s="11"/>
      <c r="BR48" s="220">
        <f t="shared" ref="BR48:BR58" si="205">BR47*BS$15^(1/12)</f>
        <v>45.833734753023258</v>
      </c>
      <c r="BS48" s="219">
        <f t="shared" si="179"/>
        <v>1.0010986157583504</v>
      </c>
      <c r="BT48" s="219"/>
      <c r="BU48" s="219"/>
      <c r="BV48" s="220">
        <f t="shared" ref="BV48:BV58" si="206">BV47*BW$15^(1/12)</f>
        <v>388.33339076289798</v>
      </c>
      <c r="BW48" s="219">
        <f t="shared" ref="BW48:BW100" si="207">BV48/BV47</f>
        <v>1.0004295350216084</v>
      </c>
    </row>
    <row r="49" spans="1:75">
      <c r="A49" s="9">
        <f t="shared" si="168"/>
        <v>2025</v>
      </c>
      <c r="B49" s="9" t="s">
        <v>106</v>
      </c>
      <c r="C49" s="220">
        <f t="shared" ca="1" si="180"/>
        <v>119009.86625911451</v>
      </c>
      <c r="D49" s="219">
        <f t="shared" ca="1" si="169"/>
        <v>1.0015488127838066</v>
      </c>
      <c r="E49" s="11"/>
      <c r="F49" s="11"/>
      <c r="G49" s="220">
        <f t="shared" si="181"/>
        <v>1559.48534933565</v>
      </c>
      <c r="H49" s="219">
        <f t="shared" si="170"/>
        <v>0.99982281150025842</v>
      </c>
      <c r="I49" s="11"/>
      <c r="J49" s="11"/>
      <c r="K49" s="220">
        <f t="shared" si="182"/>
        <v>9523.5043328526845</v>
      </c>
      <c r="L49" s="219">
        <f t="shared" si="183"/>
        <v>1.0006134230899959</v>
      </c>
      <c r="M49" s="11"/>
      <c r="N49" s="11"/>
      <c r="O49" s="220">
        <f t="shared" si="184"/>
        <v>1075.1601633949706</v>
      </c>
      <c r="P49" s="219">
        <f t="shared" ref="P49:P100" si="208">O49/O48</f>
        <v>1.0000496606019917</v>
      </c>
      <c r="Q49" s="569">
        <f t="shared" ref="Q49:Q111" si="209">SUMIFS(Q$15:Q$21,N$15:N$21,$A49)/12+Q48</f>
        <v>1.2525000000000004</v>
      </c>
      <c r="R49" s="570">
        <f t="shared" si="185"/>
        <v>1076.4126633949707</v>
      </c>
      <c r="S49" s="11"/>
      <c r="T49" s="11"/>
      <c r="U49" s="220">
        <f t="shared" si="186"/>
        <v>5</v>
      </c>
      <c r="V49" s="219">
        <f t="shared" si="171"/>
        <v>1</v>
      </c>
      <c r="W49" s="569">
        <f t="shared" si="187"/>
        <v>0.89999999999999991</v>
      </c>
      <c r="X49" s="570">
        <f t="shared" si="188"/>
        <v>5.9</v>
      </c>
      <c r="Y49" s="11"/>
      <c r="Z49" s="11"/>
      <c r="AA49" s="220">
        <f t="shared" si="189"/>
        <v>5</v>
      </c>
      <c r="AB49" s="219">
        <f t="shared" si="172"/>
        <v>1</v>
      </c>
      <c r="AC49" s="569">
        <f t="shared" si="190"/>
        <v>0.20625000000000002</v>
      </c>
      <c r="AD49" s="570">
        <f t="shared" si="191"/>
        <v>5.2062499999999998</v>
      </c>
      <c r="AE49" s="219"/>
      <c r="AF49" s="219"/>
      <c r="AG49" s="220">
        <f t="shared" si="192"/>
        <v>32954.992395230998</v>
      </c>
      <c r="AH49" s="219">
        <f t="shared" si="173"/>
        <v>1.0008525561429944</v>
      </c>
      <c r="AI49" s="11"/>
      <c r="AJ49" s="11"/>
      <c r="AK49" s="220">
        <f t="shared" si="193"/>
        <v>235.43199261121549</v>
      </c>
      <c r="AL49" s="219">
        <f t="shared" si="174"/>
        <v>0.9985789646374017</v>
      </c>
      <c r="AN49" s="11"/>
      <c r="AO49" s="220">
        <f t="shared" si="194"/>
        <v>744.40908593171798</v>
      </c>
      <c r="AP49" s="219">
        <f t="shared" si="195"/>
        <v>0.9988425188228347</v>
      </c>
      <c r="AQ49" s="579"/>
      <c r="AT49" s="220">
        <f t="shared" ca="1" si="196"/>
        <v>46166.768635153188</v>
      </c>
      <c r="AU49" s="219">
        <f t="shared" ref="AU49:AU100" ca="1" si="210">AT49/AT48</f>
        <v>1.0016615143011507</v>
      </c>
      <c r="AV49" s="11"/>
      <c r="AW49" s="11"/>
      <c r="AX49" s="220">
        <f t="shared" si="197"/>
        <v>2489.5236000428049</v>
      </c>
      <c r="AY49" s="219">
        <f t="shared" si="175"/>
        <v>1.0011786516735524</v>
      </c>
      <c r="AZ49" s="11"/>
      <c r="BA49" s="11"/>
      <c r="BB49" s="220">
        <f t="shared" si="198"/>
        <v>390.42338763247193</v>
      </c>
      <c r="BC49" s="219">
        <f t="shared" si="176"/>
        <v>1.0005439445652871</v>
      </c>
      <c r="BD49" s="569">
        <f t="shared" si="199"/>
        <v>1.4324999999999997</v>
      </c>
      <c r="BE49" s="570">
        <f t="shared" si="200"/>
        <v>391.85588763247193</v>
      </c>
      <c r="BF49" s="11"/>
      <c r="BG49" s="11"/>
      <c r="BH49" s="220">
        <f t="shared" si="201"/>
        <v>3</v>
      </c>
      <c r="BI49" s="219">
        <f t="shared" si="177"/>
        <v>1</v>
      </c>
      <c r="BJ49" s="569">
        <f t="shared" si="202"/>
        <v>0.46499999999999997</v>
      </c>
      <c r="BK49" s="570">
        <f t="shared" si="203"/>
        <v>3.4649999999999999</v>
      </c>
      <c r="BL49" s="11"/>
      <c r="BM49" s="11"/>
      <c r="BN49" s="220">
        <f t="shared" si="204"/>
        <v>13867.972473305193</v>
      </c>
      <c r="BO49" s="219">
        <f t="shared" si="178"/>
        <v>1.0013675177910204</v>
      </c>
      <c r="BP49" s="11"/>
      <c r="BQ49" s="11"/>
      <c r="BR49" s="220">
        <f t="shared" si="205"/>
        <v>45.884088416286978</v>
      </c>
      <c r="BS49" s="219">
        <f t="shared" si="179"/>
        <v>1.0010986157583504</v>
      </c>
      <c r="BT49" s="219"/>
      <c r="BU49" s="219"/>
      <c r="BV49" s="220">
        <f t="shared" si="206"/>
        <v>388.50019355429055</v>
      </c>
      <c r="BW49" s="219">
        <f t="shared" si="207"/>
        <v>1.0004295350216084</v>
      </c>
    </row>
    <row r="50" spans="1:75">
      <c r="A50" s="9">
        <f t="shared" si="168"/>
        <v>2025</v>
      </c>
      <c r="B50" s="9" t="s">
        <v>107</v>
      </c>
      <c r="C50" s="220">
        <f t="shared" ca="1" si="180"/>
        <v>119194.19026137574</v>
      </c>
      <c r="D50" s="219">
        <f t="shared" ca="1" si="169"/>
        <v>1.0015488127838066</v>
      </c>
      <c r="E50" s="11"/>
      <c r="F50" s="11"/>
      <c r="G50" s="220">
        <f t="shared" si="181"/>
        <v>1559.2090264662322</v>
      </c>
      <c r="H50" s="219">
        <f t="shared" si="170"/>
        <v>0.99982281150025842</v>
      </c>
      <c r="I50" s="11"/>
      <c r="J50" s="11"/>
      <c r="K50" s="220">
        <f t="shared" si="182"/>
        <v>9529.3462703081332</v>
      </c>
      <c r="L50" s="219">
        <f t="shared" si="183"/>
        <v>1.0006134230899959</v>
      </c>
      <c r="M50" s="11"/>
      <c r="N50" s="11"/>
      <c r="O50" s="220">
        <f t="shared" si="184"/>
        <v>1075.2135564959224</v>
      </c>
      <c r="P50" s="219">
        <f t="shared" si="208"/>
        <v>1.0000496606019917</v>
      </c>
      <c r="Q50" s="569">
        <f t="shared" si="209"/>
        <v>1.6700000000000006</v>
      </c>
      <c r="R50" s="570">
        <f t="shared" si="185"/>
        <v>1076.8835564959224</v>
      </c>
      <c r="S50" s="11"/>
      <c r="T50" s="11"/>
      <c r="U50" s="220">
        <f t="shared" si="186"/>
        <v>5</v>
      </c>
      <c r="V50" s="219">
        <f t="shared" si="171"/>
        <v>1</v>
      </c>
      <c r="W50" s="569">
        <f t="shared" si="187"/>
        <v>1.2</v>
      </c>
      <c r="X50" s="570">
        <f t="shared" si="188"/>
        <v>6.2</v>
      </c>
      <c r="Y50" s="11"/>
      <c r="Z50" s="11"/>
      <c r="AA50" s="220">
        <f t="shared" si="189"/>
        <v>5</v>
      </c>
      <c r="AB50" s="219">
        <f t="shared" si="172"/>
        <v>1</v>
      </c>
      <c r="AC50" s="569">
        <f t="shared" si="190"/>
        <v>0.27500000000000002</v>
      </c>
      <c r="AD50" s="570">
        <f t="shared" si="191"/>
        <v>5.2750000000000004</v>
      </c>
      <c r="AE50" s="219"/>
      <c r="AF50" s="219"/>
      <c r="AG50" s="220">
        <f t="shared" si="192"/>
        <v>32983.08837643989</v>
      </c>
      <c r="AH50" s="219">
        <f t="shared" si="173"/>
        <v>1.0008525561429944</v>
      </c>
      <c r="AI50" s="11"/>
      <c r="AJ50" s="11"/>
      <c r="AK50" s="220">
        <f t="shared" si="193"/>
        <v>235.09743542422797</v>
      </c>
      <c r="AL50" s="219">
        <f t="shared" si="174"/>
        <v>0.9985789646374017</v>
      </c>
      <c r="AN50" s="11"/>
      <c r="AO50" s="220">
        <f t="shared" si="194"/>
        <v>743.54744642664116</v>
      </c>
      <c r="AP50" s="219">
        <f t="shared" si="195"/>
        <v>0.9988425188228347</v>
      </c>
      <c r="AQ50" s="579"/>
      <c r="AT50" s="220">
        <f t="shared" ca="1" si="196"/>
        <v>46243.475381478413</v>
      </c>
      <c r="AU50" s="219">
        <f t="shared" ca="1" si="210"/>
        <v>1.0016615143011507</v>
      </c>
      <c r="AV50" s="11"/>
      <c r="AW50" s="11"/>
      <c r="AX50" s="220">
        <f t="shared" si="197"/>
        <v>2492.4578812003433</v>
      </c>
      <c r="AY50" s="219">
        <f t="shared" si="175"/>
        <v>1.0011786516735524</v>
      </c>
      <c r="AZ50" s="11"/>
      <c r="BA50" s="11"/>
      <c r="BB50" s="220">
        <f t="shared" si="198"/>
        <v>390.63575631233556</v>
      </c>
      <c r="BC50" s="219">
        <f t="shared" si="176"/>
        <v>1.0005439445652871</v>
      </c>
      <c r="BD50" s="569">
        <f t="shared" si="199"/>
        <v>1.9099999999999995</v>
      </c>
      <c r="BE50" s="570">
        <f t="shared" si="200"/>
        <v>392.54575631233558</v>
      </c>
      <c r="BF50" s="11"/>
      <c r="BG50" s="11"/>
      <c r="BH50" s="220">
        <f t="shared" si="201"/>
        <v>3</v>
      </c>
      <c r="BI50" s="219">
        <f t="shared" si="177"/>
        <v>1</v>
      </c>
      <c r="BJ50" s="569">
        <f t="shared" si="202"/>
        <v>0.62</v>
      </c>
      <c r="BK50" s="570">
        <f t="shared" si="203"/>
        <v>3.62</v>
      </c>
      <c r="BL50" s="11"/>
      <c r="BM50" s="11"/>
      <c r="BN50" s="220">
        <f t="shared" si="204"/>
        <v>13886.937172387819</v>
      </c>
      <c r="BO50" s="219">
        <f t="shared" si="178"/>
        <v>1.0013675177910204</v>
      </c>
      <c r="BP50" s="11"/>
      <c r="BQ50" s="11"/>
      <c r="BR50" s="220">
        <f t="shared" si="205"/>
        <v>45.934497398878655</v>
      </c>
      <c r="BS50" s="219">
        <f t="shared" si="179"/>
        <v>1.0010986157583504</v>
      </c>
      <c r="BT50" s="219"/>
      <c r="BU50" s="219"/>
      <c r="BV50" s="220">
        <f t="shared" si="206"/>
        <v>388.66706799332377</v>
      </c>
      <c r="BW50" s="219">
        <f t="shared" si="207"/>
        <v>1.0004295350216084</v>
      </c>
    </row>
    <row r="51" spans="1:75">
      <c r="A51" s="9">
        <f t="shared" si="168"/>
        <v>2025</v>
      </c>
      <c r="B51" s="9" t="s">
        <v>108</v>
      </c>
      <c r="C51" s="220">
        <f t="shared" ca="1" si="180"/>
        <v>119378.79974700803</v>
      </c>
      <c r="D51" s="219">
        <f t="shared" ca="1" si="169"/>
        <v>1.0015488127838066</v>
      </c>
      <c r="E51" s="11"/>
      <c r="F51" s="11"/>
      <c r="G51" s="220">
        <f t="shared" si="181"/>
        <v>1558.9327525580491</v>
      </c>
      <c r="H51" s="219">
        <f t="shared" si="170"/>
        <v>0.99982281150025842</v>
      </c>
      <c r="I51" s="11"/>
      <c r="J51" s="11"/>
      <c r="K51" s="220">
        <f t="shared" si="182"/>
        <v>9535.1917913429061</v>
      </c>
      <c r="L51" s="219">
        <f t="shared" si="183"/>
        <v>1.0006134230899959</v>
      </c>
      <c r="M51" s="11"/>
      <c r="N51" s="11"/>
      <c r="O51" s="220">
        <f t="shared" si="184"/>
        <v>1075.2669522484077</v>
      </c>
      <c r="P51" s="219">
        <f t="shared" si="208"/>
        <v>1.0000496606019917</v>
      </c>
      <c r="Q51" s="569">
        <f t="shared" si="209"/>
        <v>2.0875000000000008</v>
      </c>
      <c r="R51" s="570">
        <f t="shared" si="185"/>
        <v>1077.3544522484078</v>
      </c>
      <c r="S51" s="11"/>
      <c r="T51" s="11"/>
      <c r="U51" s="220">
        <f t="shared" si="186"/>
        <v>5</v>
      </c>
      <c r="V51" s="219">
        <f t="shared" si="171"/>
        <v>1</v>
      </c>
      <c r="W51" s="569">
        <f t="shared" si="187"/>
        <v>1.5</v>
      </c>
      <c r="X51" s="570">
        <f t="shared" si="188"/>
        <v>6.5</v>
      </c>
      <c r="Y51" s="11"/>
      <c r="Z51" s="11"/>
      <c r="AA51" s="220">
        <f t="shared" si="189"/>
        <v>5</v>
      </c>
      <c r="AB51" s="219">
        <f t="shared" si="172"/>
        <v>1</v>
      </c>
      <c r="AC51" s="569">
        <f t="shared" si="190"/>
        <v>0.34375</v>
      </c>
      <c r="AD51" s="570">
        <f t="shared" si="191"/>
        <v>5.34375</v>
      </c>
      <c r="AE51" s="219"/>
      <c r="AF51" s="219"/>
      <c r="AG51" s="220">
        <f t="shared" si="192"/>
        <v>33011.208311050148</v>
      </c>
      <c r="AH51" s="219">
        <f t="shared" si="173"/>
        <v>1.0008525561429944</v>
      </c>
      <c r="AI51" s="11"/>
      <c r="AJ51" s="11"/>
      <c r="AK51" s="220">
        <f t="shared" si="193"/>
        <v>234.76335365483396</v>
      </c>
      <c r="AL51" s="219">
        <f t="shared" si="174"/>
        <v>0.9985789646374017</v>
      </c>
      <c r="AN51" s="11"/>
      <c r="AO51" s="220">
        <f t="shared" si="194"/>
        <v>742.68680425307298</v>
      </c>
      <c r="AP51" s="219">
        <f t="shared" si="195"/>
        <v>0.9988425188228347</v>
      </c>
      <c r="AQ51" s="579"/>
      <c r="AT51" s="220">
        <f t="shared" ca="1" si="196"/>
        <v>46320.309577159649</v>
      </c>
      <c r="AU51" s="219">
        <f t="shared" ca="1" si="210"/>
        <v>1.0016615143011507</v>
      </c>
      <c r="AV51" s="11"/>
      <c r="AW51" s="11"/>
      <c r="AX51" s="220">
        <f t="shared" si="197"/>
        <v>2495.3956208532791</v>
      </c>
      <c r="AY51" s="219">
        <f t="shared" si="175"/>
        <v>1.0011786516735524</v>
      </c>
      <c r="AZ51" s="11"/>
      <c r="BA51" s="11"/>
      <c r="BB51" s="220">
        <f t="shared" si="198"/>
        <v>390.84824050898845</v>
      </c>
      <c r="BC51" s="219">
        <f t="shared" si="176"/>
        <v>1.0005439445652871</v>
      </c>
      <c r="BD51" s="569">
        <f t="shared" si="199"/>
        <v>2.3874999999999993</v>
      </c>
      <c r="BE51" s="570">
        <f t="shared" si="200"/>
        <v>393.23574050898844</v>
      </c>
      <c r="BF51" s="11"/>
      <c r="BG51" s="11"/>
      <c r="BH51" s="220">
        <f t="shared" si="201"/>
        <v>3</v>
      </c>
      <c r="BI51" s="219">
        <f t="shared" si="177"/>
        <v>1</v>
      </c>
      <c r="BJ51" s="569">
        <f t="shared" si="202"/>
        <v>0.77500000000000002</v>
      </c>
      <c r="BK51" s="570">
        <f t="shared" si="203"/>
        <v>3.7749999999999999</v>
      </c>
      <c r="BL51" s="11"/>
      <c r="BM51" s="11"/>
      <c r="BN51" s="220">
        <f t="shared" si="204"/>
        <v>13905.927806033842</v>
      </c>
      <c r="BO51" s="219">
        <f t="shared" si="178"/>
        <v>1.0013675177910204</v>
      </c>
      <c r="BP51" s="11"/>
      <c r="BQ51" s="11"/>
      <c r="BR51" s="220">
        <f t="shared" si="205"/>
        <v>45.984961761572968</v>
      </c>
      <c r="BS51" s="219">
        <f t="shared" si="179"/>
        <v>1.0010986157583504</v>
      </c>
      <c r="BT51" s="219"/>
      <c r="BU51" s="219"/>
      <c r="BV51" s="220">
        <f t="shared" si="206"/>
        <v>388.83401411077273</v>
      </c>
      <c r="BW51" s="219">
        <f t="shared" si="207"/>
        <v>1.0004295350216084</v>
      </c>
    </row>
    <row r="52" spans="1:75">
      <c r="A52" s="9">
        <f t="shared" si="168"/>
        <v>2025</v>
      </c>
      <c r="B52" s="9" t="s">
        <v>109</v>
      </c>
      <c r="C52" s="220">
        <f t="shared" ca="1" si="180"/>
        <v>119563.69515817169</v>
      </c>
      <c r="D52" s="219">
        <f t="shared" ca="1" si="169"/>
        <v>1.0015488127838066</v>
      </c>
      <c r="E52" s="11"/>
      <c r="F52" s="11"/>
      <c r="G52" s="220">
        <f t="shared" si="181"/>
        <v>1558.6565276024253</v>
      </c>
      <c r="H52" s="219">
        <f t="shared" si="170"/>
        <v>0.99982281150025842</v>
      </c>
      <c r="I52" s="11"/>
      <c r="J52" s="11"/>
      <c r="K52" s="220">
        <f t="shared" si="182"/>
        <v>9541.0408981552555</v>
      </c>
      <c r="L52" s="219">
        <f t="shared" si="183"/>
        <v>1.0006134230899959</v>
      </c>
      <c r="M52" s="11"/>
      <c r="N52" s="11"/>
      <c r="O52" s="220">
        <f t="shared" si="184"/>
        <v>1075.3203506525583</v>
      </c>
      <c r="P52" s="219">
        <f t="shared" si="208"/>
        <v>1.0000496606019917</v>
      </c>
      <c r="Q52" s="569">
        <f t="shared" si="209"/>
        <v>2.5050000000000008</v>
      </c>
      <c r="R52" s="570">
        <f t="shared" si="185"/>
        <v>1077.8253506525584</v>
      </c>
      <c r="S52" s="11"/>
      <c r="T52" s="11"/>
      <c r="U52" s="220">
        <f t="shared" si="186"/>
        <v>5</v>
      </c>
      <c r="V52" s="219">
        <f t="shared" si="171"/>
        <v>1</v>
      </c>
      <c r="W52" s="569">
        <f t="shared" si="187"/>
        <v>1.8</v>
      </c>
      <c r="X52" s="570">
        <f t="shared" si="188"/>
        <v>6.8</v>
      </c>
      <c r="Y52" s="11"/>
      <c r="Z52" s="11"/>
      <c r="AA52" s="220">
        <f t="shared" si="189"/>
        <v>5</v>
      </c>
      <c r="AB52" s="219">
        <f t="shared" si="172"/>
        <v>1</v>
      </c>
      <c r="AC52" s="569">
        <f t="shared" si="190"/>
        <v>0.41249999999999998</v>
      </c>
      <c r="AD52" s="570">
        <f t="shared" si="191"/>
        <v>5.4124999999999996</v>
      </c>
      <c r="AE52" s="219"/>
      <c r="AF52" s="219"/>
      <c r="AG52" s="220">
        <f t="shared" si="192"/>
        <v>33039.3522194834</v>
      </c>
      <c r="AH52" s="219">
        <f t="shared" si="173"/>
        <v>1.0008525561429944</v>
      </c>
      <c r="AI52" s="11"/>
      <c r="AJ52" s="11"/>
      <c r="AK52" s="220">
        <f t="shared" si="193"/>
        <v>234.42974662744828</v>
      </c>
      <c r="AL52" s="219">
        <f t="shared" si="174"/>
        <v>0.9985789646374017</v>
      </c>
      <c r="AN52" s="11"/>
      <c r="AO52" s="220">
        <f t="shared" si="194"/>
        <v>741.82715825662103</v>
      </c>
      <c r="AP52" s="219">
        <f t="shared" si="195"/>
        <v>0.9988425188228347</v>
      </c>
      <c r="AQ52" s="579"/>
      <c r="AT52" s="220">
        <f t="shared" ca="1" si="196"/>
        <v>46397.27143395583</v>
      </c>
      <c r="AU52" s="219">
        <f t="shared" ca="1" si="210"/>
        <v>1.0016615143011507</v>
      </c>
      <c r="AV52" s="11"/>
      <c r="AW52" s="11"/>
      <c r="AX52" s="220">
        <f t="shared" si="197"/>
        <v>2498.3368230779729</v>
      </c>
      <c r="AY52" s="219">
        <f t="shared" si="175"/>
        <v>1.0011786516735524</v>
      </c>
      <c r="AZ52" s="11"/>
      <c r="BA52" s="11"/>
      <c r="BB52" s="220">
        <f t="shared" si="198"/>
        <v>391.06084028526533</v>
      </c>
      <c r="BC52" s="219">
        <f t="shared" si="176"/>
        <v>1.0005439445652871</v>
      </c>
      <c r="BD52" s="569">
        <f t="shared" si="199"/>
        <v>2.8649999999999993</v>
      </c>
      <c r="BE52" s="570">
        <f t="shared" si="200"/>
        <v>393.92584028526534</v>
      </c>
      <c r="BF52" s="11"/>
      <c r="BG52" s="11"/>
      <c r="BH52" s="220">
        <f t="shared" si="201"/>
        <v>3</v>
      </c>
      <c r="BI52" s="219">
        <f t="shared" si="177"/>
        <v>1</v>
      </c>
      <c r="BJ52" s="569">
        <f t="shared" si="202"/>
        <v>0.93</v>
      </c>
      <c r="BK52" s="570">
        <f t="shared" si="203"/>
        <v>3.93</v>
      </c>
      <c r="BL52" s="11"/>
      <c r="BM52" s="11"/>
      <c r="BN52" s="220">
        <f t="shared" si="204"/>
        <v>13924.944409709238</v>
      </c>
      <c r="BO52" s="219">
        <f t="shared" si="178"/>
        <v>1.0013675177910204</v>
      </c>
      <c r="BP52" s="11"/>
      <c r="BQ52" s="11"/>
      <c r="BR52" s="220">
        <f t="shared" si="205"/>
        <v>46.03548156521137</v>
      </c>
      <c r="BS52" s="219">
        <f t="shared" si="179"/>
        <v>1.0010986157583504</v>
      </c>
      <c r="BT52" s="219"/>
      <c r="BU52" s="219"/>
      <c r="BV52" s="220">
        <f t="shared" si="206"/>
        <v>389.00103193742586</v>
      </c>
      <c r="BW52" s="219">
        <f t="shared" si="207"/>
        <v>1.0004295350216084</v>
      </c>
    </row>
    <row r="53" spans="1:75">
      <c r="A53" s="9">
        <f t="shared" si="168"/>
        <v>2025</v>
      </c>
      <c r="B53" s="9" t="s">
        <v>110</v>
      </c>
      <c r="C53" s="220">
        <f t="shared" ca="1" si="180"/>
        <v>119748.87693771182</v>
      </c>
      <c r="D53" s="219">
        <f t="shared" ca="1" si="169"/>
        <v>1.0015488127838066</v>
      </c>
      <c r="E53" s="11"/>
      <c r="F53" s="11"/>
      <c r="G53" s="220">
        <f t="shared" si="181"/>
        <v>1558.380351590687</v>
      </c>
      <c r="H53" s="219">
        <f t="shared" si="170"/>
        <v>0.99982281150025842</v>
      </c>
      <c r="I53" s="11"/>
      <c r="J53" s="11"/>
      <c r="K53" s="220">
        <f t="shared" si="182"/>
        <v>9546.8935929447798</v>
      </c>
      <c r="L53" s="219">
        <f t="shared" si="183"/>
        <v>1.0006134230899959</v>
      </c>
      <c r="M53" s="11"/>
      <c r="N53" s="11"/>
      <c r="O53" s="220">
        <f t="shared" si="184"/>
        <v>1075.3737517085058</v>
      </c>
      <c r="P53" s="219">
        <f t="shared" si="208"/>
        <v>1.0000496606019917</v>
      </c>
      <c r="Q53" s="569">
        <f t="shared" si="209"/>
        <v>2.9225000000000008</v>
      </c>
      <c r="R53" s="570">
        <f t="shared" si="185"/>
        <v>1078.2962517085057</v>
      </c>
      <c r="S53" s="11"/>
      <c r="T53" s="11"/>
      <c r="U53" s="220">
        <f t="shared" si="186"/>
        <v>5</v>
      </c>
      <c r="V53" s="219">
        <f t="shared" si="171"/>
        <v>1</v>
      </c>
      <c r="W53" s="569">
        <f t="shared" si="187"/>
        <v>2.1</v>
      </c>
      <c r="X53" s="570">
        <f t="shared" si="188"/>
        <v>7.1</v>
      </c>
      <c r="Y53" s="11"/>
      <c r="Z53" s="11"/>
      <c r="AA53" s="220">
        <f t="shared" si="189"/>
        <v>5</v>
      </c>
      <c r="AB53" s="219">
        <f t="shared" si="172"/>
        <v>1</v>
      </c>
      <c r="AC53" s="569">
        <f t="shared" si="190"/>
        <v>0.48124999999999996</v>
      </c>
      <c r="AD53" s="570">
        <f t="shared" si="191"/>
        <v>5.4812500000000002</v>
      </c>
      <c r="AE53" s="219"/>
      <c r="AF53" s="219"/>
      <c r="AG53" s="220">
        <f t="shared" si="192"/>
        <v>33067.520122178677</v>
      </c>
      <c r="AH53" s="219">
        <f t="shared" si="173"/>
        <v>1.0008525561429944</v>
      </c>
      <c r="AI53" s="11"/>
      <c r="AJ53" s="11"/>
      <c r="AK53" s="220">
        <f t="shared" si="193"/>
        <v>234.09661366744572</v>
      </c>
      <c r="AL53" s="219">
        <f t="shared" si="174"/>
        <v>0.9985789646374017</v>
      </c>
      <c r="AN53" s="11"/>
      <c r="AO53" s="220">
        <f t="shared" si="194"/>
        <v>740.96850728422896</v>
      </c>
      <c r="AP53" s="219">
        <f t="shared" si="195"/>
        <v>0.9988425188228347</v>
      </c>
      <c r="AQ53" s="579"/>
      <c r="AT53" s="220">
        <f t="shared" ca="1" si="196"/>
        <v>46474.361163977715</v>
      </c>
      <c r="AU53" s="219">
        <f t="shared" ca="1" si="210"/>
        <v>1.0016615143011507</v>
      </c>
      <c r="AV53" s="11"/>
      <c r="AW53" s="11"/>
      <c r="AX53" s="220">
        <f t="shared" si="197"/>
        <v>2501.2814919555913</v>
      </c>
      <c r="AY53" s="219">
        <f t="shared" si="175"/>
        <v>1.0011786516735524</v>
      </c>
      <c r="AZ53" s="11"/>
      <c r="BA53" s="11"/>
      <c r="BB53" s="220">
        <f t="shared" si="198"/>
        <v>391.27355570403506</v>
      </c>
      <c r="BC53" s="219">
        <f t="shared" si="176"/>
        <v>1.0005439445652871</v>
      </c>
      <c r="BD53" s="569">
        <f t="shared" si="199"/>
        <v>3.3424999999999994</v>
      </c>
      <c r="BE53" s="570">
        <f t="shared" si="200"/>
        <v>394.61605570403503</v>
      </c>
      <c r="BF53" s="11"/>
      <c r="BG53" s="11"/>
      <c r="BH53" s="220">
        <f t="shared" si="201"/>
        <v>3</v>
      </c>
      <c r="BI53" s="219">
        <f t="shared" si="177"/>
        <v>1</v>
      </c>
      <c r="BJ53" s="569">
        <f t="shared" si="202"/>
        <v>1.085</v>
      </c>
      <c r="BK53" s="570">
        <f t="shared" si="203"/>
        <v>4.085</v>
      </c>
      <c r="BL53" s="11"/>
      <c r="BM53" s="11"/>
      <c r="BN53" s="220">
        <f t="shared" si="204"/>
        <v>13943.987018928487</v>
      </c>
      <c r="BO53" s="219">
        <f t="shared" si="178"/>
        <v>1.0013675177910204</v>
      </c>
      <c r="BP53" s="11"/>
      <c r="BQ53" s="11"/>
      <c r="BR53" s="220">
        <f t="shared" si="205"/>
        <v>46.086056870702159</v>
      </c>
      <c r="BS53" s="219">
        <f t="shared" si="179"/>
        <v>1.0010986157583504</v>
      </c>
      <c r="BT53" s="219"/>
      <c r="BU53" s="219"/>
      <c r="BV53" s="220">
        <f t="shared" si="206"/>
        <v>389.16812150408481</v>
      </c>
      <c r="BW53" s="219">
        <f t="shared" si="207"/>
        <v>1.0004295350216084</v>
      </c>
    </row>
    <row r="54" spans="1:75">
      <c r="A54" s="9">
        <f t="shared" si="168"/>
        <v>2025</v>
      </c>
      <c r="B54" s="9" t="s">
        <v>111</v>
      </c>
      <c r="C54" s="220">
        <f t="shared" ca="1" si="180"/>
        <v>119934.34552915943</v>
      </c>
      <c r="D54" s="219">
        <f t="shared" ca="1" si="169"/>
        <v>1.0015488127838066</v>
      </c>
      <c r="E54" s="11"/>
      <c r="F54" s="11"/>
      <c r="G54" s="220">
        <f t="shared" si="181"/>
        <v>1558.1042245141618</v>
      </c>
      <c r="H54" s="219">
        <f t="shared" si="170"/>
        <v>0.99982281150025831</v>
      </c>
      <c r="I54" s="11"/>
      <c r="J54" s="11"/>
      <c r="K54" s="220">
        <f t="shared" si="182"/>
        <v>9552.7498779124253</v>
      </c>
      <c r="L54" s="219">
        <f t="shared" si="183"/>
        <v>1.0006134230899959</v>
      </c>
      <c r="M54" s="11"/>
      <c r="N54" s="11"/>
      <c r="O54" s="220">
        <f t="shared" si="184"/>
        <v>1075.4271554163818</v>
      </c>
      <c r="P54" s="219">
        <f t="shared" si="208"/>
        <v>1.0000496606019917</v>
      </c>
      <c r="Q54" s="569">
        <f t="shared" si="209"/>
        <v>3.3400000000000007</v>
      </c>
      <c r="R54" s="570">
        <f t="shared" si="185"/>
        <v>1078.7671554163817</v>
      </c>
      <c r="S54" s="11"/>
      <c r="T54" s="11"/>
      <c r="U54" s="220">
        <f t="shared" si="186"/>
        <v>5</v>
      </c>
      <c r="V54" s="219">
        <f t="shared" si="171"/>
        <v>1</v>
      </c>
      <c r="W54" s="569">
        <f t="shared" si="187"/>
        <v>2.4</v>
      </c>
      <c r="X54" s="570">
        <f t="shared" si="188"/>
        <v>7.4</v>
      </c>
      <c r="Y54" s="11"/>
      <c r="Z54" s="11"/>
      <c r="AA54" s="220">
        <f t="shared" si="189"/>
        <v>5</v>
      </c>
      <c r="AB54" s="219">
        <f t="shared" si="172"/>
        <v>1</v>
      </c>
      <c r="AC54" s="569">
        <f t="shared" si="190"/>
        <v>0.54999999999999993</v>
      </c>
      <c r="AD54" s="570">
        <f t="shared" si="191"/>
        <v>5.55</v>
      </c>
      <c r="AE54" s="219"/>
      <c r="AF54" s="219"/>
      <c r="AG54" s="220">
        <f t="shared" si="192"/>
        <v>33095.712039592428</v>
      </c>
      <c r="AH54" s="219">
        <f t="shared" si="173"/>
        <v>1.0008525561429944</v>
      </c>
      <c r="AI54" s="11"/>
      <c r="AJ54" s="11"/>
      <c r="AK54" s="220">
        <f t="shared" si="193"/>
        <v>233.76395410115978</v>
      </c>
      <c r="AL54" s="219">
        <f t="shared" si="174"/>
        <v>0.9985789646374017</v>
      </c>
      <c r="AN54" s="11"/>
      <c r="AO54" s="220">
        <f t="shared" si="194"/>
        <v>740.11085018417521</v>
      </c>
      <c r="AP54" s="219">
        <f t="shared" si="195"/>
        <v>0.9988425188228347</v>
      </c>
      <c r="AQ54" s="579"/>
      <c r="AT54" s="220">
        <f t="shared" ca="1" si="196"/>
        <v>46551.578979688507</v>
      </c>
      <c r="AU54" s="219">
        <f t="shared" ca="1" si="210"/>
        <v>1.0016615143011507</v>
      </c>
      <c r="AV54" s="11"/>
      <c r="AW54" s="11"/>
      <c r="AX54" s="220">
        <f t="shared" si="197"/>
        <v>2504.2296315721101</v>
      </c>
      <c r="AY54" s="219">
        <f t="shared" si="175"/>
        <v>1.0011786516735524</v>
      </c>
      <c r="AZ54" s="11"/>
      <c r="BA54" s="11"/>
      <c r="BB54" s="220">
        <f t="shared" si="198"/>
        <v>391.48638682820081</v>
      </c>
      <c r="BC54" s="219">
        <f t="shared" si="176"/>
        <v>1.0005439445652871</v>
      </c>
      <c r="BD54" s="569">
        <f t="shared" si="199"/>
        <v>3.8199999999999994</v>
      </c>
      <c r="BE54" s="570">
        <f t="shared" si="200"/>
        <v>395.3063868282008</v>
      </c>
      <c r="BF54" s="11"/>
      <c r="BG54" s="11"/>
      <c r="BH54" s="220">
        <f t="shared" si="201"/>
        <v>3</v>
      </c>
      <c r="BI54" s="219">
        <f t="shared" si="177"/>
        <v>1</v>
      </c>
      <c r="BJ54" s="569">
        <f t="shared" si="202"/>
        <v>1.24</v>
      </c>
      <c r="BK54" s="570">
        <f t="shared" si="203"/>
        <v>4.24</v>
      </c>
      <c r="BL54" s="11"/>
      <c r="BM54" s="11"/>
      <c r="BN54" s="220">
        <f t="shared" si="204"/>
        <v>13963.055669254629</v>
      </c>
      <c r="BO54" s="219">
        <f t="shared" si="178"/>
        <v>1.0013675177910204</v>
      </c>
      <c r="BP54" s="11"/>
      <c r="BQ54" s="11"/>
      <c r="BR54" s="220">
        <f t="shared" si="205"/>
        <v>46.136687739020545</v>
      </c>
      <c r="BS54" s="219">
        <f t="shared" si="179"/>
        <v>1.0010986157583504</v>
      </c>
      <c r="BT54" s="219"/>
      <c r="BU54" s="219"/>
      <c r="BV54" s="220">
        <f t="shared" si="206"/>
        <v>389.33528284156438</v>
      </c>
      <c r="BW54" s="219">
        <f t="shared" si="207"/>
        <v>1.0004295350216084</v>
      </c>
    </row>
    <row r="55" spans="1:75">
      <c r="A55" s="9">
        <f t="shared" si="168"/>
        <v>2025</v>
      </c>
      <c r="B55" s="9" t="s">
        <v>384</v>
      </c>
      <c r="C55" s="220">
        <f t="shared" ca="1" si="180"/>
        <v>120120.10137673246</v>
      </c>
      <c r="D55" s="219">
        <f t="shared" ca="1" si="169"/>
        <v>1.0015488127838066</v>
      </c>
      <c r="E55" s="11"/>
      <c r="F55" s="11"/>
      <c r="G55" s="220">
        <f t="shared" si="181"/>
        <v>1557.8281463641792</v>
      </c>
      <c r="H55" s="219">
        <f t="shared" si="170"/>
        <v>0.99982281150025842</v>
      </c>
      <c r="I55" s="11"/>
      <c r="J55" s="11"/>
      <c r="K55" s="220">
        <f t="shared" si="182"/>
        <v>9558.6097552604915</v>
      </c>
      <c r="L55" s="219">
        <f t="shared" si="183"/>
        <v>1.0006134230899959</v>
      </c>
      <c r="M55" s="11"/>
      <c r="N55" s="11"/>
      <c r="O55" s="220">
        <f t="shared" si="184"/>
        <v>1075.4805617763179</v>
      </c>
      <c r="P55" s="219">
        <f t="shared" si="208"/>
        <v>1.0000496606019917</v>
      </c>
      <c r="Q55" s="569">
        <f t="shared" si="209"/>
        <v>3.7575000000000007</v>
      </c>
      <c r="R55" s="570">
        <f t="shared" si="185"/>
        <v>1079.2380617763179</v>
      </c>
      <c r="S55" s="11"/>
      <c r="T55" s="11"/>
      <c r="U55" s="220">
        <f t="shared" si="186"/>
        <v>5</v>
      </c>
      <c r="V55" s="219">
        <f t="shared" si="171"/>
        <v>1</v>
      </c>
      <c r="W55" s="569">
        <f t="shared" si="187"/>
        <v>2.6999999999999997</v>
      </c>
      <c r="X55" s="570">
        <f t="shared" si="188"/>
        <v>7.6999999999999993</v>
      </c>
      <c r="Y55" s="11"/>
      <c r="Z55" s="11"/>
      <c r="AA55" s="220">
        <f t="shared" si="189"/>
        <v>5</v>
      </c>
      <c r="AB55" s="219">
        <f t="shared" si="172"/>
        <v>1</v>
      </c>
      <c r="AC55" s="569">
        <f t="shared" si="190"/>
        <v>0.61874999999999991</v>
      </c>
      <c r="AD55" s="570">
        <f t="shared" si="191"/>
        <v>5.6187500000000004</v>
      </c>
      <c r="AE55" s="219"/>
      <c r="AF55" s="219"/>
      <c r="AG55" s="220">
        <f t="shared" si="192"/>
        <v>33123.927992198558</v>
      </c>
      <c r="AH55" s="219">
        <f t="shared" si="173"/>
        <v>1.0008525561429944</v>
      </c>
      <c r="AI55" s="11"/>
      <c r="AJ55" s="11"/>
      <c r="AK55" s="220">
        <f t="shared" si="193"/>
        <v>233.43176725588123</v>
      </c>
      <c r="AL55" s="219">
        <f t="shared" si="174"/>
        <v>0.9985789646374017</v>
      </c>
      <c r="AN55" s="11"/>
      <c r="AO55" s="220">
        <f t="shared" si="194"/>
        <v>739.25418580607118</v>
      </c>
      <c r="AP55" s="219">
        <f t="shared" si="195"/>
        <v>0.9988425188228347</v>
      </c>
      <c r="AQ55" s="579"/>
      <c r="AT55" s="220">
        <f t="shared" ca="1" si="196"/>
        <v>46628.925093904407</v>
      </c>
      <c r="AU55" s="219">
        <f t="shared" ca="1" si="210"/>
        <v>1.0016615143011507</v>
      </c>
      <c r="AV55" s="11"/>
      <c r="AW55" s="11"/>
      <c r="AX55" s="220">
        <f t="shared" si="197"/>
        <v>2507.1812460183219</v>
      </c>
      <c r="AY55" s="219">
        <f t="shared" si="175"/>
        <v>1.0011786516735524</v>
      </c>
      <c r="AZ55" s="11"/>
      <c r="BA55" s="11"/>
      <c r="BB55" s="220">
        <f t="shared" si="198"/>
        <v>391.69933372069988</v>
      </c>
      <c r="BC55" s="219">
        <f t="shared" si="176"/>
        <v>1.0005439445652871</v>
      </c>
      <c r="BD55" s="569">
        <f t="shared" si="199"/>
        <v>4.2974999999999994</v>
      </c>
      <c r="BE55" s="570">
        <f t="shared" si="200"/>
        <v>395.9968337206999</v>
      </c>
      <c r="BF55" s="11"/>
      <c r="BG55" s="11"/>
      <c r="BH55" s="220">
        <f t="shared" si="201"/>
        <v>3</v>
      </c>
      <c r="BI55" s="219">
        <f t="shared" si="177"/>
        <v>1</v>
      </c>
      <c r="BJ55" s="569">
        <f t="shared" si="202"/>
        <v>1.395</v>
      </c>
      <c r="BK55" s="570">
        <f t="shared" si="203"/>
        <v>4.3949999999999996</v>
      </c>
      <c r="BL55" s="11"/>
      <c r="BM55" s="11"/>
      <c r="BN55" s="220">
        <f t="shared" si="204"/>
        <v>13982.150396299343</v>
      </c>
      <c r="BO55" s="219">
        <f t="shared" si="178"/>
        <v>1.0013675177910204</v>
      </c>
      <c r="BP55" s="11"/>
      <c r="BQ55" s="11"/>
      <c r="BR55" s="220">
        <f t="shared" si="205"/>
        <v>46.187374231208722</v>
      </c>
      <c r="BS55" s="219">
        <f t="shared" si="179"/>
        <v>1.0010986157583504</v>
      </c>
      <c r="BT55" s="219"/>
      <c r="BU55" s="219"/>
      <c r="BV55" s="220">
        <f t="shared" si="206"/>
        <v>389.50251598069264</v>
      </c>
      <c r="BW55" s="219">
        <f t="shared" si="207"/>
        <v>1.0004295350216084</v>
      </c>
    </row>
    <row r="56" spans="1:75">
      <c r="A56" s="9">
        <f t="shared" si="168"/>
        <v>2025</v>
      </c>
      <c r="B56" s="9" t="s">
        <v>113</v>
      </c>
      <c r="C56" s="220">
        <f t="shared" ca="1" si="180"/>
        <v>120306.14492533689</v>
      </c>
      <c r="D56" s="219">
        <f t="shared" ca="1" si="169"/>
        <v>1.0015488127838066</v>
      </c>
      <c r="E56" s="11"/>
      <c r="F56" s="11"/>
      <c r="G56" s="220">
        <f t="shared" si="181"/>
        <v>1557.5521171320697</v>
      </c>
      <c r="H56" s="219">
        <f t="shared" si="170"/>
        <v>0.99982281150025842</v>
      </c>
      <c r="I56" s="11"/>
      <c r="J56" s="11"/>
      <c r="K56" s="220">
        <f t="shared" si="182"/>
        <v>9564.4732271926277</v>
      </c>
      <c r="L56" s="219">
        <f t="shared" si="183"/>
        <v>1.0006134230899959</v>
      </c>
      <c r="M56" s="11"/>
      <c r="N56" s="11"/>
      <c r="O56" s="220">
        <f t="shared" si="184"/>
        <v>1075.5339707884461</v>
      </c>
      <c r="P56" s="219">
        <f t="shared" si="208"/>
        <v>1.0000496606019917</v>
      </c>
      <c r="Q56" s="569">
        <f t="shared" si="209"/>
        <v>4.1750000000000007</v>
      </c>
      <c r="R56" s="570">
        <f t="shared" si="185"/>
        <v>1079.7089707884461</v>
      </c>
      <c r="S56" s="11"/>
      <c r="T56" s="11"/>
      <c r="U56" s="220">
        <f t="shared" si="186"/>
        <v>5</v>
      </c>
      <c r="V56" s="219">
        <f t="shared" si="171"/>
        <v>1</v>
      </c>
      <c r="W56" s="569">
        <f t="shared" si="187"/>
        <v>2.9999999999999996</v>
      </c>
      <c r="X56" s="570">
        <f t="shared" si="188"/>
        <v>8</v>
      </c>
      <c r="Y56" s="11"/>
      <c r="Z56" s="11"/>
      <c r="AA56" s="220">
        <f t="shared" si="189"/>
        <v>5</v>
      </c>
      <c r="AB56" s="219">
        <f t="shared" si="172"/>
        <v>1</v>
      </c>
      <c r="AC56" s="569">
        <f t="shared" si="190"/>
        <v>0.68749999999999989</v>
      </c>
      <c r="AD56" s="570">
        <f t="shared" si="191"/>
        <v>5.6875</v>
      </c>
      <c r="AE56" s="219"/>
      <c r="AF56" s="219"/>
      <c r="AG56" s="220">
        <f t="shared" si="192"/>
        <v>33152.168000488411</v>
      </c>
      <c r="AH56" s="219">
        <f t="shared" si="173"/>
        <v>1.0008525561429944</v>
      </c>
      <c r="AI56" s="11"/>
      <c r="AJ56" s="11"/>
      <c r="AK56" s="220">
        <f t="shared" si="193"/>
        <v>233.10005245985681</v>
      </c>
      <c r="AL56" s="219">
        <f t="shared" si="174"/>
        <v>0.9985789646374017</v>
      </c>
      <c r="AN56" s="11"/>
      <c r="AO56" s="220">
        <f t="shared" si="194"/>
        <v>738.39851300086002</v>
      </c>
      <c r="AP56" s="219">
        <f t="shared" si="195"/>
        <v>0.9988425188228347</v>
      </c>
      <c r="AQ56" s="579"/>
      <c r="AT56" s="220">
        <f t="shared" ca="1" si="196"/>
        <v>46706.399719795212</v>
      </c>
      <c r="AU56" s="219">
        <f t="shared" ca="1" si="210"/>
        <v>1.0016615143011507</v>
      </c>
      <c r="AV56" s="11"/>
      <c r="AW56" s="11"/>
      <c r="AX56" s="220">
        <f t="shared" si="197"/>
        <v>2510.1363393898405</v>
      </c>
      <c r="AY56" s="219">
        <f t="shared" si="175"/>
        <v>1.0011786516735524</v>
      </c>
      <c r="AZ56" s="11"/>
      <c r="BA56" s="11"/>
      <c r="BB56" s="220">
        <f t="shared" si="198"/>
        <v>391.91239644450383</v>
      </c>
      <c r="BC56" s="219">
        <f t="shared" si="176"/>
        <v>1.0005439445652871</v>
      </c>
      <c r="BD56" s="569">
        <f t="shared" si="199"/>
        <v>4.7749999999999995</v>
      </c>
      <c r="BE56" s="570">
        <f t="shared" si="200"/>
        <v>396.6873964445038</v>
      </c>
      <c r="BF56" s="11"/>
      <c r="BG56" s="11"/>
      <c r="BH56" s="220">
        <f t="shared" si="201"/>
        <v>3</v>
      </c>
      <c r="BI56" s="219">
        <f t="shared" si="177"/>
        <v>1</v>
      </c>
      <c r="BJ56" s="569">
        <f t="shared" si="202"/>
        <v>1.55</v>
      </c>
      <c r="BK56" s="570">
        <f t="shared" si="203"/>
        <v>4.55</v>
      </c>
      <c r="BL56" s="11"/>
      <c r="BM56" s="11"/>
      <c r="BN56" s="220">
        <f t="shared" si="204"/>
        <v>14001.271235723005</v>
      </c>
      <c r="BO56" s="219">
        <f t="shared" si="178"/>
        <v>1.0013675177910204</v>
      </c>
      <c r="BP56" s="11"/>
      <c r="BQ56" s="11"/>
      <c r="BR56" s="220">
        <f t="shared" si="205"/>
        <v>46.238116408375951</v>
      </c>
      <c r="BS56" s="219">
        <f t="shared" si="179"/>
        <v>1.0010986157583504</v>
      </c>
      <c r="BT56" s="219"/>
      <c r="BU56" s="219"/>
      <c r="BV56" s="220">
        <f t="shared" si="206"/>
        <v>389.66982095231089</v>
      </c>
      <c r="BW56" s="219">
        <f t="shared" si="207"/>
        <v>1.0004295350216084</v>
      </c>
    </row>
    <row r="57" spans="1:75">
      <c r="A57" s="9">
        <f t="shared" si="168"/>
        <v>2025</v>
      </c>
      <c r="B57" s="9" t="s">
        <v>114</v>
      </c>
      <c r="C57" s="220">
        <f t="shared" ca="1" si="180"/>
        <v>120492.47662056774</v>
      </c>
      <c r="D57" s="219">
        <f t="shared" ca="1" si="169"/>
        <v>1.0015488127838066</v>
      </c>
      <c r="E57" s="11"/>
      <c r="F57" s="11"/>
      <c r="G57" s="220">
        <f t="shared" si="181"/>
        <v>1557.2761368091658</v>
      </c>
      <c r="H57" s="219">
        <f t="shared" si="170"/>
        <v>0.99982281150025842</v>
      </c>
      <c r="I57" s="11"/>
      <c r="J57" s="11"/>
      <c r="K57" s="220">
        <f t="shared" si="182"/>
        <v>9570.3402959138348</v>
      </c>
      <c r="L57" s="219">
        <f t="shared" si="183"/>
        <v>1.0006134230899959</v>
      </c>
      <c r="M57" s="11"/>
      <c r="N57" s="11"/>
      <c r="O57" s="220">
        <f t="shared" si="184"/>
        <v>1075.5873824528981</v>
      </c>
      <c r="P57" s="219">
        <f t="shared" si="208"/>
        <v>1.0000496606019917</v>
      </c>
      <c r="Q57" s="569">
        <f t="shared" si="209"/>
        <v>4.5925000000000011</v>
      </c>
      <c r="R57" s="570">
        <f t="shared" si="185"/>
        <v>1080.179882452898</v>
      </c>
      <c r="S57" s="11"/>
      <c r="T57" s="11"/>
      <c r="U57" s="220">
        <f t="shared" si="186"/>
        <v>5</v>
      </c>
      <c r="V57" s="219">
        <f t="shared" si="171"/>
        <v>1</v>
      </c>
      <c r="W57" s="569">
        <f t="shared" si="187"/>
        <v>3.2999999999999994</v>
      </c>
      <c r="X57" s="570">
        <f t="shared" si="188"/>
        <v>8.2999999999999989</v>
      </c>
      <c r="Y57" s="11"/>
      <c r="Z57" s="11"/>
      <c r="AA57" s="220">
        <f t="shared" si="189"/>
        <v>5</v>
      </c>
      <c r="AB57" s="219">
        <f t="shared" si="172"/>
        <v>1</v>
      </c>
      <c r="AC57" s="569">
        <f t="shared" si="190"/>
        <v>0.75624999999999987</v>
      </c>
      <c r="AD57" s="570">
        <f t="shared" si="191"/>
        <v>5.7562499999999996</v>
      </c>
      <c r="AE57" s="219"/>
      <c r="AF57" s="219"/>
      <c r="AG57" s="220">
        <f t="shared" si="192"/>
        <v>33180.432084970809</v>
      </c>
      <c r="AH57" s="219">
        <f t="shared" si="173"/>
        <v>1.0008525561429944</v>
      </c>
      <c r="AI57" s="11"/>
      <c r="AJ57" s="11"/>
      <c r="AK57" s="220">
        <f t="shared" si="193"/>
        <v>232.76880904228784</v>
      </c>
      <c r="AL57" s="219">
        <f t="shared" si="174"/>
        <v>0.9985789646374017</v>
      </c>
      <c r="AN57" s="11"/>
      <c r="AO57" s="220">
        <f t="shared" si="194"/>
        <v>737.54383062081467</v>
      </c>
      <c r="AP57" s="219">
        <f t="shared" si="195"/>
        <v>0.9988425188228347</v>
      </c>
      <c r="AQ57" s="579"/>
      <c r="AT57" s="220">
        <f t="shared" ca="1" si="196"/>
        <v>46784.003070884915</v>
      </c>
      <c r="AU57" s="219">
        <f t="shared" ca="1" si="210"/>
        <v>1.0016615143011507</v>
      </c>
      <c r="AV57" s="11"/>
      <c r="AW57" s="11"/>
      <c r="AX57" s="220">
        <f t="shared" si="197"/>
        <v>2513.0949157871069</v>
      </c>
      <c r="AY57" s="219">
        <f t="shared" si="175"/>
        <v>1.0011786516735524</v>
      </c>
      <c r="AZ57" s="11"/>
      <c r="BA57" s="11"/>
      <c r="BB57" s="220">
        <f t="shared" si="198"/>
        <v>392.12557506261845</v>
      </c>
      <c r="BC57" s="219">
        <f t="shared" si="176"/>
        <v>1.0005439445652871</v>
      </c>
      <c r="BD57" s="569">
        <f t="shared" si="199"/>
        <v>5.2524999999999995</v>
      </c>
      <c r="BE57" s="570">
        <f t="shared" si="200"/>
        <v>397.37807506261845</v>
      </c>
      <c r="BF57" s="11"/>
      <c r="BG57" s="11"/>
      <c r="BH57" s="220">
        <f t="shared" si="201"/>
        <v>3</v>
      </c>
      <c r="BI57" s="219">
        <f t="shared" si="177"/>
        <v>1</v>
      </c>
      <c r="BJ57" s="569">
        <f t="shared" si="202"/>
        <v>1.7050000000000001</v>
      </c>
      <c r="BK57" s="570">
        <f t="shared" si="203"/>
        <v>4.7050000000000001</v>
      </c>
      <c r="BL57" s="11"/>
      <c r="BM57" s="11"/>
      <c r="BN57" s="220">
        <f t="shared" si="204"/>
        <v>14020.418223234758</v>
      </c>
      <c r="BO57" s="219">
        <f t="shared" si="178"/>
        <v>1.0013675177910204</v>
      </c>
      <c r="BP57" s="11"/>
      <c r="BQ57" s="11"/>
      <c r="BR57" s="220">
        <f t="shared" si="205"/>
        <v>46.288914331698628</v>
      </c>
      <c r="BS57" s="219">
        <f t="shared" si="179"/>
        <v>1.0010986157583504</v>
      </c>
      <c r="BT57" s="219"/>
      <c r="BU57" s="219"/>
      <c r="BV57" s="220">
        <f t="shared" si="206"/>
        <v>389.83719778727374</v>
      </c>
      <c r="BW57" s="219">
        <f t="shared" si="207"/>
        <v>1.0004295350216084</v>
      </c>
    </row>
    <row r="58" spans="1:75">
      <c r="A58" s="9">
        <f t="shared" si="168"/>
        <v>2025</v>
      </c>
      <c r="B58" s="9" t="s">
        <v>115</v>
      </c>
      <c r="C58" s="220">
        <f t="shared" ca="1" si="180"/>
        <v>120679.0969087102</v>
      </c>
      <c r="D58" s="219">
        <f t="shared" ca="1" si="169"/>
        <v>1.0015488127838066</v>
      </c>
      <c r="E58" s="11"/>
      <c r="F58" s="11"/>
      <c r="G58" s="220">
        <f t="shared" si="181"/>
        <v>1557.0002053868013</v>
      </c>
      <c r="H58" s="219">
        <f t="shared" si="170"/>
        <v>0.99982281150025853</v>
      </c>
      <c r="I58" s="11"/>
      <c r="J58" s="11"/>
      <c r="K58" s="220">
        <f t="shared" si="182"/>
        <v>9576.2109636304667</v>
      </c>
      <c r="L58" s="219">
        <f t="shared" si="183"/>
        <v>1.0006134230899959</v>
      </c>
      <c r="M58" s="11"/>
      <c r="N58" s="11"/>
      <c r="O58" s="220">
        <f t="shared" si="184"/>
        <v>1075.6407967698053</v>
      </c>
      <c r="P58" s="219">
        <f t="shared" si="208"/>
        <v>1.0000496606019917</v>
      </c>
      <c r="Q58" s="569">
        <f t="shared" si="209"/>
        <v>5.0100000000000016</v>
      </c>
      <c r="R58" s="570">
        <f t="shared" si="185"/>
        <v>1080.6507967698053</v>
      </c>
      <c r="S58" s="11"/>
      <c r="T58" s="11"/>
      <c r="U58" s="220">
        <f t="shared" si="186"/>
        <v>5</v>
      </c>
      <c r="V58" s="219">
        <f t="shared" si="171"/>
        <v>1</v>
      </c>
      <c r="W58" s="569">
        <f t="shared" si="187"/>
        <v>3.5999999999999992</v>
      </c>
      <c r="X58" s="570">
        <f t="shared" si="188"/>
        <v>8.6</v>
      </c>
      <c r="Y58" s="11"/>
      <c r="Z58" s="11"/>
      <c r="AA58" s="220">
        <f t="shared" si="189"/>
        <v>5</v>
      </c>
      <c r="AB58" s="219">
        <f t="shared" si="172"/>
        <v>1</v>
      </c>
      <c r="AC58" s="569">
        <f t="shared" si="190"/>
        <v>0.82499999999999984</v>
      </c>
      <c r="AD58" s="570">
        <f t="shared" si="191"/>
        <v>5.8250000000000002</v>
      </c>
      <c r="AE58" s="219"/>
      <c r="AF58" s="219"/>
      <c r="AG58" s="220">
        <f t="shared" si="192"/>
        <v>33208.720266172058</v>
      </c>
      <c r="AH58" s="219">
        <f t="shared" si="173"/>
        <v>1.0008525561429944</v>
      </c>
      <c r="AI58" s="11"/>
      <c r="AJ58" s="11"/>
      <c r="AK58" s="220">
        <f t="shared" si="193"/>
        <v>232.43803633332885</v>
      </c>
      <c r="AL58" s="219">
        <f t="shared" si="174"/>
        <v>0.9985789646374017</v>
      </c>
      <c r="AN58" s="11"/>
      <c r="AO58" s="220">
        <f t="shared" si="194"/>
        <v>736.69013751953673</v>
      </c>
      <c r="AP58" s="219">
        <f t="shared" si="195"/>
        <v>0.99884251882283481</v>
      </c>
      <c r="AQ58" s="579"/>
      <c r="AT58" s="220">
        <f t="shared" ca="1" si="196"/>
        <v>46861.73536105227</v>
      </c>
      <c r="AU58" s="219">
        <f t="shared" ca="1" si="210"/>
        <v>1.0016615143011507</v>
      </c>
      <c r="AV58" s="11"/>
      <c r="AW58" s="11"/>
      <c r="AX58" s="220">
        <f t="shared" si="197"/>
        <v>2516.0569793153954</v>
      </c>
      <c r="AY58" s="219">
        <f t="shared" si="175"/>
        <v>1.0011786516735524</v>
      </c>
      <c r="AZ58" s="11"/>
      <c r="BA58" s="11"/>
      <c r="BB58" s="220">
        <f t="shared" si="198"/>
        <v>392.33886963808385</v>
      </c>
      <c r="BC58" s="219">
        <f t="shared" si="176"/>
        <v>1.0005439445652871</v>
      </c>
      <c r="BD58" s="569">
        <f t="shared" si="199"/>
        <v>5.7299999999999995</v>
      </c>
      <c r="BE58" s="570">
        <f t="shared" si="200"/>
        <v>398.06886963808387</v>
      </c>
      <c r="BF58" s="11"/>
      <c r="BG58" s="11"/>
      <c r="BH58" s="220">
        <f t="shared" si="201"/>
        <v>3</v>
      </c>
      <c r="BI58" s="219">
        <f t="shared" si="177"/>
        <v>1</v>
      </c>
      <c r="BJ58" s="569">
        <f t="shared" si="202"/>
        <v>1.86</v>
      </c>
      <c r="BK58" s="570">
        <f t="shared" si="203"/>
        <v>4.8600000000000003</v>
      </c>
      <c r="BL58" s="11"/>
      <c r="BM58" s="11"/>
      <c r="BN58" s="220">
        <f t="shared" si="204"/>
        <v>14039.591394592579</v>
      </c>
      <c r="BO58" s="219">
        <f t="shared" si="178"/>
        <v>1.0013675177910204</v>
      </c>
      <c r="BP58" s="11"/>
      <c r="BQ58" s="11"/>
      <c r="BR58" s="220">
        <f t="shared" si="205"/>
        <v>46.339768062420362</v>
      </c>
      <c r="BS58" s="219">
        <f t="shared" si="179"/>
        <v>1.0010986157583504</v>
      </c>
      <c r="BT58" s="219"/>
      <c r="BU58" s="219"/>
      <c r="BV58" s="220">
        <f t="shared" si="206"/>
        <v>390.00464651644904</v>
      </c>
      <c r="BW58" s="219">
        <f t="shared" si="207"/>
        <v>1.0004295350216084</v>
      </c>
    </row>
    <row r="59" spans="1:75">
      <c r="A59" s="9">
        <f t="shared" si="168"/>
        <v>2026</v>
      </c>
      <c r="B59" s="9" t="s">
        <v>104</v>
      </c>
      <c r="C59" s="220">
        <f ca="1">C16/D16^(5.50989446627246/12)</f>
        <v>120973.62485565289</v>
      </c>
      <c r="D59" s="219">
        <f t="shared" ca="1" si="169"/>
        <v>1.0024405879268843</v>
      </c>
      <c r="E59" s="11"/>
      <c r="F59" s="11"/>
      <c r="G59" s="220">
        <f>G16/H16^(5.50989446627246/12)</f>
        <v>1556.7243228563113</v>
      </c>
      <c r="H59" s="219">
        <f t="shared" si="170"/>
        <v>0.99982281150025831</v>
      </c>
      <c r="I59" s="11"/>
      <c r="J59" s="11"/>
      <c r="K59" s="220">
        <f>K16/L16^(5.50989446627246/12)</f>
        <v>9582.0485623619679</v>
      </c>
      <c r="L59" s="219">
        <f t="shared" si="183"/>
        <v>1.000609593789618</v>
      </c>
      <c r="M59" s="11"/>
      <c r="N59" s="11"/>
      <c r="O59" s="220">
        <f>O16/P16^(5.50989446627246/12)</f>
        <v>1075.6937009996793</v>
      </c>
      <c r="P59" s="219">
        <f t="shared" si="208"/>
        <v>1.0000491839190488</v>
      </c>
      <c r="Q59" s="569">
        <f t="shared" si="209"/>
        <v>5.724166666666668</v>
      </c>
      <c r="R59" s="570">
        <f t="shared" si="185"/>
        <v>1081.417867666346</v>
      </c>
      <c r="S59" s="11"/>
      <c r="T59" s="11"/>
      <c r="U59" s="220">
        <f>U16/V16^(5.50989446627246/12)</f>
        <v>5</v>
      </c>
      <c r="V59" s="219">
        <f t="shared" si="171"/>
        <v>1</v>
      </c>
      <c r="W59" s="569">
        <f t="shared" si="187"/>
        <v>3.8724999999999992</v>
      </c>
      <c r="X59" s="570">
        <f t="shared" si="188"/>
        <v>8.8724999999999987</v>
      </c>
      <c r="Y59" s="11"/>
      <c r="Z59" s="11"/>
      <c r="AA59" s="220">
        <f>AA16/AB16^(5.50989446627246/12)</f>
        <v>5</v>
      </c>
      <c r="AB59" s="219">
        <f t="shared" si="172"/>
        <v>1</v>
      </c>
      <c r="AC59" s="569">
        <f t="shared" si="190"/>
        <v>0.87041666666666651</v>
      </c>
      <c r="AD59" s="570">
        <f t="shared" si="191"/>
        <v>5.8704166666666664</v>
      </c>
      <c r="AE59" s="219"/>
      <c r="AF59" s="219"/>
      <c r="AG59" s="220">
        <f>AG16/AH16^(5.50989446627246/12)</f>
        <v>33237.032564636</v>
      </c>
      <c r="AH59" s="219">
        <f t="shared" si="173"/>
        <v>1.0008525561429955</v>
      </c>
      <c r="AI59" s="11"/>
      <c r="AJ59" s="11"/>
      <c r="AK59" s="220">
        <f>AK16/AL16^(5.50989446627246/12)</f>
        <v>232.10773366408637</v>
      </c>
      <c r="AL59" s="219">
        <f t="shared" si="174"/>
        <v>0.99857896463740203</v>
      </c>
      <c r="AN59" s="11"/>
      <c r="AO59" s="220">
        <f>AO16/AP16^(5.50989446627246/12)</f>
        <v>735.85174567187426</v>
      </c>
      <c r="AP59" s="219">
        <f t="shared" si="195"/>
        <v>0.99886194777836257</v>
      </c>
      <c r="AQ59" s="579"/>
      <c r="AT59" s="220">
        <f ca="1">AT16/AU16^(5.50989446627246/12)</f>
        <v>46914.369247561743</v>
      </c>
      <c r="AU59" s="219">
        <f t="shared" ca="1" si="210"/>
        <v>1.0011231740801734</v>
      </c>
      <c r="AV59" s="11"/>
      <c r="AW59" s="11"/>
      <c r="AX59" s="220">
        <f>AX16/AY16^(5.50989446627246/12)</f>
        <v>2519.022534084821</v>
      </c>
      <c r="AY59" s="219">
        <f t="shared" si="175"/>
        <v>1.0011786516735532</v>
      </c>
      <c r="AZ59" s="11"/>
      <c r="BA59" s="11"/>
      <c r="BB59" s="220">
        <f>BB16/BC16^(5.50989446627246/12)</f>
        <v>392.55228023397393</v>
      </c>
      <c r="BC59" s="219">
        <f t="shared" si="176"/>
        <v>1.0005439445652859</v>
      </c>
      <c r="BD59" s="569">
        <f t="shared" si="199"/>
        <v>6.0429166666666658</v>
      </c>
      <c r="BE59" s="570">
        <f t="shared" si="200"/>
        <v>398.59519690064059</v>
      </c>
      <c r="BF59" s="11"/>
      <c r="BG59" s="11"/>
      <c r="BH59" s="220">
        <f>BH16/BI16^(5.50989446627246/12)</f>
        <v>3</v>
      </c>
      <c r="BI59" s="219">
        <f t="shared" si="177"/>
        <v>1</v>
      </c>
      <c r="BJ59" s="569">
        <f t="shared" si="202"/>
        <v>1.9741666666666668</v>
      </c>
      <c r="BK59" s="570">
        <f t="shared" si="203"/>
        <v>4.9741666666666671</v>
      </c>
      <c r="BL59" s="11"/>
      <c r="BM59" s="11"/>
      <c r="BN59" s="220">
        <f>BN16/BO16^(5.50989446627246/12)</f>
        <v>14058.790785603345</v>
      </c>
      <c r="BO59" s="219">
        <f t="shared" si="178"/>
        <v>1.0013675177910206</v>
      </c>
      <c r="BP59" s="11"/>
      <c r="BQ59" s="11"/>
      <c r="BR59" s="220">
        <f>BR16/BS16^(5.50989446627246/12)</f>
        <v>46.390677661851996</v>
      </c>
      <c r="BS59" s="219">
        <f t="shared" si="179"/>
        <v>1.0010986157583495</v>
      </c>
      <c r="BT59" s="219"/>
      <c r="BU59" s="219"/>
      <c r="BV59" s="220">
        <f>BV16/BW16^(5.50989446627246/12)</f>
        <v>390.17093802691699</v>
      </c>
      <c r="BW59" s="219">
        <f t="shared" si="207"/>
        <v>1.0004263834083857</v>
      </c>
    </row>
    <row r="60" spans="1:75">
      <c r="A60" s="9">
        <f t="shared" si="168"/>
        <v>2026</v>
      </c>
      <c r="B60" s="9" t="s">
        <v>105</v>
      </c>
      <c r="C60" s="220">
        <f t="shared" ref="C60:C70" ca="1" si="211">C59*D$16^(1/12)</f>
        <v>121177.60651751483</v>
      </c>
      <c r="D60" s="219">
        <f t="shared" ca="1" si="169"/>
        <v>1.0016861664028447</v>
      </c>
      <c r="E60" s="11"/>
      <c r="F60" s="11"/>
      <c r="G60" s="220">
        <f t="shared" ref="G60:G70" si="212">G59*H$16^(1/12)</f>
        <v>1556.4484892090331</v>
      </c>
      <c r="H60" s="219">
        <f t="shared" si="170"/>
        <v>0.99982281150025842</v>
      </c>
      <c r="I60" s="11"/>
      <c r="J60" s="11"/>
      <c r="K60" s="220">
        <f t="shared" ref="K60:K70" si="213">K59*L$16^(1/12)</f>
        <v>9587.926412199582</v>
      </c>
      <c r="L60" s="219">
        <f t="shared" si="183"/>
        <v>1.0006134230899959</v>
      </c>
      <c r="M60" s="11"/>
      <c r="N60" s="11"/>
      <c r="O60" s="220">
        <f t="shared" ref="O60:O70" si="214">O59*P$16^(1/12)</f>
        <v>1075.7471205964298</v>
      </c>
      <c r="P60" s="219">
        <f t="shared" si="208"/>
        <v>1.0000496606019917</v>
      </c>
      <c r="Q60" s="569">
        <f t="shared" si="209"/>
        <v>6.4383333333333344</v>
      </c>
      <c r="R60" s="570">
        <f t="shared" si="185"/>
        <v>1082.1854539297631</v>
      </c>
      <c r="S60" s="11"/>
      <c r="T60" s="11"/>
      <c r="U60" s="220">
        <f t="shared" ref="U60:U70" si="215">U59*V$16^(1/12)</f>
        <v>5</v>
      </c>
      <c r="V60" s="219">
        <f t="shared" si="171"/>
        <v>1</v>
      </c>
      <c r="W60" s="569">
        <f t="shared" si="187"/>
        <v>4.1449999999999996</v>
      </c>
      <c r="X60" s="570">
        <f t="shared" si="188"/>
        <v>9.1449999999999996</v>
      </c>
      <c r="Y60" s="11"/>
      <c r="Z60" s="11"/>
      <c r="AA60" s="220">
        <f t="shared" ref="AA60:AA70" si="216">AA59*AB$16^(1/12)</f>
        <v>5</v>
      </c>
      <c r="AB60" s="219">
        <f t="shared" si="172"/>
        <v>1</v>
      </c>
      <c r="AC60" s="569">
        <f t="shared" si="190"/>
        <v>0.91583333333333317</v>
      </c>
      <c r="AD60" s="570">
        <f t="shared" si="191"/>
        <v>5.9158333333333335</v>
      </c>
      <c r="AE60" s="219"/>
      <c r="AF60" s="219"/>
      <c r="AG60" s="220">
        <f t="shared" ref="AG60:AG70" si="217">AG59*AH$16^(1/12)</f>
        <v>33265.369000923885</v>
      </c>
      <c r="AH60" s="219">
        <f t="shared" si="173"/>
        <v>1.0008525561429944</v>
      </c>
      <c r="AI60" s="11"/>
      <c r="AJ60" s="11"/>
      <c r="AK60" s="220">
        <f t="shared" ref="AK60:AK70" si="218">AK59*AL$16^(1/12)</f>
        <v>231.77790036661716</v>
      </c>
      <c r="AL60" s="219">
        <f t="shared" si="174"/>
        <v>0.9985789646374017</v>
      </c>
      <c r="AN60" s="11"/>
      <c r="AO60" s="220">
        <f t="shared" ref="AO60:AO70" si="219">AO59*AP$16^(1/12)</f>
        <v>735.0000111270748</v>
      </c>
      <c r="AP60" s="219">
        <f t="shared" si="195"/>
        <v>0.9988425188228347</v>
      </c>
      <c r="AQ60" s="579"/>
      <c r="AT60" s="220">
        <f t="shared" ref="AT60:AT70" ca="1" si="220">AT59*AU$16^(1/12)</f>
        <v>46988.425812616006</v>
      </c>
      <c r="AU60" s="219">
        <f t="shared" ca="1" si="210"/>
        <v>1.0015785476015562</v>
      </c>
      <c r="AV60" s="11"/>
      <c r="AW60" s="11"/>
      <c r="AX60" s="220">
        <f t="shared" ref="AX60:AX70" si="221">AX59*AY$16^(1/12)</f>
        <v>2521.991584210336</v>
      </c>
      <c r="AY60" s="219">
        <f t="shared" si="175"/>
        <v>1.0011786516735524</v>
      </c>
      <c r="AZ60" s="11"/>
      <c r="BA60" s="11"/>
      <c r="BB60" s="220">
        <f t="shared" ref="BB60:BB70" si="222">BB59*BC$16^(1/12)</f>
        <v>392.76580691339825</v>
      </c>
      <c r="BC60" s="219">
        <f t="shared" si="176"/>
        <v>1.0005439445652871</v>
      </c>
      <c r="BD60" s="569">
        <f t="shared" si="199"/>
        <v>6.3558333333333321</v>
      </c>
      <c r="BE60" s="570">
        <f t="shared" si="200"/>
        <v>399.1216402467316</v>
      </c>
      <c r="BF60" s="11"/>
      <c r="BG60" s="11"/>
      <c r="BH60" s="220">
        <f t="shared" ref="BH60:BH70" si="223">BH59*BI$16^(1/12)</f>
        <v>3</v>
      </c>
      <c r="BI60" s="219">
        <f t="shared" si="177"/>
        <v>1</v>
      </c>
      <c r="BJ60" s="569">
        <f t="shared" si="202"/>
        <v>2.0883333333333334</v>
      </c>
      <c r="BK60" s="570">
        <f t="shared" si="203"/>
        <v>5.0883333333333329</v>
      </c>
      <c r="BL60" s="11"/>
      <c r="BM60" s="11"/>
      <c r="BN60" s="220">
        <f t="shared" ref="BN60:BN70" si="224">BN59*BO$16^(1/12)</f>
        <v>14078.016432122891</v>
      </c>
      <c r="BO60" s="219">
        <f t="shared" si="178"/>
        <v>1.0013675177910204</v>
      </c>
      <c r="BP60" s="11"/>
      <c r="BQ60" s="11"/>
      <c r="BR60" s="220">
        <f t="shared" ref="BR60:BR70" si="225">BR59*BS$16^(1/12)</f>
        <v>46.44164319137186</v>
      </c>
      <c r="BS60" s="219">
        <f t="shared" si="179"/>
        <v>1.0010986157583504</v>
      </c>
      <c r="BT60" s="219"/>
      <c r="BU60" s="219"/>
      <c r="BV60" s="220">
        <f t="shared" ref="BV60:BV70" si="226">BV59*BW$16^(1/12)</f>
        <v>390.33853010921331</v>
      </c>
      <c r="BW60" s="219">
        <f t="shared" si="207"/>
        <v>1.0004295350216084</v>
      </c>
    </row>
    <row r="61" spans="1:75">
      <c r="A61" s="9">
        <f t="shared" si="168"/>
        <v>2026</v>
      </c>
      <c r="B61" s="9" t="s">
        <v>106</v>
      </c>
      <c r="C61" s="220">
        <f t="shared" ca="1" si="211"/>
        <v>121381.93212640179</v>
      </c>
      <c r="D61" s="219">
        <f t="shared" ca="1" si="169"/>
        <v>1.0016861664028447</v>
      </c>
      <c r="E61" s="11"/>
      <c r="F61" s="11"/>
      <c r="G61" s="220">
        <f t="shared" si="212"/>
        <v>1556.1727044363051</v>
      </c>
      <c r="H61" s="219">
        <f t="shared" si="170"/>
        <v>0.99982281150025842</v>
      </c>
      <c r="I61" s="11"/>
      <c r="J61" s="11"/>
      <c r="K61" s="220">
        <f t="shared" si="213"/>
        <v>9593.8078676460063</v>
      </c>
      <c r="L61" s="219">
        <f t="shared" si="183"/>
        <v>1.0006134230899959</v>
      </c>
      <c r="M61" s="11"/>
      <c r="N61" s="11"/>
      <c r="O61" s="220">
        <f t="shared" si="214"/>
        <v>1075.8005428460294</v>
      </c>
      <c r="P61" s="219">
        <f t="shared" si="208"/>
        <v>1.0000496606019917</v>
      </c>
      <c r="Q61" s="569">
        <f t="shared" si="209"/>
        <v>7.1525000000000007</v>
      </c>
      <c r="R61" s="570">
        <f t="shared" si="185"/>
        <v>1082.9530428460293</v>
      </c>
      <c r="S61" s="11"/>
      <c r="T61" s="11"/>
      <c r="U61" s="220">
        <f t="shared" si="215"/>
        <v>5</v>
      </c>
      <c r="V61" s="219">
        <f t="shared" si="171"/>
        <v>1</v>
      </c>
      <c r="W61" s="569">
        <f t="shared" si="187"/>
        <v>4.4174999999999995</v>
      </c>
      <c r="X61" s="570">
        <f t="shared" si="188"/>
        <v>9.4175000000000004</v>
      </c>
      <c r="Y61" s="11"/>
      <c r="Z61" s="11"/>
      <c r="AA61" s="220">
        <f t="shared" si="216"/>
        <v>5</v>
      </c>
      <c r="AB61" s="219">
        <f t="shared" si="172"/>
        <v>1</v>
      </c>
      <c r="AC61" s="569">
        <f t="shared" si="190"/>
        <v>0.96124999999999983</v>
      </c>
      <c r="AD61" s="570">
        <f t="shared" si="191"/>
        <v>5.9612499999999997</v>
      </c>
      <c r="AE61" s="219"/>
      <c r="AF61" s="219"/>
      <c r="AG61" s="220">
        <f t="shared" si="217"/>
        <v>33293.729595614597</v>
      </c>
      <c r="AH61" s="219">
        <f t="shared" si="173"/>
        <v>1.0008525561429944</v>
      </c>
      <c r="AI61" s="11"/>
      <c r="AJ61" s="11"/>
      <c r="AK61" s="220">
        <f t="shared" si="218"/>
        <v>231.4485357739274</v>
      </c>
      <c r="AL61" s="219">
        <f t="shared" si="174"/>
        <v>0.9985789646374017</v>
      </c>
      <c r="AN61" s="11"/>
      <c r="AO61" s="220">
        <f t="shared" si="219"/>
        <v>734.1492624489789</v>
      </c>
      <c r="AP61" s="219">
        <f t="shared" si="195"/>
        <v>0.9988425188228347</v>
      </c>
      <c r="AQ61" s="579"/>
      <c r="AT61" s="220">
        <f t="shared" ca="1" si="220"/>
        <v>47062.599279483409</v>
      </c>
      <c r="AU61" s="219">
        <f t="shared" ca="1" si="210"/>
        <v>1.0015785476015562</v>
      </c>
      <c r="AV61" s="11"/>
      <c r="AW61" s="11"/>
      <c r="AX61" s="220">
        <f t="shared" si="221"/>
        <v>2524.9641338117503</v>
      </c>
      <c r="AY61" s="219">
        <f t="shared" si="175"/>
        <v>1.0011786516735524</v>
      </c>
      <c r="AZ61" s="11"/>
      <c r="BA61" s="11"/>
      <c r="BB61" s="220">
        <f t="shared" si="222"/>
        <v>392.97944973949939</v>
      </c>
      <c r="BC61" s="219">
        <f t="shared" si="176"/>
        <v>1.0005439445652871</v>
      </c>
      <c r="BD61" s="569">
        <f t="shared" si="199"/>
        <v>6.6687499999999984</v>
      </c>
      <c r="BE61" s="570">
        <f t="shared" si="200"/>
        <v>399.64819973949938</v>
      </c>
      <c r="BF61" s="11"/>
      <c r="BG61" s="11"/>
      <c r="BH61" s="220">
        <f t="shared" si="223"/>
        <v>3</v>
      </c>
      <c r="BI61" s="219">
        <f t="shared" si="177"/>
        <v>1</v>
      </c>
      <c r="BJ61" s="569">
        <f t="shared" si="202"/>
        <v>2.2025000000000001</v>
      </c>
      <c r="BK61" s="570">
        <f t="shared" si="203"/>
        <v>5.2025000000000006</v>
      </c>
      <c r="BL61" s="11"/>
      <c r="BM61" s="11"/>
      <c r="BN61" s="220">
        <f t="shared" si="224"/>
        <v>14097.268370056097</v>
      </c>
      <c r="BO61" s="219">
        <f t="shared" si="178"/>
        <v>1.0013675177910204</v>
      </c>
      <c r="BP61" s="11"/>
      <c r="BQ61" s="11"/>
      <c r="BR61" s="220">
        <f t="shared" si="225"/>
        <v>46.492664712425587</v>
      </c>
      <c r="BS61" s="219">
        <f t="shared" si="179"/>
        <v>1.0010986157583504</v>
      </c>
      <c r="BT61" s="219"/>
      <c r="BU61" s="219"/>
      <c r="BV61" s="220">
        <f t="shared" si="226"/>
        <v>390.50619417817836</v>
      </c>
      <c r="BW61" s="219">
        <f t="shared" si="207"/>
        <v>1.0004295350216084</v>
      </c>
    </row>
    <row r="62" spans="1:75">
      <c r="A62" s="9">
        <f t="shared" si="168"/>
        <v>2026</v>
      </c>
      <c r="B62" s="9" t="s">
        <v>107</v>
      </c>
      <c r="C62" s="220">
        <f t="shared" ca="1" si="211"/>
        <v>121586.6022622657</v>
      </c>
      <c r="D62" s="219">
        <f t="shared" ca="1" si="169"/>
        <v>1.0016861664028447</v>
      </c>
      <c r="E62" s="11"/>
      <c r="F62" s="11"/>
      <c r="G62" s="220">
        <f t="shared" si="212"/>
        <v>1555.8969685294674</v>
      </c>
      <c r="H62" s="219">
        <f t="shared" si="170"/>
        <v>0.99982281150025842</v>
      </c>
      <c r="I62" s="11"/>
      <c r="J62" s="11"/>
      <c r="K62" s="220">
        <f t="shared" si="213"/>
        <v>9599.6929309130046</v>
      </c>
      <c r="L62" s="219">
        <f t="shared" si="183"/>
        <v>1.0006134230899959</v>
      </c>
      <c r="M62" s="11"/>
      <c r="N62" s="11"/>
      <c r="O62" s="220">
        <f t="shared" si="214"/>
        <v>1075.8539677486101</v>
      </c>
      <c r="P62" s="219">
        <f t="shared" si="208"/>
        <v>1.0000496606019917</v>
      </c>
      <c r="Q62" s="569">
        <f t="shared" si="209"/>
        <v>7.8666666666666671</v>
      </c>
      <c r="R62" s="570">
        <f t="shared" si="185"/>
        <v>1083.7206344152767</v>
      </c>
      <c r="S62" s="11"/>
      <c r="T62" s="11"/>
      <c r="U62" s="220">
        <f t="shared" si="215"/>
        <v>5</v>
      </c>
      <c r="V62" s="219">
        <f t="shared" si="171"/>
        <v>1</v>
      </c>
      <c r="W62" s="569">
        <f t="shared" si="187"/>
        <v>4.6899999999999995</v>
      </c>
      <c r="X62" s="570">
        <f t="shared" si="188"/>
        <v>9.69</v>
      </c>
      <c r="Y62" s="11"/>
      <c r="Z62" s="11"/>
      <c r="AA62" s="220">
        <f t="shared" si="216"/>
        <v>5</v>
      </c>
      <c r="AB62" s="219">
        <f t="shared" si="172"/>
        <v>1</v>
      </c>
      <c r="AC62" s="569">
        <f t="shared" si="190"/>
        <v>1.0066666666666666</v>
      </c>
      <c r="AD62" s="570">
        <f t="shared" si="191"/>
        <v>6.0066666666666668</v>
      </c>
      <c r="AE62" s="219"/>
      <c r="AF62" s="219"/>
      <c r="AG62" s="220">
        <f t="shared" si="217"/>
        <v>33322.114369304531</v>
      </c>
      <c r="AH62" s="219">
        <f t="shared" si="173"/>
        <v>1.0008525561429944</v>
      </c>
      <c r="AI62" s="11"/>
      <c r="AJ62" s="11"/>
      <c r="AK62" s="220">
        <f t="shared" si="218"/>
        <v>231.11963921997105</v>
      </c>
      <c r="AL62" s="219">
        <f t="shared" si="174"/>
        <v>0.9985789646374017</v>
      </c>
      <c r="AN62" s="11"/>
      <c r="AO62" s="220">
        <f t="shared" si="219"/>
        <v>733.29949849646437</v>
      </c>
      <c r="AP62" s="219">
        <f t="shared" si="195"/>
        <v>0.99884251882283459</v>
      </c>
      <c r="AQ62" s="579"/>
      <c r="AT62" s="220">
        <f t="shared" ca="1" si="220"/>
        <v>47136.889832699038</v>
      </c>
      <c r="AU62" s="219">
        <f t="shared" ca="1" si="210"/>
        <v>1.0015785476015562</v>
      </c>
      <c r="AV62" s="11"/>
      <c r="AW62" s="11"/>
      <c r="AX62" s="220">
        <f t="shared" si="221"/>
        <v>2527.9401870137272</v>
      </c>
      <c r="AY62" s="219">
        <f t="shared" si="175"/>
        <v>1.0011786516735524</v>
      </c>
      <c r="AZ62" s="11"/>
      <c r="BA62" s="11"/>
      <c r="BB62" s="220">
        <f t="shared" si="222"/>
        <v>393.19320877545471</v>
      </c>
      <c r="BC62" s="219">
        <f t="shared" si="176"/>
        <v>1.0005439445652871</v>
      </c>
      <c r="BD62" s="569">
        <f t="shared" si="199"/>
        <v>6.9816666666666647</v>
      </c>
      <c r="BE62" s="570">
        <f t="shared" si="200"/>
        <v>400.17487544212139</v>
      </c>
      <c r="BF62" s="11"/>
      <c r="BG62" s="11"/>
      <c r="BH62" s="220">
        <f t="shared" si="223"/>
        <v>3</v>
      </c>
      <c r="BI62" s="219">
        <f t="shared" si="177"/>
        <v>1</v>
      </c>
      <c r="BJ62" s="569">
        <f t="shared" si="202"/>
        <v>2.3166666666666669</v>
      </c>
      <c r="BK62" s="570">
        <f t="shared" si="203"/>
        <v>5.3166666666666664</v>
      </c>
      <c r="BL62" s="11"/>
      <c r="BM62" s="11"/>
      <c r="BN62" s="220">
        <f t="shared" si="224"/>
        <v>14116.546635356939</v>
      </c>
      <c r="BO62" s="219">
        <f t="shared" si="178"/>
        <v>1.0013675177910204</v>
      </c>
      <c r="BP62" s="11"/>
      <c r="BQ62" s="11"/>
      <c r="BR62" s="220">
        <f t="shared" si="225"/>
        <v>46.54374228652636</v>
      </c>
      <c r="BS62" s="219">
        <f t="shared" si="179"/>
        <v>1.0010986157583504</v>
      </c>
      <c r="BT62" s="219"/>
      <c r="BU62" s="219"/>
      <c r="BV62" s="220">
        <f t="shared" si="226"/>
        <v>390.67393026473286</v>
      </c>
      <c r="BW62" s="219">
        <f t="shared" si="207"/>
        <v>1.0004295350216084</v>
      </c>
    </row>
    <row r="63" spans="1:75">
      <c r="A63" s="9">
        <f t="shared" si="168"/>
        <v>2026</v>
      </c>
      <c r="B63" s="9" t="s">
        <v>108</v>
      </c>
      <c r="C63" s="220">
        <f t="shared" ca="1" si="211"/>
        <v>121791.61750603637</v>
      </c>
      <c r="D63" s="219">
        <f t="shared" ca="1" si="169"/>
        <v>1.0016861664028447</v>
      </c>
      <c r="E63" s="11"/>
      <c r="F63" s="11"/>
      <c r="G63" s="220">
        <f t="shared" si="212"/>
        <v>1555.6212814798612</v>
      </c>
      <c r="H63" s="219">
        <f t="shared" si="170"/>
        <v>0.99982281150025842</v>
      </c>
      <c r="I63" s="11"/>
      <c r="J63" s="11"/>
      <c r="K63" s="220">
        <f t="shared" si="213"/>
        <v>9605.5816042136976</v>
      </c>
      <c r="L63" s="219">
        <f t="shared" si="183"/>
        <v>1.0006134230899959</v>
      </c>
      <c r="M63" s="11"/>
      <c r="N63" s="11"/>
      <c r="O63" s="220">
        <f t="shared" si="214"/>
        <v>1075.9073953043037</v>
      </c>
      <c r="P63" s="219">
        <f t="shared" si="208"/>
        <v>1.0000496606019917</v>
      </c>
      <c r="Q63" s="569">
        <f t="shared" si="209"/>
        <v>8.5808333333333344</v>
      </c>
      <c r="R63" s="570">
        <f t="shared" si="185"/>
        <v>1084.4882286376371</v>
      </c>
      <c r="S63" s="11"/>
      <c r="T63" s="11"/>
      <c r="U63" s="220">
        <f t="shared" si="215"/>
        <v>5</v>
      </c>
      <c r="V63" s="219">
        <f t="shared" si="171"/>
        <v>1</v>
      </c>
      <c r="W63" s="569">
        <f t="shared" si="187"/>
        <v>4.9624999999999995</v>
      </c>
      <c r="X63" s="570">
        <f t="shared" si="188"/>
        <v>9.9624999999999986</v>
      </c>
      <c r="Y63" s="11"/>
      <c r="Z63" s="11"/>
      <c r="AA63" s="220">
        <f t="shared" si="216"/>
        <v>5</v>
      </c>
      <c r="AB63" s="219">
        <f t="shared" si="172"/>
        <v>1</v>
      </c>
      <c r="AC63" s="569">
        <f t="shared" si="190"/>
        <v>1.0520833333333333</v>
      </c>
      <c r="AD63" s="570">
        <f t="shared" si="191"/>
        <v>6.052083333333333</v>
      </c>
      <c r="AE63" s="219"/>
      <c r="AF63" s="219"/>
      <c r="AG63" s="220">
        <f t="shared" si="217"/>
        <v>33350.523342607645</v>
      </c>
      <c r="AH63" s="219">
        <f t="shared" si="173"/>
        <v>1.0008525561429944</v>
      </c>
      <c r="AI63" s="11"/>
      <c r="AJ63" s="11"/>
      <c r="AK63" s="220">
        <f t="shared" si="218"/>
        <v>230.79121003964852</v>
      </c>
      <c r="AL63" s="219">
        <f t="shared" si="174"/>
        <v>0.9985789646374017</v>
      </c>
      <c r="AN63" s="11"/>
      <c r="AO63" s="220">
        <f t="shared" si="219"/>
        <v>732.45071812972992</v>
      </c>
      <c r="AP63" s="219">
        <f t="shared" si="195"/>
        <v>0.9988425188228347</v>
      </c>
      <c r="AQ63" s="579"/>
      <c r="AT63" s="220">
        <f t="shared" ca="1" si="220"/>
        <v>47211.297657089264</v>
      </c>
      <c r="AU63" s="219">
        <f t="shared" ca="1" si="210"/>
        <v>1.0015785476015562</v>
      </c>
      <c r="AV63" s="11"/>
      <c r="AW63" s="11"/>
      <c r="AX63" s="220">
        <f t="shared" si="221"/>
        <v>2530.9197479457912</v>
      </c>
      <c r="AY63" s="219">
        <f t="shared" si="175"/>
        <v>1.0011786516735524</v>
      </c>
      <c r="AZ63" s="11"/>
      <c r="BA63" s="11"/>
      <c r="BB63" s="220">
        <f t="shared" si="222"/>
        <v>393.40708408447591</v>
      </c>
      <c r="BC63" s="219">
        <f t="shared" si="176"/>
        <v>1.0005439445652871</v>
      </c>
      <c r="BD63" s="569">
        <f t="shared" si="199"/>
        <v>7.294583333333331</v>
      </c>
      <c r="BE63" s="570">
        <f t="shared" si="200"/>
        <v>400.70166741780923</v>
      </c>
      <c r="BF63" s="11"/>
      <c r="BG63" s="11"/>
      <c r="BH63" s="220">
        <f t="shared" si="223"/>
        <v>3</v>
      </c>
      <c r="BI63" s="219">
        <f t="shared" si="177"/>
        <v>1</v>
      </c>
      <c r="BJ63" s="569">
        <f t="shared" si="202"/>
        <v>2.4308333333333336</v>
      </c>
      <c r="BK63" s="570">
        <f t="shared" si="203"/>
        <v>5.4308333333333341</v>
      </c>
      <c r="BL63" s="11"/>
      <c r="BM63" s="11"/>
      <c r="BN63" s="220">
        <f t="shared" si="224"/>
        <v>14135.851264028559</v>
      </c>
      <c r="BO63" s="219">
        <f t="shared" si="178"/>
        <v>1.0013675177910204</v>
      </c>
      <c r="BP63" s="11"/>
      <c r="BQ63" s="11"/>
      <c r="BR63" s="220">
        <f t="shared" si="225"/>
        <v>46.594875975254936</v>
      </c>
      <c r="BS63" s="219">
        <f t="shared" si="179"/>
        <v>1.0010986157583504</v>
      </c>
      <c r="BT63" s="219"/>
      <c r="BU63" s="219"/>
      <c r="BV63" s="220">
        <f t="shared" si="226"/>
        <v>390.84173839981094</v>
      </c>
      <c r="BW63" s="219">
        <f t="shared" si="207"/>
        <v>1.0004295350216084</v>
      </c>
    </row>
    <row r="64" spans="1:75">
      <c r="A64" s="9">
        <f t="shared" si="168"/>
        <v>2026</v>
      </c>
      <c r="B64" s="9" t="s">
        <v>109</v>
      </c>
      <c r="C64" s="220">
        <f t="shared" ca="1" si="211"/>
        <v>121996.97843962317</v>
      </c>
      <c r="D64" s="219">
        <f t="shared" ca="1" si="169"/>
        <v>1.0016861664028447</v>
      </c>
      <c r="E64" s="11"/>
      <c r="F64" s="11"/>
      <c r="G64" s="220">
        <f t="shared" si="212"/>
        <v>1555.3456432788296</v>
      </c>
      <c r="H64" s="219">
        <f t="shared" si="170"/>
        <v>0.99982281150025831</v>
      </c>
      <c r="I64" s="11"/>
      <c r="J64" s="11"/>
      <c r="K64" s="220">
        <f t="shared" si="213"/>
        <v>9611.473889762563</v>
      </c>
      <c r="L64" s="219">
        <f t="shared" si="183"/>
        <v>1.0006134230899959</v>
      </c>
      <c r="M64" s="11"/>
      <c r="N64" s="11"/>
      <c r="O64" s="220">
        <f t="shared" si="214"/>
        <v>1075.9608255132418</v>
      </c>
      <c r="P64" s="219">
        <f t="shared" si="208"/>
        <v>1.0000496606019917</v>
      </c>
      <c r="Q64" s="569">
        <f t="shared" si="209"/>
        <v>9.2950000000000017</v>
      </c>
      <c r="R64" s="570">
        <f t="shared" si="185"/>
        <v>1085.2558255132419</v>
      </c>
      <c r="S64" s="11"/>
      <c r="T64" s="11"/>
      <c r="U64" s="220">
        <f t="shared" si="215"/>
        <v>5</v>
      </c>
      <c r="V64" s="219">
        <f t="shared" si="171"/>
        <v>1</v>
      </c>
      <c r="W64" s="569">
        <f t="shared" si="187"/>
        <v>5.2349999999999994</v>
      </c>
      <c r="X64" s="570">
        <f t="shared" si="188"/>
        <v>10.234999999999999</v>
      </c>
      <c r="Y64" s="11"/>
      <c r="Z64" s="11"/>
      <c r="AA64" s="220">
        <f t="shared" si="216"/>
        <v>5</v>
      </c>
      <c r="AB64" s="219">
        <f t="shared" si="172"/>
        <v>1</v>
      </c>
      <c r="AC64" s="569">
        <f t="shared" si="190"/>
        <v>1.0974999999999999</v>
      </c>
      <c r="AD64" s="570">
        <f t="shared" si="191"/>
        <v>6.0975000000000001</v>
      </c>
      <c r="AE64" s="219"/>
      <c r="AF64" s="219"/>
      <c r="AG64" s="220">
        <f t="shared" si="217"/>
        <v>33378.956536155463</v>
      </c>
      <c r="AH64" s="219">
        <f t="shared" si="173"/>
        <v>1.0008525561429944</v>
      </c>
      <c r="AI64" s="11"/>
      <c r="AJ64" s="11"/>
      <c r="AK64" s="220">
        <f t="shared" si="218"/>
        <v>230.46324756880531</v>
      </c>
      <c r="AL64" s="219">
        <f t="shared" si="174"/>
        <v>0.9985789646374017</v>
      </c>
      <c r="AN64" s="11"/>
      <c r="AO64" s="220">
        <f t="shared" si="219"/>
        <v>731.60292021029352</v>
      </c>
      <c r="AP64" s="219">
        <f t="shared" si="195"/>
        <v>0.9988425188228347</v>
      </c>
      <c r="AQ64" s="579"/>
      <c r="AT64" s="220">
        <f t="shared" ca="1" si="220"/>
        <v>47285.822937772216</v>
      </c>
      <c r="AU64" s="219">
        <f t="shared" ca="1" si="210"/>
        <v>1.0015785476015562</v>
      </c>
      <c r="AV64" s="11"/>
      <c r="AW64" s="11"/>
      <c r="AX64" s="220">
        <f t="shared" si="221"/>
        <v>2533.9028207423344</v>
      </c>
      <c r="AY64" s="219">
        <f t="shared" si="175"/>
        <v>1.0011786516735524</v>
      </c>
      <c r="AZ64" s="11"/>
      <c r="BA64" s="11"/>
      <c r="BB64" s="220">
        <f t="shared" si="222"/>
        <v>393.62107572980909</v>
      </c>
      <c r="BC64" s="219">
        <f t="shared" si="176"/>
        <v>1.0005439445652871</v>
      </c>
      <c r="BD64" s="569">
        <f t="shared" si="199"/>
        <v>7.6074999999999973</v>
      </c>
      <c r="BE64" s="570">
        <f t="shared" si="200"/>
        <v>401.22857572980911</v>
      </c>
      <c r="BF64" s="11"/>
      <c r="BG64" s="11"/>
      <c r="BH64" s="220">
        <f t="shared" si="223"/>
        <v>3</v>
      </c>
      <c r="BI64" s="219">
        <f t="shared" si="177"/>
        <v>1</v>
      </c>
      <c r="BJ64" s="569">
        <f t="shared" si="202"/>
        <v>2.5450000000000004</v>
      </c>
      <c r="BK64" s="570">
        <f t="shared" si="203"/>
        <v>5.5449999999999999</v>
      </c>
      <c r="BL64" s="11"/>
      <c r="BM64" s="11"/>
      <c r="BN64" s="220">
        <f t="shared" si="224"/>
        <v>14155.182292123336</v>
      </c>
      <c r="BO64" s="219">
        <f t="shared" si="178"/>
        <v>1.0013675177910204</v>
      </c>
      <c r="BP64" s="11"/>
      <c r="BQ64" s="11"/>
      <c r="BR64" s="220">
        <f t="shared" si="225"/>
        <v>46.64606584025973</v>
      </c>
      <c r="BS64" s="219">
        <f t="shared" si="179"/>
        <v>1.0010986157583504</v>
      </c>
      <c r="BT64" s="219"/>
      <c r="BU64" s="219"/>
      <c r="BV64" s="220">
        <f t="shared" si="226"/>
        <v>391.00961861435997</v>
      </c>
      <c r="BW64" s="219">
        <f t="shared" si="207"/>
        <v>1.0004295350216084</v>
      </c>
    </row>
    <row r="65" spans="1:75">
      <c r="A65" s="9">
        <f t="shared" si="168"/>
        <v>2026</v>
      </c>
      <c r="B65" s="9" t="s">
        <v>110</v>
      </c>
      <c r="C65" s="220">
        <f t="shared" ca="1" si="211"/>
        <v>122202.68564591663</v>
      </c>
      <c r="D65" s="219">
        <f t="shared" ca="1" si="169"/>
        <v>1.0016861664028447</v>
      </c>
      <c r="E65" s="11"/>
      <c r="F65" s="11"/>
      <c r="G65" s="220">
        <f t="shared" si="212"/>
        <v>1555.0700539177174</v>
      </c>
      <c r="H65" s="219">
        <f t="shared" si="170"/>
        <v>0.99982281150025842</v>
      </c>
      <c r="I65" s="11"/>
      <c r="J65" s="11"/>
      <c r="K65" s="220">
        <f t="shared" si="213"/>
        <v>9617.3697897754355</v>
      </c>
      <c r="L65" s="219">
        <f t="shared" si="183"/>
        <v>1.0006134230899959</v>
      </c>
      <c r="M65" s="11"/>
      <c r="N65" s="11"/>
      <c r="O65" s="220">
        <f t="shared" si="214"/>
        <v>1076.0142583755564</v>
      </c>
      <c r="P65" s="219">
        <f t="shared" si="208"/>
        <v>1.0000496606019917</v>
      </c>
      <c r="Q65" s="569">
        <f t="shared" si="209"/>
        <v>10.009166666666669</v>
      </c>
      <c r="R65" s="570">
        <f t="shared" si="185"/>
        <v>1086.0234250422232</v>
      </c>
      <c r="S65" s="11"/>
      <c r="T65" s="11"/>
      <c r="U65" s="220">
        <f t="shared" si="215"/>
        <v>5</v>
      </c>
      <c r="V65" s="219">
        <f t="shared" si="171"/>
        <v>1</v>
      </c>
      <c r="W65" s="569">
        <f t="shared" si="187"/>
        <v>5.5074999999999994</v>
      </c>
      <c r="X65" s="570">
        <f t="shared" si="188"/>
        <v>10.5075</v>
      </c>
      <c r="Y65" s="11"/>
      <c r="Z65" s="11"/>
      <c r="AA65" s="220">
        <f t="shared" si="216"/>
        <v>5</v>
      </c>
      <c r="AB65" s="219">
        <f t="shared" si="172"/>
        <v>1</v>
      </c>
      <c r="AC65" s="569">
        <f t="shared" si="190"/>
        <v>1.1429166666666666</v>
      </c>
      <c r="AD65" s="570">
        <f t="shared" si="191"/>
        <v>6.1429166666666664</v>
      </c>
      <c r="AE65" s="219"/>
      <c r="AF65" s="219"/>
      <c r="AG65" s="220">
        <f t="shared" si="217"/>
        <v>33407.413970597103</v>
      </c>
      <c r="AH65" s="219">
        <f t="shared" si="173"/>
        <v>1.0008525561429944</v>
      </c>
      <c r="AI65" s="11"/>
      <c r="AJ65" s="11"/>
      <c r="AK65" s="220">
        <f t="shared" si="218"/>
        <v>230.1357511442308</v>
      </c>
      <c r="AL65" s="219">
        <f t="shared" si="174"/>
        <v>0.9985789646374017</v>
      </c>
      <c r="AN65" s="11"/>
      <c r="AO65" s="220">
        <f t="shared" si="219"/>
        <v>730.75610360099097</v>
      </c>
      <c r="AP65" s="219">
        <f t="shared" si="195"/>
        <v>0.9988425188228347</v>
      </c>
      <c r="AQ65" s="579"/>
      <c r="AT65" s="220">
        <f t="shared" ca="1" si="220"/>
        <v>47360.465860158249</v>
      </c>
      <c r="AU65" s="219">
        <f t="shared" ca="1" si="210"/>
        <v>1.0015785476015562</v>
      </c>
      <c r="AV65" s="11"/>
      <c r="AW65" s="11"/>
      <c r="AX65" s="220">
        <f t="shared" si="221"/>
        <v>2536.8894095426213</v>
      </c>
      <c r="AY65" s="219">
        <f t="shared" si="175"/>
        <v>1.0011786516735524</v>
      </c>
      <c r="AZ65" s="11"/>
      <c r="BA65" s="11"/>
      <c r="BB65" s="220">
        <f t="shared" si="222"/>
        <v>393.83518377473479</v>
      </c>
      <c r="BC65" s="219">
        <f t="shared" si="176"/>
        <v>1.0005439445652871</v>
      </c>
      <c r="BD65" s="569">
        <f t="shared" si="199"/>
        <v>7.9204166666666636</v>
      </c>
      <c r="BE65" s="570">
        <f t="shared" si="200"/>
        <v>401.75560044140144</v>
      </c>
      <c r="BF65" s="11"/>
      <c r="BG65" s="11"/>
      <c r="BH65" s="220">
        <f t="shared" si="223"/>
        <v>3</v>
      </c>
      <c r="BI65" s="219">
        <f t="shared" si="177"/>
        <v>1</v>
      </c>
      <c r="BJ65" s="569">
        <f t="shared" si="202"/>
        <v>2.6591666666666671</v>
      </c>
      <c r="BK65" s="570">
        <f t="shared" si="203"/>
        <v>5.6591666666666676</v>
      </c>
      <c r="BL65" s="11"/>
      <c r="BM65" s="11"/>
      <c r="BN65" s="220">
        <f t="shared" si="224"/>
        <v>14174.539755742951</v>
      </c>
      <c r="BO65" s="219">
        <f t="shared" si="178"/>
        <v>1.0013675177910204</v>
      </c>
      <c r="BP65" s="11"/>
      <c r="BQ65" s="11"/>
      <c r="BR65" s="220">
        <f t="shared" si="225"/>
        <v>46.697311943256885</v>
      </c>
      <c r="BS65" s="219">
        <f t="shared" si="179"/>
        <v>1.0010986157583504</v>
      </c>
      <c r="BT65" s="219"/>
      <c r="BU65" s="219"/>
      <c r="BV65" s="220">
        <f t="shared" si="226"/>
        <v>391.17757093934057</v>
      </c>
      <c r="BW65" s="219">
        <f t="shared" si="207"/>
        <v>1.0004295350216084</v>
      </c>
    </row>
    <row r="66" spans="1:75">
      <c r="A66" s="9">
        <f t="shared" si="168"/>
        <v>2026</v>
      </c>
      <c r="B66" s="9" t="s">
        <v>111</v>
      </c>
      <c r="C66" s="220">
        <f t="shared" ca="1" si="211"/>
        <v>122408.73970879016</v>
      </c>
      <c r="D66" s="219">
        <f t="shared" ca="1" si="169"/>
        <v>1.0016861664028447</v>
      </c>
      <c r="E66" s="11"/>
      <c r="F66" s="11"/>
      <c r="G66" s="220">
        <f t="shared" si="212"/>
        <v>1554.7945133878707</v>
      </c>
      <c r="H66" s="219">
        <f t="shared" si="170"/>
        <v>0.99982281150025842</v>
      </c>
      <c r="I66" s="11"/>
      <c r="J66" s="11"/>
      <c r="K66" s="220">
        <f t="shared" si="213"/>
        <v>9623.2693064695122</v>
      </c>
      <c r="L66" s="219">
        <f t="shared" si="183"/>
        <v>1.0006134230899959</v>
      </c>
      <c r="M66" s="11"/>
      <c r="N66" s="11"/>
      <c r="O66" s="220">
        <f t="shared" si="214"/>
        <v>1076.0676938913791</v>
      </c>
      <c r="P66" s="219">
        <f t="shared" si="208"/>
        <v>1.0000496606019917</v>
      </c>
      <c r="Q66" s="569">
        <f t="shared" si="209"/>
        <v>10.723333333333336</v>
      </c>
      <c r="R66" s="570">
        <f t="shared" si="185"/>
        <v>1086.7910272247125</v>
      </c>
      <c r="S66" s="11"/>
      <c r="T66" s="11"/>
      <c r="U66" s="220">
        <f t="shared" si="215"/>
        <v>5</v>
      </c>
      <c r="V66" s="219">
        <f t="shared" si="171"/>
        <v>1</v>
      </c>
      <c r="W66" s="569">
        <f t="shared" si="187"/>
        <v>5.7799999999999994</v>
      </c>
      <c r="X66" s="570">
        <f t="shared" si="188"/>
        <v>10.78</v>
      </c>
      <c r="Y66" s="11"/>
      <c r="Z66" s="11"/>
      <c r="AA66" s="220">
        <f t="shared" si="216"/>
        <v>5</v>
      </c>
      <c r="AB66" s="219">
        <f t="shared" si="172"/>
        <v>1</v>
      </c>
      <c r="AC66" s="569">
        <f t="shared" si="190"/>
        <v>1.1883333333333332</v>
      </c>
      <c r="AD66" s="570">
        <f t="shared" si="191"/>
        <v>6.1883333333333335</v>
      </c>
      <c r="AE66" s="219"/>
      <c r="AF66" s="219"/>
      <c r="AG66" s="220">
        <f t="shared" si="217"/>
        <v>33435.895666599296</v>
      </c>
      <c r="AH66" s="219">
        <f t="shared" si="173"/>
        <v>1.0008525561429944</v>
      </c>
      <c r="AI66" s="11"/>
      <c r="AJ66" s="11"/>
      <c r="AK66" s="220">
        <f t="shared" si="218"/>
        <v>229.80872010365673</v>
      </c>
      <c r="AL66" s="219">
        <f t="shared" si="174"/>
        <v>0.9985789646374017</v>
      </c>
      <c r="AN66" s="11"/>
      <c r="AO66" s="220">
        <f t="shared" si="219"/>
        <v>729.91026716597412</v>
      </c>
      <c r="AP66" s="219">
        <f t="shared" si="195"/>
        <v>0.99884251882283459</v>
      </c>
      <c r="AQ66" s="579"/>
      <c r="AT66" s="220">
        <f t="shared" ca="1" si="220"/>
        <v>47435.226609950383</v>
      </c>
      <c r="AU66" s="219">
        <f t="shared" ca="1" si="210"/>
        <v>1.0015785476015562</v>
      </c>
      <c r="AV66" s="11"/>
      <c r="AW66" s="11"/>
      <c r="AX66" s="220">
        <f t="shared" si="221"/>
        <v>2539.8795184907958</v>
      </c>
      <c r="AY66" s="219">
        <f t="shared" si="175"/>
        <v>1.0011786516735524</v>
      </c>
      <c r="AZ66" s="11"/>
      <c r="BA66" s="11"/>
      <c r="BB66" s="220">
        <f t="shared" si="222"/>
        <v>394.04940828256787</v>
      </c>
      <c r="BC66" s="219">
        <f t="shared" si="176"/>
        <v>1.0005439445652871</v>
      </c>
      <c r="BD66" s="569">
        <f t="shared" si="199"/>
        <v>8.2333333333333307</v>
      </c>
      <c r="BE66" s="570">
        <f t="shared" si="200"/>
        <v>402.28274161590122</v>
      </c>
      <c r="BF66" s="11"/>
      <c r="BG66" s="11"/>
      <c r="BH66" s="220">
        <f t="shared" si="223"/>
        <v>3</v>
      </c>
      <c r="BI66" s="219">
        <f t="shared" si="177"/>
        <v>1</v>
      </c>
      <c r="BJ66" s="569">
        <f t="shared" si="202"/>
        <v>2.7733333333333339</v>
      </c>
      <c r="BK66" s="570">
        <f t="shared" si="203"/>
        <v>5.7733333333333334</v>
      </c>
      <c r="BL66" s="11"/>
      <c r="BM66" s="11"/>
      <c r="BN66" s="220">
        <f t="shared" si="224"/>
        <v>14193.923691038455</v>
      </c>
      <c r="BO66" s="219">
        <f t="shared" si="178"/>
        <v>1.0013675177910204</v>
      </c>
      <c r="BP66" s="11"/>
      <c r="BQ66" s="11"/>
      <c r="BR66" s="220">
        <f t="shared" si="225"/>
        <v>46.748614346030351</v>
      </c>
      <c r="BS66" s="219">
        <f t="shared" si="179"/>
        <v>1.0010986157583504</v>
      </c>
      <c r="BT66" s="219"/>
      <c r="BU66" s="219"/>
      <c r="BV66" s="220">
        <f t="shared" si="226"/>
        <v>391.34559540572673</v>
      </c>
      <c r="BW66" s="219">
        <f t="shared" si="207"/>
        <v>1.0004295350216084</v>
      </c>
    </row>
    <row r="67" spans="1:75">
      <c r="A67" s="9">
        <f t="shared" si="168"/>
        <v>2026</v>
      </c>
      <c r="B67" s="9" t="s">
        <v>384</v>
      </c>
      <c r="C67" s="220">
        <f t="shared" ca="1" si="211"/>
        <v>122615.14121310168</v>
      </c>
      <c r="D67" s="219">
        <f t="shared" ca="1" si="169"/>
        <v>1.0016861664028447</v>
      </c>
      <c r="E67" s="11"/>
      <c r="F67" s="11"/>
      <c r="G67" s="220">
        <f t="shared" si="212"/>
        <v>1554.519021680637</v>
      </c>
      <c r="H67" s="219">
        <f t="shared" si="170"/>
        <v>0.99982281150025842</v>
      </c>
      <c r="I67" s="11"/>
      <c r="J67" s="11"/>
      <c r="K67" s="220">
        <f t="shared" si="213"/>
        <v>9629.1724420633491</v>
      </c>
      <c r="L67" s="219">
        <f t="shared" si="183"/>
        <v>1.0006134230899959</v>
      </c>
      <c r="M67" s="11"/>
      <c r="N67" s="11"/>
      <c r="O67" s="220">
        <f t="shared" si="214"/>
        <v>1076.1211320608415</v>
      </c>
      <c r="P67" s="219">
        <f t="shared" si="208"/>
        <v>1.0000496606019917</v>
      </c>
      <c r="Q67" s="569">
        <f t="shared" si="209"/>
        <v>11.437500000000004</v>
      </c>
      <c r="R67" s="570">
        <f t="shared" si="185"/>
        <v>1087.5586320608415</v>
      </c>
      <c r="S67" s="11"/>
      <c r="T67" s="11"/>
      <c r="U67" s="220">
        <f t="shared" si="215"/>
        <v>5</v>
      </c>
      <c r="V67" s="219">
        <f t="shared" si="171"/>
        <v>1</v>
      </c>
      <c r="W67" s="569">
        <f t="shared" si="187"/>
        <v>6.0524999999999993</v>
      </c>
      <c r="X67" s="570">
        <f t="shared" si="188"/>
        <v>11.052499999999998</v>
      </c>
      <c r="Y67" s="11"/>
      <c r="Z67" s="11"/>
      <c r="AA67" s="220">
        <f t="shared" si="216"/>
        <v>5</v>
      </c>
      <c r="AB67" s="219">
        <f t="shared" si="172"/>
        <v>1</v>
      </c>
      <c r="AC67" s="569">
        <f t="shared" si="190"/>
        <v>1.2337499999999999</v>
      </c>
      <c r="AD67" s="570">
        <f t="shared" si="191"/>
        <v>6.2337499999999997</v>
      </c>
      <c r="AE67" s="219"/>
      <c r="AF67" s="219"/>
      <c r="AG67" s="220">
        <f t="shared" si="217"/>
        <v>33464.401644846374</v>
      </c>
      <c r="AH67" s="219">
        <f t="shared" si="173"/>
        <v>1.0008525561429944</v>
      </c>
      <c r="AI67" s="11"/>
      <c r="AJ67" s="11"/>
      <c r="AK67" s="220">
        <f t="shared" si="218"/>
        <v>229.48215378575597</v>
      </c>
      <c r="AL67" s="219">
        <f t="shared" si="174"/>
        <v>0.9985789646374017</v>
      </c>
      <c r="AN67" s="11"/>
      <c r="AO67" s="220">
        <f t="shared" si="219"/>
        <v>729.06540977070983</v>
      </c>
      <c r="AP67" s="219">
        <f t="shared" si="195"/>
        <v>0.9988425188228347</v>
      </c>
      <c r="AQ67" s="579"/>
      <c r="AT67" s="220">
        <f t="shared" ca="1" si="220"/>
        <v>47510.105373144797</v>
      </c>
      <c r="AU67" s="219">
        <f t="shared" ca="1" si="210"/>
        <v>1.0015785476015562</v>
      </c>
      <c r="AV67" s="11"/>
      <c r="AW67" s="11"/>
      <c r="AX67" s="220">
        <f t="shared" si="221"/>
        <v>2542.8731517358865</v>
      </c>
      <c r="AY67" s="219">
        <f t="shared" si="175"/>
        <v>1.0011786516735524</v>
      </c>
      <c r="AZ67" s="11"/>
      <c r="BA67" s="11"/>
      <c r="BB67" s="220">
        <f t="shared" si="222"/>
        <v>394.26374931665777</v>
      </c>
      <c r="BC67" s="219">
        <f t="shared" si="176"/>
        <v>1.0005439445652871</v>
      </c>
      <c r="BD67" s="569">
        <f t="shared" si="199"/>
        <v>8.546249999999997</v>
      </c>
      <c r="BE67" s="570">
        <f t="shared" si="200"/>
        <v>402.80999931665775</v>
      </c>
      <c r="BF67" s="11"/>
      <c r="BG67" s="11"/>
      <c r="BH67" s="220">
        <f t="shared" si="223"/>
        <v>3</v>
      </c>
      <c r="BI67" s="219">
        <f t="shared" si="177"/>
        <v>1</v>
      </c>
      <c r="BJ67" s="569">
        <f t="shared" si="202"/>
        <v>2.8875000000000006</v>
      </c>
      <c r="BK67" s="570">
        <f t="shared" si="203"/>
        <v>5.8875000000000011</v>
      </c>
      <c r="BL67" s="11"/>
      <c r="BM67" s="11"/>
      <c r="BN67" s="220">
        <f t="shared" si="224"/>
        <v>14213.334134210336</v>
      </c>
      <c r="BO67" s="219">
        <f t="shared" si="178"/>
        <v>1.0013675177910204</v>
      </c>
      <c r="BP67" s="11"/>
      <c r="BQ67" s="11"/>
      <c r="BR67" s="220">
        <f t="shared" si="225"/>
        <v>46.799973110431942</v>
      </c>
      <c r="BS67" s="219">
        <f t="shared" si="179"/>
        <v>1.0010986157583504</v>
      </c>
      <c r="BT67" s="219"/>
      <c r="BU67" s="219"/>
      <c r="BV67" s="220">
        <f t="shared" si="226"/>
        <v>391.51369204450566</v>
      </c>
      <c r="BW67" s="219">
        <f t="shared" si="207"/>
        <v>1.0004295350216084</v>
      </c>
    </row>
    <row r="68" spans="1:75">
      <c r="A68" s="9">
        <f t="shared" si="168"/>
        <v>2026</v>
      </c>
      <c r="B68" s="9" t="s">
        <v>113</v>
      </c>
      <c r="C68" s="220">
        <f t="shared" ca="1" si="211"/>
        <v>122821.89074469528</v>
      </c>
      <c r="D68" s="219">
        <f t="shared" ca="1" si="169"/>
        <v>1.0016861664028447</v>
      </c>
      <c r="E68" s="11"/>
      <c r="F68" s="11"/>
      <c r="G68" s="220">
        <f t="shared" si="212"/>
        <v>1554.2435787873658</v>
      </c>
      <c r="H68" s="219">
        <f t="shared" si="170"/>
        <v>0.99982281150025853</v>
      </c>
      <c r="I68" s="11"/>
      <c r="J68" s="11"/>
      <c r="K68" s="220">
        <f t="shared" si="213"/>
        <v>9635.0791987768625</v>
      </c>
      <c r="L68" s="219">
        <f t="shared" si="183"/>
        <v>1.0006134230899959</v>
      </c>
      <c r="M68" s="11"/>
      <c r="N68" s="11"/>
      <c r="O68" s="220">
        <f t="shared" si="214"/>
        <v>1076.1745728840758</v>
      </c>
      <c r="P68" s="219">
        <f t="shared" si="208"/>
        <v>1.0000496606019917</v>
      </c>
      <c r="Q68" s="569">
        <f t="shared" si="209"/>
        <v>12.151666666666671</v>
      </c>
      <c r="R68" s="570">
        <f t="shared" si="185"/>
        <v>1088.3262395507425</v>
      </c>
      <c r="S68" s="11"/>
      <c r="T68" s="11"/>
      <c r="U68" s="220">
        <f t="shared" si="215"/>
        <v>5</v>
      </c>
      <c r="V68" s="219">
        <f t="shared" si="171"/>
        <v>1</v>
      </c>
      <c r="W68" s="569">
        <f t="shared" si="187"/>
        <v>6.3249999999999993</v>
      </c>
      <c r="X68" s="570">
        <f t="shared" si="188"/>
        <v>11.324999999999999</v>
      </c>
      <c r="Y68" s="11"/>
      <c r="Z68" s="11"/>
      <c r="AA68" s="220">
        <f t="shared" si="216"/>
        <v>5</v>
      </c>
      <c r="AB68" s="219">
        <f t="shared" si="172"/>
        <v>1</v>
      </c>
      <c r="AC68" s="569">
        <f t="shared" si="190"/>
        <v>1.2791666666666666</v>
      </c>
      <c r="AD68" s="570">
        <f t="shared" si="191"/>
        <v>6.2791666666666668</v>
      </c>
      <c r="AE68" s="219"/>
      <c r="AF68" s="219"/>
      <c r="AG68" s="220">
        <f t="shared" si="217"/>
        <v>33492.931926040321</v>
      </c>
      <c r="AH68" s="219">
        <f t="shared" si="173"/>
        <v>1.0008525561429944</v>
      </c>
      <c r="AI68" s="11"/>
      <c r="AJ68" s="11"/>
      <c r="AK68" s="220">
        <f t="shared" si="218"/>
        <v>229.15605153014118</v>
      </c>
      <c r="AL68" s="219">
        <f t="shared" si="174"/>
        <v>0.9985789646374017</v>
      </c>
      <c r="AN68" s="11"/>
      <c r="AO68" s="220">
        <f t="shared" si="219"/>
        <v>728.22153028197795</v>
      </c>
      <c r="AP68" s="219">
        <f t="shared" si="195"/>
        <v>0.9988425188228347</v>
      </c>
      <c r="AQ68" s="579"/>
      <c r="AT68" s="220">
        <f t="shared" ca="1" si="220"/>
        <v>47585.102336031254</v>
      </c>
      <c r="AU68" s="219">
        <f t="shared" ca="1" si="210"/>
        <v>1.0015785476015562</v>
      </c>
      <c r="AV68" s="11"/>
      <c r="AW68" s="11"/>
      <c r="AX68" s="220">
        <f t="shared" si="221"/>
        <v>2545.8703134318112</v>
      </c>
      <c r="AY68" s="219">
        <f t="shared" si="175"/>
        <v>1.0011786516735524</v>
      </c>
      <c r="AZ68" s="11"/>
      <c r="BA68" s="11"/>
      <c r="BB68" s="220">
        <f t="shared" si="222"/>
        <v>394.47820694038825</v>
      </c>
      <c r="BC68" s="219">
        <f t="shared" si="176"/>
        <v>1.0005439445652871</v>
      </c>
      <c r="BD68" s="569">
        <f t="shared" si="199"/>
        <v>8.8591666666666633</v>
      </c>
      <c r="BE68" s="570">
        <f t="shared" si="200"/>
        <v>403.33737360705493</v>
      </c>
      <c r="BF68" s="11"/>
      <c r="BG68" s="11"/>
      <c r="BH68" s="220">
        <f t="shared" si="223"/>
        <v>3</v>
      </c>
      <c r="BI68" s="219">
        <f t="shared" si="177"/>
        <v>1</v>
      </c>
      <c r="BJ68" s="569">
        <f t="shared" si="202"/>
        <v>3.0016666666666674</v>
      </c>
      <c r="BK68" s="570">
        <f t="shared" si="203"/>
        <v>6.0016666666666669</v>
      </c>
      <c r="BL68" s="11"/>
      <c r="BM68" s="11"/>
      <c r="BN68" s="220">
        <f t="shared" si="224"/>
        <v>14232.771121508586</v>
      </c>
      <c r="BO68" s="219">
        <f t="shared" si="178"/>
        <v>1.0013675177910204</v>
      </c>
      <c r="BP68" s="11"/>
      <c r="BQ68" s="11"/>
      <c r="BR68" s="220">
        <f t="shared" si="225"/>
        <v>46.851388298381437</v>
      </c>
      <c r="BS68" s="219">
        <f t="shared" si="179"/>
        <v>1.0010986157583504</v>
      </c>
      <c r="BT68" s="219"/>
      <c r="BU68" s="219"/>
      <c r="BV68" s="220">
        <f t="shared" si="226"/>
        <v>391.68186088667795</v>
      </c>
      <c r="BW68" s="219">
        <f t="shared" si="207"/>
        <v>1.0004295350216084</v>
      </c>
    </row>
    <row r="69" spans="1:75">
      <c r="A69" s="9">
        <f t="shared" si="168"/>
        <v>2026</v>
      </c>
      <c r="B69" s="9" t="s">
        <v>114</v>
      </c>
      <c r="C69" s="220">
        <f t="shared" ca="1" si="211"/>
        <v>123028.98889040285</v>
      </c>
      <c r="D69" s="219">
        <f t="shared" ca="1" si="169"/>
        <v>1.0016861664028447</v>
      </c>
      <c r="E69" s="11"/>
      <c r="F69" s="11"/>
      <c r="G69" s="220">
        <f t="shared" si="212"/>
        <v>1553.9681846994074</v>
      </c>
      <c r="H69" s="219">
        <f t="shared" si="170"/>
        <v>0.99982281150025842</v>
      </c>
      <c r="I69" s="11"/>
      <c r="J69" s="11"/>
      <c r="K69" s="220">
        <f t="shared" si="213"/>
        <v>9640.9895788313315</v>
      </c>
      <c r="L69" s="219">
        <f t="shared" si="183"/>
        <v>1.0006134230899959</v>
      </c>
      <c r="M69" s="11"/>
      <c r="N69" s="11"/>
      <c r="O69" s="220">
        <f t="shared" si="214"/>
        <v>1076.2280163612133</v>
      </c>
      <c r="P69" s="219">
        <f t="shared" si="208"/>
        <v>1.0000496606019917</v>
      </c>
      <c r="Q69" s="569">
        <f t="shared" si="209"/>
        <v>12.865833333333338</v>
      </c>
      <c r="R69" s="570">
        <f t="shared" si="185"/>
        <v>1089.0938496945466</v>
      </c>
      <c r="S69" s="11"/>
      <c r="T69" s="11"/>
      <c r="U69" s="220">
        <f t="shared" si="215"/>
        <v>5</v>
      </c>
      <c r="V69" s="219">
        <f t="shared" si="171"/>
        <v>1</v>
      </c>
      <c r="W69" s="569">
        <f t="shared" si="187"/>
        <v>6.5974999999999993</v>
      </c>
      <c r="X69" s="570">
        <f t="shared" si="188"/>
        <v>11.5975</v>
      </c>
      <c r="Y69" s="11"/>
      <c r="Z69" s="11"/>
      <c r="AA69" s="220">
        <f t="shared" si="216"/>
        <v>5</v>
      </c>
      <c r="AB69" s="219">
        <f t="shared" si="172"/>
        <v>1</v>
      </c>
      <c r="AC69" s="569">
        <f t="shared" si="190"/>
        <v>1.3245833333333332</v>
      </c>
      <c r="AD69" s="570">
        <f t="shared" si="191"/>
        <v>6.324583333333333</v>
      </c>
      <c r="AE69" s="219"/>
      <c r="AF69" s="219"/>
      <c r="AG69" s="220">
        <f t="shared" si="217"/>
        <v>33521.486530900758</v>
      </c>
      <c r="AH69" s="219">
        <f t="shared" si="173"/>
        <v>1.0008525561429944</v>
      </c>
      <c r="AI69" s="11"/>
      <c r="AJ69" s="11"/>
      <c r="AK69" s="220">
        <f t="shared" si="218"/>
        <v>228.83041267736346</v>
      </c>
      <c r="AL69" s="219">
        <f t="shared" si="174"/>
        <v>0.9985789646374017</v>
      </c>
      <c r="AN69" s="11"/>
      <c r="AO69" s="220">
        <f t="shared" si="219"/>
        <v>727.37862756787001</v>
      </c>
      <c r="AP69" s="219">
        <f t="shared" si="195"/>
        <v>0.9988425188228347</v>
      </c>
      <c r="AQ69" s="579"/>
      <c r="AT69" s="220">
        <f t="shared" ca="1" si="220"/>
        <v>47660.217685193602</v>
      </c>
      <c r="AU69" s="219">
        <f t="shared" ca="1" si="210"/>
        <v>1.0015785476015562</v>
      </c>
      <c r="AV69" s="11"/>
      <c r="AW69" s="11"/>
      <c r="AX69" s="220">
        <f t="shared" si="221"/>
        <v>2548.8710077373848</v>
      </c>
      <c r="AY69" s="219">
        <f t="shared" si="175"/>
        <v>1.0011786516735524</v>
      </c>
      <c r="AZ69" s="11"/>
      <c r="BA69" s="11"/>
      <c r="BB69" s="220">
        <f t="shared" si="222"/>
        <v>394.69278121717764</v>
      </c>
      <c r="BC69" s="219">
        <f t="shared" si="176"/>
        <v>1.0005439445652871</v>
      </c>
      <c r="BD69" s="569">
        <f t="shared" si="199"/>
        <v>9.1720833333333296</v>
      </c>
      <c r="BE69" s="570">
        <f t="shared" si="200"/>
        <v>403.86486455051096</v>
      </c>
      <c r="BF69" s="11"/>
      <c r="BG69" s="11"/>
      <c r="BH69" s="220">
        <f t="shared" si="223"/>
        <v>3</v>
      </c>
      <c r="BI69" s="219">
        <f t="shared" si="177"/>
        <v>1</v>
      </c>
      <c r="BJ69" s="569">
        <f t="shared" si="202"/>
        <v>3.1158333333333341</v>
      </c>
      <c r="BK69" s="570">
        <f t="shared" si="203"/>
        <v>6.1158333333333346</v>
      </c>
      <c r="BL69" s="11"/>
      <c r="BM69" s="11"/>
      <c r="BN69" s="220">
        <f t="shared" si="224"/>
        <v>14252.23468923277</v>
      </c>
      <c r="BO69" s="219">
        <f t="shared" si="178"/>
        <v>1.0013675177910204</v>
      </c>
      <c r="BP69" s="11"/>
      <c r="BQ69" s="11"/>
      <c r="BR69" s="220">
        <f t="shared" si="225"/>
        <v>46.902859971866633</v>
      </c>
      <c r="BS69" s="219">
        <f t="shared" si="179"/>
        <v>1.0010986157583504</v>
      </c>
      <c r="BT69" s="219"/>
      <c r="BU69" s="219"/>
      <c r="BV69" s="220">
        <f t="shared" si="226"/>
        <v>391.85010196325754</v>
      </c>
      <c r="BW69" s="219">
        <f t="shared" si="207"/>
        <v>1.0004295350216084</v>
      </c>
    </row>
    <row r="70" spans="1:75">
      <c r="A70" s="9">
        <f t="shared" si="168"/>
        <v>2026</v>
      </c>
      <c r="B70" s="9" t="s">
        <v>115</v>
      </c>
      <c r="C70" s="220">
        <f t="shared" ca="1" si="211"/>
        <v>123236.4362380458</v>
      </c>
      <c r="D70" s="219">
        <f t="shared" ca="1" si="169"/>
        <v>1.0016861664028447</v>
      </c>
      <c r="E70" s="11"/>
      <c r="F70" s="11"/>
      <c r="G70" s="220">
        <f t="shared" si="212"/>
        <v>1553.6928394081144</v>
      </c>
      <c r="H70" s="219">
        <f t="shared" si="170"/>
        <v>0.99982281150025842</v>
      </c>
      <c r="I70" s="11"/>
      <c r="J70" s="11"/>
      <c r="K70" s="220">
        <f t="shared" si="213"/>
        <v>9646.9035844493974</v>
      </c>
      <c r="L70" s="219">
        <f t="shared" si="183"/>
        <v>1.0006134230899959</v>
      </c>
      <c r="M70" s="11"/>
      <c r="N70" s="11"/>
      <c r="O70" s="220">
        <f t="shared" si="214"/>
        <v>1076.2814624923863</v>
      </c>
      <c r="P70" s="219">
        <f t="shared" si="208"/>
        <v>1.0000496606019917</v>
      </c>
      <c r="Q70" s="569">
        <f t="shared" si="209"/>
        <v>13.580000000000005</v>
      </c>
      <c r="R70" s="570">
        <f t="shared" si="185"/>
        <v>1089.8614624923862</v>
      </c>
      <c r="S70" s="11"/>
      <c r="T70" s="11"/>
      <c r="U70" s="220">
        <f t="shared" si="215"/>
        <v>5</v>
      </c>
      <c r="V70" s="219">
        <f t="shared" si="171"/>
        <v>1</v>
      </c>
      <c r="W70" s="569">
        <f t="shared" si="187"/>
        <v>6.8699999999999992</v>
      </c>
      <c r="X70" s="570">
        <f t="shared" si="188"/>
        <v>11.87</v>
      </c>
      <c r="Y70" s="11"/>
      <c r="Z70" s="11"/>
      <c r="AA70" s="220">
        <f t="shared" si="216"/>
        <v>5</v>
      </c>
      <c r="AB70" s="219">
        <f t="shared" si="172"/>
        <v>1</v>
      </c>
      <c r="AC70" s="569">
        <f t="shared" si="190"/>
        <v>1.3699999999999999</v>
      </c>
      <c r="AD70" s="570">
        <f t="shared" si="191"/>
        <v>6.37</v>
      </c>
      <c r="AE70" s="219"/>
      <c r="AF70" s="219"/>
      <c r="AG70" s="220">
        <f t="shared" si="217"/>
        <v>33550.06548016498</v>
      </c>
      <c r="AH70" s="219">
        <f t="shared" si="173"/>
        <v>1.0008525561429944</v>
      </c>
      <c r="AI70" s="11"/>
      <c r="AJ70" s="11"/>
      <c r="AK70" s="220">
        <f t="shared" si="218"/>
        <v>228.50523656891096</v>
      </c>
      <c r="AL70" s="219">
        <f t="shared" si="174"/>
        <v>0.9985789646374017</v>
      </c>
      <c r="AN70" s="11"/>
      <c r="AO70" s="220">
        <f t="shared" si="219"/>
        <v>726.53670049778782</v>
      </c>
      <c r="AP70" s="219">
        <f t="shared" si="195"/>
        <v>0.99884251882283459</v>
      </c>
      <c r="AQ70" s="579"/>
      <c r="AT70" s="220">
        <f t="shared" ca="1" si="220"/>
        <v>47735.451607510207</v>
      </c>
      <c r="AU70" s="219">
        <f t="shared" ca="1" si="210"/>
        <v>1.0015785476015562</v>
      </c>
      <c r="AV70" s="11"/>
      <c r="AW70" s="11"/>
      <c r="AX70" s="220">
        <f t="shared" si="221"/>
        <v>2551.8752388163234</v>
      </c>
      <c r="AY70" s="219">
        <f t="shared" si="175"/>
        <v>1.0011786516735524</v>
      </c>
      <c r="AZ70" s="11"/>
      <c r="BA70" s="11"/>
      <c r="BB70" s="220">
        <f t="shared" si="222"/>
        <v>394.90747221047877</v>
      </c>
      <c r="BC70" s="219">
        <f t="shared" si="176"/>
        <v>1.0005439445652871</v>
      </c>
      <c r="BD70" s="569">
        <f t="shared" si="199"/>
        <v>9.4849999999999959</v>
      </c>
      <c r="BE70" s="570">
        <f t="shared" si="200"/>
        <v>404.39247221047879</v>
      </c>
      <c r="BF70" s="11"/>
      <c r="BG70" s="11"/>
      <c r="BH70" s="220">
        <f t="shared" si="223"/>
        <v>3</v>
      </c>
      <c r="BI70" s="219">
        <f t="shared" si="177"/>
        <v>1</v>
      </c>
      <c r="BJ70" s="569">
        <f t="shared" si="202"/>
        <v>3.2300000000000009</v>
      </c>
      <c r="BK70" s="570">
        <f t="shared" si="203"/>
        <v>6.23</v>
      </c>
      <c r="BL70" s="11"/>
      <c r="BM70" s="11"/>
      <c r="BN70" s="220">
        <f t="shared" si="224"/>
        <v>14271.724873732093</v>
      </c>
      <c r="BO70" s="219">
        <f t="shared" si="178"/>
        <v>1.0013675177910204</v>
      </c>
      <c r="BP70" s="11"/>
      <c r="BQ70" s="11"/>
      <c r="BR70" s="220">
        <f t="shared" si="225"/>
        <v>46.954388192943426</v>
      </c>
      <c r="BS70" s="219">
        <f t="shared" si="179"/>
        <v>1.0010986157583504</v>
      </c>
      <c r="BT70" s="219"/>
      <c r="BU70" s="219"/>
      <c r="BV70" s="220">
        <f t="shared" si="226"/>
        <v>392.01841530527156</v>
      </c>
      <c r="BW70" s="219">
        <f t="shared" si="207"/>
        <v>1.0004295350216084</v>
      </c>
    </row>
    <row r="71" spans="1:75">
      <c r="A71" s="9">
        <f t="shared" si="168"/>
        <v>2027</v>
      </c>
      <c r="B71" s="9" t="s">
        <v>104</v>
      </c>
      <c r="C71" s="220">
        <f ca="1">C17/D17^(5.50989446627246/12)</f>
        <v>123456.98113305995</v>
      </c>
      <c r="D71" s="219">
        <f t="shared" ref="D71:D94" ca="1" si="227">C71/C70</f>
        <v>1.0017896078606827</v>
      </c>
      <c r="G71" s="220">
        <f>G17/H17^(5.50989446627246/12)</f>
        <v>1553.41754290484</v>
      </c>
      <c r="H71" s="219">
        <f t="shared" si="170"/>
        <v>0.9998228115002582</v>
      </c>
      <c r="K71" s="220">
        <f>K17/L17^(5.50989446627246/12)</f>
        <v>9652.8212178550621</v>
      </c>
      <c r="L71" s="219">
        <f t="shared" si="183"/>
        <v>1.0006134230899959</v>
      </c>
      <c r="O71" s="220">
        <f>O17/P17^(5.50989446627246/12)</f>
        <v>1076.3349112777273</v>
      </c>
      <c r="P71" s="219">
        <f t="shared" si="208"/>
        <v>1.0000496606019929</v>
      </c>
      <c r="Q71" s="569">
        <f t="shared" si="209"/>
        <v>13.921666666666672</v>
      </c>
      <c r="R71" s="570">
        <f t="shared" si="185"/>
        <v>1090.2565779443939</v>
      </c>
      <c r="U71" s="220">
        <f>U17/V17^(5.50989446627246/12)</f>
        <v>5</v>
      </c>
      <c r="V71" s="219">
        <f t="shared" si="171"/>
        <v>1</v>
      </c>
      <c r="W71" s="569">
        <f t="shared" si="187"/>
        <v>6.8999999999999995</v>
      </c>
      <c r="X71" s="570">
        <f t="shared" si="188"/>
        <v>11.899999999999999</v>
      </c>
      <c r="AA71" s="220">
        <f>AA17/AB17^(5.50989446627246/12)</f>
        <v>5</v>
      </c>
      <c r="AB71" s="219">
        <f t="shared" si="172"/>
        <v>1</v>
      </c>
      <c r="AC71" s="569">
        <f t="shared" si="190"/>
        <v>1.4962499999999999</v>
      </c>
      <c r="AD71" s="570">
        <f t="shared" si="191"/>
        <v>6.4962499999999999</v>
      </c>
      <c r="AG71" s="220">
        <f>AG17/AH17^(5.50989446627246/12)</f>
        <v>33578.668794587989</v>
      </c>
      <c r="AH71" s="219">
        <f t="shared" si="173"/>
        <v>1.0008525561429953</v>
      </c>
      <c r="AK71" s="220">
        <f>AK17/AL17^(5.50989446627246/12)</f>
        <v>228.18052254720777</v>
      </c>
      <c r="AL71" s="219">
        <f t="shared" si="174"/>
        <v>0.99857896463740226</v>
      </c>
      <c r="AO71" s="220">
        <f>AO17/AP17^(5.50989446627246/12)</f>
        <v>725.69574794244227</v>
      </c>
      <c r="AP71" s="219">
        <f t="shared" si="195"/>
        <v>0.99884251882283526</v>
      </c>
      <c r="AQ71" s="579"/>
      <c r="AT71" s="220">
        <f ca="1">AT17/AU17^(5.50989446627246/12)</f>
        <v>47814.181244275926</v>
      </c>
      <c r="AU71" s="219">
        <f t="shared" ca="1" si="210"/>
        <v>1.0016492907077332</v>
      </c>
      <c r="AX71" s="220">
        <f>AX17/AY17^(5.50989446627246/12)</f>
        <v>2554.8830108372545</v>
      </c>
      <c r="AY71" s="219">
        <f t="shared" si="175"/>
        <v>1.0011786516735537</v>
      </c>
      <c r="BB71" s="220">
        <f>BB17/BC17^(5.50989446627246/12)</f>
        <v>395.12227998377853</v>
      </c>
      <c r="BC71" s="219">
        <f t="shared" si="176"/>
        <v>1.0005439445652862</v>
      </c>
      <c r="BD71" s="569">
        <f t="shared" si="199"/>
        <v>9.7174999999999958</v>
      </c>
      <c r="BE71" s="570">
        <f t="shared" si="200"/>
        <v>404.8397799837785</v>
      </c>
      <c r="BH71" s="220">
        <f>BH17/BI17^(5.50989446627246/12)</f>
        <v>3</v>
      </c>
      <c r="BI71" s="219">
        <f t="shared" si="177"/>
        <v>1</v>
      </c>
      <c r="BJ71" s="569">
        <f t="shared" si="202"/>
        <v>3.2508333333333344</v>
      </c>
      <c r="BK71" s="570">
        <f t="shared" si="203"/>
        <v>6.2508333333333344</v>
      </c>
      <c r="BN71" s="220">
        <f>BN17/BO17^(5.50989446627246/12)</f>
        <v>14291.241711405473</v>
      </c>
      <c r="BO71" s="219">
        <f t="shared" si="178"/>
        <v>1.0013675177910206</v>
      </c>
      <c r="BR71" s="220">
        <f>BR17/BS17^(5.50989446627246/12)</f>
        <v>47.005973023735841</v>
      </c>
      <c r="BS71" s="219">
        <f t="shared" si="179"/>
        <v>1.0010986157583492</v>
      </c>
      <c r="BV71" s="220">
        <f>BV17/BW17^(5.50989446627246/12)</f>
        <v>392.18680094376043</v>
      </c>
      <c r="BW71" s="219">
        <f t="shared" si="207"/>
        <v>1.0004295350216079</v>
      </c>
    </row>
    <row r="72" spans="1:75">
      <c r="A72" s="9">
        <f t="shared" si="168"/>
        <v>2027</v>
      </c>
      <c r="B72" s="9" t="s">
        <v>105</v>
      </c>
      <c r="C72" s="220">
        <f t="shared" ref="C72:C82" ca="1" si="228">C71*D$17^(1/12)</f>
        <v>123667.11775927809</v>
      </c>
      <c r="D72" s="219">
        <f t="shared" ca="1" si="227"/>
        <v>1.0017021040389094</v>
      </c>
      <c r="G72" s="220">
        <f t="shared" ref="G72:G82" si="229">G71*H$17^(1/12)</f>
        <v>1553.1422951809404</v>
      </c>
      <c r="H72" s="219">
        <f t="shared" si="170"/>
        <v>0.99982281150025842</v>
      </c>
      <c r="K72" s="220">
        <f t="shared" ref="K72:K82" si="230">K71*L$17^(1/12)</f>
        <v>9658.7424812736972</v>
      </c>
      <c r="L72" s="219">
        <f t="shared" si="183"/>
        <v>1.0006134230899959</v>
      </c>
      <c r="O72" s="220">
        <f t="shared" ref="O72:O82" si="231">O71*P$17^(1/12)</f>
        <v>1076.3883627173661</v>
      </c>
      <c r="P72" s="219">
        <f t="shared" si="208"/>
        <v>1.0000496606019917</v>
      </c>
      <c r="Q72" s="569">
        <f t="shared" si="209"/>
        <v>14.263333333333339</v>
      </c>
      <c r="R72" s="570">
        <f t="shared" si="185"/>
        <v>1090.6516960506995</v>
      </c>
      <c r="U72" s="220">
        <f t="shared" ref="U72:U82" si="232">U71*V$17^(1/12)</f>
        <v>5</v>
      </c>
      <c r="V72" s="219">
        <f t="shared" si="171"/>
        <v>1</v>
      </c>
      <c r="W72" s="569">
        <f t="shared" si="187"/>
        <v>6.93</v>
      </c>
      <c r="X72" s="570">
        <f t="shared" si="188"/>
        <v>11.93</v>
      </c>
      <c r="AA72" s="220">
        <f t="shared" ref="AA72:AA82" si="233">AA71*AB$17^(1/12)</f>
        <v>5</v>
      </c>
      <c r="AB72" s="219">
        <f t="shared" si="172"/>
        <v>1</v>
      </c>
      <c r="AC72" s="569">
        <f t="shared" si="190"/>
        <v>1.6224999999999998</v>
      </c>
      <c r="AD72" s="570">
        <f t="shared" si="191"/>
        <v>6.6224999999999996</v>
      </c>
      <c r="AG72" s="220">
        <f t="shared" ref="AG72:AG82" si="234">AG71*AH$17^(1/12)</f>
        <v>33607.296494942391</v>
      </c>
      <c r="AH72" s="219">
        <f t="shared" si="173"/>
        <v>1.0008525561429944</v>
      </c>
      <c r="AK72" s="220">
        <f t="shared" ref="AK72:AK82" si="235">AK71*AL$17^(1/12)</f>
        <v>227.85626995561202</v>
      </c>
      <c r="AL72" s="219">
        <f t="shared" si="174"/>
        <v>0.9985789646374017</v>
      </c>
      <c r="AO72" s="220">
        <f t="shared" ref="AO72:AO82" si="236">AO71*AP$17^(1/12)</f>
        <v>724.85576877384995</v>
      </c>
      <c r="AP72" s="219">
        <f t="shared" si="195"/>
        <v>0.99884251882283459</v>
      </c>
      <c r="AQ72" s="579"/>
      <c r="AT72" s="220">
        <f t="shared" ref="AT72:AT82" ca="1" si="237">AT71*AU$17^(1/12)</f>
        <v>47890.179371447783</v>
      </c>
      <c r="AU72" s="219">
        <f t="shared" ca="1" si="210"/>
        <v>1.0015894474232152</v>
      </c>
      <c r="AX72" s="220">
        <f t="shared" ref="AX72:AX82" si="238">AX71*AY$17^(1/12)</f>
        <v>2557.8943279737082</v>
      </c>
      <c r="AY72" s="219">
        <f t="shared" si="175"/>
        <v>1.0011786516735524</v>
      </c>
      <c r="BB72" s="220">
        <f t="shared" ref="BB72:BB82" si="239">BB71*BC$17^(1/12)</f>
        <v>395.33720460059953</v>
      </c>
      <c r="BC72" s="219">
        <f t="shared" si="176"/>
        <v>1.0005439445652871</v>
      </c>
      <c r="BD72" s="569">
        <f t="shared" si="199"/>
        <v>9.9499999999999957</v>
      </c>
      <c r="BE72" s="570">
        <f t="shared" si="200"/>
        <v>405.28720460059952</v>
      </c>
      <c r="BH72" s="220">
        <f t="shared" ref="BH72:BH82" si="240">BH71*BI$17^(1/12)</f>
        <v>3</v>
      </c>
      <c r="BI72" s="219">
        <f t="shared" si="177"/>
        <v>1</v>
      </c>
      <c r="BJ72" s="569">
        <f t="shared" si="202"/>
        <v>3.2716666666666678</v>
      </c>
      <c r="BK72" s="570">
        <f t="shared" si="203"/>
        <v>6.2716666666666683</v>
      </c>
      <c r="BN72" s="220">
        <f t="shared" ref="BN72:BN82" si="241">BN71*BO$17^(1/12)</f>
        <v>14310.785238701594</v>
      </c>
      <c r="BO72" s="219">
        <f t="shared" si="178"/>
        <v>1.0013675177910204</v>
      </c>
      <c r="BR72" s="220">
        <f t="shared" ref="BR72:BR82" si="242">BR71*BS$17^(1/12)</f>
        <v>47.057614526436311</v>
      </c>
      <c r="BS72" s="219">
        <f t="shared" si="179"/>
        <v>1.0010986157583504</v>
      </c>
      <c r="BV72" s="220">
        <f t="shared" ref="BV72:BV82" si="243">BV71*BW$17^(1/12)</f>
        <v>392.35525890977834</v>
      </c>
      <c r="BW72" s="219">
        <f t="shared" si="207"/>
        <v>1.0004295350216084</v>
      </c>
    </row>
    <row r="73" spans="1:75">
      <c r="A73" s="9">
        <f t="shared" si="168"/>
        <v>2027</v>
      </c>
      <c r="B73" s="9" t="s">
        <v>106</v>
      </c>
      <c r="C73" s="220">
        <f t="shared" ca="1" si="228"/>
        <v>123877.61205989643</v>
      </c>
      <c r="D73" s="219">
        <f t="shared" ca="1" si="227"/>
        <v>1.0017021040389094</v>
      </c>
      <c r="G73" s="220">
        <f t="shared" si="229"/>
        <v>1552.8670962277722</v>
      </c>
      <c r="H73" s="219">
        <f t="shared" si="170"/>
        <v>0.99982281150025842</v>
      </c>
      <c r="K73" s="220">
        <f t="shared" si="230"/>
        <v>9664.667376932035</v>
      </c>
      <c r="L73" s="219">
        <f t="shared" si="183"/>
        <v>1.0006134230899959</v>
      </c>
      <c r="O73" s="220">
        <f t="shared" si="231"/>
        <v>1076.4418168114355</v>
      </c>
      <c r="P73" s="219">
        <f t="shared" si="208"/>
        <v>1.0000496606019917</v>
      </c>
      <c r="Q73" s="569">
        <f t="shared" si="209"/>
        <v>14.605000000000006</v>
      </c>
      <c r="R73" s="570">
        <f t="shared" si="185"/>
        <v>1091.0468168114355</v>
      </c>
      <c r="U73" s="220">
        <f t="shared" si="232"/>
        <v>5</v>
      </c>
      <c r="V73" s="219">
        <f t="shared" si="171"/>
        <v>1</v>
      </c>
      <c r="W73" s="569">
        <f t="shared" si="187"/>
        <v>6.96</v>
      </c>
      <c r="X73" s="570">
        <f t="shared" si="188"/>
        <v>11.96</v>
      </c>
      <c r="AA73" s="220">
        <f t="shared" si="233"/>
        <v>5</v>
      </c>
      <c r="AB73" s="219">
        <f t="shared" si="172"/>
        <v>1</v>
      </c>
      <c r="AC73" s="569">
        <f t="shared" si="190"/>
        <v>1.7487499999999998</v>
      </c>
      <c r="AD73" s="570">
        <f t="shared" si="191"/>
        <v>6.7487499999999994</v>
      </c>
      <c r="AG73" s="220">
        <f t="shared" si="234"/>
        <v>33635.948602018587</v>
      </c>
      <c r="AH73" s="219">
        <f t="shared" si="173"/>
        <v>1.0008525561429944</v>
      </c>
      <c r="AK73" s="220">
        <f t="shared" si="235"/>
        <v>227.53247813841534</v>
      </c>
      <c r="AL73" s="219">
        <f t="shared" si="174"/>
        <v>0.9985789646374017</v>
      </c>
      <c r="AO73" s="220">
        <f t="shared" si="236"/>
        <v>724.0167618653345</v>
      </c>
      <c r="AP73" s="219">
        <f t="shared" si="195"/>
        <v>0.9988425188228347</v>
      </c>
      <c r="AQ73" s="579"/>
      <c r="AT73" s="220">
        <f t="shared" ca="1" si="237"/>
        <v>47966.298293647043</v>
      </c>
      <c r="AU73" s="219">
        <f t="shared" ca="1" si="210"/>
        <v>1.0015894474232152</v>
      </c>
      <c r="AX73" s="220">
        <f t="shared" si="238"/>
        <v>2560.9091944041443</v>
      </c>
      <c r="AY73" s="219">
        <f t="shared" si="175"/>
        <v>1.0011786516735524</v>
      </c>
      <c r="BB73" s="220">
        <f t="shared" si="239"/>
        <v>395.5522461244978</v>
      </c>
      <c r="BC73" s="219">
        <f t="shared" si="176"/>
        <v>1.0005439445652871</v>
      </c>
      <c r="BD73" s="569">
        <f t="shared" si="199"/>
        <v>10.182499999999996</v>
      </c>
      <c r="BE73" s="570">
        <f t="shared" si="200"/>
        <v>405.7347461244978</v>
      </c>
      <c r="BH73" s="220">
        <f t="shared" si="240"/>
        <v>3</v>
      </c>
      <c r="BI73" s="219">
        <f t="shared" si="177"/>
        <v>1</v>
      </c>
      <c r="BJ73" s="569">
        <f t="shared" si="202"/>
        <v>3.2925000000000013</v>
      </c>
      <c r="BK73" s="570">
        <f t="shared" si="203"/>
        <v>6.2925000000000013</v>
      </c>
      <c r="BN73" s="220">
        <f t="shared" si="241"/>
        <v>14330.35549211899</v>
      </c>
      <c r="BO73" s="219">
        <f t="shared" si="178"/>
        <v>1.0013675177910204</v>
      </c>
      <c r="BR73" s="220">
        <f t="shared" si="242"/>
        <v>47.109312763305432</v>
      </c>
      <c r="BS73" s="219">
        <f t="shared" si="179"/>
        <v>1.0010986157583504</v>
      </c>
      <c r="BV73" s="220">
        <f t="shared" si="243"/>
        <v>392.52378923439232</v>
      </c>
      <c r="BW73" s="219">
        <f t="shared" si="207"/>
        <v>1.0004295350216084</v>
      </c>
    </row>
    <row r="74" spans="1:75">
      <c r="A74" s="9">
        <f t="shared" si="168"/>
        <v>2027</v>
      </c>
      <c r="B74" s="9" t="s">
        <v>107</v>
      </c>
      <c r="C74" s="220">
        <f t="shared" ca="1" si="228"/>
        <v>124088.46464371403</v>
      </c>
      <c r="D74" s="219">
        <f t="shared" ca="1" si="227"/>
        <v>1.0017021040389094</v>
      </c>
      <c r="G74" s="220">
        <f t="shared" si="229"/>
        <v>1552.5919460366936</v>
      </c>
      <c r="H74" s="219">
        <f t="shared" si="170"/>
        <v>0.99982281150025842</v>
      </c>
      <c r="K74" s="220">
        <f t="shared" si="230"/>
        <v>9670.5959070581757</v>
      </c>
      <c r="L74" s="219">
        <f t="shared" si="183"/>
        <v>1.0006134230899959</v>
      </c>
      <c r="O74" s="220">
        <f t="shared" si="231"/>
        <v>1076.4952735600675</v>
      </c>
      <c r="P74" s="219">
        <f t="shared" si="208"/>
        <v>1.0000496606019917</v>
      </c>
      <c r="Q74" s="569">
        <f t="shared" si="209"/>
        <v>14.946666666666673</v>
      </c>
      <c r="R74" s="570">
        <f t="shared" si="185"/>
        <v>1091.4419402267342</v>
      </c>
      <c r="U74" s="220">
        <f t="shared" si="232"/>
        <v>5</v>
      </c>
      <c r="V74" s="219">
        <f t="shared" si="171"/>
        <v>1</v>
      </c>
      <c r="W74" s="569">
        <f t="shared" si="187"/>
        <v>6.99</v>
      </c>
      <c r="X74" s="570">
        <f t="shared" si="188"/>
        <v>11.99</v>
      </c>
      <c r="AA74" s="220">
        <f t="shared" si="233"/>
        <v>5</v>
      </c>
      <c r="AB74" s="219">
        <f t="shared" si="172"/>
        <v>1</v>
      </c>
      <c r="AC74" s="569">
        <f t="shared" si="190"/>
        <v>1.8749999999999998</v>
      </c>
      <c r="AD74" s="570">
        <f t="shared" si="191"/>
        <v>6.875</v>
      </c>
      <c r="AG74" s="220">
        <f t="shared" si="234"/>
        <v>33664.62513662468</v>
      </c>
      <c r="AH74" s="219">
        <f t="shared" si="173"/>
        <v>1.0008525561429944</v>
      </c>
      <c r="AK74" s="220">
        <f t="shared" si="235"/>
        <v>227.20914644084104</v>
      </c>
      <c r="AL74" s="219">
        <f t="shared" si="174"/>
        <v>0.9985789646374017</v>
      </c>
      <c r="AO74" s="220">
        <f t="shared" si="236"/>
        <v>723.17872609152323</v>
      </c>
      <c r="AP74" s="219">
        <f t="shared" si="195"/>
        <v>0.9988425188228347</v>
      </c>
      <c r="AQ74" s="579"/>
      <c r="AT74" s="220">
        <f t="shared" ca="1" si="237"/>
        <v>48042.538202871052</v>
      </c>
      <c r="AU74" s="219">
        <f t="shared" ca="1" si="210"/>
        <v>1.0015894474232152</v>
      </c>
      <c r="AX74" s="220">
        <f t="shared" si="238"/>
        <v>2563.9276143119441</v>
      </c>
      <c r="AY74" s="219">
        <f t="shared" si="175"/>
        <v>1.0011786516735524</v>
      </c>
      <c r="BB74" s="220">
        <f t="shared" si="239"/>
        <v>395.76740461906434</v>
      </c>
      <c r="BC74" s="219">
        <f t="shared" si="176"/>
        <v>1.0005439445652871</v>
      </c>
      <c r="BD74" s="569">
        <f t="shared" si="199"/>
        <v>10.414999999999996</v>
      </c>
      <c r="BE74" s="570">
        <f t="shared" si="200"/>
        <v>406.18240461906436</v>
      </c>
      <c r="BH74" s="220">
        <f t="shared" si="240"/>
        <v>3</v>
      </c>
      <c r="BI74" s="219">
        <f t="shared" si="177"/>
        <v>1</v>
      </c>
      <c r="BJ74" s="569">
        <f t="shared" si="202"/>
        <v>3.3133333333333348</v>
      </c>
      <c r="BK74" s="570">
        <f t="shared" si="203"/>
        <v>6.3133333333333344</v>
      </c>
      <c r="BN74" s="220">
        <f t="shared" si="241"/>
        <v>14349.95250820611</v>
      </c>
      <c r="BO74" s="219">
        <f t="shared" si="178"/>
        <v>1.0013675177910204</v>
      </c>
      <c r="BR74" s="220">
        <f t="shared" si="242"/>
        <v>47.161067796672256</v>
      </c>
      <c r="BS74" s="219">
        <f t="shared" si="179"/>
        <v>1.0010986157583504</v>
      </c>
      <c r="BV74" s="220">
        <f t="shared" si="243"/>
        <v>392.69239194868294</v>
      </c>
      <c r="BW74" s="219">
        <f t="shared" si="207"/>
        <v>1.0004295350216084</v>
      </c>
    </row>
    <row r="75" spans="1:75">
      <c r="A75" s="9">
        <f t="shared" si="168"/>
        <v>2027</v>
      </c>
      <c r="B75" s="9" t="s">
        <v>108</v>
      </c>
      <c r="C75" s="220">
        <f t="shared" ca="1" si="228"/>
        <v>124299.67612056616</v>
      </c>
      <c r="D75" s="219">
        <f t="shared" ca="1" si="227"/>
        <v>1.0017021040389094</v>
      </c>
      <c r="G75" s="220">
        <f t="shared" si="229"/>
        <v>1552.3168445990646</v>
      </c>
      <c r="H75" s="219">
        <f t="shared" si="170"/>
        <v>0.99982281150025842</v>
      </c>
      <c r="K75" s="220">
        <f t="shared" si="230"/>
        <v>9676.5280738815854</v>
      </c>
      <c r="L75" s="219">
        <f t="shared" si="183"/>
        <v>1.0006134230899959</v>
      </c>
      <c r="O75" s="220">
        <f t="shared" si="231"/>
        <v>1076.5487329633938</v>
      </c>
      <c r="P75" s="219">
        <f t="shared" si="208"/>
        <v>1.0000496606019917</v>
      </c>
      <c r="Q75" s="569">
        <f t="shared" si="209"/>
        <v>15.288333333333339</v>
      </c>
      <c r="R75" s="570">
        <f t="shared" si="185"/>
        <v>1091.8370662967272</v>
      </c>
      <c r="U75" s="220">
        <f t="shared" si="232"/>
        <v>5</v>
      </c>
      <c r="V75" s="219">
        <f t="shared" si="171"/>
        <v>1</v>
      </c>
      <c r="W75" s="569">
        <f t="shared" si="187"/>
        <v>7.0200000000000005</v>
      </c>
      <c r="X75" s="570">
        <f t="shared" si="188"/>
        <v>12.02</v>
      </c>
      <c r="AA75" s="220">
        <f t="shared" si="233"/>
        <v>5</v>
      </c>
      <c r="AB75" s="219">
        <f t="shared" si="172"/>
        <v>1</v>
      </c>
      <c r="AC75" s="569">
        <f t="shared" si="190"/>
        <v>2.0012499999999998</v>
      </c>
      <c r="AD75" s="570">
        <f t="shared" si="191"/>
        <v>7.0012499999999998</v>
      </c>
      <c r="AG75" s="220">
        <f t="shared" si="234"/>
        <v>33693.326119586513</v>
      </c>
      <c r="AH75" s="219">
        <f t="shared" si="173"/>
        <v>1.0008525561429944</v>
      </c>
      <c r="AK75" s="220">
        <f t="shared" si="235"/>
        <v>226.88627420904282</v>
      </c>
      <c r="AL75" s="219">
        <f t="shared" si="174"/>
        <v>0.9985789646374017</v>
      </c>
      <c r="AO75" s="220">
        <f t="shared" si="236"/>
        <v>722.34166032834594</v>
      </c>
      <c r="AP75" s="219">
        <f t="shared" si="195"/>
        <v>0.9988425188228347</v>
      </c>
      <c r="AQ75" s="579"/>
      <c r="AT75" s="220">
        <f t="shared" ca="1" si="237"/>
        <v>48118.89929142232</v>
      </c>
      <c r="AU75" s="219">
        <f t="shared" ca="1" si="210"/>
        <v>1.0015894474232152</v>
      </c>
      <c r="AX75" s="220">
        <f t="shared" si="238"/>
        <v>2566.94959188542</v>
      </c>
      <c r="AY75" s="219">
        <f t="shared" si="175"/>
        <v>1.0011786516735524</v>
      </c>
      <c r="BB75" s="220">
        <f t="shared" si="239"/>
        <v>395.98268014792467</v>
      </c>
      <c r="BC75" s="219">
        <f t="shared" si="176"/>
        <v>1.0005439445652871</v>
      </c>
      <c r="BD75" s="569">
        <f t="shared" si="199"/>
        <v>10.647499999999996</v>
      </c>
      <c r="BE75" s="570">
        <f t="shared" si="200"/>
        <v>406.63018014792465</v>
      </c>
      <c r="BH75" s="220">
        <f t="shared" si="240"/>
        <v>3</v>
      </c>
      <c r="BI75" s="219">
        <f t="shared" si="177"/>
        <v>1</v>
      </c>
      <c r="BJ75" s="569">
        <f t="shared" si="202"/>
        <v>3.3341666666666683</v>
      </c>
      <c r="BK75" s="570">
        <f t="shared" si="203"/>
        <v>6.3341666666666683</v>
      </c>
      <c r="BN75" s="220">
        <f t="shared" si="241"/>
        <v>14369.576323561379</v>
      </c>
      <c r="BO75" s="219">
        <f t="shared" si="178"/>
        <v>1.0013675177910204</v>
      </c>
      <c r="BR75" s="220">
        <f t="shared" si="242"/>
        <v>47.212879688934308</v>
      </c>
      <c r="BS75" s="219">
        <f t="shared" si="179"/>
        <v>1.0010986157583504</v>
      </c>
      <c r="BV75" s="220">
        <f t="shared" si="243"/>
        <v>392.86106708374405</v>
      </c>
      <c r="BW75" s="219">
        <f t="shared" si="207"/>
        <v>1.0004295350216084</v>
      </c>
    </row>
    <row r="76" spans="1:75">
      <c r="A76" s="9">
        <f t="shared" si="168"/>
        <v>2027</v>
      </c>
      <c r="B76" s="9" t="s">
        <v>109</v>
      </c>
      <c r="C76" s="220">
        <f t="shared" ca="1" si="228"/>
        <v>124511.24710132609</v>
      </c>
      <c r="D76" s="219">
        <f t="shared" ca="1" si="227"/>
        <v>1.0017021040389094</v>
      </c>
      <c r="G76" s="220">
        <f t="shared" si="229"/>
        <v>1552.0417919062465</v>
      </c>
      <c r="H76" s="219">
        <f t="shared" si="170"/>
        <v>0.99982281150025842</v>
      </c>
      <c r="K76" s="220">
        <f t="shared" si="230"/>
        <v>9682.4638796330983</v>
      </c>
      <c r="L76" s="219">
        <f t="shared" si="183"/>
        <v>1.0006134230899959</v>
      </c>
      <c r="O76" s="220">
        <f t="shared" si="231"/>
        <v>1076.6021950215463</v>
      </c>
      <c r="P76" s="219">
        <f t="shared" si="208"/>
        <v>1.0000496606019917</v>
      </c>
      <c r="Q76" s="569">
        <f t="shared" si="209"/>
        <v>15.630000000000006</v>
      </c>
      <c r="R76" s="570">
        <f t="shared" si="185"/>
        <v>1092.2321950215464</v>
      </c>
      <c r="U76" s="220">
        <f t="shared" si="232"/>
        <v>5</v>
      </c>
      <c r="V76" s="219">
        <f t="shared" si="171"/>
        <v>1</v>
      </c>
      <c r="W76" s="569">
        <f t="shared" si="187"/>
        <v>7.0500000000000007</v>
      </c>
      <c r="X76" s="570">
        <f t="shared" si="188"/>
        <v>12.05</v>
      </c>
      <c r="AA76" s="220">
        <f t="shared" si="233"/>
        <v>5</v>
      </c>
      <c r="AB76" s="219">
        <f t="shared" si="172"/>
        <v>1</v>
      </c>
      <c r="AC76" s="569">
        <f t="shared" si="190"/>
        <v>2.1274999999999999</v>
      </c>
      <c r="AD76" s="570">
        <f t="shared" si="191"/>
        <v>7.1274999999999995</v>
      </c>
      <c r="AG76" s="220">
        <f t="shared" si="234"/>
        <v>33722.051571747681</v>
      </c>
      <c r="AH76" s="219">
        <f t="shared" si="173"/>
        <v>1.0008525561429944</v>
      </c>
      <c r="AK76" s="220">
        <f t="shared" si="235"/>
        <v>226.5638607901036</v>
      </c>
      <c r="AL76" s="219">
        <f t="shared" si="174"/>
        <v>0.9985789646374017</v>
      </c>
      <c r="AO76" s="220">
        <f t="shared" si="236"/>
        <v>721.50556345303357</v>
      </c>
      <c r="AP76" s="219">
        <f t="shared" si="195"/>
        <v>0.9988425188228347</v>
      </c>
      <c r="AQ76" s="579"/>
      <c r="AT76" s="220">
        <f t="shared" ca="1" si="237"/>
        <v>48195.381751909023</v>
      </c>
      <c r="AU76" s="219">
        <f t="shared" ca="1" si="210"/>
        <v>1.0015894474232152</v>
      </c>
      <c r="AX76" s="220">
        <f t="shared" si="238"/>
        <v>2569.9751313178203</v>
      </c>
      <c r="AY76" s="219">
        <f t="shared" si="175"/>
        <v>1.0011786516735524</v>
      </c>
      <c r="BB76" s="220">
        <f t="shared" si="239"/>
        <v>396.19807277473893</v>
      </c>
      <c r="BC76" s="219">
        <f t="shared" si="176"/>
        <v>1.0005439445652871</v>
      </c>
      <c r="BD76" s="569">
        <f t="shared" si="199"/>
        <v>10.879999999999995</v>
      </c>
      <c r="BE76" s="570">
        <f t="shared" si="200"/>
        <v>407.07807277473893</v>
      </c>
      <c r="BH76" s="220">
        <f t="shared" si="240"/>
        <v>3</v>
      </c>
      <c r="BI76" s="219">
        <f t="shared" si="177"/>
        <v>1</v>
      </c>
      <c r="BJ76" s="569">
        <f t="shared" si="202"/>
        <v>3.3550000000000018</v>
      </c>
      <c r="BK76" s="570">
        <f t="shared" si="203"/>
        <v>6.3550000000000022</v>
      </c>
      <c r="BN76" s="220">
        <f t="shared" si="241"/>
        <v>14389.226974833275</v>
      </c>
      <c r="BO76" s="219">
        <f t="shared" si="178"/>
        <v>1.0013675177910204</v>
      </c>
      <c r="BR76" s="220">
        <f t="shared" si="242"/>
        <v>47.264748502557673</v>
      </c>
      <c r="BS76" s="219">
        <f t="shared" si="179"/>
        <v>1.0010986157583504</v>
      </c>
      <c r="BV76" s="220">
        <f t="shared" si="243"/>
        <v>393.02981467068292</v>
      </c>
      <c r="BW76" s="219">
        <f t="shared" si="207"/>
        <v>1.0004295350216084</v>
      </c>
    </row>
    <row r="77" spans="1:75">
      <c r="A77" s="9">
        <f t="shared" si="168"/>
        <v>2027</v>
      </c>
      <c r="B77" s="9" t="s">
        <v>110</v>
      </c>
      <c r="C77" s="220">
        <f t="shared" ca="1" si="228"/>
        <v>124723.17819790691</v>
      </c>
      <c r="D77" s="219">
        <f t="shared" ca="1" si="227"/>
        <v>1.0017021040389094</v>
      </c>
      <c r="G77" s="220">
        <f t="shared" si="229"/>
        <v>1551.7667879496025</v>
      </c>
      <c r="H77" s="219">
        <f t="shared" si="170"/>
        <v>0.99982281150025842</v>
      </c>
      <c r="K77" s="220">
        <f t="shared" si="230"/>
        <v>9688.4033265449161</v>
      </c>
      <c r="L77" s="219">
        <f t="shared" si="183"/>
        <v>1.0006134230899959</v>
      </c>
      <c r="O77" s="220">
        <f t="shared" si="231"/>
        <v>1076.6556597346566</v>
      </c>
      <c r="P77" s="219">
        <f t="shared" si="208"/>
        <v>1.0000496606019917</v>
      </c>
      <c r="Q77" s="569">
        <f t="shared" si="209"/>
        <v>15.971666666666673</v>
      </c>
      <c r="R77" s="570">
        <f t="shared" si="185"/>
        <v>1092.6273264013232</v>
      </c>
      <c r="U77" s="220">
        <f t="shared" si="232"/>
        <v>5</v>
      </c>
      <c r="V77" s="219">
        <f t="shared" si="171"/>
        <v>1</v>
      </c>
      <c r="W77" s="569">
        <f t="shared" si="187"/>
        <v>7.080000000000001</v>
      </c>
      <c r="X77" s="570">
        <f t="shared" si="188"/>
        <v>12.080000000000002</v>
      </c>
      <c r="AA77" s="220">
        <f t="shared" si="233"/>
        <v>5</v>
      </c>
      <c r="AB77" s="219">
        <f t="shared" si="172"/>
        <v>1</v>
      </c>
      <c r="AC77" s="569">
        <f t="shared" si="190"/>
        <v>2.2537500000000001</v>
      </c>
      <c r="AD77" s="570">
        <f t="shared" si="191"/>
        <v>7.2537500000000001</v>
      </c>
      <c r="AG77" s="220">
        <f t="shared" si="234"/>
        <v>33750.801513969549</v>
      </c>
      <c r="AH77" s="219">
        <f t="shared" si="173"/>
        <v>1.0008525561429944</v>
      </c>
      <c r="AK77" s="220">
        <f t="shared" si="235"/>
        <v>226.24190553203408</v>
      </c>
      <c r="AL77" s="219">
        <f t="shared" si="174"/>
        <v>0.99857896463740181</v>
      </c>
      <c r="AO77" s="220">
        <f t="shared" si="236"/>
        <v>720.67043434411664</v>
      </c>
      <c r="AP77" s="219">
        <f t="shared" si="195"/>
        <v>0.9988425188228347</v>
      </c>
      <c r="AQ77" s="579"/>
      <c r="AT77" s="220">
        <f t="shared" ca="1" si="237"/>
        <v>48271.985777245471</v>
      </c>
      <c r="AU77" s="219">
        <f t="shared" ca="1" si="210"/>
        <v>1.0015894474232152</v>
      </c>
      <c r="AX77" s="220">
        <f t="shared" si="238"/>
        <v>2573.0042368073359</v>
      </c>
      <c r="AY77" s="219">
        <f t="shared" si="175"/>
        <v>1.0011786516735524</v>
      </c>
      <c r="BB77" s="220">
        <f t="shared" si="239"/>
        <v>396.41358256320194</v>
      </c>
      <c r="BC77" s="219">
        <f t="shared" si="176"/>
        <v>1.0005439445652871</v>
      </c>
      <c r="BD77" s="569">
        <f t="shared" si="199"/>
        <v>11.112499999999995</v>
      </c>
      <c r="BE77" s="570">
        <f t="shared" si="200"/>
        <v>407.52608256320195</v>
      </c>
      <c r="BH77" s="220">
        <f t="shared" si="240"/>
        <v>3</v>
      </c>
      <c r="BI77" s="219">
        <f t="shared" si="177"/>
        <v>1</v>
      </c>
      <c r="BJ77" s="569">
        <f t="shared" si="202"/>
        <v>3.3758333333333352</v>
      </c>
      <c r="BK77" s="570">
        <f t="shared" si="203"/>
        <v>6.3758333333333352</v>
      </c>
      <c r="BN77" s="220">
        <f t="shared" si="241"/>
        <v>14408.904498720391</v>
      </c>
      <c r="BO77" s="219">
        <f t="shared" si="178"/>
        <v>1.0013675177910204</v>
      </c>
      <c r="BR77" s="220">
        <f t="shared" si="242"/>
        <v>47.316674300077047</v>
      </c>
      <c r="BS77" s="219">
        <f t="shared" si="179"/>
        <v>1.0010986157583504</v>
      </c>
      <c r="BV77" s="220">
        <f t="shared" si="243"/>
        <v>393.19863474062021</v>
      </c>
      <c r="BW77" s="219">
        <f t="shared" si="207"/>
        <v>1.0004295350216084</v>
      </c>
    </row>
    <row r="78" spans="1:75">
      <c r="A78" s="9">
        <f t="shared" si="168"/>
        <v>2027</v>
      </c>
      <c r="B78" s="9" t="s">
        <v>111</v>
      </c>
      <c r="C78" s="220">
        <f t="shared" ca="1" si="228"/>
        <v>124935.47002326317</v>
      </c>
      <c r="D78" s="219">
        <f t="shared" ca="1" si="227"/>
        <v>1.0017021040389094</v>
      </c>
      <c r="G78" s="220">
        <f t="shared" si="229"/>
        <v>1551.4918327204969</v>
      </c>
      <c r="H78" s="219">
        <f t="shared" si="170"/>
        <v>0.99982281150025842</v>
      </c>
      <c r="K78" s="220">
        <f t="shared" si="230"/>
        <v>9694.3464168506125</v>
      </c>
      <c r="L78" s="219">
        <f t="shared" si="183"/>
        <v>1.0006134230899959</v>
      </c>
      <c r="O78" s="220">
        <f t="shared" si="231"/>
        <v>1076.7091271028569</v>
      </c>
      <c r="P78" s="219">
        <f t="shared" si="208"/>
        <v>1.0000496606019917</v>
      </c>
      <c r="Q78" s="569">
        <f t="shared" si="209"/>
        <v>16.31333333333334</v>
      </c>
      <c r="R78" s="570">
        <f t="shared" si="185"/>
        <v>1093.0224604361902</v>
      </c>
      <c r="U78" s="220">
        <f t="shared" si="232"/>
        <v>5</v>
      </c>
      <c r="V78" s="219">
        <f t="shared" si="171"/>
        <v>1</v>
      </c>
      <c r="W78" s="569">
        <f t="shared" si="187"/>
        <v>7.1100000000000012</v>
      </c>
      <c r="X78" s="570">
        <f t="shared" si="188"/>
        <v>12.110000000000001</v>
      </c>
      <c r="AA78" s="220">
        <f t="shared" si="233"/>
        <v>5</v>
      </c>
      <c r="AB78" s="219">
        <f t="shared" si="172"/>
        <v>1</v>
      </c>
      <c r="AC78" s="569">
        <f t="shared" si="190"/>
        <v>2.3800000000000003</v>
      </c>
      <c r="AD78" s="570">
        <f t="shared" si="191"/>
        <v>7.3800000000000008</v>
      </c>
      <c r="AG78" s="220">
        <f t="shared" si="234"/>
        <v>33779.57596713127</v>
      </c>
      <c r="AH78" s="219">
        <f t="shared" si="173"/>
        <v>1.0008525561429944</v>
      </c>
      <c r="AK78" s="220">
        <f t="shared" si="235"/>
        <v>225.92040778377142</v>
      </c>
      <c r="AL78" s="219">
        <f t="shared" si="174"/>
        <v>0.99857896463740159</v>
      </c>
      <c r="AO78" s="220">
        <f t="shared" si="236"/>
        <v>719.83627188142384</v>
      </c>
      <c r="AP78" s="219">
        <f t="shared" si="195"/>
        <v>0.99884251882283481</v>
      </c>
      <c r="AQ78" s="579"/>
      <c r="AT78" s="220">
        <f t="shared" ca="1" si="237"/>
        <v>48348.711560652591</v>
      </c>
      <c r="AU78" s="219">
        <f t="shared" ca="1" si="210"/>
        <v>1.0015894474232152</v>
      </c>
      <c r="AX78" s="220">
        <f t="shared" si="238"/>
        <v>2576.036912557106</v>
      </c>
      <c r="AY78" s="219">
        <f t="shared" si="175"/>
        <v>1.0011786516735524</v>
      </c>
      <c r="BB78" s="220">
        <f t="shared" si="239"/>
        <v>396.62920957704318</v>
      </c>
      <c r="BC78" s="219">
        <f t="shared" si="176"/>
        <v>1.0005439445652871</v>
      </c>
      <c r="BD78" s="569">
        <f t="shared" si="199"/>
        <v>11.344999999999995</v>
      </c>
      <c r="BE78" s="570">
        <f t="shared" si="200"/>
        <v>407.97420957704315</v>
      </c>
      <c r="BH78" s="220">
        <f t="shared" si="240"/>
        <v>3</v>
      </c>
      <c r="BI78" s="219">
        <f t="shared" si="177"/>
        <v>1</v>
      </c>
      <c r="BJ78" s="569">
        <f t="shared" si="202"/>
        <v>3.3966666666666687</v>
      </c>
      <c r="BK78" s="570">
        <f t="shared" si="203"/>
        <v>6.3966666666666683</v>
      </c>
      <c r="BN78" s="220">
        <f t="shared" si="241"/>
        <v>14428.608931971505</v>
      </c>
      <c r="BO78" s="219">
        <f t="shared" si="178"/>
        <v>1.0013675177910204</v>
      </c>
      <c r="BR78" s="220">
        <f t="shared" si="242"/>
        <v>47.368657144095842</v>
      </c>
      <c r="BS78" s="219">
        <f t="shared" si="179"/>
        <v>1.0010986157583504</v>
      </c>
      <c r="BV78" s="220">
        <f t="shared" si="243"/>
        <v>393.36752732468989</v>
      </c>
      <c r="BW78" s="219">
        <f t="shared" si="207"/>
        <v>1.0004295350216084</v>
      </c>
    </row>
    <row r="79" spans="1:75">
      <c r="A79" s="9">
        <f t="shared" si="168"/>
        <v>2027</v>
      </c>
      <c r="B79" s="9" t="s">
        <v>384</v>
      </c>
      <c r="C79" s="220">
        <f t="shared" ca="1" si="228"/>
        <v>125148.12319139281</v>
      </c>
      <c r="D79" s="219">
        <f t="shared" ca="1" si="227"/>
        <v>1.0017021040389094</v>
      </c>
      <c r="G79" s="220">
        <f t="shared" si="229"/>
        <v>1551.2169262102957</v>
      </c>
      <c r="H79" s="219">
        <f t="shared" si="170"/>
        <v>0.99982281150025831</v>
      </c>
      <c r="K79" s="220">
        <f t="shared" si="230"/>
        <v>9700.2931527851269</v>
      </c>
      <c r="L79" s="219">
        <f t="shared" si="183"/>
        <v>1.0006134230899959</v>
      </c>
      <c r="O79" s="220">
        <f t="shared" si="231"/>
        <v>1076.7625971262787</v>
      </c>
      <c r="P79" s="219">
        <f t="shared" si="208"/>
        <v>1.0000496606019917</v>
      </c>
      <c r="Q79" s="569">
        <f t="shared" si="209"/>
        <v>16.655000000000005</v>
      </c>
      <c r="R79" s="570">
        <f t="shared" si="185"/>
        <v>1093.4175971262787</v>
      </c>
      <c r="U79" s="220">
        <f t="shared" si="232"/>
        <v>5</v>
      </c>
      <c r="V79" s="219">
        <f t="shared" si="171"/>
        <v>1</v>
      </c>
      <c r="W79" s="569">
        <f t="shared" si="187"/>
        <v>7.1400000000000015</v>
      </c>
      <c r="X79" s="570">
        <f t="shared" si="188"/>
        <v>12.14</v>
      </c>
      <c r="AA79" s="220">
        <f t="shared" si="233"/>
        <v>5</v>
      </c>
      <c r="AB79" s="219">
        <f t="shared" si="172"/>
        <v>1</v>
      </c>
      <c r="AC79" s="569">
        <f t="shared" si="190"/>
        <v>2.5062500000000005</v>
      </c>
      <c r="AD79" s="570">
        <f t="shared" si="191"/>
        <v>7.5062500000000005</v>
      </c>
      <c r="AG79" s="220">
        <f t="shared" si="234"/>
        <v>33808.374952129794</v>
      </c>
      <c r="AH79" s="219">
        <f t="shared" si="173"/>
        <v>1.0008525561429944</v>
      </c>
      <c r="AK79" s="220">
        <f t="shared" si="235"/>
        <v>225.59936689517806</v>
      </c>
      <c r="AL79" s="219">
        <f t="shared" si="174"/>
        <v>0.9985789646374017</v>
      </c>
      <c r="AO79" s="220">
        <f t="shared" si="236"/>
        <v>719.00307494608023</v>
      </c>
      <c r="AP79" s="219">
        <f t="shared" si="195"/>
        <v>0.9988425188228347</v>
      </c>
      <c r="AQ79" s="579"/>
      <c r="AT79" s="220">
        <f t="shared" ca="1" si="237"/>
        <v>48425.559295658444</v>
      </c>
      <c r="AU79" s="219">
        <f t="shared" ca="1" si="210"/>
        <v>1.0015894474232152</v>
      </c>
      <c r="AX79" s="220">
        <f t="shared" si="238"/>
        <v>2579.0731627752239</v>
      </c>
      <c r="AY79" s="219">
        <f t="shared" si="175"/>
        <v>1.0011786516735524</v>
      </c>
      <c r="BB79" s="220">
        <f t="shared" si="239"/>
        <v>396.84495388002671</v>
      </c>
      <c r="BC79" s="219">
        <f t="shared" si="176"/>
        <v>1.0005439445652871</v>
      </c>
      <c r="BD79" s="569">
        <f t="shared" si="199"/>
        <v>11.577499999999995</v>
      </c>
      <c r="BE79" s="570">
        <f t="shared" si="200"/>
        <v>408.42245388002669</v>
      </c>
      <c r="BH79" s="220">
        <f t="shared" si="240"/>
        <v>3</v>
      </c>
      <c r="BI79" s="219">
        <f t="shared" si="177"/>
        <v>1</v>
      </c>
      <c r="BJ79" s="569">
        <f t="shared" si="202"/>
        <v>3.4175000000000022</v>
      </c>
      <c r="BK79" s="570">
        <f t="shared" si="203"/>
        <v>6.4175000000000022</v>
      </c>
      <c r="BN79" s="220">
        <f t="shared" si="241"/>
        <v>14448.340311385651</v>
      </c>
      <c r="BO79" s="219">
        <f t="shared" si="178"/>
        <v>1.0013675177910204</v>
      </c>
      <c r="BR79" s="220">
        <f t="shared" si="242"/>
        <v>47.420697097286244</v>
      </c>
      <c r="BS79" s="219">
        <f t="shared" si="179"/>
        <v>1.0010986157583504</v>
      </c>
      <c r="BV79" s="220">
        <f t="shared" si="243"/>
        <v>393.53649245403932</v>
      </c>
      <c r="BW79" s="219">
        <f t="shared" si="207"/>
        <v>1.0004295350216084</v>
      </c>
    </row>
    <row r="80" spans="1:75">
      <c r="A80" s="9">
        <f t="shared" si="168"/>
        <v>2027</v>
      </c>
      <c r="B80" s="9" t="s">
        <v>113</v>
      </c>
      <c r="C80" s="220">
        <f t="shared" ca="1" si="228"/>
        <v>125361.1383173388</v>
      </c>
      <c r="D80" s="219">
        <f t="shared" ca="1" si="227"/>
        <v>1.0017021040389094</v>
      </c>
      <c r="G80" s="220">
        <f t="shared" si="229"/>
        <v>1550.9420684103668</v>
      </c>
      <c r="H80" s="219">
        <f t="shared" si="170"/>
        <v>0.99982281150025842</v>
      </c>
      <c r="K80" s="220">
        <f t="shared" si="230"/>
        <v>9706.2435365847741</v>
      </c>
      <c r="L80" s="219">
        <f t="shared" si="183"/>
        <v>1.0006134230899959</v>
      </c>
      <c r="O80" s="220">
        <f t="shared" si="231"/>
        <v>1076.8160698050542</v>
      </c>
      <c r="P80" s="219">
        <f t="shared" si="208"/>
        <v>1.0000496606019917</v>
      </c>
      <c r="Q80" s="569">
        <f t="shared" si="209"/>
        <v>16.99666666666667</v>
      </c>
      <c r="R80" s="570">
        <f t="shared" si="185"/>
        <v>1093.8127364717209</v>
      </c>
      <c r="U80" s="220">
        <f t="shared" si="232"/>
        <v>5</v>
      </c>
      <c r="V80" s="219">
        <f t="shared" si="171"/>
        <v>1</v>
      </c>
      <c r="W80" s="569">
        <f t="shared" si="187"/>
        <v>7.1700000000000017</v>
      </c>
      <c r="X80" s="570">
        <f t="shared" si="188"/>
        <v>12.170000000000002</v>
      </c>
      <c r="AA80" s="220">
        <f t="shared" si="233"/>
        <v>5</v>
      </c>
      <c r="AB80" s="219">
        <f t="shared" si="172"/>
        <v>1</v>
      </c>
      <c r="AC80" s="569">
        <f t="shared" si="190"/>
        <v>2.6325000000000007</v>
      </c>
      <c r="AD80" s="570">
        <f t="shared" si="191"/>
        <v>7.6325000000000003</v>
      </c>
      <c r="AG80" s="220">
        <f t="shared" si="234"/>
        <v>33837.198489879891</v>
      </c>
      <c r="AH80" s="219">
        <f t="shared" si="173"/>
        <v>1.0008525561429944</v>
      </c>
      <c r="AK80" s="220">
        <f t="shared" si="235"/>
        <v>225.27878221704023</v>
      </c>
      <c r="AL80" s="219">
        <f t="shared" si="174"/>
        <v>0.9985789646374017</v>
      </c>
      <c r="AO80" s="220">
        <f t="shared" si="236"/>
        <v>718.17084242050612</v>
      </c>
      <c r="AP80" s="219">
        <f t="shared" si="195"/>
        <v>0.99884251882283459</v>
      </c>
      <c r="AQ80" s="579"/>
      <c r="AT80" s="220">
        <f t="shared" ca="1" si="237"/>
        <v>48502.52917609868</v>
      </c>
      <c r="AU80" s="219">
        <f t="shared" ca="1" si="210"/>
        <v>1.0015894474232152</v>
      </c>
      <c r="AX80" s="220">
        <f t="shared" si="238"/>
        <v>2582.1129916747427</v>
      </c>
      <c r="AY80" s="219">
        <f t="shared" si="175"/>
        <v>1.0011786516735524</v>
      </c>
      <c r="BB80" s="220">
        <f t="shared" si="239"/>
        <v>397.06081553595135</v>
      </c>
      <c r="BC80" s="219">
        <f t="shared" si="176"/>
        <v>1.0005439445652871</v>
      </c>
      <c r="BD80" s="569">
        <f t="shared" si="199"/>
        <v>11.809999999999995</v>
      </c>
      <c r="BE80" s="570">
        <f t="shared" si="200"/>
        <v>408.87081553595135</v>
      </c>
      <c r="BH80" s="220">
        <f t="shared" si="240"/>
        <v>3</v>
      </c>
      <c r="BI80" s="219">
        <f t="shared" si="177"/>
        <v>1</v>
      </c>
      <c r="BJ80" s="569">
        <f t="shared" si="202"/>
        <v>3.4383333333333357</v>
      </c>
      <c r="BK80" s="570">
        <f t="shared" si="203"/>
        <v>6.4383333333333361</v>
      </c>
      <c r="BN80" s="220">
        <f t="shared" si="241"/>
        <v>14468.098673812188</v>
      </c>
      <c r="BO80" s="219">
        <f t="shared" si="178"/>
        <v>1.0013675177910204</v>
      </c>
      <c r="BR80" s="220">
        <f t="shared" si="242"/>
        <v>47.472794222389282</v>
      </c>
      <c r="BS80" s="219">
        <f t="shared" si="179"/>
        <v>1.0010986157583504</v>
      </c>
      <c r="BV80" s="220">
        <f t="shared" si="243"/>
        <v>393.70553015982927</v>
      </c>
      <c r="BW80" s="219">
        <f t="shared" si="207"/>
        <v>1.0004295350216084</v>
      </c>
    </row>
    <row r="81" spans="1:75">
      <c r="A81" s="9">
        <f t="shared" si="168"/>
        <v>2027</v>
      </c>
      <c r="B81" s="9" t="s">
        <v>114</v>
      </c>
      <c r="C81" s="220">
        <f t="shared" ca="1" si="228"/>
        <v>125574.51601719102</v>
      </c>
      <c r="D81" s="219">
        <f t="shared" ca="1" si="227"/>
        <v>1.0017021040389094</v>
      </c>
      <c r="G81" s="220">
        <f t="shared" si="229"/>
        <v>1550.6672593120791</v>
      </c>
      <c r="H81" s="219">
        <f t="shared" si="170"/>
        <v>0.99982281150025842</v>
      </c>
      <c r="K81" s="220">
        <f t="shared" si="230"/>
        <v>9712.1975704872384</v>
      </c>
      <c r="L81" s="219">
        <f t="shared" si="183"/>
        <v>1.0006134230899959</v>
      </c>
      <c r="O81" s="220">
        <f t="shared" si="231"/>
        <v>1076.8695451393151</v>
      </c>
      <c r="P81" s="219">
        <f t="shared" si="208"/>
        <v>1.0000496606019917</v>
      </c>
      <c r="Q81" s="569">
        <f t="shared" si="209"/>
        <v>17.338333333333335</v>
      </c>
      <c r="R81" s="570">
        <f t="shared" si="185"/>
        <v>1094.2078784726484</v>
      </c>
      <c r="U81" s="220">
        <f t="shared" si="232"/>
        <v>5</v>
      </c>
      <c r="V81" s="219">
        <f t="shared" si="171"/>
        <v>1</v>
      </c>
      <c r="W81" s="569">
        <f t="shared" si="187"/>
        <v>7.200000000000002</v>
      </c>
      <c r="X81" s="570">
        <f t="shared" si="188"/>
        <v>12.200000000000003</v>
      </c>
      <c r="AA81" s="220">
        <f t="shared" si="233"/>
        <v>5</v>
      </c>
      <c r="AB81" s="219">
        <f t="shared" si="172"/>
        <v>1</v>
      </c>
      <c r="AC81" s="569">
        <f t="shared" si="190"/>
        <v>2.7587500000000009</v>
      </c>
      <c r="AD81" s="570">
        <f t="shared" si="191"/>
        <v>7.7587500000000009</v>
      </c>
      <c r="AG81" s="220">
        <f t="shared" si="234"/>
        <v>33866.046601314156</v>
      </c>
      <c r="AH81" s="219">
        <f t="shared" si="173"/>
        <v>1.0008525561429944</v>
      </c>
      <c r="AK81" s="220">
        <f t="shared" si="235"/>
        <v>224.95865310106674</v>
      </c>
      <c r="AL81" s="219">
        <f t="shared" si="174"/>
        <v>0.9985789646374017</v>
      </c>
      <c r="AO81" s="220">
        <f t="shared" si="236"/>
        <v>717.33957318841544</v>
      </c>
      <c r="AP81" s="219">
        <f t="shared" si="195"/>
        <v>0.9988425188228347</v>
      </c>
      <c r="AQ81" s="579"/>
      <c r="AT81" s="220">
        <f t="shared" ca="1" si="237"/>
        <v>48579.621396117051</v>
      </c>
      <c r="AU81" s="219">
        <f t="shared" ca="1" si="210"/>
        <v>1.0015894474232152</v>
      </c>
      <c r="AX81" s="220">
        <f t="shared" si="238"/>
        <v>2585.1564034736816</v>
      </c>
      <c r="AY81" s="219">
        <f t="shared" si="175"/>
        <v>1.0011786516735524</v>
      </c>
      <c r="BB81" s="220">
        <f t="shared" si="239"/>
        <v>397.27679460865056</v>
      </c>
      <c r="BC81" s="219">
        <f t="shared" si="176"/>
        <v>1.0005439445652871</v>
      </c>
      <c r="BD81" s="569">
        <f t="shared" si="199"/>
        <v>12.042499999999995</v>
      </c>
      <c r="BE81" s="570">
        <f t="shared" si="200"/>
        <v>409.31929460865058</v>
      </c>
      <c r="BH81" s="220">
        <f t="shared" si="240"/>
        <v>3</v>
      </c>
      <c r="BI81" s="219">
        <f t="shared" si="177"/>
        <v>1</v>
      </c>
      <c r="BJ81" s="569">
        <f t="shared" si="202"/>
        <v>3.4591666666666692</v>
      </c>
      <c r="BK81" s="570">
        <f t="shared" si="203"/>
        <v>6.4591666666666692</v>
      </c>
      <c r="BN81" s="220">
        <f t="shared" si="241"/>
        <v>14487.884056150866</v>
      </c>
      <c r="BO81" s="219">
        <f t="shared" si="178"/>
        <v>1.0013675177910204</v>
      </c>
      <c r="BR81" s="220">
        <f t="shared" si="242"/>
        <v>47.524948582214925</v>
      </c>
      <c r="BS81" s="219">
        <f t="shared" si="179"/>
        <v>1.0010986157583504</v>
      </c>
      <c r="BV81" s="220">
        <f t="shared" si="243"/>
        <v>393.8746404732338</v>
      </c>
      <c r="BW81" s="219">
        <f t="shared" si="207"/>
        <v>1.0004295350216084</v>
      </c>
    </row>
    <row r="82" spans="1:75">
      <c r="A82" s="9">
        <f t="shared" si="168"/>
        <v>2027</v>
      </c>
      <c r="B82" s="9" t="s">
        <v>115</v>
      </c>
      <c r="C82" s="220">
        <f t="shared" ca="1" si="228"/>
        <v>125788.25690808798</v>
      </c>
      <c r="D82" s="219">
        <f t="shared" ca="1" si="227"/>
        <v>1.0017021040389094</v>
      </c>
      <c r="G82" s="220">
        <f t="shared" si="229"/>
        <v>1550.3924989068032</v>
      </c>
      <c r="H82" s="219">
        <f t="shared" si="170"/>
        <v>0.99982281150025842</v>
      </c>
      <c r="K82" s="220">
        <f t="shared" si="230"/>
        <v>9718.1552567315775</v>
      </c>
      <c r="L82" s="219">
        <f t="shared" si="183"/>
        <v>1.0006134230899959</v>
      </c>
      <c r="O82" s="220">
        <f t="shared" si="231"/>
        <v>1076.9230231291933</v>
      </c>
      <c r="P82" s="219">
        <f t="shared" si="208"/>
        <v>1.0000496606019917</v>
      </c>
      <c r="Q82" s="569">
        <f t="shared" si="209"/>
        <v>17.68</v>
      </c>
      <c r="R82" s="570">
        <f t="shared" si="185"/>
        <v>1094.6030231291934</v>
      </c>
      <c r="U82" s="220">
        <f t="shared" si="232"/>
        <v>5</v>
      </c>
      <c r="V82" s="219">
        <f t="shared" si="171"/>
        <v>1</v>
      </c>
      <c r="W82" s="569">
        <f t="shared" si="187"/>
        <v>7.2300000000000022</v>
      </c>
      <c r="X82" s="570">
        <f t="shared" si="188"/>
        <v>12.230000000000002</v>
      </c>
      <c r="AA82" s="220">
        <f t="shared" si="233"/>
        <v>5</v>
      </c>
      <c r="AB82" s="219">
        <f t="shared" si="172"/>
        <v>1</v>
      </c>
      <c r="AC82" s="569">
        <f t="shared" si="190"/>
        <v>2.8850000000000011</v>
      </c>
      <c r="AD82" s="570">
        <f t="shared" si="191"/>
        <v>7.8850000000000016</v>
      </c>
      <c r="AG82" s="220">
        <f t="shared" si="234"/>
        <v>33894.919307383039</v>
      </c>
      <c r="AH82" s="219">
        <f t="shared" si="173"/>
        <v>1.0008525561429944</v>
      </c>
      <c r="AK82" s="220">
        <f t="shared" si="235"/>
        <v>224.63897889988763</v>
      </c>
      <c r="AL82" s="219">
        <f t="shared" si="174"/>
        <v>0.9985789646374017</v>
      </c>
      <c r="AO82" s="220">
        <f t="shared" si="236"/>
        <v>716.50926613481408</v>
      </c>
      <c r="AP82" s="219">
        <f t="shared" si="195"/>
        <v>0.9988425188228347</v>
      </c>
      <c r="AQ82" s="579"/>
      <c r="AT82" s="220">
        <f t="shared" ca="1" si="237"/>
        <v>48656.83615016588</v>
      </c>
      <c r="AU82" s="219">
        <f t="shared" ca="1" si="210"/>
        <v>1.0015894474232152</v>
      </c>
      <c r="AX82" s="220">
        <f t="shared" si="238"/>
        <v>2588.2034023950305</v>
      </c>
      <c r="AY82" s="219">
        <f t="shared" si="175"/>
        <v>1.0011786516735524</v>
      </c>
      <c r="BB82" s="220">
        <f t="shared" si="239"/>
        <v>397.49289116199259</v>
      </c>
      <c r="BC82" s="219">
        <f t="shared" si="176"/>
        <v>1.0005439445652871</v>
      </c>
      <c r="BD82" s="569">
        <f t="shared" si="199"/>
        <v>12.274999999999995</v>
      </c>
      <c r="BE82" s="570">
        <f t="shared" si="200"/>
        <v>409.76789116199257</v>
      </c>
      <c r="BH82" s="220">
        <f t="shared" si="240"/>
        <v>3</v>
      </c>
      <c r="BI82" s="219">
        <f t="shared" si="177"/>
        <v>1</v>
      </c>
      <c r="BJ82" s="569">
        <f t="shared" si="202"/>
        <v>3.4800000000000026</v>
      </c>
      <c r="BK82" s="570">
        <f t="shared" si="203"/>
        <v>6.4800000000000022</v>
      </c>
      <c r="BN82" s="220">
        <f t="shared" si="241"/>
        <v>14507.696495351893</v>
      </c>
      <c r="BO82" s="219">
        <f t="shared" si="178"/>
        <v>1.0013675177910204</v>
      </c>
      <c r="BR82" s="220">
        <f t="shared" si="242"/>
        <v>47.57716023964214</v>
      </c>
      <c r="BS82" s="219">
        <f t="shared" si="179"/>
        <v>1.0010986157583504</v>
      </c>
      <c r="BV82" s="220">
        <f t="shared" si="243"/>
        <v>394.04382342544045</v>
      </c>
      <c r="BW82" s="219">
        <f t="shared" si="207"/>
        <v>1.0004295350216084</v>
      </c>
    </row>
    <row r="83" spans="1:75">
      <c r="A83" s="9">
        <f t="shared" si="168"/>
        <v>2028</v>
      </c>
      <c r="B83" s="9" t="s">
        <v>104</v>
      </c>
      <c r="C83" s="220">
        <f ca="1">C18/D18^(5.50989446627246/12)</f>
        <v>125946.41300718489</v>
      </c>
      <c r="D83" s="219">
        <f t="shared" ca="1" si="227"/>
        <v>1.0012573200629729</v>
      </c>
      <c r="G83" s="220">
        <f>G18/H18^(5.50989446627246/12)</f>
        <v>1550.1177871859104</v>
      </c>
      <c r="H83" s="219">
        <f t="shared" si="170"/>
        <v>0.99982281150025787</v>
      </c>
      <c r="K83" s="220">
        <f>K18/L18^(5.50989446627246/12)</f>
        <v>9724.1165975582207</v>
      </c>
      <c r="L83" s="219">
        <f t="shared" si="183"/>
        <v>1.0006134230899959</v>
      </c>
      <c r="O83" s="220">
        <f>O18/P18^(5.50989446627246/12)</f>
        <v>1076.9765037748218</v>
      </c>
      <c r="P83" s="219">
        <f t="shared" si="208"/>
        <v>1.0000496606019929</v>
      </c>
      <c r="Q83" s="569">
        <f t="shared" si="209"/>
        <v>17.762499999999999</v>
      </c>
      <c r="R83" s="570">
        <f t="shared" si="185"/>
        <v>1094.7390037748219</v>
      </c>
      <c r="U83" s="220">
        <f>U18/V18^(5.50989446627246/12)</f>
        <v>5</v>
      </c>
      <c r="V83" s="219">
        <f t="shared" si="171"/>
        <v>1</v>
      </c>
      <c r="W83" s="569">
        <f t="shared" si="187"/>
        <v>7.2208333333333359</v>
      </c>
      <c r="X83" s="570">
        <f t="shared" si="188"/>
        <v>12.220833333333335</v>
      </c>
      <c r="AA83" s="220">
        <f>AA18/AB18^(5.50989446627246/12)</f>
        <v>5</v>
      </c>
      <c r="AB83" s="219">
        <f t="shared" si="172"/>
        <v>1</v>
      </c>
      <c r="AC83" s="569">
        <f t="shared" si="190"/>
        <v>2.9545833333333347</v>
      </c>
      <c r="AD83" s="570">
        <f t="shared" si="191"/>
        <v>7.9545833333333347</v>
      </c>
      <c r="AG83" s="220">
        <f>AG18/AH18^(5.50989446627246/12)</f>
        <v>33923.816629054876</v>
      </c>
      <c r="AH83" s="219">
        <f t="shared" si="173"/>
        <v>1.0008525561429953</v>
      </c>
      <c r="AK83" s="220">
        <f>AK18/AL18^(5.50989446627246/12)</f>
        <v>224.31975896705305</v>
      </c>
      <c r="AL83" s="219">
        <f t="shared" si="174"/>
        <v>0.99857896463740226</v>
      </c>
      <c r="AO83" s="220">
        <f>AO18/AP18^(5.50989446627246/12)</f>
        <v>715.67992014599884</v>
      </c>
      <c r="AP83" s="219">
        <f t="shared" si="195"/>
        <v>0.99884251882283515</v>
      </c>
      <c r="AQ83" s="579"/>
      <c r="AT83" s="220">
        <f ca="1">AT18/AU18^(5.50989446627246/12)</f>
        <v>48719.43157301774</v>
      </c>
      <c r="AU83" s="219">
        <f t="shared" ca="1" si="210"/>
        <v>1.0012864671812749</v>
      </c>
      <c r="AX83" s="220">
        <f>AX18/AY18^(5.50989446627246/12)</f>
        <v>2591.253992666761</v>
      </c>
      <c r="AY83" s="219">
        <f t="shared" si="175"/>
        <v>1.0011786516735537</v>
      </c>
      <c r="BB83" s="220">
        <f>BB18/BC18^(5.50989446627246/12)</f>
        <v>397.70910525987995</v>
      </c>
      <c r="BC83" s="219">
        <f t="shared" si="176"/>
        <v>1.0005439445652859</v>
      </c>
      <c r="BD83" s="569">
        <f t="shared" si="199"/>
        <v>12.416666666666663</v>
      </c>
      <c r="BE83" s="570">
        <f t="shared" si="200"/>
        <v>410.12577192654663</v>
      </c>
      <c r="BH83" s="220">
        <f>BH18/BI18^(5.50989446627246/12)</f>
        <v>3</v>
      </c>
      <c r="BI83" s="219">
        <f t="shared" si="177"/>
        <v>1</v>
      </c>
      <c r="BJ83" s="569">
        <f t="shared" si="202"/>
        <v>3.4800000000000026</v>
      </c>
      <c r="BK83" s="570">
        <f t="shared" si="203"/>
        <v>6.4800000000000022</v>
      </c>
      <c r="BN83" s="220">
        <f>BN18/BO18^(5.50989446627246/12)</f>
        <v>14527.536028416012</v>
      </c>
      <c r="BO83" s="219">
        <f t="shared" si="178"/>
        <v>1.0013675177910206</v>
      </c>
      <c r="BR83" s="220">
        <f>BR18/BS18^(5.50989446627246/12)</f>
        <v>47.629429257618909</v>
      </c>
      <c r="BS83" s="219">
        <f t="shared" si="179"/>
        <v>1.001098615758349</v>
      </c>
      <c r="BV83" s="220">
        <f>BV18/BW18^(5.50989446627246/12)</f>
        <v>394.21307904765001</v>
      </c>
      <c r="BW83" s="219">
        <f t="shared" si="207"/>
        <v>1.0004295350216081</v>
      </c>
    </row>
    <row r="84" spans="1:75">
      <c r="A84" s="9">
        <f t="shared" si="168"/>
        <v>2028</v>
      </c>
      <c r="B84" s="9" t="s">
        <v>105</v>
      </c>
      <c r="C84" s="220">
        <f t="shared" ref="C84:C94" ca="1" si="244">C83*D$18^(1/12)</f>
        <v>126152.15384553942</v>
      </c>
      <c r="D84" s="219">
        <f t="shared" ca="1" si="227"/>
        <v>1.0016335585384459</v>
      </c>
      <c r="G84" s="220">
        <f t="shared" ref="G84:G94" si="245">G83*H$18^(1/12)</f>
        <v>1549.8431241407761</v>
      </c>
      <c r="H84" s="219">
        <f t="shared" si="170"/>
        <v>0.99982281150025842</v>
      </c>
      <c r="K84" s="220">
        <f t="shared" ref="K84:K94" si="246">K83*L$18^(1/12)</f>
        <v>9730.0815952089761</v>
      </c>
      <c r="L84" s="219">
        <f t="shared" si="183"/>
        <v>1.0006134230899959</v>
      </c>
      <c r="O84" s="220">
        <f t="shared" ref="O84:O94" si="247">O83*P$18^(1/12)</f>
        <v>1077.0299870763301</v>
      </c>
      <c r="P84" s="219">
        <f t="shared" si="208"/>
        <v>1.0000496606019917</v>
      </c>
      <c r="Q84" s="569">
        <f t="shared" si="209"/>
        <v>17.844999999999999</v>
      </c>
      <c r="R84" s="570">
        <f t="shared" si="185"/>
        <v>1094.8749870763302</v>
      </c>
      <c r="U84" s="220">
        <f t="shared" ref="U84:U94" si="248">U83*V$18^(1/12)</f>
        <v>5</v>
      </c>
      <c r="V84" s="219">
        <f t="shared" si="171"/>
        <v>1</v>
      </c>
      <c r="W84" s="569">
        <f t="shared" si="187"/>
        <v>7.2116666666666696</v>
      </c>
      <c r="X84" s="570">
        <f t="shared" si="188"/>
        <v>12.21166666666667</v>
      </c>
      <c r="AA84" s="220">
        <f t="shared" ref="AA84:AA94" si="249">AA83*AB$18^(1/12)</f>
        <v>5</v>
      </c>
      <c r="AB84" s="219">
        <f t="shared" si="172"/>
        <v>1</v>
      </c>
      <c r="AC84" s="569">
        <f t="shared" si="190"/>
        <v>3.0241666666666678</v>
      </c>
      <c r="AD84" s="570">
        <f t="shared" si="191"/>
        <v>8.0241666666666678</v>
      </c>
      <c r="AG84" s="220">
        <f t="shared" ref="AG84:AG94" si="250">AG83*AH$18^(1/12)</f>
        <v>33952.738587315791</v>
      </c>
      <c r="AH84" s="219">
        <f t="shared" si="173"/>
        <v>1.0008525561429944</v>
      </c>
      <c r="AK84" s="220">
        <f t="shared" ref="AK84:AK94" si="251">AK83*AL$18^(1/12)</f>
        <v>224.00099265703133</v>
      </c>
      <c r="AL84" s="219">
        <f t="shared" si="174"/>
        <v>0.9985789646374017</v>
      </c>
      <c r="AO84" s="220">
        <f t="shared" ref="AO84:AO94" si="252">AO83*AP$18^(1/12)</f>
        <v>714.85153410955468</v>
      </c>
      <c r="AP84" s="219">
        <f t="shared" si="195"/>
        <v>0.9988425188228347</v>
      </c>
      <c r="AQ84" s="579"/>
      <c r="AT84" s="220">
        <f t="shared" ref="AT84:AT94" ca="1" si="253">AT83*AU$18^(1/12)</f>
        <v>48794.593867859243</v>
      </c>
      <c r="AU84" s="219">
        <f t="shared" ca="1" si="210"/>
        <v>1.001542758041601</v>
      </c>
      <c r="AX84" s="220">
        <f t="shared" ref="AX84:AX94" si="254">AX83*AY$18^(1/12)</f>
        <v>2594.3081785218169</v>
      </c>
      <c r="AY84" s="219">
        <f t="shared" si="175"/>
        <v>1.0011786516735524</v>
      </c>
      <c r="BB84" s="220">
        <f t="shared" ref="BB84:BB94" si="255">BB83*BC$18^(1/12)</f>
        <v>397.92543696625125</v>
      </c>
      <c r="BC84" s="219">
        <f t="shared" si="176"/>
        <v>1.0005439445652871</v>
      </c>
      <c r="BD84" s="569">
        <f t="shared" si="199"/>
        <v>12.55833333333333</v>
      </c>
      <c r="BE84" s="570">
        <f t="shared" si="200"/>
        <v>410.48377029958459</v>
      </c>
      <c r="BH84" s="220">
        <f t="shared" ref="BH84:BH94" si="256">BH83*BI$18^(1/12)</f>
        <v>3</v>
      </c>
      <c r="BI84" s="219">
        <f t="shared" si="177"/>
        <v>1</v>
      </c>
      <c r="BJ84" s="569">
        <f t="shared" si="202"/>
        <v>3.4800000000000026</v>
      </c>
      <c r="BK84" s="570">
        <f t="shared" si="203"/>
        <v>6.4800000000000022</v>
      </c>
      <c r="BN84" s="220">
        <f t="shared" ref="BN84:BN94" si="257">BN83*BO$18^(1/12)</f>
        <v>14547.40269239456</v>
      </c>
      <c r="BO84" s="219">
        <f t="shared" si="178"/>
        <v>1.0013675177910204</v>
      </c>
      <c r="BR84" s="220">
        <f t="shared" ref="BR84:BR94" si="258">BR83*BS$18^(1/12)</f>
        <v>47.681755699162565</v>
      </c>
      <c r="BS84" s="219">
        <f t="shared" si="179"/>
        <v>1.0010986157583504</v>
      </c>
      <c r="BV84" s="220">
        <f t="shared" ref="BV84:BV94" si="259">BV83*BW$18^(1/12)</f>
        <v>394.38240737107702</v>
      </c>
      <c r="BW84" s="219">
        <f t="shared" si="207"/>
        <v>1.0004295350216084</v>
      </c>
    </row>
    <row r="85" spans="1:75">
      <c r="A85" s="9">
        <f t="shared" si="168"/>
        <v>2028</v>
      </c>
      <c r="B85" s="9" t="s">
        <v>106</v>
      </c>
      <c r="C85" s="220">
        <f t="shared" ca="1" si="244"/>
        <v>126358.23077359714</v>
      </c>
      <c r="D85" s="219">
        <f t="shared" ca="1" si="227"/>
        <v>1.0016335585384459</v>
      </c>
      <c r="G85" s="220">
        <f t="shared" si="245"/>
        <v>1549.5685097627747</v>
      </c>
      <c r="H85" s="219">
        <f t="shared" si="170"/>
        <v>0.99982281150025831</v>
      </c>
      <c r="K85" s="220">
        <f t="shared" si="246"/>
        <v>9736.0502519270212</v>
      </c>
      <c r="L85" s="219">
        <f t="shared" si="183"/>
        <v>1.0006134230899959</v>
      </c>
      <c r="O85" s="220">
        <f t="shared" si="247"/>
        <v>1077.0834730338515</v>
      </c>
      <c r="P85" s="219">
        <f t="shared" si="208"/>
        <v>1.0000496606019917</v>
      </c>
      <c r="Q85" s="569">
        <f t="shared" si="209"/>
        <v>17.927499999999998</v>
      </c>
      <c r="R85" s="570">
        <f t="shared" si="185"/>
        <v>1095.0109730338515</v>
      </c>
      <c r="U85" s="220">
        <f t="shared" si="248"/>
        <v>5</v>
      </c>
      <c r="V85" s="219">
        <f t="shared" si="171"/>
        <v>1</v>
      </c>
      <c r="W85" s="569">
        <f t="shared" si="187"/>
        <v>7.2025000000000032</v>
      </c>
      <c r="X85" s="570">
        <f t="shared" si="188"/>
        <v>12.202500000000004</v>
      </c>
      <c r="AA85" s="220">
        <f t="shared" si="249"/>
        <v>5</v>
      </c>
      <c r="AB85" s="219">
        <f t="shared" si="172"/>
        <v>1</v>
      </c>
      <c r="AC85" s="569">
        <f t="shared" si="190"/>
        <v>3.0937500000000009</v>
      </c>
      <c r="AD85" s="570">
        <f t="shared" si="191"/>
        <v>8.09375</v>
      </c>
      <c r="AG85" s="220">
        <f t="shared" si="250"/>
        <v>33981.685203169887</v>
      </c>
      <c r="AH85" s="219">
        <f t="shared" si="173"/>
        <v>1.0008525561429944</v>
      </c>
      <c r="AK85" s="220">
        <f t="shared" si="251"/>
        <v>223.68267932520857</v>
      </c>
      <c r="AL85" s="219">
        <f t="shared" si="174"/>
        <v>0.9985789646374017</v>
      </c>
      <c r="AO85" s="220">
        <f t="shared" si="252"/>
        <v>714.02410691435512</v>
      </c>
      <c r="AP85" s="219">
        <f t="shared" si="195"/>
        <v>0.9988425188228347</v>
      </c>
      <c r="AQ85" s="579"/>
      <c r="AT85" s="220">
        <f t="shared" ca="1" si="253"/>
        <v>48869.872119935535</v>
      </c>
      <c r="AU85" s="219">
        <f t="shared" ca="1" si="210"/>
        <v>1.001542758041601</v>
      </c>
      <c r="AX85" s="220">
        <f t="shared" si="254"/>
        <v>2597.3659641981421</v>
      </c>
      <c r="AY85" s="219">
        <f t="shared" si="175"/>
        <v>1.0011786516735524</v>
      </c>
      <c r="BB85" s="220">
        <f t="shared" si="255"/>
        <v>398.14188634507855</v>
      </c>
      <c r="BC85" s="219">
        <f t="shared" si="176"/>
        <v>1.0005439445652871</v>
      </c>
      <c r="BD85" s="569">
        <f t="shared" si="199"/>
        <v>12.699999999999998</v>
      </c>
      <c r="BE85" s="570">
        <f t="shared" si="200"/>
        <v>410.84188634507854</v>
      </c>
      <c r="BH85" s="220">
        <f t="shared" si="256"/>
        <v>3</v>
      </c>
      <c r="BI85" s="219">
        <f t="shared" si="177"/>
        <v>1</v>
      </c>
      <c r="BJ85" s="569">
        <f t="shared" si="202"/>
        <v>3.4800000000000026</v>
      </c>
      <c r="BK85" s="570">
        <f t="shared" si="203"/>
        <v>6.4800000000000022</v>
      </c>
      <c r="BN85" s="220">
        <f t="shared" si="257"/>
        <v>14567.296524389549</v>
      </c>
      <c r="BO85" s="219">
        <f t="shared" si="178"/>
        <v>1.0013675177910204</v>
      </c>
      <c r="BR85" s="220">
        <f t="shared" si="258"/>
        <v>47.734139627359475</v>
      </c>
      <c r="BS85" s="219">
        <f t="shared" si="179"/>
        <v>1.0010986157583504</v>
      </c>
      <c r="BV85" s="220">
        <f t="shared" si="259"/>
        <v>394.55180842694909</v>
      </c>
      <c r="BW85" s="219">
        <f t="shared" si="207"/>
        <v>1.0004295350216084</v>
      </c>
    </row>
    <row r="86" spans="1:75">
      <c r="A86" s="9">
        <f t="shared" si="168"/>
        <v>2028</v>
      </c>
      <c r="B86" s="9" t="s">
        <v>107</v>
      </c>
      <c r="C86" s="220">
        <f t="shared" ca="1" si="244"/>
        <v>126564.64434038027</v>
      </c>
      <c r="D86" s="219">
        <f t="shared" ca="1" si="227"/>
        <v>1.0016335585384459</v>
      </c>
      <c r="G86" s="220">
        <f t="shared" si="245"/>
        <v>1549.2939440432831</v>
      </c>
      <c r="H86" s="219">
        <f t="shared" si="170"/>
        <v>0.99982281150025842</v>
      </c>
      <c r="K86" s="220">
        <f t="shared" si="246"/>
        <v>9742.0225699569128</v>
      </c>
      <c r="L86" s="219">
        <f t="shared" si="183"/>
        <v>1.0006134230899959</v>
      </c>
      <c r="O86" s="220">
        <f t="shared" si="247"/>
        <v>1077.1369616475176</v>
      </c>
      <c r="P86" s="219">
        <f t="shared" si="208"/>
        <v>1.0000496606019917</v>
      </c>
      <c r="Q86" s="569">
        <f t="shared" si="209"/>
        <v>18.009999999999998</v>
      </c>
      <c r="R86" s="570">
        <f t="shared" si="185"/>
        <v>1095.1469616475176</v>
      </c>
      <c r="U86" s="220">
        <f t="shared" si="248"/>
        <v>5</v>
      </c>
      <c r="V86" s="219">
        <f t="shared" si="171"/>
        <v>1</v>
      </c>
      <c r="W86" s="569">
        <f t="shared" si="187"/>
        <v>7.1933333333333369</v>
      </c>
      <c r="X86" s="570">
        <f t="shared" si="188"/>
        <v>12.193333333333337</v>
      </c>
      <c r="AA86" s="220">
        <f t="shared" si="249"/>
        <v>5</v>
      </c>
      <c r="AB86" s="219">
        <f t="shared" si="172"/>
        <v>1</v>
      </c>
      <c r="AC86" s="569">
        <f t="shared" si="190"/>
        <v>3.163333333333334</v>
      </c>
      <c r="AD86" s="570">
        <f t="shared" si="191"/>
        <v>8.163333333333334</v>
      </c>
      <c r="AG86" s="220">
        <f t="shared" si="250"/>
        <v>34010.656497639153</v>
      </c>
      <c r="AH86" s="219">
        <f t="shared" si="173"/>
        <v>1.0008525561429944</v>
      </c>
      <c r="AK86" s="220">
        <f t="shared" si="251"/>
        <v>223.36481832788672</v>
      </c>
      <c r="AL86" s="219">
        <f t="shared" si="174"/>
        <v>0.99857896463740181</v>
      </c>
      <c r="AO86" s="220">
        <f t="shared" si="252"/>
        <v>713.19763745055945</v>
      </c>
      <c r="AP86" s="219">
        <f t="shared" si="195"/>
        <v>0.9988425188228347</v>
      </c>
      <c r="AQ86" s="579"/>
      <c r="AT86" s="220">
        <f t="shared" ca="1" si="253"/>
        <v>48945.266508140579</v>
      </c>
      <c r="AU86" s="219">
        <f t="shared" ca="1" si="210"/>
        <v>1.001542758041601</v>
      </c>
      <c r="AX86" s="220">
        <f t="shared" si="254"/>
        <v>2600.4273539386722</v>
      </c>
      <c r="AY86" s="219">
        <f t="shared" si="175"/>
        <v>1.0011786516735524</v>
      </c>
      <c r="BB86" s="220">
        <f t="shared" si="255"/>
        <v>398.35845346036911</v>
      </c>
      <c r="BC86" s="219">
        <f t="shared" si="176"/>
        <v>1.0005439445652871</v>
      </c>
      <c r="BD86" s="569">
        <f t="shared" si="199"/>
        <v>12.841666666666665</v>
      </c>
      <c r="BE86" s="570">
        <f t="shared" si="200"/>
        <v>411.20012012703575</v>
      </c>
      <c r="BH86" s="220">
        <f t="shared" si="256"/>
        <v>3</v>
      </c>
      <c r="BI86" s="219">
        <f t="shared" si="177"/>
        <v>1</v>
      </c>
      <c r="BJ86" s="569">
        <f t="shared" si="202"/>
        <v>3.4800000000000026</v>
      </c>
      <c r="BK86" s="570">
        <f t="shared" si="203"/>
        <v>6.4800000000000022</v>
      </c>
      <c r="BN86" s="220">
        <f t="shared" si="257"/>
        <v>14587.217561553722</v>
      </c>
      <c r="BO86" s="219">
        <f t="shared" si="178"/>
        <v>1.0013675177910204</v>
      </c>
      <c r="BR86" s="220">
        <f t="shared" si="258"/>
        <v>47.786581105365386</v>
      </c>
      <c r="BS86" s="219">
        <f t="shared" si="179"/>
        <v>1.0010986157583504</v>
      </c>
      <c r="BV86" s="220">
        <f t="shared" si="259"/>
        <v>394.72128224650737</v>
      </c>
      <c r="BW86" s="219">
        <f t="shared" si="207"/>
        <v>1.0004295350216084</v>
      </c>
    </row>
    <row r="87" spans="1:75">
      <c r="A87" s="9">
        <f t="shared" si="168"/>
        <v>2028</v>
      </c>
      <c r="B87" s="9" t="s">
        <v>108</v>
      </c>
      <c r="C87" s="220">
        <f t="shared" ca="1" si="244"/>
        <v>126771.39509580786</v>
      </c>
      <c r="D87" s="219">
        <f t="shared" ca="1" si="227"/>
        <v>1.0016335585384459</v>
      </c>
      <c r="G87" s="220">
        <f t="shared" si="245"/>
        <v>1549.0194269736794</v>
      </c>
      <c r="H87" s="219">
        <f t="shared" si="170"/>
        <v>0.99982281150025842</v>
      </c>
      <c r="K87" s="220">
        <f t="shared" si="246"/>
        <v>9747.998551544586</v>
      </c>
      <c r="L87" s="219">
        <f t="shared" si="183"/>
        <v>1.0006134230899959</v>
      </c>
      <c r="O87" s="220">
        <f t="shared" si="247"/>
        <v>1077.1904529174606</v>
      </c>
      <c r="P87" s="219">
        <f t="shared" si="208"/>
        <v>1.0000496606019917</v>
      </c>
      <c r="Q87" s="569">
        <f t="shared" si="209"/>
        <v>18.092499999999998</v>
      </c>
      <c r="R87" s="570">
        <f t="shared" si="185"/>
        <v>1095.2829529174605</v>
      </c>
      <c r="U87" s="220">
        <f t="shared" si="248"/>
        <v>5</v>
      </c>
      <c r="V87" s="219">
        <f t="shared" si="171"/>
        <v>1</v>
      </c>
      <c r="W87" s="569">
        <f t="shared" si="187"/>
        <v>7.1841666666666706</v>
      </c>
      <c r="X87" s="570">
        <f t="shared" si="188"/>
        <v>12.18416666666667</v>
      </c>
      <c r="AA87" s="220">
        <f t="shared" si="249"/>
        <v>5</v>
      </c>
      <c r="AB87" s="219">
        <f t="shared" si="172"/>
        <v>1</v>
      </c>
      <c r="AC87" s="569">
        <f t="shared" si="190"/>
        <v>3.2329166666666671</v>
      </c>
      <c r="AD87" s="570">
        <f t="shared" si="191"/>
        <v>8.232916666666668</v>
      </c>
      <c r="AG87" s="220">
        <f t="shared" si="250"/>
        <v>34039.652491763489</v>
      </c>
      <c r="AH87" s="219">
        <f t="shared" si="173"/>
        <v>1.0008525561429944</v>
      </c>
      <c r="AK87" s="220">
        <f t="shared" si="251"/>
        <v>223.04740902228247</v>
      </c>
      <c r="AL87" s="219">
        <f t="shared" si="174"/>
        <v>0.99857896463740181</v>
      </c>
      <c r="AO87" s="220">
        <f t="shared" si="252"/>
        <v>712.37212460961166</v>
      </c>
      <c r="AP87" s="219">
        <f t="shared" si="195"/>
        <v>0.9988425188228347</v>
      </c>
      <c r="AQ87" s="579"/>
      <c r="AT87" s="220">
        <f t="shared" ca="1" si="253"/>
        <v>49020.777211644316</v>
      </c>
      <c r="AU87" s="219">
        <f t="shared" ca="1" si="210"/>
        <v>1.001542758041601</v>
      </c>
      <c r="AX87" s="220">
        <f t="shared" si="254"/>
        <v>2603.4923519913432</v>
      </c>
      <c r="AY87" s="219">
        <f t="shared" si="175"/>
        <v>1.0011786516735524</v>
      </c>
      <c r="BB87" s="220">
        <f t="shared" si="255"/>
        <v>398.57513837616506</v>
      </c>
      <c r="BC87" s="219">
        <f t="shared" si="176"/>
        <v>1.0005439445652871</v>
      </c>
      <c r="BD87" s="569">
        <f t="shared" si="199"/>
        <v>12.983333333333333</v>
      </c>
      <c r="BE87" s="570">
        <f t="shared" si="200"/>
        <v>411.55847170949841</v>
      </c>
      <c r="BH87" s="220">
        <f t="shared" si="256"/>
        <v>3</v>
      </c>
      <c r="BI87" s="219">
        <f t="shared" si="177"/>
        <v>1</v>
      </c>
      <c r="BJ87" s="569">
        <f t="shared" si="202"/>
        <v>3.4800000000000026</v>
      </c>
      <c r="BK87" s="570">
        <f t="shared" si="203"/>
        <v>6.4800000000000022</v>
      </c>
      <c r="BN87" s="220">
        <f t="shared" si="257"/>
        <v>14607.165841090631</v>
      </c>
      <c r="BO87" s="219">
        <f t="shared" si="178"/>
        <v>1.0013675177910204</v>
      </c>
      <c r="BR87" s="220">
        <f t="shared" si="258"/>
        <v>47.839080196405426</v>
      </c>
      <c r="BS87" s="219">
        <f t="shared" si="179"/>
        <v>1.0010986157583504</v>
      </c>
      <c r="BV87" s="220">
        <f t="shared" si="259"/>
        <v>394.89082886100641</v>
      </c>
      <c r="BW87" s="219">
        <f t="shared" si="207"/>
        <v>1.0004295350216084</v>
      </c>
    </row>
    <row r="88" spans="1:75">
      <c r="A88" s="9">
        <f t="shared" si="168"/>
        <v>2028</v>
      </c>
      <c r="B88" s="9" t="s">
        <v>109</v>
      </c>
      <c r="C88" s="220">
        <f t="shared" ca="1" si="244"/>
        <v>126978.48359069732</v>
      </c>
      <c r="D88" s="219">
        <f t="shared" ca="1" si="227"/>
        <v>1.0016335585384459</v>
      </c>
      <c r="G88" s="220">
        <f t="shared" si="245"/>
        <v>1548.7449585453435</v>
      </c>
      <c r="H88" s="219">
        <f t="shared" si="170"/>
        <v>0.99982281150025853</v>
      </c>
      <c r="K88" s="220">
        <f t="shared" si="246"/>
        <v>9753.9781989373496</v>
      </c>
      <c r="L88" s="219">
        <f t="shared" si="183"/>
        <v>1.0006134230899959</v>
      </c>
      <c r="O88" s="220">
        <f t="shared" si="247"/>
        <v>1077.2439468438122</v>
      </c>
      <c r="P88" s="219">
        <f t="shared" si="208"/>
        <v>1.0000496606019917</v>
      </c>
      <c r="Q88" s="569">
        <f t="shared" si="209"/>
        <v>18.174999999999997</v>
      </c>
      <c r="R88" s="570">
        <f t="shared" si="185"/>
        <v>1095.4189468438121</v>
      </c>
      <c r="U88" s="220">
        <f t="shared" si="248"/>
        <v>5</v>
      </c>
      <c r="V88" s="219">
        <f t="shared" si="171"/>
        <v>1</v>
      </c>
      <c r="W88" s="569">
        <f t="shared" si="187"/>
        <v>7.1750000000000043</v>
      </c>
      <c r="X88" s="570">
        <f t="shared" si="188"/>
        <v>12.175000000000004</v>
      </c>
      <c r="AA88" s="220">
        <f t="shared" si="249"/>
        <v>5</v>
      </c>
      <c r="AB88" s="219">
        <f t="shared" si="172"/>
        <v>1</v>
      </c>
      <c r="AC88" s="569">
        <f t="shared" si="190"/>
        <v>3.3025000000000002</v>
      </c>
      <c r="AD88" s="570">
        <f t="shared" si="191"/>
        <v>8.3025000000000002</v>
      </c>
      <c r="AG88" s="220">
        <f t="shared" si="250"/>
        <v>34068.673206600739</v>
      </c>
      <c r="AH88" s="219">
        <f t="shared" si="173"/>
        <v>1.0008525561429944</v>
      </c>
      <c r="AK88" s="220">
        <f t="shared" si="251"/>
        <v>222.73045076652588</v>
      </c>
      <c r="AL88" s="219">
        <f t="shared" si="174"/>
        <v>0.9985789646374017</v>
      </c>
      <c r="AO88" s="220">
        <f t="shared" si="252"/>
        <v>711.54756728423877</v>
      </c>
      <c r="AP88" s="219">
        <f t="shared" si="195"/>
        <v>0.9988425188228347</v>
      </c>
      <c r="AQ88" s="579"/>
      <c r="AT88" s="220">
        <f t="shared" ca="1" si="253"/>
        <v>49096.404409893112</v>
      </c>
      <c r="AU88" s="219">
        <f t="shared" ca="1" si="210"/>
        <v>1.001542758041601</v>
      </c>
      <c r="AX88" s="220">
        <f t="shared" si="254"/>
        <v>2606.5609626090986</v>
      </c>
      <c r="AY88" s="219">
        <f t="shared" si="175"/>
        <v>1.0011786516735524</v>
      </c>
      <c r="BB88" s="220">
        <f t="shared" si="255"/>
        <v>398.79194115654332</v>
      </c>
      <c r="BC88" s="219">
        <f t="shared" si="176"/>
        <v>1.0005439445652871</v>
      </c>
      <c r="BD88" s="569">
        <f t="shared" si="199"/>
        <v>13.125</v>
      </c>
      <c r="BE88" s="570">
        <f t="shared" si="200"/>
        <v>411.91694115654332</v>
      </c>
      <c r="BH88" s="220">
        <f t="shared" si="256"/>
        <v>3</v>
      </c>
      <c r="BI88" s="219">
        <f t="shared" si="177"/>
        <v>1</v>
      </c>
      <c r="BJ88" s="569">
        <f t="shared" si="202"/>
        <v>3.4800000000000026</v>
      </c>
      <c r="BK88" s="570">
        <f t="shared" si="203"/>
        <v>6.4800000000000022</v>
      </c>
      <c r="BN88" s="220">
        <f t="shared" si="257"/>
        <v>14627.141400254708</v>
      </c>
      <c r="BO88" s="219">
        <f t="shared" si="178"/>
        <v>1.0013675177910204</v>
      </c>
      <c r="BR88" s="220">
        <f t="shared" si="258"/>
        <v>47.891636963774182</v>
      </c>
      <c r="BS88" s="219">
        <f t="shared" si="179"/>
        <v>1.0010986157583504</v>
      </c>
      <c r="BV88" s="220">
        <f t="shared" si="259"/>
        <v>395.06044830171419</v>
      </c>
      <c r="BW88" s="219">
        <f t="shared" si="207"/>
        <v>1.0004295350216084</v>
      </c>
    </row>
    <row r="89" spans="1:75">
      <c r="A89" s="9">
        <f t="shared" si="168"/>
        <v>2028</v>
      </c>
      <c r="B89" s="9" t="s">
        <v>110</v>
      </c>
      <c r="C89" s="220">
        <f t="shared" ca="1" si="244"/>
        <v>127185.91037676582</v>
      </c>
      <c r="D89" s="219">
        <f t="shared" ca="1" si="227"/>
        <v>1.0016335585384459</v>
      </c>
      <c r="G89" s="220">
        <f t="shared" si="245"/>
        <v>1548.4705387496565</v>
      </c>
      <c r="H89" s="219">
        <f t="shared" si="170"/>
        <v>0.99982281150025842</v>
      </c>
      <c r="K89" s="220">
        <f t="shared" si="246"/>
        <v>9759.9615143838946</v>
      </c>
      <c r="L89" s="219">
        <f t="shared" si="183"/>
        <v>1.0006134230899959</v>
      </c>
      <c r="O89" s="220">
        <f t="shared" si="247"/>
        <v>1077.2974434267044</v>
      </c>
      <c r="P89" s="219">
        <f t="shared" si="208"/>
        <v>1.0000496606019917</v>
      </c>
      <c r="Q89" s="569">
        <f t="shared" si="209"/>
        <v>18.257499999999997</v>
      </c>
      <c r="R89" s="570">
        <f t="shared" si="185"/>
        <v>1095.5549434267043</v>
      </c>
      <c r="U89" s="220">
        <f t="shared" si="248"/>
        <v>5</v>
      </c>
      <c r="V89" s="219">
        <f t="shared" si="171"/>
        <v>1</v>
      </c>
      <c r="W89" s="569">
        <f t="shared" si="187"/>
        <v>7.1658333333333379</v>
      </c>
      <c r="X89" s="570">
        <f t="shared" si="188"/>
        <v>12.165833333333339</v>
      </c>
      <c r="AA89" s="220">
        <f t="shared" si="249"/>
        <v>5</v>
      </c>
      <c r="AB89" s="219">
        <f t="shared" si="172"/>
        <v>1</v>
      </c>
      <c r="AC89" s="569">
        <f t="shared" si="190"/>
        <v>3.3720833333333333</v>
      </c>
      <c r="AD89" s="570">
        <f t="shared" si="191"/>
        <v>8.3720833333333324</v>
      </c>
      <c r="AG89" s="220">
        <f t="shared" si="250"/>
        <v>34097.718663226697</v>
      </c>
      <c r="AH89" s="219">
        <f t="shared" si="173"/>
        <v>1.0008525561429944</v>
      </c>
      <c r="AK89" s="220">
        <f t="shared" si="251"/>
        <v>222.41394291965918</v>
      </c>
      <c r="AL89" s="219">
        <f t="shared" si="174"/>
        <v>0.9985789646374017</v>
      </c>
      <c r="AO89" s="220">
        <f t="shared" si="252"/>
        <v>710.72396436844951</v>
      </c>
      <c r="AP89" s="219">
        <f t="shared" si="195"/>
        <v>0.9988425188228347</v>
      </c>
      <c r="AQ89" s="579"/>
      <c r="AT89" s="220">
        <f t="shared" ca="1" si="253"/>
        <v>49172.148282610171</v>
      </c>
      <c r="AU89" s="219">
        <f t="shared" ca="1" si="210"/>
        <v>1.001542758041601</v>
      </c>
      <c r="AX89" s="220">
        <f t="shared" si="254"/>
        <v>2609.633190049894</v>
      </c>
      <c r="AY89" s="219">
        <f t="shared" si="175"/>
        <v>1.0011786516735524</v>
      </c>
      <c r="BB89" s="220">
        <f t="shared" si="255"/>
        <v>399.0088618656157</v>
      </c>
      <c r="BC89" s="219">
        <f t="shared" si="176"/>
        <v>1.0005439445652871</v>
      </c>
      <c r="BD89" s="569">
        <f t="shared" si="199"/>
        <v>13.266666666666667</v>
      </c>
      <c r="BE89" s="570">
        <f t="shared" si="200"/>
        <v>412.27552853228235</v>
      </c>
      <c r="BH89" s="220">
        <f t="shared" si="256"/>
        <v>3</v>
      </c>
      <c r="BI89" s="219">
        <f t="shared" si="177"/>
        <v>1</v>
      </c>
      <c r="BJ89" s="569">
        <f t="shared" si="202"/>
        <v>3.4800000000000026</v>
      </c>
      <c r="BK89" s="570">
        <f t="shared" si="203"/>
        <v>6.4800000000000022</v>
      </c>
      <c r="BN89" s="220">
        <f t="shared" si="257"/>
        <v>14647.144276351328</v>
      </c>
      <c r="BO89" s="219">
        <f t="shared" si="178"/>
        <v>1.0013675177910204</v>
      </c>
      <c r="BR89" s="220">
        <f t="shared" si="258"/>
        <v>47.944251470835781</v>
      </c>
      <c r="BS89" s="219">
        <f t="shared" si="179"/>
        <v>1.0010986157583504</v>
      </c>
      <c r="BV89" s="220">
        <f t="shared" si="259"/>
        <v>395.23014059991209</v>
      </c>
      <c r="BW89" s="219">
        <f t="shared" si="207"/>
        <v>1.0004295350216084</v>
      </c>
    </row>
    <row r="90" spans="1:75">
      <c r="A90" s="9">
        <f t="shared" si="168"/>
        <v>2028</v>
      </c>
      <c r="B90" s="9" t="s">
        <v>111</v>
      </c>
      <c r="C90" s="220">
        <f t="shared" ca="1" si="244"/>
        <v>127393.67600663181</v>
      </c>
      <c r="D90" s="219">
        <f t="shared" ca="1" si="227"/>
        <v>1.0016335585384459</v>
      </c>
      <c r="G90" s="220">
        <f t="shared" si="245"/>
        <v>1548.1961675780015</v>
      </c>
      <c r="H90" s="219">
        <f t="shared" si="170"/>
        <v>0.99982281150025842</v>
      </c>
      <c r="K90" s="220">
        <f t="shared" si="246"/>
        <v>9765.9485001342891</v>
      </c>
      <c r="L90" s="219">
        <f t="shared" si="183"/>
        <v>1.0006134230899959</v>
      </c>
      <c r="O90" s="220">
        <f t="shared" si="247"/>
        <v>1077.350942666269</v>
      </c>
      <c r="P90" s="219">
        <f t="shared" si="208"/>
        <v>1.0000496606019917</v>
      </c>
      <c r="Q90" s="569">
        <f t="shared" si="209"/>
        <v>18.339999999999996</v>
      </c>
      <c r="R90" s="570">
        <f t="shared" si="185"/>
        <v>1095.6909426662689</v>
      </c>
      <c r="U90" s="220">
        <f t="shared" si="248"/>
        <v>5</v>
      </c>
      <c r="V90" s="219">
        <f t="shared" si="171"/>
        <v>1</v>
      </c>
      <c r="W90" s="569">
        <f t="shared" si="187"/>
        <v>7.1566666666666716</v>
      </c>
      <c r="X90" s="570">
        <f t="shared" si="188"/>
        <v>12.156666666666672</v>
      </c>
      <c r="AA90" s="220">
        <f t="shared" si="249"/>
        <v>5</v>
      </c>
      <c r="AB90" s="219">
        <f t="shared" si="172"/>
        <v>1</v>
      </c>
      <c r="AC90" s="569">
        <f t="shared" si="190"/>
        <v>3.4416666666666664</v>
      </c>
      <c r="AD90" s="570">
        <f t="shared" si="191"/>
        <v>8.4416666666666664</v>
      </c>
      <c r="AG90" s="220">
        <f t="shared" si="250"/>
        <v>34126.788882735127</v>
      </c>
      <c r="AH90" s="219">
        <f t="shared" si="173"/>
        <v>1.0008525561429944</v>
      </c>
      <c r="AK90" s="220">
        <f t="shared" si="251"/>
        <v>222.09788484163542</v>
      </c>
      <c r="AL90" s="219">
        <f t="shared" si="174"/>
        <v>0.9985789646374017</v>
      </c>
      <c r="AO90" s="220">
        <f t="shared" si="252"/>
        <v>709.90131475753276</v>
      </c>
      <c r="AP90" s="219">
        <f t="shared" si="195"/>
        <v>0.9988425188228347</v>
      </c>
      <c r="AQ90" s="579"/>
      <c r="AT90" s="220">
        <f t="shared" ca="1" si="253"/>
        <v>49248.009009795962</v>
      </c>
      <c r="AU90" s="219">
        <f t="shared" ca="1" si="210"/>
        <v>1.001542758041601</v>
      </c>
      <c r="AX90" s="220">
        <f t="shared" si="254"/>
        <v>2612.7090385767042</v>
      </c>
      <c r="AY90" s="219">
        <f t="shared" si="175"/>
        <v>1.0011786516735524</v>
      </c>
      <c r="BB90" s="220">
        <f t="shared" si="255"/>
        <v>399.22590056752887</v>
      </c>
      <c r="BC90" s="219">
        <f t="shared" si="176"/>
        <v>1.0005439445652871</v>
      </c>
      <c r="BD90" s="569">
        <f t="shared" si="199"/>
        <v>13.408333333333335</v>
      </c>
      <c r="BE90" s="570">
        <f t="shared" si="200"/>
        <v>412.63423390086223</v>
      </c>
      <c r="BH90" s="220">
        <f t="shared" si="256"/>
        <v>3</v>
      </c>
      <c r="BI90" s="219">
        <f t="shared" si="177"/>
        <v>1</v>
      </c>
      <c r="BJ90" s="569">
        <f t="shared" si="202"/>
        <v>3.4800000000000026</v>
      </c>
      <c r="BK90" s="570">
        <f t="shared" si="203"/>
        <v>6.4800000000000022</v>
      </c>
      <c r="BN90" s="220">
        <f t="shared" si="257"/>
        <v>14667.174506736881</v>
      </c>
      <c r="BO90" s="219">
        <f t="shared" si="178"/>
        <v>1.0013675177910204</v>
      </c>
      <c r="BR90" s="220">
        <f t="shared" si="258"/>
        <v>47.996923781023952</v>
      </c>
      <c r="BS90" s="219">
        <f t="shared" si="179"/>
        <v>1.0010986157583504</v>
      </c>
      <c r="BV90" s="220">
        <f t="shared" si="259"/>
        <v>395.39990578689498</v>
      </c>
      <c r="BW90" s="219">
        <f t="shared" si="207"/>
        <v>1.0004295350216084</v>
      </c>
    </row>
    <row r="91" spans="1:75">
      <c r="A91" s="9">
        <f t="shared" si="168"/>
        <v>2028</v>
      </c>
      <c r="B91" s="9" t="s">
        <v>384</v>
      </c>
      <c r="C91" s="220">
        <f t="shared" ca="1" si="244"/>
        <v>127601.78103381646</v>
      </c>
      <c r="D91" s="219">
        <f t="shared" ca="1" si="227"/>
        <v>1.0016335585384459</v>
      </c>
      <c r="G91" s="220">
        <f t="shared" si="245"/>
        <v>1547.9218450217627</v>
      </c>
      <c r="H91" s="219">
        <f t="shared" si="170"/>
        <v>0.99982281150025842</v>
      </c>
      <c r="K91" s="220">
        <f t="shared" si="246"/>
        <v>9771.9391584399818</v>
      </c>
      <c r="L91" s="219">
        <f t="shared" si="183"/>
        <v>1.0006134230899959</v>
      </c>
      <c r="O91" s="220">
        <f t="shared" si="247"/>
        <v>1077.4044445626382</v>
      </c>
      <c r="P91" s="219">
        <f t="shared" si="208"/>
        <v>1.0000496606019917</v>
      </c>
      <c r="Q91" s="569">
        <f t="shared" si="209"/>
        <v>18.422499999999996</v>
      </c>
      <c r="R91" s="570">
        <f t="shared" si="185"/>
        <v>1095.8269445626381</v>
      </c>
      <c r="U91" s="220">
        <f t="shared" si="248"/>
        <v>5</v>
      </c>
      <c r="V91" s="219">
        <f t="shared" si="171"/>
        <v>1</v>
      </c>
      <c r="W91" s="569">
        <f t="shared" si="187"/>
        <v>7.1475000000000053</v>
      </c>
      <c r="X91" s="570">
        <f t="shared" si="188"/>
        <v>12.147500000000004</v>
      </c>
      <c r="AA91" s="220">
        <f t="shared" si="249"/>
        <v>5</v>
      </c>
      <c r="AB91" s="219">
        <f t="shared" si="172"/>
        <v>1</v>
      </c>
      <c r="AC91" s="569">
        <f t="shared" si="190"/>
        <v>3.5112499999999995</v>
      </c>
      <c r="AD91" s="570">
        <f t="shared" si="191"/>
        <v>8.5112500000000004</v>
      </c>
      <c r="AG91" s="220">
        <f t="shared" si="250"/>
        <v>34155.883886237774</v>
      </c>
      <c r="AH91" s="219">
        <f t="shared" si="173"/>
        <v>1.0008525561429944</v>
      </c>
      <c r="AK91" s="220">
        <f t="shared" si="251"/>
        <v>221.78227589331718</v>
      </c>
      <c r="AL91" s="219">
        <f t="shared" si="174"/>
        <v>0.9985789646374017</v>
      </c>
      <c r="AO91" s="220">
        <f t="shared" si="252"/>
        <v>709.07961734805599</v>
      </c>
      <c r="AP91" s="219">
        <f t="shared" si="195"/>
        <v>0.9988425188228347</v>
      </c>
      <c r="AQ91" s="579"/>
      <c r="AT91" s="220">
        <f t="shared" ca="1" si="253"/>
        <v>49323.986771728662</v>
      </c>
      <c r="AU91" s="219">
        <f t="shared" ca="1" si="210"/>
        <v>1.001542758041601</v>
      </c>
      <c r="AX91" s="220">
        <f t="shared" si="254"/>
        <v>2615.7885124575282</v>
      </c>
      <c r="AY91" s="219">
        <f t="shared" si="175"/>
        <v>1.0011786516735524</v>
      </c>
      <c r="BB91" s="220">
        <f t="shared" si="255"/>
        <v>399.44305732646438</v>
      </c>
      <c r="BC91" s="219">
        <f t="shared" si="176"/>
        <v>1.0005439445652871</v>
      </c>
      <c r="BD91" s="569">
        <f t="shared" si="199"/>
        <v>13.550000000000002</v>
      </c>
      <c r="BE91" s="570">
        <f t="shared" si="200"/>
        <v>412.9930573264644</v>
      </c>
      <c r="BH91" s="220">
        <f t="shared" si="256"/>
        <v>3</v>
      </c>
      <c r="BI91" s="219">
        <f t="shared" si="177"/>
        <v>1</v>
      </c>
      <c r="BJ91" s="569">
        <f t="shared" si="202"/>
        <v>3.4800000000000026</v>
      </c>
      <c r="BK91" s="570">
        <f t="shared" si="203"/>
        <v>6.4800000000000022</v>
      </c>
      <c r="BN91" s="220">
        <f t="shared" si="257"/>
        <v>14687.232128818845</v>
      </c>
      <c r="BO91" s="219">
        <f t="shared" si="178"/>
        <v>1.0013675177910204</v>
      </c>
      <c r="BR91" s="220">
        <f t="shared" si="258"/>
        <v>48.049653957842125</v>
      </c>
      <c r="BS91" s="219">
        <f t="shared" si="179"/>
        <v>1.0010986157583504</v>
      </c>
      <c r="BV91" s="220">
        <f t="shared" si="259"/>
        <v>395.56974389397112</v>
      </c>
      <c r="BW91" s="219">
        <f t="shared" si="207"/>
        <v>1.0004295350216084</v>
      </c>
    </row>
    <row r="92" spans="1:75">
      <c r="A92" s="9">
        <f t="shared" si="168"/>
        <v>2028</v>
      </c>
      <c r="B92" s="9" t="s">
        <v>113</v>
      </c>
      <c r="C92" s="220">
        <f t="shared" ca="1" si="244"/>
        <v>127810.22601274516</v>
      </c>
      <c r="D92" s="219">
        <f t="shared" ca="1" si="227"/>
        <v>1.0016335585384459</v>
      </c>
      <c r="G92" s="220">
        <f t="shared" si="245"/>
        <v>1547.6475710723262</v>
      </c>
      <c r="H92" s="219">
        <f t="shared" si="170"/>
        <v>0.99982281150025853</v>
      </c>
      <c r="K92" s="220">
        <f t="shared" si="246"/>
        <v>9777.9334915538038</v>
      </c>
      <c r="L92" s="219">
        <f t="shared" si="183"/>
        <v>1.0006134230899959</v>
      </c>
      <c r="O92" s="220">
        <f t="shared" si="247"/>
        <v>1077.4579491159438</v>
      </c>
      <c r="P92" s="219">
        <f t="shared" si="208"/>
        <v>1.0000496606019917</v>
      </c>
      <c r="Q92" s="569">
        <f t="shared" si="209"/>
        <v>18.504999999999995</v>
      </c>
      <c r="R92" s="570">
        <f t="shared" si="185"/>
        <v>1095.962949115944</v>
      </c>
      <c r="U92" s="220">
        <f t="shared" si="248"/>
        <v>5</v>
      </c>
      <c r="V92" s="219">
        <f t="shared" si="171"/>
        <v>1</v>
      </c>
      <c r="W92" s="569">
        <f t="shared" si="187"/>
        <v>7.138333333333339</v>
      </c>
      <c r="X92" s="570">
        <f t="shared" si="188"/>
        <v>12.138333333333339</v>
      </c>
      <c r="AA92" s="220">
        <f t="shared" si="249"/>
        <v>5</v>
      </c>
      <c r="AB92" s="219">
        <f t="shared" si="172"/>
        <v>1</v>
      </c>
      <c r="AC92" s="569">
        <f t="shared" si="190"/>
        <v>3.5808333333333326</v>
      </c>
      <c r="AD92" s="570">
        <f t="shared" si="191"/>
        <v>8.5808333333333326</v>
      </c>
      <c r="AG92" s="220">
        <f t="shared" si="250"/>
        <v>34185.00369486439</v>
      </c>
      <c r="AH92" s="219">
        <f t="shared" si="173"/>
        <v>1.0008525561429944</v>
      </c>
      <c r="AK92" s="220">
        <f t="shared" si="251"/>
        <v>221.46711543647524</v>
      </c>
      <c r="AL92" s="219">
        <f t="shared" si="174"/>
        <v>0.9985789646374017</v>
      </c>
      <c r="AO92" s="220">
        <f t="shared" si="252"/>
        <v>708.25887103786408</v>
      </c>
      <c r="AP92" s="219">
        <f t="shared" si="195"/>
        <v>0.99884251882283481</v>
      </c>
      <c r="AQ92" s="579"/>
      <c r="AT92" s="220">
        <f t="shared" ca="1" si="253"/>
        <v>49400.081748964563</v>
      </c>
      <c r="AU92" s="219">
        <f t="shared" ca="1" si="210"/>
        <v>1.001542758041601</v>
      </c>
      <c r="AX92" s="220">
        <f t="shared" si="254"/>
        <v>2618.8716159653954</v>
      </c>
      <c r="AY92" s="219">
        <f t="shared" si="175"/>
        <v>1.0011786516735524</v>
      </c>
      <c r="BB92" s="220">
        <f t="shared" si="255"/>
        <v>399.66033220663877</v>
      </c>
      <c r="BC92" s="219">
        <f t="shared" si="176"/>
        <v>1.0005439445652871</v>
      </c>
      <c r="BD92" s="569">
        <f t="shared" si="199"/>
        <v>13.69166666666667</v>
      </c>
      <c r="BE92" s="570">
        <f t="shared" si="200"/>
        <v>413.35199887330543</v>
      </c>
      <c r="BH92" s="220">
        <f t="shared" si="256"/>
        <v>3</v>
      </c>
      <c r="BI92" s="219">
        <f t="shared" si="177"/>
        <v>1</v>
      </c>
      <c r="BJ92" s="569">
        <f t="shared" si="202"/>
        <v>3.4800000000000026</v>
      </c>
      <c r="BK92" s="570">
        <f t="shared" si="203"/>
        <v>6.4800000000000022</v>
      </c>
      <c r="BN92" s="220">
        <f t="shared" si="257"/>
        <v>14707.317180055852</v>
      </c>
      <c r="BO92" s="219">
        <f t="shared" si="178"/>
        <v>1.0013675177910204</v>
      </c>
      <c r="BR92" s="220">
        <f t="shared" si="258"/>
        <v>48.102442064863489</v>
      </c>
      <c r="BS92" s="219">
        <f t="shared" si="179"/>
        <v>1.0010986157583504</v>
      </c>
      <c r="BV92" s="220">
        <f t="shared" si="259"/>
        <v>395.73965495246222</v>
      </c>
      <c r="BW92" s="219">
        <f t="shared" si="207"/>
        <v>1.0004295350216084</v>
      </c>
    </row>
    <row r="93" spans="1:75">
      <c r="A93" s="9">
        <f t="shared" si="168"/>
        <v>2028</v>
      </c>
      <c r="B93" s="9" t="s">
        <v>114</v>
      </c>
      <c r="C93" s="220">
        <f t="shared" ca="1" si="244"/>
        <v>128019.01149874898</v>
      </c>
      <c r="D93" s="219">
        <f t="shared" ca="1" si="227"/>
        <v>1.0016335585384459</v>
      </c>
      <c r="G93" s="220">
        <f t="shared" si="245"/>
        <v>1547.3733457210792</v>
      </c>
      <c r="H93" s="219">
        <f t="shared" si="170"/>
        <v>0.99982281150025842</v>
      </c>
      <c r="K93" s="220">
        <f t="shared" si="246"/>
        <v>9783.9315017299668</v>
      </c>
      <c r="L93" s="219">
        <f t="shared" si="183"/>
        <v>1.0006134230899959</v>
      </c>
      <c r="O93" s="220">
        <f t="shared" si="247"/>
        <v>1077.5114563263178</v>
      </c>
      <c r="P93" s="219">
        <f t="shared" si="208"/>
        <v>1.0000496606019917</v>
      </c>
      <c r="Q93" s="569">
        <f t="shared" si="209"/>
        <v>18.587499999999995</v>
      </c>
      <c r="R93" s="570">
        <f t="shared" si="185"/>
        <v>1096.0989563263179</v>
      </c>
      <c r="U93" s="220">
        <f t="shared" si="248"/>
        <v>5</v>
      </c>
      <c r="V93" s="219">
        <f t="shared" si="171"/>
        <v>1</v>
      </c>
      <c r="W93" s="569">
        <f t="shared" si="187"/>
        <v>7.1291666666666726</v>
      </c>
      <c r="X93" s="570">
        <f t="shared" si="188"/>
        <v>12.129166666666674</v>
      </c>
      <c r="AA93" s="220">
        <f t="shared" si="249"/>
        <v>5</v>
      </c>
      <c r="AB93" s="219">
        <f t="shared" si="172"/>
        <v>1</v>
      </c>
      <c r="AC93" s="569">
        <f t="shared" si="190"/>
        <v>3.6504166666666658</v>
      </c>
      <c r="AD93" s="570">
        <f t="shared" si="191"/>
        <v>8.6504166666666649</v>
      </c>
      <c r="AG93" s="220">
        <f t="shared" si="250"/>
        <v>34214.148329762735</v>
      </c>
      <c r="AH93" s="219">
        <f t="shared" si="173"/>
        <v>1.0008525561429944</v>
      </c>
      <c r="AK93" s="220">
        <f t="shared" si="251"/>
        <v>221.15240283378736</v>
      </c>
      <c r="AL93" s="219">
        <f t="shared" si="174"/>
        <v>0.9985789646374017</v>
      </c>
      <c r="AO93" s="220">
        <f t="shared" si="252"/>
        <v>707.43907472607737</v>
      </c>
      <c r="AP93" s="219">
        <f t="shared" si="195"/>
        <v>0.99884251882283459</v>
      </c>
      <c r="AQ93" s="579"/>
      <c r="AT93" s="220">
        <f t="shared" ca="1" si="253"/>
        <v>49476.294122338521</v>
      </c>
      <c r="AU93" s="219">
        <f t="shared" ca="1" si="210"/>
        <v>1.001542758041601</v>
      </c>
      <c r="AX93" s="220">
        <f t="shared" si="254"/>
        <v>2621.9583533783716</v>
      </c>
      <c r="AY93" s="219">
        <f t="shared" si="175"/>
        <v>1.0011786516735524</v>
      </c>
      <c r="BB93" s="220">
        <f t="shared" si="255"/>
        <v>399.87772527230339</v>
      </c>
      <c r="BC93" s="219">
        <f t="shared" si="176"/>
        <v>1.0005439445652871</v>
      </c>
      <c r="BD93" s="569">
        <f t="shared" si="199"/>
        <v>13.833333333333337</v>
      </c>
      <c r="BE93" s="570">
        <f t="shared" si="200"/>
        <v>413.71105860563671</v>
      </c>
      <c r="BH93" s="220">
        <f t="shared" si="256"/>
        <v>3</v>
      </c>
      <c r="BI93" s="219">
        <f t="shared" si="177"/>
        <v>1</v>
      </c>
      <c r="BJ93" s="569">
        <f t="shared" si="202"/>
        <v>3.4800000000000026</v>
      </c>
      <c r="BK93" s="570">
        <f t="shared" si="203"/>
        <v>6.4800000000000022</v>
      </c>
      <c r="BN93" s="220">
        <f t="shared" si="257"/>
        <v>14727.429697957759</v>
      </c>
      <c r="BO93" s="219">
        <f t="shared" si="178"/>
        <v>1.0013675177910204</v>
      </c>
      <c r="BR93" s="220">
        <f t="shared" si="258"/>
        <v>48.155288165731079</v>
      </c>
      <c r="BS93" s="219">
        <f t="shared" si="179"/>
        <v>1.0010986157583504</v>
      </c>
      <c r="BV93" s="220">
        <f t="shared" si="259"/>
        <v>395.90963899370348</v>
      </c>
      <c r="BW93" s="219">
        <f t="shared" si="207"/>
        <v>1.0004295350216084</v>
      </c>
    </row>
    <row r="94" spans="1:75">
      <c r="A94" s="9">
        <f t="shared" si="168"/>
        <v>2028</v>
      </c>
      <c r="B94" s="9" t="s">
        <v>115</v>
      </c>
      <c r="C94" s="220">
        <f t="shared" ca="1" si="244"/>
        <v>128228.13804806618</v>
      </c>
      <c r="D94" s="219">
        <f t="shared" ca="1" si="227"/>
        <v>1.0016335585384459</v>
      </c>
      <c r="G94" s="220">
        <f t="shared" si="245"/>
        <v>1547.0991689594107</v>
      </c>
      <c r="H94" s="219">
        <f t="shared" si="170"/>
        <v>0.99982281150025831</v>
      </c>
      <c r="K94" s="220">
        <f t="shared" si="246"/>
        <v>9789.9331912240668</v>
      </c>
      <c r="L94" s="219">
        <f t="shared" si="183"/>
        <v>1.0006134230899959</v>
      </c>
      <c r="O94" s="220">
        <f t="shared" si="247"/>
        <v>1077.5649661938919</v>
      </c>
      <c r="P94" s="219">
        <f t="shared" si="208"/>
        <v>1.0000496606019917</v>
      </c>
      <c r="Q94" s="569">
        <f t="shared" si="209"/>
        <v>18.669999999999995</v>
      </c>
      <c r="R94" s="570">
        <f t="shared" si="185"/>
        <v>1096.234966193892</v>
      </c>
      <c r="U94" s="220">
        <f t="shared" si="248"/>
        <v>5</v>
      </c>
      <c r="V94" s="219">
        <f t="shared" si="171"/>
        <v>1</v>
      </c>
      <c r="W94" s="569">
        <f t="shared" si="187"/>
        <v>7.1200000000000063</v>
      </c>
      <c r="X94" s="570">
        <f t="shared" si="188"/>
        <v>12.120000000000006</v>
      </c>
      <c r="AA94" s="220">
        <f t="shared" si="249"/>
        <v>5</v>
      </c>
      <c r="AB94" s="219">
        <f t="shared" si="172"/>
        <v>1</v>
      </c>
      <c r="AC94" s="569">
        <f t="shared" si="190"/>
        <v>3.7199999999999989</v>
      </c>
      <c r="AD94" s="570">
        <f t="shared" si="191"/>
        <v>8.7199999999999989</v>
      </c>
      <c r="AG94" s="220">
        <f t="shared" si="250"/>
        <v>34243.317812098598</v>
      </c>
      <c r="AH94" s="219">
        <f t="shared" si="173"/>
        <v>1.0008525561429944</v>
      </c>
      <c r="AK94" s="220">
        <f t="shared" si="251"/>
        <v>220.83813744883696</v>
      </c>
      <c r="AL94" s="219">
        <f t="shared" si="174"/>
        <v>0.9985789646374017</v>
      </c>
      <c r="AO94" s="220">
        <f t="shared" si="252"/>
        <v>706.62022731309071</v>
      </c>
      <c r="AP94" s="219">
        <f t="shared" si="195"/>
        <v>0.9988425188228347</v>
      </c>
      <c r="AQ94" s="579"/>
      <c r="AT94" s="220">
        <f t="shared" ca="1" si="253"/>
        <v>49552.624072964376</v>
      </c>
      <c r="AU94" s="219">
        <f t="shared" ca="1" si="210"/>
        <v>1.001542758041601</v>
      </c>
      <c r="AX94" s="220">
        <f t="shared" si="254"/>
        <v>2625.0487289795656</v>
      </c>
      <c r="AY94" s="219">
        <f t="shared" si="175"/>
        <v>1.0011786516735524</v>
      </c>
      <c r="BB94" s="220">
        <f t="shared" si="255"/>
        <v>400.09523658774464</v>
      </c>
      <c r="BC94" s="219">
        <f t="shared" si="176"/>
        <v>1.0005439445652871</v>
      </c>
      <c r="BD94" s="569">
        <f t="shared" si="199"/>
        <v>13.975000000000005</v>
      </c>
      <c r="BE94" s="570">
        <f t="shared" si="200"/>
        <v>414.07023658774466</v>
      </c>
      <c r="BH94" s="220">
        <f t="shared" si="256"/>
        <v>3</v>
      </c>
      <c r="BI94" s="219">
        <f t="shared" si="177"/>
        <v>1</v>
      </c>
      <c r="BJ94" s="569">
        <f t="shared" si="202"/>
        <v>3.4800000000000026</v>
      </c>
      <c r="BK94" s="570">
        <f t="shared" si="203"/>
        <v>6.4800000000000022</v>
      </c>
      <c r="BN94" s="220">
        <f t="shared" si="257"/>
        <v>14747.569720085719</v>
      </c>
      <c r="BO94" s="219">
        <f t="shared" si="178"/>
        <v>1.0013675177910204</v>
      </c>
      <c r="BR94" s="220">
        <f t="shared" si="258"/>
        <v>48.208192324157856</v>
      </c>
      <c r="BS94" s="219">
        <f t="shared" si="179"/>
        <v>1.0010986157583504</v>
      </c>
      <c r="BV94" s="220">
        <f t="shared" si="259"/>
        <v>396.0796960490436</v>
      </c>
      <c r="BW94" s="219">
        <f t="shared" si="207"/>
        <v>1.0004295350216084</v>
      </c>
    </row>
    <row r="95" spans="1:75">
      <c r="A95" s="9">
        <f t="shared" si="168"/>
        <v>2029</v>
      </c>
      <c r="B95" s="9" t="s">
        <v>104</v>
      </c>
      <c r="C95" s="220">
        <f ca="1">C19/D19^(5.50989446627246/12)</f>
        <v>128435.5596577871</v>
      </c>
      <c r="D95" s="219">
        <f t="shared" ref="D95:D130" ca="1" si="260">C95/C94</f>
        <v>1.001617598234509</v>
      </c>
      <c r="G95" s="220">
        <f>G19/H19^(5.50989446627246/12)</f>
        <v>1546.8250407787107</v>
      </c>
      <c r="H95" s="219">
        <f t="shared" si="170"/>
        <v>0.99982281150025798</v>
      </c>
      <c r="K95" s="220">
        <f>K19/L19^(5.50989446627246/12)</f>
        <v>9795.9385622930786</v>
      </c>
      <c r="L95" s="219">
        <f t="shared" si="183"/>
        <v>1.0006134230899957</v>
      </c>
      <c r="O95" s="220">
        <f>O19/P19^(5.50989446627246/12)</f>
        <v>1077.6184787187997</v>
      </c>
      <c r="P95" s="219">
        <f t="shared" si="208"/>
        <v>1.0000496606019931</v>
      </c>
      <c r="Q95" s="569">
        <f t="shared" si="209"/>
        <v>18.695833333333329</v>
      </c>
      <c r="R95" s="570">
        <f t="shared" si="185"/>
        <v>1096.3143120521331</v>
      </c>
      <c r="U95" s="220">
        <f>U19/V19^(5.50989446627246/12)</f>
        <v>5</v>
      </c>
      <c r="V95" s="219">
        <f t="shared" si="171"/>
        <v>1</v>
      </c>
      <c r="W95" s="569">
        <f t="shared" si="187"/>
        <v>7.1200000000000063</v>
      </c>
      <c r="X95" s="570">
        <f t="shared" si="188"/>
        <v>12.120000000000006</v>
      </c>
      <c r="AA95" s="220">
        <f>AA19/AB19^(5.50989446627246/12)</f>
        <v>5</v>
      </c>
      <c r="AB95" s="219">
        <f t="shared" si="172"/>
        <v>1</v>
      </c>
      <c r="AC95" s="569">
        <f t="shared" si="190"/>
        <v>3.7299999999999986</v>
      </c>
      <c r="AD95" s="570">
        <f t="shared" si="191"/>
        <v>8.7299999999999986</v>
      </c>
      <c r="AG95" s="220">
        <f>AG19/AH19^(5.50989446627246/12)</f>
        <v>34272.512163055835</v>
      </c>
      <c r="AH95" s="219">
        <f t="shared" si="173"/>
        <v>1.0008525561429951</v>
      </c>
      <c r="AK95" s="220">
        <f>AK19/AL19^(5.50989446627246/12)</f>
        <v>220.52431864611191</v>
      </c>
      <c r="AL95" s="219">
        <f t="shared" si="174"/>
        <v>0.99857896463740214</v>
      </c>
      <c r="AO95" s="220">
        <f>AO19/AP19^(5.50989446627246/12)</f>
        <v>705.80232770057182</v>
      </c>
      <c r="AP95" s="219">
        <f t="shared" si="195"/>
        <v>0.99884251882283515</v>
      </c>
      <c r="AQ95" s="579"/>
      <c r="AT95" s="220">
        <f ca="1">AT19/AU19^(5.50989446627246/12)</f>
        <v>49642.176138962735</v>
      </c>
      <c r="AU95" s="219">
        <f t="shared" ca="1" si="210"/>
        <v>1.0018072113772722</v>
      </c>
      <c r="AX95" s="220">
        <f>AX19/AY19^(5.50989446627246/12)</f>
        <v>2628.1427470571361</v>
      </c>
      <c r="AY95" s="219">
        <f t="shared" si="175"/>
        <v>1.0011786516735532</v>
      </c>
      <c r="BB95" s="220">
        <f>BB19/BC19^(5.50989446627246/12)</f>
        <v>400.31286621728327</v>
      </c>
      <c r="BC95" s="219">
        <f t="shared" si="176"/>
        <v>1.0005439445652857</v>
      </c>
      <c r="BD95" s="569">
        <f t="shared" si="199"/>
        <v>14.033333333333339</v>
      </c>
      <c r="BE95" s="570">
        <f t="shared" si="200"/>
        <v>414.34619955061663</v>
      </c>
      <c r="BH95" s="220">
        <f>BH19/BI19^(5.50989446627246/12)</f>
        <v>3</v>
      </c>
      <c r="BI95" s="219">
        <f t="shared" si="177"/>
        <v>1</v>
      </c>
      <c r="BJ95" s="569">
        <f t="shared" si="202"/>
        <v>3.4800000000000026</v>
      </c>
      <c r="BK95" s="570">
        <f t="shared" si="203"/>
        <v>6.4800000000000022</v>
      </c>
      <c r="BN95" s="220">
        <f>BN19/BO19^(5.50989446627246/12)</f>
        <v>14767.737284052249</v>
      </c>
      <c r="BO95" s="219">
        <f t="shared" si="178"/>
        <v>1.0013675177910204</v>
      </c>
      <c r="BR95" s="220">
        <f>BR19/BS19^(5.50989446627246/12)</f>
        <v>48.261154603926727</v>
      </c>
      <c r="BS95" s="219">
        <f t="shared" si="179"/>
        <v>1.0010986157583497</v>
      </c>
      <c r="BV95" s="220">
        <f>BV19/BW19^(5.50989446627246/12)</f>
        <v>396.24982614984452</v>
      </c>
      <c r="BW95" s="219">
        <f t="shared" si="207"/>
        <v>1.0004295350216079</v>
      </c>
    </row>
    <row r="96" spans="1:75">
      <c r="A96" s="9">
        <f t="shared" si="168"/>
        <v>2029</v>
      </c>
      <c r="B96" s="9" t="s">
        <v>105</v>
      </c>
      <c r="C96" s="220">
        <f t="shared" ref="C96:C106" ca="1" si="261">C95*D$19^(1/12)</f>
        <v>128645.05081528655</v>
      </c>
      <c r="D96" s="219">
        <f t="shared" ca="1" si="260"/>
        <v>1.0016310993470783</v>
      </c>
      <c r="G96" s="220">
        <f t="shared" ref="G96:G106" si="262">G95*H$19^(1/12)</f>
        <v>1546.5509611703724</v>
      </c>
      <c r="H96" s="219">
        <f t="shared" si="170"/>
        <v>0.99982281150025842</v>
      </c>
      <c r="K96" s="220">
        <f t="shared" ref="K96:K106" si="263">K95*L$19^(1/12)</f>
        <v>9801.9476171953702</v>
      </c>
      <c r="L96" s="219">
        <f t="shared" si="183"/>
        <v>1.0006134230899959</v>
      </c>
      <c r="O96" s="220">
        <f t="shared" ref="O96:O106" si="264">O95*P$19^(1/12)</f>
        <v>1077.6719939011703</v>
      </c>
      <c r="P96" s="219">
        <f t="shared" si="208"/>
        <v>1.0000496606019917</v>
      </c>
      <c r="Q96" s="569">
        <f t="shared" si="209"/>
        <v>18.721666666666664</v>
      </c>
      <c r="R96" s="570">
        <f t="shared" si="185"/>
        <v>1096.3936605678368</v>
      </c>
      <c r="U96" s="220">
        <f t="shared" ref="U96:U106" si="265">U95*V$19^(1/12)</f>
        <v>5</v>
      </c>
      <c r="V96" s="219">
        <f t="shared" si="171"/>
        <v>1</v>
      </c>
      <c r="W96" s="569">
        <f t="shared" si="187"/>
        <v>7.1200000000000063</v>
      </c>
      <c r="X96" s="570">
        <f t="shared" si="188"/>
        <v>12.120000000000006</v>
      </c>
      <c r="AA96" s="220">
        <f t="shared" ref="AA96:AA106" si="266">AA95*AB$19^(1/12)</f>
        <v>5</v>
      </c>
      <c r="AB96" s="219">
        <f t="shared" si="172"/>
        <v>1</v>
      </c>
      <c r="AC96" s="569">
        <f t="shared" si="190"/>
        <v>3.7399999999999984</v>
      </c>
      <c r="AD96" s="570">
        <f t="shared" si="191"/>
        <v>8.7399999999999984</v>
      </c>
      <c r="AG96" s="220">
        <f t="shared" ref="AG96:AG106" si="267">AG95*AH$19^(1/12)</f>
        <v>34301.731403836297</v>
      </c>
      <c r="AH96" s="219">
        <f t="shared" si="173"/>
        <v>1.0008525561429944</v>
      </c>
      <c r="AK96" s="220">
        <f t="shared" ref="AK96:AK106" si="268">AK95*AL$19^(1/12)</f>
        <v>220.2109457910029</v>
      </c>
      <c r="AL96" s="219">
        <f t="shared" si="174"/>
        <v>0.9985789646374017</v>
      </c>
      <c r="AO96" s="220">
        <f t="shared" ref="AO96:AO106" si="269">AO95*AP$19^(1/12)</f>
        <v>704.98537479145898</v>
      </c>
      <c r="AP96" s="219">
        <f t="shared" si="195"/>
        <v>0.9988425188228347</v>
      </c>
      <c r="AQ96" s="579"/>
      <c r="AT96" s="220">
        <f t="shared" ref="AT96:AT106" ca="1" si="270">AT95*AU$19^(1/12)</f>
        <v>49720.784556977022</v>
      </c>
      <c r="AU96" s="219">
        <f t="shared" ca="1" si="210"/>
        <v>1.0015835006465921</v>
      </c>
      <c r="AX96" s="220">
        <f t="shared" ref="AX96:AX106" si="271">AX95*AY$19^(1/12)</f>
        <v>2631.2404119042894</v>
      </c>
      <c r="AY96" s="219">
        <f t="shared" si="175"/>
        <v>1.0011786516735524</v>
      </c>
      <c r="BB96" s="220">
        <f t="shared" ref="BB96:BB106" si="272">BB95*BC$19^(1/12)</f>
        <v>400.53061422527662</v>
      </c>
      <c r="BC96" s="219">
        <f t="shared" si="176"/>
        <v>1.0005439445652871</v>
      </c>
      <c r="BD96" s="569">
        <f t="shared" si="199"/>
        <v>14.091666666666672</v>
      </c>
      <c r="BE96" s="570">
        <f t="shared" si="200"/>
        <v>414.62228089194332</v>
      </c>
      <c r="BH96" s="220">
        <f t="shared" ref="BH96:BH106" si="273">BH95*BI$19^(1/12)</f>
        <v>3</v>
      </c>
      <c r="BI96" s="219">
        <f t="shared" si="177"/>
        <v>1</v>
      </c>
      <c r="BJ96" s="569">
        <f t="shared" si="202"/>
        <v>3.4800000000000026</v>
      </c>
      <c r="BK96" s="570">
        <f t="shared" si="203"/>
        <v>6.4800000000000022</v>
      </c>
      <c r="BN96" s="220">
        <f t="shared" ref="BN96:BN106" si="274">BN95*BO$19^(1/12)</f>
        <v>14787.932427521306</v>
      </c>
      <c r="BO96" s="219">
        <f t="shared" si="178"/>
        <v>1.0013675177910204</v>
      </c>
      <c r="BR96" s="220">
        <f t="shared" ref="BR96:BR106" si="275">BR95*BS$19^(1/12)</f>
        <v>48.314175068890783</v>
      </c>
      <c r="BS96" s="219">
        <f t="shared" si="179"/>
        <v>1.0010986157583504</v>
      </c>
      <c r="BV96" s="220">
        <f t="shared" ref="BV96:BV106" si="276">BV95*BW$19^(1/12)</f>
        <v>396.4200293274821</v>
      </c>
      <c r="BW96" s="219">
        <f t="shared" si="207"/>
        <v>1.0004295350216084</v>
      </c>
    </row>
    <row r="97" spans="1:75">
      <c r="A97" s="9">
        <f t="shared" si="168"/>
        <v>2029</v>
      </c>
      <c r="B97" s="9" t="s">
        <v>106</v>
      </c>
      <c r="C97" s="220">
        <f t="shared" ca="1" si="261"/>
        <v>128854.88367367622</v>
      </c>
      <c r="D97" s="219">
        <f t="shared" ca="1" si="260"/>
        <v>1.0016310993470783</v>
      </c>
      <c r="G97" s="220">
        <f t="shared" si="262"/>
        <v>1546.2769301257888</v>
      </c>
      <c r="H97" s="219">
        <f t="shared" si="170"/>
        <v>0.99982281150025853</v>
      </c>
      <c r="K97" s="220">
        <f t="shared" si="263"/>
        <v>9807.9603581906886</v>
      </c>
      <c r="L97" s="219">
        <f t="shared" si="183"/>
        <v>1.0006134230899959</v>
      </c>
      <c r="O97" s="220">
        <f t="shared" si="264"/>
        <v>1077.7255117411371</v>
      </c>
      <c r="P97" s="219">
        <f t="shared" si="208"/>
        <v>1.0000496606019917</v>
      </c>
      <c r="Q97" s="569">
        <f t="shared" si="209"/>
        <v>18.747499999999999</v>
      </c>
      <c r="R97" s="570">
        <f t="shared" si="185"/>
        <v>1096.473011741137</v>
      </c>
      <c r="U97" s="220">
        <f t="shared" si="265"/>
        <v>5</v>
      </c>
      <c r="V97" s="219">
        <f t="shared" si="171"/>
        <v>1</v>
      </c>
      <c r="W97" s="569">
        <f t="shared" si="187"/>
        <v>7.1200000000000063</v>
      </c>
      <c r="X97" s="570">
        <f t="shared" si="188"/>
        <v>12.120000000000006</v>
      </c>
      <c r="AA97" s="220">
        <f t="shared" si="266"/>
        <v>5</v>
      </c>
      <c r="AB97" s="219">
        <f t="shared" si="172"/>
        <v>1</v>
      </c>
      <c r="AC97" s="569">
        <f t="shared" si="190"/>
        <v>3.7499999999999982</v>
      </c>
      <c r="AD97" s="570">
        <f t="shared" si="191"/>
        <v>8.7499999999999982</v>
      </c>
      <c r="AG97" s="220">
        <f t="shared" si="267"/>
        <v>34330.975555659978</v>
      </c>
      <c r="AH97" s="219">
        <f t="shared" si="173"/>
        <v>1.0008525561429944</v>
      </c>
      <c r="AK97" s="220">
        <f t="shared" si="268"/>
        <v>219.89801824980267</v>
      </c>
      <c r="AL97" s="219">
        <f t="shared" si="174"/>
        <v>0.9985789646374017</v>
      </c>
      <c r="AO97" s="220">
        <f t="shared" si="269"/>
        <v>704.16936748996102</v>
      </c>
      <c r="AP97" s="219">
        <f t="shared" si="195"/>
        <v>0.9988425188228347</v>
      </c>
      <c r="AQ97" s="579"/>
      <c r="AT97" s="220">
        <f t="shared" ca="1" si="270"/>
        <v>49799.517451472057</v>
      </c>
      <c r="AU97" s="219">
        <f t="shared" ca="1" si="210"/>
        <v>1.0015835006465921</v>
      </c>
      <c r="AX97" s="220">
        <f t="shared" si="271"/>
        <v>2634.3417278192992</v>
      </c>
      <c r="AY97" s="219">
        <f t="shared" si="175"/>
        <v>1.0011786516735524</v>
      </c>
      <c r="BB97" s="220">
        <f t="shared" si="272"/>
        <v>400.74848067611555</v>
      </c>
      <c r="BC97" s="219">
        <f t="shared" si="176"/>
        <v>1.0005439445652871</v>
      </c>
      <c r="BD97" s="569">
        <f t="shared" si="199"/>
        <v>14.150000000000006</v>
      </c>
      <c r="BE97" s="570">
        <f t="shared" si="200"/>
        <v>414.89848067611558</v>
      </c>
      <c r="BH97" s="220">
        <f t="shared" si="273"/>
        <v>3</v>
      </c>
      <c r="BI97" s="219">
        <f t="shared" si="177"/>
        <v>1</v>
      </c>
      <c r="BJ97" s="569">
        <f t="shared" si="202"/>
        <v>3.4800000000000026</v>
      </c>
      <c r="BK97" s="570">
        <f t="shared" si="203"/>
        <v>6.4800000000000022</v>
      </c>
      <c r="BN97" s="220">
        <f t="shared" si="274"/>
        <v>14808.15518820835</v>
      </c>
      <c r="BO97" s="219">
        <f t="shared" si="178"/>
        <v>1.0013675177910204</v>
      </c>
      <c r="BR97" s="220">
        <f t="shared" si="275"/>
        <v>48.367253782973165</v>
      </c>
      <c r="BS97" s="219">
        <f t="shared" si="179"/>
        <v>1.0010986157583504</v>
      </c>
      <c r="BV97" s="220">
        <f t="shared" si="276"/>
        <v>396.59030561334527</v>
      </c>
      <c r="BW97" s="219">
        <f t="shared" si="207"/>
        <v>1.0004295350216084</v>
      </c>
    </row>
    <row r="98" spans="1:75">
      <c r="A98" s="9">
        <f t="shared" si="168"/>
        <v>2029</v>
      </c>
      <c r="B98" s="9" t="s">
        <v>107</v>
      </c>
      <c r="C98" s="220">
        <f t="shared" ca="1" si="261"/>
        <v>129065.0587903042</v>
      </c>
      <c r="D98" s="219">
        <f t="shared" ca="1" si="260"/>
        <v>1.0016310993470783</v>
      </c>
      <c r="G98" s="220">
        <f t="shared" si="262"/>
        <v>1546.0029476363547</v>
      </c>
      <c r="H98" s="219">
        <f t="shared" si="170"/>
        <v>0.99982281150025842</v>
      </c>
      <c r="K98" s="220">
        <f t="shared" si="263"/>
        <v>9813.9767875401667</v>
      </c>
      <c r="L98" s="219">
        <f t="shared" si="183"/>
        <v>1.0006134230899959</v>
      </c>
      <c r="O98" s="220">
        <f t="shared" si="264"/>
        <v>1077.7790322388321</v>
      </c>
      <c r="P98" s="219">
        <f t="shared" si="208"/>
        <v>1.0000496606019917</v>
      </c>
      <c r="Q98" s="569">
        <f t="shared" si="209"/>
        <v>18.773333333333333</v>
      </c>
      <c r="R98" s="570">
        <f t="shared" si="185"/>
        <v>1096.5523655721654</v>
      </c>
      <c r="U98" s="220">
        <f t="shared" si="265"/>
        <v>5</v>
      </c>
      <c r="V98" s="219">
        <f t="shared" si="171"/>
        <v>1</v>
      </c>
      <c r="W98" s="569">
        <f t="shared" si="187"/>
        <v>7.1200000000000063</v>
      </c>
      <c r="X98" s="570">
        <f t="shared" si="188"/>
        <v>12.120000000000006</v>
      </c>
      <c r="AA98" s="220">
        <f t="shared" si="266"/>
        <v>5</v>
      </c>
      <c r="AB98" s="219">
        <f t="shared" si="172"/>
        <v>1</v>
      </c>
      <c r="AC98" s="569">
        <f t="shared" si="190"/>
        <v>3.759999999999998</v>
      </c>
      <c r="AD98" s="570">
        <f t="shared" si="191"/>
        <v>8.759999999999998</v>
      </c>
      <c r="AG98" s="220">
        <f t="shared" si="267"/>
        <v>34360.244639764947</v>
      </c>
      <c r="AH98" s="219">
        <f t="shared" si="173"/>
        <v>1.0008525561429944</v>
      </c>
      <c r="AK98" s="220">
        <f t="shared" si="268"/>
        <v>219.58553538970443</v>
      </c>
      <c r="AL98" s="219">
        <f t="shared" si="174"/>
        <v>0.99857896463740181</v>
      </c>
      <c r="AO98" s="220">
        <f t="shared" si="269"/>
        <v>703.35430470155495</v>
      </c>
      <c r="AP98" s="219">
        <f t="shared" si="195"/>
        <v>0.99884251882283459</v>
      </c>
      <c r="AQ98" s="579"/>
      <c r="AT98" s="220">
        <f t="shared" ca="1" si="270"/>
        <v>49878.375019556435</v>
      </c>
      <c r="AU98" s="219">
        <f t="shared" ca="1" si="210"/>
        <v>1.0015835006465921</v>
      </c>
      <c r="AX98" s="220">
        <f t="shared" si="271"/>
        <v>2637.4466991055024</v>
      </c>
      <c r="AY98" s="219">
        <f t="shared" si="175"/>
        <v>1.0011786516735524</v>
      </c>
      <c r="BB98" s="220">
        <f t="shared" si="272"/>
        <v>400.96646563422638</v>
      </c>
      <c r="BC98" s="219">
        <f t="shared" si="176"/>
        <v>1.0005439445652871</v>
      </c>
      <c r="BD98" s="569">
        <f t="shared" si="199"/>
        <v>14.208333333333339</v>
      </c>
      <c r="BE98" s="570">
        <f t="shared" si="200"/>
        <v>415.1747989675597</v>
      </c>
      <c r="BH98" s="220">
        <f t="shared" si="273"/>
        <v>3</v>
      </c>
      <c r="BI98" s="219">
        <f t="shared" si="177"/>
        <v>1</v>
      </c>
      <c r="BJ98" s="569">
        <f t="shared" si="202"/>
        <v>3.4800000000000026</v>
      </c>
      <c r="BK98" s="570">
        <f t="shared" si="203"/>
        <v>6.4800000000000022</v>
      </c>
      <c r="BN98" s="220">
        <f t="shared" si="274"/>
        <v>14828.405603880416</v>
      </c>
      <c r="BO98" s="219">
        <f t="shared" si="178"/>
        <v>1.0013675177910204</v>
      </c>
      <c r="BR98" s="220">
        <f t="shared" si="275"/>
        <v>48.42039081016727</v>
      </c>
      <c r="BS98" s="219">
        <f t="shared" si="179"/>
        <v>1.0010986157583504</v>
      </c>
      <c r="BV98" s="220">
        <f t="shared" si="276"/>
        <v>396.76065503883655</v>
      </c>
      <c r="BW98" s="219">
        <f t="shared" si="207"/>
        <v>1.0004295350216084</v>
      </c>
    </row>
    <row r="99" spans="1:75">
      <c r="A99" s="9">
        <f t="shared" si="168"/>
        <v>2029</v>
      </c>
      <c r="B99" s="9" t="s">
        <v>108</v>
      </c>
      <c r="C99" s="220">
        <f t="shared" ca="1" si="261"/>
        <v>129275.57672342769</v>
      </c>
      <c r="D99" s="219">
        <f t="shared" ca="1" si="260"/>
        <v>1.0016310993470783</v>
      </c>
      <c r="G99" s="220">
        <f t="shared" si="262"/>
        <v>1545.7290136934671</v>
      </c>
      <c r="H99" s="219">
        <f t="shared" si="170"/>
        <v>0.99982281150025853</v>
      </c>
      <c r="K99" s="220">
        <f t="shared" si="263"/>
        <v>9819.9969075063273</v>
      </c>
      <c r="L99" s="219">
        <f t="shared" si="183"/>
        <v>1.0006134230899959</v>
      </c>
      <c r="O99" s="220">
        <f t="shared" si="264"/>
        <v>1077.8325553943871</v>
      </c>
      <c r="P99" s="219">
        <f t="shared" si="208"/>
        <v>1.0000496606019917</v>
      </c>
      <c r="Q99" s="569">
        <f t="shared" si="209"/>
        <v>18.799166666666668</v>
      </c>
      <c r="R99" s="570">
        <f t="shared" si="185"/>
        <v>1096.6317220610538</v>
      </c>
      <c r="U99" s="220">
        <f t="shared" si="265"/>
        <v>5</v>
      </c>
      <c r="V99" s="219">
        <f t="shared" si="171"/>
        <v>1</v>
      </c>
      <c r="W99" s="569">
        <f t="shared" si="187"/>
        <v>7.1200000000000063</v>
      </c>
      <c r="X99" s="570">
        <f t="shared" si="188"/>
        <v>12.120000000000006</v>
      </c>
      <c r="AA99" s="220">
        <f t="shared" si="266"/>
        <v>5</v>
      </c>
      <c r="AB99" s="219">
        <f t="shared" si="172"/>
        <v>1</v>
      </c>
      <c r="AC99" s="569">
        <f t="shared" si="190"/>
        <v>3.7699999999999978</v>
      </c>
      <c r="AD99" s="570">
        <f t="shared" si="191"/>
        <v>8.7699999999999978</v>
      </c>
      <c r="AG99" s="220">
        <f t="shared" si="267"/>
        <v>34389.53867740737</v>
      </c>
      <c r="AH99" s="219">
        <f t="shared" si="173"/>
        <v>1.0008525561429944</v>
      </c>
      <c r="AK99" s="220">
        <f t="shared" si="268"/>
        <v>219.27349657880058</v>
      </c>
      <c r="AL99" s="219">
        <f t="shared" si="174"/>
        <v>0.9985789646374017</v>
      </c>
      <c r="AO99" s="220">
        <f t="shared" si="269"/>
        <v>702.54018533298472</v>
      </c>
      <c r="AP99" s="219">
        <f t="shared" si="195"/>
        <v>0.9988425188228347</v>
      </c>
      <c r="AQ99" s="579"/>
      <c r="AT99" s="220">
        <f t="shared" ca="1" si="270"/>
        <v>49957.357458650862</v>
      </c>
      <c r="AU99" s="219">
        <f t="shared" ca="1" si="210"/>
        <v>1.0015835006465921</v>
      </c>
      <c r="AX99" s="220">
        <f t="shared" si="271"/>
        <v>2640.5553300713082</v>
      </c>
      <c r="AY99" s="219">
        <f t="shared" si="175"/>
        <v>1.0011786516735524</v>
      </c>
      <c r="BB99" s="220">
        <f t="shared" si="272"/>
        <v>401.18456916407047</v>
      </c>
      <c r="BC99" s="219">
        <f t="shared" si="176"/>
        <v>1.0005439445652871</v>
      </c>
      <c r="BD99" s="569">
        <f t="shared" si="199"/>
        <v>14.266666666666673</v>
      </c>
      <c r="BE99" s="570">
        <f t="shared" si="200"/>
        <v>415.45123583073712</v>
      </c>
      <c r="BH99" s="220">
        <f t="shared" si="273"/>
        <v>3</v>
      </c>
      <c r="BI99" s="219">
        <f t="shared" si="177"/>
        <v>1</v>
      </c>
      <c r="BJ99" s="569">
        <f t="shared" si="202"/>
        <v>3.4800000000000026</v>
      </c>
      <c r="BK99" s="570">
        <f t="shared" si="203"/>
        <v>6.4800000000000022</v>
      </c>
      <c r="BN99" s="220">
        <f t="shared" si="274"/>
        <v>14848.683712356189</v>
      </c>
      <c r="BO99" s="219">
        <f t="shared" si="178"/>
        <v>1.0013675177910204</v>
      </c>
      <c r="BR99" s="220">
        <f t="shared" si="275"/>
        <v>48.473586214536802</v>
      </c>
      <c r="BS99" s="219">
        <f t="shared" si="179"/>
        <v>1.0010986157583504</v>
      </c>
      <c r="BV99" s="220">
        <f t="shared" si="276"/>
        <v>396.93107763537199</v>
      </c>
      <c r="BW99" s="219">
        <f t="shared" si="207"/>
        <v>1.0004295350216084</v>
      </c>
    </row>
    <row r="100" spans="1:75">
      <c r="A100" s="9">
        <f t="shared" ref="A100:A130" si="277">A88+1</f>
        <v>2029</v>
      </c>
      <c r="B100" s="9" t="s">
        <v>109</v>
      </c>
      <c r="C100" s="220">
        <f t="shared" ca="1" si="261"/>
        <v>129486.43803221444</v>
      </c>
      <c r="D100" s="219">
        <f t="shared" ca="1" si="260"/>
        <v>1.0016310993470783</v>
      </c>
      <c r="G100" s="220">
        <f t="shared" si="262"/>
        <v>1545.4551282885236</v>
      </c>
      <c r="H100" s="219">
        <f t="shared" si="170"/>
        <v>0.99982281150025831</v>
      </c>
      <c r="K100" s="220">
        <f t="shared" si="263"/>
        <v>9826.0207203530808</v>
      </c>
      <c r="L100" s="219">
        <f t="shared" si="183"/>
        <v>1.0006134230899959</v>
      </c>
      <c r="O100" s="220">
        <f t="shared" si="264"/>
        <v>1077.8860812079342</v>
      </c>
      <c r="P100" s="219">
        <f t="shared" si="208"/>
        <v>1.0000496606019917</v>
      </c>
      <c r="Q100" s="569">
        <f t="shared" si="209"/>
        <v>18.825000000000003</v>
      </c>
      <c r="R100" s="570">
        <f t="shared" si="185"/>
        <v>1096.7110812079343</v>
      </c>
      <c r="U100" s="220">
        <f t="shared" si="265"/>
        <v>5</v>
      </c>
      <c r="V100" s="219">
        <f t="shared" si="171"/>
        <v>1</v>
      </c>
      <c r="W100" s="569">
        <f t="shared" si="187"/>
        <v>7.1200000000000063</v>
      </c>
      <c r="X100" s="570">
        <f t="shared" si="188"/>
        <v>12.120000000000006</v>
      </c>
      <c r="AA100" s="220">
        <f t="shared" si="266"/>
        <v>5</v>
      </c>
      <c r="AB100" s="219">
        <f t="shared" si="172"/>
        <v>1</v>
      </c>
      <c r="AC100" s="569">
        <f t="shared" si="190"/>
        <v>3.7799999999999976</v>
      </c>
      <c r="AD100" s="570">
        <f t="shared" si="191"/>
        <v>8.7799999999999976</v>
      </c>
      <c r="AG100" s="220">
        <f t="shared" si="267"/>
        <v>34418.857689861536</v>
      </c>
      <c r="AH100" s="219">
        <f t="shared" si="173"/>
        <v>1.0008525561429944</v>
      </c>
      <c r="AK100" s="220">
        <f t="shared" si="268"/>
        <v>218.96190118608152</v>
      </c>
      <c r="AL100" s="219">
        <f t="shared" si="174"/>
        <v>0.9985789646374017</v>
      </c>
      <c r="AO100" s="220">
        <f t="shared" si="269"/>
        <v>701.7270082922596</v>
      </c>
      <c r="AP100" s="219">
        <f t="shared" si="195"/>
        <v>0.9988425188228347</v>
      </c>
      <c r="AQ100" s="579"/>
      <c r="AT100" s="220">
        <f t="shared" ca="1" si="270"/>
        <v>50036.464966488667</v>
      </c>
      <c r="AU100" s="219">
        <f t="shared" ca="1" si="210"/>
        <v>1.0015835006465921</v>
      </c>
      <c r="AX100" s="220">
        <f t="shared" si="271"/>
        <v>2643.6676250302044</v>
      </c>
      <c r="AY100" s="219">
        <f t="shared" si="175"/>
        <v>1.0011786516735524</v>
      </c>
      <c r="BB100" s="220">
        <f t="shared" si="272"/>
        <v>401.40279133014428</v>
      </c>
      <c r="BC100" s="219">
        <f t="shared" si="176"/>
        <v>1.0005439445652871</v>
      </c>
      <c r="BD100" s="569">
        <f t="shared" si="199"/>
        <v>14.325000000000006</v>
      </c>
      <c r="BE100" s="570">
        <f t="shared" si="200"/>
        <v>415.72779133014427</v>
      </c>
      <c r="BH100" s="220">
        <f t="shared" si="273"/>
        <v>3</v>
      </c>
      <c r="BI100" s="219">
        <f t="shared" si="177"/>
        <v>1</v>
      </c>
      <c r="BJ100" s="569">
        <f t="shared" si="202"/>
        <v>3.4800000000000026</v>
      </c>
      <c r="BK100" s="570">
        <f t="shared" si="203"/>
        <v>6.4800000000000022</v>
      </c>
      <c r="BN100" s="220">
        <f t="shared" si="274"/>
        <v>14868.989551506071</v>
      </c>
      <c r="BO100" s="219">
        <f t="shared" si="178"/>
        <v>1.0013675177910204</v>
      </c>
      <c r="BR100" s="220">
        <f t="shared" si="275"/>
        <v>48.526840060215847</v>
      </c>
      <c r="BS100" s="219">
        <f t="shared" si="179"/>
        <v>1.0010986157583504</v>
      </c>
      <c r="BV100" s="220">
        <f t="shared" si="276"/>
        <v>397.10157343438112</v>
      </c>
      <c r="BW100" s="219">
        <f t="shared" si="207"/>
        <v>1.0004295350216084</v>
      </c>
    </row>
    <row r="101" spans="1:75">
      <c r="A101" s="9">
        <f t="shared" si="277"/>
        <v>2029</v>
      </c>
      <c r="B101" s="9" t="s">
        <v>110</v>
      </c>
      <c r="C101" s="220">
        <f t="shared" ca="1" si="261"/>
        <v>129697.64327674427</v>
      </c>
      <c r="D101" s="219">
        <f t="shared" ca="1" si="260"/>
        <v>1.0016310993470783</v>
      </c>
      <c r="G101" s="220">
        <f t="shared" si="262"/>
        <v>1545.1812914129243</v>
      </c>
      <c r="H101" s="219">
        <f t="shared" ref="H101:H130" si="278">G101/G100</f>
        <v>0.99982281150025853</v>
      </c>
      <c r="K101" s="220">
        <f t="shared" si="263"/>
        <v>9832.0482283457241</v>
      </c>
      <c r="L101" s="219">
        <f t="shared" ref="L101:L130" si="279">K101/K100</f>
        <v>1.0006134230899959</v>
      </c>
      <c r="O101" s="220">
        <f t="shared" si="264"/>
        <v>1077.9396096796056</v>
      </c>
      <c r="P101" s="219">
        <f t="shared" ref="P101:P130" si="280">O101/O100</f>
        <v>1.0000496606019917</v>
      </c>
      <c r="Q101" s="569">
        <f t="shared" si="209"/>
        <v>18.850833333333338</v>
      </c>
      <c r="R101" s="570">
        <f t="shared" si="185"/>
        <v>1096.790443012939</v>
      </c>
      <c r="U101" s="220">
        <f t="shared" si="265"/>
        <v>5</v>
      </c>
      <c r="V101" s="219">
        <f t="shared" ref="V101:V130" si="281">U101/U100</f>
        <v>1</v>
      </c>
      <c r="W101" s="569">
        <f t="shared" si="187"/>
        <v>7.1200000000000063</v>
      </c>
      <c r="X101" s="570">
        <f t="shared" si="188"/>
        <v>12.120000000000006</v>
      </c>
      <c r="AA101" s="220">
        <f t="shared" si="266"/>
        <v>5</v>
      </c>
      <c r="AB101" s="219">
        <f t="shared" ref="AB101:AB130" si="282">AA101/AA100</f>
        <v>1</v>
      </c>
      <c r="AC101" s="569">
        <f t="shared" si="190"/>
        <v>3.7899999999999974</v>
      </c>
      <c r="AD101" s="570">
        <f t="shared" si="191"/>
        <v>8.7899999999999974</v>
      </c>
      <c r="AG101" s="220">
        <f t="shared" si="267"/>
        <v>34448.201698419878</v>
      </c>
      <c r="AH101" s="219">
        <f t="shared" ref="AH101:AH130" si="283">AG101/AG100</f>
        <v>1.0008525561429944</v>
      </c>
      <c r="AK101" s="220">
        <f t="shared" si="268"/>
        <v>218.65074858143436</v>
      </c>
      <c r="AL101" s="219">
        <f t="shared" ref="AL101:AL130" si="284">AK101/AK100</f>
        <v>0.99857896463740181</v>
      </c>
      <c r="AO101" s="220">
        <f t="shared" si="269"/>
        <v>700.91477248865283</v>
      </c>
      <c r="AP101" s="219">
        <f t="shared" ref="AP101:AP130" si="285">AO101/AO100</f>
        <v>0.99884251882283481</v>
      </c>
      <c r="AQ101" s="579"/>
      <c r="AT101" s="220">
        <f t="shared" ca="1" si="270"/>
        <v>50115.697741116281</v>
      </c>
      <c r="AU101" s="219">
        <f t="shared" ref="AU101:AU130" ca="1" si="286">AT101/AT100</f>
        <v>1.0015835006465921</v>
      </c>
      <c r="AX101" s="220">
        <f t="shared" si="271"/>
        <v>2646.7835883007624</v>
      </c>
      <c r="AY101" s="219">
        <f t="shared" ref="AY101:AY130" si="287">AX101/AX100</f>
        <v>1.0011786516735524</v>
      </c>
      <c r="BB101" s="220">
        <f t="shared" si="272"/>
        <v>401.62113219697937</v>
      </c>
      <c r="BC101" s="219">
        <f t="shared" ref="BC101:BC130" si="288">BB101/BB100</f>
        <v>1.0005439445652871</v>
      </c>
      <c r="BD101" s="569">
        <f t="shared" si="199"/>
        <v>14.38333333333334</v>
      </c>
      <c r="BE101" s="570">
        <f t="shared" si="200"/>
        <v>416.0044655303127</v>
      </c>
      <c r="BH101" s="220">
        <f t="shared" si="273"/>
        <v>3</v>
      </c>
      <c r="BI101" s="219">
        <f t="shared" ref="BI101:BI130" si="289">BH101/BH100</f>
        <v>1</v>
      </c>
      <c r="BJ101" s="569">
        <f t="shared" si="202"/>
        <v>3.4800000000000026</v>
      </c>
      <c r="BK101" s="570">
        <f t="shared" si="203"/>
        <v>6.4800000000000022</v>
      </c>
      <c r="BN101" s="220">
        <f t="shared" si="274"/>
        <v>14889.323159252252</v>
      </c>
      <c r="BO101" s="219">
        <f t="shared" ref="BO101:BO130" si="290">BN101/BN100</f>
        <v>1.0013675177910204</v>
      </c>
      <c r="BR101" s="220">
        <f t="shared" si="275"/>
        <v>48.580152411408946</v>
      </c>
      <c r="BS101" s="219">
        <f t="shared" ref="BS101:BS130" si="291">BR101/BR100</f>
        <v>1.0010986157583504</v>
      </c>
      <c r="BV101" s="220">
        <f t="shared" si="276"/>
        <v>397.27214246730699</v>
      </c>
      <c r="BW101" s="219">
        <f t="shared" ref="BW101:BW130" si="292">BV101/BV100</f>
        <v>1.0004295350216084</v>
      </c>
    </row>
    <row r="102" spans="1:75">
      <c r="A102" s="9">
        <f t="shared" si="277"/>
        <v>2029</v>
      </c>
      <c r="B102" s="9" t="s">
        <v>111</v>
      </c>
      <c r="C102" s="220">
        <f t="shared" ca="1" si="261"/>
        <v>129909.19301801057</v>
      </c>
      <c r="D102" s="219">
        <f t="shared" ca="1" si="260"/>
        <v>1.0016310993470783</v>
      </c>
      <c r="G102" s="220">
        <f t="shared" si="262"/>
        <v>1544.9075030580702</v>
      </c>
      <c r="H102" s="219">
        <f t="shared" si="278"/>
        <v>0.99982281150025853</v>
      </c>
      <c r="K102" s="220">
        <f t="shared" si="263"/>
        <v>9838.0794337509451</v>
      </c>
      <c r="L102" s="219">
        <f t="shared" si="279"/>
        <v>1.0006134230899959</v>
      </c>
      <c r="O102" s="220">
        <f t="shared" si="264"/>
        <v>1077.9931408095331</v>
      </c>
      <c r="P102" s="219">
        <f t="shared" si="280"/>
        <v>1.0000496606019917</v>
      </c>
      <c r="Q102" s="569">
        <f t="shared" si="209"/>
        <v>18.876666666666672</v>
      </c>
      <c r="R102" s="570">
        <f t="shared" si="185"/>
        <v>1096.8698074761999</v>
      </c>
      <c r="U102" s="220">
        <f t="shared" si="265"/>
        <v>5</v>
      </c>
      <c r="V102" s="219">
        <f t="shared" si="281"/>
        <v>1</v>
      </c>
      <c r="W102" s="569">
        <f t="shared" si="187"/>
        <v>7.1200000000000063</v>
      </c>
      <c r="X102" s="570">
        <f t="shared" si="188"/>
        <v>12.120000000000006</v>
      </c>
      <c r="AA102" s="220">
        <f t="shared" si="266"/>
        <v>5</v>
      </c>
      <c r="AB102" s="219">
        <f t="shared" si="282"/>
        <v>1</v>
      </c>
      <c r="AC102" s="569">
        <f t="shared" si="190"/>
        <v>3.7999999999999972</v>
      </c>
      <c r="AD102" s="570">
        <f t="shared" si="191"/>
        <v>8.7999999999999972</v>
      </c>
      <c r="AG102" s="220">
        <f t="shared" si="267"/>
        <v>34477.570724392979</v>
      </c>
      <c r="AH102" s="219">
        <f t="shared" si="283"/>
        <v>1.0008525561429944</v>
      </c>
      <c r="AK102" s="220">
        <f t="shared" si="268"/>
        <v>218.34003813564155</v>
      </c>
      <c r="AL102" s="219">
        <f t="shared" si="284"/>
        <v>0.9985789646374017</v>
      </c>
      <c r="AO102" s="220">
        <f t="shared" si="269"/>
        <v>700.10347683270015</v>
      </c>
      <c r="AP102" s="219">
        <f t="shared" si="285"/>
        <v>0.9988425188228347</v>
      </c>
      <c r="AQ102" s="579"/>
      <c r="AT102" s="220">
        <f t="shared" ca="1" si="270"/>
        <v>50195.055980893754</v>
      </c>
      <c r="AU102" s="219">
        <f t="shared" ca="1" si="286"/>
        <v>1.0015835006465921</v>
      </c>
      <c r="AX102" s="220">
        <f t="shared" si="271"/>
        <v>2649.9032242066442</v>
      </c>
      <c r="AY102" s="219">
        <f t="shared" si="287"/>
        <v>1.0011786516735524</v>
      </c>
      <c r="BB102" s="220">
        <f t="shared" si="272"/>
        <v>401.83959182914236</v>
      </c>
      <c r="BC102" s="219">
        <f t="shared" si="288"/>
        <v>1.0005439445652871</v>
      </c>
      <c r="BD102" s="569">
        <f t="shared" si="199"/>
        <v>14.441666666666674</v>
      </c>
      <c r="BE102" s="570">
        <f t="shared" si="200"/>
        <v>416.28125849580903</v>
      </c>
      <c r="BH102" s="220">
        <f t="shared" si="273"/>
        <v>3</v>
      </c>
      <c r="BI102" s="219">
        <f t="shared" si="289"/>
        <v>1</v>
      </c>
      <c r="BJ102" s="569">
        <f t="shared" si="202"/>
        <v>3.4800000000000026</v>
      </c>
      <c r="BK102" s="570">
        <f t="shared" si="203"/>
        <v>6.4800000000000022</v>
      </c>
      <c r="BN102" s="220">
        <f t="shared" si="274"/>
        <v>14909.68457356878</v>
      </c>
      <c r="BO102" s="219">
        <f t="shared" si="290"/>
        <v>1.0013675177910204</v>
      </c>
      <c r="BR102" s="220">
        <f t="shared" si="275"/>
        <v>48.633523332391185</v>
      </c>
      <c r="BS102" s="219">
        <f t="shared" si="291"/>
        <v>1.0010986157583504</v>
      </c>
      <c r="BV102" s="220">
        <f t="shared" si="276"/>
        <v>397.44278476560606</v>
      </c>
      <c r="BW102" s="219">
        <f t="shared" si="292"/>
        <v>1.0004295350216084</v>
      </c>
    </row>
    <row r="103" spans="1:75">
      <c r="A103" s="9">
        <f t="shared" si="277"/>
        <v>2029</v>
      </c>
      <c r="B103" s="9" t="s">
        <v>384</v>
      </c>
      <c r="C103" s="220">
        <f t="shared" ca="1" si="261"/>
        <v>130121.08781792171</v>
      </c>
      <c r="D103" s="219">
        <f t="shared" ca="1" si="260"/>
        <v>1.0016310993470783</v>
      </c>
      <c r="G103" s="220">
        <f t="shared" si="262"/>
        <v>1544.6337632153638</v>
      </c>
      <c r="H103" s="219">
        <f t="shared" si="278"/>
        <v>0.99982281150025842</v>
      </c>
      <c r="K103" s="220">
        <f t="shared" si="263"/>
        <v>9844.1143388368218</v>
      </c>
      <c r="L103" s="219">
        <f t="shared" si="279"/>
        <v>1.0006134230899959</v>
      </c>
      <c r="O103" s="220">
        <f t="shared" si="264"/>
        <v>1078.0466745978486</v>
      </c>
      <c r="P103" s="219">
        <f t="shared" si="280"/>
        <v>1.0000496606019917</v>
      </c>
      <c r="Q103" s="569">
        <f t="shared" si="209"/>
        <v>18.902500000000007</v>
      </c>
      <c r="R103" s="570">
        <f t="shared" si="185"/>
        <v>1096.9491745978485</v>
      </c>
      <c r="U103" s="220">
        <f t="shared" si="265"/>
        <v>5</v>
      </c>
      <c r="V103" s="219">
        <f t="shared" si="281"/>
        <v>1</v>
      </c>
      <c r="W103" s="569">
        <f t="shared" si="187"/>
        <v>7.1200000000000063</v>
      </c>
      <c r="X103" s="570">
        <f t="shared" si="188"/>
        <v>12.120000000000006</v>
      </c>
      <c r="AA103" s="220">
        <f t="shared" si="266"/>
        <v>5</v>
      </c>
      <c r="AB103" s="219">
        <f t="shared" si="282"/>
        <v>1</v>
      </c>
      <c r="AC103" s="569">
        <f t="shared" si="190"/>
        <v>3.8099999999999969</v>
      </c>
      <c r="AD103" s="570">
        <f t="shared" si="191"/>
        <v>8.8099999999999969</v>
      </c>
      <c r="AG103" s="220">
        <f t="shared" si="267"/>
        <v>34506.964789109581</v>
      </c>
      <c r="AH103" s="219">
        <f t="shared" si="283"/>
        <v>1.0008525561429944</v>
      </c>
      <c r="AK103" s="220">
        <f t="shared" si="268"/>
        <v>218.02976922037973</v>
      </c>
      <c r="AL103" s="219">
        <f t="shared" si="284"/>
        <v>0.9985789646374017</v>
      </c>
      <c r="AO103" s="220">
        <f t="shared" si="269"/>
        <v>699.29312023619832</v>
      </c>
      <c r="AP103" s="219">
        <f t="shared" si="285"/>
        <v>0.9988425188228347</v>
      </c>
      <c r="AQ103" s="579"/>
      <c r="AT103" s="220">
        <f t="shared" ca="1" si="270"/>
        <v>50274.539884495221</v>
      </c>
      <c r="AU103" s="219">
        <f t="shared" ca="1" si="286"/>
        <v>1.0015835006465921</v>
      </c>
      <c r="AX103" s="220">
        <f t="shared" si="271"/>
        <v>2653.0265370766069</v>
      </c>
      <c r="AY103" s="219">
        <f t="shared" si="287"/>
        <v>1.0011786516735524</v>
      </c>
      <c r="BB103" s="220">
        <f t="shared" si="272"/>
        <v>402.058170291235</v>
      </c>
      <c r="BC103" s="219">
        <f t="shared" si="288"/>
        <v>1.0005439445652871</v>
      </c>
      <c r="BD103" s="569">
        <f t="shared" si="199"/>
        <v>14.500000000000007</v>
      </c>
      <c r="BE103" s="570">
        <f t="shared" si="200"/>
        <v>416.558170291235</v>
      </c>
      <c r="BH103" s="220">
        <f t="shared" si="273"/>
        <v>3</v>
      </c>
      <c r="BI103" s="219">
        <f t="shared" si="289"/>
        <v>1</v>
      </c>
      <c r="BJ103" s="569">
        <f t="shared" si="202"/>
        <v>3.4800000000000026</v>
      </c>
      <c r="BK103" s="570">
        <f t="shared" si="203"/>
        <v>6.4800000000000022</v>
      </c>
      <c r="BN103" s="220">
        <f t="shared" si="274"/>
        <v>14930.073832481638</v>
      </c>
      <c r="BO103" s="219">
        <f t="shared" si="290"/>
        <v>1.0013675177910204</v>
      </c>
      <c r="BR103" s="220">
        <f t="shared" si="275"/>
        <v>48.686952887508248</v>
      </c>
      <c r="BS103" s="219">
        <f t="shared" si="291"/>
        <v>1.0010986157583504</v>
      </c>
      <c r="BV103" s="220">
        <f t="shared" si="276"/>
        <v>397.61350036074845</v>
      </c>
      <c r="BW103" s="219">
        <f t="shared" si="292"/>
        <v>1.0004295350216084</v>
      </c>
    </row>
    <row r="104" spans="1:75">
      <c r="A104" s="9">
        <f t="shared" si="277"/>
        <v>2029</v>
      </c>
      <c r="B104" s="9" t="s">
        <v>113</v>
      </c>
      <c r="C104" s="220">
        <f t="shared" ca="1" si="261"/>
        <v>130333.32823930263</v>
      </c>
      <c r="D104" s="219">
        <f t="shared" ca="1" si="260"/>
        <v>1.0016310993470783</v>
      </c>
      <c r="G104" s="220">
        <f t="shared" si="262"/>
        <v>1544.3600718762095</v>
      </c>
      <c r="H104" s="219">
        <f t="shared" si="278"/>
        <v>0.99982281150025842</v>
      </c>
      <c r="K104" s="220">
        <f t="shared" si="263"/>
        <v>9850.1529458728237</v>
      </c>
      <c r="L104" s="219">
        <f t="shared" si="279"/>
        <v>1.0006134230899959</v>
      </c>
      <c r="O104" s="220">
        <f t="shared" si="264"/>
        <v>1078.1002110446843</v>
      </c>
      <c r="P104" s="219">
        <f t="shared" si="280"/>
        <v>1.0000496606019917</v>
      </c>
      <c r="Q104" s="569">
        <f t="shared" si="209"/>
        <v>18.928333333333342</v>
      </c>
      <c r="R104" s="570">
        <f t="shared" si="185"/>
        <v>1097.0285443780176</v>
      </c>
      <c r="U104" s="220">
        <f t="shared" si="265"/>
        <v>5</v>
      </c>
      <c r="V104" s="219">
        <f t="shared" si="281"/>
        <v>1</v>
      </c>
      <c r="W104" s="569">
        <f t="shared" si="187"/>
        <v>7.1200000000000063</v>
      </c>
      <c r="X104" s="570">
        <f t="shared" si="188"/>
        <v>12.120000000000006</v>
      </c>
      <c r="AA104" s="220">
        <f t="shared" si="266"/>
        <v>5</v>
      </c>
      <c r="AB104" s="219">
        <f t="shared" si="282"/>
        <v>1</v>
      </c>
      <c r="AC104" s="569">
        <f t="shared" si="190"/>
        <v>3.8199999999999967</v>
      </c>
      <c r="AD104" s="570">
        <f t="shared" si="191"/>
        <v>8.8199999999999967</v>
      </c>
      <c r="AG104" s="220">
        <f t="shared" si="267"/>
        <v>34536.38391391663</v>
      </c>
      <c r="AH104" s="219">
        <f t="shared" si="283"/>
        <v>1.0008525561429944</v>
      </c>
      <c r="AK104" s="220">
        <f t="shared" si="268"/>
        <v>217.71994120821842</v>
      </c>
      <c r="AL104" s="219">
        <f t="shared" si="284"/>
        <v>0.99857896463740159</v>
      </c>
      <c r="AO104" s="220">
        <f t="shared" si="269"/>
        <v>698.48370161220373</v>
      </c>
      <c r="AP104" s="219">
        <f t="shared" si="285"/>
        <v>0.9988425188228347</v>
      </c>
      <c r="AQ104" s="579"/>
      <c r="AT104" s="220">
        <f t="shared" ca="1" si="270"/>
        <v>50354.149650909436</v>
      </c>
      <c r="AU104" s="219">
        <f t="shared" ca="1" si="286"/>
        <v>1.0015835006465921</v>
      </c>
      <c r="AX104" s="220">
        <f t="shared" si="271"/>
        <v>2656.1535312445112</v>
      </c>
      <c r="AY104" s="219">
        <f t="shared" si="287"/>
        <v>1.0011786516735524</v>
      </c>
      <c r="BB104" s="220">
        <f t="shared" si="272"/>
        <v>402.27686764789416</v>
      </c>
      <c r="BC104" s="219">
        <f t="shared" si="288"/>
        <v>1.0005439445652871</v>
      </c>
      <c r="BD104" s="569">
        <f t="shared" si="199"/>
        <v>14.558333333333341</v>
      </c>
      <c r="BE104" s="570">
        <f t="shared" si="200"/>
        <v>416.8352009812275</v>
      </c>
      <c r="BH104" s="220">
        <f t="shared" si="273"/>
        <v>3</v>
      </c>
      <c r="BI104" s="219">
        <f t="shared" si="289"/>
        <v>1</v>
      </c>
      <c r="BJ104" s="569">
        <f t="shared" si="202"/>
        <v>3.4800000000000026</v>
      </c>
      <c r="BK104" s="570">
        <f t="shared" si="203"/>
        <v>6.4800000000000022</v>
      </c>
      <c r="BN104" s="220">
        <f t="shared" si="274"/>
        <v>14950.490974068804</v>
      </c>
      <c r="BO104" s="219">
        <f t="shared" si="290"/>
        <v>1.0013675177910204</v>
      </c>
      <c r="BR104" s="220">
        <f t="shared" si="275"/>
        <v>48.740441141176525</v>
      </c>
      <c r="BS104" s="219">
        <f t="shared" si="291"/>
        <v>1.0010986157583504</v>
      </c>
      <c r="BV104" s="220">
        <f t="shared" si="276"/>
        <v>397.78428928421766</v>
      </c>
      <c r="BW104" s="219">
        <f t="shared" si="292"/>
        <v>1.0004295350216084</v>
      </c>
    </row>
    <row r="105" spans="1:75">
      <c r="A105" s="9">
        <f t="shared" si="277"/>
        <v>2029</v>
      </c>
      <c r="B105" s="9" t="s">
        <v>114</v>
      </c>
      <c r="C105" s="220">
        <f t="shared" ca="1" si="261"/>
        <v>130545.9148458963</v>
      </c>
      <c r="D105" s="219">
        <f t="shared" ca="1" si="260"/>
        <v>1.0016310993470783</v>
      </c>
      <c r="G105" s="220">
        <f t="shared" si="262"/>
        <v>1544.086429032013</v>
      </c>
      <c r="H105" s="219">
        <f t="shared" si="278"/>
        <v>0.99982281150025842</v>
      </c>
      <c r="K105" s="220">
        <f t="shared" si="263"/>
        <v>9856.1952571298134</v>
      </c>
      <c r="L105" s="219">
        <f t="shared" si="279"/>
        <v>1.0006134230899959</v>
      </c>
      <c r="O105" s="220">
        <f t="shared" si="264"/>
        <v>1078.1537501501723</v>
      </c>
      <c r="P105" s="219">
        <f t="shared" si="280"/>
        <v>1.0000496606019917</v>
      </c>
      <c r="Q105" s="569">
        <f t="shared" si="209"/>
        <v>18.954166666666676</v>
      </c>
      <c r="R105" s="570">
        <f t="shared" si="185"/>
        <v>1097.107916816839</v>
      </c>
      <c r="U105" s="220">
        <f t="shared" si="265"/>
        <v>5</v>
      </c>
      <c r="V105" s="219">
        <f t="shared" si="281"/>
        <v>1</v>
      </c>
      <c r="W105" s="569">
        <f t="shared" si="187"/>
        <v>7.1200000000000063</v>
      </c>
      <c r="X105" s="570">
        <f t="shared" si="188"/>
        <v>12.120000000000006</v>
      </c>
      <c r="AA105" s="220">
        <f t="shared" si="266"/>
        <v>5</v>
      </c>
      <c r="AB105" s="219">
        <f t="shared" si="282"/>
        <v>1</v>
      </c>
      <c r="AC105" s="569">
        <f t="shared" si="190"/>
        <v>3.8299999999999965</v>
      </c>
      <c r="AD105" s="570">
        <f t="shared" si="191"/>
        <v>8.8299999999999965</v>
      </c>
      <c r="AG105" s="220">
        <f t="shared" si="267"/>
        <v>34565.828120179256</v>
      </c>
      <c r="AH105" s="219">
        <f t="shared" si="283"/>
        <v>1.0008525561429944</v>
      </c>
      <c r="AK105" s="220">
        <f t="shared" si="268"/>
        <v>217.41055347261872</v>
      </c>
      <c r="AL105" s="219">
        <f t="shared" si="284"/>
        <v>0.9985789646374017</v>
      </c>
      <c r="AO105" s="220">
        <f t="shared" si="269"/>
        <v>697.67521987503085</v>
      </c>
      <c r="AP105" s="219">
        <f t="shared" si="285"/>
        <v>0.9988425188228347</v>
      </c>
      <c r="AQ105" s="579"/>
      <c r="AT105" s="220">
        <f t="shared" ca="1" si="270"/>
        <v>50433.885479440243</v>
      </c>
      <c r="AU105" s="219">
        <f t="shared" ca="1" si="286"/>
        <v>1.0015835006465921</v>
      </c>
      <c r="AX105" s="220">
        <f t="shared" si="271"/>
        <v>2659.2842110493248</v>
      </c>
      <c r="AY105" s="219">
        <f t="shared" si="287"/>
        <v>1.0011786516735524</v>
      </c>
      <c r="BB105" s="220">
        <f t="shared" si="272"/>
        <v>402.49568396379192</v>
      </c>
      <c r="BC105" s="219">
        <f t="shared" si="288"/>
        <v>1.0005439445652871</v>
      </c>
      <c r="BD105" s="569">
        <f t="shared" si="199"/>
        <v>14.616666666666674</v>
      </c>
      <c r="BE105" s="570">
        <f t="shared" si="200"/>
        <v>417.11235063045859</v>
      </c>
      <c r="BH105" s="220">
        <f t="shared" si="273"/>
        <v>3</v>
      </c>
      <c r="BI105" s="219">
        <f t="shared" si="289"/>
        <v>1</v>
      </c>
      <c r="BJ105" s="569">
        <f t="shared" si="202"/>
        <v>3.4800000000000026</v>
      </c>
      <c r="BK105" s="570">
        <f t="shared" si="203"/>
        <v>6.4800000000000022</v>
      </c>
      <c r="BN105" s="220">
        <f t="shared" si="274"/>
        <v>14970.936036460333</v>
      </c>
      <c r="BO105" s="219">
        <f t="shared" si="290"/>
        <v>1.0013675177910204</v>
      </c>
      <c r="BR105" s="220">
        <f t="shared" si="275"/>
        <v>48.79398815788317</v>
      </c>
      <c r="BS105" s="219">
        <f t="shared" si="291"/>
        <v>1.0010986157583504</v>
      </c>
      <c r="BV105" s="220">
        <f t="shared" si="276"/>
        <v>397.95515156751082</v>
      </c>
      <c r="BW105" s="219">
        <f t="shared" si="292"/>
        <v>1.0004295350216084</v>
      </c>
    </row>
    <row r="106" spans="1:75">
      <c r="A106" s="9">
        <f t="shared" si="277"/>
        <v>2029</v>
      </c>
      <c r="B106" s="9" t="s">
        <v>115</v>
      </c>
      <c r="C106" s="220">
        <f t="shared" ca="1" si="261"/>
        <v>130758.84820236517</v>
      </c>
      <c r="D106" s="219">
        <f t="shared" ca="1" si="260"/>
        <v>1.0016310993470783</v>
      </c>
      <c r="G106" s="220">
        <f t="shared" si="262"/>
        <v>1543.8128346741814</v>
      </c>
      <c r="H106" s="219">
        <f t="shared" si="278"/>
        <v>0.99982281150025831</v>
      </c>
      <c r="K106" s="220">
        <f t="shared" si="263"/>
        <v>9862.2412748800452</v>
      </c>
      <c r="L106" s="219">
        <f t="shared" si="279"/>
        <v>1.0006134230899959</v>
      </c>
      <c r="O106" s="220">
        <f t="shared" si="264"/>
        <v>1078.2072919144443</v>
      </c>
      <c r="P106" s="219">
        <f t="shared" si="280"/>
        <v>1.0000496606019917</v>
      </c>
      <c r="Q106" s="569">
        <f t="shared" si="209"/>
        <v>18.980000000000011</v>
      </c>
      <c r="R106" s="570">
        <f t="shared" si="185"/>
        <v>1097.1872919144444</v>
      </c>
      <c r="U106" s="220">
        <f t="shared" si="265"/>
        <v>5</v>
      </c>
      <c r="V106" s="219">
        <f t="shared" si="281"/>
        <v>1</v>
      </c>
      <c r="W106" s="569">
        <f t="shared" si="187"/>
        <v>7.1200000000000063</v>
      </c>
      <c r="X106" s="570">
        <f t="shared" si="188"/>
        <v>12.120000000000006</v>
      </c>
      <c r="AA106" s="220">
        <f t="shared" si="266"/>
        <v>5</v>
      </c>
      <c r="AB106" s="219">
        <f t="shared" si="282"/>
        <v>1</v>
      </c>
      <c r="AC106" s="569">
        <f t="shared" si="190"/>
        <v>3.8399999999999963</v>
      </c>
      <c r="AD106" s="570">
        <f t="shared" si="191"/>
        <v>8.8399999999999963</v>
      </c>
      <c r="AG106" s="220">
        <f t="shared" si="267"/>
        <v>34595.297429280807</v>
      </c>
      <c r="AH106" s="219">
        <f t="shared" si="283"/>
        <v>1.0008525561429944</v>
      </c>
      <c r="AK106" s="220">
        <f t="shared" si="268"/>
        <v>217.10160538793207</v>
      </c>
      <c r="AL106" s="219">
        <f t="shared" si="284"/>
        <v>0.9985789646374017</v>
      </c>
      <c r="AO106" s="220">
        <f t="shared" si="269"/>
        <v>696.86767394025082</v>
      </c>
      <c r="AP106" s="219">
        <f t="shared" si="285"/>
        <v>0.9988425188228347</v>
      </c>
      <c r="AQ106" s="579"/>
      <c r="AT106" s="220">
        <f t="shared" ca="1" si="270"/>
        <v>50513.747569707084</v>
      </c>
      <c r="AU106" s="219">
        <f t="shared" ca="1" si="286"/>
        <v>1.0015835006465921</v>
      </c>
      <c r="AX106" s="220">
        <f t="shared" si="271"/>
        <v>2662.4185808351294</v>
      </c>
      <c r="AY106" s="219">
        <f t="shared" si="287"/>
        <v>1.0011786516735524</v>
      </c>
      <c r="BB106" s="220">
        <f t="shared" si="272"/>
        <v>402.71461930363552</v>
      </c>
      <c r="BC106" s="219">
        <f t="shared" si="288"/>
        <v>1.0005439445652871</v>
      </c>
      <c r="BD106" s="569">
        <f t="shared" si="199"/>
        <v>14.675000000000008</v>
      </c>
      <c r="BE106" s="570">
        <f t="shared" si="200"/>
        <v>417.38961930363553</v>
      </c>
      <c r="BH106" s="220">
        <f t="shared" si="273"/>
        <v>3</v>
      </c>
      <c r="BI106" s="219">
        <f t="shared" si="289"/>
        <v>1</v>
      </c>
      <c r="BJ106" s="569">
        <f t="shared" si="202"/>
        <v>3.4800000000000026</v>
      </c>
      <c r="BK106" s="570">
        <f t="shared" si="203"/>
        <v>6.4800000000000022</v>
      </c>
      <c r="BN106" s="220">
        <f t="shared" si="274"/>
        <v>14991.40905783842</v>
      </c>
      <c r="BO106" s="219">
        <f t="shared" si="290"/>
        <v>1.0013675177910204</v>
      </c>
      <c r="BR106" s="220">
        <f t="shared" si="275"/>
        <v>48.847594002186185</v>
      </c>
      <c r="BS106" s="219">
        <f t="shared" si="291"/>
        <v>1.0010986157583504</v>
      </c>
      <c r="BV106" s="220">
        <f t="shared" si="276"/>
        <v>398.12608724213851</v>
      </c>
      <c r="BW106" s="219">
        <f t="shared" si="292"/>
        <v>1.0004295350216084</v>
      </c>
    </row>
    <row r="107" spans="1:75">
      <c r="A107" s="9">
        <f t="shared" si="277"/>
        <v>2030</v>
      </c>
      <c r="B107" s="9" t="s">
        <v>104</v>
      </c>
      <c r="C107" s="220">
        <f ca="1">C20/D20^(5.50989446627246/12)</f>
        <v>131002.45246086779</v>
      </c>
      <c r="D107" s="219">
        <f t="shared" ca="1" si="260"/>
        <v>1.0018630040096836</v>
      </c>
      <c r="G107" s="220">
        <f>G20/H20^(5.50989446627246/12)</f>
        <v>1543.539288794123</v>
      </c>
      <c r="H107" s="219">
        <f t="shared" si="278"/>
        <v>0.99982281150025798</v>
      </c>
      <c r="K107" s="220">
        <f>K20/L20^(5.50989446627246/12)</f>
        <v>9868.2910013971632</v>
      </c>
      <c r="L107" s="219">
        <f t="shared" si="279"/>
        <v>1.0006134230899955</v>
      </c>
      <c r="O107" s="220">
        <f>O20/P20^(5.50989446627246/12)</f>
        <v>1078.2608363376337</v>
      </c>
      <c r="P107" s="219">
        <f t="shared" si="280"/>
        <v>1.0000496606019926</v>
      </c>
      <c r="Q107" s="569">
        <f t="shared" si="209"/>
        <v>18.98500000000001</v>
      </c>
      <c r="R107" s="570">
        <f t="shared" si="185"/>
        <v>1097.2458363376336</v>
      </c>
      <c r="U107" s="220">
        <f>U20/V20^(5.50989446627246/12)</f>
        <v>5</v>
      </c>
      <c r="V107" s="219">
        <f t="shared" si="281"/>
        <v>1</v>
      </c>
      <c r="W107" s="569">
        <f t="shared" si="187"/>
        <v>7.1200000000000063</v>
      </c>
      <c r="X107" s="570">
        <f t="shared" si="188"/>
        <v>12.120000000000006</v>
      </c>
      <c r="AA107" s="220">
        <f>AA20/AB20^(5.50989446627246/12)</f>
        <v>5</v>
      </c>
      <c r="AB107" s="219">
        <f t="shared" si="282"/>
        <v>1</v>
      </c>
      <c r="AC107" s="569">
        <f t="shared" si="190"/>
        <v>3.8474999999999961</v>
      </c>
      <c r="AD107" s="570">
        <f t="shared" si="191"/>
        <v>8.8474999999999966</v>
      </c>
      <c r="AG107" s="220">
        <f>AG20/AH20^(5.50989446627246/12)</f>
        <v>34624.791862622886</v>
      </c>
      <c r="AH107" s="219">
        <f t="shared" si="283"/>
        <v>1.0008525561429953</v>
      </c>
      <c r="AK107" s="220">
        <f>AK20/AL20^(5.50989446627246/12)</f>
        <v>216.79309632939905</v>
      </c>
      <c r="AL107" s="219">
        <f t="shared" si="284"/>
        <v>0.99857896463740214</v>
      </c>
      <c r="AO107" s="220">
        <f>AO20/AP20^(5.50989446627246/12)</f>
        <v>696.06106272469026</v>
      </c>
      <c r="AP107" s="219">
        <f t="shared" si="285"/>
        <v>0.99884251882283503</v>
      </c>
      <c r="AQ107" s="579"/>
      <c r="AT107" s="220">
        <f ca="1">AT20/AU20^(5.50989446627246/12)</f>
        <v>50591.973208726966</v>
      </c>
      <c r="AU107" s="219">
        <f t="shared" ca="1" si="286"/>
        <v>1.0015486009805932</v>
      </c>
      <c r="AX107" s="220">
        <f>AX20/AY20^(5.50989446627246/12)</f>
        <v>2665.5566449511298</v>
      </c>
      <c r="AY107" s="219">
        <f t="shared" si="287"/>
        <v>1.0011786516735532</v>
      </c>
      <c r="BB107" s="220">
        <f>BB20/BC20^(5.50989446627246/12)</f>
        <v>402.93367373216705</v>
      </c>
      <c r="BC107" s="219">
        <f t="shared" si="288"/>
        <v>1.0005439445652862</v>
      </c>
      <c r="BD107" s="569">
        <f t="shared" si="199"/>
        <v>14.735416666666675</v>
      </c>
      <c r="BE107" s="570">
        <f t="shared" si="200"/>
        <v>417.6690903988337</v>
      </c>
      <c r="BH107" s="220">
        <f>BH20/BI20^(5.50989446627246/12)</f>
        <v>3</v>
      </c>
      <c r="BI107" s="219">
        <f t="shared" si="289"/>
        <v>1</v>
      </c>
      <c r="BJ107" s="569">
        <f t="shared" si="202"/>
        <v>3.5300000000000025</v>
      </c>
      <c r="BK107" s="570">
        <f t="shared" si="203"/>
        <v>6.5300000000000029</v>
      </c>
      <c r="BN107" s="220">
        <f>BN20/BO20^(5.50989446627246/12)</f>
        <v>15011.910076437482</v>
      </c>
      <c r="BO107" s="219">
        <f t="shared" si="290"/>
        <v>1.0013675177910206</v>
      </c>
      <c r="BR107" s="220">
        <f>BR20/BS20^(5.50989446627246/12)</f>
        <v>48.901258738714432</v>
      </c>
      <c r="BS107" s="219">
        <f t="shared" si="291"/>
        <v>1.0010986157583492</v>
      </c>
      <c r="BV107" s="220">
        <f>BV20/BW20^(5.50989446627246/12)</f>
        <v>398.29709633962489</v>
      </c>
      <c r="BW107" s="219">
        <f t="shared" si="292"/>
        <v>1.0004295350216084</v>
      </c>
    </row>
    <row r="108" spans="1:75">
      <c r="A108" s="9">
        <f t="shared" si="277"/>
        <v>2030</v>
      </c>
      <c r="B108" s="9" t="s">
        <v>105</v>
      </c>
      <c r="C108" s="220">
        <f t="shared" ref="C108:C118" ca="1" si="293">C107*D$20^(1/12)</f>
        <v>131220.81100111885</v>
      </c>
      <c r="D108" s="219">
        <f t="shared" ca="1" si="260"/>
        <v>1.0016668278810756</v>
      </c>
      <c r="G108" s="220">
        <f t="shared" ref="G108:G118" si="294">G107*H$20^(1/12)</f>
        <v>1543.2657913832493</v>
      </c>
      <c r="H108" s="219">
        <f t="shared" si="278"/>
        <v>0.99982281150025842</v>
      </c>
      <c r="K108" s="220">
        <f t="shared" ref="K108:K118" si="295">K107*L$20^(1/12)</f>
        <v>9874.3444389562192</v>
      </c>
      <c r="L108" s="219">
        <f t="shared" si="279"/>
        <v>1.0006134230899959</v>
      </c>
      <c r="O108" s="220">
        <f t="shared" ref="O108:O118" si="296">O107*P$20^(1/12)</f>
        <v>1078.3143834198704</v>
      </c>
      <c r="P108" s="219">
        <f t="shared" si="280"/>
        <v>1.0000496606019917</v>
      </c>
      <c r="Q108" s="569">
        <f t="shared" si="209"/>
        <v>18.990000000000009</v>
      </c>
      <c r="R108" s="570">
        <f t="shared" si="185"/>
        <v>1097.3043834198704</v>
      </c>
      <c r="U108" s="220">
        <f t="shared" ref="U108:U118" si="297">U107*V$20^(1/12)</f>
        <v>5</v>
      </c>
      <c r="V108" s="219">
        <f t="shared" si="281"/>
        <v>1</v>
      </c>
      <c r="W108" s="569">
        <f t="shared" si="187"/>
        <v>7.1200000000000063</v>
      </c>
      <c r="X108" s="570">
        <f t="shared" si="188"/>
        <v>12.120000000000006</v>
      </c>
      <c r="AA108" s="220">
        <f t="shared" ref="AA108:AA118" si="298">AA107*AB$20^(1/12)</f>
        <v>5</v>
      </c>
      <c r="AB108" s="219">
        <f t="shared" si="282"/>
        <v>1</v>
      </c>
      <c r="AC108" s="569">
        <f t="shared" si="190"/>
        <v>3.854999999999996</v>
      </c>
      <c r="AD108" s="570">
        <f t="shared" si="191"/>
        <v>8.8549999999999969</v>
      </c>
      <c r="AG108" s="220">
        <f t="shared" ref="AG108:AG118" si="299">AG107*AH$20^(1/12)</f>
        <v>34654.311441625265</v>
      </c>
      <c r="AH108" s="219">
        <f t="shared" si="283"/>
        <v>1.0008525561429944</v>
      </c>
      <c r="AK108" s="220">
        <f t="shared" ref="AK108:AK118" si="300">AK107*AL$20^(1/12)</f>
        <v>216.48502567314779</v>
      </c>
      <c r="AL108" s="219">
        <f t="shared" si="284"/>
        <v>0.9985789646374017</v>
      </c>
      <c r="AO108" s="220">
        <f t="shared" ref="AO108:AO118" si="301">AO107*AP$20^(1/12)</f>
        <v>695.25538514642881</v>
      </c>
      <c r="AP108" s="219">
        <f t="shared" si="285"/>
        <v>0.99884251882283481</v>
      </c>
      <c r="AQ108" s="579"/>
      <c r="AT108" s="220">
        <f t="shared" ref="AT108:AT118" ca="1" si="302">AT107*AU$20^(1/12)</f>
        <v>50671.813575502492</v>
      </c>
      <c r="AU108" s="219">
        <f t="shared" ca="1" si="286"/>
        <v>1.0015781232023928</v>
      </c>
      <c r="AX108" s="220">
        <f t="shared" ref="AX108:AX118" si="303">AX107*AY$20^(1/12)</f>
        <v>2668.6984077516499</v>
      </c>
      <c r="AY108" s="219">
        <f t="shared" si="287"/>
        <v>1.0011786516735524</v>
      </c>
      <c r="BB108" s="220">
        <f t="shared" ref="BB108:BB118" si="304">BB107*BC$20^(1/12)</f>
        <v>403.15284731416483</v>
      </c>
      <c r="BC108" s="219">
        <f t="shared" si="288"/>
        <v>1.0005439445652871</v>
      </c>
      <c r="BD108" s="569">
        <f t="shared" si="199"/>
        <v>14.795833333333341</v>
      </c>
      <c r="BE108" s="570">
        <f t="shared" si="200"/>
        <v>417.94868064749818</v>
      </c>
      <c r="BH108" s="220">
        <f t="shared" ref="BH108:BH118" si="305">BH107*BI$20^(1/12)</f>
        <v>3</v>
      </c>
      <c r="BI108" s="219">
        <f t="shared" si="289"/>
        <v>1</v>
      </c>
      <c r="BJ108" s="569">
        <f t="shared" si="202"/>
        <v>3.5800000000000023</v>
      </c>
      <c r="BK108" s="570">
        <f t="shared" si="203"/>
        <v>6.5800000000000018</v>
      </c>
      <c r="BN108" s="220">
        <f t="shared" ref="BN108:BN118" si="306">BN107*BO$20^(1/12)</f>
        <v>15032.439130544208</v>
      </c>
      <c r="BO108" s="219">
        <f t="shared" si="290"/>
        <v>1.0013675177910204</v>
      </c>
      <c r="BR108" s="220">
        <f t="shared" ref="BR108:BR118" si="307">BR107*BS$20^(1/12)</f>
        <v>48.954982432167952</v>
      </c>
      <c r="BS108" s="219">
        <f t="shared" si="291"/>
        <v>1.0010986157583504</v>
      </c>
      <c r="BV108" s="220">
        <f t="shared" ref="BV108:BV118" si="308">BV107*BW$20^(1/12)</f>
        <v>398.46817889150765</v>
      </c>
      <c r="BW108" s="219">
        <f t="shared" si="292"/>
        <v>1.0004295350216084</v>
      </c>
    </row>
    <row r="109" spans="1:75">
      <c r="A109" s="9">
        <f t="shared" si="277"/>
        <v>2030</v>
      </c>
      <c r="B109" s="9" t="s">
        <v>106</v>
      </c>
      <c r="C109" s="220">
        <f t="shared" ca="1" si="293"/>
        <v>131439.53350747286</v>
      </c>
      <c r="D109" s="219">
        <f t="shared" ca="1" si="260"/>
        <v>1.0016668278810756</v>
      </c>
      <c r="G109" s="220">
        <f t="shared" si="294"/>
        <v>1542.9923424329716</v>
      </c>
      <c r="H109" s="219">
        <f t="shared" si="278"/>
        <v>0.99982281150025842</v>
      </c>
      <c r="K109" s="220">
        <f t="shared" si="295"/>
        <v>9880.4015898336474</v>
      </c>
      <c r="L109" s="219">
        <f t="shared" si="279"/>
        <v>1.0006134230899959</v>
      </c>
      <c r="O109" s="220">
        <f t="shared" si="296"/>
        <v>1078.3679331612873</v>
      </c>
      <c r="P109" s="219">
        <f t="shared" si="280"/>
        <v>1.0000496606019917</v>
      </c>
      <c r="Q109" s="569">
        <f t="shared" si="209"/>
        <v>18.995000000000008</v>
      </c>
      <c r="R109" s="570">
        <f t="shared" si="185"/>
        <v>1097.3629331612874</v>
      </c>
      <c r="U109" s="220">
        <f t="shared" si="297"/>
        <v>5</v>
      </c>
      <c r="V109" s="219">
        <f t="shared" si="281"/>
        <v>1</v>
      </c>
      <c r="W109" s="569">
        <f t="shared" si="187"/>
        <v>7.1200000000000063</v>
      </c>
      <c r="X109" s="570">
        <f t="shared" si="188"/>
        <v>12.120000000000006</v>
      </c>
      <c r="AA109" s="220">
        <f t="shared" si="298"/>
        <v>5</v>
      </c>
      <c r="AB109" s="219">
        <f t="shared" si="282"/>
        <v>1</v>
      </c>
      <c r="AC109" s="569">
        <f t="shared" si="190"/>
        <v>3.8624999999999958</v>
      </c>
      <c r="AD109" s="570">
        <f t="shared" si="191"/>
        <v>8.8624999999999954</v>
      </c>
      <c r="AG109" s="220">
        <f t="shared" si="299"/>
        <v>34683.856187726065</v>
      </c>
      <c r="AH109" s="219">
        <f t="shared" si="283"/>
        <v>1.0008525561429944</v>
      </c>
      <c r="AK109" s="220">
        <f t="shared" si="300"/>
        <v>216.17739279619323</v>
      </c>
      <c r="AL109" s="219">
        <f t="shared" si="284"/>
        <v>0.99857896463740159</v>
      </c>
      <c r="AO109" s="220">
        <f t="shared" si="301"/>
        <v>694.45064012479895</v>
      </c>
      <c r="AP109" s="219">
        <f t="shared" si="285"/>
        <v>0.99884251882283459</v>
      </c>
      <c r="AQ109" s="579"/>
      <c r="AT109" s="220">
        <f t="shared" ca="1" si="302"/>
        <v>50751.779940213317</v>
      </c>
      <c r="AU109" s="219">
        <f t="shared" ca="1" si="286"/>
        <v>1.0015781232023928</v>
      </c>
      <c r="AX109" s="220">
        <f t="shared" si="303"/>
        <v>2671.8438735961531</v>
      </c>
      <c r="AY109" s="219">
        <f t="shared" si="287"/>
        <v>1.0011786516735524</v>
      </c>
      <c r="BB109" s="220">
        <f t="shared" si="304"/>
        <v>403.37214011444138</v>
      </c>
      <c r="BC109" s="219">
        <f t="shared" si="288"/>
        <v>1.0005439445652871</v>
      </c>
      <c r="BD109" s="569">
        <f t="shared" si="199"/>
        <v>14.856250000000008</v>
      </c>
      <c r="BE109" s="570">
        <f t="shared" si="200"/>
        <v>418.22839011444137</v>
      </c>
      <c r="BH109" s="220">
        <f t="shared" si="305"/>
        <v>3</v>
      </c>
      <c r="BI109" s="219">
        <f t="shared" si="289"/>
        <v>1</v>
      </c>
      <c r="BJ109" s="569">
        <f t="shared" si="202"/>
        <v>3.6300000000000021</v>
      </c>
      <c r="BK109" s="570">
        <f t="shared" si="203"/>
        <v>6.6300000000000026</v>
      </c>
      <c r="BN109" s="220">
        <f t="shared" si="306"/>
        <v>15052.996258497658</v>
      </c>
      <c r="BO109" s="219">
        <f t="shared" si="290"/>
        <v>1.0013675177910204</v>
      </c>
      <c r="BR109" s="220">
        <f t="shared" si="307"/>
        <v>49.008765147317696</v>
      </c>
      <c r="BS109" s="219">
        <f t="shared" si="291"/>
        <v>1.0010986157583504</v>
      </c>
      <c r="BV109" s="220">
        <f t="shared" si="308"/>
        <v>398.63933492933808</v>
      </c>
      <c r="BW109" s="219">
        <f t="shared" si="292"/>
        <v>1.0004295350216084</v>
      </c>
    </row>
    <row r="110" spans="1:75">
      <c r="A110" s="9">
        <f t="shared" si="277"/>
        <v>2030</v>
      </c>
      <c r="B110" s="9" t="s">
        <v>107</v>
      </c>
      <c r="C110" s="220">
        <f t="shared" ca="1" si="293"/>
        <v>131658.6205865987</v>
      </c>
      <c r="D110" s="219">
        <f t="shared" ca="1" si="260"/>
        <v>1.0016668278810756</v>
      </c>
      <c r="G110" s="220">
        <f t="shared" si="294"/>
        <v>1542.718941934703</v>
      </c>
      <c r="H110" s="219">
        <f t="shared" si="278"/>
        <v>0.99982281150025831</v>
      </c>
      <c r="K110" s="220">
        <f t="shared" si="295"/>
        <v>9886.462456307283</v>
      </c>
      <c r="L110" s="219">
        <f t="shared" si="279"/>
        <v>1.0006134230899959</v>
      </c>
      <c r="O110" s="220">
        <f t="shared" si="296"/>
        <v>1078.4214855620166</v>
      </c>
      <c r="P110" s="219">
        <f t="shared" si="280"/>
        <v>1.0000496606019917</v>
      </c>
      <c r="Q110" s="569">
        <f t="shared" si="209"/>
        <v>19.000000000000007</v>
      </c>
      <c r="R110" s="570">
        <f t="shared" si="185"/>
        <v>1097.4214855620166</v>
      </c>
      <c r="U110" s="220">
        <f t="shared" si="297"/>
        <v>5</v>
      </c>
      <c r="V110" s="219">
        <f t="shared" si="281"/>
        <v>1</v>
      </c>
      <c r="W110" s="569">
        <f t="shared" si="187"/>
        <v>7.1200000000000063</v>
      </c>
      <c r="X110" s="570">
        <f t="shared" si="188"/>
        <v>12.120000000000006</v>
      </c>
      <c r="AA110" s="220">
        <f t="shared" si="298"/>
        <v>5</v>
      </c>
      <c r="AB110" s="219">
        <f t="shared" si="282"/>
        <v>1</v>
      </c>
      <c r="AC110" s="569">
        <f t="shared" si="190"/>
        <v>3.8699999999999957</v>
      </c>
      <c r="AD110" s="570">
        <f t="shared" si="191"/>
        <v>8.8699999999999957</v>
      </c>
      <c r="AG110" s="220">
        <f t="shared" si="299"/>
        <v>34713.426122381643</v>
      </c>
      <c r="AH110" s="219">
        <f t="shared" si="283"/>
        <v>1.0008525561429944</v>
      </c>
      <c r="AK110" s="220">
        <f t="shared" si="300"/>
        <v>215.87019707643555</v>
      </c>
      <c r="AL110" s="219">
        <f t="shared" si="284"/>
        <v>0.9985789646374017</v>
      </c>
      <c r="AO110" s="220">
        <f t="shared" si="301"/>
        <v>693.64682658038407</v>
      </c>
      <c r="AP110" s="219">
        <f t="shared" si="285"/>
        <v>0.9988425188228347</v>
      </c>
      <c r="AQ110" s="579"/>
      <c r="AT110" s="220">
        <f t="shared" ca="1" si="302"/>
        <v>50831.872501699705</v>
      </c>
      <c r="AU110" s="219">
        <f t="shared" ca="1" si="286"/>
        <v>1.0015781232023928</v>
      </c>
      <c r="AX110" s="220">
        <f t="shared" si="303"/>
        <v>2674.993046849238</v>
      </c>
      <c r="AY110" s="219">
        <f t="shared" si="287"/>
        <v>1.0011786516735524</v>
      </c>
      <c r="BB110" s="220">
        <f t="shared" si="304"/>
        <v>403.59155219784486</v>
      </c>
      <c r="BC110" s="219">
        <f t="shared" si="288"/>
        <v>1.0005439445652871</v>
      </c>
      <c r="BD110" s="569">
        <f t="shared" si="199"/>
        <v>14.916666666666675</v>
      </c>
      <c r="BE110" s="570">
        <f t="shared" si="200"/>
        <v>418.50821886451155</v>
      </c>
      <c r="BH110" s="220">
        <f t="shared" si="305"/>
        <v>3</v>
      </c>
      <c r="BI110" s="219">
        <f t="shared" si="289"/>
        <v>1</v>
      </c>
      <c r="BJ110" s="569">
        <f t="shared" si="202"/>
        <v>3.6800000000000019</v>
      </c>
      <c r="BK110" s="570">
        <f t="shared" si="203"/>
        <v>6.6800000000000015</v>
      </c>
      <c r="BN110" s="220">
        <f t="shared" si="306"/>
        <v>15073.581498689318</v>
      </c>
      <c r="BO110" s="219">
        <f t="shared" si="290"/>
        <v>1.0013675177910204</v>
      </c>
      <c r="BR110" s="220">
        <f t="shared" si="307"/>
        <v>49.062606949005833</v>
      </c>
      <c r="BS110" s="219">
        <f t="shared" si="291"/>
        <v>1.0010986157583504</v>
      </c>
      <c r="BV110" s="220">
        <f t="shared" si="308"/>
        <v>398.81056448468087</v>
      </c>
      <c r="BW110" s="219">
        <f t="shared" si="292"/>
        <v>1.0004295350216084</v>
      </c>
    </row>
    <row r="111" spans="1:75">
      <c r="A111" s="9">
        <f t="shared" si="277"/>
        <v>2030</v>
      </c>
      <c r="B111" s="9" t="s">
        <v>108</v>
      </c>
      <c r="C111" s="220">
        <f t="shared" ca="1" si="293"/>
        <v>131878.07284617639</v>
      </c>
      <c r="D111" s="219">
        <f t="shared" ca="1" si="260"/>
        <v>1.0016668278810756</v>
      </c>
      <c r="G111" s="220">
        <f t="shared" si="294"/>
        <v>1542.4455898798587</v>
      </c>
      <c r="H111" s="219">
        <f t="shared" si="278"/>
        <v>0.99982281150025842</v>
      </c>
      <c r="K111" s="220">
        <f t="shared" si="295"/>
        <v>9892.5270406563595</v>
      </c>
      <c r="L111" s="219">
        <f t="shared" si="279"/>
        <v>1.0006134230899959</v>
      </c>
      <c r="O111" s="220">
        <f t="shared" si="296"/>
        <v>1078.4750406221906</v>
      </c>
      <c r="P111" s="219">
        <f t="shared" si="280"/>
        <v>1.0000496606019917</v>
      </c>
      <c r="Q111" s="569">
        <f t="shared" si="209"/>
        <v>19.005000000000006</v>
      </c>
      <c r="R111" s="570">
        <f t="shared" si="185"/>
        <v>1097.4800406221907</v>
      </c>
      <c r="U111" s="220">
        <f t="shared" si="297"/>
        <v>5</v>
      </c>
      <c r="V111" s="219">
        <f t="shared" si="281"/>
        <v>1</v>
      </c>
      <c r="W111" s="569">
        <f t="shared" si="187"/>
        <v>7.1200000000000063</v>
      </c>
      <c r="X111" s="570">
        <f t="shared" si="188"/>
        <v>12.120000000000006</v>
      </c>
      <c r="AA111" s="220">
        <f t="shared" si="298"/>
        <v>5</v>
      </c>
      <c r="AB111" s="219">
        <f t="shared" si="282"/>
        <v>1</v>
      </c>
      <c r="AC111" s="569">
        <f t="shared" si="190"/>
        <v>3.8774999999999955</v>
      </c>
      <c r="AD111" s="570">
        <f t="shared" si="191"/>
        <v>8.8774999999999959</v>
      </c>
      <c r="AG111" s="220">
        <f t="shared" si="299"/>
        <v>34743.021267066659</v>
      </c>
      <c r="AH111" s="219">
        <f t="shared" si="283"/>
        <v>1.0008525561429944</v>
      </c>
      <c r="AK111" s="220">
        <f t="shared" si="300"/>
        <v>215.56343789265887</v>
      </c>
      <c r="AL111" s="219">
        <f t="shared" si="284"/>
        <v>0.9985789646374017</v>
      </c>
      <c r="AO111" s="220">
        <f t="shared" si="301"/>
        <v>692.84394343501685</v>
      </c>
      <c r="AP111" s="219">
        <f t="shared" si="285"/>
        <v>0.9988425188228347</v>
      </c>
      <c r="AQ111" s="579"/>
      <c r="AT111" s="220">
        <f t="shared" ca="1" si="302"/>
        <v>50912.091459115712</v>
      </c>
      <c r="AU111" s="219">
        <f t="shared" ca="1" si="286"/>
        <v>1.0015781232023928</v>
      </c>
      <c r="AX111" s="220">
        <f t="shared" si="303"/>
        <v>2678.1459318806478</v>
      </c>
      <c r="AY111" s="219">
        <f t="shared" si="287"/>
        <v>1.0011786516735524</v>
      </c>
      <c r="BB111" s="220">
        <f t="shared" si="304"/>
        <v>403.81108362925863</v>
      </c>
      <c r="BC111" s="219">
        <f t="shared" si="288"/>
        <v>1.0005439445652871</v>
      </c>
      <c r="BD111" s="569">
        <f t="shared" si="199"/>
        <v>14.977083333333342</v>
      </c>
      <c r="BE111" s="570">
        <f t="shared" si="200"/>
        <v>418.78816696259196</v>
      </c>
      <c r="BH111" s="220">
        <f t="shared" si="305"/>
        <v>3</v>
      </c>
      <c r="BI111" s="219">
        <f t="shared" si="289"/>
        <v>1</v>
      </c>
      <c r="BJ111" s="569">
        <f t="shared" si="202"/>
        <v>3.7300000000000018</v>
      </c>
      <c r="BK111" s="570">
        <f t="shared" si="203"/>
        <v>6.7300000000000022</v>
      </c>
      <c r="BN111" s="220">
        <f t="shared" si="306"/>
        <v>15094.194889563172</v>
      </c>
      <c r="BO111" s="219">
        <f t="shared" si="290"/>
        <v>1.0013675177910204</v>
      </c>
      <c r="BR111" s="220">
        <f t="shared" si="307"/>
        <v>49.116507902145763</v>
      </c>
      <c r="BS111" s="219">
        <f t="shared" si="291"/>
        <v>1.0010986157583504</v>
      </c>
      <c r="BV111" s="220">
        <f t="shared" si="308"/>
        <v>398.98186758911442</v>
      </c>
      <c r="BW111" s="219">
        <f t="shared" si="292"/>
        <v>1.0004295350216084</v>
      </c>
    </row>
    <row r="112" spans="1:75">
      <c r="A112" s="9">
        <f t="shared" si="277"/>
        <v>2030</v>
      </c>
      <c r="B112" s="9" t="s">
        <v>109</v>
      </c>
      <c r="C112" s="220">
        <f t="shared" ca="1" si="293"/>
        <v>132097.89089489891</v>
      </c>
      <c r="D112" s="219">
        <f t="shared" ca="1" si="260"/>
        <v>1.0016668278810756</v>
      </c>
      <c r="G112" s="220">
        <f t="shared" si="294"/>
        <v>1542.1722862598549</v>
      </c>
      <c r="H112" s="219">
        <f t="shared" si="278"/>
        <v>0.99982281150025842</v>
      </c>
      <c r="K112" s="220">
        <f t="shared" si="295"/>
        <v>9898.5953451615078</v>
      </c>
      <c r="L112" s="219">
        <f t="shared" si="279"/>
        <v>1.0006134230899959</v>
      </c>
      <c r="O112" s="220">
        <f t="shared" si="296"/>
        <v>1078.528598341941</v>
      </c>
      <c r="P112" s="219">
        <f t="shared" si="280"/>
        <v>1.0000496606019917</v>
      </c>
      <c r="Q112" s="569">
        <f t="shared" ref="Q112:Q130" si="309">SUMIFS(Q$15:Q$21,N$15:N$21,$A112)/12+Q111</f>
        <v>19.010000000000005</v>
      </c>
      <c r="R112" s="570">
        <f t="shared" ref="R112:R130" si="310">Q112+O112</f>
        <v>1097.538598341941</v>
      </c>
      <c r="U112" s="220">
        <f t="shared" si="297"/>
        <v>5</v>
      </c>
      <c r="V112" s="219">
        <f t="shared" si="281"/>
        <v>1</v>
      </c>
      <c r="W112" s="569">
        <f t="shared" ref="W112:W130" si="311">SUMIFS(W$15:W$21,T$15:T$21,$A112)/12+W111</f>
        <v>7.1200000000000063</v>
      </c>
      <c r="X112" s="570">
        <f t="shared" ref="X112:X130" si="312">W112+U112</f>
        <v>12.120000000000006</v>
      </c>
      <c r="AA112" s="220">
        <f t="shared" si="298"/>
        <v>5</v>
      </c>
      <c r="AB112" s="219">
        <f t="shared" si="282"/>
        <v>1</v>
      </c>
      <c r="AC112" s="569">
        <f t="shared" ref="AC112:AC130" si="313">SUMIFS(AC$15:AC$21,Z$15:Z$21,$A112)/12+AC111</f>
        <v>3.8849999999999953</v>
      </c>
      <c r="AD112" s="570">
        <f t="shared" ref="AD112:AD130" si="314">AC112+AA112</f>
        <v>8.8849999999999945</v>
      </c>
      <c r="AG112" s="220">
        <f t="shared" si="299"/>
        <v>34772.641643274081</v>
      </c>
      <c r="AH112" s="219">
        <f t="shared" si="283"/>
        <v>1.0008525561429944</v>
      </c>
      <c r="AK112" s="220">
        <f t="shared" si="300"/>
        <v>215.25711462453015</v>
      </c>
      <c r="AL112" s="219">
        <f t="shared" si="284"/>
        <v>0.9985789646374017</v>
      </c>
      <c r="AO112" s="220">
        <f t="shared" si="301"/>
        <v>692.04198961177781</v>
      </c>
      <c r="AP112" s="219">
        <f t="shared" si="285"/>
        <v>0.9988425188228347</v>
      </c>
      <c r="AQ112" s="579"/>
      <c r="AT112" s="220">
        <f t="shared" ca="1" si="302"/>
        <v>50992.437011929687</v>
      </c>
      <c r="AU112" s="219">
        <f t="shared" ca="1" si="286"/>
        <v>1.0015781232023928</v>
      </c>
      <c r="AX112" s="220">
        <f t="shared" si="303"/>
        <v>2681.3025330652763</v>
      </c>
      <c r="AY112" s="219">
        <f t="shared" si="287"/>
        <v>1.0011786516735524</v>
      </c>
      <c r="BB112" s="220">
        <f t="shared" si="304"/>
        <v>404.03073447360146</v>
      </c>
      <c r="BC112" s="219">
        <f t="shared" si="288"/>
        <v>1.0005439445652871</v>
      </c>
      <c r="BD112" s="569">
        <f t="shared" ref="BD112:BD130" si="315">SUMIFS(BD$15:BD$21,BA$15:BA$21,$A112)/12+BD111</f>
        <v>15.037500000000009</v>
      </c>
      <c r="BE112" s="570">
        <f t="shared" ref="BE112:BE130" si="316">BD112+BB112</f>
        <v>419.06823447360148</v>
      </c>
      <c r="BH112" s="220">
        <f t="shared" si="305"/>
        <v>3</v>
      </c>
      <c r="BI112" s="219">
        <f t="shared" si="289"/>
        <v>1</v>
      </c>
      <c r="BJ112" s="569">
        <f t="shared" ref="BJ112:BJ130" si="317">SUMIFS(BJ$15:BJ$21,BG$15:BG$21,$A112)/12+BJ111</f>
        <v>3.7800000000000016</v>
      </c>
      <c r="BK112" s="570">
        <f t="shared" ref="BK112:BK130" si="318">BJ112+BH112</f>
        <v>6.7800000000000011</v>
      </c>
      <c r="BN112" s="220">
        <f t="shared" si="306"/>
        <v>15114.836469615779</v>
      </c>
      <c r="BO112" s="219">
        <f t="shared" si="290"/>
        <v>1.0013675177910204</v>
      </c>
      <c r="BR112" s="220">
        <f t="shared" si="307"/>
        <v>49.170468071722198</v>
      </c>
      <c r="BS112" s="219">
        <f t="shared" si="291"/>
        <v>1.0010986157583504</v>
      </c>
      <c r="BV112" s="220">
        <f t="shared" si="308"/>
        <v>399.15324427423064</v>
      </c>
      <c r="BW112" s="219">
        <f t="shared" si="292"/>
        <v>1.0004295350216084</v>
      </c>
    </row>
    <row r="113" spans="1:75">
      <c r="A113" s="9">
        <f t="shared" si="277"/>
        <v>2030</v>
      </c>
      <c r="B113" s="9" t="s">
        <v>110</v>
      </c>
      <c r="C113" s="220">
        <f t="shared" ca="1" si="293"/>
        <v>132318.07534247381</v>
      </c>
      <c r="D113" s="219">
        <f t="shared" ca="1" si="260"/>
        <v>1.0016668278810756</v>
      </c>
      <c r="G113" s="220">
        <f t="shared" si="294"/>
        <v>1541.8990310661095</v>
      </c>
      <c r="H113" s="219">
        <f t="shared" si="278"/>
        <v>0.99982281150025842</v>
      </c>
      <c r="K113" s="220">
        <f t="shared" si="295"/>
        <v>9904.6673721047555</v>
      </c>
      <c r="L113" s="219">
        <f t="shared" si="279"/>
        <v>1.0006134230899959</v>
      </c>
      <c r="O113" s="220">
        <f t="shared" si="296"/>
        <v>1078.5821587214</v>
      </c>
      <c r="P113" s="219">
        <f t="shared" si="280"/>
        <v>1.0000496606019917</v>
      </c>
      <c r="Q113" s="569">
        <f t="shared" si="309"/>
        <v>19.015000000000004</v>
      </c>
      <c r="R113" s="570">
        <f t="shared" si="310"/>
        <v>1097.5971587214001</v>
      </c>
      <c r="U113" s="220">
        <f t="shared" si="297"/>
        <v>5</v>
      </c>
      <c r="V113" s="219">
        <f t="shared" si="281"/>
        <v>1</v>
      </c>
      <c r="W113" s="569">
        <f t="shared" si="311"/>
        <v>7.1200000000000063</v>
      </c>
      <c r="X113" s="570">
        <f t="shared" si="312"/>
        <v>12.120000000000006</v>
      </c>
      <c r="AA113" s="220">
        <f t="shared" si="298"/>
        <v>5</v>
      </c>
      <c r="AB113" s="219">
        <f t="shared" si="282"/>
        <v>1</v>
      </c>
      <c r="AC113" s="569">
        <f t="shared" si="313"/>
        <v>3.8924999999999952</v>
      </c>
      <c r="AD113" s="570">
        <f t="shared" si="314"/>
        <v>8.8924999999999947</v>
      </c>
      <c r="AG113" s="220">
        <f t="shared" si="299"/>
        <v>34802.287272515197</v>
      </c>
      <c r="AH113" s="219">
        <f t="shared" si="283"/>
        <v>1.0008525561429944</v>
      </c>
      <c r="AK113" s="220">
        <f t="shared" si="300"/>
        <v>214.95122665259782</v>
      </c>
      <c r="AL113" s="219">
        <f t="shared" si="284"/>
        <v>0.9985789646374017</v>
      </c>
      <c r="AO113" s="220">
        <f t="shared" si="301"/>
        <v>691.24096403499414</v>
      </c>
      <c r="AP113" s="219">
        <f t="shared" si="285"/>
        <v>0.9988425188228347</v>
      </c>
      <c r="AQ113" s="579"/>
      <c r="AT113" s="220">
        <f t="shared" ca="1" si="302"/>
        <v>51072.909359924764</v>
      </c>
      <c r="AU113" s="219">
        <f t="shared" ca="1" si="286"/>
        <v>1.0015781232023928</v>
      </c>
      <c r="AX113" s="220">
        <f t="shared" si="303"/>
        <v>2684.462854783174</v>
      </c>
      <c r="AY113" s="219">
        <f t="shared" si="287"/>
        <v>1.0011786516735524</v>
      </c>
      <c r="BB113" s="220">
        <f t="shared" si="304"/>
        <v>404.25050479582728</v>
      </c>
      <c r="BC113" s="219">
        <f t="shared" si="288"/>
        <v>1.0005439445652871</v>
      </c>
      <c r="BD113" s="569">
        <f t="shared" si="315"/>
        <v>15.097916666666675</v>
      </c>
      <c r="BE113" s="570">
        <f t="shared" si="316"/>
        <v>419.34842146249395</v>
      </c>
      <c r="BH113" s="220">
        <f t="shared" si="305"/>
        <v>3</v>
      </c>
      <c r="BI113" s="219">
        <f t="shared" si="289"/>
        <v>1</v>
      </c>
      <c r="BJ113" s="569">
        <f t="shared" si="317"/>
        <v>3.8300000000000014</v>
      </c>
      <c r="BK113" s="570">
        <f t="shared" si="318"/>
        <v>6.8300000000000018</v>
      </c>
      <c r="BN113" s="220">
        <f t="shared" si="306"/>
        <v>15135.506277396342</v>
      </c>
      <c r="BO113" s="219">
        <f t="shared" si="290"/>
        <v>1.0013675177910204</v>
      </c>
      <c r="BR113" s="220">
        <f t="shared" si="307"/>
        <v>49.224487522791257</v>
      </c>
      <c r="BS113" s="219">
        <f t="shared" si="291"/>
        <v>1.0010986157583504</v>
      </c>
      <c r="BV113" s="220">
        <f t="shared" si="308"/>
        <v>399.32469457163501</v>
      </c>
      <c r="BW113" s="219">
        <f t="shared" si="292"/>
        <v>1.0004295350216084</v>
      </c>
    </row>
    <row r="114" spans="1:75">
      <c r="A114" s="9">
        <f t="shared" si="277"/>
        <v>2030</v>
      </c>
      <c r="B114" s="9" t="s">
        <v>111</v>
      </c>
      <c r="C114" s="220">
        <f t="shared" ca="1" si="293"/>
        <v>132538.62679962491</v>
      </c>
      <c r="D114" s="219">
        <f t="shared" ca="1" si="260"/>
        <v>1.0016668278810756</v>
      </c>
      <c r="G114" s="220">
        <f t="shared" si="294"/>
        <v>1541.6258242900419</v>
      </c>
      <c r="H114" s="219">
        <f t="shared" si="278"/>
        <v>0.99982281150025842</v>
      </c>
      <c r="K114" s="220">
        <f t="shared" si="295"/>
        <v>9910.7431237695328</v>
      </c>
      <c r="L114" s="219">
        <f t="shared" si="279"/>
        <v>1.0006134230899959</v>
      </c>
      <c r="O114" s="220">
        <f t="shared" si="296"/>
        <v>1078.6357217606997</v>
      </c>
      <c r="P114" s="219">
        <f t="shared" si="280"/>
        <v>1.0000496606019917</v>
      </c>
      <c r="Q114" s="569">
        <f t="shared" si="309"/>
        <v>19.020000000000003</v>
      </c>
      <c r="R114" s="570">
        <f t="shared" si="310"/>
        <v>1097.6557217606996</v>
      </c>
      <c r="U114" s="220">
        <f t="shared" si="297"/>
        <v>5</v>
      </c>
      <c r="V114" s="219">
        <f t="shared" si="281"/>
        <v>1</v>
      </c>
      <c r="W114" s="569">
        <f t="shared" si="311"/>
        <v>7.1200000000000063</v>
      </c>
      <c r="X114" s="570">
        <f t="shared" si="312"/>
        <v>12.120000000000006</v>
      </c>
      <c r="AA114" s="220">
        <f t="shared" si="298"/>
        <v>5</v>
      </c>
      <c r="AB114" s="219">
        <f t="shared" si="282"/>
        <v>1</v>
      </c>
      <c r="AC114" s="569">
        <f t="shared" si="313"/>
        <v>3.899999999999995</v>
      </c>
      <c r="AD114" s="570">
        <f t="shared" si="314"/>
        <v>8.899999999999995</v>
      </c>
      <c r="AG114" s="220">
        <f t="shared" si="299"/>
        <v>34831.958176319633</v>
      </c>
      <c r="AH114" s="219">
        <f t="shared" si="283"/>
        <v>1.0008525561429944</v>
      </c>
      <c r="AK114" s="220">
        <f t="shared" si="300"/>
        <v>214.6457733582906</v>
      </c>
      <c r="AL114" s="219">
        <f t="shared" si="284"/>
        <v>0.9985789646374017</v>
      </c>
      <c r="AO114" s="220">
        <f t="shared" si="301"/>
        <v>690.44086563023802</v>
      </c>
      <c r="AP114" s="219">
        <f t="shared" si="285"/>
        <v>0.9988425188228347</v>
      </c>
      <c r="AQ114" s="579"/>
      <c r="AT114" s="220">
        <f t="shared" ca="1" si="302"/>
        <v>51153.508703199368</v>
      </c>
      <c r="AU114" s="219">
        <f t="shared" ca="1" si="286"/>
        <v>1.0015781232023928</v>
      </c>
      <c r="AX114" s="220">
        <f t="shared" si="303"/>
        <v>2687.6269014195532</v>
      </c>
      <c r="AY114" s="219">
        <f t="shared" si="287"/>
        <v>1.0011786516735524</v>
      </c>
      <c r="BB114" s="220">
        <f t="shared" si="304"/>
        <v>404.47039466092554</v>
      </c>
      <c r="BC114" s="219">
        <f t="shared" si="288"/>
        <v>1.0005439445652871</v>
      </c>
      <c r="BD114" s="569">
        <f t="shared" si="315"/>
        <v>15.158333333333342</v>
      </c>
      <c r="BE114" s="570">
        <f t="shared" si="316"/>
        <v>419.6287279942589</v>
      </c>
      <c r="BH114" s="220">
        <f t="shared" si="305"/>
        <v>3</v>
      </c>
      <c r="BI114" s="219">
        <f t="shared" si="289"/>
        <v>1</v>
      </c>
      <c r="BJ114" s="569">
        <f t="shared" si="317"/>
        <v>3.8800000000000012</v>
      </c>
      <c r="BK114" s="570">
        <f t="shared" si="318"/>
        <v>6.8800000000000008</v>
      </c>
      <c r="BN114" s="220">
        <f t="shared" si="306"/>
        <v>15156.204351506782</v>
      </c>
      <c r="BO114" s="219">
        <f t="shared" si="290"/>
        <v>1.0013675177910204</v>
      </c>
      <c r="BR114" s="220">
        <f t="shared" si="307"/>
        <v>49.278566320480515</v>
      </c>
      <c r="BS114" s="219">
        <f t="shared" si="291"/>
        <v>1.0010986157583504</v>
      </c>
      <c r="BV114" s="220">
        <f t="shared" si="308"/>
        <v>399.4962185129466</v>
      </c>
      <c r="BW114" s="219">
        <f t="shared" si="292"/>
        <v>1.0004295350216084</v>
      </c>
    </row>
    <row r="115" spans="1:75">
      <c r="A115" s="9">
        <f t="shared" si="277"/>
        <v>2030</v>
      </c>
      <c r="B115" s="9" t="s">
        <v>384</v>
      </c>
      <c r="C115" s="220">
        <f t="shared" ca="1" si="293"/>
        <v>132759.54587809401</v>
      </c>
      <c r="D115" s="219">
        <f t="shared" ca="1" si="260"/>
        <v>1.0016668278810756</v>
      </c>
      <c r="G115" s="220">
        <f t="shared" si="294"/>
        <v>1541.3526659230731</v>
      </c>
      <c r="H115" s="219">
        <f t="shared" si="278"/>
        <v>0.99982281150025842</v>
      </c>
      <c r="K115" s="220">
        <f t="shared" si="295"/>
        <v>9916.8226024406704</v>
      </c>
      <c r="L115" s="219">
        <f t="shared" si="279"/>
        <v>1.0006134230899959</v>
      </c>
      <c r="O115" s="220">
        <f t="shared" si="296"/>
        <v>1078.6892874599721</v>
      </c>
      <c r="P115" s="219">
        <f t="shared" si="280"/>
        <v>1.0000496606019917</v>
      </c>
      <c r="Q115" s="569">
        <f t="shared" si="309"/>
        <v>19.025000000000002</v>
      </c>
      <c r="R115" s="570">
        <f t="shared" si="310"/>
        <v>1097.7142874599722</v>
      </c>
      <c r="U115" s="220">
        <f t="shared" si="297"/>
        <v>5</v>
      </c>
      <c r="V115" s="219">
        <f t="shared" si="281"/>
        <v>1</v>
      </c>
      <c r="W115" s="569">
        <f t="shared" si="311"/>
        <v>7.1200000000000063</v>
      </c>
      <c r="X115" s="570">
        <f t="shared" si="312"/>
        <v>12.120000000000006</v>
      </c>
      <c r="AA115" s="220">
        <f t="shared" si="298"/>
        <v>5</v>
      </c>
      <c r="AB115" s="219">
        <f t="shared" si="282"/>
        <v>1</v>
      </c>
      <c r="AC115" s="569">
        <f t="shared" si="313"/>
        <v>3.9074999999999949</v>
      </c>
      <c r="AD115" s="570">
        <f t="shared" si="314"/>
        <v>8.9074999999999953</v>
      </c>
      <c r="AG115" s="220">
        <f t="shared" si="299"/>
        <v>34861.654376235376</v>
      </c>
      <c r="AH115" s="219">
        <f t="shared" si="283"/>
        <v>1.0008525561429944</v>
      </c>
      <c r="AK115" s="220">
        <f t="shared" si="300"/>
        <v>214.34075412391621</v>
      </c>
      <c r="AL115" s="219">
        <f t="shared" si="284"/>
        <v>0.9985789646374017</v>
      </c>
      <c r="AO115" s="220">
        <f t="shared" si="301"/>
        <v>689.64169332432527</v>
      </c>
      <c r="AP115" s="219">
        <f t="shared" si="285"/>
        <v>0.9988425188228347</v>
      </c>
      <c r="AQ115" s="579"/>
      <c r="AT115" s="220">
        <f t="shared" ca="1" si="302"/>
        <v>51234.235242167691</v>
      </c>
      <c r="AU115" s="219">
        <f t="shared" ca="1" si="286"/>
        <v>1.0015781232023928</v>
      </c>
      <c r="AX115" s="220">
        <f t="shared" si="303"/>
        <v>2690.7946773647955</v>
      </c>
      <c r="AY115" s="219">
        <f t="shared" si="287"/>
        <v>1.0011786516735524</v>
      </c>
      <c r="BB115" s="220">
        <f t="shared" si="304"/>
        <v>404.69040413392088</v>
      </c>
      <c r="BC115" s="219">
        <f t="shared" si="288"/>
        <v>1.0005439445652871</v>
      </c>
      <c r="BD115" s="569">
        <f t="shared" si="315"/>
        <v>15.218750000000009</v>
      </c>
      <c r="BE115" s="570">
        <f t="shared" si="316"/>
        <v>419.90915413392088</v>
      </c>
      <c r="BH115" s="220">
        <f t="shared" si="305"/>
        <v>3</v>
      </c>
      <c r="BI115" s="219">
        <f t="shared" si="289"/>
        <v>1</v>
      </c>
      <c r="BJ115" s="569">
        <f t="shared" si="317"/>
        <v>3.930000000000001</v>
      </c>
      <c r="BK115" s="570">
        <f t="shared" si="318"/>
        <v>6.9300000000000015</v>
      </c>
      <c r="BN115" s="220">
        <f t="shared" si="306"/>
        <v>15176.930730601807</v>
      </c>
      <c r="BO115" s="219">
        <f t="shared" si="290"/>
        <v>1.0013675177910204</v>
      </c>
      <c r="BR115" s="220">
        <f t="shared" si="307"/>
        <v>49.332704529989108</v>
      </c>
      <c r="BS115" s="219">
        <f t="shared" si="291"/>
        <v>1.0010986157583504</v>
      </c>
      <c r="BV115" s="220">
        <f t="shared" si="308"/>
        <v>399.66781612979804</v>
      </c>
      <c r="BW115" s="219">
        <f t="shared" si="292"/>
        <v>1.0004295350216084</v>
      </c>
    </row>
    <row r="116" spans="1:75">
      <c r="A116" s="9">
        <f t="shared" si="277"/>
        <v>2030</v>
      </c>
      <c r="B116" s="9" t="s">
        <v>113</v>
      </c>
      <c r="C116" s="220">
        <f t="shared" ca="1" si="293"/>
        <v>132980.83319064256</v>
      </c>
      <c r="D116" s="219">
        <f t="shared" ca="1" si="260"/>
        <v>1.0016668278810756</v>
      </c>
      <c r="G116" s="220">
        <f t="shared" si="294"/>
        <v>1541.0795559566254</v>
      </c>
      <c r="H116" s="219">
        <f t="shared" si="278"/>
        <v>0.99982281150025831</v>
      </c>
      <c r="K116" s="220">
        <f t="shared" si="295"/>
        <v>9922.9058104044016</v>
      </c>
      <c r="L116" s="219">
        <f t="shared" si="279"/>
        <v>1.0006134230899959</v>
      </c>
      <c r="O116" s="220">
        <f t="shared" si="296"/>
        <v>1078.7428558193494</v>
      </c>
      <c r="P116" s="219">
        <f t="shared" si="280"/>
        <v>1.0000496606019917</v>
      </c>
      <c r="Q116" s="569">
        <f t="shared" si="309"/>
        <v>19.03</v>
      </c>
      <c r="R116" s="570">
        <f t="shared" si="310"/>
        <v>1097.7728558193494</v>
      </c>
      <c r="U116" s="220">
        <f t="shared" si="297"/>
        <v>5</v>
      </c>
      <c r="V116" s="219">
        <f t="shared" si="281"/>
        <v>1</v>
      </c>
      <c r="W116" s="569">
        <f t="shared" si="311"/>
        <v>7.1200000000000063</v>
      </c>
      <c r="X116" s="570">
        <f t="shared" si="312"/>
        <v>12.120000000000006</v>
      </c>
      <c r="AA116" s="220">
        <f t="shared" si="298"/>
        <v>5</v>
      </c>
      <c r="AB116" s="219">
        <f t="shared" si="282"/>
        <v>1</v>
      </c>
      <c r="AC116" s="569">
        <f t="shared" si="313"/>
        <v>3.9149999999999947</v>
      </c>
      <c r="AD116" s="570">
        <f t="shared" si="314"/>
        <v>8.9149999999999956</v>
      </c>
      <c r="AG116" s="220">
        <f t="shared" si="299"/>
        <v>34891.375893828779</v>
      </c>
      <c r="AH116" s="219">
        <f t="shared" si="283"/>
        <v>1.0008525561429944</v>
      </c>
      <c r="AK116" s="220">
        <f t="shared" si="300"/>
        <v>214.03616833266014</v>
      </c>
      <c r="AL116" s="219">
        <f t="shared" si="284"/>
        <v>0.9985789646374017</v>
      </c>
      <c r="AO116" s="220">
        <f t="shared" si="301"/>
        <v>688.84344604531395</v>
      </c>
      <c r="AP116" s="219">
        <f t="shared" si="285"/>
        <v>0.9988425188228347</v>
      </c>
      <c r="AQ116" s="579"/>
      <c r="AT116" s="220">
        <f t="shared" ca="1" si="302"/>
        <v>51315.089177560207</v>
      </c>
      <c r="AU116" s="219">
        <f t="shared" ca="1" si="286"/>
        <v>1.0015781232023928</v>
      </c>
      <c r="AX116" s="220">
        <f t="shared" si="303"/>
        <v>2693.9661870144573</v>
      </c>
      <c r="AY116" s="219">
        <f t="shared" si="287"/>
        <v>1.0011786516735524</v>
      </c>
      <c r="BB116" s="220">
        <f t="shared" si="304"/>
        <v>404.91053327987333</v>
      </c>
      <c r="BC116" s="219">
        <f t="shared" si="288"/>
        <v>1.0005439445652871</v>
      </c>
      <c r="BD116" s="569">
        <f t="shared" si="315"/>
        <v>15.279166666666676</v>
      </c>
      <c r="BE116" s="570">
        <f t="shared" si="316"/>
        <v>420.18969994654003</v>
      </c>
      <c r="BH116" s="220">
        <f t="shared" si="305"/>
        <v>3</v>
      </c>
      <c r="BI116" s="219">
        <f t="shared" si="289"/>
        <v>1</v>
      </c>
      <c r="BJ116" s="569">
        <f t="shared" si="317"/>
        <v>3.9800000000000009</v>
      </c>
      <c r="BK116" s="570">
        <f t="shared" si="318"/>
        <v>6.98</v>
      </c>
      <c r="BN116" s="220">
        <f t="shared" si="306"/>
        <v>15197.685453388989</v>
      </c>
      <c r="BO116" s="219">
        <f t="shared" si="290"/>
        <v>1.0013675177910204</v>
      </c>
      <c r="BR116" s="220">
        <f t="shared" si="307"/>
        <v>49.386902216587799</v>
      </c>
      <c r="BS116" s="219">
        <f t="shared" si="291"/>
        <v>1.0010986157583504</v>
      </c>
      <c r="BV116" s="220">
        <f t="shared" si="308"/>
        <v>399.83948745383555</v>
      </c>
      <c r="BW116" s="219">
        <f t="shared" si="292"/>
        <v>1.0004295350216084</v>
      </c>
    </row>
    <row r="117" spans="1:75">
      <c r="A117" s="9">
        <f t="shared" si="277"/>
        <v>2030</v>
      </c>
      <c r="B117" s="9" t="s">
        <v>114</v>
      </c>
      <c r="C117" s="220">
        <f t="shared" ca="1" si="293"/>
        <v>133202.4893510534</v>
      </c>
      <c r="D117" s="219">
        <f t="shared" ca="1" si="260"/>
        <v>1.0016668278810756</v>
      </c>
      <c r="G117" s="220">
        <f t="shared" si="294"/>
        <v>1540.806494382123</v>
      </c>
      <c r="H117" s="219">
        <f t="shared" si="278"/>
        <v>0.99982281150025842</v>
      </c>
      <c r="K117" s="220">
        <f t="shared" si="295"/>
        <v>9928.9927499483583</v>
      </c>
      <c r="L117" s="219">
        <f t="shared" si="279"/>
        <v>1.0006134230899959</v>
      </c>
      <c r="O117" s="220">
        <f t="shared" si="296"/>
        <v>1078.7964268389637</v>
      </c>
      <c r="P117" s="219">
        <f t="shared" si="280"/>
        <v>1.0000496606019917</v>
      </c>
      <c r="Q117" s="569">
        <f t="shared" si="309"/>
        <v>19.035</v>
      </c>
      <c r="R117" s="570">
        <f t="shared" si="310"/>
        <v>1097.8314268389638</v>
      </c>
      <c r="U117" s="220">
        <f t="shared" si="297"/>
        <v>5</v>
      </c>
      <c r="V117" s="219">
        <f t="shared" si="281"/>
        <v>1</v>
      </c>
      <c r="W117" s="569">
        <f t="shared" si="311"/>
        <v>7.1200000000000063</v>
      </c>
      <c r="X117" s="570">
        <f t="shared" si="312"/>
        <v>12.120000000000006</v>
      </c>
      <c r="AA117" s="220">
        <f t="shared" si="298"/>
        <v>5</v>
      </c>
      <c r="AB117" s="219">
        <f t="shared" si="282"/>
        <v>1</v>
      </c>
      <c r="AC117" s="569">
        <f t="shared" si="313"/>
        <v>3.9224999999999945</v>
      </c>
      <c r="AD117" s="570">
        <f t="shared" si="314"/>
        <v>8.9224999999999941</v>
      </c>
      <c r="AG117" s="220">
        <f t="shared" si="299"/>
        <v>34921.12275068459</v>
      </c>
      <c r="AH117" s="219">
        <f t="shared" si="283"/>
        <v>1.0008525561429944</v>
      </c>
      <c r="AK117" s="220">
        <f t="shared" si="300"/>
        <v>213.7320153685844</v>
      </c>
      <c r="AL117" s="219">
        <f t="shared" si="284"/>
        <v>0.99857896463740181</v>
      </c>
      <c r="AO117" s="220">
        <f t="shared" si="301"/>
        <v>688.04612272250279</v>
      </c>
      <c r="AP117" s="219">
        <f t="shared" si="285"/>
        <v>0.9988425188228347</v>
      </c>
      <c r="AQ117" s="579"/>
      <c r="AT117" s="220">
        <f t="shared" ca="1" si="302"/>
        <v>51396.070710424174</v>
      </c>
      <c r="AU117" s="219">
        <f t="shared" ca="1" si="286"/>
        <v>1.0015781232023928</v>
      </c>
      <c r="AX117" s="220">
        <f t="shared" si="303"/>
        <v>2697.1414347692753</v>
      </c>
      <c r="AY117" s="219">
        <f t="shared" si="287"/>
        <v>1.0011786516735524</v>
      </c>
      <c r="BB117" s="220">
        <f t="shared" si="304"/>
        <v>405.13078216387839</v>
      </c>
      <c r="BC117" s="219">
        <f t="shared" si="288"/>
        <v>1.0005439445652871</v>
      </c>
      <c r="BD117" s="569">
        <f t="shared" si="315"/>
        <v>15.339583333333342</v>
      </c>
      <c r="BE117" s="570">
        <f t="shared" si="316"/>
        <v>420.47036549721173</v>
      </c>
      <c r="BH117" s="220">
        <f t="shared" si="305"/>
        <v>3</v>
      </c>
      <c r="BI117" s="219">
        <f t="shared" si="289"/>
        <v>1</v>
      </c>
      <c r="BJ117" s="569">
        <f t="shared" si="317"/>
        <v>4.0300000000000011</v>
      </c>
      <c r="BK117" s="570">
        <f t="shared" si="318"/>
        <v>7.0300000000000011</v>
      </c>
      <c r="BN117" s="220">
        <f t="shared" si="306"/>
        <v>15218.468558628831</v>
      </c>
      <c r="BO117" s="219">
        <f t="shared" si="290"/>
        <v>1.0013675177910204</v>
      </c>
      <c r="BR117" s="220">
        <f t="shared" si="307"/>
        <v>49.44115944561905</v>
      </c>
      <c r="BS117" s="219">
        <f t="shared" si="291"/>
        <v>1.0010986157583504</v>
      </c>
      <c r="BV117" s="220">
        <f t="shared" si="308"/>
        <v>400.01123251671891</v>
      </c>
      <c r="BW117" s="219">
        <f t="shared" si="292"/>
        <v>1.0004295350216084</v>
      </c>
    </row>
    <row r="118" spans="1:75">
      <c r="A118" s="9">
        <f t="shared" si="277"/>
        <v>2030</v>
      </c>
      <c r="B118" s="9" t="s">
        <v>115</v>
      </c>
      <c r="C118" s="220">
        <f t="shared" ca="1" si="293"/>
        <v>133424.51497413241</v>
      </c>
      <c r="D118" s="219">
        <f t="shared" ca="1" si="260"/>
        <v>1.0016668278810756</v>
      </c>
      <c r="G118" s="220">
        <f t="shared" si="294"/>
        <v>1540.5334811909913</v>
      </c>
      <c r="H118" s="219">
        <f t="shared" si="278"/>
        <v>0.99982281150025842</v>
      </c>
      <c r="K118" s="220">
        <f t="shared" si="295"/>
        <v>9935.0834233615788</v>
      </c>
      <c r="L118" s="219">
        <f t="shared" si="279"/>
        <v>1.0006134230899959</v>
      </c>
      <c r="O118" s="220">
        <f t="shared" si="296"/>
        <v>1078.8500005189471</v>
      </c>
      <c r="P118" s="219">
        <f t="shared" si="280"/>
        <v>1.0000496606019917</v>
      </c>
      <c r="Q118" s="569">
        <f t="shared" si="309"/>
        <v>19.04</v>
      </c>
      <c r="R118" s="570">
        <f t="shared" si="310"/>
        <v>1097.8900005189471</v>
      </c>
      <c r="U118" s="220">
        <f t="shared" si="297"/>
        <v>5</v>
      </c>
      <c r="V118" s="219">
        <f t="shared" si="281"/>
        <v>1</v>
      </c>
      <c r="W118" s="569">
        <f t="shared" si="311"/>
        <v>7.1200000000000063</v>
      </c>
      <c r="X118" s="570">
        <f t="shared" si="312"/>
        <v>12.120000000000006</v>
      </c>
      <c r="AA118" s="220">
        <f t="shared" si="298"/>
        <v>5</v>
      </c>
      <c r="AB118" s="219">
        <f t="shared" si="282"/>
        <v>1</v>
      </c>
      <c r="AC118" s="569">
        <f t="shared" si="313"/>
        <v>3.9299999999999944</v>
      </c>
      <c r="AD118" s="570">
        <f t="shared" si="314"/>
        <v>8.9299999999999944</v>
      </c>
      <c r="AG118" s="220">
        <f t="shared" si="299"/>
        <v>34950.894968405948</v>
      </c>
      <c r="AH118" s="219">
        <f t="shared" si="283"/>
        <v>1.0008525561429944</v>
      </c>
      <c r="AK118" s="220">
        <f t="shared" si="300"/>
        <v>213.42829461662623</v>
      </c>
      <c r="AL118" s="219">
        <f t="shared" si="284"/>
        <v>0.9985789646374017</v>
      </c>
      <c r="AO118" s="220">
        <f t="shared" si="301"/>
        <v>687.24972228642991</v>
      </c>
      <c r="AP118" s="219">
        <f t="shared" si="285"/>
        <v>0.9988425188228347</v>
      </c>
      <c r="AQ118" s="579"/>
      <c r="AT118" s="220">
        <f t="shared" ca="1" si="302"/>
        <v>51477.180042124113</v>
      </c>
      <c r="AU118" s="219">
        <f t="shared" ca="1" si="286"/>
        <v>1.0015781232023928</v>
      </c>
      <c r="AX118" s="220">
        <f t="shared" si="303"/>
        <v>2700.3204250351737</v>
      </c>
      <c r="AY118" s="219">
        <f t="shared" si="287"/>
        <v>1.0011786516735524</v>
      </c>
      <c r="BB118" s="220">
        <f t="shared" si="304"/>
        <v>405.3511508510669</v>
      </c>
      <c r="BC118" s="219">
        <f t="shared" si="288"/>
        <v>1.0005439445652871</v>
      </c>
      <c r="BD118" s="569">
        <f t="shared" si="315"/>
        <v>15.400000000000009</v>
      </c>
      <c r="BE118" s="570">
        <f t="shared" si="316"/>
        <v>420.75115085106694</v>
      </c>
      <c r="BH118" s="220">
        <f t="shared" si="305"/>
        <v>3</v>
      </c>
      <c r="BI118" s="219">
        <f t="shared" si="289"/>
        <v>1</v>
      </c>
      <c r="BJ118" s="569">
        <f t="shared" si="317"/>
        <v>4.080000000000001</v>
      </c>
      <c r="BK118" s="570">
        <f t="shared" si="318"/>
        <v>7.080000000000001</v>
      </c>
      <c r="BN118" s="220">
        <f t="shared" si="306"/>
        <v>15239.28008513484</v>
      </c>
      <c r="BO118" s="219">
        <f t="shared" si="290"/>
        <v>1.0013675177910204</v>
      </c>
      <c r="BR118" s="220">
        <f t="shared" si="307"/>
        <v>49.495476282497123</v>
      </c>
      <c r="BS118" s="219">
        <f t="shared" si="291"/>
        <v>1.0010986157583504</v>
      </c>
      <c r="BV118" s="220">
        <f t="shared" si="308"/>
        <v>400.18305135012156</v>
      </c>
      <c r="BW118" s="219">
        <f t="shared" si="292"/>
        <v>1.0004295350216084</v>
      </c>
    </row>
    <row r="119" spans="1:75">
      <c r="A119" s="9">
        <f t="shared" si="277"/>
        <v>2031</v>
      </c>
      <c r="B119" s="9" t="s">
        <v>104</v>
      </c>
      <c r="C119" s="220">
        <f ca="1">C21/D21^(5.50989446627246/12)</f>
        <v>133642.72561449406</v>
      </c>
      <c r="D119" s="219">
        <f t="shared" ca="1" si="260"/>
        <v>1.0016354613723268</v>
      </c>
      <c r="G119" s="220">
        <f>G21/H21^(5.50989446627246/12)</f>
        <v>1540.2605163746573</v>
      </c>
      <c r="H119" s="219">
        <f t="shared" si="278"/>
        <v>0.99982281150025831</v>
      </c>
      <c r="K119" s="220">
        <f>K21/L21^(5.50989446627246/12)</f>
        <v>9941.1778329345034</v>
      </c>
      <c r="L119" s="219">
        <f t="shared" si="279"/>
        <v>1.0006134230899959</v>
      </c>
      <c r="O119" s="220">
        <f>O21/P21^(5.50989446627246/12)</f>
        <v>1078.9035768594326</v>
      </c>
      <c r="P119" s="219">
        <f t="shared" si="280"/>
        <v>1.0000496606019926</v>
      </c>
      <c r="Q119" s="569">
        <f t="shared" si="309"/>
        <v>19.057499999999997</v>
      </c>
      <c r="R119" s="570">
        <f t="shared" si="310"/>
        <v>1097.9610768594325</v>
      </c>
      <c r="U119" s="220">
        <f>U21/V21^(5.50989446627246/12)</f>
        <v>5</v>
      </c>
      <c r="V119" s="219">
        <f t="shared" si="281"/>
        <v>1</v>
      </c>
      <c r="W119" s="569">
        <f t="shared" si="311"/>
        <v>7.1200000000000063</v>
      </c>
      <c r="X119" s="570">
        <f t="shared" si="312"/>
        <v>12.120000000000006</v>
      </c>
      <c r="AA119" s="220">
        <f>AA21/AB21^(5.50989446627246/12)</f>
        <v>5</v>
      </c>
      <c r="AB119" s="219">
        <f t="shared" si="282"/>
        <v>1</v>
      </c>
      <c r="AC119" s="569">
        <f t="shared" si="313"/>
        <v>3.9324999999999943</v>
      </c>
      <c r="AD119" s="570">
        <f t="shared" si="314"/>
        <v>8.9324999999999939</v>
      </c>
      <c r="AG119" s="220">
        <f>AG21/AH21^(5.50989446627246/12)</f>
        <v>34980.69256861446</v>
      </c>
      <c r="AH119" s="219">
        <f t="shared" si="283"/>
        <v>1.0008525561429957</v>
      </c>
      <c r="AK119" s="220">
        <f>AK21/AL21^(5.50989446627246/12)</f>
        <v>213.12500546259704</v>
      </c>
      <c r="AL119" s="219">
        <f t="shared" si="284"/>
        <v>0.99857896463740214</v>
      </c>
      <c r="AO119" s="220">
        <f>AO21/AP21^(5.50989446627246/12)</f>
        <v>686.45424366887164</v>
      </c>
      <c r="AP119" s="219">
        <f t="shared" si="285"/>
        <v>0.99884251882283526</v>
      </c>
      <c r="AQ119" s="579"/>
      <c r="AT119" s="220">
        <f ca="1">AT21/AU21^(5.50989446627246/12)</f>
        <v>51556.885983142092</v>
      </c>
      <c r="AU119" s="219">
        <f t="shared" ca="1" si="286"/>
        <v>1.0015483742690015</v>
      </c>
      <c r="AX119" s="220">
        <f>AX21/AY21^(5.50989446627246/12)</f>
        <v>2703.5031622232718</v>
      </c>
      <c r="AY119" s="219">
        <f t="shared" si="287"/>
        <v>1.0011786516735535</v>
      </c>
      <c r="BB119" s="220">
        <f>BB21/BC21^(5.50989446627246/12)</f>
        <v>405.57163940660485</v>
      </c>
      <c r="BC119" s="219">
        <f t="shared" si="288"/>
        <v>1.0005439445652862</v>
      </c>
      <c r="BD119" s="569">
        <f t="shared" si="315"/>
        <v>15.454166666666676</v>
      </c>
      <c r="BE119" s="570">
        <f t="shared" si="316"/>
        <v>421.0258060732715</v>
      </c>
      <c r="BH119" s="220">
        <f>BH21/BI21^(5.50989446627246/12)</f>
        <v>3</v>
      </c>
      <c r="BI119" s="219">
        <f t="shared" si="289"/>
        <v>1</v>
      </c>
      <c r="BJ119" s="569">
        <f t="shared" si="317"/>
        <v>4.0966666666666676</v>
      </c>
      <c r="BK119" s="570">
        <f t="shared" si="318"/>
        <v>7.0966666666666676</v>
      </c>
      <c r="BN119" s="220">
        <f>BN21/BO21^(5.50989446627246/12)</f>
        <v>15260.12007177361</v>
      </c>
      <c r="BO119" s="219">
        <f t="shared" si="290"/>
        <v>1.0013675177910208</v>
      </c>
      <c r="BR119" s="220">
        <f>BR21/BS21^(5.50989446627246/12)</f>
        <v>49.549852792708073</v>
      </c>
      <c r="BS119" s="219">
        <f t="shared" si="291"/>
        <v>1.0010986157583492</v>
      </c>
      <c r="BV119" s="220">
        <f>BV21/BW21^(5.50989446627246/12)</f>
        <v>400.35494398573036</v>
      </c>
      <c r="BW119" s="219">
        <f t="shared" si="292"/>
        <v>1.0004295350216079</v>
      </c>
    </row>
    <row r="120" spans="1:75">
      <c r="A120" s="9">
        <f t="shared" si="277"/>
        <v>2031</v>
      </c>
      <c r="B120" s="9" t="s">
        <v>105</v>
      </c>
      <c r="C120" s="220">
        <f t="shared" ref="C120:C130" ca="1" si="319">C119*D$21^(1/12)</f>
        <v>133864.83913533084</v>
      </c>
      <c r="D120" s="219">
        <f t="shared" ca="1" si="260"/>
        <v>1.0016619948434566</v>
      </c>
      <c r="G120" s="220">
        <f t="shared" ref="G120:G130" si="320">G119*H$21^(1/12)</f>
        <v>1539.9875999245496</v>
      </c>
      <c r="H120" s="219">
        <f t="shared" si="278"/>
        <v>0.99982281150025842</v>
      </c>
      <c r="K120" s="220">
        <f t="shared" ref="K120:K130" si="321">K119*L$21^(1/12)</f>
        <v>9947.2759809589807</v>
      </c>
      <c r="L120" s="219">
        <f t="shared" si="279"/>
        <v>1.0006134230899959</v>
      </c>
      <c r="O120" s="220">
        <f t="shared" ref="O120:O130" si="322">O119*P$21^(1/12)</f>
        <v>1078.9571558605505</v>
      </c>
      <c r="P120" s="219">
        <f t="shared" si="280"/>
        <v>1.0000496606019917</v>
      </c>
      <c r="Q120" s="569">
        <f t="shared" si="309"/>
        <v>19.074999999999996</v>
      </c>
      <c r="R120" s="570">
        <f t="shared" si="310"/>
        <v>1098.0321558605506</v>
      </c>
      <c r="U120" s="220">
        <f t="shared" ref="U120:U130" si="323">U119*V$21^(1/12)</f>
        <v>5</v>
      </c>
      <c r="V120" s="219">
        <f t="shared" si="281"/>
        <v>1</v>
      </c>
      <c r="W120" s="569">
        <f t="shared" si="311"/>
        <v>7.1200000000000063</v>
      </c>
      <c r="X120" s="570">
        <f t="shared" si="312"/>
        <v>12.120000000000006</v>
      </c>
      <c r="AA120" s="220">
        <f t="shared" ref="AA120:AA130" si="324">AA119*AB$21^(1/12)</f>
        <v>5</v>
      </c>
      <c r="AB120" s="219">
        <f t="shared" si="282"/>
        <v>1</v>
      </c>
      <c r="AC120" s="569">
        <f t="shared" si="313"/>
        <v>3.9349999999999943</v>
      </c>
      <c r="AD120" s="570">
        <f t="shared" si="314"/>
        <v>8.9349999999999952</v>
      </c>
      <c r="AG120" s="220">
        <f t="shared" ref="AG120:AG130" si="325">AG119*AH$21^(1/12)</f>
        <v>35010.515572950033</v>
      </c>
      <c r="AH120" s="219">
        <f t="shared" si="283"/>
        <v>1.0008525561429944</v>
      </c>
      <c r="AK120" s="220">
        <f t="shared" ref="AK120:AK130" si="326">AK119*AL$21^(1/12)</f>
        <v>212.82214729318073</v>
      </c>
      <c r="AL120" s="219">
        <f t="shared" si="284"/>
        <v>0.9985789646374017</v>
      </c>
      <c r="AO120" s="220">
        <f t="shared" ref="AO120:AO130" si="327">AO119*AP$21^(1/12)</f>
        <v>685.6596858028397</v>
      </c>
      <c r="AP120" s="219">
        <f t="shared" si="285"/>
        <v>0.9988425188228347</v>
      </c>
      <c r="AQ120" s="579"/>
      <c r="AT120" s="220">
        <f t="shared" ref="AT120:AT130" ca="1" si="328">AT119*AU$21^(1/12)</f>
        <v>51638.012775008021</v>
      </c>
      <c r="AU120" s="219">
        <f t="shared" ca="1" si="286"/>
        <v>1.0015735394083431</v>
      </c>
      <c r="AX120" s="220">
        <f t="shared" ref="AX120:AX130" si="329">AX119*AY$21^(1/12)</f>
        <v>2706.6896507498805</v>
      </c>
      <c r="AY120" s="219">
        <f t="shared" si="287"/>
        <v>1.0011786516735524</v>
      </c>
      <c r="BB120" s="220">
        <f t="shared" ref="BB120:BB130" si="330">BB119*BC$21^(1/12)</f>
        <v>405.79224789569463</v>
      </c>
      <c r="BC120" s="219">
        <f t="shared" si="288"/>
        <v>1.0005439445652871</v>
      </c>
      <c r="BD120" s="569">
        <f t="shared" si="315"/>
        <v>15.508333333333344</v>
      </c>
      <c r="BE120" s="570">
        <f t="shared" si="316"/>
        <v>421.30058122902796</v>
      </c>
      <c r="BH120" s="220">
        <f t="shared" ref="BH120:BH130" si="331">BH119*BI$21^(1/12)</f>
        <v>3</v>
      </c>
      <c r="BI120" s="219">
        <f t="shared" si="289"/>
        <v>1</v>
      </c>
      <c r="BJ120" s="569">
        <f t="shared" si="317"/>
        <v>4.1133333333333342</v>
      </c>
      <c r="BK120" s="570">
        <f t="shared" si="318"/>
        <v>7.1133333333333342</v>
      </c>
      <c r="BN120" s="220">
        <f t="shared" ref="BN120:BN130" si="332">BN119*BO$21^(1/12)</f>
        <v>15280.988557464869</v>
      </c>
      <c r="BO120" s="219">
        <f t="shared" si="290"/>
        <v>1.0013675177910204</v>
      </c>
      <c r="BR120" s="220">
        <f t="shared" ref="BR120:BR130" si="333">BR119*BS$21^(1/12)</f>
        <v>49.604289041810084</v>
      </c>
      <c r="BS120" s="219">
        <f t="shared" si="291"/>
        <v>1.0010986157583504</v>
      </c>
      <c r="BV120" s="220">
        <f t="shared" ref="BV120:BV130" si="334">BV119*BW$21^(1/12)</f>
        <v>400.52691045524631</v>
      </c>
      <c r="BW120" s="219">
        <f t="shared" si="292"/>
        <v>1.0004295350216084</v>
      </c>
    </row>
    <row r="121" spans="1:75">
      <c r="A121" s="9">
        <f t="shared" si="277"/>
        <v>2031</v>
      </c>
      <c r="B121" s="9" t="s">
        <v>106</v>
      </c>
      <c r="C121" s="220">
        <f t="shared" ca="1" si="319"/>
        <v>134087.32180769392</v>
      </c>
      <c r="D121" s="219">
        <f t="shared" ca="1" si="260"/>
        <v>1.0016619948434566</v>
      </c>
      <c r="G121" s="220">
        <f t="shared" si="320"/>
        <v>1539.7147318320983</v>
      </c>
      <c r="H121" s="219">
        <f t="shared" si="278"/>
        <v>0.99982281150025842</v>
      </c>
      <c r="K121" s="220">
        <f t="shared" si="321"/>
        <v>9953.3778697282632</v>
      </c>
      <c r="L121" s="219">
        <f t="shared" si="279"/>
        <v>1.0006134230899959</v>
      </c>
      <c r="O121" s="220">
        <f t="shared" si="322"/>
        <v>1079.0107375224338</v>
      </c>
      <c r="P121" s="219">
        <f t="shared" si="280"/>
        <v>1.0000496606019917</v>
      </c>
      <c r="Q121" s="569">
        <f t="shared" si="309"/>
        <v>19.092499999999994</v>
      </c>
      <c r="R121" s="570">
        <f t="shared" si="310"/>
        <v>1098.1032375224338</v>
      </c>
      <c r="U121" s="220">
        <f t="shared" si="323"/>
        <v>5</v>
      </c>
      <c r="V121" s="219">
        <f t="shared" si="281"/>
        <v>1</v>
      </c>
      <c r="W121" s="569">
        <f t="shared" si="311"/>
        <v>7.1200000000000063</v>
      </c>
      <c r="X121" s="570">
        <f t="shared" si="312"/>
        <v>12.120000000000006</v>
      </c>
      <c r="AA121" s="220">
        <f t="shared" si="324"/>
        <v>5</v>
      </c>
      <c r="AB121" s="219">
        <f t="shared" si="282"/>
        <v>1</v>
      </c>
      <c r="AC121" s="569">
        <f t="shared" si="313"/>
        <v>3.9374999999999942</v>
      </c>
      <c r="AD121" s="570">
        <f t="shared" si="314"/>
        <v>8.9374999999999947</v>
      </c>
      <c r="AG121" s="220">
        <f t="shared" si="325"/>
        <v>35040.364003071154</v>
      </c>
      <c r="AH121" s="219">
        <f t="shared" si="283"/>
        <v>1.0008525561429944</v>
      </c>
      <c r="AK121" s="220">
        <f t="shared" si="326"/>
        <v>212.51971949593303</v>
      </c>
      <c r="AL121" s="219">
        <f t="shared" si="284"/>
        <v>0.9985789646374017</v>
      </c>
      <c r="AO121" s="220">
        <f t="shared" si="327"/>
        <v>684.86604762258185</v>
      </c>
      <c r="AP121" s="219">
        <f t="shared" si="285"/>
        <v>0.9988425188228347</v>
      </c>
      <c r="AQ121" s="579"/>
      <c r="AT121" s="220">
        <f t="shared" ca="1" si="328"/>
        <v>51719.267223078023</v>
      </c>
      <c r="AU121" s="219">
        <f t="shared" ca="1" si="286"/>
        <v>1.0015735394083431</v>
      </c>
      <c r="AX121" s="220">
        <f t="shared" si="329"/>
        <v>2709.8798950365235</v>
      </c>
      <c r="AY121" s="219">
        <f t="shared" si="287"/>
        <v>1.0011786516735524</v>
      </c>
      <c r="BB121" s="220">
        <f t="shared" si="330"/>
        <v>406.01297638357312</v>
      </c>
      <c r="BC121" s="219">
        <f t="shared" si="288"/>
        <v>1.0005439445652871</v>
      </c>
      <c r="BD121" s="569">
        <f t="shared" si="315"/>
        <v>15.562500000000011</v>
      </c>
      <c r="BE121" s="570">
        <f t="shared" si="316"/>
        <v>421.57547638357312</v>
      </c>
      <c r="BH121" s="220">
        <f t="shared" si="331"/>
        <v>3</v>
      </c>
      <c r="BI121" s="219">
        <f t="shared" si="289"/>
        <v>1</v>
      </c>
      <c r="BJ121" s="569">
        <f t="shared" si="317"/>
        <v>4.1300000000000008</v>
      </c>
      <c r="BK121" s="570">
        <f t="shared" si="318"/>
        <v>7.1300000000000008</v>
      </c>
      <c r="BN121" s="220">
        <f t="shared" si="332"/>
        <v>15301.885581181581</v>
      </c>
      <c r="BO121" s="219">
        <f t="shared" si="290"/>
        <v>1.0013675177910204</v>
      </c>
      <c r="BR121" s="220">
        <f t="shared" si="333"/>
        <v>49.658785095433181</v>
      </c>
      <c r="BS121" s="219">
        <f t="shared" si="291"/>
        <v>1.0010986157583504</v>
      </c>
      <c r="BV121" s="220">
        <f t="shared" si="334"/>
        <v>400.69895079038344</v>
      </c>
      <c r="BW121" s="219">
        <f t="shared" si="292"/>
        <v>1.0004295350216084</v>
      </c>
    </row>
    <row r="122" spans="1:75">
      <c r="A122" s="9">
        <f t="shared" si="277"/>
        <v>2031</v>
      </c>
      <c r="B122" s="9" t="s">
        <v>107</v>
      </c>
      <c r="C122" s="220">
        <f t="shared" ca="1" si="319"/>
        <v>134310.17424511121</v>
      </c>
      <c r="D122" s="219">
        <f t="shared" ca="1" si="260"/>
        <v>1.0016619948434566</v>
      </c>
      <c r="G122" s="220">
        <f t="shared" si="320"/>
        <v>1539.4419120887351</v>
      </c>
      <c r="H122" s="219">
        <f t="shared" si="278"/>
        <v>0.99982281150025853</v>
      </c>
      <c r="K122" s="220">
        <f t="shared" si="321"/>
        <v>9959.4835015370081</v>
      </c>
      <c r="L122" s="219">
        <f t="shared" si="279"/>
        <v>1.0006134230899959</v>
      </c>
      <c r="O122" s="220">
        <f t="shared" si="322"/>
        <v>1079.0643218452146</v>
      </c>
      <c r="P122" s="219">
        <f t="shared" si="280"/>
        <v>1.0000496606019917</v>
      </c>
      <c r="Q122" s="569">
        <f t="shared" si="309"/>
        <v>19.109999999999992</v>
      </c>
      <c r="R122" s="570">
        <f t="shared" si="310"/>
        <v>1098.1743218452145</v>
      </c>
      <c r="U122" s="220">
        <f t="shared" si="323"/>
        <v>5</v>
      </c>
      <c r="V122" s="219">
        <f t="shared" si="281"/>
        <v>1</v>
      </c>
      <c r="W122" s="569">
        <f t="shared" si="311"/>
        <v>7.1200000000000063</v>
      </c>
      <c r="X122" s="570">
        <f t="shared" si="312"/>
        <v>12.120000000000006</v>
      </c>
      <c r="AA122" s="220">
        <f t="shared" si="324"/>
        <v>5</v>
      </c>
      <c r="AB122" s="219">
        <f t="shared" si="282"/>
        <v>1</v>
      </c>
      <c r="AC122" s="569">
        <f t="shared" si="313"/>
        <v>3.9399999999999942</v>
      </c>
      <c r="AD122" s="570">
        <f t="shared" si="314"/>
        <v>8.9399999999999942</v>
      </c>
      <c r="AG122" s="220">
        <f t="shared" si="325"/>
        <v>35070.237880654735</v>
      </c>
      <c r="AH122" s="219">
        <f t="shared" si="283"/>
        <v>1.0008525561429944</v>
      </c>
      <c r="AK122" s="220">
        <f t="shared" si="326"/>
        <v>212.21772145927983</v>
      </c>
      <c r="AL122" s="219">
        <f t="shared" si="284"/>
        <v>0.9985789646374017</v>
      </c>
      <c r="AO122" s="220">
        <f t="shared" si="327"/>
        <v>684.07332806357908</v>
      </c>
      <c r="AP122" s="219">
        <f t="shared" si="285"/>
        <v>0.9988425188228347</v>
      </c>
      <c r="AQ122" s="579"/>
      <c r="AT122" s="220">
        <f t="shared" ca="1" si="328"/>
        <v>51800.649528224167</v>
      </c>
      <c r="AU122" s="219">
        <f t="shared" ca="1" si="286"/>
        <v>1.0015735394083431</v>
      </c>
      <c r="AX122" s="220">
        <f t="shared" si="329"/>
        <v>2713.0738995099341</v>
      </c>
      <c r="AY122" s="219">
        <f t="shared" si="287"/>
        <v>1.0011786516735524</v>
      </c>
      <c r="BB122" s="220">
        <f t="shared" si="330"/>
        <v>406.23382493551298</v>
      </c>
      <c r="BC122" s="219">
        <f t="shared" si="288"/>
        <v>1.0005439445652871</v>
      </c>
      <c r="BD122" s="569">
        <f t="shared" si="315"/>
        <v>15.616666666666678</v>
      </c>
      <c r="BE122" s="570">
        <f t="shared" si="316"/>
        <v>421.85049160217966</v>
      </c>
      <c r="BH122" s="220">
        <f t="shared" si="331"/>
        <v>3</v>
      </c>
      <c r="BI122" s="219">
        <f t="shared" si="289"/>
        <v>1</v>
      </c>
      <c r="BJ122" s="569">
        <f t="shared" si="317"/>
        <v>4.1466666666666674</v>
      </c>
      <c r="BK122" s="570">
        <f t="shared" si="318"/>
        <v>7.1466666666666674</v>
      </c>
      <c r="BN122" s="220">
        <f t="shared" si="332"/>
        <v>15322.811181950005</v>
      </c>
      <c r="BO122" s="219">
        <f t="shared" si="290"/>
        <v>1.0013675177910204</v>
      </c>
      <c r="BR122" s="220">
        <f t="shared" si="333"/>
        <v>49.713341019279561</v>
      </c>
      <c r="BS122" s="219">
        <f t="shared" si="291"/>
        <v>1.0010986157583504</v>
      </c>
      <c r="BV122" s="220">
        <f t="shared" si="334"/>
        <v>400.87106502286963</v>
      </c>
      <c r="BW122" s="219">
        <f t="shared" si="292"/>
        <v>1.0004295350216084</v>
      </c>
    </row>
    <row r="123" spans="1:75">
      <c r="A123" s="9">
        <f t="shared" si="277"/>
        <v>2031</v>
      </c>
      <c r="B123" s="9" t="s">
        <v>108</v>
      </c>
      <c r="C123" s="220">
        <f t="shared" ca="1" si="319"/>
        <v>134533.39706213033</v>
      </c>
      <c r="D123" s="219">
        <f t="shared" ca="1" si="260"/>
        <v>1.0016619948434566</v>
      </c>
      <c r="G123" s="220">
        <f t="shared" si="320"/>
        <v>1539.1691406858927</v>
      </c>
      <c r="H123" s="219">
        <f t="shared" si="278"/>
        <v>0.99982281150025831</v>
      </c>
      <c r="K123" s="220">
        <f t="shared" si="321"/>
        <v>9965.5928786812838</v>
      </c>
      <c r="L123" s="219">
        <f t="shared" si="279"/>
        <v>1.0006134230899959</v>
      </c>
      <c r="O123" s="220">
        <f t="shared" si="322"/>
        <v>1079.1179088290253</v>
      </c>
      <c r="P123" s="219">
        <f t="shared" si="280"/>
        <v>1.0000496606019917</v>
      </c>
      <c r="Q123" s="569">
        <f t="shared" si="309"/>
        <v>19.127499999999991</v>
      </c>
      <c r="R123" s="570">
        <f t="shared" si="310"/>
        <v>1098.2454088290253</v>
      </c>
      <c r="U123" s="220">
        <f t="shared" si="323"/>
        <v>5</v>
      </c>
      <c r="V123" s="219">
        <f t="shared" si="281"/>
        <v>1</v>
      </c>
      <c r="W123" s="569">
        <f t="shared" si="311"/>
        <v>7.1200000000000063</v>
      </c>
      <c r="X123" s="570">
        <f t="shared" si="312"/>
        <v>12.120000000000006</v>
      </c>
      <c r="AA123" s="220">
        <f t="shared" si="324"/>
        <v>5</v>
      </c>
      <c r="AB123" s="219">
        <f t="shared" si="282"/>
        <v>1</v>
      </c>
      <c r="AC123" s="569">
        <f t="shared" si="313"/>
        <v>3.9424999999999941</v>
      </c>
      <c r="AD123" s="570">
        <f t="shared" si="314"/>
        <v>8.9424999999999937</v>
      </c>
      <c r="AG123" s="220">
        <f t="shared" si="325"/>
        <v>35100.137227396161</v>
      </c>
      <c r="AH123" s="219">
        <f t="shared" si="283"/>
        <v>1.0008525561429944</v>
      </c>
      <c r="AK123" s="220">
        <f t="shared" si="326"/>
        <v>211.91615257251615</v>
      </c>
      <c r="AL123" s="219">
        <f t="shared" si="284"/>
        <v>0.9985789646374017</v>
      </c>
      <c r="AO123" s="220">
        <f t="shared" si="327"/>
        <v>683.28152606254469</v>
      </c>
      <c r="AP123" s="219">
        <f t="shared" si="285"/>
        <v>0.9988425188228347</v>
      </c>
      <c r="AQ123" s="579"/>
      <c r="AT123" s="220">
        <f t="shared" ca="1" si="328"/>
        <v>51882.159891634597</v>
      </c>
      <c r="AU123" s="219">
        <f t="shared" ca="1" si="286"/>
        <v>1.0015735394083431</v>
      </c>
      <c r="AX123" s="220">
        <f t="shared" si="329"/>
        <v>2716.2716686020626</v>
      </c>
      <c r="AY123" s="219">
        <f t="shared" si="287"/>
        <v>1.0011786516735524</v>
      </c>
      <c r="BB123" s="220">
        <f t="shared" si="330"/>
        <v>406.45479361682243</v>
      </c>
      <c r="BC123" s="219">
        <f t="shared" si="288"/>
        <v>1.0005439445652871</v>
      </c>
      <c r="BD123" s="569">
        <f t="shared" si="315"/>
        <v>15.670833333333345</v>
      </c>
      <c r="BE123" s="570">
        <f t="shared" si="316"/>
        <v>422.12562695015578</v>
      </c>
      <c r="BH123" s="220">
        <f t="shared" si="331"/>
        <v>3</v>
      </c>
      <c r="BI123" s="219">
        <f t="shared" si="289"/>
        <v>1</v>
      </c>
      <c r="BJ123" s="569">
        <f t="shared" si="317"/>
        <v>4.163333333333334</v>
      </c>
      <c r="BK123" s="570">
        <f t="shared" si="318"/>
        <v>7.163333333333334</v>
      </c>
      <c r="BN123" s="220">
        <f t="shared" si="332"/>
        <v>15343.765398849768</v>
      </c>
      <c r="BO123" s="219">
        <f t="shared" si="290"/>
        <v>1.0013675177910204</v>
      </c>
      <c r="BR123" s="220">
        <f t="shared" si="333"/>
        <v>49.767956879123588</v>
      </c>
      <c r="BS123" s="219">
        <f t="shared" si="291"/>
        <v>1.0010986157583504</v>
      </c>
      <c r="BV123" s="220">
        <f t="shared" si="334"/>
        <v>401.04325318444637</v>
      </c>
      <c r="BW123" s="219">
        <f t="shared" si="292"/>
        <v>1.0004295350216084</v>
      </c>
    </row>
    <row r="124" spans="1:75">
      <c r="A124" s="9">
        <f t="shared" si="277"/>
        <v>2031</v>
      </c>
      <c r="B124" s="9" t="s">
        <v>109</v>
      </c>
      <c r="C124" s="220">
        <f t="shared" ca="1" si="319"/>
        <v>134756.9908743203</v>
      </c>
      <c r="D124" s="219">
        <f t="shared" ca="1" si="260"/>
        <v>1.0016619948434566</v>
      </c>
      <c r="G124" s="220">
        <f t="shared" si="320"/>
        <v>1538.8964176150059</v>
      </c>
      <c r="H124" s="219">
        <f t="shared" si="278"/>
        <v>0.99982281150025842</v>
      </c>
      <c r="K124" s="220">
        <f t="shared" si="321"/>
        <v>9971.7060034585647</v>
      </c>
      <c r="L124" s="219">
        <f t="shared" si="279"/>
        <v>1.0006134230899959</v>
      </c>
      <c r="O124" s="220">
        <f t="shared" si="322"/>
        <v>1079.1714984739979</v>
      </c>
      <c r="P124" s="219">
        <f t="shared" si="280"/>
        <v>1.0000496606019917</v>
      </c>
      <c r="Q124" s="569">
        <f t="shared" si="309"/>
        <v>19.144999999999989</v>
      </c>
      <c r="R124" s="570">
        <f t="shared" si="310"/>
        <v>1098.3164984739979</v>
      </c>
      <c r="U124" s="220">
        <f t="shared" si="323"/>
        <v>5</v>
      </c>
      <c r="V124" s="219">
        <f t="shared" si="281"/>
        <v>1</v>
      </c>
      <c r="W124" s="569">
        <f t="shared" si="311"/>
        <v>7.1200000000000063</v>
      </c>
      <c r="X124" s="570">
        <f t="shared" si="312"/>
        <v>12.120000000000006</v>
      </c>
      <c r="AA124" s="220">
        <f t="shared" si="324"/>
        <v>5</v>
      </c>
      <c r="AB124" s="219">
        <f t="shared" si="282"/>
        <v>1</v>
      </c>
      <c r="AC124" s="569">
        <f t="shared" si="313"/>
        <v>3.9449999999999941</v>
      </c>
      <c r="AD124" s="570">
        <f t="shared" si="314"/>
        <v>8.9449999999999932</v>
      </c>
      <c r="AG124" s="220">
        <f t="shared" si="325"/>
        <v>35130.062065009326</v>
      </c>
      <c r="AH124" s="219">
        <f t="shared" si="283"/>
        <v>1.0008525561429944</v>
      </c>
      <c r="AK124" s="220">
        <f t="shared" si="326"/>
        <v>211.61501222580483</v>
      </c>
      <c r="AL124" s="219">
        <f t="shared" si="284"/>
        <v>0.9985789646374017</v>
      </c>
      <c r="AO124" s="220">
        <f t="shared" si="327"/>
        <v>682.49064055742247</v>
      </c>
      <c r="AP124" s="219">
        <f t="shared" si="285"/>
        <v>0.99884251882283459</v>
      </c>
      <c r="AQ124" s="579"/>
      <c r="AT124" s="220">
        <f t="shared" ca="1" si="328"/>
        <v>51963.798514814043</v>
      </c>
      <c r="AU124" s="219">
        <f t="shared" ca="1" si="286"/>
        <v>1.0015735394083431</v>
      </c>
      <c r="AX124" s="220">
        <f t="shared" si="329"/>
        <v>2719.4732067500831</v>
      </c>
      <c r="AY124" s="219">
        <f t="shared" si="287"/>
        <v>1.0011786516735524</v>
      </c>
      <c r="BB124" s="220">
        <f t="shared" si="330"/>
        <v>406.67588249284518</v>
      </c>
      <c r="BC124" s="219">
        <f t="shared" si="288"/>
        <v>1.0005439445652871</v>
      </c>
      <c r="BD124" s="569">
        <f t="shared" si="315"/>
        <v>15.725000000000012</v>
      </c>
      <c r="BE124" s="570">
        <f t="shared" si="316"/>
        <v>422.4008824928452</v>
      </c>
      <c r="BH124" s="220">
        <f t="shared" si="331"/>
        <v>3</v>
      </c>
      <c r="BI124" s="219">
        <f t="shared" si="289"/>
        <v>1</v>
      </c>
      <c r="BJ124" s="569">
        <f t="shared" si="317"/>
        <v>4.1800000000000006</v>
      </c>
      <c r="BK124" s="570">
        <f t="shared" si="318"/>
        <v>7.1800000000000006</v>
      </c>
      <c r="BN124" s="220">
        <f t="shared" si="332"/>
        <v>15364.748271013937</v>
      </c>
      <c r="BO124" s="219">
        <f t="shared" si="290"/>
        <v>1.0013675177910204</v>
      </c>
      <c r="BR124" s="220">
        <f t="shared" si="333"/>
        <v>49.822632740811891</v>
      </c>
      <c r="BS124" s="219">
        <f t="shared" si="291"/>
        <v>1.0010986157583504</v>
      </c>
      <c r="BV124" s="220">
        <f t="shared" si="334"/>
        <v>401.21551530686884</v>
      </c>
      <c r="BW124" s="219">
        <f t="shared" si="292"/>
        <v>1.0004295350216084</v>
      </c>
    </row>
    <row r="125" spans="1:75">
      <c r="A125" s="9">
        <f t="shared" si="277"/>
        <v>2031</v>
      </c>
      <c r="B125" s="9" t="s">
        <v>110</v>
      </c>
      <c r="C125" s="220">
        <f t="shared" ca="1" si="319"/>
        <v>134980.95629827314</v>
      </c>
      <c r="D125" s="219">
        <f t="shared" ca="1" si="260"/>
        <v>1.0016619948434566</v>
      </c>
      <c r="G125" s="220">
        <f t="shared" si="320"/>
        <v>1538.6237428675111</v>
      </c>
      <c r="H125" s="219">
        <f t="shared" si="278"/>
        <v>0.99982281150025842</v>
      </c>
      <c r="K125" s="220">
        <f t="shared" si="321"/>
        <v>9977.8228781677371</v>
      </c>
      <c r="L125" s="219">
        <f t="shared" si="279"/>
        <v>1.0006134230899959</v>
      </c>
      <c r="O125" s="220">
        <f t="shared" si="322"/>
        <v>1079.2250907802645</v>
      </c>
      <c r="P125" s="219">
        <f t="shared" si="280"/>
        <v>1.0000496606019917</v>
      </c>
      <c r="Q125" s="569">
        <f t="shared" si="309"/>
        <v>19.162499999999987</v>
      </c>
      <c r="R125" s="570">
        <f t="shared" si="310"/>
        <v>1098.3875907802644</v>
      </c>
      <c r="U125" s="220">
        <f t="shared" si="323"/>
        <v>5</v>
      </c>
      <c r="V125" s="219">
        <f t="shared" si="281"/>
        <v>1</v>
      </c>
      <c r="W125" s="569">
        <f t="shared" si="311"/>
        <v>7.1200000000000063</v>
      </c>
      <c r="X125" s="570">
        <f t="shared" si="312"/>
        <v>12.120000000000006</v>
      </c>
      <c r="AA125" s="220">
        <f t="shared" si="324"/>
        <v>5</v>
      </c>
      <c r="AB125" s="219">
        <f t="shared" si="282"/>
        <v>1</v>
      </c>
      <c r="AC125" s="569">
        <f t="shared" si="313"/>
        <v>3.947499999999994</v>
      </c>
      <c r="AD125" s="570">
        <f t="shared" si="314"/>
        <v>8.9474999999999945</v>
      </c>
      <c r="AG125" s="220">
        <f t="shared" si="325"/>
        <v>35160.012415226622</v>
      </c>
      <c r="AH125" s="219">
        <f t="shared" si="283"/>
        <v>1.0008525561429944</v>
      </c>
      <c r="AK125" s="220">
        <f t="shared" si="326"/>
        <v>211.3142998101753</v>
      </c>
      <c r="AL125" s="219">
        <f t="shared" si="284"/>
        <v>0.9985789646374017</v>
      </c>
      <c r="AO125" s="220">
        <f t="shared" si="327"/>
        <v>681.70067048738576</v>
      </c>
      <c r="AP125" s="219">
        <f t="shared" si="285"/>
        <v>0.9988425188228347</v>
      </c>
      <c r="AQ125" s="579"/>
      <c r="AT125" s="220">
        <f t="shared" ca="1" si="328"/>
        <v>52045.565599584304</v>
      </c>
      <c r="AU125" s="219">
        <f t="shared" ca="1" si="286"/>
        <v>1.0015735394083431</v>
      </c>
      <c r="AX125" s="220">
        <f t="shared" si="329"/>
        <v>2722.6785183963998</v>
      </c>
      <c r="AY125" s="219">
        <f t="shared" si="287"/>
        <v>1.0011786516735524</v>
      </c>
      <c r="BB125" s="220">
        <f t="shared" si="330"/>
        <v>406.89709162896048</v>
      </c>
      <c r="BC125" s="219">
        <f t="shared" si="288"/>
        <v>1.0005439445652871</v>
      </c>
      <c r="BD125" s="569">
        <f t="shared" si="315"/>
        <v>15.779166666666679</v>
      </c>
      <c r="BE125" s="570">
        <f t="shared" si="316"/>
        <v>422.67625829562718</v>
      </c>
      <c r="BH125" s="220">
        <f t="shared" si="331"/>
        <v>3</v>
      </c>
      <c r="BI125" s="219">
        <f t="shared" si="289"/>
        <v>1</v>
      </c>
      <c r="BJ125" s="569">
        <f t="shared" si="317"/>
        <v>4.1966666666666672</v>
      </c>
      <c r="BK125" s="570">
        <f t="shared" si="318"/>
        <v>7.1966666666666672</v>
      </c>
      <c r="BN125" s="220">
        <f t="shared" si="332"/>
        <v>15385.759837629099</v>
      </c>
      <c r="BO125" s="219">
        <f t="shared" si="290"/>
        <v>1.0013675177910204</v>
      </c>
      <c r="BR125" s="220">
        <f t="shared" si="333"/>
        <v>49.877368670263451</v>
      </c>
      <c r="BS125" s="219">
        <f t="shared" si="291"/>
        <v>1.0010986157583504</v>
      </c>
      <c r="BV125" s="220">
        <f t="shared" si="334"/>
        <v>401.38785142190579</v>
      </c>
      <c r="BW125" s="219">
        <f t="shared" si="292"/>
        <v>1.0004295350216084</v>
      </c>
    </row>
    <row r="126" spans="1:75">
      <c r="A126" s="9">
        <f t="shared" si="277"/>
        <v>2031</v>
      </c>
      <c r="B126" s="9" t="s">
        <v>111</v>
      </c>
      <c r="C126" s="220">
        <f t="shared" ca="1" si="319"/>
        <v>135205.29395160571</v>
      </c>
      <c r="D126" s="219">
        <f t="shared" ca="1" si="260"/>
        <v>1.0016619948434566</v>
      </c>
      <c r="G126" s="220">
        <f t="shared" si="320"/>
        <v>1538.3511164348456</v>
      </c>
      <c r="H126" s="219">
        <f t="shared" si="278"/>
        <v>0.99982281150025842</v>
      </c>
      <c r="K126" s="220">
        <f t="shared" si="321"/>
        <v>9983.943505109095</v>
      </c>
      <c r="L126" s="219">
        <f t="shared" si="279"/>
        <v>1.0006134230899959</v>
      </c>
      <c r="O126" s="220">
        <f t="shared" si="322"/>
        <v>1079.2786857479573</v>
      </c>
      <c r="P126" s="219">
        <f t="shared" si="280"/>
        <v>1.0000496606019917</v>
      </c>
      <c r="Q126" s="569">
        <f t="shared" si="309"/>
        <v>19.179999999999986</v>
      </c>
      <c r="R126" s="570">
        <f t="shared" si="310"/>
        <v>1098.4586857479574</v>
      </c>
      <c r="U126" s="220">
        <f t="shared" si="323"/>
        <v>5</v>
      </c>
      <c r="V126" s="219">
        <f t="shared" si="281"/>
        <v>1</v>
      </c>
      <c r="W126" s="569">
        <f t="shared" si="311"/>
        <v>7.1200000000000063</v>
      </c>
      <c r="X126" s="570">
        <f t="shared" si="312"/>
        <v>12.120000000000006</v>
      </c>
      <c r="AA126" s="220">
        <f t="shared" si="324"/>
        <v>5</v>
      </c>
      <c r="AB126" s="219">
        <f t="shared" si="282"/>
        <v>1</v>
      </c>
      <c r="AC126" s="569">
        <f t="shared" si="313"/>
        <v>3.949999999999994</v>
      </c>
      <c r="AD126" s="570">
        <f t="shared" si="314"/>
        <v>8.949999999999994</v>
      </c>
      <c r="AG126" s="220">
        <f t="shared" si="325"/>
        <v>35189.988299798984</v>
      </c>
      <c r="AH126" s="219">
        <f t="shared" si="283"/>
        <v>1.0008525561429944</v>
      </c>
      <c r="AK126" s="220">
        <f t="shared" si="326"/>
        <v>211.01401471752234</v>
      </c>
      <c r="AL126" s="219">
        <f t="shared" si="284"/>
        <v>0.9985789646374017</v>
      </c>
      <c r="AO126" s="220">
        <f t="shared" si="327"/>
        <v>680.91161479283562</v>
      </c>
      <c r="AP126" s="219">
        <f t="shared" si="285"/>
        <v>0.9988425188228347</v>
      </c>
      <c r="AQ126" s="579"/>
      <c r="AT126" s="220">
        <f t="shared" ca="1" si="328"/>
        <v>52127.461348084762</v>
      </c>
      <c r="AU126" s="219">
        <f t="shared" ca="1" si="286"/>
        <v>1.0015735394083431</v>
      </c>
      <c r="AX126" s="220">
        <f t="shared" si="329"/>
        <v>2725.8876079886527</v>
      </c>
      <c r="AY126" s="219">
        <f t="shared" si="287"/>
        <v>1.0011786516735524</v>
      </c>
      <c r="BB126" s="220">
        <f t="shared" si="330"/>
        <v>407.11842109058318</v>
      </c>
      <c r="BC126" s="219">
        <f t="shared" si="288"/>
        <v>1.0005439445652871</v>
      </c>
      <c r="BD126" s="569">
        <f t="shared" si="315"/>
        <v>15.833333333333346</v>
      </c>
      <c r="BE126" s="570">
        <f t="shared" si="316"/>
        <v>422.95175442391655</v>
      </c>
      <c r="BH126" s="220">
        <f t="shared" si="331"/>
        <v>3</v>
      </c>
      <c r="BI126" s="219">
        <f t="shared" si="289"/>
        <v>1</v>
      </c>
      <c r="BJ126" s="569">
        <f t="shared" si="317"/>
        <v>4.2133333333333338</v>
      </c>
      <c r="BK126" s="570">
        <f t="shared" si="318"/>
        <v>7.2133333333333338</v>
      </c>
      <c r="BN126" s="220">
        <f t="shared" si="332"/>
        <v>15406.800137935425</v>
      </c>
      <c r="BO126" s="219">
        <f t="shared" si="290"/>
        <v>1.0013675177910204</v>
      </c>
      <c r="BR126" s="220">
        <f t="shared" si="333"/>
        <v>49.932164733469655</v>
      </c>
      <c r="BS126" s="219">
        <f t="shared" si="291"/>
        <v>1.0010986157583504</v>
      </c>
      <c r="BV126" s="220">
        <f t="shared" si="334"/>
        <v>401.56026156133964</v>
      </c>
      <c r="BW126" s="219">
        <f t="shared" si="292"/>
        <v>1.0004295350216084</v>
      </c>
    </row>
    <row r="127" spans="1:75">
      <c r="A127" s="9">
        <f t="shared" si="277"/>
        <v>2031</v>
      </c>
      <c r="B127" s="9" t="s">
        <v>384</v>
      </c>
      <c r="C127" s="220">
        <f t="shared" ca="1" si="319"/>
        <v>135430.00445296132</v>
      </c>
      <c r="D127" s="219">
        <f t="shared" ca="1" si="260"/>
        <v>1.0016619948434566</v>
      </c>
      <c r="G127" s="220">
        <f t="shared" si="320"/>
        <v>1538.0785383084487</v>
      </c>
      <c r="H127" s="219">
        <f t="shared" si="278"/>
        <v>0.99982281150025842</v>
      </c>
      <c r="K127" s="220">
        <f t="shared" si="321"/>
        <v>9990.0678865843438</v>
      </c>
      <c r="L127" s="219">
        <f t="shared" si="279"/>
        <v>1.0006134230899959</v>
      </c>
      <c r="O127" s="220">
        <f t="shared" si="322"/>
        <v>1079.3322833772083</v>
      </c>
      <c r="P127" s="219">
        <f t="shared" si="280"/>
        <v>1.0000496606019917</v>
      </c>
      <c r="Q127" s="569">
        <f t="shared" si="309"/>
        <v>19.197499999999984</v>
      </c>
      <c r="R127" s="570">
        <f t="shared" si="310"/>
        <v>1098.5297833772083</v>
      </c>
      <c r="U127" s="220">
        <f t="shared" si="323"/>
        <v>5</v>
      </c>
      <c r="V127" s="219">
        <f t="shared" si="281"/>
        <v>1</v>
      </c>
      <c r="W127" s="569">
        <f t="shared" si="311"/>
        <v>7.1200000000000063</v>
      </c>
      <c r="X127" s="570">
        <f t="shared" si="312"/>
        <v>12.120000000000006</v>
      </c>
      <c r="AA127" s="220">
        <f t="shared" si="324"/>
        <v>5</v>
      </c>
      <c r="AB127" s="219">
        <f t="shared" si="282"/>
        <v>1</v>
      </c>
      <c r="AC127" s="569">
        <f t="shared" si="313"/>
        <v>3.9524999999999939</v>
      </c>
      <c r="AD127" s="570">
        <f t="shared" si="314"/>
        <v>8.9524999999999935</v>
      </c>
      <c r="AG127" s="220">
        <f t="shared" si="325"/>
        <v>35219.989740495876</v>
      </c>
      <c r="AH127" s="219">
        <f t="shared" si="283"/>
        <v>1.0008525561429944</v>
      </c>
      <c r="AK127" s="220">
        <f t="shared" si="326"/>
        <v>210.71415634060492</v>
      </c>
      <c r="AL127" s="219">
        <f t="shared" si="284"/>
        <v>0.9985789646374017</v>
      </c>
      <c r="AO127" s="220">
        <f t="shared" si="327"/>
        <v>680.12347241539965</v>
      </c>
      <c r="AP127" s="219">
        <f t="shared" si="285"/>
        <v>0.99884251882283459</v>
      </c>
      <c r="AQ127" s="579"/>
      <c r="AT127" s="220">
        <f t="shared" ca="1" si="328"/>
        <v>52209.485962772858</v>
      </c>
      <c r="AU127" s="219">
        <f t="shared" ca="1" si="286"/>
        <v>1.0015735394083431</v>
      </c>
      <c r="AX127" s="220">
        <f t="shared" si="329"/>
        <v>2729.1004799797242</v>
      </c>
      <c r="AY127" s="219">
        <f t="shared" si="287"/>
        <v>1.0011786516735524</v>
      </c>
      <c r="BB127" s="220">
        <f t="shared" si="330"/>
        <v>407.33987094316365</v>
      </c>
      <c r="BC127" s="219">
        <f t="shared" si="288"/>
        <v>1.0005439445652871</v>
      </c>
      <c r="BD127" s="569">
        <f t="shared" si="315"/>
        <v>15.887500000000014</v>
      </c>
      <c r="BE127" s="570">
        <f t="shared" si="316"/>
        <v>423.22737094316363</v>
      </c>
      <c r="BH127" s="220">
        <f t="shared" si="331"/>
        <v>3</v>
      </c>
      <c r="BI127" s="219">
        <f t="shared" si="289"/>
        <v>1</v>
      </c>
      <c r="BJ127" s="569">
        <f t="shared" si="317"/>
        <v>4.2300000000000004</v>
      </c>
      <c r="BK127" s="570">
        <f t="shared" si="318"/>
        <v>7.23</v>
      </c>
      <c r="BN127" s="220">
        <f t="shared" si="332"/>
        <v>15427.869211226747</v>
      </c>
      <c r="BO127" s="219">
        <f t="shared" si="290"/>
        <v>1.0013675177910204</v>
      </c>
      <c r="BR127" s="220">
        <f t="shared" si="333"/>
        <v>49.987020996494394</v>
      </c>
      <c r="BS127" s="219">
        <f t="shared" si="291"/>
        <v>1.0010986157583504</v>
      </c>
      <c r="BV127" s="220">
        <f t="shared" si="334"/>
        <v>401.73274575696644</v>
      </c>
      <c r="BW127" s="219">
        <f t="shared" si="292"/>
        <v>1.0004295350216084</v>
      </c>
    </row>
    <row r="128" spans="1:75">
      <c r="A128" s="9">
        <f t="shared" si="277"/>
        <v>2031</v>
      </c>
      <c r="B128" s="9" t="s">
        <v>113</v>
      </c>
      <c r="C128" s="220">
        <f t="shared" ca="1" si="319"/>
        <v>135655.08842201147</v>
      </c>
      <c r="D128" s="219">
        <f t="shared" ca="1" si="260"/>
        <v>1.0016619948434566</v>
      </c>
      <c r="G128" s="220">
        <f t="shared" si="320"/>
        <v>1537.8060084797612</v>
      </c>
      <c r="H128" s="219">
        <f t="shared" si="278"/>
        <v>0.99982281150025842</v>
      </c>
      <c r="K128" s="220">
        <f t="shared" si="321"/>
        <v>9996.1960248966006</v>
      </c>
      <c r="L128" s="219">
        <f t="shared" si="279"/>
        <v>1.0006134230899959</v>
      </c>
      <c r="O128" s="220">
        <f t="shared" si="322"/>
        <v>1079.38588366815</v>
      </c>
      <c r="P128" s="219">
        <f t="shared" si="280"/>
        <v>1.0000496606019917</v>
      </c>
      <c r="Q128" s="569">
        <f t="shared" si="309"/>
        <v>19.214999999999982</v>
      </c>
      <c r="R128" s="570">
        <f t="shared" si="310"/>
        <v>1098.6008836681499</v>
      </c>
      <c r="U128" s="220">
        <f t="shared" si="323"/>
        <v>5</v>
      </c>
      <c r="V128" s="219">
        <f t="shared" si="281"/>
        <v>1</v>
      </c>
      <c r="W128" s="569">
        <f t="shared" si="311"/>
        <v>7.1200000000000063</v>
      </c>
      <c r="X128" s="570">
        <f t="shared" si="312"/>
        <v>12.120000000000006</v>
      </c>
      <c r="AA128" s="220">
        <f t="shared" si="324"/>
        <v>5</v>
      </c>
      <c r="AB128" s="219">
        <f t="shared" si="282"/>
        <v>1</v>
      </c>
      <c r="AC128" s="569">
        <f t="shared" si="313"/>
        <v>3.9549999999999939</v>
      </c>
      <c r="AD128" s="570">
        <f t="shared" si="314"/>
        <v>8.9549999999999947</v>
      </c>
      <c r="AG128" s="220">
        <f t="shared" si="325"/>
        <v>35250.016759105332</v>
      </c>
      <c r="AH128" s="219">
        <f t="shared" si="283"/>
        <v>1.0008525561429944</v>
      </c>
      <c r="AK128" s="220">
        <f t="shared" si="326"/>
        <v>210.41472407304485</v>
      </c>
      <c r="AL128" s="219">
        <f t="shared" si="284"/>
        <v>0.9985789646374017</v>
      </c>
      <c r="AO128" s="220">
        <f t="shared" si="327"/>
        <v>679.33624229793054</v>
      </c>
      <c r="AP128" s="219">
        <f t="shared" si="285"/>
        <v>0.9988425188228347</v>
      </c>
      <c r="AQ128" s="579"/>
      <c r="AT128" s="220">
        <f t="shared" ca="1" si="328"/>
        <v>52291.639646424621</v>
      </c>
      <c r="AU128" s="219">
        <f t="shared" ca="1" si="286"/>
        <v>1.0015735394083431</v>
      </c>
      <c r="AX128" s="220">
        <f t="shared" si="329"/>
        <v>2732.3171388277447</v>
      </c>
      <c r="AY128" s="219">
        <f t="shared" si="287"/>
        <v>1.0011786516735524</v>
      </c>
      <c r="BB128" s="220">
        <f t="shared" si="330"/>
        <v>407.56144125218793</v>
      </c>
      <c r="BC128" s="219">
        <f t="shared" si="288"/>
        <v>1.0005439445652871</v>
      </c>
      <c r="BD128" s="569">
        <f t="shared" si="315"/>
        <v>15.941666666666681</v>
      </c>
      <c r="BE128" s="570">
        <f t="shared" si="316"/>
        <v>423.5031079188546</v>
      </c>
      <c r="BH128" s="220">
        <f t="shared" si="331"/>
        <v>3</v>
      </c>
      <c r="BI128" s="219">
        <f t="shared" si="289"/>
        <v>1</v>
      </c>
      <c r="BJ128" s="569">
        <f t="shared" si="317"/>
        <v>4.246666666666667</v>
      </c>
      <c r="BK128" s="570">
        <f t="shared" si="318"/>
        <v>7.246666666666667</v>
      </c>
      <c r="BN128" s="220">
        <f t="shared" si="332"/>
        <v>15448.967096850636</v>
      </c>
      <c r="BO128" s="219">
        <f t="shared" si="290"/>
        <v>1.0013675177910204</v>
      </c>
      <c r="BR128" s="220">
        <f t="shared" si="333"/>
        <v>50.041937525474133</v>
      </c>
      <c r="BS128" s="219">
        <f t="shared" si="291"/>
        <v>1.0010986157583504</v>
      </c>
      <c r="BV128" s="220">
        <f t="shared" si="334"/>
        <v>401.90530404059592</v>
      </c>
      <c r="BW128" s="219">
        <f t="shared" si="292"/>
        <v>1.0004295350216084</v>
      </c>
    </row>
    <row r="129" spans="1:75">
      <c r="A129" s="9">
        <f t="shared" si="277"/>
        <v>2031</v>
      </c>
      <c r="B129" s="9" t="s">
        <v>114</v>
      </c>
      <c r="C129" s="220">
        <f t="shared" ca="1" si="319"/>
        <v>135880.54647945749</v>
      </c>
      <c r="D129" s="219">
        <f t="shared" ca="1" si="260"/>
        <v>1.0016619948434566</v>
      </c>
      <c r="G129" s="220">
        <f t="shared" si="320"/>
        <v>1537.5335269402251</v>
      </c>
      <c r="H129" s="219">
        <f t="shared" si="278"/>
        <v>0.99982281150025842</v>
      </c>
      <c r="K129" s="220">
        <f t="shared" si="321"/>
        <v>10002.327922350398</v>
      </c>
      <c r="L129" s="219">
        <f t="shared" si="279"/>
        <v>1.0006134230899959</v>
      </c>
      <c r="O129" s="220">
        <f t="shared" si="322"/>
        <v>1079.4394866209143</v>
      </c>
      <c r="P129" s="219">
        <f t="shared" si="280"/>
        <v>1.0000496606019917</v>
      </c>
      <c r="Q129" s="569">
        <f t="shared" si="309"/>
        <v>19.23249999999998</v>
      </c>
      <c r="R129" s="570">
        <f t="shared" si="310"/>
        <v>1098.6719866209144</v>
      </c>
      <c r="U129" s="220">
        <f t="shared" si="323"/>
        <v>5</v>
      </c>
      <c r="V129" s="219">
        <f t="shared" si="281"/>
        <v>1</v>
      </c>
      <c r="W129" s="569">
        <f t="shared" si="311"/>
        <v>7.1200000000000063</v>
      </c>
      <c r="X129" s="570">
        <f t="shared" si="312"/>
        <v>12.120000000000006</v>
      </c>
      <c r="AA129" s="220">
        <f t="shared" si="324"/>
        <v>5</v>
      </c>
      <c r="AB129" s="219">
        <f t="shared" si="282"/>
        <v>1</v>
      </c>
      <c r="AC129" s="569">
        <f t="shared" si="313"/>
        <v>3.9574999999999938</v>
      </c>
      <c r="AD129" s="570">
        <f t="shared" si="314"/>
        <v>8.9574999999999942</v>
      </c>
      <c r="AG129" s="220">
        <f t="shared" si="325"/>
        <v>35280.06937743396</v>
      </c>
      <c r="AH129" s="219">
        <f t="shared" si="283"/>
        <v>1.0008525561429944</v>
      </c>
      <c r="AK129" s="220">
        <f t="shared" si="326"/>
        <v>210.1157173093257</v>
      </c>
      <c r="AL129" s="219">
        <f t="shared" si="284"/>
        <v>0.99857896463740181</v>
      </c>
      <c r="AO129" s="220">
        <f t="shared" si="327"/>
        <v>678.5499233845045</v>
      </c>
      <c r="AP129" s="219">
        <f t="shared" si="285"/>
        <v>0.9988425188228347</v>
      </c>
      <c r="AQ129" s="579"/>
      <c r="AT129" s="220">
        <f t="shared" ca="1" si="328"/>
        <v>52373.92260213515</v>
      </c>
      <c r="AU129" s="219">
        <f t="shared" ca="1" si="286"/>
        <v>1.0015735394083431</v>
      </c>
      <c r="AX129" s="220">
        <f t="shared" si="329"/>
        <v>2735.5375889960997</v>
      </c>
      <c r="AY129" s="219">
        <f t="shared" si="287"/>
        <v>1.0011786516735524</v>
      </c>
      <c r="BB129" s="220">
        <f t="shared" si="330"/>
        <v>407.78313208317763</v>
      </c>
      <c r="BC129" s="219">
        <f t="shared" si="288"/>
        <v>1.0005439445652871</v>
      </c>
      <c r="BD129" s="569">
        <f t="shared" si="315"/>
        <v>15.995833333333348</v>
      </c>
      <c r="BE129" s="570">
        <f t="shared" si="316"/>
        <v>423.77896541651097</v>
      </c>
      <c r="BH129" s="220">
        <f t="shared" si="331"/>
        <v>3</v>
      </c>
      <c r="BI129" s="219">
        <f t="shared" si="289"/>
        <v>1</v>
      </c>
      <c r="BJ129" s="569">
        <f t="shared" si="317"/>
        <v>4.2633333333333336</v>
      </c>
      <c r="BK129" s="570">
        <f t="shared" si="318"/>
        <v>7.2633333333333336</v>
      </c>
      <c r="BN129" s="220">
        <f t="shared" si="332"/>
        <v>15470.093834208468</v>
      </c>
      <c r="BO129" s="219">
        <f t="shared" si="290"/>
        <v>1.0013675177910204</v>
      </c>
      <c r="BR129" s="220">
        <f t="shared" si="333"/>
        <v>50.096914386618003</v>
      </c>
      <c r="BS129" s="219">
        <f t="shared" si="291"/>
        <v>1.0010986157583504</v>
      </c>
      <c r="BV129" s="220">
        <f t="shared" si="334"/>
        <v>402.07793644405149</v>
      </c>
      <c r="BW129" s="219">
        <f t="shared" si="292"/>
        <v>1.0004295350216084</v>
      </c>
    </row>
    <row r="130" spans="1:75">
      <c r="A130" s="9">
        <f t="shared" si="277"/>
        <v>2031</v>
      </c>
      <c r="B130" s="9" t="s">
        <v>115</v>
      </c>
      <c r="C130" s="220">
        <f t="shared" ca="1" si="319"/>
        <v>136106.37924703243</v>
      </c>
      <c r="D130" s="219">
        <f t="shared" ca="1" si="260"/>
        <v>1.0016619948434566</v>
      </c>
      <c r="G130" s="220">
        <f t="shared" si="320"/>
        <v>1537.2610936812841</v>
      </c>
      <c r="H130" s="219">
        <f t="shared" si="278"/>
        <v>0.99982281150025842</v>
      </c>
      <c r="K130" s="220">
        <f t="shared" si="321"/>
        <v>10008.463581251679</v>
      </c>
      <c r="L130" s="219">
        <f t="shared" si="279"/>
        <v>1.0006134230899959</v>
      </c>
      <c r="O130" s="220">
        <f t="shared" si="322"/>
        <v>1079.4930922356336</v>
      </c>
      <c r="P130" s="219">
        <f t="shared" si="280"/>
        <v>1.0000496606019917</v>
      </c>
      <c r="Q130" s="569">
        <f t="shared" si="309"/>
        <v>19.249999999999979</v>
      </c>
      <c r="R130" s="570">
        <f t="shared" si="310"/>
        <v>1098.7430922356336</v>
      </c>
      <c r="U130" s="220">
        <f t="shared" si="323"/>
        <v>5</v>
      </c>
      <c r="V130" s="219">
        <f t="shared" si="281"/>
        <v>1</v>
      </c>
      <c r="W130" s="569">
        <f t="shared" si="311"/>
        <v>7.1200000000000063</v>
      </c>
      <c r="X130" s="570">
        <f t="shared" si="312"/>
        <v>12.120000000000006</v>
      </c>
      <c r="AA130" s="220">
        <f t="shared" si="324"/>
        <v>5</v>
      </c>
      <c r="AB130" s="219">
        <f t="shared" si="282"/>
        <v>1</v>
      </c>
      <c r="AC130" s="569">
        <f t="shared" si="313"/>
        <v>3.9599999999999937</v>
      </c>
      <c r="AD130" s="570">
        <f t="shared" si="314"/>
        <v>8.9599999999999937</v>
      </c>
      <c r="AG130" s="220">
        <f t="shared" si="325"/>
        <v>35310.14761730696</v>
      </c>
      <c r="AH130" s="219">
        <f t="shared" si="283"/>
        <v>1.0008525561429944</v>
      </c>
      <c r="AK130" s="220">
        <f t="shared" si="326"/>
        <v>209.81713544479143</v>
      </c>
      <c r="AL130" s="219">
        <f t="shared" si="284"/>
        <v>0.9985789646374017</v>
      </c>
      <c r="AO130" s="220">
        <f t="shared" si="327"/>
        <v>677.76451462041996</v>
      </c>
      <c r="AP130" s="219">
        <f t="shared" si="285"/>
        <v>0.9988425188228347</v>
      </c>
      <c r="AQ130" s="579"/>
      <c r="AT130" s="220">
        <f t="shared" ca="1" si="328"/>
        <v>52456.335033319127</v>
      </c>
      <c r="AU130" s="219">
        <f t="shared" ca="1" si="286"/>
        <v>1.0015735394083431</v>
      </c>
      <c r="AX130" s="220">
        <f t="shared" si="329"/>
        <v>2738.7618349534355</v>
      </c>
      <c r="AY130" s="219">
        <f t="shared" si="287"/>
        <v>1.0011786516735524</v>
      </c>
      <c r="BB130" s="220">
        <f t="shared" si="330"/>
        <v>408.00494350169004</v>
      </c>
      <c r="BC130" s="219">
        <f t="shared" si="288"/>
        <v>1.0005439445652871</v>
      </c>
      <c r="BD130" s="569">
        <f t="shared" si="315"/>
        <v>16.050000000000015</v>
      </c>
      <c r="BE130" s="570">
        <f t="shared" si="316"/>
        <v>424.05494350169005</v>
      </c>
      <c r="BH130" s="220">
        <f t="shared" si="331"/>
        <v>3</v>
      </c>
      <c r="BI130" s="219">
        <f t="shared" si="289"/>
        <v>1</v>
      </c>
      <c r="BJ130" s="569">
        <f t="shared" si="317"/>
        <v>4.28</v>
      </c>
      <c r="BK130" s="570">
        <f t="shared" si="318"/>
        <v>7.28</v>
      </c>
      <c r="BN130" s="220">
        <f t="shared" si="332"/>
        <v>15491.249462755502</v>
      </c>
      <c r="BO130" s="219">
        <f t="shared" si="290"/>
        <v>1.0013675177910204</v>
      </c>
      <c r="BR130" s="220">
        <f t="shared" si="333"/>
        <v>50.15195164620787</v>
      </c>
      <c r="BS130" s="219">
        <f t="shared" si="291"/>
        <v>1.0010986157583504</v>
      </c>
      <c r="BV130" s="220">
        <f t="shared" si="334"/>
        <v>402.25064299917022</v>
      </c>
      <c r="BW130" s="219">
        <f t="shared" si="292"/>
        <v>1.0004295350216084</v>
      </c>
    </row>
    <row r="131" spans="1:75">
      <c r="AQ131" s="579"/>
    </row>
  </sheetData>
  <mergeCells count="34">
    <mergeCell ref="AS1:BW1"/>
    <mergeCell ref="B1:AP1"/>
    <mergeCell ref="BQ2:BR2"/>
    <mergeCell ref="BS2:BS3"/>
    <mergeCell ref="BU2:BV2"/>
    <mergeCell ref="BW2:BW3"/>
    <mergeCell ref="BA2:BB2"/>
    <mergeCell ref="BC2:BC3"/>
    <mergeCell ref="BG2:BH2"/>
    <mergeCell ref="BI2:BI3"/>
    <mergeCell ref="BM2:BN2"/>
    <mergeCell ref="BO2:BO3"/>
    <mergeCell ref="AN2:AO2"/>
    <mergeCell ref="AP2:AP3"/>
    <mergeCell ref="AS2:AT2"/>
    <mergeCell ref="AU2:AU3"/>
    <mergeCell ref="AW2:AX2"/>
    <mergeCell ref="AY2:AY3"/>
    <mergeCell ref="Z2:AA2"/>
    <mergeCell ref="AB2:AB3"/>
    <mergeCell ref="AJ2:AK2"/>
    <mergeCell ref="AL2:AL3"/>
    <mergeCell ref="AH2:AH3"/>
    <mergeCell ref="N2:O2"/>
    <mergeCell ref="P2:P3"/>
    <mergeCell ref="T2:U2"/>
    <mergeCell ref="V2:V3"/>
    <mergeCell ref="AF2:AG2"/>
    <mergeCell ref="L2:L3"/>
    <mergeCell ref="B2:C2"/>
    <mergeCell ref="D2:D3"/>
    <mergeCell ref="F2:G2"/>
    <mergeCell ref="H2:H3"/>
    <mergeCell ref="J2:K2"/>
  </mergeCells>
  <phoneticPr fontId="191" type="noConversion"/>
  <pageMargins left="0.7" right="0.7" top="0.75" bottom="0.75" header="0.3" footer="0.3"/>
  <ignoredErrors>
    <ignoredError sqref="R16:R20" formulaRange="1"/>
    <ignoredError sqref="L47 P47 AP47 BW4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42D2E-E130-418A-B8E9-ED233A25CC93}">
  <sheetPr codeName="Sheet7"/>
  <dimension ref="A1:FM133"/>
  <sheetViews>
    <sheetView workbookViewId="0"/>
  </sheetViews>
  <sheetFormatPr defaultRowHeight="15"/>
  <cols>
    <col min="19" max="19" width="18.42578125" bestFit="1" customWidth="1"/>
    <col min="20" max="20" width="17.5703125" bestFit="1" customWidth="1"/>
    <col min="21" max="21" width="15.5703125" bestFit="1" customWidth="1"/>
    <col min="22" max="22" width="16.42578125" bestFit="1" customWidth="1"/>
    <col min="23" max="23" width="14.5703125" bestFit="1" customWidth="1"/>
    <col min="24" max="24" width="16.5703125" bestFit="1" customWidth="1"/>
    <col min="25" max="25" width="13.5703125" bestFit="1" customWidth="1"/>
    <col min="26" max="26" width="10.42578125" customWidth="1"/>
    <col min="27" max="27" width="12.5703125" bestFit="1" customWidth="1"/>
    <col min="28" max="28" width="29.42578125" customWidth="1"/>
    <col min="80" max="80" width="10.5703125" bestFit="1" customWidth="1"/>
    <col min="151" max="155" width="14.5703125" style="1" customWidth="1"/>
    <col min="156" max="157" width="14.140625" bestFit="1" customWidth="1"/>
    <col min="158" max="158" width="13.140625" bestFit="1" customWidth="1"/>
    <col min="159" max="159" width="14.140625" bestFit="1" customWidth="1"/>
    <col min="160" max="160" width="13.140625" bestFit="1" customWidth="1"/>
  </cols>
  <sheetData>
    <row r="1" spans="1:169">
      <c r="A1" t="s">
        <v>35</v>
      </c>
      <c r="B1" t="s">
        <v>37</v>
      </c>
      <c r="C1" t="s">
        <v>40</v>
      </c>
      <c r="D1" t="s">
        <v>41</v>
      </c>
      <c r="E1" t="s">
        <v>42</v>
      </c>
      <c r="F1" t="s">
        <v>43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  <c r="L1" t="s">
        <v>49</v>
      </c>
      <c r="M1" t="s">
        <v>50</v>
      </c>
      <c r="N1" t="s">
        <v>51</v>
      </c>
      <c r="O1" t="s">
        <v>52</v>
      </c>
      <c r="P1" t="s">
        <v>53</v>
      </c>
      <c r="Q1" t="s">
        <v>39</v>
      </c>
      <c r="S1" s="3" t="str">
        <f>'Monthly Data'!D1</f>
        <v>VRZ_ResidentialkWh</v>
      </c>
      <c r="T1" s="3" t="str">
        <f>'Monthly Data'!J1</f>
        <v>VRZ_SeasonalReskWh</v>
      </c>
      <c r="U1" s="3" t="str">
        <f>'Monthly Data'!P1</f>
        <v>VRZ_GSlt50kWh</v>
      </c>
      <c r="V1" s="3" t="str">
        <f>'Monthly Data'!V1</f>
        <v>VRZ_GS50to2999kWh</v>
      </c>
      <c r="W1" s="3" t="str">
        <f>'Monthly Data'!AB1</f>
        <v>VRZ_GS3000to4999kWh</v>
      </c>
      <c r="X1" s="3" t="str">
        <f>'Monthly Data'!AG1</f>
        <v>VRZ_LargeUsekWh</v>
      </c>
      <c r="Y1" s="3" t="str">
        <f>'Monthly Data'!BC1</f>
        <v>WRZ_ResidentialkWh</v>
      </c>
      <c r="Z1" s="3" t="str">
        <f>'Monthly Data'!BI1</f>
        <v>WRZ_GSlt50kWh</v>
      </c>
      <c r="AA1" s="3" t="str">
        <f>'Monthly Data'!BO1</f>
        <v>WRZ_GS50to2999kWh</v>
      </c>
      <c r="AB1" s="3" t="str">
        <f>'Monthly Data'!BU1</f>
        <v>WRZ_GS3000to4999kWh</v>
      </c>
      <c r="BA1" s="361"/>
      <c r="BB1">
        <v>1</v>
      </c>
      <c r="BC1">
        <f>BB1+1</f>
        <v>2</v>
      </c>
      <c r="BD1">
        <f t="shared" ref="BD1:BM1" si="0">BC1+1</f>
        <v>3</v>
      </c>
      <c r="BE1">
        <f t="shared" si="0"/>
        <v>4</v>
      </c>
      <c r="BF1">
        <f t="shared" si="0"/>
        <v>5</v>
      </c>
      <c r="BG1">
        <f t="shared" si="0"/>
        <v>6</v>
      </c>
      <c r="BH1">
        <f t="shared" si="0"/>
        <v>7</v>
      </c>
      <c r="BI1">
        <f t="shared" si="0"/>
        <v>8</v>
      </c>
      <c r="BJ1">
        <f t="shared" si="0"/>
        <v>9</v>
      </c>
      <c r="BK1">
        <f t="shared" si="0"/>
        <v>10</v>
      </c>
      <c r="BL1">
        <f t="shared" si="0"/>
        <v>11</v>
      </c>
      <c r="BM1">
        <f t="shared" si="0"/>
        <v>12</v>
      </c>
      <c r="BO1" s="361"/>
      <c r="BP1">
        <v>1</v>
      </c>
      <c r="BQ1">
        <f>BP1+1</f>
        <v>2</v>
      </c>
      <c r="BR1">
        <f t="shared" ref="BR1" si="1">BQ1+1</f>
        <v>3</v>
      </c>
      <c r="BS1">
        <f t="shared" ref="BS1" si="2">BR1+1</f>
        <v>4</v>
      </c>
      <c r="BT1">
        <f t="shared" ref="BT1" si="3">BS1+1</f>
        <v>5</v>
      </c>
      <c r="BU1">
        <f t="shared" ref="BU1" si="4">BT1+1</f>
        <v>6</v>
      </c>
      <c r="BV1">
        <f t="shared" ref="BV1" si="5">BU1+1</f>
        <v>7</v>
      </c>
      <c r="BW1">
        <f t="shared" ref="BW1" si="6">BV1+1</f>
        <v>8</v>
      </c>
      <c r="BX1">
        <f t="shared" ref="BX1" si="7">BW1+1</f>
        <v>9</v>
      </c>
      <c r="BY1">
        <f t="shared" ref="BY1" si="8">BX1+1</f>
        <v>10</v>
      </c>
      <c r="BZ1">
        <f t="shared" ref="BZ1" si="9">BY1+1</f>
        <v>11</v>
      </c>
      <c r="CA1">
        <f t="shared" ref="CA1" si="10">BZ1+1</f>
        <v>12</v>
      </c>
      <c r="CC1" s="361"/>
      <c r="CD1">
        <v>1</v>
      </c>
      <c r="CE1">
        <f>CD1+1</f>
        <v>2</v>
      </c>
      <c r="CF1">
        <f t="shared" ref="CF1" si="11">CE1+1</f>
        <v>3</v>
      </c>
      <c r="CG1">
        <f t="shared" ref="CG1" si="12">CF1+1</f>
        <v>4</v>
      </c>
      <c r="CH1">
        <f t="shared" ref="CH1" si="13">CG1+1</f>
        <v>5</v>
      </c>
      <c r="CI1">
        <f t="shared" ref="CI1" si="14">CH1+1</f>
        <v>6</v>
      </c>
      <c r="CJ1">
        <f t="shared" ref="CJ1" si="15">CI1+1</f>
        <v>7</v>
      </c>
      <c r="CK1">
        <f t="shared" ref="CK1" si="16">CJ1+1</f>
        <v>8</v>
      </c>
      <c r="CL1">
        <f t="shared" ref="CL1" si="17">CK1+1</f>
        <v>9</v>
      </c>
      <c r="CM1">
        <f t="shared" ref="CM1" si="18">CL1+1</f>
        <v>10</v>
      </c>
      <c r="CN1">
        <f t="shared" ref="CN1" si="19">CM1+1</f>
        <v>11</v>
      </c>
      <c r="CO1">
        <f t="shared" ref="CO1" si="20">CN1+1</f>
        <v>12</v>
      </c>
      <c r="CQ1" s="361"/>
      <c r="CR1">
        <v>1</v>
      </c>
      <c r="CS1">
        <f>CR1+1</f>
        <v>2</v>
      </c>
      <c r="CT1">
        <f t="shared" ref="CT1" si="21">CS1+1</f>
        <v>3</v>
      </c>
      <c r="CU1">
        <f t="shared" ref="CU1" si="22">CT1+1</f>
        <v>4</v>
      </c>
      <c r="CV1">
        <f t="shared" ref="CV1" si="23">CU1+1</f>
        <v>5</v>
      </c>
      <c r="CW1">
        <f t="shared" ref="CW1" si="24">CV1+1</f>
        <v>6</v>
      </c>
      <c r="CX1">
        <f t="shared" ref="CX1" si="25">CW1+1</f>
        <v>7</v>
      </c>
      <c r="CY1">
        <f t="shared" ref="CY1" si="26">CX1+1</f>
        <v>8</v>
      </c>
      <c r="CZ1">
        <f t="shared" ref="CZ1" si="27">CY1+1</f>
        <v>9</v>
      </c>
      <c r="DA1">
        <f t="shared" ref="DA1" si="28">CZ1+1</f>
        <v>10</v>
      </c>
      <c r="DB1">
        <f t="shared" ref="DB1" si="29">DA1+1</f>
        <v>11</v>
      </c>
      <c r="DC1">
        <f t="shared" ref="DC1" si="30">DB1+1</f>
        <v>12</v>
      </c>
      <c r="DE1" s="361"/>
      <c r="DF1">
        <v>1</v>
      </c>
      <c r="DG1">
        <f>DF1+1</f>
        <v>2</v>
      </c>
      <c r="DH1">
        <f t="shared" ref="DH1" si="31">DG1+1</f>
        <v>3</v>
      </c>
      <c r="DI1">
        <f t="shared" ref="DI1" si="32">DH1+1</f>
        <v>4</v>
      </c>
      <c r="DJ1">
        <f t="shared" ref="DJ1" si="33">DI1+1</f>
        <v>5</v>
      </c>
      <c r="DK1">
        <f t="shared" ref="DK1" si="34">DJ1+1</f>
        <v>6</v>
      </c>
      <c r="DL1">
        <f t="shared" ref="DL1" si="35">DK1+1</f>
        <v>7</v>
      </c>
      <c r="DM1">
        <f t="shared" ref="DM1" si="36">DL1+1</f>
        <v>8</v>
      </c>
      <c r="DN1">
        <f t="shared" ref="DN1" si="37">DM1+1</f>
        <v>9</v>
      </c>
      <c r="DO1">
        <f t="shared" ref="DO1" si="38">DN1+1</f>
        <v>10</v>
      </c>
      <c r="DP1">
        <f t="shared" ref="DP1" si="39">DO1+1</f>
        <v>11</v>
      </c>
      <c r="DQ1">
        <f t="shared" ref="DQ1" si="40">DP1+1</f>
        <v>12</v>
      </c>
      <c r="DS1" s="361"/>
      <c r="DT1">
        <v>1</v>
      </c>
      <c r="DU1">
        <f>DT1+1</f>
        <v>2</v>
      </c>
      <c r="DV1">
        <f t="shared" ref="DV1" si="41">DU1+1</f>
        <v>3</v>
      </c>
      <c r="DW1">
        <f t="shared" ref="DW1" si="42">DV1+1</f>
        <v>4</v>
      </c>
      <c r="DX1">
        <f t="shared" ref="DX1" si="43">DW1+1</f>
        <v>5</v>
      </c>
      <c r="DY1">
        <f t="shared" ref="DY1" si="44">DX1+1</f>
        <v>6</v>
      </c>
      <c r="DZ1">
        <f t="shared" ref="DZ1" si="45">DY1+1</f>
        <v>7</v>
      </c>
      <c r="EA1">
        <f t="shared" ref="EA1" si="46">DZ1+1</f>
        <v>8</v>
      </c>
      <c r="EB1">
        <f t="shared" ref="EB1" si="47">EA1+1</f>
        <v>9</v>
      </c>
      <c r="EC1">
        <f t="shared" ref="EC1" si="48">EB1+1</f>
        <v>10</v>
      </c>
      <c r="ED1">
        <f t="shared" ref="ED1" si="49">EC1+1</f>
        <v>11</v>
      </c>
      <c r="EE1">
        <f t="shared" ref="EE1" si="50">ED1+1</f>
        <v>12</v>
      </c>
      <c r="EG1" s="361"/>
      <c r="EH1">
        <v>1</v>
      </c>
      <c r="EI1">
        <f>EH1+1</f>
        <v>2</v>
      </c>
      <c r="EJ1">
        <f t="shared" ref="EJ1" si="51">EI1+1</f>
        <v>3</v>
      </c>
      <c r="EK1">
        <f t="shared" ref="EK1" si="52">EJ1+1</f>
        <v>4</v>
      </c>
      <c r="EL1">
        <f t="shared" ref="EL1" si="53">EK1+1</f>
        <v>5</v>
      </c>
      <c r="EM1">
        <f t="shared" ref="EM1" si="54">EL1+1</f>
        <v>6</v>
      </c>
      <c r="EN1">
        <f t="shared" ref="EN1" si="55">EM1+1</f>
        <v>7</v>
      </c>
      <c r="EO1">
        <f t="shared" ref="EO1" si="56">EN1+1</f>
        <v>8</v>
      </c>
      <c r="EP1">
        <f t="shared" ref="EP1" si="57">EO1+1</f>
        <v>9</v>
      </c>
      <c r="EQ1">
        <f t="shared" ref="EQ1" si="58">EP1+1</f>
        <v>10</v>
      </c>
      <c r="ER1">
        <f t="shared" ref="ER1" si="59">EQ1+1</f>
        <v>11</v>
      </c>
      <c r="ES1">
        <f t="shared" ref="ES1" si="60">ER1+1</f>
        <v>12</v>
      </c>
      <c r="EU1" s="2" t="str">
        <f>'Monthly Data'!FO1</f>
        <v>AvgVRZ_ResidentialkWh</v>
      </c>
      <c r="EV1" s="2" t="str">
        <f>'Monthly Data'!FP1</f>
        <v>AvgVRZ_SeasonalReskWh</v>
      </c>
      <c r="EW1" s="2" t="str">
        <f>'Monthly Data'!FQ1</f>
        <v>AvgVRZ_GSlt50kWh</v>
      </c>
      <c r="EX1" s="2" t="str">
        <f>'Monthly Data'!FR1</f>
        <v>AvgVRZ_GS50to2999kWh</v>
      </c>
      <c r="EY1" s="2" t="str">
        <f>'Monthly Data'!FS1</f>
        <v>AvgVRZ_GS3000to4999kWh</v>
      </c>
      <c r="EZ1" s="2" t="str">
        <f>'Monthly Data'!FT1</f>
        <v>AvgVRZ_LargeUsekWh</v>
      </c>
      <c r="FA1" s="2" t="str">
        <f>'Monthly Data'!FX1</f>
        <v>AvgWRZ_ResidentialkWh</v>
      </c>
      <c r="FB1" s="2" t="str">
        <f>'Monthly Data'!FY1</f>
        <v>AvgWRZ_GSlt50kWh</v>
      </c>
      <c r="FC1" s="2" t="str">
        <f>'Monthly Data'!FZ1</f>
        <v>AvgWRZ_GS50to2999kWh</v>
      </c>
      <c r="FD1" s="2" t="str">
        <f>'Monthly Data'!GA1</f>
        <v>AvgWRZ_GS3000to4999kWh</v>
      </c>
      <c r="FE1" s="4"/>
      <c r="FF1" s="4"/>
      <c r="FG1" s="4"/>
      <c r="FH1" s="4"/>
      <c r="FI1" s="4"/>
      <c r="FJ1" s="4"/>
      <c r="FK1" s="4"/>
      <c r="FL1" s="4"/>
      <c r="FM1" s="4"/>
    </row>
    <row r="2" spans="1:169">
      <c r="A2">
        <v>2014</v>
      </c>
      <c r="B2">
        <v>1</v>
      </c>
      <c r="C2" s="313">
        <v>884.74166666666679</v>
      </c>
      <c r="D2" s="313">
        <v>0</v>
      </c>
      <c r="E2" s="313">
        <v>822.74166666666679</v>
      </c>
      <c r="F2" s="313">
        <v>0</v>
      </c>
      <c r="G2" s="313">
        <v>760.74166666666679</v>
      </c>
      <c r="H2" s="313">
        <v>0</v>
      </c>
      <c r="I2" s="313">
        <v>698.74166666666679</v>
      </c>
      <c r="J2" s="313">
        <v>0</v>
      </c>
      <c r="K2" s="313">
        <v>636.74166666666679</v>
      </c>
      <c r="L2" s="313">
        <v>0</v>
      </c>
      <c r="M2" s="313">
        <v>574.74166666666679</v>
      </c>
      <c r="N2" s="313">
        <v>0</v>
      </c>
      <c r="O2" s="313">
        <v>512.74166666666679</v>
      </c>
      <c r="P2" s="313">
        <v>0</v>
      </c>
      <c r="Q2" s="383">
        <v>-8.5400537634408611</v>
      </c>
      <c r="S2" s="3"/>
      <c r="T2" s="3"/>
      <c r="U2" s="3"/>
      <c r="V2" s="3"/>
      <c r="W2" s="3"/>
      <c r="X2" s="3"/>
      <c r="Y2" s="3"/>
      <c r="Z2" s="3"/>
      <c r="AA2" s="3"/>
      <c r="AB2" s="3"/>
      <c r="BA2" s="411" t="str">
        <f>C1</f>
        <v>HDD20</v>
      </c>
      <c r="BB2" s="412" t="s">
        <v>104</v>
      </c>
      <c r="BC2" s="412" t="s">
        <v>105</v>
      </c>
      <c r="BD2" s="412" t="s">
        <v>106</v>
      </c>
      <c r="BE2" s="412" t="s">
        <v>107</v>
      </c>
      <c r="BF2" s="412" t="s">
        <v>108</v>
      </c>
      <c r="BG2" s="412" t="s">
        <v>326</v>
      </c>
      <c r="BH2" s="412" t="s">
        <v>327</v>
      </c>
      <c r="BI2" s="412" t="s">
        <v>328</v>
      </c>
      <c r="BJ2" s="412" t="s">
        <v>112</v>
      </c>
      <c r="BK2" s="412" t="s">
        <v>113</v>
      </c>
      <c r="BL2" s="412" t="s">
        <v>114</v>
      </c>
      <c r="BM2" s="412" t="s">
        <v>115</v>
      </c>
      <c r="BN2" s="413"/>
      <c r="BO2" s="411" t="str">
        <f>E1</f>
        <v>HDD18</v>
      </c>
      <c r="BP2" s="412" t="s">
        <v>104</v>
      </c>
      <c r="BQ2" s="412" t="s">
        <v>105</v>
      </c>
      <c r="BR2" s="412" t="s">
        <v>106</v>
      </c>
      <c r="BS2" s="412" t="s">
        <v>107</v>
      </c>
      <c r="BT2" s="412" t="s">
        <v>108</v>
      </c>
      <c r="BU2" s="412" t="s">
        <v>326</v>
      </c>
      <c r="BV2" s="412" t="s">
        <v>327</v>
      </c>
      <c r="BW2" s="412" t="s">
        <v>328</v>
      </c>
      <c r="BX2" s="412" t="s">
        <v>112</v>
      </c>
      <c r="BY2" s="412" t="s">
        <v>113</v>
      </c>
      <c r="BZ2" s="412" t="s">
        <v>114</v>
      </c>
      <c r="CA2" s="412" t="s">
        <v>115</v>
      </c>
      <c r="CB2" s="413"/>
      <c r="CC2" s="411" t="str">
        <f>G1</f>
        <v>HDD16</v>
      </c>
      <c r="CD2" s="412" t="s">
        <v>104</v>
      </c>
      <c r="CE2" s="412" t="s">
        <v>105</v>
      </c>
      <c r="CF2" s="412" t="s">
        <v>106</v>
      </c>
      <c r="CG2" s="412" t="s">
        <v>107</v>
      </c>
      <c r="CH2" s="412" t="s">
        <v>108</v>
      </c>
      <c r="CI2" s="412" t="s">
        <v>326</v>
      </c>
      <c r="CJ2" s="412" t="s">
        <v>327</v>
      </c>
      <c r="CK2" s="412" t="s">
        <v>328</v>
      </c>
      <c r="CL2" s="412" t="s">
        <v>112</v>
      </c>
      <c r="CM2" s="412" t="s">
        <v>113</v>
      </c>
      <c r="CN2" s="412" t="s">
        <v>114</v>
      </c>
      <c r="CO2" s="412" t="s">
        <v>115</v>
      </c>
      <c r="CP2" s="413"/>
      <c r="CQ2" s="411" t="str">
        <f>I1</f>
        <v>HDD14</v>
      </c>
      <c r="CR2" s="412" t="s">
        <v>104</v>
      </c>
      <c r="CS2" s="412" t="s">
        <v>105</v>
      </c>
      <c r="CT2" s="412" t="s">
        <v>106</v>
      </c>
      <c r="CU2" s="412" t="s">
        <v>107</v>
      </c>
      <c r="CV2" s="412" t="s">
        <v>108</v>
      </c>
      <c r="CW2" s="412" t="s">
        <v>326</v>
      </c>
      <c r="CX2" s="412" t="s">
        <v>327</v>
      </c>
      <c r="CY2" s="412" t="s">
        <v>328</v>
      </c>
      <c r="CZ2" s="412" t="s">
        <v>112</v>
      </c>
      <c r="DA2" s="412" t="s">
        <v>113</v>
      </c>
      <c r="DB2" s="412" t="s">
        <v>114</v>
      </c>
      <c r="DC2" s="412" t="s">
        <v>115</v>
      </c>
      <c r="DD2" s="413"/>
      <c r="DE2" s="411" t="str">
        <f>K1</f>
        <v>HDD12</v>
      </c>
      <c r="DF2" s="412" t="s">
        <v>104</v>
      </c>
      <c r="DG2" s="412" t="s">
        <v>105</v>
      </c>
      <c r="DH2" s="412" t="s">
        <v>106</v>
      </c>
      <c r="DI2" s="412" t="s">
        <v>107</v>
      </c>
      <c r="DJ2" s="412" t="s">
        <v>108</v>
      </c>
      <c r="DK2" s="412" t="s">
        <v>326</v>
      </c>
      <c r="DL2" s="412" t="s">
        <v>327</v>
      </c>
      <c r="DM2" s="412" t="s">
        <v>328</v>
      </c>
      <c r="DN2" s="412" t="s">
        <v>112</v>
      </c>
      <c r="DO2" s="412" t="s">
        <v>113</v>
      </c>
      <c r="DP2" s="412" t="s">
        <v>114</v>
      </c>
      <c r="DQ2" s="412" t="s">
        <v>115</v>
      </c>
      <c r="DR2" s="413"/>
      <c r="DS2" s="411" t="str">
        <f>M1</f>
        <v>HDD10</v>
      </c>
      <c r="DT2" s="412" t="s">
        <v>104</v>
      </c>
      <c r="DU2" s="412" t="s">
        <v>105</v>
      </c>
      <c r="DV2" s="412" t="s">
        <v>106</v>
      </c>
      <c r="DW2" s="412" t="s">
        <v>107</v>
      </c>
      <c r="DX2" s="412" t="s">
        <v>108</v>
      </c>
      <c r="DY2" s="412" t="s">
        <v>326</v>
      </c>
      <c r="DZ2" s="412" t="s">
        <v>327</v>
      </c>
      <c r="EA2" s="412" t="s">
        <v>328</v>
      </c>
      <c r="EB2" s="412" t="s">
        <v>112</v>
      </c>
      <c r="EC2" s="412" t="s">
        <v>113</v>
      </c>
      <c r="ED2" s="412" t="s">
        <v>114</v>
      </c>
      <c r="EE2" s="412" t="s">
        <v>115</v>
      </c>
      <c r="EF2" s="413"/>
      <c r="EG2" s="411" t="str">
        <f>O1</f>
        <v>HDD8</v>
      </c>
      <c r="EH2" s="412" t="s">
        <v>104</v>
      </c>
      <c r="EI2" s="412" t="s">
        <v>105</v>
      </c>
      <c r="EJ2" s="412" t="s">
        <v>106</v>
      </c>
      <c r="EK2" s="412" t="s">
        <v>107</v>
      </c>
      <c r="EL2" s="412" t="s">
        <v>108</v>
      </c>
      <c r="EM2" s="412" t="s">
        <v>326</v>
      </c>
      <c r="EN2" s="412" t="s">
        <v>327</v>
      </c>
      <c r="EO2" s="412" t="s">
        <v>328</v>
      </c>
      <c r="EP2" s="412" t="s">
        <v>112</v>
      </c>
      <c r="EQ2" s="412" t="s">
        <v>113</v>
      </c>
      <c r="ER2" s="412" t="s">
        <v>114</v>
      </c>
      <c r="ES2" s="412" t="s">
        <v>115</v>
      </c>
    </row>
    <row r="3" spans="1:169">
      <c r="A3">
        <v>2014</v>
      </c>
      <c r="B3">
        <v>2</v>
      </c>
      <c r="C3" s="313">
        <v>792.68333333333317</v>
      </c>
      <c r="D3" s="313">
        <v>0</v>
      </c>
      <c r="E3" s="313">
        <v>736.68333333333317</v>
      </c>
      <c r="F3" s="313">
        <v>0</v>
      </c>
      <c r="G3" s="313">
        <v>680.68333333333317</v>
      </c>
      <c r="H3" s="313">
        <v>0</v>
      </c>
      <c r="I3" s="313">
        <v>624.68333333333317</v>
      </c>
      <c r="J3" s="313">
        <v>0</v>
      </c>
      <c r="K3" s="313">
        <v>568.68333333333328</v>
      </c>
      <c r="L3" s="313">
        <v>0</v>
      </c>
      <c r="M3" s="313">
        <v>512.68333333333328</v>
      </c>
      <c r="N3" s="313">
        <v>0</v>
      </c>
      <c r="O3" s="313">
        <v>456.68333333333328</v>
      </c>
      <c r="P3" s="313">
        <v>0</v>
      </c>
      <c r="Q3" s="383">
        <v>-8.3101190476190503</v>
      </c>
      <c r="S3" s="3"/>
      <c r="T3" s="3"/>
      <c r="U3" s="3"/>
      <c r="V3" s="3"/>
      <c r="W3" s="3"/>
      <c r="X3" s="3"/>
      <c r="Y3" s="3"/>
      <c r="Z3" s="3"/>
      <c r="AA3" s="3"/>
      <c r="AB3" s="3"/>
      <c r="BA3" s="413">
        <v>2014</v>
      </c>
      <c r="BB3" s="414">
        <f>SUMIFS($C:$C,$A:$A,$BA3,$B:$B,BB$1)</f>
        <v>884.74166666666679</v>
      </c>
      <c r="BC3" s="414">
        <f t="shared" ref="BC3:BM13" si="61">SUMIFS($C:$C,$A:$A,$BA3,$B:$B,BC$1)</f>
        <v>792.68333333333317</v>
      </c>
      <c r="BD3" s="414">
        <f t="shared" si="61"/>
        <v>757.25416666666638</v>
      </c>
      <c r="BE3" s="414">
        <f t="shared" si="61"/>
        <v>435.43749999999994</v>
      </c>
      <c r="BF3" s="414">
        <f t="shared" si="61"/>
        <v>199.43764822134381</v>
      </c>
      <c r="BG3" s="414">
        <f t="shared" si="61"/>
        <v>55.654166666666669</v>
      </c>
      <c r="BH3" s="414">
        <f t="shared" si="61"/>
        <v>44.441666666666691</v>
      </c>
      <c r="BI3" s="414">
        <f t="shared" si="61"/>
        <v>43.762500000000003</v>
      </c>
      <c r="BJ3" s="414">
        <f t="shared" si="61"/>
        <v>135.82499999999999</v>
      </c>
      <c r="BK3" s="414">
        <f t="shared" si="61"/>
        <v>303.07083333333338</v>
      </c>
      <c r="BL3" s="414">
        <f t="shared" si="61"/>
        <v>542.00719696969691</v>
      </c>
      <c r="BM3" s="414">
        <f t="shared" si="61"/>
        <v>636.0291666666667</v>
      </c>
      <c r="BN3" s="413"/>
      <c r="BO3" s="413">
        <f>BA3</f>
        <v>2014</v>
      </c>
      <c r="BP3" s="414">
        <f>SUMIFS($E:$E,$A:$A,$BA3,$B:$B,BP$1)</f>
        <v>822.74166666666679</v>
      </c>
      <c r="BQ3" s="414">
        <f t="shared" ref="BQ3:CA13" si="62">SUMIFS($E:$E,$A:$A,$BA3,$B:$B,BQ$1)</f>
        <v>736.68333333333317</v>
      </c>
      <c r="BR3" s="414">
        <f t="shared" si="62"/>
        <v>695.25416666666649</v>
      </c>
      <c r="BS3" s="414">
        <f t="shared" si="62"/>
        <v>375.43749999999994</v>
      </c>
      <c r="BT3" s="414">
        <f t="shared" si="62"/>
        <v>141.86264822134387</v>
      </c>
      <c r="BU3" s="414">
        <f t="shared" si="62"/>
        <v>22.774999999999995</v>
      </c>
      <c r="BV3" s="414">
        <f t="shared" si="62"/>
        <v>9.9666666666666774</v>
      </c>
      <c r="BW3" s="414">
        <f t="shared" si="62"/>
        <v>18.450000000000006</v>
      </c>
      <c r="BX3" s="414">
        <f t="shared" si="62"/>
        <v>88.55</v>
      </c>
      <c r="BY3" s="414">
        <f t="shared" si="62"/>
        <v>241.41666666666669</v>
      </c>
      <c r="BZ3" s="414">
        <f t="shared" si="62"/>
        <v>482.00719696969691</v>
      </c>
      <c r="CA3" s="414">
        <f t="shared" si="62"/>
        <v>574.0291666666667</v>
      </c>
      <c r="CB3" s="513">
        <f t="shared" ref="CB3:CB14" si="63">SUM(BP3:CA3)</f>
        <v>4209.1740118577072</v>
      </c>
      <c r="CC3" s="413">
        <f>BO3</f>
        <v>2014</v>
      </c>
      <c r="CD3" s="414">
        <f>SUMIFS($G:$G,$A:$A,$BA3,$B:$B,CD$1)</f>
        <v>760.74166666666679</v>
      </c>
      <c r="CE3" s="414">
        <f t="shared" ref="CE3:CO13" si="64">SUMIFS($G:$G,$A:$A,$BA3,$B:$B,CE$1)</f>
        <v>680.68333333333317</v>
      </c>
      <c r="CF3" s="414">
        <f t="shared" si="64"/>
        <v>633.25416666666649</v>
      </c>
      <c r="CG3" s="414">
        <f t="shared" si="64"/>
        <v>315.4375</v>
      </c>
      <c r="CH3" s="414">
        <f t="shared" si="64"/>
        <v>89.379314888010541</v>
      </c>
      <c r="CI3" s="414">
        <f t="shared" si="64"/>
        <v>6.4124999999999996</v>
      </c>
      <c r="CJ3" s="414">
        <f t="shared" si="64"/>
        <v>8.333333333334636E-3</v>
      </c>
      <c r="CK3" s="414">
        <f t="shared" si="64"/>
        <v>4.9875000000000025</v>
      </c>
      <c r="CL3" s="414">
        <f t="shared" si="64"/>
        <v>51.670833333333341</v>
      </c>
      <c r="CM3" s="414">
        <f t="shared" si="64"/>
        <v>182.14999999999998</v>
      </c>
      <c r="CN3" s="414">
        <f t="shared" si="64"/>
        <v>422.00719696969691</v>
      </c>
      <c r="CO3" s="414">
        <f t="shared" si="64"/>
        <v>512.0291666666667</v>
      </c>
      <c r="CP3" s="413"/>
      <c r="CQ3" s="413">
        <f>CC3</f>
        <v>2014</v>
      </c>
      <c r="CR3" s="414">
        <f>SUMIFS($I:$I,$A:$A,$BA3,$B:$B,CR$1)</f>
        <v>698.74166666666679</v>
      </c>
      <c r="CS3" s="414">
        <f t="shared" ref="CS3:DC13" si="65">SUMIFS($I:$I,$A:$A,$BA3,$B:$B,CS$1)</f>
        <v>624.68333333333317</v>
      </c>
      <c r="CT3" s="414">
        <f t="shared" si="65"/>
        <v>571.25416666666661</v>
      </c>
      <c r="CU3" s="414">
        <f t="shared" si="65"/>
        <v>255.43749999999994</v>
      </c>
      <c r="CV3" s="414">
        <f t="shared" si="65"/>
        <v>55.487499999999997</v>
      </c>
      <c r="CW3" s="414">
        <f t="shared" si="65"/>
        <v>0.97500000000000142</v>
      </c>
      <c r="CX3" s="414">
        <f t="shared" si="65"/>
        <v>0</v>
      </c>
      <c r="CY3" s="414">
        <f t="shared" si="65"/>
        <v>0.6708333333333325</v>
      </c>
      <c r="CZ3" s="414">
        <f t="shared" si="65"/>
        <v>28.333333333333329</v>
      </c>
      <c r="DA3" s="414">
        <f t="shared" si="65"/>
        <v>128.43333333333334</v>
      </c>
      <c r="DB3" s="414">
        <f t="shared" si="65"/>
        <v>362.00719696969685</v>
      </c>
      <c r="DC3" s="414">
        <f t="shared" si="65"/>
        <v>450.02916666666664</v>
      </c>
      <c r="DD3" s="413"/>
      <c r="DE3" s="413">
        <f>CQ3</f>
        <v>2014</v>
      </c>
      <c r="DF3" s="414">
        <f>SUMIFS($K:$K,$A:$A,$BA3,$B:$B,DF$1)</f>
        <v>636.74166666666679</v>
      </c>
      <c r="DG3" s="414">
        <f t="shared" ref="DG3:DQ13" si="66">SUMIFS($K:$K,$A:$A,$BA3,$B:$B,DG$1)</f>
        <v>568.68333333333328</v>
      </c>
      <c r="DH3" s="414">
        <f t="shared" si="66"/>
        <v>509.25416666666666</v>
      </c>
      <c r="DI3" s="414">
        <f t="shared" si="66"/>
        <v>195.43749999999997</v>
      </c>
      <c r="DJ3" s="414">
        <f t="shared" si="66"/>
        <v>32.75833333333334</v>
      </c>
      <c r="DK3" s="414">
        <f t="shared" si="66"/>
        <v>0</v>
      </c>
      <c r="DL3" s="414">
        <f t="shared" si="66"/>
        <v>0</v>
      </c>
      <c r="DM3" s="414">
        <f t="shared" si="66"/>
        <v>0</v>
      </c>
      <c r="DN3" s="414">
        <f t="shared" si="66"/>
        <v>11.749999999999998</v>
      </c>
      <c r="DO3" s="414">
        <f t="shared" si="66"/>
        <v>81.950000000000017</v>
      </c>
      <c r="DP3" s="414">
        <f t="shared" si="66"/>
        <v>302.00719696969691</v>
      </c>
      <c r="DQ3" s="414">
        <f t="shared" si="66"/>
        <v>388.02916666666664</v>
      </c>
      <c r="DR3" s="413"/>
      <c r="DS3" s="413">
        <f>DE3</f>
        <v>2014</v>
      </c>
      <c r="DT3" s="414">
        <f>SUMIFS($M:$M,$A:$A,$BA3,$B:$B,DT$1)</f>
        <v>574.74166666666679</v>
      </c>
      <c r="DU3" s="414">
        <f t="shared" ref="DU3:EE13" si="67">SUMIFS($M:$M,$A:$A,$BA3,$B:$B,DU$1)</f>
        <v>512.68333333333328</v>
      </c>
      <c r="DV3" s="414">
        <f t="shared" si="67"/>
        <v>447.25416666666672</v>
      </c>
      <c r="DW3" s="414">
        <f t="shared" si="67"/>
        <v>139.75833333333333</v>
      </c>
      <c r="DX3" s="414">
        <f t="shared" si="67"/>
        <v>13.012499999999998</v>
      </c>
      <c r="DY3" s="414">
        <f t="shared" si="67"/>
        <v>0</v>
      </c>
      <c r="DZ3" s="414">
        <f t="shared" si="67"/>
        <v>0</v>
      </c>
      <c r="EA3" s="414">
        <f t="shared" si="67"/>
        <v>0</v>
      </c>
      <c r="EB3" s="414">
        <f t="shared" si="67"/>
        <v>1.4374999999999964</v>
      </c>
      <c r="EC3" s="414">
        <f t="shared" si="67"/>
        <v>45.041666666666657</v>
      </c>
      <c r="ED3" s="414">
        <f t="shared" si="67"/>
        <v>242.40303030303033</v>
      </c>
      <c r="EE3" s="414">
        <f t="shared" si="67"/>
        <v>326.02916666666664</v>
      </c>
      <c r="EF3" s="413"/>
      <c r="EG3" s="413">
        <f>DS3</f>
        <v>2014</v>
      </c>
      <c r="EH3" s="414">
        <f>SUMIFS($O:$O,$A:$A,$BA3,$B:$B,EH$1)</f>
        <v>512.74166666666679</v>
      </c>
      <c r="EI3" s="414">
        <f t="shared" ref="EI3:ES13" si="68">SUMIFS($O:$O,$A:$A,$BA3,$B:$B,EI$1)</f>
        <v>456.68333333333328</v>
      </c>
      <c r="EJ3" s="414">
        <f t="shared" si="68"/>
        <v>385.25416666666672</v>
      </c>
      <c r="EK3" s="414">
        <f t="shared" si="68"/>
        <v>87.316666666666691</v>
      </c>
      <c r="EL3" s="414">
        <f t="shared" si="68"/>
        <v>1.3749999999999973</v>
      </c>
      <c r="EM3" s="414">
        <f t="shared" si="68"/>
        <v>0</v>
      </c>
      <c r="EN3" s="414">
        <f t="shared" si="68"/>
        <v>0</v>
      </c>
      <c r="EO3" s="414">
        <f t="shared" si="68"/>
        <v>0</v>
      </c>
      <c r="EP3" s="414">
        <f t="shared" si="68"/>
        <v>0</v>
      </c>
      <c r="EQ3" s="414">
        <f t="shared" si="68"/>
        <v>17.908333333333335</v>
      </c>
      <c r="ER3" s="414">
        <f t="shared" si="68"/>
        <v>188.37386363636367</v>
      </c>
      <c r="ES3" s="414">
        <f t="shared" si="68"/>
        <v>264.0291666666667</v>
      </c>
    </row>
    <row r="4" spans="1:169">
      <c r="A4">
        <v>2014</v>
      </c>
      <c r="B4">
        <v>3</v>
      </c>
      <c r="C4" s="313">
        <v>757.25416666666638</v>
      </c>
      <c r="D4" s="313">
        <v>0</v>
      </c>
      <c r="E4" s="313">
        <v>695.25416666666649</v>
      </c>
      <c r="F4" s="313">
        <v>0</v>
      </c>
      <c r="G4" s="313">
        <v>633.25416666666649</v>
      </c>
      <c r="H4" s="313">
        <v>0</v>
      </c>
      <c r="I4" s="313">
        <v>571.25416666666661</v>
      </c>
      <c r="J4" s="313">
        <v>0</v>
      </c>
      <c r="K4" s="313">
        <v>509.25416666666666</v>
      </c>
      <c r="L4" s="313">
        <v>0</v>
      </c>
      <c r="M4" s="313">
        <v>447.25416666666672</v>
      </c>
      <c r="N4" s="313">
        <v>0</v>
      </c>
      <c r="O4" s="313">
        <v>385.25416666666672</v>
      </c>
      <c r="P4" s="313">
        <v>0</v>
      </c>
      <c r="Q4" s="383">
        <v>-4.4275537634408613</v>
      </c>
      <c r="S4" s="3"/>
      <c r="T4" s="3"/>
      <c r="U4" s="3"/>
      <c r="V4" s="3"/>
      <c r="W4" s="3"/>
      <c r="X4" s="3"/>
      <c r="Y4" s="3"/>
      <c r="Z4" s="3"/>
      <c r="AA4" s="3"/>
      <c r="AB4" s="3"/>
      <c r="BA4" s="413">
        <f t="shared" ref="BA4:BA15" si="69">BA3+1</f>
        <v>2015</v>
      </c>
      <c r="BB4" s="414">
        <f t="shared" ref="BB4:BB13" si="70">SUMIFS($C:$C,$A:$A,$BA4,$B:$B,BB$1)</f>
        <v>859.89184782608675</v>
      </c>
      <c r="BC4" s="414">
        <f t="shared" si="61"/>
        <v>921.85434782608706</v>
      </c>
      <c r="BD4" s="414">
        <f t="shared" si="61"/>
        <v>699.80000000000007</v>
      </c>
      <c r="BE4" s="414">
        <f t="shared" si="61"/>
        <v>406.75037878787873</v>
      </c>
      <c r="BF4" s="414">
        <f t="shared" si="61"/>
        <v>159.09689440993785</v>
      </c>
      <c r="BG4" s="414">
        <f t="shared" si="61"/>
        <v>93.137500000000045</v>
      </c>
      <c r="BH4" s="414">
        <f t="shared" si="61"/>
        <v>25.987500000000004</v>
      </c>
      <c r="BI4" s="414">
        <f t="shared" si="61"/>
        <v>40.1875</v>
      </c>
      <c r="BJ4" s="414">
        <f t="shared" si="61"/>
        <v>78.99404761904762</v>
      </c>
      <c r="BK4" s="414">
        <f t="shared" si="61"/>
        <v>338.98750000000007</v>
      </c>
      <c r="BL4" s="414">
        <f t="shared" si="61"/>
        <v>431.77083333333331</v>
      </c>
      <c r="BM4" s="414">
        <f t="shared" si="61"/>
        <v>499.62590579710155</v>
      </c>
      <c r="BN4" s="413"/>
      <c r="BO4" s="413">
        <f t="shared" ref="BO4:BO15" si="71">BO3+1</f>
        <v>2015</v>
      </c>
      <c r="BP4" s="414">
        <f t="shared" ref="BP4:BP13" si="72">SUMIFS($E:$E,$A:$A,$BA4,$B:$B,BP$1)</f>
        <v>797.89184782608675</v>
      </c>
      <c r="BQ4" s="414">
        <f t="shared" si="62"/>
        <v>865.85434782608706</v>
      </c>
      <c r="BR4" s="414">
        <f t="shared" si="62"/>
        <v>637.79999999999995</v>
      </c>
      <c r="BS4" s="414">
        <f t="shared" si="62"/>
        <v>346.75037878787867</v>
      </c>
      <c r="BT4" s="414">
        <f t="shared" si="62"/>
        <v>108.22189440993786</v>
      </c>
      <c r="BU4" s="414">
        <f t="shared" si="62"/>
        <v>44.925000000000004</v>
      </c>
      <c r="BV4" s="414">
        <f t="shared" si="62"/>
        <v>6.0874999999999986</v>
      </c>
      <c r="BW4" s="414">
        <f t="shared" si="62"/>
        <v>9.4166666666666572</v>
      </c>
      <c r="BX4" s="414">
        <f t="shared" si="62"/>
        <v>42.631547619047623</v>
      </c>
      <c r="BY4" s="414">
        <f t="shared" si="62"/>
        <v>276.98750000000001</v>
      </c>
      <c r="BZ4" s="414">
        <f t="shared" si="62"/>
        <v>371.77083333333326</v>
      </c>
      <c r="CA4" s="414">
        <f t="shared" si="62"/>
        <v>437.62590579710155</v>
      </c>
      <c r="CB4" s="513">
        <f t="shared" si="63"/>
        <v>3945.9634222661393</v>
      </c>
      <c r="CC4" s="413">
        <f t="shared" ref="CC4:CC15" si="73">CC3+1</f>
        <v>2015</v>
      </c>
      <c r="CD4" s="414">
        <f t="shared" ref="CD4:CD13" si="74">SUMIFS($G:$G,$A:$A,$BA4,$B:$B,CD$1)</f>
        <v>735.89184782608675</v>
      </c>
      <c r="CE4" s="414">
        <f t="shared" si="64"/>
        <v>809.85434782608706</v>
      </c>
      <c r="CF4" s="414">
        <f t="shared" si="64"/>
        <v>575.79999999999995</v>
      </c>
      <c r="CG4" s="414">
        <f t="shared" si="64"/>
        <v>286.75037878787873</v>
      </c>
      <c r="CH4" s="414">
        <f t="shared" si="64"/>
        <v>67.211775362318832</v>
      </c>
      <c r="CI4" s="414">
        <f t="shared" si="64"/>
        <v>17.725000000000009</v>
      </c>
      <c r="CJ4" s="414">
        <f t="shared" si="64"/>
        <v>0</v>
      </c>
      <c r="CK4" s="414">
        <f t="shared" si="64"/>
        <v>0.49166666666666714</v>
      </c>
      <c r="CL4" s="414">
        <f t="shared" si="64"/>
        <v>18.695833333333333</v>
      </c>
      <c r="CM4" s="414">
        <f t="shared" si="64"/>
        <v>215.98749999999998</v>
      </c>
      <c r="CN4" s="414">
        <f t="shared" si="64"/>
        <v>311.77083333333331</v>
      </c>
      <c r="CO4" s="414">
        <f t="shared" si="64"/>
        <v>375.6259057971015</v>
      </c>
      <c r="CP4" s="413"/>
      <c r="CQ4" s="413">
        <f t="shared" ref="CQ4:CQ15" si="75">CQ3+1</f>
        <v>2015</v>
      </c>
      <c r="CR4" s="414">
        <f t="shared" ref="CR4:CR13" si="76">SUMIFS($I:$I,$A:$A,$BA4,$B:$B,CR$1)</f>
        <v>673.89184782608697</v>
      </c>
      <c r="CS4" s="414">
        <f t="shared" si="65"/>
        <v>753.85434782608695</v>
      </c>
      <c r="CT4" s="414">
        <f t="shared" si="65"/>
        <v>513.79999999999995</v>
      </c>
      <c r="CU4" s="414">
        <f t="shared" si="65"/>
        <v>226.75037878787884</v>
      </c>
      <c r="CV4" s="414">
        <f t="shared" si="65"/>
        <v>35.578442028985506</v>
      </c>
      <c r="CW4" s="414">
        <f t="shared" si="65"/>
        <v>5.9875000000000078</v>
      </c>
      <c r="CX4" s="414">
        <f t="shared" si="65"/>
        <v>0</v>
      </c>
      <c r="CY4" s="414">
        <f t="shared" si="65"/>
        <v>0</v>
      </c>
      <c r="CZ4" s="414">
        <f t="shared" si="65"/>
        <v>6.0041666666666682</v>
      </c>
      <c r="DA4" s="414">
        <f t="shared" si="65"/>
        <v>157.34583333333333</v>
      </c>
      <c r="DB4" s="414">
        <f t="shared" si="65"/>
        <v>252.04166666666663</v>
      </c>
      <c r="DC4" s="414">
        <f t="shared" si="65"/>
        <v>313.62590579710144</v>
      </c>
      <c r="DD4" s="413"/>
      <c r="DE4" s="413">
        <f t="shared" ref="DE4:DE15" si="77">DE3+1</f>
        <v>2015</v>
      </c>
      <c r="DF4" s="414">
        <f t="shared" ref="DF4:DF13" si="78">SUMIFS($K:$K,$A:$A,$BA4,$B:$B,DF$1)</f>
        <v>611.89184782608697</v>
      </c>
      <c r="DG4" s="414">
        <f t="shared" si="66"/>
        <v>697.85434782608695</v>
      </c>
      <c r="DH4" s="414">
        <f t="shared" si="66"/>
        <v>451.8</v>
      </c>
      <c r="DI4" s="414">
        <f t="shared" si="66"/>
        <v>168.28371212121215</v>
      </c>
      <c r="DJ4" s="414">
        <f t="shared" si="66"/>
        <v>16.190942028985511</v>
      </c>
      <c r="DK4" s="414">
        <f t="shared" si="66"/>
        <v>0.6458333333333357</v>
      </c>
      <c r="DL4" s="414">
        <f t="shared" si="66"/>
        <v>0</v>
      </c>
      <c r="DM4" s="414">
        <f t="shared" si="66"/>
        <v>0</v>
      </c>
      <c r="DN4" s="414">
        <f t="shared" si="66"/>
        <v>3.7500000000001421E-2</v>
      </c>
      <c r="DO4" s="414">
        <f t="shared" si="66"/>
        <v>104.88333333333331</v>
      </c>
      <c r="DP4" s="414">
        <f t="shared" si="66"/>
        <v>195.30833333333331</v>
      </c>
      <c r="DQ4" s="414">
        <f t="shared" si="66"/>
        <v>251.62590579710138</v>
      </c>
      <c r="DR4" s="413"/>
      <c r="DS4" s="413">
        <f t="shared" ref="DS4:DS15" si="79">DS3+1</f>
        <v>2015</v>
      </c>
      <c r="DT4" s="414">
        <f t="shared" ref="DT4:DT13" si="80">SUMIFS($M:$M,$A:$A,$BA4,$B:$B,DT$1)</f>
        <v>549.89184782608709</v>
      </c>
      <c r="DU4" s="414">
        <f t="shared" si="67"/>
        <v>641.85434782608695</v>
      </c>
      <c r="DV4" s="414">
        <f t="shared" si="67"/>
        <v>389.8</v>
      </c>
      <c r="DW4" s="414">
        <f t="shared" si="67"/>
        <v>116.58371212121212</v>
      </c>
      <c r="DX4" s="414">
        <f t="shared" si="67"/>
        <v>4.3916666666666675</v>
      </c>
      <c r="DY4" s="414">
        <f t="shared" si="67"/>
        <v>0</v>
      </c>
      <c r="DZ4" s="414">
        <f t="shared" si="67"/>
        <v>0</v>
      </c>
      <c r="EA4" s="414">
        <f t="shared" si="67"/>
        <v>0</v>
      </c>
      <c r="EB4" s="414">
        <f t="shared" si="67"/>
        <v>0</v>
      </c>
      <c r="EC4" s="414">
        <f t="shared" si="67"/>
        <v>61.262500000000003</v>
      </c>
      <c r="ED4" s="414">
        <f t="shared" si="67"/>
        <v>143.67916666666665</v>
      </c>
      <c r="EE4" s="414">
        <f t="shared" si="67"/>
        <v>190.49257246376811</v>
      </c>
      <c r="EF4" s="413"/>
      <c r="EG4" s="413">
        <f t="shared" ref="EG4:EG15" si="81">EG3+1</f>
        <v>2015</v>
      </c>
      <c r="EH4" s="414">
        <f t="shared" ref="EH4:EH13" si="82">SUMIFS($O:$O,$A:$A,$BA4,$B:$B,EH$1)</f>
        <v>487.89184782608703</v>
      </c>
      <c r="EI4" s="414">
        <f t="shared" si="68"/>
        <v>585.85434782608695</v>
      </c>
      <c r="EJ4" s="414">
        <f t="shared" si="68"/>
        <v>327.79999999999995</v>
      </c>
      <c r="EK4" s="414">
        <f t="shared" si="68"/>
        <v>72.862878787878799</v>
      </c>
      <c r="EL4" s="414">
        <f t="shared" si="68"/>
        <v>0</v>
      </c>
      <c r="EM4" s="414">
        <f t="shared" si="68"/>
        <v>0</v>
      </c>
      <c r="EN4" s="414">
        <f t="shared" si="68"/>
        <v>0</v>
      </c>
      <c r="EO4" s="414">
        <f t="shared" si="68"/>
        <v>0</v>
      </c>
      <c r="EP4" s="414">
        <f t="shared" si="68"/>
        <v>0</v>
      </c>
      <c r="EQ4" s="414">
        <f t="shared" si="68"/>
        <v>33.92916666666666</v>
      </c>
      <c r="ER4" s="414">
        <f t="shared" si="68"/>
        <v>99.970833333333317</v>
      </c>
      <c r="ES4" s="414">
        <f t="shared" si="68"/>
        <v>134.45072463768119</v>
      </c>
    </row>
    <row r="5" spans="1:169">
      <c r="A5">
        <v>2014</v>
      </c>
      <c r="B5">
        <v>4</v>
      </c>
      <c r="C5" s="313">
        <v>435.43749999999994</v>
      </c>
      <c r="D5" s="313">
        <v>0</v>
      </c>
      <c r="E5" s="313">
        <v>375.43749999999994</v>
      </c>
      <c r="F5" s="313">
        <v>0</v>
      </c>
      <c r="G5" s="313">
        <v>315.4375</v>
      </c>
      <c r="H5" s="313">
        <v>0</v>
      </c>
      <c r="I5" s="313">
        <v>255.43749999999994</v>
      </c>
      <c r="J5" s="313">
        <v>0</v>
      </c>
      <c r="K5" s="313">
        <v>195.43749999999997</v>
      </c>
      <c r="L5" s="313">
        <v>0</v>
      </c>
      <c r="M5" s="313">
        <v>139.75833333333333</v>
      </c>
      <c r="N5" s="313">
        <v>4.3208333333333346</v>
      </c>
      <c r="O5" s="313">
        <v>87.316666666666691</v>
      </c>
      <c r="P5" s="313">
        <v>11.87916666666667</v>
      </c>
      <c r="Q5" s="383">
        <v>5.4854166666666657</v>
      </c>
      <c r="S5" s="3"/>
      <c r="T5" s="3"/>
      <c r="U5" s="3"/>
      <c r="V5" s="3"/>
      <c r="W5" s="3"/>
      <c r="X5" s="3"/>
      <c r="Y5" s="3"/>
      <c r="Z5" s="3"/>
      <c r="AA5" s="3"/>
      <c r="AB5" s="3"/>
      <c r="BA5" s="413">
        <f t="shared" si="69"/>
        <v>2016</v>
      </c>
      <c r="BB5" s="414">
        <f t="shared" si="70"/>
        <v>737.87916666666683</v>
      </c>
      <c r="BC5" s="414">
        <f t="shared" si="61"/>
        <v>661.70833333333326</v>
      </c>
      <c r="BD5" s="414">
        <f t="shared" si="61"/>
        <v>577.07934782608709</v>
      </c>
      <c r="BE5" s="414">
        <f t="shared" si="61"/>
        <v>465.98333333333341</v>
      </c>
      <c r="BF5" s="414">
        <f t="shared" si="61"/>
        <v>203.72361111111115</v>
      </c>
      <c r="BG5" s="414">
        <f t="shared" si="61"/>
        <v>56.883333333333326</v>
      </c>
      <c r="BH5" s="414">
        <f t="shared" si="61"/>
        <v>8.75416666666667</v>
      </c>
      <c r="BI5" s="414">
        <f t="shared" si="61"/>
        <v>4.029166666666665</v>
      </c>
      <c r="BJ5" s="414">
        <f t="shared" si="61"/>
        <v>80.145833333333343</v>
      </c>
      <c r="BK5" s="414">
        <f t="shared" si="61"/>
        <v>283.19583333333327</v>
      </c>
      <c r="BL5" s="414">
        <f t="shared" si="61"/>
        <v>437.33511904761912</v>
      </c>
      <c r="BM5" s="414">
        <f t="shared" si="61"/>
        <v>678.67083333333323</v>
      </c>
      <c r="BN5" s="413"/>
      <c r="BO5" s="413">
        <f t="shared" si="71"/>
        <v>2016</v>
      </c>
      <c r="BP5" s="414">
        <f t="shared" si="72"/>
        <v>675.87916666666683</v>
      </c>
      <c r="BQ5" s="414">
        <f t="shared" si="62"/>
        <v>603.70833333333337</v>
      </c>
      <c r="BR5" s="414">
        <f t="shared" si="62"/>
        <v>515.07934782608686</v>
      </c>
      <c r="BS5" s="414">
        <f t="shared" si="62"/>
        <v>405.98333333333341</v>
      </c>
      <c r="BT5" s="414">
        <f t="shared" si="62"/>
        <v>154.58611111111114</v>
      </c>
      <c r="BU5" s="414">
        <f t="shared" si="62"/>
        <v>30.204166666666669</v>
      </c>
      <c r="BV5" s="414">
        <f t="shared" si="62"/>
        <v>1.6583333333333314</v>
      </c>
      <c r="BW5" s="414">
        <f t="shared" si="62"/>
        <v>1.1291666666666664</v>
      </c>
      <c r="BX5" s="414">
        <f t="shared" si="62"/>
        <v>40.929166666666667</v>
      </c>
      <c r="BY5" s="414">
        <f t="shared" si="62"/>
        <v>222.13333333333333</v>
      </c>
      <c r="BZ5" s="414">
        <f t="shared" si="62"/>
        <v>377.33511904761912</v>
      </c>
      <c r="CA5" s="414">
        <f t="shared" si="62"/>
        <v>616.67083333333335</v>
      </c>
      <c r="CB5" s="513">
        <f t="shared" si="63"/>
        <v>3645.2964113181506</v>
      </c>
      <c r="CC5" s="413">
        <f t="shared" si="73"/>
        <v>2016</v>
      </c>
      <c r="CD5" s="414">
        <f t="shared" si="74"/>
        <v>613.87916666666683</v>
      </c>
      <c r="CE5" s="414">
        <f t="shared" si="64"/>
        <v>545.70833333333337</v>
      </c>
      <c r="CF5" s="414">
        <f t="shared" si="64"/>
        <v>453.07934782608692</v>
      </c>
      <c r="CG5" s="414">
        <f t="shared" si="64"/>
        <v>345.98333333333335</v>
      </c>
      <c r="CH5" s="414">
        <f t="shared" si="64"/>
        <v>111.69444444444443</v>
      </c>
      <c r="CI5" s="414">
        <f t="shared" si="64"/>
        <v>14.133333333333335</v>
      </c>
      <c r="CJ5" s="414">
        <f t="shared" si="64"/>
        <v>0</v>
      </c>
      <c r="CK5" s="414">
        <f t="shared" si="64"/>
        <v>0</v>
      </c>
      <c r="CL5" s="414">
        <f t="shared" si="64"/>
        <v>15.7875</v>
      </c>
      <c r="CM5" s="414">
        <f t="shared" si="64"/>
        <v>166.45</v>
      </c>
      <c r="CN5" s="414">
        <f t="shared" si="64"/>
        <v>317.335119047619</v>
      </c>
      <c r="CO5" s="414">
        <f t="shared" si="64"/>
        <v>554.67083333333346</v>
      </c>
      <c r="CP5" s="413"/>
      <c r="CQ5" s="413">
        <f t="shared" si="75"/>
        <v>2016</v>
      </c>
      <c r="CR5" s="414">
        <f t="shared" si="76"/>
        <v>551.87916666666672</v>
      </c>
      <c r="CS5" s="414">
        <f t="shared" si="65"/>
        <v>487.70833333333337</v>
      </c>
      <c r="CT5" s="414">
        <f t="shared" si="65"/>
        <v>391.07934782608697</v>
      </c>
      <c r="CU5" s="414">
        <f t="shared" si="65"/>
        <v>286.81666666666661</v>
      </c>
      <c r="CV5" s="414">
        <f t="shared" si="65"/>
        <v>75.344444444444463</v>
      </c>
      <c r="CW5" s="414">
        <f t="shared" si="65"/>
        <v>3.9749999999999996</v>
      </c>
      <c r="CX5" s="414">
        <f t="shared" si="65"/>
        <v>0</v>
      </c>
      <c r="CY5" s="414">
        <f t="shared" si="65"/>
        <v>0</v>
      </c>
      <c r="CZ5" s="414">
        <f t="shared" si="65"/>
        <v>4.9124999999999979</v>
      </c>
      <c r="DA5" s="414">
        <f t="shared" si="65"/>
        <v>121.96666666666667</v>
      </c>
      <c r="DB5" s="414">
        <f t="shared" si="65"/>
        <v>257.33511904761906</v>
      </c>
      <c r="DC5" s="414">
        <f t="shared" si="65"/>
        <v>492.67083333333335</v>
      </c>
      <c r="DD5" s="413"/>
      <c r="DE5" s="413">
        <f t="shared" si="77"/>
        <v>2016</v>
      </c>
      <c r="DF5" s="414">
        <f t="shared" si="78"/>
        <v>489.87916666666672</v>
      </c>
      <c r="DG5" s="414">
        <f t="shared" si="66"/>
        <v>429.70833333333337</v>
      </c>
      <c r="DH5" s="414">
        <f t="shared" si="66"/>
        <v>329.07934782608692</v>
      </c>
      <c r="DI5" s="414">
        <f t="shared" si="66"/>
        <v>229.20416666666662</v>
      </c>
      <c r="DJ5" s="414">
        <f t="shared" si="66"/>
        <v>45.036111111111126</v>
      </c>
      <c r="DK5" s="414">
        <f t="shared" si="66"/>
        <v>0.65000000000000036</v>
      </c>
      <c r="DL5" s="414">
        <f t="shared" si="66"/>
        <v>0</v>
      </c>
      <c r="DM5" s="414">
        <f t="shared" si="66"/>
        <v>0</v>
      </c>
      <c r="DN5" s="414">
        <f t="shared" si="66"/>
        <v>0.8125</v>
      </c>
      <c r="DO5" s="414">
        <f t="shared" si="66"/>
        <v>87.579166666666666</v>
      </c>
      <c r="DP5" s="414">
        <f t="shared" si="66"/>
        <v>198.66428571428571</v>
      </c>
      <c r="DQ5" s="414">
        <f t="shared" si="66"/>
        <v>430.67083333333341</v>
      </c>
      <c r="DR5" s="413"/>
      <c r="DS5" s="413">
        <f t="shared" si="79"/>
        <v>2016</v>
      </c>
      <c r="DT5" s="414">
        <f t="shared" si="80"/>
        <v>427.87916666666672</v>
      </c>
      <c r="DU5" s="414">
        <f t="shared" si="67"/>
        <v>371.70833333333337</v>
      </c>
      <c r="DV5" s="414">
        <f t="shared" si="67"/>
        <v>267.07934782608692</v>
      </c>
      <c r="DW5" s="414">
        <f t="shared" si="67"/>
        <v>175.33749999999998</v>
      </c>
      <c r="DX5" s="414">
        <f t="shared" si="67"/>
        <v>18.829166666666676</v>
      </c>
      <c r="DY5" s="414">
        <f t="shared" si="67"/>
        <v>0</v>
      </c>
      <c r="DZ5" s="414">
        <f t="shared" si="67"/>
        <v>0</v>
      </c>
      <c r="EA5" s="414">
        <f t="shared" si="67"/>
        <v>0</v>
      </c>
      <c r="EB5" s="414">
        <f t="shared" si="67"/>
        <v>0</v>
      </c>
      <c r="EC5" s="414">
        <f t="shared" si="67"/>
        <v>58.995833333333337</v>
      </c>
      <c r="ED5" s="414">
        <f t="shared" si="67"/>
        <v>141.00178571428572</v>
      </c>
      <c r="EE5" s="414">
        <f t="shared" si="67"/>
        <v>368.67083333333341</v>
      </c>
      <c r="EF5" s="413"/>
      <c r="EG5" s="413">
        <f t="shared" si="81"/>
        <v>2016</v>
      </c>
      <c r="EH5" s="414">
        <f t="shared" si="82"/>
        <v>365.87916666666672</v>
      </c>
      <c r="EI5" s="414">
        <f t="shared" si="68"/>
        <v>313.70833333333326</v>
      </c>
      <c r="EJ5" s="414">
        <f t="shared" si="68"/>
        <v>207.6751811594203</v>
      </c>
      <c r="EK5" s="414">
        <f t="shared" si="68"/>
        <v>127.94999999999997</v>
      </c>
      <c r="EL5" s="414">
        <f t="shared" si="68"/>
        <v>4.2083333333333348</v>
      </c>
      <c r="EM5" s="414">
        <f t="shared" si="68"/>
        <v>0</v>
      </c>
      <c r="EN5" s="414">
        <f t="shared" si="68"/>
        <v>0</v>
      </c>
      <c r="EO5" s="414">
        <f t="shared" si="68"/>
        <v>0</v>
      </c>
      <c r="EP5" s="414">
        <f t="shared" si="68"/>
        <v>0</v>
      </c>
      <c r="EQ5" s="414">
        <f t="shared" si="68"/>
        <v>33.25</v>
      </c>
      <c r="ER5" s="414">
        <f t="shared" si="68"/>
        <v>89.230952380952388</v>
      </c>
      <c r="ES5" s="414">
        <f t="shared" si="68"/>
        <v>306.67083333333341</v>
      </c>
    </row>
    <row r="6" spans="1:169">
      <c r="A6">
        <v>2014</v>
      </c>
      <c r="B6">
        <v>5</v>
      </c>
      <c r="C6" s="313">
        <v>199.43764822134381</v>
      </c>
      <c r="D6" s="313">
        <v>2.8750000000000071</v>
      </c>
      <c r="E6" s="313">
        <v>141.86264822134387</v>
      </c>
      <c r="F6" s="313">
        <v>7.3000000000000043</v>
      </c>
      <c r="G6" s="313">
        <v>89.379314888010541</v>
      </c>
      <c r="H6" s="313">
        <v>16.816666666666681</v>
      </c>
      <c r="I6" s="313">
        <v>55.487499999999997</v>
      </c>
      <c r="J6" s="313">
        <v>44.924851778656141</v>
      </c>
      <c r="K6" s="313">
        <v>32.75833333333334</v>
      </c>
      <c r="L6" s="313">
        <v>84.195685111989476</v>
      </c>
      <c r="M6" s="313">
        <v>13.012499999999998</v>
      </c>
      <c r="N6" s="313">
        <v>126.44985177865614</v>
      </c>
      <c r="O6" s="313">
        <v>1.3749999999999973</v>
      </c>
      <c r="P6" s="313">
        <v>176.81235177865619</v>
      </c>
      <c r="Q6" s="383">
        <v>13.659269412214714</v>
      </c>
      <c r="S6" s="3"/>
      <c r="T6" s="3"/>
      <c r="U6" s="3"/>
      <c r="V6" s="3"/>
      <c r="W6" s="3"/>
      <c r="X6" s="3"/>
      <c r="Y6" s="3"/>
      <c r="Z6" s="3"/>
      <c r="AA6" s="3"/>
      <c r="AB6" s="3"/>
      <c r="BA6" s="413">
        <f t="shared" si="69"/>
        <v>2017</v>
      </c>
      <c r="BB6" s="414">
        <f t="shared" si="70"/>
        <v>682.2166666666667</v>
      </c>
      <c r="BC6" s="414">
        <f t="shared" si="61"/>
        <v>586.08333333333337</v>
      </c>
      <c r="BD6" s="414">
        <f t="shared" si="61"/>
        <v>661.67916666666667</v>
      </c>
      <c r="BE6" s="414">
        <f t="shared" si="61"/>
        <v>348.38749999999999</v>
      </c>
      <c r="BF6" s="414">
        <f t="shared" si="61"/>
        <v>247.16666666666663</v>
      </c>
      <c r="BG6" s="414">
        <f t="shared" si="61"/>
        <v>85.453333333333319</v>
      </c>
      <c r="BH6" s="414">
        <f t="shared" si="61"/>
        <v>14.412500000000009</v>
      </c>
      <c r="BI6" s="414">
        <f t="shared" si="61"/>
        <v>46.587500000000006</v>
      </c>
      <c r="BJ6" s="414">
        <f t="shared" si="61"/>
        <v>100.06666666666666</v>
      </c>
      <c r="BK6" s="414">
        <f t="shared" si="61"/>
        <v>238.48333333333335</v>
      </c>
      <c r="BL6" s="414">
        <f t="shared" si="61"/>
        <v>502.61174242424244</v>
      </c>
      <c r="BM6" s="414">
        <f t="shared" si="61"/>
        <v>798.31250000000011</v>
      </c>
      <c r="BN6" s="413"/>
      <c r="BO6" s="413">
        <f t="shared" si="71"/>
        <v>2017</v>
      </c>
      <c r="BP6" s="414">
        <f t="shared" si="72"/>
        <v>620.2166666666667</v>
      </c>
      <c r="BQ6" s="414">
        <f t="shared" si="62"/>
        <v>530.08333333333337</v>
      </c>
      <c r="BR6" s="414">
        <f t="shared" si="62"/>
        <v>599.67916666666667</v>
      </c>
      <c r="BS6" s="414">
        <f t="shared" si="62"/>
        <v>288.73333333333335</v>
      </c>
      <c r="BT6" s="414">
        <f t="shared" si="62"/>
        <v>188.63749999999999</v>
      </c>
      <c r="BU6" s="414">
        <f t="shared" si="62"/>
        <v>47.73249999999998</v>
      </c>
      <c r="BV6" s="414">
        <f t="shared" si="62"/>
        <v>1.8041666666666707</v>
      </c>
      <c r="BW6" s="414">
        <f t="shared" si="62"/>
        <v>17.950000000000006</v>
      </c>
      <c r="BX6" s="414">
        <f t="shared" si="62"/>
        <v>65.699999999999989</v>
      </c>
      <c r="BY6" s="414">
        <f t="shared" si="62"/>
        <v>179.70833333333334</v>
      </c>
      <c r="BZ6" s="414">
        <f t="shared" si="62"/>
        <v>442.61174242424244</v>
      </c>
      <c r="CA6" s="414">
        <f t="shared" si="62"/>
        <v>736.31250000000011</v>
      </c>
      <c r="CB6" s="513">
        <f t="shared" si="63"/>
        <v>3719.1692424242428</v>
      </c>
      <c r="CC6" s="413">
        <f t="shared" si="73"/>
        <v>2017</v>
      </c>
      <c r="CD6" s="414">
        <f t="shared" si="74"/>
        <v>558.21666666666658</v>
      </c>
      <c r="CE6" s="414">
        <f t="shared" si="64"/>
        <v>474.08333333333337</v>
      </c>
      <c r="CF6" s="414">
        <f t="shared" si="64"/>
        <v>537.67916666666656</v>
      </c>
      <c r="CG6" s="414">
        <f t="shared" si="64"/>
        <v>230.73333333333338</v>
      </c>
      <c r="CH6" s="414">
        <f t="shared" si="64"/>
        <v>134.83333333333331</v>
      </c>
      <c r="CI6" s="414">
        <f t="shared" si="64"/>
        <v>20.287499999999987</v>
      </c>
      <c r="CJ6" s="414">
        <f t="shared" si="64"/>
        <v>0</v>
      </c>
      <c r="CK6" s="414">
        <f t="shared" si="64"/>
        <v>3.6416666666666693</v>
      </c>
      <c r="CL6" s="414">
        <f t="shared" si="64"/>
        <v>37.391666666666666</v>
      </c>
      <c r="CM6" s="414">
        <f t="shared" si="64"/>
        <v>124.7625</v>
      </c>
      <c r="CN6" s="414">
        <f t="shared" si="64"/>
        <v>382.61174242424244</v>
      </c>
      <c r="CO6" s="414">
        <f t="shared" si="64"/>
        <v>674.31250000000011</v>
      </c>
      <c r="CP6" s="413"/>
      <c r="CQ6" s="413">
        <f t="shared" si="75"/>
        <v>2017</v>
      </c>
      <c r="CR6" s="414">
        <f t="shared" si="76"/>
        <v>496.21666666666664</v>
      </c>
      <c r="CS6" s="414">
        <f t="shared" si="65"/>
        <v>418.08333333333331</v>
      </c>
      <c r="CT6" s="414">
        <f t="shared" si="65"/>
        <v>475.67916666666662</v>
      </c>
      <c r="CU6" s="414">
        <f t="shared" si="65"/>
        <v>174.03750000000005</v>
      </c>
      <c r="CV6" s="414">
        <f t="shared" si="65"/>
        <v>88.129166666666677</v>
      </c>
      <c r="CW6" s="414">
        <f t="shared" si="65"/>
        <v>4.091666666666665</v>
      </c>
      <c r="CX6" s="414">
        <f t="shared" si="65"/>
        <v>0</v>
      </c>
      <c r="CY6" s="414">
        <f t="shared" si="65"/>
        <v>0</v>
      </c>
      <c r="CZ6" s="414">
        <f t="shared" si="65"/>
        <v>16.833333333333329</v>
      </c>
      <c r="DA6" s="414">
        <f t="shared" si="65"/>
        <v>82.137500000000017</v>
      </c>
      <c r="DB6" s="414">
        <f t="shared" si="65"/>
        <v>322.61174242424249</v>
      </c>
      <c r="DC6" s="414">
        <f t="shared" si="65"/>
        <v>612.31250000000011</v>
      </c>
      <c r="DD6" s="413"/>
      <c r="DE6" s="413">
        <f t="shared" si="77"/>
        <v>2017</v>
      </c>
      <c r="DF6" s="414">
        <f t="shared" si="78"/>
        <v>434.21666666666664</v>
      </c>
      <c r="DG6" s="414">
        <f t="shared" si="66"/>
        <v>362.08333333333331</v>
      </c>
      <c r="DH6" s="414">
        <f t="shared" si="66"/>
        <v>413.67916666666662</v>
      </c>
      <c r="DI6" s="414">
        <f t="shared" si="66"/>
        <v>120.79999999999997</v>
      </c>
      <c r="DJ6" s="414">
        <f t="shared" si="66"/>
        <v>52.287499999999987</v>
      </c>
      <c r="DK6" s="414">
        <f t="shared" si="66"/>
        <v>0</v>
      </c>
      <c r="DL6" s="414">
        <f t="shared" si="66"/>
        <v>0</v>
      </c>
      <c r="DM6" s="414">
        <f t="shared" si="66"/>
        <v>0</v>
      </c>
      <c r="DN6" s="414">
        <f t="shared" si="66"/>
        <v>5.466666666666665</v>
      </c>
      <c r="DO6" s="414">
        <f t="shared" si="66"/>
        <v>49.88333333333334</v>
      </c>
      <c r="DP6" s="414">
        <f t="shared" si="66"/>
        <v>262.61174242424244</v>
      </c>
      <c r="DQ6" s="414">
        <f t="shared" si="66"/>
        <v>550.3125</v>
      </c>
      <c r="DR6" s="413"/>
      <c r="DS6" s="413">
        <f t="shared" si="79"/>
        <v>2017</v>
      </c>
      <c r="DT6" s="414">
        <f t="shared" si="80"/>
        <v>372.2166666666667</v>
      </c>
      <c r="DU6" s="414">
        <f t="shared" si="67"/>
        <v>306.08333333333326</v>
      </c>
      <c r="DV6" s="414">
        <f t="shared" si="67"/>
        <v>351.67916666666656</v>
      </c>
      <c r="DW6" s="414">
        <f t="shared" si="67"/>
        <v>73.1458333333333</v>
      </c>
      <c r="DX6" s="414">
        <f t="shared" si="67"/>
        <v>26.741666666666656</v>
      </c>
      <c r="DY6" s="414">
        <f t="shared" si="67"/>
        <v>0</v>
      </c>
      <c r="DZ6" s="414">
        <f t="shared" si="67"/>
        <v>0</v>
      </c>
      <c r="EA6" s="414">
        <f t="shared" si="67"/>
        <v>0</v>
      </c>
      <c r="EB6" s="414">
        <f t="shared" si="67"/>
        <v>1.3833333333333311</v>
      </c>
      <c r="EC6" s="414">
        <f t="shared" si="67"/>
        <v>26.758333333333336</v>
      </c>
      <c r="ED6" s="414">
        <f t="shared" si="67"/>
        <v>203.9075757575757</v>
      </c>
      <c r="EE6" s="414">
        <f t="shared" si="67"/>
        <v>488.31250000000011</v>
      </c>
      <c r="EF6" s="413"/>
      <c r="EG6" s="413">
        <f t="shared" si="81"/>
        <v>2017</v>
      </c>
      <c r="EH6" s="414">
        <f t="shared" si="82"/>
        <v>310.2166666666667</v>
      </c>
      <c r="EI6" s="414">
        <f t="shared" si="68"/>
        <v>251.42499999999998</v>
      </c>
      <c r="EJ6" s="414">
        <f t="shared" si="68"/>
        <v>290.67916666666662</v>
      </c>
      <c r="EK6" s="414">
        <f t="shared" si="68"/>
        <v>34.695833333333326</v>
      </c>
      <c r="EL6" s="414">
        <f t="shared" si="68"/>
        <v>10.045833333333327</v>
      </c>
      <c r="EM6" s="414">
        <f t="shared" si="68"/>
        <v>0</v>
      </c>
      <c r="EN6" s="414">
        <f t="shared" si="68"/>
        <v>0</v>
      </c>
      <c r="EO6" s="414">
        <f t="shared" si="68"/>
        <v>0</v>
      </c>
      <c r="EP6" s="414">
        <f t="shared" si="68"/>
        <v>0</v>
      </c>
      <c r="EQ6" s="414">
        <f t="shared" si="68"/>
        <v>11.620833333333334</v>
      </c>
      <c r="ER6" s="414">
        <f t="shared" si="68"/>
        <v>148.02424242424243</v>
      </c>
      <c r="ES6" s="414">
        <f t="shared" si="68"/>
        <v>426.3125</v>
      </c>
    </row>
    <row r="7" spans="1:169">
      <c r="A7">
        <v>2014</v>
      </c>
      <c r="B7">
        <v>6</v>
      </c>
      <c r="C7" s="313">
        <v>55.654166666666669</v>
      </c>
      <c r="D7" s="313">
        <v>14.625</v>
      </c>
      <c r="E7" s="313">
        <v>22.774999999999995</v>
      </c>
      <c r="F7" s="313">
        <v>41.745833333333323</v>
      </c>
      <c r="G7" s="313">
        <v>6.4124999999999996</v>
      </c>
      <c r="H7" s="313">
        <v>85.383333333333326</v>
      </c>
      <c r="I7" s="313">
        <v>0.97500000000000142</v>
      </c>
      <c r="J7" s="313">
        <v>139.94583333333335</v>
      </c>
      <c r="K7" s="313">
        <v>0</v>
      </c>
      <c r="L7" s="313">
        <v>198.97083333333333</v>
      </c>
      <c r="M7" s="313">
        <v>0</v>
      </c>
      <c r="N7" s="313">
        <v>258.97083333333342</v>
      </c>
      <c r="O7" s="313">
        <v>0</v>
      </c>
      <c r="P7" s="313">
        <v>318.97083333333336</v>
      </c>
      <c r="Q7" s="383">
        <v>18.632361111111106</v>
      </c>
      <c r="S7" s="3"/>
      <c r="T7" s="3"/>
      <c r="U7" s="3"/>
      <c r="V7" s="3"/>
      <c r="W7" s="3"/>
      <c r="X7" s="3"/>
      <c r="Y7" s="3"/>
      <c r="Z7" s="3"/>
      <c r="AA7" s="3"/>
      <c r="AB7" s="3"/>
      <c r="BA7" s="413">
        <f t="shared" si="69"/>
        <v>2018</v>
      </c>
      <c r="BB7" s="414">
        <f t="shared" si="70"/>
        <v>812.53750000000002</v>
      </c>
      <c r="BC7" s="414">
        <f t="shared" si="61"/>
        <v>632.49583333333328</v>
      </c>
      <c r="BD7" s="414">
        <f t="shared" si="61"/>
        <v>629.27916666666681</v>
      </c>
      <c r="BE7" s="414">
        <f t="shared" si="61"/>
        <v>512.51666666666677</v>
      </c>
      <c r="BF7" s="414">
        <f t="shared" si="61"/>
        <v>140.84469696969697</v>
      </c>
      <c r="BG7" s="414">
        <f t="shared" si="61"/>
        <v>63.468560606060585</v>
      </c>
      <c r="BH7" s="414">
        <f t="shared" si="61"/>
        <v>4.9668995859213254</v>
      </c>
      <c r="BI7" s="414">
        <f t="shared" si="61"/>
        <v>7.2291666666666679</v>
      </c>
      <c r="BJ7" s="414">
        <f t="shared" si="61"/>
        <v>92.370833333333337</v>
      </c>
      <c r="BK7" s="414">
        <f t="shared" si="61"/>
        <v>364.80833333333339</v>
      </c>
      <c r="BL7" s="414">
        <f t="shared" si="61"/>
        <v>563.52499999999998</v>
      </c>
      <c r="BM7" s="414">
        <f t="shared" si="61"/>
        <v>646.91666666666663</v>
      </c>
      <c r="BN7" s="413"/>
      <c r="BO7" s="413">
        <f t="shared" si="71"/>
        <v>2018</v>
      </c>
      <c r="BP7" s="414">
        <f t="shared" si="72"/>
        <v>750.53750000000002</v>
      </c>
      <c r="BQ7" s="414">
        <f t="shared" si="62"/>
        <v>576.49583333333317</v>
      </c>
      <c r="BR7" s="414">
        <f t="shared" si="62"/>
        <v>567.2791666666667</v>
      </c>
      <c r="BS7" s="414">
        <f t="shared" si="62"/>
        <v>452.51666666666677</v>
      </c>
      <c r="BT7" s="414">
        <f t="shared" si="62"/>
        <v>95.407196969696969</v>
      </c>
      <c r="BU7" s="414">
        <f t="shared" si="62"/>
        <v>23.060227272727261</v>
      </c>
      <c r="BV7" s="414">
        <f t="shared" si="62"/>
        <v>0.19999999999999574</v>
      </c>
      <c r="BW7" s="414">
        <f t="shared" si="62"/>
        <v>0.90833333333333144</v>
      </c>
      <c r="BX7" s="414">
        <f t="shared" si="62"/>
        <v>59.1875</v>
      </c>
      <c r="BY7" s="414">
        <f t="shared" si="62"/>
        <v>305.10000000000002</v>
      </c>
      <c r="BZ7" s="414">
        <f t="shared" si="62"/>
        <v>503.52500000000003</v>
      </c>
      <c r="CA7" s="414">
        <f t="shared" si="62"/>
        <v>584.91666666666663</v>
      </c>
      <c r="CB7" s="513">
        <f t="shared" si="63"/>
        <v>3919.1340909090909</v>
      </c>
      <c r="CC7" s="413">
        <f t="shared" si="73"/>
        <v>2018</v>
      </c>
      <c r="CD7" s="414">
        <f t="shared" si="74"/>
        <v>688.53749999999991</v>
      </c>
      <c r="CE7" s="414">
        <f t="shared" si="64"/>
        <v>520.49583333333328</v>
      </c>
      <c r="CF7" s="414">
        <f t="shared" si="64"/>
        <v>505.2791666666667</v>
      </c>
      <c r="CG7" s="414">
        <f t="shared" si="64"/>
        <v>392.51666666666677</v>
      </c>
      <c r="CH7" s="414">
        <f t="shared" si="64"/>
        <v>53.462500000000013</v>
      </c>
      <c r="CI7" s="414">
        <f t="shared" si="64"/>
        <v>7.645833333333325</v>
      </c>
      <c r="CJ7" s="414">
        <f t="shared" si="64"/>
        <v>0</v>
      </c>
      <c r="CK7" s="414">
        <f t="shared" si="64"/>
        <v>0</v>
      </c>
      <c r="CL7" s="414">
        <f t="shared" si="64"/>
        <v>33.279166666666669</v>
      </c>
      <c r="CM7" s="414">
        <f t="shared" si="64"/>
        <v>248.88749999999993</v>
      </c>
      <c r="CN7" s="414">
        <f t="shared" si="64"/>
        <v>443.52500000000003</v>
      </c>
      <c r="CO7" s="414">
        <f t="shared" si="64"/>
        <v>522.91666666666663</v>
      </c>
      <c r="CP7" s="413"/>
      <c r="CQ7" s="413">
        <f t="shared" si="75"/>
        <v>2018</v>
      </c>
      <c r="CR7" s="414">
        <f t="shared" si="76"/>
        <v>626.53750000000002</v>
      </c>
      <c r="CS7" s="414">
        <f t="shared" si="65"/>
        <v>464.49583333333334</v>
      </c>
      <c r="CT7" s="414">
        <f t="shared" si="65"/>
        <v>443.2791666666667</v>
      </c>
      <c r="CU7" s="414">
        <f t="shared" si="65"/>
        <v>332.51666666666671</v>
      </c>
      <c r="CV7" s="414">
        <f t="shared" si="65"/>
        <v>22.062500000000014</v>
      </c>
      <c r="CW7" s="414">
        <f t="shared" si="65"/>
        <v>3.3208333333333275</v>
      </c>
      <c r="CX7" s="414">
        <f t="shared" si="65"/>
        <v>0</v>
      </c>
      <c r="CY7" s="414">
        <f t="shared" si="65"/>
        <v>0</v>
      </c>
      <c r="CZ7" s="414">
        <f t="shared" si="65"/>
        <v>13.695833333333338</v>
      </c>
      <c r="DA7" s="414">
        <f t="shared" si="65"/>
        <v>194.17916666666662</v>
      </c>
      <c r="DB7" s="414">
        <f t="shared" si="65"/>
        <v>383.52500000000003</v>
      </c>
      <c r="DC7" s="414">
        <f t="shared" si="65"/>
        <v>460.91666666666657</v>
      </c>
      <c r="DD7" s="413"/>
      <c r="DE7" s="413">
        <f t="shared" si="77"/>
        <v>2018</v>
      </c>
      <c r="DF7" s="414">
        <f t="shared" si="78"/>
        <v>564.53750000000002</v>
      </c>
      <c r="DG7" s="414">
        <f t="shared" si="66"/>
        <v>408.49583333333334</v>
      </c>
      <c r="DH7" s="414">
        <f t="shared" si="66"/>
        <v>381.27916666666664</v>
      </c>
      <c r="DI7" s="414">
        <f t="shared" si="66"/>
        <v>272.51666666666665</v>
      </c>
      <c r="DJ7" s="414">
        <f t="shared" si="66"/>
        <v>6.9291666666666698</v>
      </c>
      <c r="DK7" s="414">
        <f t="shared" si="66"/>
        <v>0</v>
      </c>
      <c r="DL7" s="414">
        <f t="shared" si="66"/>
        <v>0</v>
      </c>
      <c r="DM7" s="414">
        <f t="shared" si="66"/>
        <v>0</v>
      </c>
      <c r="DN7" s="414">
        <f t="shared" si="66"/>
        <v>2.1166666666666636</v>
      </c>
      <c r="DO7" s="414">
        <f t="shared" si="66"/>
        <v>142.14999999999998</v>
      </c>
      <c r="DP7" s="414">
        <f t="shared" si="66"/>
        <v>323.52500000000003</v>
      </c>
      <c r="DQ7" s="414">
        <f t="shared" si="66"/>
        <v>398.91666666666657</v>
      </c>
      <c r="DR7" s="413"/>
      <c r="DS7" s="413">
        <f t="shared" si="79"/>
        <v>2018</v>
      </c>
      <c r="DT7" s="414">
        <f t="shared" si="80"/>
        <v>502.53750000000002</v>
      </c>
      <c r="DU7" s="414">
        <f t="shared" si="67"/>
        <v>352.49583333333334</v>
      </c>
      <c r="DV7" s="414">
        <f t="shared" si="67"/>
        <v>319.2791666666667</v>
      </c>
      <c r="DW7" s="414">
        <f t="shared" si="67"/>
        <v>212.57916666666659</v>
      </c>
      <c r="DX7" s="414">
        <f t="shared" si="67"/>
        <v>2.7874999999999988</v>
      </c>
      <c r="DY7" s="414">
        <f t="shared" si="67"/>
        <v>0</v>
      </c>
      <c r="DZ7" s="414">
        <f t="shared" si="67"/>
        <v>0</v>
      </c>
      <c r="EA7" s="414">
        <f t="shared" si="67"/>
        <v>0</v>
      </c>
      <c r="EB7" s="414">
        <f t="shared" si="67"/>
        <v>0</v>
      </c>
      <c r="EC7" s="414">
        <f t="shared" si="67"/>
        <v>96.316666666666663</v>
      </c>
      <c r="ED7" s="414">
        <f t="shared" si="67"/>
        <v>263.86666666666662</v>
      </c>
      <c r="EE7" s="414">
        <f t="shared" si="67"/>
        <v>336.91666666666657</v>
      </c>
      <c r="EF7" s="413"/>
      <c r="EG7" s="413">
        <f t="shared" si="81"/>
        <v>2018</v>
      </c>
      <c r="EH7" s="414">
        <f t="shared" si="82"/>
        <v>440.53750000000002</v>
      </c>
      <c r="EI7" s="414">
        <f t="shared" si="68"/>
        <v>296.49583333333334</v>
      </c>
      <c r="EJ7" s="414">
        <f t="shared" si="68"/>
        <v>257.2791666666667</v>
      </c>
      <c r="EK7" s="414">
        <f t="shared" si="68"/>
        <v>158.6666666666666</v>
      </c>
      <c r="EL7" s="414">
        <f t="shared" si="68"/>
        <v>0.50416666666666554</v>
      </c>
      <c r="EM7" s="414">
        <f t="shared" si="68"/>
        <v>0</v>
      </c>
      <c r="EN7" s="414">
        <f t="shared" si="68"/>
        <v>0</v>
      </c>
      <c r="EO7" s="414">
        <f t="shared" si="68"/>
        <v>0</v>
      </c>
      <c r="EP7" s="414">
        <f t="shared" si="68"/>
        <v>0</v>
      </c>
      <c r="EQ7" s="414">
        <f t="shared" si="68"/>
        <v>55.56666666666667</v>
      </c>
      <c r="ER7" s="414">
        <f t="shared" si="68"/>
        <v>206.24583333333334</v>
      </c>
      <c r="ES7" s="414">
        <f t="shared" si="68"/>
        <v>274.91666666666663</v>
      </c>
    </row>
    <row r="8" spans="1:169">
      <c r="A8">
        <v>2014</v>
      </c>
      <c r="B8">
        <v>7</v>
      </c>
      <c r="C8" s="313">
        <v>44.441666666666691</v>
      </c>
      <c r="D8" s="313">
        <v>20.045833333333324</v>
      </c>
      <c r="E8" s="313">
        <v>9.9666666666666774</v>
      </c>
      <c r="F8" s="313">
        <v>47.570833333333312</v>
      </c>
      <c r="G8" s="313">
        <v>8.333333333334636E-3</v>
      </c>
      <c r="H8" s="313">
        <v>99.612499999999969</v>
      </c>
      <c r="I8" s="313">
        <v>0</v>
      </c>
      <c r="J8" s="313">
        <v>161.60416666666666</v>
      </c>
      <c r="K8" s="313">
        <v>0</v>
      </c>
      <c r="L8" s="313">
        <v>223.6041666666666</v>
      </c>
      <c r="M8" s="313">
        <v>0</v>
      </c>
      <c r="N8" s="313">
        <v>285.60416666666657</v>
      </c>
      <c r="O8" s="313">
        <v>0</v>
      </c>
      <c r="P8" s="313">
        <v>347.60416666666657</v>
      </c>
      <c r="Q8" s="383">
        <v>19.213037634408604</v>
      </c>
      <c r="S8" s="3"/>
      <c r="T8" s="3"/>
      <c r="U8" s="3"/>
      <c r="V8" s="3"/>
      <c r="W8" s="3"/>
      <c r="X8" s="3"/>
      <c r="Y8" s="3"/>
      <c r="Z8" s="3"/>
      <c r="AA8" s="3"/>
      <c r="AB8" s="3"/>
      <c r="BA8" s="413">
        <f t="shared" si="69"/>
        <v>2019</v>
      </c>
      <c r="BB8" s="414">
        <f t="shared" si="70"/>
        <v>841.93333333333351</v>
      </c>
      <c r="BC8" s="414">
        <f t="shared" si="61"/>
        <v>695.30416666666645</v>
      </c>
      <c r="BD8" s="414">
        <f t="shared" si="61"/>
        <v>673.45833333333326</v>
      </c>
      <c r="BE8" s="414">
        <f t="shared" si="61"/>
        <v>426.6541666666667</v>
      </c>
      <c r="BF8" s="414">
        <f t="shared" si="61"/>
        <v>267.53464912280702</v>
      </c>
      <c r="BG8" s="414">
        <f t="shared" si="61"/>
        <v>80.695833333333368</v>
      </c>
      <c r="BH8" s="414">
        <f t="shared" si="61"/>
        <v>0.97500000000000497</v>
      </c>
      <c r="BI8" s="414">
        <f t="shared" si="61"/>
        <v>19.091666666666661</v>
      </c>
      <c r="BJ8" s="414">
        <f t="shared" si="61"/>
        <v>113.56666666666666</v>
      </c>
      <c r="BK8" s="414">
        <f t="shared" si="61"/>
        <v>303.96666666666664</v>
      </c>
      <c r="BL8" s="414">
        <f t="shared" si="61"/>
        <v>589.72500000000002</v>
      </c>
      <c r="BM8" s="414">
        <f t="shared" si="61"/>
        <v>676.42916666666656</v>
      </c>
      <c r="BN8" s="413"/>
      <c r="BO8" s="413">
        <f t="shared" si="71"/>
        <v>2019</v>
      </c>
      <c r="BP8" s="414">
        <f t="shared" si="72"/>
        <v>779.93333333333351</v>
      </c>
      <c r="BQ8" s="414">
        <f t="shared" si="62"/>
        <v>639.30416666666645</v>
      </c>
      <c r="BR8" s="414">
        <f t="shared" si="62"/>
        <v>611.45833333333337</v>
      </c>
      <c r="BS8" s="414">
        <f t="shared" si="62"/>
        <v>366.65416666666664</v>
      </c>
      <c r="BT8" s="414">
        <f t="shared" si="62"/>
        <v>205.53464912280697</v>
      </c>
      <c r="BU8" s="414">
        <f t="shared" si="62"/>
        <v>46.120833333333351</v>
      </c>
      <c r="BV8" s="414">
        <f t="shared" si="62"/>
        <v>0</v>
      </c>
      <c r="BW8" s="414">
        <f t="shared" si="62"/>
        <v>4.645833333333325</v>
      </c>
      <c r="BX8" s="414">
        <f t="shared" si="62"/>
        <v>62.054166666666653</v>
      </c>
      <c r="BY8" s="414">
        <f t="shared" si="62"/>
        <v>243.77916666666664</v>
      </c>
      <c r="BZ8" s="414">
        <f t="shared" si="62"/>
        <v>529.72500000000002</v>
      </c>
      <c r="CA8" s="414">
        <f t="shared" si="62"/>
        <v>614.42916666666667</v>
      </c>
      <c r="CB8" s="513">
        <f t="shared" si="63"/>
        <v>4103.6388157894735</v>
      </c>
      <c r="CC8" s="413">
        <f t="shared" si="73"/>
        <v>2019</v>
      </c>
      <c r="CD8" s="414">
        <f t="shared" si="74"/>
        <v>717.93333333333339</v>
      </c>
      <c r="CE8" s="414">
        <f t="shared" si="64"/>
        <v>583.30416666666656</v>
      </c>
      <c r="CF8" s="414">
        <f t="shared" si="64"/>
        <v>549.45833333333326</v>
      </c>
      <c r="CG8" s="414">
        <f t="shared" si="64"/>
        <v>306.65416666666664</v>
      </c>
      <c r="CH8" s="414">
        <f t="shared" si="64"/>
        <v>145.93881578947367</v>
      </c>
      <c r="CI8" s="414">
        <f t="shared" si="64"/>
        <v>21.925000000000018</v>
      </c>
      <c r="CJ8" s="414">
        <f t="shared" si="64"/>
        <v>0</v>
      </c>
      <c r="CK8" s="414">
        <f t="shared" si="64"/>
        <v>0</v>
      </c>
      <c r="CL8" s="414">
        <f t="shared" si="64"/>
        <v>21.004166666666656</v>
      </c>
      <c r="CM8" s="414">
        <f t="shared" si="64"/>
        <v>183.7791666666667</v>
      </c>
      <c r="CN8" s="414">
        <f t="shared" si="64"/>
        <v>469.72499999999997</v>
      </c>
      <c r="CO8" s="414">
        <f t="shared" si="64"/>
        <v>552.42916666666667</v>
      </c>
      <c r="CP8" s="413"/>
      <c r="CQ8" s="413">
        <f t="shared" si="75"/>
        <v>2019</v>
      </c>
      <c r="CR8" s="414">
        <f t="shared" si="76"/>
        <v>655.93333333333339</v>
      </c>
      <c r="CS8" s="414">
        <f t="shared" si="65"/>
        <v>527.30416666666656</v>
      </c>
      <c r="CT8" s="414">
        <f t="shared" si="65"/>
        <v>487.45833333333331</v>
      </c>
      <c r="CU8" s="414">
        <f t="shared" si="65"/>
        <v>246.6541666666667</v>
      </c>
      <c r="CV8" s="414">
        <f t="shared" si="65"/>
        <v>92.742982456140368</v>
      </c>
      <c r="CW8" s="414">
        <f t="shared" si="65"/>
        <v>9.0750000000000011</v>
      </c>
      <c r="CX8" s="414">
        <f t="shared" si="65"/>
        <v>0</v>
      </c>
      <c r="CY8" s="414">
        <f t="shared" si="65"/>
        <v>0</v>
      </c>
      <c r="CZ8" s="414">
        <f t="shared" si="65"/>
        <v>4.9833333333333325</v>
      </c>
      <c r="DA8" s="414">
        <f t="shared" si="65"/>
        <v>125.30000000000004</v>
      </c>
      <c r="DB8" s="414">
        <f t="shared" si="65"/>
        <v>409.72499999999997</v>
      </c>
      <c r="DC8" s="414">
        <f t="shared" si="65"/>
        <v>490.42916666666656</v>
      </c>
      <c r="DD8" s="413"/>
      <c r="DE8" s="413">
        <f t="shared" si="77"/>
        <v>2019</v>
      </c>
      <c r="DF8" s="414">
        <f t="shared" si="78"/>
        <v>593.93333333333339</v>
      </c>
      <c r="DG8" s="414">
        <f t="shared" si="66"/>
        <v>471.30416666666662</v>
      </c>
      <c r="DH8" s="414">
        <f t="shared" si="66"/>
        <v>425.45833333333326</v>
      </c>
      <c r="DI8" s="414">
        <f t="shared" si="66"/>
        <v>187.50000000000003</v>
      </c>
      <c r="DJ8" s="414">
        <f t="shared" si="66"/>
        <v>47.113815789473684</v>
      </c>
      <c r="DK8" s="414">
        <f t="shared" si="66"/>
        <v>3.9291666666666671</v>
      </c>
      <c r="DL8" s="414">
        <f t="shared" si="66"/>
        <v>0</v>
      </c>
      <c r="DM8" s="414">
        <f t="shared" si="66"/>
        <v>0</v>
      </c>
      <c r="DN8" s="414">
        <f t="shared" si="66"/>
        <v>0.4208333333333325</v>
      </c>
      <c r="DO8" s="414">
        <f t="shared" si="66"/>
        <v>72.637500000000017</v>
      </c>
      <c r="DP8" s="414">
        <f t="shared" si="66"/>
        <v>349.72499999999997</v>
      </c>
      <c r="DQ8" s="414">
        <f t="shared" si="66"/>
        <v>428.42916666666656</v>
      </c>
      <c r="DR8" s="413"/>
      <c r="DS8" s="413">
        <f t="shared" si="79"/>
        <v>2019</v>
      </c>
      <c r="DT8" s="414">
        <f t="shared" si="80"/>
        <v>531.93333333333328</v>
      </c>
      <c r="DU8" s="414">
        <f t="shared" si="67"/>
        <v>415.30416666666656</v>
      </c>
      <c r="DV8" s="414">
        <f t="shared" si="67"/>
        <v>363.45833333333326</v>
      </c>
      <c r="DW8" s="414">
        <f t="shared" si="67"/>
        <v>129.53333333333336</v>
      </c>
      <c r="DX8" s="414">
        <f t="shared" si="67"/>
        <v>21.337500000000002</v>
      </c>
      <c r="DY8" s="414">
        <f t="shared" si="67"/>
        <v>0.97916666666666963</v>
      </c>
      <c r="DZ8" s="414">
        <f t="shared" si="67"/>
        <v>0</v>
      </c>
      <c r="EA8" s="414">
        <f t="shared" si="67"/>
        <v>0</v>
      </c>
      <c r="EB8" s="414">
        <f t="shared" si="67"/>
        <v>0</v>
      </c>
      <c r="EC8" s="414">
        <f t="shared" si="67"/>
        <v>31.19583333333334</v>
      </c>
      <c r="ED8" s="414">
        <f t="shared" si="67"/>
        <v>289.72499999999997</v>
      </c>
      <c r="EE8" s="414">
        <f t="shared" si="67"/>
        <v>366.42916666666656</v>
      </c>
      <c r="EF8" s="413"/>
      <c r="EG8" s="413">
        <f t="shared" si="81"/>
        <v>2019</v>
      </c>
      <c r="EH8" s="414">
        <f t="shared" si="82"/>
        <v>469.93333333333328</v>
      </c>
      <c r="EI8" s="414">
        <f t="shared" si="68"/>
        <v>359.30416666666662</v>
      </c>
      <c r="EJ8" s="414">
        <f t="shared" si="68"/>
        <v>301.45833333333326</v>
      </c>
      <c r="EK8" s="414">
        <f t="shared" si="68"/>
        <v>81.245833333333351</v>
      </c>
      <c r="EL8" s="414">
        <f t="shared" si="68"/>
        <v>5.4041666666666659</v>
      </c>
      <c r="EM8" s="414">
        <f t="shared" si="68"/>
        <v>0</v>
      </c>
      <c r="EN8" s="414">
        <f t="shared" si="68"/>
        <v>0</v>
      </c>
      <c r="EO8" s="414">
        <f t="shared" si="68"/>
        <v>0</v>
      </c>
      <c r="EP8" s="414">
        <f t="shared" si="68"/>
        <v>0</v>
      </c>
      <c r="EQ8" s="414">
        <f t="shared" si="68"/>
        <v>8.0666666666666664</v>
      </c>
      <c r="ER8" s="414">
        <f t="shared" si="68"/>
        <v>229.72499999999999</v>
      </c>
      <c r="ES8" s="414">
        <f t="shared" si="68"/>
        <v>304.42916666666662</v>
      </c>
    </row>
    <row r="9" spans="1:169">
      <c r="A9">
        <v>2014</v>
      </c>
      <c r="B9">
        <v>8</v>
      </c>
      <c r="C9" s="313">
        <v>43.762500000000003</v>
      </c>
      <c r="D9" s="313">
        <v>13.233333333333348</v>
      </c>
      <c r="E9" s="313">
        <v>18.450000000000006</v>
      </c>
      <c r="F9" s="313">
        <v>49.920833333333348</v>
      </c>
      <c r="G9" s="313">
        <v>4.9875000000000025</v>
      </c>
      <c r="H9" s="313">
        <v>98.458333333333343</v>
      </c>
      <c r="I9" s="313">
        <v>0.6708333333333325</v>
      </c>
      <c r="J9" s="313">
        <v>156.14166666666665</v>
      </c>
      <c r="K9" s="313">
        <v>0</v>
      </c>
      <c r="L9" s="313">
        <v>217.47083333333336</v>
      </c>
      <c r="M9" s="313">
        <v>0</v>
      </c>
      <c r="N9" s="313">
        <v>279.47083333333336</v>
      </c>
      <c r="O9" s="313">
        <v>0</v>
      </c>
      <c r="P9" s="313">
        <v>341.4708333333333</v>
      </c>
      <c r="Q9" s="383">
        <v>19.015188172043011</v>
      </c>
      <c r="S9" s="3"/>
      <c r="T9" s="3"/>
      <c r="U9" s="3"/>
      <c r="V9" s="3"/>
      <c r="W9" s="3"/>
      <c r="X9" s="3"/>
      <c r="Y9" s="3"/>
      <c r="Z9" s="3"/>
      <c r="AA9" s="3"/>
      <c r="AB9" s="3"/>
      <c r="BA9" s="413">
        <f t="shared" si="69"/>
        <v>2020</v>
      </c>
      <c r="BB9" s="414">
        <f t="shared" si="70"/>
        <v>690.82083333333321</v>
      </c>
      <c r="BC9" s="414">
        <f t="shared" si="61"/>
        <v>678.4000000000002</v>
      </c>
      <c r="BD9" s="414">
        <f t="shared" si="61"/>
        <v>543.57083333333344</v>
      </c>
      <c r="BE9" s="414">
        <f t="shared" si="61"/>
        <v>439.67500000000013</v>
      </c>
      <c r="BF9" s="414">
        <f t="shared" si="61"/>
        <v>265.14107142857148</v>
      </c>
      <c r="BG9" s="414">
        <f t="shared" si="61"/>
        <v>53.275000000000006</v>
      </c>
      <c r="BH9" s="414">
        <f t="shared" si="61"/>
        <v>0</v>
      </c>
      <c r="BI9" s="414">
        <f t="shared" si="61"/>
        <v>19.720833333333321</v>
      </c>
      <c r="BJ9" s="414">
        <f t="shared" si="61"/>
        <v>132.75869565217394</v>
      </c>
      <c r="BK9" s="414">
        <f t="shared" si="61"/>
        <v>349.83333333333326</v>
      </c>
      <c r="BL9" s="414">
        <f t="shared" si="61"/>
        <v>426.30072463768113</v>
      </c>
      <c r="BM9" s="414">
        <f t="shared" si="61"/>
        <v>644.90416666666681</v>
      </c>
      <c r="BN9" s="413"/>
      <c r="BO9" s="413">
        <f t="shared" si="71"/>
        <v>2020</v>
      </c>
      <c r="BP9" s="414">
        <f t="shared" si="72"/>
        <v>628.82083333333333</v>
      </c>
      <c r="BQ9" s="414">
        <f t="shared" si="62"/>
        <v>620.40000000000009</v>
      </c>
      <c r="BR9" s="414">
        <f t="shared" si="62"/>
        <v>481.57083333333344</v>
      </c>
      <c r="BS9" s="414">
        <f t="shared" si="62"/>
        <v>379.67500000000013</v>
      </c>
      <c r="BT9" s="414">
        <f t="shared" si="62"/>
        <v>212.73690476190475</v>
      </c>
      <c r="BU9" s="414">
        <f t="shared" si="62"/>
        <v>29.733333333333348</v>
      </c>
      <c r="BV9" s="414">
        <f t="shared" si="62"/>
        <v>0</v>
      </c>
      <c r="BW9" s="414">
        <f t="shared" si="62"/>
        <v>3.4874999999999972</v>
      </c>
      <c r="BX9" s="414">
        <f t="shared" si="62"/>
        <v>85.042028985507244</v>
      </c>
      <c r="BY9" s="414">
        <f t="shared" si="62"/>
        <v>287.83333333333331</v>
      </c>
      <c r="BZ9" s="414">
        <f t="shared" si="62"/>
        <v>366.30072463768118</v>
      </c>
      <c r="CA9" s="414">
        <f t="shared" si="62"/>
        <v>582.90416666666681</v>
      </c>
      <c r="CB9" s="513">
        <f t="shared" si="63"/>
        <v>3678.5046583850935</v>
      </c>
      <c r="CC9" s="413">
        <f t="shared" si="73"/>
        <v>2020</v>
      </c>
      <c r="CD9" s="414">
        <f t="shared" si="74"/>
        <v>566.82083333333333</v>
      </c>
      <c r="CE9" s="414">
        <f t="shared" si="64"/>
        <v>562.4</v>
      </c>
      <c r="CF9" s="414">
        <f t="shared" si="64"/>
        <v>419.57083333333344</v>
      </c>
      <c r="CG9" s="414">
        <f t="shared" si="64"/>
        <v>319.67500000000007</v>
      </c>
      <c r="CH9" s="414">
        <f t="shared" si="64"/>
        <v>164.60000000000005</v>
      </c>
      <c r="CI9" s="414">
        <f t="shared" si="64"/>
        <v>13.145833333333346</v>
      </c>
      <c r="CJ9" s="414">
        <f t="shared" si="64"/>
        <v>0</v>
      </c>
      <c r="CK9" s="414">
        <f t="shared" si="64"/>
        <v>0</v>
      </c>
      <c r="CL9" s="414">
        <f t="shared" si="64"/>
        <v>46.033695652173925</v>
      </c>
      <c r="CM9" s="414">
        <f t="shared" si="64"/>
        <v>226.0625</v>
      </c>
      <c r="CN9" s="414">
        <f t="shared" si="64"/>
        <v>306.30072463768124</v>
      </c>
      <c r="CO9" s="414">
        <f t="shared" si="64"/>
        <v>520.90416666666681</v>
      </c>
      <c r="CP9" s="413"/>
      <c r="CQ9" s="413">
        <f t="shared" si="75"/>
        <v>2020</v>
      </c>
      <c r="CR9" s="414">
        <f t="shared" si="76"/>
        <v>504.82083333333333</v>
      </c>
      <c r="CS9" s="414">
        <f t="shared" si="65"/>
        <v>504.40000000000003</v>
      </c>
      <c r="CT9" s="414">
        <f t="shared" si="65"/>
        <v>357.57083333333344</v>
      </c>
      <c r="CU9" s="414">
        <f t="shared" si="65"/>
        <v>259.67500000000007</v>
      </c>
      <c r="CV9" s="414">
        <f t="shared" si="65"/>
        <v>122.05</v>
      </c>
      <c r="CW9" s="414">
        <f t="shared" si="65"/>
        <v>3.4333333333333353</v>
      </c>
      <c r="CX9" s="414">
        <f t="shared" si="65"/>
        <v>0</v>
      </c>
      <c r="CY9" s="414">
        <f t="shared" si="65"/>
        <v>0</v>
      </c>
      <c r="CZ9" s="414">
        <f t="shared" si="65"/>
        <v>23.967028985507248</v>
      </c>
      <c r="DA9" s="414">
        <f t="shared" si="65"/>
        <v>167.76250000000005</v>
      </c>
      <c r="DB9" s="414">
        <f t="shared" si="65"/>
        <v>246.30072463768118</v>
      </c>
      <c r="DC9" s="414">
        <f t="shared" si="65"/>
        <v>458.90416666666681</v>
      </c>
      <c r="DD9" s="413"/>
      <c r="DE9" s="413">
        <f t="shared" si="77"/>
        <v>2020</v>
      </c>
      <c r="DF9" s="414">
        <f t="shared" si="78"/>
        <v>442.82083333333327</v>
      </c>
      <c r="DG9" s="414">
        <f t="shared" si="66"/>
        <v>446.40000000000003</v>
      </c>
      <c r="DH9" s="414">
        <f t="shared" si="66"/>
        <v>295.57083333333338</v>
      </c>
      <c r="DI9" s="414">
        <f t="shared" si="66"/>
        <v>199.67500000000004</v>
      </c>
      <c r="DJ9" s="414">
        <f t="shared" si="66"/>
        <v>86.899999999999977</v>
      </c>
      <c r="DK9" s="414">
        <f t="shared" si="66"/>
        <v>0</v>
      </c>
      <c r="DL9" s="414">
        <f t="shared" si="66"/>
        <v>0</v>
      </c>
      <c r="DM9" s="414">
        <f t="shared" si="66"/>
        <v>0</v>
      </c>
      <c r="DN9" s="414">
        <f t="shared" si="66"/>
        <v>8.9666666666666686</v>
      </c>
      <c r="DO9" s="414">
        <f t="shared" si="66"/>
        <v>112.09583333333335</v>
      </c>
      <c r="DP9" s="414">
        <f t="shared" si="66"/>
        <v>188.12989130434778</v>
      </c>
      <c r="DQ9" s="414">
        <f t="shared" si="66"/>
        <v>396.9041666666667</v>
      </c>
      <c r="DR9" s="413"/>
      <c r="DS9" s="413">
        <f t="shared" si="79"/>
        <v>2020</v>
      </c>
      <c r="DT9" s="414">
        <f t="shared" si="80"/>
        <v>380.82083333333333</v>
      </c>
      <c r="DU9" s="414">
        <f t="shared" si="67"/>
        <v>388.40000000000003</v>
      </c>
      <c r="DV9" s="414">
        <f t="shared" si="67"/>
        <v>233.60833333333338</v>
      </c>
      <c r="DW9" s="414">
        <f t="shared" si="67"/>
        <v>141.82916666666665</v>
      </c>
      <c r="DX9" s="414">
        <f t="shared" si="67"/>
        <v>59.029166666666669</v>
      </c>
      <c r="DY9" s="414">
        <f t="shared" si="67"/>
        <v>0</v>
      </c>
      <c r="DZ9" s="414">
        <f t="shared" si="67"/>
        <v>0</v>
      </c>
      <c r="EA9" s="414">
        <f t="shared" si="67"/>
        <v>0</v>
      </c>
      <c r="EB9" s="414">
        <f t="shared" si="67"/>
        <v>2.2333333333333343</v>
      </c>
      <c r="EC9" s="414">
        <f t="shared" si="67"/>
        <v>71.3</v>
      </c>
      <c r="ED9" s="414">
        <f t="shared" si="67"/>
        <v>136.26322463768113</v>
      </c>
      <c r="EE9" s="414">
        <f t="shared" si="67"/>
        <v>334.90416666666664</v>
      </c>
      <c r="EF9" s="413"/>
      <c r="EG9" s="413">
        <f t="shared" si="81"/>
        <v>2020</v>
      </c>
      <c r="EH9" s="414">
        <f t="shared" si="82"/>
        <v>318.82083333333333</v>
      </c>
      <c r="EI9" s="414">
        <f t="shared" si="68"/>
        <v>330.40000000000003</v>
      </c>
      <c r="EJ9" s="414">
        <f t="shared" si="68"/>
        <v>174.47500000000005</v>
      </c>
      <c r="EK9" s="414">
        <f t="shared" si="68"/>
        <v>89.183333333333337</v>
      </c>
      <c r="EL9" s="414">
        <f t="shared" si="68"/>
        <v>36.524999999999999</v>
      </c>
      <c r="EM9" s="414">
        <f t="shared" si="68"/>
        <v>0</v>
      </c>
      <c r="EN9" s="414">
        <f t="shared" si="68"/>
        <v>0</v>
      </c>
      <c r="EO9" s="414">
        <f t="shared" si="68"/>
        <v>0</v>
      </c>
      <c r="EP9" s="414">
        <f t="shared" si="68"/>
        <v>0</v>
      </c>
      <c r="EQ9" s="414">
        <f t="shared" si="68"/>
        <v>38.454166666666666</v>
      </c>
      <c r="ER9" s="414">
        <f t="shared" si="68"/>
        <v>92.875724637681159</v>
      </c>
      <c r="ES9" s="414">
        <f t="shared" si="68"/>
        <v>272.9041666666667</v>
      </c>
    </row>
    <row r="10" spans="1:169">
      <c r="A10">
        <v>2014</v>
      </c>
      <c r="B10">
        <v>9</v>
      </c>
      <c r="C10" s="313">
        <v>135.82499999999999</v>
      </c>
      <c r="D10" s="313">
        <v>5.1333333333333293</v>
      </c>
      <c r="E10" s="313">
        <v>88.55</v>
      </c>
      <c r="F10" s="313">
        <v>17.858333333333327</v>
      </c>
      <c r="G10" s="313">
        <v>51.670833333333341</v>
      </c>
      <c r="H10" s="313">
        <v>40.979166666666657</v>
      </c>
      <c r="I10" s="313">
        <v>28.333333333333329</v>
      </c>
      <c r="J10" s="313">
        <v>77.641666666666652</v>
      </c>
      <c r="K10" s="313">
        <v>11.749999999999998</v>
      </c>
      <c r="L10" s="313">
        <v>121.05833333333331</v>
      </c>
      <c r="M10" s="313">
        <v>1.4374999999999964</v>
      </c>
      <c r="N10" s="313">
        <v>170.74583333333334</v>
      </c>
      <c r="O10" s="313">
        <v>0</v>
      </c>
      <c r="P10" s="313">
        <v>229.30833333333334</v>
      </c>
      <c r="Q10" s="383">
        <v>15.643611111111113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BA10" s="413">
        <f t="shared" si="69"/>
        <v>2021</v>
      </c>
      <c r="BB10" s="414">
        <f t="shared" si="70"/>
        <v>715.50416666666661</v>
      </c>
      <c r="BC10" s="414">
        <f t="shared" si="61"/>
        <v>709.45416666666654</v>
      </c>
      <c r="BD10" s="414">
        <f t="shared" si="61"/>
        <v>554.59637681159427</v>
      </c>
      <c r="BE10" s="414">
        <f t="shared" si="61"/>
        <v>379.79583333333329</v>
      </c>
      <c r="BF10" s="414">
        <f t="shared" si="61"/>
        <v>221.92222222222222</v>
      </c>
      <c r="BG10" s="414">
        <f t="shared" si="61"/>
        <v>36.066666666666677</v>
      </c>
      <c r="BH10" s="414">
        <f t="shared" si="61"/>
        <v>25.516666666666669</v>
      </c>
      <c r="BI10" s="414">
        <f t="shared" si="61"/>
        <v>8.524999999999995</v>
      </c>
      <c r="BJ10" s="414">
        <f t="shared" si="61"/>
        <v>93.104166666666671</v>
      </c>
      <c r="BK10" s="414">
        <f t="shared" si="61"/>
        <v>214.18749999999994</v>
      </c>
      <c r="BL10" s="414">
        <f t="shared" si="61"/>
        <v>506.31260351966881</v>
      </c>
      <c r="BM10" s="414">
        <f t="shared" si="61"/>
        <v>595.04583333333335</v>
      </c>
      <c r="BN10" s="413"/>
      <c r="BO10" s="413">
        <f t="shared" si="71"/>
        <v>2021</v>
      </c>
      <c r="BP10" s="414">
        <f t="shared" si="72"/>
        <v>653.50416666666661</v>
      </c>
      <c r="BQ10" s="414">
        <f t="shared" si="62"/>
        <v>653.45416666666654</v>
      </c>
      <c r="BR10" s="414">
        <f t="shared" si="62"/>
        <v>492.59637681159415</v>
      </c>
      <c r="BS10" s="414">
        <f t="shared" si="62"/>
        <v>319.79583333333329</v>
      </c>
      <c r="BT10" s="414">
        <f t="shared" si="62"/>
        <v>173.64305555555555</v>
      </c>
      <c r="BU10" s="414">
        <f t="shared" si="62"/>
        <v>14.254166666666677</v>
      </c>
      <c r="BV10" s="414">
        <f t="shared" si="62"/>
        <v>5.3541666666666572</v>
      </c>
      <c r="BW10" s="414">
        <f t="shared" si="62"/>
        <v>0.69166666666666643</v>
      </c>
      <c r="BX10" s="414">
        <f t="shared" si="62"/>
        <v>45.679166666666674</v>
      </c>
      <c r="BY10" s="414">
        <f t="shared" si="62"/>
        <v>153.47499999999997</v>
      </c>
      <c r="BZ10" s="414">
        <f t="shared" si="62"/>
        <v>446.3126035196687</v>
      </c>
      <c r="CA10" s="414">
        <f t="shared" si="62"/>
        <v>533.04583333333346</v>
      </c>
      <c r="CB10" s="513">
        <f t="shared" si="63"/>
        <v>3491.806202553485</v>
      </c>
      <c r="CC10" s="413">
        <f t="shared" si="73"/>
        <v>2021</v>
      </c>
      <c r="CD10" s="414">
        <f t="shared" si="74"/>
        <v>591.50416666666661</v>
      </c>
      <c r="CE10" s="414">
        <f t="shared" si="64"/>
        <v>597.45416666666665</v>
      </c>
      <c r="CF10" s="414">
        <f t="shared" si="64"/>
        <v>430.59637681159427</v>
      </c>
      <c r="CG10" s="414">
        <f t="shared" si="64"/>
        <v>260.00833333333338</v>
      </c>
      <c r="CH10" s="414">
        <f t="shared" si="64"/>
        <v>127.04305555555555</v>
      </c>
      <c r="CI10" s="414">
        <f t="shared" si="64"/>
        <v>3.2708333333333357</v>
      </c>
      <c r="CJ10" s="414">
        <f t="shared" si="64"/>
        <v>0.74583333333333002</v>
      </c>
      <c r="CK10" s="414">
        <f t="shared" si="64"/>
        <v>0</v>
      </c>
      <c r="CL10" s="414">
        <f t="shared" si="64"/>
        <v>20.066666666666677</v>
      </c>
      <c r="CM10" s="414">
        <f t="shared" si="64"/>
        <v>108.43333333333334</v>
      </c>
      <c r="CN10" s="414">
        <f t="shared" si="64"/>
        <v>386.3126035196687</v>
      </c>
      <c r="CO10" s="414">
        <f t="shared" si="64"/>
        <v>471.04583333333335</v>
      </c>
      <c r="CP10" s="413"/>
      <c r="CQ10" s="413">
        <f t="shared" si="75"/>
        <v>2021</v>
      </c>
      <c r="CR10" s="414">
        <f t="shared" si="76"/>
        <v>529.50416666666661</v>
      </c>
      <c r="CS10" s="414">
        <f t="shared" si="65"/>
        <v>541.45416666666677</v>
      </c>
      <c r="CT10" s="414">
        <f t="shared" si="65"/>
        <v>368.59637681159427</v>
      </c>
      <c r="CU10" s="414">
        <f t="shared" si="65"/>
        <v>203.50416666666672</v>
      </c>
      <c r="CV10" s="414">
        <f t="shared" si="65"/>
        <v>83.376388888888897</v>
      </c>
      <c r="CW10" s="414">
        <f t="shared" si="65"/>
        <v>0</v>
      </c>
      <c r="CX10" s="414">
        <f t="shared" si="65"/>
        <v>0</v>
      </c>
      <c r="CY10" s="414">
        <f t="shared" si="65"/>
        <v>0</v>
      </c>
      <c r="CZ10" s="414">
        <f t="shared" si="65"/>
        <v>5.9833333333333432</v>
      </c>
      <c r="DA10" s="414">
        <f t="shared" si="65"/>
        <v>72.749999999999986</v>
      </c>
      <c r="DB10" s="414">
        <f t="shared" si="65"/>
        <v>326.31260351966864</v>
      </c>
      <c r="DC10" s="414">
        <f t="shared" si="65"/>
        <v>409.04583333333335</v>
      </c>
      <c r="DD10" s="413"/>
      <c r="DE10" s="413">
        <f t="shared" si="77"/>
        <v>2021</v>
      </c>
      <c r="DF10" s="414">
        <f t="shared" si="78"/>
        <v>467.50416666666661</v>
      </c>
      <c r="DG10" s="414">
        <f t="shared" si="66"/>
        <v>485.45416666666677</v>
      </c>
      <c r="DH10" s="414">
        <f t="shared" si="66"/>
        <v>306.89221014492756</v>
      </c>
      <c r="DI10" s="414">
        <f t="shared" si="66"/>
        <v>150.85000000000002</v>
      </c>
      <c r="DJ10" s="414">
        <f t="shared" si="66"/>
        <v>50.724999999999987</v>
      </c>
      <c r="DK10" s="414">
        <f t="shared" si="66"/>
        <v>0</v>
      </c>
      <c r="DL10" s="414">
        <f t="shared" si="66"/>
        <v>0</v>
      </c>
      <c r="DM10" s="414">
        <f t="shared" si="66"/>
        <v>0</v>
      </c>
      <c r="DN10" s="414">
        <f t="shared" si="66"/>
        <v>0.28333333333333321</v>
      </c>
      <c r="DO10" s="414">
        <f t="shared" si="66"/>
        <v>44.166666666666664</v>
      </c>
      <c r="DP10" s="414">
        <f t="shared" si="66"/>
        <v>266.31260351966876</v>
      </c>
      <c r="DQ10" s="414">
        <f t="shared" si="66"/>
        <v>347.04583333333335</v>
      </c>
      <c r="DR10" s="413"/>
      <c r="DS10" s="413">
        <f t="shared" si="79"/>
        <v>2021</v>
      </c>
      <c r="DT10" s="414">
        <f t="shared" si="80"/>
        <v>405.50416666666661</v>
      </c>
      <c r="DU10" s="414">
        <f t="shared" si="67"/>
        <v>429.45416666666677</v>
      </c>
      <c r="DV10" s="414">
        <f t="shared" si="67"/>
        <v>249.74637681159425</v>
      </c>
      <c r="DW10" s="414">
        <f t="shared" si="67"/>
        <v>102.15833333333332</v>
      </c>
      <c r="DX10" s="414">
        <f t="shared" si="67"/>
        <v>25.983333333333327</v>
      </c>
      <c r="DY10" s="414">
        <f t="shared" si="67"/>
        <v>0</v>
      </c>
      <c r="DZ10" s="414">
        <f t="shared" si="67"/>
        <v>0</v>
      </c>
      <c r="EA10" s="414">
        <f t="shared" si="67"/>
        <v>0</v>
      </c>
      <c r="EB10" s="414">
        <f t="shared" si="67"/>
        <v>0</v>
      </c>
      <c r="EC10" s="414">
        <f t="shared" si="67"/>
        <v>22.266666666666666</v>
      </c>
      <c r="ED10" s="414">
        <f t="shared" si="67"/>
        <v>206.31260351966876</v>
      </c>
      <c r="EE10" s="414">
        <f t="shared" si="67"/>
        <v>285.45833333333331</v>
      </c>
      <c r="EF10" s="413"/>
      <c r="EG10" s="413">
        <f t="shared" si="81"/>
        <v>2021</v>
      </c>
      <c r="EH10" s="414">
        <f t="shared" si="82"/>
        <v>343.50416666666661</v>
      </c>
      <c r="EI10" s="414">
        <f t="shared" si="68"/>
        <v>373.45416666666665</v>
      </c>
      <c r="EJ10" s="414">
        <f t="shared" si="68"/>
        <v>194.65054347826086</v>
      </c>
      <c r="EK10" s="414">
        <f t="shared" si="68"/>
        <v>60.454166666666659</v>
      </c>
      <c r="EL10" s="414">
        <f t="shared" si="68"/>
        <v>8.125</v>
      </c>
      <c r="EM10" s="414">
        <f t="shared" si="68"/>
        <v>0</v>
      </c>
      <c r="EN10" s="414">
        <f t="shared" si="68"/>
        <v>0</v>
      </c>
      <c r="EO10" s="414">
        <f t="shared" si="68"/>
        <v>0</v>
      </c>
      <c r="EP10" s="414">
        <f t="shared" si="68"/>
        <v>0</v>
      </c>
      <c r="EQ10" s="414">
        <f t="shared" si="68"/>
        <v>6.6666666666666643</v>
      </c>
      <c r="ER10" s="414">
        <f t="shared" si="68"/>
        <v>148.50427018633536</v>
      </c>
      <c r="ES10" s="414">
        <f t="shared" si="68"/>
        <v>225.45833333333331</v>
      </c>
    </row>
    <row r="11" spans="1:169">
      <c r="A11">
        <v>2014</v>
      </c>
      <c r="B11">
        <v>10</v>
      </c>
      <c r="C11" s="313">
        <v>303.07083333333338</v>
      </c>
      <c r="D11" s="313">
        <v>0</v>
      </c>
      <c r="E11" s="313">
        <v>241.41666666666669</v>
      </c>
      <c r="F11" s="313">
        <v>0.34583333333333499</v>
      </c>
      <c r="G11" s="313">
        <v>182.14999999999998</v>
      </c>
      <c r="H11" s="313">
        <v>3.0791666666666693</v>
      </c>
      <c r="I11" s="313">
        <v>128.43333333333334</v>
      </c>
      <c r="J11" s="313">
        <v>11.362500000000011</v>
      </c>
      <c r="K11" s="313">
        <v>81.950000000000017</v>
      </c>
      <c r="L11" s="313">
        <v>26.879166666666691</v>
      </c>
      <c r="M11" s="313">
        <v>45.041666666666657</v>
      </c>
      <c r="N11" s="313">
        <v>51.970833333333353</v>
      </c>
      <c r="O11" s="313">
        <v>17.908333333333335</v>
      </c>
      <c r="P11" s="313">
        <v>86.83750000000002</v>
      </c>
      <c r="Q11" s="383">
        <v>10.223521505376343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BA11" s="413">
        <f t="shared" si="69"/>
        <v>2022</v>
      </c>
      <c r="BB11" s="414">
        <f t="shared" si="70"/>
        <v>887.49166666666656</v>
      </c>
      <c r="BC11" s="414">
        <f t="shared" si="61"/>
        <v>692.85</v>
      </c>
      <c r="BD11" s="414">
        <f t="shared" si="61"/>
        <v>606.7208333333333</v>
      </c>
      <c r="BE11" s="414">
        <f t="shared" si="61"/>
        <v>414.33333333333331</v>
      </c>
      <c r="BF11" s="414">
        <f t="shared" si="61"/>
        <v>158.97916666666669</v>
      </c>
      <c r="BG11" s="414">
        <f t="shared" si="61"/>
        <v>75.529010989011013</v>
      </c>
      <c r="BH11" s="414">
        <f t="shared" si="61"/>
        <v>8.9945652173913082</v>
      </c>
      <c r="BI11" s="414">
        <f t="shared" si="61"/>
        <v>7.3916666666666764</v>
      </c>
      <c r="BJ11" s="414">
        <f t="shared" si="61"/>
        <v>111.79166666666666</v>
      </c>
      <c r="BK11" s="414">
        <f t="shared" si="61"/>
        <v>330.85561594202903</v>
      </c>
      <c r="BL11" s="414">
        <f t="shared" si="61"/>
        <v>471.83333333333348</v>
      </c>
      <c r="BM11" s="414">
        <f t="shared" si="61"/>
        <v>647.12083333333328</v>
      </c>
      <c r="BN11" s="413"/>
      <c r="BO11" s="413">
        <f t="shared" si="71"/>
        <v>2022</v>
      </c>
      <c r="BP11" s="414">
        <f t="shared" si="72"/>
        <v>825.49166666666656</v>
      </c>
      <c r="BQ11" s="414">
        <f t="shared" si="62"/>
        <v>636.84999999999991</v>
      </c>
      <c r="BR11" s="414">
        <f t="shared" si="62"/>
        <v>544.7208333333333</v>
      </c>
      <c r="BS11" s="414">
        <f t="shared" si="62"/>
        <v>354.33333333333331</v>
      </c>
      <c r="BT11" s="414">
        <f t="shared" si="62"/>
        <v>109.50833333333333</v>
      </c>
      <c r="BU11" s="414">
        <f t="shared" si="62"/>
        <v>36.166510989010987</v>
      </c>
      <c r="BV11" s="414">
        <f t="shared" si="62"/>
        <v>0.62083333333333357</v>
      </c>
      <c r="BW11" s="414">
        <f t="shared" si="62"/>
        <v>0.76250000000000284</v>
      </c>
      <c r="BX11" s="414">
        <f t="shared" si="62"/>
        <v>71.412499999999994</v>
      </c>
      <c r="BY11" s="414">
        <f t="shared" si="62"/>
        <v>268.85561594202898</v>
      </c>
      <c r="BZ11" s="414">
        <f t="shared" si="62"/>
        <v>411.83333333333348</v>
      </c>
      <c r="CA11" s="414">
        <f t="shared" si="62"/>
        <v>585.12083333333328</v>
      </c>
      <c r="CB11" s="513">
        <f t="shared" si="63"/>
        <v>3845.6762935977063</v>
      </c>
      <c r="CC11" s="413">
        <f t="shared" si="73"/>
        <v>2022</v>
      </c>
      <c r="CD11" s="414">
        <f t="shared" si="74"/>
        <v>763.49166666666656</v>
      </c>
      <c r="CE11" s="414">
        <f t="shared" si="64"/>
        <v>580.84999999999991</v>
      </c>
      <c r="CF11" s="414">
        <f t="shared" si="64"/>
        <v>482.72083333333353</v>
      </c>
      <c r="CG11" s="414">
        <f t="shared" si="64"/>
        <v>294.33333333333337</v>
      </c>
      <c r="CH11" s="414">
        <f t="shared" si="64"/>
        <v>70.650000000000006</v>
      </c>
      <c r="CI11" s="414">
        <f t="shared" si="64"/>
        <v>6.1903205128205077</v>
      </c>
      <c r="CJ11" s="414">
        <f t="shared" si="64"/>
        <v>0</v>
      </c>
      <c r="CK11" s="414">
        <f t="shared" si="64"/>
        <v>0</v>
      </c>
      <c r="CL11" s="414">
        <f t="shared" si="64"/>
        <v>45.029166666666661</v>
      </c>
      <c r="CM11" s="414">
        <f t="shared" si="64"/>
        <v>206.85561594202895</v>
      </c>
      <c r="CN11" s="414">
        <f t="shared" si="64"/>
        <v>351.83333333333343</v>
      </c>
      <c r="CO11" s="414">
        <f t="shared" si="64"/>
        <v>523.12083333333328</v>
      </c>
      <c r="CP11" s="413"/>
      <c r="CQ11" s="413">
        <f t="shared" si="75"/>
        <v>2022</v>
      </c>
      <c r="CR11" s="414">
        <f t="shared" si="76"/>
        <v>701.49166666666656</v>
      </c>
      <c r="CS11" s="414">
        <f t="shared" si="65"/>
        <v>524.84999999999991</v>
      </c>
      <c r="CT11" s="414">
        <f t="shared" si="65"/>
        <v>420.72083333333353</v>
      </c>
      <c r="CU11" s="414">
        <f t="shared" si="65"/>
        <v>234.33333333333331</v>
      </c>
      <c r="CV11" s="414">
        <f t="shared" si="65"/>
        <v>39.324999999999996</v>
      </c>
      <c r="CW11" s="414">
        <f t="shared" si="65"/>
        <v>0</v>
      </c>
      <c r="CX11" s="414">
        <f t="shared" si="65"/>
        <v>0</v>
      </c>
      <c r="CY11" s="414">
        <f t="shared" si="65"/>
        <v>0</v>
      </c>
      <c r="CZ11" s="414">
        <f t="shared" si="65"/>
        <v>22.833333333333329</v>
      </c>
      <c r="DA11" s="414">
        <f t="shared" si="65"/>
        <v>147.2764492753623</v>
      </c>
      <c r="DB11" s="414">
        <f t="shared" si="65"/>
        <v>294.14166666666671</v>
      </c>
      <c r="DC11" s="414">
        <f t="shared" si="65"/>
        <v>461.12083333333328</v>
      </c>
      <c r="DD11" s="413"/>
      <c r="DE11" s="413">
        <f t="shared" si="77"/>
        <v>2022</v>
      </c>
      <c r="DF11" s="414">
        <f t="shared" si="78"/>
        <v>639.49166666666679</v>
      </c>
      <c r="DG11" s="414">
        <f t="shared" si="66"/>
        <v>468.84999999999991</v>
      </c>
      <c r="DH11" s="414">
        <f t="shared" si="66"/>
        <v>358.72083333333347</v>
      </c>
      <c r="DI11" s="414">
        <f t="shared" si="66"/>
        <v>176.58749999999998</v>
      </c>
      <c r="DJ11" s="414">
        <f t="shared" si="66"/>
        <v>14.399999999999993</v>
      </c>
      <c r="DK11" s="414">
        <f t="shared" si="66"/>
        <v>0</v>
      </c>
      <c r="DL11" s="414">
        <f t="shared" si="66"/>
        <v>0</v>
      </c>
      <c r="DM11" s="414">
        <f t="shared" si="66"/>
        <v>0</v>
      </c>
      <c r="DN11" s="414">
        <f t="shared" si="66"/>
        <v>8.5708333333333329</v>
      </c>
      <c r="DO11" s="414">
        <f t="shared" si="66"/>
        <v>94.459782608695647</v>
      </c>
      <c r="DP11" s="414">
        <f t="shared" si="66"/>
        <v>238.41249999999999</v>
      </c>
      <c r="DQ11" s="414">
        <f t="shared" si="66"/>
        <v>399.12083333333328</v>
      </c>
      <c r="DR11" s="413"/>
      <c r="DS11" s="413">
        <f t="shared" si="79"/>
        <v>2022</v>
      </c>
      <c r="DT11" s="414">
        <f t="shared" si="80"/>
        <v>577.49166666666656</v>
      </c>
      <c r="DU11" s="414">
        <f t="shared" si="67"/>
        <v>412.84999999999991</v>
      </c>
      <c r="DV11" s="414">
        <f t="shared" si="67"/>
        <v>296.72083333333336</v>
      </c>
      <c r="DW11" s="414">
        <f t="shared" si="67"/>
        <v>123.04166666666666</v>
      </c>
      <c r="DX11" s="414">
        <f t="shared" si="67"/>
        <v>0.93333333333333179</v>
      </c>
      <c r="DY11" s="414">
        <f t="shared" si="67"/>
        <v>0</v>
      </c>
      <c r="DZ11" s="414">
        <f t="shared" si="67"/>
        <v>0</v>
      </c>
      <c r="EA11" s="414">
        <f t="shared" si="67"/>
        <v>0</v>
      </c>
      <c r="EB11" s="414">
        <f t="shared" si="67"/>
        <v>2.1000000000000014</v>
      </c>
      <c r="EC11" s="414">
        <f t="shared" si="67"/>
        <v>52.855615942028983</v>
      </c>
      <c r="ED11" s="414">
        <f t="shared" si="67"/>
        <v>185.6583333333333</v>
      </c>
      <c r="EE11" s="414">
        <f t="shared" si="67"/>
        <v>337.12083333333322</v>
      </c>
      <c r="EF11" s="413"/>
      <c r="EG11" s="413">
        <f t="shared" si="81"/>
        <v>2022</v>
      </c>
      <c r="EH11" s="414">
        <f t="shared" si="82"/>
        <v>515.49166666666679</v>
      </c>
      <c r="EI11" s="414">
        <f t="shared" si="68"/>
        <v>356.85</v>
      </c>
      <c r="EJ11" s="414">
        <f t="shared" si="68"/>
        <v>236.04166666666666</v>
      </c>
      <c r="EK11" s="414">
        <f t="shared" si="68"/>
        <v>75.575000000000003</v>
      </c>
      <c r="EL11" s="414">
        <f t="shared" si="68"/>
        <v>0</v>
      </c>
      <c r="EM11" s="414">
        <f t="shared" si="68"/>
        <v>0</v>
      </c>
      <c r="EN11" s="414">
        <f t="shared" si="68"/>
        <v>0</v>
      </c>
      <c r="EO11" s="414">
        <f t="shared" si="68"/>
        <v>0</v>
      </c>
      <c r="EP11" s="414">
        <f t="shared" si="68"/>
        <v>0</v>
      </c>
      <c r="EQ11" s="414">
        <f t="shared" si="68"/>
        <v>23.659782608695654</v>
      </c>
      <c r="ER11" s="414">
        <f t="shared" si="68"/>
        <v>138.80000000000001</v>
      </c>
      <c r="ES11" s="414">
        <f t="shared" si="68"/>
        <v>275.12083333333322</v>
      </c>
    </row>
    <row r="12" spans="1:169">
      <c r="A12">
        <v>2014</v>
      </c>
      <c r="B12">
        <v>11</v>
      </c>
      <c r="C12" s="313">
        <v>542.00719696969691</v>
      </c>
      <c r="D12" s="313">
        <v>0</v>
      </c>
      <c r="E12" s="313">
        <v>482.00719696969691</v>
      </c>
      <c r="F12" s="313">
        <v>0</v>
      </c>
      <c r="G12" s="313">
        <v>422.00719696969691</v>
      </c>
      <c r="H12" s="313">
        <v>0</v>
      </c>
      <c r="I12" s="313">
        <v>362.00719696969685</v>
      </c>
      <c r="J12" s="313">
        <v>0</v>
      </c>
      <c r="K12" s="313">
        <v>302.00719696969691</v>
      </c>
      <c r="L12" s="313">
        <v>0</v>
      </c>
      <c r="M12" s="313">
        <v>242.40303030303033</v>
      </c>
      <c r="N12" s="313">
        <v>0.39583333333333215</v>
      </c>
      <c r="O12" s="313">
        <v>188.37386363636367</v>
      </c>
      <c r="P12" s="313">
        <v>6.3666666666666671</v>
      </c>
      <c r="Q12" s="383">
        <v>1.9330934343434341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BA12" s="413">
        <f t="shared" si="69"/>
        <v>2023</v>
      </c>
      <c r="BB12" s="414">
        <f t="shared" si="70"/>
        <v>666.07083333333355</v>
      </c>
      <c r="BC12" s="414">
        <f t="shared" si="61"/>
        <v>629.43333333333328</v>
      </c>
      <c r="BD12" s="414">
        <f t="shared" si="61"/>
        <v>613.0333333333333</v>
      </c>
      <c r="BE12" s="414">
        <f t="shared" si="61"/>
        <v>361.4</v>
      </c>
      <c r="BF12" s="414">
        <f t="shared" si="61"/>
        <v>219.04750000000001</v>
      </c>
      <c r="BG12" s="414">
        <f t="shared" si="61"/>
        <v>55.599999999999994</v>
      </c>
      <c r="BH12" s="414">
        <f t="shared" si="61"/>
        <v>7.3166666666666593</v>
      </c>
      <c r="BI12" s="414">
        <f t="shared" si="61"/>
        <v>32.211775362318839</v>
      </c>
      <c r="BJ12" s="414">
        <f t="shared" si="61"/>
        <v>95.22083333333336</v>
      </c>
      <c r="BK12" s="414">
        <f t="shared" si="61"/>
        <v>261.85000000000002</v>
      </c>
      <c r="BL12" s="414">
        <f t="shared" si="61"/>
        <v>510.59311594202899</v>
      </c>
      <c r="BM12" s="414">
        <f t="shared" si="61"/>
        <v>551.67916666666667</v>
      </c>
      <c r="BN12" s="413"/>
      <c r="BO12" s="413">
        <f t="shared" si="71"/>
        <v>2023</v>
      </c>
      <c r="BP12" s="414">
        <f t="shared" si="72"/>
        <v>604.07083333333344</v>
      </c>
      <c r="BQ12" s="414">
        <f t="shared" si="62"/>
        <v>573.43333333333328</v>
      </c>
      <c r="BR12" s="414">
        <f t="shared" si="62"/>
        <v>551.03333333333342</v>
      </c>
      <c r="BS12" s="414">
        <f t="shared" si="62"/>
        <v>301.39999999999998</v>
      </c>
      <c r="BT12" s="414">
        <f t="shared" si="62"/>
        <v>163.56416666666669</v>
      </c>
      <c r="BU12" s="414">
        <f t="shared" si="62"/>
        <v>21.441666666666659</v>
      </c>
      <c r="BV12" s="414">
        <f t="shared" si="62"/>
        <v>0.12499999999999645</v>
      </c>
      <c r="BW12" s="414">
        <f t="shared" si="62"/>
        <v>9.274999999999995</v>
      </c>
      <c r="BX12" s="414">
        <f t="shared" si="62"/>
        <v>47.591666666666676</v>
      </c>
      <c r="BY12" s="414">
        <f t="shared" si="62"/>
        <v>207.15416666666667</v>
      </c>
      <c r="BZ12" s="414">
        <f t="shared" si="62"/>
        <v>450.59311594202899</v>
      </c>
      <c r="CA12" s="414">
        <f t="shared" si="62"/>
        <v>489.67916666666667</v>
      </c>
      <c r="CB12" s="513">
        <f t="shared" si="63"/>
        <v>3419.3614492753622</v>
      </c>
      <c r="CC12" s="413">
        <f t="shared" si="73"/>
        <v>2023</v>
      </c>
      <c r="CD12" s="414">
        <f t="shared" si="74"/>
        <v>542.07083333333333</v>
      </c>
      <c r="CE12" s="414">
        <f t="shared" si="64"/>
        <v>517.43333333333328</v>
      </c>
      <c r="CF12" s="414">
        <f t="shared" si="64"/>
        <v>489.03333333333336</v>
      </c>
      <c r="CG12" s="414">
        <f t="shared" si="64"/>
        <v>243.15833333333336</v>
      </c>
      <c r="CH12" s="414">
        <f t="shared" si="64"/>
        <v>113.00166666666665</v>
      </c>
      <c r="CI12" s="414">
        <f t="shared" si="64"/>
        <v>4.2708333333333268</v>
      </c>
      <c r="CJ12" s="414">
        <f t="shared" si="64"/>
        <v>0</v>
      </c>
      <c r="CK12" s="414">
        <f t="shared" si="64"/>
        <v>1.6125000000000007</v>
      </c>
      <c r="CL12" s="414">
        <f t="shared" si="64"/>
        <v>15.216666666666669</v>
      </c>
      <c r="CM12" s="414">
        <f t="shared" si="64"/>
        <v>157.42916666666665</v>
      </c>
      <c r="CN12" s="414">
        <f t="shared" si="64"/>
        <v>390.59311594202899</v>
      </c>
      <c r="CO12" s="414">
        <f t="shared" si="64"/>
        <v>427.67916666666667</v>
      </c>
      <c r="CP12" s="413"/>
      <c r="CQ12" s="413">
        <f t="shared" si="75"/>
        <v>2023</v>
      </c>
      <c r="CR12" s="414">
        <f t="shared" si="76"/>
        <v>480.07083333333327</v>
      </c>
      <c r="CS12" s="414">
        <f t="shared" si="65"/>
        <v>461.43333333333328</v>
      </c>
      <c r="CT12" s="414">
        <f t="shared" si="65"/>
        <v>427.0333333333333</v>
      </c>
      <c r="CU12" s="414">
        <f t="shared" si="65"/>
        <v>193.11666666666667</v>
      </c>
      <c r="CV12" s="414">
        <f t="shared" si="65"/>
        <v>68.776666666666671</v>
      </c>
      <c r="CW12" s="414">
        <f t="shared" si="65"/>
        <v>0</v>
      </c>
      <c r="CX12" s="414">
        <f t="shared" si="65"/>
        <v>0</v>
      </c>
      <c r="CY12" s="414">
        <f t="shared" si="65"/>
        <v>0</v>
      </c>
      <c r="CZ12" s="414">
        <f t="shared" si="65"/>
        <v>2.3583333333333378</v>
      </c>
      <c r="DA12" s="414">
        <f t="shared" si="65"/>
        <v>111.18333333333332</v>
      </c>
      <c r="DB12" s="414">
        <f t="shared" si="65"/>
        <v>330.59311594202904</v>
      </c>
      <c r="DC12" s="414">
        <f t="shared" si="65"/>
        <v>365.67916666666667</v>
      </c>
      <c r="DD12" s="413"/>
      <c r="DE12" s="413">
        <f t="shared" si="77"/>
        <v>2023</v>
      </c>
      <c r="DF12" s="414">
        <f t="shared" si="78"/>
        <v>418.07083333333327</v>
      </c>
      <c r="DG12" s="414">
        <f t="shared" si="66"/>
        <v>405.43333333333328</v>
      </c>
      <c r="DH12" s="414">
        <f t="shared" si="66"/>
        <v>365.03333333333336</v>
      </c>
      <c r="DI12" s="414">
        <f t="shared" si="66"/>
        <v>144.11666666666667</v>
      </c>
      <c r="DJ12" s="414">
        <f t="shared" si="66"/>
        <v>37.480833333333329</v>
      </c>
      <c r="DK12" s="414">
        <f t="shared" si="66"/>
        <v>0</v>
      </c>
      <c r="DL12" s="414">
        <f t="shared" si="66"/>
        <v>0</v>
      </c>
      <c r="DM12" s="414">
        <f t="shared" si="66"/>
        <v>0</v>
      </c>
      <c r="DN12" s="414">
        <f t="shared" si="66"/>
        <v>0</v>
      </c>
      <c r="DO12" s="414">
        <f t="shared" si="66"/>
        <v>68.475000000000009</v>
      </c>
      <c r="DP12" s="414">
        <f t="shared" si="66"/>
        <v>270.59311594202899</v>
      </c>
      <c r="DQ12" s="414">
        <f t="shared" si="66"/>
        <v>303.67916666666667</v>
      </c>
      <c r="DR12" s="413"/>
      <c r="DS12" s="413">
        <f t="shared" si="79"/>
        <v>2023</v>
      </c>
      <c r="DT12" s="414">
        <f t="shared" si="80"/>
        <v>356.07083333333321</v>
      </c>
      <c r="DU12" s="414">
        <f t="shared" si="67"/>
        <v>349.43333333333328</v>
      </c>
      <c r="DV12" s="414">
        <f t="shared" si="67"/>
        <v>303.03333333333342</v>
      </c>
      <c r="DW12" s="414">
        <f t="shared" si="67"/>
        <v>98.574999999999989</v>
      </c>
      <c r="DX12" s="414">
        <f t="shared" si="67"/>
        <v>20.284999999999989</v>
      </c>
      <c r="DY12" s="414">
        <f t="shared" si="67"/>
        <v>0</v>
      </c>
      <c r="DZ12" s="414">
        <f t="shared" si="67"/>
        <v>0</v>
      </c>
      <c r="EA12" s="414">
        <f t="shared" si="67"/>
        <v>0</v>
      </c>
      <c r="EB12" s="414">
        <f t="shared" si="67"/>
        <v>0</v>
      </c>
      <c r="EC12" s="414">
        <f t="shared" si="67"/>
        <v>37.779166666666669</v>
      </c>
      <c r="ED12" s="414">
        <f t="shared" si="67"/>
        <v>210.95561594202897</v>
      </c>
      <c r="EE12" s="414">
        <f t="shared" si="67"/>
        <v>241.67916666666659</v>
      </c>
      <c r="EF12" s="413"/>
      <c r="EG12" s="413">
        <f t="shared" si="81"/>
        <v>2023</v>
      </c>
      <c r="EH12" s="414">
        <f t="shared" si="82"/>
        <v>294.07083333333327</v>
      </c>
      <c r="EI12" s="414">
        <f t="shared" si="68"/>
        <v>293.51666666666665</v>
      </c>
      <c r="EJ12" s="414">
        <f t="shared" si="68"/>
        <v>241.03333333333333</v>
      </c>
      <c r="EK12" s="414">
        <f t="shared" si="68"/>
        <v>58.116666666666674</v>
      </c>
      <c r="EL12" s="414">
        <f t="shared" si="68"/>
        <v>7.2058333333333309</v>
      </c>
      <c r="EM12" s="414">
        <f t="shared" si="68"/>
        <v>0</v>
      </c>
      <c r="EN12" s="414">
        <f t="shared" si="68"/>
        <v>0</v>
      </c>
      <c r="EO12" s="414">
        <f t="shared" si="68"/>
        <v>0</v>
      </c>
      <c r="EP12" s="414">
        <f t="shared" si="68"/>
        <v>0</v>
      </c>
      <c r="EQ12" s="414">
        <f t="shared" si="68"/>
        <v>17.783333333333335</v>
      </c>
      <c r="ER12" s="414">
        <f t="shared" si="68"/>
        <v>153.42644927536227</v>
      </c>
      <c r="ES12" s="414">
        <f t="shared" si="68"/>
        <v>180.36666666666662</v>
      </c>
    </row>
    <row r="13" spans="1:169">
      <c r="A13">
        <v>2014</v>
      </c>
      <c r="B13">
        <v>12</v>
      </c>
      <c r="C13" s="313">
        <v>636.0291666666667</v>
      </c>
      <c r="D13" s="313">
        <v>0</v>
      </c>
      <c r="E13" s="313">
        <v>574.0291666666667</v>
      </c>
      <c r="F13" s="313">
        <v>0</v>
      </c>
      <c r="G13" s="313">
        <v>512.0291666666667</v>
      </c>
      <c r="H13" s="313">
        <v>0</v>
      </c>
      <c r="I13" s="313">
        <v>450.02916666666664</v>
      </c>
      <c r="J13" s="313">
        <v>0</v>
      </c>
      <c r="K13" s="313">
        <v>388.02916666666664</v>
      </c>
      <c r="L13" s="313">
        <v>0</v>
      </c>
      <c r="M13" s="313">
        <v>326.02916666666664</v>
      </c>
      <c r="N13" s="313">
        <v>0</v>
      </c>
      <c r="O13" s="313">
        <v>264.0291666666667</v>
      </c>
      <c r="P13" s="313">
        <v>0</v>
      </c>
      <c r="Q13" s="383">
        <v>-0.5170698924731183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BA13" s="413">
        <f t="shared" si="69"/>
        <v>2024</v>
      </c>
      <c r="BB13" s="414">
        <f t="shared" si="70"/>
        <v>698.99583333333328</v>
      </c>
      <c r="BC13" s="414">
        <f t="shared" si="61"/>
        <v>600.96666666666647</v>
      </c>
      <c r="BD13" s="414">
        <f t="shared" si="61"/>
        <v>522.11249999999995</v>
      </c>
      <c r="BE13" s="414">
        <f t="shared" si="61"/>
        <v>368.29791666666671</v>
      </c>
      <c r="BF13" s="414">
        <f t="shared" si="61"/>
        <v>143.5708333333333</v>
      </c>
      <c r="BG13" s="414">
        <f t="shared" si="61"/>
        <v>60.86249999999999</v>
      </c>
      <c r="BH13" s="414">
        <f t="shared" si="61"/>
        <v>5.5666666666666629</v>
      </c>
      <c r="BI13" s="414">
        <f t="shared" si="61"/>
        <v>26.975000000000016</v>
      </c>
      <c r="BJ13" s="414">
        <f t="shared" si="61"/>
        <v>69.33750000000002</v>
      </c>
      <c r="BK13" s="414">
        <f t="shared" si="61"/>
        <v>295.94166666666661</v>
      </c>
      <c r="BL13" s="414">
        <f t="shared" si="61"/>
        <v>426.29166666666663</v>
      </c>
      <c r="BM13" s="414">
        <f t="shared" si="61"/>
        <v>660.57500000000016</v>
      </c>
      <c r="BN13" s="413"/>
      <c r="BO13" s="413">
        <f t="shared" si="71"/>
        <v>2024</v>
      </c>
      <c r="BP13" s="414">
        <f t="shared" si="72"/>
        <v>636.99583333333339</v>
      </c>
      <c r="BQ13" s="414">
        <f t="shared" si="62"/>
        <v>542.96666666666658</v>
      </c>
      <c r="BR13" s="414">
        <f t="shared" si="62"/>
        <v>460.11250000000001</v>
      </c>
      <c r="BS13" s="414">
        <f t="shared" si="62"/>
        <v>308.29791666666665</v>
      </c>
      <c r="BT13" s="414">
        <f t="shared" si="62"/>
        <v>89.52916666666664</v>
      </c>
      <c r="BU13" s="414">
        <f t="shared" si="62"/>
        <v>31.570833333333319</v>
      </c>
      <c r="BV13" s="414">
        <f t="shared" si="62"/>
        <v>0.32916666666666927</v>
      </c>
      <c r="BW13" s="414">
        <f t="shared" si="62"/>
        <v>8.2333333333333432</v>
      </c>
      <c r="BX13" s="414">
        <f t="shared" si="62"/>
        <v>29.36666666666666</v>
      </c>
      <c r="BY13" s="414">
        <f t="shared" si="62"/>
        <v>233.94166666666658</v>
      </c>
      <c r="BZ13" s="414">
        <f t="shared" si="62"/>
        <v>366.29166666666663</v>
      </c>
      <c r="CA13" s="414">
        <f t="shared" si="62"/>
        <v>598.57499999999993</v>
      </c>
      <c r="CB13" s="513">
        <f t="shared" si="63"/>
        <v>3306.2104166666663</v>
      </c>
      <c r="CC13" s="413">
        <f t="shared" si="73"/>
        <v>2024</v>
      </c>
      <c r="CD13" s="414">
        <f t="shared" si="74"/>
        <v>574.99583333333339</v>
      </c>
      <c r="CE13" s="414">
        <f t="shared" si="64"/>
        <v>484.96666666666658</v>
      </c>
      <c r="CF13" s="414">
        <f t="shared" si="64"/>
        <v>398.11250000000001</v>
      </c>
      <c r="CG13" s="414">
        <f t="shared" si="64"/>
        <v>248.29791666666665</v>
      </c>
      <c r="CH13" s="414">
        <f t="shared" si="64"/>
        <v>44.158333333333317</v>
      </c>
      <c r="CI13" s="414">
        <f t="shared" si="64"/>
        <v>10.312499999999995</v>
      </c>
      <c r="CJ13" s="414">
        <f t="shared" si="64"/>
        <v>0</v>
      </c>
      <c r="CK13" s="414">
        <f t="shared" si="64"/>
        <v>1.7583333333333346</v>
      </c>
      <c r="CL13" s="414">
        <f t="shared" si="64"/>
        <v>10.920833333333333</v>
      </c>
      <c r="CM13" s="414">
        <f t="shared" si="64"/>
        <v>174.98749999999998</v>
      </c>
      <c r="CN13" s="414">
        <f t="shared" si="64"/>
        <v>307.79583333333329</v>
      </c>
      <c r="CO13" s="414">
        <f t="shared" si="64"/>
        <v>536.57500000000005</v>
      </c>
      <c r="CP13" s="413"/>
      <c r="CQ13" s="413">
        <f t="shared" si="75"/>
        <v>2024</v>
      </c>
      <c r="CR13" s="414">
        <f t="shared" si="76"/>
        <v>512.99583333333328</v>
      </c>
      <c r="CS13" s="414">
        <f t="shared" si="65"/>
        <v>426.96666666666664</v>
      </c>
      <c r="CT13" s="414">
        <f t="shared" si="65"/>
        <v>336.11249999999995</v>
      </c>
      <c r="CU13" s="414">
        <f t="shared" si="65"/>
        <v>188.29791666666671</v>
      </c>
      <c r="CV13" s="414">
        <f t="shared" si="65"/>
        <v>15.562499999999984</v>
      </c>
      <c r="CW13" s="414">
        <f t="shared" si="65"/>
        <v>2.4583333333333321</v>
      </c>
      <c r="CX13" s="414">
        <f t="shared" si="65"/>
        <v>0</v>
      </c>
      <c r="CY13" s="414">
        <f t="shared" si="65"/>
        <v>0</v>
      </c>
      <c r="CZ13" s="414">
        <f t="shared" si="65"/>
        <v>2.5625000000000036</v>
      </c>
      <c r="DA13" s="414">
        <f t="shared" si="65"/>
        <v>122.06250000000001</v>
      </c>
      <c r="DB13" s="414">
        <f t="shared" si="65"/>
        <v>251.79583333333335</v>
      </c>
      <c r="DC13" s="414">
        <f t="shared" si="65"/>
        <v>474.57499999999999</v>
      </c>
      <c r="DD13" s="413"/>
      <c r="DE13" s="413">
        <f t="shared" si="77"/>
        <v>2024</v>
      </c>
      <c r="DF13" s="414">
        <f t="shared" si="78"/>
        <v>450.99583333333322</v>
      </c>
      <c r="DG13" s="414">
        <f t="shared" si="66"/>
        <v>368.96666666666664</v>
      </c>
      <c r="DH13" s="414">
        <f t="shared" si="66"/>
        <v>274.11250000000001</v>
      </c>
      <c r="DI13" s="414">
        <f t="shared" si="66"/>
        <v>130.68125000000001</v>
      </c>
      <c r="DJ13" s="414">
        <f t="shared" si="66"/>
        <v>2.9208333333333272</v>
      </c>
      <c r="DK13" s="414">
        <f t="shared" si="66"/>
        <v>0</v>
      </c>
      <c r="DL13" s="414">
        <f t="shared" si="66"/>
        <v>0</v>
      </c>
      <c r="DM13" s="414">
        <f t="shared" si="66"/>
        <v>0</v>
      </c>
      <c r="DN13" s="414">
        <f t="shared" si="66"/>
        <v>0</v>
      </c>
      <c r="DO13" s="414">
        <f t="shared" si="66"/>
        <v>79.04583333333332</v>
      </c>
      <c r="DP13" s="414">
        <f t="shared" si="66"/>
        <v>195.79583333333335</v>
      </c>
      <c r="DQ13" s="414">
        <f t="shared" si="66"/>
        <v>412.57499999999999</v>
      </c>
      <c r="DR13" s="413"/>
      <c r="DS13" s="413">
        <f t="shared" si="79"/>
        <v>2024</v>
      </c>
      <c r="DT13" s="414">
        <f t="shared" si="80"/>
        <v>388.99583333333317</v>
      </c>
      <c r="DU13" s="414">
        <f t="shared" si="67"/>
        <v>310.9666666666667</v>
      </c>
      <c r="DV13" s="414">
        <f t="shared" si="67"/>
        <v>212.11250000000004</v>
      </c>
      <c r="DW13" s="414">
        <f t="shared" si="67"/>
        <v>78.922916666666652</v>
      </c>
      <c r="DX13" s="414">
        <f t="shared" si="67"/>
        <v>0</v>
      </c>
      <c r="DY13" s="414">
        <f t="shared" si="67"/>
        <v>0</v>
      </c>
      <c r="DZ13" s="414">
        <f t="shared" si="67"/>
        <v>0</v>
      </c>
      <c r="EA13" s="414">
        <f t="shared" si="67"/>
        <v>0</v>
      </c>
      <c r="EB13" s="414">
        <f t="shared" si="67"/>
        <v>0</v>
      </c>
      <c r="EC13" s="414">
        <f t="shared" si="67"/>
        <v>46.029166666666669</v>
      </c>
      <c r="ED13" s="414">
        <f t="shared" si="67"/>
        <v>141.32083333333335</v>
      </c>
      <c r="EE13" s="414">
        <f t="shared" si="67"/>
        <v>350.57499999999993</v>
      </c>
      <c r="EF13" s="413"/>
      <c r="EG13" s="413">
        <f t="shared" si="81"/>
        <v>2024</v>
      </c>
      <c r="EH13" s="414">
        <f t="shared" si="82"/>
        <v>326.99583333333317</v>
      </c>
      <c r="EI13" s="414">
        <f t="shared" si="68"/>
        <v>252.9666666666667</v>
      </c>
      <c r="EJ13" s="414">
        <f t="shared" si="68"/>
        <v>154.69166666666669</v>
      </c>
      <c r="EK13" s="414">
        <f t="shared" si="68"/>
        <v>41.093749999999993</v>
      </c>
      <c r="EL13" s="414">
        <f t="shared" si="68"/>
        <v>0</v>
      </c>
      <c r="EM13" s="414">
        <f t="shared" si="68"/>
        <v>0</v>
      </c>
      <c r="EN13" s="414">
        <f t="shared" si="68"/>
        <v>0</v>
      </c>
      <c r="EO13" s="414">
        <f t="shared" si="68"/>
        <v>0</v>
      </c>
      <c r="EP13" s="414">
        <f t="shared" si="68"/>
        <v>0</v>
      </c>
      <c r="EQ13" s="414">
        <f t="shared" si="68"/>
        <v>18.616666666666671</v>
      </c>
      <c r="ER13" s="414">
        <f t="shared" si="68"/>
        <v>93.433333333333351</v>
      </c>
      <c r="ES13" s="414">
        <f t="shared" si="68"/>
        <v>288.57499999999993</v>
      </c>
    </row>
    <row r="14" spans="1:169">
      <c r="A14">
        <v>2015</v>
      </c>
      <c r="B14">
        <v>1</v>
      </c>
      <c r="C14" s="313">
        <v>859.89184782608675</v>
      </c>
      <c r="D14" s="313">
        <v>0</v>
      </c>
      <c r="E14" s="313">
        <v>797.89184782608675</v>
      </c>
      <c r="F14" s="313">
        <v>0</v>
      </c>
      <c r="G14" s="313">
        <v>735.89184782608675</v>
      </c>
      <c r="H14" s="313">
        <v>0</v>
      </c>
      <c r="I14" s="313">
        <v>673.89184782608697</v>
      </c>
      <c r="J14" s="313">
        <v>0</v>
      </c>
      <c r="K14" s="313">
        <v>611.89184782608697</v>
      </c>
      <c r="L14" s="313">
        <v>0</v>
      </c>
      <c r="M14" s="313">
        <v>549.89184782608709</v>
      </c>
      <c r="N14" s="313">
        <v>0</v>
      </c>
      <c r="O14" s="313">
        <v>487.89184782608703</v>
      </c>
      <c r="P14" s="313">
        <v>0</v>
      </c>
      <c r="Q14" s="383">
        <v>-7.7384467040673215</v>
      </c>
      <c r="S14" s="3">
        <f>'Monthly Data'!D2</f>
        <v>88622567.624820799</v>
      </c>
      <c r="T14" s="3">
        <f>'Monthly Data'!J2</f>
        <v>1112222.0868800001</v>
      </c>
      <c r="U14" s="3">
        <f>'Monthly Data'!P2</f>
        <v>26752413.727710001</v>
      </c>
      <c r="V14" s="3">
        <f>'Monthly Data'!V2</f>
        <v>70572459.926605761</v>
      </c>
      <c r="W14" s="3">
        <f>'Monthly Data'!AB2</f>
        <v>7330350.7043237519</v>
      </c>
      <c r="X14" s="3">
        <f>'Monthly Data'!AG2</f>
        <v>15789250.495352384</v>
      </c>
      <c r="Y14" s="3">
        <f>'Monthly Data'!BC2</f>
        <v>31332022.23248991</v>
      </c>
      <c r="Z14" s="3">
        <f>'Monthly Data'!BI2</f>
        <v>7689660.1805600002</v>
      </c>
      <c r="AA14" s="3">
        <f>'Monthly Data'!BO2</f>
        <v>30763090.182499632</v>
      </c>
      <c r="AB14" s="3">
        <f>'Monthly Data'!BU2</f>
        <v>4917109.58</v>
      </c>
      <c r="BA14" s="415">
        <f t="shared" si="69"/>
        <v>2025</v>
      </c>
      <c r="BB14" s="416">
        <f>AVERAGE(BB4:BB13)</f>
        <v>759.33418478260865</v>
      </c>
      <c r="BC14" s="416">
        <f t="shared" ref="BC14:BM14" si="83">AVERAGE(BC4:BC13)</f>
        <v>680.85501811594202</v>
      </c>
      <c r="BD14" s="416">
        <f t="shared" si="83"/>
        <v>608.13298913043479</v>
      </c>
      <c r="BE14" s="416">
        <f t="shared" si="83"/>
        <v>412.37941287878795</v>
      </c>
      <c r="BF14" s="416">
        <f t="shared" si="83"/>
        <v>202.70273119310133</v>
      </c>
      <c r="BG14" s="416">
        <f t="shared" si="83"/>
        <v>66.09717382617383</v>
      </c>
      <c r="BH14" s="416">
        <f t="shared" si="83"/>
        <v>10.249063146997932</v>
      </c>
      <c r="BI14" s="416">
        <f t="shared" si="83"/>
        <v>21.194927536231887</v>
      </c>
      <c r="BJ14" s="416">
        <f t="shared" si="83"/>
        <v>96.735690993788822</v>
      </c>
      <c r="BK14" s="416">
        <f t="shared" si="83"/>
        <v>298.21097826086958</v>
      </c>
      <c r="BL14" s="416">
        <f t="shared" si="83"/>
        <v>486.62991389045737</v>
      </c>
      <c r="BM14" s="416">
        <f t="shared" si="83"/>
        <v>639.92800724637686</v>
      </c>
      <c r="BN14" s="413"/>
      <c r="BO14" s="415">
        <f t="shared" si="71"/>
        <v>2025</v>
      </c>
      <c r="BP14" s="416">
        <f>AVERAGE(BP4:BP13)</f>
        <v>697.33418478260876</v>
      </c>
      <c r="BQ14" s="416">
        <f t="shared" ref="BQ14:CA14" si="84">AVERAGE(BQ4:BQ13)</f>
        <v>624.25501811594188</v>
      </c>
      <c r="BR14" s="416">
        <f t="shared" si="84"/>
        <v>546.13298913043491</v>
      </c>
      <c r="BS14" s="416">
        <f t="shared" si="84"/>
        <v>352.41399621212122</v>
      </c>
      <c r="BT14" s="416">
        <f t="shared" si="84"/>
        <v>150.136897859768</v>
      </c>
      <c r="BU14" s="416">
        <f t="shared" si="84"/>
        <v>32.520923826173821</v>
      </c>
      <c r="BV14" s="416">
        <f t="shared" si="84"/>
        <v>1.6179166666666653</v>
      </c>
      <c r="BW14" s="416">
        <f t="shared" si="84"/>
        <v>5.6499999999999977</v>
      </c>
      <c r="BX14" s="416">
        <f t="shared" si="84"/>
        <v>54.959440993788824</v>
      </c>
      <c r="BY14" s="416">
        <f t="shared" si="84"/>
        <v>237.89681159420289</v>
      </c>
      <c r="BZ14" s="416">
        <f t="shared" si="84"/>
        <v>426.62991389045737</v>
      </c>
      <c r="CA14" s="416">
        <f t="shared" si="84"/>
        <v>577.92800724637686</v>
      </c>
      <c r="CB14" s="514">
        <f t="shared" si="63"/>
        <v>3707.4761003185413</v>
      </c>
      <c r="CC14" s="415">
        <f t="shared" si="73"/>
        <v>2025</v>
      </c>
      <c r="CD14" s="416">
        <f>AVERAGE(CD4:CD13)</f>
        <v>635.33418478260876</v>
      </c>
      <c r="CE14" s="416">
        <f t="shared" ref="CE14:CO14" si="85">AVERAGE(CE4:CE13)</f>
        <v>567.65501811594208</v>
      </c>
      <c r="CF14" s="416">
        <f t="shared" si="85"/>
        <v>484.13298913043479</v>
      </c>
      <c r="CG14" s="416">
        <f t="shared" si="85"/>
        <v>292.81107954545462</v>
      </c>
      <c r="CH14" s="416">
        <f t="shared" si="85"/>
        <v>103.25939244851259</v>
      </c>
      <c r="CI14" s="416">
        <f t="shared" si="85"/>
        <v>11.89069871794872</v>
      </c>
      <c r="CJ14" s="416">
        <f t="shared" si="85"/>
        <v>7.4583333333333002E-2</v>
      </c>
      <c r="CK14" s="416">
        <f t="shared" si="85"/>
        <v>0.75041666666666718</v>
      </c>
      <c r="CL14" s="416">
        <f t="shared" si="85"/>
        <v>26.342536231884061</v>
      </c>
      <c r="CM14" s="416">
        <f t="shared" si="85"/>
        <v>181.36347826086953</v>
      </c>
      <c r="CN14" s="416">
        <f t="shared" si="85"/>
        <v>366.78033055712399</v>
      </c>
      <c r="CO14" s="416">
        <f t="shared" si="85"/>
        <v>515.92800724637686</v>
      </c>
      <c r="CP14" s="413"/>
      <c r="CQ14" s="415">
        <f t="shared" si="75"/>
        <v>2025</v>
      </c>
      <c r="CR14" s="416">
        <f>AVERAGE(CR4:CR13)</f>
        <v>573.33418478260865</v>
      </c>
      <c r="CS14" s="416">
        <f t="shared" ref="CS14:DC14" si="86">AVERAGE(CS4:CS13)</f>
        <v>511.05501811594206</v>
      </c>
      <c r="CT14" s="416">
        <f t="shared" si="86"/>
        <v>422.13298913043479</v>
      </c>
      <c r="CU14" s="416">
        <f t="shared" si="86"/>
        <v>234.57024621212122</v>
      </c>
      <c r="CV14" s="416">
        <f t="shared" si="86"/>
        <v>64.294809115179262</v>
      </c>
      <c r="CW14" s="416">
        <f t="shared" si="86"/>
        <v>3.2341666666666669</v>
      </c>
      <c r="CX14" s="416">
        <f t="shared" si="86"/>
        <v>0</v>
      </c>
      <c r="CY14" s="416">
        <f t="shared" si="86"/>
        <v>0</v>
      </c>
      <c r="CZ14" s="416">
        <f t="shared" si="86"/>
        <v>10.413369565217392</v>
      </c>
      <c r="DA14" s="416">
        <f t="shared" si="86"/>
        <v>130.19639492753623</v>
      </c>
      <c r="DB14" s="416">
        <f t="shared" si="86"/>
        <v>307.43824722379077</v>
      </c>
      <c r="DC14" s="416">
        <f t="shared" si="86"/>
        <v>453.92800724637681</v>
      </c>
      <c r="DD14" s="413"/>
      <c r="DE14" s="415">
        <f t="shared" si="77"/>
        <v>2025</v>
      </c>
      <c r="DF14" s="416">
        <f>AVERAGE(DF4:DF13)</f>
        <v>511.33418478260876</v>
      </c>
      <c r="DG14" s="416">
        <f t="shared" ref="DG14:DQ14" si="87">AVERAGE(DG4:DG13)</f>
        <v>454.45501811594193</v>
      </c>
      <c r="DH14" s="416">
        <f t="shared" si="87"/>
        <v>360.16257246376813</v>
      </c>
      <c r="DI14" s="416">
        <f t="shared" si="87"/>
        <v>178.02149621212124</v>
      </c>
      <c r="DJ14" s="416">
        <f t="shared" si="87"/>
        <v>35.998420226290364</v>
      </c>
      <c r="DK14" s="416">
        <f t="shared" si="87"/>
        <v>0.5225000000000003</v>
      </c>
      <c r="DL14" s="416">
        <f t="shared" si="87"/>
        <v>0</v>
      </c>
      <c r="DM14" s="416">
        <f t="shared" si="87"/>
        <v>0</v>
      </c>
      <c r="DN14" s="416">
        <f t="shared" si="87"/>
        <v>2.6674999999999995</v>
      </c>
      <c r="DO14" s="416">
        <f t="shared" si="87"/>
        <v>85.537644927536221</v>
      </c>
      <c r="DP14" s="416">
        <f t="shared" si="87"/>
        <v>248.90783055712399</v>
      </c>
      <c r="DQ14" s="416">
        <f t="shared" si="87"/>
        <v>391.92800724637681</v>
      </c>
      <c r="DR14" s="413"/>
      <c r="DS14" s="415">
        <f t="shared" si="79"/>
        <v>2025</v>
      </c>
      <c r="DT14" s="416">
        <f>AVERAGE(DT4:DT13)</f>
        <v>449.33418478260865</v>
      </c>
      <c r="DU14" s="416">
        <f t="shared" ref="DU14:EE14" si="88">AVERAGE(DU4:DU13)</f>
        <v>397.85501811594202</v>
      </c>
      <c r="DV14" s="416">
        <f t="shared" si="88"/>
        <v>298.65173913043481</v>
      </c>
      <c r="DW14" s="416">
        <f t="shared" si="88"/>
        <v>125.17066287878788</v>
      </c>
      <c r="DX14" s="416">
        <f t="shared" si="88"/>
        <v>18.031833333333331</v>
      </c>
      <c r="DY14" s="416">
        <f t="shared" si="88"/>
        <v>9.7916666666666957E-2</v>
      </c>
      <c r="DZ14" s="416">
        <f t="shared" si="88"/>
        <v>0</v>
      </c>
      <c r="EA14" s="416">
        <f t="shared" si="88"/>
        <v>0</v>
      </c>
      <c r="EB14" s="416">
        <f t="shared" si="88"/>
        <v>0.57166666666666666</v>
      </c>
      <c r="EC14" s="416">
        <f t="shared" si="88"/>
        <v>50.475978260869567</v>
      </c>
      <c r="ED14" s="416">
        <f t="shared" si="88"/>
        <v>192.26908055712403</v>
      </c>
      <c r="EE14" s="416">
        <f t="shared" si="88"/>
        <v>330.0559239130435</v>
      </c>
      <c r="EF14" s="413"/>
      <c r="EG14" s="415">
        <f t="shared" si="81"/>
        <v>2025</v>
      </c>
      <c r="EH14" s="416">
        <f>AVERAGE(EH4:EH13)</f>
        <v>387.33418478260865</v>
      </c>
      <c r="EI14" s="416">
        <f t="shared" ref="EI14:ES14" si="89">AVERAGE(EI4:EI13)</f>
        <v>341.39751811594203</v>
      </c>
      <c r="EJ14" s="416">
        <f t="shared" si="89"/>
        <v>238.57840579710145</v>
      </c>
      <c r="EK14" s="416">
        <f t="shared" si="89"/>
        <v>79.984412878787879</v>
      </c>
      <c r="EL14" s="416">
        <f t="shared" si="89"/>
        <v>7.2018333333333331</v>
      </c>
      <c r="EM14" s="416">
        <f t="shared" si="89"/>
        <v>0</v>
      </c>
      <c r="EN14" s="416">
        <f t="shared" si="89"/>
        <v>0</v>
      </c>
      <c r="EO14" s="416">
        <f t="shared" si="89"/>
        <v>0</v>
      </c>
      <c r="EP14" s="416">
        <f t="shared" si="89"/>
        <v>0</v>
      </c>
      <c r="EQ14" s="416">
        <f t="shared" si="89"/>
        <v>24.76139492753623</v>
      </c>
      <c r="ER14" s="416">
        <f t="shared" si="89"/>
        <v>140.02366389045739</v>
      </c>
      <c r="ES14" s="416">
        <f t="shared" si="89"/>
        <v>268.92048913043476</v>
      </c>
      <c r="EU14" s="682">
        <f>'Monthly Data'!FO2</f>
        <v>828.55848008068415</v>
      </c>
      <c r="EV14" s="682">
        <f>'Monthly Data'!FP2</f>
        <v>700.63355549578364</v>
      </c>
      <c r="EW14" s="682">
        <f>'Monthly Data'!FQ2</f>
        <v>3039.564358915246</v>
      </c>
      <c r="EX14" s="682">
        <f>'Monthly Data'!FR2</f>
        <v>68333.448148702329</v>
      </c>
      <c r="EY14" s="682">
        <f>'Monthly Data'!FS2</f>
        <v>1467514.762265095</v>
      </c>
      <c r="EZ14" s="682">
        <f>'Monthly Data'!FT2</f>
        <v>7695159.1032567192</v>
      </c>
      <c r="FA14" s="682">
        <f>'Monthly Data'!FX2</f>
        <v>808.39489300442199</v>
      </c>
      <c r="FB14" s="682">
        <f>'Monthly Data'!FY2</f>
        <v>3594.3895364502805</v>
      </c>
      <c r="FC14" s="682">
        <f>'Monthly Data'!FZ2</f>
        <v>84380.292922166525</v>
      </c>
      <c r="FD14" s="682">
        <f>'Monthly Data'!GA2</f>
        <v>509363.96</v>
      </c>
    </row>
    <row r="15" spans="1:169">
      <c r="A15">
        <v>2015</v>
      </c>
      <c r="B15">
        <v>2</v>
      </c>
      <c r="C15" s="313">
        <v>921.85434782608706</v>
      </c>
      <c r="D15" s="313">
        <v>0</v>
      </c>
      <c r="E15" s="313">
        <v>865.85434782608706</v>
      </c>
      <c r="F15" s="313">
        <v>0</v>
      </c>
      <c r="G15" s="313">
        <v>809.85434782608706</v>
      </c>
      <c r="H15" s="313">
        <v>0</v>
      </c>
      <c r="I15" s="313">
        <v>753.85434782608695</v>
      </c>
      <c r="J15" s="313">
        <v>0</v>
      </c>
      <c r="K15" s="313">
        <v>697.85434782608695</v>
      </c>
      <c r="L15" s="313">
        <v>0</v>
      </c>
      <c r="M15" s="313">
        <v>641.85434782608695</v>
      </c>
      <c r="N15" s="313">
        <v>0</v>
      </c>
      <c r="O15" s="313">
        <v>585.85434782608695</v>
      </c>
      <c r="P15" s="313">
        <v>0</v>
      </c>
      <c r="Q15" s="383">
        <v>-12.92336956521739</v>
      </c>
      <c r="S15" s="3">
        <f>'Monthly Data'!D3</f>
        <v>83265450.286840394</v>
      </c>
      <c r="T15" s="3">
        <f>'Monthly Data'!J3</f>
        <v>1179669.817</v>
      </c>
      <c r="U15" s="3">
        <f>'Monthly Data'!P3</f>
        <v>25183858.93677</v>
      </c>
      <c r="V15" s="3">
        <f>'Monthly Data'!V3</f>
        <v>75702323.799999997</v>
      </c>
      <c r="W15" s="3">
        <f>'Monthly Data'!AB3</f>
        <v>6900555.5899999999</v>
      </c>
      <c r="X15" s="3">
        <f>'Monthly Data'!AG3</f>
        <v>14863490.869999999</v>
      </c>
      <c r="Y15" s="3">
        <f>'Monthly Data'!BC3</f>
        <v>28343639.346179899</v>
      </c>
      <c r="Z15" s="3">
        <f>'Monthly Data'!BI3</f>
        <v>7350543.5590599999</v>
      </c>
      <c r="AA15" s="3">
        <f>'Monthly Data'!BO3</f>
        <v>30137881.684263874</v>
      </c>
      <c r="AB15" s="3">
        <f>'Monthly Data'!BU3</f>
        <v>4508332.08</v>
      </c>
      <c r="BA15" s="415">
        <f t="shared" si="69"/>
        <v>2026</v>
      </c>
      <c r="BB15" s="416">
        <f t="shared" ref="BB15:BB20" si="90">BB14</f>
        <v>759.33418478260865</v>
      </c>
      <c r="BC15" s="416">
        <f t="shared" ref="BC15:BC20" si="91">BC14</f>
        <v>680.85501811594202</v>
      </c>
      <c r="BD15" s="416">
        <f t="shared" ref="BD15:BD20" si="92">BD14</f>
        <v>608.13298913043479</v>
      </c>
      <c r="BE15" s="416">
        <f t="shared" ref="BE15:BE20" si="93">BE14</f>
        <v>412.37941287878795</v>
      </c>
      <c r="BF15" s="416">
        <f t="shared" ref="BF15:BF20" si="94">BF14</f>
        <v>202.70273119310133</v>
      </c>
      <c r="BG15" s="416">
        <f t="shared" ref="BG15:BG20" si="95">BG14</f>
        <v>66.09717382617383</v>
      </c>
      <c r="BH15" s="416">
        <f t="shared" ref="BH15:BH20" si="96">BH14</f>
        <v>10.249063146997932</v>
      </c>
      <c r="BI15" s="416">
        <f t="shared" ref="BI15:BI20" si="97">BI14</f>
        <v>21.194927536231887</v>
      </c>
      <c r="BJ15" s="416">
        <f t="shared" ref="BJ15:BJ20" si="98">BJ14</f>
        <v>96.735690993788822</v>
      </c>
      <c r="BK15" s="416">
        <f t="shared" ref="BK15:BK20" si="99">BK14</f>
        <v>298.21097826086958</v>
      </c>
      <c r="BL15" s="416">
        <f t="shared" ref="BL15:BL20" si="100">BL14</f>
        <v>486.62991389045737</v>
      </c>
      <c r="BM15" s="416">
        <f t="shared" ref="BM15:BM20" si="101">BM14</f>
        <v>639.92800724637686</v>
      </c>
      <c r="BN15" s="413"/>
      <c r="BO15" s="415">
        <f t="shared" si="71"/>
        <v>2026</v>
      </c>
      <c r="BP15" s="416">
        <f t="shared" ref="BP15:BP20" si="102">BP14</f>
        <v>697.33418478260876</v>
      </c>
      <c r="BQ15" s="416">
        <f t="shared" ref="BQ15:BQ20" si="103">BQ14</f>
        <v>624.25501811594188</v>
      </c>
      <c r="BR15" s="416">
        <f t="shared" ref="BR15:BR20" si="104">BR14</f>
        <v>546.13298913043491</v>
      </c>
      <c r="BS15" s="416">
        <f t="shared" ref="BS15:BS20" si="105">BS14</f>
        <v>352.41399621212122</v>
      </c>
      <c r="BT15" s="416">
        <f t="shared" ref="BT15:BT20" si="106">BT14</f>
        <v>150.136897859768</v>
      </c>
      <c r="BU15" s="416">
        <f t="shared" ref="BU15:BU20" si="107">BU14</f>
        <v>32.520923826173821</v>
      </c>
      <c r="BV15" s="416">
        <f t="shared" ref="BV15:BV20" si="108">BV14</f>
        <v>1.6179166666666653</v>
      </c>
      <c r="BW15" s="416">
        <f t="shared" ref="BW15:BW20" si="109">BW14</f>
        <v>5.6499999999999977</v>
      </c>
      <c r="BX15" s="416">
        <f t="shared" ref="BX15:BX20" si="110">BX14</f>
        <v>54.959440993788824</v>
      </c>
      <c r="BY15" s="416">
        <f t="shared" ref="BY15:BY20" si="111">BY14</f>
        <v>237.89681159420289</v>
      </c>
      <c r="BZ15" s="416">
        <f t="shared" ref="BZ15:BZ20" si="112">BZ14</f>
        <v>426.62991389045737</v>
      </c>
      <c r="CA15" s="416">
        <f t="shared" ref="CA15:CA20" si="113">CA14</f>
        <v>577.92800724637686</v>
      </c>
      <c r="CB15" s="514">
        <f t="shared" ref="CB15:CB20" si="114">SUM(BP15:CA15)</f>
        <v>3707.4761003185413</v>
      </c>
      <c r="CC15" s="415">
        <f t="shared" si="73"/>
        <v>2026</v>
      </c>
      <c r="CD15" s="416">
        <f t="shared" ref="CD15:CD20" si="115">CD14</f>
        <v>635.33418478260876</v>
      </c>
      <c r="CE15" s="416">
        <f t="shared" ref="CE15:CE20" si="116">CE14</f>
        <v>567.65501811594208</v>
      </c>
      <c r="CF15" s="416">
        <f t="shared" ref="CF15:CF20" si="117">CF14</f>
        <v>484.13298913043479</v>
      </c>
      <c r="CG15" s="416">
        <f t="shared" ref="CG15:CG20" si="118">CG14</f>
        <v>292.81107954545462</v>
      </c>
      <c r="CH15" s="416">
        <f t="shared" ref="CH15:CH20" si="119">CH14</f>
        <v>103.25939244851259</v>
      </c>
      <c r="CI15" s="416">
        <f t="shared" ref="CI15:CI20" si="120">CI14</f>
        <v>11.89069871794872</v>
      </c>
      <c r="CJ15" s="416">
        <f t="shared" ref="CJ15:CJ20" si="121">CJ14</f>
        <v>7.4583333333333002E-2</v>
      </c>
      <c r="CK15" s="416">
        <f t="shared" ref="CK15:CK20" si="122">CK14</f>
        <v>0.75041666666666718</v>
      </c>
      <c r="CL15" s="416">
        <f t="shared" ref="CL15:CL20" si="123">CL14</f>
        <v>26.342536231884061</v>
      </c>
      <c r="CM15" s="416">
        <f t="shared" ref="CM15:CM20" si="124">CM14</f>
        <v>181.36347826086953</v>
      </c>
      <c r="CN15" s="416">
        <f t="shared" ref="CN15:CN20" si="125">CN14</f>
        <v>366.78033055712399</v>
      </c>
      <c r="CO15" s="416">
        <f t="shared" ref="CO15:CO20" si="126">CO14</f>
        <v>515.92800724637686</v>
      </c>
      <c r="CP15" s="413"/>
      <c r="CQ15" s="415">
        <f t="shared" si="75"/>
        <v>2026</v>
      </c>
      <c r="CR15" s="416">
        <f t="shared" ref="CR15:CR20" si="127">CR14</f>
        <v>573.33418478260865</v>
      </c>
      <c r="CS15" s="416">
        <f t="shared" ref="CS15:CS20" si="128">CS14</f>
        <v>511.05501811594206</v>
      </c>
      <c r="CT15" s="416">
        <f t="shared" ref="CT15:CT20" si="129">CT14</f>
        <v>422.13298913043479</v>
      </c>
      <c r="CU15" s="416">
        <f t="shared" ref="CU15:CU20" si="130">CU14</f>
        <v>234.57024621212122</v>
      </c>
      <c r="CV15" s="416">
        <f t="shared" ref="CV15:CV20" si="131">CV14</f>
        <v>64.294809115179262</v>
      </c>
      <c r="CW15" s="416">
        <f t="shared" ref="CW15:CW20" si="132">CW14</f>
        <v>3.2341666666666669</v>
      </c>
      <c r="CX15" s="416">
        <f t="shared" ref="CX15:CX20" si="133">CX14</f>
        <v>0</v>
      </c>
      <c r="CY15" s="416">
        <f t="shared" ref="CY15:CY20" si="134">CY14</f>
        <v>0</v>
      </c>
      <c r="CZ15" s="416">
        <f t="shared" ref="CZ15:CZ20" si="135">CZ14</f>
        <v>10.413369565217392</v>
      </c>
      <c r="DA15" s="416">
        <f t="shared" ref="DA15:DA20" si="136">DA14</f>
        <v>130.19639492753623</v>
      </c>
      <c r="DB15" s="416">
        <f t="shared" ref="DB15:DB20" si="137">DB14</f>
        <v>307.43824722379077</v>
      </c>
      <c r="DC15" s="416">
        <f t="shared" ref="DC15:DC20" si="138">DC14</f>
        <v>453.92800724637681</v>
      </c>
      <c r="DD15" s="413"/>
      <c r="DE15" s="415">
        <f t="shared" si="77"/>
        <v>2026</v>
      </c>
      <c r="DF15" s="416">
        <f t="shared" ref="DF15:DF20" si="139">DF14</f>
        <v>511.33418478260876</v>
      </c>
      <c r="DG15" s="416">
        <f t="shared" ref="DG15:DG20" si="140">DG14</f>
        <v>454.45501811594193</v>
      </c>
      <c r="DH15" s="416">
        <f t="shared" ref="DH15:DH20" si="141">DH14</f>
        <v>360.16257246376813</v>
      </c>
      <c r="DI15" s="416">
        <f t="shared" ref="DI15:DI20" si="142">DI14</f>
        <v>178.02149621212124</v>
      </c>
      <c r="DJ15" s="416">
        <f t="shared" ref="DJ15:DJ20" si="143">DJ14</f>
        <v>35.998420226290364</v>
      </c>
      <c r="DK15" s="416">
        <f t="shared" ref="DK15:DK20" si="144">DK14</f>
        <v>0.5225000000000003</v>
      </c>
      <c r="DL15" s="416">
        <f t="shared" ref="DL15:DL20" si="145">DL14</f>
        <v>0</v>
      </c>
      <c r="DM15" s="416">
        <f t="shared" ref="DM15:DM20" si="146">DM14</f>
        <v>0</v>
      </c>
      <c r="DN15" s="416">
        <f t="shared" ref="DN15:DN20" si="147">DN14</f>
        <v>2.6674999999999995</v>
      </c>
      <c r="DO15" s="416">
        <f t="shared" ref="DO15:DO20" si="148">DO14</f>
        <v>85.537644927536221</v>
      </c>
      <c r="DP15" s="416">
        <f t="shared" ref="DP15:DP20" si="149">DP14</f>
        <v>248.90783055712399</v>
      </c>
      <c r="DQ15" s="416">
        <f t="shared" ref="DQ15:DQ20" si="150">DQ14</f>
        <v>391.92800724637681</v>
      </c>
      <c r="DR15" s="413"/>
      <c r="DS15" s="415">
        <f t="shared" si="79"/>
        <v>2026</v>
      </c>
      <c r="DT15" s="416">
        <f t="shared" ref="DT15:DT20" si="151">DT14</f>
        <v>449.33418478260865</v>
      </c>
      <c r="DU15" s="416">
        <f t="shared" ref="DU15:DU20" si="152">DU14</f>
        <v>397.85501811594202</v>
      </c>
      <c r="DV15" s="416">
        <f t="shared" ref="DV15:DV20" si="153">DV14</f>
        <v>298.65173913043481</v>
      </c>
      <c r="DW15" s="416">
        <f t="shared" ref="DW15:DW20" si="154">DW14</f>
        <v>125.17066287878788</v>
      </c>
      <c r="DX15" s="416">
        <f t="shared" ref="DX15:DX20" si="155">DX14</f>
        <v>18.031833333333331</v>
      </c>
      <c r="DY15" s="416">
        <f t="shared" ref="DY15:DY20" si="156">DY14</f>
        <v>9.7916666666666957E-2</v>
      </c>
      <c r="DZ15" s="416">
        <f t="shared" ref="DZ15:DZ20" si="157">DZ14</f>
        <v>0</v>
      </c>
      <c r="EA15" s="416">
        <f t="shared" ref="EA15:EA20" si="158">EA14</f>
        <v>0</v>
      </c>
      <c r="EB15" s="416">
        <f t="shared" ref="EB15:EB20" si="159">EB14</f>
        <v>0.57166666666666666</v>
      </c>
      <c r="EC15" s="416">
        <f t="shared" ref="EC15:EC20" si="160">EC14</f>
        <v>50.475978260869567</v>
      </c>
      <c r="ED15" s="416">
        <f t="shared" ref="ED15:ED20" si="161">ED14</f>
        <v>192.26908055712403</v>
      </c>
      <c r="EE15" s="416">
        <f t="shared" ref="EE15:EE20" si="162">EE14</f>
        <v>330.0559239130435</v>
      </c>
      <c r="EF15" s="413"/>
      <c r="EG15" s="415">
        <f t="shared" si="81"/>
        <v>2026</v>
      </c>
      <c r="EH15" s="416">
        <f t="shared" ref="EH15:EH20" si="163">EH14</f>
        <v>387.33418478260865</v>
      </c>
      <c r="EI15" s="416">
        <f t="shared" ref="EI15:EI20" si="164">EI14</f>
        <v>341.39751811594203</v>
      </c>
      <c r="EJ15" s="416">
        <f t="shared" ref="EJ15:EJ20" si="165">EJ14</f>
        <v>238.57840579710145</v>
      </c>
      <c r="EK15" s="416">
        <f t="shared" ref="EK15:EK20" si="166">EK14</f>
        <v>79.984412878787879</v>
      </c>
      <c r="EL15" s="416">
        <f t="shared" ref="EL15:EL20" si="167">EL14</f>
        <v>7.2018333333333331</v>
      </c>
      <c r="EM15" s="416">
        <f t="shared" ref="EM15:EM20" si="168">EM14</f>
        <v>0</v>
      </c>
      <c r="EN15" s="416">
        <f t="shared" ref="EN15:EN20" si="169">EN14</f>
        <v>0</v>
      </c>
      <c r="EO15" s="416">
        <f t="shared" ref="EO15:EO20" si="170">EO14</f>
        <v>0</v>
      </c>
      <c r="EP15" s="416">
        <f t="shared" ref="EP15:EP20" si="171">EP14</f>
        <v>0</v>
      </c>
      <c r="EQ15" s="416">
        <f t="shared" ref="EQ15:EQ20" si="172">EQ14</f>
        <v>24.76139492753623</v>
      </c>
      <c r="ER15" s="416">
        <f t="shared" ref="ER15:ER20" si="173">ER14</f>
        <v>140.02366389045739</v>
      </c>
      <c r="ES15" s="416">
        <f t="shared" ref="ES15:ES20" si="174">ES14</f>
        <v>268.92048913043476</v>
      </c>
      <c r="EU15" s="682">
        <f>'Monthly Data'!FO3</f>
        <v>779.43578328932824</v>
      </c>
      <c r="EV15" s="682">
        <f>'Monthly Data'!FP3</f>
        <v>743.40897129224209</v>
      </c>
      <c r="EW15" s="682">
        <f>'Monthly Data'!FQ3</f>
        <v>2863.8143708292278</v>
      </c>
      <c r="EX15" s="682">
        <f>'Monthly Data'!FR3</f>
        <v>73192.91788960484</v>
      </c>
      <c r="EY15" s="682">
        <f>'Monthly Data'!FS3</f>
        <v>1381739.0570571166</v>
      </c>
      <c r="EZ15" s="682">
        <f>'Monthly Data'!FT3</f>
        <v>6981939.9196904646</v>
      </c>
      <c r="FA15" s="682">
        <f>'Monthly Data'!FX3</f>
        <v>731.64247378778566</v>
      </c>
      <c r="FB15" s="682">
        <f>'Monthly Data'!FY3</f>
        <v>3436.3037422373641</v>
      </c>
      <c r="FC15" s="682">
        <f>'Monthly Data'!FZ3</f>
        <v>82736.9201462973</v>
      </c>
      <c r="FD15" s="682">
        <f>'Monthly Data'!GA3</f>
        <v>419733.05499999999</v>
      </c>
    </row>
    <row r="16" spans="1:169">
      <c r="A16">
        <v>2015</v>
      </c>
      <c r="B16">
        <v>3</v>
      </c>
      <c r="C16" s="313">
        <v>699.80000000000007</v>
      </c>
      <c r="D16" s="313">
        <v>0</v>
      </c>
      <c r="E16" s="313">
        <v>637.79999999999995</v>
      </c>
      <c r="F16" s="313">
        <v>0</v>
      </c>
      <c r="G16" s="313">
        <v>575.79999999999995</v>
      </c>
      <c r="H16" s="313">
        <v>0</v>
      </c>
      <c r="I16" s="313">
        <v>513.79999999999995</v>
      </c>
      <c r="J16" s="313">
        <v>0</v>
      </c>
      <c r="K16" s="313">
        <v>451.8</v>
      </c>
      <c r="L16" s="313">
        <v>0</v>
      </c>
      <c r="M16" s="313">
        <v>389.8</v>
      </c>
      <c r="N16" s="313">
        <v>0</v>
      </c>
      <c r="O16" s="313">
        <v>327.79999999999995</v>
      </c>
      <c r="P16" s="313">
        <v>0</v>
      </c>
      <c r="Q16" s="383">
        <v>-2.5741935483870972</v>
      </c>
      <c r="S16" s="3">
        <f>'Monthly Data'!D4</f>
        <v>76468818.650069907</v>
      </c>
      <c r="T16" s="3">
        <f>'Monthly Data'!J4</f>
        <v>948193.77749999904</v>
      </c>
      <c r="U16" s="3">
        <f>'Monthly Data'!P4</f>
        <v>24614376.237229999</v>
      </c>
      <c r="V16" s="3">
        <f>'Monthly Data'!V4</f>
        <v>84970011.320000008</v>
      </c>
      <c r="W16" s="3">
        <f>'Monthly Data'!AB4</f>
        <v>7374204.4000000004</v>
      </c>
      <c r="X16" s="3">
        <f>'Monthly Data'!AG4</f>
        <v>19187596.68</v>
      </c>
      <c r="Y16" s="3">
        <f>'Monthly Data'!BC4</f>
        <v>26975318.684610099</v>
      </c>
      <c r="Z16" s="3">
        <f>'Monthly Data'!BI4</f>
        <v>7116764.8280999996</v>
      </c>
      <c r="AA16" s="3">
        <f>'Monthly Data'!BO4</f>
        <v>29235061.463367853</v>
      </c>
      <c r="AB16" s="3">
        <f>'Monthly Data'!BU4</f>
        <v>5001950.6500000004</v>
      </c>
      <c r="BA16" s="415">
        <f t="shared" ref="BA16:BA18" si="175">BA15+1</f>
        <v>2027</v>
      </c>
      <c r="BB16" s="416">
        <f t="shared" si="90"/>
        <v>759.33418478260865</v>
      </c>
      <c r="BC16" s="416">
        <f t="shared" si="91"/>
        <v>680.85501811594202</v>
      </c>
      <c r="BD16" s="416">
        <f t="shared" si="92"/>
        <v>608.13298913043479</v>
      </c>
      <c r="BE16" s="416">
        <f t="shared" si="93"/>
        <v>412.37941287878795</v>
      </c>
      <c r="BF16" s="416">
        <f t="shared" si="94"/>
        <v>202.70273119310133</v>
      </c>
      <c r="BG16" s="416">
        <f t="shared" si="95"/>
        <v>66.09717382617383</v>
      </c>
      <c r="BH16" s="416">
        <f t="shared" si="96"/>
        <v>10.249063146997932</v>
      </c>
      <c r="BI16" s="416">
        <f t="shared" si="97"/>
        <v>21.194927536231887</v>
      </c>
      <c r="BJ16" s="416">
        <f t="shared" si="98"/>
        <v>96.735690993788822</v>
      </c>
      <c r="BK16" s="416">
        <f t="shared" si="99"/>
        <v>298.21097826086958</v>
      </c>
      <c r="BL16" s="416">
        <f t="shared" si="100"/>
        <v>486.62991389045737</v>
      </c>
      <c r="BM16" s="416">
        <f t="shared" si="101"/>
        <v>639.92800724637686</v>
      </c>
      <c r="BN16" s="413"/>
      <c r="BO16" s="415">
        <f t="shared" ref="BO16:BO20" si="176">BO15+1</f>
        <v>2027</v>
      </c>
      <c r="BP16" s="416">
        <f t="shared" si="102"/>
        <v>697.33418478260876</v>
      </c>
      <c r="BQ16" s="416">
        <f t="shared" si="103"/>
        <v>624.25501811594188</v>
      </c>
      <c r="BR16" s="416">
        <f t="shared" si="104"/>
        <v>546.13298913043491</v>
      </c>
      <c r="BS16" s="416">
        <f t="shared" si="105"/>
        <v>352.41399621212122</v>
      </c>
      <c r="BT16" s="416">
        <f t="shared" si="106"/>
        <v>150.136897859768</v>
      </c>
      <c r="BU16" s="416">
        <f t="shared" si="107"/>
        <v>32.520923826173821</v>
      </c>
      <c r="BV16" s="416">
        <f t="shared" si="108"/>
        <v>1.6179166666666653</v>
      </c>
      <c r="BW16" s="416">
        <f t="shared" si="109"/>
        <v>5.6499999999999977</v>
      </c>
      <c r="BX16" s="416">
        <f t="shared" si="110"/>
        <v>54.959440993788824</v>
      </c>
      <c r="BY16" s="416">
        <f t="shared" si="111"/>
        <v>237.89681159420289</v>
      </c>
      <c r="BZ16" s="416">
        <f t="shared" si="112"/>
        <v>426.62991389045737</v>
      </c>
      <c r="CA16" s="416">
        <f t="shared" si="113"/>
        <v>577.92800724637686</v>
      </c>
      <c r="CB16" s="514">
        <f t="shared" si="114"/>
        <v>3707.4761003185413</v>
      </c>
      <c r="CC16" s="415">
        <f t="shared" ref="CC16:CC20" si="177">CC15+1</f>
        <v>2027</v>
      </c>
      <c r="CD16" s="416">
        <f t="shared" si="115"/>
        <v>635.33418478260876</v>
      </c>
      <c r="CE16" s="416">
        <f t="shared" si="116"/>
        <v>567.65501811594208</v>
      </c>
      <c r="CF16" s="416">
        <f t="shared" si="117"/>
        <v>484.13298913043479</v>
      </c>
      <c r="CG16" s="416">
        <f t="shared" si="118"/>
        <v>292.81107954545462</v>
      </c>
      <c r="CH16" s="416">
        <f t="shared" si="119"/>
        <v>103.25939244851259</v>
      </c>
      <c r="CI16" s="416">
        <f t="shared" si="120"/>
        <v>11.89069871794872</v>
      </c>
      <c r="CJ16" s="416">
        <f t="shared" si="121"/>
        <v>7.4583333333333002E-2</v>
      </c>
      <c r="CK16" s="416">
        <f t="shared" si="122"/>
        <v>0.75041666666666718</v>
      </c>
      <c r="CL16" s="416">
        <f t="shared" si="123"/>
        <v>26.342536231884061</v>
      </c>
      <c r="CM16" s="416">
        <f t="shared" si="124"/>
        <v>181.36347826086953</v>
      </c>
      <c r="CN16" s="416">
        <f t="shared" si="125"/>
        <v>366.78033055712399</v>
      </c>
      <c r="CO16" s="416">
        <f t="shared" si="126"/>
        <v>515.92800724637686</v>
      </c>
      <c r="CP16" s="413"/>
      <c r="CQ16" s="415">
        <f t="shared" ref="CQ16:CQ20" si="178">CQ15+1</f>
        <v>2027</v>
      </c>
      <c r="CR16" s="416">
        <f t="shared" si="127"/>
        <v>573.33418478260865</v>
      </c>
      <c r="CS16" s="416">
        <f t="shared" si="128"/>
        <v>511.05501811594206</v>
      </c>
      <c r="CT16" s="416">
        <f t="shared" si="129"/>
        <v>422.13298913043479</v>
      </c>
      <c r="CU16" s="416">
        <f t="shared" si="130"/>
        <v>234.57024621212122</v>
      </c>
      <c r="CV16" s="416">
        <f t="shared" si="131"/>
        <v>64.294809115179262</v>
      </c>
      <c r="CW16" s="416">
        <f t="shared" si="132"/>
        <v>3.2341666666666669</v>
      </c>
      <c r="CX16" s="416">
        <f t="shared" si="133"/>
        <v>0</v>
      </c>
      <c r="CY16" s="416">
        <f t="shared" si="134"/>
        <v>0</v>
      </c>
      <c r="CZ16" s="416">
        <f t="shared" si="135"/>
        <v>10.413369565217392</v>
      </c>
      <c r="DA16" s="416">
        <f t="shared" si="136"/>
        <v>130.19639492753623</v>
      </c>
      <c r="DB16" s="416">
        <f t="shared" si="137"/>
        <v>307.43824722379077</v>
      </c>
      <c r="DC16" s="416">
        <f t="shared" si="138"/>
        <v>453.92800724637681</v>
      </c>
      <c r="DD16" s="413"/>
      <c r="DE16" s="415">
        <f t="shared" ref="DE16:DE20" si="179">DE15+1</f>
        <v>2027</v>
      </c>
      <c r="DF16" s="416">
        <f t="shared" si="139"/>
        <v>511.33418478260876</v>
      </c>
      <c r="DG16" s="416">
        <f t="shared" si="140"/>
        <v>454.45501811594193</v>
      </c>
      <c r="DH16" s="416">
        <f t="shared" si="141"/>
        <v>360.16257246376813</v>
      </c>
      <c r="DI16" s="416">
        <f t="shared" si="142"/>
        <v>178.02149621212124</v>
      </c>
      <c r="DJ16" s="416">
        <f t="shared" si="143"/>
        <v>35.998420226290364</v>
      </c>
      <c r="DK16" s="416">
        <f t="shared" si="144"/>
        <v>0.5225000000000003</v>
      </c>
      <c r="DL16" s="416">
        <f t="shared" si="145"/>
        <v>0</v>
      </c>
      <c r="DM16" s="416">
        <f t="shared" si="146"/>
        <v>0</v>
      </c>
      <c r="DN16" s="416">
        <f t="shared" si="147"/>
        <v>2.6674999999999995</v>
      </c>
      <c r="DO16" s="416">
        <f t="shared" si="148"/>
        <v>85.537644927536221</v>
      </c>
      <c r="DP16" s="416">
        <f t="shared" si="149"/>
        <v>248.90783055712399</v>
      </c>
      <c r="DQ16" s="416">
        <f t="shared" si="150"/>
        <v>391.92800724637681</v>
      </c>
      <c r="DR16" s="413"/>
      <c r="DS16" s="415">
        <f t="shared" ref="DS16:DS20" si="180">DS15+1</f>
        <v>2027</v>
      </c>
      <c r="DT16" s="416">
        <f t="shared" si="151"/>
        <v>449.33418478260865</v>
      </c>
      <c r="DU16" s="416">
        <f t="shared" si="152"/>
        <v>397.85501811594202</v>
      </c>
      <c r="DV16" s="416">
        <f t="shared" si="153"/>
        <v>298.65173913043481</v>
      </c>
      <c r="DW16" s="416">
        <f t="shared" si="154"/>
        <v>125.17066287878788</v>
      </c>
      <c r="DX16" s="416">
        <f t="shared" si="155"/>
        <v>18.031833333333331</v>
      </c>
      <c r="DY16" s="416">
        <f t="shared" si="156"/>
        <v>9.7916666666666957E-2</v>
      </c>
      <c r="DZ16" s="416">
        <f t="shared" si="157"/>
        <v>0</v>
      </c>
      <c r="EA16" s="416">
        <f t="shared" si="158"/>
        <v>0</v>
      </c>
      <c r="EB16" s="416">
        <f t="shared" si="159"/>
        <v>0.57166666666666666</v>
      </c>
      <c r="EC16" s="416">
        <f t="shared" si="160"/>
        <v>50.475978260869567</v>
      </c>
      <c r="ED16" s="416">
        <f t="shared" si="161"/>
        <v>192.26908055712403</v>
      </c>
      <c r="EE16" s="416">
        <f t="shared" si="162"/>
        <v>330.0559239130435</v>
      </c>
      <c r="EF16" s="413"/>
      <c r="EG16" s="415">
        <f t="shared" ref="EG16:EG20" si="181">EG15+1</f>
        <v>2027</v>
      </c>
      <c r="EH16" s="416">
        <f t="shared" si="163"/>
        <v>387.33418478260865</v>
      </c>
      <c r="EI16" s="416">
        <f t="shared" si="164"/>
        <v>341.39751811594203</v>
      </c>
      <c r="EJ16" s="416">
        <f t="shared" si="165"/>
        <v>238.57840579710145</v>
      </c>
      <c r="EK16" s="416">
        <f t="shared" si="166"/>
        <v>79.984412878787879</v>
      </c>
      <c r="EL16" s="416">
        <f t="shared" si="167"/>
        <v>7.2018333333333331</v>
      </c>
      <c r="EM16" s="416">
        <f t="shared" si="168"/>
        <v>0</v>
      </c>
      <c r="EN16" s="416">
        <f t="shared" si="169"/>
        <v>0</v>
      </c>
      <c r="EO16" s="416">
        <f t="shared" si="170"/>
        <v>0</v>
      </c>
      <c r="EP16" s="416">
        <f t="shared" si="171"/>
        <v>0</v>
      </c>
      <c r="EQ16" s="416">
        <f t="shared" si="172"/>
        <v>24.76139492753623</v>
      </c>
      <c r="ER16" s="416">
        <f t="shared" si="173"/>
        <v>140.02366389045739</v>
      </c>
      <c r="ES16" s="416">
        <f t="shared" si="174"/>
        <v>268.92048913043476</v>
      </c>
      <c r="EU16" s="682">
        <f>'Monthly Data'!FO4</f>
        <v>716.86049550744997</v>
      </c>
      <c r="EV16" s="682">
        <f>'Monthly Data'!FP4</f>
        <v>598.67472616456098</v>
      </c>
      <c r="EW16" s="682">
        <f>'Monthly Data'!FQ4</f>
        <v>2800.6530855282513</v>
      </c>
      <c r="EX16" s="682">
        <f>'Monthly Data'!FR4</f>
        <v>81984.905739599431</v>
      </c>
      <c r="EY16" s="682">
        <f>'Monthly Data'!FS4</f>
        <v>1476652.136713889</v>
      </c>
      <c r="EZ16" s="682">
        <f>'Monthly Data'!FT4</f>
        <v>8654825.3135820292</v>
      </c>
      <c r="FA16" s="682">
        <f>'Monthly Data'!FX4</f>
        <v>696.48724531951905</v>
      </c>
      <c r="FB16" s="682">
        <f>'Monthly Data'!FY4</f>
        <v>3327.2263375627776</v>
      </c>
      <c r="FC16" s="682">
        <f>'Monthly Data'!FZ4</f>
        <v>80335.849706834604</v>
      </c>
      <c r="FD16" s="682">
        <f>'Monthly Data'!GA4</f>
        <v>397966.92499999999</v>
      </c>
    </row>
    <row r="17" spans="1:160">
      <c r="A17">
        <v>2015</v>
      </c>
      <c r="B17">
        <v>4</v>
      </c>
      <c r="C17" s="313">
        <v>406.75037878787873</v>
      </c>
      <c r="D17" s="313">
        <v>0</v>
      </c>
      <c r="E17" s="313">
        <v>346.75037878787867</v>
      </c>
      <c r="F17" s="313">
        <v>0</v>
      </c>
      <c r="G17" s="313">
        <v>286.75037878787873</v>
      </c>
      <c r="H17" s="313">
        <v>0</v>
      </c>
      <c r="I17" s="313">
        <v>226.75037878787884</v>
      </c>
      <c r="J17" s="313">
        <v>0</v>
      </c>
      <c r="K17" s="313">
        <v>168.28371212121215</v>
      </c>
      <c r="L17" s="313">
        <v>1.5333333333333332</v>
      </c>
      <c r="M17" s="313">
        <v>116.58371212121212</v>
      </c>
      <c r="N17" s="313">
        <v>9.8333333333333321</v>
      </c>
      <c r="O17" s="313">
        <v>72.862878787878799</v>
      </c>
      <c r="P17" s="313">
        <v>26.112499999999997</v>
      </c>
      <c r="Q17" s="383">
        <v>6.4416540404040381</v>
      </c>
      <c r="S17" s="3">
        <f>'Monthly Data'!D5</f>
        <v>62068290.857111</v>
      </c>
      <c r="T17" s="3">
        <f>'Monthly Data'!J5</f>
        <v>654930.37795000104</v>
      </c>
      <c r="U17" s="3">
        <f>'Monthly Data'!P5</f>
        <v>20949826.519850001</v>
      </c>
      <c r="V17" s="3">
        <f>'Monthly Data'!V5</f>
        <v>77600036.510000005</v>
      </c>
      <c r="W17" s="3">
        <f>'Monthly Data'!AB5</f>
        <v>7194396.54</v>
      </c>
      <c r="X17" s="3">
        <f>'Monthly Data'!AG5</f>
        <v>17533197.91</v>
      </c>
      <c r="Y17" s="3">
        <f>'Monthly Data'!BC5</f>
        <v>23025718.862509999</v>
      </c>
      <c r="Z17" s="3">
        <f>'Monthly Data'!BI5</f>
        <v>6040445.2580000097</v>
      </c>
      <c r="AA17" s="3">
        <f>'Monthly Data'!BO5</f>
        <v>27991938.171590615</v>
      </c>
      <c r="AB17" s="3">
        <f>'Monthly Data'!BU5</f>
        <v>4877256.38</v>
      </c>
      <c r="BA17" s="415">
        <f t="shared" si="175"/>
        <v>2028</v>
      </c>
      <c r="BB17" s="416">
        <f t="shared" si="90"/>
        <v>759.33418478260865</v>
      </c>
      <c r="BC17" s="416">
        <f t="shared" si="91"/>
        <v>680.85501811594202</v>
      </c>
      <c r="BD17" s="416">
        <f t="shared" si="92"/>
        <v>608.13298913043479</v>
      </c>
      <c r="BE17" s="416">
        <f t="shared" si="93"/>
        <v>412.37941287878795</v>
      </c>
      <c r="BF17" s="416">
        <f t="shared" si="94"/>
        <v>202.70273119310133</v>
      </c>
      <c r="BG17" s="416">
        <f t="shared" si="95"/>
        <v>66.09717382617383</v>
      </c>
      <c r="BH17" s="416">
        <f t="shared" si="96"/>
        <v>10.249063146997932</v>
      </c>
      <c r="BI17" s="416">
        <f t="shared" si="97"/>
        <v>21.194927536231887</v>
      </c>
      <c r="BJ17" s="416">
        <f t="shared" si="98"/>
        <v>96.735690993788822</v>
      </c>
      <c r="BK17" s="416">
        <f t="shared" si="99"/>
        <v>298.21097826086958</v>
      </c>
      <c r="BL17" s="416">
        <f t="shared" si="100"/>
        <v>486.62991389045737</v>
      </c>
      <c r="BM17" s="416">
        <f t="shared" si="101"/>
        <v>639.92800724637686</v>
      </c>
      <c r="BN17" s="413"/>
      <c r="BO17" s="415">
        <f t="shared" si="176"/>
        <v>2028</v>
      </c>
      <c r="BP17" s="416">
        <f t="shared" si="102"/>
        <v>697.33418478260876</v>
      </c>
      <c r="BQ17" s="416">
        <f t="shared" si="103"/>
        <v>624.25501811594188</v>
      </c>
      <c r="BR17" s="416">
        <f t="shared" si="104"/>
        <v>546.13298913043491</v>
      </c>
      <c r="BS17" s="416">
        <f t="shared" si="105"/>
        <v>352.41399621212122</v>
      </c>
      <c r="BT17" s="416">
        <f t="shared" si="106"/>
        <v>150.136897859768</v>
      </c>
      <c r="BU17" s="416">
        <f t="shared" si="107"/>
        <v>32.520923826173821</v>
      </c>
      <c r="BV17" s="416">
        <f t="shared" si="108"/>
        <v>1.6179166666666653</v>
      </c>
      <c r="BW17" s="416">
        <f t="shared" si="109"/>
        <v>5.6499999999999977</v>
      </c>
      <c r="BX17" s="416">
        <f t="shared" si="110"/>
        <v>54.959440993788824</v>
      </c>
      <c r="BY17" s="416">
        <f t="shared" si="111"/>
        <v>237.89681159420289</v>
      </c>
      <c r="BZ17" s="416">
        <f t="shared" si="112"/>
        <v>426.62991389045737</v>
      </c>
      <c r="CA17" s="416">
        <f t="shared" si="113"/>
        <v>577.92800724637686</v>
      </c>
      <c r="CB17" s="514">
        <f t="shared" si="114"/>
        <v>3707.4761003185413</v>
      </c>
      <c r="CC17" s="415">
        <f t="shared" si="177"/>
        <v>2028</v>
      </c>
      <c r="CD17" s="416">
        <f t="shared" si="115"/>
        <v>635.33418478260876</v>
      </c>
      <c r="CE17" s="416">
        <f t="shared" si="116"/>
        <v>567.65501811594208</v>
      </c>
      <c r="CF17" s="416">
        <f t="shared" si="117"/>
        <v>484.13298913043479</v>
      </c>
      <c r="CG17" s="416">
        <f t="shared" si="118"/>
        <v>292.81107954545462</v>
      </c>
      <c r="CH17" s="416">
        <f t="shared" si="119"/>
        <v>103.25939244851259</v>
      </c>
      <c r="CI17" s="416">
        <f t="shared" si="120"/>
        <v>11.89069871794872</v>
      </c>
      <c r="CJ17" s="416">
        <f t="shared" si="121"/>
        <v>7.4583333333333002E-2</v>
      </c>
      <c r="CK17" s="416">
        <f t="shared" si="122"/>
        <v>0.75041666666666718</v>
      </c>
      <c r="CL17" s="416">
        <f t="shared" si="123"/>
        <v>26.342536231884061</v>
      </c>
      <c r="CM17" s="416">
        <f t="shared" si="124"/>
        <v>181.36347826086953</v>
      </c>
      <c r="CN17" s="416">
        <f t="shared" si="125"/>
        <v>366.78033055712399</v>
      </c>
      <c r="CO17" s="416">
        <f t="shared" si="126"/>
        <v>515.92800724637686</v>
      </c>
      <c r="CP17" s="413"/>
      <c r="CQ17" s="415">
        <f t="shared" si="178"/>
        <v>2028</v>
      </c>
      <c r="CR17" s="416">
        <f t="shared" si="127"/>
        <v>573.33418478260865</v>
      </c>
      <c r="CS17" s="416">
        <f t="shared" si="128"/>
        <v>511.05501811594206</v>
      </c>
      <c r="CT17" s="416">
        <f t="shared" si="129"/>
        <v>422.13298913043479</v>
      </c>
      <c r="CU17" s="416">
        <f t="shared" si="130"/>
        <v>234.57024621212122</v>
      </c>
      <c r="CV17" s="416">
        <f t="shared" si="131"/>
        <v>64.294809115179262</v>
      </c>
      <c r="CW17" s="416">
        <f t="shared" si="132"/>
        <v>3.2341666666666669</v>
      </c>
      <c r="CX17" s="416">
        <f t="shared" si="133"/>
        <v>0</v>
      </c>
      <c r="CY17" s="416">
        <f t="shared" si="134"/>
        <v>0</v>
      </c>
      <c r="CZ17" s="416">
        <f t="shared" si="135"/>
        <v>10.413369565217392</v>
      </c>
      <c r="DA17" s="416">
        <f t="shared" si="136"/>
        <v>130.19639492753623</v>
      </c>
      <c r="DB17" s="416">
        <f t="shared" si="137"/>
        <v>307.43824722379077</v>
      </c>
      <c r="DC17" s="416">
        <f t="shared" si="138"/>
        <v>453.92800724637681</v>
      </c>
      <c r="DD17" s="413"/>
      <c r="DE17" s="415">
        <f t="shared" si="179"/>
        <v>2028</v>
      </c>
      <c r="DF17" s="416">
        <f t="shared" si="139"/>
        <v>511.33418478260876</v>
      </c>
      <c r="DG17" s="416">
        <f t="shared" si="140"/>
        <v>454.45501811594193</v>
      </c>
      <c r="DH17" s="416">
        <f t="shared" si="141"/>
        <v>360.16257246376813</v>
      </c>
      <c r="DI17" s="416">
        <f t="shared" si="142"/>
        <v>178.02149621212124</v>
      </c>
      <c r="DJ17" s="416">
        <f t="shared" si="143"/>
        <v>35.998420226290364</v>
      </c>
      <c r="DK17" s="416">
        <f t="shared" si="144"/>
        <v>0.5225000000000003</v>
      </c>
      <c r="DL17" s="416">
        <f t="shared" si="145"/>
        <v>0</v>
      </c>
      <c r="DM17" s="416">
        <f t="shared" si="146"/>
        <v>0</v>
      </c>
      <c r="DN17" s="416">
        <f t="shared" si="147"/>
        <v>2.6674999999999995</v>
      </c>
      <c r="DO17" s="416">
        <f t="shared" si="148"/>
        <v>85.537644927536221</v>
      </c>
      <c r="DP17" s="416">
        <f t="shared" si="149"/>
        <v>248.90783055712399</v>
      </c>
      <c r="DQ17" s="416">
        <f t="shared" si="150"/>
        <v>391.92800724637681</v>
      </c>
      <c r="DR17" s="413"/>
      <c r="DS17" s="415">
        <f t="shared" si="180"/>
        <v>2028</v>
      </c>
      <c r="DT17" s="416">
        <f t="shared" si="151"/>
        <v>449.33418478260865</v>
      </c>
      <c r="DU17" s="416">
        <f t="shared" si="152"/>
        <v>397.85501811594202</v>
      </c>
      <c r="DV17" s="416">
        <f t="shared" si="153"/>
        <v>298.65173913043481</v>
      </c>
      <c r="DW17" s="416">
        <f t="shared" si="154"/>
        <v>125.17066287878788</v>
      </c>
      <c r="DX17" s="416">
        <f t="shared" si="155"/>
        <v>18.031833333333331</v>
      </c>
      <c r="DY17" s="416">
        <f t="shared" si="156"/>
        <v>9.7916666666666957E-2</v>
      </c>
      <c r="DZ17" s="416">
        <f t="shared" si="157"/>
        <v>0</v>
      </c>
      <c r="EA17" s="416">
        <f t="shared" si="158"/>
        <v>0</v>
      </c>
      <c r="EB17" s="416">
        <f t="shared" si="159"/>
        <v>0.57166666666666666</v>
      </c>
      <c r="EC17" s="416">
        <f t="shared" si="160"/>
        <v>50.475978260869567</v>
      </c>
      <c r="ED17" s="416">
        <f t="shared" si="161"/>
        <v>192.26908055712403</v>
      </c>
      <c r="EE17" s="416">
        <f t="shared" si="162"/>
        <v>330.0559239130435</v>
      </c>
      <c r="EF17" s="413"/>
      <c r="EG17" s="415">
        <f t="shared" si="181"/>
        <v>2028</v>
      </c>
      <c r="EH17" s="416">
        <f t="shared" si="163"/>
        <v>387.33418478260865</v>
      </c>
      <c r="EI17" s="416">
        <f t="shared" si="164"/>
        <v>341.39751811594203</v>
      </c>
      <c r="EJ17" s="416">
        <f t="shared" si="165"/>
        <v>238.57840579710145</v>
      </c>
      <c r="EK17" s="416">
        <f t="shared" si="166"/>
        <v>79.984412878787879</v>
      </c>
      <c r="EL17" s="416">
        <f t="shared" si="167"/>
        <v>7.2018333333333331</v>
      </c>
      <c r="EM17" s="416">
        <f t="shared" si="168"/>
        <v>0</v>
      </c>
      <c r="EN17" s="416">
        <f t="shared" si="169"/>
        <v>0</v>
      </c>
      <c r="EO17" s="416">
        <f t="shared" si="170"/>
        <v>0</v>
      </c>
      <c r="EP17" s="416">
        <f t="shared" si="171"/>
        <v>0</v>
      </c>
      <c r="EQ17" s="416">
        <f t="shared" si="172"/>
        <v>24.76139492753623</v>
      </c>
      <c r="ER17" s="416">
        <f t="shared" si="173"/>
        <v>140.02366389045739</v>
      </c>
      <c r="ES17" s="416">
        <f t="shared" si="174"/>
        <v>268.92048913043476</v>
      </c>
      <c r="EU17" s="682">
        <f>'Monthly Data'!FO5</f>
        <v>583.39065793165946</v>
      </c>
      <c r="EV17" s="682">
        <f>'Monthly Data'!FP5</f>
        <v>415.06347585067948</v>
      </c>
      <c r="EW17" s="682">
        <f>'Monthly Data'!FQ5</f>
        <v>2389.2119588712631</v>
      </c>
      <c r="EX17" s="682">
        <f>'Monthly Data'!FR5</f>
        <v>74906.380929070234</v>
      </c>
      <c r="EY17" s="682">
        <f>'Monthly Data'!FS5</f>
        <v>1440873.8823706608</v>
      </c>
      <c r="EZ17" s="682">
        <f>'Monthly Data'!FT5</f>
        <v>7646002.6450527692</v>
      </c>
      <c r="FA17" s="682">
        <f>'Monthly Data'!FX5</f>
        <v>595.28855159193131</v>
      </c>
      <c r="FB17" s="682">
        <f>'Monthly Data'!FY5</f>
        <v>2828.9380058713659</v>
      </c>
      <c r="FC17" s="682">
        <f>'Monthly Data'!FZ5</f>
        <v>77005.588587496095</v>
      </c>
      <c r="FD17" s="682">
        <f>'Monthly Data'!GA5</f>
        <v>360890.375</v>
      </c>
    </row>
    <row r="18" spans="1:160">
      <c r="A18">
        <v>2015</v>
      </c>
      <c r="B18">
        <v>5</v>
      </c>
      <c r="C18" s="313">
        <v>159.09689440993785</v>
      </c>
      <c r="D18" s="313">
        <v>0.39999999999999503</v>
      </c>
      <c r="E18" s="313">
        <v>108.22189440993786</v>
      </c>
      <c r="F18" s="313">
        <v>11.524999999999999</v>
      </c>
      <c r="G18" s="313">
        <v>67.211775362318832</v>
      </c>
      <c r="H18" s="313">
        <v>32.514880952380949</v>
      </c>
      <c r="I18" s="313">
        <v>35.578442028985506</v>
      </c>
      <c r="J18" s="313">
        <v>62.881547619047637</v>
      </c>
      <c r="K18" s="313">
        <v>16.190942028985511</v>
      </c>
      <c r="L18" s="313">
        <v>105.49404761904762</v>
      </c>
      <c r="M18" s="313">
        <v>4.3916666666666675</v>
      </c>
      <c r="N18" s="313">
        <v>155.69477225672881</v>
      </c>
      <c r="O18" s="313">
        <v>0</v>
      </c>
      <c r="P18" s="313">
        <v>213.30310559006219</v>
      </c>
      <c r="Q18" s="383">
        <v>14.880745341614906</v>
      </c>
      <c r="S18" s="3">
        <f>'Monthly Data'!D6</f>
        <v>59619576.282069899</v>
      </c>
      <c r="T18" s="3">
        <f>'Monthly Data'!J6</f>
        <v>628970.83730999904</v>
      </c>
      <c r="U18" s="3">
        <f>'Monthly Data'!P6</f>
        <v>20278670.319710098</v>
      </c>
      <c r="V18" s="3">
        <f>'Monthly Data'!V6</f>
        <v>79612968.689999998</v>
      </c>
      <c r="W18" s="3">
        <f>'Monthly Data'!AB6</f>
        <v>7334994.5800000001</v>
      </c>
      <c r="X18" s="3">
        <f>'Monthly Data'!AG6</f>
        <v>19684631.280000001</v>
      </c>
      <c r="Y18" s="3">
        <f>'Monthly Data'!BC6</f>
        <v>24546372.808270201</v>
      </c>
      <c r="Z18" s="3">
        <f>'Monthly Data'!BI6</f>
        <v>6027861.7735900097</v>
      </c>
      <c r="AA18" s="3">
        <f>'Monthly Data'!BO6</f>
        <v>27735210.381596781</v>
      </c>
      <c r="AB18" s="3">
        <f>'Monthly Data'!BU6</f>
        <v>5118116.3099999996</v>
      </c>
      <c r="BA18" s="415">
        <f t="shared" si="175"/>
        <v>2029</v>
      </c>
      <c r="BB18" s="416">
        <f t="shared" si="90"/>
        <v>759.33418478260865</v>
      </c>
      <c r="BC18" s="416">
        <f t="shared" si="91"/>
        <v>680.85501811594202</v>
      </c>
      <c r="BD18" s="416">
        <f t="shared" si="92"/>
        <v>608.13298913043479</v>
      </c>
      <c r="BE18" s="416">
        <f t="shared" si="93"/>
        <v>412.37941287878795</v>
      </c>
      <c r="BF18" s="416">
        <f t="shared" si="94"/>
        <v>202.70273119310133</v>
      </c>
      <c r="BG18" s="416">
        <f t="shared" si="95"/>
        <v>66.09717382617383</v>
      </c>
      <c r="BH18" s="416">
        <f t="shared" si="96"/>
        <v>10.249063146997932</v>
      </c>
      <c r="BI18" s="416">
        <f t="shared" si="97"/>
        <v>21.194927536231887</v>
      </c>
      <c r="BJ18" s="416">
        <f t="shared" si="98"/>
        <v>96.735690993788822</v>
      </c>
      <c r="BK18" s="416">
        <f t="shared" si="99"/>
        <v>298.21097826086958</v>
      </c>
      <c r="BL18" s="416">
        <f t="shared" si="100"/>
        <v>486.62991389045737</v>
      </c>
      <c r="BM18" s="416">
        <f t="shared" si="101"/>
        <v>639.92800724637686</v>
      </c>
      <c r="BN18" s="413"/>
      <c r="BO18" s="415">
        <f t="shared" si="176"/>
        <v>2029</v>
      </c>
      <c r="BP18" s="416">
        <f t="shared" si="102"/>
        <v>697.33418478260876</v>
      </c>
      <c r="BQ18" s="416">
        <f t="shared" si="103"/>
        <v>624.25501811594188</v>
      </c>
      <c r="BR18" s="416">
        <f t="shared" si="104"/>
        <v>546.13298913043491</v>
      </c>
      <c r="BS18" s="416">
        <f t="shared" si="105"/>
        <v>352.41399621212122</v>
      </c>
      <c r="BT18" s="416">
        <f t="shared" si="106"/>
        <v>150.136897859768</v>
      </c>
      <c r="BU18" s="416">
        <f t="shared" si="107"/>
        <v>32.520923826173821</v>
      </c>
      <c r="BV18" s="416">
        <f t="shared" si="108"/>
        <v>1.6179166666666653</v>
      </c>
      <c r="BW18" s="416">
        <f t="shared" si="109"/>
        <v>5.6499999999999977</v>
      </c>
      <c r="BX18" s="416">
        <f t="shared" si="110"/>
        <v>54.959440993788824</v>
      </c>
      <c r="BY18" s="416">
        <f t="shared" si="111"/>
        <v>237.89681159420289</v>
      </c>
      <c r="BZ18" s="416">
        <f t="shared" si="112"/>
        <v>426.62991389045737</v>
      </c>
      <c r="CA18" s="416">
        <f t="shared" si="113"/>
        <v>577.92800724637686</v>
      </c>
      <c r="CB18" s="514">
        <f t="shared" si="114"/>
        <v>3707.4761003185413</v>
      </c>
      <c r="CC18" s="415">
        <f t="shared" si="177"/>
        <v>2029</v>
      </c>
      <c r="CD18" s="416">
        <f t="shared" si="115"/>
        <v>635.33418478260876</v>
      </c>
      <c r="CE18" s="416">
        <f t="shared" si="116"/>
        <v>567.65501811594208</v>
      </c>
      <c r="CF18" s="416">
        <f t="shared" si="117"/>
        <v>484.13298913043479</v>
      </c>
      <c r="CG18" s="416">
        <f t="shared" si="118"/>
        <v>292.81107954545462</v>
      </c>
      <c r="CH18" s="416">
        <f t="shared" si="119"/>
        <v>103.25939244851259</v>
      </c>
      <c r="CI18" s="416">
        <f t="shared" si="120"/>
        <v>11.89069871794872</v>
      </c>
      <c r="CJ18" s="416">
        <f t="shared" si="121"/>
        <v>7.4583333333333002E-2</v>
      </c>
      <c r="CK18" s="416">
        <f t="shared" si="122"/>
        <v>0.75041666666666718</v>
      </c>
      <c r="CL18" s="416">
        <f t="shared" si="123"/>
        <v>26.342536231884061</v>
      </c>
      <c r="CM18" s="416">
        <f t="shared" si="124"/>
        <v>181.36347826086953</v>
      </c>
      <c r="CN18" s="416">
        <f t="shared" si="125"/>
        <v>366.78033055712399</v>
      </c>
      <c r="CO18" s="416">
        <f t="shared" si="126"/>
        <v>515.92800724637686</v>
      </c>
      <c r="CP18" s="413"/>
      <c r="CQ18" s="415">
        <f t="shared" si="178"/>
        <v>2029</v>
      </c>
      <c r="CR18" s="416">
        <f t="shared" si="127"/>
        <v>573.33418478260865</v>
      </c>
      <c r="CS18" s="416">
        <f t="shared" si="128"/>
        <v>511.05501811594206</v>
      </c>
      <c r="CT18" s="416">
        <f t="shared" si="129"/>
        <v>422.13298913043479</v>
      </c>
      <c r="CU18" s="416">
        <f t="shared" si="130"/>
        <v>234.57024621212122</v>
      </c>
      <c r="CV18" s="416">
        <f t="shared" si="131"/>
        <v>64.294809115179262</v>
      </c>
      <c r="CW18" s="416">
        <f t="shared" si="132"/>
        <v>3.2341666666666669</v>
      </c>
      <c r="CX18" s="416">
        <f t="shared" si="133"/>
        <v>0</v>
      </c>
      <c r="CY18" s="416">
        <f t="shared" si="134"/>
        <v>0</v>
      </c>
      <c r="CZ18" s="416">
        <f t="shared" si="135"/>
        <v>10.413369565217392</v>
      </c>
      <c r="DA18" s="416">
        <f t="shared" si="136"/>
        <v>130.19639492753623</v>
      </c>
      <c r="DB18" s="416">
        <f t="shared" si="137"/>
        <v>307.43824722379077</v>
      </c>
      <c r="DC18" s="416">
        <f t="shared" si="138"/>
        <v>453.92800724637681</v>
      </c>
      <c r="DD18" s="413"/>
      <c r="DE18" s="415">
        <f t="shared" si="179"/>
        <v>2029</v>
      </c>
      <c r="DF18" s="416">
        <f t="shared" si="139"/>
        <v>511.33418478260876</v>
      </c>
      <c r="DG18" s="416">
        <f t="shared" si="140"/>
        <v>454.45501811594193</v>
      </c>
      <c r="DH18" s="416">
        <f t="shared" si="141"/>
        <v>360.16257246376813</v>
      </c>
      <c r="DI18" s="416">
        <f t="shared" si="142"/>
        <v>178.02149621212124</v>
      </c>
      <c r="DJ18" s="416">
        <f t="shared" si="143"/>
        <v>35.998420226290364</v>
      </c>
      <c r="DK18" s="416">
        <f t="shared" si="144"/>
        <v>0.5225000000000003</v>
      </c>
      <c r="DL18" s="416">
        <f t="shared" si="145"/>
        <v>0</v>
      </c>
      <c r="DM18" s="416">
        <f t="shared" si="146"/>
        <v>0</v>
      </c>
      <c r="DN18" s="416">
        <f t="shared" si="147"/>
        <v>2.6674999999999995</v>
      </c>
      <c r="DO18" s="416">
        <f t="shared" si="148"/>
        <v>85.537644927536221</v>
      </c>
      <c r="DP18" s="416">
        <f t="shared" si="149"/>
        <v>248.90783055712399</v>
      </c>
      <c r="DQ18" s="416">
        <f t="shared" si="150"/>
        <v>391.92800724637681</v>
      </c>
      <c r="DR18" s="413"/>
      <c r="DS18" s="415">
        <f t="shared" si="180"/>
        <v>2029</v>
      </c>
      <c r="DT18" s="416">
        <f t="shared" si="151"/>
        <v>449.33418478260865</v>
      </c>
      <c r="DU18" s="416">
        <f t="shared" si="152"/>
        <v>397.85501811594202</v>
      </c>
      <c r="DV18" s="416">
        <f t="shared" si="153"/>
        <v>298.65173913043481</v>
      </c>
      <c r="DW18" s="416">
        <f t="shared" si="154"/>
        <v>125.17066287878788</v>
      </c>
      <c r="DX18" s="416">
        <f t="shared" si="155"/>
        <v>18.031833333333331</v>
      </c>
      <c r="DY18" s="416">
        <f t="shared" si="156"/>
        <v>9.7916666666666957E-2</v>
      </c>
      <c r="DZ18" s="416">
        <f t="shared" si="157"/>
        <v>0</v>
      </c>
      <c r="EA18" s="416">
        <f t="shared" si="158"/>
        <v>0</v>
      </c>
      <c r="EB18" s="416">
        <f t="shared" si="159"/>
        <v>0.57166666666666666</v>
      </c>
      <c r="EC18" s="416">
        <f t="shared" si="160"/>
        <v>50.475978260869567</v>
      </c>
      <c r="ED18" s="416">
        <f t="shared" si="161"/>
        <v>192.26908055712403</v>
      </c>
      <c r="EE18" s="416">
        <f t="shared" si="162"/>
        <v>330.0559239130435</v>
      </c>
      <c r="EF18" s="413"/>
      <c r="EG18" s="415">
        <f t="shared" si="181"/>
        <v>2029</v>
      </c>
      <c r="EH18" s="416">
        <f t="shared" si="163"/>
        <v>387.33418478260865</v>
      </c>
      <c r="EI18" s="416">
        <f t="shared" si="164"/>
        <v>341.39751811594203</v>
      </c>
      <c r="EJ18" s="416">
        <f t="shared" si="165"/>
        <v>238.57840579710145</v>
      </c>
      <c r="EK18" s="416">
        <f t="shared" si="166"/>
        <v>79.984412878787879</v>
      </c>
      <c r="EL18" s="416">
        <f t="shared" si="167"/>
        <v>7.2018333333333331</v>
      </c>
      <c r="EM18" s="416">
        <f t="shared" si="168"/>
        <v>0</v>
      </c>
      <c r="EN18" s="416">
        <f t="shared" si="169"/>
        <v>0</v>
      </c>
      <c r="EO18" s="416">
        <f t="shared" si="170"/>
        <v>0</v>
      </c>
      <c r="EP18" s="416">
        <f t="shared" si="171"/>
        <v>0</v>
      </c>
      <c r="EQ18" s="416">
        <f t="shared" si="172"/>
        <v>24.76139492753623</v>
      </c>
      <c r="ER18" s="416">
        <f t="shared" si="173"/>
        <v>140.02366389045739</v>
      </c>
      <c r="ES18" s="416">
        <f t="shared" si="174"/>
        <v>268.92048913043476</v>
      </c>
      <c r="EU18" s="682">
        <f>'Monthly Data'!FO6</f>
        <v>561.17214278691881</v>
      </c>
      <c r="EV18" s="682">
        <f>'Monthly Data'!FP6</f>
        <v>399.14261077021592</v>
      </c>
      <c r="EW18" s="682">
        <f>'Monthly Data'!FQ6</f>
        <v>2314.8091968369372</v>
      </c>
      <c r="EX18" s="682">
        <f>'Monthly Data'!FR6</f>
        <v>76771.405870734641</v>
      </c>
      <c r="EY18" s="682">
        <f>'Monthly Data'!FS6</f>
        <v>1469176.8080274328</v>
      </c>
      <c r="EZ18" s="682">
        <f>'Monthly Data'!FT6</f>
        <v>8281581.0460772496</v>
      </c>
      <c r="FA18" s="682">
        <f>'Monthly Data'!FX6</f>
        <v>634.1791883957568</v>
      </c>
      <c r="FB18" s="682">
        <f>'Monthly Data'!FY6</f>
        <v>2822.7324190730806</v>
      </c>
      <c r="FC18" s="682">
        <f>'Monthly Data'!FZ6</f>
        <v>76364.594460465436</v>
      </c>
      <c r="FD18" s="682">
        <f>'Monthly Data'!GA6</f>
        <v>331175.27500000002</v>
      </c>
    </row>
    <row r="19" spans="1:160">
      <c r="A19">
        <v>2015</v>
      </c>
      <c r="B19">
        <v>6</v>
      </c>
      <c r="C19" s="313">
        <v>93.137500000000045</v>
      </c>
      <c r="D19" s="313">
        <v>2.7499999999999964</v>
      </c>
      <c r="E19" s="313">
        <v>44.925000000000004</v>
      </c>
      <c r="F19" s="313">
        <v>14.537499999999991</v>
      </c>
      <c r="G19" s="313">
        <v>17.725000000000009</v>
      </c>
      <c r="H19" s="313">
        <v>47.337499999999999</v>
      </c>
      <c r="I19" s="313">
        <v>5.9875000000000078</v>
      </c>
      <c r="J19" s="313">
        <v>95.599999999999966</v>
      </c>
      <c r="K19" s="313">
        <v>0.6458333333333357</v>
      </c>
      <c r="L19" s="313">
        <v>150.2583333333333</v>
      </c>
      <c r="M19" s="313">
        <v>0</v>
      </c>
      <c r="N19" s="313">
        <v>209.61250000000001</v>
      </c>
      <c r="O19" s="313">
        <v>0</v>
      </c>
      <c r="P19" s="313">
        <v>269.61250000000001</v>
      </c>
      <c r="Q19" s="383">
        <v>16.987083333333334</v>
      </c>
      <c r="S19" s="3">
        <f>'Monthly Data'!D7</f>
        <v>62711905.860890299</v>
      </c>
      <c r="T19" s="3">
        <f>'Monthly Data'!J7</f>
        <v>620701.61555999995</v>
      </c>
      <c r="U19" s="3">
        <f>'Monthly Data'!P7</f>
        <v>20438552.235879999</v>
      </c>
      <c r="V19" s="3">
        <f>'Monthly Data'!V7</f>
        <v>80778945.75</v>
      </c>
      <c r="W19" s="3">
        <f>'Monthly Data'!AB7</f>
        <v>7522097.5800000001</v>
      </c>
      <c r="X19" s="3">
        <f>'Monthly Data'!AG7</f>
        <v>15955353.99</v>
      </c>
      <c r="Y19" s="3">
        <f>'Monthly Data'!BC7</f>
        <v>26686471.277589802</v>
      </c>
      <c r="Z19" s="3">
        <f>'Monthly Data'!BI7</f>
        <v>6197601.5977799902</v>
      </c>
      <c r="AA19" s="3">
        <f>'Monthly Data'!BO7</f>
        <v>28744327.190000001</v>
      </c>
      <c r="AB19" s="3">
        <f>'Monthly Data'!BU7</f>
        <v>4972549.58</v>
      </c>
      <c r="BA19" s="415">
        <f t="shared" ref="BA19:BA20" si="182">BA18+1</f>
        <v>2030</v>
      </c>
      <c r="BB19" s="416">
        <f t="shared" si="90"/>
        <v>759.33418478260865</v>
      </c>
      <c r="BC19" s="416">
        <f t="shared" si="91"/>
        <v>680.85501811594202</v>
      </c>
      <c r="BD19" s="416">
        <f t="shared" si="92"/>
        <v>608.13298913043479</v>
      </c>
      <c r="BE19" s="416">
        <f t="shared" si="93"/>
        <v>412.37941287878795</v>
      </c>
      <c r="BF19" s="416">
        <f t="shared" si="94"/>
        <v>202.70273119310133</v>
      </c>
      <c r="BG19" s="416">
        <f t="shared" si="95"/>
        <v>66.09717382617383</v>
      </c>
      <c r="BH19" s="416">
        <f t="shared" si="96"/>
        <v>10.249063146997932</v>
      </c>
      <c r="BI19" s="416">
        <f t="shared" si="97"/>
        <v>21.194927536231887</v>
      </c>
      <c r="BJ19" s="416">
        <f t="shared" si="98"/>
        <v>96.735690993788822</v>
      </c>
      <c r="BK19" s="416">
        <f t="shared" si="99"/>
        <v>298.21097826086958</v>
      </c>
      <c r="BL19" s="416">
        <f t="shared" si="100"/>
        <v>486.62991389045737</v>
      </c>
      <c r="BM19" s="416">
        <f t="shared" si="101"/>
        <v>639.92800724637686</v>
      </c>
      <c r="BN19" s="413"/>
      <c r="BO19" s="415">
        <f t="shared" si="176"/>
        <v>2030</v>
      </c>
      <c r="BP19" s="416">
        <f t="shared" si="102"/>
        <v>697.33418478260876</v>
      </c>
      <c r="BQ19" s="416">
        <f t="shared" si="103"/>
        <v>624.25501811594188</v>
      </c>
      <c r="BR19" s="416">
        <f t="shared" si="104"/>
        <v>546.13298913043491</v>
      </c>
      <c r="BS19" s="416">
        <f t="shared" si="105"/>
        <v>352.41399621212122</v>
      </c>
      <c r="BT19" s="416">
        <f t="shared" si="106"/>
        <v>150.136897859768</v>
      </c>
      <c r="BU19" s="416">
        <f t="shared" si="107"/>
        <v>32.520923826173821</v>
      </c>
      <c r="BV19" s="416">
        <f t="shared" si="108"/>
        <v>1.6179166666666653</v>
      </c>
      <c r="BW19" s="416">
        <f t="shared" si="109"/>
        <v>5.6499999999999977</v>
      </c>
      <c r="BX19" s="416">
        <f t="shared" si="110"/>
        <v>54.959440993788824</v>
      </c>
      <c r="BY19" s="416">
        <f t="shared" si="111"/>
        <v>237.89681159420289</v>
      </c>
      <c r="BZ19" s="416">
        <f t="shared" si="112"/>
        <v>426.62991389045737</v>
      </c>
      <c r="CA19" s="416">
        <f t="shared" si="113"/>
        <v>577.92800724637686</v>
      </c>
      <c r="CB19" s="514">
        <f t="shared" si="114"/>
        <v>3707.4761003185413</v>
      </c>
      <c r="CC19" s="415">
        <f t="shared" si="177"/>
        <v>2030</v>
      </c>
      <c r="CD19" s="416">
        <f t="shared" si="115"/>
        <v>635.33418478260876</v>
      </c>
      <c r="CE19" s="416">
        <f t="shared" si="116"/>
        <v>567.65501811594208</v>
      </c>
      <c r="CF19" s="416">
        <f t="shared" si="117"/>
        <v>484.13298913043479</v>
      </c>
      <c r="CG19" s="416">
        <f t="shared" si="118"/>
        <v>292.81107954545462</v>
      </c>
      <c r="CH19" s="416">
        <f t="shared" si="119"/>
        <v>103.25939244851259</v>
      </c>
      <c r="CI19" s="416">
        <f t="shared" si="120"/>
        <v>11.89069871794872</v>
      </c>
      <c r="CJ19" s="416">
        <f t="shared" si="121"/>
        <v>7.4583333333333002E-2</v>
      </c>
      <c r="CK19" s="416">
        <f t="shared" si="122"/>
        <v>0.75041666666666718</v>
      </c>
      <c r="CL19" s="416">
        <f t="shared" si="123"/>
        <v>26.342536231884061</v>
      </c>
      <c r="CM19" s="416">
        <f t="shared" si="124"/>
        <v>181.36347826086953</v>
      </c>
      <c r="CN19" s="416">
        <f t="shared" si="125"/>
        <v>366.78033055712399</v>
      </c>
      <c r="CO19" s="416">
        <f t="shared" si="126"/>
        <v>515.92800724637686</v>
      </c>
      <c r="CP19" s="413"/>
      <c r="CQ19" s="415">
        <f t="shared" si="178"/>
        <v>2030</v>
      </c>
      <c r="CR19" s="416">
        <f t="shared" si="127"/>
        <v>573.33418478260865</v>
      </c>
      <c r="CS19" s="416">
        <f t="shared" si="128"/>
        <v>511.05501811594206</v>
      </c>
      <c r="CT19" s="416">
        <f t="shared" si="129"/>
        <v>422.13298913043479</v>
      </c>
      <c r="CU19" s="416">
        <f t="shared" si="130"/>
        <v>234.57024621212122</v>
      </c>
      <c r="CV19" s="416">
        <f t="shared" si="131"/>
        <v>64.294809115179262</v>
      </c>
      <c r="CW19" s="416">
        <f t="shared" si="132"/>
        <v>3.2341666666666669</v>
      </c>
      <c r="CX19" s="416">
        <f t="shared" si="133"/>
        <v>0</v>
      </c>
      <c r="CY19" s="416">
        <f t="shared" si="134"/>
        <v>0</v>
      </c>
      <c r="CZ19" s="416">
        <f t="shared" si="135"/>
        <v>10.413369565217392</v>
      </c>
      <c r="DA19" s="416">
        <f t="shared" si="136"/>
        <v>130.19639492753623</v>
      </c>
      <c r="DB19" s="416">
        <f t="shared" si="137"/>
        <v>307.43824722379077</v>
      </c>
      <c r="DC19" s="416">
        <f t="shared" si="138"/>
        <v>453.92800724637681</v>
      </c>
      <c r="DD19" s="413"/>
      <c r="DE19" s="415">
        <f t="shared" si="179"/>
        <v>2030</v>
      </c>
      <c r="DF19" s="416">
        <f t="shared" si="139"/>
        <v>511.33418478260876</v>
      </c>
      <c r="DG19" s="416">
        <f t="shared" si="140"/>
        <v>454.45501811594193</v>
      </c>
      <c r="DH19" s="416">
        <f t="shared" si="141"/>
        <v>360.16257246376813</v>
      </c>
      <c r="DI19" s="416">
        <f t="shared" si="142"/>
        <v>178.02149621212124</v>
      </c>
      <c r="DJ19" s="416">
        <f t="shared" si="143"/>
        <v>35.998420226290364</v>
      </c>
      <c r="DK19" s="416">
        <f t="shared" si="144"/>
        <v>0.5225000000000003</v>
      </c>
      <c r="DL19" s="416">
        <f t="shared" si="145"/>
        <v>0</v>
      </c>
      <c r="DM19" s="416">
        <f t="shared" si="146"/>
        <v>0</v>
      </c>
      <c r="DN19" s="416">
        <f t="shared" si="147"/>
        <v>2.6674999999999995</v>
      </c>
      <c r="DO19" s="416">
        <f t="shared" si="148"/>
        <v>85.537644927536221</v>
      </c>
      <c r="DP19" s="416">
        <f t="shared" si="149"/>
        <v>248.90783055712399</v>
      </c>
      <c r="DQ19" s="416">
        <f t="shared" si="150"/>
        <v>391.92800724637681</v>
      </c>
      <c r="DR19" s="413"/>
      <c r="DS19" s="415">
        <f t="shared" si="180"/>
        <v>2030</v>
      </c>
      <c r="DT19" s="416">
        <f t="shared" si="151"/>
        <v>449.33418478260865</v>
      </c>
      <c r="DU19" s="416">
        <f t="shared" si="152"/>
        <v>397.85501811594202</v>
      </c>
      <c r="DV19" s="416">
        <f t="shared" si="153"/>
        <v>298.65173913043481</v>
      </c>
      <c r="DW19" s="416">
        <f t="shared" si="154"/>
        <v>125.17066287878788</v>
      </c>
      <c r="DX19" s="416">
        <f t="shared" si="155"/>
        <v>18.031833333333331</v>
      </c>
      <c r="DY19" s="416">
        <f t="shared" si="156"/>
        <v>9.7916666666666957E-2</v>
      </c>
      <c r="DZ19" s="416">
        <f t="shared" si="157"/>
        <v>0</v>
      </c>
      <c r="EA19" s="416">
        <f t="shared" si="158"/>
        <v>0</v>
      </c>
      <c r="EB19" s="416">
        <f t="shared" si="159"/>
        <v>0.57166666666666666</v>
      </c>
      <c r="EC19" s="416">
        <f t="shared" si="160"/>
        <v>50.475978260869567</v>
      </c>
      <c r="ED19" s="416">
        <f t="shared" si="161"/>
        <v>192.26908055712403</v>
      </c>
      <c r="EE19" s="416">
        <f t="shared" si="162"/>
        <v>330.0559239130435</v>
      </c>
      <c r="EF19" s="413"/>
      <c r="EG19" s="415">
        <f t="shared" si="181"/>
        <v>2030</v>
      </c>
      <c r="EH19" s="416">
        <f t="shared" si="163"/>
        <v>387.33418478260865</v>
      </c>
      <c r="EI19" s="416">
        <f t="shared" si="164"/>
        <v>341.39751811594203</v>
      </c>
      <c r="EJ19" s="416">
        <f t="shared" si="165"/>
        <v>238.57840579710145</v>
      </c>
      <c r="EK19" s="416">
        <f t="shared" si="166"/>
        <v>79.984412878787879</v>
      </c>
      <c r="EL19" s="416">
        <f t="shared" si="167"/>
        <v>7.2018333333333331</v>
      </c>
      <c r="EM19" s="416">
        <f t="shared" si="168"/>
        <v>0</v>
      </c>
      <c r="EN19" s="416">
        <f t="shared" si="169"/>
        <v>0</v>
      </c>
      <c r="EO19" s="416">
        <f t="shared" si="170"/>
        <v>0</v>
      </c>
      <c r="EP19" s="416">
        <f t="shared" si="171"/>
        <v>0</v>
      </c>
      <c r="EQ19" s="416">
        <f t="shared" si="172"/>
        <v>24.76139492753623</v>
      </c>
      <c r="ER19" s="416">
        <f t="shared" si="173"/>
        <v>140.02366389045739</v>
      </c>
      <c r="ES19" s="416">
        <f t="shared" si="174"/>
        <v>268.92048913043476</v>
      </c>
      <c r="EU19" s="682">
        <f>'Monthly Data'!FO7</f>
        <v>590.59868225257151</v>
      </c>
      <c r="EV19" s="682">
        <f>'Monthly Data'!FP7</f>
        <v>394.32081311603224</v>
      </c>
      <c r="EW19" s="682">
        <f>'Monthly Data'!FQ7</f>
        <v>2333.919580213586</v>
      </c>
      <c r="EX19" s="682">
        <f>'Monthly Data'!FR7</f>
        <v>77826.791501074273</v>
      </c>
      <c r="EY19" s="682">
        <f>'Monthly Data'!FS7</f>
        <v>1506780.7256842048</v>
      </c>
      <c r="EZ19" s="682">
        <f>'Monthly Data'!FT7</f>
        <v>6522503.2897001002</v>
      </c>
      <c r="FA19" s="682">
        <f>'Monthly Data'!FX7</f>
        <v>688.86182594095385</v>
      </c>
      <c r="FB19" s="682">
        <f>'Monthly Data'!FY7</f>
        <v>2900.6546738815809</v>
      </c>
      <c r="FC19" s="682">
        <f>'Monthly Data'!FZ7</f>
        <v>79177.182232595878</v>
      </c>
      <c r="FD19" s="682">
        <f>'Monthly Data'!GA7</f>
        <v>296287.78999999998</v>
      </c>
    </row>
    <row r="20" spans="1:160">
      <c r="A20">
        <v>2015</v>
      </c>
      <c r="B20">
        <v>7</v>
      </c>
      <c r="C20" s="313">
        <v>25.987500000000004</v>
      </c>
      <c r="D20" s="313">
        <v>45.524999999999991</v>
      </c>
      <c r="E20" s="313">
        <v>6.0874999999999986</v>
      </c>
      <c r="F20" s="313">
        <v>87.624999999999986</v>
      </c>
      <c r="G20" s="313">
        <v>0</v>
      </c>
      <c r="H20" s="313">
        <v>143.53749999999999</v>
      </c>
      <c r="I20" s="313">
        <v>0</v>
      </c>
      <c r="J20" s="313">
        <v>205.53749999999997</v>
      </c>
      <c r="K20" s="313">
        <v>0</v>
      </c>
      <c r="L20" s="313">
        <v>267.53749999999997</v>
      </c>
      <c r="M20" s="313">
        <v>0</v>
      </c>
      <c r="N20" s="313">
        <v>329.53750000000002</v>
      </c>
      <c r="O20" s="313">
        <v>0</v>
      </c>
      <c r="P20" s="313">
        <v>391.53750000000014</v>
      </c>
      <c r="Q20" s="383">
        <v>20.63024193548387</v>
      </c>
      <c r="S20" s="3">
        <f>'Monthly Data'!D8</f>
        <v>85181893.357939899</v>
      </c>
      <c r="T20" s="3">
        <f>'Monthly Data'!J8</f>
        <v>901678.326330001</v>
      </c>
      <c r="U20" s="3">
        <f>'Monthly Data'!P8</f>
        <v>23191812.9555999</v>
      </c>
      <c r="V20" s="3">
        <f>'Monthly Data'!V8</f>
        <v>83557035.420000002</v>
      </c>
      <c r="W20" s="3">
        <f>'Monthly Data'!AB8</f>
        <v>6679211.8499999996</v>
      </c>
      <c r="X20" s="3">
        <f>'Monthly Data'!AG8</f>
        <v>16465696.24</v>
      </c>
      <c r="Y20" s="3">
        <f>'Monthly Data'!BC8</f>
        <v>36810468.262800299</v>
      </c>
      <c r="Z20" s="3">
        <f>'Monthly Data'!BI8</f>
        <v>7093319.1781999897</v>
      </c>
      <c r="AA20" s="3">
        <f>'Monthly Data'!BO8</f>
        <v>30536784.32</v>
      </c>
      <c r="AB20" s="3">
        <f>'Monthly Data'!BU8</f>
        <v>5203855.54</v>
      </c>
      <c r="BA20" s="415">
        <f t="shared" si="182"/>
        <v>2031</v>
      </c>
      <c r="BB20" s="416">
        <f t="shared" si="90"/>
        <v>759.33418478260865</v>
      </c>
      <c r="BC20" s="416">
        <f t="shared" si="91"/>
        <v>680.85501811594202</v>
      </c>
      <c r="BD20" s="416">
        <f t="shared" si="92"/>
        <v>608.13298913043479</v>
      </c>
      <c r="BE20" s="416">
        <f t="shared" si="93"/>
        <v>412.37941287878795</v>
      </c>
      <c r="BF20" s="416">
        <f t="shared" si="94"/>
        <v>202.70273119310133</v>
      </c>
      <c r="BG20" s="416">
        <f t="shared" si="95"/>
        <v>66.09717382617383</v>
      </c>
      <c r="BH20" s="416">
        <f t="shared" si="96"/>
        <v>10.249063146997932</v>
      </c>
      <c r="BI20" s="416">
        <f t="shared" si="97"/>
        <v>21.194927536231887</v>
      </c>
      <c r="BJ20" s="416">
        <f t="shared" si="98"/>
        <v>96.735690993788822</v>
      </c>
      <c r="BK20" s="416">
        <f t="shared" si="99"/>
        <v>298.21097826086958</v>
      </c>
      <c r="BL20" s="416">
        <f t="shared" si="100"/>
        <v>486.62991389045737</v>
      </c>
      <c r="BM20" s="416">
        <f t="shared" si="101"/>
        <v>639.92800724637686</v>
      </c>
      <c r="BN20" s="413"/>
      <c r="BO20" s="415">
        <f t="shared" si="176"/>
        <v>2031</v>
      </c>
      <c r="BP20" s="416">
        <f t="shared" si="102"/>
        <v>697.33418478260876</v>
      </c>
      <c r="BQ20" s="416">
        <f t="shared" si="103"/>
        <v>624.25501811594188</v>
      </c>
      <c r="BR20" s="416">
        <f t="shared" si="104"/>
        <v>546.13298913043491</v>
      </c>
      <c r="BS20" s="416">
        <f t="shared" si="105"/>
        <v>352.41399621212122</v>
      </c>
      <c r="BT20" s="416">
        <f t="shared" si="106"/>
        <v>150.136897859768</v>
      </c>
      <c r="BU20" s="416">
        <f t="shared" si="107"/>
        <v>32.520923826173821</v>
      </c>
      <c r="BV20" s="416">
        <f t="shared" si="108"/>
        <v>1.6179166666666653</v>
      </c>
      <c r="BW20" s="416">
        <f t="shared" si="109"/>
        <v>5.6499999999999977</v>
      </c>
      <c r="BX20" s="416">
        <f t="shared" si="110"/>
        <v>54.959440993788824</v>
      </c>
      <c r="BY20" s="416">
        <f t="shared" si="111"/>
        <v>237.89681159420289</v>
      </c>
      <c r="BZ20" s="416">
        <f t="shared" si="112"/>
        <v>426.62991389045737</v>
      </c>
      <c r="CA20" s="416">
        <f t="shared" si="113"/>
        <v>577.92800724637686</v>
      </c>
      <c r="CB20" s="514">
        <f t="shared" si="114"/>
        <v>3707.4761003185413</v>
      </c>
      <c r="CC20" s="415">
        <f t="shared" si="177"/>
        <v>2031</v>
      </c>
      <c r="CD20" s="416">
        <f t="shared" si="115"/>
        <v>635.33418478260876</v>
      </c>
      <c r="CE20" s="416">
        <f t="shared" si="116"/>
        <v>567.65501811594208</v>
      </c>
      <c r="CF20" s="416">
        <f t="shared" si="117"/>
        <v>484.13298913043479</v>
      </c>
      <c r="CG20" s="416">
        <f t="shared" si="118"/>
        <v>292.81107954545462</v>
      </c>
      <c r="CH20" s="416">
        <f t="shared" si="119"/>
        <v>103.25939244851259</v>
      </c>
      <c r="CI20" s="416">
        <f t="shared" si="120"/>
        <v>11.89069871794872</v>
      </c>
      <c r="CJ20" s="416">
        <f t="shared" si="121"/>
        <v>7.4583333333333002E-2</v>
      </c>
      <c r="CK20" s="416">
        <f t="shared" si="122"/>
        <v>0.75041666666666718</v>
      </c>
      <c r="CL20" s="416">
        <f t="shared" si="123"/>
        <v>26.342536231884061</v>
      </c>
      <c r="CM20" s="416">
        <f t="shared" si="124"/>
        <v>181.36347826086953</v>
      </c>
      <c r="CN20" s="416">
        <f t="shared" si="125"/>
        <v>366.78033055712399</v>
      </c>
      <c r="CO20" s="416">
        <f t="shared" si="126"/>
        <v>515.92800724637686</v>
      </c>
      <c r="CP20" s="413"/>
      <c r="CQ20" s="415">
        <f t="shared" si="178"/>
        <v>2031</v>
      </c>
      <c r="CR20" s="416">
        <f t="shared" si="127"/>
        <v>573.33418478260865</v>
      </c>
      <c r="CS20" s="416">
        <f t="shared" si="128"/>
        <v>511.05501811594206</v>
      </c>
      <c r="CT20" s="416">
        <f t="shared" si="129"/>
        <v>422.13298913043479</v>
      </c>
      <c r="CU20" s="416">
        <f t="shared" si="130"/>
        <v>234.57024621212122</v>
      </c>
      <c r="CV20" s="416">
        <f t="shared" si="131"/>
        <v>64.294809115179262</v>
      </c>
      <c r="CW20" s="416">
        <f t="shared" si="132"/>
        <v>3.2341666666666669</v>
      </c>
      <c r="CX20" s="416">
        <f t="shared" si="133"/>
        <v>0</v>
      </c>
      <c r="CY20" s="416">
        <f t="shared" si="134"/>
        <v>0</v>
      </c>
      <c r="CZ20" s="416">
        <f t="shared" si="135"/>
        <v>10.413369565217392</v>
      </c>
      <c r="DA20" s="416">
        <f t="shared" si="136"/>
        <v>130.19639492753623</v>
      </c>
      <c r="DB20" s="416">
        <f t="shared" si="137"/>
        <v>307.43824722379077</v>
      </c>
      <c r="DC20" s="416">
        <f t="shared" si="138"/>
        <v>453.92800724637681</v>
      </c>
      <c r="DD20" s="413"/>
      <c r="DE20" s="415">
        <f t="shared" si="179"/>
        <v>2031</v>
      </c>
      <c r="DF20" s="416">
        <f t="shared" si="139"/>
        <v>511.33418478260876</v>
      </c>
      <c r="DG20" s="416">
        <f t="shared" si="140"/>
        <v>454.45501811594193</v>
      </c>
      <c r="DH20" s="416">
        <f t="shared" si="141"/>
        <v>360.16257246376813</v>
      </c>
      <c r="DI20" s="416">
        <f t="shared" si="142"/>
        <v>178.02149621212124</v>
      </c>
      <c r="DJ20" s="416">
        <f t="shared" si="143"/>
        <v>35.998420226290364</v>
      </c>
      <c r="DK20" s="416">
        <f t="shared" si="144"/>
        <v>0.5225000000000003</v>
      </c>
      <c r="DL20" s="416">
        <f t="shared" si="145"/>
        <v>0</v>
      </c>
      <c r="DM20" s="416">
        <f t="shared" si="146"/>
        <v>0</v>
      </c>
      <c r="DN20" s="416">
        <f t="shared" si="147"/>
        <v>2.6674999999999995</v>
      </c>
      <c r="DO20" s="416">
        <f t="shared" si="148"/>
        <v>85.537644927536221</v>
      </c>
      <c r="DP20" s="416">
        <f t="shared" si="149"/>
        <v>248.90783055712399</v>
      </c>
      <c r="DQ20" s="416">
        <f t="shared" si="150"/>
        <v>391.92800724637681</v>
      </c>
      <c r="DR20" s="413"/>
      <c r="DS20" s="415">
        <f t="shared" si="180"/>
        <v>2031</v>
      </c>
      <c r="DT20" s="416">
        <f t="shared" si="151"/>
        <v>449.33418478260865</v>
      </c>
      <c r="DU20" s="416">
        <f t="shared" si="152"/>
        <v>397.85501811594202</v>
      </c>
      <c r="DV20" s="416">
        <f t="shared" si="153"/>
        <v>298.65173913043481</v>
      </c>
      <c r="DW20" s="416">
        <f t="shared" si="154"/>
        <v>125.17066287878788</v>
      </c>
      <c r="DX20" s="416">
        <f t="shared" si="155"/>
        <v>18.031833333333331</v>
      </c>
      <c r="DY20" s="416">
        <f t="shared" si="156"/>
        <v>9.7916666666666957E-2</v>
      </c>
      <c r="DZ20" s="416">
        <f t="shared" si="157"/>
        <v>0</v>
      </c>
      <c r="EA20" s="416">
        <f t="shared" si="158"/>
        <v>0</v>
      </c>
      <c r="EB20" s="416">
        <f t="shared" si="159"/>
        <v>0.57166666666666666</v>
      </c>
      <c r="EC20" s="416">
        <f t="shared" si="160"/>
        <v>50.475978260869567</v>
      </c>
      <c r="ED20" s="416">
        <f t="shared" si="161"/>
        <v>192.26908055712403</v>
      </c>
      <c r="EE20" s="416">
        <f t="shared" si="162"/>
        <v>330.0559239130435</v>
      </c>
      <c r="EF20" s="413"/>
      <c r="EG20" s="415">
        <f t="shared" si="181"/>
        <v>2031</v>
      </c>
      <c r="EH20" s="416">
        <f t="shared" si="163"/>
        <v>387.33418478260865</v>
      </c>
      <c r="EI20" s="416">
        <f t="shared" si="164"/>
        <v>341.39751811594203</v>
      </c>
      <c r="EJ20" s="416">
        <f t="shared" si="165"/>
        <v>238.57840579710145</v>
      </c>
      <c r="EK20" s="416">
        <f t="shared" si="166"/>
        <v>79.984412878787879</v>
      </c>
      <c r="EL20" s="416">
        <f t="shared" si="167"/>
        <v>7.2018333333333331</v>
      </c>
      <c r="EM20" s="416">
        <f t="shared" si="168"/>
        <v>0</v>
      </c>
      <c r="EN20" s="416">
        <f t="shared" si="169"/>
        <v>0</v>
      </c>
      <c r="EO20" s="416">
        <f t="shared" si="170"/>
        <v>0</v>
      </c>
      <c r="EP20" s="416">
        <f t="shared" si="171"/>
        <v>0</v>
      </c>
      <c r="EQ20" s="416">
        <f t="shared" si="172"/>
        <v>24.76139492753623</v>
      </c>
      <c r="ER20" s="416">
        <f t="shared" si="173"/>
        <v>140.02366389045739</v>
      </c>
      <c r="ES20" s="416">
        <f t="shared" si="174"/>
        <v>268.92048913043476</v>
      </c>
      <c r="EU20" s="682">
        <f>'Monthly Data'!FO8</f>
        <v>800.83673423700839</v>
      </c>
      <c r="EV20" s="682">
        <f>'Monthly Data'!FP8</f>
        <v>571.21276391206868</v>
      </c>
      <c r="EW20" s="682">
        <f>'Monthly Data'!FQ8</f>
        <v>2644.591223142234</v>
      </c>
      <c r="EX20" s="682">
        <f>'Monthly Data'!FR8</f>
        <v>80407.967983105686</v>
      </c>
      <c r="EY20" s="682">
        <f>'Monthly Data'!FS8</f>
        <v>1338386.8973409766</v>
      </c>
      <c r="EZ20" s="682">
        <f>'Monthly Data'!FT8</f>
        <v>6518057.4685730878</v>
      </c>
      <c r="FA20" s="682">
        <f>'Monthly Data'!FX8</f>
        <v>947.50740205886132</v>
      </c>
      <c r="FB20" s="682">
        <f>'Monthly Data'!FY8</f>
        <v>3313.0811598981259</v>
      </c>
      <c r="FC20" s="682">
        <f>'Monthly Data'!FZ8</f>
        <v>84128.889639637768</v>
      </c>
      <c r="FD20" s="682">
        <f>'Monthly Data'!GA8</f>
        <v>314459.05</v>
      </c>
    </row>
    <row r="21" spans="1:160">
      <c r="A21">
        <v>2015</v>
      </c>
      <c r="B21">
        <v>8</v>
      </c>
      <c r="C21" s="313">
        <v>40.1875</v>
      </c>
      <c r="D21" s="313">
        <v>22.12916666666667</v>
      </c>
      <c r="E21" s="313">
        <v>9.4166666666666572</v>
      </c>
      <c r="F21" s="313">
        <v>53.358333333333334</v>
      </c>
      <c r="G21" s="313">
        <v>0.49166666666666714</v>
      </c>
      <c r="H21" s="313">
        <v>106.43333333333335</v>
      </c>
      <c r="I21" s="313">
        <v>0</v>
      </c>
      <c r="J21" s="313">
        <v>167.94166666666666</v>
      </c>
      <c r="K21" s="313">
        <v>0</v>
      </c>
      <c r="L21" s="313">
        <v>229.94166666666666</v>
      </c>
      <c r="M21" s="313">
        <v>0</v>
      </c>
      <c r="N21" s="313">
        <v>291.94166666666666</v>
      </c>
      <c r="O21" s="313">
        <v>0</v>
      </c>
      <c r="P21" s="313">
        <v>353.94166666666678</v>
      </c>
      <c r="Q21" s="383">
        <v>19.41747311827957</v>
      </c>
      <c r="S21" s="3">
        <f>'Monthly Data'!D9</f>
        <v>78690913.346860304</v>
      </c>
      <c r="T21" s="3">
        <f>'Monthly Data'!J9</f>
        <v>930278.94397000095</v>
      </c>
      <c r="U21" s="3">
        <f>'Monthly Data'!P9</f>
        <v>22412824.970479898</v>
      </c>
      <c r="V21" s="3">
        <f>'Monthly Data'!V9</f>
        <v>83053422.700000003</v>
      </c>
      <c r="W21" s="3">
        <f>'Monthly Data'!AB9</f>
        <v>6824342.2999999998</v>
      </c>
      <c r="X21" s="3">
        <f>'Monthly Data'!AG9</f>
        <v>16025808.970000001</v>
      </c>
      <c r="Y21" s="3">
        <f>'Monthly Data'!BC9</f>
        <v>33558080.931189999</v>
      </c>
      <c r="Z21" s="3">
        <f>'Monthly Data'!BI9</f>
        <v>6843663.1881900001</v>
      </c>
      <c r="AA21" s="3">
        <f>'Monthly Data'!BO9</f>
        <v>30564228.59</v>
      </c>
      <c r="AB21" s="3">
        <f>'Monthly Data'!BU9</f>
        <v>5266854.43</v>
      </c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CP21" s="413"/>
      <c r="CQ21" s="413"/>
      <c r="CR21" s="413"/>
      <c r="CS21" s="413"/>
      <c r="CT21" s="413"/>
      <c r="CU21" s="413"/>
      <c r="CV21" s="413"/>
      <c r="CW21" s="413"/>
      <c r="CX21" s="413"/>
      <c r="CY21" s="413"/>
      <c r="CZ21" s="413"/>
      <c r="DA21" s="413"/>
      <c r="DB21" s="413"/>
      <c r="DC21" s="413"/>
      <c r="DD21" s="413"/>
      <c r="DE21" s="413"/>
      <c r="DF21" s="413"/>
      <c r="DG21" s="413"/>
      <c r="DH21" s="413"/>
      <c r="DI21" s="413"/>
      <c r="DJ21" s="413"/>
      <c r="DK21" s="413"/>
      <c r="DL21" s="413"/>
      <c r="DM21" s="413"/>
      <c r="DN21" s="413"/>
      <c r="DO21" s="413"/>
      <c r="DP21" s="413"/>
      <c r="DQ21" s="413"/>
      <c r="DR21" s="413"/>
      <c r="DS21" s="413"/>
      <c r="DT21" s="413"/>
      <c r="DU21" s="413"/>
      <c r="DV21" s="413"/>
      <c r="DW21" s="413"/>
      <c r="DX21" s="413"/>
      <c r="DY21" s="413"/>
      <c r="DZ21" s="413"/>
      <c r="EA21" s="413"/>
      <c r="EB21" s="413"/>
      <c r="EC21" s="413"/>
      <c r="ED21" s="413"/>
      <c r="EE21" s="413"/>
      <c r="EF21" s="413"/>
      <c r="EG21" s="413"/>
      <c r="EH21" s="413"/>
      <c r="EI21" s="413"/>
      <c r="EJ21" s="413"/>
      <c r="EK21" s="413"/>
      <c r="EL21" s="413"/>
      <c r="EM21" s="413"/>
      <c r="EN21" s="413"/>
      <c r="EO21" s="413"/>
      <c r="EP21" s="413"/>
      <c r="EQ21" s="413"/>
      <c r="ER21" s="413"/>
      <c r="ES21" s="413"/>
      <c r="EU21" s="682">
        <f>'Monthly Data'!FO9</f>
        <v>740.96458445353414</v>
      </c>
      <c r="EV21" s="682">
        <f>'Monthly Data'!FP9</f>
        <v>589.61809365932334</v>
      </c>
      <c r="EW21" s="682">
        <f>'Monthly Data'!FQ9</f>
        <v>2558.0583527983304</v>
      </c>
      <c r="EX21" s="682">
        <f>'Monthly Data'!FR9</f>
        <v>79874.138859601022</v>
      </c>
      <c r="EY21" s="682">
        <f>'Monthly Data'!FS9</f>
        <v>1367596.3049977487</v>
      </c>
      <c r="EZ21" s="682">
        <f>'Monthly Data'!FT9</f>
        <v>6157553.4412665144</v>
      </c>
      <c r="FA21" s="682">
        <f>'Monthly Data'!FX9</f>
        <v>864.20943828468705</v>
      </c>
      <c r="FB21" s="682">
        <f>'Monthly Data'!FY9</f>
        <v>3197.2817300597194</v>
      </c>
      <c r="FC21" s="682">
        <f>'Monthly Data'!FZ9</f>
        <v>84264.798387629184</v>
      </c>
      <c r="FD21" s="682">
        <f>'Monthly Data'!GA9</f>
        <v>356201.4</v>
      </c>
    </row>
    <row r="22" spans="1:160">
      <c r="A22">
        <v>2015</v>
      </c>
      <c r="B22">
        <v>9</v>
      </c>
      <c r="C22" s="313">
        <v>78.99404761904762</v>
      </c>
      <c r="D22" s="313">
        <v>27.916666666666675</v>
      </c>
      <c r="E22" s="313">
        <v>42.631547619047623</v>
      </c>
      <c r="F22" s="313">
        <v>51.55416666666666</v>
      </c>
      <c r="G22" s="313">
        <v>18.695833333333333</v>
      </c>
      <c r="H22" s="313">
        <v>87.618452380952391</v>
      </c>
      <c r="I22" s="313">
        <v>6.0041666666666682</v>
      </c>
      <c r="J22" s="313">
        <v>134.9267857142857</v>
      </c>
      <c r="K22" s="313">
        <v>3.7500000000001421E-2</v>
      </c>
      <c r="L22" s="313">
        <v>188.96011904761906</v>
      </c>
      <c r="M22" s="313">
        <v>0</v>
      </c>
      <c r="N22" s="313">
        <v>248.92261904761907</v>
      </c>
      <c r="O22" s="313">
        <v>0</v>
      </c>
      <c r="P22" s="313">
        <v>308.92261904761898</v>
      </c>
      <c r="Q22" s="383">
        <v>18.297420634920634</v>
      </c>
      <c r="S22" s="3">
        <f>'Monthly Data'!D10</f>
        <v>73014212.072839707</v>
      </c>
      <c r="T22" s="3">
        <f>'Monthly Data'!J10</f>
        <v>638759.91505999898</v>
      </c>
      <c r="U22" s="3">
        <f>'Monthly Data'!P10</f>
        <v>21439743.880240001</v>
      </c>
      <c r="V22" s="3">
        <f>'Monthly Data'!V10</f>
        <v>82439342.739999995</v>
      </c>
      <c r="W22" s="3">
        <f>'Monthly Data'!AB10</f>
        <v>6277736.2800000003</v>
      </c>
      <c r="X22" s="3">
        <f>'Monthly Data'!AG10</f>
        <v>17151862.620000001</v>
      </c>
      <c r="Y22" s="3">
        <f>'Monthly Data'!BC10</f>
        <v>31217104.874619901</v>
      </c>
      <c r="Z22" s="3">
        <f>'Monthly Data'!BI10</f>
        <v>6613341.1861100104</v>
      </c>
      <c r="AA22" s="3">
        <f>'Monthly Data'!BO10</f>
        <v>30000518.25</v>
      </c>
      <c r="AB22" s="3">
        <f>'Monthly Data'!BU10</f>
        <v>5118950.88</v>
      </c>
      <c r="BA22" s="411" t="str">
        <f>D1</f>
        <v>CDD20</v>
      </c>
      <c r="BB22" s="412" t="s">
        <v>104</v>
      </c>
      <c r="BC22" s="412" t="s">
        <v>105</v>
      </c>
      <c r="BD22" s="412" t="s">
        <v>106</v>
      </c>
      <c r="BE22" s="412" t="s">
        <v>107</v>
      </c>
      <c r="BF22" s="412" t="s">
        <v>108</v>
      </c>
      <c r="BG22" s="412" t="s">
        <v>326</v>
      </c>
      <c r="BH22" s="412" t="s">
        <v>327</v>
      </c>
      <c r="BI22" s="412" t="s">
        <v>328</v>
      </c>
      <c r="BJ22" s="412" t="s">
        <v>112</v>
      </c>
      <c r="BK22" s="412" t="s">
        <v>113</v>
      </c>
      <c r="BL22" s="412" t="s">
        <v>114</v>
      </c>
      <c r="BM22" s="412" t="s">
        <v>115</v>
      </c>
      <c r="BN22" s="413"/>
      <c r="BO22" s="411" t="str">
        <f>F1</f>
        <v>CDD18</v>
      </c>
      <c r="BP22" s="412" t="s">
        <v>104</v>
      </c>
      <c r="BQ22" s="412" t="s">
        <v>105</v>
      </c>
      <c r="BR22" s="412" t="s">
        <v>106</v>
      </c>
      <c r="BS22" s="412" t="s">
        <v>107</v>
      </c>
      <c r="BT22" s="412" t="s">
        <v>108</v>
      </c>
      <c r="BU22" s="412" t="s">
        <v>326</v>
      </c>
      <c r="BV22" s="412" t="s">
        <v>327</v>
      </c>
      <c r="BW22" s="412" t="s">
        <v>328</v>
      </c>
      <c r="BX22" s="412" t="s">
        <v>112</v>
      </c>
      <c r="BY22" s="412" t="s">
        <v>113</v>
      </c>
      <c r="BZ22" s="412" t="s">
        <v>114</v>
      </c>
      <c r="CA22" s="412" t="s">
        <v>115</v>
      </c>
      <c r="CB22" s="413"/>
      <c r="CC22" s="411" t="str">
        <f>H1</f>
        <v>CDD16</v>
      </c>
      <c r="CD22" s="412" t="s">
        <v>104</v>
      </c>
      <c r="CE22" s="412" t="s">
        <v>105</v>
      </c>
      <c r="CF22" s="412" t="s">
        <v>106</v>
      </c>
      <c r="CG22" s="412" t="s">
        <v>107</v>
      </c>
      <c r="CH22" s="412" t="s">
        <v>108</v>
      </c>
      <c r="CI22" s="412" t="s">
        <v>326</v>
      </c>
      <c r="CJ22" s="412" t="s">
        <v>327</v>
      </c>
      <c r="CK22" s="412" t="s">
        <v>328</v>
      </c>
      <c r="CL22" s="412" t="s">
        <v>112</v>
      </c>
      <c r="CM22" s="412" t="s">
        <v>113</v>
      </c>
      <c r="CN22" s="412" t="s">
        <v>114</v>
      </c>
      <c r="CO22" s="412" t="s">
        <v>115</v>
      </c>
      <c r="CP22" s="413"/>
      <c r="CQ22" s="411" t="str">
        <f>J1</f>
        <v>CDD14</v>
      </c>
      <c r="CR22" s="412" t="s">
        <v>104</v>
      </c>
      <c r="CS22" s="412" t="s">
        <v>105</v>
      </c>
      <c r="CT22" s="412" t="s">
        <v>106</v>
      </c>
      <c r="CU22" s="412" t="s">
        <v>107</v>
      </c>
      <c r="CV22" s="412" t="s">
        <v>108</v>
      </c>
      <c r="CW22" s="412" t="s">
        <v>326</v>
      </c>
      <c r="CX22" s="412" t="s">
        <v>327</v>
      </c>
      <c r="CY22" s="412" t="s">
        <v>328</v>
      </c>
      <c r="CZ22" s="412" t="s">
        <v>112</v>
      </c>
      <c r="DA22" s="412" t="s">
        <v>113</v>
      </c>
      <c r="DB22" s="412" t="s">
        <v>114</v>
      </c>
      <c r="DC22" s="412" t="s">
        <v>115</v>
      </c>
      <c r="DD22" s="413"/>
      <c r="DE22" s="411" t="str">
        <f>L1</f>
        <v>CDD12</v>
      </c>
      <c r="DF22" s="412" t="s">
        <v>104</v>
      </c>
      <c r="DG22" s="412" t="s">
        <v>105</v>
      </c>
      <c r="DH22" s="412" t="s">
        <v>106</v>
      </c>
      <c r="DI22" s="412" t="s">
        <v>107</v>
      </c>
      <c r="DJ22" s="412" t="s">
        <v>108</v>
      </c>
      <c r="DK22" s="412" t="s">
        <v>326</v>
      </c>
      <c r="DL22" s="412" t="s">
        <v>327</v>
      </c>
      <c r="DM22" s="412" t="s">
        <v>328</v>
      </c>
      <c r="DN22" s="412" t="s">
        <v>112</v>
      </c>
      <c r="DO22" s="412" t="s">
        <v>113</v>
      </c>
      <c r="DP22" s="412" t="s">
        <v>114</v>
      </c>
      <c r="DQ22" s="412" t="s">
        <v>115</v>
      </c>
      <c r="DR22" s="413"/>
      <c r="DS22" s="411" t="str">
        <f>N1</f>
        <v>CDD10</v>
      </c>
      <c r="DT22" s="412" t="s">
        <v>104</v>
      </c>
      <c r="DU22" s="412" t="s">
        <v>105</v>
      </c>
      <c r="DV22" s="412" t="s">
        <v>106</v>
      </c>
      <c r="DW22" s="412" t="s">
        <v>107</v>
      </c>
      <c r="DX22" s="412" t="s">
        <v>108</v>
      </c>
      <c r="DY22" s="412" t="s">
        <v>326</v>
      </c>
      <c r="DZ22" s="412" t="s">
        <v>327</v>
      </c>
      <c r="EA22" s="412" t="s">
        <v>328</v>
      </c>
      <c r="EB22" s="412" t="s">
        <v>112</v>
      </c>
      <c r="EC22" s="412" t="s">
        <v>113</v>
      </c>
      <c r="ED22" s="412" t="s">
        <v>114</v>
      </c>
      <c r="EE22" s="412" t="s">
        <v>115</v>
      </c>
      <c r="EF22" s="413"/>
      <c r="EG22" s="411" t="str">
        <f>P1</f>
        <v>CDD8</v>
      </c>
      <c r="EH22" s="412" t="s">
        <v>104</v>
      </c>
      <c r="EI22" s="412" t="s">
        <v>105</v>
      </c>
      <c r="EJ22" s="412" t="s">
        <v>106</v>
      </c>
      <c r="EK22" s="412" t="s">
        <v>107</v>
      </c>
      <c r="EL22" s="412" t="s">
        <v>108</v>
      </c>
      <c r="EM22" s="412" t="s">
        <v>326</v>
      </c>
      <c r="EN22" s="412" t="s">
        <v>327</v>
      </c>
      <c r="EO22" s="412" t="s">
        <v>328</v>
      </c>
      <c r="EP22" s="412" t="s">
        <v>112</v>
      </c>
      <c r="EQ22" s="412" t="s">
        <v>113</v>
      </c>
      <c r="ER22" s="412" t="s">
        <v>114</v>
      </c>
      <c r="ES22" s="412" t="s">
        <v>115</v>
      </c>
      <c r="EU22" s="682">
        <f>'Monthly Data'!FO10</f>
        <v>688.63535605597303</v>
      </c>
      <c r="EV22" s="682">
        <f>'Monthly Data'!FP10</f>
        <v>406.78433455623752</v>
      </c>
      <c r="EW22" s="682">
        <f>'Monthly Data'!FQ10</f>
        <v>2449.7745956767644</v>
      </c>
      <c r="EX22" s="682">
        <f>'Monthly Data'!FR10</f>
        <v>79237.363397912457</v>
      </c>
      <c r="EY22" s="682">
        <f>'Monthly Data'!FS10</f>
        <v>1258458.4186545208</v>
      </c>
      <c r="EZ22" s="682">
        <f>'Monthly Data'!FT10</f>
        <v>6388331.2047057934</v>
      </c>
      <c r="FA22" s="682">
        <f>'Monthly Data'!FX10</f>
        <v>804.27627650396221</v>
      </c>
      <c r="FB22" s="682">
        <f>'Monthly Data'!FY10</f>
        <v>3090.5829033476812</v>
      </c>
      <c r="FC22" s="682">
        <f>'Monthly Data'!FZ10</f>
        <v>82786.694962127076</v>
      </c>
      <c r="FD22" s="682">
        <f>'Monthly Data'!GA10</f>
        <v>372975.565</v>
      </c>
    </row>
    <row r="23" spans="1:160">
      <c r="A23">
        <v>2015</v>
      </c>
      <c r="B23">
        <v>10</v>
      </c>
      <c r="C23" s="313">
        <v>338.98750000000007</v>
      </c>
      <c r="D23" s="313">
        <v>0</v>
      </c>
      <c r="E23" s="313">
        <v>276.98750000000001</v>
      </c>
      <c r="F23" s="313">
        <v>0</v>
      </c>
      <c r="G23" s="313">
        <v>215.98749999999998</v>
      </c>
      <c r="H23" s="313">
        <v>1</v>
      </c>
      <c r="I23" s="313">
        <v>157.34583333333333</v>
      </c>
      <c r="J23" s="313">
        <v>4.3583333333333325</v>
      </c>
      <c r="K23" s="313">
        <v>104.88333333333331</v>
      </c>
      <c r="L23" s="313">
        <v>13.895833333333337</v>
      </c>
      <c r="M23" s="313">
        <v>61.262500000000003</v>
      </c>
      <c r="N23" s="313">
        <v>32.275000000000006</v>
      </c>
      <c r="O23" s="313">
        <v>33.92916666666666</v>
      </c>
      <c r="P23" s="313">
        <v>66.941666666666677</v>
      </c>
      <c r="Q23" s="383">
        <v>9.0649193548387093</v>
      </c>
      <c r="S23" s="3">
        <f>'Monthly Data'!D11</f>
        <v>61945597.962299503</v>
      </c>
      <c r="T23" s="3">
        <f>'Monthly Data'!J11</f>
        <v>737422.35897000099</v>
      </c>
      <c r="U23" s="3">
        <f>'Monthly Data'!P11</f>
        <v>20120866.142470002</v>
      </c>
      <c r="V23" s="3">
        <f>'Monthly Data'!V11</f>
        <v>77995673.730000004</v>
      </c>
      <c r="W23" s="3">
        <f>'Monthly Data'!AB11</f>
        <v>6550175.5499999998</v>
      </c>
      <c r="X23" s="3">
        <f>'Monthly Data'!AG11</f>
        <v>21423639.010000002</v>
      </c>
      <c r="Y23" s="3">
        <f>'Monthly Data'!BC11</f>
        <v>24041873.3514001</v>
      </c>
      <c r="Z23" s="3">
        <f>'Monthly Data'!BI11</f>
        <v>5987105.1237599999</v>
      </c>
      <c r="AA23" s="3">
        <f>'Monthly Data'!BO11</f>
        <v>29128975.390000001</v>
      </c>
      <c r="AB23" s="3">
        <f>'Monthly Data'!BU11</f>
        <v>5125667.26</v>
      </c>
      <c r="BA23" s="413">
        <v>2014</v>
      </c>
      <c r="BB23" s="417">
        <f>SUMIFS($D:$D,$A:$A,$BA23,$B:$B,BB$1)</f>
        <v>0</v>
      </c>
      <c r="BC23" s="417">
        <f t="shared" ref="BC23:BM23" si="183">SUMIFS($D:$D,$A:$A,$BA23,$B:$B,BC$1)</f>
        <v>0</v>
      </c>
      <c r="BD23" s="417">
        <f t="shared" si="183"/>
        <v>0</v>
      </c>
      <c r="BE23" s="417">
        <f t="shared" si="183"/>
        <v>0</v>
      </c>
      <c r="BF23" s="417">
        <f t="shared" si="183"/>
        <v>2.8750000000000071</v>
      </c>
      <c r="BG23" s="417">
        <f t="shared" si="183"/>
        <v>14.625</v>
      </c>
      <c r="BH23" s="417">
        <f t="shared" si="183"/>
        <v>20.045833333333324</v>
      </c>
      <c r="BI23" s="417">
        <f t="shared" si="183"/>
        <v>13.233333333333348</v>
      </c>
      <c r="BJ23" s="417">
        <f t="shared" si="183"/>
        <v>5.1333333333333293</v>
      </c>
      <c r="BK23" s="417">
        <f t="shared" si="183"/>
        <v>0</v>
      </c>
      <c r="BL23" s="417">
        <f t="shared" si="183"/>
        <v>0</v>
      </c>
      <c r="BM23" s="417">
        <f t="shared" si="183"/>
        <v>0</v>
      </c>
      <c r="BN23" s="413"/>
      <c r="BO23" s="413">
        <f>BA23</f>
        <v>2014</v>
      </c>
      <c r="BP23" s="417">
        <f>SUMIFS($F:$F,$A:$A,$BA23,$B:$B,BP$1)</f>
        <v>0</v>
      </c>
      <c r="BQ23" s="417">
        <f t="shared" ref="BQ23:CA33" si="184">SUMIFS($F:$F,$A:$A,$BA23,$B:$B,BQ$1)</f>
        <v>0</v>
      </c>
      <c r="BR23" s="417">
        <f t="shared" si="184"/>
        <v>0</v>
      </c>
      <c r="BS23" s="417">
        <f t="shared" si="184"/>
        <v>0</v>
      </c>
      <c r="BT23" s="417">
        <f t="shared" si="184"/>
        <v>7.3000000000000043</v>
      </c>
      <c r="BU23" s="417">
        <f t="shared" si="184"/>
        <v>41.745833333333323</v>
      </c>
      <c r="BV23" s="417">
        <f t="shared" si="184"/>
        <v>47.570833333333312</v>
      </c>
      <c r="BW23" s="417">
        <f t="shared" si="184"/>
        <v>49.920833333333348</v>
      </c>
      <c r="BX23" s="417">
        <f t="shared" si="184"/>
        <v>17.858333333333327</v>
      </c>
      <c r="BY23" s="417">
        <f t="shared" si="184"/>
        <v>0.34583333333333499</v>
      </c>
      <c r="BZ23" s="417">
        <f t="shared" si="184"/>
        <v>0</v>
      </c>
      <c r="CA23" s="417">
        <f t="shared" si="184"/>
        <v>0</v>
      </c>
      <c r="CB23" s="417">
        <f>SUM(BP23:CA23)</f>
        <v>164.74166666666665</v>
      </c>
      <c r="CC23" s="413">
        <f>BO23</f>
        <v>2014</v>
      </c>
      <c r="CD23" s="417">
        <f>SUMIFS($H:$H,$A:$A,$BA23,$B:$B,CD$1)</f>
        <v>0</v>
      </c>
      <c r="CE23" s="417">
        <f t="shared" ref="CE23:CO33" si="185">SUMIFS($H:$H,$A:$A,$BA23,$B:$B,CE$1)</f>
        <v>0</v>
      </c>
      <c r="CF23" s="417">
        <f t="shared" si="185"/>
        <v>0</v>
      </c>
      <c r="CG23" s="417">
        <f t="shared" si="185"/>
        <v>0</v>
      </c>
      <c r="CH23" s="417">
        <f t="shared" si="185"/>
        <v>16.816666666666681</v>
      </c>
      <c r="CI23" s="417">
        <f t="shared" si="185"/>
        <v>85.383333333333326</v>
      </c>
      <c r="CJ23" s="417">
        <f t="shared" si="185"/>
        <v>99.612499999999969</v>
      </c>
      <c r="CK23" s="417">
        <f t="shared" si="185"/>
        <v>98.458333333333343</v>
      </c>
      <c r="CL23" s="417">
        <f t="shared" si="185"/>
        <v>40.979166666666657</v>
      </c>
      <c r="CM23" s="417">
        <f t="shared" si="185"/>
        <v>3.0791666666666693</v>
      </c>
      <c r="CN23" s="417">
        <f t="shared" si="185"/>
        <v>0</v>
      </c>
      <c r="CO23" s="417">
        <f t="shared" si="185"/>
        <v>0</v>
      </c>
      <c r="CP23" s="413"/>
      <c r="CQ23" s="413">
        <f>CC23</f>
        <v>2014</v>
      </c>
      <c r="CR23" s="417">
        <f>SUMIFS($J:$J,$A:$A,$BA23,$B:$B,CR$1)</f>
        <v>0</v>
      </c>
      <c r="CS23" s="417">
        <f t="shared" ref="CS23:DC33" si="186">SUMIFS($J:$J,$A:$A,$BA23,$B:$B,CS$1)</f>
        <v>0</v>
      </c>
      <c r="CT23" s="417">
        <f t="shared" si="186"/>
        <v>0</v>
      </c>
      <c r="CU23" s="417">
        <f t="shared" si="186"/>
        <v>0</v>
      </c>
      <c r="CV23" s="417">
        <f t="shared" si="186"/>
        <v>44.924851778656141</v>
      </c>
      <c r="CW23" s="417">
        <f t="shared" si="186"/>
        <v>139.94583333333335</v>
      </c>
      <c r="CX23" s="417">
        <f t="shared" si="186"/>
        <v>161.60416666666666</v>
      </c>
      <c r="CY23" s="417">
        <f t="shared" si="186"/>
        <v>156.14166666666665</v>
      </c>
      <c r="CZ23" s="417">
        <f t="shared" si="186"/>
        <v>77.641666666666652</v>
      </c>
      <c r="DA23" s="417">
        <f t="shared" si="186"/>
        <v>11.362500000000011</v>
      </c>
      <c r="DB23" s="417">
        <f t="shared" si="186"/>
        <v>0</v>
      </c>
      <c r="DC23" s="417">
        <f t="shared" si="186"/>
        <v>0</v>
      </c>
      <c r="DD23" s="413"/>
      <c r="DE23" s="413">
        <f>CQ23</f>
        <v>2014</v>
      </c>
      <c r="DF23" s="417">
        <f>SUMIFS($L:$L,$A:$A,$BA23,$B:$B,DF$1)</f>
        <v>0</v>
      </c>
      <c r="DG23" s="417">
        <f t="shared" ref="DG23:DQ33" si="187">SUMIFS($L:$L,$A:$A,$BA23,$B:$B,DG$1)</f>
        <v>0</v>
      </c>
      <c r="DH23" s="417">
        <f t="shared" si="187"/>
        <v>0</v>
      </c>
      <c r="DI23" s="417">
        <f t="shared" si="187"/>
        <v>0</v>
      </c>
      <c r="DJ23" s="417">
        <f t="shared" si="187"/>
        <v>84.195685111989476</v>
      </c>
      <c r="DK23" s="417">
        <f t="shared" si="187"/>
        <v>198.97083333333333</v>
      </c>
      <c r="DL23" s="417">
        <f t="shared" si="187"/>
        <v>223.6041666666666</v>
      </c>
      <c r="DM23" s="417">
        <f t="shared" si="187"/>
        <v>217.47083333333336</v>
      </c>
      <c r="DN23" s="417">
        <f t="shared" si="187"/>
        <v>121.05833333333331</v>
      </c>
      <c r="DO23" s="417">
        <f t="shared" si="187"/>
        <v>26.879166666666691</v>
      </c>
      <c r="DP23" s="417">
        <f t="shared" si="187"/>
        <v>0</v>
      </c>
      <c r="DQ23" s="417">
        <f t="shared" si="187"/>
        <v>0</v>
      </c>
      <c r="DR23" s="413"/>
      <c r="DS23" s="413">
        <f>DE23</f>
        <v>2014</v>
      </c>
      <c r="DT23" s="417">
        <f>SUMIFS($N:$N,$A:$A,$BA23,$B:$B,DT$1)</f>
        <v>0</v>
      </c>
      <c r="DU23" s="417">
        <f t="shared" ref="DU23:EE33" si="188">SUMIFS($N:$N,$A:$A,$BA23,$B:$B,DU$1)</f>
        <v>0</v>
      </c>
      <c r="DV23" s="417">
        <f t="shared" si="188"/>
        <v>0</v>
      </c>
      <c r="DW23" s="417">
        <f t="shared" si="188"/>
        <v>4.3208333333333346</v>
      </c>
      <c r="DX23" s="417">
        <f t="shared" si="188"/>
        <v>126.44985177865614</v>
      </c>
      <c r="DY23" s="417">
        <f t="shared" si="188"/>
        <v>258.97083333333342</v>
      </c>
      <c r="DZ23" s="417">
        <f t="shared" si="188"/>
        <v>285.60416666666657</v>
      </c>
      <c r="EA23" s="417">
        <f t="shared" si="188"/>
        <v>279.47083333333336</v>
      </c>
      <c r="EB23" s="417">
        <f t="shared" si="188"/>
        <v>170.74583333333334</v>
      </c>
      <c r="EC23" s="417">
        <f t="shared" si="188"/>
        <v>51.970833333333353</v>
      </c>
      <c r="ED23" s="417">
        <f t="shared" si="188"/>
        <v>0.39583333333333215</v>
      </c>
      <c r="EE23" s="417">
        <f t="shared" si="188"/>
        <v>0</v>
      </c>
      <c r="EF23" s="413"/>
      <c r="EG23" s="413">
        <f>DS23</f>
        <v>2014</v>
      </c>
      <c r="EH23" s="417">
        <f>SUMIFS($P:$P,$A:$A,$BA23,$B:$B,EH$1)</f>
        <v>0</v>
      </c>
      <c r="EI23" s="417">
        <f t="shared" ref="EI23:ES33" si="189">SUMIFS($P:$P,$A:$A,$BA23,$B:$B,EI$1)</f>
        <v>0</v>
      </c>
      <c r="EJ23" s="417">
        <f t="shared" si="189"/>
        <v>0</v>
      </c>
      <c r="EK23" s="417">
        <f t="shared" si="189"/>
        <v>11.87916666666667</v>
      </c>
      <c r="EL23" s="417">
        <f t="shared" si="189"/>
        <v>176.81235177865619</v>
      </c>
      <c r="EM23" s="417">
        <f t="shared" si="189"/>
        <v>318.97083333333336</v>
      </c>
      <c r="EN23" s="417">
        <f t="shared" si="189"/>
        <v>347.60416666666657</v>
      </c>
      <c r="EO23" s="417">
        <f t="shared" si="189"/>
        <v>341.4708333333333</v>
      </c>
      <c r="EP23" s="417">
        <f t="shared" si="189"/>
        <v>229.30833333333334</v>
      </c>
      <c r="EQ23" s="417">
        <f t="shared" si="189"/>
        <v>86.83750000000002</v>
      </c>
      <c r="ER23" s="417">
        <f t="shared" si="189"/>
        <v>6.3666666666666671</v>
      </c>
      <c r="ES23" s="417">
        <f t="shared" si="189"/>
        <v>0</v>
      </c>
      <c r="EU23" s="682">
        <f>'Monthly Data'!FO11</f>
        <v>585.87146064848378</v>
      </c>
      <c r="EV23" s="682">
        <f>'Monthly Data'!FP11</f>
        <v>469.2071225561283</v>
      </c>
      <c r="EW23" s="682">
        <f>'Monthly Data'!FQ11</f>
        <v>2302.722049291428</v>
      </c>
      <c r="EX23" s="682">
        <f>'Monthly Data'!FR11</f>
        <v>74986.160435171056</v>
      </c>
      <c r="EY23" s="682">
        <f>'Monthly Data'!FS11</f>
        <v>1313129.5903112928</v>
      </c>
      <c r="EZ23" s="682">
        <f>'Monthly Data'!FT11</f>
        <v>7715788.890295702</v>
      </c>
      <c r="FA23" s="682">
        <f>'Monthly Data'!FX11</f>
        <v>621.10309036581009</v>
      </c>
      <c r="FB23" s="682">
        <f>'Monthly Data'!FY11</f>
        <v>2802.0566083492472</v>
      </c>
      <c r="FC23" s="682">
        <f>'Monthly Data'!FZ11</f>
        <v>80467.229122685283</v>
      </c>
      <c r="FD23" s="682">
        <f>'Monthly Data'!GA11</f>
        <v>415372.45</v>
      </c>
    </row>
    <row r="24" spans="1:160">
      <c r="A24">
        <v>2015</v>
      </c>
      <c r="B24">
        <v>11</v>
      </c>
      <c r="C24" s="313">
        <v>431.77083333333331</v>
      </c>
      <c r="D24" s="313">
        <v>0</v>
      </c>
      <c r="E24" s="313">
        <v>371.77083333333326</v>
      </c>
      <c r="F24" s="313">
        <v>0</v>
      </c>
      <c r="G24" s="313">
        <v>311.77083333333331</v>
      </c>
      <c r="H24" s="313">
        <v>0</v>
      </c>
      <c r="I24" s="313">
        <v>252.04166666666663</v>
      </c>
      <c r="J24" s="313">
        <v>0.27083333333333393</v>
      </c>
      <c r="K24" s="313">
        <v>195.30833333333331</v>
      </c>
      <c r="L24" s="313">
        <v>3.5374999999999979</v>
      </c>
      <c r="M24" s="313">
        <v>143.67916666666665</v>
      </c>
      <c r="N24" s="313">
        <v>11.908333333333333</v>
      </c>
      <c r="O24" s="313">
        <v>99.970833333333317</v>
      </c>
      <c r="P24" s="313">
        <v>28.199999999999996</v>
      </c>
      <c r="Q24" s="383">
        <v>5.6076388888888893</v>
      </c>
      <c r="S24" s="3">
        <f>'Monthly Data'!D12</f>
        <v>64329731.947440699</v>
      </c>
      <c r="T24" s="3">
        <f>'Monthly Data'!J12</f>
        <v>512170.78074999998</v>
      </c>
      <c r="U24" s="3">
        <f>'Monthly Data'!P12</f>
        <v>20784084.706459999</v>
      </c>
      <c r="V24" s="3">
        <f>'Monthly Data'!V12</f>
        <v>77576977.430000007</v>
      </c>
      <c r="W24" s="3">
        <f>'Monthly Data'!AB12</f>
        <v>6878262.1399999997</v>
      </c>
      <c r="X24" s="3">
        <f>'Monthly Data'!AG12</f>
        <v>19236085.850000001</v>
      </c>
      <c r="Y24" s="3">
        <f>'Monthly Data'!BC12</f>
        <v>24187975.689040199</v>
      </c>
      <c r="Z24" s="3">
        <f>'Monthly Data'!BI12</f>
        <v>6177044.8955400204</v>
      </c>
      <c r="AA24" s="3">
        <f>'Monthly Data'!BO12</f>
        <v>28976857.489999998</v>
      </c>
      <c r="AB24" s="3">
        <f>'Monthly Data'!BU12</f>
        <v>4967240.05</v>
      </c>
      <c r="BA24" s="413">
        <f t="shared" ref="BA24:BA35" si="190">BA23+1</f>
        <v>2015</v>
      </c>
      <c r="BB24" s="417">
        <f t="shared" ref="BB24:BM33" si="191">SUMIFS($D:$D,$A:$A,$BA24,$B:$B,BB$1)</f>
        <v>0</v>
      </c>
      <c r="BC24" s="417">
        <f t="shared" si="191"/>
        <v>0</v>
      </c>
      <c r="BD24" s="417">
        <f t="shared" si="191"/>
        <v>0</v>
      </c>
      <c r="BE24" s="417">
        <f t="shared" si="191"/>
        <v>0</v>
      </c>
      <c r="BF24" s="417">
        <f t="shared" si="191"/>
        <v>0.39999999999999503</v>
      </c>
      <c r="BG24" s="417">
        <f t="shared" si="191"/>
        <v>2.7499999999999964</v>
      </c>
      <c r="BH24" s="417">
        <f t="shared" si="191"/>
        <v>45.524999999999991</v>
      </c>
      <c r="BI24" s="417">
        <f t="shared" si="191"/>
        <v>22.12916666666667</v>
      </c>
      <c r="BJ24" s="417">
        <f t="shared" si="191"/>
        <v>27.916666666666675</v>
      </c>
      <c r="BK24" s="417">
        <f t="shared" si="191"/>
        <v>0</v>
      </c>
      <c r="BL24" s="417">
        <f t="shared" si="191"/>
        <v>0</v>
      </c>
      <c r="BM24" s="417">
        <f t="shared" si="191"/>
        <v>0</v>
      </c>
      <c r="BN24" s="413"/>
      <c r="BO24" s="413">
        <f t="shared" ref="BO24:BO35" si="192">BO23+1</f>
        <v>2015</v>
      </c>
      <c r="BP24" s="417">
        <f t="shared" ref="BP24:BP33" si="193">SUMIFS($F:$F,$A:$A,$BA24,$B:$B,BP$1)</f>
        <v>0</v>
      </c>
      <c r="BQ24" s="417">
        <f t="shared" si="184"/>
        <v>0</v>
      </c>
      <c r="BR24" s="417">
        <f t="shared" si="184"/>
        <v>0</v>
      </c>
      <c r="BS24" s="417">
        <f t="shared" si="184"/>
        <v>0</v>
      </c>
      <c r="BT24" s="417">
        <f t="shared" si="184"/>
        <v>11.524999999999999</v>
      </c>
      <c r="BU24" s="417">
        <f t="shared" si="184"/>
        <v>14.537499999999991</v>
      </c>
      <c r="BV24" s="417">
        <f t="shared" si="184"/>
        <v>87.624999999999986</v>
      </c>
      <c r="BW24" s="417">
        <f t="shared" si="184"/>
        <v>53.358333333333334</v>
      </c>
      <c r="BX24" s="417">
        <f t="shared" si="184"/>
        <v>51.55416666666666</v>
      </c>
      <c r="BY24" s="417">
        <f t="shared" si="184"/>
        <v>0</v>
      </c>
      <c r="BZ24" s="417">
        <f t="shared" si="184"/>
        <v>0</v>
      </c>
      <c r="CA24" s="417">
        <f t="shared" si="184"/>
        <v>0</v>
      </c>
      <c r="CB24" s="417">
        <f t="shared" ref="CB24:CB40" si="194">SUM(BP24:CA24)</f>
        <v>218.59999999999997</v>
      </c>
      <c r="CC24" s="413">
        <f t="shared" ref="CC24:CC35" si="195">CC23+1</f>
        <v>2015</v>
      </c>
      <c r="CD24" s="417">
        <f t="shared" ref="CD24:CD33" si="196">SUMIFS($H:$H,$A:$A,$BA24,$B:$B,CD$1)</f>
        <v>0</v>
      </c>
      <c r="CE24" s="417">
        <f t="shared" si="185"/>
        <v>0</v>
      </c>
      <c r="CF24" s="417">
        <f t="shared" si="185"/>
        <v>0</v>
      </c>
      <c r="CG24" s="417">
        <f t="shared" si="185"/>
        <v>0</v>
      </c>
      <c r="CH24" s="417">
        <f t="shared" si="185"/>
        <v>32.514880952380949</v>
      </c>
      <c r="CI24" s="417">
        <f t="shared" si="185"/>
        <v>47.337499999999999</v>
      </c>
      <c r="CJ24" s="417">
        <f t="shared" si="185"/>
        <v>143.53749999999999</v>
      </c>
      <c r="CK24" s="417">
        <f t="shared" si="185"/>
        <v>106.43333333333335</v>
      </c>
      <c r="CL24" s="417">
        <f t="shared" si="185"/>
        <v>87.618452380952391</v>
      </c>
      <c r="CM24" s="417">
        <f t="shared" si="185"/>
        <v>1</v>
      </c>
      <c r="CN24" s="417">
        <f t="shared" si="185"/>
        <v>0</v>
      </c>
      <c r="CO24" s="417">
        <f t="shared" si="185"/>
        <v>0</v>
      </c>
      <c r="CP24" s="413"/>
      <c r="CQ24" s="413">
        <f t="shared" ref="CQ24:CQ35" si="197">CQ23+1</f>
        <v>2015</v>
      </c>
      <c r="CR24" s="417">
        <f t="shared" ref="CR24:CR33" si="198">SUMIFS($J:$J,$A:$A,$BA24,$B:$B,CR$1)</f>
        <v>0</v>
      </c>
      <c r="CS24" s="417">
        <f t="shared" si="186"/>
        <v>0</v>
      </c>
      <c r="CT24" s="417">
        <f t="shared" si="186"/>
        <v>0</v>
      </c>
      <c r="CU24" s="417">
        <f t="shared" si="186"/>
        <v>0</v>
      </c>
      <c r="CV24" s="417">
        <f t="shared" si="186"/>
        <v>62.881547619047637</v>
      </c>
      <c r="CW24" s="417">
        <f t="shared" si="186"/>
        <v>95.599999999999966</v>
      </c>
      <c r="CX24" s="417">
        <f t="shared" si="186"/>
        <v>205.53749999999997</v>
      </c>
      <c r="CY24" s="417">
        <f t="shared" si="186"/>
        <v>167.94166666666666</v>
      </c>
      <c r="CZ24" s="417">
        <f t="shared" si="186"/>
        <v>134.9267857142857</v>
      </c>
      <c r="DA24" s="417">
        <f t="shared" si="186"/>
        <v>4.3583333333333325</v>
      </c>
      <c r="DB24" s="417">
        <f t="shared" si="186"/>
        <v>0.27083333333333393</v>
      </c>
      <c r="DC24" s="417">
        <f t="shared" si="186"/>
        <v>0</v>
      </c>
      <c r="DD24" s="413"/>
      <c r="DE24" s="413">
        <f t="shared" ref="DE24:DE35" si="199">DE23+1</f>
        <v>2015</v>
      </c>
      <c r="DF24" s="417">
        <f t="shared" ref="DF24:DF33" si="200">SUMIFS($L:$L,$A:$A,$BA24,$B:$B,DF$1)</f>
        <v>0</v>
      </c>
      <c r="DG24" s="417">
        <f t="shared" si="187"/>
        <v>0</v>
      </c>
      <c r="DH24" s="417">
        <f t="shared" si="187"/>
        <v>0</v>
      </c>
      <c r="DI24" s="417">
        <f t="shared" si="187"/>
        <v>1.5333333333333332</v>
      </c>
      <c r="DJ24" s="417">
        <f t="shared" si="187"/>
        <v>105.49404761904762</v>
      </c>
      <c r="DK24" s="417">
        <f t="shared" si="187"/>
        <v>150.2583333333333</v>
      </c>
      <c r="DL24" s="417">
        <f t="shared" si="187"/>
        <v>267.53749999999997</v>
      </c>
      <c r="DM24" s="417">
        <f t="shared" si="187"/>
        <v>229.94166666666666</v>
      </c>
      <c r="DN24" s="417">
        <f t="shared" si="187"/>
        <v>188.96011904761906</v>
      </c>
      <c r="DO24" s="417">
        <f t="shared" si="187"/>
        <v>13.895833333333337</v>
      </c>
      <c r="DP24" s="417">
        <f t="shared" si="187"/>
        <v>3.5374999999999979</v>
      </c>
      <c r="DQ24" s="417">
        <f t="shared" si="187"/>
        <v>0</v>
      </c>
      <c r="DR24" s="413"/>
      <c r="DS24" s="413">
        <f t="shared" ref="DS24:DS35" si="201">DS23+1</f>
        <v>2015</v>
      </c>
      <c r="DT24" s="417">
        <f t="shared" ref="DT24:DT33" si="202">SUMIFS($N:$N,$A:$A,$BA24,$B:$B,DT$1)</f>
        <v>0</v>
      </c>
      <c r="DU24" s="417">
        <f t="shared" si="188"/>
        <v>0</v>
      </c>
      <c r="DV24" s="417">
        <f t="shared" si="188"/>
        <v>0</v>
      </c>
      <c r="DW24" s="417">
        <f t="shared" si="188"/>
        <v>9.8333333333333321</v>
      </c>
      <c r="DX24" s="417">
        <f t="shared" si="188"/>
        <v>155.69477225672881</v>
      </c>
      <c r="DY24" s="417">
        <f t="shared" si="188"/>
        <v>209.61250000000001</v>
      </c>
      <c r="DZ24" s="417">
        <f t="shared" si="188"/>
        <v>329.53750000000002</v>
      </c>
      <c r="EA24" s="417">
        <f t="shared" si="188"/>
        <v>291.94166666666666</v>
      </c>
      <c r="EB24" s="417">
        <f t="shared" si="188"/>
        <v>248.92261904761907</v>
      </c>
      <c r="EC24" s="417">
        <f t="shared" si="188"/>
        <v>32.275000000000006</v>
      </c>
      <c r="ED24" s="417">
        <f t="shared" si="188"/>
        <v>11.908333333333333</v>
      </c>
      <c r="EE24" s="417">
        <f t="shared" si="188"/>
        <v>0.86666666666666714</v>
      </c>
      <c r="EF24" s="413"/>
      <c r="EG24" s="413">
        <f t="shared" ref="EG24:EG35" si="203">EG23+1</f>
        <v>2015</v>
      </c>
      <c r="EH24" s="417">
        <f t="shared" ref="EH24:EH33" si="204">SUMIFS($P:$P,$A:$A,$BA24,$B:$B,EH$1)</f>
        <v>0</v>
      </c>
      <c r="EI24" s="417">
        <f t="shared" si="189"/>
        <v>0</v>
      </c>
      <c r="EJ24" s="417">
        <f t="shared" si="189"/>
        <v>0</v>
      </c>
      <c r="EK24" s="417">
        <f t="shared" si="189"/>
        <v>26.112499999999997</v>
      </c>
      <c r="EL24" s="417">
        <f t="shared" si="189"/>
        <v>213.30310559006219</v>
      </c>
      <c r="EM24" s="417">
        <f t="shared" si="189"/>
        <v>269.61250000000001</v>
      </c>
      <c r="EN24" s="417">
        <f t="shared" si="189"/>
        <v>391.53750000000014</v>
      </c>
      <c r="EO24" s="417">
        <f t="shared" si="189"/>
        <v>353.94166666666678</v>
      </c>
      <c r="EP24" s="417">
        <f t="shared" si="189"/>
        <v>308.92261904761898</v>
      </c>
      <c r="EQ24" s="417">
        <f t="shared" si="189"/>
        <v>66.941666666666677</v>
      </c>
      <c r="ER24" s="417">
        <f t="shared" si="189"/>
        <v>28.199999999999996</v>
      </c>
      <c r="ES24" s="417">
        <f t="shared" si="189"/>
        <v>6.8248188405797094</v>
      </c>
      <c r="EU24" s="682">
        <f>'Monthly Data'!FO12</f>
        <v>608.76585994918855</v>
      </c>
      <c r="EV24" s="682">
        <f>'Monthly Data'!FP12</f>
        <v>327.89542264357902</v>
      </c>
      <c r="EW24" s="682">
        <f>'Monthly Data'!FQ12</f>
        <v>2378.3211483110763</v>
      </c>
      <c r="EX24" s="682">
        <f>'Monthly Data'!FR12</f>
        <v>74542.33731107958</v>
      </c>
      <c r="EY24" s="682">
        <f>'Monthly Data'!FS12</f>
        <v>1378930.2259680647</v>
      </c>
      <c r="EZ24" s="682">
        <f>'Monthly Data'!FT12</f>
        <v>6752764.576709046</v>
      </c>
      <c r="FA24" s="682">
        <f>'Monthly Data'!FX12</f>
        <v>624.79421130682624</v>
      </c>
      <c r="FB24" s="682">
        <f>'Monthly Data'!FY12</f>
        <v>2888.9325035567581</v>
      </c>
      <c r="FC24" s="682">
        <f>'Monthly Data'!FZ12</f>
        <v>80111.90181916907</v>
      </c>
      <c r="FD24" s="682">
        <f>'Monthly Data'!GA12</f>
        <v>417787.005</v>
      </c>
    </row>
    <row r="25" spans="1:160">
      <c r="A25">
        <v>2015</v>
      </c>
      <c r="B25">
        <v>12</v>
      </c>
      <c r="C25" s="313">
        <v>499.62590579710155</v>
      </c>
      <c r="D25" s="313">
        <v>0</v>
      </c>
      <c r="E25" s="313">
        <v>437.62590579710155</v>
      </c>
      <c r="F25" s="313">
        <v>0</v>
      </c>
      <c r="G25" s="313">
        <v>375.6259057971015</v>
      </c>
      <c r="H25" s="313">
        <v>0</v>
      </c>
      <c r="I25" s="313">
        <v>313.62590579710144</v>
      </c>
      <c r="J25" s="313">
        <v>0</v>
      </c>
      <c r="K25" s="313">
        <v>251.62590579710138</v>
      </c>
      <c r="L25" s="313">
        <v>0</v>
      </c>
      <c r="M25" s="313">
        <v>190.49257246376811</v>
      </c>
      <c r="N25" s="313">
        <v>0.86666666666666714</v>
      </c>
      <c r="O25" s="313">
        <v>134.45072463768119</v>
      </c>
      <c r="P25" s="313">
        <v>6.8248188405797094</v>
      </c>
      <c r="Q25" s="383">
        <v>3.8830352968676944</v>
      </c>
      <c r="S25" s="3">
        <f>'Monthly Data'!D13</f>
        <v>74468220.542759702</v>
      </c>
      <c r="T25" s="3">
        <f>'Monthly Data'!J13</f>
        <v>648188.90104000096</v>
      </c>
      <c r="U25" s="3">
        <f>'Monthly Data'!P13</f>
        <v>22242311.923219901</v>
      </c>
      <c r="V25" s="3">
        <f>'Monthly Data'!V13</f>
        <v>76667512.670000002</v>
      </c>
      <c r="W25" s="3">
        <f>'Monthly Data'!AB13</f>
        <v>6196372.3499999996</v>
      </c>
      <c r="X25" s="3">
        <f>'Monthly Data'!AG13</f>
        <v>17144215.57</v>
      </c>
      <c r="Y25" s="3">
        <f>'Monthly Data'!BC13</f>
        <v>27978852.707929902</v>
      </c>
      <c r="Z25" s="3">
        <f>'Monthly Data'!BI13</f>
        <v>6576696.9807900097</v>
      </c>
      <c r="AA25" s="3">
        <f>'Monthly Data'!BO13</f>
        <v>29084557.949999999</v>
      </c>
      <c r="AB25" s="3">
        <f>'Monthly Data'!BU13</f>
        <v>4712804.3</v>
      </c>
      <c r="BA25" s="413">
        <f t="shared" si="190"/>
        <v>2016</v>
      </c>
      <c r="BB25" s="417">
        <f t="shared" si="191"/>
        <v>0</v>
      </c>
      <c r="BC25" s="417">
        <f t="shared" si="191"/>
        <v>0</v>
      </c>
      <c r="BD25" s="417">
        <f t="shared" si="191"/>
        <v>0</v>
      </c>
      <c r="BE25" s="417">
        <f t="shared" si="191"/>
        <v>0</v>
      </c>
      <c r="BF25" s="417">
        <f t="shared" si="191"/>
        <v>8.9833333333333307</v>
      </c>
      <c r="BG25" s="417">
        <f t="shared" si="191"/>
        <v>20.087500000000002</v>
      </c>
      <c r="BH25" s="417">
        <f t="shared" si="191"/>
        <v>73.983333333333334</v>
      </c>
      <c r="BI25" s="417">
        <f t="shared" si="191"/>
        <v>84.054166666666674</v>
      </c>
      <c r="BJ25" s="417">
        <f t="shared" si="191"/>
        <v>15.887500000000006</v>
      </c>
      <c r="BK25" s="417">
        <f t="shared" si="191"/>
        <v>0</v>
      </c>
      <c r="BL25" s="417">
        <f t="shared" si="191"/>
        <v>0</v>
      </c>
      <c r="BM25" s="417">
        <f t="shared" si="191"/>
        <v>0</v>
      </c>
      <c r="BN25" s="413"/>
      <c r="BO25" s="413">
        <f t="shared" si="192"/>
        <v>2016</v>
      </c>
      <c r="BP25" s="417">
        <f t="shared" si="193"/>
        <v>0</v>
      </c>
      <c r="BQ25" s="417">
        <f t="shared" si="184"/>
        <v>0</v>
      </c>
      <c r="BR25" s="417">
        <f t="shared" si="184"/>
        <v>0</v>
      </c>
      <c r="BS25" s="417">
        <f t="shared" si="184"/>
        <v>0</v>
      </c>
      <c r="BT25" s="417">
        <f t="shared" si="184"/>
        <v>21.845833333333335</v>
      </c>
      <c r="BU25" s="417">
        <f t="shared" si="184"/>
        <v>53.40833333333336</v>
      </c>
      <c r="BV25" s="417">
        <f t="shared" si="184"/>
        <v>128.88749999999999</v>
      </c>
      <c r="BW25" s="417">
        <f t="shared" si="184"/>
        <v>143.1541666666667</v>
      </c>
      <c r="BX25" s="417">
        <f t="shared" si="184"/>
        <v>36.670833333333334</v>
      </c>
      <c r="BY25" s="417">
        <f t="shared" si="184"/>
        <v>0.93750000000000355</v>
      </c>
      <c r="BZ25" s="417">
        <f t="shared" si="184"/>
        <v>0</v>
      </c>
      <c r="CA25" s="417">
        <f t="shared" si="184"/>
        <v>0</v>
      </c>
      <c r="CB25" s="417">
        <f t="shared" si="194"/>
        <v>384.9041666666667</v>
      </c>
      <c r="CC25" s="413">
        <f t="shared" si="195"/>
        <v>2016</v>
      </c>
      <c r="CD25" s="417">
        <f t="shared" si="196"/>
        <v>0</v>
      </c>
      <c r="CE25" s="417">
        <f t="shared" si="185"/>
        <v>0</v>
      </c>
      <c r="CF25" s="417">
        <f t="shared" si="185"/>
        <v>0</v>
      </c>
      <c r="CG25" s="417">
        <f t="shared" si="185"/>
        <v>0</v>
      </c>
      <c r="CH25" s="417">
        <f t="shared" si="185"/>
        <v>40.95416666666668</v>
      </c>
      <c r="CI25" s="417">
        <f t="shared" si="185"/>
        <v>97.33750000000002</v>
      </c>
      <c r="CJ25" s="417">
        <f t="shared" si="185"/>
        <v>189.22916666666666</v>
      </c>
      <c r="CK25" s="417">
        <f t="shared" si="185"/>
        <v>204.02500000000006</v>
      </c>
      <c r="CL25" s="417">
        <f t="shared" si="185"/>
        <v>71.529166666666654</v>
      </c>
      <c r="CM25" s="417">
        <f t="shared" si="185"/>
        <v>7.2541666666666735</v>
      </c>
      <c r="CN25" s="417">
        <f t="shared" si="185"/>
        <v>0</v>
      </c>
      <c r="CO25" s="417">
        <f t="shared" si="185"/>
        <v>0</v>
      </c>
      <c r="CP25" s="413"/>
      <c r="CQ25" s="413">
        <f t="shared" si="197"/>
        <v>2016</v>
      </c>
      <c r="CR25" s="417">
        <f t="shared" si="198"/>
        <v>0</v>
      </c>
      <c r="CS25" s="417">
        <f t="shared" si="186"/>
        <v>0</v>
      </c>
      <c r="CT25" s="417">
        <f t="shared" si="186"/>
        <v>0</v>
      </c>
      <c r="CU25" s="417">
        <f t="shared" si="186"/>
        <v>0.83333333333333393</v>
      </c>
      <c r="CV25" s="417">
        <f t="shared" si="186"/>
        <v>66.604166666666671</v>
      </c>
      <c r="CW25" s="417">
        <f t="shared" si="186"/>
        <v>147.17916666666667</v>
      </c>
      <c r="CX25" s="417">
        <f t="shared" si="186"/>
        <v>251.2291666666666</v>
      </c>
      <c r="CY25" s="417">
        <f t="shared" si="186"/>
        <v>266.02500000000003</v>
      </c>
      <c r="CZ25" s="417">
        <f t="shared" si="186"/>
        <v>120.65416666666664</v>
      </c>
      <c r="DA25" s="417">
        <f t="shared" si="186"/>
        <v>24.770833333333336</v>
      </c>
      <c r="DB25" s="417">
        <f t="shared" si="186"/>
        <v>0</v>
      </c>
      <c r="DC25" s="417">
        <f t="shared" si="186"/>
        <v>0</v>
      </c>
      <c r="DD25" s="413"/>
      <c r="DE25" s="413">
        <f t="shared" si="199"/>
        <v>2016</v>
      </c>
      <c r="DF25" s="417">
        <f t="shared" si="200"/>
        <v>0</v>
      </c>
      <c r="DG25" s="417">
        <f t="shared" si="187"/>
        <v>0</v>
      </c>
      <c r="DH25" s="417">
        <f t="shared" si="187"/>
        <v>0</v>
      </c>
      <c r="DI25" s="417">
        <f t="shared" si="187"/>
        <v>3.2208333333333368</v>
      </c>
      <c r="DJ25" s="417">
        <f t="shared" si="187"/>
        <v>98.295833333333348</v>
      </c>
      <c r="DK25" s="417">
        <f t="shared" si="187"/>
        <v>203.85416666666669</v>
      </c>
      <c r="DL25" s="417">
        <f t="shared" si="187"/>
        <v>313.22916666666657</v>
      </c>
      <c r="DM25" s="417">
        <f t="shared" si="187"/>
        <v>328.02499999999998</v>
      </c>
      <c r="DN25" s="417">
        <f t="shared" si="187"/>
        <v>176.5541666666667</v>
      </c>
      <c r="DO25" s="417">
        <f t="shared" si="187"/>
        <v>52.383333333333333</v>
      </c>
      <c r="DP25" s="417">
        <f t="shared" si="187"/>
        <v>1.3291666666666675</v>
      </c>
      <c r="DQ25" s="417">
        <f t="shared" si="187"/>
        <v>0</v>
      </c>
      <c r="DR25" s="413"/>
      <c r="DS25" s="413">
        <f t="shared" si="201"/>
        <v>2016</v>
      </c>
      <c r="DT25" s="417">
        <f t="shared" si="202"/>
        <v>0</v>
      </c>
      <c r="DU25" s="417">
        <f t="shared" si="188"/>
        <v>0</v>
      </c>
      <c r="DV25" s="417">
        <f t="shared" si="188"/>
        <v>0</v>
      </c>
      <c r="DW25" s="417">
        <f t="shared" si="188"/>
        <v>9.3541666666666732</v>
      </c>
      <c r="DX25" s="417">
        <f t="shared" si="188"/>
        <v>134.0888888888889</v>
      </c>
      <c r="DY25" s="417">
        <f t="shared" si="188"/>
        <v>263.20416666666671</v>
      </c>
      <c r="DZ25" s="417">
        <f t="shared" si="188"/>
        <v>375.22916666666669</v>
      </c>
      <c r="EA25" s="417">
        <f t="shared" si="188"/>
        <v>390.02499999999998</v>
      </c>
      <c r="EB25" s="417">
        <f t="shared" si="188"/>
        <v>235.7416666666667</v>
      </c>
      <c r="EC25" s="417">
        <f t="shared" si="188"/>
        <v>85.800000000000011</v>
      </c>
      <c r="ED25" s="417">
        <f t="shared" si="188"/>
        <v>3.6666666666666679</v>
      </c>
      <c r="EE25" s="417">
        <f t="shared" si="188"/>
        <v>0</v>
      </c>
      <c r="EF25" s="413"/>
      <c r="EG25" s="413">
        <f t="shared" si="203"/>
        <v>2016</v>
      </c>
      <c r="EH25" s="417">
        <f t="shared" si="204"/>
        <v>0</v>
      </c>
      <c r="EI25" s="417">
        <f t="shared" si="189"/>
        <v>0</v>
      </c>
      <c r="EJ25" s="417">
        <f t="shared" si="189"/>
        <v>2.595833333333335</v>
      </c>
      <c r="EK25" s="417">
        <f t="shared" si="189"/>
        <v>21.966666666666676</v>
      </c>
      <c r="EL25" s="417">
        <f t="shared" si="189"/>
        <v>181.46805555555554</v>
      </c>
      <c r="EM25" s="417">
        <f t="shared" si="189"/>
        <v>323.20416666666671</v>
      </c>
      <c r="EN25" s="417">
        <f t="shared" si="189"/>
        <v>437.22916666666669</v>
      </c>
      <c r="EO25" s="417">
        <f t="shared" si="189"/>
        <v>452.02499999999998</v>
      </c>
      <c r="EP25" s="417">
        <f t="shared" si="189"/>
        <v>295.74166666666667</v>
      </c>
      <c r="EQ25" s="417">
        <f t="shared" si="189"/>
        <v>122.05416666666669</v>
      </c>
      <c r="ER25" s="417">
        <f t="shared" si="189"/>
        <v>11.895833333333334</v>
      </c>
      <c r="ES25" s="417">
        <f t="shared" si="189"/>
        <v>0</v>
      </c>
      <c r="EU25" s="682">
        <f>'Monthly Data'!FO13</f>
        <v>704.21342687061428</v>
      </c>
      <c r="EV25" s="682">
        <f>'Monthly Data'!FP13</f>
        <v>413.8429689227238</v>
      </c>
      <c r="EW25" s="682">
        <f>'Monthly Data'!FQ13</f>
        <v>2543.1073230996776</v>
      </c>
      <c r="EX25" s="682">
        <f>'Monthly Data'!FR13</f>
        <v>73637.650730653142</v>
      </c>
      <c r="EY25" s="682">
        <f>'Monthly Data'!FS13</f>
        <v>1242735.5856248366</v>
      </c>
      <c r="EZ25" s="682">
        <f>'Monthly Data'!FT13</f>
        <v>5875135.907210541</v>
      </c>
      <c r="FA25" s="682">
        <f>'Monthly Data'!FX13</f>
        <v>721.33895400128642</v>
      </c>
      <c r="FB25" s="682">
        <f>'Monthly Data'!FY13</f>
        <v>3071.8980220800104</v>
      </c>
      <c r="FC25" s="682">
        <f>'Monthly Data'!FZ13</f>
        <v>80466.298938556589</v>
      </c>
      <c r="FD25" s="682">
        <f>'Monthly Data'!GA13</f>
        <v>444766.45</v>
      </c>
    </row>
    <row r="26" spans="1:160">
      <c r="A26">
        <v>2016</v>
      </c>
      <c r="B26">
        <v>1</v>
      </c>
      <c r="C26" s="313">
        <v>737.87916666666683</v>
      </c>
      <c r="D26" s="313">
        <v>0</v>
      </c>
      <c r="E26" s="313">
        <v>675.87916666666683</v>
      </c>
      <c r="F26" s="313">
        <v>0</v>
      </c>
      <c r="G26" s="313">
        <v>613.87916666666683</v>
      </c>
      <c r="H26" s="313">
        <v>0</v>
      </c>
      <c r="I26" s="313">
        <v>551.87916666666672</v>
      </c>
      <c r="J26" s="313">
        <v>0</v>
      </c>
      <c r="K26" s="313">
        <v>489.87916666666672</v>
      </c>
      <c r="L26" s="313">
        <v>0</v>
      </c>
      <c r="M26" s="313">
        <v>427.87916666666672</v>
      </c>
      <c r="N26" s="313">
        <v>0</v>
      </c>
      <c r="O26" s="313">
        <v>365.87916666666672</v>
      </c>
      <c r="P26" s="313">
        <v>0</v>
      </c>
      <c r="Q26" s="383">
        <v>-3.8025537634408595</v>
      </c>
      <c r="S26" s="3">
        <f>'Monthly Data'!D14</f>
        <v>88417142.515439898</v>
      </c>
      <c r="T26" s="3">
        <f>'Monthly Data'!J14</f>
        <v>969345.17712000001</v>
      </c>
      <c r="U26" s="3">
        <f>'Monthly Data'!P14</f>
        <v>26369518.37201</v>
      </c>
      <c r="V26" s="3">
        <f>'Monthly Data'!V14</f>
        <v>83851606.870000005</v>
      </c>
      <c r="W26" s="3">
        <f>'Monthly Data'!AB14</f>
        <v>7052968.7699999996</v>
      </c>
      <c r="X26" s="3">
        <f>'Monthly Data'!AG14</f>
        <v>17490710.600000001</v>
      </c>
      <c r="Y26" s="3">
        <f>'Monthly Data'!BC14</f>
        <v>30812903.189879999</v>
      </c>
      <c r="Z26" s="3">
        <f>'Monthly Data'!BI14</f>
        <v>7916961.4077700097</v>
      </c>
      <c r="AA26" s="3">
        <f>'Monthly Data'!BO14</f>
        <v>31727418.850000001</v>
      </c>
      <c r="AB26" s="3">
        <f>'Monthly Data'!BU14</f>
        <v>5247023.22</v>
      </c>
      <c r="BA26" s="413">
        <f t="shared" si="190"/>
        <v>2017</v>
      </c>
      <c r="BB26" s="417">
        <f t="shared" si="191"/>
        <v>0</v>
      </c>
      <c r="BC26" s="417">
        <f t="shared" si="191"/>
        <v>0</v>
      </c>
      <c r="BD26" s="417">
        <f t="shared" si="191"/>
        <v>0</v>
      </c>
      <c r="BE26" s="417">
        <f t="shared" si="191"/>
        <v>0</v>
      </c>
      <c r="BF26" s="417">
        <f t="shared" si="191"/>
        <v>1.4083333333333314</v>
      </c>
      <c r="BG26" s="417">
        <f t="shared" si="191"/>
        <v>14.074999999999999</v>
      </c>
      <c r="BH26" s="417">
        <f t="shared" si="191"/>
        <v>26.579166666666627</v>
      </c>
      <c r="BI26" s="417">
        <f t="shared" si="191"/>
        <v>16.01159420289855</v>
      </c>
      <c r="BJ26" s="417">
        <f t="shared" si="191"/>
        <v>15.912499999999994</v>
      </c>
      <c r="BK26" s="417">
        <f t="shared" si="191"/>
        <v>0</v>
      </c>
      <c r="BL26" s="417">
        <f t="shared" si="191"/>
        <v>0</v>
      </c>
      <c r="BM26" s="417">
        <f t="shared" si="191"/>
        <v>0</v>
      </c>
      <c r="BN26" s="413"/>
      <c r="BO26" s="413">
        <f t="shared" si="192"/>
        <v>2017</v>
      </c>
      <c r="BP26" s="417">
        <f t="shared" si="193"/>
        <v>0</v>
      </c>
      <c r="BQ26" s="417">
        <f t="shared" si="184"/>
        <v>0</v>
      </c>
      <c r="BR26" s="417">
        <f t="shared" si="184"/>
        <v>0</v>
      </c>
      <c r="BS26" s="417">
        <f t="shared" si="184"/>
        <v>0.34583333333333854</v>
      </c>
      <c r="BT26" s="417">
        <f t="shared" si="184"/>
        <v>4.8791666666666664</v>
      </c>
      <c r="BU26" s="417">
        <f t="shared" si="184"/>
        <v>36.354166666666671</v>
      </c>
      <c r="BV26" s="417">
        <f t="shared" si="184"/>
        <v>75.970833333333289</v>
      </c>
      <c r="BW26" s="417">
        <f t="shared" si="184"/>
        <v>49.374094202898547</v>
      </c>
      <c r="BX26" s="417">
        <f t="shared" si="184"/>
        <v>41.54583333333332</v>
      </c>
      <c r="BY26" s="417">
        <f t="shared" si="184"/>
        <v>3.2250000000000014</v>
      </c>
      <c r="BZ26" s="417">
        <f t="shared" si="184"/>
        <v>0</v>
      </c>
      <c r="CA26" s="417">
        <f t="shared" si="184"/>
        <v>0</v>
      </c>
      <c r="CB26" s="417">
        <f t="shared" si="194"/>
        <v>211.69492753623183</v>
      </c>
      <c r="CC26" s="413">
        <f t="shared" si="195"/>
        <v>2017</v>
      </c>
      <c r="CD26" s="417">
        <f t="shared" si="196"/>
        <v>0</v>
      </c>
      <c r="CE26" s="417">
        <f t="shared" si="185"/>
        <v>0</v>
      </c>
      <c r="CF26" s="417">
        <f t="shared" si="185"/>
        <v>0</v>
      </c>
      <c r="CG26" s="417">
        <f t="shared" si="185"/>
        <v>2.3458333333333385</v>
      </c>
      <c r="CH26" s="417">
        <f t="shared" si="185"/>
        <v>13.075000000000003</v>
      </c>
      <c r="CI26" s="417">
        <f t="shared" si="185"/>
        <v>68.909166666666678</v>
      </c>
      <c r="CJ26" s="417">
        <f t="shared" si="185"/>
        <v>136.16666666666663</v>
      </c>
      <c r="CK26" s="417">
        <f t="shared" si="185"/>
        <v>97.06576086956521</v>
      </c>
      <c r="CL26" s="417">
        <f t="shared" si="185"/>
        <v>73.237499999999983</v>
      </c>
      <c r="CM26" s="417">
        <f t="shared" si="185"/>
        <v>10.279166666666672</v>
      </c>
      <c r="CN26" s="417">
        <f t="shared" si="185"/>
        <v>0</v>
      </c>
      <c r="CO26" s="417">
        <f t="shared" si="185"/>
        <v>0</v>
      </c>
      <c r="CP26" s="413"/>
      <c r="CQ26" s="413">
        <f t="shared" si="197"/>
        <v>2017</v>
      </c>
      <c r="CR26" s="417">
        <f t="shared" si="198"/>
        <v>0</v>
      </c>
      <c r="CS26" s="417">
        <f t="shared" si="186"/>
        <v>0</v>
      </c>
      <c r="CT26" s="417">
        <f t="shared" si="186"/>
        <v>0</v>
      </c>
      <c r="CU26" s="417">
        <f t="shared" si="186"/>
        <v>5.6500000000000057</v>
      </c>
      <c r="CV26" s="417">
        <f t="shared" si="186"/>
        <v>28.370833333333344</v>
      </c>
      <c r="CW26" s="417">
        <f t="shared" si="186"/>
        <v>112.71333333333334</v>
      </c>
      <c r="CX26" s="417">
        <f t="shared" si="186"/>
        <v>198.16666666666666</v>
      </c>
      <c r="CY26" s="417">
        <f t="shared" si="186"/>
        <v>155.42409420289857</v>
      </c>
      <c r="CZ26" s="417">
        <f t="shared" si="186"/>
        <v>112.67916666666666</v>
      </c>
      <c r="DA26" s="417">
        <f t="shared" si="186"/>
        <v>29.654166666666669</v>
      </c>
      <c r="DB26" s="417">
        <f t="shared" si="186"/>
        <v>0</v>
      </c>
      <c r="DC26" s="417">
        <f t="shared" si="186"/>
        <v>0</v>
      </c>
      <c r="DD26" s="413"/>
      <c r="DE26" s="413">
        <f t="shared" si="199"/>
        <v>2017</v>
      </c>
      <c r="DF26" s="417">
        <f t="shared" si="200"/>
        <v>0</v>
      </c>
      <c r="DG26" s="417">
        <f t="shared" si="187"/>
        <v>0</v>
      </c>
      <c r="DH26" s="417">
        <f t="shared" si="187"/>
        <v>0</v>
      </c>
      <c r="DI26" s="417">
        <f t="shared" si="187"/>
        <v>12.412500000000001</v>
      </c>
      <c r="DJ26" s="417">
        <f t="shared" si="187"/>
        <v>54.529166666666683</v>
      </c>
      <c r="DK26" s="417">
        <f t="shared" si="187"/>
        <v>168.62166666666667</v>
      </c>
      <c r="DL26" s="417">
        <f t="shared" si="187"/>
        <v>260.16666666666657</v>
      </c>
      <c r="DM26" s="417">
        <f t="shared" si="187"/>
        <v>217.42409420289852</v>
      </c>
      <c r="DN26" s="417">
        <f t="shared" si="187"/>
        <v>161.3125</v>
      </c>
      <c r="DO26" s="417">
        <f t="shared" si="187"/>
        <v>59.400000000000006</v>
      </c>
      <c r="DP26" s="417">
        <f t="shared" si="187"/>
        <v>0</v>
      </c>
      <c r="DQ26" s="417">
        <f t="shared" si="187"/>
        <v>0</v>
      </c>
      <c r="DR26" s="413"/>
      <c r="DS26" s="413">
        <f t="shared" si="201"/>
        <v>2017</v>
      </c>
      <c r="DT26" s="417">
        <f t="shared" si="202"/>
        <v>0</v>
      </c>
      <c r="DU26" s="417">
        <f t="shared" si="188"/>
        <v>0</v>
      </c>
      <c r="DV26" s="417">
        <f t="shared" si="188"/>
        <v>0</v>
      </c>
      <c r="DW26" s="417">
        <f t="shared" si="188"/>
        <v>24.758333333333333</v>
      </c>
      <c r="DX26" s="417">
        <f t="shared" si="188"/>
        <v>90.983333333333348</v>
      </c>
      <c r="DY26" s="417">
        <f t="shared" si="188"/>
        <v>228.62166666666667</v>
      </c>
      <c r="DZ26" s="417">
        <f t="shared" si="188"/>
        <v>322.16666666666657</v>
      </c>
      <c r="EA26" s="417">
        <f t="shared" si="188"/>
        <v>279.42409420289852</v>
      </c>
      <c r="EB26" s="417">
        <f t="shared" si="188"/>
        <v>217.22916666666663</v>
      </c>
      <c r="EC26" s="417">
        <f t="shared" si="188"/>
        <v>98.274999999999977</v>
      </c>
      <c r="ED26" s="417">
        <f t="shared" si="188"/>
        <v>1.2958333333333325</v>
      </c>
      <c r="EE26" s="417">
        <f t="shared" si="188"/>
        <v>0</v>
      </c>
      <c r="EF26" s="413"/>
      <c r="EG26" s="413">
        <f t="shared" si="203"/>
        <v>2017</v>
      </c>
      <c r="EH26" s="417">
        <f t="shared" si="204"/>
        <v>0</v>
      </c>
      <c r="EI26" s="417">
        <f t="shared" si="189"/>
        <v>1.3416666666666668</v>
      </c>
      <c r="EJ26" s="417">
        <f t="shared" si="189"/>
        <v>0.99999999999999645</v>
      </c>
      <c r="EK26" s="417">
        <f t="shared" si="189"/>
        <v>46.308333333333337</v>
      </c>
      <c r="EL26" s="417">
        <f t="shared" si="189"/>
        <v>136.28750000000002</v>
      </c>
      <c r="EM26" s="417">
        <f t="shared" si="189"/>
        <v>288.62166666666667</v>
      </c>
      <c r="EN26" s="417">
        <f t="shared" si="189"/>
        <v>384.16666666666657</v>
      </c>
      <c r="EO26" s="417">
        <f t="shared" si="189"/>
        <v>341.42409420289852</v>
      </c>
      <c r="EP26" s="417">
        <f t="shared" si="189"/>
        <v>275.8458333333333</v>
      </c>
      <c r="EQ26" s="417">
        <f t="shared" si="189"/>
        <v>145.13749999999999</v>
      </c>
      <c r="ER26" s="417">
        <f t="shared" si="189"/>
        <v>5.4124999999999979</v>
      </c>
      <c r="ES26" s="417">
        <f t="shared" si="189"/>
        <v>0</v>
      </c>
      <c r="EU26" s="682">
        <f>'Monthly Data'!FO14</f>
        <v>835.94507937352205</v>
      </c>
      <c r="EV26" s="682">
        <f>'Monthly Data'!FP14</f>
        <v>617.61752789201603</v>
      </c>
      <c r="EW26" s="682">
        <f>'Monthly Data'!FQ14</f>
        <v>3006.6681536678616</v>
      </c>
      <c r="EX26" s="682">
        <f>'Monthly Data'!FR14</f>
        <v>80507.601640181107</v>
      </c>
      <c r="EY26" s="682">
        <f>'Monthly Data'!FS14</f>
        <v>1416425.2528175362</v>
      </c>
      <c r="EZ26" s="682">
        <f>'Monthly Data'!FT14</f>
        <v>5995498.3873720244</v>
      </c>
      <c r="FA26" s="682">
        <f>'Monthly Data'!FX14</f>
        <v>796.83798394862481</v>
      </c>
      <c r="FB26" s="682">
        <f>'Monthly Data'!FY14</f>
        <v>3675.9423481826507</v>
      </c>
      <c r="FC26" s="682">
        <f>'Monthly Data'!FZ14</f>
        <v>87642.09451791941</v>
      </c>
      <c r="FD26" s="682">
        <f>'Monthly Data'!GA14</f>
        <v>416438.65500000003</v>
      </c>
    </row>
    <row r="27" spans="1:160">
      <c r="A27">
        <v>2016</v>
      </c>
      <c r="B27">
        <v>2</v>
      </c>
      <c r="C27" s="313">
        <v>661.70833333333326</v>
      </c>
      <c r="D27" s="313">
        <v>0</v>
      </c>
      <c r="E27" s="313">
        <v>603.70833333333337</v>
      </c>
      <c r="F27" s="313">
        <v>0</v>
      </c>
      <c r="G27" s="313">
        <v>545.70833333333337</v>
      </c>
      <c r="H27" s="313">
        <v>0</v>
      </c>
      <c r="I27" s="313">
        <v>487.70833333333337</v>
      </c>
      <c r="J27" s="313">
        <v>0</v>
      </c>
      <c r="K27" s="313">
        <v>429.70833333333337</v>
      </c>
      <c r="L27" s="313">
        <v>0</v>
      </c>
      <c r="M27" s="313">
        <v>371.70833333333337</v>
      </c>
      <c r="N27" s="313">
        <v>0</v>
      </c>
      <c r="O27" s="313">
        <v>313.70833333333326</v>
      </c>
      <c r="P27" s="313">
        <v>0</v>
      </c>
      <c r="Q27" s="383">
        <v>-2.8175287356321834</v>
      </c>
      <c r="S27" s="3">
        <f>'Monthly Data'!D15</f>
        <v>79983170.206210807</v>
      </c>
      <c r="T27" s="3">
        <f>'Monthly Data'!J15</f>
        <v>927535.13323000004</v>
      </c>
      <c r="U27" s="3">
        <f>'Monthly Data'!P15</f>
        <v>24521462.855070002</v>
      </c>
      <c r="V27" s="3">
        <f>'Monthly Data'!V15</f>
        <v>79564826.769999996</v>
      </c>
      <c r="W27" s="3">
        <f>'Monthly Data'!AB15</f>
        <v>6409471.79</v>
      </c>
      <c r="X27" s="3">
        <f>'Monthly Data'!AG15</f>
        <v>18519183.879999999</v>
      </c>
      <c r="Y27" s="3">
        <f>'Monthly Data'!BC15</f>
        <v>27591290.8776301</v>
      </c>
      <c r="Z27" s="3">
        <f>'Monthly Data'!BI15</f>
        <v>7414281.0703600002</v>
      </c>
      <c r="AA27" s="3">
        <f>'Monthly Data'!BO15</f>
        <v>31082611.98</v>
      </c>
      <c r="AB27" s="3">
        <f>'Monthly Data'!BU15</f>
        <v>4900187.4800000004</v>
      </c>
      <c r="BA27" s="413">
        <f t="shared" si="190"/>
        <v>2018</v>
      </c>
      <c r="BB27" s="417">
        <f t="shared" si="191"/>
        <v>0</v>
      </c>
      <c r="BC27" s="417">
        <f t="shared" si="191"/>
        <v>0</v>
      </c>
      <c r="BD27" s="417">
        <f t="shared" si="191"/>
        <v>0</v>
      </c>
      <c r="BE27" s="417">
        <f t="shared" si="191"/>
        <v>0</v>
      </c>
      <c r="BF27" s="417">
        <f t="shared" si="191"/>
        <v>13.3827380952381</v>
      </c>
      <c r="BG27" s="417">
        <f t="shared" si="191"/>
        <v>21.662499999999998</v>
      </c>
      <c r="BH27" s="417">
        <f t="shared" si="191"/>
        <v>75.365513833992097</v>
      </c>
      <c r="BI27" s="417">
        <f t="shared" si="191"/>
        <v>73.474999999999994</v>
      </c>
      <c r="BJ27" s="417">
        <f t="shared" si="191"/>
        <v>33.737500000000011</v>
      </c>
      <c r="BK27" s="417">
        <f t="shared" si="191"/>
        <v>1.6666666666665719E-2</v>
      </c>
      <c r="BL27" s="417">
        <f t="shared" si="191"/>
        <v>0</v>
      </c>
      <c r="BM27" s="417">
        <f t="shared" si="191"/>
        <v>0</v>
      </c>
      <c r="BN27" s="413"/>
      <c r="BO27" s="413">
        <f t="shared" si="192"/>
        <v>2018</v>
      </c>
      <c r="BP27" s="417">
        <f t="shared" si="193"/>
        <v>0</v>
      </c>
      <c r="BQ27" s="417">
        <f t="shared" si="184"/>
        <v>0</v>
      </c>
      <c r="BR27" s="417">
        <f t="shared" si="184"/>
        <v>0</v>
      </c>
      <c r="BS27" s="417">
        <f t="shared" si="184"/>
        <v>0</v>
      </c>
      <c r="BT27" s="417">
        <f t="shared" si="184"/>
        <v>29.9452380952381</v>
      </c>
      <c r="BU27" s="417">
        <f t="shared" si="184"/>
        <v>41.254166666666663</v>
      </c>
      <c r="BV27" s="417">
        <f t="shared" si="184"/>
        <v>132.59861424807079</v>
      </c>
      <c r="BW27" s="417">
        <f t="shared" si="184"/>
        <v>129.1541666666667</v>
      </c>
      <c r="BX27" s="417">
        <f t="shared" si="184"/>
        <v>60.55416666666666</v>
      </c>
      <c r="BY27" s="417">
        <f t="shared" si="184"/>
        <v>2.30833333333333</v>
      </c>
      <c r="BZ27" s="417">
        <f t="shared" si="184"/>
        <v>0</v>
      </c>
      <c r="CA27" s="417">
        <f t="shared" si="184"/>
        <v>0</v>
      </c>
      <c r="CB27" s="417">
        <f t="shared" si="194"/>
        <v>395.81468567664223</v>
      </c>
      <c r="CC27" s="413">
        <f t="shared" si="195"/>
        <v>2018</v>
      </c>
      <c r="CD27" s="417">
        <f t="shared" si="196"/>
        <v>0</v>
      </c>
      <c r="CE27" s="417">
        <f t="shared" si="185"/>
        <v>0</v>
      </c>
      <c r="CF27" s="417">
        <f t="shared" si="185"/>
        <v>0</v>
      </c>
      <c r="CG27" s="417">
        <f t="shared" si="185"/>
        <v>0</v>
      </c>
      <c r="CH27" s="417">
        <f t="shared" si="185"/>
        <v>50.000541125541133</v>
      </c>
      <c r="CI27" s="417">
        <f t="shared" si="185"/>
        <v>85.839772727272717</v>
      </c>
      <c r="CJ27" s="417">
        <f t="shared" si="185"/>
        <v>194.39861424807077</v>
      </c>
      <c r="CK27" s="417">
        <f t="shared" si="185"/>
        <v>190.24583333333339</v>
      </c>
      <c r="CL27" s="417">
        <f t="shared" si="185"/>
        <v>94.645833333333329</v>
      </c>
      <c r="CM27" s="417">
        <f t="shared" si="185"/>
        <v>8.0958333333333314</v>
      </c>
      <c r="CN27" s="417">
        <f t="shared" si="185"/>
        <v>0</v>
      </c>
      <c r="CO27" s="417">
        <f t="shared" si="185"/>
        <v>0</v>
      </c>
      <c r="CP27" s="413"/>
      <c r="CQ27" s="413">
        <f t="shared" si="197"/>
        <v>2018</v>
      </c>
      <c r="CR27" s="417">
        <f t="shared" si="198"/>
        <v>0</v>
      </c>
      <c r="CS27" s="417">
        <f t="shared" si="186"/>
        <v>0</v>
      </c>
      <c r="CT27" s="417">
        <f t="shared" si="186"/>
        <v>0</v>
      </c>
      <c r="CU27" s="417">
        <f t="shared" si="186"/>
        <v>0</v>
      </c>
      <c r="CV27" s="417">
        <f t="shared" si="186"/>
        <v>80.600541125541127</v>
      </c>
      <c r="CW27" s="417">
        <f t="shared" si="186"/>
        <v>141.51477272727271</v>
      </c>
      <c r="CX27" s="417">
        <f t="shared" si="186"/>
        <v>256.39861424807077</v>
      </c>
      <c r="CY27" s="417">
        <f t="shared" si="186"/>
        <v>252.24583333333339</v>
      </c>
      <c r="CZ27" s="417">
        <f t="shared" si="186"/>
        <v>135.06250000000003</v>
      </c>
      <c r="DA27" s="417">
        <f t="shared" si="186"/>
        <v>15.387500000000001</v>
      </c>
      <c r="DB27" s="417">
        <f t="shared" si="186"/>
        <v>0</v>
      </c>
      <c r="DC27" s="417">
        <f t="shared" si="186"/>
        <v>0</v>
      </c>
      <c r="DD27" s="413"/>
      <c r="DE27" s="413">
        <f t="shared" si="199"/>
        <v>2018</v>
      </c>
      <c r="DF27" s="417">
        <f t="shared" si="200"/>
        <v>0</v>
      </c>
      <c r="DG27" s="417">
        <f t="shared" si="187"/>
        <v>0</v>
      </c>
      <c r="DH27" s="417">
        <f t="shared" si="187"/>
        <v>0</v>
      </c>
      <c r="DI27" s="417">
        <f t="shared" si="187"/>
        <v>0</v>
      </c>
      <c r="DJ27" s="417">
        <f t="shared" si="187"/>
        <v>127.46720779220779</v>
      </c>
      <c r="DK27" s="417">
        <f t="shared" si="187"/>
        <v>198.19393939393944</v>
      </c>
      <c r="DL27" s="417">
        <f t="shared" si="187"/>
        <v>318.39861424807077</v>
      </c>
      <c r="DM27" s="417">
        <f t="shared" si="187"/>
        <v>314.24583333333334</v>
      </c>
      <c r="DN27" s="417">
        <f t="shared" si="187"/>
        <v>183.48333333333329</v>
      </c>
      <c r="DO27" s="417">
        <f t="shared" si="187"/>
        <v>25.358333333333334</v>
      </c>
      <c r="DP27" s="417">
        <f t="shared" si="187"/>
        <v>0</v>
      </c>
      <c r="DQ27" s="417">
        <f t="shared" si="187"/>
        <v>0</v>
      </c>
      <c r="DR27" s="413"/>
      <c r="DS27" s="413">
        <f t="shared" si="201"/>
        <v>2018</v>
      </c>
      <c r="DT27" s="417">
        <f t="shared" si="202"/>
        <v>0</v>
      </c>
      <c r="DU27" s="417">
        <f t="shared" si="188"/>
        <v>0</v>
      </c>
      <c r="DV27" s="417">
        <f t="shared" si="188"/>
        <v>0</v>
      </c>
      <c r="DW27" s="417">
        <f t="shared" si="188"/>
        <v>6.2499999999998224E-2</v>
      </c>
      <c r="DX27" s="417">
        <f t="shared" si="188"/>
        <v>185.32554112554109</v>
      </c>
      <c r="DY27" s="417">
        <f t="shared" si="188"/>
        <v>258.19393939393944</v>
      </c>
      <c r="DZ27" s="417">
        <f t="shared" si="188"/>
        <v>380.39861424807083</v>
      </c>
      <c r="EA27" s="417">
        <f t="shared" si="188"/>
        <v>376.24583333333334</v>
      </c>
      <c r="EB27" s="417">
        <f t="shared" si="188"/>
        <v>241.36666666666665</v>
      </c>
      <c r="EC27" s="417">
        <f t="shared" si="188"/>
        <v>41.524999999999999</v>
      </c>
      <c r="ED27" s="417">
        <f t="shared" si="188"/>
        <v>0.34166666666666856</v>
      </c>
      <c r="EE27" s="417">
        <f t="shared" si="188"/>
        <v>0</v>
      </c>
      <c r="EF27" s="413"/>
      <c r="EG27" s="413">
        <f t="shared" si="203"/>
        <v>2018</v>
      </c>
      <c r="EH27" s="417">
        <f t="shared" si="204"/>
        <v>0</v>
      </c>
      <c r="EI27" s="417">
        <f t="shared" si="189"/>
        <v>0</v>
      </c>
      <c r="EJ27" s="417">
        <f t="shared" si="189"/>
        <v>0</v>
      </c>
      <c r="EK27" s="417">
        <f t="shared" si="189"/>
        <v>6.15</v>
      </c>
      <c r="EL27" s="417">
        <f t="shared" si="189"/>
        <v>245.04220779220779</v>
      </c>
      <c r="EM27" s="417">
        <f t="shared" si="189"/>
        <v>318.19393939393939</v>
      </c>
      <c r="EN27" s="417">
        <f t="shared" si="189"/>
        <v>442.39861424807088</v>
      </c>
      <c r="EO27" s="417">
        <f t="shared" si="189"/>
        <v>438.24583333333322</v>
      </c>
      <c r="EP27" s="417">
        <f t="shared" si="189"/>
        <v>301.3666666666665</v>
      </c>
      <c r="EQ27" s="417">
        <f t="shared" si="189"/>
        <v>62.774999999999991</v>
      </c>
      <c r="ER27" s="417">
        <f t="shared" si="189"/>
        <v>2.7208333333333368</v>
      </c>
      <c r="ES27" s="417">
        <f t="shared" si="189"/>
        <v>0</v>
      </c>
      <c r="EU27" s="682">
        <f>'Monthly Data'!FO15</f>
        <v>757.01445839587734</v>
      </c>
      <c r="EV27" s="682">
        <f>'Monthly Data'!FP15</f>
        <v>591.85135176377753</v>
      </c>
      <c r="EW27" s="682">
        <f>'Monthly Data'!FQ15</f>
        <v>2798.9729526964825</v>
      </c>
      <c r="EX27" s="682">
        <f>'Monthly Data'!FR15</f>
        <v>76580.343685633532</v>
      </c>
      <c r="EY27" s="682">
        <f>'Monthly Data'!FS15</f>
        <v>1288176.3408581954</v>
      </c>
      <c r="EZ27" s="682">
        <f>'Monthly Data'!FT15</f>
        <v>6344279.3918794626</v>
      </c>
      <c r="FA27" s="682">
        <f>'Monthly Data'!FX15</f>
        <v>715.07711769178752</v>
      </c>
      <c r="FB27" s="682">
        <f>'Monthly Data'!FY15</f>
        <v>3441.0557009775894</v>
      </c>
      <c r="FC27" s="682">
        <f>'Monthly Data'!FZ15</f>
        <v>85872.05414338944</v>
      </c>
      <c r="FD27" s="682">
        <f>'Monthly Data'!GA15</f>
        <v>346882.69</v>
      </c>
    </row>
    <row r="28" spans="1:160">
      <c r="A28">
        <v>2016</v>
      </c>
      <c r="B28">
        <v>3</v>
      </c>
      <c r="C28" s="313">
        <v>577.07934782608709</v>
      </c>
      <c r="D28" s="313">
        <v>0</v>
      </c>
      <c r="E28" s="313">
        <v>515.07934782608686</v>
      </c>
      <c r="F28" s="313">
        <v>0</v>
      </c>
      <c r="G28" s="313">
        <v>453.07934782608692</v>
      </c>
      <c r="H28" s="313">
        <v>0</v>
      </c>
      <c r="I28" s="313">
        <v>391.07934782608697</v>
      </c>
      <c r="J28" s="313">
        <v>0</v>
      </c>
      <c r="K28" s="313">
        <v>329.07934782608692</v>
      </c>
      <c r="L28" s="313">
        <v>0</v>
      </c>
      <c r="M28" s="313">
        <v>267.07934782608692</v>
      </c>
      <c r="N28" s="313">
        <v>0</v>
      </c>
      <c r="O28" s="313">
        <v>207.6751811594203</v>
      </c>
      <c r="P28" s="313">
        <v>2.595833333333335</v>
      </c>
      <c r="Q28" s="383">
        <v>1.3845371669004212</v>
      </c>
      <c r="S28" s="3">
        <f>'Monthly Data'!D16</f>
        <v>76355905.372309387</v>
      </c>
      <c r="T28" s="3">
        <f>'Monthly Data'!J16</f>
        <v>808357.23833000101</v>
      </c>
      <c r="U28" s="3">
        <f>'Monthly Data'!P16</f>
        <v>24144999.231819902</v>
      </c>
      <c r="V28" s="3">
        <f>'Monthly Data'!V16</f>
        <v>81673423.549999997</v>
      </c>
      <c r="W28" s="3">
        <f>'Monthly Data'!AB16</f>
        <v>6526094.7999999998</v>
      </c>
      <c r="X28" s="3">
        <f>'Monthly Data'!AG16</f>
        <v>19099924.41</v>
      </c>
      <c r="Y28" s="3">
        <f>'Monthly Data'!BC16</f>
        <v>26937365.306369901</v>
      </c>
      <c r="Z28" s="3">
        <f>'Monthly Data'!BI16</f>
        <v>7323061.3602499999</v>
      </c>
      <c r="AA28" s="3">
        <f>'Monthly Data'!BO16</f>
        <v>30151491.109999999</v>
      </c>
      <c r="AB28" s="3">
        <f>'Monthly Data'!BU16</f>
        <v>5230196.49</v>
      </c>
      <c r="BA28" s="413">
        <f t="shared" si="190"/>
        <v>2019</v>
      </c>
      <c r="BB28" s="417">
        <f t="shared" si="191"/>
        <v>0</v>
      </c>
      <c r="BC28" s="417">
        <f t="shared" si="191"/>
        <v>0</v>
      </c>
      <c r="BD28" s="417">
        <f t="shared" si="191"/>
        <v>0</v>
      </c>
      <c r="BE28" s="417">
        <f t="shared" si="191"/>
        <v>0</v>
      </c>
      <c r="BF28" s="417">
        <f t="shared" si="191"/>
        <v>0</v>
      </c>
      <c r="BG28" s="417">
        <f t="shared" si="191"/>
        <v>10.4375</v>
      </c>
      <c r="BH28" s="417">
        <f t="shared" si="191"/>
        <v>74.574999999999989</v>
      </c>
      <c r="BI28" s="417">
        <f t="shared" si="191"/>
        <v>23.162500000000009</v>
      </c>
      <c r="BJ28" s="417">
        <f t="shared" si="191"/>
        <v>5.0833333333333286</v>
      </c>
      <c r="BK28" s="417">
        <f t="shared" si="191"/>
        <v>0</v>
      </c>
      <c r="BL28" s="417">
        <f t="shared" si="191"/>
        <v>0</v>
      </c>
      <c r="BM28" s="417">
        <f t="shared" si="191"/>
        <v>0</v>
      </c>
      <c r="BN28" s="413"/>
      <c r="BO28" s="413">
        <f t="shared" si="192"/>
        <v>2019</v>
      </c>
      <c r="BP28" s="417">
        <f t="shared" si="193"/>
        <v>0</v>
      </c>
      <c r="BQ28" s="417">
        <f t="shared" si="184"/>
        <v>0</v>
      </c>
      <c r="BR28" s="417">
        <f t="shared" si="184"/>
        <v>0</v>
      </c>
      <c r="BS28" s="417">
        <f t="shared" si="184"/>
        <v>0</v>
      </c>
      <c r="BT28" s="417">
        <f t="shared" si="184"/>
        <v>0</v>
      </c>
      <c r="BU28" s="417">
        <f t="shared" si="184"/>
        <v>35.862499999999976</v>
      </c>
      <c r="BV28" s="417">
        <f t="shared" si="184"/>
        <v>135.6</v>
      </c>
      <c r="BW28" s="417">
        <f t="shared" si="184"/>
        <v>70.716666666666669</v>
      </c>
      <c r="BX28" s="417">
        <f t="shared" si="184"/>
        <v>13.570833333333326</v>
      </c>
      <c r="BY28" s="417">
        <f t="shared" si="184"/>
        <v>1.8125000000000036</v>
      </c>
      <c r="BZ28" s="417">
        <f t="shared" si="184"/>
        <v>0</v>
      </c>
      <c r="CA28" s="417">
        <f t="shared" si="184"/>
        <v>0</v>
      </c>
      <c r="CB28" s="417">
        <f t="shared" si="194"/>
        <v>257.5625</v>
      </c>
      <c r="CC28" s="413">
        <f t="shared" si="195"/>
        <v>2019</v>
      </c>
      <c r="CD28" s="417">
        <f t="shared" si="196"/>
        <v>0</v>
      </c>
      <c r="CE28" s="417">
        <f t="shared" si="185"/>
        <v>0</v>
      </c>
      <c r="CF28" s="417">
        <f t="shared" si="185"/>
        <v>0</v>
      </c>
      <c r="CG28" s="417">
        <f t="shared" si="185"/>
        <v>0</v>
      </c>
      <c r="CH28" s="417">
        <f t="shared" si="185"/>
        <v>2.4041666666666686</v>
      </c>
      <c r="CI28" s="417">
        <f t="shared" si="185"/>
        <v>71.666666666666629</v>
      </c>
      <c r="CJ28" s="417">
        <f t="shared" si="185"/>
        <v>197.60000000000005</v>
      </c>
      <c r="CK28" s="417">
        <f t="shared" si="185"/>
        <v>128.07083333333338</v>
      </c>
      <c r="CL28" s="417">
        <f t="shared" si="185"/>
        <v>32.520833333333329</v>
      </c>
      <c r="CM28" s="417">
        <f t="shared" si="185"/>
        <v>3.8125000000000036</v>
      </c>
      <c r="CN28" s="417">
        <f t="shared" si="185"/>
        <v>0</v>
      </c>
      <c r="CO28" s="417">
        <f t="shared" si="185"/>
        <v>0</v>
      </c>
      <c r="CP28" s="413"/>
      <c r="CQ28" s="413">
        <f t="shared" si="197"/>
        <v>2019</v>
      </c>
      <c r="CR28" s="417">
        <f t="shared" si="198"/>
        <v>0</v>
      </c>
      <c r="CS28" s="417">
        <f t="shared" si="186"/>
        <v>0</v>
      </c>
      <c r="CT28" s="417">
        <f t="shared" si="186"/>
        <v>0</v>
      </c>
      <c r="CU28" s="417">
        <f t="shared" si="186"/>
        <v>0</v>
      </c>
      <c r="CV28" s="417">
        <f t="shared" si="186"/>
        <v>11.208333333333332</v>
      </c>
      <c r="CW28" s="417">
        <f t="shared" si="186"/>
        <v>118.81666666666663</v>
      </c>
      <c r="CX28" s="417">
        <f t="shared" si="186"/>
        <v>259.60000000000008</v>
      </c>
      <c r="CY28" s="417">
        <f t="shared" si="186"/>
        <v>190.07083333333335</v>
      </c>
      <c r="CZ28" s="417">
        <f t="shared" si="186"/>
        <v>76.5</v>
      </c>
      <c r="DA28" s="417">
        <f t="shared" si="186"/>
        <v>7.3333333333333357</v>
      </c>
      <c r="DB28" s="417">
        <f t="shared" si="186"/>
        <v>0</v>
      </c>
      <c r="DC28" s="417">
        <f t="shared" si="186"/>
        <v>0</v>
      </c>
      <c r="DD28" s="413"/>
      <c r="DE28" s="413">
        <f t="shared" si="199"/>
        <v>2019</v>
      </c>
      <c r="DF28" s="417">
        <f t="shared" si="200"/>
        <v>0</v>
      </c>
      <c r="DG28" s="417">
        <f t="shared" si="187"/>
        <v>0</v>
      </c>
      <c r="DH28" s="417">
        <f t="shared" si="187"/>
        <v>0</v>
      </c>
      <c r="DI28" s="417">
        <f t="shared" si="187"/>
        <v>0.84583333333333144</v>
      </c>
      <c r="DJ28" s="417">
        <f t="shared" si="187"/>
        <v>27.579166666666666</v>
      </c>
      <c r="DK28" s="417">
        <f t="shared" si="187"/>
        <v>173.67083333333326</v>
      </c>
      <c r="DL28" s="417">
        <f t="shared" si="187"/>
        <v>321.60000000000002</v>
      </c>
      <c r="DM28" s="417">
        <f t="shared" si="187"/>
        <v>252.07083333333335</v>
      </c>
      <c r="DN28" s="417">
        <f t="shared" si="187"/>
        <v>131.93750000000003</v>
      </c>
      <c r="DO28" s="417">
        <f t="shared" si="187"/>
        <v>16.670833333333334</v>
      </c>
      <c r="DP28" s="417">
        <f t="shared" si="187"/>
        <v>0</v>
      </c>
      <c r="DQ28" s="417">
        <f t="shared" si="187"/>
        <v>0</v>
      </c>
      <c r="DR28" s="413"/>
      <c r="DS28" s="413">
        <f t="shared" si="201"/>
        <v>2019</v>
      </c>
      <c r="DT28" s="417">
        <f t="shared" si="202"/>
        <v>0</v>
      </c>
      <c r="DU28" s="417">
        <f t="shared" si="188"/>
        <v>0</v>
      </c>
      <c r="DV28" s="417">
        <f t="shared" si="188"/>
        <v>0</v>
      </c>
      <c r="DW28" s="417">
        <f t="shared" si="188"/>
        <v>2.8791666666666664</v>
      </c>
      <c r="DX28" s="417">
        <f t="shared" si="188"/>
        <v>63.802850877192981</v>
      </c>
      <c r="DY28" s="417">
        <f t="shared" si="188"/>
        <v>230.72083333333327</v>
      </c>
      <c r="DZ28" s="417">
        <f t="shared" si="188"/>
        <v>383.6</v>
      </c>
      <c r="EA28" s="417">
        <f t="shared" si="188"/>
        <v>314.07083333333338</v>
      </c>
      <c r="EB28" s="417">
        <f t="shared" si="188"/>
        <v>191.51666666666671</v>
      </c>
      <c r="EC28" s="417">
        <f t="shared" si="188"/>
        <v>37.229166666666664</v>
      </c>
      <c r="ED28" s="417">
        <f t="shared" si="188"/>
        <v>0</v>
      </c>
      <c r="EE28" s="417">
        <f t="shared" si="188"/>
        <v>0</v>
      </c>
      <c r="EF28" s="413"/>
      <c r="EG28" s="413">
        <f t="shared" si="203"/>
        <v>2019</v>
      </c>
      <c r="EH28" s="417">
        <f t="shared" si="204"/>
        <v>0</v>
      </c>
      <c r="EI28" s="417">
        <f t="shared" si="189"/>
        <v>0</v>
      </c>
      <c r="EJ28" s="417">
        <f t="shared" si="189"/>
        <v>0</v>
      </c>
      <c r="EK28" s="417">
        <f t="shared" si="189"/>
        <v>14.591666666666663</v>
      </c>
      <c r="EL28" s="417">
        <f t="shared" si="189"/>
        <v>109.86951754385964</v>
      </c>
      <c r="EM28" s="417">
        <f t="shared" si="189"/>
        <v>289.74166666666656</v>
      </c>
      <c r="EN28" s="417">
        <f t="shared" si="189"/>
        <v>445.60000000000008</v>
      </c>
      <c r="EO28" s="417">
        <f t="shared" si="189"/>
        <v>376.07083333333338</v>
      </c>
      <c r="EP28" s="417">
        <f t="shared" si="189"/>
        <v>251.51666666666671</v>
      </c>
      <c r="EQ28" s="417">
        <f t="shared" si="189"/>
        <v>76.099999999999994</v>
      </c>
      <c r="ER28" s="417">
        <f t="shared" si="189"/>
        <v>0</v>
      </c>
      <c r="ES28" s="417">
        <f t="shared" si="189"/>
        <v>0</v>
      </c>
      <c r="EU28" s="682">
        <f>'Monthly Data'!FO16</f>
        <v>723.06053400886969</v>
      </c>
      <c r="EV28" s="682">
        <f>'Monthly Data'!FP16</f>
        <v>517.33329079388398</v>
      </c>
      <c r="EW28" s="682">
        <f>'Monthly Data'!FQ16</f>
        <v>2756.3967835600147</v>
      </c>
      <c r="EX28" s="682">
        <f>'Monthly Data'!FR16</f>
        <v>78683.934829111298</v>
      </c>
      <c r="EY28" s="682">
        <f>'Monthly Data'!FS16</f>
        <v>1311951.426898855</v>
      </c>
      <c r="EZ28" s="682">
        <f>'Monthly Data'!FT16</f>
        <v>6543816.1463869018</v>
      </c>
      <c r="FA28" s="682">
        <f>'Monthly Data'!FX16</f>
        <v>698.70998800230711</v>
      </c>
      <c r="FB28" s="682">
        <f>'Monthly Data'!FY16</f>
        <v>3394.8481384160868</v>
      </c>
      <c r="FC28" s="682">
        <f>'Monthly Data'!FZ16</f>
        <v>83322.412168472496</v>
      </c>
      <c r="FD28" s="682">
        <f>'Monthly Data'!GA16</f>
        <v>313994.16499999998</v>
      </c>
    </row>
    <row r="29" spans="1:160">
      <c r="A29">
        <v>2016</v>
      </c>
      <c r="B29">
        <v>4</v>
      </c>
      <c r="C29" s="313">
        <v>465.98333333333341</v>
      </c>
      <c r="D29" s="313">
        <v>0</v>
      </c>
      <c r="E29" s="313">
        <v>405.98333333333341</v>
      </c>
      <c r="F29" s="313">
        <v>0</v>
      </c>
      <c r="G29" s="313">
        <v>345.98333333333335</v>
      </c>
      <c r="H29" s="313">
        <v>0</v>
      </c>
      <c r="I29" s="313">
        <v>286.81666666666661</v>
      </c>
      <c r="J29" s="313">
        <v>0.83333333333333393</v>
      </c>
      <c r="K29" s="313">
        <v>229.20416666666662</v>
      </c>
      <c r="L29" s="313">
        <v>3.2208333333333368</v>
      </c>
      <c r="M29" s="313">
        <v>175.33749999999998</v>
      </c>
      <c r="N29" s="313">
        <v>9.3541666666666732</v>
      </c>
      <c r="O29" s="313">
        <v>127.94999999999997</v>
      </c>
      <c r="P29" s="313">
        <v>21.966666666666676</v>
      </c>
      <c r="Q29" s="383">
        <v>4.4672222222222224</v>
      </c>
      <c r="S29" s="3">
        <f>'Monthly Data'!D17</f>
        <v>67336166.686170697</v>
      </c>
      <c r="T29" s="3">
        <f>'Monthly Data'!J17</f>
        <v>675376.59569999995</v>
      </c>
      <c r="U29" s="3">
        <f>'Monthly Data'!P17</f>
        <v>22071304.927159999</v>
      </c>
      <c r="V29" s="3">
        <f>'Monthly Data'!V17</f>
        <v>77365537.939999998</v>
      </c>
      <c r="W29" s="3">
        <f>'Monthly Data'!AB17</f>
        <v>6690984.8499999996</v>
      </c>
      <c r="X29" s="3">
        <f>'Monthly Data'!AG17</f>
        <v>19023460.219999999</v>
      </c>
      <c r="Y29" s="3">
        <f>'Monthly Data'!BC17</f>
        <v>24368406.0131099</v>
      </c>
      <c r="Z29" s="3">
        <f>'Monthly Data'!BI17</f>
        <v>6812115.3439100003</v>
      </c>
      <c r="AA29" s="3">
        <f>'Monthly Data'!BO17</f>
        <v>28869399.710000001</v>
      </c>
      <c r="AB29" s="3">
        <f>'Monthly Data'!BU17</f>
        <v>5129617.6100000003</v>
      </c>
      <c r="BA29" s="413">
        <f t="shared" si="190"/>
        <v>2020</v>
      </c>
      <c r="BB29" s="417">
        <f t="shared" si="191"/>
        <v>0</v>
      </c>
      <c r="BC29" s="417">
        <f t="shared" si="191"/>
        <v>0</v>
      </c>
      <c r="BD29" s="417">
        <f t="shared" si="191"/>
        <v>0</v>
      </c>
      <c r="BE29" s="417">
        <f t="shared" si="191"/>
        <v>0</v>
      </c>
      <c r="BF29" s="417">
        <f t="shared" si="191"/>
        <v>7.9916666666666636</v>
      </c>
      <c r="BG29" s="417">
        <f t="shared" si="191"/>
        <v>35.811231884057946</v>
      </c>
      <c r="BH29" s="417">
        <f t="shared" si="191"/>
        <v>122.88750000000002</v>
      </c>
      <c r="BI29" s="417">
        <f t="shared" si="191"/>
        <v>50.651893939393972</v>
      </c>
      <c r="BJ29" s="417">
        <f t="shared" si="191"/>
        <v>4.6041666666666714</v>
      </c>
      <c r="BK29" s="417">
        <f t="shared" si="191"/>
        <v>0</v>
      </c>
      <c r="BL29" s="417">
        <f t="shared" si="191"/>
        <v>0</v>
      </c>
      <c r="BM29" s="417">
        <f t="shared" si="191"/>
        <v>0</v>
      </c>
      <c r="BN29" s="413"/>
      <c r="BO29" s="413">
        <f t="shared" si="192"/>
        <v>2020</v>
      </c>
      <c r="BP29" s="417">
        <f t="shared" si="193"/>
        <v>0</v>
      </c>
      <c r="BQ29" s="417">
        <f t="shared" si="184"/>
        <v>0</v>
      </c>
      <c r="BR29" s="417">
        <f t="shared" si="184"/>
        <v>0</v>
      </c>
      <c r="BS29" s="417">
        <f t="shared" si="184"/>
        <v>0</v>
      </c>
      <c r="BT29" s="417">
        <f t="shared" si="184"/>
        <v>17.587499999999995</v>
      </c>
      <c r="BU29" s="417">
        <f t="shared" si="184"/>
        <v>72.269565217391289</v>
      </c>
      <c r="BV29" s="417">
        <f t="shared" si="184"/>
        <v>184.88749999999999</v>
      </c>
      <c r="BW29" s="417">
        <f t="shared" si="184"/>
        <v>96.418560606060637</v>
      </c>
      <c r="BX29" s="417">
        <f t="shared" si="184"/>
        <v>16.887500000000003</v>
      </c>
      <c r="BY29" s="417">
        <f t="shared" si="184"/>
        <v>0</v>
      </c>
      <c r="BZ29" s="417">
        <f t="shared" si="184"/>
        <v>0</v>
      </c>
      <c r="CA29" s="417">
        <f t="shared" si="184"/>
        <v>0</v>
      </c>
      <c r="CB29" s="417">
        <f t="shared" si="194"/>
        <v>388.05062582345187</v>
      </c>
      <c r="CC29" s="413">
        <f t="shared" si="195"/>
        <v>2020</v>
      </c>
      <c r="CD29" s="417">
        <f t="shared" si="196"/>
        <v>0</v>
      </c>
      <c r="CE29" s="417">
        <f t="shared" si="185"/>
        <v>0</v>
      </c>
      <c r="CF29" s="417">
        <f t="shared" si="185"/>
        <v>0</v>
      </c>
      <c r="CG29" s="417">
        <f t="shared" si="185"/>
        <v>0</v>
      </c>
      <c r="CH29" s="417">
        <f t="shared" si="185"/>
        <v>31.450595238095232</v>
      </c>
      <c r="CI29" s="417">
        <f t="shared" si="185"/>
        <v>115.68206521739128</v>
      </c>
      <c r="CJ29" s="417">
        <f t="shared" si="185"/>
        <v>246.88749999999999</v>
      </c>
      <c r="CK29" s="417">
        <f t="shared" si="185"/>
        <v>154.93106060606064</v>
      </c>
      <c r="CL29" s="417">
        <f t="shared" si="185"/>
        <v>37.879166666666663</v>
      </c>
      <c r="CM29" s="417">
        <f t="shared" si="185"/>
        <v>0.22916666666666785</v>
      </c>
      <c r="CN29" s="417">
        <f t="shared" si="185"/>
        <v>0</v>
      </c>
      <c r="CO29" s="417">
        <f t="shared" si="185"/>
        <v>0</v>
      </c>
      <c r="CP29" s="413"/>
      <c r="CQ29" s="413">
        <f t="shared" si="197"/>
        <v>2020</v>
      </c>
      <c r="CR29" s="417">
        <f t="shared" si="198"/>
        <v>0</v>
      </c>
      <c r="CS29" s="417">
        <f t="shared" si="186"/>
        <v>0</v>
      </c>
      <c r="CT29" s="417">
        <f t="shared" si="186"/>
        <v>0</v>
      </c>
      <c r="CU29" s="417">
        <f t="shared" si="186"/>
        <v>0</v>
      </c>
      <c r="CV29" s="417">
        <f t="shared" si="186"/>
        <v>50.900595238095221</v>
      </c>
      <c r="CW29" s="417">
        <f t="shared" si="186"/>
        <v>165.96956521739128</v>
      </c>
      <c r="CX29" s="417">
        <f t="shared" si="186"/>
        <v>308.88750000000005</v>
      </c>
      <c r="CY29" s="417">
        <f t="shared" si="186"/>
        <v>216.93106060606064</v>
      </c>
      <c r="CZ29" s="417">
        <f t="shared" si="186"/>
        <v>75.812499999999972</v>
      </c>
      <c r="DA29" s="417">
        <f t="shared" si="186"/>
        <v>3.9291666666666654</v>
      </c>
      <c r="DB29" s="417">
        <f t="shared" si="186"/>
        <v>0</v>
      </c>
      <c r="DC29" s="417">
        <f t="shared" si="186"/>
        <v>0</v>
      </c>
      <c r="DD29" s="413"/>
      <c r="DE29" s="413">
        <f t="shared" si="199"/>
        <v>2020</v>
      </c>
      <c r="DF29" s="417">
        <f t="shared" si="200"/>
        <v>0</v>
      </c>
      <c r="DG29" s="417">
        <f t="shared" si="187"/>
        <v>0</v>
      </c>
      <c r="DH29" s="417">
        <f t="shared" si="187"/>
        <v>0</v>
      </c>
      <c r="DI29" s="417">
        <f t="shared" si="187"/>
        <v>0</v>
      </c>
      <c r="DJ29" s="417">
        <f t="shared" si="187"/>
        <v>77.750595238095229</v>
      </c>
      <c r="DK29" s="417">
        <f t="shared" si="187"/>
        <v>222.53623188405788</v>
      </c>
      <c r="DL29" s="417">
        <f t="shared" si="187"/>
        <v>370.88750000000005</v>
      </c>
      <c r="DM29" s="417">
        <f t="shared" si="187"/>
        <v>278.93106060606061</v>
      </c>
      <c r="DN29" s="417">
        <f t="shared" si="187"/>
        <v>120.81213768115938</v>
      </c>
      <c r="DO29" s="417">
        <f t="shared" si="187"/>
        <v>10.262500000000003</v>
      </c>
      <c r="DP29" s="417">
        <f t="shared" si="187"/>
        <v>1.8291666666666622</v>
      </c>
      <c r="DQ29" s="417">
        <f t="shared" si="187"/>
        <v>0</v>
      </c>
      <c r="DR29" s="413"/>
      <c r="DS29" s="413">
        <f t="shared" si="201"/>
        <v>2020</v>
      </c>
      <c r="DT29" s="417">
        <f t="shared" si="202"/>
        <v>0</v>
      </c>
      <c r="DU29" s="417">
        <f t="shared" si="188"/>
        <v>0</v>
      </c>
      <c r="DV29" s="417">
        <f t="shared" si="188"/>
        <v>3.7499999999999645E-2</v>
      </c>
      <c r="DW29" s="417">
        <f t="shared" si="188"/>
        <v>2.1541666666666721</v>
      </c>
      <c r="DX29" s="417">
        <f t="shared" si="188"/>
        <v>111.87976190476191</v>
      </c>
      <c r="DY29" s="417">
        <f t="shared" si="188"/>
        <v>282.53623188405788</v>
      </c>
      <c r="DZ29" s="417">
        <f t="shared" si="188"/>
        <v>432.88750000000005</v>
      </c>
      <c r="EA29" s="417">
        <f t="shared" si="188"/>
        <v>340.93106060606056</v>
      </c>
      <c r="EB29" s="417">
        <f t="shared" si="188"/>
        <v>174.07880434782609</v>
      </c>
      <c r="EC29" s="417">
        <f t="shared" si="188"/>
        <v>31.466666666666676</v>
      </c>
      <c r="ED29" s="417">
        <f t="shared" si="188"/>
        <v>9.9624999999999932</v>
      </c>
      <c r="EE29" s="417">
        <f t="shared" si="188"/>
        <v>0</v>
      </c>
      <c r="EF29" s="413"/>
      <c r="EG29" s="413">
        <f t="shared" si="203"/>
        <v>2020</v>
      </c>
      <c r="EH29" s="417">
        <f t="shared" si="204"/>
        <v>0</v>
      </c>
      <c r="EI29" s="417">
        <f t="shared" si="189"/>
        <v>0</v>
      </c>
      <c r="EJ29" s="417">
        <f t="shared" si="189"/>
        <v>2.9041666666666668</v>
      </c>
      <c r="EK29" s="417">
        <f t="shared" si="189"/>
        <v>9.5083333333333364</v>
      </c>
      <c r="EL29" s="417">
        <f t="shared" si="189"/>
        <v>151.37559523809523</v>
      </c>
      <c r="EM29" s="417">
        <f t="shared" si="189"/>
        <v>342.536231884058</v>
      </c>
      <c r="EN29" s="417">
        <f t="shared" si="189"/>
        <v>494.88750000000005</v>
      </c>
      <c r="EO29" s="417">
        <f t="shared" si="189"/>
        <v>402.93106060606067</v>
      </c>
      <c r="EP29" s="417">
        <f t="shared" si="189"/>
        <v>231.84547101449272</v>
      </c>
      <c r="EQ29" s="417">
        <f t="shared" si="189"/>
        <v>60.620833333333344</v>
      </c>
      <c r="ER29" s="417">
        <f t="shared" si="189"/>
        <v>26.574999999999996</v>
      </c>
      <c r="ES29" s="417">
        <f t="shared" si="189"/>
        <v>0</v>
      </c>
      <c r="EU29" s="682">
        <f>'Monthly Data'!FO17</f>
        <v>638.87546481222</v>
      </c>
      <c r="EV29" s="682">
        <f>'Monthly Data'!FP17</f>
        <v>434.07089095129237</v>
      </c>
      <c r="EW29" s="682">
        <f>'Monthly Data'!FQ17</f>
        <v>2523.9609993206032</v>
      </c>
      <c r="EX29" s="682">
        <f>'Monthly Data'!FR17</f>
        <v>74728.351982443914</v>
      </c>
      <c r="EY29" s="682">
        <f>'Monthly Data'!FS17</f>
        <v>1345379.9209395144</v>
      </c>
      <c r="EZ29" s="682">
        <f>'Monthly Data'!FT17</f>
        <v>6524284.660894339</v>
      </c>
      <c r="FA29" s="682">
        <f>'Monthly Data'!FX17</f>
        <v>633.71602026856613</v>
      </c>
      <c r="FB29" s="682">
        <f>'Monthly Data'!FY17</f>
        <v>3157.3618188376358</v>
      </c>
      <c r="FC29" s="682">
        <f>'Monthly Data'!FZ17</f>
        <v>79817.895695350948</v>
      </c>
      <c r="FD29" s="682">
        <f>'Monthly Data'!GA17</f>
        <v>271818.21500000003</v>
      </c>
    </row>
    <row r="30" spans="1:160">
      <c r="A30">
        <v>2016</v>
      </c>
      <c r="B30">
        <v>5</v>
      </c>
      <c r="C30" s="313">
        <v>203.72361111111115</v>
      </c>
      <c r="D30" s="313">
        <v>8.9833333333333307</v>
      </c>
      <c r="E30" s="313">
        <v>154.58611111111114</v>
      </c>
      <c r="F30" s="313">
        <v>21.845833333333335</v>
      </c>
      <c r="G30" s="313">
        <v>111.69444444444443</v>
      </c>
      <c r="H30" s="313">
        <v>40.95416666666668</v>
      </c>
      <c r="I30" s="313">
        <v>75.344444444444463</v>
      </c>
      <c r="J30" s="313">
        <v>66.604166666666671</v>
      </c>
      <c r="K30" s="313">
        <v>45.036111111111126</v>
      </c>
      <c r="L30" s="313">
        <v>98.295833333333348</v>
      </c>
      <c r="M30" s="313">
        <v>18.829166666666676</v>
      </c>
      <c r="N30" s="313">
        <v>134.0888888888889</v>
      </c>
      <c r="O30" s="313">
        <v>4.2083333333333348</v>
      </c>
      <c r="P30" s="313">
        <v>181.46805555555554</v>
      </c>
      <c r="Q30" s="383">
        <v>13.718055555555555</v>
      </c>
      <c r="S30" s="3">
        <f>'Monthly Data'!D18</f>
        <v>67040814.563070007</v>
      </c>
      <c r="T30" s="3">
        <f>'Monthly Data'!J18</f>
        <v>658653.73418000003</v>
      </c>
      <c r="U30" s="3">
        <f>'Monthly Data'!P18</f>
        <v>21710441.394160002</v>
      </c>
      <c r="V30" s="3">
        <f>'Monthly Data'!V18</f>
        <v>78705460.799999997</v>
      </c>
      <c r="W30" s="3">
        <f>'Monthly Data'!AB18</f>
        <v>5883065.3700000001</v>
      </c>
      <c r="X30" s="3">
        <f>'Monthly Data'!AG18</f>
        <v>17973558.655000001</v>
      </c>
      <c r="Y30" s="3">
        <f>'Monthly Data'!BC18</f>
        <v>26914968.7534802</v>
      </c>
      <c r="Z30" s="3">
        <f>'Monthly Data'!BI18</f>
        <v>6828126.9130499903</v>
      </c>
      <c r="AA30" s="3">
        <f>'Monthly Data'!BO18</f>
        <v>28604624.289999999</v>
      </c>
      <c r="AB30" s="3">
        <f>'Monthly Data'!BU18</f>
        <v>5280644.88</v>
      </c>
      <c r="BA30" s="413">
        <f t="shared" si="190"/>
        <v>2021</v>
      </c>
      <c r="BB30" s="417">
        <f t="shared" si="191"/>
        <v>0</v>
      </c>
      <c r="BC30" s="417">
        <f t="shared" si="191"/>
        <v>0</v>
      </c>
      <c r="BD30" s="417">
        <f t="shared" si="191"/>
        <v>0</v>
      </c>
      <c r="BE30" s="417">
        <f t="shared" si="191"/>
        <v>0</v>
      </c>
      <c r="BF30" s="417">
        <f t="shared" si="191"/>
        <v>6.4541666666666622</v>
      </c>
      <c r="BG30" s="417">
        <f t="shared" si="191"/>
        <v>37.74166666666666</v>
      </c>
      <c r="BH30" s="417">
        <f t="shared" si="191"/>
        <v>32.391666666666652</v>
      </c>
      <c r="BI30" s="417">
        <f t="shared" si="191"/>
        <v>88.587499999999991</v>
      </c>
      <c r="BJ30" s="417">
        <f t="shared" si="191"/>
        <v>2.37916666666667</v>
      </c>
      <c r="BK30" s="417">
        <f t="shared" si="191"/>
        <v>0</v>
      </c>
      <c r="BL30" s="417">
        <f t="shared" si="191"/>
        <v>0</v>
      </c>
      <c r="BM30" s="417">
        <f t="shared" si="191"/>
        <v>0</v>
      </c>
      <c r="BN30" s="413"/>
      <c r="BO30" s="413">
        <f t="shared" si="192"/>
        <v>2021</v>
      </c>
      <c r="BP30" s="417">
        <f t="shared" si="193"/>
        <v>0</v>
      </c>
      <c r="BQ30" s="417">
        <f t="shared" si="184"/>
        <v>0</v>
      </c>
      <c r="BR30" s="417">
        <f t="shared" si="184"/>
        <v>0</v>
      </c>
      <c r="BS30" s="417">
        <f t="shared" si="184"/>
        <v>0</v>
      </c>
      <c r="BT30" s="417">
        <f t="shared" si="184"/>
        <v>20.174999999999997</v>
      </c>
      <c r="BU30" s="417">
        <f t="shared" si="184"/>
        <v>75.92916666666666</v>
      </c>
      <c r="BV30" s="417">
        <f t="shared" si="184"/>
        <v>74.229166666666615</v>
      </c>
      <c r="BW30" s="417">
        <f t="shared" si="184"/>
        <v>142.75416666666666</v>
      </c>
      <c r="BX30" s="417">
        <f t="shared" si="184"/>
        <v>14.954166666666683</v>
      </c>
      <c r="BY30" s="417">
        <f t="shared" si="184"/>
        <v>1.2875000000000014</v>
      </c>
      <c r="BZ30" s="417">
        <f t="shared" si="184"/>
        <v>0</v>
      </c>
      <c r="CA30" s="417">
        <f t="shared" si="184"/>
        <v>0</v>
      </c>
      <c r="CB30" s="417">
        <f t="shared" si="194"/>
        <v>329.32916666666665</v>
      </c>
      <c r="CC30" s="413">
        <f t="shared" si="195"/>
        <v>2021</v>
      </c>
      <c r="CD30" s="417">
        <f t="shared" si="196"/>
        <v>0</v>
      </c>
      <c r="CE30" s="417">
        <f t="shared" si="185"/>
        <v>0</v>
      </c>
      <c r="CF30" s="417">
        <f t="shared" si="185"/>
        <v>0</v>
      </c>
      <c r="CG30" s="417">
        <f t="shared" si="185"/>
        <v>0.21249999999999858</v>
      </c>
      <c r="CH30" s="417">
        <f t="shared" si="185"/>
        <v>35.574999999999996</v>
      </c>
      <c r="CI30" s="417">
        <f t="shared" si="185"/>
        <v>124.94583333333331</v>
      </c>
      <c r="CJ30" s="417">
        <f t="shared" si="185"/>
        <v>131.62083333333331</v>
      </c>
      <c r="CK30" s="417">
        <f t="shared" si="185"/>
        <v>204.06249999999994</v>
      </c>
      <c r="CL30" s="417">
        <f t="shared" si="185"/>
        <v>49.341666666666683</v>
      </c>
      <c r="CM30" s="417">
        <f t="shared" si="185"/>
        <v>18.245833333333344</v>
      </c>
      <c r="CN30" s="417">
        <f t="shared" si="185"/>
        <v>0</v>
      </c>
      <c r="CO30" s="417">
        <f t="shared" si="185"/>
        <v>0</v>
      </c>
      <c r="CP30" s="413"/>
      <c r="CQ30" s="413">
        <f t="shared" si="197"/>
        <v>2021</v>
      </c>
      <c r="CR30" s="417">
        <f t="shared" si="198"/>
        <v>0</v>
      </c>
      <c r="CS30" s="417">
        <f t="shared" si="186"/>
        <v>0</v>
      </c>
      <c r="CT30" s="417">
        <f t="shared" si="186"/>
        <v>0</v>
      </c>
      <c r="CU30" s="417">
        <f t="shared" si="186"/>
        <v>3.7083333333333339</v>
      </c>
      <c r="CV30" s="417">
        <f t="shared" si="186"/>
        <v>53.908333333333317</v>
      </c>
      <c r="CW30" s="417">
        <f t="shared" si="186"/>
        <v>181.67499999999995</v>
      </c>
      <c r="CX30" s="417">
        <f t="shared" si="186"/>
        <v>192.87499999999994</v>
      </c>
      <c r="CY30" s="417">
        <f t="shared" si="186"/>
        <v>266.0625</v>
      </c>
      <c r="CZ30" s="417">
        <f t="shared" si="186"/>
        <v>95.25833333333334</v>
      </c>
      <c r="DA30" s="417">
        <f t="shared" si="186"/>
        <v>44.562500000000028</v>
      </c>
      <c r="DB30" s="417">
        <f t="shared" si="186"/>
        <v>0</v>
      </c>
      <c r="DC30" s="417">
        <f t="shared" si="186"/>
        <v>0</v>
      </c>
      <c r="DD30" s="413"/>
      <c r="DE30" s="413">
        <f t="shared" si="199"/>
        <v>2021</v>
      </c>
      <c r="DF30" s="417">
        <f t="shared" si="200"/>
        <v>0</v>
      </c>
      <c r="DG30" s="417">
        <f t="shared" si="187"/>
        <v>0</v>
      </c>
      <c r="DH30" s="417">
        <f t="shared" si="187"/>
        <v>0.29583333333332895</v>
      </c>
      <c r="DI30" s="417">
        <f t="shared" si="187"/>
        <v>11.054166666666664</v>
      </c>
      <c r="DJ30" s="417">
        <f t="shared" si="187"/>
        <v>83.256944444444414</v>
      </c>
      <c r="DK30" s="417">
        <f t="shared" si="187"/>
        <v>241.67500000000001</v>
      </c>
      <c r="DL30" s="417">
        <f t="shared" si="187"/>
        <v>254.87499999999994</v>
      </c>
      <c r="DM30" s="417">
        <f t="shared" si="187"/>
        <v>328.06249999999989</v>
      </c>
      <c r="DN30" s="417">
        <f t="shared" si="187"/>
        <v>149.55833333333328</v>
      </c>
      <c r="DO30" s="417">
        <f t="shared" si="187"/>
        <v>77.979166666666686</v>
      </c>
      <c r="DP30" s="417">
        <f t="shared" si="187"/>
        <v>0</v>
      </c>
      <c r="DQ30" s="417">
        <f t="shared" si="187"/>
        <v>0</v>
      </c>
      <c r="DR30" s="413"/>
      <c r="DS30" s="413">
        <f t="shared" si="201"/>
        <v>2021</v>
      </c>
      <c r="DT30" s="417">
        <f t="shared" si="202"/>
        <v>0</v>
      </c>
      <c r="DU30" s="417">
        <f t="shared" si="188"/>
        <v>0</v>
      </c>
      <c r="DV30" s="417">
        <f t="shared" si="188"/>
        <v>5.1499999999999932</v>
      </c>
      <c r="DW30" s="417">
        <f t="shared" si="188"/>
        <v>22.362499999999997</v>
      </c>
      <c r="DX30" s="417">
        <f t="shared" si="188"/>
        <v>120.51527777777777</v>
      </c>
      <c r="DY30" s="417">
        <f t="shared" si="188"/>
        <v>301.67500000000001</v>
      </c>
      <c r="DZ30" s="417">
        <f t="shared" si="188"/>
        <v>316.87499999999994</v>
      </c>
      <c r="EA30" s="417">
        <f t="shared" si="188"/>
        <v>390.06249999999989</v>
      </c>
      <c r="EB30" s="417">
        <f t="shared" si="188"/>
        <v>209.27500000000001</v>
      </c>
      <c r="EC30" s="417">
        <f t="shared" si="188"/>
        <v>118.07916666666668</v>
      </c>
      <c r="ED30" s="417">
        <f t="shared" si="188"/>
        <v>0</v>
      </c>
      <c r="EE30" s="417">
        <f t="shared" si="188"/>
        <v>0.41249999999999964</v>
      </c>
      <c r="EF30" s="413"/>
      <c r="EG30" s="413">
        <f t="shared" si="203"/>
        <v>2021</v>
      </c>
      <c r="EH30" s="417">
        <f t="shared" si="204"/>
        <v>0</v>
      </c>
      <c r="EI30" s="417">
        <f t="shared" si="189"/>
        <v>0</v>
      </c>
      <c r="EJ30" s="417">
        <f t="shared" si="189"/>
        <v>12.05416666666666</v>
      </c>
      <c r="EK30" s="417">
        <f t="shared" si="189"/>
        <v>40.658333333333331</v>
      </c>
      <c r="EL30" s="417">
        <f t="shared" si="189"/>
        <v>164.65694444444446</v>
      </c>
      <c r="EM30" s="417">
        <f t="shared" si="189"/>
        <v>361.67500000000001</v>
      </c>
      <c r="EN30" s="417">
        <f t="shared" si="189"/>
        <v>378.87499999999994</v>
      </c>
      <c r="EO30" s="417">
        <f t="shared" si="189"/>
        <v>452.06249999999989</v>
      </c>
      <c r="EP30" s="417">
        <f t="shared" si="189"/>
        <v>269.27499999999998</v>
      </c>
      <c r="EQ30" s="417">
        <f t="shared" si="189"/>
        <v>164.47916666666669</v>
      </c>
      <c r="ER30" s="417">
        <f t="shared" si="189"/>
        <v>2.1916666666666682</v>
      </c>
      <c r="ES30" s="417">
        <f t="shared" si="189"/>
        <v>2.4124999999999996</v>
      </c>
      <c r="EU30" s="682">
        <f>'Monthly Data'!FO18</f>
        <v>636.10941328325362</v>
      </c>
      <c r="EV30" s="682">
        <f>'Monthly Data'!FP18</f>
        <v>424.03541749392519</v>
      </c>
      <c r="EW30" s="682">
        <f>'Monthly Data'!FQ18</f>
        <v>2483.404384731522</v>
      </c>
      <c r="EX30" s="682">
        <f>'Monthly Data'!FR18</f>
        <v>76107.049127688675</v>
      </c>
      <c r="EY30" s="682">
        <f>'Monthly Data'!FS18</f>
        <v>1184246.5089801739</v>
      </c>
      <c r="EZ30" s="682">
        <f>'Monthly Data'!FT18</f>
        <v>6180274.0504017798</v>
      </c>
      <c r="FA30" s="682">
        <f>'Monthly Data'!FX18</f>
        <v>698.67860046683268</v>
      </c>
      <c r="FB30" s="682">
        <f>'Monthly Data'!FY18</f>
        <v>3160.567826658923</v>
      </c>
      <c r="FC30" s="682">
        <f>'Monthly Data'!FZ18</f>
        <v>79089.801263549802</v>
      </c>
      <c r="FD30" s="682">
        <f>'Monthly Data'!GA18</f>
        <v>220340.01500000001</v>
      </c>
    </row>
    <row r="31" spans="1:160">
      <c r="A31">
        <v>2016</v>
      </c>
      <c r="B31">
        <v>6</v>
      </c>
      <c r="C31" s="313">
        <v>56.883333333333326</v>
      </c>
      <c r="D31" s="313">
        <v>20.087500000000002</v>
      </c>
      <c r="E31" s="313">
        <v>30.204166666666669</v>
      </c>
      <c r="F31" s="313">
        <v>53.40833333333336</v>
      </c>
      <c r="G31" s="313">
        <v>14.133333333333335</v>
      </c>
      <c r="H31" s="313">
        <v>97.33750000000002</v>
      </c>
      <c r="I31" s="313">
        <v>3.9749999999999996</v>
      </c>
      <c r="J31" s="313">
        <v>147.17916666666667</v>
      </c>
      <c r="K31" s="313">
        <v>0.65000000000000036</v>
      </c>
      <c r="L31" s="313">
        <v>203.85416666666669</v>
      </c>
      <c r="M31" s="313">
        <v>0</v>
      </c>
      <c r="N31" s="313">
        <v>263.20416666666671</v>
      </c>
      <c r="O31" s="313">
        <v>0</v>
      </c>
      <c r="P31" s="313">
        <v>323.20416666666671</v>
      </c>
      <c r="Q31" s="383">
        <v>18.773472222222221</v>
      </c>
      <c r="S31" s="3">
        <f>'Monthly Data'!D19</f>
        <v>76928534.813409895</v>
      </c>
      <c r="T31" s="3">
        <f>'Monthly Data'!J19</f>
        <v>640770.07441000105</v>
      </c>
      <c r="U31" s="3">
        <f>'Monthly Data'!P19</f>
        <v>22772669.73827</v>
      </c>
      <c r="V31" s="3">
        <f>'Monthly Data'!V19</f>
        <v>81548993.890000001</v>
      </c>
      <c r="W31" s="3">
        <f>'Monthly Data'!AB19</f>
        <v>6548995.6749999998</v>
      </c>
      <c r="X31" s="3">
        <f>'Monthly Data'!AG19</f>
        <v>15841997.175000001</v>
      </c>
      <c r="Y31" s="3">
        <f>'Monthly Data'!BC19</f>
        <v>32894041.6360799</v>
      </c>
      <c r="Z31" s="3">
        <f>'Monthly Data'!BI19</f>
        <v>7372116.0039600004</v>
      </c>
      <c r="AA31" s="3">
        <f>'Monthly Data'!BO19</f>
        <v>29645373.82</v>
      </c>
      <c r="AB31" s="3">
        <f>'Monthly Data'!BU19</f>
        <v>5127503.34</v>
      </c>
      <c r="BA31" s="413">
        <f t="shared" si="190"/>
        <v>2022</v>
      </c>
      <c r="BB31" s="417">
        <f t="shared" si="191"/>
        <v>0</v>
      </c>
      <c r="BC31" s="417">
        <f t="shared" si="191"/>
        <v>0</v>
      </c>
      <c r="BD31" s="417">
        <f t="shared" si="191"/>
        <v>0</v>
      </c>
      <c r="BE31" s="417">
        <f t="shared" si="191"/>
        <v>0</v>
      </c>
      <c r="BF31" s="417">
        <f t="shared" si="191"/>
        <v>6.0166666666666657</v>
      </c>
      <c r="BG31" s="417">
        <f t="shared" si="191"/>
        <v>16.451515151515149</v>
      </c>
      <c r="BH31" s="417">
        <f t="shared" si="191"/>
        <v>44.848903508771912</v>
      </c>
      <c r="BI31" s="417">
        <f t="shared" si="191"/>
        <v>49.674999999999997</v>
      </c>
      <c r="BJ31" s="417">
        <f t="shared" si="191"/>
        <v>3.0124999999999957</v>
      </c>
      <c r="BK31" s="417">
        <f t="shared" si="191"/>
        <v>0</v>
      </c>
      <c r="BL31" s="417">
        <f t="shared" si="191"/>
        <v>0</v>
      </c>
      <c r="BM31" s="417">
        <f t="shared" si="191"/>
        <v>0</v>
      </c>
      <c r="BN31" s="413"/>
      <c r="BO31" s="413">
        <f t="shared" si="192"/>
        <v>2022</v>
      </c>
      <c r="BP31" s="417">
        <f t="shared" si="193"/>
        <v>0</v>
      </c>
      <c r="BQ31" s="417">
        <f t="shared" si="184"/>
        <v>0</v>
      </c>
      <c r="BR31" s="417">
        <f t="shared" si="184"/>
        <v>0</v>
      </c>
      <c r="BS31" s="417">
        <f t="shared" si="184"/>
        <v>0</v>
      </c>
      <c r="BT31" s="417">
        <f t="shared" si="184"/>
        <v>18.545833333333334</v>
      </c>
      <c r="BU31" s="417">
        <f t="shared" si="184"/>
        <v>37.089015151515156</v>
      </c>
      <c r="BV31" s="417">
        <f t="shared" si="184"/>
        <v>98.475171624713937</v>
      </c>
      <c r="BW31" s="417">
        <f t="shared" si="184"/>
        <v>105.04583333333332</v>
      </c>
      <c r="BX31" s="417">
        <f t="shared" si="184"/>
        <v>22.633333333333329</v>
      </c>
      <c r="BY31" s="417">
        <f t="shared" si="184"/>
        <v>0</v>
      </c>
      <c r="BZ31" s="417">
        <f t="shared" si="184"/>
        <v>0</v>
      </c>
      <c r="CA31" s="417">
        <f t="shared" si="184"/>
        <v>0</v>
      </c>
      <c r="CB31" s="417">
        <f t="shared" si="194"/>
        <v>281.78918677622903</v>
      </c>
      <c r="CC31" s="413">
        <f t="shared" si="195"/>
        <v>2022</v>
      </c>
      <c r="CD31" s="417">
        <f t="shared" si="196"/>
        <v>0</v>
      </c>
      <c r="CE31" s="417">
        <f t="shared" si="185"/>
        <v>0</v>
      </c>
      <c r="CF31" s="417">
        <f t="shared" si="185"/>
        <v>0</v>
      </c>
      <c r="CG31" s="417">
        <f t="shared" si="185"/>
        <v>0</v>
      </c>
      <c r="CH31" s="417">
        <f t="shared" si="185"/>
        <v>41.6875</v>
      </c>
      <c r="CI31" s="417">
        <f t="shared" si="185"/>
        <v>67.11282467532466</v>
      </c>
      <c r="CJ31" s="417">
        <f t="shared" si="185"/>
        <v>159.8543382913806</v>
      </c>
      <c r="CK31" s="417">
        <f t="shared" si="185"/>
        <v>166.28333333333327</v>
      </c>
      <c r="CL31" s="417">
        <f t="shared" si="185"/>
        <v>56.250000000000007</v>
      </c>
      <c r="CM31" s="417">
        <f t="shared" si="185"/>
        <v>0</v>
      </c>
      <c r="CN31" s="417">
        <f t="shared" si="185"/>
        <v>0</v>
      </c>
      <c r="CO31" s="417">
        <f t="shared" si="185"/>
        <v>0</v>
      </c>
      <c r="CP31" s="413"/>
      <c r="CQ31" s="413">
        <f t="shared" si="197"/>
        <v>2022</v>
      </c>
      <c r="CR31" s="417">
        <f t="shared" si="198"/>
        <v>0</v>
      </c>
      <c r="CS31" s="417">
        <f t="shared" si="186"/>
        <v>0</v>
      </c>
      <c r="CT31" s="417">
        <f t="shared" si="186"/>
        <v>0</v>
      </c>
      <c r="CU31" s="417">
        <f t="shared" si="186"/>
        <v>0</v>
      </c>
      <c r="CV31" s="417">
        <f t="shared" si="186"/>
        <v>72.362499999999997</v>
      </c>
      <c r="CW31" s="417">
        <f t="shared" si="186"/>
        <v>120.92250416250417</v>
      </c>
      <c r="CX31" s="417">
        <f t="shared" si="186"/>
        <v>221.8543382913806</v>
      </c>
      <c r="CY31" s="417">
        <f t="shared" si="186"/>
        <v>228.28333333333333</v>
      </c>
      <c r="CZ31" s="417">
        <f t="shared" si="186"/>
        <v>94.054166666666674</v>
      </c>
      <c r="DA31" s="417">
        <f t="shared" si="186"/>
        <v>2.4208333333333307</v>
      </c>
      <c r="DB31" s="417">
        <f t="shared" si="186"/>
        <v>2.3083333333333318</v>
      </c>
      <c r="DC31" s="417">
        <f t="shared" si="186"/>
        <v>0</v>
      </c>
      <c r="DD31" s="413"/>
      <c r="DE31" s="413">
        <f t="shared" si="199"/>
        <v>2022</v>
      </c>
      <c r="DF31" s="417">
        <f t="shared" si="200"/>
        <v>0</v>
      </c>
      <c r="DG31" s="417">
        <f t="shared" si="187"/>
        <v>0</v>
      </c>
      <c r="DH31" s="417">
        <f t="shared" si="187"/>
        <v>0</v>
      </c>
      <c r="DI31" s="417">
        <f t="shared" si="187"/>
        <v>2.2541666666666629</v>
      </c>
      <c r="DJ31" s="417">
        <f t="shared" si="187"/>
        <v>109.43749999999997</v>
      </c>
      <c r="DK31" s="417">
        <f t="shared" si="187"/>
        <v>180.92250416250408</v>
      </c>
      <c r="DL31" s="417">
        <f t="shared" si="187"/>
        <v>283.8543382913806</v>
      </c>
      <c r="DM31" s="417">
        <f t="shared" si="187"/>
        <v>290.28333333333336</v>
      </c>
      <c r="DN31" s="417">
        <f t="shared" si="187"/>
        <v>139.79166666666663</v>
      </c>
      <c r="DO31" s="417">
        <f t="shared" si="187"/>
        <v>11.604166666666668</v>
      </c>
      <c r="DP31" s="417">
        <f t="shared" si="187"/>
        <v>6.5791666666666675</v>
      </c>
      <c r="DQ31" s="417">
        <f t="shared" si="187"/>
        <v>0</v>
      </c>
      <c r="DR31" s="413"/>
      <c r="DS31" s="413">
        <f t="shared" si="201"/>
        <v>2022</v>
      </c>
      <c r="DT31" s="417">
        <f t="shared" si="202"/>
        <v>0</v>
      </c>
      <c r="DU31" s="417">
        <f t="shared" si="188"/>
        <v>0</v>
      </c>
      <c r="DV31" s="417">
        <f t="shared" si="188"/>
        <v>0</v>
      </c>
      <c r="DW31" s="417">
        <f t="shared" si="188"/>
        <v>8.7083333333333286</v>
      </c>
      <c r="DX31" s="417">
        <f t="shared" si="188"/>
        <v>157.97083333333333</v>
      </c>
      <c r="DY31" s="417">
        <f t="shared" si="188"/>
        <v>240.92250416250408</v>
      </c>
      <c r="DZ31" s="417">
        <f t="shared" si="188"/>
        <v>345.85433829138066</v>
      </c>
      <c r="EA31" s="417">
        <f t="shared" si="188"/>
        <v>352.28333333333342</v>
      </c>
      <c r="EB31" s="417">
        <f t="shared" si="188"/>
        <v>193.32083333333327</v>
      </c>
      <c r="EC31" s="417">
        <f t="shared" si="188"/>
        <v>32</v>
      </c>
      <c r="ED31" s="417">
        <f t="shared" si="188"/>
        <v>13.824999999999999</v>
      </c>
      <c r="EE31" s="417">
        <f t="shared" si="188"/>
        <v>0</v>
      </c>
      <c r="EF31" s="413"/>
      <c r="EG31" s="413">
        <f t="shared" si="203"/>
        <v>2022</v>
      </c>
      <c r="EH31" s="417">
        <f t="shared" si="204"/>
        <v>0</v>
      </c>
      <c r="EI31" s="417">
        <f t="shared" si="189"/>
        <v>0</v>
      </c>
      <c r="EJ31" s="417">
        <f t="shared" si="189"/>
        <v>1.3208333333333311</v>
      </c>
      <c r="EK31" s="417">
        <f t="shared" si="189"/>
        <v>21.24166666666666</v>
      </c>
      <c r="EL31" s="417">
        <f t="shared" si="189"/>
        <v>219.03749999999999</v>
      </c>
      <c r="EM31" s="417">
        <f t="shared" si="189"/>
        <v>300.92250416250414</v>
      </c>
      <c r="EN31" s="417">
        <f t="shared" si="189"/>
        <v>407.8543382913806</v>
      </c>
      <c r="EO31" s="417">
        <f t="shared" si="189"/>
        <v>414.28333333333336</v>
      </c>
      <c r="EP31" s="417">
        <f t="shared" si="189"/>
        <v>251.2208333333333</v>
      </c>
      <c r="EQ31" s="417">
        <f t="shared" si="189"/>
        <v>64.804166666666674</v>
      </c>
      <c r="ER31" s="417">
        <f t="shared" si="189"/>
        <v>26.966666666666669</v>
      </c>
      <c r="ES31" s="417">
        <f t="shared" si="189"/>
        <v>0</v>
      </c>
      <c r="EU31" s="682">
        <f>'Monthly Data'!FO19</f>
        <v>728.15631431225245</v>
      </c>
      <c r="EV31" s="682">
        <f>'Monthly Data'!FP19</f>
        <v>413.26171344169268</v>
      </c>
      <c r="EW31" s="682">
        <f>'Monthly Data'!FQ19</f>
        <v>2601.9143791751462</v>
      </c>
      <c r="EX31" s="682">
        <f>'Monthly Data'!FR19</f>
        <v>78911.338172065429</v>
      </c>
      <c r="EY31" s="682">
        <f>'Monthly Data'!FS19</f>
        <v>1317883.0540208332</v>
      </c>
      <c r="EZ31" s="682">
        <f>'Monthly Data'!FT19</f>
        <v>5475710.1349092172</v>
      </c>
      <c r="FA31" s="682">
        <f>'Monthly Data'!FX19</f>
        <v>850.62506961959116</v>
      </c>
      <c r="FB31" s="682">
        <f>'Monthly Data'!FY19</f>
        <v>3403.8082123160402</v>
      </c>
      <c r="FC31" s="682">
        <f>'Monthly Data'!FZ19</f>
        <v>81919.656826691265</v>
      </c>
      <c r="FD31" s="682">
        <f>'Monthly Data'!GA19</f>
        <v>178735.17499999999</v>
      </c>
    </row>
    <row r="32" spans="1:160">
      <c r="A32">
        <v>2016</v>
      </c>
      <c r="B32">
        <v>7</v>
      </c>
      <c r="C32" s="313">
        <v>8.75416666666667</v>
      </c>
      <c r="D32" s="313">
        <v>73.983333333333334</v>
      </c>
      <c r="E32" s="313">
        <v>1.6583333333333314</v>
      </c>
      <c r="F32" s="313">
        <v>128.88749999999999</v>
      </c>
      <c r="G32" s="313">
        <v>0</v>
      </c>
      <c r="H32" s="313">
        <v>189.22916666666666</v>
      </c>
      <c r="I32" s="313">
        <v>0</v>
      </c>
      <c r="J32" s="313">
        <v>251.2291666666666</v>
      </c>
      <c r="K32" s="313">
        <v>0</v>
      </c>
      <c r="L32" s="313">
        <v>313.22916666666657</v>
      </c>
      <c r="M32" s="313">
        <v>0</v>
      </c>
      <c r="N32" s="313">
        <v>375.22916666666669</v>
      </c>
      <c r="O32" s="313">
        <v>0</v>
      </c>
      <c r="P32" s="313">
        <v>437.22916666666669</v>
      </c>
      <c r="Q32" s="383">
        <v>22.104166666666661</v>
      </c>
      <c r="S32" s="3">
        <f>'Monthly Data'!D20</f>
        <v>101238961.112638</v>
      </c>
      <c r="T32" s="3">
        <f>'Monthly Data'!J20</f>
        <v>983104.32776000095</v>
      </c>
      <c r="U32" s="3">
        <f>'Monthly Data'!P20</f>
        <v>25320734.268800002</v>
      </c>
      <c r="V32" s="3">
        <f>'Monthly Data'!V20</f>
        <v>83831106.840000004</v>
      </c>
      <c r="W32" s="3">
        <f>'Monthly Data'!AB20</f>
        <v>6456779.9800000004</v>
      </c>
      <c r="X32" s="3">
        <f>'Monthly Data'!AG20</f>
        <v>17655129.93</v>
      </c>
      <c r="Y32" s="3">
        <f>'Monthly Data'!BC20</f>
        <v>43014323.7304601</v>
      </c>
      <c r="Z32" s="3">
        <f>'Monthly Data'!BI20</f>
        <v>8153728.6656899899</v>
      </c>
      <c r="AA32" s="3">
        <f>'Monthly Data'!BO20</f>
        <v>30252012.800000001</v>
      </c>
      <c r="AB32" s="3">
        <f>'Monthly Data'!BU20</f>
        <v>5431219.0999999996</v>
      </c>
      <c r="BA32" s="413">
        <f t="shared" si="190"/>
        <v>2023</v>
      </c>
      <c r="BB32" s="417">
        <f t="shared" si="191"/>
        <v>0</v>
      </c>
      <c r="BC32" s="417">
        <f t="shared" si="191"/>
        <v>0</v>
      </c>
      <c r="BD32" s="417">
        <f t="shared" si="191"/>
        <v>0</v>
      </c>
      <c r="BE32" s="417">
        <f t="shared" si="191"/>
        <v>0</v>
      </c>
      <c r="BF32" s="417">
        <f t="shared" si="191"/>
        <v>1.6166666666666636</v>
      </c>
      <c r="BG32" s="417">
        <f t="shared" si="191"/>
        <v>21.141666666666666</v>
      </c>
      <c r="BH32" s="417">
        <f t="shared" si="191"/>
        <v>45.099999999999966</v>
      </c>
      <c r="BI32" s="417">
        <f t="shared" si="191"/>
        <v>12.016666666666676</v>
      </c>
      <c r="BJ32" s="417">
        <f t="shared" si="191"/>
        <v>18.212499999999995</v>
      </c>
      <c r="BK32" s="417">
        <f t="shared" si="191"/>
        <v>0</v>
      </c>
      <c r="BL32" s="417">
        <f t="shared" si="191"/>
        <v>0</v>
      </c>
      <c r="BM32" s="417">
        <f t="shared" si="191"/>
        <v>0</v>
      </c>
      <c r="BN32" s="413"/>
      <c r="BO32" s="413">
        <f t="shared" si="192"/>
        <v>2023</v>
      </c>
      <c r="BP32" s="417">
        <f t="shared" si="193"/>
        <v>0</v>
      </c>
      <c r="BQ32" s="417">
        <f t="shared" si="184"/>
        <v>0</v>
      </c>
      <c r="BR32" s="417">
        <f t="shared" si="184"/>
        <v>0</v>
      </c>
      <c r="BS32" s="417">
        <f t="shared" si="184"/>
        <v>0</v>
      </c>
      <c r="BT32" s="417">
        <f t="shared" si="184"/>
        <v>8.1333333333333258</v>
      </c>
      <c r="BU32" s="417">
        <f t="shared" si="184"/>
        <v>46.983333333333334</v>
      </c>
      <c r="BV32" s="417">
        <f t="shared" si="184"/>
        <v>99.908333333333317</v>
      </c>
      <c r="BW32" s="417">
        <f t="shared" si="184"/>
        <v>51.079891304347839</v>
      </c>
      <c r="BX32" s="417">
        <f t="shared" si="184"/>
        <v>30.583333333333329</v>
      </c>
      <c r="BY32" s="417">
        <f t="shared" si="184"/>
        <v>7.3041666666666707</v>
      </c>
      <c r="BZ32" s="417">
        <f t="shared" si="184"/>
        <v>0</v>
      </c>
      <c r="CA32" s="417">
        <f t="shared" si="184"/>
        <v>0</v>
      </c>
      <c r="CB32" s="417">
        <f t="shared" si="194"/>
        <v>243.99239130434779</v>
      </c>
      <c r="CC32" s="413">
        <f t="shared" si="195"/>
        <v>2023</v>
      </c>
      <c r="CD32" s="417">
        <f t="shared" si="196"/>
        <v>0</v>
      </c>
      <c r="CE32" s="417">
        <f t="shared" si="185"/>
        <v>0</v>
      </c>
      <c r="CF32" s="417">
        <f t="shared" si="185"/>
        <v>0</v>
      </c>
      <c r="CG32" s="417">
        <f t="shared" si="185"/>
        <v>1.75833333333334</v>
      </c>
      <c r="CH32" s="417">
        <f t="shared" si="185"/>
        <v>19.570833333333329</v>
      </c>
      <c r="CI32" s="417">
        <f t="shared" si="185"/>
        <v>89.8125</v>
      </c>
      <c r="CJ32" s="417">
        <f t="shared" si="185"/>
        <v>161.78333333333336</v>
      </c>
      <c r="CK32" s="417">
        <f t="shared" si="185"/>
        <v>105.41739130434784</v>
      </c>
      <c r="CL32" s="417">
        <f t="shared" si="185"/>
        <v>58.208333333333314</v>
      </c>
      <c r="CM32" s="417">
        <f t="shared" si="185"/>
        <v>19.579166666666676</v>
      </c>
      <c r="CN32" s="417">
        <f t="shared" si="185"/>
        <v>0</v>
      </c>
      <c r="CO32" s="417">
        <f t="shared" si="185"/>
        <v>0</v>
      </c>
      <c r="CP32" s="413"/>
      <c r="CQ32" s="413">
        <f t="shared" si="197"/>
        <v>2023</v>
      </c>
      <c r="CR32" s="417">
        <f t="shared" si="198"/>
        <v>0</v>
      </c>
      <c r="CS32" s="417">
        <f t="shared" si="186"/>
        <v>0</v>
      </c>
      <c r="CT32" s="417">
        <f t="shared" si="186"/>
        <v>0</v>
      </c>
      <c r="CU32" s="417">
        <f t="shared" si="186"/>
        <v>11.71666666666667</v>
      </c>
      <c r="CV32" s="417">
        <f t="shared" si="186"/>
        <v>37.345833333333331</v>
      </c>
      <c r="CW32" s="417">
        <f t="shared" si="186"/>
        <v>145.54166666666666</v>
      </c>
      <c r="CX32" s="417">
        <f t="shared" si="186"/>
        <v>223.78333333333336</v>
      </c>
      <c r="CY32" s="417">
        <f t="shared" si="186"/>
        <v>165.80489130434788</v>
      </c>
      <c r="CZ32" s="417">
        <f t="shared" si="186"/>
        <v>105.35</v>
      </c>
      <c r="DA32" s="417">
        <f t="shared" si="186"/>
        <v>35.333333333333343</v>
      </c>
      <c r="DB32" s="417">
        <f t="shared" si="186"/>
        <v>0</v>
      </c>
      <c r="DC32" s="417">
        <f t="shared" si="186"/>
        <v>0</v>
      </c>
      <c r="DD32" s="413"/>
      <c r="DE32" s="413">
        <f t="shared" si="199"/>
        <v>2023</v>
      </c>
      <c r="DF32" s="417">
        <f t="shared" si="200"/>
        <v>0</v>
      </c>
      <c r="DG32" s="417">
        <f t="shared" si="187"/>
        <v>0</v>
      </c>
      <c r="DH32" s="417">
        <f t="shared" si="187"/>
        <v>0</v>
      </c>
      <c r="DI32" s="417">
        <f t="shared" si="187"/>
        <v>22.716666666666676</v>
      </c>
      <c r="DJ32" s="417">
        <f t="shared" si="187"/>
        <v>68.049999999999983</v>
      </c>
      <c r="DK32" s="417">
        <f t="shared" si="187"/>
        <v>205.54166666666669</v>
      </c>
      <c r="DL32" s="417">
        <f t="shared" si="187"/>
        <v>285.78333333333342</v>
      </c>
      <c r="DM32" s="417">
        <f t="shared" si="187"/>
        <v>227.80489130434788</v>
      </c>
      <c r="DN32" s="417">
        <f t="shared" si="187"/>
        <v>162.99166666666662</v>
      </c>
      <c r="DO32" s="417">
        <f t="shared" si="187"/>
        <v>54.625</v>
      </c>
      <c r="DP32" s="417">
        <f t="shared" si="187"/>
        <v>0</v>
      </c>
      <c r="DQ32" s="417">
        <f t="shared" si="187"/>
        <v>0</v>
      </c>
      <c r="DR32" s="413"/>
      <c r="DS32" s="413">
        <f t="shared" si="201"/>
        <v>2023</v>
      </c>
      <c r="DT32" s="417">
        <f t="shared" si="202"/>
        <v>0</v>
      </c>
      <c r="DU32" s="417">
        <f t="shared" si="188"/>
        <v>0</v>
      </c>
      <c r="DV32" s="417">
        <f t="shared" si="188"/>
        <v>0</v>
      </c>
      <c r="DW32" s="417">
        <f t="shared" si="188"/>
        <v>37.175000000000004</v>
      </c>
      <c r="DX32" s="417">
        <f t="shared" si="188"/>
        <v>112.85416666666666</v>
      </c>
      <c r="DY32" s="417">
        <f t="shared" si="188"/>
        <v>265.54166666666669</v>
      </c>
      <c r="DZ32" s="417">
        <f t="shared" si="188"/>
        <v>347.78333333333342</v>
      </c>
      <c r="EA32" s="417">
        <f t="shared" si="188"/>
        <v>289.8048913043479</v>
      </c>
      <c r="EB32" s="417">
        <f t="shared" si="188"/>
        <v>222.99166666666656</v>
      </c>
      <c r="EC32" s="417">
        <f t="shared" si="188"/>
        <v>85.929166666666674</v>
      </c>
      <c r="ED32" s="417">
        <f t="shared" si="188"/>
        <v>0.36249999999999893</v>
      </c>
      <c r="EE32" s="417">
        <f t="shared" si="188"/>
        <v>0</v>
      </c>
      <c r="EF32" s="413"/>
      <c r="EG32" s="413">
        <f t="shared" si="203"/>
        <v>2023</v>
      </c>
      <c r="EH32" s="417">
        <f t="shared" si="204"/>
        <v>0</v>
      </c>
      <c r="EI32" s="417">
        <f t="shared" si="189"/>
        <v>8.3333333333332149E-2</v>
      </c>
      <c r="EJ32" s="417">
        <f t="shared" si="189"/>
        <v>0</v>
      </c>
      <c r="EK32" s="417">
        <f t="shared" si="189"/>
        <v>56.716666666666676</v>
      </c>
      <c r="EL32" s="417">
        <f t="shared" si="189"/>
        <v>161.77500000000001</v>
      </c>
      <c r="EM32" s="417">
        <f t="shared" si="189"/>
        <v>325.54166666666669</v>
      </c>
      <c r="EN32" s="417">
        <f t="shared" si="189"/>
        <v>409.7833333333333</v>
      </c>
      <c r="EO32" s="417">
        <f t="shared" si="189"/>
        <v>351.80489130434785</v>
      </c>
      <c r="EP32" s="417">
        <f t="shared" si="189"/>
        <v>282.99166666666656</v>
      </c>
      <c r="EQ32" s="417">
        <f t="shared" si="189"/>
        <v>127.93333333333337</v>
      </c>
      <c r="ER32" s="417">
        <f t="shared" si="189"/>
        <v>2.8333333333333304</v>
      </c>
      <c r="ES32" s="417">
        <f t="shared" si="189"/>
        <v>0.68750000000000178</v>
      </c>
      <c r="EU32" s="682">
        <f>'Monthly Data'!FO20</f>
        <v>954.24109682809467</v>
      </c>
      <c r="EV32" s="682">
        <f>'Monthly Data'!FP20</f>
        <v>629.67636600626668</v>
      </c>
      <c r="EW32" s="682">
        <f>'Monthly Data'!FQ20</f>
        <v>2886.1321069876249</v>
      </c>
      <c r="EX32" s="682">
        <f>'Monthly Data'!FR20</f>
        <v>81188.63998023601</v>
      </c>
      <c r="EY32" s="682">
        <f>'Monthly Data'!FS20</f>
        <v>1299890.3990614926</v>
      </c>
      <c r="EZ32" s="682">
        <f>'Monthly Data'!FT20</f>
        <v>6086044.2977499887</v>
      </c>
      <c r="FA32" s="682">
        <f>'Monthly Data'!FX20</f>
        <v>1107.3352412829745</v>
      </c>
      <c r="FB32" s="682">
        <f>'Monthly Data'!FY20</f>
        <v>3754.1617864814184</v>
      </c>
      <c r="FC32" s="682">
        <f>'Monthly Data'!FZ20</f>
        <v>83564.617695721841</v>
      </c>
      <c r="FD32" s="682">
        <f>'Monthly Data'!GA20</f>
        <v>180190.49</v>
      </c>
    </row>
    <row r="33" spans="1:160">
      <c r="A33">
        <v>2016</v>
      </c>
      <c r="B33">
        <v>8</v>
      </c>
      <c r="C33" s="313">
        <v>4.029166666666665</v>
      </c>
      <c r="D33" s="313">
        <v>84.054166666666674</v>
      </c>
      <c r="E33" s="313">
        <v>1.1291666666666664</v>
      </c>
      <c r="F33" s="313">
        <v>143.1541666666667</v>
      </c>
      <c r="G33" s="313">
        <v>0</v>
      </c>
      <c r="H33" s="313">
        <v>204.02500000000006</v>
      </c>
      <c r="I33" s="313">
        <v>0</v>
      </c>
      <c r="J33" s="313">
        <v>266.02500000000003</v>
      </c>
      <c r="K33" s="313">
        <v>0</v>
      </c>
      <c r="L33" s="313">
        <v>328.02499999999998</v>
      </c>
      <c r="M33" s="313">
        <v>0</v>
      </c>
      <c r="N33" s="313">
        <v>390.02499999999998</v>
      </c>
      <c r="O33" s="313">
        <v>0</v>
      </c>
      <c r="P33" s="313">
        <v>452.02499999999998</v>
      </c>
      <c r="Q33" s="383">
        <v>22.581451612903233</v>
      </c>
      <c r="S33" s="3">
        <f>'Monthly Data'!D21</f>
        <v>107677061.45640899</v>
      </c>
      <c r="T33" s="3">
        <f>'Monthly Data'!J21</f>
        <v>968251.10329999903</v>
      </c>
      <c r="U33" s="3">
        <f>'Monthly Data'!P21</f>
        <v>26483969.474950001</v>
      </c>
      <c r="V33" s="3">
        <f>'Monthly Data'!V21</f>
        <v>87838504.120000005</v>
      </c>
      <c r="W33" s="3">
        <f>'Monthly Data'!AB21</f>
        <v>7553701.79</v>
      </c>
      <c r="X33" s="3">
        <f>'Monthly Data'!AG21</f>
        <v>19003702.379999999</v>
      </c>
      <c r="Y33" s="3">
        <f>'Monthly Data'!BC21</f>
        <v>45586348.4991102</v>
      </c>
      <c r="Z33" s="3">
        <f>'Monthly Data'!BI21</f>
        <v>8508203.0139099807</v>
      </c>
      <c r="AA33" s="3">
        <f>'Monthly Data'!BO21</f>
        <v>32320717.75</v>
      </c>
      <c r="AB33" s="3">
        <f>'Monthly Data'!BU21</f>
        <v>5572096.2800000003</v>
      </c>
      <c r="BA33" s="413">
        <f t="shared" si="190"/>
        <v>2024</v>
      </c>
      <c r="BB33" s="417">
        <f t="shared" si="191"/>
        <v>0</v>
      </c>
      <c r="BC33" s="417">
        <f t="shared" si="191"/>
        <v>0</v>
      </c>
      <c r="BD33" s="417">
        <f t="shared" si="191"/>
        <v>0</v>
      </c>
      <c r="BE33" s="417">
        <f t="shared" si="191"/>
        <v>0</v>
      </c>
      <c r="BF33" s="417">
        <f t="shared" si="191"/>
        <v>2.6999999999999957</v>
      </c>
      <c r="BG33" s="417">
        <f t="shared" si="191"/>
        <v>25.01666666666668</v>
      </c>
      <c r="BH33" s="417">
        <f t="shared" si="191"/>
        <v>60.708333333333343</v>
      </c>
      <c r="BI33" s="417">
        <f t="shared" si="191"/>
        <v>41.841666666666654</v>
      </c>
      <c r="BJ33" s="417">
        <f t="shared" si="191"/>
        <v>0.63750000000000284</v>
      </c>
      <c r="BK33" s="417">
        <f t="shared" si="191"/>
        <v>0</v>
      </c>
      <c r="BL33" s="417">
        <f t="shared" si="191"/>
        <v>0</v>
      </c>
      <c r="BM33" s="417">
        <f t="shared" si="191"/>
        <v>0</v>
      </c>
      <c r="BN33" s="413"/>
      <c r="BO33" s="413">
        <f t="shared" si="192"/>
        <v>2024</v>
      </c>
      <c r="BP33" s="417">
        <f t="shared" si="193"/>
        <v>0</v>
      </c>
      <c r="BQ33" s="417">
        <f t="shared" si="184"/>
        <v>0</v>
      </c>
      <c r="BR33" s="417">
        <f t="shared" si="184"/>
        <v>0</v>
      </c>
      <c r="BS33" s="417">
        <f t="shared" si="184"/>
        <v>0</v>
      </c>
      <c r="BT33" s="417">
        <f t="shared" si="184"/>
        <v>10.658333333333328</v>
      </c>
      <c r="BU33" s="417">
        <f t="shared" si="184"/>
        <v>55.725000000000009</v>
      </c>
      <c r="BV33" s="417">
        <f t="shared" si="184"/>
        <v>117.47083333333335</v>
      </c>
      <c r="BW33" s="417">
        <f t="shared" si="184"/>
        <v>85.09999999999998</v>
      </c>
      <c r="BX33" s="417">
        <f t="shared" si="184"/>
        <v>20.666666666666679</v>
      </c>
      <c r="BY33" s="417">
        <f t="shared" si="184"/>
        <v>0</v>
      </c>
      <c r="BZ33" s="417">
        <f t="shared" si="184"/>
        <v>0</v>
      </c>
      <c r="CA33" s="417">
        <f t="shared" si="184"/>
        <v>0</v>
      </c>
      <c r="CB33" s="417">
        <f t="shared" si="194"/>
        <v>289.62083333333334</v>
      </c>
      <c r="CC33" s="413">
        <f t="shared" si="195"/>
        <v>2024</v>
      </c>
      <c r="CD33" s="417">
        <f t="shared" si="196"/>
        <v>0</v>
      </c>
      <c r="CE33" s="417">
        <f t="shared" si="185"/>
        <v>0</v>
      </c>
      <c r="CF33" s="417">
        <f t="shared" si="185"/>
        <v>0</v>
      </c>
      <c r="CG33" s="417">
        <f t="shared" si="185"/>
        <v>0</v>
      </c>
      <c r="CH33" s="417">
        <f t="shared" si="185"/>
        <v>27.287500000000005</v>
      </c>
      <c r="CI33" s="417">
        <f t="shared" si="185"/>
        <v>94.466666666666669</v>
      </c>
      <c r="CJ33" s="417">
        <f t="shared" si="185"/>
        <v>179.14166666666668</v>
      </c>
      <c r="CK33" s="417">
        <f t="shared" si="185"/>
        <v>140.625</v>
      </c>
      <c r="CL33" s="417">
        <f t="shared" si="185"/>
        <v>62.220833333333331</v>
      </c>
      <c r="CM33" s="417">
        <f t="shared" si="185"/>
        <v>3.0458333333333378</v>
      </c>
      <c r="CN33" s="417">
        <f t="shared" si="185"/>
        <v>1.5041666666666629</v>
      </c>
      <c r="CO33" s="417">
        <f t="shared" si="185"/>
        <v>0</v>
      </c>
      <c r="CP33" s="413"/>
      <c r="CQ33" s="413">
        <f t="shared" si="197"/>
        <v>2024</v>
      </c>
      <c r="CR33" s="417">
        <f t="shared" si="198"/>
        <v>0</v>
      </c>
      <c r="CS33" s="417">
        <f t="shared" si="186"/>
        <v>0</v>
      </c>
      <c r="CT33" s="417">
        <f t="shared" si="186"/>
        <v>0</v>
      </c>
      <c r="CU33" s="417">
        <f t="shared" si="186"/>
        <v>0</v>
      </c>
      <c r="CV33" s="417">
        <f t="shared" si="186"/>
        <v>60.691666666666663</v>
      </c>
      <c r="CW33" s="417">
        <f t="shared" si="186"/>
        <v>146.61250000000007</v>
      </c>
      <c r="CX33" s="417">
        <f t="shared" si="186"/>
        <v>241.14166666666668</v>
      </c>
      <c r="CY33" s="417">
        <f t="shared" si="186"/>
        <v>200.86666666666665</v>
      </c>
      <c r="CZ33" s="417">
        <f t="shared" si="186"/>
        <v>113.86250000000001</v>
      </c>
      <c r="DA33" s="417">
        <f t="shared" si="186"/>
        <v>12.120833333333337</v>
      </c>
      <c r="DB33" s="417">
        <f t="shared" si="186"/>
        <v>5.5041666666666629</v>
      </c>
      <c r="DC33" s="417">
        <f t="shared" si="186"/>
        <v>0</v>
      </c>
      <c r="DD33" s="413"/>
      <c r="DE33" s="413">
        <f t="shared" si="199"/>
        <v>2024</v>
      </c>
      <c r="DF33" s="417">
        <f t="shared" si="200"/>
        <v>0</v>
      </c>
      <c r="DG33" s="417">
        <f t="shared" si="187"/>
        <v>0</v>
      </c>
      <c r="DH33" s="417">
        <f t="shared" si="187"/>
        <v>0</v>
      </c>
      <c r="DI33" s="417">
        <f t="shared" si="187"/>
        <v>2.3833333333333346</v>
      </c>
      <c r="DJ33" s="417">
        <f t="shared" si="187"/>
        <v>110.05000000000001</v>
      </c>
      <c r="DK33" s="417">
        <f t="shared" si="187"/>
        <v>204.15416666666667</v>
      </c>
      <c r="DL33" s="417">
        <f t="shared" si="187"/>
        <v>303.14166666666665</v>
      </c>
      <c r="DM33" s="417">
        <f t="shared" si="187"/>
        <v>262.86666666666667</v>
      </c>
      <c r="DN33" s="417">
        <f t="shared" si="187"/>
        <v>171.29999999999998</v>
      </c>
      <c r="DO33" s="417">
        <f t="shared" si="187"/>
        <v>31.104166666666679</v>
      </c>
      <c r="DP33" s="417">
        <f t="shared" si="187"/>
        <v>9.5041666666666629</v>
      </c>
      <c r="DQ33" s="417">
        <f t="shared" si="187"/>
        <v>0</v>
      </c>
      <c r="DR33" s="413"/>
      <c r="DS33" s="413">
        <f t="shared" si="201"/>
        <v>2024</v>
      </c>
      <c r="DT33" s="417">
        <f t="shared" si="202"/>
        <v>0</v>
      </c>
      <c r="DU33" s="417">
        <f t="shared" si="188"/>
        <v>0</v>
      </c>
      <c r="DV33" s="417">
        <f t="shared" si="188"/>
        <v>0</v>
      </c>
      <c r="DW33" s="417">
        <f t="shared" si="188"/>
        <v>10.625</v>
      </c>
      <c r="DX33" s="417">
        <f t="shared" si="188"/>
        <v>169.12916666666669</v>
      </c>
      <c r="DY33" s="417">
        <f t="shared" si="188"/>
        <v>264.15416666666664</v>
      </c>
      <c r="DZ33" s="417">
        <f t="shared" si="188"/>
        <v>365.14166666666671</v>
      </c>
      <c r="EA33" s="417">
        <f t="shared" si="188"/>
        <v>324.86666666666667</v>
      </c>
      <c r="EB33" s="417">
        <f t="shared" si="188"/>
        <v>231.3</v>
      </c>
      <c r="EC33" s="417">
        <f t="shared" si="188"/>
        <v>60.087500000000006</v>
      </c>
      <c r="ED33" s="417">
        <f t="shared" si="188"/>
        <v>15.029166666666661</v>
      </c>
      <c r="EE33" s="417">
        <f t="shared" si="188"/>
        <v>0</v>
      </c>
      <c r="EF33" s="413"/>
      <c r="EG33" s="413">
        <f t="shared" si="203"/>
        <v>2024</v>
      </c>
      <c r="EH33" s="417">
        <f t="shared" si="204"/>
        <v>0</v>
      </c>
      <c r="EI33" s="417">
        <f t="shared" si="189"/>
        <v>0</v>
      </c>
      <c r="EJ33" s="417">
        <f t="shared" si="189"/>
        <v>4.5791666666666657</v>
      </c>
      <c r="EK33" s="417">
        <f t="shared" si="189"/>
        <v>32.795833333333334</v>
      </c>
      <c r="EL33" s="417">
        <f t="shared" si="189"/>
        <v>231.12916666666669</v>
      </c>
      <c r="EM33" s="417">
        <f t="shared" si="189"/>
        <v>324.1541666666667</v>
      </c>
      <c r="EN33" s="417">
        <f t="shared" si="189"/>
        <v>427.14166666666677</v>
      </c>
      <c r="EO33" s="417">
        <f t="shared" si="189"/>
        <v>386.86666666666656</v>
      </c>
      <c r="EP33" s="417">
        <f t="shared" si="189"/>
        <v>291.30000000000007</v>
      </c>
      <c r="EQ33" s="417">
        <f t="shared" si="189"/>
        <v>94.675000000000011</v>
      </c>
      <c r="ER33" s="417">
        <f t="shared" si="189"/>
        <v>27.141666666666666</v>
      </c>
      <c r="ES33" s="417">
        <f t="shared" si="189"/>
        <v>0</v>
      </c>
      <c r="EU33" s="682">
        <f>'Monthly Data'!FO21</f>
        <v>1013.8356830811805</v>
      </c>
      <c r="EV33" s="682">
        <f>'Monthly Data'!FP21</f>
        <v>620.87268219390853</v>
      </c>
      <c r="EW33" s="682">
        <f>'Monthly Data'!FQ21</f>
        <v>3015.4228741076677</v>
      </c>
      <c r="EX33" s="682">
        <f>'Monthly Data'!FR21</f>
        <v>85105.757891423316</v>
      </c>
      <c r="EY33" s="682">
        <f>'Monthly Data'!FS21</f>
        <v>1519725.245102152</v>
      </c>
      <c r="EZ33" s="682">
        <f>'Monthly Data'!FT21</f>
        <v>6541525.0255907616</v>
      </c>
      <c r="FA33" s="682">
        <f>'Monthly Data'!FX21</f>
        <v>1172.4672454582378</v>
      </c>
      <c r="FB33" s="682">
        <f>'Monthly Data'!FY21</f>
        <v>3909.8338092341378</v>
      </c>
      <c r="FC33" s="682">
        <f>'Monthly Data'!FZ21</f>
        <v>89188.301749081787</v>
      </c>
      <c r="FD33" s="682">
        <f>'Monthly Data'!GA21</f>
        <v>203839.95499999999</v>
      </c>
    </row>
    <row r="34" spans="1:160">
      <c r="A34">
        <v>2016</v>
      </c>
      <c r="B34">
        <v>9</v>
      </c>
      <c r="C34" s="313">
        <v>80.145833333333343</v>
      </c>
      <c r="D34" s="313">
        <v>15.887500000000006</v>
      </c>
      <c r="E34" s="313">
        <v>40.929166666666667</v>
      </c>
      <c r="F34" s="313">
        <v>36.670833333333334</v>
      </c>
      <c r="G34" s="313">
        <v>15.7875</v>
      </c>
      <c r="H34" s="313">
        <v>71.529166666666654</v>
      </c>
      <c r="I34" s="313">
        <v>4.9124999999999979</v>
      </c>
      <c r="J34" s="313">
        <v>120.65416666666664</v>
      </c>
      <c r="K34" s="313">
        <v>0.8125</v>
      </c>
      <c r="L34" s="313">
        <v>176.5541666666667</v>
      </c>
      <c r="M34" s="313">
        <v>0</v>
      </c>
      <c r="N34" s="313">
        <v>235.7416666666667</v>
      </c>
      <c r="O34" s="313">
        <v>0</v>
      </c>
      <c r="P34" s="313">
        <v>295.74166666666667</v>
      </c>
      <c r="Q34" s="383">
        <v>17.858055555555556</v>
      </c>
      <c r="S34" s="3">
        <f>'Monthly Data'!D22</f>
        <v>74880248.752480209</v>
      </c>
      <c r="T34" s="3">
        <f>'Monthly Data'!J22</f>
        <v>653467.51299000101</v>
      </c>
      <c r="U34" s="3">
        <f>'Monthly Data'!P22</f>
        <v>22354040.928489901</v>
      </c>
      <c r="V34" s="3">
        <f>'Monthly Data'!V22</f>
        <v>79754218.579999998</v>
      </c>
      <c r="W34" s="3">
        <f>'Monthly Data'!AB22</f>
        <v>7017561.29</v>
      </c>
      <c r="X34" s="3">
        <f>'Monthly Data'!AG22</f>
        <v>17477708.690000001</v>
      </c>
      <c r="Y34" s="3">
        <f>'Monthly Data'!BC22</f>
        <v>31539483.428660002</v>
      </c>
      <c r="Z34" s="3">
        <f>'Monthly Data'!BI22</f>
        <v>7333669.2690399904</v>
      </c>
      <c r="AA34" s="3">
        <f>'Monthly Data'!BO22</f>
        <v>30235739.219999999</v>
      </c>
      <c r="AB34" s="3">
        <f>'Monthly Data'!BU22</f>
        <v>5327087.3099999996</v>
      </c>
      <c r="BA34" s="415">
        <f t="shared" si="190"/>
        <v>2025</v>
      </c>
      <c r="BB34" s="416">
        <f>AVERAGE(BB24:BB33)</f>
        <v>0</v>
      </c>
      <c r="BC34" s="416">
        <f t="shared" ref="BC34:BM34" si="205">AVERAGE(BC24:BC33)</f>
        <v>0</v>
      </c>
      <c r="BD34" s="416">
        <f t="shared" si="205"/>
        <v>0</v>
      </c>
      <c r="BE34" s="416">
        <f t="shared" si="205"/>
        <v>0</v>
      </c>
      <c r="BF34" s="416">
        <f t="shared" si="205"/>
        <v>4.8953571428571401</v>
      </c>
      <c r="BG34" s="416">
        <f t="shared" si="205"/>
        <v>20.517524703557307</v>
      </c>
      <c r="BH34" s="416">
        <f t="shared" si="205"/>
        <v>60.196441734276391</v>
      </c>
      <c r="BI34" s="416">
        <f t="shared" si="205"/>
        <v>46.16051548089591</v>
      </c>
      <c r="BJ34" s="416">
        <f t="shared" si="205"/>
        <v>12.738333333333333</v>
      </c>
      <c r="BK34" s="416">
        <f t="shared" si="205"/>
        <v>1.666666666666572E-3</v>
      </c>
      <c r="BL34" s="416">
        <f t="shared" si="205"/>
        <v>0</v>
      </c>
      <c r="BM34" s="416">
        <f t="shared" si="205"/>
        <v>0</v>
      </c>
      <c r="BN34" s="413"/>
      <c r="BO34" s="415">
        <f t="shared" si="192"/>
        <v>2025</v>
      </c>
      <c r="BP34" s="416">
        <f>AVERAGE(BP24:BP33)</f>
        <v>0</v>
      </c>
      <c r="BQ34" s="416">
        <f t="shared" ref="BQ34:CA34" si="206">AVERAGE(BQ24:BQ33)</f>
        <v>0</v>
      </c>
      <c r="BR34" s="416">
        <f t="shared" si="206"/>
        <v>0</v>
      </c>
      <c r="BS34" s="416">
        <f t="shared" si="206"/>
        <v>3.4583333333333854E-2</v>
      </c>
      <c r="BT34" s="416">
        <f t="shared" si="206"/>
        <v>14.32952380952381</v>
      </c>
      <c r="BU34" s="416">
        <f t="shared" si="206"/>
        <v>46.941274703557312</v>
      </c>
      <c r="BV34" s="416">
        <f t="shared" si="206"/>
        <v>113.56529525394512</v>
      </c>
      <c r="BW34" s="416">
        <f t="shared" si="206"/>
        <v>92.615587944664043</v>
      </c>
      <c r="BX34" s="416">
        <f t="shared" si="206"/>
        <v>30.962083333333332</v>
      </c>
      <c r="BY34" s="416">
        <f t="shared" si="206"/>
        <v>1.6875000000000011</v>
      </c>
      <c r="BZ34" s="416">
        <f t="shared" si="206"/>
        <v>0</v>
      </c>
      <c r="CA34" s="416">
        <f t="shared" si="206"/>
        <v>0</v>
      </c>
      <c r="CB34" s="417">
        <f t="shared" si="194"/>
        <v>300.13584837835697</v>
      </c>
      <c r="CC34" s="415">
        <f t="shared" si="195"/>
        <v>2025</v>
      </c>
      <c r="CD34" s="416">
        <f>AVERAGE(CD24:CD33)</f>
        <v>0</v>
      </c>
      <c r="CE34" s="416">
        <f t="shared" ref="CE34:CO34" si="207">AVERAGE(CE24:CE33)</f>
        <v>0</v>
      </c>
      <c r="CF34" s="416">
        <f t="shared" si="207"/>
        <v>0</v>
      </c>
      <c r="CG34" s="416">
        <f t="shared" si="207"/>
        <v>0.4316666666666677</v>
      </c>
      <c r="CH34" s="416">
        <f t="shared" si="207"/>
        <v>29.4520183982684</v>
      </c>
      <c r="CI34" s="416">
        <f t="shared" si="207"/>
        <v>86.311049595332207</v>
      </c>
      <c r="CJ34" s="416">
        <f t="shared" si="207"/>
        <v>174.0219619206118</v>
      </c>
      <c r="CK34" s="416">
        <f t="shared" si="207"/>
        <v>149.7160046113307</v>
      </c>
      <c r="CL34" s="416">
        <f t="shared" si="207"/>
        <v>62.345178571428576</v>
      </c>
      <c r="CM34" s="416">
        <f t="shared" si="207"/>
        <v>7.1541666666666703</v>
      </c>
      <c r="CN34" s="416">
        <f t="shared" si="207"/>
        <v>0.15041666666666628</v>
      </c>
      <c r="CO34" s="416">
        <f t="shared" si="207"/>
        <v>0</v>
      </c>
      <c r="CP34" s="413"/>
      <c r="CQ34" s="415">
        <f t="shared" si="197"/>
        <v>2025</v>
      </c>
      <c r="CR34" s="416">
        <f>AVERAGE(CR24:CR33)</f>
        <v>0</v>
      </c>
      <c r="CS34" s="416">
        <f t="shared" ref="CS34:DC34" si="208">AVERAGE(CS24:CS33)</f>
        <v>0</v>
      </c>
      <c r="CT34" s="416">
        <f t="shared" si="208"/>
        <v>0</v>
      </c>
      <c r="CU34" s="416">
        <f t="shared" si="208"/>
        <v>2.1908333333333347</v>
      </c>
      <c r="CV34" s="416">
        <f t="shared" si="208"/>
        <v>52.487435064935063</v>
      </c>
      <c r="CW34" s="416">
        <f t="shared" si="208"/>
        <v>137.65451754405018</v>
      </c>
      <c r="CX34" s="416">
        <f t="shared" si="208"/>
        <v>235.94737858727848</v>
      </c>
      <c r="CY34" s="416">
        <f t="shared" si="208"/>
        <v>210.96558794466404</v>
      </c>
      <c r="CZ34" s="416">
        <f t="shared" si="208"/>
        <v>106.4160119047619</v>
      </c>
      <c r="DA34" s="416">
        <f t="shared" si="208"/>
        <v>17.987083333333334</v>
      </c>
      <c r="DB34" s="416">
        <f t="shared" si="208"/>
        <v>0.8083333333333329</v>
      </c>
      <c r="DC34" s="416">
        <f t="shared" si="208"/>
        <v>0</v>
      </c>
      <c r="DD34" s="413"/>
      <c r="DE34" s="415">
        <f t="shared" si="199"/>
        <v>2025</v>
      </c>
      <c r="DF34" s="416">
        <f>AVERAGE(DF24:DF33)</f>
        <v>0</v>
      </c>
      <c r="DG34" s="416">
        <f t="shared" ref="DG34:DQ34" si="209">AVERAGE(DG24:DG33)</f>
        <v>0</v>
      </c>
      <c r="DH34" s="416">
        <f t="shared" si="209"/>
        <v>2.9583333333332896E-2</v>
      </c>
      <c r="DI34" s="416">
        <f t="shared" si="209"/>
        <v>5.6420833333333338</v>
      </c>
      <c r="DJ34" s="416">
        <f t="shared" si="209"/>
        <v>86.191046176046171</v>
      </c>
      <c r="DK34" s="416">
        <f t="shared" si="209"/>
        <v>194.94285087738348</v>
      </c>
      <c r="DL34" s="416">
        <f t="shared" si="209"/>
        <v>297.94737858727848</v>
      </c>
      <c r="DM34" s="416">
        <f t="shared" si="209"/>
        <v>272.96558794466404</v>
      </c>
      <c r="DN34" s="416">
        <f t="shared" si="209"/>
        <v>158.67014233954447</v>
      </c>
      <c r="DO34" s="416">
        <f t="shared" si="209"/>
        <v>35.32833333333334</v>
      </c>
      <c r="DP34" s="416">
        <f t="shared" si="209"/>
        <v>2.2779166666666657</v>
      </c>
      <c r="DQ34" s="416">
        <f t="shared" si="209"/>
        <v>0</v>
      </c>
      <c r="DR34" s="413"/>
      <c r="DS34" s="415">
        <f t="shared" si="201"/>
        <v>2025</v>
      </c>
      <c r="DT34" s="416">
        <f>AVERAGE(DT24:DT33)</f>
        <v>0</v>
      </c>
      <c r="DU34" s="416">
        <f t="shared" ref="DU34:EE34" si="210">AVERAGE(DU24:DU33)</f>
        <v>0</v>
      </c>
      <c r="DV34" s="416">
        <f t="shared" si="210"/>
        <v>0.51874999999999927</v>
      </c>
      <c r="DW34" s="416">
        <f t="shared" si="210"/>
        <v>12.79125</v>
      </c>
      <c r="DX34" s="416">
        <f t="shared" si="210"/>
        <v>130.22445928308915</v>
      </c>
      <c r="DY34" s="416">
        <f t="shared" si="210"/>
        <v>254.51826754405016</v>
      </c>
      <c r="DZ34" s="416">
        <f t="shared" si="210"/>
        <v>359.94737858727854</v>
      </c>
      <c r="EA34" s="416">
        <f t="shared" si="210"/>
        <v>334.96558794466404</v>
      </c>
      <c r="EB34" s="416">
        <f t="shared" si="210"/>
        <v>216.57430900621117</v>
      </c>
      <c r="EC34" s="416">
        <f t="shared" si="210"/>
        <v>62.266666666666673</v>
      </c>
      <c r="ED34" s="416">
        <f t="shared" si="210"/>
        <v>5.6391666666666662</v>
      </c>
      <c r="EE34" s="416">
        <f t="shared" si="210"/>
        <v>0.12791666666666668</v>
      </c>
      <c r="EF34" s="413"/>
      <c r="EG34" s="415">
        <f t="shared" si="203"/>
        <v>2025</v>
      </c>
      <c r="EH34" s="416">
        <f>AVERAGE(EH24:EH33)</f>
        <v>0</v>
      </c>
      <c r="EI34" s="416">
        <f t="shared" ref="EI34:ES34" si="211">AVERAGE(EI24:EI33)</f>
        <v>0.1424999999999999</v>
      </c>
      <c r="EJ34" s="416">
        <f t="shared" si="211"/>
        <v>2.4454166666666657</v>
      </c>
      <c r="EK34" s="416">
        <f t="shared" si="211"/>
        <v>27.605</v>
      </c>
      <c r="EL34" s="416">
        <f t="shared" si="211"/>
        <v>181.39445928308913</v>
      </c>
      <c r="EM34" s="416">
        <f t="shared" si="211"/>
        <v>314.42035087738344</v>
      </c>
      <c r="EN34" s="416">
        <f t="shared" si="211"/>
        <v>421.94737858727848</v>
      </c>
      <c r="EO34" s="416">
        <f t="shared" si="211"/>
        <v>396.96558794466398</v>
      </c>
      <c r="EP34" s="416">
        <f t="shared" si="211"/>
        <v>276.00264233954448</v>
      </c>
      <c r="EQ34" s="416">
        <f t="shared" si="211"/>
        <v>98.552083333333343</v>
      </c>
      <c r="ER34" s="416">
        <f t="shared" si="211"/>
        <v>13.393750000000001</v>
      </c>
      <c r="ES34" s="416">
        <f t="shared" si="211"/>
        <v>0.99248188405797111</v>
      </c>
      <c r="EU34" s="682">
        <f>'Monthly Data'!FO22</f>
        <v>708.882832474363</v>
      </c>
      <c r="EV34" s="682">
        <f>'Monthly Data'!FP22</f>
        <v>422.77321451672969</v>
      </c>
      <c r="EW34" s="682">
        <f>'Monthly Data'!FQ22</f>
        <v>2554.4532626058485</v>
      </c>
      <c r="EX34" s="682">
        <f>'Monthly Data'!FR22</f>
        <v>77554.784284543872</v>
      </c>
      <c r="EY34" s="682">
        <f>'Monthly Data'!FS22</f>
        <v>1412947.6291428113</v>
      </c>
      <c r="EZ34" s="682">
        <f>'Monthly Data'!FT22</f>
        <v>6038817.0400982006</v>
      </c>
      <c r="FA34" s="682">
        <f>'Monthly Data'!FX22</f>
        <v>816.81519529263176</v>
      </c>
      <c r="FB34" s="682">
        <f>'Monthly Data'!FY22</f>
        <v>3373.0872996134553</v>
      </c>
      <c r="FC34" s="682">
        <f>'Monthly Data'!FZ22</f>
        <v>83504.344873595139</v>
      </c>
      <c r="FD34" s="682">
        <f>'Monthly Data'!GA22</f>
        <v>219529.29500000001</v>
      </c>
    </row>
    <row r="35" spans="1:160">
      <c r="A35">
        <v>2016</v>
      </c>
      <c r="B35">
        <v>10</v>
      </c>
      <c r="C35" s="313">
        <v>283.19583333333327</v>
      </c>
      <c r="D35" s="313">
        <v>0</v>
      </c>
      <c r="E35" s="313">
        <v>222.13333333333333</v>
      </c>
      <c r="F35" s="313">
        <v>0.93750000000000355</v>
      </c>
      <c r="G35" s="313">
        <v>166.45</v>
      </c>
      <c r="H35" s="313">
        <v>7.2541666666666735</v>
      </c>
      <c r="I35" s="313">
        <v>121.96666666666667</v>
      </c>
      <c r="J35" s="313">
        <v>24.770833333333336</v>
      </c>
      <c r="K35" s="313">
        <v>87.579166666666666</v>
      </c>
      <c r="L35" s="313">
        <v>52.383333333333333</v>
      </c>
      <c r="M35" s="313">
        <v>58.995833333333337</v>
      </c>
      <c r="N35" s="313">
        <v>85.800000000000011</v>
      </c>
      <c r="O35" s="313">
        <v>33.25</v>
      </c>
      <c r="P35" s="313">
        <v>122.05416666666669</v>
      </c>
      <c r="Q35" s="383">
        <v>10.864650537634409</v>
      </c>
      <c r="S35" s="3">
        <f>'Monthly Data'!D23</f>
        <v>64921187.7292106</v>
      </c>
      <c r="T35" s="3">
        <f>'Monthly Data'!J23</f>
        <v>729304.67990999995</v>
      </c>
      <c r="U35" s="3">
        <f>'Monthly Data'!P23</f>
        <v>21120509.448860001</v>
      </c>
      <c r="V35" s="3">
        <f>'Monthly Data'!V23</f>
        <v>77217651.829999998</v>
      </c>
      <c r="W35" s="3">
        <f>'Monthly Data'!AB23</f>
        <v>6771948.7699999996</v>
      </c>
      <c r="X35" s="3">
        <f>'Monthly Data'!AG23</f>
        <v>17590250.260000002</v>
      </c>
      <c r="Y35" s="3">
        <f>'Monthly Data'!BC23</f>
        <v>25104818.368170101</v>
      </c>
      <c r="Z35" s="3">
        <f>'Monthly Data'!BI23</f>
        <v>6756573.7781199897</v>
      </c>
      <c r="AA35" s="3">
        <f>'Monthly Data'!BO23</f>
        <v>29057711.48</v>
      </c>
      <c r="AB35" s="3">
        <f>'Monthly Data'!BU23</f>
        <v>5346926.47</v>
      </c>
      <c r="BA35" s="415">
        <f t="shared" si="190"/>
        <v>2026</v>
      </c>
      <c r="BB35" s="416">
        <f t="shared" ref="BB35:BB40" si="212">BB34</f>
        <v>0</v>
      </c>
      <c r="BC35" s="416">
        <f t="shared" ref="BC35:BM40" si="213">BC34</f>
        <v>0</v>
      </c>
      <c r="BD35" s="416">
        <f t="shared" si="213"/>
        <v>0</v>
      </c>
      <c r="BE35" s="416">
        <f t="shared" si="213"/>
        <v>0</v>
      </c>
      <c r="BF35" s="416">
        <f t="shared" si="213"/>
        <v>4.8953571428571401</v>
      </c>
      <c r="BG35" s="416">
        <f t="shared" si="213"/>
        <v>20.517524703557307</v>
      </c>
      <c r="BH35" s="416">
        <f t="shared" si="213"/>
        <v>60.196441734276391</v>
      </c>
      <c r="BI35" s="416">
        <f t="shared" si="213"/>
        <v>46.16051548089591</v>
      </c>
      <c r="BJ35" s="416">
        <f t="shared" si="213"/>
        <v>12.738333333333333</v>
      </c>
      <c r="BK35" s="416">
        <f t="shared" si="213"/>
        <v>1.666666666666572E-3</v>
      </c>
      <c r="BL35" s="416">
        <f t="shared" si="213"/>
        <v>0</v>
      </c>
      <c r="BM35" s="416">
        <f t="shared" si="213"/>
        <v>0</v>
      </c>
      <c r="BN35" s="413"/>
      <c r="BO35" s="415">
        <f t="shared" si="192"/>
        <v>2026</v>
      </c>
      <c r="BP35" s="416">
        <f t="shared" ref="BP35:BP40" si="214">BP34</f>
        <v>0</v>
      </c>
      <c r="BQ35" s="416">
        <f t="shared" ref="BQ35:BQ40" si="215">BQ34</f>
        <v>0</v>
      </c>
      <c r="BR35" s="416">
        <f t="shared" ref="BR35:BR40" si="216">BR34</f>
        <v>0</v>
      </c>
      <c r="BS35" s="416">
        <f t="shared" ref="BS35:BS40" si="217">BS34</f>
        <v>3.4583333333333854E-2</v>
      </c>
      <c r="BT35" s="416">
        <f t="shared" ref="BT35:BT40" si="218">BT34</f>
        <v>14.32952380952381</v>
      </c>
      <c r="BU35" s="416">
        <f t="shared" ref="BU35:BU40" si="219">BU34</f>
        <v>46.941274703557312</v>
      </c>
      <c r="BV35" s="416">
        <f t="shared" ref="BV35:BV40" si="220">BV34</f>
        <v>113.56529525394512</v>
      </c>
      <c r="BW35" s="416">
        <f t="shared" ref="BW35:BW40" si="221">BW34</f>
        <v>92.615587944664043</v>
      </c>
      <c r="BX35" s="416">
        <f t="shared" ref="BX35:BX40" si="222">BX34</f>
        <v>30.962083333333332</v>
      </c>
      <c r="BY35" s="416">
        <f t="shared" ref="BY35:BY40" si="223">BY34</f>
        <v>1.6875000000000011</v>
      </c>
      <c r="BZ35" s="416">
        <f t="shared" ref="BZ35:BZ40" si="224">BZ34</f>
        <v>0</v>
      </c>
      <c r="CA35" s="416">
        <f t="shared" ref="CA35:CA40" si="225">CA34</f>
        <v>0</v>
      </c>
      <c r="CB35" s="417">
        <f t="shared" si="194"/>
        <v>300.13584837835697</v>
      </c>
      <c r="CC35" s="415">
        <f t="shared" si="195"/>
        <v>2026</v>
      </c>
      <c r="CD35" s="416">
        <f t="shared" ref="CD35:CD40" si="226">CD34</f>
        <v>0</v>
      </c>
      <c r="CE35" s="416">
        <f t="shared" ref="CE35:CE40" si="227">CE34</f>
        <v>0</v>
      </c>
      <c r="CF35" s="416">
        <f t="shared" ref="CF35:CF40" si="228">CF34</f>
        <v>0</v>
      </c>
      <c r="CG35" s="416">
        <f t="shared" ref="CG35:CG40" si="229">CG34</f>
        <v>0.4316666666666677</v>
      </c>
      <c r="CH35" s="416">
        <f t="shared" ref="CH35:CH40" si="230">CH34</f>
        <v>29.4520183982684</v>
      </c>
      <c r="CI35" s="416">
        <f t="shared" ref="CI35:CI40" si="231">CI34</f>
        <v>86.311049595332207</v>
      </c>
      <c r="CJ35" s="416">
        <f t="shared" ref="CJ35:CJ40" si="232">CJ34</f>
        <v>174.0219619206118</v>
      </c>
      <c r="CK35" s="416">
        <f t="shared" ref="CK35:CK40" si="233">CK34</f>
        <v>149.7160046113307</v>
      </c>
      <c r="CL35" s="416">
        <f t="shared" ref="CL35:CL40" si="234">CL34</f>
        <v>62.345178571428576</v>
      </c>
      <c r="CM35" s="416">
        <f t="shared" ref="CM35:CM40" si="235">CM34</f>
        <v>7.1541666666666703</v>
      </c>
      <c r="CN35" s="416">
        <f t="shared" ref="CN35:CN40" si="236">CN34</f>
        <v>0.15041666666666628</v>
      </c>
      <c r="CO35" s="416">
        <f t="shared" ref="CO35:CO40" si="237">CO34</f>
        <v>0</v>
      </c>
      <c r="CP35" s="413"/>
      <c r="CQ35" s="415">
        <f t="shared" si="197"/>
        <v>2026</v>
      </c>
      <c r="CR35" s="416">
        <f t="shared" ref="CR35:CR40" si="238">CR34</f>
        <v>0</v>
      </c>
      <c r="CS35" s="416">
        <f t="shared" ref="CS35:CS40" si="239">CS34</f>
        <v>0</v>
      </c>
      <c r="CT35" s="416">
        <f t="shared" ref="CT35:CT40" si="240">CT34</f>
        <v>0</v>
      </c>
      <c r="CU35" s="416">
        <f t="shared" ref="CU35:CU40" si="241">CU34</f>
        <v>2.1908333333333347</v>
      </c>
      <c r="CV35" s="416">
        <f t="shared" ref="CV35:CV40" si="242">CV34</f>
        <v>52.487435064935063</v>
      </c>
      <c r="CW35" s="416">
        <f t="shared" ref="CW35:CW40" si="243">CW34</f>
        <v>137.65451754405018</v>
      </c>
      <c r="CX35" s="416">
        <f t="shared" ref="CX35:CX40" si="244">CX34</f>
        <v>235.94737858727848</v>
      </c>
      <c r="CY35" s="416">
        <f t="shared" ref="CY35:CY40" si="245">CY34</f>
        <v>210.96558794466404</v>
      </c>
      <c r="CZ35" s="416">
        <f t="shared" ref="CZ35:CZ40" si="246">CZ34</f>
        <v>106.4160119047619</v>
      </c>
      <c r="DA35" s="416">
        <f t="shared" ref="DA35:DA40" si="247">DA34</f>
        <v>17.987083333333334</v>
      </c>
      <c r="DB35" s="416">
        <f t="shared" ref="DB35:DB40" si="248">DB34</f>
        <v>0.8083333333333329</v>
      </c>
      <c r="DC35" s="416">
        <f t="shared" ref="DC35:DC40" si="249">DC34</f>
        <v>0</v>
      </c>
      <c r="DD35" s="413"/>
      <c r="DE35" s="415">
        <f t="shared" si="199"/>
        <v>2026</v>
      </c>
      <c r="DF35" s="416">
        <f t="shared" ref="DF35:DF40" si="250">DF34</f>
        <v>0</v>
      </c>
      <c r="DG35" s="416">
        <f t="shared" ref="DG35:DG40" si="251">DG34</f>
        <v>0</v>
      </c>
      <c r="DH35" s="416">
        <f t="shared" ref="DH35:DH40" si="252">DH34</f>
        <v>2.9583333333332896E-2</v>
      </c>
      <c r="DI35" s="416">
        <f t="shared" ref="DI35:DI40" si="253">DI34</f>
        <v>5.6420833333333338</v>
      </c>
      <c r="DJ35" s="416">
        <f t="shared" ref="DJ35:DJ40" si="254">DJ34</f>
        <v>86.191046176046171</v>
      </c>
      <c r="DK35" s="416">
        <f t="shared" ref="DK35:DK40" si="255">DK34</f>
        <v>194.94285087738348</v>
      </c>
      <c r="DL35" s="416">
        <f t="shared" ref="DL35:DL40" si="256">DL34</f>
        <v>297.94737858727848</v>
      </c>
      <c r="DM35" s="416">
        <f t="shared" ref="DM35:DM40" si="257">DM34</f>
        <v>272.96558794466404</v>
      </c>
      <c r="DN35" s="416">
        <f t="shared" ref="DN35:DN40" si="258">DN34</f>
        <v>158.67014233954447</v>
      </c>
      <c r="DO35" s="416">
        <f t="shared" ref="DO35:DO40" si="259">DO34</f>
        <v>35.32833333333334</v>
      </c>
      <c r="DP35" s="416">
        <f t="shared" ref="DP35:DP40" si="260">DP34</f>
        <v>2.2779166666666657</v>
      </c>
      <c r="DQ35" s="416">
        <f t="shared" ref="DQ35:DQ40" si="261">DQ34</f>
        <v>0</v>
      </c>
      <c r="DR35" s="413"/>
      <c r="DS35" s="415">
        <f t="shared" si="201"/>
        <v>2026</v>
      </c>
      <c r="DT35" s="416">
        <f t="shared" ref="DT35:DT40" si="262">DT34</f>
        <v>0</v>
      </c>
      <c r="DU35" s="416">
        <f t="shared" ref="DU35:DU40" si="263">DU34</f>
        <v>0</v>
      </c>
      <c r="DV35" s="416">
        <f t="shared" ref="DV35:DV40" si="264">DV34</f>
        <v>0.51874999999999927</v>
      </c>
      <c r="DW35" s="416">
        <f t="shared" ref="DW35:DW40" si="265">DW34</f>
        <v>12.79125</v>
      </c>
      <c r="DX35" s="416">
        <f t="shared" ref="DX35:DX40" si="266">DX34</f>
        <v>130.22445928308915</v>
      </c>
      <c r="DY35" s="416">
        <f t="shared" ref="DY35:DY40" si="267">DY34</f>
        <v>254.51826754405016</v>
      </c>
      <c r="DZ35" s="416">
        <f t="shared" ref="DZ35:DZ40" si="268">DZ34</f>
        <v>359.94737858727854</v>
      </c>
      <c r="EA35" s="416">
        <f t="shared" ref="EA35:EA40" si="269">EA34</f>
        <v>334.96558794466404</v>
      </c>
      <c r="EB35" s="416">
        <f t="shared" ref="EB35:EB40" si="270">EB34</f>
        <v>216.57430900621117</v>
      </c>
      <c r="EC35" s="416">
        <f t="shared" ref="EC35:EC40" si="271">EC34</f>
        <v>62.266666666666673</v>
      </c>
      <c r="ED35" s="416">
        <f t="shared" ref="ED35:ED40" si="272">ED34</f>
        <v>5.6391666666666662</v>
      </c>
      <c r="EE35" s="416">
        <f t="shared" ref="EE35:EE40" si="273">EE34</f>
        <v>0.12791666666666668</v>
      </c>
      <c r="EF35" s="413"/>
      <c r="EG35" s="415">
        <f t="shared" si="203"/>
        <v>2026</v>
      </c>
      <c r="EH35" s="416">
        <f t="shared" ref="EH35:EH40" si="274">EH34</f>
        <v>0</v>
      </c>
      <c r="EI35" s="416">
        <f t="shared" ref="EI35:EI40" si="275">EI34</f>
        <v>0.1424999999999999</v>
      </c>
      <c r="EJ35" s="416">
        <f t="shared" ref="EJ35:EJ40" si="276">EJ34</f>
        <v>2.4454166666666657</v>
      </c>
      <c r="EK35" s="416">
        <f t="shared" ref="EK35:EK40" si="277">EK34</f>
        <v>27.605</v>
      </c>
      <c r="EL35" s="416">
        <f t="shared" ref="EL35:EL40" si="278">EL34</f>
        <v>181.39445928308913</v>
      </c>
      <c r="EM35" s="416">
        <f t="shared" ref="EM35:EM40" si="279">EM34</f>
        <v>314.42035087738344</v>
      </c>
      <c r="EN35" s="416">
        <f t="shared" ref="EN35:EN40" si="280">EN34</f>
        <v>421.94737858727848</v>
      </c>
      <c r="EO35" s="416">
        <f t="shared" ref="EO35:EO40" si="281">EO34</f>
        <v>396.96558794466398</v>
      </c>
      <c r="EP35" s="416">
        <f t="shared" ref="EP35:EP40" si="282">EP34</f>
        <v>276.00264233954448</v>
      </c>
      <c r="EQ35" s="416">
        <f t="shared" ref="EQ35:EQ40" si="283">EQ34</f>
        <v>98.552083333333343</v>
      </c>
      <c r="ER35" s="416">
        <f t="shared" ref="ER35:ER40" si="284">ER34</f>
        <v>13.393750000000001</v>
      </c>
      <c r="ES35" s="416">
        <f t="shared" ref="ES35:ES40" si="285">ES34</f>
        <v>0.99248188405797111</v>
      </c>
      <c r="EU35" s="682">
        <f>'Monthly Data'!FO23</f>
        <v>616.37542858273196</v>
      </c>
      <c r="EV35" s="682">
        <f>'Monthly Data'!FP23</f>
        <v>471.15269744707598</v>
      </c>
      <c r="EW35" s="682">
        <f>'Monthly Data'!FQ23</f>
        <v>2416.8198665563609</v>
      </c>
      <c r="EX35" s="682">
        <f>'Monthly Data'!FR23</f>
        <v>75259.98481575599</v>
      </c>
      <c r="EY35" s="682">
        <f>'Monthly Data'!FS23</f>
        <v>1364275.6091834707</v>
      </c>
      <c r="EZ35" s="682">
        <f>'Monthly Data'!FT23</f>
        <v>6082287.4746056395</v>
      </c>
      <c r="FA35" s="682">
        <f>'Monthly Data'!FX23</f>
        <v>654.2271939343899</v>
      </c>
      <c r="FB35" s="682">
        <f>'Monthly Data'!FY23</f>
        <v>3107.9452881172087</v>
      </c>
      <c r="FC35" s="682">
        <f>'Monthly Data'!FZ23</f>
        <v>80292.315764994724</v>
      </c>
      <c r="FD35" s="682">
        <f>'Monthly Data'!GA23</f>
        <v>263879.685</v>
      </c>
    </row>
    <row r="36" spans="1:160">
      <c r="A36">
        <v>2016</v>
      </c>
      <c r="B36">
        <v>11</v>
      </c>
      <c r="C36" s="313">
        <v>437.33511904761912</v>
      </c>
      <c r="D36" s="313">
        <v>0</v>
      </c>
      <c r="E36" s="313">
        <v>377.33511904761912</v>
      </c>
      <c r="F36" s="313">
        <v>0</v>
      </c>
      <c r="G36" s="313">
        <v>317.335119047619</v>
      </c>
      <c r="H36" s="313">
        <v>0</v>
      </c>
      <c r="I36" s="313">
        <v>257.33511904761906</v>
      </c>
      <c r="J36" s="313">
        <v>0</v>
      </c>
      <c r="K36" s="313">
        <v>198.66428571428571</v>
      </c>
      <c r="L36" s="313">
        <v>1.3291666666666675</v>
      </c>
      <c r="M36" s="313">
        <v>141.00178571428572</v>
      </c>
      <c r="N36" s="313">
        <v>3.6666666666666679</v>
      </c>
      <c r="O36" s="313">
        <v>89.230952380952388</v>
      </c>
      <c r="P36" s="313">
        <v>11.895833333333334</v>
      </c>
      <c r="Q36" s="383">
        <v>5.4221626984126994</v>
      </c>
      <c r="S36" s="3">
        <f>'Monthly Data'!D24</f>
        <v>67863588.85773921</v>
      </c>
      <c r="T36" s="3">
        <f>'Monthly Data'!J24</f>
        <v>595615.86453999998</v>
      </c>
      <c r="U36" s="3">
        <f>'Monthly Data'!P24</f>
        <v>22017940.829089999</v>
      </c>
      <c r="V36" s="3">
        <f>'Monthly Data'!V24</f>
        <v>77278386.579999998</v>
      </c>
      <c r="W36" s="3">
        <f>'Monthly Data'!AB24</f>
        <v>7421201.5199999996</v>
      </c>
      <c r="X36" s="3">
        <f>'Monthly Data'!AG24</f>
        <v>17917428.109999999</v>
      </c>
      <c r="Y36" s="3">
        <f>'Monthly Data'!BC24</f>
        <v>24853342.723930001</v>
      </c>
      <c r="Z36" s="3">
        <f>'Monthly Data'!BI24</f>
        <v>6928533.61558</v>
      </c>
      <c r="AA36" s="3">
        <f>'Monthly Data'!BO24</f>
        <v>28199729.350000001</v>
      </c>
      <c r="AB36" s="3">
        <f>'Monthly Data'!BU24</f>
        <v>5066801.53</v>
      </c>
      <c r="BA36" s="415">
        <f t="shared" ref="BA36:BA40" si="286">BA35+1</f>
        <v>2027</v>
      </c>
      <c r="BB36" s="416">
        <f t="shared" si="212"/>
        <v>0</v>
      </c>
      <c r="BC36" s="416">
        <f t="shared" si="213"/>
        <v>0</v>
      </c>
      <c r="BD36" s="416">
        <f t="shared" si="213"/>
        <v>0</v>
      </c>
      <c r="BE36" s="416">
        <f t="shared" si="213"/>
        <v>0</v>
      </c>
      <c r="BF36" s="416">
        <f t="shared" si="213"/>
        <v>4.8953571428571401</v>
      </c>
      <c r="BG36" s="416">
        <f t="shared" si="213"/>
        <v>20.517524703557307</v>
      </c>
      <c r="BH36" s="416">
        <f t="shared" si="213"/>
        <v>60.196441734276391</v>
      </c>
      <c r="BI36" s="416">
        <f t="shared" si="213"/>
        <v>46.16051548089591</v>
      </c>
      <c r="BJ36" s="416">
        <f t="shared" si="213"/>
        <v>12.738333333333333</v>
      </c>
      <c r="BK36" s="416">
        <f t="shared" si="213"/>
        <v>1.666666666666572E-3</v>
      </c>
      <c r="BL36" s="416">
        <f t="shared" si="213"/>
        <v>0</v>
      </c>
      <c r="BM36" s="416">
        <f t="shared" si="213"/>
        <v>0</v>
      </c>
      <c r="BN36" s="413"/>
      <c r="BO36" s="415">
        <f t="shared" ref="BO36:BO40" si="287">BO35+1</f>
        <v>2027</v>
      </c>
      <c r="BP36" s="416">
        <f t="shared" si="214"/>
        <v>0</v>
      </c>
      <c r="BQ36" s="416">
        <f t="shared" si="215"/>
        <v>0</v>
      </c>
      <c r="BR36" s="416">
        <f t="shared" si="216"/>
        <v>0</v>
      </c>
      <c r="BS36" s="416">
        <f t="shared" si="217"/>
        <v>3.4583333333333854E-2</v>
      </c>
      <c r="BT36" s="416">
        <f t="shared" si="218"/>
        <v>14.32952380952381</v>
      </c>
      <c r="BU36" s="416">
        <f t="shared" si="219"/>
        <v>46.941274703557312</v>
      </c>
      <c r="BV36" s="416">
        <f t="shared" si="220"/>
        <v>113.56529525394512</v>
      </c>
      <c r="BW36" s="416">
        <f t="shared" si="221"/>
        <v>92.615587944664043</v>
      </c>
      <c r="BX36" s="416">
        <f t="shared" si="222"/>
        <v>30.962083333333332</v>
      </c>
      <c r="BY36" s="416">
        <f t="shared" si="223"/>
        <v>1.6875000000000011</v>
      </c>
      <c r="BZ36" s="416">
        <f t="shared" si="224"/>
        <v>0</v>
      </c>
      <c r="CA36" s="416">
        <f t="shared" si="225"/>
        <v>0</v>
      </c>
      <c r="CB36" s="417">
        <f t="shared" si="194"/>
        <v>300.13584837835697</v>
      </c>
      <c r="CC36" s="415">
        <f t="shared" ref="CC36:CC40" si="288">CC35+1</f>
        <v>2027</v>
      </c>
      <c r="CD36" s="416">
        <f t="shared" si="226"/>
        <v>0</v>
      </c>
      <c r="CE36" s="416">
        <f t="shared" si="227"/>
        <v>0</v>
      </c>
      <c r="CF36" s="416">
        <f t="shared" si="228"/>
        <v>0</v>
      </c>
      <c r="CG36" s="416">
        <f t="shared" si="229"/>
        <v>0.4316666666666677</v>
      </c>
      <c r="CH36" s="416">
        <f t="shared" si="230"/>
        <v>29.4520183982684</v>
      </c>
      <c r="CI36" s="416">
        <f t="shared" si="231"/>
        <v>86.311049595332207</v>
      </c>
      <c r="CJ36" s="416">
        <f t="shared" si="232"/>
        <v>174.0219619206118</v>
      </c>
      <c r="CK36" s="416">
        <f t="shared" si="233"/>
        <v>149.7160046113307</v>
      </c>
      <c r="CL36" s="416">
        <f t="shared" si="234"/>
        <v>62.345178571428576</v>
      </c>
      <c r="CM36" s="416">
        <f t="shared" si="235"/>
        <v>7.1541666666666703</v>
      </c>
      <c r="CN36" s="416">
        <f t="shared" si="236"/>
        <v>0.15041666666666628</v>
      </c>
      <c r="CO36" s="416">
        <f t="shared" si="237"/>
        <v>0</v>
      </c>
      <c r="CP36" s="413"/>
      <c r="CQ36" s="415">
        <f t="shared" ref="CQ36:CQ40" si="289">CQ35+1</f>
        <v>2027</v>
      </c>
      <c r="CR36" s="416">
        <f t="shared" si="238"/>
        <v>0</v>
      </c>
      <c r="CS36" s="416">
        <f t="shared" si="239"/>
        <v>0</v>
      </c>
      <c r="CT36" s="416">
        <f t="shared" si="240"/>
        <v>0</v>
      </c>
      <c r="CU36" s="416">
        <f t="shared" si="241"/>
        <v>2.1908333333333347</v>
      </c>
      <c r="CV36" s="416">
        <f t="shared" si="242"/>
        <v>52.487435064935063</v>
      </c>
      <c r="CW36" s="416">
        <f t="shared" si="243"/>
        <v>137.65451754405018</v>
      </c>
      <c r="CX36" s="416">
        <f t="shared" si="244"/>
        <v>235.94737858727848</v>
      </c>
      <c r="CY36" s="416">
        <f t="shared" si="245"/>
        <v>210.96558794466404</v>
      </c>
      <c r="CZ36" s="416">
        <f t="shared" si="246"/>
        <v>106.4160119047619</v>
      </c>
      <c r="DA36" s="416">
        <f t="shared" si="247"/>
        <v>17.987083333333334</v>
      </c>
      <c r="DB36" s="416">
        <f t="shared" si="248"/>
        <v>0.8083333333333329</v>
      </c>
      <c r="DC36" s="416">
        <f t="shared" si="249"/>
        <v>0</v>
      </c>
      <c r="DD36" s="413"/>
      <c r="DE36" s="415">
        <f t="shared" ref="DE36:DE40" si="290">DE35+1</f>
        <v>2027</v>
      </c>
      <c r="DF36" s="416">
        <f t="shared" si="250"/>
        <v>0</v>
      </c>
      <c r="DG36" s="416">
        <f t="shared" si="251"/>
        <v>0</v>
      </c>
      <c r="DH36" s="416">
        <f t="shared" si="252"/>
        <v>2.9583333333332896E-2</v>
      </c>
      <c r="DI36" s="416">
        <f t="shared" si="253"/>
        <v>5.6420833333333338</v>
      </c>
      <c r="DJ36" s="416">
        <f t="shared" si="254"/>
        <v>86.191046176046171</v>
      </c>
      <c r="DK36" s="416">
        <f t="shared" si="255"/>
        <v>194.94285087738348</v>
      </c>
      <c r="DL36" s="416">
        <f t="shared" si="256"/>
        <v>297.94737858727848</v>
      </c>
      <c r="DM36" s="416">
        <f t="shared" si="257"/>
        <v>272.96558794466404</v>
      </c>
      <c r="DN36" s="416">
        <f t="shared" si="258"/>
        <v>158.67014233954447</v>
      </c>
      <c r="DO36" s="416">
        <f t="shared" si="259"/>
        <v>35.32833333333334</v>
      </c>
      <c r="DP36" s="416">
        <f t="shared" si="260"/>
        <v>2.2779166666666657</v>
      </c>
      <c r="DQ36" s="416">
        <f t="shared" si="261"/>
        <v>0</v>
      </c>
      <c r="DR36" s="413"/>
      <c r="DS36" s="415">
        <f t="shared" ref="DS36:DS40" si="291">DS35+1</f>
        <v>2027</v>
      </c>
      <c r="DT36" s="416">
        <f t="shared" si="262"/>
        <v>0</v>
      </c>
      <c r="DU36" s="416">
        <f t="shared" si="263"/>
        <v>0</v>
      </c>
      <c r="DV36" s="416">
        <f t="shared" si="264"/>
        <v>0.51874999999999927</v>
      </c>
      <c r="DW36" s="416">
        <f t="shared" si="265"/>
        <v>12.79125</v>
      </c>
      <c r="DX36" s="416">
        <f t="shared" si="266"/>
        <v>130.22445928308915</v>
      </c>
      <c r="DY36" s="416">
        <f t="shared" si="267"/>
        <v>254.51826754405016</v>
      </c>
      <c r="DZ36" s="416">
        <f t="shared" si="268"/>
        <v>359.94737858727854</v>
      </c>
      <c r="EA36" s="416">
        <f t="shared" si="269"/>
        <v>334.96558794466404</v>
      </c>
      <c r="EB36" s="416">
        <f t="shared" si="270"/>
        <v>216.57430900621117</v>
      </c>
      <c r="EC36" s="416">
        <f t="shared" si="271"/>
        <v>62.266666666666673</v>
      </c>
      <c r="ED36" s="416">
        <f t="shared" si="272"/>
        <v>5.6391666666666662</v>
      </c>
      <c r="EE36" s="416">
        <f t="shared" si="273"/>
        <v>0.12791666666666668</v>
      </c>
      <c r="EF36" s="413"/>
      <c r="EG36" s="415">
        <f t="shared" ref="EG36:EG40" si="292">EG35+1</f>
        <v>2027</v>
      </c>
      <c r="EH36" s="416">
        <f t="shared" si="274"/>
        <v>0</v>
      </c>
      <c r="EI36" s="416">
        <f t="shared" si="275"/>
        <v>0.1424999999999999</v>
      </c>
      <c r="EJ36" s="416">
        <f t="shared" si="276"/>
        <v>2.4454166666666657</v>
      </c>
      <c r="EK36" s="416">
        <f t="shared" si="277"/>
        <v>27.605</v>
      </c>
      <c r="EL36" s="416">
        <f t="shared" si="278"/>
        <v>181.39445928308913</v>
      </c>
      <c r="EM36" s="416">
        <f t="shared" si="279"/>
        <v>314.42035087738344</v>
      </c>
      <c r="EN36" s="416">
        <f t="shared" si="280"/>
        <v>421.94737858727848</v>
      </c>
      <c r="EO36" s="416">
        <f t="shared" si="281"/>
        <v>396.96558794466398</v>
      </c>
      <c r="EP36" s="416">
        <f t="shared" si="282"/>
        <v>276.00264233954448</v>
      </c>
      <c r="EQ36" s="416">
        <f t="shared" si="283"/>
        <v>98.552083333333343</v>
      </c>
      <c r="ER36" s="416">
        <f t="shared" si="284"/>
        <v>13.393750000000001</v>
      </c>
      <c r="ES36" s="416">
        <f t="shared" si="285"/>
        <v>0.99248188405797111</v>
      </c>
      <c r="EU36" s="682">
        <f>'Monthly Data'!FO24</f>
        <v>643.66907433031531</v>
      </c>
      <c r="EV36" s="682">
        <f>'Monthly Data'!FP24</f>
        <v>387.2444615223111</v>
      </c>
      <c r="EW36" s="682">
        <f>'Monthly Data'!FQ24</f>
        <v>2516.5867691366002</v>
      </c>
      <c r="EX36" s="682">
        <f>'Monthly Data'!FR24</f>
        <v>75430.299219398323</v>
      </c>
      <c r="EY36" s="682">
        <f>'Monthly Data'!FS24</f>
        <v>1494576.6432241299</v>
      </c>
      <c r="EZ36" s="682">
        <f>'Monthly Data'!FT24</f>
        <v>6197303.3357797442</v>
      </c>
      <c r="FA36" s="682">
        <f>'Monthly Data'!FX24</f>
        <v>648.16938687617187</v>
      </c>
      <c r="FB36" s="682">
        <f>'Monthly Data'!FY24</f>
        <v>3181.5530636619346</v>
      </c>
      <c r="FC36" s="682">
        <f>'Monthly Data'!FZ24</f>
        <v>77953.280638368553</v>
      </c>
      <c r="FD36" s="682">
        <f>'Monthly Data'!GA24</f>
        <v>268975.565</v>
      </c>
    </row>
    <row r="37" spans="1:160">
      <c r="A37">
        <v>2016</v>
      </c>
      <c r="B37">
        <v>12</v>
      </c>
      <c r="C37" s="313">
        <v>678.67083333333323</v>
      </c>
      <c r="D37" s="313">
        <v>0</v>
      </c>
      <c r="E37" s="313">
        <v>616.67083333333335</v>
      </c>
      <c r="F37" s="313">
        <v>0</v>
      </c>
      <c r="G37" s="313">
        <v>554.67083333333346</v>
      </c>
      <c r="H37" s="313">
        <v>0</v>
      </c>
      <c r="I37" s="313">
        <v>492.67083333333335</v>
      </c>
      <c r="J37" s="313">
        <v>0</v>
      </c>
      <c r="K37" s="313">
        <v>430.67083333333341</v>
      </c>
      <c r="L37" s="313">
        <v>0</v>
      </c>
      <c r="M37" s="313">
        <v>368.67083333333341</v>
      </c>
      <c r="N37" s="313">
        <v>0</v>
      </c>
      <c r="O37" s="313">
        <v>306.67083333333341</v>
      </c>
      <c r="P37" s="313">
        <v>0</v>
      </c>
      <c r="Q37" s="383">
        <v>-1.8926075268817202</v>
      </c>
      <c r="S37" s="3">
        <f>'Monthly Data'!D25</f>
        <v>86578607.069630504</v>
      </c>
      <c r="T37" s="3">
        <f>'Monthly Data'!J25</f>
        <v>878077.18349000101</v>
      </c>
      <c r="U37" s="3">
        <f>'Monthly Data'!P25</f>
        <v>25214502.075979903</v>
      </c>
      <c r="V37" s="3">
        <f>'Monthly Data'!V25</f>
        <v>78088137.030000001</v>
      </c>
      <c r="W37" s="3">
        <f>'Monthly Data'!AB25</f>
        <v>6945534.1699999999</v>
      </c>
      <c r="X37" s="3">
        <f>'Monthly Data'!AG25</f>
        <v>18207464.780000001</v>
      </c>
      <c r="Y37" s="3">
        <f>'Monthly Data'!BC25</f>
        <v>30728721.87545</v>
      </c>
      <c r="Z37" s="3">
        <f>'Monthly Data'!BI25</f>
        <v>7871846.1122600101</v>
      </c>
      <c r="AA37" s="3">
        <f>'Monthly Data'!BO25</f>
        <v>28627153.800000001</v>
      </c>
      <c r="AB37" s="3">
        <f>'Monthly Data'!BU25</f>
        <v>4967152.6100000003</v>
      </c>
      <c r="BA37" s="415">
        <f t="shared" si="286"/>
        <v>2028</v>
      </c>
      <c r="BB37" s="416">
        <f t="shared" si="212"/>
        <v>0</v>
      </c>
      <c r="BC37" s="416">
        <f t="shared" si="213"/>
        <v>0</v>
      </c>
      <c r="BD37" s="416">
        <f t="shared" si="213"/>
        <v>0</v>
      </c>
      <c r="BE37" s="416">
        <f t="shared" si="213"/>
        <v>0</v>
      </c>
      <c r="BF37" s="416">
        <f t="shared" si="213"/>
        <v>4.8953571428571401</v>
      </c>
      <c r="BG37" s="416">
        <f t="shared" si="213"/>
        <v>20.517524703557307</v>
      </c>
      <c r="BH37" s="416">
        <f t="shared" si="213"/>
        <v>60.196441734276391</v>
      </c>
      <c r="BI37" s="416">
        <f t="shared" si="213"/>
        <v>46.16051548089591</v>
      </c>
      <c r="BJ37" s="416">
        <f t="shared" si="213"/>
        <v>12.738333333333333</v>
      </c>
      <c r="BK37" s="416">
        <f t="shared" si="213"/>
        <v>1.666666666666572E-3</v>
      </c>
      <c r="BL37" s="416">
        <f t="shared" si="213"/>
        <v>0</v>
      </c>
      <c r="BM37" s="416">
        <f t="shared" si="213"/>
        <v>0</v>
      </c>
      <c r="BN37" s="413"/>
      <c r="BO37" s="415">
        <f t="shared" si="287"/>
        <v>2028</v>
      </c>
      <c r="BP37" s="416">
        <f t="shared" si="214"/>
        <v>0</v>
      </c>
      <c r="BQ37" s="416">
        <f t="shared" si="215"/>
        <v>0</v>
      </c>
      <c r="BR37" s="416">
        <f t="shared" si="216"/>
        <v>0</v>
      </c>
      <c r="BS37" s="416">
        <f t="shared" si="217"/>
        <v>3.4583333333333854E-2</v>
      </c>
      <c r="BT37" s="416">
        <f t="shared" si="218"/>
        <v>14.32952380952381</v>
      </c>
      <c r="BU37" s="416">
        <f t="shared" si="219"/>
        <v>46.941274703557312</v>
      </c>
      <c r="BV37" s="416">
        <f t="shared" si="220"/>
        <v>113.56529525394512</v>
      </c>
      <c r="BW37" s="416">
        <f t="shared" si="221"/>
        <v>92.615587944664043</v>
      </c>
      <c r="BX37" s="416">
        <f t="shared" si="222"/>
        <v>30.962083333333332</v>
      </c>
      <c r="BY37" s="416">
        <f t="shared" si="223"/>
        <v>1.6875000000000011</v>
      </c>
      <c r="BZ37" s="416">
        <f t="shared" si="224"/>
        <v>0</v>
      </c>
      <c r="CA37" s="416">
        <f t="shared" si="225"/>
        <v>0</v>
      </c>
      <c r="CB37" s="417">
        <f t="shared" si="194"/>
        <v>300.13584837835697</v>
      </c>
      <c r="CC37" s="415">
        <f t="shared" si="288"/>
        <v>2028</v>
      </c>
      <c r="CD37" s="416">
        <f t="shared" si="226"/>
        <v>0</v>
      </c>
      <c r="CE37" s="416">
        <f t="shared" si="227"/>
        <v>0</v>
      </c>
      <c r="CF37" s="416">
        <f t="shared" si="228"/>
        <v>0</v>
      </c>
      <c r="CG37" s="416">
        <f t="shared" si="229"/>
        <v>0.4316666666666677</v>
      </c>
      <c r="CH37" s="416">
        <f t="shared" si="230"/>
        <v>29.4520183982684</v>
      </c>
      <c r="CI37" s="416">
        <f t="shared" si="231"/>
        <v>86.311049595332207</v>
      </c>
      <c r="CJ37" s="416">
        <f t="shared" si="232"/>
        <v>174.0219619206118</v>
      </c>
      <c r="CK37" s="416">
        <f t="shared" si="233"/>
        <v>149.7160046113307</v>
      </c>
      <c r="CL37" s="416">
        <f t="shared" si="234"/>
        <v>62.345178571428576</v>
      </c>
      <c r="CM37" s="416">
        <f t="shared" si="235"/>
        <v>7.1541666666666703</v>
      </c>
      <c r="CN37" s="416">
        <f t="shared" si="236"/>
        <v>0.15041666666666628</v>
      </c>
      <c r="CO37" s="416">
        <f t="shared" si="237"/>
        <v>0</v>
      </c>
      <c r="CP37" s="413"/>
      <c r="CQ37" s="415">
        <f t="shared" si="289"/>
        <v>2028</v>
      </c>
      <c r="CR37" s="416">
        <f t="shared" si="238"/>
        <v>0</v>
      </c>
      <c r="CS37" s="416">
        <f t="shared" si="239"/>
        <v>0</v>
      </c>
      <c r="CT37" s="416">
        <f t="shared" si="240"/>
        <v>0</v>
      </c>
      <c r="CU37" s="416">
        <f t="shared" si="241"/>
        <v>2.1908333333333347</v>
      </c>
      <c r="CV37" s="416">
        <f t="shared" si="242"/>
        <v>52.487435064935063</v>
      </c>
      <c r="CW37" s="416">
        <f t="shared" si="243"/>
        <v>137.65451754405018</v>
      </c>
      <c r="CX37" s="416">
        <f t="shared" si="244"/>
        <v>235.94737858727848</v>
      </c>
      <c r="CY37" s="416">
        <f t="shared" si="245"/>
        <v>210.96558794466404</v>
      </c>
      <c r="CZ37" s="416">
        <f t="shared" si="246"/>
        <v>106.4160119047619</v>
      </c>
      <c r="DA37" s="416">
        <f t="shared" si="247"/>
        <v>17.987083333333334</v>
      </c>
      <c r="DB37" s="416">
        <f t="shared" si="248"/>
        <v>0.8083333333333329</v>
      </c>
      <c r="DC37" s="416">
        <f t="shared" si="249"/>
        <v>0</v>
      </c>
      <c r="DD37" s="413"/>
      <c r="DE37" s="415">
        <f t="shared" si="290"/>
        <v>2028</v>
      </c>
      <c r="DF37" s="416">
        <f t="shared" si="250"/>
        <v>0</v>
      </c>
      <c r="DG37" s="416">
        <f t="shared" si="251"/>
        <v>0</v>
      </c>
      <c r="DH37" s="416">
        <f t="shared" si="252"/>
        <v>2.9583333333332896E-2</v>
      </c>
      <c r="DI37" s="416">
        <f t="shared" si="253"/>
        <v>5.6420833333333338</v>
      </c>
      <c r="DJ37" s="416">
        <f t="shared" si="254"/>
        <v>86.191046176046171</v>
      </c>
      <c r="DK37" s="416">
        <f t="shared" si="255"/>
        <v>194.94285087738348</v>
      </c>
      <c r="DL37" s="416">
        <f t="shared" si="256"/>
        <v>297.94737858727848</v>
      </c>
      <c r="DM37" s="416">
        <f t="shared" si="257"/>
        <v>272.96558794466404</v>
      </c>
      <c r="DN37" s="416">
        <f t="shared" si="258"/>
        <v>158.67014233954447</v>
      </c>
      <c r="DO37" s="416">
        <f t="shared" si="259"/>
        <v>35.32833333333334</v>
      </c>
      <c r="DP37" s="416">
        <f t="shared" si="260"/>
        <v>2.2779166666666657</v>
      </c>
      <c r="DQ37" s="416">
        <f t="shared" si="261"/>
        <v>0</v>
      </c>
      <c r="DR37" s="413"/>
      <c r="DS37" s="415">
        <f t="shared" si="291"/>
        <v>2028</v>
      </c>
      <c r="DT37" s="416">
        <f t="shared" si="262"/>
        <v>0</v>
      </c>
      <c r="DU37" s="416">
        <f t="shared" si="263"/>
        <v>0</v>
      </c>
      <c r="DV37" s="416">
        <f t="shared" si="264"/>
        <v>0.51874999999999927</v>
      </c>
      <c r="DW37" s="416">
        <f t="shared" si="265"/>
        <v>12.79125</v>
      </c>
      <c r="DX37" s="416">
        <f t="shared" si="266"/>
        <v>130.22445928308915</v>
      </c>
      <c r="DY37" s="416">
        <f t="shared" si="267"/>
        <v>254.51826754405016</v>
      </c>
      <c r="DZ37" s="416">
        <f t="shared" si="268"/>
        <v>359.94737858727854</v>
      </c>
      <c r="EA37" s="416">
        <f t="shared" si="269"/>
        <v>334.96558794466404</v>
      </c>
      <c r="EB37" s="416">
        <f t="shared" si="270"/>
        <v>216.57430900621117</v>
      </c>
      <c r="EC37" s="416">
        <f t="shared" si="271"/>
        <v>62.266666666666673</v>
      </c>
      <c r="ED37" s="416">
        <f t="shared" si="272"/>
        <v>5.6391666666666662</v>
      </c>
      <c r="EE37" s="416">
        <f t="shared" si="273"/>
        <v>0.12791666666666668</v>
      </c>
      <c r="EF37" s="413"/>
      <c r="EG37" s="415">
        <f t="shared" si="292"/>
        <v>2028</v>
      </c>
      <c r="EH37" s="416">
        <f t="shared" si="274"/>
        <v>0</v>
      </c>
      <c r="EI37" s="416">
        <f t="shared" si="275"/>
        <v>0.1424999999999999</v>
      </c>
      <c r="EJ37" s="416">
        <f t="shared" si="276"/>
        <v>2.4454166666666657</v>
      </c>
      <c r="EK37" s="416">
        <f t="shared" si="277"/>
        <v>27.605</v>
      </c>
      <c r="EL37" s="416">
        <f t="shared" si="278"/>
        <v>181.39445928308913</v>
      </c>
      <c r="EM37" s="416">
        <f t="shared" si="279"/>
        <v>314.42035087738344</v>
      </c>
      <c r="EN37" s="416">
        <f t="shared" si="280"/>
        <v>421.94737858727848</v>
      </c>
      <c r="EO37" s="416">
        <f t="shared" si="281"/>
        <v>396.96558794466398</v>
      </c>
      <c r="EP37" s="416">
        <f t="shared" si="282"/>
        <v>276.00264233954448</v>
      </c>
      <c r="EQ37" s="416">
        <f t="shared" si="283"/>
        <v>98.552083333333343</v>
      </c>
      <c r="ER37" s="416">
        <f t="shared" si="284"/>
        <v>13.393750000000001</v>
      </c>
      <c r="ES37" s="416">
        <f t="shared" si="285"/>
        <v>0.99248188405797111</v>
      </c>
      <c r="EU37" s="682">
        <f>'Monthly Data'!FO25</f>
        <v>817.09921014867905</v>
      </c>
      <c r="EV37" s="682">
        <f>'Monthly Data'!FP25</f>
        <v>566.17022817750592</v>
      </c>
      <c r="EW37" s="682">
        <f>'Monthly Data'!FQ25</f>
        <v>2871.9166108401841</v>
      </c>
      <c r="EX37" s="682">
        <f>'Monthly Data'!FR25</f>
        <v>76313.580267258818</v>
      </c>
      <c r="EY37" s="682">
        <f>'Monthly Data'!FS25</f>
        <v>1399893.6572647896</v>
      </c>
      <c r="EZ37" s="682">
        <f>'Monthly Data'!FT25</f>
        <v>6299938.8036205163</v>
      </c>
      <c r="FA37" s="682">
        <f>'Monthly Data'!FX25</f>
        <v>796.88562858500165</v>
      </c>
      <c r="FB37" s="682">
        <f>'Monthly Data'!FY25</f>
        <v>3602.3904215281796</v>
      </c>
      <c r="FC37" s="682">
        <f>'Monthly Data'!FZ25</f>
        <v>79109.316866023786</v>
      </c>
      <c r="FD37" s="682">
        <f>'Monthly Data'!GA25</f>
        <v>272699.36</v>
      </c>
    </row>
    <row r="38" spans="1:160">
      <c r="A38">
        <v>2017</v>
      </c>
      <c r="B38">
        <v>1</v>
      </c>
      <c r="C38" s="313">
        <v>682.2166666666667</v>
      </c>
      <c r="D38" s="313">
        <v>0</v>
      </c>
      <c r="E38" s="313">
        <v>620.2166666666667</v>
      </c>
      <c r="F38" s="313">
        <v>0</v>
      </c>
      <c r="G38" s="313">
        <v>558.21666666666658</v>
      </c>
      <c r="H38" s="313">
        <v>0</v>
      </c>
      <c r="I38" s="313">
        <v>496.21666666666664</v>
      </c>
      <c r="J38" s="313">
        <v>0</v>
      </c>
      <c r="K38" s="313">
        <v>434.21666666666664</v>
      </c>
      <c r="L38" s="313">
        <v>0</v>
      </c>
      <c r="M38" s="313">
        <v>372.2166666666667</v>
      </c>
      <c r="N38" s="313">
        <v>0</v>
      </c>
      <c r="O38" s="313">
        <v>310.2166666666667</v>
      </c>
      <c r="P38" s="313">
        <v>0</v>
      </c>
      <c r="Q38" s="383">
        <v>-2.0069892473118278</v>
      </c>
      <c r="S38" s="3">
        <f>'Monthly Data'!D26</f>
        <v>84308414.787390903</v>
      </c>
      <c r="T38" s="3">
        <f>'Monthly Data'!J26</f>
        <v>920373.34233999997</v>
      </c>
      <c r="U38" s="3">
        <f>'Monthly Data'!P26</f>
        <v>25654563.991049901</v>
      </c>
      <c r="V38" s="3">
        <f>'Monthly Data'!V26</f>
        <v>82073939.140000001</v>
      </c>
      <c r="W38" s="3">
        <f>'Monthly Data'!AB26</f>
        <v>7233291.1200000001</v>
      </c>
      <c r="X38" s="3">
        <f>'Monthly Data'!AG26</f>
        <v>18270562.609999999</v>
      </c>
      <c r="Y38" s="3">
        <f>'Monthly Data'!BC26</f>
        <v>29385840.094060197</v>
      </c>
      <c r="Z38" s="3">
        <f>'Monthly Data'!BI26</f>
        <v>8016278.7296099998</v>
      </c>
      <c r="AA38" s="3">
        <f>'Monthly Data'!BO26</f>
        <v>30488209.27</v>
      </c>
      <c r="AB38" s="3">
        <f>'Monthly Data'!BU26</f>
        <v>5171036.6500000004</v>
      </c>
      <c r="BA38" s="415">
        <f t="shared" si="286"/>
        <v>2029</v>
      </c>
      <c r="BB38" s="416">
        <f t="shared" si="212"/>
        <v>0</v>
      </c>
      <c r="BC38" s="416">
        <f t="shared" si="213"/>
        <v>0</v>
      </c>
      <c r="BD38" s="416">
        <f t="shared" si="213"/>
        <v>0</v>
      </c>
      <c r="BE38" s="416">
        <f t="shared" si="213"/>
        <v>0</v>
      </c>
      <c r="BF38" s="416">
        <f t="shared" si="213"/>
        <v>4.8953571428571401</v>
      </c>
      <c r="BG38" s="416">
        <f t="shared" si="213"/>
        <v>20.517524703557307</v>
      </c>
      <c r="BH38" s="416">
        <f t="shared" si="213"/>
        <v>60.196441734276391</v>
      </c>
      <c r="BI38" s="416">
        <f t="shared" si="213"/>
        <v>46.16051548089591</v>
      </c>
      <c r="BJ38" s="416">
        <f t="shared" si="213"/>
        <v>12.738333333333333</v>
      </c>
      <c r="BK38" s="416">
        <f t="shared" si="213"/>
        <v>1.666666666666572E-3</v>
      </c>
      <c r="BL38" s="416">
        <f t="shared" si="213"/>
        <v>0</v>
      </c>
      <c r="BM38" s="416">
        <f t="shared" si="213"/>
        <v>0</v>
      </c>
      <c r="BN38" s="413"/>
      <c r="BO38" s="415">
        <f t="shared" si="287"/>
        <v>2029</v>
      </c>
      <c r="BP38" s="416">
        <f t="shared" si="214"/>
        <v>0</v>
      </c>
      <c r="BQ38" s="416">
        <f t="shared" si="215"/>
        <v>0</v>
      </c>
      <c r="BR38" s="416">
        <f t="shared" si="216"/>
        <v>0</v>
      </c>
      <c r="BS38" s="416">
        <f t="shared" si="217"/>
        <v>3.4583333333333854E-2</v>
      </c>
      <c r="BT38" s="416">
        <f t="shared" si="218"/>
        <v>14.32952380952381</v>
      </c>
      <c r="BU38" s="416">
        <f t="shared" si="219"/>
        <v>46.941274703557312</v>
      </c>
      <c r="BV38" s="416">
        <f t="shared" si="220"/>
        <v>113.56529525394512</v>
      </c>
      <c r="BW38" s="416">
        <f t="shared" si="221"/>
        <v>92.615587944664043</v>
      </c>
      <c r="BX38" s="416">
        <f t="shared" si="222"/>
        <v>30.962083333333332</v>
      </c>
      <c r="BY38" s="416">
        <f t="shared" si="223"/>
        <v>1.6875000000000011</v>
      </c>
      <c r="BZ38" s="416">
        <f t="shared" si="224"/>
        <v>0</v>
      </c>
      <c r="CA38" s="416">
        <f t="shared" si="225"/>
        <v>0</v>
      </c>
      <c r="CB38" s="417">
        <f t="shared" si="194"/>
        <v>300.13584837835697</v>
      </c>
      <c r="CC38" s="415">
        <f t="shared" si="288"/>
        <v>2029</v>
      </c>
      <c r="CD38" s="416">
        <f t="shared" si="226"/>
        <v>0</v>
      </c>
      <c r="CE38" s="416">
        <f t="shared" si="227"/>
        <v>0</v>
      </c>
      <c r="CF38" s="416">
        <f t="shared" si="228"/>
        <v>0</v>
      </c>
      <c r="CG38" s="416">
        <f t="shared" si="229"/>
        <v>0.4316666666666677</v>
      </c>
      <c r="CH38" s="416">
        <f t="shared" si="230"/>
        <v>29.4520183982684</v>
      </c>
      <c r="CI38" s="416">
        <f t="shared" si="231"/>
        <v>86.311049595332207</v>
      </c>
      <c r="CJ38" s="416">
        <f t="shared" si="232"/>
        <v>174.0219619206118</v>
      </c>
      <c r="CK38" s="416">
        <f t="shared" si="233"/>
        <v>149.7160046113307</v>
      </c>
      <c r="CL38" s="416">
        <f t="shared" si="234"/>
        <v>62.345178571428576</v>
      </c>
      <c r="CM38" s="416">
        <f t="shared" si="235"/>
        <v>7.1541666666666703</v>
      </c>
      <c r="CN38" s="416">
        <f t="shared" si="236"/>
        <v>0.15041666666666628</v>
      </c>
      <c r="CO38" s="416">
        <f t="shared" si="237"/>
        <v>0</v>
      </c>
      <c r="CP38" s="413"/>
      <c r="CQ38" s="415">
        <f t="shared" si="289"/>
        <v>2029</v>
      </c>
      <c r="CR38" s="416">
        <f t="shared" si="238"/>
        <v>0</v>
      </c>
      <c r="CS38" s="416">
        <f t="shared" si="239"/>
        <v>0</v>
      </c>
      <c r="CT38" s="416">
        <f t="shared" si="240"/>
        <v>0</v>
      </c>
      <c r="CU38" s="416">
        <f t="shared" si="241"/>
        <v>2.1908333333333347</v>
      </c>
      <c r="CV38" s="416">
        <f t="shared" si="242"/>
        <v>52.487435064935063</v>
      </c>
      <c r="CW38" s="416">
        <f t="shared" si="243"/>
        <v>137.65451754405018</v>
      </c>
      <c r="CX38" s="416">
        <f t="shared" si="244"/>
        <v>235.94737858727848</v>
      </c>
      <c r="CY38" s="416">
        <f t="shared" si="245"/>
        <v>210.96558794466404</v>
      </c>
      <c r="CZ38" s="416">
        <f t="shared" si="246"/>
        <v>106.4160119047619</v>
      </c>
      <c r="DA38" s="416">
        <f t="shared" si="247"/>
        <v>17.987083333333334</v>
      </c>
      <c r="DB38" s="416">
        <f t="shared" si="248"/>
        <v>0.8083333333333329</v>
      </c>
      <c r="DC38" s="416">
        <f t="shared" si="249"/>
        <v>0</v>
      </c>
      <c r="DD38" s="413"/>
      <c r="DE38" s="415">
        <f t="shared" si="290"/>
        <v>2029</v>
      </c>
      <c r="DF38" s="416">
        <f t="shared" si="250"/>
        <v>0</v>
      </c>
      <c r="DG38" s="416">
        <f t="shared" si="251"/>
        <v>0</v>
      </c>
      <c r="DH38" s="416">
        <f t="shared" si="252"/>
        <v>2.9583333333332896E-2</v>
      </c>
      <c r="DI38" s="416">
        <f t="shared" si="253"/>
        <v>5.6420833333333338</v>
      </c>
      <c r="DJ38" s="416">
        <f t="shared" si="254"/>
        <v>86.191046176046171</v>
      </c>
      <c r="DK38" s="416">
        <f t="shared" si="255"/>
        <v>194.94285087738348</v>
      </c>
      <c r="DL38" s="416">
        <f t="shared" si="256"/>
        <v>297.94737858727848</v>
      </c>
      <c r="DM38" s="416">
        <f t="shared" si="257"/>
        <v>272.96558794466404</v>
      </c>
      <c r="DN38" s="416">
        <f t="shared" si="258"/>
        <v>158.67014233954447</v>
      </c>
      <c r="DO38" s="416">
        <f t="shared" si="259"/>
        <v>35.32833333333334</v>
      </c>
      <c r="DP38" s="416">
        <f t="shared" si="260"/>
        <v>2.2779166666666657</v>
      </c>
      <c r="DQ38" s="416">
        <f t="shared" si="261"/>
        <v>0</v>
      </c>
      <c r="DR38" s="413"/>
      <c r="DS38" s="415">
        <f t="shared" si="291"/>
        <v>2029</v>
      </c>
      <c r="DT38" s="416">
        <f t="shared" si="262"/>
        <v>0</v>
      </c>
      <c r="DU38" s="416">
        <f t="shared" si="263"/>
        <v>0</v>
      </c>
      <c r="DV38" s="416">
        <f t="shared" si="264"/>
        <v>0.51874999999999927</v>
      </c>
      <c r="DW38" s="416">
        <f t="shared" si="265"/>
        <v>12.79125</v>
      </c>
      <c r="DX38" s="416">
        <f t="shared" si="266"/>
        <v>130.22445928308915</v>
      </c>
      <c r="DY38" s="416">
        <f t="shared" si="267"/>
        <v>254.51826754405016</v>
      </c>
      <c r="DZ38" s="416">
        <f t="shared" si="268"/>
        <v>359.94737858727854</v>
      </c>
      <c r="EA38" s="416">
        <f t="shared" si="269"/>
        <v>334.96558794466404</v>
      </c>
      <c r="EB38" s="416">
        <f t="shared" si="270"/>
        <v>216.57430900621117</v>
      </c>
      <c r="EC38" s="416">
        <f t="shared" si="271"/>
        <v>62.266666666666673</v>
      </c>
      <c r="ED38" s="416">
        <f t="shared" si="272"/>
        <v>5.6391666666666662</v>
      </c>
      <c r="EE38" s="416">
        <f t="shared" si="273"/>
        <v>0.12791666666666668</v>
      </c>
      <c r="EF38" s="413"/>
      <c r="EG38" s="415">
        <f t="shared" si="292"/>
        <v>2029</v>
      </c>
      <c r="EH38" s="416">
        <f t="shared" si="274"/>
        <v>0</v>
      </c>
      <c r="EI38" s="416">
        <f t="shared" si="275"/>
        <v>0.1424999999999999</v>
      </c>
      <c r="EJ38" s="416">
        <f t="shared" si="276"/>
        <v>2.4454166666666657</v>
      </c>
      <c r="EK38" s="416">
        <f t="shared" si="277"/>
        <v>27.605</v>
      </c>
      <c r="EL38" s="416">
        <f t="shared" si="278"/>
        <v>181.39445928308913</v>
      </c>
      <c r="EM38" s="416">
        <f t="shared" si="279"/>
        <v>314.42035087738344</v>
      </c>
      <c r="EN38" s="416">
        <f t="shared" si="280"/>
        <v>421.94737858727848</v>
      </c>
      <c r="EO38" s="416">
        <f t="shared" si="281"/>
        <v>396.96558794466398</v>
      </c>
      <c r="EP38" s="416">
        <f t="shared" si="282"/>
        <v>276.00264233954448</v>
      </c>
      <c r="EQ38" s="416">
        <f t="shared" si="283"/>
        <v>98.552083333333343</v>
      </c>
      <c r="ER38" s="416">
        <f t="shared" si="284"/>
        <v>13.393750000000001</v>
      </c>
      <c r="ES38" s="416">
        <f t="shared" si="285"/>
        <v>0.99248188405797111</v>
      </c>
      <c r="EU38" s="682">
        <f>'Monthly Data'!FO26</f>
        <v>800.63838458728867</v>
      </c>
      <c r="EV38" s="682">
        <f>'Monthly Data'!FP26</f>
        <v>597.24682002794918</v>
      </c>
      <c r="EW38" s="682">
        <f>'Monthly Data'!FQ26</f>
        <v>2921.6051363095548</v>
      </c>
      <c r="EX38" s="682">
        <f>'Monthly Data'!FR26</f>
        <v>80049.599174113289</v>
      </c>
      <c r="EY38" s="682">
        <f>'Monthly Data'!FS26</f>
        <v>1461379.9134998699</v>
      </c>
      <c r="EZ38" s="682">
        <f>'Monthly Data'!FT26</f>
        <v>6331912.3924570614</v>
      </c>
      <c r="FA38" s="682">
        <f>'Monthly Data'!FX26</f>
        <v>769.57888933599929</v>
      </c>
      <c r="FB38" s="682">
        <f>'Monthly Data'!FY26</f>
        <v>3666.292981100999</v>
      </c>
      <c r="FC38" s="682">
        <f>'Monthly Data'!FZ26</f>
        <v>84461.536282652334</v>
      </c>
      <c r="FD38" s="682">
        <f>'Monthly Data'!GA26</f>
        <v>263765.125</v>
      </c>
    </row>
    <row r="39" spans="1:160">
      <c r="A39">
        <v>2017</v>
      </c>
      <c r="B39">
        <v>2</v>
      </c>
      <c r="C39" s="313">
        <v>586.08333333333337</v>
      </c>
      <c r="D39" s="313">
        <v>0</v>
      </c>
      <c r="E39" s="313">
        <v>530.08333333333337</v>
      </c>
      <c r="F39" s="313">
        <v>0</v>
      </c>
      <c r="G39" s="313">
        <v>474.08333333333337</v>
      </c>
      <c r="H39" s="313">
        <v>0</v>
      </c>
      <c r="I39" s="313">
        <v>418.08333333333331</v>
      </c>
      <c r="J39" s="313">
        <v>0</v>
      </c>
      <c r="K39" s="313">
        <v>362.08333333333331</v>
      </c>
      <c r="L39" s="313">
        <v>0</v>
      </c>
      <c r="M39" s="313">
        <v>306.08333333333326</v>
      </c>
      <c r="N39" s="313">
        <v>0</v>
      </c>
      <c r="O39" s="313">
        <v>251.42499999999998</v>
      </c>
      <c r="P39" s="313">
        <v>1.3416666666666668</v>
      </c>
      <c r="Q39" s="383">
        <v>-0.93154761904761851</v>
      </c>
      <c r="S39" s="3">
        <f>'Monthly Data'!D27</f>
        <v>72696234.229539901</v>
      </c>
      <c r="T39" s="3">
        <f>'Monthly Data'!J27</f>
        <v>836835.86730000097</v>
      </c>
      <c r="U39" s="3">
        <f>'Monthly Data'!P27</f>
        <v>22871851.479970001</v>
      </c>
      <c r="V39" s="3">
        <f>'Monthly Data'!V27</f>
        <v>74127480.870000005</v>
      </c>
      <c r="W39" s="3">
        <f>'Monthly Data'!AB27</f>
        <v>6940205.9800000004</v>
      </c>
      <c r="X39" s="3">
        <f>'Monthly Data'!AG27</f>
        <v>16672724.49</v>
      </c>
      <c r="Y39" s="3">
        <f>'Monthly Data'!BC27</f>
        <v>25232598.623130199</v>
      </c>
      <c r="Z39" s="3">
        <f>'Monthly Data'!BI27</f>
        <v>7164471.7232300099</v>
      </c>
      <c r="AA39" s="3">
        <f>'Monthly Data'!BO27</f>
        <v>27758859.02</v>
      </c>
      <c r="AB39" s="3">
        <f>'Monthly Data'!BU27</f>
        <v>4628225.5199999996</v>
      </c>
      <c r="BA39" s="415">
        <f t="shared" si="286"/>
        <v>2030</v>
      </c>
      <c r="BB39" s="416">
        <f t="shared" si="212"/>
        <v>0</v>
      </c>
      <c r="BC39" s="416">
        <f t="shared" si="213"/>
        <v>0</v>
      </c>
      <c r="BD39" s="416">
        <f t="shared" si="213"/>
        <v>0</v>
      </c>
      <c r="BE39" s="416">
        <f t="shared" si="213"/>
        <v>0</v>
      </c>
      <c r="BF39" s="416">
        <f t="shared" si="213"/>
        <v>4.8953571428571401</v>
      </c>
      <c r="BG39" s="416">
        <f t="shared" si="213"/>
        <v>20.517524703557307</v>
      </c>
      <c r="BH39" s="416">
        <f t="shared" si="213"/>
        <v>60.196441734276391</v>
      </c>
      <c r="BI39" s="416">
        <f t="shared" si="213"/>
        <v>46.16051548089591</v>
      </c>
      <c r="BJ39" s="416">
        <f t="shared" si="213"/>
        <v>12.738333333333333</v>
      </c>
      <c r="BK39" s="416">
        <f t="shared" si="213"/>
        <v>1.666666666666572E-3</v>
      </c>
      <c r="BL39" s="416">
        <f t="shared" si="213"/>
        <v>0</v>
      </c>
      <c r="BM39" s="416">
        <f t="shared" si="213"/>
        <v>0</v>
      </c>
      <c r="BN39" s="413"/>
      <c r="BO39" s="415">
        <f t="shared" si="287"/>
        <v>2030</v>
      </c>
      <c r="BP39" s="416">
        <f t="shared" si="214"/>
        <v>0</v>
      </c>
      <c r="BQ39" s="416">
        <f t="shared" si="215"/>
        <v>0</v>
      </c>
      <c r="BR39" s="416">
        <f t="shared" si="216"/>
        <v>0</v>
      </c>
      <c r="BS39" s="416">
        <f t="shared" si="217"/>
        <v>3.4583333333333854E-2</v>
      </c>
      <c r="BT39" s="416">
        <f t="shared" si="218"/>
        <v>14.32952380952381</v>
      </c>
      <c r="BU39" s="416">
        <f t="shared" si="219"/>
        <v>46.941274703557312</v>
      </c>
      <c r="BV39" s="416">
        <f t="shared" si="220"/>
        <v>113.56529525394512</v>
      </c>
      <c r="BW39" s="416">
        <f t="shared" si="221"/>
        <v>92.615587944664043</v>
      </c>
      <c r="BX39" s="416">
        <f t="shared" si="222"/>
        <v>30.962083333333332</v>
      </c>
      <c r="BY39" s="416">
        <f t="shared" si="223"/>
        <v>1.6875000000000011</v>
      </c>
      <c r="BZ39" s="416">
        <f t="shared" si="224"/>
        <v>0</v>
      </c>
      <c r="CA39" s="416">
        <f t="shared" si="225"/>
        <v>0</v>
      </c>
      <c r="CB39" s="417">
        <f t="shared" si="194"/>
        <v>300.13584837835697</v>
      </c>
      <c r="CC39" s="415">
        <f t="shared" si="288"/>
        <v>2030</v>
      </c>
      <c r="CD39" s="416">
        <f t="shared" si="226"/>
        <v>0</v>
      </c>
      <c r="CE39" s="416">
        <f t="shared" si="227"/>
        <v>0</v>
      </c>
      <c r="CF39" s="416">
        <f t="shared" si="228"/>
        <v>0</v>
      </c>
      <c r="CG39" s="416">
        <f t="shared" si="229"/>
        <v>0.4316666666666677</v>
      </c>
      <c r="CH39" s="416">
        <f t="shared" si="230"/>
        <v>29.4520183982684</v>
      </c>
      <c r="CI39" s="416">
        <f t="shared" si="231"/>
        <v>86.311049595332207</v>
      </c>
      <c r="CJ39" s="416">
        <f t="shared" si="232"/>
        <v>174.0219619206118</v>
      </c>
      <c r="CK39" s="416">
        <f t="shared" si="233"/>
        <v>149.7160046113307</v>
      </c>
      <c r="CL39" s="416">
        <f t="shared" si="234"/>
        <v>62.345178571428576</v>
      </c>
      <c r="CM39" s="416">
        <f t="shared" si="235"/>
        <v>7.1541666666666703</v>
      </c>
      <c r="CN39" s="416">
        <f t="shared" si="236"/>
        <v>0.15041666666666628</v>
      </c>
      <c r="CO39" s="416">
        <f t="shared" si="237"/>
        <v>0</v>
      </c>
      <c r="CP39" s="413"/>
      <c r="CQ39" s="415">
        <f t="shared" si="289"/>
        <v>2030</v>
      </c>
      <c r="CR39" s="416">
        <f t="shared" si="238"/>
        <v>0</v>
      </c>
      <c r="CS39" s="416">
        <f t="shared" si="239"/>
        <v>0</v>
      </c>
      <c r="CT39" s="416">
        <f t="shared" si="240"/>
        <v>0</v>
      </c>
      <c r="CU39" s="416">
        <f t="shared" si="241"/>
        <v>2.1908333333333347</v>
      </c>
      <c r="CV39" s="416">
        <f t="shared" si="242"/>
        <v>52.487435064935063</v>
      </c>
      <c r="CW39" s="416">
        <f t="shared" si="243"/>
        <v>137.65451754405018</v>
      </c>
      <c r="CX39" s="416">
        <f t="shared" si="244"/>
        <v>235.94737858727848</v>
      </c>
      <c r="CY39" s="416">
        <f t="shared" si="245"/>
        <v>210.96558794466404</v>
      </c>
      <c r="CZ39" s="416">
        <f t="shared" si="246"/>
        <v>106.4160119047619</v>
      </c>
      <c r="DA39" s="416">
        <f t="shared" si="247"/>
        <v>17.987083333333334</v>
      </c>
      <c r="DB39" s="416">
        <f t="shared" si="248"/>
        <v>0.8083333333333329</v>
      </c>
      <c r="DC39" s="416">
        <f t="shared" si="249"/>
        <v>0</v>
      </c>
      <c r="DD39" s="413"/>
      <c r="DE39" s="415">
        <f t="shared" si="290"/>
        <v>2030</v>
      </c>
      <c r="DF39" s="416">
        <f t="shared" si="250"/>
        <v>0</v>
      </c>
      <c r="DG39" s="416">
        <f t="shared" si="251"/>
        <v>0</v>
      </c>
      <c r="DH39" s="416">
        <f t="shared" si="252"/>
        <v>2.9583333333332896E-2</v>
      </c>
      <c r="DI39" s="416">
        <f t="shared" si="253"/>
        <v>5.6420833333333338</v>
      </c>
      <c r="DJ39" s="416">
        <f t="shared" si="254"/>
        <v>86.191046176046171</v>
      </c>
      <c r="DK39" s="416">
        <f t="shared" si="255"/>
        <v>194.94285087738348</v>
      </c>
      <c r="DL39" s="416">
        <f t="shared" si="256"/>
        <v>297.94737858727848</v>
      </c>
      <c r="DM39" s="416">
        <f t="shared" si="257"/>
        <v>272.96558794466404</v>
      </c>
      <c r="DN39" s="416">
        <f t="shared" si="258"/>
        <v>158.67014233954447</v>
      </c>
      <c r="DO39" s="416">
        <f t="shared" si="259"/>
        <v>35.32833333333334</v>
      </c>
      <c r="DP39" s="416">
        <f t="shared" si="260"/>
        <v>2.2779166666666657</v>
      </c>
      <c r="DQ39" s="416">
        <f t="shared" si="261"/>
        <v>0</v>
      </c>
      <c r="DR39" s="413"/>
      <c r="DS39" s="415">
        <f t="shared" si="291"/>
        <v>2030</v>
      </c>
      <c r="DT39" s="416">
        <f t="shared" si="262"/>
        <v>0</v>
      </c>
      <c r="DU39" s="416">
        <f t="shared" si="263"/>
        <v>0</v>
      </c>
      <c r="DV39" s="416">
        <f t="shared" si="264"/>
        <v>0.51874999999999927</v>
      </c>
      <c r="DW39" s="416">
        <f t="shared" si="265"/>
        <v>12.79125</v>
      </c>
      <c r="DX39" s="416">
        <f t="shared" si="266"/>
        <v>130.22445928308915</v>
      </c>
      <c r="DY39" s="416">
        <f t="shared" si="267"/>
        <v>254.51826754405016</v>
      </c>
      <c r="DZ39" s="416">
        <f t="shared" si="268"/>
        <v>359.94737858727854</v>
      </c>
      <c r="EA39" s="416">
        <f t="shared" si="269"/>
        <v>334.96558794466404</v>
      </c>
      <c r="EB39" s="416">
        <f t="shared" si="270"/>
        <v>216.57430900621117</v>
      </c>
      <c r="EC39" s="416">
        <f t="shared" si="271"/>
        <v>62.266666666666673</v>
      </c>
      <c r="ED39" s="416">
        <f t="shared" si="272"/>
        <v>5.6391666666666662</v>
      </c>
      <c r="EE39" s="416">
        <f t="shared" si="273"/>
        <v>0.12791666666666668</v>
      </c>
      <c r="EF39" s="413"/>
      <c r="EG39" s="415">
        <f t="shared" si="292"/>
        <v>2030</v>
      </c>
      <c r="EH39" s="416">
        <f t="shared" si="274"/>
        <v>0</v>
      </c>
      <c r="EI39" s="416">
        <f t="shared" si="275"/>
        <v>0.1424999999999999</v>
      </c>
      <c r="EJ39" s="416">
        <f t="shared" si="276"/>
        <v>2.4454166666666657</v>
      </c>
      <c r="EK39" s="416">
        <f t="shared" si="277"/>
        <v>27.605</v>
      </c>
      <c r="EL39" s="416">
        <f t="shared" si="278"/>
        <v>181.39445928308913</v>
      </c>
      <c r="EM39" s="416">
        <f t="shared" si="279"/>
        <v>314.42035087738344</v>
      </c>
      <c r="EN39" s="416">
        <f t="shared" si="280"/>
        <v>421.94737858727848</v>
      </c>
      <c r="EO39" s="416">
        <f t="shared" si="281"/>
        <v>396.96558794466398</v>
      </c>
      <c r="EP39" s="416">
        <f t="shared" si="282"/>
        <v>276.00264233954448</v>
      </c>
      <c r="EQ39" s="416">
        <f t="shared" si="283"/>
        <v>98.552083333333343</v>
      </c>
      <c r="ER39" s="416">
        <f t="shared" si="284"/>
        <v>13.393750000000001</v>
      </c>
      <c r="ES39" s="416">
        <f t="shared" si="285"/>
        <v>0.99248188405797111</v>
      </c>
      <c r="EU39" s="682">
        <f>'Monthly Data'!FO27</f>
        <v>693.63272463339001</v>
      </c>
      <c r="EV39" s="682">
        <f>'Monthly Data'!FP27</f>
        <v>545.56688999944879</v>
      </c>
      <c r="EW39" s="682">
        <f>'Monthly Data'!FQ27</f>
        <v>2612.6627252825842</v>
      </c>
      <c r="EX39" s="682">
        <f>'Monthly Data'!FR27</f>
        <v>72378.620890408172</v>
      </c>
      <c r="EY39" s="682">
        <f>'Monthly Data'!FS27</f>
        <v>1403617.8892943643</v>
      </c>
      <c r="EZ39" s="682">
        <f>'Monthly Data'!FT27</f>
        <v>5805126.6400518343</v>
      </c>
      <c r="FA39" s="682">
        <f>'Monthly Data'!FX27</f>
        <v>665.8166163784399</v>
      </c>
      <c r="FB39" s="682">
        <f>'Monthly Data'!FY27</f>
        <v>3281.4151435210006</v>
      </c>
      <c r="FC39" s="682">
        <f>'Monthly Data'!FZ27</f>
        <v>77106.056001497229</v>
      </c>
      <c r="FD39" s="682">
        <f>'Monthly Data'!GA27</f>
        <v>218702.11</v>
      </c>
    </row>
    <row r="40" spans="1:160">
      <c r="A40">
        <v>2017</v>
      </c>
      <c r="B40">
        <v>3</v>
      </c>
      <c r="C40" s="313">
        <v>661.67916666666667</v>
      </c>
      <c r="D40" s="313">
        <v>0</v>
      </c>
      <c r="E40" s="313">
        <v>599.67916666666667</v>
      </c>
      <c r="F40" s="313">
        <v>0</v>
      </c>
      <c r="G40" s="313">
        <v>537.67916666666656</v>
      </c>
      <c r="H40" s="313">
        <v>0</v>
      </c>
      <c r="I40" s="313">
        <v>475.67916666666662</v>
      </c>
      <c r="J40" s="313">
        <v>0</v>
      </c>
      <c r="K40" s="313">
        <v>413.67916666666662</v>
      </c>
      <c r="L40" s="313">
        <v>0</v>
      </c>
      <c r="M40" s="313">
        <v>351.67916666666656</v>
      </c>
      <c r="N40" s="313">
        <v>0</v>
      </c>
      <c r="O40" s="313">
        <v>290.67916666666662</v>
      </c>
      <c r="P40" s="313">
        <v>0.99999999999999645</v>
      </c>
      <c r="Q40" s="383">
        <v>-1.3444892473118288</v>
      </c>
      <c r="S40" s="3">
        <f>'Monthly Data'!D28</f>
        <v>79348479.056229696</v>
      </c>
      <c r="T40" s="3">
        <f>'Monthly Data'!J28</f>
        <v>921080.89387999999</v>
      </c>
      <c r="U40" s="3">
        <f>'Monthly Data'!P28</f>
        <v>25273750.099300098</v>
      </c>
      <c r="V40" s="3">
        <f>'Monthly Data'!V28</f>
        <v>82620566.719999999</v>
      </c>
      <c r="W40" s="3">
        <f>'Monthly Data'!AB28</f>
        <v>8329716.8300000001</v>
      </c>
      <c r="X40" s="3">
        <f>'Monthly Data'!AG28</f>
        <v>19850014.969999999</v>
      </c>
      <c r="Y40" s="3">
        <f>'Monthly Data'!BC28</f>
        <v>27368500.1450799</v>
      </c>
      <c r="Z40" s="3">
        <f>'Monthly Data'!BI28</f>
        <v>7829983.4152600002</v>
      </c>
      <c r="AA40" s="3">
        <f>'Monthly Data'!BO28</f>
        <v>28968768.32</v>
      </c>
      <c r="AB40" s="3">
        <f>'Monthly Data'!BU28</f>
        <v>5304966.9400000004</v>
      </c>
      <c r="BA40" s="415">
        <f t="shared" si="286"/>
        <v>2031</v>
      </c>
      <c r="BB40" s="416">
        <f t="shared" si="212"/>
        <v>0</v>
      </c>
      <c r="BC40" s="416">
        <f t="shared" si="213"/>
        <v>0</v>
      </c>
      <c r="BD40" s="416">
        <f t="shared" si="213"/>
        <v>0</v>
      </c>
      <c r="BE40" s="416">
        <f t="shared" si="213"/>
        <v>0</v>
      </c>
      <c r="BF40" s="416">
        <f t="shared" si="213"/>
        <v>4.8953571428571401</v>
      </c>
      <c r="BG40" s="416">
        <f t="shared" si="213"/>
        <v>20.517524703557307</v>
      </c>
      <c r="BH40" s="416">
        <f t="shared" si="213"/>
        <v>60.196441734276391</v>
      </c>
      <c r="BI40" s="416">
        <f t="shared" si="213"/>
        <v>46.16051548089591</v>
      </c>
      <c r="BJ40" s="416">
        <f t="shared" si="213"/>
        <v>12.738333333333333</v>
      </c>
      <c r="BK40" s="416">
        <f t="shared" si="213"/>
        <v>1.666666666666572E-3</v>
      </c>
      <c r="BL40" s="416">
        <f t="shared" si="213"/>
        <v>0</v>
      </c>
      <c r="BM40" s="416">
        <f t="shared" si="213"/>
        <v>0</v>
      </c>
      <c r="BN40" s="413"/>
      <c r="BO40" s="415">
        <f t="shared" si="287"/>
        <v>2031</v>
      </c>
      <c r="BP40" s="416">
        <f t="shared" si="214"/>
        <v>0</v>
      </c>
      <c r="BQ40" s="416">
        <f t="shared" si="215"/>
        <v>0</v>
      </c>
      <c r="BR40" s="416">
        <f t="shared" si="216"/>
        <v>0</v>
      </c>
      <c r="BS40" s="416">
        <f t="shared" si="217"/>
        <v>3.4583333333333854E-2</v>
      </c>
      <c r="BT40" s="416">
        <f t="shared" si="218"/>
        <v>14.32952380952381</v>
      </c>
      <c r="BU40" s="416">
        <f t="shared" si="219"/>
        <v>46.941274703557312</v>
      </c>
      <c r="BV40" s="416">
        <f t="shared" si="220"/>
        <v>113.56529525394512</v>
      </c>
      <c r="BW40" s="416">
        <f t="shared" si="221"/>
        <v>92.615587944664043</v>
      </c>
      <c r="BX40" s="416">
        <f t="shared" si="222"/>
        <v>30.962083333333332</v>
      </c>
      <c r="BY40" s="416">
        <f t="shared" si="223"/>
        <v>1.6875000000000011</v>
      </c>
      <c r="BZ40" s="416">
        <f t="shared" si="224"/>
        <v>0</v>
      </c>
      <c r="CA40" s="416">
        <f t="shared" si="225"/>
        <v>0</v>
      </c>
      <c r="CB40" s="417">
        <f t="shared" si="194"/>
        <v>300.13584837835697</v>
      </c>
      <c r="CC40" s="415">
        <f t="shared" si="288"/>
        <v>2031</v>
      </c>
      <c r="CD40" s="416">
        <f t="shared" si="226"/>
        <v>0</v>
      </c>
      <c r="CE40" s="416">
        <f t="shared" si="227"/>
        <v>0</v>
      </c>
      <c r="CF40" s="416">
        <f t="shared" si="228"/>
        <v>0</v>
      </c>
      <c r="CG40" s="416">
        <f t="shared" si="229"/>
        <v>0.4316666666666677</v>
      </c>
      <c r="CH40" s="416">
        <f t="shared" si="230"/>
        <v>29.4520183982684</v>
      </c>
      <c r="CI40" s="416">
        <f t="shared" si="231"/>
        <v>86.311049595332207</v>
      </c>
      <c r="CJ40" s="416">
        <f t="shared" si="232"/>
        <v>174.0219619206118</v>
      </c>
      <c r="CK40" s="416">
        <f t="shared" si="233"/>
        <v>149.7160046113307</v>
      </c>
      <c r="CL40" s="416">
        <f t="shared" si="234"/>
        <v>62.345178571428576</v>
      </c>
      <c r="CM40" s="416">
        <f t="shared" si="235"/>
        <v>7.1541666666666703</v>
      </c>
      <c r="CN40" s="416">
        <f t="shared" si="236"/>
        <v>0.15041666666666628</v>
      </c>
      <c r="CO40" s="416">
        <f t="shared" si="237"/>
        <v>0</v>
      </c>
      <c r="CP40" s="413"/>
      <c r="CQ40" s="415">
        <f t="shared" si="289"/>
        <v>2031</v>
      </c>
      <c r="CR40" s="416">
        <f t="shared" si="238"/>
        <v>0</v>
      </c>
      <c r="CS40" s="416">
        <f t="shared" si="239"/>
        <v>0</v>
      </c>
      <c r="CT40" s="416">
        <f t="shared" si="240"/>
        <v>0</v>
      </c>
      <c r="CU40" s="416">
        <f t="shared" si="241"/>
        <v>2.1908333333333347</v>
      </c>
      <c r="CV40" s="416">
        <f t="shared" si="242"/>
        <v>52.487435064935063</v>
      </c>
      <c r="CW40" s="416">
        <f t="shared" si="243"/>
        <v>137.65451754405018</v>
      </c>
      <c r="CX40" s="416">
        <f t="shared" si="244"/>
        <v>235.94737858727848</v>
      </c>
      <c r="CY40" s="416">
        <f t="shared" si="245"/>
        <v>210.96558794466404</v>
      </c>
      <c r="CZ40" s="416">
        <f t="shared" si="246"/>
        <v>106.4160119047619</v>
      </c>
      <c r="DA40" s="416">
        <f t="shared" si="247"/>
        <v>17.987083333333334</v>
      </c>
      <c r="DB40" s="416">
        <f t="shared" si="248"/>
        <v>0.8083333333333329</v>
      </c>
      <c r="DC40" s="416">
        <f t="shared" si="249"/>
        <v>0</v>
      </c>
      <c r="DD40" s="413"/>
      <c r="DE40" s="415">
        <f t="shared" si="290"/>
        <v>2031</v>
      </c>
      <c r="DF40" s="416">
        <f t="shared" si="250"/>
        <v>0</v>
      </c>
      <c r="DG40" s="416">
        <f t="shared" si="251"/>
        <v>0</v>
      </c>
      <c r="DH40" s="416">
        <f t="shared" si="252"/>
        <v>2.9583333333332896E-2</v>
      </c>
      <c r="DI40" s="416">
        <f t="shared" si="253"/>
        <v>5.6420833333333338</v>
      </c>
      <c r="DJ40" s="416">
        <f t="shared" si="254"/>
        <v>86.191046176046171</v>
      </c>
      <c r="DK40" s="416">
        <f t="shared" si="255"/>
        <v>194.94285087738348</v>
      </c>
      <c r="DL40" s="416">
        <f t="shared" si="256"/>
        <v>297.94737858727848</v>
      </c>
      <c r="DM40" s="416">
        <f t="shared" si="257"/>
        <v>272.96558794466404</v>
      </c>
      <c r="DN40" s="416">
        <f t="shared" si="258"/>
        <v>158.67014233954447</v>
      </c>
      <c r="DO40" s="416">
        <f t="shared" si="259"/>
        <v>35.32833333333334</v>
      </c>
      <c r="DP40" s="416">
        <f t="shared" si="260"/>
        <v>2.2779166666666657</v>
      </c>
      <c r="DQ40" s="416">
        <f t="shared" si="261"/>
        <v>0</v>
      </c>
      <c r="DR40" s="413"/>
      <c r="DS40" s="415">
        <f t="shared" si="291"/>
        <v>2031</v>
      </c>
      <c r="DT40" s="416">
        <f t="shared" si="262"/>
        <v>0</v>
      </c>
      <c r="DU40" s="416">
        <f t="shared" si="263"/>
        <v>0</v>
      </c>
      <c r="DV40" s="416">
        <f t="shared" si="264"/>
        <v>0.51874999999999927</v>
      </c>
      <c r="DW40" s="416">
        <f t="shared" si="265"/>
        <v>12.79125</v>
      </c>
      <c r="DX40" s="416">
        <f t="shared" si="266"/>
        <v>130.22445928308915</v>
      </c>
      <c r="DY40" s="416">
        <f t="shared" si="267"/>
        <v>254.51826754405016</v>
      </c>
      <c r="DZ40" s="416">
        <f t="shared" si="268"/>
        <v>359.94737858727854</v>
      </c>
      <c r="EA40" s="416">
        <f t="shared" si="269"/>
        <v>334.96558794466404</v>
      </c>
      <c r="EB40" s="416">
        <f t="shared" si="270"/>
        <v>216.57430900621117</v>
      </c>
      <c r="EC40" s="416">
        <f t="shared" si="271"/>
        <v>62.266666666666673</v>
      </c>
      <c r="ED40" s="416">
        <f t="shared" si="272"/>
        <v>5.6391666666666662</v>
      </c>
      <c r="EE40" s="416">
        <f t="shared" si="273"/>
        <v>0.12791666666666668</v>
      </c>
      <c r="EF40" s="413"/>
      <c r="EG40" s="415">
        <f t="shared" si="292"/>
        <v>2031</v>
      </c>
      <c r="EH40" s="416">
        <f t="shared" si="274"/>
        <v>0</v>
      </c>
      <c r="EI40" s="416">
        <f t="shared" si="275"/>
        <v>0.1424999999999999</v>
      </c>
      <c r="EJ40" s="416">
        <f t="shared" si="276"/>
        <v>2.4454166666666657</v>
      </c>
      <c r="EK40" s="416">
        <f t="shared" si="277"/>
        <v>27.605</v>
      </c>
      <c r="EL40" s="416">
        <f t="shared" si="278"/>
        <v>181.39445928308913</v>
      </c>
      <c r="EM40" s="416">
        <f t="shared" si="279"/>
        <v>314.42035087738344</v>
      </c>
      <c r="EN40" s="416">
        <f t="shared" si="280"/>
        <v>421.94737858727848</v>
      </c>
      <c r="EO40" s="416">
        <f t="shared" si="281"/>
        <v>396.96558794466398</v>
      </c>
      <c r="EP40" s="416">
        <f t="shared" si="282"/>
        <v>276.00264233954448</v>
      </c>
      <c r="EQ40" s="416">
        <f t="shared" si="283"/>
        <v>98.552083333333343</v>
      </c>
      <c r="ER40" s="416">
        <f t="shared" si="284"/>
        <v>13.393750000000001</v>
      </c>
      <c r="ES40" s="416">
        <f t="shared" si="285"/>
        <v>0.99248188405797111</v>
      </c>
      <c r="EU40" s="682">
        <f>'Monthly Data'!FO28</f>
        <v>755.70454451720241</v>
      </c>
      <c r="EV40" s="682">
        <f>'Monthly Data'!FP28</f>
        <v>600.00166022825738</v>
      </c>
      <c r="EW40" s="682">
        <f>'Monthly Data'!FQ28</f>
        <v>2879.9016243161768</v>
      </c>
      <c r="EX40" s="682">
        <f>'Monthly Data'!FR28</f>
        <v>80269.924008194794</v>
      </c>
      <c r="EY40" s="682">
        <f>'Monthly Data'!FS28</f>
        <v>1682375.0630888585</v>
      </c>
      <c r="EZ40" s="682">
        <f>'Monthly Data'!FT28</f>
        <v>6870050.4209799394</v>
      </c>
      <c r="FA40" s="682">
        <f>'Monthly Data'!FX28</f>
        <v>720.74850036497025</v>
      </c>
      <c r="FB40" s="682">
        <f>'Monthly Data'!FY28</f>
        <v>3579.1506266524975</v>
      </c>
      <c r="FC40" s="682">
        <f>'Monthly Data'!FZ28</f>
        <v>80455.085367081265</v>
      </c>
      <c r="FD40" s="682">
        <f>'Monthly Data'!GA28</f>
        <v>207545.255</v>
      </c>
    </row>
    <row r="41" spans="1:160">
      <c r="A41">
        <v>2017</v>
      </c>
      <c r="B41">
        <v>4</v>
      </c>
      <c r="C41" s="313">
        <v>348.38749999999999</v>
      </c>
      <c r="D41" s="313">
        <v>0</v>
      </c>
      <c r="E41" s="313">
        <v>288.73333333333335</v>
      </c>
      <c r="F41" s="313">
        <v>0.34583333333333854</v>
      </c>
      <c r="G41" s="313">
        <v>230.73333333333338</v>
      </c>
      <c r="H41" s="313">
        <v>2.3458333333333385</v>
      </c>
      <c r="I41" s="313">
        <v>174.03750000000005</v>
      </c>
      <c r="J41" s="313">
        <v>5.6500000000000057</v>
      </c>
      <c r="K41" s="313">
        <v>120.79999999999997</v>
      </c>
      <c r="L41" s="313">
        <v>12.412500000000001</v>
      </c>
      <c r="M41" s="313">
        <v>73.1458333333333</v>
      </c>
      <c r="N41" s="313">
        <v>24.758333333333333</v>
      </c>
      <c r="O41" s="313">
        <v>34.695833333333326</v>
      </c>
      <c r="P41" s="313">
        <v>46.308333333333337</v>
      </c>
      <c r="Q41" s="383">
        <v>8.3870833333333312</v>
      </c>
      <c r="S41" s="3">
        <f>'Monthly Data'!D29</f>
        <v>63587547.178330302</v>
      </c>
      <c r="T41" s="3">
        <f>'Monthly Data'!J29</f>
        <v>622782.92377999902</v>
      </c>
      <c r="U41" s="3">
        <f>'Monthly Data'!P29</f>
        <v>20715772.965300001</v>
      </c>
      <c r="V41" s="3">
        <f>'Monthly Data'!V29</f>
        <v>73318350.420000002</v>
      </c>
      <c r="W41" s="3">
        <f>'Monthly Data'!AB29</f>
        <v>7532088.1200000001</v>
      </c>
      <c r="X41" s="3">
        <f>'Monthly Data'!AG29</f>
        <v>16922642.52</v>
      </c>
      <c r="Y41" s="3">
        <f>'Monthly Data'!BC29</f>
        <v>23295745.888840001</v>
      </c>
      <c r="Z41" s="3">
        <f>'Monthly Data'!BI29</f>
        <v>6481015.5229199994</v>
      </c>
      <c r="AA41" s="3">
        <f>'Monthly Data'!BO29</f>
        <v>27336627.809999999</v>
      </c>
      <c r="AB41" s="3">
        <f>'Monthly Data'!BU29</f>
        <v>5118656.13</v>
      </c>
      <c r="BA41" s="217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O41" s="217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C41" s="217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Q41" s="217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E41" s="217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S41" s="217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G41" s="217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U41" s="682">
        <f>'Monthly Data'!FO29</f>
        <v>610.5217013685284</v>
      </c>
      <c r="EV41" s="682">
        <f>'Monthly Data'!FP29</f>
        <v>412.28159744656762</v>
      </c>
      <c r="EW41" s="682">
        <f>'Monthly Data'!FQ29</f>
        <v>2374.1136473700949</v>
      </c>
      <c r="EX41" s="682">
        <f>'Monthly Data'!FR29</f>
        <v>71359.918711574966</v>
      </c>
      <c r="EY41" s="682">
        <f>'Monthly Data'!FS29</f>
        <v>1523704.3248833527</v>
      </c>
      <c r="EZ41" s="682">
        <f>'Monthly Data'!FT29</f>
        <v>5900086.558574711</v>
      </c>
      <c r="FA41" s="682">
        <f>'Monthly Data'!FX29</f>
        <v>619.17674730103477</v>
      </c>
      <c r="FB41" s="682">
        <f>'Monthly Data'!FY29</f>
        <v>2971.5074975560583</v>
      </c>
      <c r="FC41" s="682">
        <f>'Monthly Data'!FZ29</f>
        <v>76081.153292447911</v>
      </c>
      <c r="FD41" s="682">
        <f>'Monthly Data'!GA29</f>
        <v>188083.245</v>
      </c>
    </row>
    <row r="42" spans="1:160">
      <c r="A42">
        <v>2017</v>
      </c>
      <c r="B42">
        <v>5</v>
      </c>
      <c r="C42" s="313">
        <v>247.16666666666663</v>
      </c>
      <c r="D42" s="313">
        <v>1.4083333333333314</v>
      </c>
      <c r="E42" s="313">
        <v>188.63749999999999</v>
      </c>
      <c r="F42" s="313">
        <v>4.8791666666666664</v>
      </c>
      <c r="G42" s="313">
        <v>134.83333333333331</v>
      </c>
      <c r="H42" s="313">
        <v>13.075000000000003</v>
      </c>
      <c r="I42" s="313">
        <v>88.129166666666677</v>
      </c>
      <c r="J42" s="313">
        <v>28.370833333333344</v>
      </c>
      <c r="K42" s="313">
        <v>52.287499999999987</v>
      </c>
      <c r="L42" s="313">
        <v>54.529166666666683</v>
      </c>
      <c r="M42" s="313">
        <v>26.741666666666656</v>
      </c>
      <c r="N42" s="313">
        <v>90.983333333333348</v>
      </c>
      <c r="O42" s="313">
        <v>10.045833333333327</v>
      </c>
      <c r="P42" s="313">
        <v>136.28750000000002</v>
      </c>
      <c r="Q42" s="383">
        <v>12.072311827956989</v>
      </c>
      <c r="S42" s="3">
        <f>'Monthly Data'!D30</f>
        <v>62824196.251159802</v>
      </c>
      <c r="T42" s="3">
        <f>'Monthly Data'!J30</f>
        <v>718201.22195000004</v>
      </c>
      <c r="U42" s="3">
        <f>'Monthly Data'!P30</f>
        <v>21006775.987570003</v>
      </c>
      <c r="V42" s="3">
        <f>'Monthly Data'!V30</f>
        <v>77020087.25</v>
      </c>
      <c r="W42" s="3">
        <f>'Monthly Data'!AB30</f>
        <v>7608592.5300000003</v>
      </c>
      <c r="X42" s="3">
        <f>'Monthly Data'!AG30</f>
        <v>21192923.600000001</v>
      </c>
      <c r="Y42" s="3">
        <f>'Monthly Data'!BC30</f>
        <v>24216362.729150202</v>
      </c>
      <c r="Z42" s="3">
        <f>'Monthly Data'!BI30</f>
        <v>6664479.6604300002</v>
      </c>
      <c r="AA42" s="3">
        <f>'Monthly Data'!BO30</f>
        <v>27182998.379999999</v>
      </c>
      <c r="AB42" s="3">
        <f>'Monthly Data'!BU30</f>
        <v>5278077.8899999997</v>
      </c>
      <c r="BA42" s="361"/>
      <c r="BO42" s="361"/>
      <c r="CC42" s="361"/>
      <c r="CQ42" s="361"/>
      <c r="DE42" s="361"/>
      <c r="DS42" s="361"/>
      <c r="EG42" s="361"/>
      <c r="EU42" s="682">
        <f>'Monthly Data'!FO30</f>
        <v>604.0668179205602</v>
      </c>
      <c r="EV42" s="682">
        <f>'Monthly Data'!FP30</f>
        <v>473.78097280746931</v>
      </c>
      <c r="EW42" s="682">
        <f>'Monthly Data'!FQ30</f>
        <v>2406.9392352950904</v>
      </c>
      <c r="EX42" s="682">
        <f>'Monthly Data'!FR30</f>
        <v>74712.493895614665</v>
      </c>
      <c r="EY42" s="682">
        <f>'Monthly Data'!FS30</f>
        <v>1539860.210677847</v>
      </c>
      <c r="EZ42" s="682">
        <f>'Monthly Data'!FT30</f>
        <v>7329340.5395028181</v>
      </c>
      <c r="FA42" s="682">
        <f>'Monthly Data'!FX30</f>
        <v>643.46752429054789</v>
      </c>
      <c r="FB42" s="682">
        <f>'Monthly Data'!FY30</f>
        <v>3052.643250272095</v>
      </c>
      <c r="FC42" s="682">
        <f>'Monthly Data'!FZ30</f>
        <v>75724.914369988459</v>
      </c>
      <c r="FD42" s="682">
        <f>'Monthly Data'!GA30</f>
        <v>172693.20499999999</v>
      </c>
    </row>
    <row r="43" spans="1:160">
      <c r="A43">
        <v>2017</v>
      </c>
      <c r="B43">
        <v>6</v>
      </c>
      <c r="C43" s="313">
        <v>85.453333333333319</v>
      </c>
      <c r="D43" s="313">
        <v>14.074999999999999</v>
      </c>
      <c r="E43" s="313">
        <v>47.73249999999998</v>
      </c>
      <c r="F43" s="313">
        <v>36.354166666666671</v>
      </c>
      <c r="G43" s="313">
        <v>20.287499999999987</v>
      </c>
      <c r="H43" s="313">
        <v>68.909166666666678</v>
      </c>
      <c r="I43" s="313">
        <v>4.091666666666665</v>
      </c>
      <c r="J43" s="313">
        <v>112.71333333333334</v>
      </c>
      <c r="K43" s="313">
        <v>0</v>
      </c>
      <c r="L43" s="313">
        <v>168.62166666666667</v>
      </c>
      <c r="M43" s="313">
        <v>0</v>
      </c>
      <c r="N43" s="313">
        <v>228.62166666666667</v>
      </c>
      <c r="O43" s="313">
        <v>0</v>
      </c>
      <c r="P43" s="313">
        <v>288.62166666666667</v>
      </c>
      <c r="Q43" s="383">
        <v>17.620722222222227</v>
      </c>
      <c r="S43" s="3">
        <f>'Monthly Data'!D31</f>
        <v>70056804.195859596</v>
      </c>
      <c r="T43" s="3">
        <f>'Monthly Data'!J31</f>
        <v>653153.84892999998</v>
      </c>
      <c r="U43" s="3">
        <f>'Monthly Data'!P31</f>
        <v>21505128.74501</v>
      </c>
      <c r="V43" s="3">
        <f>'Monthly Data'!V31</f>
        <v>77681381.140000001</v>
      </c>
      <c r="W43" s="3">
        <f>'Monthly Data'!AB31</f>
        <v>7491116.9400000004</v>
      </c>
      <c r="X43" s="3">
        <f>'Monthly Data'!AG31</f>
        <v>19298915.719999999</v>
      </c>
      <c r="Y43" s="3">
        <f>'Monthly Data'!BC31</f>
        <v>29190355.224580098</v>
      </c>
      <c r="Z43" s="3">
        <f>'Monthly Data'!BI31</f>
        <v>6939366.2310000006</v>
      </c>
      <c r="AA43" s="3">
        <f>'Monthly Data'!BO31</f>
        <v>28646810.48</v>
      </c>
      <c r="AB43" s="3">
        <f>'Monthly Data'!BU31</f>
        <v>5068886.9800000004</v>
      </c>
      <c r="BA43" s="361"/>
      <c r="BO43" s="361"/>
      <c r="CC43" s="361"/>
      <c r="CQ43" s="361"/>
      <c r="DE43" s="361"/>
      <c r="DS43" s="361"/>
      <c r="EG43" s="361"/>
      <c r="EU43" s="682">
        <f>'Monthly Data'!FO31</f>
        <v>671.43225885667516</v>
      </c>
      <c r="EV43" s="682">
        <f>'Monthly Data'!FP31</f>
        <v>433.63031816192245</v>
      </c>
      <c r="EW43" s="682">
        <f>'Monthly Data'!FQ31</f>
        <v>2462.7418624679435</v>
      </c>
      <c r="EX43" s="682">
        <f>'Monthly Data'!FR31</f>
        <v>75198.786660740065</v>
      </c>
      <c r="EY43" s="682">
        <f>'Monthly Data'!FS31</f>
        <v>1517220.0964723413</v>
      </c>
      <c r="EZ43" s="682">
        <f>'Monthly Data'!FT31</f>
        <v>6703831.5337642552</v>
      </c>
      <c r="FA43" s="682">
        <f>'Monthly Data'!FX31</f>
        <v>769.7274756262841</v>
      </c>
      <c r="FB43" s="682">
        <f>'Monthly Data'!FY31</f>
        <v>3174.6848019122467</v>
      </c>
      <c r="FC43" s="682">
        <f>'Monthly Data'!FZ31</f>
        <v>79763.896996442068</v>
      </c>
      <c r="FD43" s="682">
        <f>'Monthly Data'!GA31</f>
        <v>154482.94</v>
      </c>
    </row>
    <row r="44" spans="1:160">
      <c r="A44">
        <v>2017</v>
      </c>
      <c r="B44">
        <v>7</v>
      </c>
      <c r="C44" s="313">
        <v>14.412500000000009</v>
      </c>
      <c r="D44" s="313">
        <v>26.579166666666627</v>
      </c>
      <c r="E44" s="313">
        <v>1.8041666666666707</v>
      </c>
      <c r="F44" s="313">
        <v>75.970833333333289</v>
      </c>
      <c r="G44" s="313">
        <v>0</v>
      </c>
      <c r="H44" s="313">
        <v>136.16666666666663</v>
      </c>
      <c r="I44" s="313">
        <v>0</v>
      </c>
      <c r="J44" s="313">
        <v>198.16666666666666</v>
      </c>
      <c r="K44" s="313">
        <v>0</v>
      </c>
      <c r="L44" s="313">
        <v>260.16666666666657</v>
      </c>
      <c r="M44" s="313">
        <v>0</v>
      </c>
      <c r="N44" s="313">
        <v>322.16666666666657</v>
      </c>
      <c r="O44" s="313">
        <v>0</v>
      </c>
      <c r="P44" s="313">
        <v>384.16666666666657</v>
      </c>
      <c r="Q44" s="383">
        <v>20.392473118279565</v>
      </c>
      <c r="S44" s="3">
        <f>'Monthly Data'!D32</f>
        <v>87121005.357809603</v>
      </c>
      <c r="T44" s="3">
        <f>'Monthly Data'!J32</f>
        <v>991134.58272999898</v>
      </c>
      <c r="U44" s="3">
        <f>'Monthly Data'!P32</f>
        <v>23453275.460890099</v>
      </c>
      <c r="V44" s="3">
        <f>'Monthly Data'!V32</f>
        <v>79656488.530000001</v>
      </c>
      <c r="W44" s="3">
        <f>'Monthly Data'!AB32</f>
        <v>7068123.6399999997</v>
      </c>
      <c r="X44" s="3">
        <f>'Monthly Data'!AG32</f>
        <v>17881555.149999999</v>
      </c>
      <c r="Y44" s="3">
        <f>'Monthly Data'!BC32</f>
        <v>36535253.574919999</v>
      </c>
      <c r="Z44" s="3">
        <f>'Monthly Data'!BI32</f>
        <v>7545931.66426</v>
      </c>
      <c r="AA44" s="3">
        <f>'Monthly Data'!BO32</f>
        <v>28049553.609999999</v>
      </c>
      <c r="AB44" s="3">
        <f>'Monthly Data'!BU32</f>
        <v>5137515.33</v>
      </c>
      <c r="BA44" s="361"/>
      <c r="BE44" s="215" t="s">
        <v>387</v>
      </c>
      <c r="BO44" s="361"/>
      <c r="BS44" s="215" t="s">
        <v>387</v>
      </c>
      <c r="CC44" s="361"/>
      <c r="CG44" s="215" t="s">
        <v>387</v>
      </c>
      <c r="CQ44" s="361"/>
      <c r="CU44" s="215" t="s">
        <v>387</v>
      </c>
      <c r="DE44" s="361"/>
      <c r="DI44" s="215" t="s">
        <v>387</v>
      </c>
      <c r="DS44" s="361"/>
      <c r="DW44" s="215" t="s">
        <v>387</v>
      </c>
      <c r="EG44" s="361"/>
      <c r="EK44" s="215" t="s">
        <v>387</v>
      </c>
      <c r="EU44" s="682">
        <f>'Monthly Data'!FO32</f>
        <v>829.40576856734708</v>
      </c>
      <c r="EV44" s="682">
        <f>'Monthly Data'!FP32</f>
        <v>649.06684927871959</v>
      </c>
      <c r="EW44" s="682">
        <f>'Monthly Data'!FQ32</f>
        <v>2679.2781322409578</v>
      </c>
      <c r="EX44" s="682">
        <f>'Monthly Data'!FR32</f>
        <v>76910.900496528615</v>
      </c>
      <c r="EY44" s="682">
        <f>'Monthly Data'!FS32</f>
        <v>1433476.4402668355</v>
      </c>
      <c r="EZ44" s="682">
        <f>'Monthly Data'!FT32</f>
        <v>6237204.9646923617</v>
      </c>
      <c r="FA44" s="682">
        <f>'Monthly Data'!FX32</f>
        <v>955.45178819242733</v>
      </c>
      <c r="FB44" s="682">
        <f>'Monthly Data'!FY32</f>
        <v>3445.2637837407319</v>
      </c>
      <c r="FC44" s="682">
        <f>'Monthly Data'!FZ32</f>
        <v>78202.148726156534</v>
      </c>
      <c r="FD44" s="682">
        <f>'Monthly Data'!GA32</f>
        <v>164022.6</v>
      </c>
    </row>
    <row r="45" spans="1:160">
      <c r="A45">
        <v>2017</v>
      </c>
      <c r="B45">
        <v>8</v>
      </c>
      <c r="C45" s="313">
        <v>46.587500000000006</v>
      </c>
      <c r="D45" s="313">
        <v>16.01159420289855</v>
      </c>
      <c r="E45" s="313">
        <v>17.950000000000006</v>
      </c>
      <c r="F45" s="313">
        <v>49.374094202898547</v>
      </c>
      <c r="G45" s="313">
        <v>3.6416666666666693</v>
      </c>
      <c r="H45" s="313">
        <v>97.06576086956521</v>
      </c>
      <c r="I45" s="313">
        <v>0</v>
      </c>
      <c r="J45" s="313">
        <v>155.42409420289857</v>
      </c>
      <c r="K45" s="313">
        <v>0</v>
      </c>
      <c r="L45" s="313">
        <v>217.42409420289852</v>
      </c>
      <c r="M45" s="313">
        <v>0</v>
      </c>
      <c r="N45" s="313">
        <v>279.42409420289852</v>
      </c>
      <c r="O45" s="313">
        <v>0</v>
      </c>
      <c r="P45" s="313">
        <v>341.42409420289852</v>
      </c>
      <c r="Q45" s="383">
        <v>19.013680458158017</v>
      </c>
      <c r="S45" s="3">
        <f>'Monthly Data'!D33</f>
        <v>80813037.9476697</v>
      </c>
      <c r="T45" s="3">
        <f>'Monthly Data'!J33</f>
        <v>1008568.485350001</v>
      </c>
      <c r="U45" s="3">
        <f>'Monthly Data'!P33</f>
        <v>23180955.389199898</v>
      </c>
      <c r="V45" s="3">
        <f>'Monthly Data'!V33</f>
        <v>82639784.379999995</v>
      </c>
      <c r="W45" s="3">
        <f>'Monthly Data'!AB33</f>
        <v>7848850.4000000004</v>
      </c>
      <c r="X45" s="3">
        <f>'Monthly Data'!AG33</f>
        <v>18134834.859999999</v>
      </c>
      <c r="Y45" s="3">
        <f>'Monthly Data'!BC33</f>
        <v>33639294.2654799</v>
      </c>
      <c r="Z45" s="3">
        <f>'Monthly Data'!BI33</f>
        <v>7464636.54519</v>
      </c>
      <c r="AA45" s="3">
        <f>'Monthly Data'!BO33</f>
        <v>28988071.77</v>
      </c>
      <c r="AB45" s="3">
        <f>'Monthly Data'!BU33</f>
        <v>5229015.1500000004</v>
      </c>
      <c r="BA45" s="361"/>
      <c r="BB45" s="313"/>
      <c r="BG45" s="16" t="str">
        <f>BA2</f>
        <v>HDD20</v>
      </c>
      <c r="BH45" s="16" t="str">
        <f>BA22</f>
        <v>CDD20</v>
      </c>
      <c r="BO45" s="361"/>
      <c r="BP45" s="313"/>
      <c r="BU45" s="16" t="str">
        <f>BO2</f>
        <v>HDD18</v>
      </c>
      <c r="BV45" s="16" t="str">
        <f>BO22</f>
        <v>CDD18</v>
      </c>
      <c r="CC45" s="361"/>
      <c r="CD45" s="313"/>
      <c r="CI45" s="16" t="str">
        <f>CC2</f>
        <v>HDD16</v>
      </c>
      <c r="CJ45" s="16" t="str">
        <f>CC22</f>
        <v>CDD16</v>
      </c>
      <c r="CQ45" s="361"/>
      <c r="CR45" s="313"/>
      <c r="CW45" s="16" t="str">
        <f>CQ2</f>
        <v>HDD14</v>
      </c>
      <c r="CX45" s="16" t="str">
        <f>CQ22</f>
        <v>CDD14</v>
      </c>
      <c r="DE45" s="361"/>
      <c r="DF45" s="313"/>
      <c r="DK45" s="16" t="str">
        <f>DE2</f>
        <v>HDD12</v>
      </c>
      <c r="DL45" s="16" t="str">
        <f>DE22</f>
        <v>CDD12</v>
      </c>
      <c r="DS45" s="361"/>
      <c r="DT45" s="313"/>
      <c r="DY45" s="16" t="str">
        <f>DS2</f>
        <v>HDD10</v>
      </c>
      <c r="DZ45" s="16" t="str">
        <f>DS22</f>
        <v>CDD10</v>
      </c>
      <c r="EG45" s="361"/>
      <c r="EH45" s="313"/>
      <c r="EM45" s="16" t="str">
        <f>EG2</f>
        <v>HDD8</v>
      </c>
      <c r="EN45" s="16" t="str">
        <f>EG22</f>
        <v>CDD8</v>
      </c>
      <c r="EU45" s="682">
        <f>'Monthly Data'!FO33</f>
        <v>771.7037234437895</v>
      </c>
      <c r="EV45" s="682">
        <f>'Monthly Data'!FP33</f>
        <v>661.31835974418436</v>
      </c>
      <c r="EW45" s="682">
        <f>'Monthly Data'!FQ33</f>
        <v>2649.4901796889972</v>
      </c>
      <c r="EX45" s="682">
        <f>'Monthly Data'!FR33</f>
        <v>79554.680965399966</v>
      </c>
      <c r="EY45" s="682">
        <f>'Monthly Data'!FS33</f>
        <v>1590476.79606133</v>
      </c>
      <c r="EZ45" s="682">
        <f>'Monthly Data'!FT33</f>
        <v>6327458.4889537999</v>
      </c>
      <c r="FA45" s="682">
        <f>'Monthly Data'!FX33</f>
        <v>883.56420016094387</v>
      </c>
      <c r="FB45" s="682">
        <f>'Monthly Data'!FY33</f>
        <v>3407.2978330981214</v>
      </c>
      <c r="FC45" s="682">
        <f>'Monthly Data'!FZ33</f>
        <v>80813.70216782752</v>
      </c>
      <c r="FD45" s="682">
        <f>'Monthly Data'!GA33</f>
        <v>185857.73499999999</v>
      </c>
    </row>
    <row r="46" spans="1:160">
      <c r="A46">
        <v>2017</v>
      </c>
      <c r="B46">
        <v>9</v>
      </c>
      <c r="C46" s="313">
        <v>100.06666666666666</v>
      </c>
      <c r="D46" s="313">
        <v>15.912499999999994</v>
      </c>
      <c r="E46" s="313">
        <v>65.699999999999989</v>
      </c>
      <c r="F46" s="313">
        <v>41.54583333333332</v>
      </c>
      <c r="G46" s="313">
        <v>37.391666666666666</v>
      </c>
      <c r="H46" s="313">
        <v>73.237499999999983</v>
      </c>
      <c r="I46" s="313">
        <v>16.833333333333329</v>
      </c>
      <c r="J46" s="313">
        <v>112.67916666666666</v>
      </c>
      <c r="K46" s="313">
        <v>5.466666666666665</v>
      </c>
      <c r="L46" s="313">
        <v>161.3125</v>
      </c>
      <c r="M46" s="313">
        <v>1.3833333333333311</v>
      </c>
      <c r="N46" s="313">
        <v>217.22916666666663</v>
      </c>
      <c r="O46" s="313">
        <v>0</v>
      </c>
      <c r="P46" s="313">
        <v>275.8458333333333</v>
      </c>
      <c r="Q46" s="383">
        <v>17.194861111111109</v>
      </c>
      <c r="S46" s="3">
        <f>'Monthly Data'!D34</f>
        <v>74005450.480450496</v>
      </c>
      <c r="T46" s="3">
        <f>'Monthly Data'!J34</f>
        <v>729324.48418999999</v>
      </c>
      <c r="U46" s="3">
        <f>'Monthly Data'!P34</f>
        <v>21680423.1690601</v>
      </c>
      <c r="V46" s="3">
        <f>'Monthly Data'!V34</f>
        <v>79447122.540000007</v>
      </c>
      <c r="W46" s="3">
        <f>'Monthly Data'!AB34</f>
        <v>7413804.1200000001</v>
      </c>
      <c r="X46" s="3">
        <f>'Monthly Data'!AG34</f>
        <v>17150440.91</v>
      </c>
      <c r="Y46" s="3">
        <f>'Monthly Data'!BC34</f>
        <v>31003407.743730098</v>
      </c>
      <c r="Z46" s="3">
        <f>'Monthly Data'!BI34</f>
        <v>7112919.8067100001</v>
      </c>
      <c r="AA46" s="3">
        <f>'Monthly Data'!BO34</f>
        <v>29602627.350000001</v>
      </c>
      <c r="AB46" s="3">
        <f>'Monthly Data'!BU34</f>
        <v>5107859.58</v>
      </c>
      <c r="BA46" s="361"/>
      <c r="BE46" t="s">
        <v>83</v>
      </c>
      <c r="BF46" t="s">
        <v>312</v>
      </c>
      <c r="BG46" s="8">
        <f ca="1">OFFSET($BB$16,0,(ROW()-ROW(BG$46)))</f>
        <v>759.33418478260865</v>
      </c>
      <c r="BH46" s="8">
        <f ca="1">OFFSET(BB$36,0,(ROW()-ROW(BH$46)))</f>
        <v>0</v>
      </c>
      <c r="BO46" s="361"/>
      <c r="BS46" t="s">
        <v>83</v>
      </c>
      <c r="BT46" t="s">
        <v>312</v>
      </c>
      <c r="BU46" s="8">
        <f ca="1">OFFSET(BP$16,0,(ROW()-ROW(BU$46)))</f>
        <v>697.33418478260876</v>
      </c>
      <c r="BV46" s="8">
        <f ca="1">OFFSET(BP$36,0,(ROW()-ROW(BV$46)))</f>
        <v>0</v>
      </c>
      <c r="CC46" s="361"/>
      <c r="CG46" t="s">
        <v>83</v>
      </c>
      <c r="CH46" t="s">
        <v>312</v>
      </c>
      <c r="CI46" s="8">
        <f ca="1">OFFSET(CD$16,0,(ROW()-ROW(CI$46)))</f>
        <v>635.33418478260876</v>
      </c>
      <c r="CJ46" s="8">
        <f ca="1">OFFSET(CD$36,0,(ROW()-ROW(CJ$46)))</f>
        <v>0</v>
      </c>
      <c r="CQ46" s="361"/>
      <c r="CU46" t="s">
        <v>83</v>
      </c>
      <c r="CV46" t="s">
        <v>312</v>
      </c>
      <c r="CW46" s="8">
        <f ca="1">OFFSET(CR$16,0,(ROW()-ROW(CW$46)))</f>
        <v>573.33418478260865</v>
      </c>
      <c r="CX46" s="8">
        <f ca="1">OFFSET(CR$36,0,(ROW()-ROW(CX$46)))</f>
        <v>0</v>
      </c>
      <c r="DE46" s="361"/>
      <c r="DI46" t="s">
        <v>83</v>
      </c>
      <c r="DJ46" t="s">
        <v>312</v>
      </c>
      <c r="DK46" s="8">
        <f ca="1">OFFSET(DF$16,0,(ROW()-ROW(DK$46)))</f>
        <v>511.33418478260876</v>
      </c>
      <c r="DL46" s="8">
        <f ca="1">OFFSET(DF$36,0,(ROW()-ROW(DL$46)))</f>
        <v>0</v>
      </c>
      <c r="DS46" s="361"/>
      <c r="DW46" t="s">
        <v>83</v>
      </c>
      <c r="DX46" t="s">
        <v>312</v>
      </c>
      <c r="DY46" s="8">
        <f ca="1">OFFSET(DT$16,0,(ROW()-ROW(DY$46)))</f>
        <v>449.33418478260865</v>
      </c>
      <c r="DZ46" s="8">
        <f ca="1">OFFSET(DT$36,0,(ROW()-ROW(DZ$46)))</f>
        <v>0</v>
      </c>
      <c r="EG46" s="361"/>
      <c r="EK46" t="s">
        <v>83</v>
      </c>
      <c r="EL46" t="s">
        <v>312</v>
      </c>
      <c r="EM46" s="8">
        <f ca="1">OFFSET(EH$16,0,(ROW()-ROW(EM$46)))</f>
        <v>387.33418478260865</v>
      </c>
      <c r="EN46" s="8">
        <f ca="1">OFFSET(EH$36,0,(ROW()-ROW(EN$46)))</f>
        <v>0</v>
      </c>
      <c r="EU46" s="682">
        <f>'Monthly Data'!FO34</f>
        <v>709.47474981113976</v>
      </c>
      <c r="EV46" s="682">
        <f>'Monthly Data'!FP34</f>
        <v>485.18730619791177</v>
      </c>
      <c r="EW46" s="682">
        <f>'Monthly Data'!FQ34</f>
        <v>2483.6332236958938</v>
      </c>
      <c r="EX46" s="682">
        <f>'Monthly Data'!FR34</f>
        <v>76440.268083107934</v>
      </c>
      <c r="EY46" s="682">
        <f>'Monthly Data'!FS34</f>
        <v>1504322.543855824</v>
      </c>
      <c r="EZ46" s="682">
        <f>'Monthly Data'!FT34</f>
        <v>6005154.1265485734</v>
      </c>
      <c r="FA46" s="682">
        <f>'Monthly Data'!FX34</f>
        <v>818.29960449709563</v>
      </c>
      <c r="FB46" s="682">
        <f>'Monthly Data'!FY34</f>
        <v>3248.307605957606</v>
      </c>
      <c r="FC46" s="682">
        <f>'Monthly Data'!FZ34</f>
        <v>82544.922511672426</v>
      </c>
      <c r="FD46" s="682">
        <f>'Monthly Data'!GA34</f>
        <v>200939.94</v>
      </c>
    </row>
    <row r="47" spans="1:160">
      <c r="A47">
        <v>2017</v>
      </c>
      <c r="B47">
        <v>10</v>
      </c>
      <c r="C47" s="313">
        <v>238.48333333333335</v>
      </c>
      <c r="D47" s="313">
        <v>0</v>
      </c>
      <c r="E47" s="313">
        <v>179.70833333333334</v>
      </c>
      <c r="F47" s="313">
        <v>3.2250000000000014</v>
      </c>
      <c r="G47" s="313">
        <v>124.7625</v>
      </c>
      <c r="H47" s="313">
        <v>10.279166666666672</v>
      </c>
      <c r="I47" s="313">
        <v>82.137500000000017</v>
      </c>
      <c r="J47" s="313">
        <v>29.654166666666669</v>
      </c>
      <c r="K47" s="313">
        <v>49.88333333333334</v>
      </c>
      <c r="L47" s="313">
        <v>59.400000000000006</v>
      </c>
      <c r="M47" s="313">
        <v>26.758333333333336</v>
      </c>
      <c r="N47" s="313">
        <v>98.274999999999977</v>
      </c>
      <c r="O47" s="313">
        <v>11.620833333333334</v>
      </c>
      <c r="P47" s="313">
        <v>145.13749999999999</v>
      </c>
      <c r="Q47" s="383">
        <v>12.306989247311826</v>
      </c>
      <c r="S47" s="3">
        <f>'Monthly Data'!D35</f>
        <v>63690616.818190597</v>
      </c>
      <c r="T47" s="3">
        <f>'Monthly Data'!J35</f>
        <v>656836.2338899991</v>
      </c>
      <c r="U47" s="3">
        <f>'Monthly Data'!P35</f>
        <v>20578458.00911</v>
      </c>
      <c r="V47" s="3">
        <f>'Monthly Data'!V35</f>
        <v>77301264.430000007</v>
      </c>
      <c r="W47" s="3">
        <f>'Monthly Data'!AB35</f>
        <v>7950649.7699999996</v>
      </c>
      <c r="X47" s="3">
        <f>'Monthly Data'!AG35</f>
        <v>18364591.350000001</v>
      </c>
      <c r="Y47" s="3">
        <f>'Monthly Data'!BC35</f>
        <v>24831861.827180002</v>
      </c>
      <c r="Z47" s="3">
        <f>'Monthly Data'!BI35</f>
        <v>6644922.6095499899</v>
      </c>
      <c r="AA47" s="3">
        <f>'Monthly Data'!BO35</f>
        <v>27500606.899999999</v>
      </c>
      <c r="AB47" s="3">
        <f>'Monthly Data'!BU35</f>
        <v>5243707.08</v>
      </c>
      <c r="BA47" s="361"/>
      <c r="BE47" t="s">
        <v>83</v>
      </c>
      <c r="BF47" t="s">
        <v>315</v>
      </c>
      <c r="BG47" s="8">
        <f t="shared" ref="BG47:BG57" ca="1" si="293">OFFSET($BB$16,0,(ROW()-ROW(BG$46)))</f>
        <v>680.85501811594202</v>
      </c>
      <c r="BH47" s="8">
        <f t="shared" ref="BH47:BH57" ca="1" si="294">OFFSET(BB$36,0,(ROW()-ROW(BH$46)))</f>
        <v>0</v>
      </c>
      <c r="BO47" s="361"/>
      <c r="BS47" t="s">
        <v>83</v>
      </c>
      <c r="BT47" t="s">
        <v>315</v>
      </c>
      <c r="BU47" s="8">
        <f t="shared" ref="BU47:BU57" ca="1" si="295">OFFSET(BP$16,0,(ROW()-ROW(BU$46)))</f>
        <v>624.25501811594188</v>
      </c>
      <c r="BV47" s="8">
        <f t="shared" ref="BV47:BV57" ca="1" si="296">OFFSET(BP$36,0,(ROW()-ROW(BV$46)))</f>
        <v>0</v>
      </c>
      <c r="CC47" s="361"/>
      <c r="CG47" t="s">
        <v>83</v>
      </c>
      <c r="CH47" t="s">
        <v>315</v>
      </c>
      <c r="CI47" s="8">
        <f t="shared" ref="CI47:CI57" ca="1" si="297">OFFSET(CD$16,0,(ROW()-ROW(CI$46)))</f>
        <v>567.65501811594208</v>
      </c>
      <c r="CJ47" s="8">
        <f t="shared" ref="CJ47:CJ57" ca="1" si="298">OFFSET(CD$36,0,(ROW()-ROW(CJ$46)))</f>
        <v>0</v>
      </c>
      <c r="CQ47" s="361"/>
      <c r="CU47" t="s">
        <v>83</v>
      </c>
      <c r="CV47" t="s">
        <v>315</v>
      </c>
      <c r="CW47" s="8">
        <f t="shared" ref="CW47:CW57" ca="1" si="299">OFFSET(CR$16,0,(ROW()-ROW(CW$46)))</f>
        <v>511.05501811594206</v>
      </c>
      <c r="CX47" s="8">
        <f t="shared" ref="CX47:CX57" ca="1" si="300">OFFSET(CR$36,0,(ROW()-ROW(CX$46)))</f>
        <v>0</v>
      </c>
      <c r="DE47" s="361"/>
      <c r="DI47" t="s">
        <v>83</v>
      </c>
      <c r="DJ47" t="s">
        <v>315</v>
      </c>
      <c r="DK47" s="8">
        <f t="shared" ref="DK47:DK57" ca="1" si="301">OFFSET(DF$16,0,(ROW()-ROW(DK$46)))</f>
        <v>454.45501811594193</v>
      </c>
      <c r="DL47" s="8">
        <f t="shared" ref="DL47:DL57" ca="1" si="302">OFFSET(DF$36,0,(ROW()-ROW(DL$46)))</f>
        <v>0</v>
      </c>
      <c r="DS47" s="361"/>
      <c r="DW47" t="s">
        <v>83</v>
      </c>
      <c r="DX47" t="s">
        <v>315</v>
      </c>
      <c r="DY47" s="8">
        <f t="shared" ref="DY47:DY57" ca="1" si="303">OFFSET(DT$16,0,(ROW()-ROW(DY$46)))</f>
        <v>397.85501811594202</v>
      </c>
      <c r="DZ47" s="8">
        <f t="shared" ref="DZ47:DZ57" ca="1" si="304">OFFSET(DT$36,0,(ROW()-ROW(DZ$46)))</f>
        <v>0</v>
      </c>
      <c r="EG47" s="361"/>
      <c r="EK47" t="s">
        <v>83</v>
      </c>
      <c r="EL47" t="s">
        <v>315</v>
      </c>
      <c r="EM47" s="8">
        <f t="shared" ref="EM47:EM57" ca="1" si="305">OFFSET(EH$16,0,(ROW()-ROW(EM$46)))</f>
        <v>341.39751811594203</v>
      </c>
      <c r="EN47" s="8">
        <f t="shared" ref="EN47:EN57" ca="1" si="306">OFFSET(EH$36,0,(ROW()-ROW(EN$46)))</f>
        <v>0.1424999999999999</v>
      </c>
      <c r="EU47" s="682">
        <f>'Monthly Data'!FO35</f>
        <v>615.03708076983366</v>
      </c>
      <c r="EV47" s="682">
        <f>'Monthly Data'!FP35</f>
        <v>440.22188471464807</v>
      </c>
      <c r="EW47" s="682">
        <f>'Monthly Data'!FQ35</f>
        <v>2362.0594805686751</v>
      </c>
      <c r="EX47" s="682">
        <f>'Monthly Data'!FR35</f>
        <v>74312.629650589079</v>
      </c>
      <c r="EY47" s="682">
        <f>'Monthly Data'!FS35</f>
        <v>1612546.6776503182</v>
      </c>
      <c r="EZ47" s="682">
        <f>'Monthly Data'!FT35</f>
        <v>6415697.8941433458</v>
      </c>
      <c r="FA47" s="682">
        <f>'Monthly Data'!FX35</f>
        <v>664.37025067382797</v>
      </c>
      <c r="FB47" s="682">
        <f>'Monthly Data'!FY35</f>
        <v>3037.5037376544105</v>
      </c>
      <c r="FC47" s="682">
        <f>'Monthly Data'!FZ35</f>
        <v>76894.142773995583</v>
      </c>
      <c r="FD47" s="682">
        <f>'Monthly Data'!GA35</f>
        <v>233774.185</v>
      </c>
    </row>
    <row r="48" spans="1:160">
      <c r="A48">
        <v>2017</v>
      </c>
      <c r="B48">
        <v>11</v>
      </c>
      <c r="C48" s="313">
        <v>502.61174242424244</v>
      </c>
      <c r="D48" s="313">
        <v>0</v>
      </c>
      <c r="E48" s="313">
        <v>442.61174242424244</v>
      </c>
      <c r="F48" s="313">
        <v>0</v>
      </c>
      <c r="G48" s="313">
        <v>382.61174242424244</v>
      </c>
      <c r="H48" s="313">
        <v>0</v>
      </c>
      <c r="I48" s="313">
        <v>322.61174242424249</v>
      </c>
      <c r="J48" s="313">
        <v>0</v>
      </c>
      <c r="K48" s="313">
        <v>262.61174242424244</v>
      </c>
      <c r="L48" s="313">
        <v>0</v>
      </c>
      <c r="M48" s="313">
        <v>203.9075757575757</v>
      </c>
      <c r="N48" s="313">
        <v>1.2958333333333325</v>
      </c>
      <c r="O48" s="313">
        <v>148.02424242424243</v>
      </c>
      <c r="P48" s="313">
        <v>5.4124999999999979</v>
      </c>
      <c r="Q48" s="383">
        <v>3.2462752525252521</v>
      </c>
      <c r="S48" s="3">
        <f>'Monthly Data'!D36</f>
        <v>71874134.928140312</v>
      </c>
      <c r="T48" s="3">
        <f>'Monthly Data'!J36</f>
        <v>747736.81955999997</v>
      </c>
      <c r="U48" s="3">
        <f>'Monthly Data'!P36</f>
        <v>22410384.765579998</v>
      </c>
      <c r="V48" s="3">
        <f>'Monthly Data'!V36</f>
        <v>78492174.75</v>
      </c>
      <c r="W48" s="3">
        <f>'Monthly Data'!AB36</f>
        <v>8091891.9100000001</v>
      </c>
      <c r="X48" s="3">
        <f>'Monthly Data'!AG36</f>
        <v>20626641.460000001</v>
      </c>
      <c r="Y48" s="3">
        <f>'Monthly Data'!BC36</f>
        <v>25853754.8917301</v>
      </c>
      <c r="Z48" s="3">
        <f>'Monthly Data'!BI36</f>
        <v>7101722.8000999996</v>
      </c>
      <c r="AA48" s="3">
        <f>'Monthly Data'!BO36</f>
        <v>29176541.93</v>
      </c>
      <c r="AB48" s="3">
        <f>'Monthly Data'!BU36</f>
        <v>5086320.7699999996</v>
      </c>
      <c r="BA48" s="361"/>
      <c r="BE48" t="s">
        <v>83</v>
      </c>
      <c r="BF48" t="s">
        <v>318</v>
      </c>
      <c r="BG48" s="8">
        <f t="shared" ca="1" si="293"/>
        <v>608.13298913043479</v>
      </c>
      <c r="BH48" s="8">
        <f t="shared" ca="1" si="294"/>
        <v>0</v>
      </c>
      <c r="BO48" s="361"/>
      <c r="BS48" t="s">
        <v>83</v>
      </c>
      <c r="BT48" t="s">
        <v>318</v>
      </c>
      <c r="BU48" s="8">
        <f t="shared" ca="1" si="295"/>
        <v>546.13298913043491</v>
      </c>
      <c r="BV48" s="8">
        <f t="shared" ca="1" si="296"/>
        <v>0</v>
      </c>
      <c r="CC48" s="361"/>
      <c r="CG48" t="s">
        <v>83</v>
      </c>
      <c r="CH48" t="s">
        <v>318</v>
      </c>
      <c r="CI48" s="8">
        <f t="shared" ca="1" si="297"/>
        <v>484.13298913043479</v>
      </c>
      <c r="CJ48" s="8">
        <f t="shared" ca="1" si="298"/>
        <v>0</v>
      </c>
      <c r="CQ48" s="361"/>
      <c r="CU48" t="s">
        <v>83</v>
      </c>
      <c r="CV48" t="s">
        <v>318</v>
      </c>
      <c r="CW48" s="8">
        <f t="shared" ca="1" si="299"/>
        <v>422.13298913043479</v>
      </c>
      <c r="CX48" s="8">
        <f t="shared" ca="1" si="300"/>
        <v>0</v>
      </c>
      <c r="DE48" s="361"/>
      <c r="DI48" t="s">
        <v>83</v>
      </c>
      <c r="DJ48" t="s">
        <v>318</v>
      </c>
      <c r="DK48" s="8">
        <f t="shared" ca="1" si="301"/>
        <v>360.16257246376813</v>
      </c>
      <c r="DL48" s="8">
        <f t="shared" ca="1" si="302"/>
        <v>2.9583333333332896E-2</v>
      </c>
      <c r="DS48" s="361"/>
      <c r="DW48" t="s">
        <v>83</v>
      </c>
      <c r="DX48" t="s">
        <v>318</v>
      </c>
      <c r="DY48" s="8">
        <f t="shared" ca="1" si="303"/>
        <v>298.65173913043481</v>
      </c>
      <c r="DZ48" s="8">
        <f t="shared" ca="1" si="304"/>
        <v>0.51874999999999927</v>
      </c>
      <c r="EG48" s="361"/>
      <c r="EK48" t="s">
        <v>83</v>
      </c>
      <c r="EL48" t="s">
        <v>318</v>
      </c>
      <c r="EM48" s="8">
        <f t="shared" ca="1" si="305"/>
        <v>238.57840579710145</v>
      </c>
      <c r="EN48" s="8">
        <f t="shared" ca="1" si="306"/>
        <v>2.4454166666666657</v>
      </c>
      <c r="EU48" s="682">
        <f>'Monthly Data'!FO36</f>
        <v>690.92283146218824</v>
      </c>
      <c r="EV48" s="682">
        <f>'Monthly Data'!FP36</f>
        <v>499.08039925084876</v>
      </c>
      <c r="EW48" s="682">
        <f>'Monthly Data'!FQ36</f>
        <v>2565.4107250684106</v>
      </c>
      <c r="EX48" s="682">
        <f>'Monthly Data'!FR36</f>
        <v>75284.141944673189</v>
      </c>
      <c r="EY48" s="682">
        <f>'Monthly Data'!FS36</f>
        <v>1641650.1094448126</v>
      </c>
      <c r="EZ48" s="682">
        <f>'Monthly Data'!FT36</f>
        <v>7175541.5517381178</v>
      </c>
      <c r="FA48" s="682">
        <f>'Monthly Data'!FX36</f>
        <v>691.08097875840656</v>
      </c>
      <c r="FB48" s="682">
        <f>'Monthly Data'!FY36</f>
        <v>3240.4847114325612</v>
      </c>
      <c r="FC48" s="682">
        <f>'Monthly Data'!FZ36</f>
        <v>81509.546405883972</v>
      </c>
      <c r="FD48" s="682">
        <f>'Monthly Data'!GA36</f>
        <v>248221.45</v>
      </c>
    </row>
    <row r="49" spans="1:160">
      <c r="A49">
        <v>2017</v>
      </c>
      <c r="B49">
        <v>12</v>
      </c>
      <c r="C49" s="313">
        <v>798.31250000000011</v>
      </c>
      <c r="D49" s="313">
        <v>0</v>
      </c>
      <c r="E49" s="313">
        <v>736.31250000000011</v>
      </c>
      <c r="F49" s="313">
        <v>0</v>
      </c>
      <c r="G49" s="313">
        <v>674.31250000000011</v>
      </c>
      <c r="H49" s="313">
        <v>0</v>
      </c>
      <c r="I49" s="313">
        <v>612.31250000000011</v>
      </c>
      <c r="J49" s="313">
        <v>0</v>
      </c>
      <c r="K49" s="313">
        <v>550.3125</v>
      </c>
      <c r="L49" s="313">
        <v>0</v>
      </c>
      <c r="M49" s="313">
        <v>488.31250000000011</v>
      </c>
      <c r="N49" s="313">
        <v>0</v>
      </c>
      <c r="O49" s="313">
        <v>426.3125</v>
      </c>
      <c r="P49" s="313">
        <v>0</v>
      </c>
      <c r="Q49" s="383">
        <v>-5.7520161290322589</v>
      </c>
      <c r="S49" s="3">
        <f>'Monthly Data'!D37</f>
        <v>91645822.887368903</v>
      </c>
      <c r="T49" s="3">
        <f>'Monthly Data'!J37</f>
        <v>1106654.9590700001</v>
      </c>
      <c r="U49" s="3">
        <f>'Monthly Data'!P37</f>
        <v>25632490.429650001</v>
      </c>
      <c r="V49" s="3">
        <f>'Monthly Data'!V37</f>
        <v>80272625.180000007</v>
      </c>
      <c r="W49" s="3">
        <f>'Monthly Data'!AB37</f>
        <v>7250522.0599999996</v>
      </c>
      <c r="X49" s="3">
        <f>'Monthly Data'!AG37</f>
        <v>19493763.489999998</v>
      </c>
      <c r="Y49" s="3">
        <f>'Monthly Data'!BC37</f>
        <v>31842905.854559802</v>
      </c>
      <c r="Z49" s="3">
        <f>'Monthly Data'!BI37</f>
        <v>8063167.9115699893</v>
      </c>
      <c r="AA49" s="3">
        <f>'Monthly Data'!BO37</f>
        <v>29723632.32</v>
      </c>
      <c r="AB49" s="3">
        <f>'Monthly Data'!BU37</f>
        <v>4769132.18</v>
      </c>
      <c r="BA49" s="361"/>
      <c r="BE49" t="s">
        <v>83</v>
      </c>
      <c r="BF49" t="s">
        <v>321</v>
      </c>
      <c r="BG49" s="8">
        <f t="shared" ca="1" si="293"/>
        <v>412.37941287878795</v>
      </c>
      <c r="BH49" s="8">
        <f t="shared" ca="1" si="294"/>
        <v>0</v>
      </c>
      <c r="BO49" s="361"/>
      <c r="BS49" t="s">
        <v>83</v>
      </c>
      <c r="BT49" t="s">
        <v>321</v>
      </c>
      <c r="BU49" s="8">
        <f t="shared" ca="1" si="295"/>
        <v>352.41399621212122</v>
      </c>
      <c r="BV49" s="8">
        <f t="shared" ca="1" si="296"/>
        <v>3.4583333333333854E-2</v>
      </c>
      <c r="CC49" s="361"/>
      <c r="CG49" t="s">
        <v>83</v>
      </c>
      <c r="CH49" t="s">
        <v>321</v>
      </c>
      <c r="CI49" s="8">
        <f t="shared" ca="1" si="297"/>
        <v>292.81107954545462</v>
      </c>
      <c r="CJ49" s="8">
        <f t="shared" ca="1" si="298"/>
        <v>0.4316666666666677</v>
      </c>
      <c r="CQ49" s="361"/>
      <c r="CU49" t="s">
        <v>83</v>
      </c>
      <c r="CV49" t="s">
        <v>321</v>
      </c>
      <c r="CW49" s="8">
        <f t="shared" ca="1" si="299"/>
        <v>234.57024621212122</v>
      </c>
      <c r="CX49" s="8">
        <f t="shared" ca="1" si="300"/>
        <v>2.1908333333333347</v>
      </c>
      <c r="DE49" s="361"/>
      <c r="DI49" t="s">
        <v>83</v>
      </c>
      <c r="DJ49" t="s">
        <v>321</v>
      </c>
      <c r="DK49" s="8">
        <f t="shared" ca="1" si="301"/>
        <v>178.02149621212124</v>
      </c>
      <c r="DL49" s="8">
        <f t="shared" ca="1" si="302"/>
        <v>5.6420833333333338</v>
      </c>
      <c r="DS49" s="361"/>
      <c r="DW49" t="s">
        <v>83</v>
      </c>
      <c r="DX49" t="s">
        <v>321</v>
      </c>
      <c r="DY49" s="8">
        <f t="shared" ca="1" si="303"/>
        <v>125.17066287878788</v>
      </c>
      <c r="DZ49" s="8">
        <f t="shared" ca="1" si="304"/>
        <v>12.79125</v>
      </c>
      <c r="EG49" s="361"/>
      <c r="EK49" t="s">
        <v>83</v>
      </c>
      <c r="EL49" t="s">
        <v>321</v>
      </c>
      <c r="EM49" s="8">
        <f t="shared" ca="1" si="305"/>
        <v>79.984412878787879</v>
      </c>
      <c r="EN49" s="8">
        <f t="shared" ca="1" si="306"/>
        <v>27.605</v>
      </c>
      <c r="EU49" s="682">
        <f>'Monthly Data'!FO37</f>
        <v>873.25884960089036</v>
      </c>
      <c r="EV49" s="682">
        <f>'Monthly Data'!FP37</f>
        <v>728.50218421748741</v>
      </c>
      <c r="EW49" s="682">
        <f>'Monthly Data'!FQ37</f>
        <v>2922.4421126919015</v>
      </c>
      <c r="EX49" s="682">
        <f>'Monthly Data'!FR37</f>
        <v>76795.22830255999</v>
      </c>
      <c r="EY49" s="682">
        <f>'Monthly Data'!FS37</f>
        <v>1474231.1432393068</v>
      </c>
      <c r="EZ49" s="682">
        <f>'Monthly Data'!FT37</f>
        <v>6803742.5159995556</v>
      </c>
      <c r="FA49" s="682">
        <f>'Monthly Data'!FX37</f>
        <v>842.28189130774638</v>
      </c>
      <c r="FB49" s="682">
        <f>'Monthly Data'!FY37</f>
        <v>3668.6828335568448</v>
      </c>
      <c r="FC49" s="682">
        <f>'Monthly Data'!FZ37</f>
        <v>83057.437429076701</v>
      </c>
      <c r="FD49" s="682">
        <f>'Monthly Data'!GA37</f>
        <v>256451.91</v>
      </c>
    </row>
    <row r="50" spans="1:160">
      <c r="A50">
        <v>2018</v>
      </c>
      <c r="B50">
        <v>1</v>
      </c>
      <c r="C50" s="313">
        <v>812.53750000000002</v>
      </c>
      <c r="D50" s="313">
        <v>0</v>
      </c>
      <c r="E50" s="313">
        <v>750.53750000000002</v>
      </c>
      <c r="F50" s="313">
        <v>0</v>
      </c>
      <c r="G50" s="313">
        <v>688.53749999999991</v>
      </c>
      <c r="H50" s="313">
        <v>0</v>
      </c>
      <c r="I50" s="313">
        <v>626.53750000000002</v>
      </c>
      <c r="J50" s="313">
        <v>0</v>
      </c>
      <c r="K50" s="313">
        <v>564.53750000000002</v>
      </c>
      <c r="L50" s="313">
        <v>0</v>
      </c>
      <c r="M50" s="313">
        <v>502.53750000000002</v>
      </c>
      <c r="N50" s="313">
        <v>0</v>
      </c>
      <c r="O50" s="313">
        <v>440.53750000000002</v>
      </c>
      <c r="P50" s="313">
        <v>0</v>
      </c>
      <c r="Q50" s="383">
        <v>-6.2108870967741945</v>
      </c>
      <c r="S50" s="3">
        <f>'Monthly Data'!D38</f>
        <v>92647212.240520403</v>
      </c>
      <c r="T50" s="3">
        <f>'Monthly Data'!J38</f>
        <v>1168706.8311399999</v>
      </c>
      <c r="U50" s="3">
        <f>'Monthly Data'!P38</f>
        <v>27472324.12661</v>
      </c>
      <c r="V50" s="3">
        <f>'Monthly Data'!V38</f>
        <v>86096522.079999998</v>
      </c>
      <c r="W50" s="3">
        <f>'Monthly Data'!AB38</f>
        <v>7607347.1100000003</v>
      </c>
      <c r="X50" s="3">
        <f>'Monthly Data'!AG38</f>
        <v>21572042.25</v>
      </c>
      <c r="Y50" s="3">
        <f>'Monthly Data'!BC38</f>
        <v>30971191.922729999</v>
      </c>
      <c r="Z50" s="3">
        <f>'Monthly Data'!BI38</f>
        <v>8621504.83063001</v>
      </c>
      <c r="AA50" s="3">
        <f>'Monthly Data'!BO38</f>
        <v>33209764.710000001</v>
      </c>
      <c r="AB50" s="3">
        <f>'Monthly Data'!BU38</f>
        <v>5157832.7300000004</v>
      </c>
      <c r="BA50" s="361"/>
      <c r="BE50" t="s">
        <v>83</v>
      </c>
      <c r="BF50" t="s">
        <v>108</v>
      </c>
      <c r="BG50" s="8">
        <f t="shared" ca="1" si="293"/>
        <v>202.70273119310133</v>
      </c>
      <c r="BH50" s="8">
        <f t="shared" ca="1" si="294"/>
        <v>4.8953571428571401</v>
      </c>
      <c r="BO50" s="361"/>
      <c r="BS50" t="s">
        <v>83</v>
      </c>
      <c r="BT50" t="s">
        <v>108</v>
      </c>
      <c r="BU50" s="8">
        <f t="shared" ca="1" si="295"/>
        <v>150.136897859768</v>
      </c>
      <c r="BV50" s="8">
        <f t="shared" ca="1" si="296"/>
        <v>14.32952380952381</v>
      </c>
      <c r="CC50" s="361"/>
      <c r="CG50" t="s">
        <v>83</v>
      </c>
      <c r="CH50" t="s">
        <v>108</v>
      </c>
      <c r="CI50" s="8">
        <f t="shared" ca="1" si="297"/>
        <v>103.25939244851259</v>
      </c>
      <c r="CJ50" s="8">
        <f t="shared" ca="1" si="298"/>
        <v>29.4520183982684</v>
      </c>
      <c r="CQ50" s="361"/>
      <c r="CU50" t="s">
        <v>83</v>
      </c>
      <c r="CV50" t="s">
        <v>108</v>
      </c>
      <c r="CW50" s="8">
        <f t="shared" ca="1" si="299"/>
        <v>64.294809115179262</v>
      </c>
      <c r="CX50" s="8">
        <f t="shared" ca="1" si="300"/>
        <v>52.487435064935063</v>
      </c>
      <c r="DE50" s="361"/>
      <c r="DI50" t="s">
        <v>83</v>
      </c>
      <c r="DJ50" t="s">
        <v>108</v>
      </c>
      <c r="DK50" s="8">
        <f t="shared" ca="1" si="301"/>
        <v>35.998420226290364</v>
      </c>
      <c r="DL50" s="8">
        <f t="shared" ca="1" si="302"/>
        <v>86.191046176046171</v>
      </c>
      <c r="DS50" s="361"/>
      <c r="DW50" t="s">
        <v>83</v>
      </c>
      <c r="DX50" t="s">
        <v>108</v>
      </c>
      <c r="DY50" s="8">
        <f t="shared" ca="1" si="303"/>
        <v>18.031833333333331</v>
      </c>
      <c r="DZ50" s="8">
        <f t="shared" ca="1" si="304"/>
        <v>130.22445928308915</v>
      </c>
      <c r="EG50" s="361"/>
      <c r="EK50" t="s">
        <v>83</v>
      </c>
      <c r="EL50" t="s">
        <v>108</v>
      </c>
      <c r="EM50" s="8">
        <f t="shared" ca="1" si="305"/>
        <v>7.2018333333333331</v>
      </c>
      <c r="EN50" s="8">
        <f t="shared" ca="1" si="306"/>
        <v>181.39445928308913</v>
      </c>
      <c r="EU50" s="682">
        <f>'Monthly Data'!FO38</f>
        <v>880.16519963951214</v>
      </c>
      <c r="EV50" s="682">
        <f>'Monthly Data'!FP38</f>
        <v>767.01564823494164</v>
      </c>
      <c r="EW50" s="682">
        <f>'Monthly Data'!FQ38</f>
        <v>3134.2501960722007</v>
      </c>
      <c r="EX50" s="682">
        <f>'Monthly Data'!FR38</f>
        <v>82648.817436571437</v>
      </c>
      <c r="EY50" s="682">
        <f>'Monthly Data'!FS38</f>
        <v>1575048.0710188425</v>
      </c>
      <c r="EZ50" s="682">
        <f>'Monthly Data'!FT38</f>
        <v>7362343.3121277234</v>
      </c>
      <c r="FA50" s="682">
        <f>'Monthly Data'!FX38</f>
        <v>817.11900232443566</v>
      </c>
      <c r="FB50" s="682">
        <f>'Monthly Data'!FY38</f>
        <v>3922.8579687124088</v>
      </c>
      <c r="FC50" s="682">
        <f>'Monthly Data'!FZ38</f>
        <v>92522.484879427924</v>
      </c>
      <c r="FD50" s="682">
        <f>'Monthly Data'!GA38</f>
        <v>224195.63519999999</v>
      </c>
    </row>
    <row r="51" spans="1:160">
      <c r="A51">
        <v>2018</v>
      </c>
      <c r="B51">
        <v>2</v>
      </c>
      <c r="C51" s="313">
        <v>632.49583333333328</v>
      </c>
      <c r="D51" s="313">
        <v>0</v>
      </c>
      <c r="E51" s="313">
        <v>576.49583333333317</v>
      </c>
      <c r="F51" s="313">
        <v>0</v>
      </c>
      <c r="G51" s="313">
        <v>520.49583333333328</v>
      </c>
      <c r="H51" s="313">
        <v>0</v>
      </c>
      <c r="I51" s="313">
        <v>464.49583333333334</v>
      </c>
      <c r="J51" s="313">
        <v>0</v>
      </c>
      <c r="K51" s="313">
        <v>408.49583333333334</v>
      </c>
      <c r="L51" s="313">
        <v>0</v>
      </c>
      <c r="M51" s="313">
        <v>352.49583333333334</v>
      </c>
      <c r="N51" s="313">
        <v>0</v>
      </c>
      <c r="O51" s="313">
        <v>296.49583333333334</v>
      </c>
      <c r="P51" s="313">
        <v>0</v>
      </c>
      <c r="Q51" s="383">
        <v>-2.5891369047619053</v>
      </c>
      <c r="S51" s="3">
        <f>'Monthly Data'!D39</f>
        <v>75788112.29992041</v>
      </c>
      <c r="T51" s="3">
        <f>'Monthly Data'!J39</f>
        <v>944048.40275000001</v>
      </c>
      <c r="U51" s="3">
        <f>'Monthly Data'!P39</f>
        <v>23337775.572329901</v>
      </c>
      <c r="V51" s="3">
        <f>'Monthly Data'!V39</f>
        <v>76015967.129999995</v>
      </c>
      <c r="W51" s="3">
        <f>'Monthly Data'!AB39</f>
        <v>7112535.1299999999</v>
      </c>
      <c r="X51" s="3">
        <f>'Monthly Data'!AG39</f>
        <v>19725451.09</v>
      </c>
      <c r="Y51" s="3">
        <f>'Monthly Data'!BC39</f>
        <v>25873717.042549901</v>
      </c>
      <c r="Z51" s="3">
        <f>'Monthly Data'!BI39</f>
        <v>7330262.0310799899</v>
      </c>
      <c r="AA51" s="3">
        <f>'Monthly Data'!BO39</f>
        <v>28641648.640000001</v>
      </c>
      <c r="AB51" s="3">
        <f>'Monthly Data'!BU39</f>
        <v>4701080.42</v>
      </c>
      <c r="BA51" s="361"/>
      <c r="BE51" t="s">
        <v>83</v>
      </c>
      <c r="BF51" t="s">
        <v>326</v>
      </c>
      <c r="BG51" s="8">
        <f t="shared" ca="1" si="293"/>
        <v>66.09717382617383</v>
      </c>
      <c r="BH51" s="8">
        <f t="shared" ca="1" si="294"/>
        <v>20.517524703557307</v>
      </c>
      <c r="BO51" s="361"/>
      <c r="BS51" t="s">
        <v>83</v>
      </c>
      <c r="BT51" t="s">
        <v>326</v>
      </c>
      <c r="BU51" s="8">
        <f t="shared" ca="1" si="295"/>
        <v>32.520923826173821</v>
      </c>
      <c r="BV51" s="8">
        <f t="shared" ca="1" si="296"/>
        <v>46.941274703557312</v>
      </c>
      <c r="CC51" s="361"/>
      <c r="CG51" t="s">
        <v>83</v>
      </c>
      <c r="CH51" t="s">
        <v>326</v>
      </c>
      <c r="CI51" s="8">
        <f t="shared" ca="1" si="297"/>
        <v>11.89069871794872</v>
      </c>
      <c r="CJ51" s="8">
        <f t="shared" ca="1" si="298"/>
        <v>86.311049595332207</v>
      </c>
      <c r="CQ51" s="361"/>
      <c r="CU51" t="s">
        <v>83</v>
      </c>
      <c r="CV51" t="s">
        <v>326</v>
      </c>
      <c r="CW51" s="8">
        <f t="shared" ca="1" si="299"/>
        <v>3.2341666666666669</v>
      </c>
      <c r="CX51" s="8">
        <f t="shared" ca="1" si="300"/>
        <v>137.65451754405018</v>
      </c>
      <c r="DE51" s="361"/>
      <c r="DI51" t="s">
        <v>83</v>
      </c>
      <c r="DJ51" t="s">
        <v>326</v>
      </c>
      <c r="DK51" s="8">
        <f t="shared" ca="1" si="301"/>
        <v>0.5225000000000003</v>
      </c>
      <c r="DL51" s="8">
        <f t="shared" ca="1" si="302"/>
        <v>194.94285087738348</v>
      </c>
      <c r="DS51" s="361"/>
      <c r="DW51" t="s">
        <v>83</v>
      </c>
      <c r="DX51" t="s">
        <v>326</v>
      </c>
      <c r="DY51" s="8">
        <f t="shared" ca="1" si="303"/>
        <v>9.7916666666666957E-2</v>
      </c>
      <c r="DZ51" s="8">
        <f t="shared" ca="1" si="304"/>
        <v>254.51826754405016</v>
      </c>
      <c r="EG51" s="361"/>
      <c r="EK51" t="s">
        <v>83</v>
      </c>
      <c r="EL51" t="s">
        <v>326</v>
      </c>
      <c r="EM51" s="8">
        <f t="shared" ca="1" si="305"/>
        <v>0</v>
      </c>
      <c r="EN51" s="8">
        <f t="shared" ca="1" si="306"/>
        <v>314.42035087738344</v>
      </c>
      <c r="EU51" s="682">
        <f>'Monthly Data'!FO39</f>
        <v>725.07982286684194</v>
      </c>
      <c r="EV51" s="682">
        <f>'Monthly Data'!FP39</f>
        <v>624.61045651176289</v>
      </c>
      <c r="EW51" s="682">
        <f>'Monthly Data'!FQ39</f>
        <v>2677.241298589458</v>
      </c>
      <c r="EX51" s="682">
        <f>'Monthly Data'!FR39</f>
        <v>73615.870044348034</v>
      </c>
      <c r="EY51" s="682">
        <f>'Monthly Data'!FS39</f>
        <v>1500919.3367213199</v>
      </c>
      <c r="EZ51" s="682">
        <f>'Monthly Data'!FT39</f>
        <v>6598397.994778771</v>
      </c>
      <c r="FA51" s="682">
        <f>'Monthly Data'!FX39</f>
        <v>689.62425486656173</v>
      </c>
      <c r="FB51" s="682">
        <f>'Monthly Data'!FY39</f>
        <v>3345.7478529974228</v>
      </c>
      <c r="FC51" s="682">
        <f>'Monthly Data'!FZ39</f>
        <v>80040.399798285522</v>
      </c>
      <c r="FD51" s="682">
        <f>'Monthly Data'!GA39</f>
        <v>170089.94307692305</v>
      </c>
    </row>
    <row r="52" spans="1:160">
      <c r="A52">
        <v>2018</v>
      </c>
      <c r="B52">
        <v>3</v>
      </c>
      <c r="C52" s="313">
        <v>629.27916666666681</v>
      </c>
      <c r="D52" s="313">
        <v>0</v>
      </c>
      <c r="E52" s="313">
        <v>567.2791666666667</v>
      </c>
      <c r="F52" s="313">
        <v>0</v>
      </c>
      <c r="G52" s="313">
        <v>505.2791666666667</v>
      </c>
      <c r="H52" s="313">
        <v>0</v>
      </c>
      <c r="I52" s="313">
        <v>443.2791666666667</v>
      </c>
      <c r="J52" s="313">
        <v>0</v>
      </c>
      <c r="K52" s="313">
        <v>381.27916666666664</v>
      </c>
      <c r="L52" s="313">
        <v>0</v>
      </c>
      <c r="M52" s="313">
        <v>319.2791666666667</v>
      </c>
      <c r="N52" s="313">
        <v>0</v>
      </c>
      <c r="O52" s="313">
        <v>257.2791666666667</v>
      </c>
      <c r="P52" s="313">
        <v>0</v>
      </c>
      <c r="Q52" s="383">
        <v>-0.29932795698924713</v>
      </c>
      <c r="S52" s="3">
        <f>'Monthly Data'!D40</f>
        <v>77574339.804849297</v>
      </c>
      <c r="T52" s="3">
        <f>'Monthly Data'!J40</f>
        <v>908894.33846000105</v>
      </c>
      <c r="U52" s="3">
        <f>'Monthly Data'!P40</f>
        <v>24265541.644150101</v>
      </c>
      <c r="V52" s="3">
        <f>'Monthly Data'!V40</f>
        <v>81143864.829999998</v>
      </c>
      <c r="W52" s="3">
        <f>'Monthly Data'!AB40</f>
        <v>7356746.9199999999</v>
      </c>
      <c r="X52" s="3">
        <f>'Monthly Data'!AG40</f>
        <v>22735788.82</v>
      </c>
      <c r="Y52" s="3">
        <f>'Monthly Data'!BC40</f>
        <v>26862067.040940002</v>
      </c>
      <c r="Z52" s="3">
        <f>'Monthly Data'!BI40</f>
        <v>7694198.3401800096</v>
      </c>
      <c r="AA52" s="3">
        <f>'Monthly Data'!BO40</f>
        <v>28869882.920000002</v>
      </c>
      <c r="AB52" s="3">
        <f>'Monthly Data'!BU40</f>
        <v>4884626.8600000003</v>
      </c>
      <c r="BA52" s="361"/>
      <c r="BE52" t="s">
        <v>83</v>
      </c>
      <c r="BF52" t="s">
        <v>327</v>
      </c>
      <c r="BG52" s="8">
        <f t="shared" ca="1" si="293"/>
        <v>10.249063146997932</v>
      </c>
      <c r="BH52" s="8">
        <f t="shared" ca="1" si="294"/>
        <v>60.196441734276391</v>
      </c>
      <c r="BO52" s="361"/>
      <c r="BS52" t="s">
        <v>83</v>
      </c>
      <c r="BT52" t="s">
        <v>327</v>
      </c>
      <c r="BU52" s="8">
        <f t="shared" ca="1" si="295"/>
        <v>1.6179166666666653</v>
      </c>
      <c r="BV52" s="8">
        <f t="shared" ca="1" si="296"/>
        <v>113.56529525394512</v>
      </c>
      <c r="CC52" s="361"/>
      <c r="CG52" t="s">
        <v>83</v>
      </c>
      <c r="CH52" t="s">
        <v>327</v>
      </c>
      <c r="CI52" s="8">
        <f t="shared" ca="1" si="297"/>
        <v>7.4583333333333002E-2</v>
      </c>
      <c r="CJ52" s="8">
        <f t="shared" ca="1" si="298"/>
        <v>174.0219619206118</v>
      </c>
      <c r="CQ52" s="361"/>
      <c r="CU52" t="s">
        <v>83</v>
      </c>
      <c r="CV52" t="s">
        <v>327</v>
      </c>
      <c r="CW52" s="8">
        <f t="shared" ca="1" si="299"/>
        <v>0</v>
      </c>
      <c r="CX52" s="8">
        <f t="shared" ca="1" si="300"/>
        <v>235.94737858727848</v>
      </c>
      <c r="DE52" s="361"/>
      <c r="DI52" t="s">
        <v>83</v>
      </c>
      <c r="DJ52" t="s">
        <v>327</v>
      </c>
      <c r="DK52" s="8">
        <f t="shared" ca="1" si="301"/>
        <v>0</v>
      </c>
      <c r="DL52" s="8">
        <f t="shared" ca="1" si="302"/>
        <v>297.94737858727848</v>
      </c>
      <c r="DS52" s="361"/>
      <c r="DW52" t="s">
        <v>83</v>
      </c>
      <c r="DX52" t="s">
        <v>327</v>
      </c>
      <c r="DY52" s="8">
        <f t="shared" ca="1" si="303"/>
        <v>0</v>
      </c>
      <c r="DZ52" s="8">
        <f t="shared" ca="1" si="304"/>
        <v>359.94737858727854</v>
      </c>
      <c r="EG52" s="361"/>
      <c r="EK52" t="s">
        <v>83</v>
      </c>
      <c r="EL52" t="s">
        <v>327</v>
      </c>
      <c r="EM52" s="8">
        <f t="shared" ca="1" si="305"/>
        <v>0</v>
      </c>
      <c r="EN52" s="8">
        <f t="shared" ca="1" si="306"/>
        <v>421.94737858727848</v>
      </c>
      <c r="EU52" s="682">
        <f>'Monthly Data'!FO40</f>
        <v>741.22820226970305</v>
      </c>
      <c r="EV52" s="682">
        <f>'Monthly Data'!FP40</f>
        <v>602.76326396310515</v>
      </c>
      <c r="EW52" s="682">
        <f>'Monthly Data'!FQ40</f>
        <v>2779.7727562548835</v>
      </c>
      <c r="EX52" s="682">
        <f>'Monthly Data'!FR40</f>
        <v>78704.341783364231</v>
      </c>
      <c r="EY52" s="682">
        <f>'Monthly Data'!FS40</f>
        <v>1579773.5457817789</v>
      </c>
      <c r="EZ52" s="682">
        <f>'Monthly Data'!FT40</f>
        <v>7368069.0188323297</v>
      </c>
      <c r="FA52" s="682">
        <f>'Monthly Data'!FX40</f>
        <v>714.53330488923336</v>
      </c>
      <c r="FB52" s="682">
        <f>'Monthly Data'!FY40</f>
        <v>3507.5842444004616</v>
      </c>
      <c r="FC52" s="682">
        <f>'Monthly Data'!FZ40</f>
        <v>80563.239707343571</v>
      </c>
      <c r="FD52" s="682">
        <f>'Monthly Data'!GA40</f>
        <v>144135.72888888887</v>
      </c>
    </row>
    <row r="53" spans="1:160">
      <c r="A53">
        <v>2018</v>
      </c>
      <c r="B53">
        <v>4</v>
      </c>
      <c r="C53" s="313">
        <v>512.51666666666677</v>
      </c>
      <c r="D53" s="313">
        <v>0</v>
      </c>
      <c r="E53" s="313">
        <v>452.51666666666677</v>
      </c>
      <c r="F53" s="313">
        <v>0</v>
      </c>
      <c r="G53" s="313">
        <v>392.51666666666677</v>
      </c>
      <c r="H53" s="313">
        <v>0</v>
      </c>
      <c r="I53" s="313">
        <v>332.51666666666671</v>
      </c>
      <c r="J53" s="313">
        <v>0</v>
      </c>
      <c r="K53" s="313">
        <v>272.51666666666665</v>
      </c>
      <c r="L53" s="313">
        <v>0</v>
      </c>
      <c r="M53" s="313">
        <v>212.57916666666659</v>
      </c>
      <c r="N53" s="313">
        <v>6.2499999999998224E-2</v>
      </c>
      <c r="O53" s="313">
        <v>158.6666666666666</v>
      </c>
      <c r="P53" s="313">
        <v>6.15</v>
      </c>
      <c r="Q53" s="383">
        <v>2.9161111111111113</v>
      </c>
      <c r="S53" s="3">
        <f>'Monthly Data'!D41</f>
        <v>71453134.588280007</v>
      </c>
      <c r="T53" s="3">
        <f>'Monthly Data'!J41</f>
        <v>786585.54633000097</v>
      </c>
      <c r="U53" s="3">
        <f>'Monthly Data'!P41</f>
        <v>22236277.656720102</v>
      </c>
      <c r="V53" s="3">
        <f>'Monthly Data'!V41</f>
        <v>77058839.040000007</v>
      </c>
      <c r="W53" s="3">
        <f>'Monthly Data'!AB41</f>
        <v>7162192.54</v>
      </c>
      <c r="X53" s="3">
        <f>'Monthly Data'!AG41</f>
        <v>21800508.280000001</v>
      </c>
      <c r="Y53" s="3">
        <f>'Monthly Data'!BC41</f>
        <v>25231386.626850203</v>
      </c>
      <c r="Z53" s="3">
        <f>'Monthly Data'!BI41</f>
        <v>7000695.0524100102</v>
      </c>
      <c r="AA53" s="3">
        <f>'Monthly Data'!BO41</f>
        <v>27695564.940000001</v>
      </c>
      <c r="AB53" s="3">
        <f>'Monthly Data'!BU41</f>
        <v>6434645.5199999996</v>
      </c>
      <c r="BA53" s="361"/>
      <c r="BE53" t="s">
        <v>83</v>
      </c>
      <c r="BF53" t="s">
        <v>328</v>
      </c>
      <c r="BG53" s="8">
        <f t="shared" ca="1" si="293"/>
        <v>21.194927536231887</v>
      </c>
      <c r="BH53" s="8">
        <f t="shared" ca="1" si="294"/>
        <v>46.16051548089591</v>
      </c>
      <c r="BO53" s="361"/>
      <c r="BS53" t="s">
        <v>83</v>
      </c>
      <c r="BT53" t="s">
        <v>328</v>
      </c>
      <c r="BU53" s="8">
        <f t="shared" ca="1" si="295"/>
        <v>5.6499999999999977</v>
      </c>
      <c r="BV53" s="8">
        <f t="shared" ca="1" si="296"/>
        <v>92.615587944664043</v>
      </c>
      <c r="CC53" s="361"/>
      <c r="CG53" t="s">
        <v>83</v>
      </c>
      <c r="CH53" t="s">
        <v>328</v>
      </c>
      <c r="CI53" s="8">
        <f t="shared" ca="1" si="297"/>
        <v>0.75041666666666718</v>
      </c>
      <c r="CJ53" s="8">
        <f t="shared" ca="1" si="298"/>
        <v>149.7160046113307</v>
      </c>
      <c r="CQ53" s="361"/>
      <c r="CU53" t="s">
        <v>83</v>
      </c>
      <c r="CV53" t="s">
        <v>328</v>
      </c>
      <c r="CW53" s="8">
        <f t="shared" ca="1" si="299"/>
        <v>0</v>
      </c>
      <c r="CX53" s="8">
        <f t="shared" ca="1" si="300"/>
        <v>210.96558794466404</v>
      </c>
      <c r="DE53" s="361"/>
      <c r="DI53" t="s">
        <v>83</v>
      </c>
      <c r="DJ53" t="s">
        <v>328</v>
      </c>
      <c r="DK53" s="8">
        <f t="shared" ca="1" si="301"/>
        <v>0</v>
      </c>
      <c r="DL53" s="8">
        <f t="shared" ca="1" si="302"/>
        <v>272.96558794466404</v>
      </c>
      <c r="DS53" s="361"/>
      <c r="DW53" t="s">
        <v>83</v>
      </c>
      <c r="DX53" t="s">
        <v>328</v>
      </c>
      <c r="DY53" s="8">
        <f t="shared" ca="1" si="303"/>
        <v>0</v>
      </c>
      <c r="DZ53" s="8">
        <f t="shared" ca="1" si="304"/>
        <v>334.96558794466404</v>
      </c>
      <c r="EG53" s="361"/>
      <c r="EK53" t="s">
        <v>83</v>
      </c>
      <c r="EL53" t="s">
        <v>328</v>
      </c>
      <c r="EM53" s="8">
        <f t="shared" ca="1" si="305"/>
        <v>0</v>
      </c>
      <c r="EN53" s="8">
        <f t="shared" ca="1" si="306"/>
        <v>396.96558794466398</v>
      </c>
      <c r="EU53" s="682">
        <f>'Monthly Data'!FO41</f>
        <v>684.92915487499477</v>
      </c>
      <c r="EV53" s="682">
        <f>'Monthly Data'!FP41</f>
        <v>525.44597580295988</v>
      </c>
      <c r="EW53" s="682">
        <f>'Monthly Data'!FQ41</f>
        <v>2556.058560783064</v>
      </c>
      <c r="EX53" s="682">
        <f>'Monthly Data'!FR41</f>
        <v>75207.870409352458</v>
      </c>
      <c r="EY53" s="682">
        <f>'Monthly Data'!FS41</f>
        <v>1567422.6544515402</v>
      </c>
      <c r="EZ53" s="682">
        <f>'Monthly Data'!FT41</f>
        <v>6915571.0106832096</v>
      </c>
      <c r="FA53" s="682">
        <f>'Monthly Data'!FX41</f>
        <v>673.95532540807301</v>
      </c>
      <c r="FB53" s="682">
        <f>'Monthly Data'!FY41</f>
        <v>3197.8584542669059</v>
      </c>
      <c r="FC53" s="682">
        <f>'Monthly Data'!FZ41</f>
        <v>77303.501395745043</v>
      </c>
      <c r="FD53" s="682">
        <f>'Monthly Data'!GA41</f>
        <v>121446.47571428568</v>
      </c>
    </row>
    <row r="54" spans="1:160">
      <c r="A54">
        <v>2018</v>
      </c>
      <c r="B54">
        <v>5</v>
      </c>
      <c r="C54" s="313">
        <v>140.84469696969697</v>
      </c>
      <c r="D54" s="313">
        <v>13.3827380952381</v>
      </c>
      <c r="E54" s="313">
        <v>95.407196969696969</v>
      </c>
      <c r="F54" s="313">
        <v>29.9452380952381</v>
      </c>
      <c r="G54" s="313">
        <v>53.462500000000013</v>
      </c>
      <c r="H54" s="313">
        <v>50.000541125541133</v>
      </c>
      <c r="I54" s="313">
        <v>22.062500000000014</v>
      </c>
      <c r="J54" s="313">
        <v>80.600541125541127</v>
      </c>
      <c r="K54" s="313">
        <v>6.9291666666666698</v>
      </c>
      <c r="L54" s="313">
        <v>127.46720779220779</v>
      </c>
      <c r="M54" s="313">
        <v>2.7874999999999988</v>
      </c>
      <c r="N54" s="313">
        <v>185.32554112554109</v>
      </c>
      <c r="O54" s="313">
        <v>0.50416666666666554</v>
      </c>
      <c r="P54" s="313">
        <v>245.04220779220779</v>
      </c>
      <c r="Q54" s="383">
        <v>15.888323907275522</v>
      </c>
      <c r="S54" s="3">
        <f>'Monthly Data'!D42</f>
        <v>65635997.683669604</v>
      </c>
      <c r="T54" s="3">
        <f>'Monthly Data'!J42</f>
        <v>642897.52127999999</v>
      </c>
      <c r="U54" s="3">
        <f>'Monthly Data'!P42</f>
        <v>21346013.1307799</v>
      </c>
      <c r="V54" s="3">
        <f>'Monthly Data'!V42</f>
        <v>78446949.640000001</v>
      </c>
      <c r="W54" s="3">
        <f>'Monthly Data'!AB42</f>
        <v>7003788.1799999997</v>
      </c>
      <c r="X54" s="3">
        <f>'Monthly Data'!AG42</f>
        <v>21315121.09</v>
      </c>
      <c r="Y54" s="3">
        <f>'Monthly Data'!BC42</f>
        <v>26274819.8545499</v>
      </c>
      <c r="Z54" s="3">
        <f>'Monthly Data'!BI42</f>
        <v>6892929.3653700007</v>
      </c>
      <c r="AA54" s="3">
        <f>'Monthly Data'!BO42</f>
        <v>27592545.890000001</v>
      </c>
      <c r="AB54" s="3">
        <f>'Monthly Data'!BU42</f>
        <v>5926066.3700000001</v>
      </c>
      <c r="BE54" t="s">
        <v>83</v>
      </c>
      <c r="BF54" t="s">
        <v>329</v>
      </c>
      <c r="BG54" s="8">
        <f t="shared" ca="1" si="293"/>
        <v>96.735690993788822</v>
      </c>
      <c r="BH54" s="8">
        <f t="shared" ca="1" si="294"/>
        <v>12.738333333333333</v>
      </c>
      <c r="BS54" t="s">
        <v>83</v>
      </c>
      <c r="BT54" t="s">
        <v>329</v>
      </c>
      <c r="BU54" s="8">
        <f t="shared" ca="1" si="295"/>
        <v>54.959440993788824</v>
      </c>
      <c r="BV54" s="8">
        <f t="shared" ca="1" si="296"/>
        <v>30.962083333333332</v>
      </c>
      <c r="CG54" t="s">
        <v>83</v>
      </c>
      <c r="CH54" t="s">
        <v>329</v>
      </c>
      <c r="CI54" s="8">
        <f t="shared" ca="1" si="297"/>
        <v>26.342536231884061</v>
      </c>
      <c r="CJ54" s="8">
        <f t="shared" ca="1" si="298"/>
        <v>62.345178571428576</v>
      </c>
      <c r="CU54" t="s">
        <v>83</v>
      </c>
      <c r="CV54" t="s">
        <v>329</v>
      </c>
      <c r="CW54" s="8">
        <f t="shared" ca="1" si="299"/>
        <v>10.413369565217392</v>
      </c>
      <c r="CX54" s="8">
        <f t="shared" ca="1" si="300"/>
        <v>106.4160119047619</v>
      </c>
      <c r="DI54" t="s">
        <v>83</v>
      </c>
      <c r="DJ54" t="s">
        <v>329</v>
      </c>
      <c r="DK54" s="8">
        <f t="shared" ca="1" si="301"/>
        <v>2.6674999999999995</v>
      </c>
      <c r="DL54" s="8">
        <f t="shared" ca="1" si="302"/>
        <v>158.67014233954447</v>
      </c>
      <c r="DW54" t="s">
        <v>83</v>
      </c>
      <c r="DX54" t="s">
        <v>329</v>
      </c>
      <c r="DY54" s="8">
        <f t="shared" ca="1" si="303"/>
        <v>0.57166666666666666</v>
      </c>
      <c r="DZ54" s="8">
        <f t="shared" ca="1" si="304"/>
        <v>216.57430900621117</v>
      </c>
      <c r="EK54" t="s">
        <v>83</v>
      </c>
      <c r="EL54" t="s">
        <v>329</v>
      </c>
      <c r="EM54" s="8">
        <f t="shared" ca="1" si="305"/>
        <v>0</v>
      </c>
      <c r="EN54" s="8">
        <f t="shared" ca="1" si="306"/>
        <v>276.00264233954448</v>
      </c>
      <c r="EU54" s="682">
        <f>'Monthly Data'!FO42</f>
        <v>631.52472672029103</v>
      </c>
      <c r="EV54" s="682">
        <f>'Monthly Data'!FP42</f>
        <v>434.50504999602083</v>
      </c>
      <c r="EW54" s="682">
        <f>'Monthly Data'!FQ42</f>
        <v>2458.2294897393563</v>
      </c>
      <c r="EX54" s="682">
        <f>'Monthly Data'!FR42</f>
        <v>76825.111931053412</v>
      </c>
      <c r="EY54" s="682">
        <f>'Monthly Data'!FS42</f>
        <v>1562509.9168911108</v>
      </c>
      <c r="EZ54" s="682">
        <f>'Monthly Data'!FT42</f>
        <v>6616822.1785413641</v>
      </c>
      <c r="FA54" s="682">
        <f>'Monthly Data'!FX42</f>
        <v>700.21262189561264</v>
      </c>
      <c r="FB54" s="682">
        <f>'Monthly Data'!FY42</f>
        <v>3149.4469808115559</v>
      </c>
      <c r="FC54" s="682">
        <f>'Monthly Data'!FZ42</f>
        <v>76938.688537992901</v>
      </c>
      <c r="FD54" s="682">
        <f>'Monthly Data'!GA42</f>
        <v>105832.46482758618</v>
      </c>
    </row>
    <row r="55" spans="1:160">
      <c r="A55">
        <v>2018</v>
      </c>
      <c r="B55">
        <v>6</v>
      </c>
      <c r="C55" s="313">
        <v>63.468560606060585</v>
      </c>
      <c r="D55" s="313">
        <v>21.662499999999998</v>
      </c>
      <c r="E55" s="313">
        <v>23.060227272727261</v>
      </c>
      <c r="F55" s="313">
        <v>41.254166666666663</v>
      </c>
      <c r="G55" s="313">
        <v>7.645833333333325</v>
      </c>
      <c r="H55" s="313">
        <v>85.839772727272717</v>
      </c>
      <c r="I55" s="313">
        <v>3.3208333333333275</v>
      </c>
      <c r="J55" s="313">
        <v>141.51477272727271</v>
      </c>
      <c r="K55" s="313">
        <v>0</v>
      </c>
      <c r="L55" s="313">
        <v>198.19393939393944</v>
      </c>
      <c r="M55" s="313">
        <v>0</v>
      </c>
      <c r="N55" s="313">
        <v>258.19393939393944</v>
      </c>
      <c r="O55" s="313">
        <v>0</v>
      </c>
      <c r="P55" s="313">
        <v>318.19393939393939</v>
      </c>
      <c r="Q55" s="383">
        <v>18.606464646464644</v>
      </c>
      <c r="S55" s="3">
        <f>'Monthly Data'!D43</f>
        <v>75302537.506399795</v>
      </c>
      <c r="T55" s="3">
        <f>'Monthly Data'!J43</f>
        <v>677911.601250001</v>
      </c>
      <c r="U55" s="3">
        <f>'Monthly Data'!P43</f>
        <v>21810589.903229997</v>
      </c>
      <c r="V55" s="3">
        <f>'Monthly Data'!V43</f>
        <v>79546338.069999993</v>
      </c>
      <c r="W55" s="3">
        <f>'Monthly Data'!AB43</f>
        <v>7113941.3899999997</v>
      </c>
      <c r="X55" s="3">
        <f>'Monthly Data'!AG43</f>
        <v>18717671.82</v>
      </c>
      <c r="Y55" s="3">
        <f>'Monthly Data'!BC43</f>
        <v>31522419.512800101</v>
      </c>
      <c r="Z55" s="3">
        <f>'Monthly Data'!BI43</f>
        <v>7114689.6228800006</v>
      </c>
      <c r="AA55" s="3">
        <f>'Monthly Data'!BO43</f>
        <v>28199952.420000002</v>
      </c>
      <c r="AB55" s="3">
        <f>'Monthly Data'!BU43</f>
        <v>6209005.0800000001</v>
      </c>
      <c r="BE55" t="s">
        <v>83</v>
      </c>
      <c r="BF55" t="s">
        <v>330</v>
      </c>
      <c r="BG55" s="8">
        <f t="shared" ca="1" si="293"/>
        <v>298.21097826086958</v>
      </c>
      <c r="BH55" s="8">
        <f t="shared" ca="1" si="294"/>
        <v>1.666666666666572E-3</v>
      </c>
      <c r="BS55" t="s">
        <v>83</v>
      </c>
      <c r="BT55" t="s">
        <v>330</v>
      </c>
      <c r="BU55" s="8">
        <f t="shared" ca="1" si="295"/>
        <v>237.89681159420289</v>
      </c>
      <c r="BV55" s="8">
        <f t="shared" ca="1" si="296"/>
        <v>1.6875000000000011</v>
      </c>
      <c r="CG55" t="s">
        <v>83</v>
      </c>
      <c r="CH55" t="s">
        <v>330</v>
      </c>
      <c r="CI55" s="8">
        <f t="shared" ca="1" si="297"/>
        <v>181.36347826086953</v>
      </c>
      <c r="CJ55" s="8">
        <f t="shared" ca="1" si="298"/>
        <v>7.1541666666666703</v>
      </c>
      <c r="CU55" t="s">
        <v>83</v>
      </c>
      <c r="CV55" t="s">
        <v>330</v>
      </c>
      <c r="CW55" s="8">
        <f t="shared" ca="1" si="299"/>
        <v>130.19639492753623</v>
      </c>
      <c r="CX55" s="8">
        <f t="shared" ca="1" si="300"/>
        <v>17.987083333333334</v>
      </c>
      <c r="DI55" t="s">
        <v>83</v>
      </c>
      <c r="DJ55" t="s">
        <v>330</v>
      </c>
      <c r="DK55" s="8">
        <f t="shared" ca="1" si="301"/>
        <v>85.537644927536221</v>
      </c>
      <c r="DL55" s="8">
        <f t="shared" ca="1" si="302"/>
        <v>35.32833333333334</v>
      </c>
      <c r="DW55" t="s">
        <v>83</v>
      </c>
      <c r="DX55" t="s">
        <v>330</v>
      </c>
      <c r="DY55" s="8">
        <f t="shared" ca="1" si="303"/>
        <v>50.475978260869567</v>
      </c>
      <c r="DZ55" s="8">
        <f t="shared" ca="1" si="304"/>
        <v>62.266666666666673</v>
      </c>
      <c r="EK55" t="s">
        <v>83</v>
      </c>
      <c r="EL55" t="s">
        <v>330</v>
      </c>
      <c r="EM55" s="8">
        <f t="shared" ca="1" si="305"/>
        <v>24.76139492753623</v>
      </c>
      <c r="EN55" s="8">
        <f t="shared" ca="1" si="306"/>
        <v>98.552083333333343</v>
      </c>
      <c r="EU55" s="682">
        <f>'Monthly Data'!FO43</f>
        <v>719.74048132943574</v>
      </c>
      <c r="EV55" s="682">
        <f>'Monthly Data'!FP43</f>
        <v>457.29537267925764</v>
      </c>
      <c r="EW55" s="682">
        <f>'Monthly Data'!FQ43</f>
        <v>2509.6993541491206</v>
      </c>
      <c r="EX55" s="682">
        <f>'Monthly Data'!FR43</f>
        <v>78181.146786701545</v>
      </c>
      <c r="EY55" s="682">
        <f>'Monthly Data'!FS43</f>
        <v>1617094.6860877026</v>
      </c>
      <c r="EZ55" s="682">
        <f>'Monthly Data'!FT43</f>
        <v>5728853.1726919878</v>
      </c>
      <c r="FA55" s="682">
        <f>'Monthly Data'!FX43</f>
        <v>831.3199649390632</v>
      </c>
      <c r="FB55" s="682">
        <f>'Monthly Data'!FY43</f>
        <v>3247.8097913333022</v>
      </c>
      <c r="FC55" s="682">
        <f>'Monthly Data'!FZ43</f>
        <v>78482.527490406224</v>
      </c>
      <c r="FD55" s="682">
        <f>'Monthly Data'!GA43</f>
        <v>91516.823999999964</v>
      </c>
    </row>
    <row r="56" spans="1:160">
      <c r="A56">
        <v>2018</v>
      </c>
      <c r="B56">
        <v>7</v>
      </c>
      <c r="C56" s="313">
        <v>4.9668995859213254</v>
      </c>
      <c r="D56" s="313">
        <v>75.365513833992097</v>
      </c>
      <c r="E56" s="313">
        <v>0.19999999999999574</v>
      </c>
      <c r="F56" s="313">
        <v>132.59861424807079</v>
      </c>
      <c r="G56" s="313">
        <v>0</v>
      </c>
      <c r="H56" s="313">
        <v>194.39861424807077</v>
      </c>
      <c r="I56" s="313">
        <v>0</v>
      </c>
      <c r="J56" s="313">
        <v>256.39861424807077</v>
      </c>
      <c r="K56" s="313">
        <v>0</v>
      </c>
      <c r="L56" s="313">
        <v>318.39861424807077</v>
      </c>
      <c r="M56" s="313">
        <v>0</v>
      </c>
      <c r="N56" s="313">
        <v>380.39861424807083</v>
      </c>
      <c r="O56" s="313">
        <v>0</v>
      </c>
      <c r="P56" s="313">
        <v>442.39861424807088</v>
      </c>
      <c r="Q56" s="383">
        <v>22.270923040260342</v>
      </c>
      <c r="S56" s="3">
        <f>'Monthly Data'!D44</f>
        <v>105593928.35262999</v>
      </c>
      <c r="T56" s="3">
        <f>'Monthly Data'!J44</f>
        <v>1007454.95042</v>
      </c>
      <c r="U56" s="3">
        <f>'Monthly Data'!P44</f>
        <v>25306080.0246301</v>
      </c>
      <c r="V56" s="3">
        <f>'Monthly Data'!V44</f>
        <v>85162834.689999998</v>
      </c>
      <c r="W56" s="3">
        <f>'Monthly Data'!AB44</f>
        <v>6311245.5599999996</v>
      </c>
      <c r="X56" s="3">
        <f>'Monthly Data'!AG44</f>
        <v>19660221.77</v>
      </c>
      <c r="Y56" s="3">
        <f>'Monthly Data'!BC44</f>
        <v>43551091.827659801</v>
      </c>
      <c r="Z56" s="3">
        <f>'Monthly Data'!BI44</f>
        <v>8165305.2341500102</v>
      </c>
      <c r="AA56" s="3">
        <f>'Monthly Data'!BO44</f>
        <v>29739839.879999999</v>
      </c>
      <c r="AB56" s="3">
        <f>'Monthly Data'!BU44</f>
        <v>6382035.1399999997</v>
      </c>
      <c r="BE56" t="s">
        <v>83</v>
      </c>
      <c r="BF56" t="s">
        <v>331</v>
      </c>
      <c r="BG56" s="8">
        <f t="shared" ca="1" si="293"/>
        <v>486.62991389045737</v>
      </c>
      <c r="BH56" s="8">
        <f t="shared" ca="1" si="294"/>
        <v>0</v>
      </c>
      <c r="BS56" t="s">
        <v>83</v>
      </c>
      <c r="BT56" t="s">
        <v>331</v>
      </c>
      <c r="BU56" s="8">
        <f t="shared" ca="1" si="295"/>
        <v>426.62991389045737</v>
      </c>
      <c r="BV56" s="8">
        <f t="shared" ca="1" si="296"/>
        <v>0</v>
      </c>
      <c r="CG56" t="s">
        <v>83</v>
      </c>
      <c r="CH56" t="s">
        <v>331</v>
      </c>
      <c r="CI56" s="8">
        <f t="shared" ca="1" si="297"/>
        <v>366.78033055712399</v>
      </c>
      <c r="CJ56" s="8">
        <f t="shared" ca="1" si="298"/>
        <v>0.15041666666666628</v>
      </c>
      <c r="CU56" t="s">
        <v>83</v>
      </c>
      <c r="CV56" t="s">
        <v>331</v>
      </c>
      <c r="CW56" s="8">
        <f t="shared" ca="1" si="299"/>
        <v>307.43824722379077</v>
      </c>
      <c r="CX56" s="8">
        <f t="shared" ca="1" si="300"/>
        <v>0.8083333333333329</v>
      </c>
      <c r="DI56" t="s">
        <v>83</v>
      </c>
      <c r="DJ56" t="s">
        <v>331</v>
      </c>
      <c r="DK56" s="8">
        <f t="shared" ca="1" si="301"/>
        <v>248.90783055712399</v>
      </c>
      <c r="DL56" s="8">
        <f t="shared" ca="1" si="302"/>
        <v>2.2779166666666657</v>
      </c>
      <c r="DW56" t="s">
        <v>83</v>
      </c>
      <c r="DX56" t="s">
        <v>331</v>
      </c>
      <c r="DY56" s="8">
        <f t="shared" ca="1" si="303"/>
        <v>192.26908055712403</v>
      </c>
      <c r="DZ56" s="8">
        <f t="shared" ca="1" si="304"/>
        <v>5.6391666666666662</v>
      </c>
      <c r="EK56" t="s">
        <v>83</v>
      </c>
      <c r="EL56" t="s">
        <v>331</v>
      </c>
      <c r="EM56" s="8">
        <f t="shared" ca="1" si="305"/>
        <v>140.02366389045739</v>
      </c>
      <c r="EN56" s="8">
        <f t="shared" ca="1" si="306"/>
        <v>13.393750000000001</v>
      </c>
      <c r="EU56" s="682">
        <f>'Monthly Data'!FO44</f>
        <v>996.09251387859024</v>
      </c>
      <c r="EV56" s="682">
        <f>'Monthly Data'!FP44</f>
        <v>667.58927051850026</v>
      </c>
      <c r="EW56" s="682">
        <f>'Monthly Data'!FQ44</f>
        <v>2894.3721432255238</v>
      </c>
      <c r="EX56" s="682">
        <f>'Monthly Data'!FR44</f>
        <v>83813.610961187223</v>
      </c>
      <c r="EY56" s="682">
        <f>'Monthly Data'!FS44</f>
        <v>1467056.4563860528</v>
      </c>
      <c r="EZ56" s="682">
        <f>'Monthly Data'!FT44</f>
        <v>5870091.8099053726</v>
      </c>
      <c r="FA56" s="682">
        <f>'Monthly Data'!FX44</f>
        <v>1131.2691704563454</v>
      </c>
      <c r="FB56" s="682">
        <f>'Monthly Data'!FY44</f>
        <v>3714.8731593744569</v>
      </c>
      <c r="FC56" s="682">
        <f>'Monthly Data'!FZ44</f>
        <v>82518.436560894217</v>
      </c>
      <c r="FD56" s="682">
        <f>'Monthly Data'!GA44</f>
        <v>94012.738064516088</v>
      </c>
    </row>
    <row r="57" spans="1:160">
      <c r="A57">
        <v>2018</v>
      </c>
      <c r="B57">
        <v>8</v>
      </c>
      <c r="C57" s="313">
        <v>7.2291666666666679</v>
      </c>
      <c r="D57" s="313">
        <v>73.474999999999994</v>
      </c>
      <c r="E57" s="313">
        <v>0.90833333333333144</v>
      </c>
      <c r="F57" s="313">
        <v>129.1541666666667</v>
      </c>
      <c r="G57" s="313">
        <v>0</v>
      </c>
      <c r="H57" s="313">
        <v>190.24583333333339</v>
      </c>
      <c r="I57" s="313">
        <v>0</v>
      </c>
      <c r="J57" s="313">
        <v>252.24583333333339</v>
      </c>
      <c r="K57" s="313">
        <v>0</v>
      </c>
      <c r="L57" s="313">
        <v>314.24583333333334</v>
      </c>
      <c r="M57" s="313">
        <v>0</v>
      </c>
      <c r="N57" s="313">
        <v>376.24583333333334</v>
      </c>
      <c r="O57" s="313">
        <v>0</v>
      </c>
      <c r="P57" s="313">
        <v>438.24583333333322</v>
      </c>
      <c r="Q57" s="383">
        <v>22.136962365591401</v>
      </c>
      <c r="S57" s="3">
        <f>'Monthly Data'!D45</f>
        <v>102916891.02043</v>
      </c>
      <c r="T57" s="3">
        <f>'Monthly Data'!J45</f>
        <v>1016169.23654</v>
      </c>
      <c r="U57" s="3">
        <f>'Monthly Data'!P45</f>
        <v>25164910.779600099</v>
      </c>
      <c r="V57" s="3">
        <f>'Monthly Data'!V45</f>
        <v>87165082.629999995</v>
      </c>
      <c r="W57" s="3">
        <f>'Monthly Data'!AB45</f>
        <v>6502731.6299999999</v>
      </c>
      <c r="X57" s="3">
        <f>'Monthly Data'!AG45</f>
        <v>20602666.219999999</v>
      </c>
      <c r="Y57" s="3">
        <f>'Monthly Data'!BC45</f>
        <v>42550986.482229695</v>
      </c>
      <c r="Z57" s="3">
        <f>'Monthly Data'!BI45</f>
        <v>8249057.5837700097</v>
      </c>
      <c r="AA57" s="3">
        <f>'Monthly Data'!BO45</f>
        <v>31063804.010000002</v>
      </c>
      <c r="AB57" s="3">
        <f>'Monthly Data'!BU45</f>
        <v>6347228.0800000001</v>
      </c>
      <c r="BE57" t="s">
        <v>83</v>
      </c>
      <c r="BF57" t="s">
        <v>332</v>
      </c>
      <c r="BG57" s="8">
        <f t="shared" ca="1" si="293"/>
        <v>639.92800724637686</v>
      </c>
      <c r="BH57" s="8">
        <f t="shared" ca="1" si="294"/>
        <v>0</v>
      </c>
      <c r="BS57" t="s">
        <v>83</v>
      </c>
      <c r="BT57" t="s">
        <v>332</v>
      </c>
      <c r="BU57" s="8">
        <f t="shared" ca="1" si="295"/>
        <v>577.92800724637686</v>
      </c>
      <c r="BV57" s="8">
        <f t="shared" ca="1" si="296"/>
        <v>0</v>
      </c>
      <c r="CG57" t="s">
        <v>83</v>
      </c>
      <c r="CH57" t="s">
        <v>332</v>
      </c>
      <c r="CI57" s="8">
        <f t="shared" ca="1" si="297"/>
        <v>515.92800724637686</v>
      </c>
      <c r="CJ57" s="8">
        <f t="shared" ca="1" si="298"/>
        <v>0</v>
      </c>
      <c r="CU57" t="s">
        <v>83</v>
      </c>
      <c r="CV57" t="s">
        <v>332</v>
      </c>
      <c r="CW57" s="8">
        <f t="shared" ca="1" si="299"/>
        <v>453.92800724637681</v>
      </c>
      <c r="CX57" s="8">
        <f t="shared" ca="1" si="300"/>
        <v>0</v>
      </c>
      <c r="DI57" t="s">
        <v>83</v>
      </c>
      <c r="DJ57" t="s">
        <v>332</v>
      </c>
      <c r="DK57" s="8">
        <f t="shared" ca="1" si="301"/>
        <v>391.92800724637681</v>
      </c>
      <c r="DL57" s="8">
        <f t="shared" ca="1" si="302"/>
        <v>0</v>
      </c>
      <c r="DW57" t="s">
        <v>83</v>
      </c>
      <c r="DX57" t="s">
        <v>332</v>
      </c>
      <c r="DY57" s="8">
        <f t="shared" ca="1" si="303"/>
        <v>330.0559239130435</v>
      </c>
      <c r="DZ57" s="8">
        <f t="shared" ca="1" si="304"/>
        <v>0.12791666666666668</v>
      </c>
      <c r="EK57" t="s">
        <v>83</v>
      </c>
      <c r="EL57" t="s">
        <v>332</v>
      </c>
      <c r="EM57" s="8">
        <f t="shared" ca="1" si="305"/>
        <v>268.92048913043476</v>
      </c>
      <c r="EN57" s="8">
        <f t="shared" ca="1" si="306"/>
        <v>0.99248188405797111</v>
      </c>
      <c r="EU57" s="682">
        <f>'Monthly Data'!FO45</f>
        <v>971.17897850576378</v>
      </c>
      <c r="EV57" s="682">
        <f>'Monthly Data'!FP45</f>
        <v>673.66481197995051</v>
      </c>
      <c r="EW57" s="682">
        <f>'Monthly Data'!FQ45</f>
        <v>2878.8025166295615</v>
      </c>
      <c r="EX57" s="682">
        <f>'Monthly Data'!FR45</f>
        <v>86057.618803181336</v>
      </c>
      <c r="EY57" s="682">
        <f>'Monthly Data'!FS45</f>
        <v>1540674.1178497239</v>
      </c>
      <c r="EZ57" s="682">
        <f>'Monthly Data'!FT45</f>
        <v>6004881.7363363309</v>
      </c>
      <c r="FA57" s="682">
        <f>'Monthly Data'!FX45</f>
        <v>1106.1970092572251</v>
      </c>
      <c r="FB57" s="682">
        <f>'Monthly Data'!FY45</f>
        <v>3751.4108393197976</v>
      </c>
      <c r="FC57" s="682">
        <f>'Monthly Data'!FZ45</f>
        <v>85960.823723345515</v>
      </c>
      <c r="FD57" s="682">
        <f>'Monthly Data'!GA45</f>
        <v>103802.19749999995</v>
      </c>
    </row>
    <row r="58" spans="1:160">
      <c r="A58">
        <v>2018</v>
      </c>
      <c r="B58">
        <v>9</v>
      </c>
      <c r="C58" s="313">
        <v>92.370833333333337</v>
      </c>
      <c r="D58" s="313">
        <v>33.737500000000011</v>
      </c>
      <c r="E58" s="313">
        <v>59.1875</v>
      </c>
      <c r="F58" s="313">
        <v>60.55416666666666</v>
      </c>
      <c r="G58" s="313">
        <v>33.279166666666669</v>
      </c>
      <c r="H58" s="313">
        <v>94.645833333333329</v>
      </c>
      <c r="I58" s="313">
        <v>13.695833333333338</v>
      </c>
      <c r="J58" s="313">
        <v>135.06250000000003</v>
      </c>
      <c r="K58" s="313">
        <v>2.1166666666666636</v>
      </c>
      <c r="L58" s="313">
        <v>183.48333333333329</v>
      </c>
      <c r="M58" s="313">
        <v>0</v>
      </c>
      <c r="N58" s="313">
        <v>241.36666666666665</v>
      </c>
      <c r="O58" s="313">
        <v>0</v>
      </c>
      <c r="P58" s="313">
        <v>301.3666666666665</v>
      </c>
      <c r="Q58" s="383">
        <v>18.045555555555556</v>
      </c>
      <c r="S58" s="3">
        <f>'Monthly Data'!D46</f>
        <v>81047969.233560294</v>
      </c>
      <c r="T58" s="3">
        <f>'Monthly Data'!J46</f>
        <v>716882.53558999998</v>
      </c>
      <c r="U58" s="3">
        <f>'Monthly Data'!P46</f>
        <v>21753953.700139999</v>
      </c>
      <c r="V58" s="3">
        <f>'Monthly Data'!V46</f>
        <v>80820608.329999998</v>
      </c>
      <c r="W58" s="3">
        <f>'Monthly Data'!AB46</f>
        <v>6001451.71</v>
      </c>
      <c r="X58" s="3">
        <f>'Monthly Data'!AG46</f>
        <v>19924705.140000001</v>
      </c>
      <c r="Y58" s="3">
        <f>'Monthly Data'!BC46</f>
        <v>33392375.72783</v>
      </c>
      <c r="Z58" s="3">
        <f>'Monthly Data'!BI46</f>
        <v>7170784.3536500204</v>
      </c>
      <c r="AA58" s="3">
        <f>'Monthly Data'!BO46</f>
        <v>30660383.59</v>
      </c>
      <c r="AB58" s="3">
        <f>'Monthly Data'!BU46</f>
        <v>6445255.0700000003</v>
      </c>
      <c r="EU58" s="682">
        <f>'Monthly Data'!FO46</f>
        <v>771.43569567251313</v>
      </c>
      <c r="EV58" s="682">
        <f>'Monthly Data'!FP46</f>
        <v>483.62512778746066</v>
      </c>
      <c r="EW58" s="682">
        <f>'Monthly Data'!FQ46</f>
        <v>2504.3480146908528</v>
      </c>
      <c r="EX58" s="682">
        <f>'Monthly Data'!FR46</f>
        <v>80378.64596509363</v>
      </c>
      <c r="EY58" s="682">
        <f>'Monthly Data'!FS46</f>
        <v>1454174.9840766764</v>
      </c>
      <c r="EZ58" s="682">
        <f>'Monthly Data'!FT46</f>
        <v>5701572.8580370247</v>
      </c>
      <c r="FA58" s="682">
        <f>'Monthly Data'!FX46</f>
        <v>878.09797543256741</v>
      </c>
      <c r="FB58" s="682">
        <f>'Monthly Data'!FY46</f>
        <v>3271.449402130394</v>
      </c>
      <c r="FC58" s="682">
        <f>'Monthly Data'!FZ46</f>
        <v>84780.000396821022</v>
      </c>
      <c r="FD58" s="682">
        <f>'Monthly Data'!GA46</f>
        <v>108841.19272727269</v>
      </c>
    </row>
    <row r="59" spans="1:160">
      <c r="A59">
        <v>2018</v>
      </c>
      <c r="B59">
        <v>10</v>
      </c>
      <c r="C59" s="313">
        <v>364.80833333333339</v>
      </c>
      <c r="D59" s="313">
        <v>1.6666666666665719E-2</v>
      </c>
      <c r="E59" s="313">
        <v>305.10000000000002</v>
      </c>
      <c r="F59" s="313">
        <v>2.30833333333333</v>
      </c>
      <c r="G59" s="313">
        <v>248.88749999999993</v>
      </c>
      <c r="H59" s="313">
        <v>8.0958333333333314</v>
      </c>
      <c r="I59" s="313">
        <v>194.17916666666662</v>
      </c>
      <c r="J59" s="313">
        <v>15.387500000000001</v>
      </c>
      <c r="K59" s="313">
        <v>142.14999999999998</v>
      </c>
      <c r="L59" s="313">
        <v>25.358333333333334</v>
      </c>
      <c r="M59" s="313">
        <v>96.316666666666663</v>
      </c>
      <c r="N59" s="313">
        <v>41.524999999999999</v>
      </c>
      <c r="O59" s="313">
        <v>55.56666666666667</v>
      </c>
      <c r="P59" s="313">
        <v>62.774999999999991</v>
      </c>
      <c r="Q59" s="383">
        <v>8.2325268817204318</v>
      </c>
      <c r="S59" s="3">
        <f>'Monthly Data'!D47</f>
        <v>68357604.438541189</v>
      </c>
      <c r="T59" s="3">
        <f>'Monthly Data'!J47</f>
        <v>856661.63881999999</v>
      </c>
      <c r="U59" s="3">
        <f>'Monthly Data'!P47</f>
        <v>21021539.011799999</v>
      </c>
      <c r="V59" s="3">
        <f>'Monthly Data'!V47</f>
        <v>78949631.079999998</v>
      </c>
      <c r="W59" s="3">
        <f>'Monthly Data'!AB47</f>
        <v>6757080.0800000001</v>
      </c>
      <c r="X59" s="3">
        <f>'Monthly Data'!AG47</f>
        <v>22412679.629999999</v>
      </c>
      <c r="Y59" s="3">
        <f>'Monthly Data'!BC47</f>
        <v>25514171.018119901</v>
      </c>
      <c r="Z59" s="3">
        <f>'Monthly Data'!BI47</f>
        <v>6812036.8581199897</v>
      </c>
      <c r="AA59" s="3">
        <f>'Monthly Data'!BO47</f>
        <v>28212998.809999999</v>
      </c>
      <c r="AB59" s="3">
        <f>'Monthly Data'!BU47</f>
        <v>6263355.29</v>
      </c>
      <c r="BG59" s="825">
        <v>8</v>
      </c>
      <c r="BH59" s="825"/>
      <c r="BI59" s="825">
        <v>10</v>
      </c>
      <c r="BJ59" s="825"/>
      <c r="BK59" s="825">
        <v>12</v>
      </c>
      <c r="BL59" s="825"/>
      <c r="BM59" s="825">
        <v>14</v>
      </c>
      <c r="BN59" s="825"/>
      <c r="BO59" s="825">
        <v>16</v>
      </c>
      <c r="BP59" s="825"/>
      <c r="BQ59" s="825">
        <v>18</v>
      </c>
      <c r="BR59" s="825"/>
      <c r="BS59" s="825">
        <v>20</v>
      </c>
      <c r="BT59" s="825"/>
      <c r="EU59" s="682">
        <f>'Monthly Data'!FO47</f>
        <v>655.64370020320428</v>
      </c>
      <c r="EV59" s="682">
        <f>'Monthly Data'!FP47</f>
        <v>573.14548877769369</v>
      </c>
      <c r="EW59" s="682">
        <f>'Monthly Data'!FQ47</f>
        <v>2424.3192286486269</v>
      </c>
      <c r="EX59" s="682">
        <f>'Monthly Data'!FR47</f>
        <v>78930.345111866016</v>
      </c>
      <c r="EY59" s="682">
        <f>'Monthly Data'!FS47</f>
        <v>1665873.874552707</v>
      </c>
      <c r="EZ59" s="682">
        <f>'Monthly Data'!FT47</f>
        <v>6237347.5579246441</v>
      </c>
      <c r="FA59" s="682">
        <f>'Monthly Data'!FX47</f>
        <v>682.20441352110606</v>
      </c>
      <c r="FB59" s="682">
        <f>'Monthly Data'!FY47</f>
        <v>3111.6562941188686</v>
      </c>
      <c r="FC59" s="682">
        <f>'Monthly Data'!FZ47</f>
        <v>78160.580199430449</v>
      </c>
      <c r="FD59" s="682">
        <f>'Monthly Data'!GA47</f>
        <v>118813.76470588229</v>
      </c>
    </row>
    <row r="60" spans="1:160">
      <c r="A60">
        <v>2018</v>
      </c>
      <c r="B60">
        <v>11</v>
      </c>
      <c r="C60" s="313">
        <v>563.52499999999998</v>
      </c>
      <c r="D60" s="313">
        <v>0</v>
      </c>
      <c r="E60" s="313">
        <v>503.52500000000003</v>
      </c>
      <c r="F60" s="313">
        <v>0</v>
      </c>
      <c r="G60" s="313">
        <v>443.52500000000003</v>
      </c>
      <c r="H60" s="313">
        <v>0</v>
      </c>
      <c r="I60" s="313">
        <v>383.52500000000003</v>
      </c>
      <c r="J60" s="313">
        <v>0</v>
      </c>
      <c r="K60" s="313">
        <v>323.52500000000003</v>
      </c>
      <c r="L60" s="313">
        <v>0</v>
      </c>
      <c r="M60" s="313">
        <v>263.86666666666662</v>
      </c>
      <c r="N60" s="313">
        <v>0.34166666666666856</v>
      </c>
      <c r="O60" s="313">
        <v>206.24583333333334</v>
      </c>
      <c r="P60" s="313">
        <v>2.7208333333333368</v>
      </c>
      <c r="Q60" s="383">
        <v>1.2158333333333335</v>
      </c>
      <c r="S60" s="3">
        <f>'Monthly Data'!D48</f>
        <v>76196203.675051197</v>
      </c>
      <c r="T60" s="3">
        <f>'Monthly Data'!J48</f>
        <v>812048.14022999897</v>
      </c>
      <c r="U60" s="3">
        <f>'Monthly Data'!P48</f>
        <v>23030940.04532</v>
      </c>
      <c r="V60" s="3">
        <f>'Monthly Data'!V48</f>
        <v>79256955.909999996</v>
      </c>
      <c r="W60" s="3">
        <f>'Monthly Data'!AB48</f>
        <v>7571384.5700000003</v>
      </c>
      <c r="X60" s="3">
        <f>'Monthly Data'!AG48</f>
        <v>20805660.75</v>
      </c>
      <c r="Y60" s="3">
        <f>'Monthly Data'!BC48</f>
        <v>26574321.448809803</v>
      </c>
      <c r="Z60" s="3">
        <f>'Monthly Data'!BI48</f>
        <v>7379330.4980500005</v>
      </c>
      <c r="AA60" s="3">
        <f>'Monthly Data'!BO48</f>
        <v>28205845.879999999</v>
      </c>
      <c r="AB60" s="3">
        <f>'Monthly Data'!BU48</f>
        <v>6616423.4900000002</v>
      </c>
      <c r="BG60" t="s">
        <v>735</v>
      </c>
      <c r="BH60" t="s">
        <v>736</v>
      </c>
      <c r="BI60" t="str">
        <f>BG60</f>
        <v>HDD</v>
      </c>
      <c r="BJ60" t="str">
        <f t="shared" ref="BJ60:BT60" si="307">BH60</f>
        <v>CDD</v>
      </c>
      <c r="BK60" t="str">
        <f t="shared" si="307"/>
        <v>HDD</v>
      </c>
      <c r="BL60" t="str">
        <f t="shared" si="307"/>
        <v>CDD</v>
      </c>
      <c r="BM60" t="str">
        <f t="shared" si="307"/>
        <v>HDD</v>
      </c>
      <c r="BN60" t="str">
        <f t="shared" si="307"/>
        <v>CDD</v>
      </c>
      <c r="BO60" t="str">
        <f t="shared" si="307"/>
        <v>HDD</v>
      </c>
      <c r="BP60" t="str">
        <f t="shared" si="307"/>
        <v>CDD</v>
      </c>
      <c r="BQ60" t="str">
        <f t="shared" si="307"/>
        <v>HDD</v>
      </c>
      <c r="BR60" t="str">
        <f t="shared" si="307"/>
        <v>CDD</v>
      </c>
      <c r="BS60" t="str">
        <f t="shared" si="307"/>
        <v>HDD</v>
      </c>
      <c r="BT60" t="str">
        <f t="shared" si="307"/>
        <v>CDD</v>
      </c>
      <c r="EU60" s="682">
        <f>'Monthly Data'!FO48</f>
        <v>726.77290494793999</v>
      </c>
      <c r="EV60" s="682">
        <f>'Monthly Data'!FP48</f>
        <v>545.24980367961075</v>
      </c>
      <c r="EW60" s="682">
        <f>'Monthly Data'!FQ48</f>
        <v>2644.8504663640047</v>
      </c>
      <c r="EX60" s="682">
        <f>'Monthly Data'!FR48</f>
        <v>79557.835521469809</v>
      </c>
      <c r="EY60" s="682">
        <f>'Monthly Data'!FS48</f>
        <v>1900583.1981093914</v>
      </c>
      <c r="EZ60" s="682">
        <f>'Monthly Data'!FT48</f>
        <v>5704793.1122851316</v>
      </c>
      <c r="FA60" s="682">
        <f>'Monthly Data'!FX48</f>
        <v>708.74598973055265</v>
      </c>
      <c r="FB60" s="682">
        <f>'Monthly Data'!FY48</f>
        <v>3363.1389705471502</v>
      </c>
      <c r="FC60" s="682">
        <f>'Monthly Data'!FZ48</f>
        <v>78053.215763624146</v>
      </c>
      <c r="FD60" s="682">
        <f>'Monthly Data'!GA48</f>
        <v>122689.00457142849</v>
      </c>
    </row>
    <row r="61" spans="1:160">
      <c r="A61">
        <v>2018</v>
      </c>
      <c r="B61">
        <v>12</v>
      </c>
      <c r="C61" s="313">
        <v>646.91666666666663</v>
      </c>
      <c r="D61" s="313">
        <v>0</v>
      </c>
      <c r="E61" s="313">
        <v>584.91666666666663</v>
      </c>
      <c r="F61" s="313">
        <v>0</v>
      </c>
      <c r="G61" s="313">
        <v>522.91666666666663</v>
      </c>
      <c r="H61" s="313">
        <v>0</v>
      </c>
      <c r="I61" s="313">
        <v>460.91666666666657</v>
      </c>
      <c r="J61" s="313">
        <v>0</v>
      </c>
      <c r="K61" s="313">
        <v>398.91666666666657</v>
      </c>
      <c r="L61" s="313">
        <v>0</v>
      </c>
      <c r="M61" s="313">
        <v>336.91666666666657</v>
      </c>
      <c r="N61" s="313">
        <v>0</v>
      </c>
      <c r="O61" s="313">
        <v>274.91666666666663</v>
      </c>
      <c r="P61" s="313">
        <v>0</v>
      </c>
      <c r="Q61" s="383">
        <v>-0.86827956989247324</v>
      </c>
      <c r="S61" s="3">
        <f>'Monthly Data'!D49</f>
        <v>87186092.695300102</v>
      </c>
      <c r="T61" s="3">
        <f>'Monthly Data'!J49</f>
        <v>979077.71828000003</v>
      </c>
      <c r="U61" s="3">
        <f>'Monthly Data'!P49</f>
        <v>24208164.144469999</v>
      </c>
      <c r="V61" s="3">
        <f>'Monthly Data'!V49</f>
        <v>77194203.629999995</v>
      </c>
      <c r="W61" s="3">
        <f>'Monthly Data'!AB49</f>
        <v>7362852.8700000001</v>
      </c>
      <c r="X61" s="3">
        <f>'Monthly Data'!AG49</f>
        <v>20948568.609999999</v>
      </c>
      <c r="Y61" s="3">
        <f>'Monthly Data'!BC49</f>
        <v>30370798.458409801</v>
      </c>
      <c r="Z61" s="3">
        <f>'Monthly Data'!BI49</f>
        <v>7715313.8120600097</v>
      </c>
      <c r="AA61" s="3">
        <f>'Monthly Data'!BO49</f>
        <v>28576716.329999998</v>
      </c>
      <c r="AB61" s="3">
        <f>'Monthly Data'!BU49</f>
        <v>6827053.6200000001</v>
      </c>
      <c r="BF61" t="str">
        <f>BF46</f>
        <v>January</v>
      </c>
      <c r="BG61" s="731">
        <f t="shared" ref="BG61:BH61" ca="1" si="308">EM46</f>
        <v>387.33418478260865</v>
      </c>
      <c r="BH61" s="731">
        <f t="shared" ca="1" si="308"/>
        <v>0</v>
      </c>
      <c r="BI61" s="731">
        <f t="shared" ref="BI61:BI72" ca="1" si="309">DY46</f>
        <v>449.33418478260865</v>
      </c>
      <c r="BJ61" s="731">
        <f t="shared" ref="BJ61:BJ72" ca="1" si="310">DZ46</f>
        <v>0</v>
      </c>
      <c r="BK61" s="731">
        <f t="shared" ref="BK61:BK72" ca="1" si="311">DK46</f>
        <v>511.33418478260876</v>
      </c>
      <c r="BL61" s="731">
        <f t="shared" ref="BL61:BL72" ca="1" si="312">DL46</f>
        <v>0</v>
      </c>
      <c r="BM61" s="731">
        <f t="shared" ref="BM61:BM72" ca="1" si="313">CW46</f>
        <v>573.33418478260865</v>
      </c>
      <c r="BN61" s="731">
        <f t="shared" ref="BN61:BN72" ca="1" si="314">CX46</f>
        <v>0</v>
      </c>
      <c r="BO61" s="731">
        <f t="shared" ref="BO61:BO72" ca="1" si="315">CI46</f>
        <v>635.33418478260876</v>
      </c>
      <c r="BP61" s="731">
        <f t="shared" ref="BP61:BP72" ca="1" si="316">CJ46</f>
        <v>0</v>
      </c>
      <c r="BQ61" s="731">
        <f t="shared" ref="BQ61:BQ72" ca="1" si="317">BU46</f>
        <v>697.33418478260876</v>
      </c>
      <c r="BR61" s="731">
        <f t="shared" ref="BR61:BR72" ca="1" si="318">BV46</f>
        <v>0</v>
      </c>
      <c r="BS61" s="731">
        <f t="shared" ref="BS61:BT61" ca="1" si="319">BG46</f>
        <v>759.33418478260865</v>
      </c>
      <c r="BT61" s="731">
        <f t="shared" ca="1" si="319"/>
        <v>0</v>
      </c>
      <c r="EU61" s="682">
        <f>'Monthly Data'!FO49</f>
        <v>826.38994027538331</v>
      </c>
      <c r="EV61" s="682">
        <f>'Monthly Data'!FP49</f>
        <v>652.15270334477748</v>
      </c>
      <c r="EW61" s="682">
        <f>'Monthly Data'!FQ49</f>
        <v>2773.885732564077</v>
      </c>
      <c r="EX61" s="682">
        <f>'Monthly Data'!FR49</f>
        <v>77912.814233539728</v>
      </c>
      <c r="EY61" s="682">
        <f>'Monthly Data'!FS49</f>
        <v>1889363.029314273</v>
      </c>
      <c r="EZ61" s="682">
        <f>'Monthly Data'!FT49</f>
        <v>5631910.1202139342</v>
      </c>
      <c r="FA61" s="682">
        <f>'Monthly Data'!FX49</f>
        <v>803.19173670938687</v>
      </c>
      <c r="FB61" s="682">
        <f>'Monthly Data'!FY49</f>
        <v>3511.7019724454981</v>
      </c>
      <c r="FC61" s="682">
        <f>'Monthly Data'!FZ49</f>
        <v>78948.993043079681</v>
      </c>
      <c r="FD61" s="682">
        <f>'Monthly Data'!GA49</f>
        <v>123904.29333333333</v>
      </c>
    </row>
    <row r="62" spans="1:160">
      <c r="A62">
        <v>2019</v>
      </c>
      <c r="B62">
        <v>1</v>
      </c>
      <c r="C62" s="313">
        <v>841.93333333333351</v>
      </c>
      <c r="D62" s="313">
        <v>0</v>
      </c>
      <c r="E62" s="313">
        <v>779.93333333333351</v>
      </c>
      <c r="F62" s="313">
        <v>0</v>
      </c>
      <c r="G62" s="313">
        <v>717.93333333333339</v>
      </c>
      <c r="H62" s="313">
        <v>0</v>
      </c>
      <c r="I62" s="313">
        <v>655.93333333333339</v>
      </c>
      <c r="J62" s="313">
        <v>0</v>
      </c>
      <c r="K62" s="313">
        <v>593.93333333333339</v>
      </c>
      <c r="L62" s="313">
        <v>0</v>
      </c>
      <c r="M62" s="313">
        <v>531.93333333333328</v>
      </c>
      <c r="N62" s="313">
        <v>0</v>
      </c>
      <c r="O62" s="313">
        <v>469.93333333333328</v>
      </c>
      <c r="P62" s="313">
        <v>0</v>
      </c>
      <c r="Q62" s="383">
        <v>-7.1591397849462366</v>
      </c>
      <c r="S62" s="3">
        <f>'Monthly Data'!D50</f>
        <v>93869856.192049995</v>
      </c>
      <c r="T62" s="3">
        <f>'Monthly Data'!J50</f>
        <v>1193067.1240099999</v>
      </c>
      <c r="U62" s="3">
        <f>'Monthly Data'!P50</f>
        <v>27050404.437539898</v>
      </c>
      <c r="V62" s="3">
        <f>'Monthly Data'!V50</f>
        <v>85943722.299999997</v>
      </c>
      <c r="W62" s="3">
        <f>'Monthly Data'!AB50</f>
        <v>7763594.7400000002</v>
      </c>
      <c r="X62" s="3">
        <f>'Monthly Data'!AG50</f>
        <v>21780539.02</v>
      </c>
      <c r="Y62" s="3">
        <f>'Monthly Data'!BC50</f>
        <v>31054548.051879998</v>
      </c>
      <c r="Z62" s="3">
        <f>'Monthly Data'!BI50</f>
        <v>8652788.0040099993</v>
      </c>
      <c r="AA62" s="3">
        <f>'Monthly Data'!BO50</f>
        <v>30463335.469999999</v>
      </c>
      <c r="AB62" s="3">
        <f>'Monthly Data'!BU50</f>
        <v>6855970.6200000001</v>
      </c>
      <c r="BF62" t="str">
        <f t="shared" ref="BF62:BF72" si="320">BF47</f>
        <v>February</v>
      </c>
      <c r="BG62" s="731">
        <f t="shared" ref="BG62:BH62" ca="1" si="321">EM47</f>
        <v>341.39751811594203</v>
      </c>
      <c r="BH62" s="731">
        <f t="shared" ca="1" si="321"/>
        <v>0.1424999999999999</v>
      </c>
      <c r="BI62" s="731">
        <f t="shared" ca="1" si="309"/>
        <v>397.85501811594202</v>
      </c>
      <c r="BJ62" s="731">
        <f t="shared" ca="1" si="310"/>
        <v>0</v>
      </c>
      <c r="BK62" s="731">
        <f t="shared" ca="1" si="311"/>
        <v>454.45501811594193</v>
      </c>
      <c r="BL62" s="731">
        <f t="shared" ca="1" si="312"/>
        <v>0</v>
      </c>
      <c r="BM62" s="731">
        <f t="shared" ca="1" si="313"/>
        <v>511.05501811594206</v>
      </c>
      <c r="BN62" s="731">
        <f t="shared" ca="1" si="314"/>
        <v>0</v>
      </c>
      <c r="BO62" s="731">
        <f t="shared" ca="1" si="315"/>
        <v>567.65501811594208</v>
      </c>
      <c r="BP62" s="731">
        <f t="shared" ca="1" si="316"/>
        <v>0</v>
      </c>
      <c r="BQ62" s="731">
        <f t="shared" ca="1" si="317"/>
        <v>624.25501811594188</v>
      </c>
      <c r="BR62" s="731">
        <f t="shared" ca="1" si="318"/>
        <v>0</v>
      </c>
      <c r="BS62" s="731">
        <f t="shared" ref="BS62:BT62" ca="1" si="322">BG47</f>
        <v>680.85501811594202</v>
      </c>
      <c r="BT62" s="731">
        <f t="shared" ca="1" si="322"/>
        <v>0</v>
      </c>
      <c r="EU62" s="682">
        <f ca="1">'Monthly Data'!FO50</f>
        <v>882.76729269768009</v>
      </c>
      <c r="EV62" s="682">
        <f>'Monthly Data'!FP50</f>
        <v>787.37842578213827</v>
      </c>
      <c r="EW62" s="682">
        <f>'Monthly Data'!FQ50</f>
        <v>3083.2645955663083</v>
      </c>
      <c r="EX62" s="682">
        <f>'Monthly Data'!FR50</f>
        <v>86596.205911467434</v>
      </c>
      <c r="EY62" s="682">
        <f>'Monthly Data'!FS50</f>
        <v>1988744.1549929937</v>
      </c>
      <c r="EZ62" s="682">
        <f>'Monthly Data'!FT50</f>
        <v>5813671.9333070749</v>
      </c>
      <c r="FA62" s="682">
        <f>'Monthly Data'!FX50</f>
        <v>815.68764723666493</v>
      </c>
      <c r="FB62" s="682">
        <f>'Monthly Data'!FY50</f>
        <v>3923.8067467874134</v>
      </c>
      <c r="FC62" s="682">
        <f>'Monthly Data'!FZ50</f>
        <v>84302.223722144423</v>
      </c>
      <c r="FD62" s="682">
        <f>'Monthly Data'!GA50</f>
        <v>121895.03333333333</v>
      </c>
    </row>
    <row r="63" spans="1:160">
      <c r="A63">
        <v>2019</v>
      </c>
      <c r="B63">
        <v>2</v>
      </c>
      <c r="C63" s="313">
        <v>695.30416666666645</v>
      </c>
      <c r="D63" s="313">
        <v>0</v>
      </c>
      <c r="E63" s="313">
        <v>639.30416666666645</v>
      </c>
      <c r="F63" s="313">
        <v>0</v>
      </c>
      <c r="G63" s="313">
        <v>583.30416666666656</v>
      </c>
      <c r="H63" s="313">
        <v>0</v>
      </c>
      <c r="I63" s="313">
        <v>527.30416666666656</v>
      </c>
      <c r="J63" s="313">
        <v>0</v>
      </c>
      <c r="K63" s="313">
        <v>471.30416666666662</v>
      </c>
      <c r="L63" s="313">
        <v>0</v>
      </c>
      <c r="M63" s="313">
        <v>415.30416666666656</v>
      </c>
      <c r="N63" s="313">
        <v>0</v>
      </c>
      <c r="O63" s="313">
        <v>359.30416666666662</v>
      </c>
      <c r="P63" s="313">
        <v>0</v>
      </c>
      <c r="Q63" s="383">
        <v>-4.8322916666666682</v>
      </c>
      <c r="S63" s="3">
        <f>'Monthly Data'!D51</f>
        <v>81233251.752229691</v>
      </c>
      <c r="T63" s="3">
        <f>'Monthly Data'!J51</f>
        <v>1042640.67687</v>
      </c>
      <c r="U63" s="3">
        <f>'Monthly Data'!P51</f>
        <v>24125566.114490002</v>
      </c>
      <c r="V63" s="3">
        <f>'Monthly Data'!V51</f>
        <v>77446845.430000007</v>
      </c>
      <c r="W63" s="3">
        <f>'Monthly Data'!AB51</f>
        <v>7720894.1200000001</v>
      </c>
      <c r="X63" s="3">
        <f>'Monthly Data'!AG51</f>
        <v>19965323.850000001</v>
      </c>
      <c r="Y63" s="3">
        <f>'Monthly Data'!BC51</f>
        <v>26909979.644359902</v>
      </c>
      <c r="Z63" s="3">
        <f>'Monthly Data'!BI51</f>
        <v>7684416.73217999</v>
      </c>
      <c r="AA63" s="3">
        <f>'Monthly Data'!BO51</f>
        <v>29734090.960000001</v>
      </c>
      <c r="AB63" s="3">
        <f>'Monthly Data'!BU51</f>
        <v>6402487.21</v>
      </c>
      <c r="BF63" t="str">
        <f t="shared" si="320"/>
        <v>March</v>
      </c>
      <c r="BG63" s="731">
        <f t="shared" ref="BG63:BH63" ca="1" si="323">EM48</f>
        <v>238.57840579710145</v>
      </c>
      <c r="BH63" s="731">
        <f t="shared" ca="1" si="323"/>
        <v>2.4454166666666657</v>
      </c>
      <c r="BI63" s="731">
        <f t="shared" ca="1" si="309"/>
        <v>298.65173913043481</v>
      </c>
      <c r="BJ63" s="731">
        <f t="shared" ca="1" si="310"/>
        <v>0.51874999999999927</v>
      </c>
      <c r="BK63" s="731">
        <f t="shared" ca="1" si="311"/>
        <v>360.16257246376813</v>
      </c>
      <c r="BL63" s="731">
        <f t="shared" ca="1" si="312"/>
        <v>2.9583333333332896E-2</v>
      </c>
      <c r="BM63" s="731">
        <f t="shared" ca="1" si="313"/>
        <v>422.13298913043479</v>
      </c>
      <c r="BN63" s="731">
        <f t="shared" ca="1" si="314"/>
        <v>0</v>
      </c>
      <c r="BO63" s="731">
        <f t="shared" ca="1" si="315"/>
        <v>484.13298913043479</v>
      </c>
      <c r="BP63" s="731">
        <f t="shared" ca="1" si="316"/>
        <v>0</v>
      </c>
      <c r="BQ63" s="731">
        <f t="shared" ca="1" si="317"/>
        <v>546.13298913043491</v>
      </c>
      <c r="BR63" s="731">
        <f t="shared" ca="1" si="318"/>
        <v>0</v>
      </c>
      <c r="BS63" s="731">
        <f t="shared" ref="BS63:BT63" ca="1" si="324">BG48</f>
        <v>608.13298913043479</v>
      </c>
      <c r="BT63" s="731">
        <f t="shared" ca="1" si="324"/>
        <v>0</v>
      </c>
      <c r="EU63" s="682">
        <f ca="1">'Monthly Data'!FO51</f>
        <v>767.53325726095261</v>
      </c>
      <c r="EV63" s="682">
        <f>'Monthly Data'!FP51</f>
        <v>691.99210269519881</v>
      </c>
      <c r="EW63" s="682">
        <f>'Monthly Data'!FQ51</f>
        <v>2762.2607418850134</v>
      </c>
      <c r="EX63" s="682">
        <f>'Monthly Data'!FR51</f>
        <v>78625.811757783085</v>
      </c>
      <c r="EY63" s="682">
        <f>'Monthly Data'!FS51</f>
        <v>1978927.7545515082</v>
      </c>
      <c r="EZ63" s="682">
        <f>'Monthly Data'!FT51</f>
        <v>5363879.9618049711</v>
      </c>
      <c r="FA63" s="682">
        <f>'Monthly Data'!FX51</f>
        <v>711.51275544437567</v>
      </c>
      <c r="FB63" s="682">
        <f>'Monthly Data'!FY51</f>
        <v>3493.5480849339688</v>
      </c>
      <c r="FC63" s="682">
        <f>'Monthly Data'!FZ51</f>
        <v>82463.776765463059</v>
      </c>
      <c r="FD63" s="682">
        <f>'Monthly Data'!GA51</f>
        <v>102230.44666666667</v>
      </c>
    </row>
    <row r="64" spans="1:160">
      <c r="A64">
        <v>2019</v>
      </c>
      <c r="B64">
        <v>3</v>
      </c>
      <c r="C64" s="313">
        <v>673.45833333333326</v>
      </c>
      <c r="D64" s="313">
        <v>0</v>
      </c>
      <c r="E64" s="313">
        <v>611.45833333333337</v>
      </c>
      <c r="F64" s="313">
        <v>0</v>
      </c>
      <c r="G64" s="313">
        <v>549.45833333333326</v>
      </c>
      <c r="H64" s="313">
        <v>0</v>
      </c>
      <c r="I64" s="313">
        <v>487.45833333333331</v>
      </c>
      <c r="J64" s="313">
        <v>0</v>
      </c>
      <c r="K64" s="313">
        <v>425.45833333333326</v>
      </c>
      <c r="L64" s="313">
        <v>0</v>
      </c>
      <c r="M64" s="313">
        <v>363.45833333333326</v>
      </c>
      <c r="N64" s="313">
        <v>0</v>
      </c>
      <c r="O64" s="313">
        <v>301.45833333333326</v>
      </c>
      <c r="P64" s="313">
        <v>0</v>
      </c>
      <c r="Q64" s="383">
        <v>-1.7244623655913986</v>
      </c>
      <c r="S64" s="3">
        <f>'Monthly Data'!D52</f>
        <v>82243137.610608697</v>
      </c>
      <c r="T64" s="3">
        <f>'Monthly Data'!J52</f>
        <v>1023136.51093</v>
      </c>
      <c r="U64" s="3">
        <f>'Monthly Data'!P52</f>
        <v>25432850.096450001</v>
      </c>
      <c r="V64" s="3">
        <f>'Monthly Data'!V52</f>
        <v>82786227.049999997</v>
      </c>
      <c r="W64" s="3">
        <f>'Monthly Data'!AB52</f>
        <v>8407053.3300000001</v>
      </c>
      <c r="X64" s="3">
        <f>'Monthly Data'!AG52</f>
        <v>20924316.300000001</v>
      </c>
      <c r="Y64" s="3">
        <f>'Monthly Data'!BC52</f>
        <v>27657368.994940098</v>
      </c>
      <c r="Z64" s="3">
        <f>'Monthly Data'!BI52</f>
        <v>7968387.1239299905</v>
      </c>
      <c r="AA64" s="3">
        <f>'Monthly Data'!BO52</f>
        <v>28924320.140000001</v>
      </c>
      <c r="AB64" s="3">
        <f>'Monthly Data'!BU52</f>
        <v>6964289.1900000004</v>
      </c>
      <c r="BF64" t="str">
        <f t="shared" si="320"/>
        <v>April</v>
      </c>
      <c r="BG64" s="731">
        <f t="shared" ref="BG64:BH64" ca="1" si="325">EM49</f>
        <v>79.984412878787879</v>
      </c>
      <c r="BH64" s="731">
        <f t="shared" ca="1" si="325"/>
        <v>27.605</v>
      </c>
      <c r="BI64" s="731">
        <f t="shared" ca="1" si="309"/>
        <v>125.17066287878788</v>
      </c>
      <c r="BJ64" s="731">
        <f t="shared" ca="1" si="310"/>
        <v>12.79125</v>
      </c>
      <c r="BK64" s="731">
        <f t="shared" ca="1" si="311"/>
        <v>178.02149621212124</v>
      </c>
      <c r="BL64" s="731">
        <f t="shared" ca="1" si="312"/>
        <v>5.6420833333333338</v>
      </c>
      <c r="BM64" s="731">
        <f t="shared" ca="1" si="313"/>
        <v>234.57024621212122</v>
      </c>
      <c r="BN64" s="731">
        <f t="shared" ca="1" si="314"/>
        <v>2.1908333333333347</v>
      </c>
      <c r="BO64" s="731">
        <f t="shared" ca="1" si="315"/>
        <v>292.81107954545462</v>
      </c>
      <c r="BP64" s="731">
        <f t="shared" ca="1" si="316"/>
        <v>0.4316666666666677</v>
      </c>
      <c r="BQ64" s="731">
        <f t="shared" ca="1" si="317"/>
        <v>352.41399621212122</v>
      </c>
      <c r="BR64" s="731">
        <f t="shared" ca="1" si="318"/>
        <v>3.4583333333333854E-2</v>
      </c>
      <c r="BS64" s="731">
        <f t="shared" ref="BS64:BT64" ca="1" si="326">BG49</f>
        <v>412.37941287878795</v>
      </c>
      <c r="BT64" s="731">
        <f t="shared" ca="1" si="326"/>
        <v>0</v>
      </c>
      <c r="EU64" s="682">
        <f ca="1">'Monthly Data'!FO52</f>
        <v>775.90982433965632</v>
      </c>
      <c r="EV64" s="682">
        <f>'Monthly Data'!FP52</f>
        <v>680.02418287113278</v>
      </c>
      <c r="EW64" s="682">
        <f>'Monthly Data'!FQ52</f>
        <v>2903.6393374642821</v>
      </c>
      <c r="EX64" s="682">
        <f>'Monthly Data'!FR52</f>
        <v>83989.105398822503</v>
      </c>
      <c r="EY64" s="682">
        <f>'Monthly Data'!FS52</f>
        <v>2151326.311610023</v>
      </c>
      <c r="EZ64" s="682">
        <f>'Monthly Data'!FT52</f>
        <v>5607639.8953028657</v>
      </c>
      <c r="FA64" s="682">
        <f>'Monthly Data'!FX52</f>
        <v>728.43725903066093</v>
      </c>
      <c r="FB64" s="682">
        <f>'Monthly Data'!FY52</f>
        <v>3618.5109938771539</v>
      </c>
      <c r="FC64" s="682">
        <f>'Monthly Data'!FZ52</f>
        <v>80411.732169524388</v>
      </c>
      <c r="FD64" s="682">
        <f>'Monthly Data'!GA52</f>
        <v>96917.786666666667</v>
      </c>
    </row>
    <row r="65" spans="1:160">
      <c r="A65">
        <v>2019</v>
      </c>
      <c r="B65">
        <v>4</v>
      </c>
      <c r="C65" s="313">
        <v>426.6541666666667</v>
      </c>
      <c r="D65" s="313">
        <v>0</v>
      </c>
      <c r="E65" s="313">
        <v>366.65416666666664</v>
      </c>
      <c r="F65" s="313">
        <v>0</v>
      </c>
      <c r="G65" s="313">
        <v>306.65416666666664</v>
      </c>
      <c r="H65" s="313">
        <v>0</v>
      </c>
      <c r="I65" s="313">
        <v>246.6541666666667</v>
      </c>
      <c r="J65" s="313">
        <v>0</v>
      </c>
      <c r="K65" s="313">
        <v>187.50000000000003</v>
      </c>
      <c r="L65" s="313">
        <v>0.84583333333333144</v>
      </c>
      <c r="M65" s="313">
        <v>129.53333333333336</v>
      </c>
      <c r="N65" s="313">
        <v>2.8791666666666664</v>
      </c>
      <c r="O65" s="313">
        <v>81.245833333333351</v>
      </c>
      <c r="P65" s="313">
        <v>14.591666666666663</v>
      </c>
      <c r="Q65" s="383">
        <v>5.778194444444444</v>
      </c>
      <c r="S65" s="3">
        <f>'Monthly Data'!D53</f>
        <v>68498819.614160195</v>
      </c>
      <c r="T65" s="3">
        <f>'Monthly Data'!J53</f>
        <v>747853.13806999999</v>
      </c>
      <c r="U65" s="3">
        <f>'Monthly Data'!P53</f>
        <v>23076969.784390099</v>
      </c>
      <c r="V65" s="3">
        <f>'Monthly Data'!V53</f>
        <v>75104705.489999995</v>
      </c>
      <c r="W65" s="3">
        <f>'Monthly Data'!AB53</f>
        <v>7947712.4500000002</v>
      </c>
      <c r="X65" s="3">
        <f>'Monthly Data'!AG53</f>
        <v>21160766.530000001</v>
      </c>
      <c r="Y65" s="3">
        <f>'Monthly Data'!BC53</f>
        <v>24051429.4798701</v>
      </c>
      <c r="Z65" s="3">
        <f>'Monthly Data'!BI53</f>
        <v>6871603.43636999</v>
      </c>
      <c r="AA65" s="3">
        <f>'Monthly Data'!BO53</f>
        <v>27476847.510000002</v>
      </c>
      <c r="AB65" s="3">
        <f>'Monthly Data'!BU53</f>
        <v>6548612.4100000001</v>
      </c>
      <c r="BF65" t="str">
        <f t="shared" si="320"/>
        <v>May</v>
      </c>
      <c r="BG65" s="731">
        <f t="shared" ref="BG65:BH65" ca="1" si="327">EM50</f>
        <v>7.2018333333333331</v>
      </c>
      <c r="BH65" s="731">
        <f t="shared" ca="1" si="327"/>
        <v>181.39445928308913</v>
      </c>
      <c r="BI65" s="731">
        <f t="shared" ca="1" si="309"/>
        <v>18.031833333333331</v>
      </c>
      <c r="BJ65" s="731">
        <f t="shared" ca="1" si="310"/>
        <v>130.22445928308915</v>
      </c>
      <c r="BK65" s="731">
        <f t="shared" ca="1" si="311"/>
        <v>35.998420226290364</v>
      </c>
      <c r="BL65" s="731">
        <f t="shared" ca="1" si="312"/>
        <v>86.191046176046171</v>
      </c>
      <c r="BM65" s="731">
        <f t="shared" ca="1" si="313"/>
        <v>64.294809115179262</v>
      </c>
      <c r="BN65" s="731">
        <f t="shared" ca="1" si="314"/>
        <v>52.487435064935063</v>
      </c>
      <c r="BO65" s="731">
        <f t="shared" ca="1" si="315"/>
        <v>103.25939244851259</v>
      </c>
      <c r="BP65" s="731">
        <f t="shared" ca="1" si="316"/>
        <v>29.4520183982684</v>
      </c>
      <c r="BQ65" s="731">
        <f t="shared" ca="1" si="317"/>
        <v>150.136897859768</v>
      </c>
      <c r="BR65" s="731">
        <f t="shared" ca="1" si="318"/>
        <v>14.32952380952381</v>
      </c>
      <c r="BS65" s="731">
        <f t="shared" ref="BS65:BT65" ca="1" si="328">BG50</f>
        <v>202.70273119310133</v>
      </c>
      <c r="BT65" s="731">
        <f t="shared" ca="1" si="328"/>
        <v>4.8953571428571401</v>
      </c>
      <c r="EU65" s="682">
        <f ca="1">'Monthly Data'!FO53</f>
        <v>651.25629200809635</v>
      </c>
      <c r="EV65" s="682">
        <f>'Monthly Data'!FP53</f>
        <v>504.81621276006217</v>
      </c>
      <c r="EW65" s="682">
        <f>'Monthly Data'!FQ53</f>
        <v>2645.6100399988231</v>
      </c>
      <c r="EX65" s="682">
        <f>'Monthly Data'!FR53</f>
        <v>76774.613386863377</v>
      </c>
      <c r="EY65" s="682">
        <f>'Monthly Data'!FS53</f>
        <v>2037349.8461685376</v>
      </c>
      <c r="EZ65" s="682">
        <f>'Monthly Data'!FT53</f>
        <v>5670764.2738007614</v>
      </c>
      <c r="FA65" s="682">
        <f>'Monthly Data'!FX53</f>
        <v>638.21519782169435</v>
      </c>
      <c r="FB65" s="682">
        <f>'Monthly Data'!FY53</f>
        <v>3131.949991847921</v>
      </c>
      <c r="FC65" s="682">
        <f>'Monthly Data'!FZ53</f>
        <v>76668.170836185192</v>
      </c>
      <c r="FD65" s="682">
        <f>'Monthly Data'!GA53</f>
        <v>86053.356666666674</v>
      </c>
    </row>
    <row r="66" spans="1:160">
      <c r="A66">
        <v>2019</v>
      </c>
      <c r="B66">
        <v>5</v>
      </c>
      <c r="C66" s="313">
        <v>267.53464912280702</v>
      </c>
      <c r="D66" s="313">
        <v>0</v>
      </c>
      <c r="E66" s="313">
        <v>205.53464912280697</v>
      </c>
      <c r="F66" s="313">
        <v>0</v>
      </c>
      <c r="G66" s="313">
        <v>145.93881578947367</v>
      </c>
      <c r="H66" s="313">
        <v>2.4041666666666686</v>
      </c>
      <c r="I66" s="313">
        <v>92.742982456140368</v>
      </c>
      <c r="J66" s="313">
        <v>11.208333333333332</v>
      </c>
      <c r="K66" s="313">
        <v>47.113815789473684</v>
      </c>
      <c r="L66" s="313">
        <v>27.579166666666666</v>
      </c>
      <c r="M66" s="313">
        <v>21.337500000000002</v>
      </c>
      <c r="N66" s="313">
        <v>63.802850877192981</v>
      </c>
      <c r="O66" s="313">
        <v>5.4041666666666659</v>
      </c>
      <c r="P66" s="313">
        <v>109.86951754385964</v>
      </c>
      <c r="Q66" s="383">
        <v>11.369850028296549</v>
      </c>
      <c r="S66" s="3">
        <f>'Monthly Data'!D54</f>
        <v>63431446.939519897</v>
      </c>
      <c r="T66" s="3">
        <f>'Monthly Data'!J54</f>
        <v>761313.86048000003</v>
      </c>
      <c r="U66" s="3">
        <f>'Monthly Data'!P54</f>
        <v>21762586.578929998</v>
      </c>
      <c r="V66" s="3">
        <f>'Monthly Data'!V54</f>
        <v>75687625.170000002</v>
      </c>
      <c r="W66" s="3">
        <f>'Monthly Data'!AB54</f>
        <v>8654486.9100000001</v>
      </c>
      <c r="X66" s="3">
        <f>'Monthly Data'!AG54</f>
        <v>22039904.699999999</v>
      </c>
      <c r="Y66" s="3">
        <f>'Monthly Data'!BC54</f>
        <v>23836017.161589999</v>
      </c>
      <c r="Z66" s="3">
        <f>'Monthly Data'!BI54</f>
        <v>6635212.5768599901</v>
      </c>
      <c r="AA66" s="3">
        <f>'Monthly Data'!BO54</f>
        <v>26341835.550000001</v>
      </c>
      <c r="AB66" s="3">
        <f>'Monthly Data'!BU54</f>
        <v>6627917.54</v>
      </c>
      <c r="BF66" t="str">
        <f t="shared" si="320"/>
        <v>June</v>
      </c>
      <c r="BG66" s="731">
        <f t="shared" ref="BG66:BH66" ca="1" si="329">EM51</f>
        <v>0</v>
      </c>
      <c r="BH66" s="731">
        <f t="shared" ca="1" si="329"/>
        <v>314.42035087738344</v>
      </c>
      <c r="BI66" s="731">
        <f t="shared" ca="1" si="309"/>
        <v>9.7916666666666957E-2</v>
      </c>
      <c r="BJ66" s="731">
        <f t="shared" ca="1" si="310"/>
        <v>254.51826754405016</v>
      </c>
      <c r="BK66" s="731">
        <f t="shared" ca="1" si="311"/>
        <v>0.5225000000000003</v>
      </c>
      <c r="BL66" s="731">
        <f t="shared" ca="1" si="312"/>
        <v>194.94285087738348</v>
      </c>
      <c r="BM66" s="731">
        <f t="shared" ca="1" si="313"/>
        <v>3.2341666666666669</v>
      </c>
      <c r="BN66" s="731">
        <f t="shared" ca="1" si="314"/>
        <v>137.65451754405018</v>
      </c>
      <c r="BO66" s="731">
        <f t="shared" ca="1" si="315"/>
        <v>11.89069871794872</v>
      </c>
      <c r="BP66" s="731">
        <f t="shared" ca="1" si="316"/>
        <v>86.311049595332207</v>
      </c>
      <c r="BQ66" s="731">
        <f t="shared" ca="1" si="317"/>
        <v>32.520923826173821</v>
      </c>
      <c r="BR66" s="731">
        <f t="shared" ca="1" si="318"/>
        <v>46.941274703557312</v>
      </c>
      <c r="BS66" s="731">
        <f t="shared" ref="BS66:BT66" ca="1" si="330">BG51</f>
        <v>66.09717382617383</v>
      </c>
      <c r="BT66" s="731">
        <f t="shared" ca="1" si="330"/>
        <v>20.517524703557307</v>
      </c>
      <c r="EU66" s="682">
        <f ca="1">'Monthly Data'!FO54</f>
        <v>605.11142418882037</v>
      </c>
      <c r="EV66" s="682">
        <f>'Monthly Data'!FP54</f>
        <v>513.79421763052926</v>
      </c>
      <c r="EW66" s="682">
        <f>'Monthly Data'!FQ54</f>
        <v>2501.527345174914</v>
      </c>
      <c r="EX66" s="682">
        <f>'Monthly Data'!FR54</f>
        <v>77543.957365170252</v>
      </c>
      <c r="EY66" s="682">
        <f>'Monthly Data'!FS54</f>
        <v>2214902.2157270522</v>
      </c>
      <c r="EZ66" s="682">
        <f>'Monthly Data'!FT54</f>
        <v>5894560.6372986557</v>
      </c>
      <c r="FA66" s="682">
        <f>'Monthly Data'!FX54</f>
        <v>631.61093166453998</v>
      </c>
      <c r="FB66" s="682">
        <f>'Monthly Data'!FY54</f>
        <v>3026.65865834127</v>
      </c>
      <c r="FC66" s="682">
        <f>'Monthly Data'!FZ54</f>
        <v>73753.41764608206</v>
      </c>
      <c r="FD66" s="682">
        <f>'Monthly Data'!GA54</f>
        <v>78852.173333333325</v>
      </c>
    </row>
    <row r="67" spans="1:160">
      <c r="A67">
        <v>2019</v>
      </c>
      <c r="B67">
        <v>6</v>
      </c>
      <c r="C67" s="313">
        <v>80.695833333333368</v>
      </c>
      <c r="D67" s="313">
        <v>10.4375</v>
      </c>
      <c r="E67" s="313">
        <v>46.120833333333351</v>
      </c>
      <c r="F67" s="313">
        <v>35.862499999999976</v>
      </c>
      <c r="G67" s="313">
        <v>21.925000000000018</v>
      </c>
      <c r="H67" s="313">
        <v>71.666666666666629</v>
      </c>
      <c r="I67" s="313">
        <v>9.0750000000000011</v>
      </c>
      <c r="J67" s="313">
        <v>118.81666666666663</v>
      </c>
      <c r="K67" s="313">
        <v>3.9291666666666671</v>
      </c>
      <c r="L67" s="313">
        <v>173.67083333333326</v>
      </c>
      <c r="M67" s="313">
        <v>0.97916666666666963</v>
      </c>
      <c r="N67" s="313">
        <v>230.72083333333327</v>
      </c>
      <c r="O67" s="313">
        <v>0</v>
      </c>
      <c r="P67" s="313">
        <v>289.74166666666656</v>
      </c>
      <c r="Q67" s="383">
        <v>17.658055555555553</v>
      </c>
      <c r="S67" s="3">
        <f>'Monthly Data'!D55</f>
        <v>70623856.390441298</v>
      </c>
      <c r="T67" s="3">
        <f>'Monthly Data'!J55</f>
        <v>723033.40134999901</v>
      </c>
      <c r="U67" s="3">
        <f>'Monthly Data'!P55</f>
        <v>22213411.1813301</v>
      </c>
      <c r="V67" s="3">
        <f>'Monthly Data'!V55</f>
        <v>76310257.200000003</v>
      </c>
      <c r="W67" s="3">
        <f>'Monthly Data'!AB55</f>
        <v>8013244.5099999998</v>
      </c>
      <c r="X67" s="3">
        <f>'Monthly Data'!AG55</f>
        <v>22716840.379999999</v>
      </c>
      <c r="Y67" s="3">
        <f>'Monthly Data'!BC55</f>
        <v>29017828.626899801</v>
      </c>
      <c r="Z67" s="3">
        <f>'Monthly Data'!BI55</f>
        <v>6888551.6979099903</v>
      </c>
      <c r="AA67" s="3">
        <f>'Monthly Data'!BO55</f>
        <v>26801907.539999999</v>
      </c>
      <c r="AB67" s="3">
        <f>'Monthly Data'!BU55</f>
        <v>6468669.4299999997</v>
      </c>
      <c r="BF67" t="str">
        <f t="shared" si="320"/>
        <v>July</v>
      </c>
      <c r="BG67" s="731">
        <f t="shared" ref="BG67:BH67" ca="1" si="331">EM52</f>
        <v>0</v>
      </c>
      <c r="BH67" s="731">
        <f t="shared" ca="1" si="331"/>
        <v>421.94737858727848</v>
      </c>
      <c r="BI67" s="731">
        <f t="shared" ca="1" si="309"/>
        <v>0</v>
      </c>
      <c r="BJ67" s="731">
        <f t="shared" ca="1" si="310"/>
        <v>359.94737858727854</v>
      </c>
      <c r="BK67" s="731">
        <f t="shared" ca="1" si="311"/>
        <v>0</v>
      </c>
      <c r="BL67" s="731">
        <f t="shared" ca="1" si="312"/>
        <v>297.94737858727848</v>
      </c>
      <c r="BM67" s="731">
        <f t="shared" ca="1" si="313"/>
        <v>0</v>
      </c>
      <c r="BN67" s="731">
        <f t="shared" ca="1" si="314"/>
        <v>235.94737858727848</v>
      </c>
      <c r="BO67" s="731">
        <f t="shared" ca="1" si="315"/>
        <v>7.4583333333333002E-2</v>
      </c>
      <c r="BP67" s="731">
        <f t="shared" ca="1" si="316"/>
        <v>174.0219619206118</v>
      </c>
      <c r="BQ67" s="731">
        <f t="shared" ca="1" si="317"/>
        <v>1.6179166666666653</v>
      </c>
      <c r="BR67" s="731">
        <f t="shared" ca="1" si="318"/>
        <v>113.56529525394512</v>
      </c>
      <c r="BS67" s="731">
        <f t="shared" ref="BS67:BT67" ca="1" si="332">BG52</f>
        <v>10.249063146997932</v>
      </c>
      <c r="BT67" s="731">
        <f t="shared" ca="1" si="332"/>
        <v>60.196441734276391</v>
      </c>
      <c r="EU67" s="682">
        <f ca="1">'Monthly Data'!FO55</f>
        <v>669.63302778105492</v>
      </c>
      <c r="EV67" s="682">
        <f>'Monthly Data'!FP55</f>
        <v>489.7299264085687</v>
      </c>
      <c r="EW67" s="682">
        <f>'Monthly Data'!FQ55</f>
        <v>2549.6308853049582</v>
      </c>
      <c r="EX67" s="682">
        <f>'Monthly Data'!FR55</f>
        <v>78354.595788060105</v>
      </c>
      <c r="EY67" s="682">
        <f>'Monthly Data'!FS55</f>
        <v>2055450.3702855669</v>
      </c>
      <c r="EZ67" s="682">
        <f>'Monthly Data'!FT55</f>
        <v>6067806.3782965513</v>
      </c>
      <c r="FA67" s="682">
        <f>'Monthly Data'!FX55</f>
        <v>757.14648148690821</v>
      </c>
      <c r="FB67" s="682">
        <f>'Monthly Data'!FY55</f>
        <v>3138.1149964924812</v>
      </c>
      <c r="FC67" s="682">
        <f>'Monthly Data'!FZ55</f>
        <v>75069.656365793242</v>
      </c>
      <c r="FD67" s="682">
        <f>'Monthly Data'!GA55</f>
        <v>70571.816666666666</v>
      </c>
    </row>
    <row r="68" spans="1:160">
      <c r="A68">
        <v>2019</v>
      </c>
      <c r="B68">
        <v>7</v>
      </c>
      <c r="C68" s="313">
        <v>0.97500000000000497</v>
      </c>
      <c r="D68" s="313">
        <v>74.574999999999989</v>
      </c>
      <c r="E68" s="313">
        <v>0</v>
      </c>
      <c r="F68" s="313">
        <v>135.6</v>
      </c>
      <c r="G68" s="313">
        <v>0</v>
      </c>
      <c r="H68" s="313">
        <v>197.60000000000005</v>
      </c>
      <c r="I68" s="313">
        <v>0</v>
      </c>
      <c r="J68" s="313">
        <v>259.60000000000008</v>
      </c>
      <c r="K68" s="313">
        <v>0</v>
      </c>
      <c r="L68" s="313">
        <v>321.60000000000002</v>
      </c>
      <c r="M68" s="313">
        <v>0</v>
      </c>
      <c r="N68" s="313">
        <v>383.6</v>
      </c>
      <c r="O68" s="313">
        <v>0</v>
      </c>
      <c r="P68" s="313">
        <v>445.60000000000008</v>
      </c>
      <c r="Q68" s="383">
        <v>22.374193548387098</v>
      </c>
      <c r="S68" s="3">
        <f>'Monthly Data'!D56</f>
        <v>108301764.009371</v>
      </c>
      <c r="T68" s="3">
        <f>'Monthly Data'!J56</f>
        <v>975830.17512999906</v>
      </c>
      <c r="U68" s="3">
        <f>'Monthly Data'!P56</f>
        <v>27454085.436310101</v>
      </c>
      <c r="V68" s="3">
        <f>'Monthly Data'!V56</f>
        <v>85509081.980000004</v>
      </c>
      <c r="W68" s="3">
        <f>'Monthly Data'!AB56</f>
        <v>7558032.7599999998</v>
      </c>
      <c r="X68" s="3">
        <f>'Monthly Data'!AG56</f>
        <v>22748010.800000001</v>
      </c>
      <c r="Y68" s="3">
        <f>'Monthly Data'!BC56</f>
        <v>44482042.361199997</v>
      </c>
      <c r="Z68" s="3">
        <f>'Monthly Data'!BI56</f>
        <v>8387513.6994099803</v>
      </c>
      <c r="AA68" s="3">
        <f>'Monthly Data'!BO56</f>
        <v>29874854.309999999</v>
      </c>
      <c r="AB68" s="3">
        <f>'Monthly Data'!BU56</f>
        <v>6661958.2699999996</v>
      </c>
      <c r="BF68" t="str">
        <f>BF53</f>
        <v>August</v>
      </c>
      <c r="BG68" s="731">
        <f t="shared" ref="BG68:BH68" ca="1" si="333">EM53</f>
        <v>0</v>
      </c>
      <c r="BH68" s="731">
        <f t="shared" ca="1" si="333"/>
        <v>396.96558794466398</v>
      </c>
      <c r="BI68" s="731">
        <f t="shared" ca="1" si="309"/>
        <v>0</v>
      </c>
      <c r="BJ68" s="731">
        <f t="shared" ca="1" si="310"/>
        <v>334.96558794466404</v>
      </c>
      <c r="BK68" s="731">
        <f t="shared" ca="1" si="311"/>
        <v>0</v>
      </c>
      <c r="BL68" s="731">
        <f t="shared" ca="1" si="312"/>
        <v>272.96558794466404</v>
      </c>
      <c r="BM68" s="731">
        <f t="shared" ca="1" si="313"/>
        <v>0</v>
      </c>
      <c r="BN68" s="731">
        <f t="shared" ca="1" si="314"/>
        <v>210.96558794466404</v>
      </c>
      <c r="BO68" s="731">
        <f t="shared" ca="1" si="315"/>
        <v>0.75041666666666718</v>
      </c>
      <c r="BP68" s="731">
        <f t="shared" ca="1" si="316"/>
        <v>149.7160046113307</v>
      </c>
      <c r="BQ68" s="731">
        <f t="shared" ca="1" si="317"/>
        <v>5.6499999999999977</v>
      </c>
      <c r="BR68" s="731">
        <f t="shared" ca="1" si="318"/>
        <v>92.615587944664043</v>
      </c>
      <c r="BS68" s="731">
        <f t="shared" ref="BS68:BT68" ca="1" si="334">BG53</f>
        <v>21.194927536231887</v>
      </c>
      <c r="BT68" s="731">
        <f t="shared" ca="1" si="334"/>
        <v>46.16051548089591</v>
      </c>
      <c r="EU68" s="682">
        <f ca="1">'Monthly Data'!FO56</f>
        <v>1008.3753998693594</v>
      </c>
      <c r="EV68" s="682">
        <f>'Monthly Data'!FP56</f>
        <v>651.66412470452997</v>
      </c>
      <c r="EW68" s="682">
        <f>'Monthly Data'!FQ56</f>
        <v>3117.5433850037466</v>
      </c>
      <c r="EX68" s="682">
        <f>'Monthly Data'!FR56</f>
        <v>87509.372733450145</v>
      </c>
      <c r="EY68" s="682">
        <f>'Monthly Data'!FS56</f>
        <v>1942506.1873440815</v>
      </c>
      <c r="EZ68" s="682">
        <f>'Monthly Data'!FT56</f>
        <v>6079610.8042944474</v>
      </c>
      <c r="FA68" s="682">
        <f>'Monthly Data'!FX56</f>
        <v>1133.1736268658151</v>
      </c>
      <c r="FB68" s="682">
        <f>'Monthly Data'!FY56</f>
        <v>3800.239255370614</v>
      </c>
      <c r="FC68" s="682">
        <f>'Monthly Data'!FZ56</f>
        <v>83316.597419721948</v>
      </c>
      <c r="FD68" s="682">
        <f>'Monthly Data'!GA56</f>
        <v>75254.843333333338</v>
      </c>
    </row>
    <row r="69" spans="1:160">
      <c r="A69">
        <v>2019</v>
      </c>
      <c r="B69">
        <v>8</v>
      </c>
      <c r="C69" s="313">
        <v>19.091666666666661</v>
      </c>
      <c r="D69" s="313">
        <v>23.162500000000009</v>
      </c>
      <c r="E69" s="313">
        <v>4.645833333333325</v>
      </c>
      <c r="F69" s="313">
        <v>70.716666666666669</v>
      </c>
      <c r="G69" s="313">
        <v>0</v>
      </c>
      <c r="H69" s="313">
        <v>128.07083333333338</v>
      </c>
      <c r="I69" s="313">
        <v>0</v>
      </c>
      <c r="J69" s="313">
        <v>190.07083333333335</v>
      </c>
      <c r="K69" s="313">
        <v>0</v>
      </c>
      <c r="L69" s="313">
        <v>252.07083333333335</v>
      </c>
      <c r="M69" s="313">
        <v>0</v>
      </c>
      <c r="N69" s="313">
        <v>314.07083333333338</v>
      </c>
      <c r="O69" s="313">
        <v>0</v>
      </c>
      <c r="P69" s="313">
        <v>376.07083333333338</v>
      </c>
      <c r="Q69" s="383">
        <v>20.13131720430108</v>
      </c>
      <c r="S69" s="3">
        <f>'Monthly Data'!D57</f>
        <v>90507033.205380812</v>
      </c>
      <c r="T69" s="3">
        <f>'Monthly Data'!J57</f>
        <v>971217.83658999996</v>
      </c>
      <c r="U69" s="3">
        <f>'Monthly Data'!P57</f>
        <v>25355358.507699899</v>
      </c>
      <c r="V69" s="3">
        <f>'Monthly Data'!V57</f>
        <v>82253585.260000005</v>
      </c>
      <c r="W69" s="3">
        <f>'Monthly Data'!AB57</f>
        <v>7509860.7000000002</v>
      </c>
      <c r="X69" s="3">
        <f>'Monthly Data'!AG57</f>
        <v>19108256.09</v>
      </c>
      <c r="Y69" s="3">
        <f>'Monthly Data'!BC57</f>
        <v>37269420.368609898</v>
      </c>
      <c r="Z69" s="3">
        <f>'Monthly Data'!BI57</f>
        <v>7793888.8982300097</v>
      </c>
      <c r="AA69" s="3">
        <f>'Monthly Data'!BO57</f>
        <v>30243494.170000002</v>
      </c>
      <c r="AB69" s="3">
        <f>'Monthly Data'!BU57</f>
        <v>6727977.9500000002</v>
      </c>
      <c r="BF69" t="str">
        <f t="shared" si="320"/>
        <v>September</v>
      </c>
      <c r="BG69" s="731">
        <f t="shared" ref="BG69:BH69" ca="1" si="335">EM54</f>
        <v>0</v>
      </c>
      <c r="BH69" s="731">
        <f t="shared" ca="1" si="335"/>
        <v>276.00264233954448</v>
      </c>
      <c r="BI69" s="731">
        <f t="shared" ca="1" si="309"/>
        <v>0.57166666666666666</v>
      </c>
      <c r="BJ69" s="731">
        <f t="shared" ca="1" si="310"/>
        <v>216.57430900621117</v>
      </c>
      <c r="BK69" s="731">
        <f t="shared" ca="1" si="311"/>
        <v>2.6674999999999995</v>
      </c>
      <c r="BL69" s="731">
        <f t="shared" ca="1" si="312"/>
        <v>158.67014233954447</v>
      </c>
      <c r="BM69" s="731">
        <f t="shared" ca="1" si="313"/>
        <v>10.413369565217392</v>
      </c>
      <c r="BN69" s="731">
        <f t="shared" ca="1" si="314"/>
        <v>106.4160119047619</v>
      </c>
      <c r="BO69" s="731">
        <f t="shared" ca="1" si="315"/>
        <v>26.342536231884061</v>
      </c>
      <c r="BP69" s="731">
        <f t="shared" ca="1" si="316"/>
        <v>62.345178571428576</v>
      </c>
      <c r="BQ69" s="731">
        <f t="shared" ca="1" si="317"/>
        <v>54.959440993788824</v>
      </c>
      <c r="BR69" s="731">
        <f t="shared" ca="1" si="318"/>
        <v>30.962083333333332</v>
      </c>
      <c r="BS69" s="731">
        <f t="shared" ref="BS69:BT69" ca="1" si="336">BG54</f>
        <v>96.735690993788822</v>
      </c>
      <c r="BT69" s="731">
        <f t="shared" ca="1" si="336"/>
        <v>12.738333333333333</v>
      </c>
      <c r="EU69" s="682">
        <f ca="1">'Monthly Data'!FO57</f>
        <v>847.19117280863986</v>
      </c>
      <c r="EV69" s="682">
        <f>'Monthly Data'!FP57</f>
        <v>649.16979932878087</v>
      </c>
      <c r="EW69" s="682">
        <f>'Monthly Data'!FQ57</f>
        <v>2888.3770031297481</v>
      </c>
      <c r="EX69" s="682">
        <f>'Monthly Data'!FR57</f>
        <v>84562.083438632078</v>
      </c>
      <c r="EY69" s="682">
        <f>'Monthly Data'!FS57</f>
        <v>1931321.9269025964</v>
      </c>
      <c r="EZ69" s="682">
        <f>'Monthly Data'!FT57</f>
        <v>5173683.9477923419</v>
      </c>
      <c r="FA69" s="682">
        <f>'Monthly Data'!FX57</f>
        <v>954.98428942876285</v>
      </c>
      <c r="FB69" s="682">
        <f>'Monthly Data'!FY57</f>
        <v>3536.8973657922675</v>
      </c>
      <c r="FC69" s="682">
        <f>'Monthly Data'!FZ57</f>
        <v>84390.310595666582</v>
      </c>
      <c r="FD69" s="682">
        <f>'Monthly Data'!GA57</f>
        <v>86212.326666666675</v>
      </c>
    </row>
    <row r="70" spans="1:160">
      <c r="A70">
        <v>2019</v>
      </c>
      <c r="B70">
        <v>9</v>
      </c>
      <c r="C70" s="313">
        <v>113.56666666666666</v>
      </c>
      <c r="D70" s="313">
        <v>5.0833333333333286</v>
      </c>
      <c r="E70" s="313">
        <v>62.054166666666653</v>
      </c>
      <c r="F70" s="313">
        <v>13.570833333333326</v>
      </c>
      <c r="G70" s="313">
        <v>21.004166666666656</v>
      </c>
      <c r="H70" s="313">
        <v>32.520833333333329</v>
      </c>
      <c r="I70" s="313">
        <v>4.9833333333333325</v>
      </c>
      <c r="J70" s="313">
        <v>76.5</v>
      </c>
      <c r="K70" s="313">
        <v>0.4208333333333325</v>
      </c>
      <c r="L70" s="313">
        <v>131.93750000000003</v>
      </c>
      <c r="M70" s="313">
        <v>0</v>
      </c>
      <c r="N70" s="313">
        <v>191.51666666666671</v>
      </c>
      <c r="O70" s="313">
        <v>0</v>
      </c>
      <c r="P70" s="313">
        <v>251.51666666666671</v>
      </c>
      <c r="Q70" s="383">
        <v>16.383888888888887</v>
      </c>
      <c r="S70" s="3">
        <f>'Monthly Data'!D58</f>
        <v>66249670.998059496</v>
      </c>
      <c r="T70" s="3">
        <f>'Monthly Data'!J58</f>
        <v>682548.76266000001</v>
      </c>
      <c r="U70" s="3">
        <f>'Monthly Data'!P58</f>
        <v>21480489.843200002</v>
      </c>
      <c r="V70" s="3">
        <f>'Monthly Data'!V58</f>
        <v>75654894.079999998</v>
      </c>
      <c r="W70" s="3">
        <f>'Monthly Data'!AB58</f>
        <v>7260476.9100000001</v>
      </c>
      <c r="X70" s="3">
        <f>'Monthly Data'!AG58</f>
        <v>21212391.57</v>
      </c>
      <c r="Y70" s="3">
        <f>'Monthly Data'!BC58</f>
        <v>26723759.6971201</v>
      </c>
      <c r="Z70" s="3">
        <f>'Monthly Data'!BI58</f>
        <v>6674126.5630400004</v>
      </c>
      <c r="AA70" s="3">
        <f>'Monthly Data'!BO58</f>
        <v>27479248.530000001</v>
      </c>
      <c r="AB70" s="3">
        <f>'Monthly Data'!BU58</f>
        <v>6368088.0700000003</v>
      </c>
      <c r="BF70" t="str">
        <f t="shared" si="320"/>
        <v>October</v>
      </c>
      <c r="BG70" s="731">
        <f t="shared" ref="BG70:BH70" ca="1" si="337">EM55</f>
        <v>24.76139492753623</v>
      </c>
      <c r="BH70" s="731">
        <f t="shared" ca="1" si="337"/>
        <v>98.552083333333343</v>
      </c>
      <c r="BI70" s="731">
        <f t="shared" ca="1" si="309"/>
        <v>50.475978260869567</v>
      </c>
      <c r="BJ70" s="731">
        <f t="shared" ca="1" si="310"/>
        <v>62.266666666666673</v>
      </c>
      <c r="BK70" s="731">
        <f t="shared" ca="1" si="311"/>
        <v>85.537644927536221</v>
      </c>
      <c r="BL70" s="731">
        <f t="shared" ca="1" si="312"/>
        <v>35.32833333333334</v>
      </c>
      <c r="BM70" s="731">
        <f t="shared" ca="1" si="313"/>
        <v>130.19639492753623</v>
      </c>
      <c r="BN70" s="731">
        <f t="shared" ca="1" si="314"/>
        <v>17.987083333333334</v>
      </c>
      <c r="BO70" s="731">
        <f t="shared" ca="1" si="315"/>
        <v>181.36347826086953</v>
      </c>
      <c r="BP70" s="731">
        <f t="shared" ca="1" si="316"/>
        <v>7.1541666666666703</v>
      </c>
      <c r="BQ70" s="731">
        <f t="shared" ca="1" si="317"/>
        <v>237.89681159420289</v>
      </c>
      <c r="BR70" s="731">
        <f t="shared" ca="1" si="318"/>
        <v>1.6875000000000011</v>
      </c>
      <c r="BS70" s="731">
        <f t="shared" ref="BS70:BT70" ca="1" si="338">BG55</f>
        <v>298.21097826086958</v>
      </c>
      <c r="BT70" s="731">
        <f t="shared" ca="1" si="338"/>
        <v>1.666666666666572E-3</v>
      </c>
      <c r="EU70" s="682">
        <f ca="1">'Monthly Data'!FO58</f>
        <v>628.25025012086212</v>
      </c>
      <c r="EV70" s="682">
        <f>'Monthly Data'!FP58</f>
        <v>464.9639902632415</v>
      </c>
      <c r="EW70" s="682">
        <f>'Monthly Data'!FQ58</f>
        <v>2467.4282902677442</v>
      </c>
      <c r="EX70" s="682">
        <f>'Monthly Data'!FR58</f>
        <v>78341.000891091375</v>
      </c>
      <c r="EY70" s="682">
        <f>'Monthly Data'!FS58</f>
        <v>1869834.7339611109</v>
      </c>
      <c r="EZ70" s="682">
        <f>'Monthly Data'!FT58</f>
        <v>5703729.6387902377</v>
      </c>
      <c r="FA70" s="682">
        <f>'Monthly Data'!FX58</f>
        <v>696.63016585428454</v>
      </c>
      <c r="FB70" s="682">
        <f>'Monthly Data'!FY58</f>
        <v>3041.3889560964381</v>
      </c>
      <c r="FC70" s="682">
        <f>'Monthly Data'!FZ58</f>
        <v>77153.982657552842</v>
      </c>
      <c r="FD70" s="682">
        <f>'Monthly Data'!GA58</f>
        <v>93178.486666666679</v>
      </c>
    </row>
    <row r="71" spans="1:160">
      <c r="A71">
        <v>2019</v>
      </c>
      <c r="B71">
        <v>10</v>
      </c>
      <c r="C71" s="313">
        <v>303.96666666666664</v>
      </c>
      <c r="D71" s="313">
        <v>0</v>
      </c>
      <c r="E71" s="313">
        <v>243.77916666666664</v>
      </c>
      <c r="F71" s="313">
        <v>1.8125000000000036</v>
      </c>
      <c r="G71" s="313">
        <v>183.7791666666667</v>
      </c>
      <c r="H71" s="313">
        <v>3.8125000000000036</v>
      </c>
      <c r="I71" s="313">
        <v>125.30000000000004</v>
      </c>
      <c r="J71" s="313">
        <v>7.3333333333333357</v>
      </c>
      <c r="K71" s="313">
        <v>72.637500000000017</v>
      </c>
      <c r="L71" s="313">
        <v>16.670833333333334</v>
      </c>
      <c r="M71" s="313">
        <v>31.19583333333334</v>
      </c>
      <c r="N71" s="313">
        <v>37.229166666666664</v>
      </c>
      <c r="O71" s="313">
        <v>8.0666666666666664</v>
      </c>
      <c r="P71" s="313">
        <v>76.099999999999994</v>
      </c>
      <c r="Q71" s="383">
        <v>10.194623655913977</v>
      </c>
      <c r="S71" s="3">
        <f>'Monthly Data'!D59</f>
        <v>65112708.9208197</v>
      </c>
      <c r="T71" s="3">
        <f>'Monthly Data'!J59</f>
        <v>815717.99471999996</v>
      </c>
      <c r="U71" s="3">
        <f>'Monthly Data'!P59</f>
        <v>21587541.58955</v>
      </c>
      <c r="V71" s="3">
        <f>'Monthly Data'!V59</f>
        <v>74424469.099999994</v>
      </c>
      <c r="W71" s="3">
        <f>'Monthly Data'!AB59</f>
        <v>7691489.1699999999</v>
      </c>
      <c r="X71" s="3">
        <f>'Monthly Data'!AG59</f>
        <v>23448041.050000001</v>
      </c>
      <c r="Y71" s="3">
        <f>'Monthly Data'!BC59</f>
        <v>24420573.743390199</v>
      </c>
      <c r="Z71" s="3">
        <f>'Monthly Data'!BI59</f>
        <v>6557966.5479500201</v>
      </c>
      <c r="AA71" s="3">
        <f>'Monthly Data'!BO59</f>
        <v>26568981.43</v>
      </c>
      <c r="AB71" s="3">
        <f>'Monthly Data'!BU59</f>
        <v>6894257.96</v>
      </c>
      <c r="BF71" t="str">
        <f t="shared" si="320"/>
        <v>November</v>
      </c>
      <c r="BG71" s="731">
        <f t="shared" ref="BG71:BH71" ca="1" si="339">EM56</f>
        <v>140.02366389045739</v>
      </c>
      <c r="BH71" s="731">
        <f t="shared" ca="1" si="339"/>
        <v>13.393750000000001</v>
      </c>
      <c r="BI71" s="731">
        <f t="shared" ca="1" si="309"/>
        <v>192.26908055712403</v>
      </c>
      <c r="BJ71" s="731">
        <f t="shared" ca="1" si="310"/>
        <v>5.6391666666666662</v>
      </c>
      <c r="BK71" s="731">
        <f t="shared" ca="1" si="311"/>
        <v>248.90783055712399</v>
      </c>
      <c r="BL71" s="731">
        <f t="shared" ca="1" si="312"/>
        <v>2.2779166666666657</v>
      </c>
      <c r="BM71" s="731">
        <f t="shared" ca="1" si="313"/>
        <v>307.43824722379077</v>
      </c>
      <c r="BN71" s="731">
        <f t="shared" ca="1" si="314"/>
        <v>0.8083333333333329</v>
      </c>
      <c r="BO71" s="731">
        <f t="shared" ca="1" si="315"/>
        <v>366.78033055712399</v>
      </c>
      <c r="BP71" s="731">
        <f t="shared" ca="1" si="316"/>
        <v>0.15041666666666628</v>
      </c>
      <c r="BQ71" s="731">
        <f t="shared" ca="1" si="317"/>
        <v>426.62991389045737</v>
      </c>
      <c r="BR71" s="731">
        <f t="shared" ca="1" si="318"/>
        <v>0</v>
      </c>
      <c r="BS71" s="731">
        <f t="shared" ref="BS71:BT71" ca="1" si="340">BG56</f>
        <v>486.62991389045737</v>
      </c>
      <c r="BT71" s="731">
        <f t="shared" ca="1" si="340"/>
        <v>0</v>
      </c>
      <c r="EU71" s="682">
        <f ca="1">'Monthly Data'!FO59</f>
        <v>617.10710312925505</v>
      </c>
      <c r="EV71" s="682">
        <f>'Monthly Data'!FP59</f>
        <v>550.55785945459922</v>
      </c>
      <c r="EW71" s="682">
        <f>'Monthly Data'!FQ59</f>
        <v>2478.1606705812246</v>
      </c>
      <c r="EX71" s="682">
        <f>'Monthly Data'!FR59</f>
        <v>77346.895752930432</v>
      </c>
      <c r="EY71" s="682">
        <f>'Monthly Data'!FS59</f>
        <v>1978446.5535196254</v>
      </c>
      <c r="EZ71" s="682">
        <f>'Monthly Data'!FT59</f>
        <v>6266653.8297881326</v>
      </c>
      <c r="FA71" s="682">
        <f>'Monthly Data'!FX59</f>
        <v>639.34463545164476</v>
      </c>
      <c r="FB71" s="682">
        <f>'Monthly Data'!FY59</f>
        <v>2989.4787162384341</v>
      </c>
      <c r="FC71" s="682">
        <f>'Monthly Data'!FZ59</f>
        <v>74835.36967965131</v>
      </c>
      <c r="FD71" s="682">
        <f>'Monthly Data'!GA59</f>
        <v>108595.46999999999</v>
      </c>
    </row>
    <row r="72" spans="1:160">
      <c r="A72">
        <v>2019</v>
      </c>
      <c r="B72">
        <v>11</v>
      </c>
      <c r="C72" s="313">
        <v>589.72500000000002</v>
      </c>
      <c r="D72" s="313">
        <v>0</v>
      </c>
      <c r="E72" s="313">
        <v>529.72500000000002</v>
      </c>
      <c r="F72" s="313">
        <v>0</v>
      </c>
      <c r="G72" s="313">
        <v>469.72499999999997</v>
      </c>
      <c r="H72" s="313">
        <v>0</v>
      </c>
      <c r="I72" s="313">
        <v>409.72499999999997</v>
      </c>
      <c r="J72" s="313">
        <v>0</v>
      </c>
      <c r="K72" s="313">
        <v>349.72499999999997</v>
      </c>
      <c r="L72" s="313">
        <v>0</v>
      </c>
      <c r="M72" s="313">
        <v>289.72499999999997</v>
      </c>
      <c r="N72" s="313">
        <v>0</v>
      </c>
      <c r="O72" s="313">
        <v>229.72499999999999</v>
      </c>
      <c r="P72" s="313">
        <v>0</v>
      </c>
      <c r="Q72" s="383">
        <v>0.34250000000000014</v>
      </c>
      <c r="S72" s="3">
        <f>'Monthly Data'!D60</f>
        <v>76919126.331799701</v>
      </c>
      <c r="T72" s="3">
        <f>'Monthly Data'!J60</f>
        <v>890971.02520000096</v>
      </c>
      <c r="U72" s="3">
        <f>'Monthly Data'!P60</f>
        <v>23995835.644060098</v>
      </c>
      <c r="V72" s="3">
        <f>'Monthly Data'!V60</f>
        <v>76391237.219999999</v>
      </c>
      <c r="W72" s="3">
        <f>'Monthly Data'!AB60</f>
        <v>7640406.0199999996</v>
      </c>
      <c r="X72" s="3">
        <f>'Monthly Data'!AG60</f>
        <v>22063342.010000002</v>
      </c>
      <c r="Y72" s="3">
        <f>'Monthly Data'!BC60</f>
        <v>26845088.8490698</v>
      </c>
      <c r="Z72" s="3">
        <f>'Monthly Data'!BI60</f>
        <v>7273179.2636399996</v>
      </c>
      <c r="AA72" s="3">
        <f>'Monthly Data'!BO60</f>
        <v>27571468.760000002</v>
      </c>
      <c r="AB72" s="3">
        <f>'Monthly Data'!BU60</f>
        <v>6571208.7999999998</v>
      </c>
      <c r="BF72" t="str">
        <f t="shared" si="320"/>
        <v>December</v>
      </c>
      <c r="BG72" s="731">
        <f t="shared" ref="BG72:BH72" ca="1" si="341">EM57</f>
        <v>268.92048913043476</v>
      </c>
      <c r="BH72" s="731">
        <f t="shared" ca="1" si="341"/>
        <v>0.99248188405797111</v>
      </c>
      <c r="BI72" s="731">
        <f t="shared" ca="1" si="309"/>
        <v>330.0559239130435</v>
      </c>
      <c r="BJ72" s="731">
        <f t="shared" ca="1" si="310"/>
        <v>0.12791666666666668</v>
      </c>
      <c r="BK72" s="731">
        <f t="shared" ca="1" si="311"/>
        <v>391.92800724637681</v>
      </c>
      <c r="BL72" s="731">
        <f t="shared" ca="1" si="312"/>
        <v>0</v>
      </c>
      <c r="BM72" s="731">
        <f t="shared" ca="1" si="313"/>
        <v>453.92800724637681</v>
      </c>
      <c r="BN72" s="731">
        <f t="shared" ca="1" si="314"/>
        <v>0</v>
      </c>
      <c r="BO72" s="731">
        <f t="shared" ca="1" si="315"/>
        <v>515.92800724637686</v>
      </c>
      <c r="BP72" s="731">
        <f t="shared" ca="1" si="316"/>
        <v>0</v>
      </c>
      <c r="BQ72" s="731">
        <f t="shared" ca="1" si="317"/>
        <v>577.92800724637686</v>
      </c>
      <c r="BR72" s="731">
        <f t="shared" ca="1" si="318"/>
        <v>0</v>
      </c>
      <c r="BS72" s="731">
        <f t="shared" ref="BS72:BT72" ca="1" si="342">BG57</f>
        <v>639.92800724637686</v>
      </c>
      <c r="BT72" s="731">
        <f t="shared" ca="1" si="342"/>
        <v>0</v>
      </c>
      <c r="EU72" s="682">
        <f ca="1">'Monthly Data'!FO60</f>
        <v>721.82023872054549</v>
      </c>
      <c r="EV72" s="682">
        <f>'Monthly Data'!FP60</f>
        <v>599.14976880845927</v>
      </c>
      <c r="EW72" s="682">
        <f>'Monthly Data'!FQ60</f>
        <v>2737.4644154127477</v>
      </c>
      <c r="EX72" s="682">
        <f>'Monthly Data'!FR60</f>
        <v>79481.164212640593</v>
      </c>
      <c r="EY72" s="682">
        <f>'Monthly Data'!FS60</f>
        <v>1966534.5205781402</v>
      </c>
      <c r="EZ72" s="682">
        <f>'Monthly Data'!FT60</f>
        <v>5924490.8907860285</v>
      </c>
      <c r="FA72" s="682">
        <f>'Monthly Data'!FX60</f>
        <v>696.68981507452941</v>
      </c>
      <c r="FB72" s="682">
        <f>'Monthly Data'!FY60</f>
        <v>3304.5216018850392</v>
      </c>
      <c r="FC72" s="682">
        <f>'Monthly Data'!FZ60</f>
        <v>77590.375879468615</v>
      </c>
      <c r="FD72" s="682">
        <f>'Monthly Data'!GA60</f>
        <v>116999.49666666666</v>
      </c>
    </row>
    <row r="73" spans="1:160">
      <c r="A73">
        <v>2019</v>
      </c>
      <c r="B73">
        <v>12</v>
      </c>
      <c r="C73" s="313">
        <v>676.42916666666656</v>
      </c>
      <c r="D73" s="313">
        <v>0</v>
      </c>
      <c r="E73" s="313">
        <v>614.42916666666667</v>
      </c>
      <c r="F73" s="313">
        <v>0</v>
      </c>
      <c r="G73" s="313">
        <v>552.42916666666667</v>
      </c>
      <c r="H73" s="313">
        <v>0</v>
      </c>
      <c r="I73" s="313">
        <v>490.42916666666656</v>
      </c>
      <c r="J73" s="313">
        <v>0</v>
      </c>
      <c r="K73" s="313">
        <v>428.42916666666656</v>
      </c>
      <c r="L73" s="313">
        <v>0</v>
      </c>
      <c r="M73" s="313">
        <v>366.42916666666656</v>
      </c>
      <c r="N73" s="313">
        <v>0</v>
      </c>
      <c r="O73" s="313">
        <v>304.42916666666662</v>
      </c>
      <c r="P73" s="313">
        <v>0</v>
      </c>
      <c r="Q73" s="383">
        <v>-1.8202956989247305</v>
      </c>
      <c r="S73" s="3">
        <f>'Monthly Data'!D61</f>
        <v>88768938.471709996</v>
      </c>
      <c r="T73" s="3">
        <f>'Monthly Data'!J61</f>
        <v>1030858.18135</v>
      </c>
      <c r="U73" s="3">
        <f>'Monthly Data'!P61</f>
        <v>25773416.637219999</v>
      </c>
      <c r="V73" s="3">
        <f>'Monthly Data'!V61</f>
        <v>76331857.349999994</v>
      </c>
      <c r="W73" s="3">
        <f>'Monthly Data'!AB61</f>
        <v>7100370.6200000001</v>
      </c>
      <c r="X73" s="3">
        <f>'Monthly Data'!AG61</f>
        <v>22424651.760000002</v>
      </c>
      <c r="Y73" s="3">
        <f>'Monthly Data'!BC61</f>
        <v>30919956.561090101</v>
      </c>
      <c r="Z73" s="3">
        <f>'Monthly Data'!BI61</f>
        <v>7836944.2918800004</v>
      </c>
      <c r="AA73" s="3">
        <f>'Monthly Data'!BO61</f>
        <v>28441626.969999999</v>
      </c>
      <c r="AB73" s="3">
        <f>'Monthly Data'!BU61</f>
        <v>6730418.04</v>
      </c>
      <c r="EU73" s="682">
        <f ca="1">'Monthly Data'!FO61</f>
        <v>827.00454241285138</v>
      </c>
      <c r="EV73" s="682">
        <f>'Monthly Data'!FP61</f>
        <v>689.19396101563677</v>
      </c>
      <c r="EW73" s="682">
        <f>'Monthly Data'!FQ61</f>
        <v>2928.0952037242805</v>
      </c>
      <c r="EX73" s="682">
        <f>'Monthly Data'!FR61</f>
        <v>79634.743428993504</v>
      </c>
      <c r="EY73" s="682">
        <f>'Monthly Data'!FS61</f>
        <v>1832384.4251366549</v>
      </c>
      <c r="EZ73" s="682">
        <f>'Monthly Data'!FT61</f>
        <v>6018830.1492839241</v>
      </c>
      <c r="FA73" s="682">
        <f>'Monthly Data'!FX61</f>
        <v>793.59427949032715</v>
      </c>
      <c r="FB73" s="682">
        <f>'Monthly Data'!FY61</f>
        <v>3552.4580559617843</v>
      </c>
      <c r="FC73" s="682">
        <f>'Monthly Data'!FZ61</f>
        <v>79994.376455943711</v>
      </c>
      <c r="FD73" s="682">
        <f>'Monthly Data'!GA61</f>
        <v>128280.91333333333</v>
      </c>
    </row>
    <row r="74" spans="1:160">
      <c r="A74">
        <v>2020</v>
      </c>
      <c r="B74">
        <v>1</v>
      </c>
      <c r="C74" s="313">
        <v>690.82083333333321</v>
      </c>
      <c r="D74" s="313">
        <v>0</v>
      </c>
      <c r="E74" s="313">
        <v>628.82083333333333</v>
      </c>
      <c r="F74" s="313">
        <v>0</v>
      </c>
      <c r="G74" s="313">
        <v>566.82083333333333</v>
      </c>
      <c r="H74" s="313">
        <v>0</v>
      </c>
      <c r="I74" s="313">
        <v>504.82083333333333</v>
      </c>
      <c r="J74" s="313">
        <v>0</v>
      </c>
      <c r="K74" s="313">
        <v>442.82083333333327</v>
      </c>
      <c r="L74" s="313">
        <v>0</v>
      </c>
      <c r="M74" s="313">
        <v>380.82083333333333</v>
      </c>
      <c r="N74" s="313">
        <v>0</v>
      </c>
      <c r="O74" s="313">
        <v>318.82083333333333</v>
      </c>
      <c r="P74" s="313">
        <v>0</v>
      </c>
      <c r="Q74" s="383">
        <v>-2.2845430107526878</v>
      </c>
      <c r="S74" s="3">
        <f>'Monthly Data'!D62</f>
        <v>86693129.758341104</v>
      </c>
      <c r="T74" s="3">
        <f>'Monthly Data'!J62</f>
        <v>1061355.0422100001</v>
      </c>
      <c r="U74" s="3">
        <f>'Monthly Data'!P62</f>
        <v>26571571.344690099</v>
      </c>
      <c r="V74" s="3">
        <f>'Monthly Data'!V62</f>
        <v>80912313.099999994</v>
      </c>
      <c r="W74" s="3">
        <f>'Monthly Data'!AB62</f>
        <v>7650561.0499999998</v>
      </c>
      <c r="X74" s="3">
        <f>'Monthly Data'!AG62</f>
        <v>23260771.809999999</v>
      </c>
      <c r="Y74" s="3">
        <f>'Monthly Data'!BC62</f>
        <v>29590579.813260101</v>
      </c>
      <c r="Z74" s="3">
        <f>'Monthly Data'!BI62</f>
        <v>8016317.3773400197</v>
      </c>
      <c r="AA74" s="3">
        <f>'Monthly Data'!BO62</f>
        <v>30147336.350000001</v>
      </c>
      <c r="AB74" s="3">
        <f>'Monthly Data'!BU62</f>
        <v>7205385.4699999997</v>
      </c>
      <c r="EU74" s="682">
        <f ca="1">'Monthly Data'!FO62</f>
        <v>803.41968918648331</v>
      </c>
      <c r="EV74" s="682">
        <f>'Monthly Data'!FP62</f>
        <v>707.99683023400769</v>
      </c>
      <c r="EW74" s="682">
        <f>'Monthly Data'!FQ62</f>
        <v>3007.9891758703884</v>
      </c>
      <c r="EX74" s="682">
        <f>'Monthly Data'!FR62</f>
        <v>83821.656222581209</v>
      </c>
      <c r="EY74" s="682">
        <f>'Monthly Data'!FS62</f>
        <v>1927518.7512007814</v>
      </c>
      <c r="EZ74" s="682">
        <f>'Monthly Data'!FT62</f>
        <v>6215230.1455665613</v>
      </c>
      <c r="FA74" s="682">
        <f>'Monthly Data'!FX62</f>
        <v>759.18516343828219</v>
      </c>
      <c r="FB74" s="682">
        <f>'Monthly Data'!FY62</f>
        <v>3625.6393131082527</v>
      </c>
      <c r="FC74" s="682">
        <f>'Monthly Data'!FZ62</f>
        <v>84325.570785537566</v>
      </c>
      <c r="FD74" s="682">
        <f>'Monthly Data'!GA62</f>
        <v>123618.24333333333</v>
      </c>
    </row>
    <row r="75" spans="1:160">
      <c r="A75">
        <v>2020</v>
      </c>
      <c r="B75">
        <v>2</v>
      </c>
      <c r="C75" s="313">
        <v>678.4000000000002</v>
      </c>
      <c r="D75" s="313">
        <v>0</v>
      </c>
      <c r="E75" s="313">
        <v>620.40000000000009</v>
      </c>
      <c r="F75" s="313">
        <v>0</v>
      </c>
      <c r="G75" s="313">
        <v>562.4</v>
      </c>
      <c r="H75" s="313">
        <v>0</v>
      </c>
      <c r="I75" s="313">
        <v>504.40000000000003</v>
      </c>
      <c r="J75" s="313">
        <v>0</v>
      </c>
      <c r="K75" s="313">
        <v>446.40000000000003</v>
      </c>
      <c r="L75" s="313">
        <v>0</v>
      </c>
      <c r="M75" s="313">
        <v>388.40000000000003</v>
      </c>
      <c r="N75" s="313">
        <v>0</v>
      </c>
      <c r="O75" s="313">
        <v>330.40000000000003</v>
      </c>
      <c r="P75" s="313">
        <v>0</v>
      </c>
      <c r="Q75" s="383">
        <v>-3.3931034482758609</v>
      </c>
      <c r="S75" s="3">
        <f>'Monthly Data'!D63</f>
        <v>80469886.712630197</v>
      </c>
      <c r="T75" s="3">
        <f>'Monthly Data'!J63</f>
        <v>1027159.0252799999</v>
      </c>
      <c r="U75" s="3">
        <f>'Monthly Data'!P63</f>
        <v>24901685.4999502</v>
      </c>
      <c r="V75" s="3">
        <f>'Monthly Data'!V63</f>
        <v>76686636.780000001</v>
      </c>
      <c r="W75" s="3">
        <f>'Monthly Data'!AB63</f>
        <v>7806853.6699999999</v>
      </c>
      <c r="X75" s="3">
        <f>'Monthly Data'!AG63</f>
        <v>21400935.870000001</v>
      </c>
      <c r="Y75" s="3">
        <f>'Monthly Data'!BC63</f>
        <v>27353640.339829899</v>
      </c>
      <c r="Z75" s="3">
        <f>'Monthly Data'!BI63</f>
        <v>7519811.4258199902</v>
      </c>
      <c r="AA75" s="3">
        <f>'Monthly Data'!BO63</f>
        <v>28075256.84</v>
      </c>
      <c r="AB75" s="3">
        <f>'Monthly Data'!BU63</f>
        <v>6678704.54</v>
      </c>
      <c r="EU75" s="682">
        <f ca="1">'Monthly Data'!FO63</f>
        <v>747.25700916221786</v>
      </c>
      <c r="EV75" s="682">
        <f>'Monthly Data'!FP63</f>
        <v>686.09700974186762</v>
      </c>
      <c r="EW75" s="682">
        <f>'Monthly Data'!FQ63</f>
        <v>2828.1627710338221</v>
      </c>
      <c r="EX75" s="682">
        <f>'Monthly Data'!FR63</f>
        <v>79558.331802424116</v>
      </c>
      <c r="EY75" s="682">
        <f>'Monthly Data'!FS63</f>
        <v>1926794.3181653707</v>
      </c>
      <c r="EZ75" s="682">
        <f>'Monthly Data'!FT63</f>
        <v>5751529.16046937</v>
      </c>
      <c r="FA75" s="682">
        <f>'Monthly Data'!FX63</f>
        <v>704.13350524097268</v>
      </c>
      <c r="FB75" s="682">
        <f>'Monthly Data'!FY63</f>
        <v>3403.2697802860348</v>
      </c>
      <c r="FC75" s="682">
        <f>'Monthly Data'!FZ63</f>
        <v>78750.684811076469</v>
      </c>
      <c r="FD75" s="682">
        <f>'Monthly Data'!GA63</f>
        <v>66749.5</v>
      </c>
    </row>
    <row r="76" spans="1:160">
      <c r="A76">
        <v>2020</v>
      </c>
      <c r="B76">
        <v>3</v>
      </c>
      <c r="C76" s="313">
        <v>543.57083333333344</v>
      </c>
      <c r="D76" s="313">
        <v>0</v>
      </c>
      <c r="E76" s="313">
        <v>481.57083333333344</v>
      </c>
      <c r="F76" s="313">
        <v>0</v>
      </c>
      <c r="G76" s="313">
        <v>419.57083333333344</v>
      </c>
      <c r="H76" s="313">
        <v>0</v>
      </c>
      <c r="I76" s="313">
        <v>357.57083333333344</v>
      </c>
      <c r="J76" s="313">
        <v>0</v>
      </c>
      <c r="K76" s="313">
        <v>295.57083333333338</v>
      </c>
      <c r="L76" s="313">
        <v>0</v>
      </c>
      <c r="M76" s="313">
        <v>233.60833333333338</v>
      </c>
      <c r="N76" s="313">
        <v>3.7499999999999645E-2</v>
      </c>
      <c r="O76" s="313">
        <v>174.47500000000005</v>
      </c>
      <c r="P76" s="313">
        <v>2.9041666666666668</v>
      </c>
      <c r="Q76" s="383">
        <v>2.4654569892473122</v>
      </c>
      <c r="S76" s="3">
        <f>'Monthly Data'!D64</f>
        <v>80071104.757969111</v>
      </c>
      <c r="T76" s="3">
        <f>'Monthly Data'!J64</f>
        <v>971877.05158000102</v>
      </c>
      <c r="U76" s="3">
        <f>'Monthly Data'!P64</f>
        <v>22938625.388429999</v>
      </c>
      <c r="V76" s="3">
        <f>'Monthly Data'!V64</f>
        <v>74941258.299999997</v>
      </c>
      <c r="W76" s="3">
        <f>'Monthly Data'!AB64</f>
        <v>8084524.5300000003</v>
      </c>
      <c r="X76" s="3">
        <f>'Monthly Data'!AG64</f>
        <v>23276678.73</v>
      </c>
      <c r="Y76" s="3">
        <f>'Monthly Data'!BC64</f>
        <v>27991644.1118</v>
      </c>
      <c r="Z76" s="3">
        <f>'Monthly Data'!BI64</f>
        <v>6876474.1773399999</v>
      </c>
      <c r="AA76" s="3">
        <f>'Monthly Data'!BO64</f>
        <v>27015739.629999999</v>
      </c>
      <c r="AB76" s="3">
        <f>'Monthly Data'!BU64</f>
        <v>7134904.7999999998</v>
      </c>
      <c r="EU76" s="682">
        <f ca="1">'Monthly Data'!FO64</f>
        <v>744.13362389402255</v>
      </c>
      <c r="EV76" s="682">
        <f>'Monthly Data'!FP64</f>
        <v>650.68920925613452</v>
      </c>
      <c r="EW76" s="682">
        <f>'Monthly Data'!FQ64</f>
        <v>2616.776939120869</v>
      </c>
      <c r="EX76" s="682">
        <f>'Monthly Data'!FR64</f>
        <v>77731.447516589556</v>
      </c>
      <c r="EY76" s="682">
        <f>'Monthly Data'!FS64</f>
        <v>1954657.8801509566</v>
      </c>
      <c r="EZ76" s="682">
        <f>'Monthly Data'!FT64</f>
        <v>6221722.8753721779</v>
      </c>
      <c r="FA76" s="682">
        <f>'Monthly Data'!FX64</f>
        <v>718.30222795330872</v>
      </c>
      <c r="FB76" s="682">
        <f>'Monthly Data'!FY64</f>
        <v>3116.8803238953592</v>
      </c>
      <c r="FC76" s="682">
        <f>'Monthly Data'!FZ64</f>
        <v>75867.755669737817</v>
      </c>
      <c r="FD76" s="682">
        <f>'Monthly Data'!GA64</f>
        <v>103035.00666666667</v>
      </c>
    </row>
    <row r="77" spans="1:160">
      <c r="A77">
        <v>2020</v>
      </c>
      <c r="B77">
        <v>4</v>
      </c>
      <c r="C77" s="313">
        <v>439.67500000000013</v>
      </c>
      <c r="D77" s="313">
        <v>0</v>
      </c>
      <c r="E77" s="313">
        <v>379.67500000000013</v>
      </c>
      <c r="F77" s="313">
        <v>0</v>
      </c>
      <c r="G77" s="313">
        <v>319.67500000000007</v>
      </c>
      <c r="H77" s="313">
        <v>0</v>
      </c>
      <c r="I77" s="313">
        <v>259.67500000000007</v>
      </c>
      <c r="J77" s="313">
        <v>0</v>
      </c>
      <c r="K77" s="313">
        <v>199.67500000000004</v>
      </c>
      <c r="L77" s="313">
        <v>0</v>
      </c>
      <c r="M77" s="313">
        <v>141.82916666666665</v>
      </c>
      <c r="N77" s="313">
        <v>2.1541666666666721</v>
      </c>
      <c r="O77" s="313">
        <v>89.183333333333337</v>
      </c>
      <c r="P77" s="313">
        <v>9.5083333333333364</v>
      </c>
      <c r="Q77" s="383">
        <v>5.3441666666666672</v>
      </c>
      <c r="S77" s="3">
        <f>'Monthly Data'!D65</f>
        <v>74360940.880131409</v>
      </c>
      <c r="T77" s="3">
        <f>'Monthly Data'!J65</f>
        <v>939180.58213</v>
      </c>
      <c r="U77" s="3">
        <f>'Monthly Data'!P65</f>
        <v>18103771.514610101</v>
      </c>
      <c r="V77" s="3">
        <f>'Monthly Data'!V65</f>
        <v>62217805.369999997</v>
      </c>
      <c r="W77" s="3">
        <f>'Monthly Data'!AB65</f>
        <v>6858393.6100000003</v>
      </c>
      <c r="X77" s="3">
        <f>'Monthly Data'!AG65</f>
        <v>19404320.359999999</v>
      </c>
      <c r="Y77" s="3">
        <f>'Monthly Data'!BC65</f>
        <v>26832637.010670099</v>
      </c>
      <c r="Z77" s="3">
        <f>'Monthly Data'!BI65</f>
        <v>5391524.2541500004</v>
      </c>
      <c r="AA77" s="3">
        <f>'Monthly Data'!BO65</f>
        <v>24168395.280000001</v>
      </c>
      <c r="AB77" s="3">
        <f>'Monthly Data'!BU65</f>
        <v>7303406.6100000003</v>
      </c>
      <c r="EU77" s="682">
        <f ca="1">'Monthly Data'!FO65</f>
        <v>693.33785463815593</v>
      </c>
      <c r="EV77" s="682">
        <f>'Monthly Data'!FP65</f>
        <v>629.75002135848467</v>
      </c>
      <c r="EW77" s="682">
        <f>'Monthly Data'!FQ65</f>
        <v>2095.7987409361936</v>
      </c>
      <c r="EX77" s="682">
        <f>'Monthly Data'!FR65</f>
        <v>65222.219596035764</v>
      </c>
      <c r="EY77" s="682">
        <f>'Monthly Data'!FS65</f>
        <v>1634418.586675558</v>
      </c>
      <c r="EZ77" s="682">
        <f>'Monthly Data'!FT65</f>
        <v>5254891.2827749858</v>
      </c>
      <c r="FA77" s="682">
        <f>'Monthly Data'!FX65</f>
        <v>689.34112799122033</v>
      </c>
      <c r="FB77" s="682">
        <f>'Monthly Data'!FY65</f>
        <v>2461.6549546073061</v>
      </c>
      <c r="FC77" s="682">
        <f>'Monthly Data'!FZ65</f>
        <v>68291.398248693949</v>
      </c>
      <c r="FD77" s="682">
        <f>'Monthly Data'!GA65</f>
        <v>86645.680000000008</v>
      </c>
    </row>
    <row r="78" spans="1:160">
      <c r="A78">
        <v>2020</v>
      </c>
      <c r="B78">
        <v>5</v>
      </c>
      <c r="C78" s="313">
        <v>265.14107142857148</v>
      </c>
      <c r="D78" s="313">
        <v>7.9916666666666636</v>
      </c>
      <c r="E78" s="313">
        <v>212.73690476190475</v>
      </c>
      <c r="F78" s="313">
        <v>17.587499999999995</v>
      </c>
      <c r="G78" s="313">
        <v>164.60000000000005</v>
      </c>
      <c r="H78" s="313">
        <v>31.450595238095232</v>
      </c>
      <c r="I78" s="313">
        <v>122.05</v>
      </c>
      <c r="J78" s="313">
        <v>50.900595238095221</v>
      </c>
      <c r="K78" s="313">
        <v>86.899999999999977</v>
      </c>
      <c r="L78" s="313">
        <v>77.750595238095229</v>
      </c>
      <c r="M78" s="313">
        <v>59.029166666666669</v>
      </c>
      <c r="N78" s="313">
        <v>111.87976190476191</v>
      </c>
      <c r="O78" s="313">
        <v>36.524999999999999</v>
      </c>
      <c r="P78" s="313">
        <v>151.37559523809523</v>
      </c>
      <c r="Q78" s="383">
        <v>11.704857910906297</v>
      </c>
      <c r="S78" s="3">
        <f>'Monthly Data'!D66</f>
        <v>76660224.034160897</v>
      </c>
      <c r="T78" s="3">
        <f>'Monthly Data'!J66</f>
        <v>974571.44930999901</v>
      </c>
      <c r="U78" s="3">
        <f>'Monthly Data'!P66</f>
        <v>18389795.34598</v>
      </c>
      <c r="V78" s="3">
        <f>'Monthly Data'!V66</f>
        <v>65325375.770000003</v>
      </c>
      <c r="W78" s="3">
        <f>'Monthly Data'!AB66</f>
        <v>7029275.2300000004</v>
      </c>
      <c r="X78" s="3">
        <f>'Monthly Data'!AG66</f>
        <v>20699805.870000001</v>
      </c>
      <c r="Y78" s="3">
        <f>'Monthly Data'!BC66</f>
        <v>30084796.321030099</v>
      </c>
      <c r="Z78" s="3">
        <f>'Monthly Data'!BI66</f>
        <v>5599966.37099999</v>
      </c>
      <c r="AA78" s="3">
        <f>'Monthly Data'!BO66</f>
        <v>23504938.949999999</v>
      </c>
      <c r="AB78" s="3">
        <f>'Monthly Data'!BU66</f>
        <v>7467575.6699999999</v>
      </c>
      <c r="EU78" s="682">
        <f ca="1">'Monthly Data'!FO66</f>
        <v>714.52485189084132</v>
      </c>
      <c r="EV78" s="682">
        <f>'Monthly Data'!FP66</f>
        <v>652.42860196179561</v>
      </c>
      <c r="EW78" s="682">
        <f>'Monthly Data'!FQ66</f>
        <v>2127.0754766940922</v>
      </c>
      <c r="EX78" s="682">
        <f>'Monthly Data'!FR66</f>
        <v>68146.480734454017</v>
      </c>
      <c r="EY78" s="682">
        <f>'Monthly Data'!FS66</f>
        <v>1642568.5208784766</v>
      </c>
      <c r="EZ78" s="682">
        <f>'Monthly Data'!FT66</f>
        <v>5580020.6601777943</v>
      </c>
      <c r="FA78" s="682">
        <f>'Monthly Data'!FX66</f>
        <v>766.05988780388884</v>
      </c>
      <c r="FB78" s="682">
        <f>'Monthly Data'!FY66</f>
        <v>2550.569290922027</v>
      </c>
      <c r="FC78" s="682">
        <f>'Monthly Data'!FZ66</f>
        <v>66480.641762992309</v>
      </c>
      <c r="FD78" s="682">
        <f>'Monthly Data'!GA66</f>
        <v>78982.990000000005</v>
      </c>
    </row>
    <row r="79" spans="1:160">
      <c r="A79">
        <v>2020</v>
      </c>
      <c r="B79">
        <v>6</v>
      </c>
      <c r="C79" s="313">
        <v>53.275000000000006</v>
      </c>
      <c r="D79" s="313">
        <v>35.811231884057946</v>
      </c>
      <c r="E79" s="313">
        <v>29.733333333333348</v>
      </c>
      <c r="F79" s="313">
        <v>72.269565217391289</v>
      </c>
      <c r="G79" s="313">
        <v>13.145833333333346</v>
      </c>
      <c r="H79" s="313">
        <v>115.68206521739128</v>
      </c>
      <c r="I79" s="313">
        <v>3.4333333333333353</v>
      </c>
      <c r="J79" s="313">
        <v>165.96956521739128</v>
      </c>
      <c r="K79" s="313">
        <v>0</v>
      </c>
      <c r="L79" s="313">
        <v>222.53623188405788</v>
      </c>
      <c r="M79" s="313">
        <v>0</v>
      </c>
      <c r="N79" s="313">
        <v>282.53623188405788</v>
      </c>
      <c r="O79" s="313">
        <v>0</v>
      </c>
      <c r="P79" s="313">
        <v>342.536231884058</v>
      </c>
      <c r="Q79" s="383">
        <v>19.417874396135264</v>
      </c>
      <c r="S79" s="3">
        <f>'Monthly Data'!D67</f>
        <v>91676340.201578692</v>
      </c>
      <c r="T79" s="3">
        <f>'Monthly Data'!J67</f>
        <v>893037.08716999996</v>
      </c>
      <c r="U79" s="3">
        <f>'Monthly Data'!P67</f>
        <v>20702668.818460003</v>
      </c>
      <c r="V79" s="3">
        <f>'Monthly Data'!V67</f>
        <v>73301362.409999996</v>
      </c>
      <c r="W79" s="3">
        <f>'Monthly Data'!AB67</f>
        <v>7429352.6399999997</v>
      </c>
      <c r="X79" s="3">
        <f>'Monthly Data'!AG67</f>
        <v>22662289.079999998</v>
      </c>
      <c r="Y79" s="3">
        <f>'Monthly Data'!BC67</f>
        <v>38414383.222709902</v>
      </c>
      <c r="Z79" s="3">
        <f>'Monthly Data'!BI67</f>
        <v>6444108.9209900098</v>
      </c>
      <c r="AA79" s="3">
        <f>'Monthly Data'!BO67</f>
        <v>28194603.760000002</v>
      </c>
      <c r="AB79" s="3">
        <f>'Monthly Data'!BU67</f>
        <v>7286482.4900000002</v>
      </c>
      <c r="EU79" s="682">
        <f ca="1">'Monthly Data'!FO67</f>
        <v>849.1585519789412</v>
      </c>
      <c r="EV79" s="682">
        <f>'Monthly Data'!FP67</f>
        <v>600.20312790783692</v>
      </c>
      <c r="EW79" s="682">
        <f>'Monthly Data'!FQ67</f>
        <v>2376.8232495224697</v>
      </c>
      <c r="EX79" s="682">
        <f>'Monthly Data'!FR67</f>
        <v>75781.429744304172</v>
      </c>
      <c r="EY79" s="682">
        <f>'Monthly Data'!FS67</f>
        <v>1701349.0034442497</v>
      </c>
      <c r="EZ79" s="682">
        <f>'Monthly Data'!FT67</f>
        <v>6071899.4625806026</v>
      </c>
      <c r="FA79" s="682">
        <f>'Monthly Data'!FX67</f>
        <v>963.86297917607533</v>
      </c>
      <c r="FB79" s="682">
        <f>'Monthly Data'!FY67</f>
        <v>2917.7255121891581</v>
      </c>
      <c r="FC79" s="682">
        <f>'Monthly Data'!FZ67</f>
        <v>78708.777216290822</v>
      </c>
      <c r="FD79" s="682">
        <f>'Monthly Data'!GA67</f>
        <v>71614.916666666672</v>
      </c>
    </row>
    <row r="80" spans="1:160">
      <c r="A80">
        <v>2020</v>
      </c>
      <c r="B80">
        <v>7</v>
      </c>
      <c r="C80" s="313">
        <v>0</v>
      </c>
      <c r="D80" s="313">
        <v>122.88750000000002</v>
      </c>
      <c r="E80" s="313">
        <v>0</v>
      </c>
      <c r="F80" s="313">
        <v>184.88749999999999</v>
      </c>
      <c r="G80" s="313">
        <v>0</v>
      </c>
      <c r="H80" s="313">
        <v>246.88749999999999</v>
      </c>
      <c r="I80" s="313">
        <v>0</v>
      </c>
      <c r="J80" s="313">
        <v>308.88750000000005</v>
      </c>
      <c r="K80" s="313">
        <v>0</v>
      </c>
      <c r="L80" s="313">
        <v>370.88750000000005</v>
      </c>
      <c r="M80" s="313">
        <v>0</v>
      </c>
      <c r="N80" s="313">
        <v>432.88750000000005</v>
      </c>
      <c r="O80" s="313">
        <v>0</v>
      </c>
      <c r="P80" s="313">
        <v>494.88750000000005</v>
      </c>
      <c r="Q80" s="383">
        <v>23.964112903225804</v>
      </c>
      <c r="S80" s="3">
        <f>'Monthly Data'!D68</f>
        <v>128705525.09886</v>
      </c>
      <c r="T80" s="3">
        <f>'Monthly Data'!J68</f>
        <v>1159332.21199</v>
      </c>
      <c r="U80" s="3">
        <f>'Monthly Data'!P68</f>
        <v>25811228.52397</v>
      </c>
      <c r="V80" s="3">
        <f>'Monthly Data'!V68</f>
        <v>84178256.540000007</v>
      </c>
      <c r="W80" s="3">
        <f>'Monthly Data'!AB68</f>
        <v>7743406.5300000003</v>
      </c>
      <c r="X80" s="3">
        <f>'Monthly Data'!AG68</f>
        <v>23358904.350000001</v>
      </c>
      <c r="Y80" s="3">
        <f>'Monthly Data'!BC68</f>
        <v>53278227.313599996</v>
      </c>
      <c r="Z80" s="3">
        <f>'Monthly Data'!BI68</f>
        <v>8067348.7171200002</v>
      </c>
      <c r="AA80" s="3">
        <f>'Monthly Data'!BO68</f>
        <v>28837574.93</v>
      </c>
      <c r="AB80" s="3">
        <f>'Monthly Data'!BU68</f>
        <v>7684210.5499999998</v>
      </c>
      <c r="EU80" s="682">
        <f ca="1">'Monthly Data'!FO68</f>
        <v>1178.6080238951481</v>
      </c>
      <c r="EV80" s="682">
        <f>'Monthly Data'!FP68</f>
        <v>770.80243730038615</v>
      </c>
      <c r="EW80" s="682">
        <f>'Monthly Data'!FQ68</f>
        <v>2927.7982670252568</v>
      </c>
      <c r="EX80" s="682">
        <f>'Monthly Data'!FR68</f>
        <v>86195.050287514096</v>
      </c>
      <c r="EY80" s="682">
        <f>'Monthly Data'!FS68</f>
        <v>1739223.2459167221</v>
      </c>
      <c r="EZ80" s="682">
        <f>'Monthly Data'!FT68</f>
        <v>6247311.2799834115</v>
      </c>
      <c r="FA80" s="682">
        <f>'Monthly Data'!FX68</f>
        <v>1316.9158827799461</v>
      </c>
      <c r="FB80" s="682">
        <f>'Monthly Data'!FY68</f>
        <v>3624.8871642393774</v>
      </c>
      <c r="FC80" s="682">
        <f>'Monthly Data'!FZ68</f>
        <v>80302.417330989076</v>
      </c>
      <c r="FD80" s="682">
        <f>'Monthly Data'!GA68</f>
        <v>73651.650000000009</v>
      </c>
    </row>
    <row r="81" spans="1:160">
      <c r="A81">
        <v>2020</v>
      </c>
      <c r="B81">
        <v>8</v>
      </c>
      <c r="C81" s="313">
        <v>19.720833333333321</v>
      </c>
      <c r="D81" s="313">
        <v>50.651893939393972</v>
      </c>
      <c r="E81" s="313">
        <v>3.4874999999999972</v>
      </c>
      <c r="F81" s="313">
        <v>96.418560606060637</v>
      </c>
      <c r="G81" s="313">
        <v>0</v>
      </c>
      <c r="H81" s="313">
        <v>154.93106060606064</v>
      </c>
      <c r="I81" s="313">
        <v>0</v>
      </c>
      <c r="J81" s="313">
        <v>216.93106060606064</v>
      </c>
      <c r="K81" s="313">
        <v>0</v>
      </c>
      <c r="L81" s="313">
        <v>278.93106060606061</v>
      </c>
      <c r="M81" s="313">
        <v>0</v>
      </c>
      <c r="N81" s="313">
        <v>340.93106060606056</v>
      </c>
      <c r="O81" s="313">
        <v>0</v>
      </c>
      <c r="P81" s="313">
        <v>402.93106060606067</v>
      </c>
      <c r="Q81" s="383">
        <v>20.997776148582602</v>
      </c>
      <c r="S81" s="3">
        <f>'Monthly Data'!D69</f>
        <v>105712174.93870001</v>
      </c>
      <c r="T81" s="3">
        <f>'Monthly Data'!J69</f>
        <v>1106123.13209</v>
      </c>
      <c r="U81" s="3">
        <f>'Monthly Data'!P69</f>
        <v>23861542.559469998</v>
      </c>
      <c r="V81" s="3">
        <f>'Monthly Data'!V69</f>
        <v>80251065.819999993</v>
      </c>
      <c r="W81" s="3">
        <f>'Monthly Data'!AB69</f>
        <v>7481440.5</v>
      </c>
      <c r="X81" s="3">
        <f>'Monthly Data'!AG69</f>
        <v>21029264.780000001</v>
      </c>
      <c r="Y81" s="3">
        <f>'Monthly Data'!BC69</f>
        <v>43837181.946139805</v>
      </c>
      <c r="Z81" s="3">
        <f>'Monthly Data'!BI69</f>
        <v>7428953.7582700104</v>
      </c>
      <c r="AA81" s="3">
        <f>'Monthly Data'!BO69</f>
        <v>27859463.129999999</v>
      </c>
      <c r="AB81" s="3">
        <f>'Monthly Data'!BU69</f>
        <v>7472501.6100000003</v>
      </c>
      <c r="EU81" s="682">
        <f ca="1">'Monthly Data'!FO69</f>
        <v>973.04749421723659</v>
      </c>
      <c r="EV81" s="682">
        <f>'Monthly Data'!FP69</f>
        <v>736.72256365642045</v>
      </c>
      <c r="EW81" s="682">
        <f>'Monthly Data'!FQ69</f>
        <v>2718.0083497152737</v>
      </c>
      <c r="EX81" s="682">
        <f>'Monthly Data'!FR69</f>
        <v>82264.961331040075</v>
      </c>
      <c r="EY81" s="682">
        <f>'Monthly Data'!FS69</f>
        <v>1652311.9968723205</v>
      </c>
      <c r="EZ81" s="682">
        <f>'Monthly Data'!FT69</f>
        <v>5666159.3873862196</v>
      </c>
      <c r="FA81" s="682">
        <f>'Monthly Data'!FX69</f>
        <v>1089.898729939727</v>
      </c>
      <c r="FB81" s="682">
        <f>'Monthly Data'!FY69</f>
        <v>3342.067920241127</v>
      </c>
      <c r="FC81" s="682">
        <f>'Monthly Data'!FZ69</f>
        <v>77657.223424350406</v>
      </c>
      <c r="FD81" s="682">
        <f>'Monthly Data'!GA69</f>
        <v>83295.876666666663</v>
      </c>
    </row>
    <row r="82" spans="1:160">
      <c r="A82">
        <v>2020</v>
      </c>
      <c r="B82">
        <v>9</v>
      </c>
      <c r="C82" s="313">
        <v>132.75869565217394</v>
      </c>
      <c r="D82" s="313">
        <v>4.6041666666666714</v>
      </c>
      <c r="E82" s="313">
        <v>85.042028985507244</v>
      </c>
      <c r="F82" s="313">
        <v>16.887500000000003</v>
      </c>
      <c r="G82" s="313">
        <v>46.033695652173925</v>
      </c>
      <c r="H82" s="313">
        <v>37.879166666666663</v>
      </c>
      <c r="I82" s="313">
        <v>23.967028985507248</v>
      </c>
      <c r="J82" s="313">
        <v>75.812499999999972</v>
      </c>
      <c r="K82" s="313">
        <v>8.9666666666666686</v>
      </c>
      <c r="L82" s="313">
        <v>120.81213768115938</v>
      </c>
      <c r="M82" s="313">
        <v>2.2333333333333343</v>
      </c>
      <c r="N82" s="313">
        <v>174.07880434782609</v>
      </c>
      <c r="O82" s="313">
        <v>0</v>
      </c>
      <c r="P82" s="313">
        <v>231.84547101449272</v>
      </c>
      <c r="Q82" s="383">
        <v>15.728182367149758</v>
      </c>
      <c r="S82" s="3">
        <f>'Monthly Data'!D70</f>
        <v>71769234.842220306</v>
      </c>
      <c r="T82" s="3">
        <f>'Monthly Data'!J70</f>
        <v>955513.18759000103</v>
      </c>
      <c r="U82" s="3">
        <f>'Monthly Data'!P70</f>
        <v>20178943.140609998</v>
      </c>
      <c r="V82" s="3">
        <f>'Monthly Data'!V70</f>
        <v>73807152.819999993</v>
      </c>
      <c r="W82" s="3">
        <f>'Monthly Data'!AB70</f>
        <v>7387908.79</v>
      </c>
      <c r="X82" s="3">
        <f>'Monthly Data'!AG70</f>
        <v>21615569.670000002</v>
      </c>
      <c r="Y82" s="3">
        <f>'Monthly Data'!BC70</f>
        <v>29299169.7896</v>
      </c>
      <c r="Z82" s="3">
        <f>'Monthly Data'!BI70</f>
        <v>6302581.8812499996</v>
      </c>
      <c r="AA82" s="3">
        <f>'Monthly Data'!BO70</f>
        <v>25403788.219999999</v>
      </c>
      <c r="AB82" s="3">
        <f>'Monthly Data'!BU70</f>
        <v>6767010.2300000004</v>
      </c>
      <c r="EU82" s="682">
        <f ca="1">'Monthly Data'!FO70</f>
        <v>669.81035476764873</v>
      </c>
      <c r="EV82" s="682">
        <f>'Monthly Data'!FP70</f>
        <v>640.24623607267324</v>
      </c>
      <c r="EW82" s="682">
        <f>'Monthly Data'!FQ70</f>
        <v>2321.5800566461921</v>
      </c>
      <c r="EX82" s="682">
        <f>'Monthly Data'!FR70</f>
        <v>75923.105813163842</v>
      </c>
      <c r="EY82" s="682">
        <f>'Monthly Data'!FS70</f>
        <v>1603910.1221803541</v>
      </c>
      <c r="EZ82" s="682">
        <f>'Monthly Data'!FT70</f>
        <v>5813993.6097890278</v>
      </c>
      <c r="FA82" s="682">
        <f>'Monthly Data'!FX70</f>
        <v>742.41003469073496</v>
      </c>
      <c r="FB82" s="682">
        <f>'Monthly Data'!FY70</f>
        <v>2846.9097199492503</v>
      </c>
      <c r="FC82" s="682">
        <f>'Monthly Data'!FZ70</f>
        <v>71172.041715392377</v>
      </c>
      <c r="FD82" s="682">
        <f>'Monthly Data'!GA70</f>
        <v>91911.360000000001</v>
      </c>
    </row>
    <row r="83" spans="1:160">
      <c r="A83">
        <v>2020</v>
      </c>
      <c r="B83">
        <v>10</v>
      </c>
      <c r="C83" s="313">
        <v>349.83333333333326</v>
      </c>
      <c r="D83" s="313">
        <v>0</v>
      </c>
      <c r="E83" s="313">
        <v>287.83333333333331</v>
      </c>
      <c r="F83" s="313">
        <v>0</v>
      </c>
      <c r="G83" s="313">
        <v>226.0625</v>
      </c>
      <c r="H83" s="313">
        <v>0.22916666666666785</v>
      </c>
      <c r="I83" s="313">
        <v>167.76250000000005</v>
      </c>
      <c r="J83" s="313">
        <v>3.9291666666666654</v>
      </c>
      <c r="K83" s="313">
        <v>112.09583333333335</v>
      </c>
      <c r="L83" s="313">
        <v>10.262500000000003</v>
      </c>
      <c r="M83" s="313">
        <v>71.3</v>
      </c>
      <c r="N83" s="313">
        <v>31.466666666666676</v>
      </c>
      <c r="O83" s="313">
        <v>38.454166666666666</v>
      </c>
      <c r="P83" s="313">
        <v>60.620833333333344</v>
      </c>
      <c r="Q83" s="383">
        <v>8.7150537634408618</v>
      </c>
      <c r="S83" s="3">
        <f>'Monthly Data'!D71</f>
        <v>70852401.622689798</v>
      </c>
      <c r="T83" s="3">
        <f>'Monthly Data'!J71</f>
        <v>1125835.36011</v>
      </c>
      <c r="U83" s="3">
        <f>'Monthly Data'!P71</f>
        <v>20122574.631239999</v>
      </c>
      <c r="V83" s="3">
        <f>'Monthly Data'!V71</f>
        <v>73414307.090000004</v>
      </c>
      <c r="W83" s="3">
        <f>'Monthly Data'!AB71</f>
        <v>7635639.5999999996</v>
      </c>
      <c r="X83" s="3">
        <f>'Monthly Data'!AG71</f>
        <v>22624518.030000001</v>
      </c>
      <c r="Y83" s="3">
        <f>'Monthly Data'!BC71</f>
        <v>26808416.2166299</v>
      </c>
      <c r="Z83" s="3">
        <f>'Monthly Data'!BI71</f>
        <v>6255988.8250099998</v>
      </c>
      <c r="AA83" s="3">
        <f>'Monthly Data'!BO71</f>
        <v>25328818.460000001</v>
      </c>
      <c r="AB83" s="3">
        <f>'Monthly Data'!BU71</f>
        <v>6718462.21</v>
      </c>
      <c r="EU83" s="682">
        <f ca="1">'Monthly Data'!FO71</f>
        <v>659.72013689841151</v>
      </c>
      <c r="EV83" s="682">
        <f>'Monthly Data'!FP71</f>
        <v>749.36383354978307</v>
      </c>
      <c r="EW83" s="682">
        <f>'Monthly Data'!FQ71</f>
        <v>2315.9112372784157</v>
      </c>
      <c r="EX83" s="682">
        <f>'Monthly Data'!FR71</f>
        <v>75429.599373316029</v>
      </c>
      <c r="EY83" s="682">
        <f>'Monthly Data'!FS71</f>
        <v>1627783.3162708692</v>
      </c>
      <c r="EZ83" s="682">
        <f>'Monthly Data'!FT71</f>
        <v>6067488.6996918358</v>
      </c>
      <c r="FA83" s="682">
        <f>'Monthly Data'!FX71</f>
        <v>682.07315250864053</v>
      </c>
      <c r="FB83" s="682">
        <f>'Monthly Data'!FY71</f>
        <v>2823.6682459391213</v>
      </c>
      <c r="FC83" s="682">
        <f>'Monthly Data'!FZ71</f>
        <v>70903.850702308075</v>
      </c>
      <c r="FD83" s="682">
        <f>'Monthly Data'!GA71</f>
        <v>107363.12333333334</v>
      </c>
    </row>
    <row r="84" spans="1:160">
      <c r="A84">
        <v>2020</v>
      </c>
      <c r="B84">
        <v>11</v>
      </c>
      <c r="C84" s="313">
        <v>426.30072463768113</v>
      </c>
      <c r="D84" s="313">
        <v>0</v>
      </c>
      <c r="E84" s="313">
        <v>366.30072463768118</v>
      </c>
      <c r="F84" s="313">
        <v>0</v>
      </c>
      <c r="G84" s="313">
        <v>306.30072463768124</v>
      </c>
      <c r="H84" s="313">
        <v>0</v>
      </c>
      <c r="I84" s="313">
        <v>246.30072463768118</v>
      </c>
      <c r="J84" s="313">
        <v>0</v>
      </c>
      <c r="K84" s="313">
        <v>188.12989130434778</v>
      </c>
      <c r="L84" s="313">
        <v>1.8291666666666622</v>
      </c>
      <c r="M84" s="313">
        <v>136.26322463768113</v>
      </c>
      <c r="N84" s="313">
        <v>9.9624999999999932</v>
      </c>
      <c r="O84" s="313">
        <v>92.875724637681159</v>
      </c>
      <c r="P84" s="313">
        <v>26.574999999999996</v>
      </c>
      <c r="Q84" s="383">
        <v>5.7899758454106278</v>
      </c>
      <c r="S84" s="3">
        <f>'Monthly Data'!D72</f>
        <v>74784670.431370392</v>
      </c>
      <c r="T84" s="3">
        <f>'Monthly Data'!J72</f>
        <v>909742.48582000099</v>
      </c>
      <c r="U84" s="3">
        <f>'Monthly Data'!P72</f>
        <v>21338594.844720002</v>
      </c>
      <c r="V84" s="3">
        <f>'Monthly Data'!V72</f>
        <v>73244374.980000004</v>
      </c>
      <c r="W84" s="3">
        <f>'Monthly Data'!AB72</f>
        <v>7345725.1500000004</v>
      </c>
      <c r="X84" s="3">
        <f>'Monthly Data'!AG72</f>
        <v>22443866.800000001</v>
      </c>
      <c r="Y84" s="3">
        <f>'Monthly Data'!BC72</f>
        <v>27368444.87867</v>
      </c>
      <c r="Z84" s="3">
        <f>'Monthly Data'!BI72</f>
        <v>6500270.5689500002</v>
      </c>
      <c r="AA84" s="3">
        <f>'Monthly Data'!BO72</f>
        <v>25742106.59</v>
      </c>
      <c r="AB84" s="3">
        <f>'Monthly Data'!BU72</f>
        <v>6514627.9699999997</v>
      </c>
      <c r="EU84" s="682">
        <f ca="1">'Monthly Data'!FO72</f>
        <v>693.60464481661677</v>
      </c>
      <c r="EV84" s="682">
        <f>'Monthly Data'!FP72</f>
        <v>610.93815952785508</v>
      </c>
      <c r="EW84" s="682">
        <f>'Monthly Data'!FQ72</f>
        <v>2447.288648650916</v>
      </c>
      <c r="EX84" s="682">
        <f>'Monthly Data'!FR72</f>
        <v>75152.123332852818</v>
      </c>
      <c r="EY84" s="682">
        <f>'Monthly Data'!FS72</f>
        <v>1541495.6712396722</v>
      </c>
      <c r="EZ84" s="682">
        <f>'Monthly Data'!FT72</f>
        <v>6023583.8920946438</v>
      </c>
      <c r="FA84" s="682">
        <f>'Monthly Data'!FX72</f>
        <v>694.24590213739293</v>
      </c>
      <c r="FB84" s="682">
        <f>'Monthly Data'!FY72</f>
        <v>2927.1499921531417</v>
      </c>
      <c r="FC84" s="682">
        <f>'Monthly Data'!FZ72</f>
        <v>71904.083249300675</v>
      </c>
      <c r="FD84" s="682">
        <f>'Monthly Data'!GA72</f>
        <v>114556.18666666666</v>
      </c>
    </row>
    <row r="85" spans="1:160">
      <c r="A85">
        <v>2020</v>
      </c>
      <c r="B85">
        <v>12</v>
      </c>
      <c r="C85" s="313">
        <v>644.90416666666681</v>
      </c>
      <c r="D85" s="313">
        <v>0</v>
      </c>
      <c r="E85" s="313">
        <v>582.90416666666681</v>
      </c>
      <c r="F85" s="313">
        <v>0</v>
      </c>
      <c r="G85" s="313">
        <v>520.90416666666681</v>
      </c>
      <c r="H85" s="313">
        <v>0</v>
      </c>
      <c r="I85" s="313">
        <v>458.90416666666681</v>
      </c>
      <c r="J85" s="313">
        <v>0</v>
      </c>
      <c r="K85" s="313">
        <v>396.9041666666667</v>
      </c>
      <c r="L85" s="313">
        <v>0</v>
      </c>
      <c r="M85" s="313">
        <v>334.90416666666664</v>
      </c>
      <c r="N85" s="313">
        <v>0</v>
      </c>
      <c r="O85" s="313">
        <v>272.9041666666667</v>
      </c>
      <c r="P85" s="313">
        <v>0</v>
      </c>
      <c r="Q85" s="383">
        <v>-0.80336021505376376</v>
      </c>
      <c r="S85" s="3">
        <f>'Monthly Data'!D73</f>
        <v>92392387.981232002</v>
      </c>
      <c r="T85" s="3">
        <f>'Monthly Data'!J73</f>
        <v>1255856.27058</v>
      </c>
      <c r="U85" s="3">
        <f>'Monthly Data'!P73</f>
        <v>23735239.936930001</v>
      </c>
      <c r="V85" s="3">
        <f>'Monthly Data'!V73</f>
        <v>75827033.290000007</v>
      </c>
      <c r="W85" s="3">
        <f>'Monthly Data'!AB73</f>
        <v>6962579.5899999999</v>
      </c>
      <c r="X85" s="3">
        <f>'Monthly Data'!AG73</f>
        <v>22465660.68</v>
      </c>
      <c r="Y85" s="3">
        <f>'Monthly Data'!BC73</f>
        <v>33056885.972139701</v>
      </c>
      <c r="Z85" s="3">
        <f>'Monthly Data'!BI73</f>
        <v>7271498.5679899901</v>
      </c>
      <c r="AA85" s="3">
        <f>'Monthly Data'!BO73</f>
        <v>28686189.359999999</v>
      </c>
      <c r="AB85" s="3">
        <f>'Monthly Data'!BU73</f>
        <v>7134901.29</v>
      </c>
      <c r="EU85" s="682">
        <f ca="1">'Monthly Data'!FO73</f>
        <v>847.8630678256344</v>
      </c>
      <c r="EV85" s="682">
        <f>'Monthly Data'!FP73</f>
        <v>832.67049899087147</v>
      </c>
      <c r="EW85" s="682">
        <f>'Monthly Data'!FQ73</f>
        <v>2705.7639220195269</v>
      </c>
      <c r="EX85" s="682">
        <f>'Monthly Data'!FR73</f>
        <v>77514.820182285926</v>
      </c>
      <c r="EY85" s="682">
        <f>'Monthly Data'!FS73</f>
        <v>1439438.0590428472</v>
      </c>
      <c r="EZ85" s="682">
        <f>'Monthly Data'!FT73</f>
        <v>6030290.3619974516</v>
      </c>
      <c r="FA85" s="682">
        <f>'Monthly Data'!FX73</f>
        <v>827.74463745114349</v>
      </c>
      <c r="FB85" s="682">
        <f>'Monthly Data'!FY73</f>
        <v>3259.5983988515072</v>
      </c>
      <c r="FC85" s="682">
        <f>'Monthly Data'!FZ73</f>
        <v>79456.891680178</v>
      </c>
      <c r="FD85" s="682">
        <f>'Monthly Data'!GA73</f>
        <v>123744.41666666667</v>
      </c>
    </row>
    <row r="86" spans="1:160">
      <c r="A86">
        <v>2021</v>
      </c>
      <c r="B86">
        <v>1</v>
      </c>
      <c r="C86" s="313">
        <v>715.50416666666661</v>
      </c>
      <c r="D86" s="313">
        <v>0</v>
      </c>
      <c r="E86" s="313">
        <v>653.50416666666661</v>
      </c>
      <c r="F86" s="313">
        <v>0</v>
      </c>
      <c r="G86" s="313">
        <v>591.50416666666661</v>
      </c>
      <c r="H86" s="313">
        <v>0</v>
      </c>
      <c r="I86" s="313">
        <v>529.50416666666661</v>
      </c>
      <c r="J86" s="313">
        <v>0</v>
      </c>
      <c r="K86" s="313">
        <v>467.50416666666661</v>
      </c>
      <c r="L86" s="313">
        <v>0</v>
      </c>
      <c r="M86" s="313">
        <v>405.50416666666661</v>
      </c>
      <c r="N86" s="313">
        <v>0</v>
      </c>
      <c r="O86" s="313">
        <v>343.50416666666661</v>
      </c>
      <c r="P86" s="313">
        <v>0</v>
      </c>
      <c r="Q86" s="383">
        <v>-3.0807795698924729</v>
      </c>
      <c r="S86" s="3">
        <f>'Monthly Data'!D74</f>
        <v>93690437.657649398</v>
      </c>
      <c r="T86" s="3">
        <f>'Monthly Data'!J74</f>
        <v>1374613.4238499999</v>
      </c>
      <c r="U86" s="3">
        <f>'Monthly Data'!P74</f>
        <v>23297791.308749899</v>
      </c>
      <c r="V86" s="3">
        <f>'Monthly Data'!V74</f>
        <v>78117436.25</v>
      </c>
      <c r="W86" s="3">
        <f>'Monthly Data'!AB74</f>
        <v>7338821.1699999999</v>
      </c>
      <c r="X86" s="3">
        <f>'Monthly Data'!AG74</f>
        <v>24681052.510000002</v>
      </c>
      <c r="Y86" s="3">
        <f>'Monthly Data'!BC74</f>
        <v>32688403.838419698</v>
      </c>
      <c r="Z86" s="3">
        <f>'Monthly Data'!BI74</f>
        <v>7234440.7226600004</v>
      </c>
      <c r="AA86" s="3">
        <f>'Monthly Data'!BO74</f>
        <v>28116377.030000001</v>
      </c>
      <c r="AB86" s="3">
        <f>'Monthly Data'!BU74</f>
        <v>7719998.4900000002</v>
      </c>
      <c r="EU86" s="682">
        <f ca="1">'Monthly Data'!FO74</f>
        <v>854.05400384695224</v>
      </c>
      <c r="EV86" s="682">
        <f ca="1">'Monthly Data'!FP74</f>
        <v>908.95728808696833</v>
      </c>
      <c r="EW86" s="682">
        <f ca="1">'Monthly Data'!FQ74</f>
        <v>2656.8280610672277</v>
      </c>
      <c r="EX86" s="682">
        <f ca="1">'Monthly Data'!FR74</f>
        <v>79701.146010683078</v>
      </c>
      <c r="EY86" s="682">
        <f ca="1">'Monthly Data'!FS74</f>
        <v>1490198.9719826856</v>
      </c>
      <c r="EZ86" s="682">
        <f ca="1">'Monthly Data'!FT74</f>
        <v>6590993.0992395971</v>
      </c>
      <c r="FA86" s="682">
        <f ca="1">'Monthly Data'!FX74</f>
        <v>814.07948501675457</v>
      </c>
      <c r="FB86" s="682">
        <f ca="1">'Monthly Data'!FY74</f>
        <v>3239.0126987610111</v>
      </c>
      <c r="FC86" s="682">
        <f ca="1">'Monthly Data'!FZ74</f>
        <v>77911.260255990594</v>
      </c>
      <c r="FD86" s="682">
        <f>'Monthly Data'!GA74</f>
        <v>121017.52666666667</v>
      </c>
    </row>
    <row r="87" spans="1:160">
      <c r="A87">
        <v>2021</v>
      </c>
      <c r="B87">
        <v>2</v>
      </c>
      <c r="C87" s="313">
        <v>709.45416666666654</v>
      </c>
      <c r="D87" s="313">
        <v>0</v>
      </c>
      <c r="E87" s="313">
        <v>653.45416666666654</v>
      </c>
      <c r="F87" s="313">
        <v>0</v>
      </c>
      <c r="G87" s="313">
        <v>597.45416666666665</v>
      </c>
      <c r="H87" s="313">
        <v>0</v>
      </c>
      <c r="I87" s="313">
        <v>541.45416666666677</v>
      </c>
      <c r="J87" s="313">
        <v>0</v>
      </c>
      <c r="K87" s="313">
        <v>485.45416666666677</v>
      </c>
      <c r="L87" s="313">
        <v>0</v>
      </c>
      <c r="M87" s="313">
        <v>429.45416666666677</v>
      </c>
      <c r="N87" s="313">
        <v>0</v>
      </c>
      <c r="O87" s="313">
        <v>373.45416666666665</v>
      </c>
      <c r="P87" s="313">
        <v>0</v>
      </c>
      <c r="Q87" s="383">
        <v>-5.3376488095238086</v>
      </c>
      <c r="S87" s="3">
        <f>'Monthly Data'!D75</f>
        <v>86622305.799620301</v>
      </c>
      <c r="T87" s="3">
        <f>'Monthly Data'!J75</f>
        <v>1345641.3133400001</v>
      </c>
      <c r="U87" s="3">
        <f>'Monthly Data'!P75</f>
        <v>22532462.089510102</v>
      </c>
      <c r="V87" s="3">
        <f>'Monthly Data'!V75</f>
        <v>73429727.060000002</v>
      </c>
      <c r="W87" s="3">
        <f>'Monthly Data'!AB75</f>
        <v>7751662.29</v>
      </c>
      <c r="X87" s="3">
        <f>'Monthly Data'!AG75</f>
        <v>22611355.539999999</v>
      </c>
      <c r="Y87" s="3">
        <f>'Monthly Data'!BC75</f>
        <v>29862393.369889703</v>
      </c>
      <c r="Z87" s="3">
        <f>'Monthly Data'!BI75</f>
        <v>6942210.9836299801</v>
      </c>
      <c r="AA87" s="3">
        <f>'Monthly Data'!BO75</f>
        <v>26385107.34</v>
      </c>
      <c r="AB87" s="3">
        <f>'Monthly Data'!BU75</f>
        <v>7160396.8499999996</v>
      </c>
      <c r="EU87" s="682">
        <f ca="1">'Monthly Data'!FO75</f>
        <v>790.8224277734073</v>
      </c>
      <c r="EV87" s="682">
        <f ca="1">'Monthly Data'!FP75</f>
        <v>890.59046795633481</v>
      </c>
      <c r="EW87" s="682">
        <f ca="1">'Monthly Data'!FQ75</f>
        <v>2573.721499851406</v>
      </c>
      <c r="EX87" s="682">
        <f ca="1">'Monthly Data'!FR75</f>
        <v>75146.419554961976</v>
      </c>
      <c r="EY87" s="682">
        <f ca="1">'Monthly Data'!FS75</f>
        <v>1546300.0137576733</v>
      </c>
      <c r="EZ87" s="682">
        <f ca="1">'Monthly Data'!FT75</f>
        <v>6075405.3606339414</v>
      </c>
      <c r="FA87" s="682">
        <f ca="1">'Monthly Data'!FX75</f>
        <v>745.21600626867166</v>
      </c>
      <c r="FB87" s="682">
        <f ca="1">'Monthly Data'!FY75</f>
        <v>3106.8842462822427</v>
      </c>
      <c r="FC87" s="682">
        <f ca="1">'Monthly Data'!FZ75</f>
        <v>73351.301525210947</v>
      </c>
      <c r="FD87" s="682">
        <f>'Monthly Data'!GA75</f>
        <v>100608.04</v>
      </c>
    </row>
    <row r="88" spans="1:160">
      <c r="A88">
        <v>2021</v>
      </c>
      <c r="B88">
        <v>3</v>
      </c>
      <c r="C88" s="313">
        <v>554.59637681159427</v>
      </c>
      <c r="D88" s="313">
        <v>0</v>
      </c>
      <c r="E88" s="313">
        <v>492.59637681159415</v>
      </c>
      <c r="F88" s="313">
        <v>0</v>
      </c>
      <c r="G88" s="313">
        <v>430.59637681159427</v>
      </c>
      <c r="H88" s="313">
        <v>0</v>
      </c>
      <c r="I88" s="313">
        <v>368.59637681159427</v>
      </c>
      <c r="J88" s="313">
        <v>0</v>
      </c>
      <c r="K88" s="313">
        <v>306.89221014492756</v>
      </c>
      <c r="L88" s="313">
        <v>0.29583333333332895</v>
      </c>
      <c r="M88" s="313">
        <v>249.74637681159425</v>
      </c>
      <c r="N88" s="313">
        <v>5.1499999999999932</v>
      </c>
      <c r="O88" s="313">
        <v>194.65054347826086</v>
      </c>
      <c r="P88" s="313">
        <v>12.05416666666666</v>
      </c>
      <c r="Q88" s="383">
        <v>2.1097942964001866</v>
      </c>
      <c r="S88" s="3">
        <f>'Monthly Data'!D76</f>
        <v>82002172.769920394</v>
      </c>
      <c r="T88" s="3">
        <f>'Monthly Data'!J76</f>
        <v>1133174.6163900001</v>
      </c>
      <c r="U88" s="3">
        <f>'Monthly Data'!P76</f>
        <v>23275265.499380101</v>
      </c>
      <c r="V88" s="3">
        <f>'Monthly Data'!V76</f>
        <v>78781004.819999993</v>
      </c>
      <c r="W88" s="3">
        <f>'Monthly Data'!AB76</f>
        <v>8577466.7400000002</v>
      </c>
      <c r="X88" s="3">
        <f>'Monthly Data'!AG76</f>
        <v>24711431.16</v>
      </c>
      <c r="Y88" s="3">
        <f>'Monthly Data'!BC76</f>
        <v>29184000.801219899</v>
      </c>
      <c r="Z88" s="3">
        <f>'Monthly Data'!BI76</f>
        <v>7049295.3213900002</v>
      </c>
      <c r="AA88" s="3">
        <f>'Monthly Data'!BO76</f>
        <v>27056910.829999998</v>
      </c>
      <c r="AB88" s="3">
        <f>'Monthly Data'!BU76</f>
        <v>7485735.8799999999</v>
      </c>
      <c r="EU88" s="682">
        <f ca="1">'Monthly Data'!FO76</f>
        <v>751.53943390131315</v>
      </c>
      <c r="EV88" s="682">
        <f ca="1">'Monthly Data'!FP76</f>
        <v>754.59106385983364</v>
      </c>
      <c r="EW88" s="682">
        <f ca="1">'Monthly Data'!FQ76</f>
        <v>2652.8717590315518</v>
      </c>
      <c r="EX88" s="682">
        <f ca="1">'Monthly Data'!FR76</f>
        <v>80190.06216898658</v>
      </c>
      <c r="EY88" s="682">
        <f ca="1">'Monthly Data'!FS76</f>
        <v>1679279.7519842484</v>
      </c>
      <c r="EZ88" s="682">
        <f ca="1">'Monthly Data'!FT76</f>
        <v>6602260.7695282875</v>
      </c>
      <c r="FA88" s="682">
        <f ca="1">'Monthly Data'!FX76</f>
        <v>727.14228451141605</v>
      </c>
      <c r="FB88" s="682">
        <f ca="1">'Monthly Data'!FY76</f>
        <v>3147.9739915480882</v>
      </c>
      <c r="FC88" s="682">
        <f ca="1">'Monthly Data'!FZ76</f>
        <v>74998.459647222466</v>
      </c>
      <c r="FD88" s="682">
        <f>'Monthly Data'!GA76</f>
        <v>100293.88</v>
      </c>
    </row>
    <row r="89" spans="1:160">
      <c r="A89">
        <v>2021</v>
      </c>
      <c r="B89">
        <v>4</v>
      </c>
      <c r="C89" s="313">
        <v>379.79583333333329</v>
      </c>
      <c r="D89" s="313">
        <v>0</v>
      </c>
      <c r="E89" s="313">
        <v>319.79583333333329</v>
      </c>
      <c r="F89" s="313">
        <v>0</v>
      </c>
      <c r="G89" s="313">
        <v>260.00833333333338</v>
      </c>
      <c r="H89" s="313">
        <v>0.21249999999999858</v>
      </c>
      <c r="I89" s="313">
        <v>203.50416666666672</v>
      </c>
      <c r="J89" s="313">
        <v>3.7083333333333339</v>
      </c>
      <c r="K89" s="313">
        <v>150.85000000000002</v>
      </c>
      <c r="L89" s="313">
        <v>11.054166666666664</v>
      </c>
      <c r="M89" s="313">
        <v>102.15833333333332</v>
      </c>
      <c r="N89" s="313">
        <v>22.362499999999997</v>
      </c>
      <c r="O89" s="313">
        <v>60.454166666666659</v>
      </c>
      <c r="P89" s="313">
        <v>40.658333333333331</v>
      </c>
      <c r="Q89" s="383">
        <v>7.3401388888888865</v>
      </c>
      <c r="S89" s="3">
        <f>'Monthly Data'!D77</f>
        <v>70735782.267010897</v>
      </c>
      <c r="T89" s="3">
        <f>'Monthly Data'!J77</f>
        <v>942966.76417000103</v>
      </c>
      <c r="U89" s="3">
        <f>'Monthly Data'!P77</f>
        <v>19213989.0752699</v>
      </c>
      <c r="V89" s="3">
        <f>'Monthly Data'!V77</f>
        <v>70156130.159999996</v>
      </c>
      <c r="W89" s="3">
        <f>'Monthly Data'!AB77</f>
        <v>7889400.8799999999</v>
      </c>
      <c r="X89" s="3">
        <f>'Monthly Data'!AG77</f>
        <v>22718466.719999999</v>
      </c>
      <c r="Y89" s="3">
        <f>'Monthly Data'!BC77</f>
        <v>26291734.234090202</v>
      </c>
      <c r="Z89" s="3">
        <f>'Monthly Data'!BI77</f>
        <v>5883586.5475199902</v>
      </c>
      <c r="AA89" s="3">
        <f>'Monthly Data'!BO77</f>
        <v>23520001.760000002</v>
      </c>
      <c r="AB89" s="3">
        <f>'Monthly Data'!BU77</f>
        <v>7128823.6100000003</v>
      </c>
      <c r="EU89" s="682">
        <f ca="1">'Monthly Data'!FO77</f>
        <v>653.59430688454165</v>
      </c>
      <c r="EV89" s="682">
        <f ca="1">'Monthly Data'!FP77</f>
        <v>632.80506762437301</v>
      </c>
      <c r="EW89" s="682">
        <f ca="1">'Monthly Data'!FQ77</f>
        <v>2215.5827296226512</v>
      </c>
      <c r="EX89" s="682">
        <f ca="1">'Monthly Data'!FR77</f>
        <v>71892.532430112522</v>
      </c>
      <c r="EY89" s="682">
        <f ca="1">'Monthly Data'!FS77</f>
        <v>1524253.1902662429</v>
      </c>
      <c r="EZ89" s="682">
        <f ca="1">'Monthly Data'!FT77</f>
        <v>6105856.163422632</v>
      </c>
      <c r="FA89" s="682">
        <f ca="1">'Monthly Data'!FX77</f>
        <v>657.24552370670949</v>
      </c>
      <c r="FB89" s="682">
        <f ca="1">'Monthly Data'!FY77</f>
        <v>2639.3476856633338</v>
      </c>
      <c r="FC89" s="682">
        <f ca="1">'Monthly Data'!FZ77</f>
        <v>65819.953766192804</v>
      </c>
      <c r="FD89" s="682">
        <f>'Monthly Data'!GA77</f>
        <v>84511.81</v>
      </c>
    </row>
    <row r="90" spans="1:160">
      <c r="A90">
        <v>2021</v>
      </c>
      <c r="B90">
        <v>5</v>
      </c>
      <c r="C90" s="313">
        <v>221.92222222222222</v>
      </c>
      <c r="D90" s="313">
        <v>6.4541666666666622</v>
      </c>
      <c r="E90" s="313">
        <v>173.64305555555555</v>
      </c>
      <c r="F90" s="313">
        <v>20.174999999999997</v>
      </c>
      <c r="G90" s="313">
        <v>127.04305555555555</v>
      </c>
      <c r="H90" s="313">
        <v>35.574999999999996</v>
      </c>
      <c r="I90" s="313">
        <v>83.376388888888897</v>
      </c>
      <c r="J90" s="313">
        <v>53.908333333333317</v>
      </c>
      <c r="K90" s="313">
        <v>50.724999999999987</v>
      </c>
      <c r="L90" s="313">
        <v>83.256944444444414</v>
      </c>
      <c r="M90" s="313">
        <v>25.983333333333327</v>
      </c>
      <c r="N90" s="313">
        <v>120.51527777777777</v>
      </c>
      <c r="O90" s="313">
        <v>8.125</v>
      </c>
      <c r="P90" s="313">
        <v>164.65694444444446</v>
      </c>
      <c r="Q90" s="383">
        <v>13.049417562724015</v>
      </c>
      <c r="S90" s="3">
        <f>'Monthly Data'!D78</f>
        <v>74465208.395140395</v>
      </c>
      <c r="T90" s="3">
        <f>'Monthly Data'!J78</f>
        <v>958485.37114000099</v>
      </c>
      <c r="U90" s="3">
        <f>'Monthly Data'!P78</f>
        <v>19176936.350449998</v>
      </c>
      <c r="V90" s="3">
        <f>'Monthly Data'!V78</f>
        <v>72494498.370000005</v>
      </c>
      <c r="W90" s="3">
        <f>'Monthly Data'!AB78</f>
        <v>8506310.4499999993</v>
      </c>
      <c r="X90" s="3">
        <f>'Monthly Data'!AG78</f>
        <v>25678242.699999999</v>
      </c>
      <c r="Y90" s="3">
        <f>'Monthly Data'!BC78</f>
        <v>29692691.126080099</v>
      </c>
      <c r="Z90" s="3">
        <f>'Monthly Data'!BI78</f>
        <v>5942993.7124399999</v>
      </c>
      <c r="AA90" s="3">
        <f>'Monthly Data'!BO78</f>
        <v>23634492.940000001</v>
      </c>
      <c r="AB90" s="3">
        <f>'Monthly Data'!BU78</f>
        <v>7389496.8899999997</v>
      </c>
      <c r="EU90" s="682">
        <f ca="1">'Monthly Data'!FO78</f>
        <v>688.14694960291081</v>
      </c>
      <c r="EV90" s="682">
        <f ca="1">'Monthly Data'!FP78</f>
        <v>642.89932055041868</v>
      </c>
      <c r="EW90" s="682">
        <f ca="1">'Monthly Data'!FQ78</f>
        <v>2211.0451351547154</v>
      </c>
      <c r="EX90" s="682">
        <f ca="1">'Monthly Data'!FR78</f>
        <v>74057.746160099821</v>
      </c>
      <c r="EY90" s="682">
        <f ca="1">'Monthly Data'!FS78</f>
        <v>1614915.217524176</v>
      </c>
      <c r="EZ90" s="682">
        <f ca="1">'Monthly Data'!FT78</f>
        <v>6847636.662316977</v>
      </c>
      <c r="FA90" s="682">
        <f ca="1">'Monthly Data'!FX78</f>
        <v>734.88244600841938</v>
      </c>
      <c r="FB90" s="682">
        <f ca="1">'Monthly Data'!FY78</f>
        <v>2660.594997875784</v>
      </c>
      <c r="FC90" s="682">
        <f ca="1">'Monthly Data'!FZ78</f>
        <v>66045.342712158774</v>
      </c>
      <c r="FD90" s="682">
        <f>'Monthly Data'!GA78</f>
        <v>67381.759999999995</v>
      </c>
    </row>
    <row r="91" spans="1:160">
      <c r="A91">
        <v>2021</v>
      </c>
      <c r="B91">
        <v>6</v>
      </c>
      <c r="C91" s="313">
        <v>36.066666666666677</v>
      </c>
      <c r="D91" s="313">
        <v>37.74166666666666</v>
      </c>
      <c r="E91" s="313">
        <v>14.254166666666677</v>
      </c>
      <c r="F91" s="313">
        <v>75.92916666666666</v>
      </c>
      <c r="G91" s="313">
        <v>3.2708333333333357</v>
      </c>
      <c r="H91" s="313">
        <v>124.94583333333331</v>
      </c>
      <c r="I91" s="313">
        <v>0</v>
      </c>
      <c r="J91" s="313">
        <v>181.67499999999995</v>
      </c>
      <c r="K91" s="313">
        <v>0</v>
      </c>
      <c r="L91" s="313">
        <v>241.67500000000001</v>
      </c>
      <c r="M91" s="313">
        <v>0</v>
      </c>
      <c r="N91" s="313">
        <v>301.67500000000001</v>
      </c>
      <c r="O91" s="313">
        <v>0</v>
      </c>
      <c r="P91" s="313">
        <v>361.67500000000001</v>
      </c>
      <c r="Q91" s="383">
        <v>20.055833333333332</v>
      </c>
      <c r="S91" s="3">
        <f>'Monthly Data'!D79</f>
        <v>92271395.157950997</v>
      </c>
      <c r="T91" s="3">
        <f>'Monthly Data'!J79</f>
        <v>830236.44765999995</v>
      </c>
      <c r="U91" s="3">
        <f>'Monthly Data'!P79</f>
        <v>21463708.979539998</v>
      </c>
      <c r="V91" s="3">
        <f>'Monthly Data'!V79</f>
        <v>77749930.209999993</v>
      </c>
      <c r="W91" s="3">
        <f>'Monthly Data'!AB79</f>
        <v>8363421.8700000001</v>
      </c>
      <c r="X91" s="3">
        <f>'Monthly Data'!AG79</f>
        <v>24949691.079999998</v>
      </c>
      <c r="Y91" s="3">
        <f>'Monthly Data'!BC79</f>
        <v>38756138.051790103</v>
      </c>
      <c r="Z91" s="3">
        <f>'Monthly Data'!BI79</f>
        <v>6747594.3442200096</v>
      </c>
      <c r="AA91" s="3">
        <f>'Monthly Data'!BO79</f>
        <v>26196543.41</v>
      </c>
      <c r="AB91" s="3">
        <f>'Monthly Data'!BU79</f>
        <v>7193270.29</v>
      </c>
      <c r="EU91" s="682">
        <f ca="1">'Monthly Data'!FO79</f>
        <v>847.38283110518387</v>
      </c>
      <c r="EV91" s="682">
        <f ca="1">'Monthly Data'!FP79</f>
        <v>560.78010269516199</v>
      </c>
      <c r="EW91" s="682">
        <f ca="1">'Monthly Data'!FQ79</f>
        <v>2456.050137840537</v>
      </c>
      <c r="EX91" s="682">
        <f ca="1">'Monthly Data'!FR79</f>
        <v>78991.318290244046</v>
      </c>
      <c r="EY91" s="682">
        <f ca="1">'Monthly Data'!FS79</f>
        <v>1564684.7924409602</v>
      </c>
      <c r="EZ91" s="682">
        <f ca="1">'Monthly Data'!FT79</f>
        <v>6667335.2612113226</v>
      </c>
      <c r="FA91" s="682">
        <f ca="1">'Monthly Data'!FX79</f>
        <v>944.31293731640756</v>
      </c>
      <c r="FB91" s="682">
        <f ca="1">'Monthly Data'!FY79</f>
        <v>3002.3468765352955</v>
      </c>
      <c r="FC91" s="682">
        <f ca="1">'Monthly Data'!FZ79</f>
        <v>72537.62335231436</v>
      </c>
      <c r="FD91" s="682">
        <f>'Monthly Data'!GA79</f>
        <v>54312.96333333334</v>
      </c>
    </row>
    <row r="92" spans="1:160">
      <c r="A92">
        <v>2021</v>
      </c>
      <c r="B92">
        <v>7</v>
      </c>
      <c r="C92" s="313">
        <v>25.516666666666669</v>
      </c>
      <c r="D92" s="313">
        <v>32.391666666666652</v>
      </c>
      <c r="E92" s="313">
        <v>5.3541666666666572</v>
      </c>
      <c r="F92" s="313">
        <v>74.229166666666615</v>
      </c>
      <c r="G92" s="313">
        <v>0.74583333333333002</v>
      </c>
      <c r="H92" s="313">
        <v>131.62083333333331</v>
      </c>
      <c r="I92" s="313">
        <v>0</v>
      </c>
      <c r="J92" s="313">
        <v>192.87499999999994</v>
      </c>
      <c r="K92" s="313">
        <v>0</v>
      </c>
      <c r="L92" s="313">
        <v>254.87499999999994</v>
      </c>
      <c r="M92" s="313">
        <v>0</v>
      </c>
      <c r="N92" s="313">
        <v>316.87499999999994</v>
      </c>
      <c r="O92" s="313">
        <v>0</v>
      </c>
      <c r="P92" s="313">
        <v>378.87499999999994</v>
      </c>
      <c r="Q92" s="383">
        <v>20.221774193548388</v>
      </c>
      <c r="S92" s="3">
        <f>'Monthly Data'!D80</f>
        <v>98243556.1504094</v>
      </c>
      <c r="T92" s="3">
        <f>'Monthly Data'!J80</f>
        <v>1093404.6052600001</v>
      </c>
      <c r="U92" s="3">
        <f>'Monthly Data'!P80</f>
        <v>23306627.88656</v>
      </c>
      <c r="V92" s="3">
        <f>'Monthly Data'!V80</f>
        <v>79021416.790000007</v>
      </c>
      <c r="W92" s="3">
        <f>'Monthly Data'!AB80</f>
        <v>7818263.9500000002</v>
      </c>
      <c r="X92" s="3">
        <f>'Monthly Data'!AG80</f>
        <v>25225725.5</v>
      </c>
      <c r="Y92" s="3">
        <f>'Monthly Data'!BC80</f>
        <v>40825237.957350306</v>
      </c>
      <c r="Z92" s="3">
        <f>'Monthly Data'!BI80</f>
        <v>7286937.0730100097</v>
      </c>
      <c r="AA92" s="3">
        <f>'Monthly Data'!BO80</f>
        <v>27214148.16</v>
      </c>
      <c r="AB92" s="3">
        <f>'Monthly Data'!BU80</f>
        <v>7420972.8600000003</v>
      </c>
      <c r="EU92" s="682">
        <f ca="1">'Monthly Data'!FO80</f>
        <v>899.76046812161428</v>
      </c>
      <c r="EV92" s="682">
        <f ca="1">'Monthly Data'!FP80</f>
        <v>729.74878150463871</v>
      </c>
      <c r="EW92" s="682">
        <f ca="1">'Monthly Data'!FQ80</f>
        <v>2653.1833017105428</v>
      </c>
      <c r="EX92" s="682">
        <f ca="1">'Monthly Data'!FR80</f>
        <v>80127.891245681138</v>
      </c>
      <c r="EY92" s="682">
        <f ca="1">'Monthly Data'!FS80</f>
        <v>1443905.5430318697</v>
      </c>
      <c r="EZ92" s="682">
        <f ca="1">'Monthly Data'!FT80</f>
        <v>6738180.370105668</v>
      </c>
      <c r="FA92" s="682">
        <f ca="1">'Monthly Data'!FX80</f>
        <v>989.92130864737442</v>
      </c>
      <c r="FB92" s="682">
        <f ca="1">'Monthly Data'!FY80</f>
        <v>3228.9456498985687</v>
      </c>
      <c r="FC92" s="682">
        <f ca="1">'Monthly Data'!FZ80</f>
        <v>75057.548360622735</v>
      </c>
      <c r="FD92" s="682">
        <f>'Monthly Data'!GA80</f>
        <v>60738.78666666666</v>
      </c>
    </row>
    <row r="93" spans="1:160">
      <c r="A93">
        <v>2021</v>
      </c>
      <c r="B93">
        <v>8</v>
      </c>
      <c r="C93" s="313">
        <v>8.524999999999995</v>
      </c>
      <c r="D93" s="313">
        <v>88.587499999999991</v>
      </c>
      <c r="E93" s="313">
        <v>0.69166666666666643</v>
      </c>
      <c r="F93" s="313">
        <v>142.75416666666666</v>
      </c>
      <c r="G93" s="313">
        <v>0</v>
      </c>
      <c r="H93" s="313">
        <v>204.06249999999994</v>
      </c>
      <c r="I93" s="313">
        <v>0</v>
      </c>
      <c r="J93" s="313">
        <v>266.0625</v>
      </c>
      <c r="K93" s="313">
        <v>0</v>
      </c>
      <c r="L93" s="313">
        <v>328.06249999999989</v>
      </c>
      <c r="M93" s="313">
        <v>0</v>
      </c>
      <c r="N93" s="313">
        <v>390.06249999999989</v>
      </c>
      <c r="O93" s="313">
        <v>0</v>
      </c>
      <c r="P93" s="313">
        <v>452.06249999999989</v>
      </c>
      <c r="Q93" s="383">
        <v>22.58266129032258</v>
      </c>
      <c r="S93" s="3">
        <f>'Monthly Data'!D81</f>
        <v>117678432.39711</v>
      </c>
      <c r="T93" s="3">
        <f>'Monthly Data'!J81</f>
        <v>1150050.6338599999</v>
      </c>
      <c r="U93" s="3">
        <f>'Monthly Data'!P81</f>
        <v>26153660.242789999</v>
      </c>
      <c r="V93" s="3">
        <f>'Monthly Data'!V81</f>
        <v>85090018.349999994</v>
      </c>
      <c r="W93" s="3">
        <f>'Monthly Data'!AB81</f>
        <v>8205681.3899999997</v>
      </c>
      <c r="X93" s="3">
        <f>'Monthly Data'!AG81</f>
        <v>22056990.309999999</v>
      </c>
      <c r="Y93" s="3">
        <f>'Monthly Data'!BC81</f>
        <v>48677065.674900204</v>
      </c>
      <c r="Z93" s="3">
        <f>'Monthly Data'!BI81</f>
        <v>8168149.6042099996</v>
      </c>
      <c r="AA93" s="3">
        <f>'Monthly Data'!BO81</f>
        <v>29538580.43</v>
      </c>
      <c r="AB93" s="3">
        <f>'Monthly Data'!BU81</f>
        <v>7636255.6600000001</v>
      </c>
      <c r="EU93" s="682">
        <f ca="1">'Monthly Data'!FO81</f>
        <v>1070.998123884292</v>
      </c>
      <c r="EV93" s="682">
        <f ca="1">'Monthly Data'!FP81</f>
        <v>766.26217696815127</v>
      </c>
      <c r="EW93" s="682">
        <f ca="1">'Monthly Data'!FQ81</f>
        <v>2957.8517365999824</v>
      </c>
      <c r="EX93" s="682">
        <f ca="1">'Monthly Data'!FR81</f>
        <v>85811.313417014127</v>
      </c>
      <c r="EY93" s="682">
        <f ca="1">'Monthly Data'!FS81</f>
        <v>1491250.7468406935</v>
      </c>
      <c r="EZ93" s="682">
        <f ca="1">'Monthly Data'!FT81</f>
        <v>5947833.0765000135</v>
      </c>
      <c r="FA93" s="682">
        <f ca="1">'Monthly Data'!FX81</f>
        <v>1169.6587548901061</v>
      </c>
      <c r="FB93" s="682">
        <f ca="1">'Monthly Data'!FY81</f>
        <v>3601.2554017600851</v>
      </c>
      <c r="FC93" s="682">
        <f ca="1">'Monthly Data'!FZ81</f>
        <v>80901.574472215609</v>
      </c>
      <c r="FD93" s="682">
        <f>'Monthly Data'!GA81</f>
        <v>79687.89</v>
      </c>
    </row>
    <row r="94" spans="1:160">
      <c r="A94">
        <v>2021</v>
      </c>
      <c r="B94">
        <v>9</v>
      </c>
      <c r="C94" s="313">
        <v>93.104166666666671</v>
      </c>
      <c r="D94" s="313">
        <v>2.37916666666667</v>
      </c>
      <c r="E94" s="313">
        <v>45.679166666666674</v>
      </c>
      <c r="F94" s="313">
        <v>14.954166666666683</v>
      </c>
      <c r="G94" s="313">
        <v>20.066666666666677</v>
      </c>
      <c r="H94" s="313">
        <v>49.341666666666683</v>
      </c>
      <c r="I94" s="313">
        <v>5.9833333333333432</v>
      </c>
      <c r="J94" s="313">
        <v>95.25833333333334</v>
      </c>
      <c r="K94" s="313">
        <v>0.28333333333333321</v>
      </c>
      <c r="L94" s="313">
        <v>149.55833333333328</v>
      </c>
      <c r="M94" s="313">
        <v>0</v>
      </c>
      <c r="N94" s="313">
        <v>209.27500000000001</v>
      </c>
      <c r="O94" s="313">
        <v>0</v>
      </c>
      <c r="P94" s="313">
        <v>269.27499999999998</v>
      </c>
      <c r="Q94" s="383">
        <v>16.975833333333334</v>
      </c>
      <c r="S94" s="3">
        <f>'Monthly Data'!D82</f>
        <v>75046710.733019903</v>
      </c>
      <c r="T94" s="3">
        <f>'Monthly Data'!J82</f>
        <v>825485.01095000003</v>
      </c>
      <c r="U94" s="3">
        <f>'Monthly Data'!P82</f>
        <v>21116890.36403</v>
      </c>
      <c r="V94" s="3">
        <f>'Monthly Data'!V82</f>
        <v>75531581.650000006</v>
      </c>
      <c r="W94" s="3">
        <f>'Monthly Data'!AB82</f>
        <v>8336466.7000000002</v>
      </c>
      <c r="X94" s="3">
        <f>'Monthly Data'!AG82</f>
        <v>22987362.239999998</v>
      </c>
      <c r="Y94" s="3">
        <f>'Monthly Data'!BC82</f>
        <v>31175541.399359901</v>
      </c>
      <c r="Z94" s="3">
        <f>'Monthly Data'!BI82</f>
        <v>6629286.0111600002</v>
      </c>
      <c r="AA94" s="3">
        <f>'Monthly Data'!BO82</f>
        <v>25587991.039999999</v>
      </c>
      <c r="AB94" s="3">
        <f>'Monthly Data'!BU82</f>
        <v>7372050.21</v>
      </c>
      <c r="EU94" s="682">
        <f ca="1">'Monthly Data'!FO82</f>
        <v>693.16881147843367</v>
      </c>
      <c r="EV94" s="682">
        <f ca="1">'Monthly Data'!FP82</f>
        <v>558.11106072026644</v>
      </c>
      <c r="EW94" s="682">
        <f ca="1">'Monthly Data'!FQ82</f>
        <v>2416.851622275522</v>
      </c>
      <c r="EX94" s="682">
        <f ca="1">'Monthly Data'!FR82</f>
        <v>76677.646988313558</v>
      </c>
      <c r="EY94" s="682">
        <f ca="1">'Monthly Data'!FS82</f>
        <v>1492591.9511188273</v>
      </c>
      <c r="EZ94" s="682">
        <f ca="1">'Monthly Data'!FT82</f>
        <v>6182262.5628943583</v>
      </c>
      <c r="FA94" s="682">
        <f ca="1">'Monthly Data'!FX82</f>
        <v>760.93873785577307</v>
      </c>
      <c r="FB94" s="682">
        <f ca="1">'Monthly Data'!FY82</f>
        <v>2936.7737290239716</v>
      </c>
      <c r="FC94" s="682">
        <f ca="1">'Monthly Data'!FZ82</f>
        <v>70746.14113335048</v>
      </c>
      <c r="FD94" s="682">
        <f>'Monthly Data'!GA82</f>
        <v>81894.546666666676</v>
      </c>
    </row>
    <row r="95" spans="1:160">
      <c r="A95">
        <v>2021</v>
      </c>
      <c r="B95">
        <v>10</v>
      </c>
      <c r="C95" s="313">
        <v>214.18749999999994</v>
      </c>
      <c r="D95" s="313">
        <v>0</v>
      </c>
      <c r="E95" s="313">
        <v>153.47499999999997</v>
      </c>
      <c r="F95" s="313">
        <v>1.2875000000000014</v>
      </c>
      <c r="G95" s="313">
        <v>108.43333333333334</v>
      </c>
      <c r="H95" s="313">
        <v>18.245833333333344</v>
      </c>
      <c r="I95" s="313">
        <v>72.749999999999986</v>
      </c>
      <c r="J95" s="313">
        <v>44.562500000000028</v>
      </c>
      <c r="K95" s="313">
        <v>44.166666666666664</v>
      </c>
      <c r="L95" s="313">
        <v>77.979166666666686</v>
      </c>
      <c r="M95" s="313">
        <v>22.266666666666666</v>
      </c>
      <c r="N95" s="313">
        <v>118.07916666666668</v>
      </c>
      <c r="O95" s="313">
        <v>6.6666666666666643</v>
      </c>
      <c r="P95" s="313">
        <v>164.47916666666669</v>
      </c>
      <c r="Q95" s="383">
        <v>13.09072580645161</v>
      </c>
      <c r="S95" s="3">
        <f>'Monthly Data'!D83</f>
        <v>70038457.550959796</v>
      </c>
      <c r="T95" s="3">
        <f>'Monthly Data'!J83</f>
        <v>831479.18441000103</v>
      </c>
      <c r="U95" s="3">
        <f>'Monthly Data'!P83</f>
        <v>20531059.12458</v>
      </c>
      <c r="V95" s="3">
        <f>'Monthly Data'!V83</f>
        <v>74719275.799999997</v>
      </c>
      <c r="W95" s="3">
        <f>'Monthly Data'!AB83</f>
        <v>8094253.5099999998</v>
      </c>
      <c r="X95" s="3">
        <f>'Monthly Data'!AG83</f>
        <v>23400593.960000001</v>
      </c>
      <c r="Y95" s="3">
        <f>'Monthly Data'!BC83</f>
        <v>27636679.788909998</v>
      </c>
      <c r="Z95" s="3">
        <f>'Monthly Data'!BI83</f>
        <v>6455749.64270999</v>
      </c>
      <c r="AA95" s="3">
        <f>'Monthly Data'!BO83</f>
        <v>25726321.02</v>
      </c>
      <c r="AB95" s="3">
        <f>'Monthly Data'!BU83</f>
        <v>7443098.7699999996</v>
      </c>
      <c r="EU95" s="682">
        <f ca="1">'Monthly Data'!FO83</f>
        <v>647.03733668670316</v>
      </c>
      <c r="EV95" s="682">
        <f ca="1">'Monthly Data'!FP83</f>
        <v>562.0855783002238</v>
      </c>
      <c r="EW95" s="682">
        <f ca="1">'Monthly Data'!FQ83</f>
        <v>2353.4118380973473</v>
      </c>
      <c r="EX95" s="682">
        <f ca="1">'Monthly Data'!FR83</f>
        <v>75841.640567383438</v>
      </c>
      <c r="EY95" s="682">
        <f ca="1">'Monthly Data'!FS83</f>
        <v>1429952.2352747284</v>
      </c>
      <c r="EZ95" s="682">
        <f ca="1">'Monthly Data'!FT83</f>
        <v>6287406.9967887048</v>
      </c>
      <c r="FA95" s="682">
        <f ca="1">'Monthly Data'!FX83</f>
        <v>676.97006769333245</v>
      </c>
      <c r="FB95" s="682">
        <f ca="1">'Monthly Data'!FY83</f>
        <v>2857.803616748351</v>
      </c>
      <c r="FC95" s="682">
        <f ca="1">'Monthly Data'!FZ83</f>
        <v>71020.574427289146</v>
      </c>
      <c r="FD95" s="682">
        <f>'Monthly Data'!GA83</f>
        <v>96401.266666666663</v>
      </c>
    </row>
    <row r="96" spans="1:160">
      <c r="A96">
        <v>2021</v>
      </c>
      <c r="B96">
        <v>11</v>
      </c>
      <c r="C96" s="313">
        <v>506.31260351966881</v>
      </c>
      <c r="D96" s="313">
        <v>0</v>
      </c>
      <c r="E96" s="313">
        <v>446.3126035196687</v>
      </c>
      <c r="F96" s="313">
        <v>0</v>
      </c>
      <c r="G96" s="313">
        <v>386.3126035196687</v>
      </c>
      <c r="H96" s="313">
        <v>0</v>
      </c>
      <c r="I96" s="313">
        <v>326.31260351966864</v>
      </c>
      <c r="J96" s="313">
        <v>0</v>
      </c>
      <c r="K96" s="313">
        <v>266.31260351966876</v>
      </c>
      <c r="L96" s="313">
        <v>0</v>
      </c>
      <c r="M96" s="313">
        <v>206.31260351966876</v>
      </c>
      <c r="N96" s="313">
        <v>0</v>
      </c>
      <c r="O96" s="313">
        <v>148.50427018633536</v>
      </c>
      <c r="P96" s="313">
        <v>2.1916666666666682</v>
      </c>
      <c r="Q96" s="383">
        <v>3.122913216011042</v>
      </c>
      <c r="S96" s="3">
        <f>'Monthly Data'!D84</f>
        <v>75996650.6820914</v>
      </c>
      <c r="T96" s="3">
        <f>'Monthly Data'!J84</f>
        <v>920524.22496999905</v>
      </c>
      <c r="U96" s="3">
        <f>'Monthly Data'!P84</f>
        <v>21813461.426630002</v>
      </c>
      <c r="V96" s="3">
        <f>'Monthly Data'!V84</f>
        <v>75204990.840000004</v>
      </c>
      <c r="W96" s="3">
        <f>'Monthly Data'!AB84</f>
        <v>8878016.5500000007</v>
      </c>
      <c r="X96" s="3">
        <f>'Monthly Data'!AG84</f>
        <v>23304214.739999998</v>
      </c>
      <c r="Y96" s="3">
        <f>'Monthly Data'!BC84</f>
        <v>27834012.871320099</v>
      </c>
      <c r="Z96" s="3">
        <f>'Monthly Data'!BI84</f>
        <v>6809444.3778900001</v>
      </c>
      <c r="AA96" s="3">
        <f>'Monthly Data'!BO84</f>
        <v>26402840.800000001</v>
      </c>
      <c r="AB96" s="3">
        <f>'Monthly Data'!BU84</f>
        <v>7333606.6500000004</v>
      </c>
      <c r="EU96" s="682">
        <f ca="1">'Monthly Data'!FO84</f>
        <v>695.21019109812687</v>
      </c>
      <c r="EV96" s="682">
        <f ca="1">'Monthly Data'!FP84</f>
        <v>619.39069312657477</v>
      </c>
      <c r="EW96" s="682">
        <f ca="1">'Monthly Data'!FQ84</f>
        <v>2490.1731619415168</v>
      </c>
      <c r="EX96" s="682">
        <f ca="1">'Monthly Data'!FR84</f>
        <v>76234.058526388093</v>
      </c>
      <c r="EY96" s="682">
        <f ca="1">'Monthly Data'!FS84</f>
        <v>1542481.4517079284</v>
      </c>
      <c r="EZ96" s="682">
        <f ca="1">'Monthly Data'!FT84</f>
        <v>6265148.695683049</v>
      </c>
      <c r="FA96" s="682">
        <f ca="1">'Monthly Data'!FX84</f>
        <v>679.58616194014814</v>
      </c>
      <c r="FB96" s="682">
        <f ca="1">'Monthly Data'!FY84</f>
        <v>3003.8798007892028</v>
      </c>
      <c r="FC96" s="682">
        <f ca="1">'Monthly Data'!FZ84</f>
        <v>72659.061367541304</v>
      </c>
      <c r="FD96" s="682">
        <f>'Monthly Data'!GA84</f>
        <v>110225.19333333334</v>
      </c>
    </row>
    <row r="97" spans="1:160">
      <c r="A97">
        <v>2021</v>
      </c>
      <c r="B97">
        <v>12</v>
      </c>
      <c r="C97" s="313">
        <v>595.04583333333335</v>
      </c>
      <c r="D97" s="313">
        <v>0</v>
      </c>
      <c r="E97" s="313">
        <v>533.04583333333346</v>
      </c>
      <c r="F97" s="313">
        <v>0</v>
      </c>
      <c r="G97" s="313">
        <v>471.04583333333335</v>
      </c>
      <c r="H97" s="313">
        <v>0</v>
      </c>
      <c r="I97" s="313">
        <v>409.04583333333335</v>
      </c>
      <c r="J97" s="313">
        <v>0</v>
      </c>
      <c r="K97" s="313">
        <v>347.04583333333335</v>
      </c>
      <c r="L97" s="313">
        <v>0</v>
      </c>
      <c r="M97" s="313">
        <v>285.45833333333331</v>
      </c>
      <c r="N97" s="313">
        <v>0.41249999999999964</v>
      </c>
      <c r="O97" s="313">
        <v>225.45833333333331</v>
      </c>
      <c r="P97" s="313">
        <v>2.4124999999999996</v>
      </c>
      <c r="Q97" s="383">
        <v>0.80497311827956974</v>
      </c>
      <c r="S97" s="3">
        <f>'Monthly Data'!D85</f>
        <v>89448908.011650696</v>
      </c>
      <c r="T97" s="3">
        <f>'Monthly Data'!J85</f>
        <v>1187913.7558299999</v>
      </c>
      <c r="U97" s="3">
        <f>'Monthly Data'!P85</f>
        <v>23827944.848219998</v>
      </c>
      <c r="V97" s="3">
        <f>'Monthly Data'!V85</f>
        <v>76122738.510000005</v>
      </c>
      <c r="W97" s="3">
        <f>'Monthly Data'!AB85</f>
        <v>8370146.6799999997</v>
      </c>
      <c r="X97" s="3">
        <f>'Monthly Data'!AG85</f>
        <v>22484304.260000002</v>
      </c>
      <c r="Y97" s="3">
        <f>'Monthly Data'!BC85</f>
        <v>32401888.869009897</v>
      </c>
      <c r="Z97" s="3">
        <f>'Monthly Data'!BI85</f>
        <v>7406119.3913400099</v>
      </c>
      <c r="AA97" s="3">
        <f>'Monthly Data'!BO85</f>
        <v>28002178.93</v>
      </c>
      <c r="AB97" s="3">
        <f>'Monthly Data'!BU85</f>
        <v>7331635.21</v>
      </c>
      <c r="EU97" s="682">
        <f ca="1">'Monthly Data'!FO85</f>
        <v>812.19187017326601</v>
      </c>
      <c r="EV97" s="682">
        <f ca="1">'Monthly Data'!FP85</f>
        <v>791.26401200551902</v>
      </c>
      <c r="EW97" s="682">
        <f ca="1">'Monthly Data'!FQ85</f>
        <v>2705.1947985792781</v>
      </c>
      <c r="EX97" s="682">
        <f ca="1">'Monthly Data'!FR85</f>
        <v>77033.005522294843</v>
      </c>
      <c r="EY97" s="682">
        <f ca="1">'Monthly Data'!FS85</f>
        <v>1436612.7049068713</v>
      </c>
      <c r="EZ97" s="682">
        <f ca="1">'Monthly Data'!FT85</f>
        <v>6062007.5795773948</v>
      </c>
      <c r="FA97" s="682">
        <f ca="1">'Monthly Data'!FX85</f>
        <v>782.79907110066165</v>
      </c>
      <c r="FB97" s="682">
        <f ca="1">'Monthly Data'!FY85</f>
        <v>3252.823487257991</v>
      </c>
      <c r="FC97" s="682">
        <f ca="1">'Monthly Data'!FZ85</f>
        <v>76627.575192830482</v>
      </c>
      <c r="FD97" s="682">
        <f>'Monthly Data'!GA85</f>
        <v>127769.41666666667</v>
      </c>
    </row>
    <row r="98" spans="1:160">
      <c r="A98">
        <v>2022</v>
      </c>
      <c r="B98">
        <v>1</v>
      </c>
      <c r="C98" s="313">
        <v>887.49166666666656</v>
      </c>
      <c r="D98" s="313">
        <v>0</v>
      </c>
      <c r="E98" s="313">
        <v>825.49166666666656</v>
      </c>
      <c r="F98" s="313">
        <v>0</v>
      </c>
      <c r="G98" s="313">
        <v>763.49166666666656</v>
      </c>
      <c r="H98" s="313">
        <v>0</v>
      </c>
      <c r="I98" s="313">
        <v>701.49166666666656</v>
      </c>
      <c r="J98" s="313">
        <v>0</v>
      </c>
      <c r="K98" s="313">
        <v>639.49166666666679</v>
      </c>
      <c r="L98" s="313">
        <v>0</v>
      </c>
      <c r="M98" s="313">
        <v>577.49166666666656</v>
      </c>
      <c r="N98" s="313">
        <v>0</v>
      </c>
      <c r="O98" s="313">
        <v>515.49166666666679</v>
      </c>
      <c r="P98" s="313">
        <v>0</v>
      </c>
      <c r="Q98" s="383">
        <v>-8.6287634408602152</v>
      </c>
      <c r="S98" s="3">
        <f>'Monthly Data'!D86</f>
        <v>102401228.86625101</v>
      </c>
      <c r="T98" s="3">
        <f>'Monthly Data'!J86</f>
        <v>1603152.73276</v>
      </c>
      <c r="U98" s="3">
        <f>'Monthly Data'!P86</f>
        <v>26419877.8191</v>
      </c>
      <c r="V98" s="3">
        <f>'Monthly Data'!V86</f>
        <v>81979657.519999996</v>
      </c>
      <c r="W98" s="3">
        <f>'Monthly Data'!AB86</f>
        <v>8258882.6900000004</v>
      </c>
      <c r="X98" s="3">
        <f>'Monthly Data'!AG86</f>
        <v>24151967.609999999</v>
      </c>
      <c r="Y98" s="3">
        <f>'Monthly Data'!BC86</f>
        <v>35309214.798329897</v>
      </c>
      <c r="Z98" s="3">
        <f>'Monthly Data'!BI86</f>
        <v>8175617.9013599996</v>
      </c>
      <c r="AA98" s="3">
        <f>'Monthly Data'!BO86</f>
        <v>29472505.969999999</v>
      </c>
      <c r="AB98" s="3">
        <f>'Monthly Data'!BU86</f>
        <v>8077542.9800000004</v>
      </c>
      <c r="EU98" s="682">
        <f ca="1">'Monthly Data'!FO86</f>
        <v>915.94876636520985</v>
      </c>
      <c r="EV98" s="682">
        <f ca="1">'Monthly Data'!FP86</f>
        <v>1057.70901084754</v>
      </c>
      <c r="EW98" s="682">
        <f ca="1">'Monthly Data'!FQ86</f>
        <v>2983.6024665928358</v>
      </c>
      <c r="EX98" s="682">
        <f ca="1">'Monthly Data'!FR86</f>
        <v>83071.820007131915</v>
      </c>
      <c r="EY98" s="682">
        <f ca="1">'Monthly Data'!FS86</f>
        <v>1439970.4000570395</v>
      </c>
      <c r="EZ98" s="682">
        <f ca="1">'Monthly Data'!FT86</f>
        <v>6472296.2577988198</v>
      </c>
      <c r="FA98" s="682">
        <f ca="1">'Monthly Data'!FX86</f>
        <v>850.21558076250244</v>
      </c>
      <c r="FB98" s="682">
        <f ca="1">'Monthly Data'!FY86</f>
        <v>3577.5621021740399</v>
      </c>
      <c r="FC98" s="682">
        <f ca="1">'Monthly Data'!FZ86</f>
        <v>80918.347242142554</v>
      </c>
      <c r="FD98" s="682">
        <f>'Monthly Data'!GA86</f>
        <v>124266.5</v>
      </c>
    </row>
    <row r="99" spans="1:160">
      <c r="A99">
        <v>2022</v>
      </c>
      <c r="B99">
        <v>2</v>
      </c>
      <c r="C99" s="313">
        <v>692.85</v>
      </c>
      <c r="D99" s="313">
        <v>0</v>
      </c>
      <c r="E99" s="313">
        <v>636.84999999999991</v>
      </c>
      <c r="F99" s="313">
        <v>0</v>
      </c>
      <c r="G99" s="313">
        <v>580.84999999999991</v>
      </c>
      <c r="H99" s="313">
        <v>0</v>
      </c>
      <c r="I99" s="313">
        <v>524.84999999999991</v>
      </c>
      <c r="J99" s="313">
        <v>0</v>
      </c>
      <c r="K99" s="313">
        <v>468.84999999999991</v>
      </c>
      <c r="L99" s="313">
        <v>0</v>
      </c>
      <c r="M99" s="313">
        <v>412.84999999999991</v>
      </c>
      <c r="N99" s="313">
        <v>0</v>
      </c>
      <c r="O99" s="313">
        <v>356.85</v>
      </c>
      <c r="P99" s="313">
        <v>0</v>
      </c>
      <c r="Q99" s="383">
        <v>-4.7446428571428587</v>
      </c>
      <c r="S99" s="3">
        <f>'Monthly Data'!D87</f>
        <v>86015626.173900694</v>
      </c>
      <c r="T99" s="3">
        <f>'Monthly Data'!J87</f>
        <v>1329861.3317499999</v>
      </c>
      <c r="U99" s="3">
        <f>'Monthly Data'!P87</f>
        <v>23878455.9513399</v>
      </c>
      <c r="V99" s="3">
        <f>'Monthly Data'!V87</f>
        <v>75799941.010000005</v>
      </c>
      <c r="W99" s="3">
        <f>'Monthly Data'!AB87</f>
        <v>8622763.0800000001</v>
      </c>
      <c r="X99" s="3">
        <f>'Monthly Data'!AG87</f>
        <v>23061499.289999999</v>
      </c>
      <c r="Y99" s="3">
        <f>'Monthly Data'!BC87</f>
        <v>29802671.721710101</v>
      </c>
      <c r="Z99" s="3">
        <f>'Monthly Data'!BI87</f>
        <v>7448512.0922799902</v>
      </c>
      <c r="AA99" s="3">
        <f>'Monthly Data'!BO87</f>
        <v>27029254.530000001</v>
      </c>
      <c r="AB99" s="3">
        <f>'Monthly Data'!BU87</f>
        <v>7413619.0899999999</v>
      </c>
      <c r="EU99" s="682">
        <f ca="1">'Monthly Data'!FO87</f>
        <v>774.38876302756046</v>
      </c>
      <c r="EV99" s="682">
        <f ca="1">'Monthly Data'!FP87</f>
        <v>882.03581356279392</v>
      </c>
      <c r="EW99" s="682">
        <f ca="1">'Monthly Data'!FQ87</f>
        <v>2709.4589342911195</v>
      </c>
      <c r="EX99" s="682">
        <f ca="1">'Monthly Data'!FR87</f>
        <v>77537.217107215547</v>
      </c>
      <c r="EY99" s="682">
        <f ca="1">'Monthly Data'!FS87</f>
        <v>1523332.3053948646</v>
      </c>
      <c r="EZ99" s="682">
        <f ca="1">'Monthly Data'!FT87</f>
        <v>6200142.3260841956</v>
      </c>
      <c r="FA99" s="682">
        <f ca="1">'Monthly Data'!FX87</f>
        <v>722.25812034716432</v>
      </c>
      <c r="FB99" s="682">
        <f ca="1">'Monthly Data'!FY87</f>
        <v>3262.7081250697961</v>
      </c>
      <c r="FC99" s="682">
        <f ca="1">'Monthly Data'!FZ87</f>
        <v>75047.961400451924</v>
      </c>
      <c r="FD99" s="682">
        <f>'Monthly Data'!GA87</f>
        <v>103832.55666666666</v>
      </c>
    </row>
    <row r="100" spans="1:160">
      <c r="A100">
        <v>2022</v>
      </c>
      <c r="B100">
        <v>3</v>
      </c>
      <c r="C100" s="313">
        <v>606.7208333333333</v>
      </c>
      <c r="D100" s="313">
        <v>0</v>
      </c>
      <c r="E100" s="313">
        <v>544.7208333333333</v>
      </c>
      <c r="F100" s="313">
        <v>0</v>
      </c>
      <c r="G100" s="313">
        <v>482.72083333333353</v>
      </c>
      <c r="H100" s="313">
        <v>0</v>
      </c>
      <c r="I100" s="313">
        <v>420.72083333333353</v>
      </c>
      <c r="J100" s="313">
        <v>0</v>
      </c>
      <c r="K100" s="313">
        <v>358.72083333333347</v>
      </c>
      <c r="L100" s="313">
        <v>0</v>
      </c>
      <c r="M100" s="313">
        <v>296.72083333333336</v>
      </c>
      <c r="N100" s="313">
        <v>0</v>
      </c>
      <c r="O100" s="313">
        <v>236.04166666666666</v>
      </c>
      <c r="P100" s="313">
        <v>1.3208333333333311</v>
      </c>
      <c r="Q100" s="383">
        <v>0.42836021505376332</v>
      </c>
      <c r="S100" s="3">
        <f>'Monthly Data'!D88</f>
        <v>85096252.480660394</v>
      </c>
      <c r="T100" s="3">
        <f>'Monthly Data'!J88</f>
        <v>1242943.6126999999</v>
      </c>
      <c r="U100" s="3">
        <f>'Monthly Data'!P88</f>
        <v>24542720.141819999</v>
      </c>
      <c r="V100" s="3">
        <f>'Monthly Data'!V88</f>
        <v>81231731.920000002</v>
      </c>
      <c r="W100" s="3">
        <f>'Monthly Data'!AB88</f>
        <v>9813072.7699999996</v>
      </c>
      <c r="X100" s="3">
        <f>'Monthly Data'!AG88</f>
        <v>26284903.649999999</v>
      </c>
      <c r="Y100" s="3">
        <f>'Monthly Data'!BC88</f>
        <v>30192206.9659</v>
      </c>
      <c r="Z100" s="3">
        <f>'Monthly Data'!BI88</f>
        <v>7726426.3654699996</v>
      </c>
      <c r="AA100" s="3">
        <f>'Monthly Data'!BO88</f>
        <v>28645335.43</v>
      </c>
      <c r="AB100" s="3">
        <f>'Monthly Data'!BU88</f>
        <v>8270925.7000000002</v>
      </c>
      <c r="EU100" s="682">
        <f ca="1">'Monthly Data'!FO88</f>
        <v>767.16236466884413</v>
      </c>
      <c r="EV100" s="682">
        <f ca="1">'Monthly Data'!FP88</f>
        <v>826.06145929785328</v>
      </c>
      <c r="EW100" s="682">
        <f ca="1">'Monthly Data'!FQ88</f>
        <v>2777.986905352102</v>
      </c>
      <c r="EX100" s="682">
        <f ca="1">'Monthly Data'!FR88</f>
        <v>83029.546269900951</v>
      </c>
      <c r="EY100" s="682">
        <f ca="1">'Monthly Data'!FS88</f>
        <v>1752837.3326265397</v>
      </c>
      <c r="EZ100" s="682">
        <f ca="1">'Monthly Data'!FT88</f>
        <v>7006456.5643695723</v>
      </c>
      <c r="FA100" s="682">
        <f ca="1">'Monthly Data'!FX88</f>
        <v>729.7219230543617</v>
      </c>
      <c r="FB100" s="682">
        <f ca="1">'Monthly Data'!FY88</f>
        <v>3374.0953542081074</v>
      </c>
      <c r="FC100" s="682">
        <f ca="1">'Monthly Data'!FZ88</f>
        <v>79519.462969900676</v>
      </c>
      <c r="FD100" s="682">
        <f>'Monthly Data'!GA88</f>
        <v>103567.57</v>
      </c>
    </row>
    <row r="101" spans="1:160">
      <c r="A101">
        <v>2022</v>
      </c>
      <c r="B101">
        <v>4</v>
      </c>
      <c r="C101" s="313">
        <v>414.33333333333331</v>
      </c>
      <c r="D101" s="313">
        <v>0</v>
      </c>
      <c r="E101" s="313">
        <v>354.33333333333331</v>
      </c>
      <c r="F101" s="313">
        <v>0</v>
      </c>
      <c r="G101" s="313">
        <v>294.33333333333337</v>
      </c>
      <c r="H101" s="313">
        <v>0</v>
      </c>
      <c r="I101" s="313">
        <v>234.33333333333331</v>
      </c>
      <c r="J101" s="313">
        <v>0</v>
      </c>
      <c r="K101" s="313">
        <v>176.58749999999998</v>
      </c>
      <c r="L101" s="313">
        <v>2.2541666666666629</v>
      </c>
      <c r="M101" s="313">
        <v>123.04166666666666</v>
      </c>
      <c r="N101" s="313">
        <v>8.7083333333333286</v>
      </c>
      <c r="O101" s="313">
        <v>75.575000000000003</v>
      </c>
      <c r="P101" s="313">
        <v>21.24166666666666</v>
      </c>
      <c r="Q101" s="383">
        <v>6.1888888888888882</v>
      </c>
      <c r="S101" s="3">
        <f>'Monthly Data'!D89</f>
        <v>71751446.942620203</v>
      </c>
      <c r="T101" s="3">
        <f>'Monthly Data'!J89</f>
        <v>951125.36635999999</v>
      </c>
      <c r="U101" s="3">
        <f>'Monthly Data'!P89</f>
        <v>21085412.50956</v>
      </c>
      <c r="V101" s="3">
        <f>'Monthly Data'!V89</f>
        <v>73205893.010000005</v>
      </c>
      <c r="W101" s="3">
        <f>'Monthly Data'!AB89</f>
        <v>9228794.9399999995</v>
      </c>
      <c r="X101" s="3">
        <f>'Monthly Data'!AG89</f>
        <v>24655612.199999999</v>
      </c>
      <c r="Y101" s="3">
        <f>'Monthly Data'!BC89</f>
        <v>26510896.747310098</v>
      </c>
      <c r="Z101" s="3">
        <f>'Monthly Data'!BI89</f>
        <v>6624297.54868</v>
      </c>
      <c r="AA101" s="3">
        <f>'Monthly Data'!BO89</f>
        <v>25472918.010000002</v>
      </c>
      <c r="AB101" s="3">
        <f>'Monthly Data'!BU89</f>
        <v>7280625.3200000003</v>
      </c>
      <c r="EU101" s="682">
        <f ca="1">'Monthly Data'!FO89</f>
        <v>652.77938308436842</v>
      </c>
      <c r="EV101" s="682">
        <f ca="1">'Monthly Data'!FP89</f>
        <v>638.62408189676921</v>
      </c>
      <c r="EW101" s="682">
        <f ca="1">'Monthly Data'!FQ89</f>
        <v>2407.1666617992478</v>
      </c>
      <c r="EX101" s="682">
        <f ca="1">'Monthly Data'!FR89</f>
        <v>75692.828094286946</v>
      </c>
      <c r="EY101" s="682">
        <f ca="1">'Monthly Data'!FS89</f>
        <v>1675930.0041885586</v>
      </c>
      <c r="EZ101" s="682">
        <f ca="1">'Monthly Data'!FT89</f>
        <v>6599596.8501549494</v>
      </c>
      <c r="FA101" s="682">
        <f ca="1">'Monthly Data'!FX89</f>
        <v>644.19987549462235</v>
      </c>
      <c r="FB101" s="682">
        <f ca="1">'Monthly Data'!FY89</f>
        <v>2902.8641533628252</v>
      </c>
      <c r="FC101" s="682">
        <f ca="1">'Monthly Data'!FZ89</f>
        <v>71732.861077035981</v>
      </c>
      <c r="FD101" s="682">
        <f>'Monthly Data'!GA89</f>
        <v>87467.643333333326</v>
      </c>
    </row>
    <row r="102" spans="1:160">
      <c r="A102">
        <v>2022</v>
      </c>
      <c r="B102">
        <v>5</v>
      </c>
      <c r="C102" s="313">
        <v>158.97916666666669</v>
      </c>
      <c r="D102" s="313">
        <v>6.0166666666666657</v>
      </c>
      <c r="E102" s="313">
        <v>109.50833333333333</v>
      </c>
      <c r="F102" s="313">
        <v>18.545833333333334</v>
      </c>
      <c r="G102" s="313">
        <v>70.650000000000006</v>
      </c>
      <c r="H102" s="313">
        <v>41.6875</v>
      </c>
      <c r="I102" s="313">
        <v>39.324999999999996</v>
      </c>
      <c r="J102" s="313">
        <v>72.362499999999997</v>
      </c>
      <c r="K102" s="313">
        <v>14.399999999999993</v>
      </c>
      <c r="L102" s="313">
        <v>109.43749999999997</v>
      </c>
      <c r="M102" s="313">
        <v>0.93333333333333179</v>
      </c>
      <c r="N102" s="313">
        <v>157.97083333333333</v>
      </c>
      <c r="O102" s="313">
        <v>0</v>
      </c>
      <c r="P102" s="313">
        <v>219.03749999999999</v>
      </c>
      <c r="Q102" s="383">
        <v>15.065725806451612</v>
      </c>
      <c r="S102" s="3">
        <f>'Monthly Data'!D90</f>
        <v>71175228.628490701</v>
      </c>
      <c r="T102" s="3">
        <f>'Monthly Data'!J90</f>
        <v>786152.27271000005</v>
      </c>
      <c r="U102" s="3">
        <f>'Monthly Data'!P90</f>
        <v>21132492.856539998</v>
      </c>
      <c r="V102" s="3">
        <f>'Monthly Data'!V90</f>
        <v>75556709.640000001</v>
      </c>
      <c r="W102" s="3">
        <f>'Monthly Data'!AB90</f>
        <v>9488834.5099999998</v>
      </c>
      <c r="X102" s="3">
        <f>'Monthly Data'!AG90</f>
        <v>25631932.109999999</v>
      </c>
      <c r="Y102" s="3">
        <f>'Monthly Data'!BC90</f>
        <v>28982490.0885498</v>
      </c>
      <c r="Z102" s="3">
        <f>'Monthly Data'!BI90</f>
        <v>6556923.9057799997</v>
      </c>
      <c r="AA102" s="3">
        <f>'Monthly Data'!BO90</f>
        <v>25541767.5</v>
      </c>
      <c r="AB102" s="3">
        <f>'Monthly Data'!BU90</f>
        <v>7196649.5099999998</v>
      </c>
      <c r="EU102" s="682">
        <f ca="1">'Monthly Data'!FO90</f>
        <v>651.72349882944582</v>
      </c>
      <c r="EV102" s="682">
        <f ca="1">'Monthly Data'!FP90</f>
        <v>532.64742580124596</v>
      </c>
      <c r="EW102" s="682">
        <f ca="1">'Monthly Data'!FQ90</f>
        <v>2410.2101779478071</v>
      </c>
      <c r="EX102" s="682">
        <f ca="1">'Monthly Data'!FR90</f>
        <v>78260.473000467347</v>
      </c>
      <c r="EY102" s="682">
        <f ca="1">'Monthly Data'!FS90</f>
        <v>1747947.9614688465</v>
      </c>
      <c r="EZ102" s="682">
        <f ca="1">'Monthly Data'!FT90</f>
        <v>6844139.9759403253</v>
      </c>
      <c r="FA102" s="682">
        <f ca="1">'Monthly Data'!FX90</f>
        <v>699.23777705247926</v>
      </c>
      <c r="FB102" s="682">
        <f ca="1">'Monthly Data'!FY90</f>
        <v>2869.2160726713423</v>
      </c>
      <c r="FC102" s="682">
        <f ca="1">'Monthly Data'!FZ90</f>
        <v>72239.399025250314</v>
      </c>
      <c r="FD102" s="682">
        <f>'Monthly Data'!GA90</f>
        <v>79626.723333333342</v>
      </c>
    </row>
    <row r="103" spans="1:160">
      <c r="A103">
        <v>2022</v>
      </c>
      <c r="B103">
        <v>6</v>
      </c>
      <c r="C103" s="313">
        <v>75.529010989011013</v>
      </c>
      <c r="D103" s="313">
        <v>16.451515151515149</v>
      </c>
      <c r="E103" s="313">
        <v>36.166510989010987</v>
      </c>
      <c r="F103" s="313">
        <v>37.089015151515156</v>
      </c>
      <c r="G103" s="313">
        <v>6.1903205128205077</v>
      </c>
      <c r="H103" s="313">
        <v>67.11282467532466</v>
      </c>
      <c r="I103" s="313">
        <v>0</v>
      </c>
      <c r="J103" s="313">
        <v>120.92250416250417</v>
      </c>
      <c r="K103" s="313">
        <v>0</v>
      </c>
      <c r="L103" s="313">
        <v>180.92250416250408</v>
      </c>
      <c r="M103" s="313">
        <v>0</v>
      </c>
      <c r="N103" s="313">
        <v>240.92250416250408</v>
      </c>
      <c r="O103" s="313">
        <v>0</v>
      </c>
      <c r="P103" s="313">
        <v>300.92250416250414</v>
      </c>
      <c r="Q103" s="383">
        <v>18.03075013875014</v>
      </c>
      <c r="S103" s="3">
        <f>'Monthly Data'!D91</f>
        <v>80728784.847711101</v>
      </c>
      <c r="T103" s="3">
        <f>'Monthly Data'!J91</f>
        <v>772781.29087999999</v>
      </c>
      <c r="U103" s="3">
        <f>'Monthly Data'!P91</f>
        <v>22130781.368469998</v>
      </c>
      <c r="V103" s="3">
        <f>'Monthly Data'!V91</f>
        <v>77277239.359999999</v>
      </c>
      <c r="W103" s="3">
        <f>'Monthly Data'!AB91</f>
        <v>9614550.9399999995</v>
      </c>
      <c r="X103" s="3">
        <f>'Monthly Data'!AG91</f>
        <v>25283969.98</v>
      </c>
      <c r="Y103" s="3">
        <f>'Monthly Data'!BC91</f>
        <v>34319366.238789797</v>
      </c>
      <c r="Z103" s="3">
        <f>'Monthly Data'!BI91</f>
        <v>7068268.6945000105</v>
      </c>
      <c r="AA103" s="3">
        <f>'Monthly Data'!BO91</f>
        <v>26153981.300000001</v>
      </c>
      <c r="AB103" s="3">
        <f>'Monthly Data'!BU91</f>
        <v>6712141.3899999997</v>
      </c>
      <c r="EU103" s="682">
        <f ca="1">'Monthly Data'!FO91</f>
        <v>736.05686052253452</v>
      </c>
      <c r="EV103" s="682">
        <f ca="1">'Monthly Data'!FP91</f>
        <v>523.95926420480134</v>
      </c>
      <c r="EW103" s="682">
        <f ca="1">'Monthly Data'!FQ91</f>
        <v>2514.3579908097622</v>
      </c>
      <c r="EX103" s="682">
        <f ca="1">'Monthly Data'!FR91</f>
        <v>80238.788363186046</v>
      </c>
      <c r="EY103" s="682">
        <f ca="1">'Monthly Data'!FS91</f>
        <v>1797725.8920000521</v>
      </c>
      <c r="EZ103" s="682">
        <f ca="1">'Monthly Data'!FT91</f>
        <v>6757612.5917257024</v>
      </c>
      <c r="FA103" s="682">
        <f ca="1">'Monthly Data'!FX91</f>
        <v>819.22040086877723</v>
      </c>
      <c r="FB103" s="682">
        <f ca="1">'Monthly Data'!FY91</f>
        <v>3078.7709018722671</v>
      </c>
      <c r="FC103" s="682">
        <f ca="1">'Monthly Data'!FZ91</f>
        <v>74153.469474399812</v>
      </c>
      <c r="FD103" s="682">
        <f>'Monthly Data'!GA91</f>
        <v>71558.676666666666</v>
      </c>
    </row>
    <row r="104" spans="1:160">
      <c r="A104">
        <v>2022</v>
      </c>
      <c r="B104">
        <v>7</v>
      </c>
      <c r="C104" s="313">
        <v>8.9945652173913082</v>
      </c>
      <c r="D104" s="313">
        <v>44.848903508771912</v>
      </c>
      <c r="E104" s="313">
        <v>0.62083333333333357</v>
      </c>
      <c r="F104" s="313">
        <v>98.475171624713937</v>
      </c>
      <c r="G104" s="313">
        <v>0</v>
      </c>
      <c r="H104" s="313">
        <v>159.8543382913806</v>
      </c>
      <c r="I104" s="313">
        <v>0</v>
      </c>
      <c r="J104" s="313">
        <v>221.8543382913806</v>
      </c>
      <c r="K104" s="313">
        <v>0</v>
      </c>
      <c r="L104" s="313">
        <v>283.8543382913806</v>
      </c>
      <c r="M104" s="313">
        <v>0</v>
      </c>
      <c r="N104" s="313">
        <v>345.85433829138066</v>
      </c>
      <c r="O104" s="313">
        <v>0</v>
      </c>
      <c r="P104" s="313">
        <v>407.8543382913806</v>
      </c>
      <c r="Q104" s="383">
        <v>21.15659155778647</v>
      </c>
      <c r="S104" s="3">
        <f>'Monthly Data'!D92</f>
        <v>103253476.02421001</v>
      </c>
      <c r="T104" s="3">
        <f>'Monthly Data'!J92</f>
        <v>1056726.2877400001</v>
      </c>
      <c r="U104" s="3">
        <f>'Monthly Data'!P92</f>
        <v>25358152.623659901</v>
      </c>
      <c r="V104" s="3">
        <f>'Monthly Data'!V92</f>
        <v>81676912.150000006</v>
      </c>
      <c r="W104" s="3">
        <f>'Monthly Data'!AB92</f>
        <v>9282002.4000000004</v>
      </c>
      <c r="X104" s="3">
        <f>'Monthly Data'!AG92</f>
        <v>25012881.399999999</v>
      </c>
      <c r="Y104" s="3">
        <f>'Monthly Data'!BC92</f>
        <v>43794706.505709901</v>
      </c>
      <c r="Z104" s="3">
        <f>'Monthly Data'!BI92</f>
        <v>7888607.0265100002</v>
      </c>
      <c r="AA104" s="3">
        <f>'Monthly Data'!BO92</f>
        <v>28545087.309999999</v>
      </c>
      <c r="AB104" s="3">
        <f>'Monthly Data'!BU92</f>
        <v>7309055.8700000001</v>
      </c>
      <c r="EU104" s="682">
        <f ca="1">'Monthly Data'!FO92</f>
        <v>933.03697010691792</v>
      </c>
      <c r="EV104" s="682">
        <f ca="1">'Monthly Data'!FP92</f>
        <v>705.9434652405057</v>
      </c>
      <c r="EW104" s="682">
        <f ca="1">'Monthly Data'!FQ92</f>
        <v>2854.9135329611322</v>
      </c>
      <c r="EX104" s="682">
        <f ca="1">'Monthly Data'!FR92</f>
        <v>84817.771304406953</v>
      </c>
      <c r="EY104" s="682">
        <f ca="1">'Monthly Data'!FS92</f>
        <v>1764432.6874706794</v>
      </c>
      <c r="EZ104" s="682">
        <f ca="1">'Monthly Data'!FT92</f>
        <v>6690303.5950110788</v>
      </c>
      <c r="FA104" s="682">
        <f ca="1">'Monthly Data'!FX92</f>
        <v>1032.6563388769443</v>
      </c>
      <c r="FB104" s="682">
        <f ca="1">'Monthly Data'!FY92</f>
        <v>3416.9119474823151</v>
      </c>
      <c r="FC104" s="682">
        <f ca="1">'Monthly Data'!FZ92</f>
        <v>80693.286849731827</v>
      </c>
      <c r="FD104" s="682">
        <f>'Monthly Data'!GA92</f>
        <v>77079.433333333334</v>
      </c>
    </row>
    <row r="105" spans="1:160">
      <c r="A105">
        <v>2022</v>
      </c>
      <c r="B105">
        <v>8</v>
      </c>
      <c r="C105" s="313">
        <v>7.3916666666666764</v>
      </c>
      <c r="D105" s="313">
        <v>49.674999999999997</v>
      </c>
      <c r="E105" s="313">
        <v>0.76250000000000284</v>
      </c>
      <c r="F105" s="313">
        <v>105.04583333333332</v>
      </c>
      <c r="G105" s="313">
        <v>0</v>
      </c>
      <c r="H105" s="313">
        <v>166.28333333333327</v>
      </c>
      <c r="I105" s="313">
        <v>0</v>
      </c>
      <c r="J105" s="313">
        <v>228.28333333333333</v>
      </c>
      <c r="K105" s="313">
        <v>0</v>
      </c>
      <c r="L105" s="313">
        <v>290.28333333333336</v>
      </c>
      <c r="M105" s="313">
        <v>0</v>
      </c>
      <c r="N105" s="313">
        <v>352.28333333333342</v>
      </c>
      <c r="O105" s="313">
        <v>0</v>
      </c>
      <c r="P105" s="313">
        <v>414.28333333333336</v>
      </c>
      <c r="Q105" s="383">
        <v>21.363978494623655</v>
      </c>
      <c r="S105" s="3">
        <f>'Monthly Data'!D93</f>
        <v>106491071.87694</v>
      </c>
      <c r="T105" s="3">
        <f>'Monthly Data'!J93</f>
        <v>1036366.32473</v>
      </c>
      <c r="U105" s="3">
        <f>'Monthly Data'!P93</f>
        <v>25492350.706059899</v>
      </c>
      <c r="V105" s="3">
        <f>'Monthly Data'!V93</f>
        <v>83875328.469999999</v>
      </c>
      <c r="W105" s="3">
        <f>'Monthly Data'!AB93</f>
        <v>9515051.7400000002</v>
      </c>
      <c r="X105" s="3">
        <f>'Monthly Data'!AG93</f>
        <v>19387385.440000001</v>
      </c>
      <c r="Y105" s="3">
        <f>'Monthly Data'!BC93</f>
        <v>44941627.830970101</v>
      </c>
      <c r="Z105" s="3">
        <f>'Monthly Data'!BI93</f>
        <v>8117623.5096500004</v>
      </c>
      <c r="AA105" s="3">
        <f>'Monthly Data'!BO93</f>
        <v>29956192.780000001</v>
      </c>
      <c r="AB105" s="3">
        <f>'Monthly Data'!BU93</f>
        <v>7608212.5199999996</v>
      </c>
      <c r="EU105" s="682">
        <f ca="1">'Monthly Data'!FO93</f>
        <v>960.22406947178138</v>
      </c>
      <c r="EV105" s="682">
        <f ca="1">'Monthly Data'!FP93</f>
        <v>692.74090670962084</v>
      </c>
      <c r="EW105" s="682">
        <f ca="1">'Monthly Data'!FQ93</f>
        <v>2866.6419720406038</v>
      </c>
      <c r="EX105" s="682">
        <f ca="1">'Monthly Data'!FR93</f>
        <v>87294.812783019835</v>
      </c>
      <c r="EY105" s="682">
        <f ca="1">'Monthly Data'!FS93</f>
        <v>1836148.672799764</v>
      </c>
      <c r="EZ105" s="682">
        <f ca="1">'Monthly Data'!FT93</f>
        <v>5284392.7532964554</v>
      </c>
      <c r="FA105" s="682">
        <f ca="1">'Monthly Data'!FX93</f>
        <v>1056.5828669904672</v>
      </c>
      <c r="FB105" s="682">
        <f ca="1">'Monthly Data'!FY93</f>
        <v>3506.3147830249136</v>
      </c>
      <c r="FC105" s="682">
        <f ca="1">'Monthly Data'!FZ93</f>
        <v>84728.608924979446</v>
      </c>
      <c r="FD105" s="682">
        <f>'Monthly Data'!GA93</f>
        <v>87414.606666666674</v>
      </c>
    </row>
    <row r="106" spans="1:160">
      <c r="A106">
        <v>2022</v>
      </c>
      <c r="B106">
        <v>9</v>
      </c>
      <c r="C106" s="313">
        <v>111.79166666666666</v>
      </c>
      <c r="D106" s="313">
        <v>3.0124999999999957</v>
      </c>
      <c r="E106" s="313">
        <v>71.412499999999994</v>
      </c>
      <c r="F106" s="313">
        <v>22.633333333333329</v>
      </c>
      <c r="G106" s="313">
        <v>45.029166666666661</v>
      </c>
      <c r="H106" s="313">
        <v>56.250000000000007</v>
      </c>
      <c r="I106" s="313">
        <v>22.833333333333329</v>
      </c>
      <c r="J106" s="313">
        <v>94.054166666666674</v>
      </c>
      <c r="K106" s="313">
        <v>8.5708333333333329</v>
      </c>
      <c r="L106" s="313">
        <v>139.79166666666663</v>
      </c>
      <c r="M106" s="313">
        <v>2.1000000000000014</v>
      </c>
      <c r="N106" s="313">
        <v>193.32083333333327</v>
      </c>
      <c r="O106" s="313">
        <v>0</v>
      </c>
      <c r="P106" s="313">
        <v>251.2208333333333</v>
      </c>
      <c r="Q106" s="383">
        <v>16.37402777777778</v>
      </c>
      <c r="S106" s="3">
        <f>'Monthly Data'!D94</f>
        <v>76063744.821371093</v>
      </c>
      <c r="T106" s="3">
        <f>'Monthly Data'!J94</f>
        <v>809655.95794000104</v>
      </c>
      <c r="U106" s="3">
        <f>'Monthly Data'!P94</f>
        <v>21247332.307519998</v>
      </c>
      <c r="V106" s="3">
        <f>'Monthly Data'!V94</f>
        <v>75178829.780000001</v>
      </c>
      <c r="W106" s="3">
        <f>'Monthly Data'!AB94</f>
        <v>8833890.0800000001</v>
      </c>
      <c r="X106" s="3">
        <f>'Monthly Data'!AG94</f>
        <v>23873440.449999999</v>
      </c>
      <c r="Y106" s="3">
        <f>'Monthly Data'!BC94</f>
        <v>31941724.0457801</v>
      </c>
      <c r="Z106" s="3">
        <f>'Monthly Data'!BI94</f>
        <v>6805705.1570899896</v>
      </c>
      <c r="AA106" s="3">
        <f>'Monthly Data'!BO94</f>
        <v>26457118.789999999</v>
      </c>
      <c r="AB106" s="3">
        <f>'Monthly Data'!BU94</f>
        <v>6941514.3499999996</v>
      </c>
      <c r="EU106" s="682">
        <f ca="1">'Monthly Data'!FO94</f>
        <v>691.82119720019318</v>
      </c>
      <c r="EV106" s="682">
        <f ca="1">'Monthly Data'!FP94</f>
        <v>547.26809043879246</v>
      </c>
      <c r="EW106" s="682">
        <f ca="1">'Monthly Data'!FQ94</f>
        <v>2414.5279793358309</v>
      </c>
      <c r="EX106" s="682">
        <f ca="1">'Monthly Data'!FR94</f>
        <v>79195.698967855686</v>
      </c>
      <c r="EY106" s="682">
        <f ca="1">'Monthly Data'!FS94</f>
        <v>1736005.9275043751</v>
      </c>
      <c r="EZ106" s="682">
        <f ca="1">'Monthly Data'!FT94</f>
        <v>6406369.6540818317</v>
      </c>
      <c r="FA106" s="682">
        <f ca="1">'Monthly Data'!FX94</f>
        <v>760.59439429232782</v>
      </c>
      <c r="FB106" s="682">
        <f ca="1">'Monthly Data'!FY94</f>
        <v>2952.3382465664199</v>
      </c>
      <c r="FC106" s="682">
        <f ca="1">'Monthly Data'!FZ94</f>
        <v>75971.715331473344</v>
      </c>
      <c r="FD106" s="682">
        <f>'Monthly Data'!GA94</f>
        <v>96479.966666666674</v>
      </c>
    </row>
    <row r="107" spans="1:160">
      <c r="A107">
        <v>2022</v>
      </c>
      <c r="B107">
        <v>10</v>
      </c>
      <c r="C107" s="313">
        <v>330.85561594202903</v>
      </c>
      <c r="D107" s="313">
        <v>0</v>
      </c>
      <c r="E107" s="313">
        <v>268.85561594202898</v>
      </c>
      <c r="F107" s="313">
        <v>0</v>
      </c>
      <c r="G107" s="313">
        <v>206.85561594202895</v>
      </c>
      <c r="H107" s="313">
        <v>0</v>
      </c>
      <c r="I107" s="313">
        <v>147.2764492753623</v>
      </c>
      <c r="J107" s="313">
        <v>2.4208333333333307</v>
      </c>
      <c r="K107" s="313">
        <v>94.459782608695647</v>
      </c>
      <c r="L107" s="313">
        <v>11.604166666666668</v>
      </c>
      <c r="M107" s="313">
        <v>52.855615942028983</v>
      </c>
      <c r="N107" s="313">
        <v>32</v>
      </c>
      <c r="O107" s="313">
        <v>23.659782608695654</v>
      </c>
      <c r="P107" s="313">
        <v>64.804166666666674</v>
      </c>
      <c r="Q107" s="383">
        <v>9.3272381954184187</v>
      </c>
      <c r="S107" s="3">
        <f>'Monthly Data'!D95</f>
        <v>68731222.298929602</v>
      </c>
      <c r="T107" s="3">
        <f>'Monthly Data'!J95</f>
        <v>980090.73809</v>
      </c>
      <c r="U107" s="3">
        <f>'Monthly Data'!P95</f>
        <v>20430222.074930001</v>
      </c>
      <c r="V107" s="3">
        <f>'Monthly Data'!V95</f>
        <v>73502083.099999994</v>
      </c>
      <c r="W107" s="3">
        <f>'Monthly Data'!AB95</f>
        <v>8691604.7400000002</v>
      </c>
      <c r="X107" s="3">
        <f>'Monthly Data'!AG95</f>
        <v>24354873.039999999</v>
      </c>
      <c r="Y107" s="3">
        <f>'Monthly Data'!BC95</f>
        <v>26725301.060379799</v>
      </c>
      <c r="Z107" s="3">
        <f>'Monthly Data'!BI95</f>
        <v>6474326.7470799899</v>
      </c>
      <c r="AA107" s="3">
        <f>'Monthly Data'!BO95</f>
        <v>25520769.23</v>
      </c>
      <c r="AB107" s="3">
        <f>'Monthly Data'!BU95</f>
        <v>7486662.1100000003</v>
      </c>
      <c r="EU107" s="682">
        <f ca="1">'Monthly Data'!FO95</f>
        <v>623.04935379406106</v>
      </c>
      <c r="EV107" s="682">
        <f ca="1">'Monthly Data'!FP95</f>
        <v>656.38326529219728</v>
      </c>
      <c r="EW107" s="682">
        <f ca="1">'Monthly Data'!FQ95</f>
        <v>2326.1261221182849</v>
      </c>
      <c r="EX107" s="682">
        <f ca="1">'Monthly Data'!FR95</f>
        <v>77889.812677856229</v>
      </c>
      <c r="EY107" s="682">
        <f ca="1">'Monthly Data'!FS95</f>
        <v>1736931.4136510703</v>
      </c>
      <c r="EZ107" s="682">
        <f ca="1">'Monthly Data'!FT95</f>
        <v>6527190.9498672085</v>
      </c>
      <c r="FA107" s="682">
        <f ca="1">'Monthly Data'!FX95</f>
        <v>641.39518126823975</v>
      </c>
      <c r="FB107" s="682">
        <f ca="1">'Monthly Data'!FY95</f>
        <v>2809.0200168782585</v>
      </c>
      <c r="FC107" s="682">
        <f ca="1">'Monthly Data'!FZ95</f>
        <v>73868.200027270243</v>
      </c>
      <c r="FD107" s="682">
        <f>'Monthly Data'!GA95</f>
        <v>112714.68</v>
      </c>
    </row>
    <row r="108" spans="1:160">
      <c r="A108">
        <v>2022</v>
      </c>
      <c r="B108">
        <v>11</v>
      </c>
      <c r="C108" s="313">
        <v>471.83333333333348</v>
      </c>
      <c r="D108" s="313">
        <v>0</v>
      </c>
      <c r="E108" s="313">
        <v>411.83333333333348</v>
      </c>
      <c r="F108" s="313">
        <v>0</v>
      </c>
      <c r="G108" s="313">
        <v>351.83333333333343</v>
      </c>
      <c r="H108" s="313">
        <v>0</v>
      </c>
      <c r="I108" s="313">
        <v>294.14166666666671</v>
      </c>
      <c r="J108" s="313">
        <v>2.3083333333333318</v>
      </c>
      <c r="K108" s="313">
        <v>238.41249999999999</v>
      </c>
      <c r="L108" s="313">
        <v>6.5791666666666675</v>
      </c>
      <c r="M108" s="313">
        <v>185.6583333333333</v>
      </c>
      <c r="N108" s="313">
        <v>13.824999999999999</v>
      </c>
      <c r="O108" s="313">
        <v>138.80000000000001</v>
      </c>
      <c r="P108" s="313">
        <v>26.966666666666669</v>
      </c>
      <c r="Q108" s="383">
        <v>4.2722222222222213</v>
      </c>
      <c r="S108" s="3">
        <f>'Monthly Data'!D96</f>
        <v>74754980.219990104</v>
      </c>
      <c r="T108" s="3">
        <f>'Monthly Data'!J96</f>
        <v>873353.06222000101</v>
      </c>
      <c r="U108" s="3">
        <f>'Monthly Data'!P96</f>
        <v>22000931.42647</v>
      </c>
      <c r="V108" s="3">
        <f>'Monthly Data'!V96</f>
        <v>75733237.459999993</v>
      </c>
      <c r="W108" s="3">
        <f>'Monthly Data'!AB96</f>
        <v>8756241.3699999992</v>
      </c>
      <c r="X108" s="3">
        <f>'Monthly Data'!AG96</f>
        <v>23528730.280000001</v>
      </c>
      <c r="Y108" s="3">
        <f>'Monthly Data'!BC96</f>
        <v>27840094.030280098</v>
      </c>
      <c r="Z108" s="3">
        <f>'Monthly Data'!BI96</f>
        <v>6929144.9506299803</v>
      </c>
      <c r="AA108" s="3">
        <f>'Monthly Data'!BO96</f>
        <v>26558209.010000002</v>
      </c>
      <c r="AB108" s="3">
        <f>'Monthly Data'!BU96</f>
        <v>7395489.4299999997</v>
      </c>
      <c r="EU108" s="682">
        <f ca="1">'Monthly Data'!FO96</f>
        <v>671.9519217867072</v>
      </c>
      <c r="EV108" s="682">
        <f ca="1">'Monthly Data'!FP96</f>
        <v>587.85307525672965</v>
      </c>
      <c r="EW108" s="682">
        <f ca="1">'Monthly Data'!FQ96</f>
        <v>2490.2275193003657</v>
      </c>
      <c r="EX108" s="682">
        <f ca="1">'Monthly Data'!FR96</f>
        <v>80400.627157284121</v>
      </c>
      <c r="EY108" s="682">
        <f ca="1">'Monthly Data'!FS96</f>
        <v>1778593.2049173291</v>
      </c>
      <c r="EZ108" s="682">
        <f ca="1">'Monthly Data'!FT96</f>
        <v>6321118.4081525858</v>
      </c>
      <c r="FA108" s="682">
        <f ca="1">'Monthly Data'!FX96</f>
        <v>665.2319241773049</v>
      </c>
      <c r="FB108" s="682">
        <f ca="1">'Monthly Data'!FY96</f>
        <v>2992.9689717064475</v>
      </c>
      <c r="FC108" s="682">
        <f ca="1">'Monthly Data'!FZ96</f>
        <v>76939.566316026292</v>
      </c>
      <c r="FD108" s="682">
        <f>'Monthly Data'!GA96</f>
        <v>120460.74666666666</v>
      </c>
    </row>
    <row r="109" spans="1:160">
      <c r="A109">
        <v>2022</v>
      </c>
      <c r="B109">
        <v>12</v>
      </c>
      <c r="C109" s="313">
        <v>647.12083333333328</v>
      </c>
      <c r="D109" s="313">
        <v>0</v>
      </c>
      <c r="E109" s="313">
        <v>585.12083333333328</v>
      </c>
      <c r="F109" s="313">
        <v>0</v>
      </c>
      <c r="G109" s="313">
        <v>523.12083333333328</v>
      </c>
      <c r="H109" s="313">
        <v>0</v>
      </c>
      <c r="I109" s="313">
        <v>461.12083333333328</v>
      </c>
      <c r="J109" s="313">
        <v>0</v>
      </c>
      <c r="K109" s="313">
        <v>399.12083333333328</v>
      </c>
      <c r="L109" s="313">
        <v>0</v>
      </c>
      <c r="M109" s="313">
        <v>337.12083333333322</v>
      </c>
      <c r="N109" s="313">
        <v>0</v>
      </c>
      <c r="O109" s="313">
        <v>275.12083333333322</v>
      </c>
      <c r="P109" s="313">
        <v>0</v>
      </c>
      <c r="Q109" s="383">
        <v>-0.87486559139784936</v>
      </c>
      <c r="S109" s="3">
        <f>'Monthly Data'!D97</f>
        <v>91246327.644578993</v>
      </c>
      <c r="T109" s="3">
        <f>'Monthly Data'!J97</f>
        <v>1158031.6059000001</v>
      </c>
      <c r="U109" s="3">
        <f>'Monthly Data'!P97</f>
        <v>24879390.791839998</v>
      </c>
      <c r="V109" s="3">
        <f>'Monthly Data'!V97</f>
        <v>76862661.340000004</v>
      </c>
      <c r="W109" s="3">
        <f>'Monthly Data'!AB97</f>
        <v>8716896.1500000004</v>
      </c>
      <c r="X109" s="3">
        <f>'Monthly Data'!AG97</f>
        <v>23975705.100000001</v>
      </c>
      <c r="Y109" s="3">
        <f>'Monthly Data'!BC97</f>
        <v>33225707.634610001</v>
      </c>
      <c r="Z109" s="3">
        <f>'Monthly Data'!BI97</f>
        <v>7672820.5764100002</v>
      </c>
      <c r="AA109" s="3">
        <f>'Monthly Data'!BO97</f>
        <v>28380785.780000001</v>
      </c>
      <c r="AB109" s="3">
        <f>'Monthly Data'!BU97</f>
        <v>6987599.8899999997</v>
      </c>
      <c r="EU109" s="682">
        <f ca="1">'Monthly Data'!FO97</f>
        <v>811.3437946905924</v>
      </c>
      <c r="EV109" s="682">
        <f ca="1">'Monthly Data'!FP97</f>
        <v>770.09925059176464</v>
      </c>
      <c r="EW109" s="682">
        <f ca="1">'Monthly Data'!FQ97</f>
        <v>2791.940042688404</v>
      </c>
      <c r="EX109" s="682">
        <f ca="1">'Monthly Data'!FR97</f>
        <v>81846.456588928122</v>
      </c>
      <c r="EY109" s="682">
        <f ca="1">'Monthly Data'!FS97</f>
        <v>1800847.3525591318</v>
      </c>
      <c r="EZ109" s="682">
        <f ca="1">'Monthly Data'!FT97</f>
        <v>6433325.2614379618</v>
      </c>
      <c r="FA109" s="682">
        <f ca="1">'Monthly Data'!FX97</f>
        <v>784.9521089239164</v>
      </c>
      <c r="FB109" s="682">
        <f ca="1">'Monthly Data'!FY97</f>
        <v>3295.8883313287761</v>
      </c>
      <c r="FC109" s="682">
        <f ca="1">'Monthly Data'!FZ97</f>
        <v>82104.144478405986</v>
      </c>
      <c r="FD109" s="682">
        <f>'Monthly Data'!GA97</f>
        <v>130333.15333333334</v>
      </c>
    </row>
    <row r="110" spans="1:160">
      <c r="A110">
        <v>2023</v>
      </c>
      <c r="B110">
        <v>1</v>
      </c>
      <c r="C110" s="313">
        <v>666.07083333333355</v>
      </c>
      <c r="D110" s="313">
        <v>0</v>
      </c>
      <c r="E110" s="313">
        <v>604.07083333333344</v>
      </c>
      <c r="F110" s="313">
        <v>0</v>
      </c>
      <c r="G110" s="313">
        <v>542.07083333333333</v>
      </c>
      <c r="H110" s="313">
        <v>0</v>
      </c>
      <c r="I110" s="313">
        <v>480.07083333333327</v>
      </c>
      <c r="J110" s="313">
        <v>0</v>
      </c>
      <c r="K110" s="313">
        <v>418.07083333333327</v>
      </c>
      <c r="L110" s="313">
        <v>0</v>
      </c>
      <c r="M110" s="313">
        <v>356.07083333333321</v>
      </c>
      <c r="N110" s="313">
        <v>0</v>
      </c>
      <c r="O110" s="313">
        <v>294.07083333333327</v>
      </c>
      <c r="P110" s="313">
        <v>0</v>
      </c>
      <c r="Q110" s="383">
        <v>-1.4861559139784948</v>
      </c>
      <c r="S110" s="3">
        <f>'Monthly Data'!D98</f>
        <v>89730575.557299003</v>
      </c>
      <c r="T110" s="3">
        <f>'Monthly Data'!J98</f>
        <v>1240367.8409899999</v>
      </c>
      <c r="U110" s="3">
        <f>'Monthly Data'!P98</f>
        <v>25577236.485019799</v>
      </c>
      <c r="V110" s="3">
        <f>'Monthly Data'!V98</f>
        <v>81005398</v>
      </c>
      <c r="W110" s="3">
        <f>'Monthly Data'!AB98</f>
        <v>9792853.9600000009</v>
      </c>
      <c r="X110" s="3">
        <f>'Monthly Data'!AG98</f>
        <v>25033186.609999999</v>
      </c>
      <c r="Y110" s="3">
        <f>'Monthly Data'!BC98</f>
        <v>32115647.812479898</v>
      </c>
      <c r="Z110" s="3">
        <f>'Monthly Data'!BI98</f>
        <v>7794544.9458499895</v>
      </c>
      <c r="AA110" s="3">
        <f>'Monthly Data'!BO98</f>
        <v>29107817.699999999</v>
      </c>
      <c r="AB110" s="3">
        <f>'Monthly Data'!BU98</f>
        <v>7681036.4100000001</v>
      </c>
      <c r="EU110" s="682">
        <f ca="1">'Monthly Data'!FO98</f>
        <v>792.07546735825497</v>
      </c>
      <c r="EV110" s="682">
        <f ca="1">'Monthly Data'!FP98</f>
        <v>822.70485578222849</v>
      </c>
      <c r="EW110" s="682">
        <f ca="1">'Monthly Data'!FQ98</f>
        <v>2863.2032839901385</v>
      </c>
      <c r="EX110" s="682">
        <f ca="1">'Monthly Data'!FR98</f>
        <v>85644.941389637082</v>
      </c>
      <c r="EY110" s="682">
        <f ca="1">'Monthly Data'!FS98</f>
        <v>2016786.3229819827</v>
      </c>
      <c r="EZ110" s="682">
        <f ca="1">'Monthly Data'!FT98</f>
        <v>6575141.4075742261</v>
      </c>
      <c r="FA110" s="682">
        <f ca="1">'Monthly Data'!FX98</f>
        <v>758.85767159493025</v>
      </c>
      <c r="FB110" s="682">
        <f ca="1">'Monthly Data'!FY98</f>
        <v>3340.6495648464556</v>
      </c>
      <c r="FC110" s="682">
        <f ca="1">'Monthly Data'!FZ98</f>
        <v>83714.73142387945</v>
      </c>
      <c r="FD110" s="682">
        <f>'Monthly Data'!GA98</f>
        <v>128043.38</v>
      </c>
    </row>
    <row r="111" spans="1:160">
      <c r="A111">
        <v>2023</v>
      </c>
      <c r="B111">
        <v>2</v>
      </c>
      <c r="C111" s="313">
        <v>629.43333333333328</v>
      </c>
      <c r="D111" s="313">
        <v>0</v>
      </c>
      <c r="E111" s="313">
        <v>573.43333333333328</v>
      </c>
      <c r="F111" s="313">
        <v>0</v>
      </c>
      <c r="G111" s="313">
        <v>517.43333333333328</v>
      </c>
      <c r="H111" s="313">
        <v>0</v>
      </c>
      <c r="I111" s="313">
        <v>461.43333333333328</v>
      </c>
      <c r="J111" s="313">
        <v>0</v>
      </c>
      <c r="K111" s="313">
        <v>405.43333333333328</v>
      </c>
      <c r="L111" s="313">
        <v>0</v>
      </c>
      <c r="M111" s="313">
        <v>349.43333333333328</v>
      </c>
      <c r="N111" s="313">
        <v>0</v>
      </c>
      <c r="O111" s="313">
        <v>293.51666666666665</v>
      </c>
      <c r="P111" s="313">
        <v>8.3333333333332149E-2</v>
      </c>
      <c r="Q111" s="383">
        <v>-2.4797619047619048</v>
      </c>
      <c r="S111" s="3">
        <f>'Monthly Data'!D99</f>
        <v>81729218.794429809</v>
      </c>
      <c r="T111" s="3">
        <f>'Monthly Data'!J99</f>
        <v>1193916.3701599999</v>
      </c>
      <c r="U111" s="3">
        <f>'Monthly Data'!P99</f>
        <v>23501621.016799901</v>
      </c>
      <c r="V111" s="3">
        <f>'Monthly Data'!V99</f>
        <v>74346217.920000002</v>
      </c>
      <c r="W111" s="3">
        <f>'Monthly Data'!AB99</f>
        <v>8968083.7400000002</v>
      </c>
      <c r="X111" s="3">
        <f>'Monthly Data'!AG99</f>
        <v>23147220.68</v>
      </c>
      <c r="Y111" s="3">
        <f>'Monthly Data'!BC99</f>
        <v>28913306.741340101</v>
      </c>
      <c r="Z111" s="3">
        <f>'Monthly Data'!BI99</f>
        <v>7181644.8783900002</v>
      </c>
      <c r="AA111" s="3">
        <f>'Monthly Data'!BO99</f>
        <v>27204210.59</v>
      </c>
      <c r="AB111" s="3">
        <f>'Monthly Data'!BU99</f>
        <v>7150539.0700000003</v>
      </c>
      <c r="EU111" s="682">
        <f ca="1">'Monthly Data'!FO99</f>
        <v>722.18617698221135</v>
      </c>
      <c r="EV111" s="682">
        <f ca="1">'Monthly Data'!FP99</f>
        <v>792.82576232368115</v>
      </c>
      <c r="EW111" s="682">
        <f ca="1">'Monthly Data'!FQ99</f>
        <v>2644.1657419694238</v>
      </c>
      <c r="EX111" s="682">
        <f ca="1">'Monthly Data'!FR99</f>
        <v>78996.620739038204</v>
      </c>
      <c r="EY111" s="682">
        <f ca="1">'Monthly Data'!FS99</f>
        <v>1852283.9125822491</v>
      </c>
      <c r="EZ111" s="682">
        <f ca="1">'Monthly Data'!FT99</f>
        <v>5993179.5814212868</v>
      </c>
      <c r="FA111" s="682">
        <f ca="1">'Monthly Data'!FX99</f>
        <v>685.95162954058037</v>
      </c>
      <c r="FB111" s="682">
        <f ca="1">'Monthly Data'!FY99</f>
        <v>3082.9874171819747</v>
      </c>
      <c r="FC111" s="682">
        <f ca="1">'Monthly Data'!FZ99</f>
        <v>78603.681758437611</v>
      </c>
      <c r="FD111" s="682">
        <f>'Monthly Data'!GA99</f>
        <v>106668.43333333333</v>
      </c>
    </row>
    <row r="112" spans="1:160">
      <c r="A112">
        <v>2023</v>
      </c>
      <c r="B112">
        <v>3</v>
      </c>
      <c r="C112" s="313">
        <v>613.0333333333333</v>
      </c>
      <c r="D112" s="313">
        <v>0</v>
      </c>
      <c r="E112" s="313">
        <v>551.03333333333342</v>
      </c>
      <c r="F112" s="313">
        <v>0</v>
      </c>
      <c r="G112" s="313">
        <v>489.03333333333336</v>
      </c>
      <c r="H112" s="313">
        <v>0</v>
      </c>
      <c r="I112" s="313">
        <v>427.0333333333333</v>
      </c>
      <c r="J112" s="313">
        <v>0</v>
      </c>
      <c r="K112" s="313">
        <v>365.03333333333336</v>
      </c>
      <c r="L112" s="313">
        <v>0</v>
      </c>
      <c r="M112" s="313">
        <v>303.03333333333342</v>
      </c>
      <c r="N112" s="313">
        <v>0</v>
      </c>
      <c r="O112" s="313">
        <v>241.03333333333333</v>
      </c>
      <c r="P112" s="313">
        <v>0</v>
      </c>
      <c r="Q112" s="383">
        <v>0.22473118279569884</v>
      </c>
      <c r="S112" s="3">
        <f>'Monthly Data'!D100</f>
        <v>83825168.552348897</v>
      </c>
      <c r="T112" s="3">
        <f>'Monthly Data'!J100</f>
        <v>1156779.74205</v>
      </c>
      <c r="U112" s="3">
        <f>'Monthly Data'!P100</f>
        <v>25127831.671030097</v>
      </c>
      <c r="V112" s="3">
        <f>'Monthly Data'!V100</f>
        <v>80315108.040000007</v>
      </c>
      <c r="W112" s="3">
        <f>'Monthly Data'!AB100</f>
        <v>9909696.0299999993</v>
      </c>
      <c r="X112" s="3">
        <f>'Monthly Data'!AG100</f>
        <v>26288669.43</v>
      </c>
      <c r="Y112" s="3">
        <f>'Monthly Data'!BC100</f>
        <v>30021421.281169999</v>
      </c>
      <c r="Z112" s="3">
        <f>'Monthly Data'!BI100</f>
        <v>7523124.4728100002</v>
      </c>
      <c r="AA112" s="3">
        <f>'Monthly Data'!BO100</f>
        <v>28602056.899999999</v>
      </c>
      <c r="AB112" s="3">
        <f>'Monthly Data'!BU100</f>
        <v>7582112.1600000001</v>
      </c>
      <c r="EU112" s="682">
        <f ca="1">'Monthly Data'!FO100</f>
        <v>739.88699818127122</v>
      </c>
      <c r="EV112" s="682">
        <f ca="1">'Monthly Data'!FP100</f>
        <v>768.92059700134621</v>
      </c>
      <c r="EW112" s="682">
        <f ca="1">'Monthly Data'!FQ100</f>
        <v>2815.6455635713505</v>
      </c>
      <c r="EX112" s="682">
        <f ca="1">'Monthly Data'!FR100</f>
        <v>84708.305391648726</v>
      </c>
      <c r="EY112" s="682">
        <f ca="1">'Monthly Data'!FS100</f>
        <v>2041058.0041825161</v>
      </c>
      <c r="EZ112" s="682">
        <f ca="1">'Monthly Data'!FT100</f>
        <v>6616960.8888429729</v>
      </c>
      <c r="FA112" s="682">
        <f ca="1">'Monthly Data'!FX100</f>
        <v>709.69116774681243</v>
      </c>
      <c r="FB112" s="682">
        <f ca="1">'Monthly Data'!FY100</f>
        <v>3220.01157252231</v>
      </c>
      <c r="FC112" s="682">
        <f ca="1">'Monthly Data'!FZ100</f>
        <v>82175.750604510875</v>
      </c>
      <c r="FD112" s="682">
        <f>'Monthly Data'!GA100</f>
        <v>105143.19666666667</v>
      </c>
    </row>
    <row r="113" spans="1:160">
      <c r="A113">
        <v>2023</v>
      </c>
      <c r="B113">
        <v>4</v>
      </c>
      <c r="C113" s="313">
        <v>361.4</v>
      </c>
      <c r="D113" s="313">
        <v>0</v>
      </c>
      <c r="E113" s="313">
        <v>301.39999999999998</v>
      </c>
      <c r="F113" s="313">
        <v>0</v>
      </c>
      <c r="G113" s="313">
        <v>243.15833333333336</v>
      </c>
      <c r="H113" s="313">
        <v>1.75833333333334</v>
      </c>
      <c r="I113" s="313">
        <v>193.11666666666667</v>
      </c>
      <c r="J113" s="313">
        <v>11.71666666666667</v>
      </c>
      <c r="K113" s="313">
        <v>144.11666666666667</v>
      </c>
      <c r="L113" s="313">
        <v>22.716666666666676</v>
      </c>
      <c r="M113" s="313">
        <v>98.574999999999989</v>
      </c>
      <c r="N113" s="313">
        <v>37.175000000000004</v>
      </c>
      <c r="O113" s="313">
        <v>58.116666666666674</v>
      </c>
      <c r="P113" s="313">
        <v>56.716666666666676</v>
      </c>
      <c r="Q113" s="383">
        <v>7.9533333333333323</v>
      </c>
      <c r="S113" s="3">
        <f>'Monthly Data'!D101</f>
        <v>70735646.642241701</v>
      </c>
      <c r="T113" s="3">
        <f>'Monthly Data'!J101</f>
        <v>866422.849779999</v>
      </c>
      <c r="U113" s="3">
        <f>'Monthly Data'!P101</f>
        <v>21260204.256179798</v>
      </c>
      <c r="V113" s="3">
        <f>'Monthly Data'!V101</f>
        <v>71528747.340000004</v>
      </c>
      <c r="W113" s="3">
        <f>'Monthly Data'!AB101</f>
        <v>8847117.5099999998</v>
      </c>
      <c r="X113" s="3">
        <f>'Monthly Data'!AG101</f>
        <v>24443821.32</v>
      </c>
      <c r="Y113" s="3">
        <f>'Monthly Data'!BC101</f>
        <v>26638350.0997799</v>
      </c>
      <c r="Z113" s="3">
        <f>'Monthly Data'!BI101</f>
        <v>6435024.5605400093</v>
      </c>
      <c r="AA113" s="3">
        <f>'Monthly Data'!BO101</f>
        <v>24845160.359999999</v>
      </c>
      <c r="AB113" s="3">
        <f>'Monthly Data'!BU101</f>
        <v>6825504.9199999999</v>
      </c>
      <c r="EU113" s="682">
        <f ca="1">'Monthly Data'!FO101</f>
        <v>631.9552511047516</v>
      </c>
      <c r="EV113" s="682">
        <f ca="1">'Monthly Data'!FP101</f>
        <v>582.91023860773089</v>
      </c>
      <c r="EW113" s="682">
        <f ca="1">'Monthly Data'!FQ101</f>
        <v>2407.7266454858259</v>
      </c>
      <c r="EX113" s="682">
        <f ca="1">'Monthly Data'!FR101</f>
        <v>76012.633257289795</v>
      </c>
      <c r="EY113" s="682">
        <f ca="1">'Monthly Data'!FS101</f>
        <v>1828993.9337827829</v>
      </c>
      <c r="EZ113" s="682">
        <f ca="1">'Monthly Data'!FT101</f>
        <v>6066066.7167484397</v>
      </c>
      <c r="FA113" s="682">
        <f ca="1">'Monthly Data'!FX101</f>
        <v>633.04832363515288</v>
      </c>
      <c r="FB113" s="682">
        <f ca="1">'Monthly Data'!FY101</f>
        <v>2767.4376320514361</v>
      </c>
      <c r="FC113" s="682">
        <f ca="1">'Monthly Data'!FZ101</f>
        <v>72229.46414457167</v>
      </c>
      <c r="FD113" s="682">
        <f>'Monthly Data'!GA101</f>
        <v>89746.19666666667</v>
      </c>
    </row>
    <row r="114" spans="1:160">
      <c r="A114">
        <v>2023</v>
      </c>
      <c r="B114">
        <v>5</v>
      </c>
      <c r="C114" s="313">
        <v>219.04750000000001</v>
      </c>
      <c r="D114" s="313">
        <v>1.6166666666666636</v>
      </c>
      <c r="E114" s="313">
        <v>163.56416666666669</v>
      </c>
      <c r="F114" s="313">
        <v>8.1333333333333258</v>
      </c>
      <c r="G114" s="313">
        <v>113.00166666666665</v>
      </c>
      <c r="H114" s="313">
        <v>19.570833333333329</v>
      </c>
      <c r="I114" s="313">
        <v>68.776666666666671</v>
      </c>
      <c r="J114" s="313">
        <v>37.345833333333331</v>
      </c>
      <c r="K114" s="313">
        <v>37.480833333333329</v>
      </c>
      <c r="L114" s="313">
        <v>68.049999999999983</v>
      </c>
      <c r="M114" s="313">
        <v>20.284999999999989</v>
      </c>
      <c r="N114" s="313">
        <v>112.85416666666666</v>
      </c>
      <c r="O114" s="313">
        <v>7.2058333333333309</v>
      </c>
      <c r="P114" s="313">
        <v>161.77500000000001</v>
      </c>
      <c r="Q114" s="383">
        <v>12.986102150537635</v>
      </c>
      <c r="S114" s="3">
        <f>'Monthly Data'!D102</f>
        <v>69187439.516359895</v>
      </c>
      <c r="T114" s="3">
        <f>'Monthly Data'!J102</f>
        <v>880344.35894000006</v>
      </c>
      <c r="U114" s="3">
        <f>'Monthly Data'!P102</f>
        <v>21327740.14573</v>
      </c>
      <c r="V114" s="3">
        <f>'Monthly Data'!V102</f>
        <v>74348242.730000004</v>
      </c>
      <c r="W114" s="3">
        <f>'Monthly Data'!AB102</f>
        <v>9343115.9700000007</v>
      </c>
      <c r="X114" s="3">
        <f>'Monthly Data'!AG102</f>
        <v>23355474</v>
      </c>
      <c r="Y114" s="3">
        <f>'Monthly Data'!BC102</f>
        <v>28171254.7515199</v>
      </c>
      <c r="Z114" s="3">
        <f>'Monthly Data'!BI102</f>
        <v>6600638.7329799803</v>
      </c>
      <c r="AA114" s="3">
        <f>'Monthly Data'!BO102</f>
        <v>25540892.25</v>
      </c>
      <c r="AB114" s="3">
        <f>'Monthly Data'!BU102</f>
        <v>6987824.4699999997</v>
      </c>
      <c r="EU114" s="682">
        <f ca="1">'Monthly Data'!FO102</f>
        <v>621.24089977572237</v>
      </c>
      <c r="EV114" s="682">
        <f ca="1">'Monthly Data'!FP102</f>
        <v>591.7287530636587</v>
      </c>
      <c r="EW114" s="682">
        <f ca="1">'Monthly Data'!FQ102</f>
        <v>2414.8519848255146</v>
      </c>
      <c r="EX114" s="682">
        <f ca="1">'Monthly Data'!FR102</f>
        <v>78643.720834080043</v>
      </c>
      <c r="EY114" s="682">
        <f ca="1">'Monthly Data'!FS102</f>
        <v>1928645.25938305</v>
      </c>
      <c r="EZ114" s="682">
        <f ca="1">'Monthly Data'!FT102</f>
        <v>5707244.201714078</v>
      </c>
      <c r="FA114" s="682">
        <f ca="1">'Monthly Data'!FX102</f>
        <v>666.26919406307047</v>
      </c>
      <c r="FB114" s="682">
        <f ca="1">'Monthly Data'!FY102</f>
        <v>2832.1479048732003</v>
      </c>
      <c r="FC114" s="682">
        <f ca="1">'Monthly Data'!FZ102</f>
        <v>73963.797070717701</v>
      </c>
      <c r="FD114" s="682">
        <f>'Monthly Data'!GA102</f>
        <v>81697.66</v>
      </c>
    </row>
    <row r="115" spans="1:160">
      <c r="A115">
        <v>2023</v>
      </c>
      <c r="B115">
        <v>6</v>
      </c>
      <c r="C115" s="313">
        <v>55.599999999999994</v>
      </c>
      <c r="D115" s="313">
        <v>21.141666666666666</v>
      </c>
      <c r="E115" s="313">
        <v>21.441666666666659</v>
      </c>
      <c r="F115" s="313">
        <v>46.983333333333334</v>
      </c>
      <c r="G115" s="313">
        <v>4.2708333333333268</v>
      </c>
      <c r="H115" s="313">
        <v>89.8125</v>
      </c>
      <c r="I115" s="313">
        <v>0</v>
      </c>
      <c r="J115" s="313">
        <v>145.54166666666666</v>
      </c>
      <c r="K115" s="313">
        <v>0</v>
      </c>
      <c r="L115" s="313">
        <v>205.54166666666669</v>
      </c>
      <c r="M115" s="313">
        <v>0</v>
      </c>
      <c r="N115" s="313">
        <v>265.54166666666669</v>
      </c>
      <c r="O115" s="313">
        <v>0</v>
      </c>
      <c r="P115" s="313">
        <v>325.54166666666669</v>
      </c>
      <c r="Q115" s="383">
        <v>18.851388888888884</v>
      </c>
      <c r="S115" s="3">
        <f>'Monthly Data'!D103</f>
        <v>84004642.685399607</v>
      </c>
      <c r="T115" s="3">
        <f>'Monthly Data'!J103</f>
        <v>781259.17608</v>
      </c>
      <c r="U115" s="3">
        <f>'Monthly Data'!P103</f>
        <v>22572296.523479898</v>
      </c>
      <c r="V115" s="3">
        <f>'Monthly Data'!V103</f>
        <v>77405552.790000007</v>
      </c>
      <c r="W115" s="3">
        <f>'Monthly Data'!AB103</f>
        <v>9627333.6300000008</v>
      </c>
      <c r="X115" s="3">
        <f>'Monthly Data'!AG103</f>
        <v>25273589</v>
      </c>
      <c r="Y115" s="3">
        <f>'Monthly Data'!BC103</f>
        <v>36338701.619670004</v>
      </c>
      <c r="Z115" s="3">
        <f>'Monthly Data'!BI103</f>
        <v>6980825.6741900099</v>
      </c>
      <c r="AA115" s="3">
        <f>'Monthly Data'!BO103</f>
        <v>26913245.190000001</v>
      </c>
      <c r="AB115" s="3">
        <f>'Monthly Data'!BU103</f>
        <v>6660864.1799999997</v>
      </c>
      <c r="EU115" s="682">
        <f ca="1">'Monthly Data'!FO103</f>
        <v>752.21024585663645</v>
      </c>
      <c r="EV115" s="682">
        <f ca="1">'Monthly Data'!FP103</f>
        <v>528.22016270215988</v>
      </c>
      <c r="EW115" s="682">
        <f ca="1">'Monthly Data'!FQ103</f>
        <v>2546.0479033579522</v>
      </c>
      <c r="EX115" s="682">
        <f ca="1">'Monthly Data'!FR103</f>
        <v>81496.011746750781</v>
      </c>
      <c r="EY115" s="682">
        <f ca="1">'Monthly Data'!FS103</f>
        <v>1985940.424983317</v>
      </c>
      <c r="EZ115" s="682">
        <f ca="1">'Monthly Data'!FT103</f>
        <v>6029814.1472365437</v>
      </c>
      <c r="FA115" s="682">
        <f ca="1">'Monthly Data'!FX103</f>
        <v>847.11467338222906</v>
      </c>
      <c r="FB115" s="682">
        <f ca="1">'Monthly Data'!FY103</f>
        <v>2984.8421562504759</v>
      </c>
      <c r="FC115" s="682">
        <f ca="1">'Monthly Data'!FZ103</f>
        <v>77458.726879627342</v>
      </c>
      <c r="FD115" s="682">
        <f>'Monthly Data'!GA103</f>
        <v>73507.3</v>
      </c>
    </row>
    <row r="116" spans="1:160">
      <c r="A116">
        <v>2023</v>
      </c>
      <c r="B116">
        <v>7</v>
      </c>
      <c r="C116" s="313">
        <v>7.3166666666666593</v>
      </c>
      <c r="D116" s="313">
        <v>45.099999999999966</v>
      </c>
      <c r="E116" s="313">
        <v>0.12499999999999645</v>
      </c>
      <c r="F116" s="313">
        <v>99.908333333333317</v>
      </c>
      <c r="G116" s="313">
        <v>0</v>
      </c>
      <c r="H116" s="313">
        <v>161.78333333333336</v>
      </c>
      <c r="I116" s="313">
        <v>0</v>
      </c>
      <c r="J116" s="313">
        <v>223.78333333333336</v>
      </c>
      <c r="K116" s="313">
        <v>0</v>
      </c>
      <c r="L116" s="313">
        <v>285.78333333333342</v>
      </c>
      <c r="M116" s="313">
        <v>0</v>
      </c>
      <c r="N116" s="313">
        <v>347.78333333333342</v>
      </c>
      <c r="O116" s="313">
        <v>0</v>
      </c>
      <c r="P116" s="313">
        <v>409.7833333333333</v>
      </c>
      <c r="Q116" s="383">
        <v>21.218817204301072</v>
      </c>
      <c r="S116" s="3">
        <f>'Monthly Data'!D104</f>
        <v>107257787.27367</v>
      </c>
      <c r="T116" s="3">
        <f>'Monthly Data'!J104</f>
        <v>1105642.77391</v>
      </c>
      <c r="U116" s="3">
        <f>'Monthly Data'!P104</f>
        <v>25539378.813110001</v>
      </c>
      <c r="V116" s="3">
        <f>'Monthly Data'!V104</f>
        <v>82394395.980000004</v>
      </c>
      <c r="W116" s="3">
        <f>'Monthly Data'!AB104</f>
        <v>9523003.5299999993</v>
      </c>
      <c r="X116" s="3">
        <f>'Monthly Data'!AG104</f>
        <v>23680673</v>
      </c>
      <c r="Y116" s="3">
        <f>'Monthly Data'!BC104</f>
        <v>45559266.0797396</v>
      </c>
      <c r="Z116" s="3">
        <f>'Monthly Data'!BI104</f>
        <v>7560067.7086700099</v>
      </c>
      <c r="AA116" s="3">
        <f>'Monthly Data'!BO104</f>
        <v>28920135.449999999</v>
      </c>
      <c r="AB116" s="3">
        <f>'Monthly Data'!BU104</f>
        <v>6714847.6799999997</v>
      </c>
      <c r="EU116" s="682">
        <f ca="1">'Monthly Data'!FO104</f>
        <v>952.53402961207667</v>
      </c>
      <c r="EV116" s="682">
        <f ca="1">'Monthly Data'!FP104</f>
        <v>735.70855521391707</v>
      </c>
      <c r="EW116" s="682">
        <f ca="1">'Monthly Data'!FQ104</f>
        <v>2858.7384838317744</v>
      </c>
      <c r="EX116" s="682">
        <f ca="1">'Monthly Data'!FR104</f>
        <v>86210.401082142445</v>
      </c>
      <c r="EY116" s="682">
        <f ca="1">'Monthly Data'!FS104</f>
        <v>1965526.0385835834</v>
      </c>
      <c r="EZ116" s="682">
        <f ca="1">'Monthly Data'!FT104</f>
        <v>5574611.1492854664</v>
      </c>
      <c r="FA116" s="682">
        <f ca="1">'Monthly Data'!FX104</f>
        <v>1050.8197571374474</v>
      </c>
      <c r="FB116" s="682">
        <f ca="1">'Monthly Data'!FY104</f>
        <v>3218.7649736602762</v>
      </c>
      <c r="FC116" s="682">
        <f ca="1">'Monthly Data'!FZ104</f>
        <v>82595.387566698904</v>
      </c>
      <c r="FD116" s="682">
        <f>'Monthly Data'!GA104</f>
        <v>78941.986666666664</v>
      </c>
    </row>
    <row r="117" spans="1:160">
      <c r="A117">
        <v>2023</v>
      </c>
      <c r="B117">
        <v>8</v>
      </c>
      <c r="C117" s="313">
        <v>32.211775362318839</v>
      </c>
      <c r="D117" s="313">
        <v>12.016666666666676</v>
      </c>
      <c r="E117" s="313">
        <v>9.274999999999995</v>
      </c>
      <c r="F117" s="313">
        <v>51.079891304347839</v>
      </c>
      <c r="G117" s="313">
        <v>1.6125000000000007</v>
      </c>
      <c r="H117" s="313">
        <v>105.41739130434784</v>
      </c>
      <c r="I117" s="313">
        <v>0</v>
      </c>
      <c r="J117" s="313">
        <v>165.80489130434788</v>
      </c>
      <c r="K117" s="313">
        <v>0</v>
      </c>
      <c r="L117" s="313">
        <v>227.80489130434788</v>
      </c>
      <c r="M117" s="313">
        <v>0</v>
      </c>
      <c r="N117" s="313">
        <v>289.8048913043479</v>
      </c>
      <c r="O117" s="313">
        <v>0</v>
      </c>
      <c r="P117" s="313">
        <v>351.80489130434785</v>
      </c>
      <c r="Q117" s="383">
        <v>19.348544880785411</v>
      </c>
      <c r="S117" s="3">
        <f>'Monthly Data'!D105</f>
        <v>92215289.093660206</v>
      </c>
      <c r="T117" s="3">
        <f>'Monthly Data'!J105</f>
        <v>1050783.39384</v>
      </c>
      <c r="U117" s="3">
        <f>'Monthly Data'!P105</f>
        <v>23074433.336349998</v>
      </c>
      <c r="V117" s="3">
        <f>'Monthly Data'!V105</f>
        <v>81448871.760000005</v>
      </c>
      <c r="W117" s="3">
        <f>'Monthly Data'!AB105</f>
        <v>9733840.3100000005</v>
      </c>
      <c r="X117" s="3">
        <f>'Monthly Data'!AG105</f>
        <v>25764198</v>
      </c>
      <c r="Y117" s="3">
        <f>'Monthly Data'!BC105</f>
        <v>39289722.990249805</v>
      </c>
      <c r="Z117" s="3">
        <f>'Monthly Data'!BI105</f>
        <v>7282532.8857800001</v>
      </c>
      <c r="AA117" s="3">
        <f>'Monthly Data'!BO105</f>
        <v>28574992.75</v>
      </c>
      <c r="AB117" s="3">
        <f>'Monthly Data'!BU105</f>
        <v>7488055.1100000003</v>
      </c>
      <c r="EU117" s="682">
        <f ca="1">'Monthly Data'!FO105</f>
        <v>821.14059719904185</v>
      </c>
      <c r="EV117" s="682">
        <f ca="1">'Monthly Data'!FP105</f>
        <v>700.49271093984214</v>
      </c>
      <c r="EW117" s="682">
        <f ca="1">'Monthly Data'!FQ105</f>
        <v>2598.9188236921336</v>
      </c>
      <c r="EX117" s="682">
        <f ca="1">'Monthly Data'!FR105</f>
        <v>85164.365350644774</v>
      </c>
      <c r="EY117" s="682">
        <f ca="1">'Monthly Data'!FS105</f>
        <v>2008145.0281838507</v>
      </c>
      <c r="EZ117" s="682">
        <f ca="1">'Monthly Data'!FT105</f>
        <v>5923474.1869754987</v>
      </c>
      <c r="FA117" s="682">
        <f ca="1">'Monthly Data'!FX105</f>
        <v>910.04958562599791</v>
      </c>
      <c r="FB117" s="682">
        <f ca="1">'Monthly Data'!FY105</f>
        <v>3100.958767212614</v>
      </c>
      <c r="FC117" s="682">
        <f ca="1">'Monthly Data'!FZ105</f>
        <v>81594.454565350447</v>
      </c>
      <c r="FD117" s="682">
        <f>'Monthly Data'!GA105</f>
        <v>89203.633333333346</v>
      </c>
    </row>
    <row r="118" spans="1:160">
      <c r="A118">
        <v>2023</v>
      </c>
      <c r="B118">
        <v>9</v>
      </c>
      <c r="C118" s="313">
        <v>95.22083333333336</v>
      </c>
      <c r="D118" s="313">
        <v>18.212499999999995</v>
      </c>
      <c r="E118" s="313">
        <v>47.591666666666676</v>
      </c>
      <c r="F118" s="313">
        <v>30.583333333333329</v>
      </c>
      <c r="G118" s="313">
        <v>15.216666666666669</v>
      </c>
      <c r="H118" s="313">
        <v>58.208333333333314</v>
      </c>
      <c r="I118" s="313">
        <v>2.3583333333333378</v>
      </c>
      <c r="J118" s="313">
        <v>105.35</v>
      </c>
      <c r="K118" s="313">
        <v>0</v>
      </c>
      <c r="L118" s="313">
        <v>162.99166666666662</v>
      </c>
      <c r="M118" s="313">
        <v>0</v>
      </c>
      <c r="N118" s="313">
        <v>222.99166666666656</v>
      </c>
      <c r="O118" s="313">
        <v>0</v>
      </c>
      <c r="P118" s="313">
        <v>282.99166666666656</v>
      </c>
      <c r="Q118" s="383">
        <v>17.433055555555555</v>
      </c>
      <c r="S118" s="3">
        <f>'Monthly Data'!D106</f>
        <v>80438758.020239592</v>
      </c>
      <c r="T118" s="3">
        <f>'Monthly Data'!J106</f>
        <v>807212.40429999994</v>
      </c>
      <c r="U118" s="3">
        <f>'Monthly Data'!P106</f>
        <v>22164386.609310001</v>
      </c>
      <c r="V118" s="3">
        <f>'Monthly Data'!V106</f>
        <v>76755348.049999997</v>
      </c>
      <c r="W118" s="3">
        <f>'Monthly Data'!AB106</f>
        <v>7677827.2999999998</v>
      </c>
      <c r="X118" s="3">
        <f>'Monthly Data'!AG106</f>
        <v>26383893</v>
      </c>
      <c r="Y118" s="3">
        <f>'Monthly Data'!BC106</f>
        <v>33918372.749609694</v>
      </c>
      <c r="Z118" s="3">
        <f>'Monthly Data'!BI106</f>
        <v>8625394.2787499912</v>
      </c>
      <c r="AA118" s="3">
        <f>'Monthly Data'!BO106</f>
        <v>27184107.140000001</v>
      </c>
      <c r="AB118" s="3">
        <f>'Monthly Data'!BU106</f>
        <v>7120925.4000000004</v>
      </c>
      <c r="EU118" s="682">
        <f ca="1">'Monthly Data'!FO106</f>
        <v>717.43170181343885</v>
      </c>
      <c r="EV118" s="682">
        <f ca="1">'Monthly Data'!FP106</f>
        <v>544.57064466169652</v>
      </c>
      <c r="EW118" s="682">
        <f ca="1">'Monthly Data'!FQ106</f>
        <v>2503.0107834888054</v>
      </c>
      <c r="EX118" s="682">
        <f ca="1">'Monthly Data'!FR106</f>
        <v>80501.821832271846</v>
      </c>
      <c r="EY118" s="682">
        <f ca="1">'Monthly Data'!FS106</f>
        <v>1597394.0597841174</v>
      </c>
      <c r="EZ118" s="682">
        <f ca="1">'Monthly Data'!FT106</f>
        <v>5951921.6794834239</v>
      </c>
      <c r="FA118" s="682">
        <f ca="1">'Monthly Data'!FX106</f>
        <v>789.61680446480625</v>
      </c>
      <c r="FB118" s="682">
        <f ca="1">'Monthly Data'!FY106</f>
        <v>3646.4400696829739</v>
      </c>
      <c r="FC118" s="682">
        <f ca="1">'Monthly Data'!FZ106</f>
        <v>77880.772647989346</v>
      </c>
      <c r="FD118" s="682">
        <f>'Monthly Data'!GA106</f>
        <v>98653.353333333333</v>
      </c>
    </row>
    <row r="119" spans="1:160">
      <c r="A119">
        <v>2023</v>
      </c>
      <c r="B119">
        <v>10</v>
      </c>
      <c r="C119" s="313">
        <v>261.85000000000002</v>
      </c>
      <c r="D119" s="313">
        <v>0</v>
      </c>
      <c r="E119" s="313">
        <v>207.15416666666667</v>
      </c>
      <c r="F119" s="313">
        <v>7.3041666666666707</v>
      </c>
      <c r="G119" s="313">
        <v>157.42916666666665</v>
      </c>
      <c r="H119" s="313">
        <v>19.579166666666676</v>
      </c>
      <c r="I119" s="313">
        <v>111.18333333333332</v>
      </c>
      <c r="J119" s="313">
        <v>35.333333333333343</v>
      </c>
      <c r="K119" s="313">
        <v>68.475000000000009</v>
      </c>
      <c r="L119" s="313">
        <v>54.625</v>
      </c>
      <c r="M119" s="313">
        <v>37.779166666666669</v>
      </c>
      <c r="N119" s="313">
        <v>85.929166666666674</v>
      </c>
      <c r="O119" s="313">
        <v>17.783333333333335</v>
      </c>
      <c r="P119" s="313">
        <v>127.93333333333337</v>
      </c>
      <c r="Q119" s="383">
        <v>11.553225806451612</v>
      </c>
      <c r="S119" s="3">
        <f>'Monthly Data'!D107</f>
        <v>74930981.172800392</v>
      </c>
      <c r="T119" s="3">
        <f>'Monthly Data'!J107</f>
        <v>891544.68293000001</v>
      </c>
      <c r="U119" s="3">
        <f>'Monthly Data'!P107</f>
        <v>21236704.381489903</v>
      </c>
      <c r="V119" s="3">
        <f>'Monthly Data'!V107</f>
        <v>75658925.340000004</v>
      </c>
      <c r="W119" s="3">
        <f>'Monthly Data'!AB107</f>
        <v>8909302.6199999992</v>
      </c>
      <c r="X119" s="3">
        <f>'Monthly Data'!AG107</f>
        <v>28152430</v>
      </c>
      <c r="Y119" s="3">
        <f>'Monthly Data'!BC107</f>
        <v>29177709.73928</v>
      </c>
      <c r="Z119" s="3">
        <f>'Monthly Data'!BI107</f>
        <v>8469552.8560300097</v>
      </c>
      <c r="AA119" s="3">
        <f>'Monthly Data'!BO107</f>
        <v>26514209.989999998</v>
      </c>
      <c r="AB119" s="3">
        <f>'Monthly Data'!BU107</f>
        <v>7299857.9699999997</v>
      </c>
      <c r="EU119" s="682">
        <f ca="1">'Monthly Data'!FO107</f>
        <v>664.71891055073058</v>
      </c>
      <c r="EV119" s="682">
        <f ca="1">'Monthly Data'!FP107</f>
        <v>598.42230988539893</v>
      </c>
      <c r="EW119" s="682">
        <f ca="1">'Monthly Data'!FQ107</f>
        <v>2405.2804624997398</v>
      </c>
      <c r="EX119" s="682">
        <f ca="1">'Monthly Data'!FR107</f>
        <v>79324.710501095236</v>
      </c>
      <c r="EY119" s="682">
        <f ca="1">'Monthly Data'!FS107</f>
        <v>1844140.7573843841</v>
      </c>
      <c r="EZ119" s="682">
        <f ca="1">'Monthly Data'!FT107</f>
        <v>6217079.6722496981</v>
      </c>
      <c r="FA119" s="682">
        <f ca="1">'Monthly Data'!FX107</f>
        <v>683.50841659030789</v>
      </c>
      <c r="FB119" s="682">
        <f ca="1">'Monthly Data'!FY107</f>
        <v>3578.0674475842552</v>
      </c>
      <c r="FC119" s="682">
        <f ca="1">'Monthly Data'!FZ107</f>
        <v>76049.389872952728</v>
      </c>
      <c r="FD119" s="682">
        <f>'Monthly Data'!GA107</f>
        <v>115238.62333333334</v>
      </c>
    </row>
    <row r="120" spans="1:160">
      <c r="A120">
        <v>2023</v>
      </c>
      <c r="B120">
        <v>11</v>
      </c>
      <c r="C120" s="313">
        <v>510.59311594202899</v>
      </c>
      <c r="D120" s="313">
        <v>0</v>
      </c>
      <c r="E120" s="313">
        <v>450.59311594202899</v>
      </c>
      <c r="F120" s="313">
        <v>0</v>
      </c>
      <c r="G120" s="313">
        <v>390.59311594202899</v>
      </c>
      <c r="H120" s="313">
        <v>0</v>
      </c>
      <c r="I120" s="313">
        <v>330.59311594202904</v>
      </c>
      <c r="J120" s="313">
        <v>0</v>
      </c>
      <c r="K120" s="313">
        <v>270.59311594202899</v>
      </c>
      <c r="L120" s="313">
        <v>0</v>
      </c>
      <c r="M120" s="313">
        <v>210.95561594202897</v>
      </c>
      <c r="N120" s="313">
        <v>0.36249999999999893</v>
      </c>
      <c r="O120" s="313">
        <v>153.42644927536227</v>
      </c>
      <c r="P120" s="313">
        <v>2.8333333333333304</v>
      </c>
      <c r="Q120" s="383">
        <v>2.9802294685990343</v>
      </c>
      <c r="S120" s="3">
        <f>'Monthly Data'!D108</f>
        <v>83452552.551058397</v>
      </c>
      <c r="T120" s="3">
        <f>'Monthly Data'!J108</f>
        <v>1014412.78027</v>
      </c>
      <c r="U120" s="3">
        <f>'Monthly Data'!P108</f>
        <v>22629177.4111</v>
      </c>
      <c r="V120" s="3">
        <f>'Monthly Data'!V108</f>
        <v>76401604.950000003</v>
      </c>
      <c r="W120" s="3">
        <f>'Monthly Data'!AB108</f>
        <v>8738220.1099999994</v>
      </c>
      <c r="X120" s="3">
        <f>'Monthly Data'!AG108</f>
        <v>26531763</v>
      </c>
      <c r="Y120" s="3">
        <f>'Monthly Data'!BC108</f>
        <v>29315020.512149997</v>
      </c>
      <c r="Z120" s="3">
        <f>'Monthly Data'!BI108</f>
        <v>6991604.8161899904</v>
      </c>
      <c r="AA120" s="3">
        <f>'Monthly Data'!BO108</f>
        <v>27268389.629999999</v>
      </c>
      <c r="AB120" s="3">
        <f>'Monthly Data'!BU108</f>
        <v>7109503.6699999999</v>
      </c>
      <c r="EU120" s="682">
        <f ca="1">'Monthly Data'!FO108</f>
        <v>730.53543783272789</v>
      </c>
      <c r="EV120" s="682">
        <f ca="1">'Monthly Data'!FP108</f>
        <v>676.89996575811051</v>
      </c>
      <c r="EW120" s="682">
        <f ca="1">'Monthly Data'!FQ108</f>
        <v>2551.9352091554088</v>
      </c>
      <c r="EX120" s="682">
        <f ca="1">'Monthly Data'!FR108</f>
        <v>79921.869356881012</v>
      </c>
      <c r="EY120" s="682">
        <f ca="1">'Monthly Data'!FS108</f>
        <v>1810375.8889846511</v>
      </c>
      <c r="EZ120" s="682">
        <f ca="1">'Monthly Data'!FT108</f>
        <v>5783919.6313628769</v>
      </c>
      <c r="FA120" s="682">
        <f ca="1">'Monthly Data'!FX108</f>
        <v>685.51102977124128</v>
      </c>
      <c r="FB120" s="682">
        <f ca="1">'Monthly Data'!FY108</f>
        <v>2970.5712112509123</v>
      </c>
      <c r="FC120" s="682">
        <f ca="1">'Monthly Data'!FZ108</f>
        <v>77910.46257772643</v>
      </c>
      <c r="FD120" s="682">
        <f>'Monthly Data'!GA108</f>
        <v>122959.59999999999</v>
      </c>
    </row>
    <row r="121" spans="1:160">
      <c r="A121">
        <v>2023</v>
      </c>
      <c r="B121">
        <v>12</v>
      </c>
      <c r="C121" s="313">
        <v>551.67916666666667</v>
      </c>
      <c r="D121" s="313">
        <v>0</v>
      </c>
      <c r="E121" s="313">
        <v>489.67916666666667</v>
      </c>
      <c r="F121" s="313">
        <v>0</v>
      </c>
      <c r="G121" s="313">
        <v>427.67916666666667</v>
      </c>
      <c r="H121" s="313">
        <v>0</v>
      </c>
      <c r="I121" s="313">
        <v>365.67916666666667</v>
      </c>
      <c r="J121" s="313">
        <v>0</v>
      </c>
      <c r="K121" s="313">
        <v>303.67916666666667</v>
      </c>
      <c r="L121" s="313">
        <v>0</v>
      </c>
      <c r="M121" s="313">
        <v>241.67916666666659</v>
      </c>
      <c r="N121" s="313">
        <v>0</v>
      </c>
      <c r="O121" s="313">
        <v>180.36666666666662</v>
      </c>
      <c r="P121" s="313">
        <v>0.68750000000000178</v>
      </c>
      <c r="Q121" s="383">
        <v>2.2038978494623653</v>
      </c>
      <c r="S121" s="3">
        <f>'Monthly Data'!D109</f>
        <v>91116920.138020605</v>
      </c>
      <c r="T121" s="3">
        <f>'Monthly Data'!J109</f>
        <v>1183927.5148</v>
      </c>
      <c r="U121" s="3">
        <f>'Monthly Data'!P109</f>
        <v>22200516.608010001</v>
      </c>
      <c r="V121" s="3">
        <f>'Monthly Data'!V109</f>
        <v>76157896.150000006</v>
      </c>
      <c r="W121" s="3">
        <f>'Monthly Data'!AB109</f>
        <v>8632906.7400000002</v>
      </c>
      <c r="X121" s="3">
        <f>'Monthly Data'!AG109</f>
        <v>25855840.906323999</v>
      </c>
      <c r="Y121" s="3">
        <f>'Monthly Data'!BC109</f>
        <v>33045451.315950099</v>
      </c>
      <c r="Z121" s="3">
        <f>'Monthly Data'!BI109</f>
        <v>7327206.9142400008</v>
      </c>
      <c r="AA121" s="3">
        <f>'Monthly Data'!BO109</f>
        <v>27979044.84</v>
      </c>
      <c r="AB121" s="3">
        <f>'Monthly Data'!BU109</f>
        <v>7142147.2400000002</v>
      </c>
      <c r="EU121" s="682">
        <f ca="1">'Monthly Data'!FO109</f>
        <v>794.23464620930747</v>
      </c>
      <c r="EV121" s="682">
        <f ca="1">'Monthly Data'!FP109</f>
        <v>785.17774846078623</v>
      </c>
      <c r="EW121" s="682">
        <f ca="1">'Monthly Data'!FQ109</f>
        <v>2506.777054440814</v>
      </c>
      <c r="EX121" s="682">
        <f ca="1">'Monthly Data'!FR109</f>
        <v>79569.289961997114</v>
      </c>
      <c r="EY121" s="682">
        <f ca="1">'Monthly Data'!FS109</f>
        <v>1789764.8485849178</v>
      </c>
      <c r="EZ121" s="682">
        <f ca="1">'Monthly Data'!FT109</f>
        <v>5554147.2397704115</v>
      </c>
      <c r="FA121" s="682">
        <f ca="1">'Monthly Data'!FX109</f>
        <v>766.78388251286833</v>
      </c>
      <c r="FB121" s="682">
        <f ca="1">'Monthly Data'!FY109</f>
        <v>3103.5653459632267</v>
      </c>
      <c r="FC121" s="682">
        <f ca="1">'Monthly Data'!FZ109</f>
        <v>79652.657090580207</v>
      </c>
      <c r="FD121" s="682">
        <f>'Monthly Data'!GA109</f>
        <v>133004.5</v>
      </c>
    </row>
    <row r="122" spans="1:160">
      <c r="A122">
        <v>2024</v>
      </c>
      <c r="B122">
        <v>1</v>
      </c>
      <c r="C122" s="313">
        <v>698.99583333333328</v>
      </c>
      <c r="D122" s="313">
        <v>0</v>
      </c>
      <c r="E122" s="313">
        <v>636.99583333333339</v>
      </c>
      <c r="F122" s="313">
        <v>0</v>
      </c>
      <c r="G122" s="313">
        <v>574.99583333333339</v>
      </c>
      <c r="H122" s="313">
        <v>0</v>
      </c>
      <c r="I122" s="313">
        <v>512.99583333333328</v>
      </c>
      <c r="J122" s="313">
        <v>0</v>
      </c>
      <c r="K122" s="313">
        <v>450.99583333333322</v>
      </c>
      <c r="L122" s="313">
        <v>0</v>
      </c>
      <c r="M122" s="313">
        <v>388.99583333333317</v>
      </c>
      <c r="N122" s="313">
        <v>0</v>
      </c>
      <c r="O122" s="313">
        <v>326.99583333333317</v>
      </c>
      <c r="P122" s="313">
        <v>0</v>
      </c>
      <c r="Q122" s="383">
        <v>-2.5482526881720431</v>
      </c>
      <c r="S122" s="3">
        <f>'Monthly Data'!D110</f>
        <v>97300828.217391953</v>
      </c>
      <c r="T122" s="3">
        <f>'Monthly Data'!J110</f>
        <v>1322104.1629415287</v>
      </c>
      <c r="U122" s="3">
        <f>'Monthly Data'!P110</f>
        <v>23988136.487497136</v>
      </c>
      <c r="V122" s="3">
        <f>'Monthly Data'!V110</f>
        <v>85296633.844817996</v>
      </c>
      <c r="W122" s="3">
        <f>'Monthly Data'!AB110</f>
        <v>8686909.2400000002</v>
      </c>
      <c r="X122" s="3">
        <f>'Monthly Data'!AG110</f>
        <v>26723715.10444</v>
      </c>
      <c r="Y122" s="3">
        <f>'Monthly Data'!BC110</f>
        <v>34091728.292207852</v>
      </c>
      <c r="Z122" s="3">
        <f>'Monthly Data'!BI110</f>
        <v>8389513.8674640618</v>
      </c>
      <c r="AA122" s="3">
        <f>'Monthly Data'!BO110</f>
        <v>30235124.84</v>
      </c>
      <c r="AB122" s="3">
        <f>'Monthly Data'!BU110</f>
        <v>7437270.3300000001</v>
      </c>
      <c r="EU122" s="682">
        <f ca="1">'Monthly Data'!FO110</f>
        <v>837.67873421718718</v>
      </c>
      <c r="EV122" s="682">
        <f ca="1">'Monthly Data'!FP110</f>
        <v>874.4210198620915</v>
      </c>
      <c r="EW122" s="682">
        <f ca="1">'Monthly Data'!FQ110</f>
        <v>2700.1189226292513</v>
      </c>
      <c r="EX122" s="682">
        <f ca="1">'Monthly Data'!FR110</f>
        <v>88208.275282553877</v>
      </c>
      <c r="EY122" s="682">
        <f ca="1">'Monthly Data'!FS110</f>
        <v>1803622.5766215839</v>
      </c>
      <c r="EZ122" s="682">
        <f ca="1">'Monthly Data'!FT110</f>
        <v>5740664.4989995109</v>
      </c>
      <c r="FA122" s="682">
        <f ca="1">'Monthly Data'!FX110</f>
        <v>790.17364039093786</v>
      </c>
      <c r="FB122" s="682">
        <f ca="1">'Monthly Data'!FY110</f>
        <v>3539.9669123757049</v>
      </c>
      <c r="FC122" s="682">
        <f ca="1">'Monthly Data'!FZ110</f>
        <v>85606.691976875343</v>
      </c>
      <c r="FD122" s="682">
        <f>'Monthly Data'!GA110</f>
        <v>130048.80666666666</v>
      </c>
    </row>
    <row r="123" spans="1:160">
      <c r="A123">
        <v>2024</v>
      </c>
      <c r="B123">
        <v>2</v>
      </c>
      <c r="C123" s="313">
        <v>600.96666666666647</v>
      </c>
      <c r="D123" s="313">
        <v>0</v>
      </c>
      <c r="E123" s="313">
        <v>542.96666666666658</v>
      </c>
      <c r="F123" s="313">
        <v>0</v>
      </c>
      <c r="G123" s="313">
        <v>484.96666666666658</v>
      </c>
      <c r="H123" s="313">
        <v>0</v>
      </c>
      <c r="I123" s="313">
        <v>426.96666666666664</v>
      </c>
      <c r="J123" s="313">
        <v>0</v>
      </c>
      <c r="K123" s="313">
        <v>368.96666666666664</v>
      </c>
      <c r="L123" s="313">
        <v>0</v>
      </c>
      <c r="M123" s="313">
        <v>310.9666666666667</v>
      </c>
      <c r="N123" s="313">
        <v>0</v>
      </c>
      <c r="O123" s="313">
        <v>252.9666666666667</v>
      </c>
      <c r="P123" s="313">
        <v>0</v>
      </c>
      <c r="Q123" s="383">
        <v>-0.72298850574712648</v>
      </c>
      <c r="S123" s="3">
        <f>'Monthly Data'!D111</f>
        <v>83956969.445356518</v>
      </c>
      <c r="T123" s="3">
        <f>'Monthly Data'!J111</f>
        <v>1229880.4313028969</v>
      </c>
      <c r="U123" s="3">
        <f>'Monthly Data'!P111</f>
        <v>21577650.30459094</v>
      </c>
      <c r="V123" s="3">
        <f>'Monthly Data'!V111</f>
        <v>78462678.962840006</v>
      </c>
      <c r="W123" s="3">
        <f>'Monthly Data'!AB111</f>
        <v>8043704.5300000003</v>
      </c>
      <c r="X123" s="3">
        <f>'Monthly Data'!AG111</f>
        <v>26826146.523446001</v>
      </c>
      <c r="Y123" s="3">
        <f>'Monthly Data'!BC111</f>
        <v>29922138.284269691</v>
      </c>
      <c r="Z123" s="3">
        <f>'Monthly Data'!BI111</f>
        <v>7130124.9658190059</v>
      </c>
      <c r="AA123" s="3">
        <f>'Monthly Data'!BO111</f>
        <v>27060249.84</v>
      </c>
      <c r="AB123" s="3">
        <f>'Monthly Data'!BU111</f>
        <v>6990499.9199999999</v>
      </c>
      <c r="EU123" s="682">
        <f ca="1">'Monthly Data'!FO111</f>
        <v>725.32225329261269</v>
      </c>
      <c r="EV123" s="682">
        <f ca="1">'Monthly Data'!FP111</f>
        <v>815.71070892504031</v>
      </c>
      <c r="EW123" s="682">
        <f ca="1">'Monthly Data'!FQ111</f>
        <v>2447.1690422657202</v>
      </c>
      <c r="EX123" s="682">
        <f ca="1">'Monthly Data'!FR111</f>
        <v>81474.453217159666</v>
      </c>
      <c r="EY123" s="682">
        <f ca="1">'Monthly Data'!FS111</f>
        <v>1675720.4630000016</v>
      </c>
      <c r="EZ123" s="682">
        <f ca="1">'Monthly Data'!FT111</f>
        <v>5764204.2763694962</v>
      </c>
      <c r="FA123" s="682">
        <f ca="1">'Monthly Data'!FX111</f>
        <v>697.89121023719213</v>
      </c>
      <c r="FB123" s="682">
        <f ca="1">'Monthly Data'!FY111</f>
        <v>3026.6831708451746</v>
      </c>
      <c r="FC123" s="682">
        <f ca="1">'Monthly Data'!FZ111</f>
        <v>77411.521977137279</v>
      </c>
      <c r="FD123" s="682">
        <f>'Monthly Data'!GA111</f>
        <v>111685.65666666666</v>
      </c>
    </row>
    <row r="124" spans="1:160">
      <c r="A124">
        <v>2024</v>
      </c>
      <c r="B124">
        <v>3</v>
      </c>
      <c r="C124" s="313">
        <v>522.11249999999995</v>
      </c>
      <c r="D124" s="313">
        <v>0</v>
      </c>
      <c r="E124" s="313">
        <v>460.11250000000001</v>
      </c>
      <c r="F124" s="313">
        <v>0</v>
      </c>
      <c r="G124" s="313">
        <v>398.11250000000001</v>
      </c>
      <c r="H124" s="313">
        <v>0</v>
      </c>
      <c r="I124" s="313">
        <v>336.11249999999995</v>
      </c>
      <c r="J124" s="313">
        <v>0</v>
      </c>
      <c r="K124" s="313">
        <v>274.11250000000001</v>
      </c>
      <c r="L124" s="313">
        <v>0</v>
      </c>
      <c r="M124" s="313">
        <v>212.11250000000004</v>
      </c>
      <c r="N124" s="313">
        <v>0</v>
      </c>
      <c r="O124" s="313">
        <v>154.69166666666669</v>
      </c>
      <c r="P124" s="313">
        <v>4.5791666666666657</v>
      </c>
      <c r="Q124" s="383">
        <v>3.1576612903225802</v>
      </c>
      <c r="S124" s="3">
        <f>'Monthly Data'!D112</f>
        <v>83197430.367285669</v>
      </c>
      <c r="T124" s="3">
        <f>'Monthly Data'!J112</f>
        <v>1149717.8565524095</v>
      </c>
      <c r="U124" s="3">
        <f>'Monthly Data'!P112</f>
        <v>21526095.77050988</v>
      </c>
      <c r="V124" s="3">
        <f>'Monthly Data'!V112</f>
        <v>80171761.096588001</v>
      </c>
      <c r="W124" s="3">
        <f>'Monthly Data'!AB112</f>
        <v>8644703</v>
      </c>
      <c r="X124" s="3">
        <f>'Monthly Data'!AG112</f>
        <v>27579024.226606</v>
      </c>
      <c r="Y124" s="3">
        <f>'Monthly Data'!BC112</f>
        <v>30183198.926285144</v>
      </c>
      <c r="Z124" s="3">
        <f>'Monthly Data'!BI112</f>
        <v>7113330.9634937607</v>
      </c>
      <c r="AA124" s="3">
        <f>'Monthly Data'!BO112</f>
        <v>27405736</v>
      </c>
      <c r="AB124" s="3">
        <f>'Monthly Data'!BU112</f>
        <v>7411013.4900000002</v>
      </c>
      <c r="EU124" s="682">
        <f ca="1">'Monthly Data'!FO112</f>
        <v>720.52397836872842</v>
      </c>
      <c r="EV124" s="682">
        <f ca="1">'Monthly Data'!FP112</f>
        <v>764.69202734234159</v>
      </c>
      <c r="EW124" s="682">
        <f ca="1">'Monthly Data'!FQ112</f>
        <v>2442.5873039813719</v>
      </c>
      <c r="EX124" s="682">
        <f ca="1">'Monthly Data'!FR112</f>
        <v>82917.091695608455</v>
      </c>
      <c r="EY124" s="682">
        <f ca="1">'Monthly Data'!FS112</f>
        <v>1796658.9853784193</v>
      </c>
      <c r="EZ124" s="682">
        <f ca="1">'Monthly Data'!FT112</f>
        <v>5917833.3105702829</v>
      </c>
      <c r="FA124" s="682">
        <f ca="1">'Monthly Data'!FX112</f>
        <v>703.29144346875455</v>
      </c>
      <c r="FB124" s="682">
        <f ca="1">'Monthly Data'!FY112</f>
        <v>3019.2480776351977</v>
      </c>
      <c r="FC124" s="682">
        <f ca="1">'Monthly Data'!FZ112</f>
        <v>78305.865181783156</v>
      </c>
      <c r="FD124" s="682">
        <f>'Monthly Data'!GA112</f>
        <v>106106.70666666667</v>
      </c>
    </row>
    <row r="125" spans="1:160">
      <c r="A125">
        <v>2024</v>
      </c>
      <c r="B125">
        <v>4</v>
      </c>
      <c r="C125" s="313">
        <v>368.29791666666671</v>
      </c>
      <c r="D125" s="313">
        <v>0</v>
      </c>
      <c r="E125" s="313">
        <v>308.29791666666665</v>
      </c>
      <c r="F125" s="313">
        <v>0</v>
      </c>
      <c r="G125" s="313">
        <v>248.29791666666665</v>
      </c>
      <c r="H125" s="313">
        <v>0</v>
      </c>
      <c r="I125" s="313">
        <v>188.29791666666671</v>
      </c>
      <c r="J125" s="313">
        <v>0</v>
      </c>
      <c r="K125" s="313">
        <v>130.68125000000001</v>
      </c>
      <c r="L125" s="313">
        <v>2.3833333333333346</v>
      </c>
      <c r="M125" s="313">
        <v>78.922916666666652</v>
      </c>
      <c r="N125" s="313">
        <v>10.625</v>
      </c>
      <c r="O125" s="313">
        <v>41.093749999999993</v>
      </c>
      <c r="P125" s="313">
        <v>32.795833333333334</v>
      </c>
      <c r="Q125" s="383">
        <v>7.7234027777777765</v>
      </c>
      <c r="S125" s="3">
        <f>'Monthly Data'!D113</f>
        <v>72744099.262740344</v>
      </c>
      <c r="T125" s="3">
        <f>'Monthly Data'!J113</f>
        <v>884702.4387373504</v>
      </c>
      <c r="U125" s="3">
        <f>'Monthly Data'!P113</f>
        <v>19624330.972720526</v>
      </c>
      <c r="V125" s="3">
        <f>'Monthly Data'!V113</f>
        <v>76518544.463627994</v>
      </c>
      <c r="W125" s="3">
        <f>'Monthly Data'!AB113</f>
        <v>8455543.9499999993</v>
      </c>
      <c r="X125" s="3">
        <f>'Monthly Data'!AG113</f>
        <v>22522379.847692002</v>
      </c>
      <c r="Y125" s="3">
        <f>'Monthly Data'!BC113</f>
        <v>27306509.507999428</v>
      </c>
      <c r="Z125" s="3">
        <f>'Monthly Data'!BI113</f>
        <v>6518960.176282322</v>
      </c>
      <c r="AA125" s="3">
        <f>'Monthly Data'!BO113</f>
        <v>25571685.25</v>
      </c>
      <c r="AB125" s="3">
        <f>'Monthly Data'!BU113</f>
        <v>6467912.1900000004</v>
      </c>
      <c r="EU125" s="682">
        <f ca="1">'Monthly Data'!FO113</f>
        <v>635.28156440674024</v>
      </c>
      <c r="EV125" s="682">
        <f ca="1">'Monthly Data'!FP113</f>
        <v>595.35837849068389</v>
      </c>
      <c r="EW125" s="682">
        <f ca="1">'Monthly Data'!FQ113</f>
        <v>2243.2473140021962</v>
      </c>
      <c r="EX125" s="682">
        <f ca="1">'Monthly Data'!FR113</f>
        <v>79256.334179677258</v>
      </c>
      <c r="EY125" s="682">
        <f ca="1">'Monthly Data'!FS113</f>
        <v>1759566.0037568368</v>
      </c>
      <c r="EZ125" s="682">
        <f ca="1">'Monthly Data'!FT113</f>
        <v>4909557.9283562694</v>
      </c>
      <c r="FA125" s="682">
        <f ca="1">'Monthly Data'!FX113</f>
        <v>639.63948670336049</v>
      </c>
      <c r="FB125" s="682">
        <f ca="1">'Monthly Data'!FY113</f>
        <v>2777.1301402128829</v>
      </c>
      <c r="FC125" s="682">
        <f ca="1">'Monthly Data'!FZ113</f>
        <v>73581.692712196251</v>
      </c>
      <c r="FD125" s="682">
        <f>'Monthly Data'!GA113</f>
        <v>90212.443333333344</v>
      </c>
    </row>
    <row r="126" spans="1:160">
      <c r="A126">
        <v>2024</v>
      </c>
      <c r="B126">
        <v>5</v>
      </c>
      <c r="C126" s="313">
        <v>143.5708333333333</v>
      </c>
      <c r="D126" s="313">
        <v>2.6999999999999957</v>
      </c>
      <c r="E126" s="313">
        <v>89.52916666666664</v>
      </c>
      <c r="F126" s="313">
        <v>10.658333333333328</v>
      </c>
      <c r="G126" s="313">
        <v>44.158333333333317</v>
      </c>
      <c r="H126" s="313">
        <v>27.287500000000005</v>
      </c>
      <c r="I126" s="313">
        <v>15.562499999999984</v>
      </c>
      <c r="J126" s="313">
        <v>60.691666666666663</v>
      </c>
      <c r="K126" s="313">
        <v>2.9208333333333272</v>
      </c>
      <c r="L126" s="313">
        <v>110.05000000000001</v>
      </c>
      <c r="M126" s="313">
        <v>0</v>
      </c>
      <c r="N126" s="313">
        <v>169.12916666666669</v>
      </c>
      <c r="O126" s="313">
        <v>0</v>
      </c>
      <c r="P126" s="313">
        <v>231.12916666666669</v>
      </c>
      <c r="Q126" s="383">
        <v>15.455779569892472</v>
      </c>
      <c r="S126" s="3">
        <f>'Monthly Data'!D114</f>
        <v>73385195.572191358</v>
      </c>
      <c r="T126" s="3">
        <f>'Monthly Data'!J114</f>
        <v>851724.308386483</v>
      </c>
      <c r="U126" s="3">
        <f>'Monthly Data'!P114</f>
        <v>19974195.963026971</v>
      </c>
      <c r="V126" s="3">
        <f>'Monthly Data'!V114</f>
        <v>79420647.412497997</v>
      </c>
      <c r="W126" s="3">
        <f>'Monthly Data'!AB114</f>
        <v>8411474.0500000007</v>
      </c>
      <c r="X126" s="3">
        <f>'Monthly Data'!AG114</f>
        <v>27263354.987860002</v>
      </c>
      <c r="Y126" s="3">
        <f>'Monthly Data'!BC114</f>
        <v>30050456.301362485</v>
      </c>
      <c r="Z126" s="3">
        <f>'Monthly Data'!BI114</f>
        <v>6952309.7293611402</v>
      </c>
      <c r="AA126" s="3">
        <f>'Monthly Data'!BO114</f>
        <v>26265639.09</v>
      </c>
      <c r="AB126" s="3">
        <f>'Monthly Data'!BU114</f>
        <v>6883929.0999999996</v>
      </c>
      <c r="EU126" s="682">
        <f ca="1">'Monthly Data'!FO114</f>
        <v>647.18688755083281</v>
      </c>
      <c r="EV126" s="682">
        <f ca="1">'Monthly Data'!FP114</f>
        <v>574.47217898719589</v>
      </c>
      <c r="EW126" s="682">
        <f ca="1">'Monthly Data'!FQ114</f>
        <v>2280.9337480506774</v>
      </c>
      <c r="EX126" s="682">
        <f ca="1">'Monthly Data'!FR114</f>
        <v>81827.82800579656</v>
      </c>
      <c r="EY126" s="682">
        <f ca="1">'Monthly Data'!FS114</f>
        <v>1751490.8521352552</v>
      </c>
      <c r="EZ126" s="682">
        <f ca="1">'Monthly Data'!FT114</f>
        <v>5860806.4499586551</v>
      </c>
      <c r="FA126" s="682">
        <f ca="1">'Monthly Data'!FX114</f>
        <v>699.66991002456484</v>
      </c>
      <c r="FB126" s="682">
        <f ca="1">'Monthly Data'!FY114</f>
        <v>2952.6555303448931</v>
      </c>
      <c r="FC126" s="682">
        <f ca="1">'Monthly Data'!FZ114</f>
        <v>75374.88450850705</v>
      </c>
      <c r="FD126" s="682">
        <f>'Monthly Data'!GA114</f>
        <v>82325.94666666667</v>
      </c>
    </row>
    <row r="127" spans="1:160">
      <c r="A127">
        <v>2024</v>
      </c>
      <c r="B127">
        <v>6</v>
      </c>
      <c r="C127" s="313">
        <v>60.86249999999999</v>
      </c>
      <c r="D127" s="313">
        <v>25.01666666666668</v>
      </c>
      <c r="E127" s="313">
        <v>31.570833333333319</v>
      </c>
      <c r="F127" s="313">
        <v>55.725000000000009</v>
      </c>
      <c r="G127" s="313">
        <v>10.312499999999995</v>
      </c>
      <c r="H127" s="313">
        <v>94.466666666666669</v>
      </c>
      <c r="I127" s="313">
        <v>2.4583333333333321</v>
      </c>
      <c r="J127" s="313">
        <v>146.61250000000007</v>
      </c>
      <c r="K127" s="313">
        <v>0</v>
      </c>
      <c r="L127" s="313">
        <v>204.15416666666667</v>
      </c>
      <c r="M127" s="313">
        <v>0</v>
      </c>
      <c r="N127" s="313">
        <v>264.15416666666664</v>
      </c>
      <c r="O127" s="313">
        <v>0</v>
      </c>
      <c r="P127" s="313">
        <v>324.1541666666667</v>
      </c>
      <c r="Q127" s="383">
        <v>18.805138888888891</v>
      </c>
      <c r="S127" s="3">
        <f>'Monthly Data'!D115</f>
        <v>90228784.63827379</v>
      </c>
      <c r="T127" s="3">
        <f>'Monthly Data'!J115</f>
        <v>777540.77557269775</v>
      </c>
      <c r="U127" s="3">
        <f>'Monthly Data'!P115</f>
        <v>20950547.106654827</v>
      </c>
      <c r="V127" s="3">
        <f>'Monthly Data'!V115</f>
        <v>80580048.837870002</v>
      </c>
      <c r="W127" s="3">
        <f>'Monthly Data'!AB115</f>
        <v>8160406.4900000002</v>
      </c>
      <c r="X127" s="3">
        <f>'Monthly Data'!AG115</f>
        <v>27124452.394136</v>
      </c>
      <c r="Y127" s="3">
        <f>'Monthly Data'!BC115</f>
        <v>38391066.662999503</v>
      </c>
      <c r="Z127" s="3">
        <f>'Monthly Data'!BI115</f>
        <v>7428387.7571524689</v>
      </c>
      <c r="AA127" s="3">
        <f>'Monthly Data'!BO115</f>
        <v>27368038.239999998</v>
      </c>
      <c r="AB127" s="3">
        <f>'Monthly Data'!BU115</f>
        <v>6903523.6299999999</v>
      </c>
      <c r="EU127" s="682">
        <f ca="1">'Monthly Data'!FO115</f>
        <v>791.63469005071556</v>
      </c>
      <c r="EV127" s="682">
        <f ca="1">'Monthly Data'!FP115</f>
        <v>527.19716604201756</v>
      </c>
      <c r="EW127" s="682">
        <f ca="1">'Monthly Data'!FQ115</f>
        <v>2384.5497325564911</v>
      </c>
      <c r="EX127" s="682">
        <f ca="1">'Monthly Data'!FR115</f>
        <v>82738.382964386547</v>
      </c>
      <c r="EY127" s="682">
        <f ca="1">'Monthly Data'!FS115</f>
        <v>1702016.1685136729</v>
      </c>
      <c r="EZ127" s="682">
        <f ca="1">'Monthly Data'!FT115</f>
        <v>5836079.4247826403</v>
      </c>
      <c r="FA127" s="682">
        <f ca="1">'Monthly Data'!FX115</f>
        <v>882.60925045827264</v>
      </c>
      <c r="FB127" s="682">
        <f ca="1">'Monthly Data'!FY115</f>
        <v>3145.3083143657477</v>
      </c>
      <c r="FC127" s="682">
        <f ca="1">'Monthly Data'!FZ115</f>
        <v>78217.107743947447</v>
      </c>
      <c r="FD127" s="682">
        <f>'Monthly Data'!GA115</f>
        <v>73928.25</v>
      </c>
    </row>
    <row r="128" spans="1:160">
      <c r="A128">
        <v>2024</v>
      </c>
      <c r="B128">
        <v>7</v>
      </c>
      <c r="C128" s="313">
        <v>5.5666666666666629</v>
      </c>
      <c r="D128" s="313">
        <v>60.708333333333343</v>
      </c>
      <c r="E128" s="313">
        <v>0.32916666666666927</v>
      </c>
      <c r="F128" s="313">
        <v>117.47083333333335</v>
      </c>
      <c r="G128" s="313">
        <v>0</v>
      </c>
      <c r="H128" s="313">
        <v>179.14166666666668</v>
      </c>
      <c r="I128" s="313">
        <v>0</v>
      </c>
      <c r="J128" s="313">
        <v>241.14166666666668</v>
      </c>
      <c r="K128" s="313">
        <v>0</v>
      </c>
      <c r="L128" s="313">
        <v>303.14166666666665</v>
      </c>
      <c r="M128" s="313">
        <v>0</v>
      </c>
      <c r="N128" s="313">
        <v>365.14166666666671</v>
      </c>
      <c r="O128" s="313">
        <v>0</v>
      </c>
      <c r="P128" s="313">
        <v>427.14166666666677</v>
      </c>
      <c r="Q128" s="383">
        <v>21.778763440860214</v>
      </c>
      <c r="S128" s="3">
        <f>'Monthly Data'!D116</f>
        <v>115596722.94164799</v>
      </c>
      <c r="T128" s="3">
        <f>'Monthly Data'!J116</f>
        <v>1098266.7064823271</v>
      </c>
      <c r="U128" s="3">
        <f>'Monthly Data'!P116</f>
        <v>24132098.406970821</v>
      </c>
      <c r="V128" s="3">
        <f>'Monthly Data'!V116</f>
        <v>88290752.179879993</v>
      </c>
      <c r="W128" s="3">
        <f>'Monthly Data'!AB116</f>
        <v>8178344.5599999996</v>
      </c>
      <c r="X128" s="3">
        <f>'Monthly Data'!AG116</f>
        <v>28255686.430792</v>
      </c>
      <c r="Y128" s="3">
        <f>'Monthly Data'!BC116</f>
        <v>48788346.324340433</v>
      </c>
      <c r="Z128" s="3">
        <f>'Monthly Data'!BI116</f>
        <v>9169559.4624667745</v>
      </c>
      <c r="AA128" s="3">
        <f>'Monthly Data'!BO116</f>
        <v>30205168.489999998</v>
      </c>
      <c r="AB128" s="3">
        <f>'Monthly Data'!BU116</f>
        <v>7294365.2199999997</v>
      </c>
      <c r="EU128" s="682">
        <f ca="1">'Monthly Data'!FO116</f>
        <v>1007.3198987578456</v>
      </c>
      <c r="EV128" s="682">
        <f ca="1">'Monthly Data'!FP116</f>
        <v>732.7788961372562</v>
      </c>
      <c r="EW128" s="682">
        <f ca="1">'Monthly Data'!FQ116</f>
        <v>2720.2207285292075</v>
      </c>
      <c r="EX128" s="682">
        <f ca="1">'Monthly Data'!FR116</f>
        <v>89819.692460484119</v>
      </c>
      <c r="EY128" s="682">
        <f ca="1">'Monthly Data'!FS116</f>
        <v>1706342.6108920905</v>
      </c>
      <c r="EZ128" s="682">
        <f ca="1">'Monthly Data'!FT116</f>
        <v>6065379.7256826265</v>
      </c>
      <c r="FA128" s="682">
        <f ca="1">'Monthly Data'!FX116</f>
        <v>1110.4715683241668</v>
      </c>
      <c r="FB128" s="682">
        <f ca="1">'Monthly Data'!FY116</f>
        <v>3850.8451864705271</v>
      </c>
      <c r="FC128" s="682">
        <f ca="1">'Monthly Data'!FZ116</f>
        <v>85518.006190660599</v>
      </c>
      <c r="FD128" s="682">
        <f>'Monthly Data'!GA116</f>
        <v>79359.103333333333</v>
      </c>
    </row>
    <row r="129" spans="1:160">
      <c r="A129">
        <v>2024</v>
      </c>
      <c r="B129">
        <v>8</v>
      </c>
      <c r="C129" s="313">
        <v>26.975000000000016</v>
      </c>
      <c r="D129" s="313">
        <v>41.841666666666654</v>
      </c>
      <c r="E129" s="313">
        <v>8.2333333333333432</v>
      </c>
      <c r="F129" s="313">
        <v>85.09999999999998</v>
      </c>
      <c r="G129" s="313">
        <v>1.7583333333333346</v>
      </c>
      <c r="H129" s="313">
        <v>140.625</v>
      </c>
      <c r="I129" s="313">
        <v>0</v>
      </c>
      <c r="J129" s="313">
        <v>200.86666666666665</v>
      </c>
      <c r="K129" s="313">
        <v>0</v>
      </c>
      <c r="L129" s="313">
        <v>262.86666666666667</v>
      </c>
      <c r="M129" s="313">
        <v>0</v>
      </c>
      <c r="N129" s="313">
        <v>324.86666666666667</v>
      </c>
      <c r="O129" s="313">
        <v>0</v>
      </c>
      <c r="P129" s="313">
        <v>386.86666666666656</v>
      </c>
      <c r="Q129" s="383">
        <v>20.479569892473116</v>
      </c>
      <c r="S129" s="3">
        <f>'Monthly Data'!D117</f>
        <v>106004929.9763329</v>
      </c>
      <c r="T129" s="3">
        <f>'Monthly Data'!J117</f>
        <v>1126772.5365435292</v>
      </c>
      <c r="U129" s="3">
        <f>'Monthly Data'!P117</f>
        <v>22900300.742820028</v>
      </c>
      <c r="V129" s="3">
        <f>'Monthly Data'!V117</f>
        <v>85433825.222527996</v>
      </c>
      <c r="W129" s="3">
        <f>'Monthly Data'!AB117</f>
        <v>7544852.6600000001</v>
      </c>
      <c r="X129" s="3">
        <f>'Monthly Data'!AG117</f>
        <v>27451687.519016001</v>
      </c>
      <c r="Y129" s="3">
        <f>'Monthly Data'!BC117</f>
        <v>44156917.195840098</v>
      </c>
      <c r="Z129" s="3">
        <f>'Monthly Data'!BI117</f>
        <v>7765936.299508539</v>
      </c>
      <c r="AA129" s="3">
        <f>'Monthly Data'!BO117</f>
        <v>29899992.52</v>
      </c>
      <c r="AB129" s="3">
        <f>'Monthly Data'!BU117</f>
        <v>7083138.71</v>
      </c>
      <c r="EU129" s="682">
        <f ca="1">'Monthly Data'!FO117</f>
        <v>924.05880274094272</v>
      </c>
      <c r="EV129" s="682">
        <f ca="1">'Monthly Data'!FP117</f>
        <v>751.28779551407229</v>
      </c>
      <c r="EW129" s="682">
        <f ca="1">'Monthly Data'!FQ117</f>
        <v>2591.4223494665935</v>
      </c>
      <c r="EX129" s="682">
        <f ca="1">'Monthly Data'!FR117</f>
        <v>86928.180533980762</v>
      </c>
      <c r="EY129" s="682">
        <f ca="1">'Monthly Data'!FS117</f>
        <v>1580383.0592705084</v>
      </c>
      <c r="EZ129" s="682">
        <f ca="1">'Monthly Data'!FT117</f>
        <v>5907633.4368962133</v>
      </c>
      <c r="FA129" s="682">
        <f ca="1">'Monthly Data'!FX117</f>
        <v>1008.2084755753009</v>
      </c>
      <c r="FB129" s="682">
        <f ca="1">'Monthly Data'!FY117</f>
        <v>3280.7795134237631</v>
      </c>
      <c r="FC129" s="682">
        <f ca="1">'Monthly Data'!FZ117</f>
        <v>84731.612428573353</v>
      </c>
      <c r="FD129" s="682">
        <f>'Monthly Data'!GA117</f>
        <v>89613.083333333328</v>
      </c>
    </row>
    <row r="130" spans="1:160">
      <c r="A130">
        <v>2024</v>
      </c>
      <c r="B130">
        <v>9</v>
      </c>
      <c r="C130" s="313">
        <v>69.33750000000002</v>
      </c>
      <c r="D130" s="313">
        <v>0.63750000000000284</v>
      </c>
      <c r="E130" s="313">
        <v>29.36666666666666</v>
      </c>
      <c r="F130" s="313">
        <v>20.666666666666679</v>
      </c>
      <c r="G130" s="313">
        <v>10.920833333333333</v>
      </c>
      <c r="H130" s="313">
        <v>62.220833333333331</v>
      </c>
      <c r="I130" s="313">
        <v>2.5625000000000036</v>
      </c>
      <c r="J130" s="313">
        <v>113.86250000000001</v>
      </c>
      <c r="K130" s="313">
        <v>0</v>
      </c>
      <c r="L130" s="313">
        <v>171.29999999999998</v>
      </c>
      <c r="M130" s="313">
        <v>0</v>
      </c>
      <c r="N130" s="313">
        <v>231.3</v>
      </c>
      <c r="O130" s="313">
        <v>0</v>
      </c>
      <c r="P130" s="313">
        <v>291.30000000000007</v>
      </c>
      <c r="Q130" s="383">
        <v>17.709999999999997</v>
      </c>
      <c r="S130" s="3">
        <f>'Monthly Data'!D118</f>
        <v>82633298.018076941</v>
      </c>
      <c r="T130" s="3">
        <f>'Monthly Data'!J118</f>
        <v>818287.47120855993</v>
      </c>
      <c r="U130" s="3">
        <f>'Monthly Data'!P118</f>
        <v>20255998.744241707</v>
      </c>
      <c r="V130" s="3">
        <f>'Monthly Data'!V118</f>
        <v>80205046.317248002</v>
      </c>
      <c r="W130" s="3">
        <f>'Monthly Data'!AB118</f>
        <v>7686100.8399999999</v>
      </c>
      <c r="X130" s="3">
        <f>'Monthly Data'!AG118</f>
        <v>27475494.365572002</v>
      </c>
      <c r="Y130" s="3">
        <f>'Monthly Data'!BC118</f>
        <v>35075115.564343274</v>
      </c>
      <c r="Z130" s="3">
        <f>'Monthly Data'!BI118</f>
        <v>6948343.0878897365</v>
      </c>
      <c r="AA130" s="3">
        <f>'Monthly Data'!BO118</f>
        <v>27862082.350000001</v>
      </c>
      <c r="AB130" s="3">
        <f>'Monthly Data'!BU118</f>
        <v>6642315.3300000001</v>
      </c>
      <c r="EU130" s="682">
        <f ca="1">'Monthly Data'!FO118</f>
        <v>723.63906930494272</v>
      </c>
      <c r="EV130" s="682">
        <f ca="1">'Monthly Data'!FP118</f>
        <v>553.92318039382246</v>
      </c>
      <c r="EW130" s="682">
        <f ca="1">'Monthly Data'!FQ118</f>
        <v>2314.0183003412217</v>
      </c>
      <c r="EX130" s="682">
        <f ca="1">'Monthly Data'!FR118</f>
        <v>81828.073470414281</v>
      </c>
      <c r="EY130" s="682">
        <f ca="1">'Monthly Data'!FS118</f>
        <v>1609371.5236489261</v>
      </c>
      <c r="EZ130" s="682">
        <f ca="1">'Monthly Data'!FT118</f>
        <v>5915448.2997761993</v>
      </c>
      <c r="FA130" s="682">
        <f ca="1">'Monthly Data'!FX118</f>
        <v>808.47715713056789</v>
      </c>
      <c r="FB130" s="682">
        <f ca="1">'Monthly Data'!FY118</f>
        <v>2948.8099102002011</v>
      </c>
      <c r="FC130" s="682">
        <f ca="1">'Monthly Data'!FZ118</f>
        <v>79494.76008429224</v>
      </c>
      <c r="FD130" s="682">
        <f>'Monthly Data'!GA118</f>
        <v>98920.276666666672</v>
      </c>
    </row>
    <row r="131" spans="1:160">
      <c r="A131">
        <v>2024</v>
      </c>
      <c r="B131">
        <v>10</v>
      </c>
      <c r="C131" s="313">
        <v>295.94166666666661</v>
      </c>
      <c r="D131" s="313">
        <v>0</v>
      </c>
      <c r="E131" s="313">
        <v>233.94166666666658</v>
      </c>
      <c r="F131" s="313">
        <v>0</v>
      </c>
      <c r="G131" s="313">
        <v>174.98749999999998</v>
      </c>
      <c r="H131" s="313">
        <v>3.0458333333333378</v>
      </c>
      <c r="I131" s="313">
        <v>122.06250000000001</v>
      </c>
      <c r="J131" s="313">
        <v>12.120833333333337</v>
      </c>
      <c r="K131" s="313">
        <v>79.04583333333332</v>
      </c>
      <c r="L131" s="313">
        <v>31.104166666666679</v>
      </c>
      <c r="M131" s="313">
        <v>46.029166666666669</v>
      </c>
      <c r="N131" s="313">
        <v>60.087500000000006</v>
      </c>
      <c r="O131" s="313">
        <v>18.616666666666671</v>
      </c>
      <c r="P131" s="313">
        <v>94.675000000000011</v>
      </c>
      <c r="Q131" s="383">
        <v>10.453494623655915</v>
      </c>
      <c r="S131" s="3">
        <f>'Monthly Data'!D119</f>
        <v>72908134.109043688</v>
      </c>
      <c r="T131" s="3">
        <f>'Monthly Data'!J119</f>
        <v>929395.92331918713</v>
      </c>
      <c r="U131" s="3">
        <f>'Monthly Data'!P119</f>
        <v>19438285.949555848</v>
      </c>
      <c r="V131" s="3">
        <f>'Monthly Data'!V119</f>
        <v>77252086.307630002</v>
      </c>
      <c r="W131" s="3">
        <f>'Monthly Data'!AB119</f>
        <v>8174840.4900000002</v>
      </c>
      <c r="X131" s="3">
        <f>'Monthly Data'!AG119</f>
        <v>27216137.946850002</v>
      </c>
      <c r="Y131" s="3">
        <f>'Monthly Data'!BC119</f>
        <v>28309900.056605309</v>
      </c>
      <c r="Z131" s="3">
        <f>'Monthly Data'!BI119</f>
        <v>6625263.0535753397</v>
      </c>
      <c r="AA131" s="3">
        <f>'Monthly Data'!BO119</f>
        <v>27277779.640000001</v>
      </c>
      <c r="AB131" s="3">
        <f>'Monthly Data'!BU119</f>
        <v>6311924.96</v>
      </c>
      <c r="EU131" s="682">
        <f ca="1">'Monthly Data'!FO119</f>
        <v>633.19693591295982</v>
      </c>
      <c r="EV131" s="682">
        <f ca="1">'Monthly Data'!FP119</f>
        <v>625.32956550991355</v>
      </c>
      <c r="EW131" s="682">
        <f ca="1">'Monthly Data'!FQ119</f>
        <v>2228.8395455465507</v>
      </c>
      <c r="EX131" s="682">
        <f ca="1">'Monthly Data'!FR119</f>
        <v>78883.252724511956</v>
      </c>
      <c r="EY131" s="682">
        <f ca="1">'Monthly Data'!FS119</f>
        <v>1707858.282027344</v>
      </c>
      <c r="EZ131" s="682">
        <f ca="1">'Monthly Data'!FT119</f>
        <v>5866630.5096005853</v>
      </c>
      <c r="FA131" s="682">
        <f ca="1">'Monthly Data'!FX119</f>
        <v>659.78350031941977</v>
      </c>
      <c r="FB131" s="682">
        <f ca="1">'Monthly Data'!FY119</f>
        <v>2817.4512730147267</v>
      </c>
      <c r="FC131" s="682">
        <f ca="1">'Monthly Data'!FZ119</f>
        <v>77996.613481146283</v>
      </c>
      <c r="FD131" s="682">
        <f>'Monthly Data'!GA119</f>
        <v>115672.11666666665</v>
      </c>
    </row>
    <row r="132" spans="1:160">
      <c r="A132">
        <v>2024</v>
      </c>
      <c r="B132">
        <v>11</v>
      </c>
      <c r="C132" s="313">
        <v>426.29166666666663</v>
      </c>
      <c r="D132" s="313">
        <v>0</v>
      </c>
      <c r="E132" s="313">
        <v>366.29166666666663</v>
      </c>
      <c r="F132" s="313">
        <v>0</v>
      </c>
      <c r="G132" s="313">
        <v>307.79583333333329</v>
      </c>
      <c r="H132" s="313">
        <v>1.5041666666666629</v>
      </c>
      <c r="I132" s="313">
        <v>251.79583333333335</v>
      </c>
      <c r="J132" s="313">
        <v>5.5041666666666629</v>
      </c>
      <c r="K132" s="313">
        <v>195.79583333333335</v>
      </c>
      <c r="L132" s="313">
        <v>9.5041666666666629</v>
      </c>
      <c r="M132" s="313">
        <v>141.32083333333335</v>
      </c>
      <c r="N132" s="313">
        <v>15.029166666666661</v>
      </c>
      <c r="O132" s="313">
        <v>93.433333333333351</v>
      </c>
      <c r="P132" s="313">
        <v>27.141666666666666</v>
      </c>
      <c r="Q132" s="383">
        <v>5.790277777777777</v>
      </c>
      <c r="S132" s="3">
        <f>'Monthly Data'!D120</f>
        <v>77429583.459883168</v>
      </c>
      <c r="T132" s="3">
        <f>'Monthly Data'!J120</f>
        <v>907669.40523422451</v>
      </c>
      <c r="U132" s="3">
        <f>'Monthly Data'!P120</f>
        <v>19991632.431527995</v>
      </c>
      <c r="V132" s="3">
        <f>'Monthly Data'!V120</f>
        <v>75260775.116096005</v>
      </c>
      <c r="W132" s="3">
        <f>'Monthly Data'!AB120</f>
        <v>8069438.29</v>
      </c>
      <c r="X132" s="3">
        <f>'Monthly Data'!AG120</f>
        <v>26972176.637614001</v>
      </c>
      <c r="Y132" s="3">
        <f>'Monthly Data'!BC120</f>
        <v>29080383.421047464</v>
      </c>
      <c r="Z132" s="3">
        <f>'Monthly Data'!BI120</f>
        <v>6685310.0269476473</v>
      </c>
      <c r="AA132" s="3">
        <f>'Monthly Data'!BO120</f>
        <v>27362194.800000001</v>
      </c>
      <c r="AB132" s="3">
        <f>'Monthly Data'!BU120</f>
        <v>5948705.3099999996</v>
      </c>
      <c r="EU132" s="682">
        <f ca="1">'Monthly Data'!FO120</f>
        <v>666.0036520839717</v>
      </c>
      <c r="EV132" s="682">
        <f ca="1">'Monthly Data'!FP120</f>
        <v>611.63402842635992</v>
      </c>
      <c r="EW132" s="682">
        <f ca="1">'Monthly Data'!FQ120</f>
        <v>2287.9165488634712</v>
      </c>
      <c r="EX132" s="682">
        <f ca="1">'Monthly Data'!FR120</f>
        <v>76850.917104346416</v>
      </c>
      <c r="EY132" s="682">
        <f ca="1">'Monthly Data'!FS120</f>
        <v>1687516.6704057618</v>
      </c>
      <c r="EZ132" s="682">
        <f ca="1">'Monthly Data'!FT120</f>
        <v>5820891.7413221709</v>
      </c>
      <c r="FA132" s="682">
        <f ca="1">'Monthly Data'!FX120</f>
        <v>676.33802342509011</v>
      </c>
      <c r="FB132" s="682">
        <f ca="1">'Monthly Data'!FY120</f>
        <v>2841.2700922720041</v>
      </c>
      <c r="FC132" s="682">
        <f ca="1">'Monthly Data'!FZ120</f>
        <v>78216.149862738181</v>
      </c>
      <c r="FD132" s="682">
        <f>'Monthly Data'!GA120</f>
        <v>123825.19</v>
      </c>
    </row>
    <row r="133" spans="1:160">
      <c r="A133">
        <v>2024</v>
      </c>
      <c r="B133">
        <v>12</v>
      </c>
      <c r="C133" s="313">
        <v>660.57500000000016</v>
      </c>
      <c r="D133" s="313">
        <v>0</v>
      </c>
      <c r="E133" s="313">
        <v>598.57499999999993</v>
      </c>
      <c r="F133" s="313">
        <v>0</v>
      </c>
      <c r="G133" s="313">
        <v>536.57500000000005</v>
      </c>
      <c r="H133" s="313">
        <v>0</v>
      </c>
      <c r="I133" s="313">
        <v>474.57499999999999</v>
      </c>
      <c r="J133" s="313">
        <v>0</v>
      </c>
      <c r="K133" s="313">
        <v>412.57499999999999</v>
      </c>
      <c r="L133" s="313">
        <v>0</v>
      </c>
      <c r="M133" s="313">
        <v>350.57499999999993</v>
      </c>
      <c r="N133" s="313">
        <v>0</v>
      </c>
      <c r="O133" s="313">
        <v>288.57499999999993</v>
      </c>
      <c r="P133" s="313">
        <v>0</v>
      </c>
      <c r="Q133" s="383">
        <v>-1.3088709677419357</v>
      </c>
      <c r="S133" s="3">
        <f>'Monthly Data'!D121</f>
        <v>97582800.254233494</v>
      </c>
      <c r="T133" s="3">
        <f>'Monthly Data'!J121</f>
        <v>1134651.586581738</v>
      </c>
      <c r="U133" s="3">
        <f>'Monthly Data'!P121</f>
        <v>23171427.641835168</v>
      </c>
      <c r="V133" s="3">
        <f>'Monthly Data'!V121</f>
        <v>79038554.621171996</v>
      </c>
      <c r="W133" s="3">
        <f>'Monthly Data'!AB121</f>
        <v>8141909.3300000001</v>
      </c>
      <c r="X133" s="3">
        <f>'Monthly Data'!AG121</f>
        <v>26482785.545357998</v>
      </c>
      <c r="Y133" s="3">
        <f>'Monthly Data'!BC121</f>
        <v>35397606.196876086</v>
      </c>
      <c r="Z133" s="3">
        <f>'Monthly Data'!BI121</f>
        <v>7681678.5207804423</v>
      </c>
      <c r="AA133" s="3">
        <f>'Monthly Data'!BO121</f>
        <v>30184848.870000001</v>
      </c>
      <c r="AB133" s="3">
        <f>'Monthly Data'!BU121</f>
        <v>7058594.9900000002</v>
      </c>
      <c r="EU133" s="682">
        <f ca="1">'Monthly Data'!FO121</f>
        <v>827.47853338487562</v>
      </c>
      <c r="EV133" s="682">
        <f ca="1">'Monthly Data'!FP121</f>
        <v>757.36129203153746</v>
      </c>
      <c r="EW133" s="682">
        <f ca="1">'Monthly Data'!FQ121</f>
        <v>2623.2780159748422</v>
      </c>
      <c r="EX133" s="682">
        <f ca="1">'Monthly Data'!FR121</f>
        <v>80195.890568017334</v>
      </c>
      <c r="EY133" s="682">
        <f ca="1">'Monthly Data'!FS121</f>
        <v>1702749.7067841794</v>
      </c>
      <c r="EZ133" s="682">
        <f ca="1">'Monthly Data'!FT121</f>
        <v>5726067.0164397564</v>
      </c>
      <c r="FA133" s="682">
        <f ca="1">'Monthly Data'!FX121</f>
        <v>814.27801422919913</v>
      </c>
      <c r="FB133" s="682">
        <f ca="1">'Monthly Data'!FY121</f>
        <v>3243.6776960026805</v>
      </c>
      <c r="FC133" s="682">
        <f ca="1">'Monthly Data'!FZ121</f>
        <v>85456.530197686981</v>
      </c>
      <c r="FD133" s="682">
        <f>'Monthly Data'!GA121</f>
        <v>134336.68666666668</v>
      </c>
    </row>
  </sheetData>
  <mergeCells count="7">
    <mergeCell ref="BS59:BT59"/>
    <mergeCell ref="BG59:BH59"/>
    <mergeCell ref="BI59:BJ59"/>
    <mergeCell ref="BK59:BL59"/>
    <mergeCell ref="BM59:BN59"/>
    <mergeCell ref="BO59:BP59"/>
    <mergeCell ref="BQ59:BR5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2ED3-8252-47F3-B321-C3E31C54B1F4}">
  <sheetPr codeName="Sheet42">
    <tabColor rgb="FFFF0000"/>
  </sheetPr>
  <dimension ref="B1:V138"/>
  <sheetViews>
    <sheetView workbookViewId="0">
      <selection activeCell="L23" sqref="L23"/>
    </sheetView>
  </sheetViews>
  <sheetFormatPr defaultColWidth="8.42578125" defaultRowHeight="12.75"/>
  <cols>
    <col min="1" max="1" width="2.5703125" style="92" customWidth="1"/>
    <col min="2" max="2" width="23.42578125" style="92" bestFit="1" customWidth="1"/>
    <col min="3" max="5" width="12.5703125" style="92" bestFit="1" customWidth="1"/>
    <col min="6" max="6" width="14.5703125" style="92" bestFit="1" customWidth="1"/>
    <col min="7" max="7" width="13" style="92" bestFit="1" customWidth="1"/>
    <col min="8" max="8" width="12.5703125" style="92" bestFit="1" customWidth="1"/>
    <col min="9" max="9" width="13.140625" style="92" bestFit="1" customWidth="1"/>
    <col min="10" max="10" width="13.140625" style="92" customWidth="1"/>
    <col min="11" max="11" width="14.42578125" style="92" customWidth="1"/>
    <col min="12" max="12" width="13.42578125" style="92" customWidth="1"/>
    <col min="13" max="13" width="14.42578125" style="92" customWidth="1"/>
    <col min="14" max="14" width="13" style="92" bestFit="1" customWidth="1"/>
    <col min="15" max="15" width="14.42578125" style="92" customWidth="1"/>
    <col min="16" max="16" width="14" style="92" customWidth="1"/>
    <col min="17" max="17" width="13.5703125" style="92" customWidth="1"/>
    <col min="18" max="20" width="13" style="92" bestFit="1" customWidth="1"/>
    <col min="21" max="21" width="16.140625" style="92" customWidth="1"/>
    <col min="22" max="22" width="10" style="92" bestFit="1" customWidth="1"/>
    <col min="23" max="16384" width="8.42578125" style="92"/>
  </cols>
  <sheetData>
    <row r="1" spans="2:22" ht="16.5" thickBot="1">
      <c r="B1" s="71" t="s">
        <v>449</v>
      </c>
      <c r="C1" s="71" t="s">
        <v>376</v>
      </c>
    </row>
    <row r="2" spans="2:22">
      <c r="B2" s="70" t="s">
        <v>178</v>
      </c>
      <c r="C2" s="69" t="s">
        <v>476</v>
      </c>
      <c r="D2" s="69" t="s">
        <v>477</v>
      </c>
      <c r="E2" s="69" t="s">
        <v>478</v>
      </c>
      <c r="F2" s="69" t="s">
        <v>479</v>
      </c>
      <c r="G2" s="69" t="s">
        <v>480</v>
      </c>
      <c r="H2" s="69" t="s">
        <v>481</v>
      </c>
      <c r="I2" s="69" t="s">
        <v>482</v>
      </c>
      <c r="J2" s="69" t="s">
        <v>483</v>
      </c>
      <c r="K2" s="69" t="s">
        <v>484</v>
      </c>
      <c r="L2" s="69" t="s">
        <v>528</v>
      </c>
      <c r="M2" s="68" t="s">
        <v>529</v>
      </c>
      <c r="N2" s="69" t="s">
        <v>195</v>
      </c>
      <c r="O2" s="69" t="s">
        <v>196</v>
      </c>
      <c r="P2" s="69" t="s">
        <v>487</v>
      </c>
      <c r="Q2" s="69" t="s">
        <v>488</v>
      </c>
      <c r="R2" s="69" t="s">
        <v>489</v>
      </c>
      <c r="S2" s="69" t="s">
        <v>490</v>
      </c>
      <c r="T2" s="67" t="s">
        <v>491</v>
      </c>
    </row>
    <row r="3" spans="2:22">
      <c r="B3" s="66" t="str">
        <f>'Total Additional'!C4</f>
        <v>Residential</v>
      </c>
      <c r="C3" s="55">
        <f ca="1">OFFSET('Normalized Annual Summary'!$C$6,COLUMN()-COLUMN($C3),0)</f>
        <v>870387178.79194212</v>
      </c>
      <c r="D3" s="55">
        <f ca="1">OFFSET('Normalized Annual Summary'!$C$6,COLUMN()-COLUMN($C3),0)</f>
        <v>959221389.1347183</v>
      </c>
      <c r="E3" s="55">
        <f ca="1">OFFSET('Normalized Annual Summary'!$C$6,COLUMN()-COLUMN($C3),0)</f>
        <v>901971744.11813986</v>
      </c>
      <c r="F3" s="55">
        <f ca="1">OFFSET('Normalized Annual Summary'!$C$6,COLUMN()-COLUMN($C3),0)</f>
        <v>979700023.53915226</v>
      </c>
      <c r="G3" s="55">
        <f ca="1">OFFSET('Normalized Annual Summary'!$C$6,COLUMN()-COLUMN($C3),0)</f>
        <v>955759610.43615055</v>
      </c>
      <c r="H3" s="55">
        <f ca="1">OFFSET('Normalized Annual Summary'!$C$6,COLUMN()-COLUMN($C3),0)</f>
        <v>1034148021.2598839</v>
      </c>
      <c r="I3" s="55">
        <f ca="1">OFFSET('Normalized Annual Summary'!$C$6,COLUMN()-COLUMN($C3),0)</f>
        <v>1026240017.5725335</v>
      </c>
      <c r="J3" s="55">
        <f ca="1">OFFSET('Normalized Annual Summary'!$C$6,COLUMN()-COLUMN($C3),0)</f>
        <v>1017709390.8256538</v>
      </c>
      <c r="K3" s="55">
        <f ca="1">OFFSET('Normalized Annual Summary'!$C$6,COLUMN()-COLUMN($C3),0)</f>
        <v>1008624979.9975282</v>
      </c>
      <c r="L3" s="55">
        <f ca="1">OFFSET('Normalized Annual Summary'!$C$6,COLUMN()-COLUMN($C3),0)</f>
        <v>1052968776.2624577</v>
      </c>
      <c r="M3" s="55">
        <f ca="1">OFFSET('Normalized Annual Summary'!$J$14,COLUMN()-COLUMN($L3),0)</f>
        <v>1072021454.190488</v>
      </c>
      <c r="N3" s="55">
        <f ca="1">OFFSET('Normalized Annual Summary'!$J$14,COLUMN()-COLUMN($L3),0)</f>
        <v>1100921521.969846</v>
      </c>
      <c r="O3" s="55">
        <f ca="1">OFFSET('Normalized Annual Summary'!$J$14,COLUMN()-COLUMN($L3),0)</f>
        <v>1130955558.6094716</v>
      </c>
      <c r="P3" s="55">
        <f ca="1">OFFSET('Normalized Annual Summary'!$J$14,COLUMN()-COLUMN($L3),0)</f>
        <v>1162149247.7623448</v>
      </c>
      <c r="Q3" s="55">
        <f ca="1">OFFSET('Normalized Annual Summary'!$J$14,COLUMN()-COLUMN($L3),0)</f>
        <v>1195939031.6201279</v>
      </c>
      <c r="R3" s="55">
        <f ca="1">OFFSET('Normalized Annual Summary'!$J$14,COLUMN()-COLUMN($L3),0)</f>
        <v>1227873384.2322893</v>
      </c>
      <c r="S3" s="55">
        <f ca="1">OFFSET('Normalized Annual Summary'!$J$14,COLUMN()-COLUMN($L3),0)</f>
        <v>1265926072.510371</v>
      </c>
      <c r="T3" s="65">
        <f ca="1">OFFSET('Normalized Annual Summary'!$J$14,COLUMN()-COLUMN($L3),0)</f>
        <v>1305916275.3578732</v>
      </c>
    </row>
    <row r="4" spans="2:22">
      <c r="B4" s="64" t="str">
        <f>'Total Additional'!C5</f>
        <v>Residential Seasonal</v>
      </c>
      <c r="C4" s="55">
        <f ca="1">OFFSET('Normalized Annual Summary'!$M$6,COLUMN()-COLUMN($C4),0)</f>
        <v>9513187.7383200023</v>
      </c>
      <c r="D4" s="55">
        <f ca="1">OFFSET('Normalized Annual Summary'!$M$6,COLUMN()-COLUMN($C4),0)</f>
        <v>9487858.6249600016</v>
      </c>
      <c r="E4" s="55">
        <f ca="1">OFFSET('Normalized Annual Summary'!$M$6,COLUMN()-COLUMN($C4),0)</f>
        <v>9912683.662969999</v>
      </c>
      <c r="F4" s="55">
        <f ca="1">OFFSET('Normalized Annual Summary'!$M$6,COLUMN()-COLUMN($C4),0)</f>
        <v>10517338.461090002</v>
      </c>
      <c r="G4" s="55">
        <f ca="1">OFFSET('Normalized Annual Summary'!$M$6,COLUMN()-COLUMN($C4),0)</f>
        <v>10858188.68736</v>
      </c>
      <c r="H4" s="55">
        <f ca="1">OFFSET('Normalized Annual Summary'!$M$6,COLUMN()-COLUMN($C4),0)</f>
        <v>12379582.885860002</v>
      </c>
      <c r="I4" s="55">
        <f ca="1">OFFSET('Normalized Annual Summary'!$M$6,COLUMN()-COLUMN($C4),0)</f>
        <v>12593975.35183</v>
      </c>
      <c r="J4" s="55">
        <f ca="1">OFFSET('Normalized Annual Summary'!$M$6,COLUMN()-COLUMN($C4),0)</f>
        <v>12600240.583780002</v>
      </c>
      <c r="K4" s="55">
        <f ca="1">OFFSET('Normalized Annual Summary'!$M$6,COLUMN()-COLUMN($C4),0)</f>
        <v>12172613.888050001</v>
      </c>
      <c r="L4" s="55">
        <f ca="1">OFFSET('Normalized Annual Summary'!$M$6,COLUMN()-COLUMN($C4),0)</f>
        <v>12230713.602862934</v>
      </c>
      <c r="M4" s="55">
        <f ca="1">OFFSET('Normalized Annual Summary'!$T$14,COLUMN()-COLUMN($L4),0)</f>
        <v>12348786.74589261</v>
      </c>
      <c r="N4" s="55">
        <f ca="1">OFFSET('Normalized Annual Summary'!$T$14,COLUMN()-COLUMN($L4),0)</f>
        <v>12834574.130133457</v>
      </c>
      <c r="O4" s="55">
        <f ca="1">OFFSET('Normalized Annual Summary'!$T$14,COLUMN()-COLUMN($L4),0)</f>
        <v>13347474.341764932</v>
      </c>
      <c r="P4" s="55">
        <f ca="1">OFFSET('Normalized Annual Summary'!$T$14,COLUMN()-COLUMN($L4),0)</f>
        <v>13910847.33473875</v>
      </c>
      <c r="Q4" s="55">
        <f ca="1">OFFSET('Normalized Annual Summary'!$T$14,COLUMN()-COLUMN($L4),0)</f>
        <v>14405233.530786896</v>
      </c>
      <c r="R4" s="55">
        <f ca="1">OFFSET('Normalized Annual Summary'!$T$14,COLUMN()-COLUMN($L4),0)</f>
        <v>14963929.886097709</v>
      </c>
      <c r="S4" s="55">
        <f ca="1">OFFSET('Normalized Annual Summary'!$T$14,COLUMN()-COLUMN($L4),0)</f>
        <v>15608901.039753584</v>
      </c>
      <c r="T4" s="65">
        <f ca="1">OFFSET('Normalized Annual Summary'!$T$14,COLUMN()-COLUMN($L4),0)</f>
        <v>16199482.1583005</v>
      </c>
    </row>
    <row r="5" spans="2:22">
      <c r="B5" s="64" t="str">
        <f>'Total Additional'!C6</f>
        <v>GS&lt;50</v>
      </c>
      <c r="C5" s="55">
        <f ca="1">OFFSET('Normalized Annual Summary'!$W$6,COLUMN()-COLUMN($C5),0)</f>
        <v>268409342.55561978</v>
      </c>
      <c r="D5" s="55">
        <f ca="1">OFFSET('Normalized Annual Summary'!$W$6,COLUMN()-COLUMN($C5),0)</f>
        <v>284102093.54465967</v>
      </c>
      <c r="E5" s="55">
        <f ca="1">OFFSET('Normalized Annual Summary'!$W$6,COLUMN()-COLUMN($C5),0)</f>
        <v>273963830.4916901</v>
      </c>
      <c r="F5" s="55">
        <f ca="1">OFFSET('Normalized Annual Summary'!$W$6,COLUMN()-COLUMN($C5),0)</f>
        <v>280954109.73978019</v>
      </c>
      <c r="G5" s="55">
        <f ca="1">OFFSET('Normalized Annual Summary'!$W$6,COLUMN()-COLUMN($C5),0)</f>
        <v>289308515.85117018</v>
      </c>
      <c r="H5" s="55">
        <f ca="1">OFFSET('Normalized Annual Summary'!$W$6,COLUMN()-COLUMN($C5),0)</f>
        <v>266656241.54906043</v>
      </c>
      <c r="I5" s="55">
        <f ca="1">OFFSET('Normalized Annual Summary'!$W$6,COLUMN()-COLUMN($C5),0)</f>
        <v>265709797.19570994</v>
      </c>
      <c r="J5" s="55">
        <f ca="1">OFFSET('Normalized Annual Summary'!$W$6,COLUMN()-COLUMN($C5),0)</f>
        <v>278598120.57730973</v>
      </c>
      <c r="K5" s="55">
        <f ca="1">OFFSET('Normalized Annual Summary'!$W$6,COLUMN()-COLUMN($C5),0)</f>
        <v>276211527.25760943</v>
      </c>
      <c r="L5" s="55">
        <f ca="1">OFFSET('Normalized Annual Summary'!$W$6,COLUMN()-COLUMN($C5),0)</f>
        <v>257530700.52195185</v>
      </c>
      <c r="M5" s="55">
        <f ca="1">OFFSET('Normalized Annual Summary'!$AD$14,COLUMN()-COLUMN($L5),0)</f>
        <v>282858836.65561378</v>
      </c>
      <c r="N5" s="55">
        <f ca="1">OFFSET('Normalized Annual Summary'!$AD$14,COLUMN()-COLUMN($L5),0)</f>
        <v>286756279.47506201</v>
      </c>
      <c r="O5" s="55">
        <f ca="1">OFFSET('Normalized Annual Summary'!$AD$14,COLUMN()-COLUMN($L5),0)</f>
        <v>290654087.43456149</v>
      </c>
      <c r="P5" s="55">
        <f ca="1">OFFSET('Normalized Annual Summary'!$AD$14,COLUMN()-COLUMN($L5),0)</f>
        <v>295409951.03434849</v>
      </c>
      <c r="Q5" s="55">
        <f ca="1">OFFSET('Normalized Annual Summary'!$AD$14,COLUMN()-COLUMN($L5),0)</f>
        <v>299067202.93199492</v>
      </c>
      <c r="R5" s="55">
        <f ca="1">OFFSET('Normalized Annual Summary'!$AD$14,COLUMN()-COLUMN($L5),0)</f>
        <v>303636023.41424274</v>
      </c>
      <c r="S5" s="55">
        <f ca="1">OFFSET('Normalized Annual Summary'!$AD$14,COLUMN()-COLUMN($L5),0)</f>
        <v>308589835.18093765</v>
      </c>
      <c r="T5" s="65">
        <f ca="1">OFFSET('Normalized Annual Summary'!$AD$14,COLUMN()-COLUMN($L5),0)</f>
        <v>315198313.98346817</v>
      </c>
    </row>
    <row r="6" spans="2:22">
      <c r="B6" s="64" t="str">
        <f>'Total Additional'!C7</f>
        <v>GS 50 - 2,999</v>
      </c>
      <c r="C6" s="55">
        <f ca="1">OFFSET('Normalized Annual Summary'!$AG$6,COLUMN()-COLUMN($C6),0)</f>
        <v>950526710.68660581</v>
      </c>
      <c r="D6" s="55">
        <f ca="1">OFFSET('Normalized Annual Summary'!$AG$6,COLUMN()-COLUMN($C6),0)</f>
        <v>966717854.80000007</v>
      </c>
      <c r="E6" s="55">
        <f ca="1">OFFSET('Normalized Annual Summary'!$AG$6,COLUMN()-COLUMN($C6),0)</f>
        <v>944651265.3499999</v>
      </c>
      <c r="F6" s="55">
        <f ca="1">OFFSET('Normalized Annual Summary'!$AG$6,COLUMN()-COLUMN($C6),0)</f>
        <v>966857797.06000006</v>
      </c>
      <c r="G6" s="55">
        <f ca="1">OFFSET('Normalized Annual Summary'!$AG$6,COLUMN()-COLUMN($C6),0)</f>
        <v>943844507.63000011</v>
      </c>
      <c r="H6" s="55">
        <f ca="1">OFFSET('Normalized Annual Summary'!$AG$6,COLUMN()-COLUMN($C6),0)</f>
        <v>894106942.2700001</v>
      </c>
      <c r="I6" s="55">
        <f ca="1">OFFSET('Normalized Annual Summary'!$AG$6,COLUMN()-COLUMN($C6),0)</f>
        <v>916418748.80999994</v>
      </c>
      <c r="J6" s="55">
        <f ca="1">OFFSET('Normalized Annual Summary'!$AG$6,COLUMN()-COLUMN($C6),0)</f>
        <v>931880224.76000011</v>
      </c>
      <c r="K6" s="55">
        <f ca="1">OFFSET('Normalized Annual Summary'!$AG$6,COLUMN()-COLUMN($C6),0)</f>
        <v>927766309.05000007</v>
      </c>
      <c r="L6" s="55">
        <f ca="1">OFFSET('Normalized Annual Summary'!$AG$6,COLUMN()-COLUMN($C6),0)</f>
        <v>965931354.38279605</v>
      </c>
      <c r="M6" s="55">
        <f ca="1">OFFSET('Normalized Annual Summary'!$AN$14,COLUMN()-COLUMN($L6),0)</f>
        <v>935562053.74613178</v>
      </c>
      <c r="N6" s="55">
        <f ca="1">OFFSET('Normalized Annual Summary'!$AN$14,COLUMN()-COLUMN($L6),0)</f>
        <v>956730420.57967591</v>
      </c>
      <c r="O6" s="55">
        <f ca="1">OFFSET('Normalized Annual Summary'!$AN$14,COLUMN()-COLUMN($L6),0)</f>
        <v>1009274580.4096613</v>
      </c>
      <c r="P6" s="55">
        <f ca="1">OFFSET('Normalized Annual Summary'!$AN$14,COLUMN()-COLUMN($L6),0)</f>
        <v>1058827298.8922802</v>
      </c>
      <c r="Q6" s="55">
        <f ca="1">OFFSET('Normalized Annual Summary'!$AN$14,COLUMN()-COLUMN($L6),0)</f>
        <v>1093637917.7943132</v>
      </c>
      <c r="R6" s="55">
        <f ca="1">OFFSET('Normalized Annual Summary'!$AN$14,COLUMN()-COLUMN($L6),0)</f>
        <v>1116514669.0380874</v>
      </c>
      <c r="S6" s="55">
        <f ca="1">OFFSET('Normalized Annual Summary'!$AN$14,COLUMN()-COLUMN($L6),0)</f>
        <v>1133994827.0036874</v>
      </c>
      <c r="T6" s="65">
        <f ca="1">OFFSET('Normalized Annual Summary'!$AN$14,COLUMN()-COLUMN($L6),0)</f>
        <v>1161164064.1494517</v>
      </c>
    </row>
    <row r="7" spans="2:22">
      <c r="B7" s="64" t="str">
        <f>'Total Additional'!C8</f>
        <v>GS 3,000 - 4,999</v>
      </c>
      <c r="C7" s="55">
        <f ca="1">OFFSET('Normalized Annual Summary'!$AR$6,COLUMN()-COLUMN($C7),0)</f>
        <v>83062699.86432375</v>
      </c>
      <c r="D7" s="55">
        <f ca="1">OFFSET('Normalized Annual Summary'!$AR$6,COLUMN()-COLUMN($C7),0)</f>
        <v>81278308.774999991</v>
      </c>
      <c r="E7" s="55">
        <f ca="1">OFFSET('Normalized Annual Summary'!$AR$6,COLUMN()-COLUMN($C7),0)</f>
        <v>90758853.419999987</v>
      </c>
      <c r="F7" s="55">
        <f ca="1">OFFSET('Normalized Annual Summary'!$AR$6,COLUMN()-COLUMN($C7),0)</f>
        <v>83863297.689999998</v>
      </c>
      <c r="G7" s="55">
        <f ca="1">OFFSET('Normalized Annual Summary'!$AR$6,COLUMN()-COLUMN($C7),0)</f>
        <v>93267622.239999995</v>
      </c>
      <c r="H7" s="55">
        <f ca="1">OFFSET('Normalized Annual Summary'!$AR$6,COLUMN()-COLUMN($C7),0)</f>
        <v>89415660.890000015</v>
      </c>
      <c r="I7" s="55">
        <f ca="1">OFFSET('Normalized Annual Summary'!$AR$6,COLUMN()-COLUMN($C7),0)</f>
        <v>98129912.180000007</v>
      </c>
      <c r="J7" s="55">
        <f ca="1">OFFSET('Normalized Annual Summary'!$AR$6,COLUMN()-COLUMN($C7),0)</f>
        <v>108822585.41</v>
      </c>
      <c r="K7" s="55">
        <f ca="1">OFFSET('Normalized Annual Summary'!$AR$6,COLUMN()-COLUMN($C7),0)</f>
        <v>109703301.45</v>
      </c>
      <c r="L7" s="55">
        <f ca="1">OFFSET('Normalized Annual Summary'!$AR$6,COLUMN()-COLUMN($C7),0)</f>
        <v>98198227.430000007</v>
      </c>
      <c r="M7" s="55">
        <f ca="1">OFFSET('Normalized Annual Summary'!$AY$14,COLUMN()-COLUMN($L7),0)</f>
        <v>103098436.38779709</v>
      </c>
      <c r="N7" s="55">
        <f ca="1">OFFSET('Normalized Annual Summary'!$AY$14,COLUMN()-COLUMN($L7),0)</f>
        <v>125282808.39052375</v>
      </c>
      <c r="O7" s="55">
        <f ca="1">OFFSET('Normalized Annual Summary'!$AY$14,COLUMN()-COLUMN($L7),0)</f>
        <v>167021119.35500461</v>
      </c>
      <c r="P7" s="55">
        <f ca="1">OFFSET('Normalized Annual Summary'!$AY$14,COLUMN()-COLUMN($L7),0)</f>
        <v>191058679.49353778</v>
      </c>
      <c r="Q7" s="55">
        <f ca="1">OFFSET('Normalized Annual Summary'!$AY$14,COLUMN()-COLUMN($L7),0)</f>
        <v>200413892.0398683</v>
      </c>
      <c r="R7" s="55">
        <f ca="1">OFFSET('Normalized Annual Summary'!$AY$14,COLUMN()-COLUMN($L7),0)</f>
        <v>206693582.05160493</v>
      </c>
      <c r="S7" s="55">
        <f ca="1">OFFSET('Normalized Annual Summary'!$AY$14,COLUMN()-COLUMN($L7),0)</f>
        <v>212162972.40803963</v>
      </c>
      <c r="T7" s="65">
        <f ca="1">OFFSET('Normalized Annual Summary'!$AY$14,COLUMN()-COLUMN($L7),0)</f>
        <v>217920349.56035179</v>
      </c>
    </row>
    <row r="8" spans="2:22">
      <c r="B8" s="64" t="str">
        <f>'Total Additional'!C9</f>
        <v>Large Use</v>
      </c>
      <c r="C8" s="55">
        <f ca="1">OFFSET('Normalized Annual Summary'!$BC$6,COLUMN()-COLUMN($C8),0)</f>
        <v>210460829.48535237</v>
      </c>
      <c r="D8" s="55">
        <f ca="1">OFFSET('Normalized Annual Summary'!$BC$6,COLUMN()-COLUMN($C8),0)</f>
        <v>215800519.09</v>
      </c>
      <c r="E8" s="55">
        <f ca="1">OFFSET('Normalized Annual Summary'!$BC$6,COLUMN()-COLUMN($C8),0)</f>
        <v>223859611.13000003</v>
      </c>
      <c r="F8" s="55">
        <f ca="1">OFFSET('Normalized Annual Summary'!$BC$6,COLUMN()-COLUMN($C8),0)</f>
        <v>250221085.47000003</v>
      </c>
      <c r="G8" s="55">
        <f ca="1">OFFSET('Normalized Annual Summary'!$BC$6,COLUMN()-COLUMN($C8),0)</f>
        <v>259592384.06</v>
      </c>
      <c r="H8" s="55">
        <f ca="1">OFFSET('Normalized Annual Summary'!$BC$6,COLUMN()-COLUMN($C8),0)</f>
        <v>264242586.03</v>
      </c>
      <c r="I8" s="55">
        <f ca="1">OFFSET('Normalized Annual Summary'!$BC$6,COLUMN()-COLUMN($C8),0)</f>
        <v>284809430.72000003</v>
      </c>
      <c r="J8" s="55">
        <f ca="1">OFFSET('Normalized Annual Summary'!$BC$6,COLUMN()-COLUMN($C8),0)</f>
        <v>289202900.55000001</v>
      </c>
      <c r="K8" s="55">
        <f ca="1">OFFSET('Normalized Annual Summary'!$BC$6,COLUMN()-COLUMN($C8),0)</f>
        <v>303910758.94632399</v>
      </c>
      <c r="L8" s="55">
        <f ca="1">OFFSET('Normalized Annual Summary'!$BC$6,COLUMN()-COLUMN($C8),0)</f>
        <v>321893041.52938205</v>
      </c>
      <c r="M8" s="55">
        <f ca="1">OFFSET('Normalized Annual Summary'!$BJ$14,COLUMN()-COLUMN($L8),0)</f>
        <v>314713652.61928004</v>
      </c>
      <c r="N8" s="55">
        <f ca="1">OFFSET('Normalized Annual Summary'!$BJ$14,COLUMN()-COLUMN($L8),0)</f>
        <v>338004940.25230598</v>
      </c>
      <c r="O8" s="55">
        <f ca="1">OFFSET('Normalized Annual Summary'!$BJ$14,COLUMN()-COLUMN($L8),0)</f>
        <v>373570916.05862993</v>
      </c>
      <c r="P8" s="55">
        <f ca="1">OFFSET('Normalized Annual Summary'!$BJ$14,COLUMN()-COLUMN($L8),0)</f>
        <v>428923191.76795107</v>
      </c>
      <c r="Q8" s="55">
        <f ca="1">OFFSET('Normalized Annual Summary'!$BJ$14,COLUMN()-COLUMN($L8),0)</f>
        <v>530841633.0666129</v>
      </c>
      <c r="R8" s="55">
        <f ca="1">OFFSET('Normalized Annual Summary'!$BJ$14,COLUMN()-COLUMN($L8),0)</f>
        <v>610486596.59660208</v>
      </c>
      <c r="S8" s="55">
        <f ca="1">OFFSET('Normalized Annual Summary'!$BJ$14,COLUMN()-COLUMN($L8),0)</f>
        <v>645516919.45869923</v>
      </c>
      <c r="T8" s="65">
        <f ca="1">OFFSET('Normalized Annual Summary'!$BJ$14,COLUMN()-COLUMN($L8),0)</f>
        <v>667506562.35148895</v>
      </c>
    </row>
    <row r="9" spans="2:22">
      <c r="B9" s="64" t="s">
        <v>193</v>
      </c>
      <c r="C9" s="55">
        <f ca="1">OFFSET('Normalized Annual Summary'!$BN$6,COLUMN()-COLUMN($C9),0)</f>
        <v>21466090.209724449</v>
      </c>
      <c r="D9" s="55">
        <f ca="1">OFFSET('Normalized Annual Summary'!$BN$6,COLUMN()-COLUMN($C9),0)</f>
        <v>21694274.73</v>
      </c>
      <c r="E9" s="55">
        <f ca="1">OFFSET('Normalized Annual Summary'!$BN$6,COLUMN()-COLUMN($C9),0)</f>
        <v>20460691.740000002</v>
      </c>
      <c r="F9" s="55">
        <f ca="1">OFFSET('Normalized Annual Summary'!$BN$6,COLUMN()-COLUMN($C9),0)</f>
        <v>16161422.92</v>
      </c>
      <c r="G9" s="55">
        <f ca="1">OFFSET('Normalized Annual Summary'!$BN$6,COLUMN()-COLUMN($C9),0)</f>
        <v>13788944.16</v>
      </c>
      <c r="H9" s="55">
        <f ca="1">OFFSET('Normalized Annual Summary'!$BN$6,COLUMN()-COLUMN($C9),0)</f>
        <v>11924083.520000001</v>
      </c>
      <c r="I9" s="55">
        <f ca="1">OFFSET('Normalized Annual Summary'!$BN$6,COLUMN()-COLUMN($C9),0)</f>
        <v>11682342.399999999</v>
      </c>
      <c r="J9" s="55">
        <f ca="1">OFFSET('Normalized Annual Summary'!$BN$6,COLUMN()-COLUMN($C9),0)</f>
        <v>11643673.439999999</v>
      </c>
      <c r="K9" s="55">
        <f ca="1">OFFSET('Normalized Annual Summary'!$BN$6,COLUMN()-COLUMN($C9),0)</f>
        <v>11868526.83</v>
      </c>
      <c r="L9" s="55">
        <f ca="1">OFFSET('Normalized Annual Summary'!$BN$6,COLUMN()-COLUMN($C9),0)</f>
        <v>12144394.529999999</v>
      </c>
      <c r="M9" s="55">
        <f ca="1">OFFSET('Normalized Annual Summary'!$BQ$14,COLUMN()-COLUMN($L9),0)</f>
        <v>12144394.529999999</v>
      </c>
      <c r="N9" s="55">
        <f ca="1">OFFSET('Normalized Annual Summary'!$BQ$14,COLUMN()-COLUMN($L9),0)</f>
        <v>12269224.120433811</v>
      </c>
      <c r="O9" s="55">
        <f ca="1">OFFSET('Normalized Annual Summary'!$BQ$14,COLUMN()-COLUMN($L9),0)</f>
        <v>12395336.807082044</v>
      </c>
      <c r="P9" s="55">
        <f ca="1">OFFSET('Normalized Annual Summary'!$BQ$14,COLUMN()-COLUMN($L9),0)</f>
        <v>12522745.778611662</v>
      </c>
      <c r="Q9" s="55">
        <f ca="1">OFFSET('Normalized Annual Summary'!$BQ$14,COLUMN()-COLUMN($L9),0)</f>
        <v>12651464.359253068</v>
      </c>
      <c r="R9" s="55">
        <f ca="1">OFFSET('Normalized Annual Summary'!$BQ$14,COLUMN()-COLUMN($L9),0)</f>
        <v>12781506.01019353</v>
      </c>
      <c r="S9" s="55">
        <f ca="1">OFFSET('Normalized Annual Summary'!$BQ$14,COLUMN()-COLUMN($L9),0)</f>
        <v>12912884.330984939</v>
      </c>
      <c r="T9" s="65">
        <f ca="1">OFFSET('Normalized Annual Summary'!$BQ$14,COLUMN()-COLUMN($L9),0)</f>
        <v>13045613.060966017</v>
      </c>
    </row>
    <row r="10" spans="2:22">
      <c r="B10" s="64" t="s">
        <v>396</v>
      </c>
      <c r="C10" s="55">
        <f ca="1">AVERAGE($E$10:$G$10)/AVERAGE($E$60:$G$60)*C60</f>
        <v>345481.80950777204</v>
      </c>
      <c r="D10" s="55">
        <f ca="1">AVERAGE($E$10:$G$10)/AVERAGE($E$60:$G$60)*D60</f>
        <v>345481.80950777204</v>
      </c>
      <c r="E10" s="55">
        <f ca="1">OFFSET('Normalized Annual Summary'!$BU$6,COLUMN()-COLUMN($C10),0)</f>
        <v>311450.02999999997</v>
      </c>
      <c r="F10" s="55">
        <f ca="1">OFFSET('Normalized Annual Summary'!$BU$6,COLUMN()-COLUMN($C10),0)</f>
        <v>247862.16999999998</v>
      </c>
      <c r="G10" s="55">
        <f ca="1">OFFSET('Normalized Annual Summary'!$BU$6,COLUMN()-COLUMN($C10),0)</f>
        <v>229776.43000000002</v>
      </c>
      <c r="H10" s="55">
        <f ca="1">OFFSET('Normalized Annual Summary'!$BU$6,COLUMN()-COLUMN($C10),0)</f>
        <v>229649.84000000003</v>
      </c>
      <c r="I10" s="55">
        <f ca="1">OFFSET('Normalized Annual Summary'!$BU$6,COLUMN()-COLUMN($C10),0)</f>
        <v>227251.3</v>
      </c>
      <c r="J10" s="55">
        <f ca="1">OFFSET('Normalized Annual Summary'!$BU$6,COLUMN()-COLUMN($C10),0)</f>
        <v>216445.25</v>
      </c>
      <c r="K10" s="55">
        <f ca="1">OFFSET('Normalized Annual Summary'!$BU$6,COLUMN()-COLUMN($C10),0)</f>
        <v>218811.02999999997</v>
      </c>
      <c r="L10" s="55">
        <f ca="1">OFFSET('Normalized Annual Summary'!$BU$6,COLUMN()-COLUMN($C10),0)</f>
        <v>216725.99999999994</v>
      </c>
      <c r="M10" s="55">
        <f ca="1">OFFSET('Normalized Annual Summary'!$BX$14,COLUMN()-COLUMN($L10),0)</f>
        <v>216725.99999999994</v>
      </c>
      <c r="N10" s="55">
        <f ca="1">OFFSET('Normalized Annual Summary'!$BX$14,COLUMN()-COLUMN($L10),0)</f>
        <v>213059.04438813563</v>
      </c>
      <c r="O10" s="55">
        <f ca="1">OFFSET('Normalized Annual Summary'!$BX$14,COLUMN()-COLUMN($L10),0)</f>
        <v>209454.13284786118</v>
      </c>
      <c r="P10" s="55">
        <f ca="1">OFFSET('Normalized Annual Summary'!$BX$14,COLUMN()-COLUMN($L10),0)</f>
        <v>205910.21560731487</v>
      </c>
      <c r="Q10" s="55">
        <f ca="1">OFFSET('Normalized Annual Summary'!$BX$14,COLUMN()-COLUMN($L10),0)</f>
        <v>202426.26065654092</v>
      </c>
      <c r="R10" s="55">
        <f ca="1">OFFSET('Normalized Annual Summary'!$BX$14,COLUMN()-COLUMN($L10),0)</f>
        <v>199001.25344696196</v>
      </c>
      <c r="S10" s="55">
        <f ca="1">OFFSET('Normalized Annual Summary'!$BX$14,COLUMN()-COLUMN($L10),0)</f>
        <v>195634.19659593637</v>
      </c>
      <c r="T10" s="65">
        <f ca="1">OFFSET('Normalized Annual Summary'!$BX$14,COLUMN()-COLUMN($L10),0)</f>
        <v>192324.10959631458</v>
      </c>
    </row>
    <row r="11" spans="2:22">
      <c r="B11" s="64" t="s">
        <v>64</v>
      </c>
      <c r="C11" s="55">
        <f ca="1">OFFSET('Normalized Annual Summary'!$CB$6,COLUMN()-COLUMN($C11),0)</f>
        <v>5083749.959999999</v>
      </c>
      <c r="D11" s="55">
        <f ca="1">OFFSET('Normalized Annual Summary'!$CB$6,COLUMN()-COLUMN($C11),0)</f>
        <v>4975743.38</v>
      </c>
      <c r="E11" s="55">
        <f ca="1">OFFSET('Normalized Annual Summary'!$CB$6,COLUMN()-COLUMN($C11),0)</f>
        <v>4919673.07</v>
      </c>
      <c r="F11" s="55">
        <f ca="1">OFFSET('Normalized Annual Summary'!$CB$6,COLUMN()-COLUMN($C11),0)</f>
        <v>4890679</v>
      </c>
      <c r="G11" s="55">
        <f ca="1">OFFSET('Normalized Annual Summary'!$CB$6,COLUMN()-COLUMN($C11),0)</f>
        <v>4846041.4799999995</v>
      </c>
      <c r="H11" s="55">
        <f ca="1">OFFSET('Normalized Annual Summary'!$CB$6,COLUMN()-COLUMN($C11),0)</f>
        <v>4814697.32</v>
      </c>
      <c r="I11" s="55">
        <f ca="1">OFFSET('Normalized Annual Summary'!$CB$6,COLUMN()-COLUMN($C11),0)</f>
        <v>4782281.78</v>
      </c>
      <c r="J11" s="55">
        <f ca="1">OFFSET('Normalized Annual Summary'!$CB$6,COLUMN()-COLUMN($C11),0)</f>
        <v>4773215.28</v>
      </c>
      <c r="K11" s="55">
        <f ca="1">OFFSET('Normalized Annual Summary'!$CB$6,COLUMN()-COLUMN($C11),0)</f>
        <v>4755033.3099999996</v>
      </c>
      <c r="L11" s="55">
        <f ca="1">OFFSET('Normalized Annual Summary'!$CB$6,COLUMN()-COLUMN($C11),0)</f>
        <v>4744114.4700000007</v>
      </c>
      <c r="M11" s="55">
        <f ca="1">OFFSET('Normalized Annual Summary'!$CE$14,COLUMN()-COLUMN($L11),0)</f>
        <v>4744114.4700000007</v>
      </c>
      <c r="N11" s="55">
        <f ca="1">OFFSET('Normalized Annual Summary'!$CE$14,COLUMN()-COLUMN($L11),0)</f>
        <v>4568421.3099587467</v>
      </c>
      <c r="O11" s="55">
        <f ca="1">OFFSET('Normalized Annual Summary'!$CE$14,COLUMN()-COLUMN($L11),0)</f>
        <v>4505369.3749406869</v>
      </c>
      <c r="P11" s="55">
        <f ca="1">OFFSET('Normalized Annual Summary'!$CE$14,COLUMN()-COLUMN($L11),0)</f>
        <v>4443187.6631879052</v>
      </c>
      <c r="Q11" s="55">
        <f ca="1">OFFSET('Normalized Annual Summary'!$CE$14,COLUMN()-COLUMN($L11),0)</f>
        <v>4381864.1641486054</v>
      </c>
      <c r="R11" s="55">
        <f ca="1">OFFSET('Normalized Annual Summary'!$CE$14,COLUMN()-COLUMN($L11),0)</f>
        <v>4321387.0330369044</v>
      </c>
      <c r="S11" s="55">
        <f ca="1">OFFSET('Normalized Annual Summary'!$CE$14,COLUMN()-COLUMN($L11),0)</f>
        <v>4261744.5885449816</v>
      </c>
      <c r="T11" s="65">
        <f ca="1">OFFSET('Normalized Annual Summary'!$CE$14,COLUMN()-COLUMN($L11),0)</f>
        <v>4202925.3105868073</v>
      </c>
    </row>
    <row r="12" spans="2:22" ht="13.5" thickBot="1">
      <c r="B12" s="63" t="s">
        <v>65</v>
      </c>
      <c r="C12" s="62">
        <f t="shared" ref="C12:T12" ca="1" si="0">SUM(C3:C11)</f>
        <v>2419255271.1013961</v>
      </c>
      <c r="D12" s="62">
        <f t="shared" ca="1" si="0"/>
        <v>2543623523.8888464</v>
      </c>
      <c r="E12" s="62">
        <f t="shared" ca="1" si="0"/>
        <v>2470809803.0128002</v>
      </c>
      <c r="F12" s="62">
        <f ca="1">SUM(F3:F11)</f>
        <v>2593413616.0500231</v>
      </c>
      <c r="G12" s="62">
        <f t="shared" ca="1" si="0"/>
        <v>2571495590.9746804</v>
      </c>
      <c r="H12" s="62">
        <f t="shared" ca="1" si="0"/>
        <v>2577917465.5648046</v>
      </c>
      <c r="I12" s="62">
        <f t="shared" ca="1" si="0"/>
        <v>2620593757.3100739</v>
      </c>
      <c r="J12" s="62">
        <f t="shared" ca="1" si="0"/>
        <v>2655446796.676744</v>
      </c>
      <c r="K12" s="62">
        <f t="shared" ca="1" si="0"/>
        <v>2655231861.7595115</v>
      </c>
      <c r="L12" s="62">
        <f ca="1">SUM(L3:L11)</f>
        <v>2725858048.7294507</v>
      </c>
      <c r="M12" s="61">
        <f t="shared" ca="1" si="0"/>
        <v>2737708455.3452029</v>
      </c>
      <c r="N12" s="61">
        <f t="shared" ca="1" si="0"/>
        <v>2837581249.2723284</v>
      </c>
      <c r="O12" s="61">
        <f t="shared" ca="1" si="0"/>
        <v>3001933896.5239649</v>
      </c>
      <c r="P12" s="61">
        <f t="shared" ca="1" si="0"/>
        <v>3167451059.9426079</v>
      </c>
      <c r="Q12" s="61">
        <f t="shared" ca="1" si="0"/>
        <v>3351540665.7677622</v>
      </c>
      <c r="R12" s="61">
        <f t="shared" ca="1" si="0"/>
        <v>3497470079.5156007</v>
      </c>
      <c r="S12" s="61">
        <f t="shared" ca="1" si="0"/>
        <v>3599169790.7176147</v>
      </c>
      <c r="T12" s="54">
        <f t="shared" ca="1" si="0"/>
        <v>3701345910.0420837</v>
      </c>
      <c r="V12" s="372"/>
    </row>
    <row r="13" spans="2:22">
      <c r="V13" s="372"/>
    </row>
    <row r="14" spans="2:22" ht="16.5" thickBot="1">
      <c r="B14" s="71" t="s">
        <v>449</v>
      </c>
      <c r="C14" s="71" t="s">
        <v>352</v>
      </c>
    </row>
    <row r="15" spans="2:22">
      <c r="B15" s="70" t="s">
        <v>178</v>
      </c>
      <c r="C15" s="69" t="s">
        <v>476</v>
      </c>
      <c r="D15" s="69" t="s">
        <v>477</v>
      </c>
      <c r="E15" s="69" t="s">
        <v>478</v>
      </c>
      <c r="F15" s="69" t="s">
        <v>479</v>
      </c>
      <c r="G15" s="69" t="s">
        <v>480</v>
      </c>
      <c r="H15" s="69" t="s">
        <v>481</v>
      </c>
      <c r="I15" s="69" t="s">
        <v>482</v>
      </c>
      <c r="J15" s="69" t="s">
        <v>483</v>
      </c>
      <c r="K15" s="69" t="s">
        <v>484</v>
      </c>
      <c r="L15" s="69" t="s">
        <v>528</v>
      </c>
      <c r="M15" s="68" t="s">
        <v>529</v>
      </c>
      <c r="N15" s="69" t="s">
        <v>195</v>
      </c>
      <c r="O15" s="69" t="s">
        <v>196</v>
      </c>
      <c r="P15" s="69" t="s">
        <v>487</v>
      </c>
      <c r="Q15" s="69" t="s">
        <v>488</v>
      </c>
      <c r="R15" s="69" t="s">
        <v>489</v>
      </c>
      <c r="S15" s="69" t="s">
        <v>490</v>
      </c>
      <c r="T15" s="67" t="s">
        <v>491</v>
      </c>
    </row>
    <row r="16" spans="2:22">
      <c r="B16" s="66" t="str">
        <f>'Total Additional'!C35</f>
        <v>Residential</v>
      </c>
      <c r="C16" s="55">
        <f ca="1">OFFSET('Normalized Annual Summary'!$CK$6,COLUMN()-COLUMN($C16),0)</f>
        <v>338703899.02863026</v>
      </c>
      <c r="D16" s="55">
        <f ca="1">OFFSET('Normalized Annual Summary'!$CK$6,COLUMN()-COLUMN($C16),0)</f>
        <v>370346014.4023304</v>
      </c>
      <c r="E16" s="55">
        <f ca="1">OFFSET('Normalized Annual Summary'!$CK$6,COLUMN()-COLUMN($C16),0)</f>
        <v>342395880.86244047</v>
      </c>
      <c r="F16" s="55">
        <f ca="1">OFFSET('Normalized Annual Summary'!$CK$6,COLUMN()-COLUMN($C16),0)</f>
        <v>368689346.9634791</v>
      </c>
      <c r="G16" s="55">
        <f ca="1">OFFSET('Normalized Annual Summary'!$CK$6,COLUMN()-COLUMN($C16),0)</f>
        <v>353188013.54001999</v>
      </c>
      <c r="H16" s="55">
        <f ca="1">OFFSET('Normalized Annual Summary'!$CK$6,COLUMN()-COLUMN($C16),0)</f>
        <v>393916006.9360795</v>
      </c>
      <c r="I16" s="55">
        <f ca="1">OFFSET('Normalized Annual Summary'!$CK$6,COLUMN()-COLUMN($C16),0)</f>
        <v>395025787.98234016</v>
      </c>
      <c r="J16" s="55">
        <f ca="1">OFFSET('Normalized Annual Summary'!$CK$6,COLUMN()-COLUMN($C16),0)</f>
        <v>393586007.66831976</v>
      </c>
      <c r="K16" s="55">
        <f ca="1">OFFSET('Normalized Annual Summary'!$CK$6,COLUMN()-COLUMN($C16),0)</f>
        <v>392504225.69293898</v>
      </c>
      <c r="L16" s="55">
        <f ca="1">OFFSET('Normalized Annual Summary'!$CK$6,COLUMN()-COLUMN($C16),0)</f>
        <v>410753366.73417681</v>
      </c>
      <c r="M16" s="55">
        <f ca="1">OFFSET('Normalized Annual Summary'!$CR$14,COLUMN()-COLUMN($L16),0)</f>
        <v>411759522.22110844</v>
      </c>
      <c r="N16" s="55">
        <f ca="1">OFFSET('Normalized Annual Summary'!$CR$14,COLUMN()-COLUMN($L16),0)</f>
        <v>423136209.79578412</v>
      </c>
      <c r="O16" s="55">
        <f ca="1">OFFSET('Normalized Annual Summary'!$CR$14,COLUMN()-COLUMN($L16),0)</f>
        <v>434855421.37029326</v>
      </c>
      <c r="P16" s="55">
        <f ca="1">OFFSET('Normalized Annual Summary'!$CR$14,COLUMN()-COLUMN($L16),0)</f>
        <v>447861754.19012976</v>
      </c>
      <c r="Q16" s="55">
        <f ca="1">OFFSET('Normalized Annual Summary'!$CR$14,COLUMN()-COLUMN($L16),0)</f>
        <v>459376871.31126744</v>
      </c>
      <c r="R16" s="55">
        <f ca="1">OFFSET('Normalized Annual Summary'!$CR$14,COLUMN()-COLUMN($L16),0)</f>
        <v>472301249.26622075</v>
      </c>
      <c r="S16" s="55">
        <f ca="1">OFFSET('Normalized Annual Summary'!$CR$14,COLUMN()-COLUMN($L16),0)</f>
        <v>488093153.42331409</v>
      </c>
      <c r="T16" s="65">
        <f ca="1">OFFSET('Normalized Annual Summary'!$CR$14,COLUMN()-COLUMN($L16),0)</f>
        <v>502390530.34837389</v>
      </c>
    </row>
    <row r="17" spans="2:20">
      <c r="B17" s="64" t="str">
        <f>'Total Additional'!C36</f>
        <v>GS&lt;50</v>
      </c>
      <c r="C17" s="55">
        <f ca="1">OFFSET('Normalized Annual Summary'!$CU$6,COLUMN()-COLUMN($C17),0)</f>
        <v>79714047.749680027</v>
      </c>
      <c r="D17" s="55">
        <f ca="1">OFFSET('Normalized Annual Summary'!$CU$6,COLUMN()-COLUMN($C17),0)</f>
        <v>89219216.553899974</v>
      </c>
      <c r="E17" s="55">
        <f ca="1">OFFSET('Normalized Annual Summary'!$CU$6,COLUMN()-COLUMN($C17),0)</f>
        <v>87028896.619829968</v>
      </c>
      <c r="F17" s="55">
        <f ca="1">OFFSET('Normalized Annual Summary'!$CU$6,COLUMN()-COLUMN($C17),0)</f>
        <v>90146107.58235006</v>
      </c>
      <c r="G17" s="55">
        <f ca="1">OFFSET('Normalized Annual Summary'!$CU$6,COLUMN()-COLUMN($C17),0)</f>
        <v>89224578.835409939</v>
      </c>
      <c r="H17" s="55">
        <f ca="1">OFFSET('Normalized Annual Summary'!$CU$6,COLUMN()-COLUMN($C17),0)</f>
        <v>81674844.845230013</v>
      </c>
      <c r="I17" s="55">
        <f ca="1">OFFSET('Normalized Annual Summary'!$CU$6,COLUMN()-COLUMN($C17),0)</f>
        <v>82555807.732179999</v>
      </c>
      <c r="J17" s="55">
        <f ca="1">OFFSET('Normalized Annual Summary'!$CU$6,COLUMN()-COLUMN($C17),0)</f>
        <v>87488274.475439951</v>
      </c>
      <c r="K17" s="55">
        <f ca="1">OFFSET('Normalized Annual Summary'!$CU$6,COLUMN()-COLUMN($C17),0)</f>
        <v>88772162.724419996</v>
      </c>
      <c r="L17" s="55">
        <f ca="1">OFFSET('Normalized Annual Summary'!$CU$6,COLUMN()-COLUMN($C17),0)</f>
        <v>88408717.91074124</v>
      </c>
      <c r="M17" s="55">
        <f ca="1">OFFSET('Normalized Annual Summary'!$DB$14,COLUMN()-COLUMN($L17),0)</f>
        <v>91781432.266853184</v>
      </c>
      <c r="N17" s="55">
        <f ca="1">OFFSET('Normalized Annual Summary'!$DB$14,COLUMN()-COLUMN($L17),0)</f>
        <v>92896584.464930475</v>
      </c>
      <c r="O17" s="55">
        <f ca="1">OFFSET('Normalized Annual Summary'!$DB$14,COLUMN()-COLUMN($L17),0)</f>
        <v>93922026.624372616</v>
      </c>
      <c r="P17" s="55">
        <f ca="1">OFFSET('Normalized Annual Summary'!$DB$14,COLUMN()-COLUMN($L17),0)</f>
        <v>95337869.485193223</v>
      </c>
      <c r="Q17" s="55">
        <f ca="1">OFFSET('Normalized Annual Summary'!$DB$14,COLUMN()-COLUMN($L17),0)</f>
        <v>96360968.805483773</v>
      </c>
      <c r="R17" s="55">
        <f ca="1">OFFSET('Normalized Annual Summary'!$DB$14,COLUMN()-COLUMN($L17),0)</f>
        <v>97655547.719699606</v>
      </c>
      <c r="S17" s="55">
        <f ca="1">OFFSET('Normalized Annual Summary'!$DB$14,COLUMN()-COLUMN($L17),0)</f>
        <v>99082285.676707745</v>
      </c>
      <c r="T17" s="65">
        <f ca="1">OFFSET('Normalized Annual Summary'!$DB$14,COLUMN()-COLUMN($L17),0)</f>
        <v>100654398.2777067</v>
      </c>
    </row>
    <row r="18" spans="2:20">
      <c r="B18" s="64" t="str">
        <f>'Total Additional'!C37</f>
        <v>GS 50 - 2,999</v>
      </c>
      <c r="C18" s="55">
        <f ca="1">OFFSET('Normalized Annual Summary'!$DE$6,COLUMN()-COLUMN($C18),0)</f>
        <v>352899431.06331873</v>
      </c>
      <c r="D18" s="55">
        <f ca="1">OFFSET('Normalized Annual Summary'!$DE$6,COLUMN()-COLUMN($C18),0)</f>
        <v>358773984.16000003</v>
      </c>
      <c r="E18" s="55">
        <f ca="1">OFFSET('Normalized Annual Summary'!$DE$6,COLUMN()-COLUMN($C18),0)</f>
        <v>343423307.15999997</v>
      </c>
      <c r="F18" s="55">
        <f ca="1">OFFSET('Normalized Annual Summary'!$DE$6,COLUMN()-COLUMN($C18),0)</f>
        <v>350668948.01999998</v>
      </c>
      <c r="G18" s="55">
        <f ca="1">OFFSET('Normalized Annual Summary'!$DE$6,COLUMN()-COLUMN($C18),0)</f>
        <v>339922011.33999991</v>
      </c>
      <c r="H18" s="55">
        <f ca="1">OFFSET('Normalized Annual Summary'!$DE$6,COLUMN()-COLUMN($C18),0)</f>
        <v>322964211.5</v>
      </c>
      <c r="I18" s="55">
        <f ca="1">OFFSET('Normalized Annual Summary'!$DE$6,COLUMN()-COLUMN($C18),0)</f>
        <v>317381493.69</v>
      </c>
      <c r="J18" s="55">
        <f ca="1">OFFSET('Normalized Annual Summary'!$DE$6,COLUMN()-COLUMN($C18),0)</f>
        <v>327733925.63999999</v>
      </c>
      <c r="K18" s="55">
        <f ca="1">OFFSET('Normalized Annual Summary'!$DE$6,COLUMN()-COLUMN($C18),0)</f>
        <v>328654262.78999996</v>
      </c>
      <c r="L18" s="55">
        <f ca="1">OFFSET('Normalized Annual Summary'!$DE$6,COLUMN()-COLUMN($C18),0)</f>
        <v>336698539.93000007</v>
      </c>
      <c r="M18" s="55">
        <f ca="1">OFFSET('Normalized Annual Summary'!$DL$14,COLUMN()-COLUMN($L18),0)</f>
        <v>326383380.86347687</v>
      </c>
      <c r="N18" s="55">
        <f ca="1">OFFSET('Normalized Annual Summary'!$DL$14,COLUMN()-COLUMN($L18),0)</f>
        <v>338913911.79067665</v>
      </c>
      <c r="O18" s="55">
        <f ca="1">OFFSET('Normalized Annual Summary'!$DL$14,COLUMN()-COLUMN($L18),0)</f>
        <v>360007852.1668486</v>
      </c>
      <c r="P18" s="55">
        <f ca="1">OFFSET('Normalized Annual Summary'!$DL$14,COLUMN()-COLUMN($L18),0)</f>
        <v>375200812.08177775</v>
      </c>
      <c r="Q18" s="55">
        <f ca="1">OFFSET('Normalized Annual Summary'!$DL$14,COLUMN()-COLUMN($L18),0)</f>
        <v>386105854.7472927</v>
      </c>
      <c r="R18" s="55">
        <f ca="1">OFFSET('Normalized Annual Summary'!$DL$14,COLUMN()-COLUMN($L18),0)</f>
        <v>399323580.81141138</v>
      </c>
      <c r="S18" s="55">
        <f ca="1">OFFSET('Normalized Annual Summary'!$DL$14,COLUMN()-COLUMN($L18),0)</f>
        <v>409198807.53389639</v>
      </c>
      <c r="T18" s="65">
        <f ca="1">OFFSET('Normalized Annual Summary'!$DL$14,COLUMN()-COLUMN($L18),0)</f>
        <v>417655802.3988418</v>
      </c>
    </row>
    <row r="19" spans="2:20">
      <c r="B19" s="64" t="str">
        <f>'Total Additional'!C38</f>
        <v>GS 3,000 - 4,999</v>
      </c>
      <c r="C19" s="55">
        <f ca="1">OFFSET('Normalized Annual Summary'!$DP$6,COLUMN()-COLUMN($C19),0)</f>
        <v>59790687.039999992</v>
      </c>
      <c r="D19" s="55">
        <f ca="1">OFFSET('Normalized Annual Summary'!$DP$6,COLUMN()-COLUMN($C19),0)</f>
        <v>62626456.32</v>
      </c>
      <c r="E19" s="55">
        <f ca="1">OFFSET('Normalized Annual Summary'!$DP$6,COLUMN()-COLUMN($C19),0)</f>
        <v>61143400.199999996</v>
      </c>
      <c r="F19" s="55">
        <f ca="1">OFFSET('Normalized Annual Summary'!$DP$6,COLUMN()-COLUMN($C19),0)</f>
        <v>72194607.670000002</v>
      </c>
      <c r="G19" s="55">
        <f ca="1">OFFSET('Normalized Annual Summary'!$DP$6,COLUMN()-COLUMN($C19),0)</f>
        <v>79821855.49000001</v>
      </c>
      <c r="H19" s="55">
        <f ca="1">OFFSET('Normalized Annual Summary'!$DP$6,COLUMN()-COLUMN($C19),0)</f>
        <v>85368173.439999998</v>
      </c>
      <c r="I19" s="55">
        <f ca="1">OFFSET('Normalized Annual Summary'!$DP$6,COLUMN()-COLUMN($C19),0)</f>
        <v>88615341.370000005</v>
      </c>
      <c r="J19" s="55">
        <f ca="1">OFFSET('Normalized Annual Summary'!$DP$6,COLUMN()-COLUMN($C19),0)</f>
        <v>88680038.160000011</v>
      </c>
      <c r="K19" s="55">
        <f ca="1">OFFSET('Normalized Annual Summary'!$DP$6,COLUMN()-COLUMN($C19),0)</f>
        <v>85763218.280000001</v>
      </c>
      <c r="L19" s="55">
        <f ca="1">OFFSET('Normalized Annual Summary'!$DP$6,COLUMN()-COLUMN($C19),0)</f>
        <v>82433193.179999992</v>
      </c>
      <c r="M19" s="55">
        <f ca="1">OFFSET('Normalized Annual Summary'!$DW$14,COLUMN()-COLUMN($L19),0)</f>
        <v>81169458.333077088</v>
      </c>
      <c r="N19" s="55">
        <f ca="1">OFFSET('Normalized Annual Summary'!$DW$14,COLUMN()-COLUMN($L19),0)</f>
        <v>91907121.333394676</v>
      </c>
      <c r="O19" s="55">
        <f ca="1">OFFSET('Normalized Annual Summary'!$DW$14,COLUMN()-COLUMN($L19),0)</f>
        <v>112160823.30461539</v>
      </c>
      <c r="P19" s="55">
        <f ca="1">OFFSET('Normalized Annual Summary'!$DW$14,COLUMN()-COLUMN($L19),0)</f>
        <v>125842819.7414977</v>
      </c>
      <c r="Q19" s="55">
        <f ca="1">OFFSET('Normalized Annual Summary'!$DW$14,COLUMN()-COLUMN($L19),0)</f>
        <v>131952306.9375944</v>
      </c>
      <c r="R19" s="55">
        <f ca="1">OFFSET('Normalized Annual Summary'!$DW$14,COLUMN()-COLUMN($L19),0)</f>
        <v>137847686.18108562</v>
      </c>
      <c r="S19" s="55">
        <f ca="1">OFFSET('Normalized Annual Summary'!$DW$14,COLUMN()-COLUMN($L19),0)</f>
        <v>148183993.73779297</v>
      </c>
      <c r="T19" s="65">
        <f ca="1">OFFSET('Normalized Annual Summary'!$DW$14,COLUMN()-COLUMN($L19),0)</f>
        <v>159579543.97727138</v>
      </c>
    </row>
    <row r="20" spans="2:20">
      <c r="B20" s="64" t="s">
        <v>193</v>
      </c>
      <c r="C20" s="55">
        <f ca="1">OFFSET('Normalized Annual Summary'!$EA$6,COLUMN()-COLUMN($C20),0)</f>
        <v>9273958.5999999996</v>
      </c>
      <c r="D20" s="55">
        <f ca="1">OFFSET('Normalized Annual Summary'!$EA$6,COLUMN()-COLUMN($C20),0)</f>
        <v>6314646.5300000003</v>
      </c>
      <c r="E20" s="55">
        <f ca="1">OFFSET('Normalized Annual Summary'!$EA$6,COLUMN()-COLUMN($C20),0)</f>
        <v>4989079.4000000004</v>
      </c>
      <c r="F20" s="55">
        <f ca="1">OFFSET('Normalized Annual Summary'!$EA$6,COLUMN()-COLUMN($C20),0)</f>
        <v>3813016.9899999998</v>
      </c>
      <c r="G20" s="55">
        <f ca="1">OFFSET('Normalized Annual Summary'!$EA$6,COLUMN()-COLUMN($C20),0)</f>
        <v>3495126.45</v>
      </c>
      <c r="H20" s="55">
        <f ca="1">OFFSET('Normalized Annual Summary'!$EA$6,COLUMN()-COLUMN($C20),0)</f>
        <v>3375506.85</v>
      </c>
      <c r="I20" s="55">
        <f ca="1">OFFSET('Normalized Annual Summary'!$EA$6,COLUMN()-COLUMN($C20),0)</f>
        <v>3254529.2399999998</v>
      </c>
      <c r="J20" s="55">
        <f ca="1">OFFSET('Normalized Annual Summary'!$EA$6,COLUMN()-COLUMN($C20),0)</f>
        <v>3584406.7699999996</v>
      </c>
      <c r="K20" s="55">
        <f ca="1">OFFSET('Normalized Annual Summary'!$EA$6,COLUMN()-COLUMN($C20),0)</f>
        <v>3668423.59</v>
      </c>
      <c r="L20" s="55">
        <f ca="1">OFFSET('Normalized Annual Summary'!$EA$6,COLUMN()-COLUMN($C20),0)</f>
        <v>3708102.8000000003</v>
      </c>
      <c r="M20" s="55">
        <f ca="1">OFFSET('Normalized Annual Summary'!$ED$14,COLUMN()-COLUMN($L20),0)</f>
        <v>3708102.8000000003</v>
      </c>
      <c r="N20" s="55">
        <f ca="1">OFFSET('Normalized Annual Summary'!$ED$14,COLUMN()-COLUMN($L20),0)</f>
        <v>3769413.3310388532</v>
      </c>
      <c r="O20" s="55">
        <f ca="1">OFFSET('Normalized Annual Summary'!$ED$14,COLUMN()-COLUMN($L20),0)</f>
        <v>3831737.5829530451</v>
      </c>
      <c r="P20" s="55">
        <f ca="1">OFFSET('Normalized Annual Summary'!$ED$14,COLUMN()-COLUMN($L20),0)</f>
        <v>3895092.3168111197</v>
      </c>
      <c r="Q20" s="55">
        <f ca="1">OFFSET('Normalized Annual Summary'!$ED$14,COLUMN()-COLUMN($L20),0)</f>
        <v>3959494.5708125578</v>
      </c>
      <c r="R20" s="55">
        <f ca="1">OFFSET('Normalized Annual Summary'!$ED$14,COLUMN()-COLUMN($L20),0)</f>
        <v>4024961.6648699204</v>
      </c>
      <c r="S20" s="55">
        <f ca="1">OFFSET('Normalized Annual Summary'!$ED$14,COLUMN()-COLUMN($L20),0)</f>
        <v>4091511.2052667504</v>
      </c>
      <c r="T20" s="65">
        <f ca="1">OFFSET('Normalized Annual Summary'!$ED$14,COLUMN()-COLUMN($L20),0)</f>
        <v>4159161.089392487</v>
      </c>
    </row>
    <row r="21" spans="2:20">
      <c r="B21" s="64" t="s">
        <v>396</v>
      </c>
      <c r="C21" s="55">
        <f t="shared" ref="C21:H21" ca="1" si="1">AVERAGE($I$21:$L$21)/AVERAGE($I$68:$L$68)*C68</f>
        <v>32743.483880190775</v>
      </c>
      <c r="D21" s="55">
        <f t="shared" ca="1" si="1"/>
        <v>31709.479126079488</v>
      </c>
      <c r="E21" s="55">
        <f t="shared" ca="1" si="1"/>
        <v>30330.806120597761</v>
      </c>
      <c r="F21" s="55">
        <f t="shared" ca="1" si="1"/>
        <v>29986.137869227339</v>
      </c>
      <c r="G21" s="55">
        <f t="shared" ca="1" si="1"/>
        <v>29641.469617856914</v>
      </c>
      <c r="H21" s="55">
        <f t="shared" ca="1" si="1"/>
        <v>24816.1140986709</v>
      </c>
      <c r="I21" s="55">
        <f ca="1">OFFSET('Normalized Annual Summary'!$EH$6,COLUMN()-COLUMN($C21),0)</f>
        <v>25473.639999999985</v>
      </c>
      <c r="J21" s="55">
        <f ca="1">OFFSET('Normalized Annual Summary'!$EH$6,COLUMN()-COLUMN($C21),0)</f>
        <v>30995.533717316393</v>
      </c>
      <c r="K21" s="55">
        <f ca="1">OFFSET('Normalized Annual Summary'!$EH$6,COLUMN()-COLUMN($C21),0)</f>
        <v>31196.699999999993</v>
      </c>
      <c r="L21" s="55">
        <f ca="1">OFFSET('Normalized Annual Summary'!$EH$6,COLUMN()-COLUMN($C21),0)</f>
        <v>29865.999999999989</v>
      </c>
      <c r="M21" s="55">
        <f ca="1">OFFSET('Normalized Annual Summary'!$EK$14,COLUMN()-COLUMN($L21),0)</f>
        <v>29865.999999999993</v>
      </c>
      <c r="N21" s="55">
        <f ca="1">OFFSET('Normalized Annual Summary'!$EK$14,COLUMN()-COLUMN($L21),0)</f>
        <v>31238.247693689678</v>
      </c>
      <c r="O21" s="55">
        <f ca="1">OFFSET('Normalized Annual Summary'!$EK$14,COLUMN()-COLUMN($L21),0)</f>
        <v>31652.571214880914</v>
      </c>
      <c r="P21" s="55">
        <f ca="1">OFFSET('Normalized Annual Summary'!$EK$14,COLUMN()-COLUMN($L21),0)</f>
        <v>32072.390050082573</v>
      </c>
      <c r="Q21" s="55">
        <f ca="1">OFFSET('Normalized Annual Summary'!$EK$14,COLUMN()-COLUMN($L21),0)</f>
        <v>32497.777085516482</v>
      </c>
      <c r="R21" s="55">
        <f ca="1">OFFSET('Normalized Annual Summary'!$EK$14,COLUMN()-COLUMN($L21),0)</f>
        <v>32928.806174119265</v>
      </c>
      <c r="S21" s="55">
        <f ca="1">OFFSET('Normalized Annual Summary'!$EK$14,COLUMN()-COLUMN($L21),0)</f>
        <v>33365.552148364186</v>
      </c>
      <c r="T21" s="65">
        <f ca="1">OFFSET('Normalized Annual Summary'!$EK$14,COLUMN()-COLUMN($L21),0)</f>
        <v>33808.090833253111</v>
      </c>
    </row>
    <row r="22" spans="2:20">
      <c r="B22" s="64" t="s">
        <v>64</v>
      </c>
      <c r="C22" s="55">
        <f ca="1">OFFSET('Normalized Annual Summary'!$EO$6,COLUMN()-COLUMN($C22),0)</f>
        <v>632882.16</v>
      </c>
      <c r="D22" s="55">
        <f ca="1">OFFSET('Normalized Annual Summary'!$EO$6,COLUMN()-COLUMN($C22),0)</f>
        <v>598539.54</v>
      </c>
      <c r="E22" s="55">
        <f ca="1">OFFSET('Normalized Annual Summary'!$EO$6,COLUMN()-COLUMN($C22),0)</f>
        <v>597299.67999999982</v>
      </c>
      <c r="F22" s="55">
        <f ca="1">OFFSET('Normalized Annual Summary'!$EO$6,COLUMN()-COLUMN($C22),0)</f>
        <v>604470.16999999993</v>
      </c>
      <c r="G22" s="55">
        <f ca="1">OFFSET('Normalized Annual Summary'!$EO$6,COLUMN()-COLUMN($C22),0)</f>
        <v>597885.07999999996</v>
      </c>
      <c r="H22" s="55">
        <f ca="1">OFFSET('Normalized Annual Summary'!$EO$6,COLUMN()-COLUMN($C22),0)</f>
        <v>1852577.37</v>
      </c>
      <c r="I22" s="55">
        <f ca="1">OFFSET('Normalized Annual Summary'!$EO$6,COLUMN()-COLUMN($C22),0)</f>
        <v>1969676.7400000002</v>
      </c>
      <c r="J22" s="55">
        <f ca="1">OFFSET('Normalized Annual Summary'!$EO$6,COLUMN()-COLUMN($C22),0)</f>
        <v>1956354.06</v>
      </c>
      <c r="K22" s="55">
        <f ca="1">OFFSET('Normalized Annual Summary'!$EO$6,COLUMN()-COLUMN($C22),0)</f>
        <v>1961564.28</v>
      </c>
      <c r="L22" s="55">
        <f ca="1">OFFSET('Normalized Annual Summary'!$EO$6,COLUMN()-COLUMN($C22),0)</f>
        <v>1961874.72</v>
      </c>
      <c r="M22" s="55">
        <f ca="1">OFFSET('Normalized Annual Summary'!$ER$14,COLUMN()-COLUMN($L22),0)</f>
        <v>1961874.72</v>
      </c>
      <c r="N22" s="55">
        <f ca="1">OFFSET('Normalized Annual Summary'!$ER$14,COLUMN()-COLUMN($L22),0)</f>
        <v>1926400.0408803986</v>
      </c>
      <c r="O22" s="55">
        <f ca="1">OFFSET('Normalized Annual Summary'!$ER$14,COLUMN()-COLUMN($L22),0)</f>
        <v>1936353.0077134862</v>
      </c>
      <c r="P22" s="55">
        <f ca="1">OFFSET('Normalized Annual Summary'!$ER$14,COLUMN()-COLUMN($L22),0)</f>
        <v>1946357.3976916517</v>
      </c>
      <c r="Q22" s="55">
        <f ca="1">OFFSET('Normalized Annual Summary'!$ER$14,COLUMN()-COLUMN($L22),0)</f>
        <v>1956413.4764984741</v>
      </c>
      <c r="R22" s="55">
        <f ca="1">OFFSET('Normalized Annual Summary'!$ER$14,COLUMN()-COLUMN($L22),0)</f>
        <v>1966521.5111902175</v>
      </c>
      <c r="S22" s="55">
        <f ca="1">OFFSET('Normalized Annual Summary'!$ER$14,COLUMN()-COLUMN($L22),0)</f>
        <v>1976681.7702029219</v>
      </c>
      <c r="T22" s="65">
        <f ca="1">OFFSET('Normalized Annual Summary'!$ER$14,COLUMN()-COLUMN($L22),0)</f>
        <v>1986894.5233595334</v>
      </c>
    </row>
    <row r="23" spans="2:20" ht="13.5" thickBot="1">
      <c r="B23" s="63" t="s">
        <v>65</v>
      </c>
      <c r="C23" s="62">
        <f t="shared" ref="C23:S23" ca="1" si="2">SUM(C16:C22)</f>
        <v>841047649.12550914</v>
      </c>
      <c r="D23" s="62">
        <f t="shared" ca="1" si="2"/>
        <v>887910566.98535657</v>
      </c>
      <c r="E23" s="62">
        <f t="shared" ca="1" si="2"/>
        <v>839608194.72839093</v>
      </c>
      <c r="F23" s="62">
        <f t="shared" ca="1" si="2"/>
        <v>886146483.53369832</v>
      </c>
      <c r="G23" s="62">
        <f t="shared" ca="1" si="2"/>
        <v>866279112.20504773</v>
      </c>
      <c r="H23" s="62">
        <f t="shared" ca="1" si="2"/>
        <v>889176137.05540812</v>
      </c>
      <c r="I23" s="62">
        <f t="shared" ca="1" si="2"/>
        <v>888828110.39452016</v>
      </c>
      <c r="J23" s="62">
        <f t="shared" ca="1" si="2"/>
        <v>903060002.30747688</v>
      </c>
      <c r="K23" s="62">
        <f t="shared" ca="1" si="2"/>
        <v>901355054.05735898</v>
      </c>
      <c r="L23" s="62">
        <f t="shared" ref="L23" ca="1" si="3">SUM(L16:L22)</f>
        <v>923993661.27491808</v>
      </c>
      <c r="M23" s="61">
        <f t="shared" ca="1" si="2"/>
        <v>916793637.20451558</v>
      </c>
      <c r="N23" s="61">
        <f t="shared" ca="1" si="2"/>
        <v>952580879.00439882</v>
      </c>
      <c r="O23" s="61">
        <f t="shared" ca="1" si="2"/>
        <v>1006745866.6280113</v>
      </c>
      <c r="P23" s="61">
        <f t="shared" ca="1" si="2"/>
        <v>1050116777.6031513</v>
      </c>
      <c r="Q23" s="61">
        <f t="shared" ca="1" si="2"/>
        <v>1079744407.6260347</v>
      </c>
      <c r="R23" s="61">
        <f t="shared" ca="1" si="2"/>
        <v>1113152475.9606516</v>
      </c>
      <c r="S23" s="61">
        <f t="shared" ca="1" si="2"/>
        <v>1150659798.8993292</v>
      </c>
      <c r="T23" s="54">
        <f ca="1">SUM(T16:T22)</f>
        <v>1186460138.7057788</v>
      </c>
    </row>
    <row r="26" spans="2:20" ht="16.5" thickBot="1">
      <c r="B26" s="71" t="s">
        <v>485</v>
      </c>
      <c r="C26" s="71" t="s">
        <v>376</v>
      </c>
      <c r="F26" s="55"/>
      <c r="G26" s="55"/>
      <c r="H26" s="55"/>
      <c r="I26" s="55"/>
      <c r="J26" s="55"/>
      <c r="K26" s="71" t="s">
        <v>485</v>
      </c>
      <c r="L26" s="71" t="s">
        <v>352</v>
      </c>
      <c r="O26" s="55"/>
      <c r="P26" s="55"/>
      <c r="Q26" s="55"/>
      <c r="R26" s="55"/>
    </row>
    <row r="27" spans="2:20">
      <c r="B27" s="59" t="s">
        <v>178</v>
      </c>
      <c r="C27" s="58">
        <f>'CDM Adjustment'!AB5</f>
        <v>2025</v>
      </c>
      <c r="D27" s="58">
        <f>'CDM Adjustment'!AC5</f>
        <v>2026</v>
      </c>
      <c r="E27" s="58">
        <f>'CDM Adjustment'!AD5</f>
        <v>2027</v>
      </c>
      <c r="F27" s="58">
        <f>'CDM Adjustment'!AE5</f>
        <v>2028</v>
      </c>
      <c r="G27" s="58">
        <f>'CDM Adjustment'!AF5</f>
        <v>2029</v>
      </c>
      <c r="H27" s="58">
        <f>'CDM Adjustment'!AG5</f>
        <v>2030</v>
      </c>
      <c r="I27" s="57">
        <f>'CDM Adjustment'!AH5</f>
        <v>2031</v>
      </c>
      <c r="K27" s="59" t="s">
        <v>178</v>
      </c>
      <c r="L27" s="58">
        <f>C27</f>
        <v>2025</v>
      </c>
      <c r="M27" s="58">
        <f t="shared" ref="M27:R27" si="4">D27</f>
        <v>2026</v>
      </c>
      <c r="N27" s="58">
        <f t="shared" si="4"/>
        <v>2027</v>
      </c>
      <c r="O27" s="58">
        <f t="shared" si="4"/>
        <v>2028</v>
      </c>
      <c r="P27" s="58">
        <f t="shared" si="4"/>
        <v>2029</v>
      </c>
      <c r="Q27" s="58">
        <f t="shared" si="4"/>
        <v>2030</v>
      </c>
      <c r="R27" s="57">
        <f t="shared" si="4"/>
        <v>2031</v>
      </c>
    </row>
    <row r="28" spans="2:20">
      <c r="B28" s="66" t="str">
        <f t="shared" ref="B28:B36" si="5">B3</f>
        <v>Residential</v>
      </c>
      <c r="C28" s="55">
        <f>'CDM Adjustment'!AB7</f>
        <v>5796248.8515412118</v>
      </c>
      <c r="D28" s="55">
        <f>'CDM Adjustment'!AC7</f>
        <v>13865197.37762068</v>
      </c>
      <c r="E28" s="55">
        <f>'CDM Adjustment'!AD7</f>
        <v>22672655.905443456</v>
      </c>
      <c r="F28" s="55">
        <f>'CDM Adjustment'!AE7</f>
        <v>32248714.28288899</v>
      </c>
      <c r="G28" s="55">
        <f>'CDM Adjustment'!AF7</f>
        <v>42548237.738138154</v>
      </c>
      <c r="H28" s="55">
        <f>'CDM Adjustment'!AG7</f>
        <v>53586271.195130631</v>
      </c>
      <c r="I28" s="65">
        <f>'CDM Adjustment'!AH7</f>
        <v>65362814.65386641</v>
      </c>
      <c r="K28" s="66" t="str">
        <f>B28</f>
        <v>Residential</v>
      </c>
      <c r="L28" s="55">
        <f>'CDM Adjustment'!AB38</f>
        <v>2267338.583079739</v>
      </c>
      <c r="M28" s="55">
        <f>'CDM Adjustment'!AC38</f>
        <v>5371322.2463232838</v>
      </c>
      <c r="N28" s="55">
        <f>'CDM Adjustment'!AD38</f>
        <v>8764710.7758569978</v>
      </c>
      <c r="O28" s="55">
        <f>'CDM Adjustment'!AE38</f>
        <v>12460634.56317197</v>
      </c>
      <c r="P28" s="55">
        <f>'CDM Adjustment'!AF38</f>
        <v>16294695.587886503</v>
      </c>
      <c r="Q28" s="55">
        <f>'CDM Adjustment'!AG38</f>
        <v>20128756.612601034</v>
      </c>
      <c r="R28" s="65">
        <f>'CDM Adjustment'!AH38</f>
        <v>23962817.637315568</v>
      </c>
    </row>
    <row r="29" spans="2:20">
      <c r="B29" s="64" t="str">
        <f t="shared" si="5"/>
        <v>Residential Seasonal</v>
      </c>
      <c r="C29" s="55">
        <f>'CDM Adjustment'!AB8</f>
        <v>66367.572644037195</v>
      </c>
      <c r="D29" s="55">
        <f>'CDM Adjustment'!AC8</f>
        <v>158752.7947791795</v>
      </c>
      <c r="E29" s="55">
        <f>'CDM Adjustment'!AD8</f>
        <v>259593.91136626145</v>
      </c>
      <c r="F29" s="55">
        <f>'CDM Adjustment'!AE8</f>
        <v>369235.52197270939</v>
      </c>
      <c r="G29" s="55">
        <f>'CDM Adjustment'!AF8</f>
        <v>487160.72724738444</v>
      </c>
      <c r="H29" s="55">
        <f>'CDM Adjustment'!AG8</f>
        <v>613541.82697399915</v>
      </c>
      <c r="I29" s="65">
        <f>'CDM Adjustment'!AH8</f>
        <v>748378.82115255354</v>
      </c>
      <c r="K29" s="64"/>
      <c r="L29" s="55"/>
      <c r="M29" s="55"/>
      <c r="N29" s="55"/>
      <c r="O29" s="55"/>
      <c r="P29" s="55"/>
      <c r="Q29" s="55"/>
      <c r="R29" s="65"/>
    </row>
    <row r="30" spans="2:20">
      <c r="B30" s="64" t="str">
        <f t="shared" si="5"/>
        <v>GS&lt;50</v>
      </c>
      <c r="C30" s="55">
        <f>'CDM Adjustment'!AB9</f>
        <v>3781887.2322590188</v>
      </c>
      <c r="D30" s="55">
        <f>'CDM Adjustment'!AC9</f>
        <v>7454039.0570226014</v>
      </c>
      <c r="E30" s="55">
        <f>'CDM Adjustment'!AD9</f>
        <v>11350326.25878565</v>
      </c>
      <c r="F30" s="55">
        <f>'CDM Adjustment'!AE9</f>
        <v>15363114.737070946</v>
      </c>
      <c r="G30" s="55">
        <f>'CDM Adjustment'!AF9</f>
        <v>19559024.128815398</v>
      </c>
      <c r="H30" s="55">
        <f>'CDM Adjustment'!AG9</f>
        <v>23931653.140669849</v>
      </c>
      <c r="I30" s="65">
        <f>'CDM Adjustment'!AH9</f>
        <v>28481001.772634298</v>
      </c>
      <c r="K30" s="64" t="str">
        <f>B30</f>
        <v>GS&lt;50</v>
      </c>
      <c r="L30" s="55">
        <f>'CDM Adjustment'!AB39</f>
        <v>1031486.8937988754</v>
      </c>
      <c r="M30" s="55">
        <f>'CDM Adjustment'!AC39</f>
        <v>2041765.8185428162</v>
      </c>
      <c r="N30" s="55">
        <f>'CDM Adjustment'!AD39</f>
        <v>3117286.143118931</v>
      </c>
      <c r="O30" s="55">
        <f>'CDM Adjustment'!AE39</f>
        <v>4233779.8998986101</v>
      </c>
      <c r="P30" s="55">
        <f>'CDM Adjustment'!AF39</f>
        <v>5378907.807470792</v>
      </c>
      <c r="Q30" s="55">
        <f>'CDM Adjustment'!AG39</f>
        <v>6524035.7150429748</v>
      </c>
      <c r="R30" s="65">
        <f>'CDM Adjustment'!AH39</f>
        <v>7669163.6226151576</v>
      </c>
    </row>
    <row r="31" spans="2:20">
      <c r="B31" s="64" t="str">
        <f t="shared" si="5"/>
        <v>GS 50 - 2,999</v>
      </c>
      <c r="C31" s="55">
        <f>'CDM Adjustment'!AB10</f>
        <v>14932858.355741456</v>
      </c>
      <c r="D31" s="55">
        <f>'CDM Adjustment'!AC10</f>
        <v>31139153.51297503</v>
      </c>
      <c r="E31" s="55">
        <f>'CDM Adjustment'!AD10</f>
        <v>49254274.205374904</v>
      </c>
      <c r="F31" s="55">
        <f>'CDM Adjustment'!AE10</f>
        <v>68740030.123844653</v>
      </c>
      <c r="G31" s="55">
        <f>'CDM Adjustment'!AF10</f>
        <v>89211577.123919502</v>
      </c>
      <c r="H31" s="55">
        <f>'CDM Adjustment'!AG10</f>
        <v>110644380.01656318</v>
      </c>
      <c r="I31" s="65">
        <f>'CDM Adjustment'!AH10</f>
        <v>133038438.80177569</v>
      </c>
      <c r="K31" s="64" t="str">
        <f>B31</f>
        <v>GS 50 - 2,999</v>
      </c>
      <c r="L31" s="55">
        <f>'CDM Adjustment'!AB40</f>
        <v>5913901.1749345483</v>
      </c>
      <c r="M31" s="55">
        <f>'CDM Adjustment'!AC40</f>
        <v>12196913.08766944</v>
      </c>
      <c r="N31" s="55">
        <f>'CDM Adjustment'!AD40</f>
        <v>19333976.502256293</v>
      </c>
      <c r="O31" s="55">
        <f>'CDM Adjustment'!AE40</f>
        <v>27125794.162988514</v>
      </c>
      <c r="P31" s="55">
        <f>'CDM Adjustment'!AF40</f>
        <v>35131722.362016067</v>
      </c>
      <c r="Q31" s="55">
        <f>'CDM Adjustment'!AG40</f>
        <v>43137650.56104362</v>
      </c>
      <c r="R31" s="65">
        <f>'CDM Adjustment'!AH40</f>
        <v>51143578.760071173</v>
      </c>
    </row>
    <row r="32" spans="2:20">
      <c r="B32" s="64" t="str">
        <f t="shared" si="5"/>
        <v>GS 3,000 - 4,999</v>
      </c>
      <c r="C32" s="55">
        <f>'CDM Adjustment'!AB11</f>
        <v>1045432.1165972531</v>
      </c>
      <c r="D32" s="55">
        <f>'CDM Adjustment'!AC11</f>
        <v>2239135.3775984943</v>
      </c>
      <c r="E32" s="55">
        <f>'CDM Adjustment'!AD11</f>
        <v>3600683.4225532725</v>
      </c>
      <c r="F32" s="55">
        <f>'CDM Adjustment'!AE11</f>
        <v>5104682.4857397061</v>
      </c>
      <c r="G32" s="55">
        <f>'CDM Adjustment'!AF11</f>
        <v>6701016.0798156373</v>
      </c>
      <c r="H32" s="55">
        <f>'CDM Adjustment'!AG11</f>
        <v>8388968.5042977445</v>
      </c>
      <c r="I32" s="65">
        <f>'CDM Adjustment'!AH11</f>
        <v>10168539.759186028</v>
      </c>
      <c r="K32" s="64" t="str">
        <f>B32</f>
        <v>GS 3,000 - 4,999</v>
      </c>
      <c r="L32" s="55">
        <f>'CDM Adjustment'!AB41</f>
        <v>1332600.0132424636</v>
      </c>
      <c r="M32" s="55">
        <f>'CDM Adjustment'!AC41</f>
        <v>2749711.6669683699</v>
      </c>
      <c r="N32" s="55">
        <f>'CDM Adjustment'!AD41</f>
        <v>4359178.8462269781</v>
      </c>
      <c r="O32" s="55">
        <f>'CDM Adjustment'!AE41</f>
        <v>6116163.5191884115</v>
      </c>
      <c r="P32" s="55">
        <f>'CDM Adjustment'!AF41</f>
        <v>7921449.6851512687</v>
      </c>
      <c r="Q32" s="55">
        <f>'CDM Adjustment'!AG41</f>
        <v>9726735.8511141259</v>
      </c>
      <c r="R32" s="65">
        <f>'CDM Adjustment'!AH41</f>
        <v>11532022.017076982</v>
      </c>
    </row>
    <row r="33" spans="2:18">
      <c r="B33" s="64" t="str">
        <f t="shared" si="5"/>
        <v>Large Use</v>
      </c>
      <c r="C33" s="55">
        <f>'CDM Adjustment'!AB12</f>
        <v>6318572.0345096961</v>
      </c>
      <c r="D33" s="55">
        <f>'CDM Adjustment'!AC12</f>
        <v>12517200.058757482</v>
      </c>
      <c r="E33" s="55">
        <f>'CDM Adjustment'!AD12</f>
        <v>20294865.081782751</v>
      </c>
      <c r="F33" s="55">
        <f>'CDM Adjustment'!AE12</f>
        <v>29564034.137977801</v>
      </c>
      <c r="G33" s="55">
        <f>'CDM Adjustment'!AF12</f>
        <v>39541650.329011783</v>
      </c>
      <c r="H33" s="55">
        <f>'CDM Adjustment'!AG12</f>
        <v>50230453.580571987</v>
      </c>
      <c r="I33" s="65">
        <f>'CDM Adjustment'!AH12</f>
        <v>61630443.892658427</v>
      </c>
      <c r="K33" s="64"/>
      <c r="L33" s="55"/>
      <c r="M33" s="55"/>
      <c r="N33" s="55"/>
      <c r="O33" s="55"/>
      <c r="P33" s="55"/>
      <c r="Q33" s="55"/>
      <c r="R33" s="65"/>
    </row>
    <row r="34" spans="2:18">
      <c r="B34" s="64" t="str">
        <f t="shared" si="5"/>
        <v>Street Light</v>
      </c>
      <c r="C34" s="55">
        <f>'CDM Adjustment'!AB13</f>
        <v>0</v>
      </c>
      <c r="D34" s="55">
        <f>'CDM Adjustment'!AC13</f>
        <v>0</v>
      </c>
      <c r="E34" s="55">
        <f>'CDM Adjustment'!AD13</f>
        <v>0</v>
      </c>
      <c r="F34" s="55">
        <f>'CDM Adjustment'!AE13</f>
        <v>0</v>
      </c>
      <c r="G34" s="55">
        <f>'CDM Adjustment'!AF13</f>
        <v>0</v>
      </c>
      <c r="H34" s="55">
        <f>'CDM Adjustment'!AG13</f>
        <v>0</v>
      </c>
      <c r="I34" s="65">
        <f>'CDM Adjustment'!AH13</f>
        <v>0</v>
      </c>
      <c r="K34" s="64" t="str">
        <f>B34</f>
        <v>Street Light</v>
      </c>
      <c r="L34" s="55">
        <f>'CDM Adjustment'!AB42</f>
        <v>0</v>
      </c>
      <c r="M34" s="55">
        <f>'CDM Adjustment'!AC42</f>
        <v>0</v>
      </c>
      <c r="N34" s="55">
        <f>'CDM Adjustment'!AD42</f>
        <v>0</v>
      </c>
      <c r="O34" s="55">
        <f>'CDM Adjustment'!AE42</f>
        <v>0</v>
      </c>
      <c r="P34" s="55">
        <f>'CDM Adjustment'!AF42</f>
        <v>0</v>
      </c>
      <c r="Q34" s="55">
        <f>'CDM Adjustment'!AG42</f>
        <v>0</v>
      </c>
      <c r="R34" s="65">
        <f>'CDM Adjustment'!AH42</f>
        <v>0</v>
      </c>
    </row>
    <row r="35" spans="2:18">
      <c r="B35" s="64" t="str">
        <f t="shared" si="5"/>
        <v>Sentinel Light</v>
      </c>
      <c r="C35" s="55">
        <f>'CDM Adjustment'!AB14</f>
        <v>0</v>
      </c>
      <c r="D35" s="55">
        <f>'CDM Adjustment'!AC14</f>
        <v>0</v>
      </c>
      <c r="E35" s="55">
        <f>'CDM Adjustment'!AD14</f>
        <v>0</v>
      </c>
      <c r="F35" s="55">
        <f>'CDM Adjustment'!AE14</f>
        <v>0</v>
      </c>
      <c r="G35" s="55">
        <f>'CDM Adjustment'!AF14</f>
        <v>0</v>
      </c>
      <c r="H35" s="55">
        <f>'CDM Adjustment'!AG14</f>
        <v>0</v>
      </c>
      <c r="I35" s="65">
        <f>'CDM Adjustment'!AH14</f>
        <v>0</v>
      </c>
      <c r="K35" s="64" t="str">
        <f>B35</f>
        <v>Sentinel Light</v>
      </c>
      <c r="L35" s="55">
        <f>'CDM Adjustment'!AB43</f>
        <v>0</v>
      </c>
      <c r="M35" s="55">
        <f>'CDM Adjustment'!AC43</f>
        <v>0</v>
      </c>
      <c r="N35" s="55">
        <f>'CDM Adjustment'!AD43</f>
        <v>0</v>
      </c>
      <c r="O35" s="55">
        <f>'CDM Adjustment'!AE43</f>
        <v>0</v>
      </c>
      <c r="P35" s="55">
        <f>'CDM Adjustment'!AF43</f>
        <v>0</v>
      </c>
      <c r="Q35" s="55">
        <f>'CDM Adjustment'!AG43</f>
        <v>0</v>
      </c>
      <c r="R35" s="65">
        <f>'CDM Adjustment'!AH43</f>
        <v>0</v>
      </c>
    </row>
    <row r="36" spans="2:18">
      <c r="B36" s="64" t="str">
        <f t="shared" si="5"/>
        <v>USL</v>
      </c>
      <c r="C36" s="55">
        <f>'CDM Adjustment'!AB15</f>
        <v>0</v>
      </c>
      <c r="D36" s="55">
        <f>'CDM Adjustment'!AC15</f>
        <v>0</v>
      </c>
      <c r="E36" s="55">
        <f>'CDM Adjustment'!AD15</f>
        <v>0</v>
      </c>
      <c r="F36" s="55">
        <f>'CDM Adjustment'!AE15</f>
        <v>0</v>
      </c>
      <c r="G36" s="55">
        <f>'CDM Adjustment'!AF15</f>
        <v>0</v>
      </c>
      <c r="H36" s="55">
        <f>'CDM Adjustment'!AG15</f>
        <v>0</v>
      </c>
      <c r="I36" s="65">
        <f>'CDM Adjustment'!AH15</f>
        <v>0</v>
      </c>
      <c r="K36" s="64" t="str">
        <f>B36</f>
        <v>USL</v>
      </c>
      <c r="L36" s="55">
        <f>'CDM Adjustment'!AB44</f>
        <v>0</v>
      </c>
      <c r="M36" s="55">
        <f>'CDM Adjustment'!AC44</f>
        <v>0</v>
      </c>
      <c r="N36" s="55">
        <f>'CDM Adjustment'!AD44</f>
        <v>0</v>
      </c>
      <c r="O36" s="55">
        <f>'CDM Adjustment'!AE44</f>
        <v>0</v>
      </c>
      <c r="P36" s="55">
        <f>'CDM Adjustment'!AF44</f>
        <v>0</v>
      </c>
      <c r="Q36" s="55">
        <f>'CDM Adjustment'!AG44</f>
        <v>0</v>
      </c>
      <c r="R36" s="65">
        <f>'CDM Adjustment'!AH44</f>
        <v>0</v>
      </c>
    </row>
    <row r="37" spans="2:18" ht="13.5" thickBot="1">
      <c r="B37" s="63" t="s">
        <v>65</v>
      </c>
      <c r="C37" s="62">
        <f t="shared" ref="C37:I37" si="6">SUM(C28:C36)</f>
        <v>31941366.163292672</v>
      </c>
      <c r="D37" s="62">
        <f t="shared" si="6"/>
        <v>67373478.178753465</v>
      </c>
      <c r="E37" s="62">
        <f t="shared" si="6"/>
        <v>107432398.7853063</v>
      </c>
      <c r="F37" s="62">
        <f t="shared" si="6"/>
        <v>151389811.28949481</v>
      </c>
      <c r="G37" s="62">
        <f t="shared" si="6"/>
        <v>198048666.12694788</v>
      </c>
      <c r="H37" s="62">
        <f t="shared" si="6"/>
        <v>247395268.26420736</v>
      </c>
      <c r="I37" s="60">
        <f t="shared" si="6"/>
        <v>299429617.70127338</v>
      </c>
      <c r="K37" s="63" t="s">
        <v>65</v>
      </c>
      <c r="L37" s="62">
        <f t="shared" ref="L37:R37" si="7">SUM(L28:L36)</f>
        <v>10545326.665055625</v>
      </c>
      <c r="M37" s="62">
        <f t="shared" si="7"/>
        <v>22359712.819503911</v>
      </c>
      <c r="N37" s="62">
        <f t="shared" si="7"/>
        <v>35575152.267459199</v>
      </c>
      <c r="O37" s="62">
        <f t="shared" si="7"/>
        <v>49936372.145247504</v>
      </c>
      <c r="P37" s="62">
        <f t="shared" si="7"/>
        <v>64726775.442524634</v>
      </c>
      <c r="Q37" s="62">
        <f t="shared" si="7"/>
        <v>79517178.73980175</v>
      </c>
      <c r="R37" s="60">
        <f t="shared" si="7"/>
        <v>94307582.037078887</v>
      </c>
    </row>
    <row r="38" spans="2:18">
      <c r="F38" s="56"/>
    </row>
    <row r="39" spans="2:18">
      <c r="F39" s="56"/>
      <c r="R39" s="372"/>
    </row>
    <row r="40" spans="2:18" ht="16.5" thickBot="1">
      <c r="B40" s="71" t="s">
        <v>492</v>
      </c>
      <c r="C40" s="71" t="s">
        <v>376</v>
      </c>
      <c r="F40" s="55"/>
      <c r="G40" s="55"/>
      <c r="H40" s="55"/>
      <c r="I40" s="55"/>
      <c r="K40" s="71" t="s">
        <v>492</v>
      </c>
      <c r="L40" s="71" t="s">
        <v>352</v>
      </c>
      <c r="O40" s="55"/>
      <c r="P40" s="55"/>
      <c r="Q40" s="55"/>
      <c r="R40" s="55"/>
    </row>
    <row r="41" spans="2:18">
      <c r="B41" s="59" t="s">
        <v>178</v>
      </c>
      <c r="C41" s="58">
        <f t="shared" ref="C41:I41" si="8">C27</f>
        <v>2025</v>
      </c>
      <c r="D41" s="58">
        <f t="shared" si="8"/>
        <v>2026</v>
      </c>
      <c r="E41" s="58">
        <f t="shared" si="8"/>
        <v>2027</v>
      </c>
      <c r="F41" s="58">
        <f t="shared" si="8"/>
        <v>2028</v>
      </c>
      <c r="G41" s="58">
        <f t="shared" si="8"/>
        <v>2029</v>
      </c>
      <c r="H41" s="58">
        <f t="shared" si="8"/>
        <v>2030</v>
      </c>
      <c r="I41" s="57">
        <f t="shared" si="8"/>
        <v>2031</v>
      </c>
      <c r="K41" s="59" t="s">
        <v>178</v>
      </c>
      <c r="L41" s="58">
        <f t="shared" ref="L41:R41" si="9">L27</f>
        <v>2025</v>
      </c>
      <c r="M41" s="58">
        <f t="shared" si="9"/>
        <v>2026</v>
      </c>
      <c r="N41" s="58">
        <f t="shared" si="9"/>
        <v>2027</v>
      </c>
      <c r="O41" s="58">
        <f t="shared" si="9"/>
        <v>2028</v>
      </c>
      <c r="P41" s="58">
        <f t="shared" si="9"/>
        <v>2029</v>
      </c>
      <c r="Q41" s="58">
        <f t="shared" si="9"/>
        <v>2030</v>
      </c>
      <c r="R41" s="57">
        <f t="shared" si="9"/>
        <v>2031</v>
      </c>
    </row>
    <row r="42" spans="2:18">
      <c r="B42" s="66" t="str">
        <f t="shared" ref="B42:B50" si="10">B28</f>
        <v>Residential</v>
      </c>
      <c r="C42" s="55">
        <f t="shared" ref="C42:C50" ca="1" si="11">N3-C28</f>
        <v>1095125273.1183047</v>
      </c>
      <c r="D42" s="55">
        <f t="shared" ref="D42:D50" ca="1" si="12">O3-D28</f>
        <v>1117090361.2318509</v>
      </c>
      <c r="E42" s="55">
        <f t="shared" ref="E42:E50" ca="1" si="13">P3-E28</f>
        <v>1139476591.8569014</v>
      </c>
      <c r="F42" s="55">
        <f t="shared" ref="F42:F50" ca="1" si="14">Q3-F28</f>
        <v>1163690317.337239</v>
      </c>
      <c r="G42" s="55">
        <f t="shared" ref="G42:G50" ca="1" si="15">R3-G28</f>
        <v>1185325146.4941511</v>
      </c>
      <c r="H42" s="55">
        <f t="shared" ref="H42:H50" ca="1" si="16">S3-H28</f>
        <v>1212339801.3152404</v>
      </c>
      <c r="I42" s="65">
        <f t="shared" ref="I42:I50" ca="1" si="17">T3-I28</f>
        <v>1240553460.7040067</v>
      </c>
      <c r="K42" s="66" t="str">
        <f>K28</f>
        <v>Residential</v>
      </c>
      <c r="L42" s="55">
        <f t="shared" ref="L42:R42" ca="1" si="18">N16-L28</f>
        <v>420868871.21270436</v>
      </c>
      <c r="M42" s="55">
        <f t="shared" ca="1" si="18"/>
        <v>429484099.12396997</v>
      </c>
      <c r="N42" s="55">
        <f t="shared" ca="1" si="18"/>
        <v>439097043.41427279</v>
      </c>
      <c r="O42" s="55">
        <f t="shared" ca="1" si="18"/>
        <v>446916236.74809545</v>
      </c>
      <c r="P42" s="55">
        <f t="shared" ca="1" si="18"/>
        <v>456006553.67833424</v>
      </c>
      <c r="Q42" s="55">
        <f t="shared" ca="1" si="18"/>
        <v>467964396.81071305</v>
      </c>
      <c r="R42" s="65">
        <f t="shared" ca="1" si="18"/>
        <v>478427712.71105832</v>
      </c>
    </row>
    <row r="43" spans="2:18">
      <c r="B43" s="64" t="str">
        <f t="shared" si="10"/>
        <v>Residential Seasonal</v>
      </c>
      <c r="C43" s="55">
        <f t="shared" ca="1" si="11"/>
        <v>12768206.557489421</v>
      </c>
      <c r="D43" s="55">
        <f t="shared" ca="1" si="12"/>
        <v>13188721.546985753</v>
      </c>
      <c r="E43" s="55">
        <f t="shared" ca="1" si="13"/>
        <v>13651253.423372488</v>
      </c>
      <c r="F43" s="55">
        <f t="shared" ca="1" si="14"/>
        <v>14035998.008814186</v>
      </c>
      <c r="G43" s="55">
        <f t="shared" ca="1" si="15"/>
        <v>14476769.158850323</v>
      </c>
      <c r="H43" s="55">
        <f t="shared" ca="1" si="16"/>
        <v>14995359.212779585</v>
      </c>
      <c r="I43" s="65">
        <f t="shared" ca="1" si="17"/>
        <v>15451103.337147947</v>
      </c>
      <c r="K43" s="64"/>
      <c r="L43" s="55"/>
      <c r="M43" s="55"/>
      <c r="N43" s="55"/>
      <c r="O43" s="55"/>
      <c r="P43" s="55"/>
      <c r="Q43" s="55"/>
      <c r="R43" s="65"/>
    </row>
    <row r="44" spans="2:18">
      <c r="B44" s="64" t="str">
        <f t="shared" si="10"/>
        <v>GS&lt;50</v>
      </c>
      <c r="C44" s="55">
        <f t="shared" ca="1" si="11"/>
        <v>282974392.24280298</v>
      </c>
      <c r="D44" s="55">
        <f t="shared" ca="1" si="12"/>
        <v>283200048.37753892</v>
      </c>
      <c r="E44" s="55">
        <f t="shared" ca="1" si="13"/>
        <v>284059624.77556282</v>
      </c>
      <c r="F44" s="55">
        <f t="shared" ca="1" si="14"/>
        <v>283704088.194924</v>
      </c>
      <c r="G44" s="55">
        <f t="shared" ca="1" si="15"/>
        <v>284076999.28542733</v>
      </c>
      <c r="H44" s="55">
        <f t="shared" ca="1" si="16"/>
        <v>284658182.04026783</v>
      </c>
      <c r="I44" s="65">
        <f t="shared" ca="1" si="17"/>
        <v>286717312.21083391</v>
      </c>
      <c r="K44" s="64" t="str">
        <f>K30</f>
        <v>GS&lt;50</v>
      </c>
      <c r="L44" s="55">
        <f t="shared" ref="L44:R46" ca="1" si="19">N17-L30</f>
        <v>91865097.571131602</v>
      </c>
      <c r="M44" s="55">
        <f t="shared" ca="1" si="19"/>
        <v>91880260.805829793</v>
      </c>
      <c r="N44" s="55">
        <f t="shared" ca="1" si="19"/>
        <v>92220583.34207429</v>
      </c>
      <c r="O44" s="55">
        <f t="shared" ca="1" si="19"/>
        <v>92127188.90558517</v>
      </c>
      <c r="P44" s="55">
        <f t="shared" ca="1" si="19"/>
        <v>92276639.912228808</v>
      </c>
      <c r="Q44" s="55">
        <f t="shared" ca="1" si="19"/>
        <v>92558249.961664766</v>
      </c>
      <c r="R44" s="65">
        <f t="shared" ca="1" si="19"/>
        <v>92985234.655091539</v>
      </c>
    </row>
    <row r="45" spans="2:18">
      <c r="B45" s="64" t="str">
        <f t="shared" si="10"/>
        <v>GS 50 - 2,999</v>
      </c>
      <c r="C45" s="55">
        <f t="shared" ca="1" si="11"/>
        <v>941797562.22393441</v>
      </c>
      <c r="D45" s="55">
        <f t="shared" ca="1" si="12"/>
        <v>978135426.89668632</v>
      </c>
      <c r="E45" s="55">
        <f t="shared" ca="1" si="13"/>
        <v>1009573024.6869053</v>
      </c>
      <c r="F45" s="55">
        <f t="shared" ca="1" si="14"/>
        <v>1024897887.6704686</v>
      </c>
      <c r="G45" s="55">
        <f t="shared" ca="1" si="15"/>
        <v>1027303091.9141679</v>
      </c>
      <c r="H45" s="55">
        <f t="shared" ca="1" si="16"/>
        <v>1023350446.9871242</v>
      </c>
      <c r="I45" s="65">
        <f t="shared" ca="1" si="17"/>
        <v>1028125625.347676</v>
      </c>
      <c r="K45" s="64" t="str">
        <f>K31</f>
        <v>GS 50 - 2,999</v>
      </c>
      <c r="L45" s="55">
        <f t="shared" ca="1" si="19"/>
        <v>333000010.61574209</v>
      </c>
      <c r="M45" s="55">
        <f t="shared" ca="1" si="19"/>
        <v>347810939.07917917</v>
      </c>
      <c r="N45" s="55">
        <f t="shared" ca="1" si="19"/>
        <v>355866835.57952148</v>
      </c>
      <c r="O45" s="55">
        <f t="shared" ca="1" si="19"/>
        <v>358980060.58430421</v>
      </c>
      <c r="P45" s="55">
        <f t="shared" ca="1" si="19"/>
        <v>364191858.4493953</v>
      </c>
      <c r="Q45" s="55">
        <f t="shared" ca="1" si="19"/>
        <v>366061156.97285277</v>
      </c>
      <c r="R45" s="65">
        <f t="shared" ca="1" si="19"/>
        <v>366512223.63877064</v>
      </c>
    </row>
    <row r="46" spans="2:18">
      <c r="B46" s="64" t="str">
        <f t="shared" si="10"/>
        <v>GS 3,000 - 4,999</v>
      </c>
      <c r="C46" s="55">
        <f t="shared" ca="1" si="11"/>
        <v>124237376.2739265</v>
      </c>
      <c r="D46" s="55">
        <f t="shared" ca="1" si="12"/>
        <v>164781983.97740611</v>
      </c>
      <c r="E46" s="55">
        <f t="shared" ca="1" si="13"/>
        <v>187457996.07098451</v>
      </c>
      <c r="F46" s="55">
        <f t="shared" ca="1" si="14"/>
        <v>195309209.55412859</v>
      </c>
      <c r="G46" s="55">
        <f t="shared" ca="1" si="15"/>
        <v>199992565.9717893</v>
      </c>
      <c r="H46" s="55">
        <f t="shared" ca="1" si="16"/>
        <v>203774003.9037419</v>
      </c>
      <c r="I46" s="65">
        <f t="shared" ca="1" si="17"/>
        <v>207751809.80116576</v>
      </c>
      <c r="K46" s="64" t="str">
        <f>K32</f>
        <v>GS 3,000 - 4,999</v>
      </c>
      <c r="L46" s="55">
        <f t="shared" ca="1" si="19"/>
        <v>90574521.320152208</v>
      </c>
      <c r="M46" s="55">
        <f t="shared" ca="1" si="19"/>
        <v>109411111.63764702</v>
      </c>
      <c r="N46" s="55">
        <f t="shared" ca="1" si="19"/>
        <v>121483640.89527072</v>
      </c>
      <c r="O46" s="55">
        <f t="shared" ca="1" si="19"/>
        <v>125836143.41840598</v>
      </c>
      <c r="P46" s="55">
        <f t="shared" ca="1" si="19"/>
        <v>129926236.49593435</v>
      </c>
      <c r="Q46" s="55">
        <f t="shared" ca="1" si="19"/>
        <v>138457257.88667884</v>
      </c>
      <c r="R46" s="65">
        <f t="shared" ca="1" si="19"/>
        <v>148047521.96019441</v>
      </c>
    </row>
    <row r="47" spans="2:18">
      <c r="B47" s="64" t="str">
        <f t="shared" si="10"/>
        <v>Large Use</v>
      </c>
      <c r="C47" s="55">
        <f t="shared" ca="1" si="11"/>
        <v>331686368.21779627</v>
      </c>
      <c r="D47" s="55">
        <f t="shared" ca="1" si="12"/>
        <v>361053715.99987245</v>
      </c>
      <c r="E47" s="55">
        <f t="shared" ca="1" si="13"/>
        <v>408628326.68616831</v>
      </c>
      <c r="F47" s="55">
        <f t="shared" ca="1" si="14"/>
        <v>501277598.92863512</v>
      </c>
      <c r="G47" s="55">
        <f t="shared" ca="1" si="15"/>
        <v>570944946.26759028</v>
      </c>
      <c r="H47" s="55">
        <f t="shared" ca="1" si="16"/>
        <v>595286465.87812722</v>
      </c>
      <c r="I47" s="65">
        <f t="shared" ca="1" si="17"/>
        <v>605876118.45883048</v>
      </c>
      <c r="K47" s="64"/>
      <c r="L47" s="55"/>
      <c r="M47" s="55"/>
      <c r="N47" s="55"/>
      <c r="O47" s="55"/>
      <c r="P47" s="55"/>
      <c r="Q47" s="55"/>
      <c r="R47" s="65"/>
    </row>
    <row r="48" spans="2:18">
      <c r="B48" s="64" t="str">
        <f t="shared" si="10"/>
        <v>Street Light</v>
      </c>
      <c r="C48" s="55">
        <f t="shared" ca="1" si="11"/>
        <v>12269224.120433811</v>
      </c>
      <c r="D48" s="55">
        <f t="shared" ca="1" si="12"/>
        <v>12395336.807082044</v>
      </c>
      <c r="E48" s="55">
        <f t="shared" ca="1" si="13"/>
        <v>12522745.778611662</v>
      </c>
      <c r="F48" s="55">
        <f t="shared" ca="1" si="14"/>
        <v>12651464.359253068</v>
      </c>
      <c r="G48" s="55">
        <f t="shared" ca="1" si="15"/>
        <v>12781506.01019353</v>
      </c>
      <c r="H48" s="55">
        <f t="shared" ca="1" si="16"/>
        <v>12912884.330984939</v>
      </c>
      <c r="I48" s="65">
        <f t="shared" ca="1" si="17"/>
        <v>13045613.060966017</v>
      </c>
      <c r="K48" s="64" t="str">
        <f>K34</f>
        <v>Street Light</v>
      </c>
      <c r="L48" s="55">
        <f t="shared" ref="L48:R50" ca="1" si="20">N20-L34</f>
        <v>3769413.3310388532</v>
      </c>
      <c r="M48" s="55">
        <f t="shared" ca="1" si="20"/>
        <v>3831737.5829530451</v>
      </c>
      <c r="N48" s="55">
        <f t="shared" ca="1" si="20"/>
        <v>3895092.3168111197</v>
      </c>
      <c r="O48" s="55">
        <f t="shared" ca="1" si="20"/>
        <v>3959494.5708125578</v>
      </c>
      <c r="P48" s="55">
        <f t="shared" ca="1" si="20"/>
        <v>4024961.6648699204</v>
      </c>
      <c r="Q48" s="55">
        <f t="shared" ca="1" si="20"/>
        <v>4091511.2052667504</v>
      </c>
      <c r="R48" s="65">
        <f t="shared" ca="1" si="20"/>
        <v>4159161.089392487</v>
      </c>
    </row>
    <row r="49" spans="2:20">
      <c r="B49" s="64" t="str">
        <f t="shared" si="10"/>
        <v>Sentinel Light</v>
      </c>
      <c r="C49" s="55">
        <f t="shared" ca="1" si="11"/>
        <v>213059.04438813563</v>
      </c>
      <c r="D49" s="55">
        <f t="shared" ca="1" si="12"/>
        <v>209454.13284786118</v>
      </c>
      <c r="E49" s="55">
        <f t="shared" ca="1" si="13"/>
        <v>205910.21560731487</v>
      </c>
      <c r="F49" s="55">
        <f t="shared" ca="1" si="14"/>
        <v>202426.26065654092</v>
      </c>
      <c r="G49" s="55">
        <f t="shared" ca="1" si="15"/>
        <v>199001.25344696196</v>
      </c>
      <c r="H49" s="55">
        <f t="shared" ca="1" si="16"/>
        <v>195634.19659593637</v>
      </c>
      <c r="I49" s="65">
        <f t="shared" ca="1" si="17"/>
        <v>192324.10959631458</v>
      </c>
      <c r="K49" s="64" t="str">
        <f>K35</f>
        <v>Sentinel Light</v>
      </c>
      <c r="L49" s="55">
        <f t="shared" ca="1" si="20"/>
        <v>31238.247693689678</v>
      </c>
      <c r="M49" s="55">
        <f t="shared" ca="1" si="20"/>
        <v>31652.571214880914</v>
      </c>
      <c r="N49" s="55">
        <f t="shared" ca="1" si="20"/>
        <v>32072.390050082573</v>
      </c>
      <c r="O49" s="55">
        <f t="shared" ca="1" si="20"/>
        <v>32497.777085516482</v>
      </c>
      <c r="P49" s="55">
        <f t="shared" ca="1" si="20"/>
        <v>32928.806174119265</v>
      </c>
      <c r="Q49" s="55">
        <f t="shared" ca="1" si="20"/>
        <v>33365.552148364186</v>
      </c>
      <c r="R49" s="65">
        <f t="shared" ca="1" si="20"/>
        <v>33808.090833253111</v>
      </c>
    </row>
    <row r="50" spans="2:20">
      <c r="B50" s="64" t="str">
        <f t="shared" si="10"/>
        <v>USL</v>
      </c>
      <c r="C50" s="55">
        <f t="shared" ca="1" si="11"/>
        <v>4568421.3099587467</v>
      </c>
      <c r="D50" s="55">
        <f t="shared" ca="1" si="12"/>
        <v>4505369.3749406869</v>
      </c>
      <c r="E50" s="55">
        <f t="shared" ca="1" si="13"/>
        <v>4443187.6631879052</v>
      </c>
      <c r="F50" s="55">
        <f t="shared" ca="1" si="14"/>
        <v>4381864.1641486054</v>
      </c>
      <c r="G50" s="55">
        <f t="shared" ca="1" si="15"/>
        <v>4321387.0330369044</v>
      </c>
      <c r="H50" s="55">
        <f t="shared" ca="1" si="16"/>
        <v>4261744.5885449816</v>
      </c>
      <c r="I50" s="65">
        <f t="shared" ca="1" si="17"/>
        <v>4202925.3105868073</v>
      </c>
      <c r="K50" s="64" t="str">
        <f>K36</f>
        <v>USL</v>
      </c>
      <c r="L50" s="55">
        <f t="shared" ca="1" si="20"/>
        <v>1926400.0408803986</v>
      </c>
      <c r="M50" s="55">
        <f t="shared" ca="1" si="20"/>
        <v>1936353.0077134862</v>
      </c>
      <c r="N50" s="55">
        <f t="shared" ca="1" si="20"/>
        <v>1946357.3976916517</v>
      </c>
      <c r="O50" s="55">
        <f t="shared" ca="1" si="20"/>
        <v>1956413.4764984741</v>
      </c>
      <c r="P50" s="55">
        <f t="shared" ca="1" si="20"/>
        <v>1966521.5111902175</v>
      </c>
      <c r="Q50" s="55">
        <f t="shared" ca="1" si="20"/>
        <v>1976681.7702029219</v>
      </c>
      <c r="R50" s="65">
        <f t="shared" ca="1" si="20"/>
        <v>1986894.5233595334</v>
      </c>
    </row>
    <row r="51" spans="2:20" ht="13.5" thickBot="1">
      <c r="B51" s="63" t="s">
        <v>65</v>
      </c>
      <c r="C51" s="62">
        <f t="shared" ref="C51:I51" ca="1" si="21">SUM(C42:C50)</f>
        <v>2805639883.1090355</v>
      </c>
      <c r="D51" s="62">
        <f t="shared" ca="1" si="21"/>
        <v>2934560418.345211</v>
      </c>
      <c r="E51" s="62">
        <f t="shared" ca="1" si="21"/>
        <v>3060018661.1573014</v>
      </c>
      <c r="F51" s="62">
        <f t="shared" ca="1" si="21"/>
        <v>3200150854.4782677</v>
      </c>
      <c r="G51" s="62">
        <f t="shared" ca="1" si="21"/>
        <v>3299421413.3886533</v>
      </c>
      <c r="H51" s="62">
        <f t="shared" ca="1" si="21"/>
        <v>3351774522.4534073</v>
      </c>
      <c r="I51" s="60">
        <f t="shared" ca="1" si="21"/>
        <v>3401916292.3408098</v>
      </c>
      <c r="K51" s="63" t="s">
        <v>65</v>
      </c>
      <c r="L51" s="62">
        <f ca="1">SUM(L42:L50)</f>
        <v>942035552.33934319</v>
      </c>
      <c r="M51" s="62">
        <f t="shared" ref="M51:R51" ca="1" si="22">SUM(M42:M50)</f>
        <v>984386153.80850744</v>
      </c>
      <c r="N51" s="62">
        <f t="shared" ca="1" si="22"/>
        <v>1014541625.335692</v>
      </c>
      <c r="O51" s="62">
        <f t="shared" ca="1" si="22"/>
        <v>1029808035.4807874</v>
      </c>
      <c r="P51" s="62">
        <f t="shared" ca="1" si="22"/>
        <v>1048425700.518127</v>
      </c>
      <c r="Q51" s="62">
        <f t="shared" ca="1" si="22"/>
        <v>1071142620.1595274</v>
      </c>
      <c r="R51" s="60">
        <f t="shared" ca="1" si="22"/>
        <v>1092152556.6687</v>
      </c>
    </row>
    <row r="52" spans="2:20">
      <c r="F52" s="56"/>
    </row>
    <row r="53" spans="2:20">
      <c r="F53" s="56"/>
    </row>
    <row r="54" spans="2:20" ht="16.5" thickBot="1">
      <c r="B54" s="71" t="s">
        <v>449</v>
      </c>
      <c r="C54" s="71" t="s">
        <v>376</v>
      </c>
    </row>
    <row r="55" spans="2:20">
      <c r="B55" s="70" t="s">
        <v>199</v>
      </c>
      <c r="C55" s="69" t="s">
        <v>476</v>
      </c>
      <c r="D55" s="69" t="s">
        <v>477</v>
      </c>
      <c r="E55" s="69" t="s">
        <v>478</v>
      </c>
      <c r="F55" s="69" t="s">
        <v>479</v>
      </c>
      <c r="G55" s="69" t="s">
        <v>480</v>
      </c>
      <c r="H55" s="69" t="s">
        <v>481</v>
      </c>
      <c r="I55" s="69" t="s">
        <v>482</v>
      </c>
      <c r="J55" s="69" t="s">
        <v>483</v>
      </c>
      <c r="K55" s="69" t="s">
        <v>484</v>
      </c>
      <c r="L55" s="69" t="s">
        <v>528</v>
      </c>
      <c r="M55" s="68" t="s">
        <v>529</v>
      </c>
      <c r="N55" s="69" t="s">
        <v>195</v>
      </c>
      <c r="O55" s="69" t="s">
        <v>196</v>
      </c>
      <c r="P55" s="69" t="s">
        <v>487</v>
      </c>
      <c r="Q55" s="69" t="s">
        <v>488</v>
      </c>
      <c r="R55" s="69" t="s">
        <v>489</v>
      </c>
      <c r="S55" s="69" t="s">
        <v>490</v>
      </c>
      <c r="T55" s="67" t="s">
        <v>491</v>
      </c>
    </row>
    <row r="56" spans="2:20">
      <c r="B56" s="64" t="str">
        <f>B45</f>
        <v>GS 50 - 2,999</v>
      </c>
      <c r="C56" s="55">
        <f ca="1">OFFSET('kW Forecast'!$D$6,COLUMN()-COLUMN($C56),0)</f>
        <v>2278207.1437237901</v>
      </c>
      <c r="D56" s="55">
        <f ca="1">OFFSET('kW Forecast'!$D$6,COLUMN()-COLUMN($C56),0)</f>
        <v>2342969.96</v>
      </c>
      <c r="E56" s="55">
        <f ca="1">OFFSET('kW Forecast'!$D$6,COLUMN()-COLUMN($C56),0)</f>
        <v>2295183.8399999994</v>
      </c>
      <c r="F56" s="55">
        <f ca="1">OFFSET('kW Forecast'!$D$6,COLUMN()-COLUMN($C56),0)</f>
        <v>2313760.27</v>
      </c>
      <c r="G56" s="55">
        <f ca="1">OFFSET('kW Forecast'!$D$6,COLUMN()-COLUMN($C56),0)</f>
        <v>2245850.48</v>
      </c>
      <c r="H56" s="55">
        <f ca="1">OFFSET('kW Forecast'!$D$6,COLUMN()-COLUMN($C56),0)</f>
        <v>2160161.04</v>
      </c>
      <c r="I56" s="55">
        <f ca="1">OFFSET('kW Forecast'!$D$6,COLUMN()-COLUMN($C56),0)</f>
        <v>2190090.0699999994</v>
      </c>
      <c r="J56" s="55">
        <f ca="1">OFFSET('kW Forecast'!$D$6,COLUMN()-COLUMN($C56),0)</f>
        <v>2248196.86</v>
      </c>
      <c r="K56" s="55">
        <f ca="1">OFFSET('kW Forecast'!$D$6,COLUMN()-COLUMN($C56),0)</f>
        <v>2217562.73</v>
      </c>
      <c r="L56" s="55">
        <f ca="1">OFFSET('kW Forecast'!$D$6,COLUMN()-COLUMN($C56),0)</f>
        <v>2202593.3899999997</v>
      </c>
      <c r="M56" s="55">
        <f ca="1">OFFSET('kW Forecast'!$G$19,COLUMN()-COLUMN($L56),0)</f>
        <v>2237068.4366257861</v>
      </c>
      <c r="N56" s="55">
        <f ca="1">OFFSET('kW Forecast'!$G$19,COLUMN()-COLUMN($L56),0)</f>
        <v>2291558.7530487799</v>
      </c>
      <c r="O56" s="55">
        <f ca="1">OFFSET('kW Forecast'!$G$19,COLUMN()-COLUMN($L56),0)</f>
        <v>2421524.6482410766</v>
      </c>
      <c r="P56" s="55">
        <f ca="1">OFFSET('kW Forecast'!$G$19,COLUMN()-COLUMN($L56),0)</f>
        <v>2544818.9157957616</v>
      </c>
      <c r="Q56" s="55">
        <f ca="1">OFFSET('kW Forecast'!$G$19,COLUMN()-COLUMN($L56),0)</f>
        <v>2633210.486616693</v>
      </c>
      <c r="R56" s="55">
        <f ca="1">OFFSET('kW Forecast'!$G$19,COLUMN()-COLUMN($L56),0)</f>
        <v>2694345.2544028829</v>
      </c>
      <c r="S56" s="55">
        <f ca="1">OFFSET('kW Forecast'!$G$19,COLUMN()-COLUMN($L56),0)</f>
        <v>2743409.6355915153</v>
      </c>
      <c r="T56" s="65">
        <f ca="1">OFFSET('kW Forecast'!$G$19,COLUMN()-COLUMN($L56),0)</f>
        <v>2816120.0992779671</v>
      </c>
    </row>
    <row r="57" spans="2:20">
      <c r="B57" s="64" t="str">
        <f>B46</f>
        <v>GS 3,000 - 4,999</v>
      </c>
      <c r="C57" s="55">
        <f ca="1">OFFSET('kW Forecast'!$K$6,COLUMN()-COLUMN($C57),0)</f>
        <v>194667.50288459152</v>
      </c>
      <c r="D57" s="55">
        <f ca="1">OFFSET('kW Forecast'!$K$6,COLUMN()-COLUMN($C57),0)</f>
        <v>223616.35</v>
      </c>
      <c r="E57" s="55">
        <f ca="1">OFFSET('kW Forecast'!$K$6,COLUMN()-COLUMN($C57),0)</f>
        <v>200189.70000000004</v>
      </c>
      <c r="F57" s="55">
        <f ca="1">OFFSET('kW Forecast'!$K$6,COLUMN()-COLUMN($C57),0)</f>
        <v>189119.25000000003</v>
      </c>
      <c r="G57" s="55">
        <f ca="1">OFFSET('kW Forecast'!$K$6,COLUMN()-COLUMN($C57),0)</f>
        <v>195386.42</v>
      </c>
      <c r="H57" s="55">
        <f ca="1">OFFSET('kW Forecast'!$K$6,COLUMN()-COLUMN($C57),0)</f>
        <v>192683.53999999998</v>
      </c>
      <c r="I57" s="55">
        <f ca="1">OFFSET('kW Forecast'!$K$6,COLUMN()-COLUMN($C57),0)</f>
        <v>216388.10000000003</v>
      </c>
      <c r="J57" s="55">
        <f ca="1">OFFSET('kW Forecast'!$K$6,COLUMN()-COLUMN($C57),0)</f>
        <v>228646.87000000002</v>
      </c>
      <c r="K57" s="55">
        <f ca="1">OFFSET('kW Forecast'!$K$6,COLUMN()-COLUMN($C57),0)</f>
        <v>234048.35</v>
      </c>
      <c r="L57" s="55">
        <f ca="1">OFFSET('kW Forecast'!$K$6,COLUMN()-COLUMN($C57),0)</f>
        <v>215659.85000000003</v>
      </c>
      <c r="M57" s="55">
        <f ca="1">OFFSET('kW Forecast'!$O$19,COLUMN()-COLUMN($L57),0)</f>
        <v>222502.32038903629</v>
      </c>
      <c r="N57" s="55">
        <f ca="1">OFFSET('kW Forecast'!$O$19,COLUMN()-COLUMN($L57),0)</f>
        <v>270895.58237171127</v>
      </c>
      <c r="O57" s="55">
        <f ca="1">OFFSET('kW Forecast'!$O$19,COLUMN()-COLUMN($L57),0)</f>
        <v>361547.98350374302</v>
      </c>
      <c r="P57" s="55">
        <f ca="1">OFFSET('kW Forecast'!$O$19,COLUMN()-COLUMN($L57),0)</f>
        <v>414054.66144655779</v>
      </c>
      <c r="Q57" s="55">
        <f ca="1">OFFSET('kW Forecast'!$O$19,COLUMN()-COLUMN($L57),0)</f>
        <v>434907.16360370023</v>
      </c>
      <c r="R57" s="55">
        <f ca="1">OFFSET('kW Forecast'!$O$19,COLUMN()-COLUMN($L57),0)</f>
        <v>449320.22557102551</v>
      </c>
      <c r="S57" s="55">
        <f ca="1">OFFSET('kW Forecast'!$O$19,COLUMN()-COLUMN($L57),0)</f>
        <v>462094.98393583077</v>
      </c>
      <c r="T57" s="65">
        <f ca="1">OFFSET('kW Forecast'!$O$19,COLUMN()-COLUMN($L57),0)</f>
        <v>475555.28750977298</v>
      </c>
    </row>
    <row r="58" spans="2:20">
      <c r="B58" s="64" t="str">
        <f>B47</f>
        <v>Large Use</v>
      </c>
      <c r="C58" s="55">
        <f ca="1">OFFSET('kW Forecast'!$S$6,COLUMN()-COLUMN($C58),0)</f>
        <v>361254.63310506125</v>
      </c>
      <c r="D58" s="55">
        <f ca="1">OFFSET('kW Forecast'!$S$6,COLUMN()-COLUMN($C58),0)</f>
        <v>421758</v>
      </c>
      <c r="E58" s="55">
        <f ca="1">OFFSET('kW Forecast'!$S$6,COLUMN()-COLUMN($C58),0)</f>
        <v>382866</v>
      </c>
      <c r="F58" s="55">
        <f ca="1">OFFSET('kW Forecast'!$S$6,COLUMN()-COLUMN($C58),0)</f>
        <v>423038</v>
      </c>
      <c r="G58" s="55">
        <f ca="1">OFFSET('kW Forecast'!$S$6,COLUMN()-COLUMN($C58),0)</f>
        <v>433414</v>
      </c>
      <c r="H58" s="55">
        <f ca="1">OFFSET('kW Forecast'!$S$6,COLUMN()-COLUMN($C58),0)</f>
        <v>453257</v>
      </c>
      <c r="I58" s="55">
        <f ca="1">OFFSET('kW Forecast'!$S$6,COLUMN()-COLUMN($C58),0)</f>
        <v>481567</v>
      </c>
      <c r="J58" s="55">
        <f ca="1">OFFSET('kW Forecast'!$S$6,COLUMN()-COLUMN($C58),0)</f>
        <v>490452</v>
      </c>
      <c r="K58" s="55">
        <f ca="1">OFFSET('kW Forecast'!$S$6,COLUMN()-COLUMN($C58),0)</f>
        <v>518389.27999999997</v>
      </c>
      <c r="L58" s="55">
        <f ca="1">OFFSET('kW Forecast'!$S$6,COLUMN()-COLUMN($C58),0)</f>
        <v>532510.09</v>
      </c>
      <c r="M58" s="55">
        <f ca="1">OFFSET('kW Forecast'!$W$19,COLUMN()-COLUMN($L58),0)</f>
        <v>532624.97733027232</v>
      </c>
      <c r="N58" s="55">
        <f ca="1">OFFSET('kW Forecast'!$W$19,COLUMN()-COLUMN($L58),0)</f>
        <v>572177.1630624634</v>
      </c>
      <c r="O58" s="55">
        <f ca="1">OFFSET('kW Forecast'!$W$19,COLUMN()-COLUMN($L58),0)</f>
        <v>632468.48033445701</v>
      </c>
      <c r="P58" s="55">
        <f ca="1">OFFSET('kW Forecast'!$W$19,COLUMN()-COLUMN($L58),0)</f>
        <v>726264.65441780514</v>
      </c>
      <c r="Q58" s="55">
        <f ca="1">OFFSET('kW Forecast'!$W$19,COLUMN()-COLUMN($L58),0)</f>
        <v>898888.92788284295</v>
      </c>
      <c r="R58" s="55">
        <f ca="1">OFFSET('kW Forecast'!$W$19,COLUMN()-COLUMN($L58),0)</f>
        <v>1033837.0153169513</v>
      </c>
      <c r="S58" s="55">
        <f ca="1">OFFSET('kW Forecast'!$W$19,COLUMN()-COLUMN($L58),0)</f>
        <v>1093299.2112046846</v>
      </c>
      <c r="T58" s="65">
        <f ca="1">OFFSET('kW Forecast'!$W$19,COLUMN()-COLUMN($L58),0)</f>
        <v>1130712.4019692407</v>
      </c>
    </row>
    <row r="59" spans="2:20">
      <c r="B59" s="64" t="str">
        <f>B48</f>
        <v>Street Light</v>
      </c>
      <c r="C59" s="55">
        <f ca="1">OFFSET('kW Forecast'!$AA$6,COLUMN()-COLUMN($C59),0)</f>
        <v>57817.140000000007</v>
      </c>
      <c r="D59" s="55">
        <f ca="1">OFFSET('kW Forecast'!$AA$6,COLUMN()-COLUMN($C59),0)</f>
        <v>57564.81</v>
      </c>
      <c r="E59" s="55">
        <f ca="1">OFFSET('kW Forecast'!$AA$6,COLUMN()-COLUMN($C59),0)</f>
        <v>54832.51</v>
      </c>
      <c r="F59" s="55">
        <f ca="1">OFFSET('kW Forecast'!$AA$6,COLUMN()-COLUMN($C59),0)</f>
        <v>43114.93</v>
      </c>
      <c r="G59" s="55">
        <f ca="1">OFFSET('kW Forecast'!$AA$6,COLUMN()-COLUMN($C59),0)</f>
        <v>36690.920000000006</v>
      </c>
      <c r="H59" s="55">
        <f ca="1">OFFSET('kW Forecast'!$AA$6,COLUMN()-COLUMN($C59),0)</f>
        <v>31667.35</v>
      </c>
      <c r="I59" s="55">
        <f ca="1">OFFSET('kW Forecast'!$AA$6,COLUMN()-COLUMN($C59),0)</f>
        <v>31122.25</v>
      </c>
      <c r="J59" s="55">
        <f ca="1">OFFSET('kW Forecast'!$AA$6,COLUMN()-COLUMN($C59),0)</f>
        <v>31016.899999999998</v>
      </c>
      <c r="K59" s="55">
        <f ca="1">OFFSET('kW Forecast'!$AA$6,COLUMN()-COLUMN($C59),0)</f>
        <v>31561.47</v>
      </c>
      <c r="L59" s="55">
        <f ca="1">OFFSET('kW Forecast'!$AA$6,COLUMN()-COLUMN($C59),0)</f>
        <v>32173.850000000002</v>
      </c>
      <c r="M59" s="55">
        <f ca="1">OFFSET('kW Forecast'!$AA$19,COLUMN()-COLUMN($L59),0)</f>
        <v>32361.890658464337</v>
      </c>
      <c r="N59" s="55">
        <f ca="1">OFFSET('kW Forecast'!$AA$19,COLUMN()-COLUMN($L59),0)</f>
        <v>32694.531495072591</v>
      </c>
      <c r="O59" s="55">
        <f ca="1">OFFSET('kW Forecast'!$AA$19,COLUMN()-COLUMN($L59),0)</f>
        <v>33030.591474503723</v>
      </c>
      <c r="P59" s="55">
        <f ca="1">OFFSET('kW Forecast'!$AA$19,COLUMN()-COLUMN($L59),0)</f>
        <v>33370.10574138326</v>
      </c>
      <c r="Q59" s="55">
        <f ca="1">OFFSET('kW Forecast'!$AA$19,COLUMN()-COLUMN($L59),0)</f>
        <v>33713.109801580729</v>
      </c>
      <c r="R59" s="55">
        <f ca="1">OFFSET('kW Forecast'!$AA$19,COLUMN()-COLUMN($L59),0)</f>
        <v>34059.639525922736</v>
      </c>
      <c r="S59" s="55">
        <f ca="1">OFFSET('kW Forecast'!$AA$19,COLUMN()-COLUMN($L59),0)</f>
        <v>34409.731153944325</v>
      </c>
      <c r="T59" s="65">
        <f ca="1">OFFSET('kW Forecast'!$AA$19,COLUMN()-COLUMN($L59),0)</f>
        <v>34763.421297678848</v>
      </c>
    </row>
    <row r="60" spans="2:20">
      <c r="B60" s="64" t="str">
        <f>B49</f>
        <v>Sentinel Light</v>
      </c>
      <c r="C60" s="55">
        <f ca="1">OFFSET('kW Forecast'!$AH$6,COLUMN()-COLUMN($C60),0)</f>
        <v>1014</v>
      </c>
      <c r="D60" s="55">
        <f ca="1">OFFSET('kW Forecast'!$AH$6,COLUMN()-COLUMN($C60),0)</f>
        <v>1014</v>
      </c>
      <c r="E60" s="55">
        <f ca="1">OFFSET('kW Forecast'!$AH$6,COLUMN()-COLUMN($C60),0)</f>
        <v>967.00000000000011</v>
      </c>
      <c r="F60" s="55">
        <f ca="1">OFFSET('kW Forecast'!$AH$6,COLUMN()-COLUMN($C60),0)</f>
        <v>720</v>
      </c>
      <c r="G60" s="55">
        <f ca="1">OFFSET('kW Forecast'!$AH$6,COLUMN()-COLUMN($C60),0)</f>
        <v>629</v>
      </c>
      <c r="H60" s="55">
        <f ca="1">OFFSET('kW Forecast'!$AH$6,COLUMN()-COLUMN($C60),0)</f>
        <v>642</v>
      </c>
      <c r="I60" s="55">
        <f ca="1">OFFSET('kW Forecast'!$AH$6,COLUMN()-COLUMN($C60),0)</f>
        <v>632</v>
      </c>
      <c r="J60" s="55">
        <f ca="1">OFFSET('kW Forecast'!$AH$6,COLUMN()-COLUMN($C60),0)</f>
        <v>601</v>
      </c>
      <c r="K60" s="55">
        <f ca="1">OFFSET('kW Forecast'!$AH$6,COLUMN()-COLUMN($C60),0)</f>
        <v>608</v>
      </c>
      <c r="L60" s="55">
        <f ca="1">OFFSET('kW Forecast'!$AH$6,COLUMN()-COLUMN($C60),0)</f>
        <v>602</v>
      </c>
      <c r="M60" s="55">
        <f ca="1">OFFSET('kW Forecast'!$AH$19,COLUMN()-COLUMN($L60),0)</f>
        <v>601.17205478796541</v>
      </c>
      <c r="N60" s="55">
        <f ca="1">OFFSET('kW Forecast'!$AH$19,COLUMN()-COLUMN($L60),0)</f>
        <v>591.00035762195512</v>
      </c>
      <c r="O60" s="55">
        <f ca="1">OFFSET('kW Forecast'!$AH$19,COLUMN()-COLUMN($L60),0)</f>
        <v>581.00076330472677</v>
      </c>
      <c r="P60" s="55">
        <f ca="1">OFFSET('kW Forecast'!$AH$19,COLUMN()-COLUMN($L60),0)</f>
        <v>571.17035989444037</v>
      </c>
      <c r="Q60" s="55">
        <f ca="1">OFFSET('kW Forecast'!$AH$19,COLUMN()-COLUMN($L60),0)</f>
        <v>561.50628471866321</v>
      </c>
      <c r="R60" s="55">
        <f ca="1">OFFSET('kW Forecast'!$AH$19,COLUMN()-COLUMN($L60),0)</f>
        <v>552.00572354074188</v>
      </c>
      <c r="S60" s="55">
        <f ca="1">OFFSET('kW Forecast'!$AH$19,COLUMN()-COLUMN($L60),0)</f>
        <v>542.66590974027986</v>
      </c>
      <c r="T60" s="65">
        <f ca="1">OFFSET('kW Forecast'!$AH$19,COLUMN()-COLUMN($L60),0)</f>
        <v>533.48412350748094</v>
      </c>
    </row>
    <row r="61" spans="2:20" ht="13.5" thickBot="1">
      <c r="B61" s="63" t="s">
        <v>65</v>
      </c>
      <c r="C61" s="62">
        <f ca="1">SUM(C56:C60)</f>
        <v>2892960.4197134427</v>
      </c>
      <c r="D61" s="62">
        <f t="shared" ref="D61:T61" ca="1" si="23">SUM(D56:D60)</f>
        <v>3046923.12</v>
      </c>
      <c r="E61" s="62">
        <f t="shared" ca="1" si="23"/>
        <v>2934039.0499999993</v>
      </c>
      <c r="F61" s="62">
        <f t="shared" ca="1" si="23"/>
        <v>2969752.45</v>
      </c>
      <c r="G61" s="62">
        <f t="shared" ca="1" si="23"/>
        <v>2911970.82</v>
      </c>
      <c r="H61" s="62">
        <f t="shared" ca="1" si="23"/>
        <v>2838410.93</v>
      </c>
      <c r="I61" s="62">
        <f t="shared" ca="1" si="23"/>
        <v>2919799.4199999995</v>
      </c>
      <c r="J61" s="62">
        <f t="shared" ca="1" si="23"/>
        <v>2998913.63</v>
      </c>
      <c r="K61" s="62">
        <f t="shared" ca="1" si="23"/>
        <v>3002169.83</v>
      </c>
      <c r="L61" s="62">
        <f t="shared" ca="1" si="23"/>
        <v>2983539.1799999997</v>
      </c>
      <c r="M61" s="62">
        <f t="shared" ca="1" si="23"/>
        <v>3025158.7970583467</v>
      </c>
      <c r="N61" s="62">
        <f t="shared" ca="1" si="23"/>
        <v>3167917.0303356489</v>
      </c>
      <c r="O61" s="62">
        <f t="shared" ca="1" si="23"/>
        <v>3449152.704317085</v>
      </c>
      <c r="P61" s="62">
        <f t="shared" ca="1" si="23"/>
        <v>3719079.5077614025</v>
      </c>
      <c r="Q61" s="62">
        <f t="shared" ca="1" si="23"/>
        <v>4001281.1941895355</v>
      </c>
      <c r="R61" s="62">
        <f t="shared" ca="1" si="23"/>
        <v>4212114.1405403232</v>
      </c>
      <c r="S61" s="62">
        <f t="shared" ca="1" si="23"/>
        <v>4333756.2277957154</v>
      </c>
      <c r="T61" s="62">
        <f t="shared" ca="1" si="23"/>
        <v>4457684.6941781668</v>
      </c>
    </row>
    <row r="63" spans="2:20" ht="16.5" thickBot="1">
      <c r="B63" s="71" t="s">
        <v>449</v>
      </c>
      <c r="C63" s="71" t="s">
        <v>352</v>
      </c>
    </row>
    <row r="64" spans="2:20">
      <c r="B64" s="70" t="s">
        <v>199</v>
      </c>
      <c r="C64" s="69" t="s">
        <v>476</v>
      </c>
      <c r="D64" s="69" t="s">
        <v>477</v>
      </c>
      <c r="E64" s="69" t="s">
        <v>478</v>
      </c>
      <c r="F64" s="69" t="s">
        <v>479</v>
      </c>
      <c r="G64" s="69" t="s">
        <v>480</v>
      </c>
      <c r="H64" s="69" t="s">
        <v>481</v>
      </c>
      <c r="I64" s="69" t="s">
        <v>482</v>
      </c>
      <c r="J64" s="69" t="s">
        <v>483</v>
      </c>
      <c r="K64" s="69" t="s">
        <v>484</v>
      </c>
      <c r="L64" s="69" t="s">
        <v>528</v>
      </c>
      <c r="M64" s="68" t="s">
        <v>529</v>
      </c>
      <c r="N64" s="69" t="s">
        <v>195</v>
      </c>
      <c r="O64" s="69" t="s">
        <v>196</v>
      </c>
      <c r="P64" s="69" t="s">
        <v>487</v>
      </c>
      <c r="Q64" s="69" t="s">
        <v>488</v>
      </c>
      <c r="R64" s="69" t="s">
        <v>489</v>
      </c>
      <c r="S64" s="69" t="s">
        <v>490</v>
      </c>
      <c r="T64" s="67" t="s">
        <v>491</v>
      </c>
    </row>
    <row r="65" spans="2:20">
      <c r="B65" s="64" t="str">
        <f>B56</f>
        <v>GS 50 - 2,999</v>
      </c>
      <c r="C65" s="55">
        <f ca="1">OFFSET('kW Forecast'!$AQ$6,COLUMN()-COLUMN($C65),0)</f>
        <v>823988.30999999982</v>
      </c>
      <c r="D65" s="55">
        <f ca="1">OFFSET('kW Forecast'!$AQ$6,COLUMN()-COLUMN($C65),0)</f>
        <v>847805.77999999991</v>
      </c>
      <c r="E65" s="55">
        <f ca="1">OFFSET('kW Forecast'!$AQ$6,COLUMN()-COLUMN($C65),0)</f>
        <v>816193.45000000007</v>
      </c>
      <c r="F65" s="55">
        <f ca="1">OFFSET('kW Forecast'!$AQ$6,COLUMN()-COLUMN($C65),0)</f>
        <v>835852.88</v>
      </c>
      <c r="G65" s="55">
        <f ca="1">OFFSET('kW Forecast'!$AQ$6,COLUMN()-COLUMN($C65),0)</f>
        <v>811487.09999999986</v>
      </c>
      <c r="H65" s="55">
        <f ca="1">OFFSET('kW Forecast'!$AQ$6,COLUMN()-COLUMN($C65),0)</f>
        <v>783041.75999999989</v>
      </c>
      <c r="I65" s="55">
        <f ca="1">OFFSET('kW Forecast'!$AQ$6,COLUMN()-COLUMN($C65),0)</f>
        <v>760128.48</v>
      </c>
      <c r="J65" s="55">
        <f ca="1">OFFSET('kW Forecast'!$AQ$6,COLUMN()-COLUMN($C65),0)</f>
        <v>795164.42999999993</v>
      </c>
      <c r="K65" s="55">
        <f ca="1">OFFSET('kW Forecast'!$AQ$6,COLUMN()-COLUMN($C65),0)</f>
        <v>773424.36</v>
      </c>
      <c r="L65" s="55">
        <f ca="1">OFFSET('kW Forecast'!$AQ$6,COLUMN()-COLUMN($C65),0)</f>
        <v>765937.02</v>
      </c>
      <c r="M65" s="55">
        <f ca="1">OFFSET('kW Forecast'!$AU$19,COLUMN()-COLUMN($L65),0)</f>
        <v>774162.79915631376</v>
      </c>
      <c r="N65" s="55">
        <f ca="1">OFFSET('kW Forecast'!$AU$19,COLUMN()-COLUMN($L65),0)</f>
        <v>805572.13401930628</v>
      </c>
      <c r="O65" s="55">
        <f ca="1">OFFSET('kW Forecast'!$AU$19,COLUMN()-COLUMN($L65),0)</f>
        <v>861150.09475727112</v>
      </c>
      <c r="P65" s="55">
        <f ca="1">OFFSET('kW Forecast'!$AU$19,COLUMN()-COLUMN($L65),0)</f>
        <v>899152.25450047106</v>
      </c>
      <c r="Q65" s="55">
        <f ca="1">OFFSET('kW Forecast'!$AU$19,COLUMN()-COLUMN($L65),0)</f>
        <v>927216.57680304325</v>
      </c>
      <c r="R65" s="55">
        <f ca="1">OFFSET('kW Forecast'!$AU$19,COLUMN()-COLUMN($L65),0)</f>
        <v>961188.29480631871</v>
      </c>
      <c r="S65" s="55">
        <f ca="1">OFFSET('kW Forecast'!$AU$19,COLUMN()-COLUMN($L65),0)</f>
        <v>987570.65056596871</v>
      </c>
      <c r="T65" s="65">
        <f ca="1">OFFSET('kW Forecast'!$AU$19,COLUMN()-COLUMN($L65),0)</f>
        <v>1010789.2345567748</v>
      </c>
    </row>
    <row r="66" spans="2:20">
      <c r="B66" s="64" t="str">
        <f>B57</f>
        <v>GS 3,000 - 4,999</v>
      </c>
      <c r="C66" s="55">
        <f ca="1">OFFSET('kW Forecast'!$AY$6,COLUMN()-COLUMN($C66),0)</f>
        <v>90011.670000000013</v>
      </c>
      <c r="D66" s="55">
        <f ca="1">OFFSET('kW Forecast'!$AY$6,COLUMN()-COLUMN($C66),0)</f>
        <v>93876.75</v>
      </c>
      <c r="E66" s="55">
        <f ca="1">OFFSET('kW Forecast'!$AY$6,COLUMN()-COLUMN($C66),0)</f>
        <v>90337.329999999987</v>
      </c>
      <c r="F66" s="55">
        <f ca="1">OFFSET('kW Forecast'!$AY$6,COLUMN()-COLUMN($C66),0)</f>
        <v>114913.62000000001</v>
      </c>
      <c r="G66" s="55">
        <f ca="1">OFFSET('kW Forecast'!$AY$6,COLUMN()-COLUMN($C66),0)</f>
        <v>147600.45000000001</v>
      </c>
      <c r="H66" s="55">
        <f ca="1">OFFSET('kW Forecast'!$AY$6,COLUMN()-COLUMN($C66),0)</f>
        <v>146756.25999999998</v>
      </c>
      <c r="I66" s="55">
        <f ca="1">OFFSET('kW Forecast'!$AY$6,COLUMN()-COLUMN($C66),0)</f>
        <v>151779.59</v>
      </c>
      <c r="J66" s="55">
        <f ca="1">OFFSET('kW Forecast'!$AY$6,COLUMN()-COLUMN($C66),0)</f>
        <v>164454.65</v>
      </c>
      <c r="K66" s="55">
        <f ca="1">OFFSET('kW Forecast'!$AY$6,COLUMN()-COLUMN($C66),0)</f>
        <v>160651.39000000001</v>
      </c>
      <c r="L66" s="55">
        <f ca="1">OFFSET('kW Forecast'!$AY$6,COLUMN()-COLUMN($C66),0)</f>
        <v>160377.93</v>
      </c>
      <c r="M66" s="55">
        <f ca="1">OFFSET('kW Forecast'!$BC$19,COLUMN()-COLUMN($L66),0)</f>
        <v>147811.34727812762</v>
      </c>
      <c r="N66" s="55">
        <f ca="1">OFFSET('kW Forecast'!$BC$19,COLUMN()-COLUMN($L66),0)</f>
        <v>167731.70299014938</v>
      </c>
      <c r="O66" s="55">
        <f ca="1">OFFSET('kW Forecast'!$BC$19,COLUMN()-COLUMN($L66),0)</f>
        <v>204948.79065319334</v>
      </c>
      <c r="P66" s="55">
        <f ca="1">OFFSET('kW Forecast'!$BC$19,COLUMN()-COLUMN($L66),0)</f>
        <v>230231.71902234078</v>
      </c>
      <c r="Q66" s="55">
        <f ca="1">OFFSET('kW Forecast'!$BC$19,COLUMN()-COLUMN($L66),0)</f>
        <v>241786.65251404676</v>
      </c>
      <c r="R66" s="55">
        <f ca="1">OFFSET('kW Forecast'!$BC$19,COLUMN()-COLUMN($L66),0)</f>
        <v>253030.87949305424</v>
      </c>
      <c r="S66" s="55">
        <f ca="1">OFFSET('kW Forecast'!$BC$19,COLUMN()-COLUMN($L66),0)</f>
        <v>272423.1296694614</v>
      </c>
      <c r="T66" s="65">
        <f ca="1">OFFSET('kW Forecast'!$BC$19,COLUMN()-COLUMN($L66),0)</f>
        <v>293800.36311581929</v>
      </c>
    </row>
    <row r="67" spans="2:20">
      <c r="B67" s="64" t="str">
        <f>B59</f>
        <v>Street Light</v>
      </c>
      <c r="C67" s="55">
        <f ca="1">OFFSET('kW Forecast'!$BG$6,COLUMN()-COLUMN($C67),0)</f>
        <v>23991.02</v>
      </c>
      <c r="D67" s="55">
        <f ca="1">OFFSET('kW Forecast'!$BG$6,COLUMN()-COLUMN($C67),0)</f>
        <v>16142.07</v>
      </c>
      <c r="E67" s="55">
        <f ca="1">OFFSET('kW Forecast'!$BG$6,COLUMN()-COLUMN($C67),0)</f>
        <v>12797.349999999999</v>
      </c>
      <c r="F67" s="55">
        <f ca="1">OFFSET('kW Forecast'!$BG$6,COLUMN()-COLUMN($C67),0)</f>
        <v>9791.36</v>
      </c>
      <c r="G67" s="55">
        <f ca="1">OFFSET('kW Forecast'!$BG$6,COLUMN()-COLUMN($C67),0)</f>
        <v>8980.67</v>
      </c>
      <c r="H67" s="55">
        <f ca="1">OFFSET('kW Forecast'!$BG$6,COLUMN()-COLUMN($C67),0)</f>
        <v>9314.0300000000025</v>
      </c>
      <c r="I67" s="55">
        <f ca="1">OFFSET('kW Forecast'!$BG$6,COLUMN()-COLUMN($C67),0)</f>
        <v>9362</v>
      </c>
      <c r="J67" s="55">
        <f ca="1">OFFSET('kW Forecast'!$BG$6,COLUMN()-COLUMN($C67),0)</f>
        <v>9581</v>
      </c>
      <c r="K67" s="55">
        <f ca="1">OFFSET('kW Forecast'!$BG$6,COLUMN()-COLUMN($C67),0)</f>
        <v>9810</v>
      </c>
      <c r="L67" s="55">
        <f ca="1">OFFSET('kW Forecast'!$BG$6,COLUMN()-COLUMN($C67),0)</f>
        <v>9886</v>
      </c>
      <c r="M67" s="55">
        <f ca="1">OFFSET('kW Forecast'!$BG$19,COLUMN()-COLUMN($L67),0)</f>
        <v>9824.5238328784399</v>
      </c>
      <c r="N67" s="55">
        <f ca="1">OFFSET('kW Forecast'!$BG$19,COLUMN()-COLUMN($L67),0)</f>
        <v>9986.964521792901</v>
      </c>
      <c r="O67" s="55">
        <f ca="1">OFFSET('kW Forecast'!$BG$19,COLUMN()-COLUMN($L67),0)</f>
        <v>10152.091038322405</v>
      </c>
      <c r="P67" s="55">
        <f ca="1">OFFSET('kW Forecast'!$BG$19,COLUMN()-COLUMN($L67),0)</f>
        <v>10319.947790490745</v>
      </c>
      <c r="Q67" s="55">
        <f ca="1">OFFSET('kW Forecast'!$BG$19,COLUMN()-COLUMN($L67),0)</f>
        <v>10490.579920573065</v>
      </c>
      <c r="R67" s="55">
        <f ca="1">OFFSET('kW Forecast'!$BG$19,COLUMN()-COLUMN($L67),0)</f>
        <v>10664.033317236139</v>
      </c>
      <c r="S67" s="55">
        <f ca="1">OFFSET('kW Forecast'!$BG$19,COLUMN()-COLUMN($L67),0)</f>
        <v>10840.354627879351</v>
      </c>
      <c r="T67" s="65">
        <f ca="1">OFFSET('kW Forecast'!$BG$19,COLUMN()-COLUMN($L67),0)</f>
        <v>11019.591271179737</v>
      </c>
    </row>
    <row r="68" spans="2:20">
      <c r="B68" s="64" t="str">
        <f>B60</f>
        <v>Sentinel Light</v>
      </c>
      <c r="C68" s="55">
        <f ca="1">OFFSET('kW Forecast'!$BN$6,COLUMN()-COLUMN($C68),0)</f>
        <v>95.000000000000014</v>
      </c>
      <c r="D68" s="55">
        <f ca="1">OFFSET('kW Forecast'!$BN$6,COLUMN()-COLUMN($C68),0)</f>
        <v>92.000000000000014</v>
      </c>
      <c r="E68" s="55">
        <f ca="1">OFFSET('kW Forecast'!$BN$6,COLUMN()-COLUMN($C68),0)</f>
        <v>87.999999999999986</v>
      </c>
      <c r="F68" s="55">
        <f ca="1">OFFSET('kW Forecast'!$BN$6,COLUMN()-COLUMN($C68),0)</f>
        <v>87</v>
      </c>
      <c r="G68" s="55">
        <f ca="1">OFFSET('kW Forecast'!$BN$6,COLUMN()-COLUMN($C68),0)</f>
        <v>86.000000000000014</v>
      </c>
      <c r="H68" s="55">
        <f ca="1">OFFSET('kW Forecast'!$BN$6,COLUMN()-COLUMN($C68),0)</f>
        <v>72</v>
      </c>
      <c r="I68" s="55">
        <f ca="1">OFFSET('kW Forecast'!$BN$6,COLUMN()-COLUMN($C68),0)</f>
        <v>71</v>
      </c>
      <c r="J68" s="55">
        <f ca="1">OFFSET('kW Forecast'!$BN$6,COLUMN()-COLUMN($C68),0)</f>
        <v>95.000000000000014</v>
      </c>
      <c r="K68" s="55">
        <f ca="1">OFFSET('kW Forecast'!$BN$6,COLUMN()-COLUMN($C68),0)</f>
        <v>92.000000000000014</v>
      </c>
      <c r="L68" s="55">
        <f ca="1">OFFSET('kW Forecast'!$BN$6,COLUMN()-COLUMN($C68),0)</f>
        <v>83</v>
      </c>
      <c r="M68" s="55">
        <f ca="1">OFFSET('kW Forecast'!$BN$19,COLUMN()-COLUMN($L68),0)</f>
        <v>87.618705454209874</v>
      </c>
      <c r="N68" s="55">
        <f ca="1">OFFSET('kW Forecast'!$BN$19,COLUMN()-COLUMN($L68),0)</f>
        <v>91.644506247205769</v>
      </c>
      <c r="O68" s="55">
        <f ca="1">OFFSET('kW Forecast'!$BN$19,COLUMN()-COLUMN($L68),0)</f>
        <v>92.860018554378001</v>
      </c>
      <c r="P68" s="55">
        <f ca="1">OFFSET('kW Forecast'!$BN$19,COLUMN()-COLUMN($L68),0)</f>
        <v>94.091652615372567</v>
      </c>
      <c r="Q68" s="55">
        <f ca="1">OFFSET('kW Forecast'!$BN$19,COLUMN()-COLUMN($L68),0)</f>
        <v>95.339622258502658</v>
      </c>
      <c r="R68" s="55">
        <f ca="1">OFFSET('kW Forecast'!$BN$19,COLUMN()-COLUMN($L68),0)</f>
        <v>96.60414414815925</v>
      </c>
      <c r="S68" s="55">
        <f ca="1">OFFSET('kW Forecast'!$BN$19,COLUMN()-COLUMN($L68),0)</f>
        <v>97.885437822426894</v>
      </c>
      <c r="T68" s="65">
        <f ca="1">OFFSET('kW Forecast'!$BN$19,COLUMN()-COLUMN($L68),0)</f>
        <v>99.183725731198621</v>
      </c>
    </row>
    <row r="69" spans="2:20" ht="13.5" thickBot="1">
      <c r="B69" s="63" t="s">
        <v>65</v>
      </c>
      <c r="C69" s="62">
        <f t="shared" ref="C69:R69" ca="1" si="24">SUM(C65:C68)</f>
        <v>938085.99999999988</v>
      </c>
      <c r="D69" s="62">
        <f t="shared" ca="1" si="24"/>
        <v>957916.59999999986</v>
      </c>
      <c r="E69" s="62">
        <f t="shared" ca="1" si="24"/>
        <v>919416.13</v>
      </c>
      <c r="F69" s="62">
        <f t="shared" ca="1" si="24"/>
        <v>960644.86</v>
      </c>
      <c r="G69" s="62">
        <f t="shared" ca="1" si="24"/>
        <v>968154.21999999986</v>
      </c>
      <c r="H69" s="62">
        <f t="shared" ca="1" si="24"/>
        <v>939184.04999999993</v>
      </c>
      <c r="I69" s="62">
        <f t="shared" ca="1" si="24"/>
        <v>921341.07</v>
      </c>
      <c r="J69" s="62">
        <f t="shared" ca="1" si="24"/>
        <v>969295.08</v>
      </c>
      <c r="K69" s="62">
        <f t="shared" ca="1" si="24"/>
        <v>943977.75</v>
      </c>
      <c r="L69" s="62">
        <f t="shared" ca="1" si="24"/>
        <v>936283.95</v>
      </c>
      <c r="M69" s="62">
        <f t="shared" ca="1" si="24"/>
        <v>931886.28897277405</v>
      </c>
      <c r="N69" s="62">
        <f t="shared" ca="1" si="24"/>
        <v>983382.44603749586</v>
      </c>
      <c r="O69" s="62">
        <f t="shared" ca="1" si="24"/>
        <v>1076343.8364673411</v>
      </c>
      <c r="P69" s="62">
        <f t="shared" ca="1" si="24"/>
        <v>1139798.0129659181</v>
      </c>
      <c r="Q69" s="62">
        <f t="shared" ca="1" si="24"/>
        <v>1179589.1488599216</v>
      </c>
      <c r="R69" s="62">
        <f t="shared" ca="1" si="24"/>
        <v>1224979.8117607571</v>
      </c>
      <c r="S69" s="62">
        <f ca="1">SUM(S65:S68)</f>
        <v>1270932.020301132</v>
      </c>
      <c r="T69" s="60">
        <f ca="1">SUM(T65:T68)</f>
        <v>1315708.3726695052</v>
      </c>
    </row>
    <row r="71" spans="2:20" ht="16.5" thickBot="1">
      <c r="B71" s="71" t="s">
        <v>485</v>
      </c>
      <c r="C71" s="71" t="s">
        <v>376</v>
      </c>
      <c r="F71" s="55"/>
      <c r="G71" s="55"/>
      <c r="H71" s="55"/>
      <c r="I71" s="55"/>
      <c r="K71" s="71" t="s">
        <v>485</v>
      </c>
      <c r="M71" s="71" t="s">
        <v>352</v>
      </c>
      <c r="O71" s="55"/>
      <c r="P71" s="55"/>
      <c r="Q71" s="55"/>
      <c r="R71" s="55"/>
    </row>
    <row r="72" spans="2:20">
      <c r="B72" s="59" t="s">
        <v>178</v>
      </c>
      <c r="C72" s="58">
        <f>'CDM Adjustment'!AM22</f>
        <v>2025</v>
      </c>
      <c r="D72" s="58">
        <f>'CDM Adjustment'!AN22</f>
        <v>2026</v>
      </c>
      <c r="E72" s="58">
        <f>'CDM Adjustment'!AO22</f>
        <v>2027</v>
      </c>
      <c r="F72" s="58">
        <f>'CDM Adjustment'!AP22</f>
        <v>2028</v>
      </c>
      <c r="G72" s="58">
        <f>'CDM Adjustment'!AQ22</f>
        <v>2029</v>
      </c>
      <c r="H72" s="58">
        <f>'CDM Adjustment'!AR22</f>
        <v>2030</v>
      </c>
      <c r="I72" s="57">
        <f>'CDM Adjustment'!AS22</f>
        <v>2031</v>
      </c>
      <c r="K72" s="59" t="s">
        <v>178</v>
      </c>
      <c r="L72" s="58">
        <f>'CDM Adjustment'!AM51</f>
        <v>2025</v>
      </c>
      <c r="M72" s="58">
        <f>'CDM Adjustment'!AN51</f>
        <v>2026</v>
      </c>
      <c r="N72" s="58">
        <f>'CDM Adjustment'!AO51</f>
        <v>2027</v>
      </c>
      <c r="O72" s="58">
        <f>'CDM Adjustment'!AP51</f>
        <v>2028</v>
      </c>
      <c r="P72" s="58">
        <f>'CDM Adjustment'!AQ51</f>
        <v>2029</v>
      </c>
      <c r="Q72" s="58">
        <f>'CDM Adjustment'!AR51</f>
        <v>2030</v>
      </c>
      <c r="R72" s="57">
        <f>'CDM Adjustment'!AS51</f>
        <v>2031</v>
      </c>
    </row>
    <row r="73" spans="2:20">
      <c r="B73" s="64" t="str">
        <f>B65</f>
        <v>GS 50 - 2,999</v>
      </c>
      <c r="C73" s="55">
        <f ca="1">'CDM Adjustment'!AM24</f>
        <v>34973.294229268766</v>
      </c>
      <c r="D73" s="55">
        <f ca="1">'CDM Adjustment'!AN24</f>
        <v>69421.799788042656</v>
      </c>
      <c r="E73" s="55">
        <f ca="1">'CDM Adjustment'!AO24</f>
        <v>105427.94624912791</v>
      </c>
      <c r="F73" s="55">
        <f ca="1">'CDM Adjustment'!AP24</f>
        <v>144810.85067973941</v>
      </c>
      <c r="G73" s="55">
        <f ca="1">'CDM Adjustment'!AQ24</f>
        <v>187056.42252201922</v>
      </c>
      <c r="H73" s="55">
        <f ca="1">'CDM Adjustment'!AR24</f>
        <v>231964.35080918894</v>
      </c>
      <c r="I73" s="65">
        <f ca="1">'CDM Adjustment'!AS24</f>
        <v>279532.52563488064</v>
      </c>
      <c r="K73" s="64" t="str">
        <f>B73</f>
        <v>GS 50 - 2,999</v>
      </c>
      <c r="L73" s="55">
        <f ca="1">'CDM Adjustment'!AM53</f>
        <v>13533.335318338011</v>
      </c>
      <c r="M73" s="55">
        <f ca="1">'CDM Adjustment'!AN53</f>
        <v>26415.989215788341</v>
      </c>
      <c r="N73" s="55">
        <f ca="1">'CDM Adjustment'!AO53</f>
        <v>40490.637267403799</v>
      </c>
      <c r="O73" s="55">
        <f ca="1">'CDM Adjustment'!AP53</f>
        <v>55416.246310399089</v>
      </c>
      <c r="P73" s="55">
        <f ca="1">'CDM Adjustment'!AQ53</f>
        <v>70152.002052337819</v>
      </c>
      <c r="Q73" s="55">
        <f ca="1">'CDM Adjustment'!AR53</f>
        <v>84630.328432373659</v>
      </c>
      <c r="R73" s="65">
        <f ca="1">'CDM Adjustment'!AS53</f>
        <v>99748.806288427935</v>
      </c>
    </row>
    <row r="74" spans="2:20">
      <c r="B74" s="64" t="str">
        <f>B66</f>
        <v>GS 3,000 - 4,999</v>
      </c>
      <c r="C74" s="55">
        <f ca="1">'CDM Adjustment'!AM25</f>
        <v>1865.8652029678958</v>
      </c>
      <c r="D74" s="55">
        <f ca="1">'CDM Adjustment'!AN25</f>
        <v>3005.232083825199</v>
      </c>
      <c r="E74" s="55">
        <f ca="1">'CDM Adjustment'!AO25</f>
        <v>4220.8884924381891</v>
      </c>
      <c r="F74" s="55">
        <f ca="1">'CDM Adjustment'!AP25</f>
        <v>5865.2810634033358</v>
      </c>
      <c r="G74" s="55">
        <f ca="1">'CDM Adjustment'!AQ25</f>
        <v>7678.8875590902453</v>
      </c>
      <c r="H74" s="55">
        <f ca="1">'CDM Adjustment'!AR25</f>
        <v>9606.5440791871097</v>
      </c>
      <c r="I74" s="65">
        <f ca="1">'CDM Adjustment'!AS25</f>
        <v>11717.628893387493</v>
      </c>
      <c r="K74" s="64" t="str">
        <f>B74</f>
        <v>GS 3,000 - 4,999</v>
      </c>
      <c r="L74" s="55">
        <f ca="1">'CDM Adjustment'!AM54</f>
        <v>2149.5213487513306</v>
      </c>
      <c r="M74" s="55">
        <f ca="1">'CDM Adjustment'!AN54</f>
        <v>3650.4406524649908</v>
      </c>
      <c r="N74" s="55">
        <f ca="1">'CDM Adjustment'!AO54</f>
        <v>5198.5288393988476</v>
      </c>
      <c r="O74" s="55">
        <f ca="1">'CDM Adjustment'!AP54</f>
        <v>6968.4563328445056</v>
      </c>
      <c r="P74" s="55">
        <f ca="1">'CDM Adjustment'!AQ54</f>
        <v>8720.5012219623386</v>
      </c>
      <c r="Q74" s="55">
        <f ca="1">'CDM Adjustment'!AR54</f>
        <v>10029.786503230867</v>
      </c>
      <c r="R74" s="65">
        <f ca="1">'CDM Adjustment'!AS54</f>
        <v>11170.121081881238</v>
      </c>
    </row>
    <row r="75" spans="2:20">
      <c r="B75" s="64" t="str">
        <f>B67</f>
        <v>Street Light</v>
      </c>
      <c r="C75" s="55">
        <f ca="1">'CDM Adjustment'!AM26</f>
        <v>10074.456903419197</v>
      </c>
      <c r="D75" s="55">
        <f ca="1">'CDM Adjustment'!AN26</f>
        <v>18130.455271471095</v>
      </c>
      <c r="E75" s="55">
        <f ca="1">'CDM Adjustment'!AO26</f>
        <v>25805.069355624189</v>
      </c>
      <c r="F75" s="55">
        <f ca="1">'CDM Adjustment'!AP26</f>
        <v>31951.707660879409</v>
      </c>
      <c r="G75" s="55">
        <f ca="1">'CDM Adjustment'!AQ26</f>
        <v>38928.325244400505</v>
      </c>
      <c r="H75" s="55">
        <f ca="1">'CDM Adjustment'!AR26</f>
        <v>48714.998258455817</v>
      </c>
      <c r="I75" s="65">
        <f ca="1">'CDM Adjustment'!AS26</f>
        <v>60528.45637444871</v>
      </c>
      <c r="K75" s="64"/>
      <c r="L75" s="55"/>
      <c r="M75" s="55"/>
      <c r="N75" s="55"/>
      <c r="O75" s="55"/>
      <c r="P75" s="55"/>
      <c r="Q75" s="55"/>
      <c r="R75" s="65"/>
    </row>
    <row r="76" spans="2:20">
      <c r="B76" s="64" t="str">
        <f>B68</f>
        <v>Sentinel Light</v>
      </c>
      <c r="C76" s="55">
        <f>'CDM Adjustment'!AM27</f>
        <v>0</v>
      </c>
      <c r="D76" s="55">
        <f>'CDM Adjustment'!AN27</f>
        <v>0</v>
      </c>
      <c r="E76" s="55">
        <f>'CDM Adjustment'!AO27</f>
        <v>0</v>
      </c>
      <c r="F76" s="55">
        <f>'CDM Adjustment'!AP27</f>
        <v>0</v>
      </c>
      <c r="G76" s="55">
        <f>'CDM Adjustment'!AQ27</f>
        <v>0</v>
      </c>
      <c r="H76" s="55">
        <f>'CDM Adjustment'!AR27</f>
        <v>0</v>
      </c>
      <c r="I76" s="65">
        <f>'CDM Adjustment'!AS27</f>
        <v>0</v>
      </c>
      <c r="K76" s="64" t="str">
        <f>B76</f>
        <v>Sentinel Light</v>
      </c>
      <c r="L76" s="55">
        <f>'CDM Adjustment'!AM55</f>
        <v>0</v>
      </c>
      <c r="M76" s="55">
        <f>'CDM Adjustment'!AN55</f>
        <v>0</v>
      </c>
      <c r="N76" s="55">
        <f>'CDM Adjustment'!AO55</f>
        <v>0</v>
      </c>
      <c r="O76" s="55">
        <f>'CDM Adjustment'!AP55</f>
        <v>0</v>
      </c>
      <c r="P76" s="55">
        <f>'CDM Adjustment'!AQ55</f>
        <v>0</v>
      </c>
      <c r="Q76" s="55">
        <f>'CDM Adjustment'!AR55</f>
        <v>0</v>
      </c>
      <c r="R76" s="65">
        <f>'CDM Adjustment'!AS55</f>
        <v>0</v>
      </c>
    </row>
    <row r="77" spans="2:20">
      <c r="B77" s="64" t="str">
        <f>B69</f>
        <v>Total</v>
      </c>
      <c r="C77" s="55">
        <f>'CDM Adjustment'!AM28</f>
        <v>0</v>
      </c>
      <c r="D77" s="55">
        <f>'CDM Adjustment'!AN28</f>
        <v>0</v>
      </c>
      <c r="E77" s="55">
        <f>'CDM Adjustment'!AO28</f>
        <v>0</v>
      </c>
      <c r="F77" s="55">
        <f>'CDM Adjustment'!AP28</f>
        <v>0</v>
      </c>
      <c r="G77" s="55">
        <f>'CDM Adjustment'!AQ28</f>
        <v>0</v>
      </c>
      <c r="H77" s="55">
        <f>'CDM Adjustment'!AR28</f>
        <v>0</v>
      </c>
      <c r="I77" s="65">
        <f>'CDM Adjustment'!AS28</f>
        <v>0</v>
      </c>
      <c r="K77" s="64" t="str">
        <f>B77</f>
        <v>Total</v>
      </c>
      <c r="L77" s="55">
        <f>'CDM Adjustment'!AM56</f>
        <v>0</v>
      </c>
      <c r="M77" s="55">
        <f>'CDM Adjustment'!AN56</f>
        <v>0</v>
      </c>
      <c r="N77" s="55">
        <f>'CDM Adjustment'!AO56</f>
        <v>0</v>
      </c>
      <c r="O77" s="55">
        <f>'CDM Adjustment'!AP56</f>
        <v>0</v>
      </c>
      <c r="P77" s="55">
        <f>'CDM Adjustment'!AQ56</f>
        <v>0</v>
      </c>
      <c r="Q77" s="55">
        <f>'CDM Adjustment'!AR56</f>
        <v>0</v>
      </c>
      <c r="R77" s="65">
        <f>'CDM Adjustment'!AS56</f>
        <v>0</v>
      </c>
    </row>
    <row r="78" spans="2:20" ht="13.5" thickBot="1">
      <c r="B78" s="63" t="s">
        <v>65</v>
      </c>
      <c r="C78" s="62">
        <f t="shared" ref="C78:I78" ca="1" si="25">SUM(C73:C77)</f>
        <v>46913.616335655854</v>
      </c>
      <c r="D78" s="62">
        <f ca="1">SUM(D73:D77)</f>
        <v>90557.487143338949</v>
      </c>
      <c r="E78" s="62">
        <f t="shared" ca="1" si="25"/>
        <v>135453.9040971903</v>
      </c>
      <c r="F78" s="62">
        <f t="shared" ca="1" si="25"/>
        <v>182627.83940402215</v>
      </c>
      <c r="G78" s="62">
        <f t="shared" ca="1" si="25"/>
        <v>233663.63532550997</v>
      </c>
      <c r="H78" s="62">
        <f t="shared" ca="1" si="25"/>
        <v>290285.89314683189</v>
      </c>
      <c r="I78" s="60">
        <f t="shared" ca="1" si="25"/>
        <v>351778.61090271687</v>
      </c>
      <c r="K78" s="63" t="s">
        <v>65</v>
      </c>
      <c r="L78" s="62">
        <f t="shared" ref="L78:R78" ca="1" si="26">SUM(L73:L77)</f>
        <v>15682.856667089341</v>
      </c>
      <c r="M78" s="62">
        <f t="shared" ca="1" si="26"/>
        <v>30066.42986825333</v>
      </c>
      <c r="N78" s="62">
        <f t="shared" ca="1" si="26"/>
        <v>45689.166106802644</v>
      </c>
      <c r="O78" s="62">
        <f t="shared" ca="1" si="26"/>
        <v>62384.702643243596</v>
      </c>
      <c r="P78" s="62">
        <f t="shared" ca="1" si="26"/>
        <v>78872.503274300165</v>
      </c>
      <c r="Q78" s="62">
        <f t="shared" ca="1" si="26"/>
        <v>94660.114935604521</v>
      </c>
      <c r="R78" s="60">
        <f t="shared" ca="1" si="26"/>
        <v>110918.92737030917</v>
      </c>
    </row>
    <row r="80" spans="2:20" ht="16.5" thickBot="1">
      <c r="B80" s="71" t="s">
        <v>493</v>
      </c>
      <c r="C80" s="71" t="s">
        <v>376</v>
      </c>
      <c r="F80" s="55"/>
      <c r="G80" s="55"/>
      <c r="H80" s="55"/>
      <c r="I80" s="55"/>
      <c r="K80" s="71" t="s">
        <v>493</v>
      </c>
      <c r="M80" s="71" t="s">
        <v>352</v>
      </c>
      <c r="O80" s="55"/>
      <c r="P80" s="55"/>
      <c r="Q80" s="55"/>
      <c r="R80" s="55"/>
    </row>
    <row r="81" spans="2:19">
      <c r="B81" s="59" t="s">
        <v>178</v>
      </c>
      <c r="C81" s="58">
        <f t="shared" ref="C81:I81" si="27">C72</f>
        <v>2025</v>
      </c>
      <c r="D81" s="58">
        <f t="shared" si="27"/>
        <v>2026</v>
      </c>
      <c r="E81" s="58">
        <f t="shared" si="27"/>
        <v>2027</v>
      </c>
      <c r="F81" s="58">
        <f t="shared" si="27"/>
        <v>2028</v>
      </c>
      <c r="G81" s="58">
        <f t="shared" si="27"/>
        <v>2029</v>
      </c>
      <c r="H81" s="58">
        <f t="shared" si="27"/>
        <v>2030</v>
      </c>
      <c r="I81" s="57">
        <f t="shared" si="27"/>
        <v>2031</v>
      </c>
      <c r="K81" s="59" t="s">
        <v>178</v>
      </c>
      <c r="L81" s="58">
        <f t="shared" ref="L81:R81" si="28">L72</f>
        <v>2025</v>
      </c>
      <c r="M81" s="58">
        <f t="shared" si="28"/>
        <v>2026</v>
      </c>
      <c r="N81" s="58">
        <f t="shared" si="28"/>
        <v>2027</v>
      </c>
      <c r="O81" s="58">
        <f t="shared" si="28"/>
        <v>2028</v>
      </c>
      <c r="P81" s="58">
        <f t="shared" si="28"/>
        <v>2029</v>
      </c>
      <c r="Q81" s="58">
        <f t="shared" si="28"/>
        <v>2030</v>
      </c>
      <c r="R81" s="57">
        <f t="shared" si="28"/>
        <v>2031</v>
      </c>
    </row>
    <row r="82" spans="2:19">
      <c r="B82" s="64" t="str">
        <f>B56</f>
        <v>GS 50 - 2,999</v>
      </c>
      <c r="C82" s="55">
        <f t="shared" ref="C82:I86" ca="1" si="29">N56-C73</f>
        <v>2256585.4588195113</v>
      </c>
      <c r="D82" s="55">
        <f t="shared" ca="1" si="29"/>
        <v>2352102.8484530342</v>
      </c>
      <c r="E82" s="55">
        <f t="shared" ca="1" si="29"/>
        <v>2439390.9695466338</v>
      </c>
      <c r="F82" s="55">
        <f t="shared" ca="1" si="29"/>
        <v>2488399.6359369536</v>
      </c>
      <c r="G82" s="55">
        <f t="shared" ca="1" si="29"/>
        <v>2507288.8318808638</v>
      </c>
      <c r="H82" s="55">
        <f t="shared" ca="1" si="29"/>
        <v>2511445.2847823263</v>
      </c>
      <c r="I82" s="65">
        <f t="shared" ca="1" si="29"/>
        <v>2536587.5736430865</v>
      </c>
      <c r="K82" s="64" t="str">
        <f>B82</f>
        <v>GS 50 - 2,999</v>
      </c>
      <c r="L82" s="55">
        <f t="shared" ref="L82:R83" ca="1" si="30">N65-L73</f>
        <v>792038.79870096827</v>
      </c>
      <c r="M82" s="55">
        <f t="shared" ca="1" si="30"/>
        <v>834734.1055414828</v>
      </c>
      <c r="N82" s="55">
        <f t="shared" ca="1" si="30"/>
        <v>858661.61723306729</v>
      </c>
      <c r="O82" s="55">
        <f t="shared" ca="1" si="30"/>
        <v>871800.33049264411</v>
      </c>
      <c r="P82" s="55">
        <f t="shared" ca="1" si="30"/>
        <v>891036.29275398084</v>
      </c>
      <c r="Q82" s="55">
        <f t="shared" ca="1" si="30"/>
        <v>902940.32213359501</v>
      </c>
      <c r="R82" s="65">
        <f t="shared" ca="1" si="30"/>
        <v>911040.42826834694</v>
      </c>
    </row>
    <row r="83" spans="2:19">
      <c r="B83" s="64" t="str">
        <f>B57</f>
        <v>GS 3,000 - 4,999</v>
      </c>
      <c r="C83" s="55">
        <f t="shared" ca="1" si="29"/>
        <v>269029.71716874337</v>
      </c>
      <c r="D83" s="55">
        <f t="shared" ca="1" si="29"/>
        <v>358542.7514199178</v>
      </c>
      <c r="E83" s="55">
        <f t="shared" ca="1" si="29"/>
        <v>409833.7729541196</v>
      </c>
      <c r="F83" s="55">
        <f t="shared" ca="1" si="29"/>
        <v>429041.88254029688</v>
      </c>
      <c r="G83" s="55">
        <f t="shared" ca="1" si="29"/>
        <v>441641.3380119353</v>
      </c>
      <c r="H83" s="55">
        <f t="shared" ca="1" si="29"/>
        <v>452488.43985664367</v>
      </c>
      <c r="I83" s="65">
        <f t="shared" ca="1" si="29"/>
        <v>463837.65861638548</v>
      </c>
      <c r="K83" s="64" t="str">
        <f>B83</f>
        <v>GS 3,000 - 4,999</v>
      </c>
      <c r="L83" s="55">
        <f t="shared" ca="1" si="30"/>
        <v>165582.18164139806</v>
      </c>
      <c r="M83" s="55">
        <f t="shared" ca="1" si="30"/>
        <v>201298.35000072836</v>
      </c>
      <c r="N83" s="55">
        <f t="shared" ca="1" si="30"/>
        <v>225033.19018294194</v>
      </c>
      <c r="O83" s="55">
        <f t="shared" ca="1" si="30"/>
        <v>234818.19618120225</v>
      </c>
      <c r="P83" s="55">
        <f t="shared" ca="1" si="30"/>
        <v>244310.3782710919</v>
      </c>
      <c r="Q83" s="55">
        <f t="shared" ca="1" si="30"/>
        <v>262393.34316623054</v>
      </c>
      <c r="R83" s="65">
        <f t="shared" ca="1" si="30"/>
        <v>282630.24203393806</v>
      </c>
    </row>
    <row r="84" spans="2:19">
      <c r="B84" s="64" t="str">
        <f>B58</f>
        <v>Large Use</v>
      </c>
      <c r="C84" s="55">
        <f t="shared" ca="1" si="29"/>
        <v>562102.70615904417</v>
      </c>
      <c r="D84" s="55">
        <f t="shared" ca="1" si="29"/>
        <v>614338.02506298595</v>
      </c>
      <c r="E84" s="55">
        <f t="shared" ca="1" si="29"/>
        <v>700459.585062181</v>
      </c>
      <c r="F84" s="55">
        <f t="shared" ca="1" si="29"/>
        <v>866937.22022196359</v>
      </c>
      <c r="G84" s="55">
        <f t="shared" ca="1" si="29"/>
        <v>994908.69007255079</v>
      </c>
      <c r="H84" s="55">
        <f t="shared" ca="1" si="29"/>
        <v>1044584.2129462288</v>
      </c>
      <c r="I84" s="65">
        <f t="shared" ca="1" si="29"/>
        <v>1070183.945594792</v>
      </c>
      <c r="K84" s="64"/>
      <c r="L84" s="55"/>
      <c r="M84" s="55"/>
      <c r="N84" s="55"/>
      <c r="O84" s="55"/>
      <c r="P84" s="55"/>
      <c r="Q84" s="55"/>
      <c r="R84" s="65"/>
    </row>
    <row r="85" spans="2:19">
      <c r="B85" s="64" t="str">
        <f>B59</f>
        <v>Street Light</v>
      </c>
      <c r="C85" s="55">
        <f t="shared" ca="1" si="29"/>
        <v>32694.531495072591</v>
      </c>
      <c r="D85" s="55">
        <f t="shared" ca="1" si="29"/>
        <v>33030.591474503723</v>
      </c>
      <c r="E85" s="55">
        <f t="shared" ca="1" si="29"/>
        <v>33370.10574138326</v>
      </c>
      <c r="F85" s="55">
        <f t="shared" ca="1" si="29"/>
        <v>33713.109801580729</v>
      </c>
      <c r="G85" s="55">
        <f t="shared" ca="1" si="29"/>
        <v>34059.639525922736</v>
      </c>
      <c r="H85" s="55">
        <f t="shared" ca="1" si="29"/>
        <v>34409.731153944325</v>
      </c>
      <c r="I85" s="65">
        <f t="shared" ca="1" si="29"/>
        <v>34763.421297678848</v>
      </c>
      <c r="K85" s="64" t="str">
        <f>B85</f>
        <v>Street Light</v>
      </c>
      <c r="L85" s="55">
        <f t="shared" ref="L85:R86" ca="1" si="31">N67-L76</f>
        <v>9986.964521792901</v>
      </c>
      <c r="M85" s="55">
        <f t="shared" ca="1" si="31"/>
        <v>10152.091038322405</v>
      </c>
      <c r="N85" s="55">
        <f t="shared" ca="1" si="31"/>
        <v>10319.947790490745</v>
      </c>
      <c r="O85" s="55">
        <f t="shared" ca="1" si="31"/>
        <v>10490.579920573065</v>
      </c>
      <c r="P85" s="55">
        <f t="shared" ca="1" si="31"/>
        <v>10664.033317236139</v>
      </c>
      <c r="Q85" s="55">
        <f t="shared" ca="1" si="31"/>
        <v>10840.354627879351</v>
      </c>
      <c r="R85" s="65">
        <f t="shared" ca="1" si="31"/>
        <v>11019.591271179737</v>
      </c>
    </row>
    <row r="86" spans="2:19">
      <c r="B86" s="64" t="str">
        <f>B60</f>
        <v>Sentinel Light</v>
      </c>
      <c r="C86" s="55">
        <f t="shared" ca="1" si="29"/>
        <v>591.00035762195512</v>
      </c>
      <c r="D86" s="55">
        <f t="shared" ca="1" si="29"/>
        <v>581.00076330472677</v>
      </c>
      <c r="E86" s="55">
        <f t="shared" ca="1" si="29"/>
        <v>571.17035989444037</v>
      </c>
      <c r="F86" s="55">
        <f t="shared" ca="1" si="29"/>
        <v>561.50628471866321</v>
      </c>
      <c r="G86" s="55">
        <f t="shared" ca="1" si="29"/>
        <v>552.00572354074188</v>
      </c>
      <c r="H86" s="55">
        <f t="shared" ca="1" si="29"/>
        <v>542.66590974027986</v>
      </c>
      <c r="I86" s="65">
        <f t="shared" ca="1" si="29"/>
        <v>533.48412350748094</v>
      </c>
      <c r="K86" s="64" t="str">
        <f>B86</f>
        <v>Sentinel Light</v>
      </c>
      <c r="L86" s="55">
        <f t="shared" ca="1" si="31"/>
        <v>91.644506247205769</v>
      </c>
      <c r="M86" s="55">
        <f t="shared" ca="1" si="31"/>
        <v>92.860018554378001</v>
      </c>
      <c r="N86" s="55">
        <f t="shared" ca="1" si="31"/>
        <v>94.091652615372567</v>
      </c>
      <c r="O86" s="55">
        <f t="shared" ca="1" si="31"/>
        <v>95.339622258502658</v>
      </c>
      <c r="P86" s="55">
        <f t="shared" ca="1" si="31"/>
        <v>96.60414414815925</v>
      </c>
      <c r="Q86" s="55">
        <f t="shared" ca="1" si="31"/>
        <v>97.885437822426894</v>
      </c>
      <c r="R86" s="65">
        <f t="shared" ca="1" si="31"/>
        <v>99.183725731198621</v>
      </c>
    </row>
    <row r="87" spans="2:19" ht="13.5" thickBot="1">
      <c r="B87" s="63" t="s">
        <v>65</v>
      </c>
      <c r="C87" s="62">
        <f t="shared" ref="C87:I87" ca="1" si="32">SUM(C82:C86)</f>
        <v>3121003.4139999929</v>
      </c>
      <c r="D87" s="62">
        <f t="shared" ca="1" si="32"/>
        <v>3358595.2171737463</v>
      </c>
      <c r="E87" s="62">
        <f t="shared" ca="1" si="32"/>
        <v>3583625.6036642119</v>
      </c>
      <c r="F87" s="62">
        <f t="shared" ca="1" si="32"/>
        <v>3818653.3547855136</v>
      </c>
      <c r="G87" s="62">
        <f t="shared" ca="1" si="32"/>
        <v>3978450.5052148136</v>
      </c>
      <c r="H87" s="62">
        <f t="shared" ca="1" si="32"/>
        <v>4043470.3346488834</v>
      </c>
      <c r="I87" s="60">
        <f t="shared" ca="1" si="32"/>
        <v>4105906.0832754504</v>
      </c>
      <c r="K87" s="63" t="s">
        <v>65</v>
      </c>
      <c r="L87" s="62">
        <f t="shared" ref="L87:R87" ca="1" si="33">SUM(L82:L86)</f>
        <v>967699.58937040647</v>
      </c>
      <c r="M87" s="62">
        <f t="shared" ca="1" si="33"/>
        <v>1046277.406599088</v>
      </c>
      <c r="N87" s="62">
        <f t="shared" ca="1" si="33"/>
        <v>1094108.8468591154</v>
      </c>
      <c r="O87" s="62">
        <f t="shared" ca="1" si="33"/>
        <v>1117204.446216678</v>
      </c>
      <c r="P87" s="62">
        <f t="shared" ca="1" si="33"/>
        <v>1146107.308486457</v>
      </c>
      <c r="Q87" s="62">
        <f t="shared" ca="1" si="33"/>
        <v>1176271.9053655274</v>
      </c>
      <c r="R87" s="60">
        <f t="shared" ca="1" si="33"/>
        <v>1204789.4452991958</v>
      </c>
    </row>
    <row r="91" spans="2:19" ht="16.5" thickBot="1">
      <c r="B91" s="71" t="s">
        <v>486</v>
      </c>
      <c r="C91" s="71" t="s">
        <v>376</v>
      </c>
    </row>
    <row r="92" spans="2:19">
      <c r="B92" s="70" t="s">
        <v>381</v>
      </c>
      <c r="C92" s="69" t="s">
        <v>476</v>
      </c>
      <c r="D92" s="69" t="s">
        <v>477</v>
      </c>
      <c r="E92" s="69" t="s">
        <v>478</v>
      </c>
      <c r="F92" s="69" t="s">
        <v>479</v>
      </c>
      <c r="G92" s="69" t="s">
        <v>480</v>
      </c>
      <c r="H92" s="69" t="s">
        <v>481</v>
      </c>
      <c r="I92" s="69" t="s">
        <v>482</v>
      </c>
      <c r="J92" s="69" t="s">
        <v>483</v>
      </c>
      <c r="K92" s="69" t="s">
        <v>484</v>
      </c>
      <c r="L92" s="69" t="s">
        <v>528</v>
      </c>
      <c r="M92" s="69" t="s">
        <v>195</v>
      </c>
      <c r="N92" s="69" t="s">
        <v>196</v>
      </c>
      <c r="O92" s="69" t="s">
        <v>487</v>
      </c>
      <c r="P92" s="69" t="s">
        <v>488</v>
      </c>
      <c r="Q92" s="69" t="s">
        <v>489</v>
      </c>
      <c r="R92" s="69" t="s">
        <v>490</v>
      </c>
      <c r="S92" s="67" t="s">
        <v>491</v>
      </c>
    </row>
    <row r="93" spans="2:19">
      <c r="B93" s="66" t="str">
        <f t="shared" ref="B93:B101" si="34">B3</f>
        <v>Residential</v>
      </c>
      <c r="C93" s="55">
        <f ca="1">OFFSET('Customer Count'!$C$5,COLUMN()-COLUMN($C93),0)</f>
        <v>107215.95833333336</v>
      </c>
      <c r="D93" s="55">
        <f ca="1">OFFSET('Customer Count'!$C$5,COLUMN()-COLUMN($C93),0)</f>
        <v>107447.625</v>
      </c>
      <c r="E93" s="55">
        <f ca="1">OFFSET('Customer Count'!$C$5,COLUMN()-COLUMN($C93),0)</f>
        <v>108364.75</v>
      </c>
      <c r="F93" s="55">
        <f ca="1">OFFSET('Customer Count'!$C$5,COLUMN()-COLUMN($C93),0)</f>
        <v>109469.75</v>
      </c>
      <c r="G93" s="55">
        <f ca="1">OFFSET('Customer Count'!$C$5,COLUMN()-COLUMN($C93),0)</f>
        <v>110960.875</v>
      </c>
      <c r="H93" s="55">
        <f ca="1">OFFSET('Customer Count'!$C$5,COLUMN()-COLUMN($C93),0)</f>
        <v>112218.375</v>
      </c>
      <c r="I93" s="55">
        <f ca="1">OFFSET('Customer Count'!$C$5,COLUMN()-COLUMN($C93),0)</f>
        <v>113059.29166666664</v>
      </c>
      <c r="J93" s="55">
        <f ca="1">OFFSET('Customer Count'!$C$5,COLUMN()-COLUMN($C93),0)</f>
        <v>114160.83333333336</v>
      </c>
      <c r="K93" s="55">
        <f ca="1">OFFSET('Customer Count'!$C$5,COLUMN()-COLUMN($C93),0)</f>
        <v>115689.125</v>
      </c>
      <c r="L93" s="55">
        <f ca="1">OFFSET('Customer Count'!$C$5,COLUMN()-COLUMN($C93),0)</f>
        <v>117456.375</v>
      </c>
      <c r="M93" s="55">
        <f ca="1">OFFSET('Customer Count'!$C$5,COLUMN()-COLUMN($C93),0)</f>
        <v>119658.08251290793</v>
      </c>
      <c r="N93" s="55">
        <f ca="1">OFFSET('Customer Count'!$C$5,COLUMN()-COLUMN($C93),0)</f>
        <v>122101.82410195106</v>
      </c>
      <c r="O93" s="55">
        <f ca="1">OFFSET('Customer Count'!$C$5,COLUMN()-COLUMN($C93),0)</f>
        <v>124619.26455933102</v>
      </c>
      <c r="P93" s="55">
        <f ca="1">OFFSET('Customer Count'!$C$5,COLUMN()-COLUMN($C93),0)</f>
        <v>127084.20705650066</v>
      </c>
      <c r="Q93" s="55">
        <f ca="1">OFFSET('Customer Count'!$C$5,COLUMN()-COLUMN($C93),0)</f>
        <v>129594.08740725768</v>
      </c>
      <c r="R93" s="55">
        <f ca="1">OFFSET('Customer Count'!$C$5,COLUMN()-COLUMN($C93),0)</f>
        <v>132210.11590597217</v>
      </c>
      <c r="S93" s="65">
        <f ca="1">OFFSET('Customer Count'!$C$5,COLUMN()-COLUMN($C93),0)</f>
        <v>134871.14313253391</v>
      </c>
    </row>
    <row r="94" spans="2:19">
      <c r="B94" s="64" t="str">
        <f t="shared" si="34"/>
        <v>Residential Seasonal</v>
      </c>
      <c r="C94" s="55">
        <f ca="1">OFFSET('Customer Count'!$G$5,COLUMN()-COLUMN($C94),0)</f>
        <v>1592.011639210438</v>
      </c>
      <c r="D94" s="55">
        <f ca="1">OFFSET('Customer Count'!$G$5,COLUMN()-COLUMN($C94),0)</f>
        <v>1585.75</v>
      </c>
      <c r="E94" s="55">
        <f ca="1">OFFSET('Customer Count'!$G$5,COLUMN()-COLUMN($C94),0)</f>
        <v>1577.0416666666661</v>
      </c>
      <c r="F94" s="55">
        <f ca="1">OFFSET('Customer Count'!$G$5,COLUMN()-COLUMN($C94),0)</f>
        <v>1570.9166666666661</v>
      </c>
      <c r="G94" s="55">
        <f ca="1">OFFSET('Customer Count'!$G$5,COLUMN()-COLUMN($C94),0)</f>
        <v>1565.125</v>
      </c>
      <c r="H94" s="55">
        <f ca="1">OFFSET('Customer Count'!$G$5,COLUMN()-COLUMN($C94),0)</f>
        <v>1561</v>
      </c>
      <c r="I94" s="55">
        <f ca="1">OFFSET('Customer Count'!$G$5,COLUMN()-COLUMN($C94),0)</f>
        <v>1558.8333333333339</v>
      </c>
      <c r="J94" s="55">
        <f ca="1">OFFSET('Customer Count'!$G$5,COLUMN()-COLUMN($C94),0)</f>
        <v>1559.1666666666661</v>
      </c>
      <c r="K94" s="55">
        <f ca="1">OFFSET('Customer Count'!$G$5,COLUMN()-COLUMN($C94),0)</f>
        <v>1562.625</v>
      </c>
      <c r="L94" s="55">
        <f ca="1">OFFSET('Customer Count'!$G$5,COLUMN()-COLUMN($C94),0)</f>
        <v>1561.8333333333339</v>
      </c>
      <c r="M94" s="55">
        <f ca="1">OFFSET('Customer Count'!$G$5,COLUMN()-COLUMN($C94),0)</f>
        <v>1558.5157008672784</v>
      </c>
      <c r="N94" s="55">
        <f ca="1">OFFSET('Customer Count'!$G$5,COLUMN()-COLUMN($C94),0)</f>
        <v>1555.2051156865798</v>
      </c>
      <c r="O94" s="55">
        <f ca="1">OFFSET('Customer Count'!$G$5,COLUMN()-COLUMN($C94),0)</f>
        <v>1551.9015628214572</v>
      </c>
      <c r="P94" s="55">
        <f ca="1">OFFSET('Customer Count'!$G$5,COLUMN()-COLUMN($C94),0)</f>
        <v>1548.6050273339283</v>
      </c>
      <c r="Q94" s="55">
        <f ca="1">OFFSET('Customer Count'!$G$5,COLUMN()-COLUMN($C94),0)</f>
        <v>1545.3154943177424</v>
      </c>
      <c r="R94" s="55">
        <f ca="1">OFFSET('Customer Count'!$G$5,COLUMN()-COLUMN($C94),0)</f>
        <v>1542.0329488983118</v>
      </c>
      <c r="S94" s="65">
        <f ca="1">OFFSET('Customer Count'!$G$5,COLUMN()-COLUMN($C94),0)</f>
        <v>1538.757376232646</v>
      </c>
    </row>
    <row r="95" spans="2:19" ht="13.5" customHeight="1">
      <c r="B95" s="64" t="str">
        <f t="shared" si="34"/>
        <v>GS&lt;50</v>
      </c>
      <c r="C95" s="55">
        <f ca="1">OFFSET('Customer Count'!$K$5,COLUMN()-COLUMN($C95),0)</f>
        <v>8892.9583333333303</v>
      </c>
      <c r="D95" s="55">
        <f ca="1">OFFSET('Customer Count'!$K$5,COLUMN()-COLUMN($C95),0)</f>
        <v>8953.4166666666697</v>
      </c>
      <c r="E95" s="55">
        <f ca="1">OFFSET('Customer Count'!$K$5,COLUMN()-COLUMN($C95),0)</f>
        <v>9015.375</v>
      </c>
      <c r="F95" s="55">
        <f ca="1">OFFSET('Customer Count'!$K$5,COLUMN()-COLUMN($C95),0)</f>
        <v>9089.625</v>
      </c>
      <c r="G95" s="55">
        <f ca="1">OFFSET('Customer Count'!$K$5,COLUMN()-COLUMN($C95),0)</f>
        <v>9207.0416666666697</v>
      </c>
      <c r="H95" s="55">
        <f ca="1">OFFSET('Customer Count'!$K$5,COLUMN()-COLUMN($C95),0)</f>
        <v>9277.75</v>
      </c>
      <c r="I95" s="55">
        <f ca="1">OFFSET('Customer Count'!$K$5,COLUMN()-COLUMN($C95),0)</f>
        <v>9314.7083333333303</v>
      </c>
      <c r="J95" s="55">
        <f ca="1">OFFSET('Customer Count'!$K$5,COLUMN()-COLUMN($C95),0)</f>
        <v>9413.2083333333303</v>
      </c>
      <c r="K95" s="55">
        <f ca="1">OFFSET('Customer Count'!$K$5,COLUMN()-COLUMN($C95),0)</f>
        <v>9487.375</v>
      </c>
      <c r="L95" s="55">
        <f ca="1">OFFSET('Customer Count'!$K$5,COLUMN()-COLUMN($C95),0)</f>
        <v>9501.875</v>
      </c>
      <c r="M95" s="55">
        <f ca="1">OFFSET('Customer Count'!$K$5,COLUMN()-COLUMN($C95),0)</f>
        <v>9543.9881818488975</v>
      </c>
      <c r="N95" s="55">
        <f ca="1">OFFSET('Customer Count'!$K$5,COLUMN()-COLUMN($C95),0)</f>
        <v>9614.4797247823481</v>
      </c>
      <c r="O95" s="55">
        <f ca="1">OFFSET('Customer Count'!$K$5,COLUMN()-COLUMN($C95),0)</f>
        <v>9685.4919156389169</v>
      </c>
      <c r="P95" s="55">
        <f ca="1">OFFSET('Customer Count'!$K$5,COLUMN()-COLUMN($C95),0)</f>
        <v>9757.0285999048647</v>
      </c>
      <c r="Q95" s="55">
        <f ca="1">OFFSET('Customer Count'!$K$5,COLUMN()-COLUMN($C95),0)</f>
        <v>9829.0936514690693</v>
      </c>
      <c r="R95" s="55">
        <f ca="1">OFFSET('Customer Count'!$K$5,COLUMN()-COLUMN($C95),0)</f>
        <v>9901.6909728328119</v>
      </c>
      <c r="S95" s="65">
        <f ca="1">OFFSET('Customer Count'!$K$5,COLUMN()-COLUMN($C95),0)</f>
        <v>9974.8244953211015</v>
      </c>
    </row>
    <row r="96" spans="2:19" ht="13.5" customHeight="1">
      <c r="B96" s="64" t="str">
        <f t="shared" si="34"/>
        <v>GS 50 - 2,999</v>
      </c>
      <c r="C96" s="55">
        <f ca="1">OFFSET('Customer Count'!$O$5,COLUMN()-COLUMN($C96),0)</f>
        <v>1053.75</v>
      </c>
      <c r="D96" s="55">
        <f ca="1">OFFSET('Customer Count'!$O$5,COLUMN()-COLUMN($C96),0)</f>
        <v>1056.0416666666663</v>
      </c>
      <c r="E96" s="55">
        <f ca="1">OFFSET('Customer Count'!$O$5,COLUMN()-COLUMN($C96),0)</f>
        <v>1068.3333333333337</v>
      </c>
      <c r="F96" s="55">
        <f ca="1">OFFSET('Customer Count'!$O$5,COLUMN()-COLUMN($C96),0)</f>
        <v>1060.25</v>
      </c>
      <c r="G96" s="55">
        <f ca="1">OFFSET('Customer Count'!$O$5,COLUMN()-COLUMN($C96),0)</f>
        <v>1029.0833333333337</v>
      </c>
      <c r="H96" s="55">
        <f ca="1">OFFSET('Customer Count'!$O$5,COLUMN()-COLUMN($C96),0)</f>
        <v>1032</v>
      </c>
      <c r="I96" s="55">
        <f ca="1">OFFSET('Customer Count'!$O$5,COLUMN()-COLUMN($C96),0)</f>
        <v>1052.2083333333337</v>
      </c>
      <c r="J96" s="55">
        <f ca="1">OFFSET('Customer Count'!$O$5,COLUMN()-COLUMN($C96),0)</f>
        <v>1037.25</v>
      </c>
      <c r="K96" s="55">
        <f ca="1">OFFSET('Customer Count'!$O$5,COLUMN()-COLUMN($C96),0)</f>
        <v>1030.4583333333335</v>
      </c>
      <c r="L96" s="55">
        <f ca="1">OFFSET('Customer Count'!$O$5,COLUMN()-COLUMN($C96),0)</f>
        <v>1059.4166666666663</v>
      </c>
      <c r="M96" s="55">
        <f ca="1">OFFSET('Customer Count'!$R$5,COLUMN()-COLUMN($C96),0)</f>
        <v>1080.3570666497312</v>
      </c>
      <c r="N96" s="55">
        <f ca="1">OFFSET('Customer Count'!$R$5,COLUMN()-COLUMN($C96),0)</f>
        <v>1089.5680703025032</v>
      </c>
      <c r="O96" s="55">
        <f ca="1">OFFSET('Customer Count'!$R$5,COLUMN()-COLUMN($C96),0)</f>
        <v>1094.3094560511545</v>
      </c>
      <c r="P96" s="55">
        <f ca="1">OFFSET('Customer Count'!$R$5,COLUMN()-COLUMN($C96),0)</f>
        <v>1095.9412241234484</v>
      </c>
      <c r="Q96" s="55">
        <f ca="1">OFFSET('Customer Count'!$R$5,COLUMN()-COLUMN($C96),0)</f>
        <v>1096.8933747472843</v>
      </c>
      <c r="R96" s="55">
        <f ca="1">OFFSET('Customer Count'!$R$5,COLUMN()-COLUMN($C96),0)</f>
        <v>1097.5959081506974</v>
      </c>
      <c r="S96" s="65">
        <f ca="1">OFFSET('Customer Count'!$R$5,COLUMN()-COLUMN($C96),0)</f>
        <v>1098.4488245618588</v>
      </c>
    </row>
    <row r="97" spans="2:19" ht="13.5" customHeight="1">
      <c r="B97" s="64" t="str">
        <f t="shared" si="34"/>
        <v>GS 3,000 - 4,999</v>
      </c>
      <c r="C97" s="55">
        <f ca="1">OFFSET('Customer Count'!$U$5,COLUMN()-COLUMN($C97),0)</f>
        <v>5</v>
      </c>
      <c r="D97" s="55">
        <f ca="1">OFFSET('Customer Count'!$U$5,COLUMN()-COLUMN($C97),0)</f>
        <v>5</v>
      </c>
      <c r="E97" s="55">
        <f ca="1">OFFSET('Customer Count'!$U$5,COLUMN()-COLUMN($C97),0)</f>
        <v>5</v>
      </c>
      <c r="F97" s="55">
        <f ca="1">OFFSET('Customer Count'!$U$5,COLUMN()-COLUMN($C97),0)</f>
        <v>4.4583333333333348</v>
      </c>
      <c r="G97" s="55">
        <f ca="1">OFFSET('Customer Count'!$U$5,COLUMN()-COLUMN($C97),0)</f>
        <v>4</v>
      </c>
      <c r="H97" s="55">
        <f ca="1">OFFSET('Customer Count'!$U$5,COLUMN()-COLUMN($C97),0)</f>
        <v>4.5416666666666652</v>
      </c>
      <c r="I97" s="55">
        <f ca="1">OFFSET('Customer Count'!$U$5,COLUMN()-COLUMN($C97),0)</f>
        <v>5.5416666666666643</v>
      </c>
      <c r="J97" s="55">
        <f ca="1">OFFSET('Customer Count'!$U$5,COLUMN()-COLUMN($C97),0)</f>
        <v>5.4583333333333357</v>
      </c>
      <c r="K97" s="55">
        <f ca="1">OFFSET('Customer Count'!$U$5,COLUMN()-COLUMN($C97),0)</f>
        <v>5</v>
      </c>
      <c r="L97" s="55">
        <f ca="1">OFFSET('Customer Count'!$U$5,COLUMN()-COLUMN($C97),0)</f>
        <v>5</v>
      </c>
      <c r="M97" s="55">
        <f ca="1">OFFSET('Customer Count'!$X$5,COLUMN()-COLUMN($C97),0)</f>
        <v>6.8</v>
      </c>
      <c r="N97" s="55">
        <f ca="1">OFFSET('Customer Count'!$X$5,COLUMN()-COLUMN($C97),0)</f>
        <v>10.234999999999999</v>
      </c>
      <c r="O97" s="55">
        <f ca="1">OFFSET('Customer Count'!$X$5,COLUMN()-COLUMN($C97),0)</f>
        <v>12.05</v>
      </c>
      <c r="P97" s="55">
        <f ca="1">OFFSET('Customer Count'!$X$5,COLUMN()-COLUMN($C97),0)</f>
        <v>12.175000000000001</v>
      </c>
      <c r="Q97" s="55">
        <f ca="1">OFFSET('Customer Count'!$X$5,COLUMN()-COLUMN($C97),0)</f>
        <v>12.120000000000001</v>
      </c>
      <c r="R97" s="55">
        <f ca="1">OFFSET('Customer Count'!$X$5,COLUMN()-COLUMN($C97),0)</f>
        <v>12.120000000000001</v>
      </c>
      <c r="S97" s="65">
        <f ca="1">OFFSET('Customer Count'!$X$5,COLUMN()-COLUMN($C97),0)</f>
        <v>12.120000000000001</v>
      </c>
    </row>
    <row r="98" spans="2:19" ht="13.5" customHeight="1">
      <c r="B98" s="64" t="str">
        <f t="shared" si="34"/>
        <v>Large Use</v>
      </c>
      <c r="C98" s="55">
        <f ca="1">OFFSET('Customer Count'!$AA$5,COLUMN()-COLUMN($C98),0)</f>
        <v>2.5416666666666674</v>
      </c>
      <c r="D98" s="55">
        <f ca="1">OFFSET('Customer Count'!$AA$5,COLUMN()-COLUMN($C98),0)</f>
        <v>3</v>
      </c>
      <c r="E98" s="55">
        <f ca="1">OFFSET('Customer Count'!$AA$5,COLUMN()-COLUMN($C98),0)</f>
        <v>3</v>
      </c>
      <c r="F98" s="55">
        <f ca="1">OFFSET('Customer Count'!$AA$5,COLUMN()-COLUMN($C98),0)</f>
        <v>3.5416666666666674</v>
      </c>
      <c r="G98" s="55">
        <f ca="1">OFFSET('Customer Count'!$AA$5,COLUMN()-COLUMN($C98),0)</f>
        <v>4</v>
      </c>
      <c r="H98" s="55">
        <f ca="1">OFFSET('Customer Count'!$AA$5,COLUMN()-COLUMN($C98),0)</f>
        <v>4</v>
      </c>
      <c r="I98" s="55">
        <f ca="1">OFFSET('Customer Count'!$AA$5,COLUMN()-COLUMN($C98),0)</f>
        <v>4</v>
      </c>
      <c r="J98" s="55">
        <f ca="1">OFFSET('Customer Count'!$AA$5,COLUMN()-COLUMN($C98),0)</f>
        <v>4</v>
      </c>
      <c r="K98" s="55">
        <f ca="1">OFFSET('Customer Count'!$AA$5,COLUMN()-COLUMN($C98),0)</f>
        <v>4.5416666666666652</v>
      </c>
      <c r="L98" s="55">
        <f ca="1">OFFSET('Customer Count'!$AA$5,COLUMN()-COLUMN($C98),0)</f>
        <v>5</v>
      </c>
      <c r="M98" s="55">
        <f ca="1">OFFSET('Customer Count'!$AD$5,COLUMN()-COLUMN($C98),0)</f>
        <v>5.4124999999999996</v>
      </c>
      <c r="N98" s="55">
        <f ca="1">OFFSET('Customer Count'!$AD$5,COLUMN()-COLUMN($C98),0)</f>
        <v>6.0975000000000001</v>
      </c>
      <c r="O98" s="55">
        <f ca="1">OFFSET('Customer Count'!$AD$5,COLUMN()-COLUMN($C98),0)</f>
        <v>7.1275000000000004</v>
      </c>
      <c r="P98" s="55">
        <f ca="1">OFFSET('Customer Count'!$AD$5,COLUMN()-COLUMN($C98),0)</f>
        <v>8.3025000000000002</v>
      </c>
      <c r="Q98" s="55">
        <f ca="1">OFFSET('Customer Count'!$AD$5,COLUMN()-COLUMN($C98),0)</f>
        <v>8.7799999999999994</v>
      </c>
      <c r="R98" s="55">
        <f ca="1">OFFSET('Customer Count'!$AD$5,COLUMN()-COLUMN($C98),0)</f>
        <v>8.8849999999999998</v>
      </c>
      <c r="S98" s="65">
        <f ca="1">OFFSET('Customer Count'!$AD$5,COLUMN()-COLUMN($C98),0)</f>
        <v>8.9450000000000003</v>
      </c>
    </row>
    <row r="99" spans="2:19" ht="13.5" customHeight="1">
      <c r="B99" s="64" t="str">
        <f t="shared" si="34"/>
        <v>Street Light</v>
      </c>
      <c r="C99" s="55">
        <f ca="1">OFFSET('Customer Count'!$AG$5,COLUMN()-COLUMN($C99),0)</f>
        <v>29840.625</v>
      </c>
      <c r="D99" s="55">
        <f ca="1">OFFSET('Customer Count'!$AG$5,COLUMN()-COLUMN($C99),0)</f>
        <v>30030.75</v>
      </c>
      <c r="E99" s="55">
        <f ca="1">OFFSET('Customer Count'!$AG$5,COLUMN()-COLUMN($C99),0)</f>
        <v>30411.75</v>
      </c>
      <c r="F99" s="55">
        <f ca="1">OFFSET('Customer Count'!$AG$5,COLUMN()-COLUMN($C99),0)</f>
        <v>30897.625</v>
      </c>
      <c r="G99" s="55">
        <f ca="1">OFFSET('Customer Count'!$AG$5,COLUMN()-COLUMN($C99),0)</f>
        <v>31143.041666666657</v>
      </c>
      <c r="H99" s="55">
        <f ca="1">OFFSET('Customer Count'!$AG$5,COLUMN()-COLUMN($C99),0)</f>
        <v>31414.916666666657</v>
      </c>
      <c r="I99" s="55">
        <f ca="1">OFFSET('Customer Count'!$AG$5,COLUMN()-COLUMN($C99),0)</f>
        <v>31679.166666666657</v>
      </c>
      <c r="J99" s="55">
        <f ca="1">OFFSET('Customer Count'!$AG$5,COLUMN()-COLUMN($C99),0)</f>
        <v>31795.041666666657</v>
      </c>
      <c r="K99" s="55">
        <f ca="1">OFFSET('Customer Count'!$AG$5,COLUMN()-COLUMN($C99),0)</f>
        <v>32131.541666666657</v>
      </c>
      <c r="L99" s="55">
        <f ca="1">OFFSET('Customer Count'!$AG$5,COLUMN()-COLUMN($C99),0)</f>
        <v>32717.416666666661</v>
      </c>
      <c r="M99" s="55">
        <f ca="1">OFFSET('Customer Count'!$AG$5,COLUMN()-COLUMN($C99),0)</f>
        <v>33053.711877799957</v>
      </c>
      <c r="N99" s="55">
        <f ca="1">OFFSET('Customer Count'!$AG$5,COLUMN()-COLUMN($C99),0)</f>
        <v>33393.463794277181</v>
      </c>
      <c r="O99" s="55">
        <f ca="1">OFFSET('Customer Count'!$AG$5,COLUMN()-COLUMN($C99),0)</f>
        <v>33736.707946820861</v>
      </c>
      <c r="P99" s="55">
        <f ca="1">OFFSET('Customer Count'!$AG$5,COLUMN()-COLUMN($C99),0)</f>
        <v>34083.480231366098</v>
      </c>
      <c r="Q99" s="55">
        <f ca="1">OFFSET('Customer Count'!$AG$5,COLUMN()-COLUMN($C99),0)</f>
        <v>34433.816912814502</v>
      </c>
      <c r="R99" s="55">
        <f ca="1">OFFSET('Customer Count'!$AG$5,COLUMN()-COLUMN($C99),0)</f>
        <v>34787.754628826726</v>
      </c>
      <c r="S99" s="65">
        <f ca="1">OFFSET('Customer Count'!$AG$5,COLUMN()-COLUMN($C99),0)</f>
        <v>35145.33039365396</v>
      </c>
    </row>
    <row r="100" spans="2:19" ht="13.5" customHeight="1">
      <c r="B100" s="64" t="str">
        <f t="shared" si="34"/>
        <v>Sentinel Light</v>
      </c>
      <c r="C100" s="55">
        <f ca="1">OFFSET('Customer Count'!$AK$5,COLUMN()-COLUMN($C100),0)</f>
        <v>442.66666666666657</v>
      </c>
      <c r="D100" s="55">
        <f ca="1">OFFSET('Customer Count'!$AK$5,COLUMN()-COLUMN($C100),0)</f>
        <v>439</v>
      </c>
      <c r="E100" s="55">
        <f ca="1">OFFSET('Customer Count'!$AK$5,COLUMN()-COLUMN($C100),0)</f>
        <v>439</v>
      </c>
      <c r="F100" s="55">
        <f ca="1">OFFSET('Customer Count'!$AK$5,COLUMN()-COLUMN($C100),0)</f>
        <v>439</v>
      </c>
      <c r="G100" s="55">
        <f ca="1">OFFSET('Customer Count'!$AK$5,COLUMN()-COLUMN($C100),0)</f>
        <v>342.04166666666652</v>
      </c>
      <c r="H100" s="55">
        <f ca="1">OFFSET('Customer Count'!$AK$5,COLUMN()-COLUMN($C100),0)</f>
        <v>255.125</v>
      </c>
      <c r="I100" s="55">
        <f ca="1">OFFSET('Customer Count'!$AK$5,COLUMN()-COLUMN($C100),0)</f>
        <v>248.83333333333326</v>
      </c>
      <c r="J100" s="55">
        <f ca="1">OFFSET('Customer Count'!$AK$5,COLUMN()-COLUMN($C100),0)</f>
        <v>245.91666666666674</v>
      </c>
      <c r="K100" s="55">
        <f ca="1">OFFSET('Customer Count'!$AK$5,COLUMN()-COLUMN($C100),0)</f>
        <v>242.83333333333326</v>
      </c>
      <c r="L100" s="55">
        <f ca="1">OFFSET('Customer Count'!$AK$5,COLUMN()-COLUMN($C100),0)</f>
        <v>238.29166666666674</v>
      </c>
      <c r="M100" s="55">
        <f ca="1">OFFSET('Customer Count'!$AK$5,COLUMN()-COLUMN($C100),0)</f>
        <v>234.25982478178059</v>
      </c>
      <c r="N100" s="55">
        <f ca="1">OFFSET('Customer Count'!$AK$5,COLUMN()-COLUMN($C100),0)</f>
        <v>230.29620076289083</v>
      </c>
      <c r="O100" s="55">
        <f ca="1">OFFSET('Customer Count'!$AK$5,COLUMN()-COLUMN($C100),0)</f>
        <v>226.39964037891053</v>
      </c>
      <c r="P100" s="55">
        <f ca="1">OFFSET('Customer Count'!$AK$5,COLUMN()-COLUMN($C100),0)</f>
        <v>222.56900892808551</v>
      </c>
      <c r="Q100" s="55">
        <f ca="1">OFFSET('Customer Count'!$AK$5,COLUMN()-COLUMN($C100),0)</f>
        <v>218.80319090756225</v>
      </c>
      <c r="R100" s="55">
        <f ca="1">OFFSET('Customer Count'!$AK$5,COLUMN()-COLUMN($C100),0)</f>
        <v>215.10108968854698</v>
      </c>
      <c r="S100" s="65">
        <f ca="1">OFFSET('Customer Count'!$AK$5,COLUMN()-COLUMN($C100),0)</f>
        <v>211.46162719696062</v>
      </c>
    </row>
    <row r="101" spans="2:19">
      <c r="B101" s="64" t="str">
        <f t="shared" si="34"/>
        <v>USL</v>
      </c>
      <c r="C101" s="55">
        <f ca="1">OFFSET('Customer Count'!$AO$5,COLUMN()-COLUMN($C101),0)</f>
        <v>872.5</v>
      </c>
      <c r="D101" s="55">
        <f ca="1">OFFSET('Customer Count'!$AO$5,COLUMN()-COLUMN($C101),0)</f>
        <v>837.41666666666686</v>
      </c>
      <c r="E101" s="55">
        <f ca="1">OFFSET('Customer Count'!$AO$5,COLUMN()-COLUMN($C101),0)</f>
        <v>825.58333333333314</v>
      </c>
      <c r="F101" s="55">
        <f ca="1">OFFSET('Customer Count'!$AO$5,COLUMN()-COLUMN($C101),0)</f>
        <v>817.75</v>
      </c>
      <c r="G101" s="55">
        <f ca="1">OFFSET('Customer Count'!$AO$5,COLUMN()-COLUMN($C101),0)</f>
        <v>809.04166666666697</v>
      </c>
      <c r="H101" s="55">
        <f ca="1">OFFSET('Customer Count'!$AO$5,COLUMN()-COLUMN($C101),0)</f>
        <v>801.83333333333303</v>
      </c>
      <c r="I101" s="55">
        <f ca="1">OFFSET('Customer Count'!$AO$5,COLUMN()-COLUMN($C101),0)</f>
        <v>801.625</v>
      </c>
      <c r="J101" s="55">
        <f ca="1">OFFSET('Customer Count'!$AO$5,COLUMN()-COLUMN($C101),0)</f>
        <v>800.83333333333303</v>
      </c>
      <c r="K101" s="55">
        <f ca="1">OFFSET('Customer Count'!$AO$5,COLUMN()-COLUMN($C101),0)</f>
        <v>797.91666666666697</v>
      </c>
      <c r="L101" s="55">
        <f ca="1">OFFSET('Customer Count'!$AO$5,COLUMN()-COLUMN($C101),0)</f>
        <v>769.91666666666697</v>
      </c>
      <c r="M101" s="55">
        <f ca="1">OFFSET('Customer Count'!$AO$5,COLUMN()-COLUMN($C101),0)</f>
        <v>741.40363373070261</v>
      </c>
      <c r="N101" s="55">
        <f ca="1">OFFSET('Customer Count'!$AO$5,COLUMN()-COLUMN($C101),0)</f>
        <v>731.17101056299305</v>
      </c>
      <c r="O101" s="55">
        <f ca="1">OFFSET('Customer Count'!$AO$5,COLUMN()-COLUMN($C101),0)</f>
        <v>721.07961488882222</v>
      </c>
      <c r="P101" s="55">
        <f ca="1">OFFSET('Customer Count'!$AO$5,COLUMN()-COLUMN($C101),0)</f>
        <v>711.12749753009541</v>
      </c>
      <c r="Q101" s="55">
        <f ca="1">OFFSET('Customer Count'!$AO$5,COLUMN()-COLUMN($C101),0)</f>
        <v>701.31273621066964</v>
      </c>
      <c r="R101" s="55">
        <f ca="1">OFFSET('Customer Count'!$AO$5,COLUMN()-COLUMN($C101),0)</f>
        <v>691.63343518506156</v>
      </c>
      <c r="S101" s="65">
        <f ca="1">OFFSET('Customer Count'!$AO$5,COLUMN()-COLUMN($C101),0)</f>
        <v>682.08772487227952</v>
      </c>
    </row>
    <row r="102" spans="2:19" ht="13.5" thickBot="1">
      <c r="B102" s="63" t="s">
        <v>65</v>
      </c>
      <c r="C102" s="62">
        <f t="shared" ref="C102:S102" ca="1" si="35">SUM(C93:C101)</f>
        <v>149918.01163921045</v>
      </c>
      <c r="D102" s="62">
        <f t="shared" ca="1" si="35"/>
        <v>150358</v>
      </c>
      <c r="E102" s="62">
        <f t="shared" ca="1" si="35"/>
        <v>151709.83333333334</v>
      </c>
      <c r="F102" s="62">
        <f ca="1">SUM(F93:F101)</f>
        <v>153352.91666666669</v>
      </c>
      <c r="G102" s="62">
        <f t="shared" ca="1" si="35"/>
        <v>155064.24999999997</v>
      </c>
      <c r="H102" s="62">
        <f t="shared" ca="1" si="35"/>
        <v>156569.54166666666</v>
      </c>
      <c r="I102" s="62">
        <f t="shared" ca="1" si="35"/>
        <v>157724.20833333328</v>
      </c>
      <c r="J102" s="62">
        <f t="shared" ca="1" si="35"/>
        <v>159021.70833333334</v>
      </c>
      <c r="K102" s="62">
        <f t="shared" ca="1" si="35"/>
        <v>160951.41666666666</v>
      </c>
      <c r="L102" s="61">
        <f t="shared" ca="1" si="35"/>
        <v>163315.12499999997</v>
      </c>
      <c r="M102" s="62">
        <f t="shared" ca="1" si="35"/>
        <v>165882.53129858625</v>
      </c>
      <c r="N102" s="61">
        <f t="shared" ca="1" si="35"/>
        <v>168732.34051832557</v>
      </c>
      <c r="O102" s="62">
        <f t="shared" ca="1" si="35"/>
        <v>171654.33219593111</v>
      </c>
      <c r="P102" s="61">
        <f t="shared" ca="1" si="35"/>
        <v>174523.43614568716</v>
      </c>
      <c r="Q102" s="62">
        <f t="shared" ca="1" si="35"/>
        <v>177440.22276772451</v>
      </c>
      <c r="R102" s="61">
        <f t="shared" ca="1" si="35"/>
        <v>180466.92988955433</v>
      </c>
      <c r="S102" s="54">
        <f t="shared" ca="1" si="35"/>
        <v>183543.11857437275</v>
      </c>
    </row>
    <row r="104" spans="2:19" ht="16.5" thickBot="1">
      <c r="B104" s="71" t="s">
        <v>486</v>
      </c>
      <c r="C104" s="71" t="s">
        <v>352</v>
      </c>
    </row>
    <row r="105" spans="2:19">
      <c r="B105" s="70" t="s">
        <v>381</v>
      </c>
      <c r="C105" s="69" t="s">
        <v>476</v>
      </c>
      <c r="D105" s="69" t="s">
        <v>477</v>
      </c>
      <c r="E105" s="69" t="s">
        <v>478</v>
      </c>
      <c r="F105" s="69" t="s">
        <v>479</v>
      </c>
      <c r="G105" s="69" t="s">
        <v>480</v>
      </c>
      <c r="H105" s="69" t="s">
        <v>481</v>
      </c>
      <c r="I105" s="69" t="s">
        <v>482</v>
      </c>
      <c r="J105" s="69" t="s">
        <v>483</v>
      </c>
      <c r="K105" s="69" t="s">
        <v>484</v>
      </c>
      <c r="L105" s="69" t="s">
        <v>528</v>
      </c>
      <c r="M105" s="69" t="s">
        <v>195</v>
      </c>
      <c r="N105" s="69" t="s">
        <v>196</v>
      </c>
      <c r="O105" s="69" t="s">
        <v>487</v>
      </c>
      <c r="P105" s="69" t="s">
        <v>488</v>
      </c>
      <c r="Q105" s="69" t="s">
        <v>489</v>
      </c>
      <c r="R105" s="69" t="s">
        <v>490</v>
      </c>
      <c r="S105" s="67" t="s">
        <v>491</v>
      </c>
    </row>
    <row r="106" spans="2:19">
      <c r="B106" s="66" t="str">
        <f t="shared" ref="B106:B112" si="36">B16</f>
        <v>Residential</v>
      </c>
      <c r="C106" s="55">
        <f ca="1">OFFSET('Customer Count'!$AT$5,COLUMN()-COLUMN($C106),0)</f>
        <v>39119</v>
      </c>
      <c r="D106" s="55">
        <f ca="1">OFFSET('Customer Count'!$AT$5,COLUMN()-COLUMN($C106),0)</f>
        <v>39433.541666666679</v>
      </c>
      <c r="E106" s="55">
        <f ca="1">OFFSET('Customer Count'!$AT$5,COLUMN()-COLUMN($C106),0)</f>
        <v>39751.583333333321</v>
      </c>
      <c r="F106" s="55">
        <f ca="1">OFFSET('Customer Count'!$AT$5,COLUMN()-COLUMN($C106),0)</f>
        <v>40096.916666666679</v>
      </c>
      <c r="G106" s="55">
        <f ca="1">OFFSET('Customer Count'!$AT$5,COLUMN()-COLUMN($C106),0)</f>
        <v>40903.041666666679</v>
      </c>
      <c r="H106" s="55">
        <f ca="1">OFFSET('Customer Count'!$AT$5,COLUMN()-COLUMN($C106),0)</f>
        <v>41880.625</v>
      </c>
      <c r="I106" s="55">
        <f ca="1">OFFSET('Customer Count'!$AT$5,COLUMN()-COLUMN($C106),0)</f>
        <v>42897.875</v>
      </c>
      <c r="J106" s="55">
        <f ca="1">OFFSET('Customer Count'!$AT$5,COLUMN()-COLUMN($C106),0)</f>
        <v>44013.541666666686</v>
      </c>
      <c r="K106" s="55">
        <f ca="1">OFFSET('Customer Count'!$AT$5,COLUMN()-COLUMN($C106),0)</f>
        <v>44945.416666666686</v>
      </c>
      <c r="L106" s="55">
        <f ca="1">OFFSET('Customer Count'!$AT$5,COLUMN()-COLUMN($C106),0)</f>
        <v>45520.625</v>
      </c>
      <c r="M106" s="55">
        <f ca="1">OFFSET('Customer Count'!$AT$5,COLUMN()-COLUMN($C106),0)</f>
        <v>46436.563069453616</v>
      </c>
      <c r="N106" s="55">
        <f ca="1">OFFSET('Customer Count'!$AT$5,COLUMN()-COLUMN($C106),0)</f>
        <v>47323.86823971742</v>
      </c>
      <c r="O106" s="55">
        <f ca="1">OFFSET('Customer Count'!$AT$5,COLUMN()-COLUMN($C106),0)</f>
        <v>48234.426518722685</v>
      </c>
      <c r="P106" s="55">
        <f ca="1">OFFSET('Customer Count'!$AT$5,COLUMN()-COLUMN($C106),0)</f>
        <v>49135.011201534966</v>
      </c>
      <c r="Q106" s="55">
        <f ca="1">OFFSET('Customer Count'!$AT$5,COLUMN()-COLUMN($C106),0)</f>
        <v>50076.849655134763</v>
      </c>
      <c r="R106" s="55">
        <f ca="1">OFFSET('Customer Count'!$AT$5,COLUMN()-COLUMN($C106),0)</f>
        <v>51033.453561093025</v>
      </c>
      <c r="S106" s="65">
        <f ca="1">OFFSET('Customer Count'!$AT$5,COLUMN()-COLUMN($C106),0)</f>
        <v>52005.475034746378</v>
      </c>
    </row>
    <row r="107" spans="2:19">
      <c r="B107" s="64" t="str">
        <f t="shared" si="36"/>
        <v>GS&lt;50</v>
      </c>
      <c r="C107" s="55">
        <f ca="1">OFFSET('Customer Count'!$AX$5,COLUMN()-COLUMN($C107),0)</f>
        <v>2168.4583333333326</v>
      </c>
      <c r="D107" s="55">
        <f ca="1">OFFSET('Customer Count'!$AX$5,COLUMN()-COLUMN($C107),0)</f>
        <v>2201.2083333333326</v>
      </c>
      <c r="E107" s="55">
        <f ca="1">OFFSET('Customer Count'!$AX$5,COLUMN()-COLUMN($C107),0)</f>
        <v>2229.75</v>
      </c>
      <c r="F107" s="55">
        <f ca="1">OFFSET('Customer Count'!$AX$5,COLUMN()-COLUMN($C107),0)</f>
        <v>2246.6666666666674</v>
      </c>
      <c r="G107" s="55">
        <f ca="1">OFFSET('Customer Count'!$AX$5,COLUMN()-COLUMN($C107),0)</f>
        <v>2261.0416666666674</v>
      </c>
      <c r="H107" s="55">
        <f ca="1">OFFSET('Customer Count'!$AX$5,COLUMN()-COLUMN($C107),0)</f>
        <v>2284.3333333333326</v>
      </c>
      <c r="I107" s="55">
        <f ca="1">OFFSET('Customer Count'!$AX$5,COLUMN()-COLUMN($C107),0)</f>
        <v>2326.625</v>
      </c>
      <c r="J107" s="55">
        <f ca="1">OFFSET('Customer Count'!$AX$5,COLUMN()-COLUMN($C107),0)</f>
        <v>2383.5833333333326</v>
      </c>
      <c r="K107" s="55">
        <f ca="1">OFFSET('Customer Count'!$AX$5,COLUMN()-COLUMN($C107),0)</f>
        <v>2435.2916666666674</v>
      </c>
      <c r="L107" s="55">
        <f ca="1">OFFSET('Customer Count'!$AX$5,COLUMN()-COLUMN($C107),0)</f>
        <v>2464.75</v>
      </c>
      <c r="M107" s="55">
        <f ca="1">OFFSET('Customer Count'!$AX$5,COLUMN()-COLUMN($C107),0)</f>
        <v>2499.8378600249093</v>
      </c>
      <c r="N107" s="55">
        <f ca="1">OFFSET('Customer Count'!$AX$5,COLUMN()-COLUMN($C107),0)</f>
        <v>2535.4252262557734</v>
      </c>
      <c r="O107" s="55">
        <f ca="1">OFFSET('Customer Count'!$AX$5,COLUMN()-COLUMN($C107),0)</f>
        <v>2571.5192095978919</v>
      </c>
      <c r="P107" s="55">
        <f ca="1">OFFSET('Customer Count'!$AX$5,COLUMN()-COLUMN($C107),0)</f>
        <v>2608.1270221864852</v>
      </c>
      <c r="Q107" s="55">
        <f ca="1">OFFSET('Customer Count'!$AX$5,COLUMN()-COLUMN($C107),0)</f>
        <v>2645.2559788277927</v>
      </c>
      <c r="R107" s="55">
        <f ca="1">OFFSET('Customer Count'!$AX$5,COLUMN()-COLUMN($C107),0)</f>
        <v>2682.9134984606817</v>
      </c>
      <c r="S107" s="65">
        <f ca="1">OFFSET('Customer Count'!$AX$5,COLUMN()-COLUMN($C107),0)</f>
        <v>2721.1071056390679</v>
      </c>
    </row>
    <row r="108" spans="2:19">
      <c r="B108" s="64" t="str">
        <f t="shared" si="36"/>
        <v>GS 50 - 2,999</v>
      </c>
      <c r="C108" s="55">
        <f ca="1">OFFSET('Customer Count'!$BB$5,COLUMN()-COLUMN($C108),0)</f>
        <v>366.45833333333348</v>
      </c>
      <c r="D108" s="55">
        <f ca="1">OFFSET('Customer Count'!$BB$5,COLUMN()-COLUMN($C108),0)</f>
        <v>367.08333333333348</v>
      </c>
      <c r="E108" s="55">
        <f ca="1">OFFSET('Customer Count'!$BB$5,COLUMN()-COLUMN($C108),0)</f>
        <v>368</v>
      </c>
      <c r="F108" s="55">
        <f ca="1">OFFSET('Customer Count'!$BB$5,COLUMN()-COLUMN($C108),0)</f>
        <v>372.875</v>
      </c>
      <c r="G108" s="55">
        <f ca="1">OFFSET('Customer Count'!$BB$5,COLUMN()-COLUMN($C108),0)</f>
        <v>377</v>
      </c>
      <c r="H108" s="55">
        <f ca="1">OFFSET('Customer Count'!$BB$5,COLUMN()-COLUMN($C108),0)</f>
        <v>381.875</v>
      </c>
      <c r="I108" s="55">
        <f ca="1">OFFSET('Customer Count'!$BB$5,COLUMN()-COLUMN($C108),0)</f>
        <v>390.875</v>
      </c>
      <c r="J108" s="55">
        <f ca="1">OFFSET('Customer Count'!$BB$5,COLUMN()-COLUMN($C108),0)</f>
        <v>386.33333333333348</v>
      </c>
      <c r="K108" s="55">
        <f ca="1">OFFSET('Customer Count'!$BB$5,COLUMN()-COLUMN($C108),0)</f>
        <v>383.33333333333348</v>
      </c>
      <c r="L108" s="55">
        <f ca="1">OFFSET('Customer Count'!$BB$5,COLUMN()-COLUMN($C108),0)</f>
        <v>388.625</v>
      </c>
      <c r="M108" s="55">
        <f ca="1">OFFSET('Customer Count'!$BE$5,COLUMN()-COLUMN($C108),0)</f>
        <v>394.03428824658079</v>
      </c>
      <c r="N108" s="55">
        <f ca="1">OFFSET('Customer Count'!$BE$5,COLUMN()-COLUMN($C108),0)</f>
        <v>401.3377336888687</v>
      </c>
      <c r="O108" s="55">
        <f ca="1">OFFSET('Customer Count'!$BE$5,COLUMN()-COLUMN($C108),0)</f>
        <v>407.18794537982552</v>
      </c>
      <c r="P108" s="55">
        <f ca="1">OFFSET('Customer Count'!$BE$5,COLUMN()-COLUMN($C108),0)</f>
        <v>412.02753308637159</v>
      </c>
      <c r="Q108" s="55">
        <f ca="1">OFFSET('Customer Count'!$BE$5,COLUMN()-COLUMN($C108),0)</f>
        <v>415.83910729406017</v>
      </c>
      <c r="R108" s="55">
        <f ca="1">OFFSET('Customer Count'!$BE$5,COLUMN()-COLUMN($C108),0)</f>
        <v>419.18027921178202</v>
      </c>
      <c r="S108" s="65">
        <f ca="1">OFFSET('Customer Count'!$BE$5,COLUMN()-COLUMN($C108),0)</f>
        <v>422.51366077650124</v>
      </c>
    </row>
    <row r="109" spans="2:19">
      <c r="B109" s="64" t="str">
        <f t="shared" si="36"/>
        <v>GS 3,000 - 4,999</v>
      </c>
      <c r="C109" s="55">
        <f ca="1">OFFSET('Customer Count'!$BH$5,COLUMN()-COLUMN($C109),0)</f>
        <v>2</v>
      </c>
      <c r="D109" s="55">
        <f ca="1">OFFSET('Customer Count'!$BH$5,COLUMN()-COLUMN($C109),0)</f>
        <v>2</v>
      </c>
      <c r="E109" s="55">
        <f ca="1">OFFSET('Customer Count'!$BH$5,COLUMN()-COLUMN($C109),0)</f>
        <v>2</v>
      </c>
      <c r="F109" s="55">
        <f ca="1">OFFSET('Customer Count'!$BH$5,COLUMN()-COLUMN($C109),0)</f>
        <v>2.5416666666666674</v>
      </c>
      <c r="G109" s="55">
        <f ca="1">OFFSET('Customer Count'!$BH$5,COLUMN()-COLUMN($C109),0)</f>
        <v>3</v>
      </c>
      <c r="H109" s="55">
        <f ca="1">OFFSET('Customer Count'!$BH$5,COLUMN()-COLUMN($C109),0)</f>
        <v>3</v>
      </c>
      <c r="I109" s="55">
        <f ca="1">OFFSET('Customer Count'!$BH$5,COLUMN()-COLUMN($C109),0)</f>
        <v>3</v>
      </c>
      <c r="J109" s="55">
        <f ca="1">OFFSET('Customer Count'!$BH$5,COLUMN()-COLUMN($C109),0)</f>
        <v>3</v>
      </c>
      <c r="K109" s="55">
        <f ca="1">OFFSET('Customer Count'!$BH$5,COLUMN()-COLUMN($C109),0)</f>
        <v>3</v>
      </c>
      <c r="L109" s="55">
        <f ca="1">OFFSET('Customer Count'!$BH$5,COLUMN()-COLUMN($C109),0)</f>
        <v>3</v>
      </c>
      <c r="M109" s="55">
        <f ca="1">OFFSET('Customer Count'!$BK$5,COLUMN()-COLUMN($C109),0)</f>
        <v>3.9299999999999997</v>
      </c>
      <c r="N109" s="55">
        <f ca="1">OFFSET('Customer Count'!$BK$5,COLUMN()-COLUMN($C109),0)</f>
        <v>5.5449999999999999</v>
      </c>
      <c r="O109" s="55">
        <f ca="1">OFFSET('Customer Count'!$BK$5,COLUMN()-COLUMN($C109),0)</f>
        <v>6.3550000000000004</v>
      </c>
      <c r="P109" s="55">
        <f ca="1">OFFSET('Customer Count'!$BK$5,COLUMN()-COLUMN($C109),0)</f>
        <v>6.48</v>
      </c>
      <c r="Q109" s="55">
        <f ca="1">OFFSET('Customer Count'!$BK$5,COLUMN()-COLUMN($C109),0)</f>
        <v>6.48</v>
      </c>
      <c r="R109" s="55">
        <f ca="1">OFFSET('Customer Count'!$BK$5,COLUMN()-COLUMN($C109),0)</f>
        <v>6.78</v>
      </c>
      <c r="S109" s="65">
        <f ca="1">OFFSET('Customer Count'!$BK$5,COLUMN()-COLUMN($C109),0)</f>
        <v>7.18</v>
      </c>
    </row>
    <row r="110" spans="2:19">
      <c r="B110" s="64" t="str">
        <f t="shared" si="36"/>
        <v>Street Light</v>
      </c>
      <c r="C110" s="55">
        <f ca="1">OFFSET('Customer Count'!$BN$5,COLUMN()-COLUMN($C110),0)</f>
        <v>11827.041666666672</v>
      </c>
      <c r="D110" s="55">
        <f ca="1">OFFSET('Customer Count'!$BN$5,COLUMN()-COLUMN($C110),0)</f>
        <v>11857.375</v>
      </c>
      <c r="E110" s="55">
        <f ca="1">OFFSET('Customer Count'!$BN$5,COLUMN()-COLUMN($C110),0)</f>
        <v>11891</v>
      </c>
      <c r="F110" s="55">
        <f ca="1">OFFSET('Customer Count'!$BN$5,COLUMN()-COLUMN($C110),0)</f>
        <v>12053.666666666672</v>
      </c>
      <c r="G110" s="55">
        <f ca="1">OFFSET('Customer Count'!$BN$5,COLUMN()-COLUMN($C110),0)</f>
        <v>12408.416666666672</v>
      </c>
      <c r="H110" s="55">
        <f ca="1">OFFSET('Customer Count'!$BN$5,COLUMN()-COLUMN($C110),0)</f>
        <v>12707.791666666672</v>
      </c>
      <c r="I110" s="55">
        <f ca="1">OFFSET('Customer Count'!$BN$5,COLUMN()-COLUMN($C110),0)</f>
        <v>13023.791666666672</v>
      </c>
      <c r="J110" s="55">
        <f ca="1">OFFSET('Customer Count'!$BN$5,COLUMN()-COLUMN($C110),0)</f>
        <v>13342.91666666667</v>
      </c>
      <c r="K110" s="55">
        <f ca="1">OFFSET('Customer Count'!$BN$5,COLUMN()-COLUMN($C110),0)</f>
        <v>13555.45833333333</v>
      </c>
      <c r="L110" s="55">
        <f ca="1">OFFSET('Customer Count'!$BN$5,COLUMN()-COLUMN($C110),0)</f>
        <v>13708</v>
      </c>
      <c r="M110" s="55">
        <f ca="1">OFFSET('Customer Count'!$BN$5,COLUMN()-COLUMN($C110),0)</f>
        <v>13934.650879118182</v>
      </c>
      <c r="N110" s="55">
        <f ca="1">OFFSET('Customer Count'!$BN$5,COLUMN()-COLUMN($C110),0)</f>
        <v>14165.04925028517</v>
      </c>
      <c r="O110" s="55">
        <f ca="1">OFFSET('Customer Count'!$BN$5,COLUMN()-COLUMN($C110),0)</f>
        <v>14399.25707530191</v>
      </c>
      <c r="P110" s="55">
        <f ca="1">OFFSET('Customer Count'!$BN$5,COLUMN()-COLUMN($C110),0)</f>
        <v>14637.337340458451</v>
      </c>
      <c r="Q110" s="55">
        <f ca="1">OFFSET('Customer Count'!$BN$5,COLUMN()-COLUMN($C110),0)</f>
        <v>14879.354073473061</v>
      </c>
      <c r="R110" s="55">
        <f ca="1">OFFSET('Customer Count'!$BN$5,COLUMN()-COLUMN($C110),0)</f>
        <v>15125.372360711415</v>
      </c>
      <c r="S110" s="65">
        <f ca="1">OFFSET('Customer Count'!$BN$5,COLUMN()-COLUMN($C110),0)</f>
        <v>15375.458364690485</v>
      </c>
    </row>
    <row r="111" spans="2:19">
      <c r="B111" s="64" t="str">
        <f t="shared" si="36"/>
        <v>Sentinel Light</v>
      </c>
      <c r="C111" s="55">
        <f ca="1">OFFSET('Customer Count'!$BR$5,COLUMN()-COLUMN($C111),0)</f>
        <v>40.375</v>
      </c>
      <c r="D111" s="55">
        <f ca="1">OFFSET('Customer Count'!$BR$5,COLUMN()-COLUMN($C111),0)</f>
        <v>39</v>
      </c>
      <c r="E111" s="55">
        <f ca="1">OFFSET('Customer Count'!$BR$5,COLUMN()-COLUMN($C111),0)</f>
        <v>38.458333333333321</v>
      </c>
      <c r="F111" s="55">
        <f ca="1">OFFSET('Customer Count'!$BR$5,COLUMN()-COLUMN($C111),0)</f>
        <v>37.458333333333321</v>
      </c>
      <c r="G111" s="55">
        <f ca="1">OFFSET('Customer Count'!$BR$5,COLUMN()-COLUMN($C111),0)</f>
        <v>37</v>
      </c>
      <c r="H111" s="55">
        <f ca="1">OFFSET('Customer Count'!$BR$5,COLUMN()-COLUMN($C111),0)</f>
        <v>37</v>
      </c>
      <c r="I111" s="55">
        <f ca="1">OFFSET('Customer Count'!$BR$5,COLUMN()-COLUMN($C111),0)</f>
        <v>42.416666666666679</v>
      </c>
      <c r="J111" s="55">
        <f ca="1">OFFSET('Customer Count'!$BR$5,COLUMN()-COLUMN($C111),0)</f>
        <v>46.458333333333314</v>
      </c>
      <c r="K111" s="55">
        <f ca="1">OFFSET('Customer Count'!$BR$5,COLUMN()-COLUMN($C111),0)</f>
        <v>46</v>
      </c>
      <c r="L111" s="55">
        <f ca="1">OFFSET('Customer Count'!$BR$5,COLUMN()-COLUMN($C111),0)</f>
        <v>45.458333333333314</v>
      </c>
      <c r="M111" s="55">
        <f ca="1">OFFSET('Customer Count'!$BR$5,COLUMN()-COLUMN($C111),0)</f>
        <v>46.061262694763407</v>
      </c>
      <c r="N111" s="55">
        <f ca="1">OFFSET('Customer Count'!$BR$5,COLUMN()-COLUMN($C111),0)</f>
        <v>46.672188913715949</v>
      </c>
      <c r="O111" s="55">
        <f ca="1">OFFSET('Customer Count'!$BR$5,COLUMN()-COLUMN($C111),0)</f>
        <v>47.29121805523657</v>
      </c>
      <c r="P111" s="55">
        <f ca="1">OFFSET('Customer Count'!$BR$5,COLUMN()-COLUMN($C111),0)</f>
        <v>47.918457591147735</v>
      </c>
      <c r="Q111" s="55">
        <f ca="1">OFFSET('Customer Count'!$BR$5,COLUMN()-COLUMN($C111),0)</f>
        <v>48.554016418707313</v>
      </c>
      <c r="R111" s="55">
        <f ca="1">OFFSET('Customer Count'!$BR$5,COLUMN()-COLUMN($C111),0)</f>
        <v>49.198004879514592</v>
      </c>
      <c r="S111" s="65">
        <f ca="1">OFFSET('Customer Count'!$BR$5,COLUMN()-COLUMN($C111),0)</f>
        <v>49.850534778667082</v>
      </c>
    </row>
    <row r="112" spans="2:19">
      <c r="B112" s="64" t="str">
        <f t="shared" si="36"/>
        <v>USL</v>
      </c>
      <c r="C112" s="55">
        <f ca="1">OFFSET('Customer Count'!$BV$5,COLUMN()-COLUMN($C112),0)</f>
        <v>378.29166666666652</v>
      </c>
      <c r="D112" s="55">
        <f ca="1">OFFSET('Customer Count'!$BV$5,COLUMN()-COLUMN($C112),0)</f>
        <v>372.20833333333348</v>
      </c>
      <c r="E112" s="55">
        <f ca="1">OFFSET('Customer Count'!$BV$5,COLUMN()-COLUMN($C112),0)</f>
        <v>370.625</v>
      </c>
      <c r="F112" s="55">
        <f ca="1">OFFSET('Customer Count'!$BV$5,COLUMN()-COLUMN($C112),0)</f>
        <v>376.875</v>
      </c>
      <c r="G112" s="55">
        <f ca="1">OFFSET('Customer Count'!$BV$5,COLUMN()-COLUMN($C112),0)</f>
        <v>384.25</v>
      </c>
      <c r="H112" s="55">
        <f ca="1">OFFSET('Customer Count'!$BV$5,COLUMN()-COLUMN($C112),0)</f>
        <v>389.16666666666652</v>
      </c>
      <c r="I112" s="55">
        <f ca="1">OFFSET('Customer Count'!$BV$5,COLUMN()-COLUMN($C112),0)</f>
        <v>391.54166666666652</v>
      </c>
      <c r="J112" s="55">
        <f ca="1">OFFSET('Customer Count'!$BV$5,COLUMN()-COLUMN($C112),0)</f>
        <v>393.08333333333348</v>
      </c>
      <c r="K112" s="55">
        <f ca="1">OFFSET('Customer Count'!$BV$5,COLUMN()-COLUMN($C112),0)</f>
        <v>400.5</v>
      </c>
      <c r="L112" s="55">
        <f ca="1">OFFSET('Customer Count'!$BV$5,COLUMN()-COLUMN($C112),0)</f>
        <v>396.25</v>
      </c>
      <c r="M112" s="55">
        <f ca="1">OFFSET('Customer Count'!$BV$5,COLUMN()-COLUMN($C112),0)</f>
        <v>389.08499529412256</v>
      </c>
      <c r="N112" s="55">
        <f ca="1">OFFSET('Customer Count'!$BV$5,COLUMN()-COLUMN($C112),0)</f>
        <v>391.09524756324345</v>
      </c>
      <c r="O112" s="55">
        <f ca="1">OFFSET('Customer Count'!$BV$5,COLUMN()-COLUMN($C112),0)</f>
        <v>393.11588603135527</v>
      </c>
      <c r="P112" s="55">
        <f ca="1">OFFSET('Customer Count'!$BV$5,COLUMN()-COLUMN($C112),0)</f>
        <v>395.14696435994671</v>
      </c>
      <c r="Q112" s="55">
        <f ca="1">OFFSET('Customer Count'!$BV$5,COLUMN()-COLUMN($C112),0)</f>
        <v>397.18853648775479</v>
      </c>
      <c r="R112" s="55">
        <f ca="1">OFFSET('Customer Count'!$BV$5,COLUMN()-COLUMN($C112),0)</f>
        <v>399.2406566321971</v>
      </c>
      <c r="S112" s="65">
        <f ca="1">OFFSET('Customer Count'!$BV$5,COLUMN()-COLUMN($C112),0)</f>
        <v>401.30337929081179</v>
      </c>
    </row>
    <row r="113" spans="2:19" ht="13.5" thickBot="1">
      <c r="B113" s="63" t="s">
        <v>65</v>
      </c>
      <c r="C113" s="62">
        <f t="shared" ref="C113:S113" ca="1" si="37">SUM(C106:C112)</f>
        <v>53901.625000000007</v>
      </c>
      <c r="D113" s="62">
        <f t="shared" ca="1" si="37"/>
        <v>54272.416666666686</v>
      </c>
      <c r="E113" s="62">
        <f t="shared" ca="1" si="37"/>
        <v>54651.416666666657</v>
      </c>
      <c r="F113" s="62">
        <f t="shared" ca="1" si="37"/>
        <v>55187.000000000015</v>
      </c>
      <c r="G113" s="62">
        <f t="shared" ca="1" si="37"/>
        <v>56373.750000000015</v>
      </c>
      <c r="H113" s="62">
        <f t="shared" ca="1" si="37"/>
        <v>57683.791666666672</v>
      </c>
      <c r="I113" s="62">
        <f t="shared" ca="1" si="37"/>
        <v>59076.125</v>
      </c>
      <c r="J113" s="62">
        <f t="shared" ca="1" si="37"/>
        <v>60568.916666666701</v>
      </c>
      <c r="K113" s="62">
        <f t="shared" ca="1" si="37"/>
        <v>61769.000000000015</v>
      </c>
      <c r="L113" s="61">
        <f t="shared" ca="1" si="37"/>
        <v>62526.708333333336</v>
      </c>
      <c r="M113" s="62">
        <f t="shared" ca="1" si="37"/>
        <v>63704.162354832173</v>
      </c>
      <c r="N113" s="61">
        <f t="shared" ca="1" si="37"/>
        <v>64868.992886424188</v>
      </c>
      <c r="O113" s="62">
        <f t="shared" ca="1" si="37"/>
        <v>66059.152853088919</v>
      </c>
      <c r="P113" s="61">
        <f t="shared" ca="1" si="37"/>
        <v>67242.048519217366</v>
      </c>
      <c r="Q113" s="62">
        <f t="shared" ca="1" si="37"/>
        <v>68469.521367636145</v>
      </c>
      <c r="R113" s="61">
        <f t="shared" ca="1" si="37"/>
        <v>69716.138360988611</v>
      </c>
      <c r="S113" s="54">
        <f t="shared" ca="1" si="37"/>
        <v>70982.888079921904</v>
      </c>
    </row>
    <row r="115" spans="2:19" ht="16.5" thickBot="1">
      <c r="B115" s="71" t="s">
        <v>486</v>
      </c>
      <c r="C115" s="71" t="s">
        <v>376</v>
      </c>
    </row>
    <row r="116" spans="2:19">
      <c r="B116" s="70" t="s">
        <v>381</v>
      </c>
      <c r="C116" s="69" t="s">
        <v>476</v>
      </c>
      <c r="D116" s="69" t="s">
        <v>477</v>
      </c>
      <c r="E116" s="69" t="s">
        <v>478</v>
      </c>
      <c r="F116" s="69" t="s">
        <v>479</v>
      </c>
      <c r="G116" s="69" t="s">
        <v>480</v>
      </c>
      <c r="H116" s="69" t="s">
        <v>481</v>
      </c>
      <c r="I116" s="69" t="s">
        <v>482</v>
      </c>
      <c r="J116" s="69" t="s">
        <v>483</v>
      </c>
      <c r="K116" s="69" t="s">
        <v>484</v>
      </c>
      <c r="L116" s="69" t="s">
        <v>528</v>
      </c>
      <c r="M116" s="69" t="s">
        <v>195</v>
      </c>
      <c r="N116" s="69" t="s">
        <v>196</v>
      </c>
      <c r="O116" s="69" t="s">
        <v>487</v>
      </c>
      <c r="P116" s="69" t="s">
        <v>488</v>
      </c>
      <c r="Q116" s="69" t="s">
        <v>489</v>
      </c>
      <c r="R116" s="69" t="s">
        <v>490</v>
      </c>
      <c r="S116" s="67" t="s">
        <v>491</v>
      </c>
    </row>
    <row r="117" spans="2:19">
      <c r="B117" s="66" t="str">
        <f>B93</f>
        <v>Residential</v>
      </c>
      <c r="C117" s="55">
        <f>SUMIFS('Monthly Data'!$AT:$AT,'Monthly Data'!$B:$B,'Summary Tables'!C$138,'Monthly Data'!$C:$C,12)</f>
        <v>106913</v>
      </c>
      <c r="D117" s="55">
        <f>SUMIFS('Monthly Data'!$AT:$AT,'Monthly Data'!$B:$B,'Summary Tables'!D$138,'Monthly Data'!$C:$C,12)</f>
        <v>107900</v>
      </c>
      <c r="E117" s="55">
        <f>SUMIFS('Monthly Data'!$AT:$AT,'Monthly Data'!$B:$B,'Summary Tables'!E$138,'Monthly Data'!$C:$C,12)</f>
        <v>108758</v>
      </c>
      <c r="F117" s="55">
        <f>SUMIFS('Monthly Data'!$AT:$AT,'Monthly Data'!$B:$B,'Summary Tables'!F$138,'Monthly Data'!$C:$C,12)</f>
        <v>110072</v>
      </c>
      <c r="G117" s="55">
        <f>SUMIFS('Monthly Data'!$AT:$AT,'Monthly Data'!$B:$B,'Summary Tables'!G$138,'Monthly Data'!$C:$C,12)</f>
        <v>111713</v>
      </c>
      <c r="H117" s="55">
        <f>SUMIFS('Monthly Data'!$AT:$AT,'Monthly Data'!$B:$B,'Summary Tables'!H$138,'Monthly Data'!$C:$C,12)</f>
        <v>112646</v>
      </c>
      <c r="I117" s="55">
        <f>SUMIFS('Monthly Data'!$AT:$AT,'Monthly Data'!$B:$B,'Summary Tables'!I$138,'Monthly Data'!$C:$C,12)</f>
        <v>113409</v>
      </c>
      <c r="J117" s="55">
        <f>SUMIFS('Monthly Data'!$AT:$AT,'Monthly Data'!$B:$B,'Summary Tables'!J$138,'Monthly Data'!$C:$C,12)</f>
        <v>114797</v>
      </c>
      <c r="K117" s="55">
        <f>SUMIFS('Monthly Data'!$AT:$AT,'Monthly Data'!$B:$B,'Summary Tables'!K$138,'Monthly Data'!$C:$C,12)</f>
        <v>116444</v>
      </c>
      <c r="L117" s="55">
        <f>SUMIFS('Monthly Data'!$AT:$AT,'Monthly Data'!$B:$B,'Summary Tables'!L$138,'Monthly Data'!$C:$C,12)</f>
        <v>118313</v>
      </c>
      <c r="M117" s="55">
        <f ca="1">SUMIFS('Customer Count'!$C:$C,'Customer Count'!$A:$A,M$138,'Customer Count'!$B:$B,"Dec")</f>
        <v>120679.0969087102</v>
      </c>
      <c r="N117" s="55">
        <f ca="1">SUMIFS('Customer Count'!$C:$C,'Customer Count'!$A:$A,N$138,'Customer Count'!$B:$B,"Dec")</f>
        <v>123236.4362380458</v>
      </c>
      <c r="O117" s="55">
        <f ca="1">SUMIFS('Customer Count'!$C:$C,'Customer Count'!$A:$A,O$138,'Customer Count'!$B:$B,"Dec")</f>
        <v>125788.25690808798</v>
      </c>
      <c r="P117" s="55">
        <f ca="1">SUMIFS('Customer Count'!$C:$C,'Customer Count'!$A:$A,P$138,'Customer Count'!$B:$B,"Dec")</f>
        <v>128228.13804806618</v>
      </c>
      <c r="Q117" s="55">
        <f ca="1">SUMIFS('Customer Count'!$C:$C,'Customer Count'!$A:$A,Q$138,'Customer Count'!$B:$B,"Dec")</f>
        <v>130758.84820236517</v>
      </c>
      <c r="R117" s="55">
        <f ca="1">SUMIFS('Customer Count'!$C:$C,'Customer Count'!$A:$A,R$138,'Customer Count'!$B:$B,"Dec")</f>
        <v>133424.51497413241</v>
      </c>
      <c r="S117" s="65">
        <f ca="1">SUMIFS('Customer Count'!$C:$C,'Customer Count'!$A:$A,S$138,'Customer Count'!$B:$B,"Dec")</f>
        <v>136106.37924703243</v>
      </c>
    </row>
    <row r="118" spans="2:19">
      <c r="B118" s="64" t="str">
        <f t="shared" ref="B118:B125" si="38">B94</f>
        <v>Residential Seasonal</v>
      </c>
      <c r="C118" s="55">
        <f>SUMIFS('Monthly Data'!$AU:$AU,'Monthly Data'!$B:$B,'Summary Tables'!C$138,'Monthly Data'!$C:$C,12)</f>
        <v>1589</v>
      </c>
      <c r="D118" s="55">
        <f>SUMIFS('Monthly Data'!$AU:$AU,'Monthly Data'!$B:$B,'Summary Tables'!D$138,'Monthly Data'!$C:$C,12)</f>
        <v>1583</v>
      </c>
      <c r="E118" s="55">
        <f>SUMIFS('Monthly Data'!$AU:$AU,'Monthly Data'!$B:$B,'Summary Tables'!E$138,'Monthly Data'!$C:$C,12)</f>
        <v>1572</v>
      </c>
      <c r="F118" s="55">
        <f>SUMIFS('Monthly Data'!$AU:$AU,'Monthly Data'!$B:$B,'Summary Tables'!F$138,'Monthly Data'!$C:$C,12)</f>
        <v>1570</v>
      </c>
      <c r="G118" s="55">
        <f>SUMIFS('Monthly Data'!$AU:$AU,'Monthly Data'!$B:$B,'Summary Tables'!G$138,'Monthly Data'!$C:$C,12)</f>
        <v>1561</v>
      </c>
      <c r="H118" s="55">
        <f>SUMIFS('Monthly Data'!$AU:$AU,'Monthly Data'!$B:$B,'Summary Tables'!H$138,'Monthly Data'!$C:$C,12)</f>
        <v>1561</v>
      </c>
      <c r="I118" s="55">
        <f>SUMIFS('Monthly Data'!$AU:$AU,'Monthly Data'!$B:$B,'Summary Tables'!I$138,'Monthly Data'!$C:$C,12)</f>
        <v>1557</v>
      </c>
      <c r="J118" s="55">
        <f>SUMIFS('Monthly Data'!$AU:$AU,'Monthly Data'!$B:$B,'Summary Tables'!J$138,'Monthly Data'!$C:$C,12)</f>
        <v>1561</v>
      </c>
      <c r="K118" s="55">
        <f>SUMIFS('Monthly Data'!$AU:$AU,'Monthly Data'!$B:$B,'Summary Tables'!K$138,'Monthly Data'!$C:$C,12)</f>
        <v>1564</v>
      </c>
      <c r="L118" s="55">
        <f>SUMIFS('Monthly Data'!$AU:$AU,'Monthly Data'!$B:$B,'Summary Tables'!L$138,'Monthly Data'!$C:$C,12)</f>
        <v>1560</v>
      </c>
      <c r="M118" s="55">
        <f>SUMIFS('Customer Count'!$G:$G,'Customer Count'!$A:$A,M$138,'Customer Count'!$B:$B,"Dec")</f>
        <v>1557.0002053868013</v>
      </c>
      <c r="N118" s="55">
        <f>SUMIFS('Customer Count'!$G:$G,'Customer Count'!$A:$A,N$138,'Customer Count'!$B:$B,"Dec")</f>
        <v>1553.6928394081144</v>
      </c>
      <c r="O118" s="55">
        <f>SUMIFS('Customer Count'!$G:$G,'Customer Count'!$A:$A,O$138,'Customer Count'!$B:$B,"Dec")</f>
        <v>1550.3924989068032</v>
      </c>
      <c r="P118" s="55">
        <f>SUMIFS('Customer Count'!$G:$G,'Customer Count'!$A:$A,P$138,'Customer Count'!$B:$B,"Dec")</f>
        <v>1547.0991689594107</v>
      </c>
      <c r="Q118" s="55">
        <f>SUMIFS('Customer Count'!$G:$G,'Customer Count'!$A:$A,Q$138,'Customer Count'!$B:$B,"Dec")</f>
        <v>1543.8128346741814</v>
      </c>
      <c r="R118" s="55">
        <f>SUMIFS('Customer Count'!$G:$G,'Customer Count'!$A:$A,R$138,'Customer Count'!$B:$B,"Dec")</f>
        <v>1540.5334811909913</v>
      </c>
      <c r="S118" s="65">
        <f>SUMIFS('Customer Count'!$G:$G,'Customer Count'!$A:$A,S$138,'Customer Count'!$B:$B,"Dec")</f>
        <v>1537.2610936812841</v>
      </c>
    </row>
    <row r="119" spans="2:19">
      <c r="B119" s="64" t="str">
        <f t="shared" si="38"/>
        <v>GS&lt;50</v>
      </c>
      <c r="C119" s="55">
        <f>SUMIFS('Monthly Data'!$AV:$AV,'Monthly Data'!$B:$B,'Summary Tables'!C$138,'Monthly Data'!$C:$C,12)</f>
        <v>8909</v>
      </c>
      <c r="D119" s="55">
        <f>SUMIFS('Monthly Data'!$AV:$AV,'Monthly Data'!$B:$B,'Summary Tables'!D$138,'Monthly Data'!$C:$C,12)</f>
        <v>8991</v>
      </c>
      <c r="E119" s="55">
        <f>SUMIFS('Monthly Data'!$AV:$AV,'Monthly Data'!$B:$B,'Summary Tables'!E$138,'Monthly Data'!$C:$C,12)</f>
        <v>9036</v>
      </c>
      <c r="F119" s="55">
        <f>SUMIFS('Monthly Data'!$AV:$AV,'Monthly Data'!$B:$B,'Summary Tables'!F$138,'Monthly Data'!$C:$C,12)</f>
        <v>9135</v>
      </c>
      <c r="G119" s="55">
        <f>SUMIFS('Monthly Data'!$AV:$AV,'Monthly Data'!$B:$B,'Summary Tables'!G$138,'Monthly Data'!$C:$C,12)</f>
        <v>9268</v>
      </c>
      <c r="H119" s="55">
        <f>SUMIFS('Monthly Data'!$AV:$AV,'Monthly Data'!$B:$B,'Summary Tables'!H$138,'Monthly Data'!$C:$C,12)</f>
        <v>9286</v>
      </c>
      <c r="I119" s="55">
        <f>SUMIFS('Monthly Data'!$AV:$AV,'Monthly Data'!$B:$B,'Summary Tables'!I$138,'Monthly Data'!$C:$C,12)</f>
        <v>9339</v>
      </c>
      <c r="J119" s="55">
        <f>SUMIFS('Monthly Data'!$AV:$AV,'Monthly Data'!$B:$B,'Summary Tables'!J$138,'Monthly Data'!$C:$C,12)</f>
        <v>9476</v>
      </c>
      <c r="K119" s="55">
        <f>SUMIFS('Monthly Data'!$AV:$AV,'Monthly Data'!$B:$B,'Summary Tables'!K$138,'Monthly Data'!$C:$C,12)</f>
        <v>9497</v>
      </c>
      <c r="L119" s="55">
        <f>SUMIFS('Monthly Data'!$AV:$AV,'Monthly Data'!$B:$B,'Summary Tables'!L$138,'Monthly Data'!$C:$C,12)</f>
        <v>9506</v>
      </c>
      <c r="M119" s="55">
        <f>SUMIFS('Customer Count'!$K:$K,'Customer Count'!$A:$A,M$138,'Customer Count'!$B:$B,"Dec")</f>
        <v>9576.2109636304667</v>
      </c>
      <c r="N119" s="55">
        <f>SUMIFS('Customer Count'!$K:$K,'Customer Count'!$A:$A,N$138,'Customer Count'!$B:$B,"Dec")</f>
        <v>9646.9035844493974</v>
      </c>
      <c r="O119" s="55">
        <f>SUMIFS('Customer Count'!$K:$K,'Customer Count'!$A:$A,O$138,'Customer Count'!$B:$B,"Dec")</f>
        <v>9718.1552567315775</v>
      </c>
      <c r="P119" s="55">
        <f>SUMIFS('Customer Count'!$K:$K,'Customer Count'!$A:$A,P$138,'Customer Count'!$B:$B,"Dec")</f>
        <v>9789.9331912240668</v>
      </c>
      <c r="Q119" s="55">
        <f>SUMIFS('Customer Count'!$K:$K,'Customer Count'!$A:$A,Q$138,'Customer Count'!$B:$B,"Dec")</f>
        <v>9862.2412748800452</v>
      </c>
      <c r="R119" s="55">
        <f>SUMIFS('Customer Count'!$K:$K,'Customer Count'!$A:$A,R$138,'Customer Count'!$B:$B,"Dec")</f>
        <v>9935.0834233615788</v>
      </c>
      <c r="S119" s="65">
        <f>SUMIFS('Customer Count'!$K:$K,'Customer Count'!$A:$A,S$138,'Customer Count'!$B:$B,"Dec")</f>
        <v>10008.463581251679</v>
      </c>
    </row>
    <row r="120" spans="2:19">
      <c r="B120" s="64" t="str">
        <f t="shared" si="38"/>
        <v>GS 50 - 2,999</v>
      </c>
      <c r="C120" s="55">
        <f>SUMIFS('Monthly Data'!$AW:$AW,'Monthly Data'!$B:$B,'Summary Tables'!C$138,'Monthly Data'!$C:$C,12)</f>
        <v>1062</v>
      </c>
      <c r="D120" s="55">
        <f>SUMIFS('Monthly Data'!$AW:$AW,'Monthly Data'!$B:$B,'Summary Tables'!D$138,'Monthly Data'!$C:$C,12)</f>
        <v>1051</v>
      </c>
      <c r="E120" s="55">
        <f>SUMIFS('Monthly Data'!$AW:$AW,'Monthly Data'!$B:$B,'Summary Tables'!E$138,'Monthly Data'!$C:$C,12)</f>
        <v>1083</v>
      </c>
      <c r="F120" s="55">
        <f>SUMIFS('Monthly Data'!$AW:$AW,'Monthly Data'!$B:$B,'Summary Tables'!F$138,'Monthly Data'!$C:$C,12)</f>
        <v>1041</v>
      </c>
      <c r="G120" s="55">
        <f>SUMIFS('Monthly Data'!$AW:$AW,'Monthly Data'!$B:$B,'Summary Tables'!G$138,'Monthly Data'!$C:$C,12)</f>
        <v>1019</v>
      </c>
      <c r="H120" s="55">
        <f>SUMIFS('Monthly Data'!$AW:$AW,'Monthly Data'!$B:$B,'Summary Tables'!H$138,'Monthly Data'!$C:$C,12)</f>
        <v>1043</v>
      </c>
      <c r="I120" s="55">
        <f>SUMIFS('Monthly Data'!$AW:$AW,'Monthly Data'!$B:$B,'Summary Tables'!I$138,'Monthly Data'!$C:$C,12)</f>
        <v>1060</v>
      </c>
      <c r="J120" s="55">
        <f>SUMIFS('Monthly Data'!$AW:$AW,'Monthly Data'!$B:$B,'Summary Tables'!J$138,'Monthly Data'!$C:$C,12)</f>
        <v>1018</v>
      </c>
      <c r="K120" s="55">
        <f>SUMIFS('Monthly Data'!$AW:$AW,'Monthly Data'!$B:$B,'Summary Tables'!K$138,'Monthly Data'!$C:$C,12)</f>
        <v>1041</v>
      </c>
      <c r="L120" s="55">
        <f>SUMIFS('Monthly Data'!$AW:$AW,'Monthly Data'!$B:$B,'Summary Tables'!L$138,'Monthly Data'!$C:$C,12)</f>
        <v>1075</v>
      </c>
      <c r="M120" s="55">
        <f>SUMIFS('Customer Count'!$R:$R,'Customer Count'!$A:$A,M$138,'Customer Count'!$B:$B,"Dec")</f>
        <v>1080.6507967698053</v>
      </c>
      <c r="N120" s="55">
        <f>SUMIFS('Customer Count'!$R:$R,'Customer Count'!$A:$A,N$138,'Customer Count'!$B:$B,"Dec")</f>
        <v>1089.8614624923862</v>
      </c>
      <c r="O120" s="55">
        <f>SUMIFS('Customer Count'!$R:$R,'Customer Count'!$A:$A,O$138,'Customer Count'!$B:$B,"Dec")</f>
        <v>1094.6030231291934</v>
      </c>
      <c r="P120" s="55">
        <f>SUMIFS('Customer Count'!$R:$R,'Customer Count'!$A:$A,P$138,'Customer Count'!$B:$B,"Dec")</f>
        <v>1096.234966193892</v>
      </c>
      <c r="Q120" s="55">
        <f>SUMIFS('Customer Count'!$R:$R,'Customer Count'!$A:$A,Q$138,'Customer Count'!$B:$B,"Dec")</f>
        <v>1097.1872919144444</v>
      </c>
      <c r="R120" s="55">
        <f>SUMIFS('Customer Count'!$R:$R,'Customer Count'!$A:$A,R$138,'Customer Count'!$B:$B,"Dec")</f>
        <v>1097.8900005189471</v>
      </c>
      <c r="S120" s="65">
        <f>SUMIFS('Customer Count'!$R:$R,'Customer Count'!$A:$A,S$138,'Customer Count'!$B:$B,"Dec")</f>
        <v>1098.7430922356336</v>
      </c>
    </row>
    <row r="121" spans="2:19">
      <c r="B121" s="64" t="str">
        <f t="shared" si="38"/>
        <v>GS 3,000 - 4,999</v>
      </c>
      <c r="C121" s="55">
        <f>SUMIFS('Monthly Data'!$AX:$AX,'Monthly Data'!$B:$B,'Summary Tables'!C$138,'Monthly Data'!$C:$C,12)</f>
        <v>5</v>
      </c>
      <c r="D121" s="55">
        <f>SUMIFS('Monthly Data'!$AX:$AX,'Monthly Data'!$B:$B,'Summary Tables'!D$138,'Monthly Data'!$C:$C,12)</f>
        <v>5</v>
      </c>
      <c r="E121" s="55">
        <f>SUMIFS('Monthly Data'!$AX:$AX,'Monthly Data'!$B:$B,'Summary Tables'!E$138,'Monthly Data'!$C:$C,12)</f>
        <v>5</v>
      </c>
      <c r="F121" s="55">
        <f>SUMIFS('Monthly Data'!$AX:$AX,'Monthly Data'!$B:$B,'Summary Tables'!F$138,'Monthly Data'!$C:$C,12)</f>
        <v>4</v>
      </c>
      <c r="G121" s="55">
        <f>SUMIFS('Monthly Data'!$AX:$AX,'Monthly Data'!$B:$B,'Summary Tables'!G$138,'Monthly Data'!$C:$C,12)</f>
        <v>4</v>
      </c>
      <c r="H121" s="55">
        <f>SUMIFS('Monthly Data'!$AX:$AX,'Monthly Data'!$B:$B,'Summary Tables'!H$138,'Monthly Data'!$C:$C,12)</f>
        <v>5</v>
      </c>
      <c r="I121" s="55">
        <f>SUMIFS('Monthly Data'!$AX:$AX,'Monthly Data'!$B:$B,'Summary Tables'!I$138,'Monthly Data'!$C:$C,12)</f>
        <v>6</v>
      </c>
      <c r="J121" s="55">
        <f>SUMIFS('Monthly Data'!$AX:$AX,'Monthly Data'!$B:$B,'Summary Tables'!J$138,'Monthly Data'!$C:$C,12)</f>
        <v>5</v>
      </c>
      <c r="K121" s="55">
        <f>SUMIFS('Monthly Data'!$AX:$AX,'Monthly Data'!$B:$B,'Summary Tables'!K$138,'Monthly Data'!$C:$C,12)</f>
        <v>5</v>
      </c>
      <c r="L121" s="55">
        <f>SUMIFS('Monthly Data'!$AX:$AX,'Monthly Data'!$B:$B,'Summary Tables'!L$138,'Monthly Data'!$C:$C,12)</f>
        <v>5</v>
      </c>
      <c r="M121" s="55">
        <f>SUMIFS('Customer Count'!$X:$X,'Customer Count'!$A:$A,M$138,'Customer Count'!$B:$B,"Dec")</f>
        <v>8.6</v>
      </c>
      <c r="N121" s="55">
        <f>SUMIFS('Customer Count'!$X:$X,'Customer Count'!$A:$A,N$138,'Customer Count'!$B:$B,"Dec")</f>
        <v>11.87</v>
      </c>
      <c r="O121" s="55">
        <f>SUMIFS('Customer Count'!$X:$X,'Customer Count'!$A:$A,O$138,'Customer Count'!$B:$B,"Dec")</f>
        <v>12.230000000000002</v>
      </c>
      <c r="P121" s="55">
        <f>SUMIFS('Customer Count'!$X:$X,'Customer Count'!$A:$A,P$138,'Customer Count'!$B:$B,"Dec")</f>
        <v>12.120000000000006</v>
      </c>
      <c r="Q121" s="55">
        <f>SUMIFS('Customer Count'!$X:$X,'Customer Count'!$A:$A,Q$138,'Customer Count'!$B:$B,"Dec")</f>
        <v>12.120000000000006</v>
      </c>
      <c r="R121" s="55">
        <f>SUMIFS('Customer Count'!$X:$X,'Customer Count'!$A:$A,R$138,'Customer Count'!$B:$B,"Dec")</f>
        <v>12.120000000000006</v>
      </c>
      <c r="S121" s="65">
        <f>SUMIFS('Customer Count'!$X:$X,'Customer Count'!$A:$A,S$138,'Customer Count'!$B:$B,"Dec")</f>
        <v>12.120000000000006</v>
      </c>
    </row>
    <row r="122" spans="2:19">
      <c r="B122" s="64" t="str">
        <f t="shared" si="38"/>
        <v>Large Use</v>
      </c>
      <c r="C122" s="55">
        <f>SUMIFS('Monthly Data'!$AY:$AY,'Monthly Data'!$B:$B,'Summary Tables'!C$138,'Monthly Data'!$C:$C,12)</f>
        <v>3</v>
      </c>
      <c r="D122" s="55">
        <f>SUMIFS('Monthly Data'!$AY:$AY,'Monthly Data'!$B:$B,'Summary Tables'!D$138,'Monthly Data'!$C:$C,12)</f>
        <v>3</v>
      </c>
      <c r="E122" s="55">
        <f>SUMIFS('Monthly Data'!$AY:$AY,'Monthly Data'!$B:$B,'Summary Tables'!E$138,'Monthly Data'!$C:$C,12)</f>
        <v>3</v>
      </c>
      <c r="F122" s="55">
        <f>SUMIFS('Monthly Data'!$AY:$AY,'Monthly Data'!$B:$B,'Summary Tables'!F$138,'Monthly Data'!$C:$C,12)</f>
        <v>4</v>
      </c>
      <c r="G122" s="55">
        <f>SUMIFS('Monthly Data'!$AY:$AY,'Monthly Data'!$B:$B,'Summary Tables'!G$138,'Monthly Data'!$C:$C,12)</f>
        <v>4</v>
      </c>
      <c r="H122" s="55">
        <f>SUMIFS('Monthly Data'!$AY:$AY,'Monthly Data'!$B:$B,'Summary Tables'!H$138,'Monthly Data'!$C:$C,12)</f>
        <v>4</v>
      </c>
      <c r="I122" s="55">
        <f>SUMIFS('Monthly Data'!$AY:$AY,'Monthly Data'!$B:$B,'Summary Tables'!I$138,'Monthly Data'!$C:$C,12)</f>
        <v>4</v>
      </c>
      <c r="J122" s="55">
        <f>SUMIFS('Monthly Data'!$AY:$AY,'Monthly Data'!$B:$B,'Summary Tables'!J$138,'Monthly Data'!$C:$C,12)</f>
        <v>4</v>
      </c>
      <c r="K122" s="55">
        <f>SUMIFS('Monthly Data'!$AY:$AY,'Monthly Data'!$B:$B,'Summary Tables'!K$138,'Monthly Data'!$C:$C,12)</f>
        <v>5</v>
      </c>
      <c r="L122" s="55">
        <f>SUMIFS('Monthly Data'!$AY:$AY,'Monthly Data'!$B:$B,'Summary Tables'!L$138,'Monthly Data'!$C:$C,12)</f>
        <v>5</v>
      </c>
      <c r="M122" s="55">
        <f>SUMIFS('Customer Count'!$AD:$AD,'Customer Count'!$A:$A,M$138,'Customer Count'!$B:$B,"Dec")</f>
        <v>5.8250000000000002</v>
      </c>
      <c r="N122" s="55">
        <f>SUMIFS('Customer Count'!$AD:$AD,'Customer Count'!$A:$A,N$138,'Customer Count'!$B:$B,"Dec")</f>
        <v>6.37</v>
      </c>
      <c r="O122" s="55">
        <f>SUMIFS('Customer Count'!$AD:$AD,'Customer Count'!$A:$A,O$138,'Customer Count'!$B:$B,"Dec")</f>
        <v>7.8850000000000016</v>
      </c>
      <c r="P122" s="55">
        <f>SUMIFS('Customer Count'!$AD:$AD,'Customer Count'!$A:$A,P$138,'Customer Count'!$B:$B,"Dec")</f>
        <v>8.7199999999999989</v>
      </c>
      <c r="Q122" s="55">
        <f>SUMIFS('Customer Count'!$AD:$AD,'Customer Count'!$A:$A,Q$138,'Customer Count'!$B:$B,"Dec")</f>
        <v>8.8399999999999963</v>
      </c>
      <c r="R122" s="55">
        <f>SUMIFS('Customer Count'!$AD:$AD,'Customer Count'!$A:$A,R$138,'Customer Count'!$B:$B,"Dec")</f>
        <v>8.9299999999999944</v>
      </c>
      <c r="S122" s="65">
        <f>SUMIFS('Customer Count'!$AD:$AD,'Customer Count'!$A:$A,S$138,'Customer Count'!$B:$B,"Dec")</f>
        <v>8.9599999999999937</v>
      </c>
    </row>
    <row r="123" spans="2:19">
      <c r="B123" s="64" t="str">
        <f t="shared" si="38"/>
        <v>Street Light</v>
      </c>
      <c r="C123" s="55">
        <f>SUMIFS('Monthly Data'!$AZ:$AZ,'Monthly Data'!$B:$B,'Summary Tables'!C$138,'Monthly Data'!$C:$C,12)</f>
        <v>29930</v>
      </c>
      <c r="D123" s="55">
        <f>SUMIFS('Monthly Data'!$AZ:$AZ,'Monthly Data'!$B:$B,'Summary Tables'!D$138,'Monthly Data'!$C:$C,12)</f>
        <v>30116</v>
      </c>
      <c r="E123" s="55">
        <f>SUMIFS('Monthly Data'!$AZ:$AZ,'Monthly Data'!$B:$B,'Summary Tables'!E$138,'Monthly Data'!$C:$C,12)</f>
        <v>30662</v>
      </c>
      <c r="F123" s="55">
        <f>SUMIFS('Monthly Data'!$AZ:$AZ,'Monthly Data'!$B:$B,'Summary Tables'!F$138,'Monthly Data'!$C:$C,12)</f>
        <v>31097</v>
      </c>
      <c r="G123" s="55">
        <f>SUMIFS('Monthly Data'!$AZ:$AZ,'Monthly Data'!$B:$B,'Summary Tables'!G$138,'Monthly Data'!$C:$C,12)</f>
        <v>31182</v>
      </c>
      <c r="H123" s="55">
        <f>SUMIFS('Monthly Data'!$AZ:$AZ,'Monthly Data'!$B:$B,'Summary Tables'!H$138,'Monthly Data'!$C:$C,12)</f>
        <v>31612</v>
      </c>
      <c r="I123" s="55">
        <f>SUMIFS('Monthly Data'!$AZ:$AZ,'Monthly Data'!$B:$B,'Summary Tables'!I$138,'Monthly Data'!$C:$C,12)</f>
        <v>31736</v>
      </c>
      <c r="J123" s="55">
        <f>SUMIFS('Monthly Data'!$AZ:$AZ,'Monthly Data'!$B:$B,'Summary Tables'!J$138,'Monthly Data'!$C:$C,12)</f>
        <v>31845</v>
      </c>
      <c r="K123" s="55">
        <f>SUMIFS('Monthly Data'!$AZ:$AZ,'Monthly Data'!$B:$B,'Summary Tables'!K$138,'Monthly Data'!$C:$C,12)</f>
        <v>32374</v>
      </c>
      <c r="L123" s="55">
        <f>SUMIFS('Monthly Data'!$AZ:$AZ,'Monthly Data'!$B:$B,'Summary Tables'!L$138,'Monthly Data'!$C:$C,12)</f>
        <v>33008</v>
      </c>
      <c r="M123" s="55">
        <f>SUMIFS('Customer Count'!$AG:$AG,'Customer Count'!$A:$A,M$138,'Customer Count'!$B:$B,"Dec")</f>
        <v>33208.720266172058</v>
      </c>
      <c r="N123" s="55">
        <f>SUMIFS('Customer Count'!$AG:$AG,'Customer Count'!$A:$A,N$138,'Customer Count'!$B:$B,"Dec")</f>
        <v>33550.06548016498</v>
      </c>
      <c r="O123" s="55">
        <f>SUMIFS('Customer Count'!$AG:$AG,'Customer Count'!$A:$A,O$138,'Customer Count'!$B:$B,"Dec")</f>
        <v>33894.919307383039</v>
      </c>
      <c r="P123" s="55">
        <f>SUMIFS('Customer Count'!$AG:$AG,'Customer Count'!$A:$A,P$138,'Customer Count'!$B:$B,"Dec")</f>
        <v>34243.317812098598</v>
      </c>
      <c r="Q123" s="55">
        <f>SUMIFS('Customer Count'!$AG:$AG,'Customer Count'!$A:$A,Q$138,'Customer Count'!$B:$B,"Dec")</f>
        <v>34595.297429280807</v>
      </c>
      <c r="R123" s="55">
        <f>SUMIFS('Customer Count'!$AG:$AG,'Customer Count'!$A:$A,R$138,'Customer Count'!$B:$B,"Dec")</f>
        <v>34950.894968405948</v>
      </c>
      <c r="S123" s="65">
        <f>SUMIFS('Customer Count'!$AG:$AG,'Customer Count'!$A:$A,S$138,'Customer Count'!$B:$B,"Dec")</f>
        <v>35310.14761730696</v>
      </c>
    </row>
    <row r="124" spans="2:19">
      <c r="B124" s="64" t="str">
        <f t="shared" si="38"/>
        <v>Sentinel Light</v>
      </c>
      <c r="C124" s="55">
        <f>SUMIFS('Monthly Data'!$BA:$BA,'Monthly Data'!$B:$B,'Summary Tables'!C$138,'Monthly Data'!$C:$C,12)</f>
        <v>439</v>
      </c>
      <c r="D124" s="55">
        <f>SUMIFS('Monthly Data'!$BA:$BA,'Monthly Data'!$B:$B,'Summary Tables'!D$138,'Monthly Data'!$C:$C,12)</f>
        <v>439</v>
      </c>
      <c r="E124" s="55">
        <f>SUMIFS('Monthly Data'!$BA:$BA,'Monthly Data'!$B:$B,'Summary Tables'!E$138,'Monthly Data'!$C:$C,12)</f>
        <v>439</v>
      </c>
      <c r="F124" s="55">
        <f>SUMIFS('Monthly Data'!$BA:$BA,'Monthly Data'!$B:$B,'Summary Tables'!F$138,'Monthly Data'!$C:$C,12)</f>
        <v>439</v>
      </c>
      <c r="G124" s="55">
        <f>SUMIFS('Monthly Data'!$BA:$BA,'Monthly Data'!$B:$B,'Summary Tables'!G$138,'Monthly Data'!$C:$C,12)</f>
        <v>260</v>
      </c>
      <c r="H124" s="55">
        <f>SUMIFS('Monthly Data'!$BA:$BA,'Monthly Data'!$B:$B,'Summary Tables'!H$138,'Monthly Data'!$C:$C,12)</f>
        <v>251</v>
      </c>
      <c r="I124" s="55">
        <f>SUMIFS('Monthly Data'!$BA:$BA,'Monthly Data'!$B:$B,'Summary Tables'!I$138,'Monthly Data'!$C:$C,12)</f>
        <v>247</v>
      </c>
      <c r="J124" s="55">
        <f>SUMIFS('Monthly Data'!$BA:$BA,'Monthly Data'!$B:$B,'Summary Tables'!J$138,'Monthly Data'!$C:$C,12)</f>
        <v>245</v>
      </c>
      <c r="K124" s="55">
        <f>SUMIFS('Monthly Data'!$BA:$BA,'Monthly Data'!$B:$B,'Summary Tables'!K$138,'Monthly Data'!$C:$C,12)</f>
        <v>241</v>
      </c>
      <c r="L124" s="55">
        <f>SUMIFS('Monthly Data'!$BA:$BA,'Monthly Data'!$B:$B,'Summary Tables'!L$138,'Monthly Data'!$C:$C,12)</f>
        <v>236</v>
      </c>
      <c r="M124" s="55">
        <f>SUMIFS('Customer Count'!$AK:$AK,'Customer Count'!$A:$A,M$138,'Customer Count'!$B:$B,"Dec")</f>
        <v>232.43803633332885</v>
      </c>
      <c r="N124" s="55">
        <f>SUMIFS('Customer Count'!$AK:$AK,'Customer Count'!$A:$A,N$138,'Customer Count'!$B:$B,"Dec")</f>
        <v>228.50523656891096</v>
      </c>
      <c r="O124" s="55">
        <f>SUMIFS('Customer Count'!$AK:$AK,'Customer Count'!$A:$A,O$138,'Customer Count'!$B:$B,"Dec")</f>
        <v>224.63897889988763</v>
      </c>
      <c r="P124" s="55">
        <f>SUMIFS('Customer Count'!$AK:$AK,'Customer Count'!$A:$A,P$138,'Customer Count'!$B:$B,"Dec")</f>
        <v>220.83813744883696</v>
      </c>
      <c r="Q124" s="55">
        <f>SUMIFS('Customer Count'!$AK:$AK,'Customer Count'!$A:$A,Q$138,'Customer Count'!$B:$B,"Dec")</f>
        <v>217.10160538793207</v>
      </c>
      <c r="R124" s="55">
        <f>SUMIFS('Customer Count'!$AK:$AK,'Customer Count'!$A:$A,R$138,'Customer Count'!$B:$B,"Dec")</f>
        <v>213.42829461662623</v>
      </c>
      <c r="S124" s="65">
        <f>SUMIFS('Customer Count'!$AK:$AK,'Customer Count'!$A:$A,S$138,'Customer Count'!$B:$B,"Dec")</f>
        <v>209.81713544479143</v>
      </c>
    </row>
    <row r="125" spans="2:19">
      <c r="B125" s="64" t="str">
        <f t="shared" si="38"/>
        <v>USL</v>
      </c>
      <c r="C125" s="55">
        <f>SUMIFS('Monthly Data'!$BB:$BB,'Monthly Data'!$B:$B,'Summary Tables'!C$138,'Monthly Data'!$C:$C,12)</f>
        <v>845</v>
      </c>
      <c r="D125" s="55">
        <f>SUMIFS('Monthly Data'!$BB:$BB,'Monthly Data'!$B:$B,'Summary Tables'!D$138,'Monthly Data'!$C:$C,12)</f>
        <v>831</v>
      </c>
      <c r="E125" s="55">
        <f>SUMIFS('Monthly Data'!$BB:$BB,'Monthly Data'!$B:$B,'Summary Tables'!E$138,'Monthly Data'!$C:$C,12)</f>
        <v>821</v>
      </c>
      <c r="F125" s="55">
        <f>SUMIFS('Monthly Data'!$BB:$BB,'Monthly Data'!$B:$B,'Summary Tables'!F$138,'Monthly Data'!$C:$C,12)</f>
        <v>815</v>
      </c>
      <c r="G125" s="55">
        <f>SUMIFS('Monthly Data'!$BB:$BB,'Monthly Data'!$B:$B,'Summary Tables'!G$138,'Monthly Data'!$C:$C,12)</f>
        <v>804</v>
      </c>
      <c r="H125" s="55">
        <f>SUMIFS('Monthly Data'!$BB:$BB,'Monthly Data'!$B:$B,'Summary Tables'!H$138,'Monthly Data'!$C:$C,12)</f>
        <v>800</v>
      </c>
      <c r="I125" s="55">
        <f>SUMIFS('Monthly Data'!$BB:$BB,'Monthly Data'!$B:$B,'Summary Tables'!I$138,'Monthly Data'!$C:$C,12)</f>
        <v>803</v>
      </c>
      <c r="J125" s="55">
        <f>SUMIFS('Monthly Data'!$BB:$BB,'Monthly Data'!$B:$B,'Summary Tables'!J$138,'Monthly Data'!$C:$C,12)</f>
        <v>799</v>
      </c>
      <c r="K125" s="55">
        <f>SUMIFS('Monthly Data'!$BB:$BB,'Monthly Data'!$B:$B,'Summary Tables'!K$138,'Monthly Data'!$C:$C,12)</f>
        <v>797</v>
      </c>
      <c r="L125" s="55">
        <f>SUMIFS('Monthly Data'!$BB:$BB,'Monthly Data'!$B:$B,'Summary Tables'!L$138,'Monthly Data'!$C:$C,12)</f>
        <v>747</v>
      </c>
      <c r="M125" s="55">
        <f>SUMIFS('Customer Count'!$AO:$AO,'Customer Count'!$A:$A,M$138,'Customer Count'!$B:$B,"Dec")</f>
        <v>736.69013751953673</v>
      </c>
      <c r="N125" s="55">
        <f>SUMIFS('Customer Count'!$AO:$AO,'Customer Count'!$A:$A,N$138,'Customer Count'!$B:$B,"Dec")</f>
        <v>726.53670049778782</v>
      </c>
      <c r="O125" s="55">
        <f>SUMIFS('Customer Count'!$AO:$AO,'Customer Count'!$A:$A,O$138,'Customer Count'!$B:$B,"Dec")</f>
        <v>716.50926613481408</v>
      </c>
      <c r="P125" s="55">
        <f>SUMIFS('Customer Count'!$AO:$AO,'Customer Count'!$A:$A,P$138,'Customer Count'!$B:$B,"Dec")</f>
        <v>706.62022731309071</v>
      </c>
      <c r="Q125" s="55">
        <f>SUMIFS('Customer Count'!$AO:$AO,'Customer Count'!$A:$A,Q$138,'Customer Count'!$B:$B,"Dec")</f>
        <v>696.86767394025082</v>
      </c>
      <c r="R125" s="55">
        <f>SUMIFS('Customer Count'!$AO:$AO,'Customer Count'!$A:$A,R$138,'Customer Count'!$B:$B,"Dec")</f>
        <v>687.24972228642991</v>
      </c>
      <c r="S125" s="65">
        <f>SUMIFS('Customer Count'!$AO:$AO,'Customer Count'!$A:$A,S$138,'Customer Count'!$B:$B,"Dec")</f>
        <v>677.76451462041996</v>
      </c>
    </row>
    <row r="126" spans="2:19" ht="13.5" thickBot="1">
      <c r="B126" s="63" t="s">
        <v>65</v>
      </c>
      <c r="C126" s="62">
        <f t="shared" ref="C126:E126" si="39">SUM(C117:C125)</f>
        <v>149695</v>
      </c>
      <c r="D126" s="62">
        <f t="shared" si="39"/>
        <v>150919</v>
      </c>
      <c r="E126" s="62">
        <f t="shared" si="39"/>
        <v>152379</v>
      </c>
      <c r="F126" s="62">
        <f>SUM(F117:F125)</f>
        <v>154177</v>
      </c>
      <c r="G126" s="62">
        <f t="shared" ref="G126:S126" si="40">SUM(G117:G125)</f>
        <v>155815</v>
      </c>
      <c r="H126" s="62">
        <f t="shared" si="40"/>
        <v>157208</v>
      </c>
      <c r="I126" s="62">
        <f t="shared" si="40"/>
        <v>158161</v>
      </c>
      <c r="J126" s="62">
        <f t="shared" si="40"/>
        <v>159750</v>
      </c>
      <c r="K126" s="62">
        <f t="shared" si="40"/>
        <v>161968</v>
      </c>
      <c r="L126" s="61">
        <f t="shared" si="40"/>
        <v>164455</v>
      </c>
      <c r="M126" s="62">
        <f t="shared" ca="1" si="40"/>
        <v>167085.2323145222</v>
      </c>
      <c r="N126" s="61">
        <f t="shared" ca="1" si="40"/>
        <v>170050.24154162739</v>
      </c>
      <c r="O126" s="62">
        <f t="shared" ca="1" si="40"/>
        <v>173007.59023927333</v>
      </c>
      <c r="P126" s="61">
        <f t="shared" ca="1" si="40"/>
        <v>175853.02155130403</v>
      </c>
      <c r="Q126" s="62">
        <f t="shared" ca="1" si="40"/>
        <v>178792.31631244282</v>
      </c>
      <c r="R126" s="61">
        <f t="shared" ca="1" si="40"/>
        <v>181870.64486451293</v>
      </c>
      <c r="S126" s="54">
        <f t="shared" ca="1" si="40"/>
        <v>184969.65628157317</v>
      </c>
    </row>
    <row r="128" spans="2:19" ht="16.5" thickBot="1">
      <c r="B128" s="71" t="s">
        <v>706</v>
      </c>
      <c r="C128" s="71" t="s">
        <v>352</v>
      </c>
    </row>
    <row r="129" spans="2:19">
      <c r="B129" s="70" t="s">
        <v>381</v>
      </c>
      <c r="C129" s="69" t="s">
        <v>476</v>
      </c>
      <c r="D129" s="69" t="s">
        <v>477</v>
      </c>
      <c r="E129" s="69" t="s">
        <v>478</v>
      </c>
      <c r="F129" s="69" t="s">
        <v>479</v>
      </c>
      <c r="G129" s="69" t="s">
        <v>480</v>
      </c>
      <c r="H129" s="69" t="s">
        <v>481</v>
      </c>
      <c r="I129" s="69" t="s">
        <v>482</v>
      </c>
      <c r="J129" s="69" t="s">
        <v>483</v>
      </c>
      <c r="K129" s="69" t="s">
        <v>484</v>
      </c>
      <c r="L129" s="69" t="s">
        <v>528</v>
      </c>
      <c r="M129" s="69" t="s">
        <v>195</v>
      </c>
      <c r="N129" s="69" t="s">
        <v>196</v>
      </c>
      <c r="O129" s="69" t="s">
        <v>487</v>
      </c>
      <c r="P129" s="69" t="s">
        <v>488</v>
      </c>
      <c r="Q129" s="69" t="s">
        <v>489</v>
      </c>
      <c r="R129" s="69" t="s">
        <v>490</v>
      </c>
      <c r="S129" s="67" t="s">
        <v>491</v>
      </c>
    </row>
    <row r="130" spans="2:19">
      <c r="B130" s="66" t="str">
        <f>B106</f>
        <v>Residential</v>
      </c>
      <c r="C130" s="55">
        <f>SUMIFS('Monthly Data'!$CG:$CG,'Monthly Data'!$B:$B,'Summary Tables'!C$138,'Monthly Data'!$C:$C,12)</f>
        <v>39251</v>
      </c>
      <c r="D130" s="55">
        <f>SUMIFS('Monthly Data'!$CG:$CG,'Monthly Data'!$B:$B,'Summary Tables'!D$138,'Monthly Data'!$C:$C,12)</f>
        <v>39588</v>
      </c>
      <c r="E130" s="55">
        <f>SUMIFS('Monthly Data'!$CG:$CG,'Monthly Data'!$B:$B,'Summary Tables'!E$138,'Monthly Data'!$C:$C,12)</f>
        <v>39890</v>
      </c>
      <c r="F130" s="55">
        <f>SUMIFS('Monthly Data'!$CG:$CG,'Monthly Data'!$B:$B,'Summary Tables'!F$138,'Monthly Data'!$C:$C,12)</f>
        <v>40272</v>
      </c>
      <c r="G130" s="55">
        <f>SUMIFS('Monthly Data'!$CG:$CG,'Monthly Data'!$B:$B,'Summary Tables'!G$138,'Monthly Data'!$C:$C,12)</f>
        <v>41437</v>
      </c>
      <c r="H130" s="55">
        <f>SUMIFS('Monthly Data'!$CG:$CG,'Monthly Data'!$B:$B,'Summary Tables'!H$138,'Monthly Data'!$C:$C,12)</f>
        <v>42256</v>
      </c>
      <c r="I130" s="55">
        <f>SUMIFS('Monthly Data'!$CG:$CG,'Monthly Data'!$B:$B,'Summary Tables'!I$138,'Monthly Data'!$C:$C,12)</f>
        <v>43441</v>
      </c>
      <c r="J130" s="55">
        <f>SUMIFS('Monthly Data'!$CG:$CG,'Monthly Data'!$B:$B,'Summary Tables'!J$138,'Monthly Data'!$C:$C,12)</f>
        <v>44498</v>
      </c>
      <c r="K130" s="55">
        <f>SUMIFS('Monthly Data'!$CG:$CG,'Monthly Data'!$B:$B,'Summary Tables'!K$138,'Monthly Data'!$C:$C,12)</f>
        <v>45324</v>
      </c>
      <c r="L130" s="55">
        <f>SUMIFS('Monthly Data'!$CG:$CG,'Monthly Data'!$B:$B,'Summary Tables'!L$138,'Monthly Data'!$C:$C,12)</f>
        <v>45687</v>
      </c>
      <c r="M130" s="55">
        <f ca="1">SUMIFS('Customer Count'!$AT:$AT,'Customer Count'!$A:$A,M$138,'Customer Count'!$B:$B,"Dec")</f>
        <v>46861.73536105227</v>
      </c>
      <c r="N130" s="55">
        <f ca="1">SUMIFS('Customer Count'!$AT:$AT,'Customer Count'!$A:$A,N$138,'Customer Count'!$B:$B,"Dec")</f>
        <v>47735.451607510207</v>
      </c>
      <c r="O130" s="55">
        <f ca="1">SUMIFS('Customer Count'!$AT:$AT,'Customer Count'!$A:$A,O$138,'Customer Count'!$B:$B,"Dec")</f>
        <v>48656.83615016588</v>
      </c>
      <c r="P130" s="55">
        <f ca="1">SUMIFS('Customer Count'!$AT:$AT,'Customer Count'!$A:$A,P$138,'Customer Count'!$B:$B,"Dec")</f>
        <v>49552.624072964376</v>
      </c>
      <c r="Q130" s="55">
        <f ca="1">SUMIFS('Customer Count'!$AT:$AT,'Customer Count'!$A:$A,Q$138,'Customer Count'!$B:$B,"Dec")</f>
        <v>50513.747569707084</v>
      </c>
      <c r="R130" s="55">
        <f ca="1">SUMIFS('Customer Count'!$AT:$AT,'Customer Count'!$A:$A,R$138,'Customer Count'!$B:$B,"Dec")</f>
        <v>51477.180042124113</v>
      </c>
      <c r="S130" s="65">
        <f ca="1">SUMIFS('Customer Count'!$AT:$AT,'Customer Count'!$A:$A,S$138,'Customer Count'!$B:$B,"Dec")</f>
        <v>52456.335033319127</v>
      </c>
    </row>
    <row r="131" spans="2:19">
      <c r="B131" s="64" t="str">
        <f t="shared" ref="B131:B136" si="41">B107</f>
        <v>GS&lt;50</v>
      </c>
      <c r="C131" s="55">
        <f>SUMIFS('Monthly Data'!$CH:$CH,'Monthly Data'!$B:$B,'Summary Tables'!C$138,'Monthly Data'!$C:$C,12)</f>
        <v>2179</v>
      </c>
      <c r="D131" s="55">
        <f>SUMIFS('Monthly Data'!$CH:$CH,'Monthly Data'!$B:$B,'Summary Tables'!D$138,'Monthly Data'!$C:$C,12)</f>
        <v>2220</v>
      </c>
      <c r="E131" s="55">
        <f>SUMIFS('Monthly Data'!$CH:$CH,'Monthly Data'!$B:$B,'Summary Tables'!E$138,'Monthly Data'!$C:$C,12)</f>
        <v>2238</v>
      </c>
      <c r="F131" s="55">
        <f>SUMIFS('Monthly Data'!$CH:$CH,'Monthly Data'!$B:$B,'Summary Tables'!F$138,'Monthly Data'!$C:$C,12)</f>
        <v>2254</v>
      </c>
      <c r="G131" s="55">
        <f>SUMIFS('Monthly Data'!$CH:$CH,'Monthly Data'!$B:$B,'Summary Tables'!G$138,'Monthly Data'!$C:$C,12)</f>
        <v>2267</v>
      </c>
      <c r="H131" s="55">
        <f>SUMIFS('Monthly Data'!$CH:$CH,'Monthly Data'!$B:$B,'Summary Tables'!H$138,'Monthly Data'!$C:$C,12)</f>
        <v>2299</v>
      </c>
      <c r="I131" s="55">
        <f>SUMIFS('Monthly Data'!$CH:$CH,'Monthly Data'!$B:$B,'Summary Tables'!I$138,'Monthly Data'!$C:$C,12)</f>
        <v>2350</v>
      </c>
      <c r="J131" s="55">
        <f>SUMIFS('Monthly Data'!$CH:$CH,'Monthly Data'!$B:$B,'Summary Tables'!J$138,'Monthly Data'!$C:$C,12)</f>
        <v>2412</v>
      </c>
      <c r="K131" s="55">
        <f>SUMIFS('Monthly Data'!$CH:$CH,'Monthly Data'!$B:$B,'Summary Tables'!K$138,'Monthly Data'!$C:$C,12)</f>
        <v>2455</v>
      </c>
      <c r="L131" s="55">
        <f>SUMIFS('Monthly Data'!$CH:$CH,'Monthly Data'!$B:$B,'Summary Tables'!L$138,'Monthly Data'!$C:$C,12)</f>
        <v>2473</v>
      </c>
      <c r="M131" s="55">
        <f>SUMIFS('Customer Count'!$AX:$AX,'Customer Count'!$A:$A,M$138,'Customer Count'!$B:$B,"Dec")</f>
        <v>2516.0569793153954</v>
      </c>
      <c r="N131" s="55">
        <f>SUMIFS('Customer Count'!$AX:$AX,'Customer Count'!$A:$A,N$138,'Customer Count'!$B:$B,"Dec")</f>
        <v>2551.8752388163234</v>
      </c>
      <c r="O131" s="55">
        <f>SUMIFS('Customer Count'!$AX:$AX,'Customer Count'!$A:$A,O$138,'Customer Count'!$B:$B,"Dec")</f>
        <v>2588.2034023950305</v>
      </c>
      <c r="P131" s="55">
        <f>SUMIFS('Customer Count'!$AX:$AX,'Customer Count'!$A:$A,P$138,'Customer Count'!$B:$B,"Dec")</f>
        <v>2625.0487289795656</v>
      </c>
      <c r="Q131" s="55">
        <f>SUMIFS('Customer Count'!$AX:$AX,'Customer Count'!$A:$A,Q$138,'Customer Count'!$B:$B,"Dec")</f>
        <v>2662.4185808351294</v>
      </c>
      <c r="R131" s="55">
        <f>SUMIFS('Customer Count'!$AX:$AX,'Customer Count'!$A:$A,R$138,'Customer Count'!$B:$B,"Dec")</f>
        <v>2700.3204250351737</v>
      </c>
      <c r="S131" s="65">
        <f>SUMIFS('Customer Count'!$AX:$AX,'Customer Count'!$A:$A,S$138,'Customer Count'!$B:$B,"Dec")</f>
        <v>2738.7618349534355</v>
      </c>
    </row>
    <row r="132" spans="2:19">
      <c r="B132" s="64" t="str">
        <f t="shared" si="41"/>
        <v>GS 50 - 2,999</v>
      </c>
      <c r="C132" s="55">
        <f>SUMIFS('Monthly Data'!$CI:$CI,'Monthly Data'!$B:$B,'Summary Tables'!C$138,'Monthly Data'!$C:$C,12)</f>
        <v>366</v>
      </c>
      <c r="D132" s="55">
        <f>SUMIFS('Monthly Data'!$CI:$CI,'Monthly Data'!$B:$B,'Summary Tables'!D$138,'Monthly Data'!$C:$C,12)</f>
        <v>368</v>
      </c>
      <c r="E132" s="55">
        <f>SUMIFS('Monthly Data'!$CI:$CI,'Monthly Data'!$B:$B,'Summary Tables'!E$138,'Monthly Data'!$C:$C,12)</f>
        <v>368</v>
      </c>
      <c r="F132" s="55">
        <f>SUMIFS('Monthly Data'!$CI:$CI,'Monthly Data'!$B:$B,'Summary Tables'!F$138,'Monthly Data'!$C:$C,12)</f>
        <v>377</v>
      </c>
      <c r="G132" s="55">
        <f>SUMIFS('Monthly Data'!$CI:$CI,'Monthly Data'!$B:$B,'Summary Tables'!G$138,'Monthly Data'!$C:$C,12)</f>
        <v>377</v>
      </c>
      <c r="H132" s="55">
        <f>SUMIFS('Monthly Data'!$CI:$CI,'Monthly Data'!$B:$B,'Summary Tables'!H$138,'Monthly Data'!$C:$C,12)</f>
        <v>386</v>
      </c>
      <c r="I132" s="55">
        <f>SUMIFS('Monthly Data'!$CI:$CI,'Monthly Data'!$B:$B,'Summary Tables'!I$138,'Monthly Data'!$C:$C,12)</f>
        <v>395</v>
      </c>
      <c r="J132" s="55">
        <f>SUMIFS('Monthly Data'!$CI:$CI,'Monthly Data'!$B:$B,'Summary Tables'!J$138,'Monthly Data'!$C:$C,12)</f>
        <v>379</v>
      </c>
      <c r="K132" s="55">
        <f>SUMIFS('Monthly Data'!$CI:$CI,'Monthly Data'!$B:$B,'Summary Tables'!K$138,'Monthly Data'!$C:$C,12)</f>
        <v>387</v>
      </c>
      <c r="L132" s="55">
        <f>SUMIFS('Monthly Data'!$CI:$CI,'Monthly Data'!$B:$B,'Summary Tables'!L$138,'Monthly Data'!$C:$C,12)</f>
        <v>390</v>
      </c>
      <c r="M132" s="55">
        <f>SUMIFS('Customer Count'!$BE:$BE,'Customer Count'!$A:$A,M$138,'Customer Count'!$B:$B,"Dec")</f>
        <v>398.06886963808387</v>
      </c>
      <c r="N132" s="55">
        <f>SUMIFS('Customer Count'!$BE:$BE,'Customer Count'!$A:$A,N$138,'Customer Count'!$B:$B,"Dec")</f>
        <v>404.39247221047879</v>
      </c>
      <c r="O132" s="55">
        <f>SUMIFS('Customer Count'!$BE:$BE,'Customer Count'!$A:$A,O$138,'Customer Count'!$B:$B,"Dec")</f>
        <v>409.76789116199257</v>
      </c>
      <c r="P132" s="55">
        <f>SUMIFS('Customer Count'!$BE:$BE,'Customer Count'!$A:$A,P$138,'Customer Count'!$B:$B,"Dec")</f>
        <v>414.07023658774466</v>
      </c>
      <c r="Q132" s="55">
        <f>SUMIFS('Customer Count'!$BE:$BE,'Customer Count'!$A:$A,Q$138,'Customer Count'!$B:$B,"Dec")</f>
        <v>417.38961930363553</v>
      </c>
      <c r="R132" s="55">
        <f>SUMIFS('Customer Count'!$BE:$BE,'Customer Count'!$A:$A,R$138,'Customer Count'!$B:$B,"Dec")</f>
        <v>420.75115085106694</v>
      </c>
      <c r="S132" s="65">
        <f>SUMIFS('Customer Count'!$BE:$BE,'Customer Count'!$A:$A,S$138,'Customer Count'!$B:$B,"Dec")</f>
        <v>424.05494350169005</v>
      </c>
    </row>
    <row r="133" spans="2:19">
      <c r="B133" s="64" t="str">
        <f t="shared" si="41"/>
        <v>GS 3,000 - 4,999</v>
      </c>
      <c r="C133" s="55">
        <f>SUMIFS('Monthly Data'!$CJ:$CJ,'Monthly Data'!$B:$B,'Summary Tables'!C$138,'Monthly Data'!$C:$C,12)</f>
        <v>2</v>
      </c>
      <c r="D133" s="55">
        <f>SUMIFS('Monthly Data'!$CJ:$CJ,'Monthly Data'!$B:$B,'Summary Tables'!D$138,'Monthly Data'!$C:$C,12)</f>
        <v>2</v>
      </c>
      <c r="E133" s="55">
        <f>SUMIFS('Monthly Data'!$CJ:$CJ,'Monthly Data'!$B:$B,'Summary Tables'!E$138,'Monthly Data'!$C:$C,12)</f>
        <v>2</v>
      </c>
      <c r="F133" s="55">
        <f>SUMIFS('Monthly Data'!$CJ:$CJ,'Monthly Data'!$B:$B,'Summary Tables'!F$138,'Monthly Data'!$C:$C,12)</f>
        <v>3</v>
      </c>
      <c r="G133" s="55">
        <f>SUMIFS('Monthly Data'!$CJ:$CJ,'Monthly Data'!$B:$B,'Summary Tables'!G$138,'Monthly Data'!$C:$C,12)</f>
        <v>3</v>
      </c>
      <c r="H133" s="55">
        <f>SUMIFS('Monthly Data'!$CJ:$CJ,'Monthly Data'!$B:$B,'Summary Tables'!H$138,'Monthly Data'!$C:$C,12)</f>
        <v>3</v>
      </c>
      <c r="I133" s="55">
        <f>SUMIFS('Monthly Data'!$CJ:$CJ,'Monthly Data'!$B:$B,'Summary Tables'!I$138,'Monthly Data'!$C:$C,12)</f>
        <v>3</v>
      </c>
      <c r="J133" s="55">
        <f>SUMIFS('Monthly Data'!$CJ:$CJ,'Monthly Data'!$B:$B,'Summary Tables'!J$138,'Monthly Data'!$C:$C,12)</f>
        <v>3</v>
      </c>
      <c r="K133" s="55">
        <f>SUMIFS('Monthly Data'!$CJ:$CJ,'Monthly Data'!$B:$B,'Summary Tables'!K$138,'Monthly Data'!$C:$C,12)</f>
        <v>3</v>
      </c>
      <c r="L133" s="55">
        <f>SUMIFS('Monthly Data'!$CJ:$CJ,'Monthly Data'!$B:$B,'Summary Tables'!L$138,'Monthly Data'!$C:$C,12)</f>
        <v>3</v>
      </c>
      <c r="M133" s="55">
        <f>SUMIFS('Customer Count'!$BK:$BK,'Customer Count'!$A:$A,M$138,'Customer Count'!$B:$B,"Dec")</f>
        <v>4.8600000000000003</v>
      </c>
      <c r="N133" s="55">
        <f>SUMIFS('Customer Count'!$BK:$BK,'Customer Count'!$A:$A,N$138,'Customer Count'!$B:$B,"Dec")</f>
        <v>6.23</v>
      </c>
      <c r="O133" s="55">
        <f>SUMIFS('Customer Count'!$BK:$BK,'Customer Count'!$A:$A,O$138,'Customer Count'!$B:$B,"Dec")</f>
        <v>6.4800000000000022</v>
      </c>
      <c r="P133" s="55">
        <f>SUMIFS('Customer Count'!$BK:$BK,'Customer Count'!$A:$A,P$138,'Customer Count'!$B:$B,"Dec")</f>
        <v>6.4800000000000022</v>
      </c>
      <c r="Q133" s="55">
        <f>SUMIFS('Customer Count'!$BK:$BK,'Customer Count'!$A:$A,Q$138,'Customer Count'!$B:$B,"Dec")</f>
        <v>6.4800000000000022</v>
      </c>
      <c r="R133" s="55">
        <f>SUMIFS('Customer Count'!$BK:$BK,'Customer Count'!$A:$A,R$138,'Customer Count'!$B:$B,"Dec")</f>
        <v>7.080000000000001</v>
      </c>
      <c r="S133" s="65">
        <f>SUMIFS('Customer Count'!$BK:$BK,'Customer Count'!$A:$A,S$138,'Customer Count'!$B:$B,"Dec")</f>
        <v>7.28</v>
      </c>
    </row>
    <row r="134" spans="2:19">
      <c r="B134" s="64" t="str">
        <f t="shared" si="41"/>
        <v>Street Light</v>
      </c>
      <c r="C134" s="55">
        <f>SUMIFS('Monthly Data'!$CK:$CK,'Monthly Data'!$B:$B,'Summary Tables'!C$138,'Monthly Data'!$C:$C,12)</f>
        <v>11833</v>
      </c>
      <c r="D134" s="55">
        <f>SUMIFS('Monthly Data'!$CK:$CK,'Monthly Data'!$B:$B,'Summary Tables'!D$138,'Monthly Data'!$C:$C,12)</f>
        <v>11878</v>
      </c>
      <c r="E134" s="55">
        <f>SUMIFS('Monthly Data'!$CK:$CK,'Monthly Data'!$B:$B,'Summary Tables'!E$138,'Monthly Data'!$C:$C,12)</f>
        <v>11902</v>
      </c>
      <c r="F134" s="55">
        <f>SUMIFS('Monthly Data'!$CK:$CK,'Monthly Data'!$B:$B,'Summary Tables'!F$138,'Monthly Data'!$C:$C,12)</f>
        <v>12182</v>
      </c>
      <c r="G134" s="55">
        <f>SUMIFS('Monthly Data'!$CK:$CK,'Monthly Data'!$B:$B,'Summary Tables'!G$138,'Monthly Data'!$C:$C,12)</f>
        <v>12600</v>
      </c>
      <c r="H134" s="55">
        <f>SUMIFS('Monthly Data'!$CK:$CK,'Monthly Data'!$B:$B,'Summary Tables'!H$138,'Monthly Data'!$C:$C,12)</f>
        <v>12799</v>
      </c>
      <c r="I134" s="55">
        <f>SUMIFS('Monthly Data'!$CK:$CK,'Monthly Data'!$B:$B,'Summary Tables'!I$138,'Monthly Data'!$C:$C,12)</f>
        <v>13214</v>
      </c>
      <c r="J134" s="55">
        <f>SUMIFS('Monthly Data'!$CK:$CK,'Monthly Data'!$B:$B,'Summary Tables'!J$138,'Monthly Data'!$C:$C,12)</f>
        <v>13452</v>
      </c>
      <c r="K134" s="55">
        <f>SUMIFS('Monthly Data'!$CK:$CK,'Monthly Data'!$B:$B,'Summary Tables'!K$138,'Monthly Data'!$C:$C,12)</f>
        <v>13643</v>
      </c>
      <c r="L134" s="55">
        <f>SUMIFS('Monthly Data'!$CK:$CK,'Monthly Data'!$B:$B,'Summary Tables'!L$138,'Monthly Data'!$C:$C,12)</f>
        <v>13763</v>
      </c>
      <c r="M134" s="55">
        <f>SUMIFS('Customer Count'!$BN:$BN,'Customer Count'!$A:$A,M$138,'Customer Count'!$B:$B,"Dec")</f>
        <v>14039.591394592579</v>
      </c>
      <c r="N134" s="55">
        <f>SUMIFS('Customer Count'!$BN:$BN,'Customer Count'!$A:$A,N$138,'Customer Count'!$B:$B,"Dec")</f>
        <v>14271.724873732093</v>
      </c>
      <c r="O134" s="55">
        <f>SUMIFS('Customer Count'!$BN:$BN,'Customer Count'!$A:$A,O$138,'Customer Count'!$B:$B,"Dec")</f>
        <v>14507.696495351893</v>
      </c>
      <c r="P134" s="55">
        <f>SUMIFS('Customer Count'!$BN:$BN,'Customer Count'!$A:$A,P$138,'Customer Count'!$B:$B,"Dec")</f>
        <v>14747.569720085719</v>
      </c>
      <c r="Q134" s="55">
        <f>SUMIFS('Customer Count'!$BN:$BN,'Customer Count'!$A:$A,Q$138,'Customer Count'!$B:$B,"Dec")</f>
        <v>14991.40905783842</v>
      </c>
      <c r="R134" s="55">
        <f>SUMIFS('Customer Count'!$BN:$BN,'Customer Count'!$A:$A,R$138,'Customer Count'!$B:$B,"Dec")</f>
        <v>15239.28008513484</v>
      </c>
      <c r="S134" s="65">
        <f>SUMIFS('Customer Count'!$BN:$BN,'Customer Count'!$A:$A,S$138,'Customer Count'!$B:$B,"Dec")</f>
        <v>15491.249462755502</v>
      </c>
    </row>
    <row r="135" spans="2:19">
      <c r="B135" s="64" t="str">
        <f t="shared" si="41"/>
        <v>Sentinel Light</v>
      </c>
      <c r="C135" s="55">
        <f>SUMIFS('Monthly Data'!$CL:$CL,'Monthly Data'!$B:$B,'Summary Tables'!C$138,'Monthly Data'!$C:$C,12)</f>
        <v>39</v>
      </c>
      <c r="D135" s="55">
        <f>SUMIFS('Monthly Data'!$CL:$CL,'Monthly Data'!$B:$B,'Summary Tables'!D$138,'Monthly Data'!$C:$C,12)</f>
        <v>39</v>
      </c>
      <c r="E135" s="55">
        <f>SUMIFS('Monthly Data'!$CL:$CL,'Monthly Data'!$B:$B,'Summary Tables'!E$138,'Monthly Data'!$C:$C,12)</f>
        <v>38</v>
      </c>
      <c r="F135" s="55">
        <f>SUMIFS('Monthly Data'!$CL:$CL,'Monthly Data'!$B:$B,'Summary Tables'!F$138,'Monthly Data'!$C:$C,12)</f>
        <v>37</v>
      </c>
      <c r="G135" s="55">
        <f>SUMIFS('Monthly Data'!$CL:$CL,'Monthly Data'!$B:$B,'Summary Tables'!G$138,'Monthly Data'!$C:$C,12)</f>
        <v>37</v>
      </c>
      <c r="H135" s="55">
        <f>SUMIFS('Monthly Data'!$CL:$CL,'Monthly Data'!$B:$B,'Summary Tables'!H$138,'Monthly Data'!$C:$C,12)</f>
        <v>37</v>
      </c>
      <c r="I135" s="55">
        <f>SUMIFS('Monthly Data'!$CL:$CL,'Monthly Data'!$B:$B,'Summary Tables'!I$138,'Monthly Data'!$C:$C,12)</f>
        <v>47</v>
      </c>
      <c r="J135" s="55">
        <f>SUMIFS('Monthly Data'!$CL:$CL,'Monthly Data'!$B:$B,'Summary Tables'!J$138,'Monthly Data'!$C:$C,12)</f>
        <v>46</v>
      </c>
      <c r="K135" s="55">
        <f>SUMIFS('Monthly Data'!$CL:$CL,'Monthly Data'!$B:$B,'Summary Tables'!K$138,'Monthly Data'!$C:$C,12)</f>
        <v>46</v>
      </c>
      <c r="L135" s="55">
        <f>SUMIFS('Monthly Data'!$CL:$CL,'Monthly Data'!$B:$B,'Summary Tables'!L$138,'Monthly Data'!$C:$C,12)</f>
        <v>45</v>
      </c>
      <c r="M135" s="55">
        <f>SUMIFS('Customer Count'!$BR:$BR,'Customer Count'!$A:$A,M$138,'Customer Count'!$B:$B,"Dec")</f>
        <v>46.339768062420362</v>
      </c>
      <c r="N135" s="55">
        <f>SUMIFS('Customer Count'!$BR:$BR,'Customer Count'!$A:$A,N$138,'Customer Count'!$B:$B,"Dec")</f>
        <v>46.954388192943426</v>
      </c>
      <c r="O135" s="55">
        <f>SUMIFS('Customer Count'!$BR:$BR,'Customer Count'!$A:$A,O$138,'Customer Count'!$B:$B,"Dec")</f>
        <v>47.57716023964214</v>
      </c>
      <c r="P135" s="55">
        <f>SUMIFS('Customer Count'!$BR:$BR,'Customer Count'!$A:$A,P$138,'Customer Count'!$B:$B,"Dec")</f>
        <v>48.208192324157856</v>
      </c>
      <c r="Q135" s="55">
        <f>SUMIFS('Customer Count'!$BR:$BR,'Customer Count'!$A:$A,Q$138,'Customer Count'!$B:$B,"Dec")</f>
        <v>48.847594002186185</v>
      </c>
      <c r="R135" s="55">
        <f>SUMIFS('Customer Count'!$BR:$BR,'Customer Count'!$A:$A,R$138,'Customer Count'!$B:$B,"Dec")</f>
        <v>49.495476282497123</v>
      </c>
      <c r="S135" s="65">
        <f>SUMIFS('Customer Count'!$BR:$BR,'Customer Count'!$A:$A,S$138,'Customer Count'!$B:$B,"Dec")</f>
        <v>50.15195164620787</v>
      </c>
    </row>
    <row r="136" spans="2:19">
      <c r="B136" s="64" t="str">
        <f t="shared" si="41"/>
        <v>USL</v>
      </c>
      <c r="C136" s="55">
        <f>SUMIFS('Monthly Data'!$CM:$CM,'Monthly Data'!$B:$B,'Summary Tables'!C$138,'Monthly Data'!$C:$C,12)</f>
        <v>376</v>
      </c>
      <c r="D136" s="55">
        <f>SUMIFS('Monthly Data'!$CM:$CM,'Monthly Data'!$B:$B,'Summary Tables'!D$138,'Monthly Data'!$C:$C,12)</f>
        <v>369</v>
      </c>
      <c r="E136" s="55">
        <f>SUMIFS('Monthly Data'!$CM:$CM,'Monthly Data'!$B:$B,'Summary Tables'!E$138,'Monthly Data'!$C:$C,12)</f>
        <v>372</v>
      </c>
      <c r="F136" s="55">
        <f>SUMIFS('Monthly Data'!$CM:$CM,'Monthly Data'!$B:$B,'Summary Tables'!F$138,'Monthly Data'!$C:$C,12)</f>
        <v>381</v>
      </c>
      <c r="G136" s="55">
        <f>SUMIFS('Monthly Data'!$CM:$CM,'Monthly Data'!$B:$B,'Summary Tables'!G$138,'Monthly Data'!$C:$C,12)</f>
        <v>387</v>
      </c>
      <c r="H136" s="55">
        <f>SUMIFS('Monthly Data'!$CM:$CM,'Monthly Data'!$B:$B,'Summary Tables'!H$138,'Monthly Data'!$C:$C,12)</f>
        <v>391</v>
      </c>
      <c r="I136" s="55">
        <f>SUMIFS('Monthly Data'!$CM:$CM,'Monthly Data'!$B:$B,'Summary Tables'!I$138,'Monthly Data'!$C:$C,12)</f>
        <v>392</v>
      </c>
      <c r="J136" s="55">
        <f>SUMIFS('Monthly Data'!$CM:$CM,'Monthly Data'!$B:$B,'Summary Tables'!J$138,'Monthly Data'!$C:$C,12)</f>
        <v>394</v>
      </c>
      <c r="K136" s="55">
        <f>SUMIFS('Monthly Data'!$CM:$CM,'Monthly Data'!$B:$B,'Summary Tables'!K$138,'Monthly Data'!$C:$C,12)</f>
        <v>406</v>
      </c>
      <c r="L136" s="55">
        <f>SUMIFS('Monthly Data'!$CM:$CM,'Monthly Data'!$B:$B,'Summary Tables'!L$138,'Monthly Data'!$C:$C,12)</f>
        <v>388</v>
      </c>
      <c r="M136" s="55">
        <f>SUMIFS('Customer Count'!$BV:$BV,'Customer Count'!$A:$A,M$138,'Customer Count'!$B:$B,"Dec")</f>
        <v>390.00464651644904</v>
      </c>
      <c r="N136" s="55">
        <f>SUMIFS('Customer Count'!$BV:$BV,'Customer Count'!$A:$A,N$138,'Customer Count'!$B:$B,"Dec")</f>
        <v>392.01841530527156</v>
      </c>
      <c r="O136" s="55">
        <f>SUMIFS('Customer Count'!$BV:$BV,'Customer Count'!$A:$A,O$138,'Customer Count'!$B:$B,"Dec")</f>
        <v>394.04382342544045</v>
      </c>
      <c r="P136" s="55">
        <f>SUMIFS('Customer Count'!$BV:$BV,'Customer Count'!$A:$A,P$138,'Customer Count'!$B:$B,"Dec")</f>
        <v>396.0796960490436</v>
      </c>
      <c r="Q136" s="55">
        <f>SUMIFS('Customer Count'!$BV:$BV,'Customer Count'!$A:$A,Q$138,'Customer Count'!$B:$B,"Dec")</f>
        <v>398.12608724213851</v>
      </c>
      <c r="R136" s="55">
        <f>SUMIFS('Customer Count'!$BV:$BV,'Customer Count'!$A:$A,R$138,'Customer Count'!$B:$B,"Dec")</f>
        <v>400.18305135012156</v>
      </c>
      <c r="S136" s="65">
        <f>SUMIFS('Customer Count'!$BV:$BV,'Customer Count'!$A:$A,S$138,'Customer Count'!$B:$B,"Dec")</f>
        <v>402.25064299917022</v>
      </c>
    </row>
    <row r="137" spans="2:19" ht="13.5" thickBot="1">
      <c r="B137" s="63" t="s">
        <v>65</v>
      </c>
      <c r="C137" s="62">
        <f t="shared" ref="C137:S137" si="42">SUM(C130:C136)</f>
        <v>54046</v>
      </c>
      <c r="D137" s="62">
        <f t="shared" si="42"/>
        <v>54464</v>
      </c>
      <c r="E137" s="62">
        <f t="shared" si="42"/>
        <v>54810</v>
      </c>
      <c r="F137" s="62">
        <f t="shared" si="42"/>
        <v>55506</v>
      </c>
      <c r="G137" s="62">
        <f t="shared" si="42"/>
        <v>57108</v>
      </c>
      <c r="H137" s="62">
        <f t="shared" si="42"/>
        <v>58171</v>
      </c>
      <c r="I137" s="62">
        <f t="shared" si="42"/>
        <v>59842</v>
      </c>
      <c r="J137" s="62">
        <f t="shared" si="42"/>
        <v>61184</v>
      </c>
      <c r="K137" s="62">
        <f t="shared" si="42"/>
        <v>62264</v>
      </c>
      <c r="L137" s="61">
        <f t="shared" si="42"/>
        <v>62749</v>
      </c>
      <c r="M137" s="62">
        <f t="shared" ca="1" si="42"/>
        <v>64256.657019177197</v>
      </c>
      <c r="N137" s="61">
        <f t="shared" ca="1" si="42"/>
        <v>65408.646995767318</v>
      </c>
      <c r="O137" s="62">
        <f t="shared" ca="1" si="42"/>
        <v>66610.604922739891</v>
      </c>
      <c r="P137" s="61">
        <f t="shared" ca="1" si="42"/>
        <v>67790.080646990609</v>
      </c>
      <c r="Q137" s="62">
        <f t="shared" ca="1" si="42"/>
        <v>69038.418508928604</v>
      </c>
      <c r="R137" s="61">
        <f t="shared" ca="1" si="42"/>
        <v>70294.290230777813</v>
      </c>
      <c r="S137" s="54">
        <f t="shared" ca="1" si="42"/>
        <v>71570.083869175141</v>
      </c>
    </row>
    <row r="138" spans="2:19" hidden="1">
      <c r="C138" s="92">
        <v>2015</v>
      </c>
      <c r="D138" s="92">
        <f t="shared" ref="D138:S138" si="43">C138+1</f>
        <v>2016</v>
      </c>
      <c r="E138" s="92">
        <f t="shared" si="43"/>
        <v>2017</v>
      </c>
      <c r="F138" s="92">
        <f t="shared" si="43"/>
        <v>2018</v>
      </c>
      <c r="G138" s="92">
        <f t="shared" si="43"/>
        <v>2019</v>
      </c>
      <c r="H138" s="92">
        <f t="shared" si="43"/>
        <v>2020</v>
      </c>
      <c r="I138" s="92">
        <f t="shared" si="43"/>
        <v>2021</v>
      </c>
      <c r="J138" s="92">
        <f t="shared" si="43"/>
        <v>2022</v>
      </c>
      <c r="K138" s="92">
        <f t="shared" si="43"/>
        <v>2023</v>
      </c>
      <c r="L138" s="92">
        <f t="shared" si="43"/>
        <v>2024</v>
      </c>
      <c r="M138" s="92">
        <f t="shared" si="43"/>
        <v>2025</v>
      </c>
      <c r="N138" s="92">
        <f t="shared" si="43"/>
        <v>2026</v>
      </c>
      <c r="O138" s="92">
        <f t="shared" si="43"/>
        <v>2027</v>
      </c>
      <c r="P138" s="92">
        <f t="shared" si="43"/>
        <v>2028</v>
      </c>
      <c r="Q138" s="92">
        <f t="shared" si="43"/>
        <v>2029</v>
      </c>
      <c r="R138" s="92">
        <f t="shared" si="43"/>
        <v>2030</v>
      </c>
      <c r="S138" s="92">
        <f t="shared" si="43"/>
        <v>2031</v>
      </c>
    </row>
  </sheetData>
  <phoneticPr fontId="191" type="noConversion"/>
  <pageMargins left="0.7" right="0.7" top="0.75" bottom="0.75" header="0.3" footer="0.3"/>
  <pageSetup orientation="portrait" r:id="rId1"/>
  <ignoredErrors>
    <ignoredError sqref="L23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FE4A9-5894-4FAD-8EE4-66ABCD8F9CE6}">
  <sheetPr codeName="Sheet48">
    <tabColor rgb="FFFF0000"/>
  </sheetPr>
  <dimension ref="A1:BA207"/>
  <sheetViews>
    <sheetView zoomScale="115" zoomScaleNormal="115" workbookViewId="0"/>
  </sheetViews>
  <sheetFormatPr defaultRowHeight="15"/>
  <cols>
    <col min="1" max="1" width="8.5703125" style="362"/>
    <col min="2" max="2" width="44.140625" bestFit="1" customWidth="1"/>
    <col min="3" max="7" width="12.5703125" bestFit="1" customWidth="1"/>
    <col min="8" max="11" width="13" bestFit="1" customWidth="1"/>
    <col min="12" max="12" width="15.42578125" bestFit="1" customWidth="1"/>
    <col min="13" max="13" width="13" bestFit="1" customWidth="1"/>
    <col min="14" max="14" width="13.140625" bestFit="1" customWidth="1"/>
    <col min="15" max="19" width="13" bestFit="1" customWidth="1"/>
  </cols>
  <sheetData>
    <row r="1" spans="2:19" s="92" customFormat="1" ht="16.5" thickBot="1">
      <c r="B1" s="71" t="s">
        <v>496</v>
      </c>
    </row>
    <row r="2" spans="2:19" s="92" customFormat="1" ht="25.5">
      <c r="B2" s="59" t="s">
        <v>178</v>
      </c>
      <c r="C2" s="58" t="str">
        <f>'Summary Tables'!C105</f>
        <v>2015 Actual</v>
      </c>
      <c r="D2" s="58" t="str">
        <f>'Summary Tables'!D105</f>
        <v>2016 Actual</v>
      </c>
      <c r="E2" s="58" t="str">
        <f>'Summary Tables'!E105</f>
        <v>2017 Actual</v>
      </c>
      <c r="F2" s="58" t="str">
        <f>'Summary Tables'!F105</f>
        <v>2018 Actual</v>
      </c>
      <c r="G2" s="58" t="str">
        <f>'Summary Tables'!G105</f>
        <v>2019 Actual</v>
      </c>
      <c r="H2" s="58" t="str">
        <f>'Summary Tables'!H105</f>
        <v>2020 Actual</v>
      </c>
      <c r="I2" s="58" t="str">
        <f>'Summary Tables'!I105</f>
        <v>2021 Actual</v>
      </c>
      <c r="J2" s="58" t="str">
        <f>'Summary Tables'!J105</f>
        <v>2022 Actual</v>
      </c>
      <c r="K2" s="58" t="str">
        <f>'Summary Tables'!K105</f>
        <v>2023 Actual</v>
      </c>
      <c r="L2" s="58" t="str">
        <f>'Summary Tables'!L105</f>
        <v>2024 Actual</v>
      </c>
      <c r="M2" s="58" t="str">
        <f>'Summary Tables'!M105</f>
        <v>2025 Forecast</v>
      </c>
      <c r="N2" s="58" t="str">
        <f>'Summary Tables'!N105</f>
        <v>2026 Forecast</v>
      </c>
      <c r="O2" s="58" t="str">
        <f>'Summary Tables'!O105</f>
        <v>2027 Forecast</v>
      </c>
      <c r="P2" s="58" t="str">
        <f>'Summary Tables'!P105</f>
        <v>2028 Forecast</v>
      </c>
      <c r="Q2" s="58" t="str">
        <f>'Summary Tables'!Q105</f>
        <v>2029 Forecast</v>
      </c>
      <c r="R2" s="58" t="str">
        <f>'Summary Tables'!R105</f>
        <v>2030 Forecast</v>
      </c>
      <c r="S2" s="57" t="str">
        <f>'Summary Tables'!S105</f>
        <v>2031 Forecast</v>
      </c>
    </row>
    <row r="3" spans="2:19" s="92" customFormat="1" ht="12.75">
      <c r="B3" s="64" t="str">
        <f>'Summary Tables'!B93</f>
        <v>Residential</v>
      </c>
      <c r="C3" s="55">
        <f ca="1">'Summary Tables'!C3</f>
        <v>870387178.79194212</v>
      </c>
      <c r="D3" s="55">
        <f ca="1">'Summary Tables'!D3</f>
        <v>959221389.1347183</v>
      </c>
      <c r="E3" s="55">
        <f ca="1">'Summary Tables'!E3</f>
        <v>901971744.11813986</v>
      </c>
      <c r="F3" s="55">
        <f ca="1">'Summary Tables'!F3</f>
        <v>979700023.53915226</v>
      </c>
      <c r="G3" s="55">
        <f ca="1">'Summary Tables'!G3</f>
        <v>955759610.43615055</v>
      </c>
      <c r="H3" s="55">
        <f ca="1">'Summary Tables'!H3</f>
        <v>1034148021.2598839</v>
      </c>
      <c r="I3" s="55">
        <f ca="1">'Summary Tables'!I3</f>
        <v>1026240017.5725335</v>
      </c>
      <c r="J3" s="55">
        <f ca="1">'Summary Tables'!J3</f>
        <v>1017709390.8256538</v>
      </c>
      <c r="K3" s="55">
        <f ca="1">'Summary Tables'!K3</f>
        <v>1008624979.9975282</v>
      </c>
      <c r="L3" s="55">
        <f ca="1">'Summary Tables'!L3</f>
        <v>1052968776.2624577</v>
      </c>
      <c r="M3" s="55">
        <f ca="1">'Summary Tables'!C42</f>
        <v>1095125273.1183047</v>
      </c>
      <c r="N3" s="55">
        <f ca="1">'Summary Tables'!D42</f>
        <v>1117090361.2318509</v>
      </c>
      <c r="O3" s="55">
        <f ca="1">'Summary Tables'!E42</f>
        <v>1139476591.8569014</v>
      </c>
      <c r="P3" s="55">
        <f ca="1">'Summary Tables'!F42</f>
        <v>1163690317.337239</v>
      </c>
      <c r="Q3" s="55">
        <f ca="1">'Summary Tables'!G42</f>
        <v>1185325146.4941511</v>
      </c>
      <c r="R3" s="55">
        <f ca="1">'Summary Tables'!H42</f>
        <v>1212339801.3152404</v>
      </c>
      <c r="S3" s="65">
        <f ca="1">'Summary Tables'!I42</f>
        <v>1240553460.7040067</v>
      </c>
    </row>
    <row r="4" spans="2:19" s="92" customFormat="1" ht="12.75">
      <c r="B4" s="64" t="str">
        <f>'Summary Tables'!B94</f>
        <v>Residential Seasonal</v>
      </c>
      <c r="C4" s="55">
        <f ca="1">'Summary Tables'!C4</f>
        <v>9513187.7383200023</v>
      </c>
      <c r="D4" s="55">
        <f ca="1">'Summary Tables'!D4</f>
        <v>9487858.6249600016</v>
      </c>
      <c r="E4" s="55">
        <f ca="1">'Summary Tables'!E4</f>
        <v>9912683.662969999</v>
      </c>
      <c r="F4" s="55">
        <f ca="1">'Summary Tables'!F4</f>
        <v>10517338.461090002</v>
      </c>
      <c r="G4" s="55">
        <f ca="1">'Summary Tables'!G4</f>
        <v>10858188.68736</v>
      </c>
      <c r="H4" s="55">
        <f ca="1">'Summary Tables'!H4</f>
        <v>12379582.885860002</v>
      </c>
      <c r="I4" s="55">
        <f ca="1">'Summary Tables'!I4</f>
        <v>12593975.35183</v>
      </c>
      <c r="J4" s="55">
        <f ca="1">'Summary Tables'!J4</f>
        <v>12600240.583780002</v>
      </c>
      <c r="K4" s="55">
        <f ca="1">'Summary Tables'!K4</f>
        <v>12172613.888050001</v>
      </c>
      <c r="L4" s="55">
        <f ca="1">'Summary Tables'!L4</f>
        <v>12230713.602862934</v>
      </c>
      <c r="M4" s="55">
        <f ca="1">'Summary Tables'!C43</f>
        <v>12768206.557489421</v>
      </c>
      <c r="N4" s="55">
        <f ca="1">'Summary Tables'!D43</f>
        <v>13188721.546985753</v>
      </c>
      <c r="O4" s="55">
        <f ca="1">'Summary Tables'!E43</f>
        <v>13651253.423372488</v>
      </c>
      <c r="P4" s="55">
        <f ca="1">'Summary Tables'!F43</f>
        <v>14035998.008814186</v>
      </c>
      <c r="Q4" s="55">
        <f ca="1">'Summary Tables'!G43</f>
        <v>14476769.158850323</v>
      </c>
      <c r="R4" s="55">
        <f ca="1">'Summary Tables'!H43</f>
        <v>14995359.212779585</v>
      </c>
      <c r="S4" s="65">
        <f ca="1">'Summary Tables'!I43</f>
        <v>15451103.337147947</v>
      </c>
    </row>
    <row r="5" spans="2:19" s="92" customFormat="1" ht="12.75">
      <c r="B5" s="64" t="str">
        <f>'Summary Tables'!B95</f>
        <v>GS&lt;50</v>
      </c>
      <c r="C5" s="55">
        <f ca="1">'Summary Tables'!C5</f>
        <v>268409342.55561978</v>
      </c>
      <c r="D5" s="55">
        <f ca="1">'Summary Tables'!D5</f>
        <v>284102093.54465967</v>
      </c>
      <c r="E5" s="55">
        <f ca="1">'Summary Tables'!E5</f>
        <v>273963830.4916901</v>
      </c>
      <c r="F5" s="55">
        <f ca="1">'Summary Tables'!F5</f>
        <v>280954109.73978019</v>
      </c>
      <c r="G5" s="55">
        <f ca="1">'Summary Tables'!G5</f>
        <v>289308515.85117018</v>
      </c>
      <c r="H5" s="55">
        <f ca="1">'Summary Tables'!H5</f>
        <v>266656241.54906043</v>
      </c>
      <c r="I5" s="55">
        <f ca="1">'Summary Tables'!I5</f>
        <v>265709797.19570994</v>
      </c>
      <c r="J5" s="55">
        <f ca="1">'Summary Tables'!J5</f>
        <v>278598120.57730973</v>
      </c>
      <c r="K5" s="55">
        <f ca="1">'Summary Tables'!K5</f>
        <v>276211527.25760943</v>
      </c>
      <c r="L5" s="55">
        <f ca="1">'Summary Tables'!L5</f>
        <v>257530700.52195185</v>
      </c>
      <c r="M5" s="55">
        <f ca="1">'Summary Tables'!C44</f>
        <v>282974392.24280298</v>
      </c>
      <c r="N5" s="55">
        <f ca="1">'Summary Tables'!D44</f>
        <v>283200048.37753892</v>
      </c>
      <c r="O5" s="55">
        <f ca="1">'Summary Tables'!E44</f>
        <v>284059624.77556282</v>
      </c>
      <c r="P5" s="55">
        <f ca="1">'Summary Tables'!F44</f>
        <v>283704088.194924</v>
      </c>
      <c r="Q5" s="55">
        <f ca="1">'Summary Tables'!G44</f>
        <v>284076999.28542733</v>
      </c>
      <c r="R5" s="55">
        <f ca="1">'Summary Tables'!H44</f>
        <v>284658182.04026783</v>
      </c>
      <c r="S5" s="65">
        <f ca="1">'Summary Tables'!I44</f>
        <v>286717312.21083391</v>
      </c>
    </row>
    <row r="6" spans="2:19" s="92" customFormat="1" ht="12.75">
      <c r="B6" s="64" t="str">
        <f>'Summary Tables'!B96</f>
        <v>GS 50 - 2,999</v>
      </c>
      <c r="C6" s="55">
        <f ca="1">'Summary Tables'!C6</f>
        <v>950526710.68660581</v>
      </c>
      <c r="D6" s="55">
        <f ca="1">'Summary Tables'!D6</f>
        <v>966717854.80000007</v>
      </c>
      <c r="E6" s="55">
        <f ca="1">'Summary Tables'!E6</f>
        <v>944651265.3499999</v>
      </c>
      <c r="F6" s="55">
        <f ca="1">'Summary Tables'!F6</f>
        <v>966857797.06000006</v>
      </c>
      <c r="G6" s="55">
        <f ca="1">'Summary Tables'!G6</f>
        <v>943844507.63000011</v>
      </c>
      <c r="H6" s="55">
        <f ca="1">'Summary Tables'!H6</f>
        <v>894106942.2700001</v>
      </c>
      <c r="I6" s="55">
        <f ca="1">'Summary Tables'!I6</f>
        <v>916418748.80999994</v>
      </c>
      <c r="J6" s="55">
        <f ca="1">'Summary Tables'!J6</f>
        <v>931880224.76000011</v>
      </c>
      <c r="K6" s="55">
        <f ca="1">'Summary Tables'!K6</f>
        <v>927766309.05000007</v>
      </c>
      <c r="L6" s="55">
        <f ca="1">'Summary Tables'!L6</f>
        <v>965931354.38279605</v>
      </c>
      <c r="M6" s="55">
        <f ca="1">'Summary Tables'!C45</f>
        <v>941797562.22393441</v>
      </c>
      <c r="N6" s="55">
        <f ca="1">'Summary Tables'!D45</f>
        <v>978135426.89668632</v>
      </c>
      <c r="O6" s="55">
        <f ca="1">'Summary Tables'!E45</f>
        <v>1009573024.6869053</v>
      </c>
      <c r="P6" s="55">
        <f ca="1">'Summary Tables'!F45</f>
        <v>1024897887.6704686</v>
      </c>
      <c r="Q6" s="55">
        <f ca="1">'Summary Tables'!G45</f>
        <v>1027303091.9141679</v>
      </c>
      <c r="R6" s="55">
        <f ca="1">'Summary Tables'!H45</f>
        <v>1023350446.9871242</v>
      </c>
      <c r="S6" s="65">
        <f ca="1">'Summary Tables'!I45</f>
        <v>1028125625.347676</v>
      </c>
    </row>
    <row r="7" spans="2:19" s="92" customFormat="1" ht="12.75">
      <c r="B7" s="64" t="str">
        <f>'Summary Tables'!B97</f>
        <v>GS 3,000 - 4,999</v>
      </c>
      <c r="C7" s="55">
        <f ca="1">'Summary Tables'!C7</f>
        <v>83062699.86432375</v>
      </c>
      <c r="D7" s="55">
        <f ca="1">'Summary Tables'!D7</f>
        <v>81278308.774999991</v>
      </c>
      <c r="E7" s="55">
        <f ca="1">'Summary Tables'!E7</f>
        <v>90758853.419999987</v>
      </c>
      <c r="F7" s="55">
        <f ca="1">'Summary Tables'!F7</f>
        <v>83863297.689999998</v>
      </c>
      <c r="G7" s="55">
        <f ca="1">'Summary Tables'!G7</f>
        <v>93267622.239999995</v>
      </c>
      <c r="H7" s="55">
        <f ca="1">'Summary Tables'!H7</f>
        <v>89415660.890000015</v>
      </c>
      <c r="I7" s="55">
        <f ca="1">'Summary Tables'!I7</f>
        <v>98129912.180000007</v>
      </c>
      <c r="J7" s="55">
        <f ca="1">'Summary Tables'!J7</f>
        <v>108822585.41</v>
      </c>
      <c r="K7" s="55">
        <f ca="1">'Summary Tables'!K7</f>
        <v>109703301.45</v>
      </c>
      <c r="L7" s="55">
        <f ca="1">'Summary Tables'!L7</f>
        <v>98198227.430000007</v>
      </c>
      <c r="M7" s="55">
        <f ca="1">'Summary Tables'!C46</f>
        <v>124237376.2739265</v>
      </c>
      <c r="N7" s="55">
        <f ca="1">'Summary Tables'!D46</f>
        <v>164781983.97740611</v>
      </c>
      <c r="O7" s="55">
        <f ca="1">'Summary Tables'!E46</f>
        <v>187457996.07098451</v>
      </c>
      <c r="P7" s="55">
        <f ca="1">'Summary Tables'!F46</f>
        <v>195309209.55412859</v>
      </c>
      <c r="Q7" s="55">
        <f ca="1">'Summary Tables'!G46</f>
        <v>199992565.9717893</v>
      </c>
      <c r="R7" s="55">
        <f ca="1">'Summary Tables'!H46</f>
        <v>203774003.9037419</v>
      </c>
      <c r="S7" s="65">
        <f ca="1">'Summary Tables'!I46</f>
        <v>207751809.80116576</v>
      </c>
    </row>
    <row r="8" spans="2:19" s="92" customFormat="1" ht="12.75">
      <c r="B8" s="64" t="str">
        <f>'Summary Tables'!B98</f>
        <v>Large Use</v>
      </c>
      <c r="C8" s="55">
        <f ca="1">'Summary Tables'!C8</f>
        <v>210460829.48535237</v>
      </c>
      <c r="D8" s="55">
        <f ca="1">'Summary Tables'!D8</f>
        <v>215800519.09</v>
      </c>
      <c r="E8" s="55">
        <f ca="1">'Summary Tables'!E8</f>
        <v>223859611.13000003</v>
      </c>
      <c r="F8" s="55">
        <f ca="1">'Summary Tables'!F8</f>
        <v>250221085.47000003</v>
      </c>
      <c r="G8" s="55">
        <f ca="1">'Summary Tables'!G8</f>
        <v>259592384.06</v>
      </c>
      <c r="H8" s="55">
        <f ca="1">'Summary Tables'!H8</f>
        <v>264242586.03</v>
      </c>
      <c r="I8" s="55">
        <f ca="1">'Summary Tables'!I8</f>
        <v>284809430.72000003</v>
      </c>
      <c r="J8" s="55">
        <f ca="1">'Summary Tables'!J8</f>
        <v>289202900.55000001</v>
      </c>
      <c r="K8" s="55">
        <f ca="1">'Summary Tables'!K8</f>
        <v>303910758.94632399</v>
      </c>
      <c r="L8" s="55">
        <f ca="1">'Summary Tables'!L8</f>
        <v>321893041.52938205</v>
      </c>
      <c r="M8" s="55">
        <f ca="1">'Summary Tables'!C47</f>
        <v>331686368.21779627</v>
      </c>
      <c r="N8" s="55">
        <f ca="1">'Summary Tables'!D47</f>
        <v>361053715.99987245</v>
      </c>
      <c r="O8" s="55">
        <f ca="1">'Summary Tables'!E47</f>
        <v>408628326.68616831</v>
      </c>
      <c r="P8" s="55">
        <f ca="1">'Summary Tables'!F47</f>
        <v>501277598.92863512</v>
      </c>
      <c r="Q8" s="55">
        <f ca="1">'Summary Tables'!G47</f>
        <v>570944946.26759028</v>
      </c>
      <c r="R8" s="55">
        <f ca="1">'Summary Tables'!H47</f>
        <v>595286465.87812722</v>
      </c>
      <c r="S8" s="65">
        <f ca="1">'Summary Tables'!I47</f>
        <v>605876118.45883048</v>
      </c>
    </row>
    <row r="9" spans="2:19" s="92" customFormat="1" ht="12.75">
      <c r="B9" s="64" t="str">
        <f>'Summary Tables'!B99</f>
        <v>Street Light</v>
      </c>
      <c r="C9" s="55">
        <f ca="1">'Summary Tables'!C9</f>
        <v>21466090.209724449</v>
      </c>
      <c r="D9" s="55">
        <f ca="1">'Summary Tables'!D9</f>
        <v>21694274.73</v>
      </c>
      <c r="E9" s="55">
        <f ca="1">'Summary Tables'!E9</f>
        <v>20460691.740000002</v>
      </c>
      <c r="F9" s="55">
        <f ca="1">'Summary Tables'!F9</f>
        <v>16161422.92</v>
      </c>
      <c r="G9" s="55">
        <f ca="1">'Summary Tables'!G9</f>
        <v>13788944.16</v>
      </c>
      <c r="H9" s="55">
        <f ca="1">'Summary Tables'!H9</f>
        <v>11924083.520000001</v>
      </c>
      <c r="I9" s="55">
        <f ca="1">'Summary Tables'!I9</f>
        <v>11682342.399999999</v>
      </c>
      <c r="J9" s="55">
        <f ca="1">'Summary Tables'!J9</f>
        <v>11643673.439999999</v>
      </c>
      <c r="K9" s="55">
        <f ca="1">'Summary Tables'!K9</f>
        <v>11868526.83</v>
      </c>
      <c r="L9" s="55">
        <f ca="1">'Summary Tables'!L9</f>
        <v>12144394.529999999</v>
      </c>
      <c r="M9" s="55">
        <f ca="1">'Summary Tables'!C48</f>
        <v>12269224.120433811</v>
      </c>
      <c r="N9" s="55">
        <f ca="1">'Summary Tables'!D48</f>
        <v>12395336.807082044</v>
      </c>
      <c r="O9" s="55">
        <f ca="1">'Summary Tables'!E48</f>
        <v>12522745.778611662</v>
      </c>
      <c r="P9" s="55">
        <f ca="1">'Summary Tables'!F48</f>
        <v>12651464.359253068</v>
      </c>
      <c r="Q9" s="55">
        <f ca="1">'Summary Tables'!G48</f>
        <v>12781506.01019353</v>
      </c>
      <c r="R9" s="55">
        <f ca="1">'Summary Tables'!H48</f>
        <v>12912884.330984939</v>
      </c>
      <c r="S9" s="65">
        <f ca="1">'Summary Tables'!I48</f>
        <v>13045613.060966017</v>
      </c>
    </row>
    <row r="10" spans="2:19" s="92" customFormat="1" ht="12.75">
      <c r="B10" s="64" t="str">
        <f>'Summary Tables'!B100</f>
        <v>Sentinel Light</v>
      </c>
      <c r="C10" s="55">
        <f ca="1">'Summary Tables'!C10</f>
        <v>345481.80950777204</v>
      </c>
      <c r="D10" s="55">
        <f ca="1">'Summary Tables'!D10</f>
        <v>345481.80950777204</v>
      </c>
      <c r="E10" s="55">
        <f ca="1">'Summary Tables'!E10</f>
        <v>311450.02999999997</v>
      </c>
      <c r="F10" s="55">
        <f ca="1">'Summary Tables'!F10</f>
        <v>247862.16999999998</v>
      </c>
      <c r="G10" s="55">
        <f ca="1">'Summary Tables'!G10</f>
        <v>229776.43000000002</v>
      </c>
      <c r="H10" s="55">
        <f ca="1">'Summary Tables'!H10</f>
        <v>229649.84000000003</v>
      </c>
      <c r="I10" s="55">
        <f ca="1">'Summary Tables'!I10</f>
        <v>227251.3</v>
      </c>
      <c r="J10" s="55">
        <f ca="1">'Summary Tables'!J10</f>
        <v>216445.25</v>
      </c>
      <c r="K10" s="55">
        <f ca="1">'Summary Tables'!K10</f>
        <v>218811.02999999997</v>
      </c>
      <c r="L10" s="55">
        <f ca="1">'Summary Tables'!L10</f>
        <v>216725.99999999994</v>
      </c>
      <c r="M10" s="55">
        <f ca="1">'Summary Tables'!C49</f>
        <v>213059.04438813563</v>
      </c>
      <c r="N10" s="55">
        <f ca="1">'Summary Tables'!D49</f>
        <v>209454.13284786118</v>
      </c>
      <c r="O10" s="55">
        <f ca="1">'Summary Tables'!E49</f>
        <v>205910.21560731487</v>
      </c>
      <c r="P10" s="55">
        <f ca="1">'Summary Tables'!F49</f>
        <v>202426.26065654092</v>
      </c>
      <c r="Q10" s="55">
        <f ca="1">'Summary Tables'!G49</f>
        <v>199001.25344696196</v>
      </c>
      <c r="R10" s="55">
        <f ca="1">'Summary Tables'!H49</f>
        <v>195634.19659593637</v>
      </c>
      <c r="S10" s="65">
        <f ca="1">'Summary Tables'!I49</f>
        <v>192324.10959631458</v>
      </c>
    </row>
    <row r="11" spans="2:19" s="92" customFormat="1" ht="12.75">
      <c r="B11" s="64" t="str">
        <f>'Summary Tables'!B101</f>
        <v>USL</v>
      </c>
      <c r="C11" s="55">
        <f ca="1">'Summary Tables'!C11</f>
        <v>5083749.959999999</v>
      </c>
      <c r="D11" s="55">
        <f ca="1">'Summary Tables'!D11</f>
        <v>4975743.38</v>
      </c>
      <c r="E11" s="55">
        <f ca="1">'Summary Tables'!E11</f>
        <v>4919673.07</v>
      </c>
      <c r="F11" s="55">
        <f ca="1">'Summary Tables'!F11</f>
        <v>4890679</v>
      </c>
      <c r="G11" s="55">
        <f ca="1">'Summary Tables'!G11</f>
        <v>4846041.4799999995</v>
      </c>
      <c r="H11" s="55">
        <f ca="1">'Summary Tables'!H11</f>
        <v>4814697.32</v>
      </c>
      <c r="I11" s="55">
        <f ca="1">'Summary Tables'!I11</f>
        <v>4782281.78</v>
      </c>
      <c r="J11" s="55">
        <f ca="1">'Summary Tables'!J11</f>
        <v>4773215.28</v>
      </c>
      <c r="K11" s="55">
        <f ca="1">'Summary Tables'!K11</f>
        <v>4755033.3099999996</v>
      </c>
      <c r="L11" s="55">
        <f ca="1">'Summary Tables'!L11</f>
        <v>4744114.4700000007</v>
      </c>
      <c r="M11" s="55">
        <f ca="1">'Summary Tables'!C50</f>
        <v>4568421.3099587467</v>
      </c>
      <c r="N11" s="55">
        <f ca="1">'Summary Tables'!D50</f>
        <v>4505369.3749406869</v>
      </c>
      <c r="O11" s="55">
        <f ca="1">'Summary Tables'!E50</f>
        <v>4443187.6631879052</v>
      </c>
      <c r="P11" s="55">
        <f ca="1">'Summary Tables'!F50</f>
        <v>4381864.1641486054</v>
      </c>
      <c r="Q11" s="55">
        <f ca="1">'Summary Tables'!G50</f>
        <v>4321387.0330369044</v>
      </c>
      <c r="R11" s="55">
        <f ca="1">'Summary Tables'!H50</f>
        <v>4261744.5885449816</v>
      </c>
      <c r="S11" s="65">
        <f ca="1">'Summary Tables'!I50</f>
        <v>4202925.3105868073</v>
      </c>
    </row>
    <row r="12" spans="2:19" s="92" customFormat="1" ht="13.5" thickBot="1">
      <c r="B12" s="63" t="s">
        <v>162</v>
      </c>
      <c r="C12" s="62">
        <f t="shared" ref="C12" ca="1" si="0">SUM(C3:C11)</f>
        <v>2419255271.1013961</v>
      </c>
      <c r="D12" s="62">
        <f t="shared" ref="D12" ca="1" si="1">SUM(D3:D11)</f>
        <v>2543623523.8888464</v>
      </c>
      <c r="E12" s="62">
        <f t="shared" ref="E12" ca="1" si="2">SUM(E3:E11)</f>
        <v>2470809803.0128002</v>
      </c>
      <c r="F12" s="62">
        <f t="shared" ref="F12" ca="1" si="3">SUM(F3:F11)</f>
        <v>2593413616.0500231</v>
      </c>
      <c r="G12" s="62">
        <f t="shared" ref="G12" ca="1" si="4">SUM(G3:G11)</f>
        <v>2571495590.9746804</v>
      </c>
      <c r="H12" s="62">
        <f t="shared" ref="H12" ca="1" si="5">SUM(H3:H11)</f>
        <v>2577917465.5648046</v>
      </c>
      <c r="I12" s="62">
        <f t="shared" ref="I12" ca="1" si="6">SUM(I3:I11)</f>
        <v>2620593757.3100739</v>
      </c>
      <c r="J12" s="62">
        <f t="shared" ref="J12" ca="1" si="7">SUM(J3:J11)</f>
        <v>2655446796.676744</v>
      </c>
      <c r="K12" s="62">
        <f t="shared" ref="K12" ca="1" si="8">SUM(K3:K11)</f>
        <v>2655231861.7595115</v>
      </c>
      <c r="L12" s="62">
        <f t="shared" ref="L12" ca="1" si="9">SUM(L3:L11)</f>
        <v>2725858048.7294507</v>
      </c>
      <c r="M12" s="62">
        <f t="shared" ref="M12" ca="1" si="10">SUM(M3:M11)</f>
        <v>2805639883.1090355</v>
      </c>
      <c r="N12" s="62">
        <f t="shared" ref="N12" ca="1" si="11">SUM(N3:N11)</f>
        <v>2934560418.345211</v>
      </c>
      <c r="O12" s="62">
        <f t="shared" ref="O12" ca="1" si="12">SUM(O3:O11)</f>
        <v>3060018661.1573014</v>
      </c>
      <c r="P12" s="62">
        <f t="shared" ref="P12" ca="1" si="13">SUM(P3:P11)</f>
        <v>3200150854.4782677</v>
      </c>
      <c r="Q12" s="62">
        <f t="shared" ref="Q12" ca="1" si="14">SUM(Q3:Q11)</f>
        <v>3299421413.3886533</v>
      </c>
      <c r="R12" s="62">
        <f t="shared" ref="R12:S12" ca="1" si="15">SUM(R3:R11)</f>
        <v>3351774522.4534073</v>
      </c>
      <c r="S12" s="60">
        <f t="shared" ca="1" si="15"/>
        <v>3401916292.3408098</v>
      </c>
    </row>
    <row r="13" spans="2:19" s="92" customFormat="1" ht="12.75">
      <c r="B13" s="64" t="str">
        <f>B6</f>
        <v>GS 50 - 2,999</v>
      </c>
      <c r="C13" s="55">
        <f ca="1">'Summary Tables'!C56</f>
        <v>2278207.1437237901</v>
      </c>
      <c r="D13" s="55">
        <f ca="1">'Summary Tables'!D56</f>
        <v>2342969.96</v>
      </c>
      <c r="E13" s="55">
        <f ca="1">'Summary Tables'!E56</f>
        <v>2295183.8399999994</v>
      </c>
      <c r="F13" s="55">
        <f ca="1">'Summary Tables'!F56</f>
        <v>2313760.27</v>
      </c>
      <c r="G13" s="55">
        <f ca="1">'Summary Tables'!G56</f>
        <v>2245850.48</v>
      </c>
      <c r="H13" s="55">
        <f ca="1">'Summary Tables'!H56</f>
        <v>2160161.04</v>
      </c>
      <c r="I13" s="55">
        <f ca="1">'Summary Tables'!I56</f>
        <v>2190090.0699999994</v>
      </c>
      <c r="J13" s="55">
        <f ca="1">'Summary Tables'!J56</f>
        <v>2248196.86</v>
      </c>
      <c r="K13" s="55">
        <f ca="1">'Summary Tables'!K56</f>
        <v>2217562.73</v>
      </c>
      <c r="L13" s="55">
        <f ca="1">'Summary Tables'!L56</f>
        <v>2202593.3899999997</v>
      </c>
      <c r="M13" s="55">
        <f ca="1">'Summary Tables'!C82</f>
        <v>2256585.4588195113</v>
      </c>
      <c r="N13" s="55">
        <f ca="1">'Summary Tables'!D82</f>
        <v>2352102.8484530342</v>
      </c>
      <c r="O13" s="55">
        <f ca="1">'Summary Tables'!E82</f>
        <v>2439390.9695466338</v>
      </c>
      <c r="P13" s="55">
        <f ca="1">'Summary Tables'!F82</f>
        <v>2488399.6359369536</v>
      </c>
      <c r="Q13" s="55">
        <f ca="1">'Summary Tables'!G82</f>
        <v>2507288.8318808638</v>
      </c>
      <c r="R13" s="55">
        <f ca="1">'Summary Tables'!H82</f>
        <v>2511445.2847823263</v>
      </c>
      <c r="S13" s="65">
        <f ca="1">'Summary Tables'!I82</f>
        <v>2536587.5736430865</v>
      </c>
    </row>
    <row r="14" spans="2:19" s="92" customFormat="1" ht="12.75">
      <c r="B14" s="64" t="str">
        <f>B7</f>
        <v>GS 3,000 - 4,999</v>
      </c>
      <c r="C14" s="55">
        <f ca="1">'Summary Tables'!C57</f>
        <v>194667.50288459152</v>
      </c>
      <c r="D14" s="55">
        <f ca="1">'Summary Tables'!D57</f>
        <v>223616.35</v>
      </c>
      <c r="E14" s="55">
        <f ca="1">'Summary Tables'!E57</f>
        <v>200189.70000000004</v>
      </c>
      <c r="F14" s="55">
        <f ca="1">'Summary Tables'!F57</f>
        <v>189119.25000000003</v>
      </c>
      <c r="G14" s="55">
        <f ca="1">'Summary Tables'!G57</f>
        <v>195386.42</v>
      </c>
      <c r="H14" s="55">
        <f ca="1">'Summary Tables'!H57</f>
        <v>192683.53999999998</v>
      </c>
      <c r="I14" s="55">
        <f ca="1">'Summary Tables'!I57</f>
        <v>216388.10000000003</v>
      </c>
      <c r="J14" s="55">
        <f ca="1">'Summary Tables'!J57</f>
        <v>228646.87000000002</v>
      </c>
      <c r="K14" s="55">
        <f ca="1">'Summary Tables'!K57</f>
        <v>234048.35</v>
      </c>
      <c r="L14" s="55">
        <f ca="1">'Summary Tables'!L57</f>
        <v>215659.85000000003</v>
      </c>
      <c r="M14" s="55">
        <f ca="1">'Summary Tables'!C83</f>
        <v>269029.71716874337</v>
      </c>
      <c r="N14" s="55">
        <f ca="1">'Summary Tables'!D83</f>
        <v>358542.7514199178</v>
      </c>
      <c r="O14" s="55">
        <f ca="1">'Summary Tables'!E83</f>
        <v>409833.7729541196</v>
      </c>
      <c r="P14" s="55">
        <f ca="1">'Summary Tables'!F83</f>
        <v>429041.88254029688</v>
      </c>
      <c r="Q14" s="55">
        <f ca="1">'Summary Tables'!G83</f>
        <v>441641.3380119353</v>
      </c>
      <c r="R14" s="55">
        <f ca="1">'Summary Tables'!H83</f>
        <v>452488.43985664367</v>
      </c>
      <c r="S14" s="65">
        <f ca="1">'Summary Tables'!I83</f>
        <v>463837.65861638548</v>
      </c>
    </row>
    <row r="15" spans="2:19" s="92" customFormat="1" ht="12.75">
      <c r="B15" s="64" t="str">
        <f>B8</f>
        <v>Large Use</v>
      </c>
      <c r="C15" s="55">
        <f ca="1">'Summary Tables'!C58</f>
        <v>361254.63310506125</v>
      </c>
      <c r="D15" s="55">
        <f ca="1">'Summary Tables'!D58</f>
        <v>421758</v>
      </c>
      <c r="E15" s="55">
        <f ca="1">'Summary Tables'!E58</f>
        <v>382866</v>
      </c>
      <c r="F15" s="55">
        <f ca="1">'Summary Tables'!F58</f>
        <v>423038</v>
      </c>
      <c r="G15" s="55">
        <f ca="1">'Summary Tables'!G58</f>
        <v>433414</v>
      </c>
      <c r="H15" s="55">
        <f ca="1">'Summary Tables'!H58</f>
        <v>453257</v>
      </c>
      <c r="I15" s="55">
        <f ca="1">'Summary Tables'!I58</f>
        <v>481567</v>
      </c>
      <c r="J15" s="55">
        <f ca="1">'Summary Tables'!J58</f>
        <v>490452</v>
      </c>
      <c r="K15" s="55">
        <f ca="1">'Summary Tables'!K58</f>
        <v>518389.27999999997</v>
      </c>
      <c r="L15" s="55">
        <f ca="1">'Summary Tables'!L58</f>
        <v>532510.09</v>
      </c>
      <c r="M15" s="55">
        <f ca="1">'Summary Tables'!C84</f>
        <v>562102.70615904417</v>
      </c>
      <c r="N15" s="55">
        <f ca="1">'Summary Tables'!D84</f>
        <v>614338.02506298595</v>
      </c>
      <c r="O15" s="55">
        <f ca="1">'Summary Tables'!E84</f>
        <v>700459.585062181</v>
      </c>
      <c r="P15" s="55">
        <f ca="1">'Summary Tables'!F84</f>
        <v>866937.22022196359</v>
      </c>
      <c r="Q15" s="55">
        <f ca="1">'Summary Tables'!G84</f>
        <v>994908.69007255079</v>
      </c>
      <c r="R15" s="55">
        <f ca="1">'Summary Tables'!H84</f>
        <v>1044584.2129462288</v>
      </c>
      <c r="S15" s="65">
        <f ca="1">'Summary Tables'!I84</f>
        <v>1070183.945594792</v>
      </c>
    </row>
    <row r="16" spans="2:19" s="92" customFormat="1" ht="12.75">
      <c r="B16" s="64" t="str">
        <f>B9</f>
        <v>Street Light</v>
      </c>
      <c r="C16" s="55">
        <f ca="1">'Summary Tables'!C59</f>
        <v>57817.140000000007</v>
      </c>
      <c r="D16" s="55">
        <f ca="1">'Summary Tables'!D59</f>
        <v>57564.81</v>
      </c>
      <c r="E16" s="55">
        <f ca="1">'Summary Tables'!E59</f>
        <v>54832.51</v>
      </c>
      <c r="F16" s="55">
        <f ca="1">'Summary Tables'!F59</f>
        <v>43114.93</v>
      </c>
      <c r="G16" s="55">
        <f ca="1">'Summary Tables'!G59</f>
        <v>36690.920000000006</v>
      </c>
      <c r="H16" s="55">
        <f ca="1">'Summary Tables'!H59</f>
        <v>31667.35</v>
      </c>
      <c r="I16" s="55">
        <f ca="1">'Summary Tables'!I59</f>
        <v>31122.25</v>
      </c>
      <c r="J16" s="55">
        <f ca="1">'Summary Tables'!J59</f>
        <v>31016.899999999998</v>
      </c>
      <c r="K16" s="55">
        <f ca="1">'Summary Tables'!K59</f>
        <v>31561.47</v>
      </c>
      <c r="L16" s="55">
        <f ca="1">'Summary Tables'!L59</f>
        <v>32173.850000000002</v>
      </c>
      <c r="M16" s="55">
        <f ca="1">'Summary Tables'!C85</f>
        <v>32694.531495072591</v>
      </c>
      <c r="N16" s="55">
        <f ca="1">'Summary Tables'!D85</f>
        <v>33030.591474503723</v>
      </c>
      <c r="O16" s="55">
        <f ca="1">'Summary Tables'!E85</f>
        <v>33370.10574138326</v>
      </c>
      <c r="P16" s="55">
        <f ca="1">'Summary Tables'!F85</f>
        <v>33713.109801580729</v>
      </c>
      <c r="Q16" s="55">
        <f ca="1">'Summary Tables'!G85</f>
        <v>34059.639525922736</v>
      </c>
      <c r="R16" s="55">
        <f ca="1">'Summary Tables'!H85</f>
        <v>34409.731153944325</v>
      </c>
      <c r="S16" s="65">
        <f ca="1">'Summary Tables'!I85</f>
        <v>34763.421297678848</v>
      </c>
    </row>
    <row r="17" spans="1:19" s="92" customFormat="1" ht="12.75">
      <c r="B17" s="64" t="str">
        <f>B10</f>
        <v>Sentinel Light</v>
      </c>
      <c r="C17" s="55">
        <f ca="1">'Summary Tables'!C60</f>
        <v>1014</v>
      </c>
      <c r="D17" s="55">
        <f ca="1">'Summary Tables'!D60</f>
        <v>1014</v>
      </c>
      <c r="E17" s="55">
        <f ca="1">'Summary Tables'!E60</f>
        <v>967.00000000000011</v>
      </c>
      <c r="F17" s="55">
        <f ca="1">'Summary Tables'!F60</f>
        <v>720</v>
      </c>
      <c r="G17" s="55">
        <f ca="1">'Summary Tables'!G60</f>
        <v>629</v>
      </c>
      <c r="H17" s="55">
        <f ca="1">'Summary Tables'!H60</f>
        <v>642</v>
      </c>
      <c r="I17" s="55">
        <f ca="1">'Summary Tables'!I60</f>
        <v>632</v>
      </c>
      <c r="J17" s="55">
        <f ca="1">'Summary Tables'!J60</f>
        <v>601</v>
      </c>
      <c r="K17" s="55">
        <f ca="1">'Summary Tables'!K60</f>
        <v>608</v>
      </c>
      <c r="L17" s="55">
        <f ca="1">'Summary Tables'!L60</f>
        <v>602</v>
      </c>
      <c r="M17" s="55">
        <f ca="1">'Summary Tables'!C86</f>
        <v>591.00035762195512</v>
      </c>
      <c r="N17" s="55">
        <f ca="1">'Summary Tables'!D86</f>
        <v>581.00076330472677</v>
      </c>
      <c r="O17" s="55">
        <f ca="1">'Summary Tables'!E86</f>
        <v>571.17035989444037</v>
      </c>
      <c r="P17" s="55">
        <f ca="1">'Summary Tables'!F86</f>
        <v>561.50628471866321</v>
      </c>
      <c r="Q17" s="55">
        <f ca="1">'Summary Tables'!G86</f>
        <v>552.00572354074188</v>
      </c>
      <c r="R17" s="55">
        <f ca="1">'Summary Tables'!H86</f>
        <v>542.66590974027986</v>
      </c>
      <c r="S17" s="65">
        <f ca="1">'Summary Tables'!I86</f>
        <v>533.48412350748094</v>
      </c>
    </row>
    <row r="18" spans="1:19" s="92" customFormat="1" ht="13.5" thickBot="1">
      <c r="B18" s="63" t="s">
        <v>494</v>
      </c>
      <c r="C18" s="62">
        <f t="shared" ref="C18:S18" ca="1" si="16">SUM(C13:C17)</f>
        <v>2892960.4197134427</v>
      </c>
      <c r="D18" s="62">
        <f t="shared" ca="1" si="16"/>
        <v>3046923.12</v>
      </c>
      <c r="E18" s="62">
        <f t="shared" ca="1" si="16"/>
        <v>2934039.0499999993</v>
      </c>
      <c r="F18" s="62">
        <f t="shared" ca="1" si="16"/>
        <v>2969752.45</v>
      </c>
      <c r="G18" s="62">
        <f t="shared" ca="1" si="16"/>
        <v>2911970.82</v>
      </c>
      <c r="H18" s="62">
        <f t="shared" ca="1" si="16"/>
        <v>2838410.93</v>
      </c>
      <c r="I18" s="62">
        <f t="shared" ca="1" si="16"/>
        <v>2919799.4199999995</v>
      </c>
      <c r="J18" s="62">
        <f t="shared" ca="1" si="16"/>
        <v>2998913.63</v>
      </c>
      <c r="K18" s="62">
        <f t="shared" ca="1" si="16"/>
        <v>3002169.83</v>
      </c>
      <c r="L18" s="62">
        <f t="shared" ref="L18" ca="1" si="17">SUM(L13:L17)</f>
        <v>2983539.1799999997</v>
      </c>
      <c r="M18" s="62">
        <f t="shared" ca="1" si="16"/>
        <v>3121003.4139999929</v>
      </c>
      <c r="N18" s="62">
        <f t="shared" ca="1" si="16"/>
        <v>3358595.2171737463</v>
      </c>
      <c r="O18" s="62">
        <f t="shared" ca="1" si="16"/>
        <v>3583625.6036642119</v>
      </c>
      <c r="P18" s="62">
        <f t="shared" ca="1" si="16"/>
        <v>3818653.3547855136</v>
      </c>
      <c r="Q18" s="62">
        <f t="shared" ca="1" si="16"/>
        <v>3978450.5052148136</v>
      </c>
      <c r="R18" s="62">
        <f t="shared" ca="1" si="16"/>
        <v>4043470.3346488834</v>
      </c>
      <c r="S18" s="60">
        <f t="shared" ca="1" si="16"/>
        <v>4105906.0832754504</v>
      </c>
    </row>
    <row r="19" spans="1:19" s="92" customFormat="1" ht="12.75">
      <c r="B19" s="64" t="str">
        <f t="shared" ref="B19:B27" si="18">B3</f>
        <v>Residential</v>
      </c>
      <c r="C19" s="55">
        <f ca="1">'Summary Tables'!C93</f>
        <v>107215.95833333336</v>
      </c>
      <c r="D19" s="55">
        <f ca="1">'Summary Tables'!D93</f>
        <v>107447.625</v>
      </c>
      <c r="E19" s="55">
        <f ca="1">'Summary Tables'!E93</f>
        <v>108364.75</v>
      </c>
      <c r="F19" s="55">
        <f ca="1">'Summary Tables'!F93</f>
        <v>109469.75</v>
      </c>
      <c r="G19" s="55">
        <f ca="1">'Summary Tables'!G93</f>
        <v>110960.875</v>
      </c>
      <c r="H19" s="55">
        <f ca="1">'Summary Tables'!H93</f>
        <v>112218.375</v>
      </c>
      <c r="I19" s="55">
        <f ca="1">'Summary Tables'!I93</f>
        <v>113059.29166666664</v>
      </c>
      <c r="J19" s="55">
        <f ca="1">'Summary Tables'!J93</f>
        <v>114160.83333333336</v>
      </c>
      <c r="K19" s="55">
        <f ca="1">'Summary Tables'!K93</f>
        <v>115689.125</v>
      </c>
      <c r="L19" s="55">
        <f ca="1">'Summary Tables'!L93</f>
        <v>117456.375</v>
      </c>
      <c r="M19" s="55">
        <f ca="1">'Summary Tables'!M93</f>
        <v>119658.08251290793</v>
      </c>
      <c r="N19" s="55">
        <f ca="1">'Summary Tables'!N93</f>
        <v>122101.82410195106</v>
      </c>
      <c r="O19" s="55">
        <f ca="1">'Summary Tables'!O93</f>
        <v>124619.26455933102</v>
      </c>
      <c r="P19" s="55">
        <f ca="1">'Summary Tables'!P93</f>
        <v>127084.20705650066</v>
      </c>
      <c r="Q19" s="55">
        <f ca="1">'Summary Tables'!Q93</f>
        <v>129594.08740725768</v>
      </c>
      <c r="R19" s="55">
        <f ca="1">'Summary Tables'!R93</f>
        <v>132210.11590597217</v>
      </c>
      <c r="S19" s="65">
        <f ca="1">'Summary Tables'!S93</f>
        <v>134871.14313253391</v>
      </c>
    </row>
    <row r="20" spans="1:19" s="92" customFormat="1" ht="12.75">
      <c r="B20" s="64" t="str">
        <f t="shared" si="18"/>
        <v>Residential Seasonal</v>
      </c>
      <c r="C20" s="55">
        <f ca="1">'Summary Tables'!C94</f>
        <v>1592.011639210438</v>
      </c>
      <c r="D20" s="55">
        <f ca="1">'Summary Tables'!D94</f>
        <v>1585.75</v>
      </c>
      <c r="E20" s="55">
        <f ca="1">'Summary Tables'!E94</f>
        <v>1577.0416666666661</v>
      </c>
      <c r="F20" s="55">
        <f ca="1">'Summary Tables'!F94</f>
        <v>1570.9166666666661</v>
      </c>
      <c r="G20" s="55">
        <f ca="1">'Summary Tables'!G94</f>
        <v>1565.125</v>
      </c>
      <c r="H20" s="55">
        <f ca="1">'Summary Tables'!H94</f>
        <v>1561</v>
      </c>
      <c r="I20" s="55">
        <f ca="1">'Summary Tables'!I94</f>
        <v>1558.8333333333339</v>
      </c>
      <c r="J20" s="55">
        <f ca="1">'Summary Tables'!J94</f>
        <v>1559.1666666666661</v>
      </c>
      <c r="K20" s="55">
        <f ca="1">'Summary Tables'!K94</f>
        <v>1562.625</v>
      </c>
      <c r="L20" s="55">
        <f ca="1">'Summary Tables'!L94</f>
        <v>1561.8333333333339</v>
      </c>
      <c r="M20" s="55">
        <f ca="1">'Summary Tables'!M94</f>
        <v>1558.5157008672784</v>
      </c>
      <c r="N20" s="55">
        <f ca="1">'Summary Tables'!N94</f>
        <v>1555.2051156865798</v>
      </c>
      <c r="O20" s="55">
        <f ca="1">'Summary Tables'!O94</f>
        <v>1551.9015628214572</v>
      </c>
      <c r="P20" s="55">
        <f ca="1">'Summary Tables'!P94</f>
        <v>1548.6050273339283</v>
      </c>
      <c r="Q20" s="55">
        <f ca="1">'Summary Tables'!Q94</f>
        <v>1545.3154943177424</v>
      </c>
      <c r="R20" s="55">
        <f ca="1">'Summary Tables'!R94</f>
        <v>1542.0329488983118</v>
      </c>
      <c r="S20" s="65">
        <f ca="1">'Summary Tables'!S94</f>
        <v>1538.757376232646</v>
      </c>
    </row>
    <row r="21" spans="1:19" s="92" customFormat="1" ht="12.75">
      <c r="B21" s="64" t="str">
        <f t="shared" si="18"/>
        <v>GS&lt;50</v>
      </c>
      <c r="C21" s="55">
        <f ca="1">'Summary Tables'!C95</f>
        <v>8892.9583333333303</v>
      </c>
      <c r="D21" s="55">
        <f ca="1">'Summary Tables'!D95</f>
        <v>8953.4166666666697</v>
      </c>
      <c r="E21" s="55">
        <f ca="1">'Summary Tables'!E95</f>
        <v>9015.375</v>
      </c>
      <c r="F21" s="55">
        <f ca="1">'Summary Tables'!F95</f>
        <v>9089.625</v>
      </c>
      <c r="G21" s="55">
        <f ca="1">'Summary Tables'!G95</f>
        <v>9207.0416666666697</v>
      </c>
      <c r="H21" s="55">
        <f ca="1">'Summary Tables'!H95</f>
        <v>9277.75</v>
      </c>
      <c r="I21" s="55">
        <f ca="1">'Summary Tables'!I95</f>
        <v>9314.7083333333303</v>
      </c>
      <c r="J21" s="55">
        <f ca="1">'Summary Tables'!J95</f>
        <v>9413.2083333333303</v>
      </c>
      <c r="K21" s="55">
        <f ca="1">'Summary Tables'!K95</f>
        <v>9487.375</v>
      </c>
      <c r="L21" s="55">
        <f ca="1">'Summary Tables'!L95</f>
        <v>9501.875</v>
      </c>
      <c r="M21" s="55">
        <f ca="1">'Summary Tables'!M95</f>
        <v>9543.9881818488975</v>
      </c>
      <c r="N21" s="55">
        <f ca="1">'Summary Tables'!N95</f>
        <v>9614.4797247823481</v>
      </c>
      <c r="O21" s="55">
        <f ca="1">'Summary Tables'!O95</f>
        <v>9685.4919156389169</v>
      </c>
      <c r="P21" s="55">
        <f ca="1">'Summary Tables'!P95</f>
        <v>9757.0285999048647</v>
      </c>
      <c r="Q21" s="55">
        <f ca="1">'Summary Tables'!Q95</f>
        <v>9829.0936514690693</v>
      </c>
      <c r="R21" s="55">
        <f ca="1">'Summary Tables'!R95</f>
        <v>9901.6909728328119</v>
      </c>
      <c r="S21" s="65">
        <f ca="1">'Summary Tables'!S95</f>
        <v>9974.8244953211015</v>
      </c>
    </row>
    <row r="22" spans="1:19" s="92" customFormat="1" ht="12.75">
      <c r="A22" s="92" t="s">
        <v>59</v>
      </c>
      <c r="B22" s="64" t="str">
        <f t="shared" si="18"/>
        <v>GS 50 - 2,999</v>
      </c>
      <c r="C22" s="55">
        <f ca="1">'Summary Tables'!C96</f>
        <v>1053.75</v>
      </c>
      <c r="D22" s="55">
        <f ca="1">'Summary Tables'!D96</f>
        <v>1056.0416666666663</v>
      </c>
      <c r="E22" s="55">
        <f ca="1">'Summary Tables'!E96</f>
        <v>1068.3333333333337</v>
      </c>
      <c r="F22" s="55">
        <f ca="1">'Summary Tables'!F96</f>
        <v>1060.25</v>
      </c>
      <c r="G22" s="55">
        <f ca="1">'Summary Tables'!G96</f>
        <v>1029.0833333333337</v>
      </c>
      <c r="H22" s="55">
        <f ca="1">'Summary Tables'!H96</f>
        <v>1032</v>
      </c>
      <c r="I22" s="55">
        <f ca="1">'Summary Tables'!I96</f>
        <v>1052.2083333333337</v>
      </c>
      <c r="J22" s="55">
        <f ca="1">'Summary Tables'!J96</f>
        <v>1037.25</v>
      </c>
      <c r="K22" s="55">
        <f ca="1">'Summary Tables'!K96</f>
        <v>1030.4583333333335</v>
      </c>
      <c r="L22" s="55">
        <f ca="1">'Summary Tables'!L96</f>
        <v>1059.4166666666663</v>
      </c>
      <c r="M22" s="55">
        <f ca="1">'Summary Tables'!M96</f>
        <v>1080.3570666497312</v>
      </c>
      <c r="N22" s="55">
        <f ca="1">'Summary Tables'!N96</f>
        <v>1089.5680703025032</v>
      </c>
      <c r="O22" s="55">
        <f ca="1">'Summary Tables'!O96</f>
        <v>1094.3094560511545</v>
      </c>
      <c r="P22" s="55">
        <f ca="1">'Summary Tables'!P96</f>
        <v>1095.9412241234484</v>
      </c>
      <c r="Q22" s="55">
        <f ca="1">'Summary Tables'!Q96</f>
        <v>1096.8933747472843</v>
      </c>
      <c r="R22" s="55">
        <f ca="1">'Summary Tables'!R96</f>
        <v>1097.5959081506974</v>
      </c>
      <c r="S22" s="65">
        <f ca="1">'Summary Tables'!S96</f>
        <v>1098.4488245618588</v>
      </c>
    </row>
    <row r="23" spans="1:19" s="92" customFormat="1" ht="12.75">
      <c r="B23" s="64" t="str">
        <f t="shared" si="18"/>
        <v>GS 3,000 - 4,999</v>
      </c>
      <c r="C23" s="55">
        <f ca="1">'Summary Tables'!C97</f>
        <v>5</v>
      </c>
      <c r="D23" s="55">
        <f ca="1">'Summary Tables'!D97</f>
        <v>5</v>
      </c>
      <c r="E23" s="55">
        <f ca="1">'Summary Tables'!E97</f>
        <v>5</v>
      </c>
      <c r="F23" s="55">
        <f ca="1">'Summary Tables'!F97</f>
        <v>4.4583333333333348</v>
      </c>
      <c r="G23" s="55">
        <f ca="1">'Summary Tables'!G97</f>
        <v>4</v>
      </c>
      <c r="H23" s="55">
        <f ca="1">'Summary Tables'!H97</f>
        <v>4.5416666666666652</v>
      </c>
      <c r="I23" s="55">
        <f ca="1">'Summary Tables'!I97</f>
        <v>5.5416666666666643</v>
      </c>
      <c r="J23" s="55">
        <f ca="1">'Summary Tables'!J97</f>
        <v>5.4583333333333357</v>
      </c>
      <c r="K23" s="55">
        <f ca="1">'Summary Tables'!K97</f>
        <v>5</v>
      </c>
      <c r="L23" s="55">
        <f ca="1">'Summary Tables'!L97</f>
        <v>5</v>
      </c>
      <c r="M23" s="55">
        <f ca="1">'Summary Tables'!M97</f>
        <v>6.8</v>
      </c>
      <c r="N23" s="55">
        <f ca="1">'Summary Tables'!N97</f>
        <v>10.234999999999999</v>
      </c>
      <c r="O23" s="55">
        <f ca="1">'Summary Tables'!O97</f>
        <v>12.05</v>
      </c>
      <c r="P23" s="55">
        <f ca="1">'Summary Tables'!P97</f>
        <v>12.175000000000001</v>
      </c>
      <c r="Q23" s="55">
        <f ca="1">'Summary Tables'!Q97</f>
        <v>12.120000000000001</v>
      </c>
      <c r="R23" s="55">
        <f ca="1">'Summary Tables'!R97</f>
        <v>12.120000000000001</v>
      </c>
      <c r="S23" s="65">
        <f ca="1">'Summary Tables'!S97</f>
        <v>12.120000000000001</v>
      </c>
    </row>
    <row r="24" spans="1:19" s="92" customFormat="1" ht="12.75">
      <c r="B24" s="64" t="str">
        <f t="shared" si="18"/>
        <v>Large Use</v>
      </c>
      <c r="C24" s="55">
        <f ca="1">'Summary Tables'!C98</f>
        <v>2.5416666666666674</v>
      </c>
      <c r="D24" s="55">
        <f ca="1">'Summary Tables'!D98</f>
        <v>3</v>
      </c>
      <c r="E24" s="55">
        <f ca="1">'Summary Tables'!E98</f>
        <v>3</v>
      </c>
      <c r="F24" s="55">
        <f ca="1">'Summary Tables'!F98</f>
        <v>3.5416666666666674</v>
      </c>
      <c r="G24" s="55">
        <f ca="1">'Summary Tables'!G98</f>
        <v>4</v>
      </c>
      <c r="H24" s="55">
        <f ca="1">'Summary Tables'!H98</f>
        <v>4</v>
      </c>
      <c r="I24" s="55">
        <f ca="1">'Summary Tables'!I98</f>
        <v>4</v>
      </c>
      <c r="J24" s="55">
        <f ca="1">'Summary Tables'!J98</f>
        <v>4</v>
      </c>
      <c r="K24" s="55">
        <f ca="1">'Summary Tables'!K98</f>
        <v>4.5416666666666652</v>
      </c>
      <c r="L24" s="55">
        <f ca="1">'Summary Tables'!L98</f>
        <v>5</v>
      </c>
      <c r="M24" s="55">
        <f ca="1">'Summary Tables'!M98</f>
        <v>5.4124999999999996</v>
      </c>
      <c r="N24" s="55">
        <f ca="1">'Summary Tables'!N98</f>
        <v>6.0975000000000001</v>
      </c>
      <c r="O24" s="55">
        <f ca="1">'Summary Tables'!O98</f>
        <v>7.1275000000000004</v>
      </c>
      <c r="P24" s="55">
        <f ca="1">'Summary Tables'!P98</f>
        <v>8.3025000000000002</v>
      </c>
      <c r="Q24" s="55">
        <f ca="1">'Summary Tables'!Q98</f>
        <v>8.7799999999999994</v>
      </c>
      <c r="R24" s="55">
        <f ca="1">'Summary Tables'!R98</f>
        <v>8.8849999999999998</v>
      </c>
      <c r="S24" s="65">
        <f ca="1">'Summary Tables'!S98</f>
        <v>8.9450000000000003</v>
      </c>
    </row>
    <row r="25" spans="1:19" s="92" customFormat="1" ht="12.75">
      <c r="B25" s="64" t="str">
        <f t="shared" si="18"/>
        <v>Street Light</v>
      </c>
      <c r="C25" s="55">
        <f ca="1">'Summary Tables'!C99</f>
        <v>29840.625</v>
      </c>
      <c r="D25" s="55">
        <f ca="1">'Summary Tables'!D99</f>
        <v>30030.75</v>
      </c>
      <c r="E25" s="55">
        <f ca="1">'Summary Tables'!E99</f>
        <v>30411.75</v>
      </c>
      <c r="F25" s="55">
        <f ca="1">'Summary Tables'!F99</f>
        <v>30897.625</v>
      </c>
      <c r="G25" s="55">
        <f ca="1">'Summary Tables'!G99</f>
        <v>31143.041666666657</v>
      </c>
      <c r="H25" s="55">
        <f ca="1">'Summary Tables'!H99</f>
        <v>31414.916666666657</v>
      </c>
      <c r="I25" s="55">
        <f ca="1">'Summary Tables'!I99</f>
        <v>31679.166666666657</v>
      </c>
      <c r="J25" s="55">
        <f ca="1">'Summary Tables'!J99</f>
        <v>31795.041666666657</v>
      </c>
      <c r="K25" s="55">
        <f ca="1">'Summary Tables'!K99</f>
        <v>32131.541666666657</v>
      </c>
      <c r="L25" s="55">
        <f ca="1">'Summary Tables'!L99</f>
        <v>32717.416666666661</v>
      </c>
      <c r="M25" s="55">
        <f ca="1">'Summary Tables'!M99</f>
        <v>33053.711877799957</v>
      </c>
      <c r="N25" s="55">
        <f ca="1">'Summary Tables'!N99</f>
        <v>33393.463794277181</v>
      </c>
      <c r="O25" s="55">
        <f ca="1">'Summary Tables'!O99</f>
        <v>33736.707946820861</v>
      </c>
      <c r="P25" s="55">
        <f ca="1">'Summary Tables'!P99</f>
        <v>34083.480231366098</v>
      </c>
      <c r="Q25" s="55">
        <f ca="1">'Summary Tables'!Q99</f>
        <v>34433.816912814502</v>
      </c>
      <c r="R25" s="55">
        <f ca="1">'Summary Tables'!R99</f>
        <v>34787.754628826726</v>
      </c>
      <c r="S25" s="65">
        <f ca="1">'Summary Tables'!S99</f>
        <v>35145.33039365396</v>
      </c>
    </row>
    <row r="26" spans="1:19" s="92" customFormat="1" ht="12.75">
      <c r="B26" s="64" t="str">
        <f t="shared" si="18"/>
        <v>Sentinel Light</v>
      </c>
      <c r="C26" s="55">
        <f ca="1">'Summary Tables'!C100</f>
        <v>442.66666666666657</v>
      </c>
      <c r="D26" s="55">
        <f ca="1">'Summary Tables'!D100</f>
        <v>439</v>
      </c>
      <c r="E26" s="55">
        <f ca="1">'Summary Tables'!E100</f>
        <v>439</v>
      </c>
      <c r="F26" s="55">
        <f ca="1">'Summary Tables'!F100</f>
        <v>439</v>
      </c>
      <c r="G26" s="55">
        <f ca="1">'Summary Tables'!G100</f>
        <v>342.04166666666652</v>
      </c>
      <c r="H26" s="55">
        <f ca="1">'Summary Tables'!H100</f>
        <v>255.125</v>
      </c>
      <c r="I26" s="55">
        <f ca="1">'Summary Tables'!I100</f>
        <v>248.83333333333326</v>
      </c>
      <c r="J26" s="55">
        <f ca="1">'Summary Tables'!J100</f>
        <v>245.91666666666674</v>
      </c>
      <c r="K26" s="55">
        <f ca="1">'Summary Tables'!K100</f>
        <v>242.83333333333326</v>
      </c>
      <c r="L26" s="55">
        <f ca="1">'Summary Tables'!L100</f>
        <v>238.29166666666674</v>
      </c>
      <c r="M26" s="55">
        <f ca="1">'Summary Tables'!M100</f>
        <v>234.25982478178059</v>
      </c>
      <c r="N26" s="55">
        <f ca="1">'Summary Tables'!N100</f>
        <v>230.29620076289083</v>
      </c>
      <c r="O26" s="55">
        <f ca="1">'Summary Tables'!O100</f>
        <v>226.39964037891053</v>
      </c>
      <c r="P26" s="55">
        <f ca="1">'Summary Tables'!P100</f>
        <v>222.56900892808551</v>
      </c>
      <c r="Q26" s="55">
        <f ca="1">'Summary Tables'!Q100</f>
        <v>218.80319090756225</v>
      </c>
      <c r="R26" s="55">
        <f ca="1">'Summary Tables'!R100</f>
        <v>215.10108968854698</v>
      </c>
      <c r="S26" s="65">
        <f ca="1">'Summary Tables'!S100</f>
        <v>211.46162719696062</v>
      </c>
    </row>
    <row r="27" spans="1:19" s="92" customFormat="1" ht="12.75">
      <c r="B27" s="64" t="str">
        <f t="shared" si="18"/>
        <v>USL</v>
      </c>
      <c r="C27" s="55">
        <f ca="1">'Summary Tables'!C101</f>
        <v>872.5</v>
      </c>
      <c r="D27" s="55">
        <f ca="1">'Summary Tables'!D101</f>
        <v>837.41666666666686</v>
      </c>
      <c r="E27" s="55">
        <f ca="1">'Summary Tables'!E101</f>
        <v>825.58333333333314</v>
      </c>
      <c r="F27" s="55">
        <f ca="1">'Summary Tables'!F101</f>
        <v>817.75</v>
      </c>
      <c r="G27" s="55">
        <f ca="1">'Summary Tables'!G101</f>
        <v>809.04166666666697</v>
      </c>
      <c r="H27" s="55">
        <f ca="1">'Summary Tables'!H101</f>
        <v>801.83333333333303</v>
      </c>
      <c r="I27" s="55">
        <f ca="1">'Summary Tables'!I101</f>
        <v>801.625</v>
      </c>
      <c r="J27" s="55">
        <f ca="1">'Summary Tables'!J101</f>
        <v>800.83333333333303</v>
      </c>
      <c r="K27" s="55">
        <f ca="1">'Summary Tables'!K101</f>
        <v>797.91666666666697</v>
      </c>
      <c r="L27" s="55">
        <f ca="1">'Summary Tables'!L101</f>
        <v>769.91666666666697</v>
      </c>
      <c r="M27" s="55">
        <f ca="1">'Summary Tables'!M101</f>
        <v>741.40363373070261</v>
      </c>
      <c r="N27" s="55">
        <f ca="1">'Summary Tables'!N101</f>
        <v>731.17101056299305</v>
      </c>
      <c r="O27" s="55">
        <f ca="1">'Summary Tables'!O101</f>
        <v>721.07961488882222</v>
      </c>
      <c r="P27" s="55">
        <f ca="1">'Summary Tables'!P101</f>
        <v>711.12749753009541</v>
      </c>
      <c r="Q27" s="55">
        <f ca="1">'Summary Tables'!Q101</f>
        <v>701.31273621066964</v>
      </c>
      <c r="R27" s="55">
        <f ca="1">'Summary Tables'!R101</f>
        <v>691.63343518506156</v>
      </c>
      <c r="S27" s="65">
        <f ca="1">'Summary Tables'!S101</f>
        <v>682.08772487227952</v>
      </c>
    </row>
    <row r="28" spans="1:19" s="92" customFormat="1" ht="13.5" thickBot="1">
      <c r="B28" s="63" t="s">
        <v>495</v>
      </c>
      <c r="C28" s="62">
        <f t="shared" ref="C28:Q28" ca="1" si="19">SUM(C19:C27)</f>
        <v>149918.01163921045</v>
      </c>
      <c r="D28" s="62">
        <f t="shared" ca="1" si="19"/>
        <v>150358</v>
      </c>
      <c r="E28" s="62">
        <f t="shared" ca="1" si="19"/>
        <v>151709.83333333334</v>
      </c>
      <c r="F28" s="62">
        <f t="shared" ca="1" si="19"/>
        <v>153352.91666666669</v>
      </c>
      <c r="G28" s="62">
        <f t="shared" ca="1" si="19"/>
        <v>155064.24999999997</v>
      </c>
      <c r="H28" s="62">
        <f t="shared" ca="1" si="19"/>
        <v>156569.54166666666</v>
      </c>
      <c r="I28" s="62">
        <f t="shared" ca="1" si="19"/>
        <v>157724.20833333328</v>
      </c>
      <c r="J28" s="62">
        <f t="shared" ca="1" si="19"/>
        <v>159021.70833333334</v>
      </c>
      <c r="K28" s="62">
        <f t="shared" ca="1" si="19"/>
        <v>160951.41666666666</v>
      </c>
      <c r="L28" s="62">
        <f t="shared" ca="1" si="19"/>
        <v>163315.12499999997</v>
      </c>
      <c r="M28" s="62">
        <f t="shared" ca="1" si="19"/>
        <v>165882.53129858625</v>
      </c>
      <c r="N28" s="62">
        <f t="shared" ca="1" si="19"/>
        <v>168732.34051832557</v>
      </c>
      <c r="O28" s="62">
        <f t="shared" ca="1" si="19"/>
        <v>171654.33219593111</v>
      </c>
      <c r="P28" s="62">
        <f t="shared" ca="1" si="19"/>
        <v>174523.43614568716</v>
      </c>
      <c r="Q28" s="62">
        <f t="shared" ca="1" si="19"/>
        <v>177440.22276772451</v>
      </c>
      <c r="R28" s="62">
        <f ca="1">SUM(R19:R27)</f>
        <v>180466.92988955433</v>
      </c>
      <c r="S28" s="60">
        <f ca="1">SUM(S19:S27)</f>
        <v>183543.11857437275</v>
      </c>
    </row>
    <row r="29" spans="1:19" s="92" customFormat="1" ht="12.75">
      <c r="B29" s="388" t="str">
        <f>B19</f>
        <v>Residential</v>
      </c>
      <c r="C29" s="55">
        <f>'Summary Tables'!C117</f>
        <v>106913</v>
      </c>
      <c r="D29" s="55">
        <f>'Summary Tables'!D117</f>
        <v>107900</v>
      </c>
      <c r="E29" s="55">
        <f>'Summary Tables'!E117</f>
        <v>108758</v>
      </c>
      <c r="F29" s="55">
        <f>'Summary Tables'!F117</f>
        <v>110072</v>
      </c>
      <c r="G29" s="55">
        <f>'Summary Tables'!G117</f>
        <v>111713</v>
      </c>
      <c r="H29" s="55">
        <f>'Summary Tables'!H117</f>
        <v>112646</v>
      </c>
      <c r="I29" s="55">
        <f>'Summary Tables'!I117</f>
        <v>113409</v>
      </c>
      <c r="J29" s="55">
        <f>'Summary Tables'!J117</f>
        <v>114797</v>
      </c>
      <c r="K29" s="55">
        <f>'Summary Tables'!K117</f>
        <v>116444</v>
      </c>
      <c r="L29" s="55">
        <f>'Summary Tables'!L117</f>
        <v>118313</v>
      </c>
      <c r="M29" s="55">
        <f ca="1">'Summary Tables'!M117</f>
        <v>120679.0969087102</v>
      </c>
      <c r="N29" s="55">
        <f ca="1">'Summary Tables'!N117</f>
        <v>123236.4362380458</v>
      </c>
      <c r="O29" s="55">
        <f ca="1">'Summary Tables'!O117</f>
        <v>125788.25690808798</v>
      </c>
      <c r="P29" s="55">
        <f ca="1">'Summary Tables'!P117</f>
        <v>128228.13804806618</v>
      </c>
      <c r="Q29" s="55">
        <f ca="1">'Summary Tables'!Q117</f>
        <v>130758.84820236517</v>
      </c>
      <c r="R29" s="55">
        <f ca="1">'Summary Tables'!R117</f>
        <v>133424.51497413241</v>
      </c>
      <c r="S29" s="65">
        <f ca="1">'Summary Tables'!S117</f>
        <v>136106.37924703243</v>
      </c>
    </row>
    <row r="30" spans="1:19" s="92" customFormat="1" ht="12.75">
      <c r="B30" s="64" t="str">
        <f t="shared" ref="B30:B37" si="20">B20</f>
        <v>Residential Seasonal</v>
      </c>
      <c r="C30" s="55">
        <f>'Summary Tables'!C118</f>
        <v>1589</v>
      </c>
      <c r="D30" s="55">
        <f>'Summary Tables'!D118</f>
        <v>1583</v>
      </c>
      <c r="E30" s="55">
        <f>'Summary Tables'!E118</f>
        <v>1572</v>
      </c>
      <c r="F30" s="55">
        <f>'Summary Tables'!F118</f>
        <v>1570</v>
      </c>
      <c r="G30" s="55">
        <f>'Summary Tables'!G118</f>
        <v>1561</v>
      </c>
      <c r="H30" s="55">
        <f>'Summary Tables'!H118</f>
        <v>1561</v>
      </c>
      <c r="I30" s="55">
        <f>'Summary Tables'!I118</f>
        <v>1557</v>
      </c>
      <c r="J30" s="55">
        <f>'Summary Tables'!J118</f>
        <v>1561</v>
      </c>
      <c r="K30" s="55">
        <f>'Summary Tables'!K118</f>
        <v>1564</v>
      </c>
      <c r="L30" s="55">
        <f>'Summary Tables'!L118</f>
        <v>1560</v>
      </c>
      <c r="M30" s="55">
        <f>'Summary Tables'!M118</f>
        <v>1557.0002053868013</v>
      </c>
      <c r="N30" s="55">
        <f>'Summary Tables'!N118</f>
        <v>1553.6928394081144</v>
      </c>
      <c r="O30" s="55">
        <f>'Summary Tables'!O118</f>
        <v>1550.3924989068032</v>
      </c>
      <c r="P30" s="55">
        <f>'Summary Tables'!P118</f>
        <v>1547.0991689594107</v>
      </c>
      <c r="Q30" s="55">
        <f>'Summary Tables'!Q118</f>
        <v>1543.8128346741814</v>
      </c>
      <c r="R30" s="55">
        <f>'Summary Tables'!R118</f>
        <v>1540.5334811909913</v>
      </c>
      <c r="S30" s="65">
        <f>'Summary Tables'!S118</f>
        <v>1537.2610936812841</v>
      </c>
    </row>
    <row r="31" spans="1:19" s="92" customFormat="1" ht="12.75">
      <c r="B31" s="64" t="str">
        <f t="shared" si="20"/>
        <v>GS&lt;50</v>
      </c>
      <c r="C31" s="55">
        <f>'Summary Tables'!C119</f>
        <v>8909</v>
      </c>
      <c r="D31" s="55">
        <f>'Summary Tables'!D119</f>
        <v>8991</v>
      </c>
      <c r="E31" s="55">
        <f>'Summary Tables'!E119</f>
        <v>9036</v>
      </c>
      <c r="F31" s="55">
        <f>'Summary Tables'!F119</f>
        <v>9135</v>
      </c>
      <c r="G31" s="55">
        <f>'Summary Tables'!G119</f>
        <v>9268</v>
      </c>
      <c r="H31" s="55">
        <f>'Summary Tables'!H119</f>
        <v>9286</v>
      </c>
      <c r="I31" s="55">
        <f>'Summary Tables'!I119</f>
        <v>9339</v>
      </c>
      <c r="J31" s="55">
        <f>'Summary Tables'!J119</f>
        <v>9476</v>
      </c>
      <c r="K31" s="55">
        <f>'Summary Tables'!K119</f>
        <v>9497</v>
      </c>
      <c r="L31" s="55">
        <f>'Summary Tables'!L119</f>
        <v>9506</v>
      </c>
      <c r="M31" s="55">
        <f>'Summary Tables'!M119</f>
        <v>9576.2109636304667</v>
      </c>
      <c r="N31" s="55">
        <f>'Summary Tables'!N119</f>
        <v>9646.9035844493974</v>
      </c>
      <c r="O31" s="55">
        <f>'Summary Tables'!O119</f>
        <v>9718.1552567315775</v>
      </c>
      <c r="P31" s="55">
        <f>'Summary Tables'!P119</f>
        <v>9789.9331912240668</v>
      </c>
      <c r="Q31" s="55">
        <f>'Summary Tables'!Q119</f>
        <v>9862.2412748800452</v>
      </c>
      <c r="R31" s="55">
        <f>'Summary Tables'!R119</f>
        <v>9935.0834233615788</v>
      </c>
      <c r="S31" s="65">
        <f>'Summary Tables'!S119</f>
        <v>10008.463581251679</v>
      </c>
    </row>
    <row r="32" spans="1:19" s="92" customFormat="1" ht="12.75">
      <c r="A32" s="92" t="s">
        <v>707</v>
      </c>
      <c r="B32" s="64" t="str">
        <f t="shared" si="20"/>
        <v>GS 50 - 2,999</v>
      </c>
      <c r="C32" s="55">
        <f>'Summary Tables'!C120</f>
        <v>1062</v>
      </c>
      <c r="D32" s="55">
        <f>'Summary Tables'!D120</f>
        <v>1051</v>
      </c>
      <c r="E32" s="55">
        <f>'Summary Tables'!E120</f>
        <v>1083</v>
      </c>
      <c r="F32" s="55">
        <f>'Summary Tables'!F120</f>
        <v>1041</v>
      </c>
      <c r="G32" s="55">
        <f>'Summary Tables'!G120</f>
        <v>1019</v>
      </c>
      <c r="H32" s="55">
        <f>'Summary Tables'!H120</f>
        <v>1043</v>
      </c>
      <c r="I32" s="55">
        <f>'Summary Tables'!I120</f>
        <v>1060</v>
      </c>
      <c r="J32" s="55">
        <f>'Summary Tables'!J120</f>
        <v>1018</v>
      </c>
      <c r="K32" s="55">
        <f>'Summary Tables'!K120</f>
        <v>1041</v>
      </c>
      <c r="L32" s="55">
        <f>'Summary Tables'!L120</f>
        <v>1075</v>
      </c>
      <c r="M32" s="55">
        <f>'Summary Tables'!M120</f>
        <v>1080.6507967698053</v>
      </c>
      <c r="N32" s="55">
        <f>'Summary Tables'!N120</f>
        <v>1089.8614624923862</v>
      </c>
      <c r="O32" s="55">
        <f>'Summary Tables'!O120</f>
        <v>1094.6030231291934</v>
      </c>
      <c r="P32" s="55">
        <f>'Summary Tables'!P120</f>
        <v>1096.234966193892</v>
      </c>
      <c r="Q32" s="55">
        <f>'Summary Tables'!Q120</f>
        <v>1097.1872919144444</v>
      </c>
      <c r="R32" s="55">
        <f>'Summary Tables'!R120</f>
        <v>1097.8900005189471</v>
      </c>
      <c r="S32" s="65">
        <f>'Summary Tables'!S120</f>
        <v>1098.7430922356336</v>
      </c>
    </row>
    <row r="33" spans="2:19" s="92" customFormat="1" ht="12.75">
      <c r="B33" s="64" t="str">
        <f t="shared" si="20"/>
        <v>GS 3,000 - 4,999</v>
      </c>
      <c r="C33" s="55">
        <f>'Summary Tables'!C121</f>
        <v>5</v>
      </c>
      <c r="D33" s="55">
        <f>'Summary Tables'!D121</f>
        <v>5</v>
      </c>
      <c r="E33" s="55">
        <f>'Summary Tables'!E121</f>
        <v>5</v>
      </c>
      <c r="F33" s="55">
        <f>'Summary Tables'!F121</f>
        <v>4</v>
      </c>
      <c r="G33" s="55">
        <f>'Summary Tables'!G121</f>
        <v>4</v>
      </c>
      <c r="H33" s="55">
        <f>'Summary Tables'!H121</f>
        <v>5</v>
      </c>
      <c r="I33" s="55">
        <f>'Summary Tables'!I121</f>
        <v>6</v>
      </c>
      <c r="J33" s="55">
        <f>'Summary Tables'!J121</f>
        <v>5</v>
      </c>
      <c r="K33" s="55">
        <f>'Summary Tables'!K121</f>
        <v>5</v>
      </c>
      <c r="L33" s="55">
        <f>'Summary Tables'!L121</f>
        <v>5</v>
      </c>
      <c r="M33" s="55">
        <f>'Summary Tables'!M121</f>
        <v>8.6</v>
      </c>
      <c r="N33" s="55">
        <f>'Summary Tables'!N121</f>
        <v>11.87</v>
      </c>
      <c r="O33" s="55">
        <f>'Summary Tables'!O121</f>
        <v>12.230000000000002</v>
      </c>
      <c r="P33" s="55">
        <f>'Summary Tables'!P121</f>
        <v>12.120000000000006</v>
      </c>
      <c r="Q33" s="55">
        <f>'Summary Tables'!Q121</f>
        <v>12.120000000000006</v>
      </c>
      <c r="R33" s="55">
        <f>'Summary Tables'!R121</f>
        <v>12.120000000000006</v>
      </c>
      <c r="S33" s="65">
        <f>'Summary Tables'!S121</f>
        <v>12.120000000000006</v>
      </c>
    </row>
    <row r="34" spans="2:19" s="92" customFormat="1" ht="12.75">
      <c r="B34" s="64" t="str">
        <f t="shared" si="20"/>
        <v>Large Use</v>
      </c>
      <c r="C34" s="55">
        <f>'Summary Tables'!C122</f>
        <v>3</v>
      </c>
      <c r="D34" s="55">
        <f>'Summary Tables'!D122</f>
        <v>3</v>
      </c>
      <c r="E34" s="55">
        <f>'Summary Tables'!E122</f>
        <v>3</v>
      </c>
      <c r="F34" s="55">
        <f>'Summary Tables'!F122</f>
        <v>4</v>
      </c>
      <c r="G34" s="55">
        <f>'Summary Tables'!G122</f>
        <v>4</v>
      </c>
      <c r="H34" s="55">
        <f>'Summary Tables'!H122</f>
        <v>4</v>
      </c>
      <c r="I34" s="55">
        <f>'Summary Tables'!I122</f>
        <v>4</v>
      </c>
      <c r="J34" s="55">
        <f>'Summary Tables'!J122</f>
        <v>4</v>
      </c>
      <c r="K34" s="55">
        <f>'Summary Tables'!K122</f>
        <v>5</v>
      </c>
      <c r="L34" s="55">
        <f>'Summary Tables'!L122</f>
        <v>5</v>
      </c>
      <c r="M34" s="55">
        <f>'Summary Tables'!M122</f>
        <v>5.8250000000000002</v>
      </c>
      <c r="N34" s="55">
        <f>'Summary Tables'!N122</f>
        <v>6.37</v>
      </c>
      <c r="O34" s="55">
        <f>'Summary Tables'!O122</f>
        <v>7.8850000000000016</v>
      </c>
      <c r="P34" s="55">
        <f>'Summary Tables'!P122</f>
        <v>8.7199999999999989</v>
      </c>
      <c r="Q34" s="55">
        <f>'Summary Tables'!Q122</f>
        <v>8.8399999999999963</v>
      </c>
      <c r="R34" s="55">
        <f>'Summary Tables'!R122</f>
        <v>8.9299999999999944</v>
      </c>
      <c r="S34" s="65">
        <f>'Summary Tables'!S122</f>
        <v>8.9599999999999937</v>
      </c>
    </row>
    <row r="35" spans="2:19" s="92" customFormat="1" ht="12.75">
      <c r="B35" s="64" t="str">
        <f t="shared" si="20"/>
        <v>Street Light</v>
      </c>
      <c r="C35" s="55">
        <f>'Summary Tables'!C123</f>
        <v>29930</v>
      </c>
      <c r="D35" s="55">
        <f>'Summary Tables'!D123</f>
        <v>30116</v>
      </c>
      <c r="E35" s="55">
        <f>'Summary Tables'!E123</f>
        <v>30662</v>
      </c>
      <c r="F35" s="55">
        <f>'Summary Tables'!F123</f>
        <v>31097</v>
      </c>
      <c r="G35" s="55">
        <f>'Summary Tables'!G123</f>
        <v>31182</v>
      </c>
      <c r="H35" s="55">
        <f>'Summary Tables'!H123</f>
        <v>31612</v>
      </c>
      <c r="I35" s="55">
        <f>'Summary Tables'!I123</f>
        <v>31736</v>
      </c>
      <c r="J35" s="55">
        <f>'Summary Tables'!J123</f>
        <v>31845</v>
      </c>
      <c r="K35" s="55">
        <f>'Summary Tables'!K123</f>
        <v>32374</v>
      </c>
      <c r="L35" s="55">
        <f>'Summary Tables'!L123</f>
        <v>33008</v>
      </c>
      <c r="M35" s="55">
        <f>'Summary Tables'!M123</f>
        <v>33208.720266172058</v>
      </c>
      <c r="N35" s="55">
        <f>'Summary Tables'!N123</f>
        <v>33550.06548016498</v>
      </c>
      <c r="O35" s="55">
        <f>'Summary Tables'!O123</f>
        <v>33894.919307383039</v>
      </c>
      <c r="P35" s="55">
        <f>'Summary Tables'!P123</f>
        <v>34243.317812098598</v>
      </c>
      <c r="Q35" s="55">
        <f>'Summary Tables'!Q123</f>
        <v>34595.297429280807</v>
      </c>
      <c r="R35" s="55">
        <f>'Summary Tables'!R123</f>
        <v>34950.894968405948</v>
      </c>
      <c r="S35" s="65">
        <f>'Summary Tables'!S123</f>
        <v>35310.14761730696</v>
      </c>
    </row>
    <row r="36" spans="2:19" s="92" customFormat="1" ht="12.75">
      <c r="B36" s="64" t="str">
        <f t="shared" si="20"/>
        <v>Sentinel Light</v>
      </c>
      <c r="C36" s="55">
        <f>'Summary Tables'!C124</f>
        <v>439</v>
      </c>
      <c r="D36" s="55">
        <f>'Summary Tables'!D124</f>
        <v>439</v>
      </c>
      <c r="E36" s="55">
        <f>'Summary Tables'!E124</f>
        <v>439</v>
      </c>
      <c r="F36" s="55">
        <f>'Summary Tables'!F124</f>
        <v>439</v>
      </c>
      <c r="G36" s="55">
        <f>'Summary Tables'!G124</f>
        <v>260</v>
      </c>
      <c r="H36" s="55">
        <f>'Summary Tables'!H124</f>
        <v>251</v>
      </c>
      <c r="I36" s="55">
        <f>'Summary Tables'!I124</f>
        <v>247</v>
      </c>
      <c r="J36" s="55">
        <f>'Summary Tables'!J124</f>
        <v>245</v>
      </c>
      <c r="K36" s="55">
        <f>'Summary Tables'!K124</f>
        <v>241</v>
      </c>
      <c r="L36" s="55">
        <f>'Summary Tables'!L124</f>
        <v>236</v>
      </c>
      <c r="M36" s="55">
        <f>'Summary Tables'!M124</f>
        <v>232.43803633332885</v>
      </c>
      <c r="N36" s="55">
        <f>'Summary Tables'!N124</f>
        <v>228.50523656891096</v>
      </c>
      <c r="O36" s="55">
        <f>'Summary Tables'!O124</f>
        <v>224.63897889988763</v>
      </c>
      <c r="P36" s="55">
        <f>'Summary Tables'!P124</f>
        <v>220.83813744883696</v>
      </c>
      <c r="Q36" s="55">
        <f>'Summary Tables'!Q124</f>
        <v>217.10160538793207</v>
      </c>
      <c r="R36" s="55">
        <f>'Summary Tables'!R124</f>
        <v>213.42829461662623</v>
      </c>
      <c r="S36" s="65">
        <f>'Summary Tables'!S124</f>
        <v>209.81713544479143</v>
      </c>
    </row>
    <row r="37" spans="2:19" s="92" customFormat="1" ht="12.75">
      <c r="B37" s="64" t="str">
        <f t="shared" si="20"/>
        <v>USL</v>
      </c>
      <c r="C37" s="55">
        <f>'Summary Tables'!C125</f>
        <v>845</v>
      </c>
      <c r="D37" s="55">
        <f>'Summary Tables'!D125</f>
        <v>831</v>
      </c>
      <c r="E37" s="55">
        <f>'Summary Tables'!E125</f>
        <v>821</v>
      </c>
      <c r="F37" s="55">
        <f>'Summary Tables'!F125</f>
        <v>815</v>
      </c>
      <c r="G37" s="55">
        <f>'Summary Tables'!G125</f>
        <v>804</v>
      </c>
      <c r="H37" s="55">
        <f>'Summary Tables'!H125</f>
        <v>800</v>
      </c>
      <c r="I37" s="55">
        <f>'Summary Tables'!I125</f>
        <v>803</v>
      </c>
      <c r="J37" s="55">
        <f>'Summary Tables'!J125</f>
        <v>799</v>
      </c>
      <c r="K37" s="55">
        <f>'Summary Tables'!K125</f>
        <v>797</v>
      </c>
      <c r="L37" s="55">
        <f>'Summary Tables'!L125</f>
        <v>747</v>
      </c>
      <c r="M37" s="55">
        <f>'Summary Tables'!M125</f>
        <v>736.69013751953673</v>
      </c>
      <c r="N37" s="55">
        <f>'Summary Tables'!N125</f>
        <v>726.53670049778782</v>
      </c>
      <c r="O37" s="55">
        <f>'Summary Tables'!O125</f>
        <v>716.50926613481408</v>
      </c>
      <c r="P37" s="55">
        <f>'Summary Tables'!P125</f>
        <v>706.62022731309071</v>
      </c>
      <c r="Q37" s="55">
        <f>'Summary Tables'!Q125</f>
        <v>696.86767394025082</v>
      </c>
      <c r="R37" s="55">
        <f>'Summary Tables'!R125</f>
        <v>687.24972228642991</v>
      </c>
      <c r="S37" s="65">
        <f>'Summary Tables'!S125</f>
        <v>677.76451462041996</v>
      </c>
    </row>
    <row r="38" spans="2:19" s="92" customFormat="1" ht="13.5" thickBot="1">
      <c r="B38" s="63" t="s">
        <v>495</v>
      </c>
      <c r="C38" s="62">
        <f t="shared" ref="C38:Q38" si="21">SUM(C29:C37)</f>
        <v>149695</v>
      </c>
      <c r="D38" s="62">
        <f t="shared" si="21"/>
        <v>150919</v>
      </c>
      <c r="E38" s="62">
        <f t="shared" si="21"/>
        <v>152379</v>
      </c>
      <c r="F38" s="62">
        <f t="shared" si="21"/>
        <v>154177</v>
      </c>
      <c r="G38" s="62">
        <f t="shared" si="21"/>
        <v>155815</v>
      </c>
      <c r="H38" s="62">
        <f t="shared" si="21"/>
        <v>157208</v>
      </c>
      <c r="I38" s="62">
        <f t="shared" si="21"/>
        <v>158161</v>
      </c>
      <c r="J38" s="62">
        <f t="shared" si="21"/>
        <v>159750</v>
      </c>
      <c r="K38" s="62">
        <f t="shared" si="21"/>
        <v>161968</v>
      </c>
      <c r="L38" s="62">
        <f t="shared" si="21"/>
        <v>164455</v>
      </c>
      <c r="M38" s="62">
        <f t="shared" ca="1" si="21"/>
        <v>167085.2323145222</v>
      </c>
      <c r="N38" s="62">
        <f t="shared" ca="1" si="21"/>
        <v>170050.24154162739</v>
      </c>
      <c r="O38" s="62">
        <f t="shared" ca="1" si="21"/>
        <v>173007.59023927333</v>
      </c>
      <c r="P38" s="62">
        <f t="shared" ca="1" si="21"/>
        <v>175853.02155130403</v>
      </c>
      <c r="Q38" s="62">
        <f t="shared" ca="1" si="21"/>
        <v>178792.31631244282</v>
      </c>
      <c r="R38" s="62">
        <f ca="1">SUM(R29:R37)</f>
        <v>181870.64486451293</v>
      </c>
      <c r="S38" s="60">
        <f ca="1">SUM(S29:S37)</f>
        <v>184969.65628157317</v>
      </c>
    </row>
    <row r="39" spans="2:19" s="92" customFormat="1" ht="15.75">
      <c r="B39" s="71"/>
    </row>
    <row r="40" spans="2:19" s="92" customFormat="1" ht="15.75">
      <c r="B40" s="71"/>
    </row>
    <row r="41" spans="2:19" s="92" customFormat="1" ht="15.75">
      <c r="B41" s="71"/>
    </row>
    <row r="42" spans="2:19" s="92" customFormat="1" ht="15.75">
      <c r="B42" s="71"/>
    </row>
    <row r="43" spans="2:19" s="92" customFormat="1" ht="15.75">
      <c r="B43" s="71"/>
    </row>
    <row r="44" spans="2:19" s="92" customFormat="1" ht="15.75">
      <c r="B44" s="71"/>
    </row>
    <row r="45" spans="2:19" s="92" customFormat="1" ht="15.75">
      <c r="B45" s="71"/>
    </row>
    <row r="46" spans="2:19" s="92" customFormat="1" ht="15.75">
      <c r="B46" s="71"/>
    </row>
    <row r="47" spans="2:19" s="92" customFormat="1" ht="15.75">
      <c r="B47" s="71"/>
    </row>
    <row r="48" spans="2:19" s="92" customFormat="1" ht="15.75">
      <c r="B48" s="71"/>
    </row>
    <row r="49" spans="2:19" s="92" customFormat="1" ht="12.75"/>
    <row r="50" spans="2:19" s="92" customFormat="1" ht="12.75"/>
    <row r="51" spans="2:19" s="92" customFormat="1" ht="12.75"/>
    <row r="52" spans="2:19" s="92" customFormat="1" ht="12.75"/>
    <row r="53" spans="2:19" s="92" customFormat="1" ht="12.75"/>
    <row r="54" spans="2:19" s="92" customFormat="1" ht="12.75"/>
    <row r="55" spans="2:19" s="92" customFormat="1" ht="16.5" thickBot="1">
      <c r="B55" s="71" t="s">
        <v>497</v>
      </c>
    </row>
    <row r="56" spans="2:19" s="92" customFormat="1" ht="25.5">
      <c r="B56" s="59" t="s">
        <v>178</v>
      </c>
      <c r="C56" s="58" t="str">
        <f t="shared" ref="C56:S56" si="22">C2</f>
        <v>2015 Actual</v>
      </c>
      <c r="D56" s="58" t="str">
        <f t="shared" si="22"/>
        <v>2016 Actual</v>
      </c>
      <c r="E56" s="58" t="str">
        <f t="shared" si="22"/>
        <v>2017 Actual</v>
      </c>
      <c r="F56" s="58" t="str">
        <f t="shared" si="22"/>
        <v>2018 Actual</v>
      </c>
      <c r="G56" s="58" t="str">
        <f t="shared" si="22"/>
        <v>2019 Actual</v>
      </c>
      <c r="H56" s="58" t="str">
        <f t="shared" si="22"/>
        <v>2020 Actual</v>
      </c>
      <c r="I56" s="58" t="str">
        <f t="shared" si="22"/>
        <v>2021 Actual</v>
      </c>
      <c r="J56" s="58" t="str">
        <f t="shared" si="22"/>
        <v>2022 Actual</v>
      </c>
      <c r="K56" s="58" t="str">
        <f t="shared" si="22"/>
        <v>2023 Actual</v>
      </c>
      <c r="L56" s="58" t="str">
        <f t="shared" si="22"/>
        <v>2024 Actual</v>
      </c>
      <c r="M56" s="58" t="str">
        <f t="shared" si="22"/>
        <v>2025 Forecast</v>
      </c>
      <c r="N56" s="58" t="str">
        <f t="shared" si="22"/>
        <v>2026 Forecast</v>
      </c>
      <c r="O56" s="58" t="str">
        <f t="shared" si="22"/>
        <v>2027 Forecast</v>
      </c>
      <c r="P56" s="58" t="str">
        <f t="shared" si="22"/>
        <v>2028 Forecast</v>
      </c>
      <c r="Q56" s="58" t="str">
        <f t="shared" si="22"/>
        <v>2029 Forecast</v>
      </c>
      <c r="R56" s="58" t="str">
        <f t="shared" si="22"/>
        <v>2030 Forecast</v>
      </c>
      <c r="S56" s="57" t="str">
        <f t="shared" si="22"/>
        <v>2031 Forecast</v>
      </c>
    </row>
    <row r="57" spans="2:19" s="92" customFormat="1" ht="12.75">
      <c r="B57" s="64" t="str">
        <f>'Summary Tables'!B106</f>
        <v>Residential</v>
      </c>
      <c r="C57" s="55">
        <f ca="1">'Summary Tables'!C16</f>
        <v>338703899.02863026</v>
      </c>
      <c r="D57" s="55">
        <f ca="1">'Summary Tables'!D16</f>
        <v>370346014.4023304</v>
      </c>
      <c r="E57" s="55">
        <f ca="1">'Summary Tables'!E16</f>
        <v>342395880.86244047</v>
      </c>
      <c r="F57" s="55">
        <f ca="1">'Summary Tables'!F16</f>
        <v>368689346.9634791</v>
      </c>
      <c r="G57" s="55">
        <f ca="1">'Summary Tables'!G16</f>
        <v>353188013.54001999</v>
      </c>
      <c r="H57" s="55">
        <f ca="1">'Summary Tables'!H16</f>
        <v>393916006.9360795</v>
      </c>
      <c r="I57" s="55">
        <f ca="1">'Summary Tables'!I16</f>
        <v>395025787.98234016</v>
      </c>
      <c r="J57" s="55">
        <f ca="1">'Summary Tables'!J16</f>
        <v>393586007.66831976</v>
      </c>
      <c r="K57" s="55">
        <f ca="1">'Summary Tables'!K16</f>
        <v>392504225.69293898</v>
      </c>
      <c r="L57" s="55">
        <f ca="1">'Summary Tables'!L16</f>
        <v>410753366.73417681</v>
      </c>
      <c r="M57" s="55">
        <f ca="1">'Summary Tables'!L42</f>
        <v>420868871.21270436</v>
      </c>
      <c r="N57" s="55">
        <f ca="1">'Summary Tables'!M42</f>
        <v>429484099.12396997</v>
      </c>
      <c r="O57" s="55">
        <f ca="1">'Summary Tables'!N42</f>
        <v>439097043.41427279</v>
      </c>
      <c r="P57" s="55">
        <f ca="1">'Summary Tables'!O42</f>
        <v>446916236.74809545</v>
      </c>
      <c r="Q57" s="55">
        <f ca="1">'Summary Tables'!P42</f>
        <v>456006553.67833424</v>
      </c>
      <c r="R57" s="55">
        <f ca="1">'Summary Tables'!Q42</f>
        <v>467964396.81071305</v>
      </c>
      <c r="S57" s="65">
        <f ca="1">'Summary Tables'!R42</f>
        <v>478427712.71105832</v>
      </c>
    </row>
    <row r="58" spans="2:19" s="92" customFormat="1" ht="12.75">
      <c r="B58" s="64" t="str">
        <f>'Summary Tables'!B107</f>
        <v>GS&lt;50</v>
      </c>
      <c r="C58" s="55">
        <f ca="1">'Summary Tables'!C17</f>
        <v>79714047.749680027</v>
      </c>
      <c r="D58" s="55">
        <f ca="1">'Summary Tables'!D17</f>
        <v>89219216.553899974</v>
      </c>
      <c r="E58" s="55">
        <f ca="1">'Summary Tables'!E17</f>
        <v>87028896.619829968</v>
      </c>
      <c r="F58" s="55">
        <f ca="1">'Summary Tables'!F17</f>
        <v>90146107.58235006</v>
      </c>
      <c r="G58" s="55">
        <f ca="1">'Summary Tables'!G17</f>
        <v>89224578.835409939</v>
      </c>
      <c r="H58" s="55">
        <f ca="1">'Summary Tables'!H17</f>
        <v>81674844.845230013</v>
      </c>
      <c r="I58" s="55">
        <f ca="1">'Summary Tables'!I17</f>
        <v>82555807.732179999</v>
      </c>
      <c r="J58" s="55">
        <f ca="1">'Summary Tables'!J17</f>
        <v>87488274.475439951</v>
      </c>
      <c r="K58" s="55">
        <f ca="1">'Summary Tables'!K17</f>
        <v>88772162.724419996</v>
      </c>
      <c r="L58" s="55">
        <f ca="1">'Summary Tables'!L17</f>
        <v>88408717.91074124</v>
      </c>
      <c r="M58" s="55">
        <f ca="1">'Summary Tables'!L44</f>
        <v>91865097.571131602</v>
      </c>
      <c r="N58" s="55">
        <f ca="1">'Summary Tables'!M44</f>
        <v>91880260.805829793</v>
      </c>
      <c r="O58" s="55">
        <f ca="1">'Summary Tables'!N44</f>
        <v>92220583.34207429</v>
      </c>
      <c r="P58" s="55">
        <f ca="1">'Summary Tables'!O44</f>
        <v>92127188.90558517</v>
      </c>
      <c r="Q58" s="55">
        <f ca="1">'Summary Tables'!P44</f>
        <v>92276639.912228808</v>
      </c>
      <c r="R58" s="55">
        <f ca="1">'Summary Tables'!Q44</f>
        <v>92558249.961664766</v>
      </c>
      <c r="S58" s="65">
        <f ca="1">'Summary Tables'!R44</f>
        <v>92985234.655091539</v>
      </c>
    </row>
    <row r="59" spans="2:19" s="92" customFormat="1" ht="12.75">
      <c r="B59" s="64" t="str">
        <f>'Summary Tables'!B108</f>
        <v>GS 50 - 2,999</v>
      </c>
      <c r="C59" s="55">
        <f ca="1">'Summary Tables'!C18</f>
        <v>352899431.06331873</v>
      </c>
      <c r="D59" s="55">
        <f ca="1">'Summary Tables'!D18</f>
        <v>358773984.16000003</v>
      </c>
      <c r="E59" s="55">
        <f ca="1">'Summary Tables'!E18</f>
        <v>343423307.15999997</v>
      </c>
      <c r="F59" s="55">
        <f ca="1">'Summary Tables'!F18</f>
        <v>350668948.01999998</v>
      </c>
      <c r="G59" s="55">
        <f ca="1">'Summary Tables'!G18</f>
        <v>339922011.33999991</v>
      </c>
      <c r="H59" s="55">
        <f ca="1">'Summary Tables'!H18</f>
        <v>322964211.5</v>
      </c>
      <c r="I59" s="55">
        <f ca="1">'Summary Tables'!I18</f>
        <v>317381493.69</v>
      </c>
      <c r="J59" s="55">
        <f ca="1">'Summary Tables'!J18</f>
        <v>327733925.63999999</v>
      </c>
      <c r="K59" s="55">
        <f ca="1">'Summary Tables'!K18</f>
        <v>328654262.78999996</v>
      </c>
      <c r="L59" s="55">
        <f ca="1">'Summary Tables'!L18</f>
        <v>336698539.93000007</v>
      </c>
      <c r="M59" s="55">
        <f ca="1">'Summary Tables'!L45</f>
        <v>333000010.61574209</v>
      </c>
      <c r="N59" s="55">
        <f ca="1">'Summary Tables'!M45</f>
        <v>347810939.07917917</v>
      </c>
      <c r="O59" s="55">
        <f ca="1">'Summary Tables'!N45</f>
        <v>355866835.57952148</v>
      </c>
      <c r="P59" s="55">
        <f ca="1">'Summary Tables'!O45</f>
        <v>358980060.58430421</v>
      </c>
      <c r="Q59" s="55">
        <f ca="1">'Summary Tables'!P45</f>
        <v>364191858.4493953</v>
      </c>
      <c r="R59" s="55">
        <f ca="1">'Summary Tables'!Q45</f>
        <v>366061156.97285277</v>
      </c>
      <c r="S59" s="65">
        <f ca="1">'Summary Tables'!R45</f>
        <v>366512223.63877064</v>
      </c>
    </row>
    <row r="60" spans="2:19" s="92" customFormat="1" ht="12.75">
      <c r="B60" s="64" t="str">
        <f>'Summary Tables'!B109</f>
        <v>GS 3,000 - 4,999</v>
      </c>
      <c r="C60" s="55">
        <f ca="1">'Summary Tables'!C19</f>
        <v>59790687.039999992</v>
      </c>
      <c r="D60" s="55">
        <f ca="1">'Summary Tables'!D19</f>
        <v>62626456.32</v>
      </c>
      <c r="E60" s="55">
        <f ca="1">'Summary Tables'!E19</f>
        <v>61143400.199999996</v>
      </c>
      <c r="F60" s="55">
        <f ca="1">'Summary Tables'!F19</f>
        <v>72194607.670000002</v>
      </c>
      <c r="G60" s="55">
        <f ca="1">'Summary Tables'!G19</f>
        <v>79821855.49000001</v>
      </c>
      <c r="H60" s="55">
        <f ca="1">'Summary Tables'!H19</f>
        <v>85368173.439999998</v>
      </c>
      <c r="I60" s="55">
        <f ca="1">'Summary Tables'!I19</f>
        <v>88615341.370000005</v>
      </c>
      <c r="J60" s="55">
        <f ca="1">'Summary Tables'!J19</f>
        <v>88680038.160000011</v>
      </c>
      <c r="K60" s="55">
        <f ca="1">'Summary Tables'!K19</f>
        <v>85763218.280000001</v>
      </c>
      <c r="L60" s="55">
        <f ca="1">'Summary Tables'!L19</f>
        <v>82433193.179999992</v>
      </c>
      <c r="M60" s="55">
        <f ca="1">'Summary Tables'!L46</f>
        <v>90574521.320152208</v>
      </c>
      <c r="N60" s="55">
        <f ca="1">'Summary Tables'!M46</f>
        <v>109411111.63764702</v>
      </c>
      <c r="O60" s="55">
        <f ca="1">'Summary Tables'!N46</f>
        <v>121483640.89527072</v>
      </c>
      <c r="P60" s="55">
        <f ca="1">'Summary Tables'!O46</f>
        <v>125836143.41840598</v>
      </c>
      <c r="Q60" s="55">
        <f ca="1">'Summary Tables'!P46</f>
        <v>129926236.49593435</v>
      </c>
      <c r="R60" s="55">
        <f ca="1">'Summary Tables'!Q46</f>
        <v>138457257.88667884</v>
      </c>
      <c r="S60" s="65">
        <f ca="1">'Summary Tables'!R46</f>
        <v>148047521.96019441</v>
      </c>
    </row>
    <row r="61" spans="2:19" s="92" customFormat="1" ht="12.75">
      <c r="B61" s="64" t="str">
        <f>'Summary Tables'!B110</f>
        <v>Street Light</v>
      </c>
      <c r="C61" s="55">
        <f ca="1">'Summary Tables'!C20</f>
        <v>9273958.5999999996</v>
      </c>
      <c r="D61" s="55">
        <f ca="1">'Summary Tables'!D20</f>
        <v>6314646.5300000003</v>
      </c>
      <c r="E61" s="55">
        <f ca="1">'Summary Tables'!E20</f>
        <v>4989079.4000000004</v>
      </c>
      <c r="F61" s="55">
        <f ca="1">'Summary Tables'!F20</f>
        <v>3813016.9899999998</v>
      </c>
      <c r="G61" s="55">
        <f ca="1">'Summary Tables'!G20</f>
        <v>3495126.45</v>
      </c>
      <c r="H61" s="55">
        <f ca="1">'Summary Tables'!H20</f>
        <v>3375506.85</v>
      </c>
      <c r="I61" s="55">
        <f ca="1">'Summary Tables'!I20</f>
        <v>3254529.2399999998</v>
      </c>
      <c r="J61" s="55">
        <f ca="1">'Summary Tables'!J20</f>
        <v>3584406.7699999996</v>
      </c>
      <c r="K61" s="55">
        <f ca="1">'Summary Tables'!K20</f>
        <v>3668423.59</v>
      </c>
      <c r="L61" s="55">
        <f ca="1">'Summary Tables'!L20</f>
        <v>3708102.8000000003</v>
      </c>
      <c r="M61" s="55">
        <f ca="1">'Summary Tables'!L48</f>
        <v>3769413.3310388532</v>
      </c>
      <c r="N61" s="55">
        <f ca="1">'Summary Tables'!M48</f>
        <v>3831737.5829530451</v>
      </c>
      <c r="O61" s="55">
        <f ca="1">'Summary Tables'!N48</f>
        <v>3895092.3168111197</v>
      </c>
      <c r="P61" s="55">
        <f ca="1">'Summary Tables'!O48</f>
        <v>3959494.5708125578</v>
      </c>
      <c r="Q61" s="55">
        <f ca="1">'Summary Tables'!P48</f>
        <v>4024961.6648699204</v>
      </c>
      <c r="R61" s="55">
        <f ca="1">'Summary Tables'!Q48</f>
        <v>4091511.2052667504</v>
      </c>
      <c r="S61" s="65">
        <f ca="1">'Summary Tables'!R48</f>
        <v>4159161.089392487</v>
      </c>
    </row>
    <row r="62" spans="2:19" s="92" customFormat="1" ht="12.75">
      <c r="B62" s="64" t="str">
        <f>'Summary Tables'!B111</f>
        <v>Sentinel Light</v>
      </c>
      <c r="C62" s="55">
        <f ca="1">'Summary Tables'!C21</f>
        <v>32743.483880190775</v>
      </c>
      <c r="D62" s="55">
        <f ca="1">'Summary Tables'!D21</f>
        <v>31709.479126079488</v>
      </c>
      <c r="E62" s="55">
        <f ca="1">'Summary Tables'!E21</f>
        <v>30330.806120597761</v>
      </c>
      <c r="F62" s="55">
        <f ca="1">'Summary Tables'!F21</f>
        <v>29986.137869227339</v>
      </c>
      <c r="G62" s="55">
        <f ca="1">'Summary Tables'!G21</f>
        <v>29641.469617856914</v>
      </c>
      <c r="H62" s="55">
        <f ca="1">'Summary Tables'!H21</f>
        <v>24816.1140986709</v>
      </c>
      <c r="I62" s="55">
        <f ca="1">'Summary Tables'!I21</f>
        <v>25473.639999999985</v>
      </c>
      <c r="J62" s="55">
        <f ca="1">'Summary Tables'!J21</f>
        <v>30995.533717316393</v>
      </c>
      <c r="K62" s="55">
        <f ca="1">'Summary Tables'!K21</f>
        <v>31196.699999999993</v>
      </c>
      <c r="L62" s="55">
        <f ca="1">'Summary Tables'!L21</f>
        <v>29865.999999999989</v>
      </c>
      <c r="M62" s="55">
        <f ca="1">'Summary Tables'!L49</f>
        <v>31238.247693689678</v>
      </c>
      <c r="N62" s="55">
        <f ca="1">'Summary Tables'!M49</f>
        <v>31652.571214880914</v>
      </c>
      <c r="O62" s="55">
        <f ca="1">'Summary Tables'!N49</f>
        <v>32072.390050082573</v>
      </c>
      <c r="P62" s="55">
        <f ca="1">'Summary Tables'!O49</f>
        <v>32497.777085516482</v>
      </c>
      <c r="Q62" s="55">
        <f ca="1">'Summary Tables'!P49</f>
        <v>32928.806174119265</v>
      </c>
      <c r="R62" s="55">
        <f ca="1">'Summary Tables'!Q49</f>
        <v>33365.552148364186</v>
      </c>
      <c r="S62" s="65">
        <f ca="1">'Summary Tables'!R49</f>
        <v>33808.090833253111</v>
      </c>
    </row>
    <row r="63" spans="2:19" s="92" customFormat="1" ht="12.75">
      <c r="B63" s="64" t="str">
        <f>'Summary Tables'!B112</f>
        <v>USL</v>
      </c>
      <c r="C63" s="55">
        <f ca="1">'Summary Tables'!C22</f>
        <v>632882.16</v>
      </c>
      <c r="D63" s="55">
        <f ca="1">'Summary Tables'!D22</f>
        <v>598539.54</v>
      </c>
      <c r="E63" s="55">
        <f ca="1">'Summary Tables'!E22</f>
        <v>597299.67999999982</v>
      </c>
      <c r="F63" s="55">
        <f ca="1">'Summary Tables'!F22</f>
        <v>604470.16999999993</v>
      </c>
      <c r="G63" s="55">
        <f ca="1">'Summary Tables'!G22</f>
        <v>597885.07999999996</v>
      </c>
      <c r="H63" s="55">
        <f ca="1">'Summary Tables'!H22</f>
        <v>1852577.37</v>
      </c>
      <c r="I63" s="55">
        <f ca="1">'Summary Tables'!I22</f>
        <v>1969676.7400000002</v>
      </c>
      <c r="J63" s="55">
        <f ca="1">'Summary Tables'!J22</f>
        <v>1956354.06</v>
      </c>
      <c r="K63" s="55">
        <f ca="1">'Summary Tables'!K22</f>
        <v>1961564.28</v>
      </c>
      <c r="L63" s="55">
        <f ca="1">'Summary Tables'!L22</f>
        <v>1961874.72</v>
      </c>
      <c r="M63" s="55">
        <f ca="1">'Summary Tables'!L50</f>
        <v>1926400.0408803986</v>
      </c>
      <c r="N63" s="55">
        <f ca="1">'Summary Tables'!M50</f>
        <v>1936353.0077134862</v>
      </c>
      <c r="O63" s="55">
        <f ca="1">'Summary Tables'!N50</f>
        <v>1946357.3976916517</v>
      </c>
      <c r="P63" s="55">
        <f ca="1">'Summary Tables'!O50</f>
        <v>1956413.4764984741</v>
      </c>
      <c r="Q63" s="55">
        <f ca="1">'Summary Tables'!P50</f>
        <v>1966521.5111902175</v>
      </c>
      <c r="R63" s="55">
        <f ca="1">'Summary Tables'!Q50</f>
        <v>1976681.7702029219</v>
      </c>
      <c r="S63" s="65">
        <f ca="1">'Summary Tables'!R50</f>
        <v>1986894.5233595334</v>
      </c>
    </row>
    <row r="64" spans="2:19" s="92" customFormat="1" ht="13.5" thickBot="1">
      <c r="B64" s="63" t="s">
        <v>162</v>
      </c>
      <c r="C64" s="62">
        <f t="shared" ref="C64:R64" ca="1" si="23">SUM(C57:C63)</f>
        <v>841047649.12550914</v>
      </c>
      <c r="D64" s="62">
        <f t="shared" ca="1" si="23"/>
        <v>887910566.98535657</v>
      </c>
      <c r="E64" s="62">
        <f t="shared" ca="1" si="23"/>
        <v>839608194.72839093</v>
      </c>
      <c r="F64" s="62">
        <f t="shared" ca="1" si="23"/>
        <v>886146483.53369832</v>
      </c>
      <c r="G64" s="62">
        <f t="shared" ca="1" si="23"/>
        <v>866279112.20504773</v>
      </c>
      <c r="H64" s="62">
        <f t="shared" ca="1" si="23"/>
        <v>889176137.05540812</v>
      </c>
      <c r="I64" s="62">
        <f t="shared" ca="1" si="23"/>
        <v>888828110.39452016</v>
      </c>
      <c r="J64" s="62">
        <f t="shared" ca="1" si="23"/>
        <v>903060002.30747688</v>
      </c>
      <c r="K64" s="62">
        <f t="shared" ca="1" si="23"/>
        <v>901355054.05735898</v>
      </c>
      <c r="L64" s="62">
        <f ca="1">SUM(L57:L63)</f>
        <v>923993661.27491808</v>
      </c>
      <c r="M64" s="62">
        <f t="shared" ca="1" si="23"/>
        <v>942035552.33934319</v>
      </c>
      <c r="N64" s="62">
        <f t="shared" ca="1" si="23"/>
        <v>984386153.80850744</v>
      </c>
      <c r="O64" s="62">
        <f t="shared" ca="1" si="23"/>
        <v>1014541625.335692</v>
      </c>
      <c r="P64" s="62">
        <f t="shared" ca="1" si="23"/>
        <v>1029808035.4807874</v>
      </c>
      <c r="Q64" s="62">
        <f t="shared" ca="1" si="23"/>
        <v>1048425700.518127</v>
      </c>
      <c r="R64" s="62">
        <f t="shared" ca="1" si="23"/>
        <v>1071142620.1595274</v>
      </c>
      <c r="S64" s="60">
        <f ca="1">SUM(S57:S63)</f>
        <v>1092152556.6687</v>
      </c>
    </row>
    <row r="65" spans="1:19" s="92" customFormat="1" ht="12.75">
      <c r="B65" s="64" t="str">
        <f>B59</f>
        <v>GS 50 - 2,999</v>
      </c>
      <c r="C65" s="55">
        <f ca="1">'Summary Tables'!C65</f>
        <v>823988.30999999982</v>
      </c>
      <c r="D65" s="55">
        <f ca="1">'Summary Tables'!D65</f>
        <v>847805.77999999991</v>
      </c>
      <c r="E65" s="55">
        <f ca="1">'Summary Tables'!E65</f>
        <v>816193.45000000007</v>
      </c>
      <c r="F65" s="55">
        <f ca="1">'Summary Tables'!F65</f>
        <v>835852.88</v>
      </c>
      <c r="G65" s="55">
        <f ca="1">'Summary Tables'!G65</f>
        <v>811487.09999999986</v>
      </c>
      <c r="H65" s="55">
        <f ca="1">'Summary Tables'!H65</f>
        <v>783041.75999999989</v>
      </c>
      <c r="I65" s="55">
        <f ca="1">'Summary Tables'!I65</f>
        <v>760128.48</v>
      </c>
      <c r="J65" s="55">
        <f ca="1">'Summary Tables'!J65</f>
        <v>795164.42999999993</v>
      </c>
      <c r="K65" s="55">
        <f ca="1">'Summary Tables'!K65</f>
        <v>773424.36</v>
      </c>
      <c r="L65" s="55">
        <f ca="1">'Summary Tables'!L65</f>
        <v>765937.02</v>
      </c>
      <c r="M65" s="55">
        <f ca="1">'Summary Tables'!L82</f>
        <v>792038.79870096827</v>
      </c>
      <c r="N65" s="55">
        <f ca="1">'Summary Tables'!M82</f>
        <v>834734.1055414828</v>
      </c>
      <c r="O65" s="55">
        <f ca="1">'Summary Tables'!N82</f>
        <v>858661.61723306729</v>
      </c>
      <c r="P65" s="55">
        <f ca="1">'Summary Tables'!O82</f>
        <v>871800.33049264411</v>
      </c>
      <c r="Q65" s="55">
        <f ca="1">'Summary Tables'!P82</f>
        <v>891036.29275398084</v>
      </c>
      <c r="R65" s="55">
        <f ca="1">'Summary Tables'!Q82</f>
        <v>902940.32213359501</v>
      </c>
      <c r="S65" s="65">
        <f ca="1">'Summary Tables'!R82</f>
        <v>911040.42826834694</v>
      </c>
    </row>
    <row r="66" spans="1:19" s="92" customFormat="1" ht="12.75">
      <c r="B66" s="64" t="str">
        <f>B60</f>
        <v>GS 3,000 - 4,999</v>
      </c>
      <c r="C66" s="55">
        <f ca="1">'Summary Tables'!C66</f>
        <v>90011.670000000013</v>
      </c>
      <c r="D66" s="55">
        <f ca="1">'Summary Tables'!D66</f>
        <v>93876.75</v>
      </c>
      <c r="E66" s="55">
        <f ca="1">'Summary Tables'!E66</f>
        <v>90337.329999999987</v>
      </c>
      <c r="F66" s="55">
        <f ca="1">'Summary Tables'!F66</f>
        <v>114913.62000000001</v>
      </c>
      <c r="G66" s="55">
        <f ca="1">'Summary Tables'!G66</f>
        <v>147600.45000000001</v>
      </c>
      <c r="H66" s="55">
        <f ca="1">'Summary Tables'!H66</f>
        <v>146756.25999999998</v>
      </c>
      <c r="I66" s="55">
        <f ca="1">'Summary Tables'!I66</f>
        <v>151779.59</v>
      </c>
      <c r="J66" s="55">
        <f ca="1">'Summary Tables'!J66</f>
        <v>164454.65</v>
      </c>
      <c r="K66" s="55">
        <f ca="1">'Summary Tables'!K66</f>
        <v>160651.39000000001</v>
      </c>
      <c r="L66" s="55">
        <f ca="1">'Summary Tables'!L66</f>
        <v>160377.93</v>
      </c>
      <c r="M66" s="55">
        <f ca="1">'Summary Tables'!L83</f>
        <v>165582.18164139806</v>
      </c>
      <c r="N66" s="55">
        <f ca="1">'Summary Tables'!M83</f>
        <v>201298.35000072836</v>
      </c>
      <c r="O66" s="55">
        <f ca="1">'Summary Tables'!N83</f>
        <v>225033.19018294194</v>
      </c>
      <c r="P66" s="55">
        <f ca="1">'Summary Tables'!O83</f>
        <v>234818.19618120225</v>
      </c>
      <c r="Q66" s="55">
        <f ca="1">'Summary Tables'!P83</f>
        <v>244310.3782710919</v>
      </c>
      <c r="R66" s="55">
        <f ca="1">'Summary Tables'!Q83</f>
        <v>262393.34316623054</v>
      </c>
      <c r="S66" s="65">
        <f ca="1">'Summary Tables'!R83</f>
        <v>282630.24203393806</v>
      </c>
    </row>
    <row r="67" spans="1:19" s="92" customFormat="1" ht="12.75">
      <c r="B67" s="64" t="str">
        <f>B61</f>
        <v>Street Light</v>
      </c>
      <c r="C67" s="55">
        <f ca="1">'Summary Tables'!C67</f>
        <v>23991.02</v>
      </c>
      <c r="D67" s="55">
        <f ca="1">'Summary Tables'!D67</f>
        <v>16142.07</v>
      </c>
      <c r="E67" s="55">
        <f ca="1">'Summary Tables'!E67</f>
        <v>12797.349999999999</v>
      </c>
      <c r="F67" s="55">
        <f ca="1">'Summary Tables'!F67</f>
        <v>9791.36</v>
      </c>
      <c r="G67" s="55">
        <f ca="1">'Summary Tables'!G67</f>
        <v>8980.67</v>
      </c>
      <c r="H67" s="55">
        <f ca="1">'Summary Tables'!H67</f>
        <v>9314.0300000000025</v>
      </c>
      <c r="I67" s="55">
        <f ca="1">'Summary Tables'!I67</f>
        <v>9362</v>
      </c>
      <c r="J67" s="55">
        <f ca="1">'Summary Tables'!J67</f>
        <v>9581</v>
      </c>
      <c r="K67" s="55">
        <f ca="1">'Summary Tables'!K67</f>
        <v>9810</v>
      </c>
      <c r="L67" s="55">
        <f ca="1">'Summary Tables'!L67</f>
        <v>9886</v>
      </c>
      <c r="M67" s="55">
        <f ca="1">'Summary Tables'!L85</f>
        <v>9986.964521792901</v>
      </c>
      <c r="N67" s="55">
        <f ca="1">'Summary Tables'!M85</f>
        <v>10152.091038322405</v>
      </c>
      <c r="O67" s="55">
        <f ca="1">'Summary Tables'!N85</f>
        <v>10319.947790490745</v>
      </c>
      <c r="P67" s="55">
        <f ca="1">'Summary Tables'!O85</f>
        <v>10490.579920573065</v>
      </c>
      <c r="Q67" s="55">
        <f ca="1">'Summary Tables'!P85</f>
        <v>10664.033317236139</v>
      </c>
      <c r="R67" s="55">
        <f ca="1">'Summary Tables'!Q85</f>
        <v>10840.354627879351</v>
      </c>
      <c r="S67" s="65">
        <f ca="1">'Summary Tables'!R85</f>
        <v>11019.591271179737</v>
      </c>
    </row>
    <row r="68" spans="1:19" s="92" customFormat="1" ht="12.75">
      <c r="B68" s="64" t="str">
        <f>B62</f>
        <v>Sentinel Light</v>
      </c>
      <c r="C68" s="55">
        <f ca="1">'Summary Tables'!C68</f>
        <v>95.000000000000014</v>
      </c>
      <c r="D68" s="55">
        <f ca="1">'Summary Tables'!D68</f>
        <v>92.000000000000014</v>
      </c>
      <c r="E68" s="55">
        <f ca="1">'Summary Tables'!E68</f>
        <v>87.999999999999986</v>
      </c>
      <c r="F68" s="55">
        <f ca="1">'Summary Tables'!F68</f>
        <v>87</v>
      </c>
      <c r="G68" s="55">
        <f ca="1">'Summary Tables'!G68</f>
        <v>86.000000000000014</v>
      </c>
      <c r="H68" s="55">
        <f ca="1">'Summary Tables'!H68</f>
        <v>72</v>
      </c>
      <c r="I68" s="55">
        <f ca="1">'Summary Tables'!I68</f>
        <v>71</v>
      </c>
      <c r="J68" s="55">
        <f ca="1">'Summary Tables'!J68</f>
        <v>95.000000000000014</v>
      </c>
      <c r="K68" s="55">
        <f ca="1">'Summary Tables'!K68</f>
        <v>92.000000000000014</v>
      </c>
      <c r="L68" s="55">
        <f ca="1">'Summary Tables'!L68</f>
        <v>83</v>
      </c>
      <c r="M68" s="55">
        <f ca="1">'Summary Tables'!L86</f>
        <v>91.644506247205769</v>
      </c>
      <c r="N68" s="55">
        <f ca="1">'Summary Tables'!M86</f>
        <v>92.860018554378001</v>
      </c>
      <c r="O68" s="55">
        <f ca="1">'Summary Tables'!N86</f>
        <v>94.091652615372567</v>
      </c>
      <c r="P68" s="55">
        <f ca="1">'Summary Tables'!O86</f>
        <v>95.339622258502658</v>
      </c>
      <c r="Q68" s="55">
        <f ca="1">'Summary Tables'!P86</f>
        <v>96.60414414815925</v>
      </c>
      <c r="R68" s="55">
        <f ca="1">'Summary Tables'!Q86</f>
        <v>97.885437822426894</v>
      </c>
      <c r="S68" s="65">
        <f ca="1">'Summary Tables'!R86</f>
        <v>99.183725731198621</v>
      </c>
    </row>
    <row r="69" spans="1:19" s="92" customFormat="1" ht="13.5" thickBot="1">
      <c r="B69" s="63" t="s">
        <v>494</v>
      </c>
      <c r="C69" s="62">
        <f t="shared" ref="C69:S69" ca="1" si="24">SUM(C65:C68)</f>
        <v>938085.99999999988</v>
      </c>
      <c r="D69" s="62">
        <f t="shared" ca="1" si="24"/>
        <v>957916.59999999986</v>
      </c>
      <c r="E69" s="62">
        <f t="shared" ca="1" si="24"/>
        <v>919416.13</v>
      </c>
      <c r="F69" s="62">
        <f t="shared" ca="1" si="24"/>
        <v>960644.86</v>
      </c>
      <c r="G69" s="62">
        <f t="shared" ca="1" si="24"/>
        <v>968154.21999999986</v>
      </c>
      <c r="H69" s="62">
        <f t="shared" ca="1" si="24"/>
        <v>939184.04999999993</v>
      </c>
      <c r="I69" s="62">
        <f t="shared" ca="1" si="24"/>
        <v>921341.07</v>
      </c>
      <c r="J69" s="62">
        <f t="shared" ca="1" si="24"/>
        <v>969295.08</v>
      </c>
      <c r="K69" s="62">
        <f t="shared" ca="1" si="24"/>
        <v>943977.75</v>
      </c>
      <c r="L69" s="62">
        <f t="shared" ref="L69" ca="1" si="25">SUM(L65:L68)</f>
        <v>936283.95</v>
      </c>
      <c r="M69" s="62">
        <f t="shared" ca="1" si="24"/>
        <v>967699.58937040647</v>
      </c>
      <c r="N69" s="62">
        <f t="shared" ca="1" si="24"/>
        <v>1046277.406599088</v>
      </c>
      <c r="O69" s="62">
        <f t="shared" ca="1" si="24"/>
        <v>1094108.8468591154</v>
      </c>
      <c r="P69" s="62">
        <f t="shared" ca="1" si="24"/>
        <v>1117204.446216678</v>
      </c>
      <c r="Q69" s="62">
        <f t="shared" ca="1" si="24"/>
        <v>1146107.308486457</v>
      </c>
      <c r="R69" s="62">
        <f t="shared" ca="1" si="24"/>
        <v>1176271.9053655274</v>
      </c>
      <c r="S69" s="60">
        <f t="shared" ca="1" si="24"/>
        <v>1204789.4452991958</v>
      </c>
    </row>
    <row r="70" spans="1:19" s="92" customFormat="1" ht="12.75">
      <c r="B70" s="64" t="str">
        <f t="shared" ref="B70:B76" si="26">B57</f>
        <v>Residential</v>
      </c>
      <c r="C70" s="55">
        <f ca="1">'Summary Tables'!C106</f>
        <v>39119</v>
      </c>
      <c r="D70" s="55">
        <f ca="1">'Summary Tables'!D106</f>
        <v>39433.541666666679</v>
      </c>
      <c r="E70" s="55">
        <f ca="1">'Summary Tables'!E106</f>
        <v>39751.583333333321</v>
      </c>
      <c r="F70" s="55">
        <f ca="1">'Summary Tables'!F106</f>
        <v>40096.916666666679</v>
      </c>
      <c r="G70" s="55">
        <f ca="1">'Summary Tables'!G106</f>
        <v>40903.041666666679</v>
      </c>
      <c r="H70" s="55">
        <f ca="1">'Summary Tables'!H106</f>
        <v>41880.625</v>
      </c>
      <c r="I70" s="55">
        <f ca="1">'Summary Tables'!I106</f>
        <v>42897.875</v>
      </c>
      <c r="J70" s="55">
        <f ca="1">'Summary Tables'!J106</f>
        <v>44013.541666666686</v>
      </c>
      <c r="K70" s="55">
        <f ca="1">'Summary Tables'!K106</f>
        <v>44945.416666666686</v>
      </c>
      <c r="L70" s="55">
        <f ca="1">'Summary Tables'!L106</f>
        <v>45520.625</v>
      </c>
      <c r="M70" s="55">
        <f ca="1">'Summary Tables'!M106</f>
        <v>46436.563069453616</v>
      </c>
      <c r="N70" s="55">
        <f ca="1">'Summary Tables'!N106</f>
        <v>47323.86823971742</v>
      </c>
      <c r="O70" s="55">
        <f ca="1">'Summary Tables'!O106</f>
        <v>48234.426518722685</v>
      </c>
      <c r="P70" s="55">
        <f ca="1">'Summary Tables'!P106</f>
        <v>49135.011201534966</v>
      </c>
      <c r="Q70" s="55">
        <f ca="1">'Summary Tables'!Q106</f>
        <v>50076.849655134763</v>
      </c>
      <c r="R70" s="55">
        <f ca="1">'Summary Tables'!R106</f>
        <v>51033.453561093025</v>
      </c>
      <c r="S70" s="65">
        <f ca="1">'Summary Tables'!S106</f>
        <v>52005.475034746378</v>
      </c>
    </row>
    <row r="71" spans="1:19" s="92" customFormat="1" ht="12.75">
      <c r="B71" s="64" t="str">
        <f t="shared" si="26"/>
        <v>GS&lt;50</v>
      </c>
      <c r="C71" s="55">
        <f ca="1">'Summary Tables'!C107</f>
        <v>2168.4583333333326</v>
      </c>
      <c r="D71" s="55">
        <f ca="1">'Summary Tables'!D107</f>
        <v>2201.2083333333326</v>
      </c>
      <c r="E71" s="55">
        <f ca="1">'Summary Tables'!E107</f>
        <v>2229.75</v>
      </c>
      <c r="F71" s="55">
        <f ca="1">'Summary Tables'!F107</f>
        <v>2246.6666666666674</v>
      </c>
      <c r="G71" s="55">
        <f ca="1">'Summary Tables'!G107</f>
        <v>2261.0416666666674</v>
      </c>
      <c r="H71" s="55">
        <f ca="1">'Summary Tables'!H107</f>
        <v>2284.3333333333326</v>
      </c>
      <c r="I71" s="55">
        <f ca="1">'Summary Tables'!I107</f>
        <v>2326.625</v>
      </c>
      <c r="J71" s="55">
        <f ca="1">'Summary Tables'!J107</f>
        <v>2383.5833333333326</v>
      </c>
      <c r="K71" s="55">
        <f ca="1">'Summary Tables'!K107</f>
        <v>2435.2916666666674</v>
      </c>
      <c r="L71" s="55">
        <f ca="1">'Summary Tables'!L107</f>
        <v>2464.75</v>
      </c>
      <c r="M71" s="55">
        <f ca="1">'Summary Tables'!M107</f>
        <v>2499.8378600249093</v>
      </c>
      <c r="N71" s="55">
        <f ca="1">'Summary Tables'!N107</f>
        <v>2535.4252262557734</v>
      </c>
      <c r="O71" s="55">
        <f ca="1">'Summary Tables'!O107</f>
        <v>2571.5192095978919</v>
      </c>
      <c r="P71" s="55">
        <f ca="1">'Summary Tables'!P107</f>
        <v>2608.1270221864852</v>
      </c>
      <c r="Q71" s="55">
        <f ca="1">'Summary Tables'!Q107</f>
        <v>2645.2559788277927</v>
      </c>
      <c r="R71" s="55">
        <f ca="1">'Summary Tables'!R107</f>
        <v>2682.9134984606817</v>
      </c>
      <c r="S71" s="65">
        <f ca="1">'Summary Tables'!S107</f>
        <v>2721.1071056390679</v>
      </c>
    </row>
    <row r="72" spans="1:19" s="92" customFormat="1">
      <c r="A72" s="362" t="s">
        <v>59</v>
      </c>
      <c r="B72" s="64" t="str">
        <f t="shared" si="26"/>
        <v>GS 50 - 2,999</v>
      </c>
      <c r="C72" s="55">
        <f ca="1">'Summary Tables'!C108</f>
        <v>366.45833333333348</v>
      </c>
      <c r="D72" s="55">
        <f ca="1">'Summary Tables'!D108</f>
        <v>367.08333333333348</v>
      </c>
      <c r="E72" s="55">
        <f ca="1">'Summary Tables'!E108</f>
        <v>368</v>
      </c>
      <c r="F72" s="55">
        <f ca="1">'Summary Tables'!F108</f>
        <v>372.875</v>
      </c>
      <c r="G72" s="55">
        <f ca="1">'Summary Tables'!G108</f>
        <v>377</v>
      </c>
      <c r="H72" s="55">
        <f ca="1">'Summary Tables'!H108</f>
        <v>381.875</v>
      </c>
      <c r="I72" s="55">
        <f ca="1">'Summary Tables'!I108</f>
        <v>390.875</v>
      </c>
      <c r="J72" s="55">
        <f ca="1">'Summary Tables'!J108</f>
        <v>386.33333333333348</v>
      </c>
      <c r="K72" s="55">
        <f ca="1">'Summary Tables'!K108</f>
        <v>383.33333333333348</v>
      </c>
      <c r="L72" s="55">
        <f ca="1">'Summary Tables'!L108</f>
        <v>388.625</v>
      </c>
      <c r="M72" s="55">
        <f ca="1">'Summary Tables'!M108</f>
        <v>394.03428824658079</v>
      </c>
      <c r="N72" s="55">
        <f ca="1">'Summary Tables'!N108</f>
        <v>401.3377336888687</v>
      </c>
      <c r="O72" s="55">
        <f ca="1">'Summary Tables'!O108</f>
        <v>407.18794537982552</v>
      </c>
      <c r="P72" s="55">
        <f ca="1">'Summary Tables'!P108</f>
        <v>412.02753308637159</v>
      </c>
      <c r="Q72" s="55">
        <f ca="1">'Summary Tables'!Q108</f>
        <v>415.83910729406017</v>
      </c>
      <c r="R72" s="55">
        <f ca="1">'Summary Tables'!R108</f>
        <v>419.18027921178202</v>
      </c>
      <c r="S72" s="65">
        <f ca="1">'Summary Tables'!S108</f>
        <v>422.51366077650124</v>
      </c>
    </row>
    <row r="73" spans="1:19" s="92" customFormat="1">
      <c r="A73" s="362"/>
      <c r="B73" s="64" t="str">
        <f t="shared" si="26"/>
        <v>GS 3,000 - 4,999</v>
      </c>
      <c r="C73" s="55">
        <f ca="1">'Summary Tables'!C109</f>
        <v>2</v>
      </c>
      <c r="D73" s="55">
        <f ca="1">'Summary Tables'!D109</f>
        <v>2</v>
      </c>
      <c r="E73" s="55">
        <f ca="1">'Summary Tables'!E109</f>
        <v>2</v>
      </c>
      <c r="F73" s="55">
        <f ca="1">'Summary Tables'!F109</f>
        <v>2.5416666666666674</v>
      </c>
      <c r="G73" s="55">
        <f ca="1">'Summary Tables'!G109</f>
        <v>3</v>
      </c>
      <c r="H73" s="55">
        <f ca="1">'Summary Tables'!H109</f>
        <v>3</v>
      </c>
      <c r="I73" s="55">
        <f ca="1">'Summary Tables'!I109</f>
        <v>3</v>
      </c>
      <c r="J73" s="55">
        <f ca="1">'Summary Tables'!J109</f>
        <v>3</v>
      </c>
      <c r="K73" s="55">
        <f ca="1">'Summary Tables'!K109</f>
        <v>3</v>
      </c>
      <c r="L73" s="55">
        <f ca="1">'Summary Tables'!L109</f>
        <v>3</v>
      </c>
      <c r="M73" s="55">
        <f ca="1">'Summary Tables'!M109</f>
        <v>3.9299999999999997</v>
      </c>
      <c r="N73" s="55">
        <f ca="1">'Summary Tables'!N109</f>
        <v>5.5449999999999999</v>
      </c>
      <c r="O73" s="55">
        <f ca="1">'Summary Tables'!O109</f>
        <v>6.3550000000000004</v>
      </c>
      <c r="P73" s="55">
        <f ca="1">'Summary Tables'!P109</f>
        <v>6.48</v>
      </c>
      <c r="Q73" s="55">
        <f ca="1">'Summary Tables'!Q109</f>
        <v>6.48</v>
      </c>
      <c r="R73" s="55">
        <f ca="1">'Summary Tables'!R109</f>
        <v>6.78</v>
      </c>
      <c r="S73" s="65">
        <f ca="1">'Summary Tables'!S109</f>
        <v>7.18</v>
      </c>
    </row>
    <row r="74" spans="1:19" s="92" customFormat="1">
      <c r="A74" s="362"/>
      <c r="B74" s="64" t="str">
        <f t="shared" si="26"/>
        <v>Street Light</v>
      </c>
      <c r="C74" s="55">
        <f ca="1">'Summary Tables'!C110</f>
        <v>11827.041666666672</v>
      </c>
      <c r="D74" s="55">
        <f ca="1">'Summary Tables'!D110</f>
        <v>11857.375</v>
      </c>
      <c r="E74" s="55">
        <f ca="1">'Summary Tables'!E110</f>
        <v>11891</v>
      </c>
      <c r="F74" s="55">
        <f ca="1">'Summary Tables'!F110</f>
        <v>12053.666666666672</v>
      </c>
      <c r="G74" s="55">
        <f ca="1">'Summary Tables'!G110</f>
        <v>12408.416666666672</v>
      </c>
      <c r="H74" s="55">
        <f ca="1">'Summary Tables'!H110</f>
        <v>12707.791666666672</v>
      </c>
      <c r="I74" s="55">
        <f ca="1">'Summary Tables'!I110</f>
        <v>13023.791666666672</v>
      </c>
      <c r="J74" s="55">
        <f ca="1">'Summary Tables'!J110</f>
        <v>13342.91666666667</v>
      </c>
      <c r="K74" s="55">
        <f ca="1">'Summary Tables'!K110</f>
        <v>13555.45833333333</v>
      </c>
      <c r="L74" s="55">
        <f ca="1">'Summary Tables'!L110</f>
        <v>13708</v>
      </c>
      <c r="M74" s="55">
        <f ca="1">'Summary Tables'!M110</f>
        <v>13934.650879118182</v>
      </c>
      <c r="N74" s="55">
        <f ca="1">'Summary Tables'!N110</f>
        <v>14165.04925028517</v>
      </c>
      <c r="O74" s="55">
        <f ca="1">'Summary Tables'!O110</f>
        <v>14399.25707530191</v>
      </c>
      <c r="P74" s="55">
        <f ca="1">'Summary Tables'!P110</f>
        <v>14637.337340458451</v>
      </c>
      <c r="Q74" s="55">
        <f ca="1">'Summary Tables'!Q110</f>
        <v>14879.354073473061</v>
      </c>
      <c r="R74" s="55">
        <f ca="1">'Summary Tables'!R110</f>
        <v>15125.372360711415</v>
      </c>
      <c r="S74" s="65">
        <f ca="1">'Summary Tables'!S110</f>
        <v>15375.458364690485</v>
      </c>
    </row>
    <row r="75" spans="1:19" s="92" customFormat="1">
      <c r="A75" s="362"/>
      <c r="B75" s="64" t="str">
        <f t="shared" si="26"/>
        <v>Sentinel Light</v>
      </c>
      <c r="C75" s="55">
        <f ca="1">'Summary Tables'!C111</f>
        <v>40.375</v>
      </c>
      <c r="D75" s="55">
        <f ca="1">'Summary Tables'!D111</f>
        <v>39</v>
      </c>
      <c r="E75" s="55">
        <f ca="1">'Summary Tables'!E111</f>
        <v>38.458333333333321</v>
      </c>
      <c r="F75" s="55">
        <f ca="1">'Summary Tables'!F111</f>
        <v>37.458333333333321</v>
      </c>
      <c r="G75" s="55">
        <f ca="1">'Summary Tables'!G111</f>
        <v>37</v>
      </c>
      <c r="H75" s="55">
        <f ca="1">'Summary Tables'!H111</f>
        <v>37</v>
      </c>
      <c r="I75" s="55">
        <f ca="1">'Summary Tables'!I111</f>
        <v>42.416666666666679</v>
      </c>
      <c r="J75" s="55">
        <f ca="1">'Summary Tables'!J111</f>
        <v>46.458333333333314</v>
      </c>
      <c r="K75" s="55">
        <f ca="1">'Summary Tables'!K111</f>
        <v>46</v>
      </c>
      <c r="L75" s="55">
        <f ca="1">'Summary Tables'!L111</f>
        <v>45.458333333333314</v>
      </c>
      <c r="M75" s="55">
        <f ca="1">'Summary Tables'!M111</f>
        <v>46.061262694763407</v>
      </c>
      <c r="N75" s="55">
        <f ca="1">'Summary Tables'!N111</f>
        <v>46.672188913715949</v>
      </c>
      <c r="O75" s="55">
        <f ca="1">'Summary Tables'!O111</f>
        <v>47.29121805523657</v>
      </c>
      <c r="P75" s="55">
        <f ca="1">'Summary Tables'!P111</f>
        <v>47.918457591147735</v>
      </c>
      <c r="Q75" s="55">
        <f ca="1">'Summary Tables'!Q111</f>
        <v>48.554016418707313</v>
      </c>
      <c r="R75" s="55">
        <f ca="1">'Summary Tables'!R111</f>
        <v>49.198004879514592</v>
      </c>
      <c r="S75" s="65">
        <f ca="1">'Summary Tables'!S111</f>
        <v>49.850534778667082</v>
      </c>
    </row>
    <row r="76" spans="1:19" s="92" customFormat="1">
      <c r="A76" s="362"/>
      <c r="B76" s="64" t="str">
        <f t="shared" si="26"/>
        <v>USL</v>
      </c>
      <c r="C76" s="55">
        <f ca="1">'Summary Tables'!C112</f>
        <v>378.29166666666652</v>
      </c>
      <c r="D76" s="55">
        <f ca="1">'Summary Tables'!D112</f>
        <v>372.20833333333348</v>
      </c>
      <c r="E76" s="55">
        <f ca="1">'Summary Tables'!E112</f>
        <v>370.625</v>
      </c>
      <c r="F76" s="55">
        <f ca="1">'Summary Tables'!F112</f>
        <v>376.875</v>
      </c>
      <c r="G76" s="55">
        <f ca="1">'Summary Tables'!G112</f>
        <v>384.25</v>
      </c>
      <c r="H76" s="55">
        <f ca="1">'Summary Tables'!H112</f>
        <v>389.16666666666652</v>
      </c>
      <c r="I76" s="55">
        <f ca="1">'Summary Tables'!I112</f>
        <v>391.54166666666652</v>
      </c>
      <c r="J76" s="55">
        <f ca="1">'Summary Tables'!J112</f>
        <v>393.08333333333348</v>
      </c>
      <c r="K76" s="55">
        <f ca="1">'Summary Tables'!K112</f>
        <v>400.5</v>
      </c>
      <c r="L76" s="55">
        <f ca="1">'Summary Tables'!L112</f>
        <v>396.25</v>
      </c>
      <c r="M76" s="55">
        <f ca="1">'Summary Tables'!M112</f>
        <v>389.08499529412256</v>
      </c>
      <c r="N76" s="55">
        <f ca="1">'Summary Tables'!N112</f>
        <v>391.09524756324345</v>
      </c>
      <c r="O76" s="55">
        <f ca="1">'Summary Tables'!O112</f>
        <v>393.11588603135527</v>
      </c>
      <c r="P76" s="55">
        <f ca="1">'Summary Tables'!P112</f>
        <v>395.14696435994671</v>
      </c>
      <c r="Q76" s="55">
        <f ca="1">'Summary Tables'!Q112</f>
        <v>397.18853648775479</v>
      </c>
      <c r="R76" s="55">
        <f ca="1">'Summary Tables'!R112</f>
        <v>399.2406566321971</v>
      </c>
      <c r="S76" s="65">
        <f ca="1">'Summary Tables'!S112</f>
        <v>401.30337929081179</v>
      </c>
    </row>
    <row r="77" spans="1:19" s="92" customFormat="1" ht="15.75" thickBot="1">
      <c r="A77" s="362"/>
      <c r="B77" s="63" t="s">
        <v>495</v>
      </c>
      <c r="C77" s="62">
        <f t="shared" ref="C77:S77" ca="1" si="27">SUM(C70:C76)</f>
        <v>53901.625000000007</v>
      </c>
      <c r="D77" s="62">
        <f t="shared" ca="1" si="27"/>
        <v>54272.416666666686</v>
      </c>
      <c r="E77" s="62">
        <f t="shared" ca="1" si="27"/>
        <v>54651.416666666657</v>
      </c>
      <c r="F77" s="62">
        <f t="shared" ca="1" si="27"/>
        <v>55187.000000000015</v>
      </c>
      <c r="G77" s="62">
        <f t="shared" ca="1" si="27"/>
        <v>56373.750000000015</v>
      </c>
      <c r="H77" s="62">
        <f t="shared" ca="1" si="27"/>
        <v>57683.791666666672</v>
      </c>
      <c r="I77" s="62">
        <f ca="1">SUM(I70:I76)</f>
        <v>59076.125</v>
      </c>
      <c r="J77" s="62">
        <f t="shared" ca="1" si="27"/>
        <v>60568.916666666701</v>
      </c>
      <c r="K77" s="62">
        <f t="shared" ca="1" si="27"/>
        <v>61769.000000000015</v>
      </c>
      <c r="L77" s="62">
        <f t="shared" ca="1" si="27"/>
        <v>62526.708333333336</v>
      </c>
      <c r="M77" s="62">
        <f t="shared" ca="1" si="27"/>
        <v>63704.162354832173</v>
      </c>
      <c r="N77" s="62">
        <f t="shared" ca="1" si="27"/>
        <v>64868.992886424188</v>
      </c>
      <c r="O77" s="62">
        <f t="shared" ca="1" si="27"/>
        <v>66059.152853088919</v>
      </c>
      <c r="P77" s="62">
        <f t="shared" ca="1" si="27"/>
        <v>67242.048519217366</v>
      </c>
      <c r="Q77" s="62">
        <f t="shared" ca="1" si="27"/>
        <v>68469.521367636145</v>
      </c>
      <c r="R77" s="62">
        <f ca="1">SUM(R70:R76)</f>
        <v>69716.138360988611</v>
      </c>
      <c r="S77" s="60">
        <f t="shared" ca="1" si="27"/>
        <v>70982.888079921904</v>
      </c>
    </row>
    <row r="78" spans="1:19" s="92" customFormat="1">
      <c r="A78" s="362"/>
      <c r="B78" s="64" t="str">
        <f>B70</f>
        <v>Residential</v>
      </c>
      <c r="C78" s="55">
        <f>'Summary Tables'!C130</f>
        <v>39251</v>
      </c>
      <c r="D78" s="55">
        <f>'Summary Tables'!D130</f>
        <v>39588</v>
      </c>
      <c r="E78" s="55">
        <f>'Summary Tables'!E130</f>
        <v>39890</v>
      </c>
      <c r="F78" s="55">
        <f>'Summary Tables'!F130</f>
        <v>40272</v>
      </c>
      <c r="G78" s="55">
        <f>'Summary Tables'!G130</f>
        <v>41437</v>
      </c>
      <c r="H78" s="55">
        <f>'Summary Tables'!H130</f>
        <v>42256</v>
      </c>
      <c r="I78" s="55">
        <f>'Summary Tables'!I130</f>
        <v>43441</v>
      </c>
      <c r="J78" s="55">
        <f>'Summary Tables'!J130</f>
        <v>44498</v>
      </c>
      <c r="K78" s="55">
        <f>'Summary Tables'!K130</f>
        <v>45324</v>
      </c>
      <c r="L78" s="55">
        <f>'Summary Tables'!L130</f>
        <v>45687</v>
      </c>
      <c r="M78" s="55">
        <f ca="1">'Summary Tables'!M130</f>
        <v>46861.73536105227</v>
      </c>
      <c r="N78" s="55">
        <f ca="1">'Summary Tables'!N130</f>
        <v>47735.451607510207</v>
      </c>
      <c r="O78" s="55">
        <f ca="1">'Summary Tables'!O130</f>
        <v>48656.83615016588</v>
      </c>
      <c r="P78" s="55">
        <f ca="1">'Summary Tables'!P130</f>
        <v>49552.624072964376</v>
      </c>
      <c r="Q78" s="55">
        <f ca="1">'Summary Tables'!Q130</f>
        <v>50513.747569707084</v>
      </c>
      <c r="R78" s="55">
        <f ca="1">'Summary Tables'!R130</f>
        <v>51477.180042124113</v>
      </c>
      <c r="S78" s="65">
        <f ca="1">'Summary Tables'!S130</f>
        <v>52456.335033319127</v>
      </c>
    </row>
    <row r="79" spans="1:19" s="92" customFormat="1">
      <c r="A79" s="362"/>
      <c r="B79" s="64" t="str">
        <f t="shared" ref="B79:B84" si="28">B71</f>
        <v>GS&lt;50</v>
      </c>
      <c r="C79" s="55">
        <f>'Summary Tables'!C131</f>
        <v>2179</v>
      </c>
      <c r="D79" s="55">
        <f>'Summary Tables'!D131</f>
        <v>2220</v>
      </c>
      <c r="E79" s="55">
        <f>'Summary Tables'!E131</f>
        <v>2238</v>
      </c>
      <c r="F79" s="55">
        <f>'Summary Tables'!F131</f>
        <v>2254</v>
      </c>
      <c r="G79" s="55">
        <f>'Summary Tables'!G131</f>
        <v>2267</v>
      </c>
      <c r="H79" s="55">
        <f>'Summary Tables'!H131</f>
        <v>2299</v>
      </c>
      <c r="I79" s="55">
        <f>'Summary Tables'!I131</f>
        <v>2350</v>
      </c>
      <c r="J79" s="55">
        <f>'Summary Tables'!J131</f>
        <v>2412</v>
      </c>
      <c r="K79" s="55">
        <f>'Summary Tables'!K131</f>
        <v>2455</v>
      </c>
      <c r="L79" s="55">
        <f>'Summary Tables'!L131</f>
        <v>2473</v>
      </c>
      <c r="M79" s="55">
        <f>'Summary Tables'!M131</f>
        <v>2516.0569793153954</v>
      </c>
      <c r="N79" s="55">
        <f>'Summary Tables'!N131</f>
        <v>2551.8752388163234</v>
      </c>
      <c r="O79" s="55">
        <f>'Summary Tables'!O131</f>
        <v>2588.2034023950305</v>
      </c>
      <c r="P79" s="55">
        <f>'Summary Tables'!P131</f>
        <v>2625.0487289795656</v>
      </c>
      <c r="Q79" s="55">
        <f>'Summary Tables'!Q131</f>
        <v>2662.4185808351294</v>
      </c>
      <c r="R79" s="55">
        <f>'Summary Tables'!R131</f>
        <v>2700.3204250351737</v>
      </c>
      <c r="S79" s="65">
        <f>'Summary Tables'!S131</f>
        <v>2738.7618349534355</v>
      </c>
    </row>
    <row r="80" spans="1:19" s="92" customFormat="1">
      <c r="A80" s="362"/>
      <c r="B80" s="64" t="str">
        <f t="shared" si="28"/>
        <v>GS 50 - 2,999</v>
      </c>
      <c r="C80" s="55">
        <f>'Summary Tables'!C132</f>
        <v>366</v>
      </c>
      <c r="D80" s="55">
        <f>'Summary Tables'!D132</f>
        <v>368</v>
      </c>
      <c r="E80" s="55">
        <f>'Summary Tables'!E132</f>
        <v>368</v>
      </c>
      <c r="F80" s="55">
        <f>'Summary Tables'!F132</f>
        <v>377</v>
      </c>
      <c r="G80" s="55">
        <f>'Summary Tables'!G132</f>
        <v>377</v>
      </c>
      <c r="H80" s="55">
        <f>'Summary Tables'!H132</f>
        <v>386</v>
      </c>
      <c r="I80" s="55">
        <f>'Summary Tables'!I132</f>
        <v>395</v>
      </c>
      <c r="J80" s="55">
        <f>'Summary Tables'!J132</f>
        <v>379</v>
      </c>
      <c r="K80" s="55">
        <f>'Summary Tables'!K132</f>
        <v>387</v>
      </c>
      <c r="L80" s="55">
        <f>'Summary Tables'!L132</f>
        <v>390</v>
      </c>
      <c r="M80" s="55">
        <f>'Summary Tables'!M132</f>
        <v>398.06886963808387</v>
      </c>
      <c r="N80" s="55">
        <f>'Summary Tables'!N132</f>
        <v>404.39247221047879</v>
      </c>
      <c r="O80" s="55">
        <f>'Summary Tables'!O132</f>
        <v>409.76789116199257</v>
      </c>
      <c r="P80" s="55">
        <f>'Summary Tables'!P132</f>
        <v>414.07023658774466</v>
      </c>
      <c r="Q80" s="55">
        <f>'Summary Tables'!Q132</f>
        <v>417.38961930363553</v>
      </c>
      <c r="R80" s="55">
        <f>'Summary Tables'!R132</f>
        <v>420.75115085106694</v>
      </c>
      <c r="S80" s="65">
        <f>'Summary Tables'!S132</f>
        <v>424.05494350169005</v>
      </c>
    </row>
    <row r="81" spans="1:19" s="92" customFormat="1">
      <c r="A81" s="362" t="s">
        <v>707</v>
      </c>
      <c r="B81" s="64" t="str">
        <f t="shared" si="28"/>
        <v>GS 3,000 - 4,999</v>
      </c>
      <c r="C81" s="55">
        <f>'Summary Tables'!C133</f>
        <v>2</v>
      </c>
      <c r="D81" s="55">
        <f>'Summary Tables'!D133</f>
        <v>2</v>
      </c>
      <c r="E81" s="55">
        <f>'Summary Tables'!E133</f>
        <v>2</v>
      </c>
      <c r="F81" s="55">
        <f>'Summary Tables'!F133</f>
        <v>3</v>
      </c>
      <c r="G81" s="55">
        <f>'Summary Tables'!G133</f>
        <v>3</v>
      </c>
      <c r="H81" s="55">
        <f>'Summary Tables'!H133</f>
        <v>3</v>
      </c>
      <c r="I81" s="55">
        <f>'Summary Tables'!I133</f>
        <v>3</v>
      </c>
      <c r="J81" s="55">
        <f>'Summary Tables'!J133</f>
        <v>3</v>
      </c>
      <c r="K81" s="55">
        <f>'Summary Tables'!K133</f>
        <v>3</v>
      </c>
      <c r="L81" s="55">
        <f>'Summary Tables'!L133</f>
        <v>3</v>
      </c>
      <c r="M81" s="55">
        <f>'Summary Tables'!M133</f>
        <v>4.8600000000000003</v>
      </c>
      <c r="N81" s="55">
        <f>'Summary Tables'!N133</f>
        <v>6.23</v>
      </c>
      <c r="O81" s="55">
        <f>'Summary Tables'!O133</f>
        <v>6.4800000000000022</v>
      </c>
      <c r="P81" s="55">
        <f>'Summary Tables'!P133</f>
        <v>6.4800000000000022</v>
      </c>
      <c r="Q81" s="55">
        <f>'Summary Tables'!Q133</f>
        <v>6.4800000000000022</v>
      </c>
      <c r="R81" s="55">
        <f>'Summary Tables'!R133</f>
        <v>7.080000000000001</v>
      </c>
      <c r="S81" s="65">
        <f>'Summary Tables'!S133</f>
        <v>7.28</v>
      </c>
    </row>
    <row r="82" spans="1:19" s="92" customFormat="1" ht="12.75">
      <c r="B82" s="64" t="str">
        <f t="shared" si="28"/>
        <v>Street Light</v>
      </c>
      <c r="C82" s="55">
        <f>'Summary Tables'!C134</f>
        <v>11833</v>
      </c>
      <c r="D82" s="55">
        <f>'Summary Tables'!D134</f>
        <v>11878</v>
      </c>
      <c r="E82" s="55">
        <f>'Summary Tables'!E134</f>
        <v>11902</v>
      </c>
      <c r="F82" s="55">
        <f>'Summary Tables'!F134</f>
        <v>12182</v>
      </c>
      <c r="G82" s="55">
        <f>'Summary Tables'!G134</f>
        <v>12600</v>
      </c>
      <c r="H82" s="55">
        <f>'Summary Tables'!H134</f>
        <v>12799</v>
      </c>
      <c r="I82" s="55">
        <f>'Summary Tables'!I134</f>
        <v>13214</v>
      </c>
      <c r="J82" s="55">
        <f>'Summary Tables'!J134</f>
        <v>13452</v>
      </c>
      <c r="K82" s="55">
        <f>'Summary Tables'!K134</f>
        <v>13643</v>
      </c>
      <c r="L82" s="55">
        <f>'Summary Tables'!L134</f>
        <v>13763</v>
      </c>
      <c r="M82" s="55">
        <f>'Summary Tables'!M134</f>
        <v>14039.591394592579</v>
      </c>
      <c r="N82" s="55">
        <f>'Summary Tables'!N134</f>
        <v>14271.724873732093</v>
      </c>
      <c r="O82" s="55">
        <f>'Summary Tables'!O134</f>
        <v>14507.696495351893</v>
      </c>
      <c r="P82" s="55">
        <f>'Summary Tables'!P134</f>
        <v>14747.569720085719</v>
      </c>
      <c r="Q82" s="55">
        <f>'Summary Tables'!Q134</f>
        <v>14991.40905783842</v>
      </c>
      <c r="R82" s="55">
        <f>'Summary Tables'!R134</f>
        <v>15239.28008513484</v>
      </c>
      <c r="S82" s="65">
        <f>'Summary Tables'!S134</f>
        <v>15491.249462755502</v>
      </c>
    </row>
    <row r="83" spans="1:19" s="92" customFormat="1" ht="12.75">
      <c r="B83" s="64" t="str">
        <f t="shared" si="28"/>
        <v>Sentinel Light</v>
      </c>
      <c r="C83" s="55">
        <f>'Summary Tables'!C135</f>
        <v>39</v>
      </c>
      <c r="D83" s="55">
        <f>'Summary Tables'!D135</f>
        <v>39</v>
      </c>
      <c r="E83" s="55">
        <f>'Summary Tables'!E135</f>
        <v>38</v>
      </c>
      <c r="F83" s="55">
        <f>'Summary Tables'!F135</f>
        <v>37</v>
      </c>
      <c r="G83" s="55">
        <f>'Summary Tables'!G135</f>
        <v>37</v>
      </c>
      <c r="H83" s="55">
        <f>'Summary Tables'!H135</f>
        <v>37</v>
      </c>
      <c r="I83" s="55">
        <f>'Summary Tables'!I135</f>
        <v>47</v>
      </c>
      <c r="J83" s="55">
        <f>'Summary Tables'!J135</f>
        <v>46</v>
      </c>
      <c r="K83" s="55">
        <f>'Summary Tables'!K135</f>
        <v>46</v>
      </c>
      <c r="L83" s="55">
        <f>'Summary Tables'!L135</f>
        <v>45</v>
      </c>
      <c r="M83" s="55">
        <f>'Summary Tables'!M135</f>
        <v>46.339768062420362</v>
      </c>
      <c r="N83" s="55">
        <f>'Summary Tables'!N135</f>
        <v>46.954388192943426</v>
      </c>
      <c r="O83" s="55">
        <f>'Summary Tables'!O135</f>
        <v>47.57716023964214</v>
      </c>
      <c r="P83" s="55">
        <f>'Summary Tables'!P135</f>
        <v>48.208192324157856</v>
      </c>
      <c r="Q83" s="55">
        <f>'Summary Tables'!Q135</f>
        <v>48.847594002186185</v>
      </c>
      <c r="R83" s="55">
        <f>'Summary Tables'!R135</f>
        <v>49.495476282497123</v>
      </c>
      <c r="S83" s="65">
        <f>'Summary Tables'!S135</f>
        <v>50.15195164620787</v>
      </c>
    </row>
    <row r="84" spans="1:19" s="92" customFormat="1" ht="12.75">
      <c r="B84" s="64" t="str">
        <f t="shared" si="28"/>
        <v>USL</v>
      </c>
      <c r="C84" s="55">
        <f>'Summary Tables'!C136</f>
        <v>376</v>
      </c>
      <c r="D84" s="55">
        <f>'Summary Tables'!D136</f>
        <v>369</v>
      </c>
      <c r="E84" s="55">
        <f>'Summary Tables'!E136</f>
        <v>372</v>
      </c>
      <c r="F84" s="55">
        <f>'Summary Tables'!F136</f>
        <v>381</v>
      </c>
      <c r="G84" s="55">
        <f>'Summary Tables'!G136</f>
        <v>387</v>
      </c>
      <c r="H84" s="55">
        <f>'Summary Tables'!H136</f>
        <v>391</v>
      </c>
      <c r="I84" s="55">
        <f>'Summary Tables'!I136</f>
        <v>392</v>
      </c>
      <c r="J84" s="55">
        <f>'Summary Tables'!J136</f>
        <v>394</v>
      </c>
      <c r="K84" s="55">
        <f>'Summary Tables'!K136</f>
        <v>406</v>
      </c>
      <c r="L84" s="55">
        <f>'Summary Tables'!L136</f>
        <v>388</v>
      </c>
      <c r="M84" s="55">
        <f>'Summary Tables'!M136</f>
        <v>390.00464651644904</v>
      </c>
      <c r="N84" s="55">
        <f>'Summary Tables'!N136</f>
        <v>392.01841530527156</v>
      </c>
      <c r="O84" s="55">
        <f>'Summary Tables'!O136</f>
        <v>394.04382342544045</v>
      </c>
      <c r="P84" s="55">
        <f>'Summary Tables'!P136</f>
        <v>396.0796960490436</v>
      </c>
      <c r="Q84" s="55">
        <f>'Summary Tables'!Q136</f>
        <v>398.12608724213851</v>
      </c>
      <c r="R84" s="55">
        <f>'Summary Tables'!R136</f>
        <v>400.18305135012156</v>
      </c>
      <c r="S84" s="65">
        <f>'Summary Tables'!S136</f>
        <v>402.25064299917022</v>
      </c>
    </row>
    <row r="85" spans="1:19" s="92" customFormat="1" ht="13.5" thickBot="1">
      <c r="B85" s="63" t="str">
        <f>B77</f>
        <v>Total Customers/Devices</v>
      </c>
      <c r="C85" s="62"/>
      <c r="D85" s="62"/>
      <c r="E85" s="62"/>
      <c r="F85" s="62"/>
      <c r="G85" s="62"/>
      <c r="H85" s="62"/>
      <c r="I85" s="62"/>
      <c r="J85" s="62"/>
      <c r="K85" s="62"/>
      <c r="L85" s="62">
        <f>'Summary Tables'!L137</f>
        <v>62749</v>
      </c>
      <c r="M85" s="62">
        <f ca="1">'Summary Tables'!M137</f>
        <v>64256.657019177197</v>
      </c>
      <c r="N85" s="62">
        <f ca="1">'Summary Tables'!N137</f>
        <v>65408.646995767318</v>
      </c>
      <c r="O85" s="62">
        <f ca="1">'Summary Tables'!O137</f>
        <v>66610.604922739891</v>
      </c>
      <c r="P85" s="62">
        <f ca="1">'Summary Tables'!P137</f>
        <v>67790.080646990609</v>
      </c>
      <c r="Q85" s="62">
        <f ca="1">'Summary Tables'!Q137</f>
        <v>69038.418508928604</v>
      </c>
      <c r="R85" s="62">
        <f ca="1">'Summary Tables'!R137</f>
        <v>70294.290230777813</v>
      </c>
      <c r="S85" s="60">
        <f ca="1">'Summary Tables'!S137</f>
        <v>71570.083869175141</v>
      </c>
    </row>
    <row r="86" spans="1:19" s="92" customFormat="1" ht="12.75"/>
    <row r="87" spans="1:19" s="92" customFormat="1" ht="12.75"/>
    <row r="88" spans="1:19" s="92" customFormat="1" ht="12.75"/>
    <row r="89" spans="1:19" s="92" customFormat="1" ht="12.75"/>
    <row r="90" spans="1:19" s="92" customFormat="1" ht="12.75"/>
    <row r="91" spans="1:19" s="92" customFormat="1" ht="12.75"/>
    <row r="92" spans="1:19" s="92" customFormat="1" ht="12.75"/>
    <row r="93" spans="1:19" s="92" customFormat="1" ht="12.75"/>
    <row r="94" spans="1:19" s="92" customFormat="1" ht="12.75"/>
    <row r="95" spans="1:19" s="92" customFormat="1" ht="12.75"/>
    <row r="96" spans="1:19" s="92" customFormat="1" ht="12.75"/>
    <row r="97" s="92" customFormat="1" ht="12.75"/>
    <row r="98" s="92" customFormat="1" ht="12.75"/>
    <row r="99" s="92" customFormat="1" ht="12.75"/>
    <row r="100" s="92" customFormat="1" ht="12.75"/>
    <row r="101" s="92" customFormat="1" ht="12.75"/>
    <row r="102" s="92" customFormat="1" ht="12.75"/>
    <row r="103" s="92" customFormat="1" ht="12.75"/>
    <row r="104" s="92" customFormat="1" ht="12.75"/>
    <row r="105" s="92" customFormat="1" ht="12.75"/>
    <row r="106" s="92" customFormat="1" ht="12.75"/>
    <row r="107" s="92" customFormat="1" ht="12.75"/>
    <row r="108" s="92" customFormat="1" ht="12.75"/>
    <row r="109" s="92" customFormat="1" ht="12.75"/>
    <row r="110" s="92" customFormat="1" ht="12.75"/>
    <row r="111" s="92" customFormat="1" ht="12.75"/>
    <row r="112" s="362" customFormat="1"/>
    <row r="113" spans="2:53" s="362" customFormat="1"/>
    <row r="114" spans="2:53" s="362" customFormat="1"/>
    <row r="115" spans="2:53" s="362" customFormat="1"/>
    <row r="116" spans="2:53" ht="16.5" thickBot="1">
      <c r="B116" s="71" t="s">
        <v>513</v>
      </c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</row>
    <row r="117" spans="2:53" ht="25.5">
      <c r="B117" s="59" t="s">
        <v>178</v>
      </c>
      <c r="C117" s="58" t="str">
        <f t="shared" ref="C117:S117" si="29">C2</f>
        <v>2015 Actual</v>
      </c>
      <c r="D117" s="58" t="str">
        <f t="shared" si="29"/>
        <v>2016 Actual</v>
      </c>
      <c r="E117" s="58" t="str">
        <f t="shared" si="29"/>
        <v>2017 Actual</v>
      </c>
      <c r="F117" s="58" t="str">
        <f t="shared" si="29"/>
        <v>2018 Actual</v>
      </c>
      <c r="G117" s="58" t="str">
        <f t="shared" si="29"/>
        <v>2019 Actual</v>
      </c>
      <c r="H117" s="58" t="str">
        <f t="shared" si="29"/>
        <v>2020 Actual</v>
      </c>
      <c r="I117" s="58" t="str">
        <f t="shared" si="29"/>
        <v>2021 Actual</v>
      </c>
      <c r="J117" s="58" t="str">
        <f t="shared" si="29"/>
        <v>2022 Actual</v>
      </c>
      <c r="K117" s="58" t="str">
        <f t="shared" si="29"/>
        <v>2023 Actual</v>
      </c>
      <c r="L117" s="58" t="str">
        <f t="shared" si="29"/>
        <v>2024 Actual</v>
      </c>
      <c r="M117" s="58" t="str">
        <f t="shared" si="29"/>
        <v>2025 Forecast</v>
      </c>
      <c r="N117" s="58" t="str">
        <f t="shared" si="29"/>
        <v>2026 Forecast</v>
      </c>
      <c r="O117" s="58" t="str">
        <f t="shared" si="29"/>
        <v>2027 Forecast</v>
      </c>
      <c r="P117" s="58" t="str">
        <f t="shared" si="29"/>
        <v>2028 Forecast</v>
      </c>
      <c r="Q117" s="58" t="str">
        <f t="shared" si="29"/>
        <v>2029 Forecast</v>
      </c>
      <c r="R117" s="58" t="str">
        <f t="shared" si="29"/>
        <v>2030 Forecast</v>
      </c>
      <c r="S117" s="57" t="str">
        <f t="shared" si="29"/>
        <v>2031 Forecast</v>
      </c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</row>
    <row r="118" spans="2:53">
      <c r="B118" s="64" t="str">
        <f>B3</f>
        <v>Residential</v>
      </c>
      <c r="C118" s="55">
        <f t="shared" ref="C118:S118" ca="1" si="30">C3+C57</f>
        <v>1209091077.8205724</v>
      </c>
      <c r="D118" s="55">
        <f t="shared" ca="1" si="30"/>
        <v>1329567403.5370488</v>
      </c>
      <c r="E118" s="55">
        <f t="shared" ca="1" si="30"/>
        <v>1244367624.9805803</v>
      </c>
      <c r="F118" s="55">
        <f t="shared" ca="1" si="30"/>
        <v>1348389370.5026314</v>
      </c>
      <c r="G118" s="55">
        <f t="shared" ca="1" si="30"/>
        <v>1308947623.9761705</v>
      </c>
      <c r="H118" s="55">
        <f t="shared" ca="1" si="30"/>
        <v>1428064028.1959634</v>
      </c>
      <c r="I118" s="55">
        <f t="shared" ca="1" si="30"/>
        <v>1421265805.5548737</v>
      </c>
      <c r="J118" s="55">
        <f t="shared" ca="1" si="30"/>
        <v>1411295398.4939735</v>
      </c>
      <c r="K118" s="55">
        <f t="shared" ca="1" si="30"/>
        <v>1401129205.6904671</v>
      </c>
      <c r="L118" s="55">
        <f t="shared" ca="1" si="30"/>
        <v>1463722142.9966345</v>
      </c>
      <c r="M118" s="55">
        <f t="shared" ca="1" si="30"/>
        <v>1515994144.3310091</v>
      </c>
      <c r="N118" s="55">
        <f t="shared" ca="1" si="30"/>
        <v>1546574460.3558209</v>
      </c>
      <c r="O118" s="55">
        <f t="shared" ca="1" si="30"/>
        <v>1578573635.2711742</v>
      </c>
      <c r="P118" s="55">
        <f t="shared" ca="1" si="30"/>
        <v>1610606554.0853345</v>
      </c>
      <c r="Q118" s="55">
        <f t="shared" ca="1" si="30"/>
        <v>1641331700.1724854</v>
      </c>
      <c r="R118" s="55">
        <f t="shared" ca="1" si="30"/>
        <v>1680304198.1259534</v>
      </c>
      <c r="S118" s="65">
        <f t="shared" ca="1" si="30"/>
        <v>1718981173.4150651</v>
      </c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</row>
    <row r="119" spans="2:53">
      <c r="B119" s="64" t="str">
        <f t="shared" ref="B119:B126" si="31">B4</f>
        <v>Residential Seasonal</v>
      </c>
      <c r="C119" s="55">
        <f t="shared" ref="C119:S119" ca="1" si="32">C4</f>
        <v>9513187.7383200023</v>
      </c>
      <c r="D119" s="55">
        <f t="shared" ca="1" si="32"/>
        <v>9487858.6249600016</v>
      </c>
      <c r="E119" s="55">
        <f t="shared" ca="1" si="32"/>
        <v>9912683.662969999</v>
      </c>
      <c r="F119" s="55">
        <f t="shared" ca="1" si="32"/>
        <v>10517338.461090002</v>
      </c>
      <c r="G119" s="55">
        <f t="shared" ca="1" si="32"/>
        <v>10858188.68736</v>
      </c>
      <c r="H119" s="55">
        <f t="shared" ca="1" si="32"/>
        <v>12379582.885860002</v>
      </c>
      <c r="I119" s="55">
        <f t="shared" ca="1" si="32"/>
        <v>12593975.35183</v>
      </c>
      <c r="J119" s="55">
        <f t="shared" ca="1" si="32"/>
        <v>12600240.583780002</v>
      </c>
      <c r="K119" s="55">
        <f t="shared" ca="1" si="32"/>
        <v>12172613.888050001</v>
      </c>
      <c r="L119" s="55">
        <f t="shared" ca="1" si="32"/>
        <v>12230713.602862934</v>
      </c>
      <c r="M119" s="55">
        <f t="shared" ca="1" si="32"/>
        <v>12768206.557489421</v>
      </c>
      <c r="N119" s="55">
        <f t="shared" ca="1" si="32"/>
        <v>13188721.546985753</v>
      </c>
      <c r="O119" s="55">
        <f t="shared" ca="1" si="32"/>
        <v>13651253.423372488</v>
      </c>
      <c r="P119" s="55">
        <f t="shared" ca="1" si="32"/>
        <v>14035998.008814186</v>
      </c>
      <c r="Q119" s="55">
        <f t="shared" ca="1" si="32"/>
        <v>14476769.158850323</v>
      </c>
      <c r="R119" s="55">
        <f t="shared" ca="1" si="32"/>
        <v>14995359.212779585</v>
      </c>
      <c r="S119" s="65">
        <f t="shared" ca="1" si="32"/>
        <v>15451103.337147947</v>
      </c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</row>
    <row r="120" spans="2:53">
      <c r="B120" s="64" t="str">
        <f t="shared" si="31"/>
        <v>GS&lt;50</v>
      </c>
      <c r="C120" s="55">
        <f t="shared" ref="C120:S122" ca="1" si="33">C5+C58</f>
        <v>348123390.30529982</v>
      </c>
      <c r="D120" s="55">
        <f t="shared" ca="1" si="33"/>
        <v>373321310.09855962</v>
      </c>
      <c r="E120" s="55">
        <f t="shared" ca="1" si="33"/>
        <v>360992727.11152005</v>
      </c>
      <c r="F120" s="55">
        <f t="shared" ca="1" si="33"/>
        <v>371100217.32213026</v>
      </c>
      <c r="G120" s="55">
        <f t="shared" ca="1" si="33"/>
        <v>378533094.68658012</v>
      </c>
      <c r="H120" s="55">
        <f t="shared" ca="1" si="33"/>
        <v>348331086.39429045</v>
      </c>
      <c r="I120" s="55">
        <f t="shared" ca="1" si="33"/>
        <v>348265604.92788994</v>
      </c>
      <c r="J120" s="55">
        <f t="shared" ca="1" si="33"/>
        <v>366086395.05274969</v>
      </c>
      <c r="K120" s="55">
        <f t="shared" ca="1" si="33"/>
        <v>364983689.98202944</v>
      </c>
      <c r="L120" s="55">
        <f t="shared" ca="1" si="33"/>
        <v>345939418.43269312</v>
      </c>
      <c r="M120" s="55">
        <f t="shared" ca="1" si="33"/>
        <v>374839489.81393456</v>
      </c>
      <c r="N120" s="55">
        <f t="shared" ca="1" si="33"/>
        <v>375080309.18336868</v>
      </c>
      <c r="O120" s="55">
        <f t="shared" ca="1" si="33"/>
        <v>376280208.1176371</v>
      </c>
      <c r="P120" s="55">
        <f t="shared" ca="1" si="33"/>
        <v>375831277.10050917</v>
      </c>
      <c r="Q120" s="55">
        <f t="shared" ca="1" si="33"/>
        <v>376353639.19765615</v>
      </c>
      <c r="R120" s="55">
        <f t="shared" ca="1" si="33"/>
        <v>377216432.00193262</v>
      </c>
      <c r="S120" s="65">
        <f t="shared" ca="1" si="33"/>
        <v>379702546.86592543</v>
      </c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</row>
    <row r="121" spans="2:53">
      <c r="B121" s="64" t="str">
        <f t="shared" si="31"/>
        <v>GS 50 - 2,999</v>
      </c>
      <c r="C121" s="55">
        <f t="shared" ref="C121:Q121" ca="1" si="34">C6+C59</f>
        <v>1303426141.7499247</v>
      </c>
      <c r="D121" s="55">
        <f t="shared" ca="1" si="34"/>
        <v>1325491838.96</v>
      </c>
      <c r="E121" s="55">
        <f t="shared" ca="1" si="34"/>
        <v>1288074572.5099998</v>
      </c>
      <c r="F121" s="55">
        <f t="shared" ca="1" si="34"/>
        <v>1317526745.0799999</v>
      </c>
      <c r="G121" s="55">
        <f t="shared" ca="1" si="34"/>
        <v>1283766518.97</v>
      </c>
      <c r="H121" s="55">
        <f t="shared" ca="1" si="34"/>
        <v>1217071153.77</v>
      </c>
      <c r="I121" s="55">
        <f t="shared" ca="1" si="34"/>
        <v>1233800242.5</v>
      </c>
      <c r="J121" s="55">
        <f t="shared" ca="1" si="34"/>
        <v>1259614150.4000001</v>
      </c>
      <c r="K121" s="55">
        <f t="shared" ca="1" si="34"/>
        <v>1256420571.8400002</v>
      </c>
      <c r="L121" s="55">
        <f t="shared" ca="1" si="34"/>
        <v>1302629894.3127961</v>
      </c>
      <c r="M121" s="55">
        <f t="shared" ca="1" si="34"/>
        <v>1274797572.8396764</v>
      </c>
      <c r="N121" s="55">
        <f t="shared" ca="1" si="34"/>
        <v>1325946365.9758654</v>
      </c>
      <c r="O121" s="55">
        <f t="shared" ca="1" si="34"/>
        <v>1365439860.2664268</v>
      </c>
      <c r="P121" s="55">
        <f t="shared" ca="1" si="34"/>
        <v>1383877948.2547727</v>
      </c>
      <c r="Q121" s="55">
        <f t="shared" ca="1" si="34"/>
        <v>1391494950.3635631</v>
      </c>
      <c r="R121" s="55">
        <f t="shared" ca="1" si="33"/>
        <v>1389411603.9599769</v>
      </c>
      <c r="S121" s="65">
        <f t="shared" ca="1" si="33"/>
        <v>1394637848.9864466</v>
      </c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</row>
    <row r="122" spans="2:53">
      <c r="B122" s="64" t="str">
        <f t="shared" si="31"/>
        <v>GS 3,000 - 4,999</v>
      </c>
      <c r="C122" s="55">
        <f t="shared" ca="1" si="33"/>
        <v>142853386.90432376</v>
      </c>
      <c r="D122" s="55">
        <f t="shared" ca="1" si="33"/>
        <v>143904765.095</v>
      </c>
      <c r="E122" s="55">
        <f t="shared" ca="1" si="33"/>
        <v>151902253.61999997</v>
      </c>
      <c r="F122" s="55">
        <f t="shared" ca="1" si="33"/>
        <v>156057905.36000001</v>
      </c>
      <c r="G122" s="55">
        <f t="shared" ca="1" si="33"/>
        <v>173089477.73000002</v>
      </c>
      <c r="H122" s="55">
        <f t="shared" ca="1" si="33"/>
        <v>174783834.33000001</v>
      </c>
      <c r="I122" s="55">
        <f t="shared" ca="1" si="33"/>
        <v>186745253.55000001</v>
      </c>
      <c r="J122" s="55">
        <f t="shared" ca="1" si="33"/>
        <v>197502623.56999999</v>
      </c>
      <c r="K122" s="55">
        <f t="shared" ca="1" si="33"/>
        <v>195466519.73000002</v>
      </c>
      <c r="L122" s="55">
        <f t="shared" ca="1" si="33"/>
        <v>180631420.61000001</v>
      </c>
      <c r="M122" s="55">
        <f t="shared" ca="1" si="33"/>
        <v>214811897.59407872</v>
      </c>
      <c r="N122" s="55">
        <f t="shared" ca="1" si="33"/>
        <v>274193095.61505312</v>
      </c>
      <c r="O122" s="55">
        <f t="shared" ca="1" si="33"/>
        <v>308941636.96625525</v>
      </c>
      <c r="P122" s="55">
        <f t="shared" ca="1" si="33"/>
        <v>321145352.97253454</v>
      </c>
      <c r="Q122" s="55">
        <f t="shared" ca="1" si="33"/>
        <v>329918802.46772367</v>
      </c>
      <c r="R122" s="55">
        <f t="shared" ca="1" si="33"/>
        <v>342231261.79042077</v>
      </c>
      <c r="S122" s="65">
        <f t="shared" ca="1" si="33"/>
        <v>355799331.76136017</v>
      </c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</row>
    <row r="123" spans="2:53">
      <c r="B123" s="64" t="str">
        <f t="shared" si="31"/>
        <v>Large Use</v>
      </c>
      <c r="C123" s="55">
        <f t="shared" ref="C123:S123" ca="1" si="35">C8</f>
        <v>210460829.48535237</v>
      </c>
      <c r="D123" s="55">
        <f t="shared" ca="1" si="35"/>
        <v>215800519.09</v>
      </c>
      <c r="E123" s="55">
        <f t="shared" ca="1" si="35"/>
        <v>223859611.13000003</v>
      </c>
      <c r="F123" s="55">
        <f t="shared" ca="1" si="35"/>
        <v>250221085.47000003</v>
      </c>
      <c r="G123" s="55">
        <f t="shared" ca="1" si="35"/>
        <v>259592384.06</v>
      </c>
      <c r="H123" s="55">
        <f t="shared" ca="1" si="35"/>
        <v>264242586.03</v>
      </c>
      <c r="I123" s="55">
        <f t="shared" ca="1" si="35"/>
        <v>284809430.72000003</v>
      </c>
      <c r="J123" s="55">
        <f t="shared" ca="1" si="35"/>
        <v>289202900.55000001</v>
      </c>
      <c r="K123" s="55">
        <f t="shared" ca="1" si="35"/>
        <v>303910758.94632399</v>
      </c>
      <c r="L123" s="55">
        <f t="shared" ca="1" si="35"/>
        <v>321893041.52938205</v>
      </c>
      <c r="M123" s="55">
        <f t="shared" ca="1" si="35"/>
        <v>331686368.21779627</v>
      </c>
      <c r="N123" s="55">
        <f t="shared" ca="1" si="35"/>
        <v>361053715.99987245</v>
      </c>
      <c r="O123" s="55">
        <f t="shared" ca="1" si="35"/>
        <v>408628326.68616831</v>
      </c>
      <c r="P123" s="55">
        <f t="shared" ca="1" si="35"/>
        <v>501277598.92863512</v>
      </c>
      <c r="Q123" s="55">
        <f t="shared" ca="1" si="35"/>
        <v>570944946.26759028</v>
      </c>
      <c r="R123" s="55">
        <f t="shared" ca="1" si="35"/>
        <v>595286465.87812722</v>
      </c>
      <c r="S123" s="65">
        <f t="shared" ca="1" si="35"/>
        <v>605876118.45883048</v>
      </c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</row>
    <row r="124" spans="2:53">
      <c r="B124" s="64" t="str">
        <f t="shared" si="31"/>
        <v>Street Light</v>
      </c>
      <c r="C124" s="55">
        <f t="shared" ref="C124:S126" ca="1" si="36">C9+C61</f>
        <v>30740048.80972445</v>
      </c>
      <c r="D124" s="55">
        <f t="shared" ca="1" si="36"/>
        <v>28008921.260000002</v>
      </c>
      <c r="E124" s="55">
        <f t="shared" ca="1" si="36"/>
        <v>25449771.140000001</v>
      </c>
      <c r="F124" s="55">
        <f t="shared" ca="1" si="36"/>
        <v>19974439.91</v>
      </c>
      <c r="G124" s="55">
        <f t="shared" ca="1" si="36"/>
        <v>17284070.609999999</v>
      </c>
      <c r="H124" s="55">
        <f t="shared" ca="1" si="36"/>
        <v>15299590.370000001</v>
      </c>
      <c r="I124" s="55">
        <f t="shared" ca="1" si="36"/>
        <v>14936871.639999999</v>
      </c>
      <c r="J124" s="55">
        <f t="shared" ca="1" si="36"/>
        <v>15228080.209999999</v>
      </c>
      <c r="K124" s="55">
        <f t="shared" ca="1" si="36"/>
        <v>15536950.42</v>
      </c>
      <c r="L124" s="55">
        <f t="shared" ca="1" si="36"/>
        <v>15852497.33</v>
      </c>
      <c r="M124" s="55">
        <f t="shared" ca="1" si="36"/>
        <v>16038637.451472664</v>
      </c>
      <c r="N124" s="55">
        <f t="shared" ca="1" si="36"/>
        <v>16227074.390035089</v>
      </c>
      <c r="O124" s="55">
        <f t="shared" ca="1" si="36"/>
        <v>16417838.095422782</v>
      </c>
      <c r="P124" s="55">
        <f t="shared" ca="1" si="36"/>
        <v>16610958.930065624</v>
      </c>
      <c r="Q124" s="55">
        <f t="shared" ca="1" si="36"/>
        <v>16806467.67506345</v>
      </c>
      <c r="R124" s="55">
        <f t="shared" ca="1" si="36"/>
        <v>17004395.53625169</v>
      </c>
      <c r="S124" s="65">
        <f t="shared" ca="1" si="36"/>
        <v>17204774.150358506</v>
      </c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</row>
    <row r="125" spans="2:53">
      <c r="B125" s="64" t="str">
        <f t="shared" si="31"/>
        <v>Sentinel Light</v>
      </c>
      <c r="C125" s="55">
        <v>398595</v>
      </c>
      <c r="D125" s="55">
        <v>398391</v>
      </c>
      <c r="E125" s="55">
        <v>380813</v>
      </c>
      <c r="F125" s="55">
        <v>288925</v>
      </c>
      <c r="G125" s="55">
        <v>256732</v>
      </c>
      <c r="H125" s="55">
        <v>256857</v>
      </c>
      <c r="I125" s="55">
        <v>255183</v>
      </c>
      <c r="J125" s="55">
        <f t="shared" ref="J125:Q125" ca="1" si="37">J10+J62</f>
        <v>247440.7837173164</v>
      </c>
      <c r="K125" s="55">
        <f t="shared" ca="1" si="37"/>
        <v>250007.72999999995</v>
      </c>
      <c r="L125" s="55">
        <f t="shared" ca="1" si="37"/>
        <v>246591.99999999994</v>
      </c>
      <c r="M125" s="55">
        <f t="shared" ca="1" si="37"/>
        <v>244297.29208182532</v>
      </c>
      <c r="N125" s="55">
        <f t="shared" ca="1" si="37"/>
        <v>241106.70406274209</v>
      </c>
      <c r="O125" s="55">
        <f t="shared" ca="1" si="37"/>
        <v>237982.60565739745</v>
      </c>
      <c r="P125" s="55">
        <f t="shared" ca="1" si="37"/>
        <v>234924.03774205741</v>
      </c>
      <c r="Q125" s="55">
        <f t="shared" ca="1" si="37"/>
        <v>231930.05962108122</v>
      </c>
      <c r="R125" s="55">
        <f t="shared" ca="1" si="36"/>
        <v>228999.74874430057</v>
      </c>
      <c r="S125" s="65">
        <f t="shared" ca="1" si="36"/>
        <v>226132.20042956769</v>
      </c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</row>
    <row r="126" spans="2:53">
      <c r="B126" s="64" t="str">
        <f t="shared" si="31"/>
        <v>USL</v>
      </c>
      <c r="C126" s="55">
        <f t="shared" ca="1" si="36"/>
        <v>5716632.1199999992</v>
      </c>
      <c r="D126" s="55">
        <f t="shared" ca="1" si="36"/>
        <v>5574282.9199999999</v>
      </c>
      <c r="E126" s="55">
        <f t="shared" ca="1" si="36"/>
        <v>5516972.75</v>
      </c>
      <c r="F126" s="55">
        <f t="shared" ca="1" si="36"/>
        <v>5495149.1699999999</v>
      </c>
      <c r="G126" s="55">
        <f t="shared" ca="1" si="36"/>
        <v>5443926.5599999996</v>
      </c>
      <c r="H126" s="55">
        <f t="shared" ca="1" si="36"/>
        <v>6667274.6900000004</v>
      </c>
      <c r="I126" s="55">
        <f t="shared" ca="1" si="36"/>
        <v>6751958.5200000005</v>
      </c>
      <c r="J126" s="55">
        <f t="shared" ca="1" si="36"/>
        <v>6729569.3399999999</v>
      </c>
      <c r="K126" s="55">
        <f t="shared" ca="1" si="36"/>
        <v>6716597.5899999999</v>
      </c>
      <c r="L126" s="55">
        <f t="shared" ca="1" si="36"/>
        <v>6705989.1900000004</v>
      </c>
      <c r="M126" s="55">
        <f t="shared" ca="1" si="36"/>
        <v>6494821.3508391455</v>
      </c>
      <c r="N126" s="55">
        <f t="shared" ca="1" si="36"/>
        <v>6441722.3826541733</v>
      </c>
      <c r="O126" s="55">
        <f t="shared" ca="1" si="36"/>
        <v>6389545.0608795565</v>
      </c>
      <c r="P126" s="55">
        <f t="shared" ca="1" si="36"/>
        <v>6338277.6406470798</v>
      </c>
      <c r="Q126" s="55">
        <f t="shared" ca="1" si="36"/>
        <v>6287908.5442271214</v>
      </c>
      <c r="R126" s="55">
        <f t="shared" ca="1" si="36"/>
        <v>6238426.3587479033</v>
      </c>
      <c r="S126" s="65">
        <f t="shared" ca="1" si="36"/>
        <v>6189819.8339463407</v>
      </c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</row>
    <row r="127" spans="2:53" ht="15.75" thickBot="1">
      <c r="B127" s="63" t="s">
        <v>162</v>
      </c>
      <c r="C127" s="62">
        <f ca="1">SUM(C118:C126)</f>
        <v>3260323289.933517</v>
      </c>
      <c r="D127" s="62">
        <f t="shared" ref="C127:Q127" ca="1" si="38">SUM(D118:D126)</f>
        <v>3431555290.5855689</v>
      </c>
      <c r="E127" s="62">
        <f t="shared" ca="1" si="38"/>
        <v>3310457029.9050698</v>
      </c>
      <c r="F127" s="62">
        <f t="shared" ca="1" si="38"/>
        <v>3479571176.2758512</v>
      </c>
      <c r="G127" s="62">
        <f t="shared" ca="1" si="38"/>
        <v>3437772017.2801108</v>
      </c>
      <c r="H127" s="62">
        <f t="shared" ca="1" si="38"/>
        <v>3467095993.6661139</v>
      </c>
      <c r="I127" s="62">
        <f t="shared" ca="1" si="38"/>
        <v>3509424325.7645941</v>
      </c>
      <c r="J127" s="62">
        <f t="shared" ca="1" si="38"/>
        <v>3558506798.984221</v>
      </c>
      <c r="K127" s="62">
        <f t="shared" ca="1" si="38"/>
        <v>3556586915.8168712</v>
      </c>
      <c r="L127" s="62">
        <f t="shared" ca="1" si="38"/>
        <v>3649851710.0043688</v>
      </c>
      <c r="M127" s="62">
        <f t="shared" ca="1" si="38"/>
        <v>3747675435.4483781</v>
      </c>
      <c r="N127" s="62">
        <f t="shared" ca="1" si="38"/>
        <v>3918946572.1537189</v>
      </c>
      <c r="O127" s="62">
        <f t="shared" ca="1" si="38"/>
        <v>4074560286.4929938</v>
      </c>
      <c r="P127" s="62">
        <f t="shared" ca="1" si="38"/>
        <v>4229958889.9590549</v>
      </c>
      <c r="Q127" s="62">
        <f t="shared" ca="1" si="38"/>
        <v>4347847113.9067802</v>
      </c>
      <c r="R127" s="62">
        <f ca="1">SUM(R118:R126)</f>
        <v>4422917142.6129341</v>
      </c>
      <c r="S127" s="60">
        <f ca="1">SUM(S118:S126)</f>
        <v>4494068849.00951</v>
      </c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</row>
    <row r="128" spans="2:53">
      <c r="B128" s="64" t="str">
        <f>B121</f>
        <v>GS 50 - 2,999</v>
      </c>
      <c r="C128" s="55">
        <f t="shared" ref="C128:S129" ca="1" si="39">C13+C65</f>
        <v>3102195.4537237901</v>
      </c>
      <c r="D128" s="55">
        <f t="shared" ca="1" si="39"/>
        <v>3190775.7399999998</v>
      </c>
      <c r="E128" s="55">
        <f t="shared" ca="1" si="39"/>
        <v>3111377.2899999996</v>
      </c>
      <c r="F128" s="55">
        <f t="shared" ca="1" si="39"/>
        <v>3149613.15</v>
      </c>
      <c r="G128" s="55">
        <f t="shared" ca="1" si="39"/>
        <v>3057337.58</v>
      </c>
      <c r="H128" s="55">
        <f t="shared" ca="1" si="39"/>
        <v>2943202.8</v>
      </c>
      <c r="I128" s="55">
        <f t="shared" ca="1" si="39"/>
        <v>2950218.5499999993</v>
      </c>
      <c r="J128" s="55">
        <f t="shared" ca="1" si="39"/>
        <v>3043361.29</v>
      </c>
      <c r="K128" s="55">
        <f t="shared" ca="1" si="39"/>
        <v>2990987.09</v>
      </c>
      <c r="L128" s="55">
        <f t="shared" ca="1" si="39"/>
        <v>2968530.4099999997</v>
      </c>
      <c r="M128" s="55">
        <f t="shared" ca="1" si="39"/>
        <v>3048624.2575204796</v>
      </c>
      <c r="N128" s="55">
        <f t="shared" ca="1" si="39"/>
        <v>3186836.9539945172</v>
      </c>
      <c r="O128" s="55">
        <f t="shared" ca="1" si="39"/>
        <v>3298052.5867797011</v>
      </c>
      <c r="P128" s="55">
        <f t="shared" ca="1" si="39"/>
        <v>3360199.9664295977</v>
      </c>
      <c r="Q128" s="55">
        <f t="shared" ca="1" si="39"/>
        <v>3398325.1246348447</v>
      </c>
      <c r="R128" s="55">
        <f t="shared" ca="1" si="39"/>
        <v>3414385.6069159214</v>
      </c>
      <c r="S128" s="65">
        <f t="shared" ca="1" si="39"/>
        <v>3447628.0019114334</v>
      </c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</row>
    <row r="129" spans="1:53">
      <c r="B129" s="64" t="str">
        <f>B122</f>
        <v>GS 3,000 - 4,999</v>
      </c>
      <c r="C129" s="55">
        <f t="shared" ref="C129:Q129" ca="1" si="40">C14+C66</f>
        <v>284679.17288459151</v>
      </c>
      <c r="D129" s="55">
        <f t="shared" ca="1" si="40"/>
        <v>317493.09999999998</v>
      </c>
      <c r="E129" s="55">
        <f t="shared" ca="1" si="40"/>
        <v>290527.03000000003</v>
      </c>
      <c r="F129" s="55">
        <f t="shared" ca="1" si="40"/>
        <v>304032.87000000005</v>
      </c>
      <c r="G129" s="55">
        <f t="shared" ca="1" si="40"/>
        <v>342986.87</v>
      </c>
      <c r="H129" s="55">
        <f t="shared" ca="1" si="40"/>
        <v>339439.79999999993</v>
      </c>
      <c r="I129" s="55">
        <f t="shared" ca="1" si="40"/>
        <v>368167.69000000006</v>
      </c>
      <c r="J129" s="55">
        <f t="shared" ca="1" si="40"/>
        <v>393101.52</v>
      </c>
      <c r="K129" s="55">
        <f t="shared" ca="1" si="40"/>
        <v>394699.74</v>
      </c>
      <c r="L129" s="55">
        <f t="shared" ca="1" si="40"/>
        <v>376037.78</v>
      </c>
      <c r="M129" s="55">
        <f t="shared" ca="1" si="40"/>
        <v>434611.89881014143</v>
      </c>
      <c r="N129" s="55">
        <f t="shared" ca="1" si="40"/>
        <v>559841.10142064618</v>
      </c>
      <c r="O129" s="55">
        <f t="shared" ca="1" si="40"/>
        <v>634866.96313706157</v>
      </c>
      <c r="P129" s="55">
        <f t="shared" ca="1" si="40"/>
        <v>663860.07872149907</v>
      </c>
      <c r="Q129" s="55">
        <f t="shared" ca="1" si="40"/>
        <v>685951.7162830272</v>
      </c>
      <c r="R129" s="55">
        <f t="shared" ca="1" si="39"/>
        <v>714881.78302287427</v>
      </c>
      <c r="S129" s="65">
        <f t="shared" ca="1" si="39"/>
        <v>746467.9006503236</v>
      </c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</row>
    <row r="130" spans="1:53">
      <c r="B130" s="64" t="str">
        <f>B123</f>
        <v>Large Use</v>
      </c>
      <c r="C130" s="55">
        <f t="shared" ref="C130:S130" ca="1" si="41">C15</f>
        <v>361254.63310506125</v>
      </c>
      <c r="D130" s="55">
        <f t="shared" ca="1" si="41"/>
        <v>421758</v>
      </c>
      <c r="E130" s="55">
        <f t="shared" ca="1" si="41"/>
        <v>382866</v>
      </c>
      <c r="F130" s="55">
        <f t="shared" ca="1" si="41"/>
        <v>423038</v>
      </c>
      <c r="G130" s="55">
        <f t="shared" ca="1" si="41"/>
        <v>433414</v>
      </c>
      <c r="H130" s="55">
        <f t="shared" ca="1" si="41"/>
        <v>453257</v>
      </c>
      <c r="I130" s="55">
        <f t="shared" ca="1" si="41"/>
        <v>481567</v>
      </c>
      <c r="J130" s="55">
        <f t="shared" ca="1" si="41"/>
        <v>490452</v>
      </c>
      <c r="K130" s="55">
        <f t="shared" ca="1" si="41"/>
        <v>518389.27999999997</v>
      </c>
      <c r="L130" s="55">
        <f t="shared" ca="1" si="41"/>
        <v>532510.09</v>
      </c>
      <c r="M130" s="55">
        <f t="shared" ca="1" si="41"/>
        <v>562102.70615904417</v>
      </c>
      <c r="N130" s="55">
        <f t="shared" ca="1" si="41"/>
        <v>614338.02506298595</v>
      </c>
      <c r="O130" s="55">
        <f t="shared" ca="1" si="41"/>
        <v>700459.585062181</v>
      </c>
      <c r="P130" s="55">
        <f t="shared" ca="1" si="41"/>
        <v>866937.22022196359</v>
      </c>
      <c r="Q130" s="55">
        <f t="shared" ca="1" si="41"/>
        <v>994908.69007255079</v>
      </c>
      <c r="R130" s="55">
        <f t="shared" ca="1" si="41"/>
        <v>1044584.2129462288</v>
      </c>
      <c r="S130" s="65">
        <f t="shared" ca="1" si="41"/>
        <v>1070183.945594792</v>
      </c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</row>
    <row r="131" spans="1:53">
      <c r="B131" s="64" t="str">
        <f>B124</f>
        <v>Street Light</v>
      </c>
      <c r="C131" s="55">
        <f t="shared" ref="C131:S131" ca="1" si="42">C16+C67</f>
        <v>81808.160000000003</v>
      </c>
      <c r="D131" s="55">
        <f t="shared" ca="1" si="42"/>
        <v>73706.880000000005</v>
      </c>
      <c r="E131" s="55">
        <f t="shared" ca="1" si="42"/>
        <v>67629.86</v>
      </c>
      <c r="F131" s="55">
        <f t="shared" ca="1" si="42"/>
        <v>52906.29</v>
      </c>
      <c r="G131" s="55">
        <f t="shared" ca="1" si="42"/>
        <v>45671.590000000004</v>
      </c>
      <c r="H131" s="55">
        <f t="shared" ca="1" si="42"/>
        <v>40981.380000000005</v>
      </c>
      <c r="I131" s="55">
        <f t="shared" ca="1" si="42"/>
        <v>40484.25</v>
      </c>
      <c r="J131" s="55">
        <f t="shared" ca="1" si="42"/>
        <v>40597.899999999994</v>
      </c>
      <c r="K131" s="55">
        <f t="shared" ca="1" si="42"/>
        <v>41371.47</v>
      </c>
      <c r="L131" s="55">
        <f t="shared" ca="1" si="42"/>
        <v>42059.850000000006</v>
      </c>
      <c r="M131" s="55">
        <f t="shared" ca="1" si="42"/>
        <v>42681.496016865494</v>
      </c>
      <c r="N131" s="55">
        <f t="shared" ca="1" si="42"/>
        <v>43182.682512826126</v>
      </c>
      <c r="O131" s="55">
        <f t="shared" ca="1" si="42"/>
        <v>43690.053531874008</v>
      </c>
      <c r="P131" s="55">
        <f t="shared" ca="1" si="42"/>
        <v>44203.689722153795</v>
      </c>
      <c r="Q131" s="55">
        <f t="shared" ca="1" si="42"/>
        <v>44723.672843158871</v>
      </c>
      <c r="R131" s="55">
        <f t="shared" ca="1" si="42"/>
        <v>45250.085781823676</v>
      </c>
      <c r="S131" s="65">
        <f t="shared" ca="1" si="42"/>
        <v>45783.012568858583</v>
      </c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</row>
    <row r="132" spans="1:53">
      <c r="B132" s="64" t="str">
        <f>B125</f>
        <v>Sentinel Light</v>
      </c>
      <c r="C132" s="55">
        <f t="shared" ref="C132:S132" ca="1" si="43">C17+C68</f>
        <v>1109</v>
      </c>
      <c r="D132" s="55">
        <f t="shared" ca="1" si="43"/>
        <v>1106</v>
      </c>
      <c r="E132" s="55">
        <f t="shared" ca="1" si="43"/>
        <v>1055</v>
      </c>
      <c r="F132" s="55">
        <f t="shared" ca="1" si="43"/>
        <v>807</v>
      </c>
      <c r="G132" s="55">
        <f t="shared" ca="1" si="43"/>
        <v>715</v>
      </c>
      <c r="H132" s="55">
        <f t="shared" ca="1" si="43"/>
        <v>714</v>
      </c>
      <c r="I132" s="55">
        <f t="shared" ca="1" si="43"/>
        <v>703</v>
      </c>
      <c r="J132" s="55">
        <f t="shared" ca="1" si="43"/>
        <v>696</v>
      </c>
      <c r="K132" s="55">
        <f t="shared" ca="1" si="43"/>
        <v>700</v>
      </c>
      <c r="L132" s="55">
        <f t="shared" ca="1" si="43"/>
        <v>685</v>
      </c>
      <c r="M132" s="55">
        <f t="shared" ca="1" si="43"/>
        <v>682.64486386916087</v>
      </c>
      <c r="N132" s="55">
        <f t="shared" ca="1" si="43"/>
        <v>673.8607818591048</v>
      </c>
      <c r="O132" s="55">
        <f t="shared" ca="1" si="43"/>
        <v>665.26201250981296</v>
      </c>
      <c r="P132" s="55">
        <f t="shared" ca="1" si="43"/>
        <v>656.8459069771659</v>
      </c>
      <c r="Q132" s="55">
        <f t="shared" ca="1" si="43"/>
        <v>648.60986768890109</v>
      </c>
      <c r="R132" s="55">
        <f t="shared" ca="1" si="43"/>
        <v>640.55134756270672</v>
      </c>
      <c r="S132" s="65">
        <f t="shared" ca="1" si="43"/>
        <v>632.66784923867954</v>
      </c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</row>
    <row r="133" spans="1:53" ht="15.75" thickBot="1">
      <c r="B133" s="63" t="s">
        <v>494</v>
      </c>
      <c r="C133" s="62">
        <f t="shared" ref="C133:S133" ca="1" si="44">SUM(C128:C132)</f>
        <v>3831046.4197134431</v>
      </c>
      <c r="D133" s="62">
        <f t="shared" ca="1" si="44"/>
        <v>4004839.7199999997</v>
      </c>
      <c r="E133" s="62">
        <f t="shared" ca="1" si="44"/>
        <v>3853455.1799999992</v>
      </c>
      <c r="F133" s="62">
        <f t="shared" ca="1" si="44"/>
        <v>3930397.31</v>
      </c>
      <c r="G133" s="62">
        <f t="shared" ca="1" si="44"/>
        <v>3880125.04</v>
      </c>
      <c r="H133" s="62">
        <f t="shared" ca="1" si="44"/>
        <v>3777594.9799999995</v>
      </c>
      <c r="I133" s="62">
        <f t="shared" ca="1" si="44"/>
        <v>3841140.4899999993</v>
      </c>
      <c r="J133" s="62">
        <f t="shared" ca="1" si="44"/>
        <v>3968208.71</v>
      </c>
      <c r="K133" s="62">
        <f t="shared" ca="1" si="44"/>
        <v>3946147.58</v>
      </c>
      <c r="L133" s="62">
        <f t="shared" ca="1" si="44"/>
        <v>3919823.1299999994</v>
      </c>
      <c r="M133" s="62">
        <f t="shared" ca="1" si="44"/>
        <v>4088703.0033703996</v>
      </c>
      <c r="N133" s="62">
        <f t="shared" ca="1" si="44"/>
        <v>4404872.6237728344</v>
      </c>
      <c r="O133" s="62">
        <f t="shared" ca="1" si="44"/>
        <v>4677734.4505233271</v>
      </c>
      <c r="P133" s="62">
        <f t="shared" ca="1" si="44"/>
        <v>4935857.8010021914</v>
      </c>
      <c r="Q133" s="62">
        <f t="shared" ca="1" si="44"/>
        <v>5124557.8137012711</v>
      </c>
      <c r="R133" s="62">
        <f t="shared" ca="1" si="44"/>
        <v>5219742.2400144115</v>
      </c>
      <c r="S133" s="60">
        <f t="shared" ca="1" si="44"/>
        <v>5310695.5285746465</v>
      </c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</row>
    <row r="134" spans="1:53">
      <c r="B134" s="388" t="str">
        <f t="shared" ref="B134:B142" si="45">B118</f>
        <v>Residential</v>
      </c>
      <c r="C134" s="389">
        <f t="shared" ref="C134:S134" ca="1" si="46">C19+C70</f>
        <v>146334.95833333337</v>
      </c>
      <c r="D134" s="389">
        <f t="shared" ca="1" si="46"/>
        <v>146881.16666666669</v>
      </c>
      <c r="E134" s="389">
        <f t="shared" ca="1" si="46"/>
        <v>148116.33333333331</v>
      </c>
      <c r="F134" s="389">
        <f t="shared" ca="1" si="46"/>
        <v>149566.66666666669</v>
      </c>
      <c r="G134" s="389">
        <f t="shared" ca="1" si="46"/>
        <v>151863.91666666669</v>
      </c>
      <c r="H134" s="389">
        <f t="shared" ca="1" si="46"/>
        <v>154099</v>
      </c>
      <c r="I134" s="389">
        <f t="shared" ca="1" si="46"/>
        <v>155957.16666666663</v>
      </c>
      <c r="J134" s="389">
        <f t="shared" ca="1" si="46"/>
        <v>158174.37500000006</v>
      </c>
      <c r="K134" s="389">
        <f t="shared" ca="1" si="46"/>
        <v>160634.54166666669</v>
      </c>
      <c r="L134" s="389">
        <f t="shared" ca="1" si="46"/>
        <v>162977</v>
      </c>
      <c r="M134" s="389">
        <f t="shared" ca="1" si="46"/>
        <v>166094.64558236155</v>
      </c>
      <c r="N134" s="389">
        <f t="shared" ca="1" si="46"/>
        <v>169425.69234166847</v>
      </c>
      <c r="O134" s="389">
        <f t="shared" ca="1" si="46"/>
        <v>172853.6910780537</v>
      </c>
      <c r="P134" s="389">
        <f t="shared" ca="1" si="46"/>
        <v>176219.21825803563</v>
      </c>
      <c r="Q134" s="389">
        <f t="shared" ca="1" si="46"/>
        <v>179670.93706239245</v>
      </c>
      <c r="R134" s="389">
        <f t="shared" ca="1" si="46"/>
        <v>183243.56946706519</v>
      </c>
      <c r="S134" s="390">
        <f t="shared" ca="1" si="46"/>
        <v>186876.61816728028</v>
      </c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</row>
    <row r="135" spans="1:53">
      <c r="B135" s="64" t="str">
        <f t="shared" si="45"/>
        <v>Residential Seasonal</v>
      </c>
      <c r="C135" s="55">
        <f t="shared" ref="C135:S135" ca="1" si="47">C20</f>
        <v>1592.011639210438</v>
      </c>
      <c r="D135" s="55">
        <f t="shared" ca="1" si="47"/>
        <v>1585.75</v>
      </c>
      <c r="E135" s="55">
        <f t="shared" ca="1" si="47"/>
        <v>1577.0416666666661</v>
      </c>
      <c r="F135" s="55">
        <f t="shared" ca="1" si="47"/>
        <v>1570.9166666666661</v>
      </c>
      <c r="G135" s="55">
        <f t="shared" ca="1" si="47"/>
        <v>1565.125</v>
      </c>
      <c r="H135" s="55">
        <f t="shared" ca="1" si="47"/>
        <v>1561</v>
      </c>
      <c r="I135" s="55">
        <f t="shared" ca="1" si="47"/>
        <v>1558.8333333333339</v>
      </c>
      <c r="J135" s="55">
        <f t="shared" ca="1" si="47"/>
        <v>1559.1666666666661</v>
      </c>
      <c r="K135" s="55">
        <f t="shared" ca="1" si="47"/>
        <v>1562.625</v>
      </c>
      <c r="L135" s="55">
        <f t="shared" ca="1" si="47"/>
        <v>1561.8333333333339</v>
      </c>
      <c r="M135" s="55">
        <f t="shared" ca="1" si="47"/>
        <v>1558.5157008672784</v>
      </c>
      <c r="N135" s="55">
        <f t="shared" ca="1" si="47"/>
        <v>1555.2051156865798</v>
      </c>
      <c r="O135" s="55">
        <f t="shared" ca="1" si="47"/>
        <v>1551.9015628214572</v>
      </c>
      <c r="P135" s="55">
        <f t="shared" ca="1" si="47"/>
        <v>1548.6050273339283</v>
      </c>
      <c r="Q135" s="55">
        <f t="shared" ca="1" si="47"/>
        <v>1545.3154943177424</v>
      </c>
      <c r="R135" s="55">
        <f t="shared" ca="1" si="47"/>
        <v>1542.0329488983118</v>
      </c>
      <c r="S135" s="65">
        <f t="shared" ca="1" si="47"/>
        <v>1538.757376232646</v>
      </c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</row>
    <row r="136" spans="1:53">
      <c r="B136" s="64" t="str">
        <f t="shared" si="45"/>
        <v>GS&lt;50</v>
      </c>
      <c r="C136" s="55">
        <f t="shared" ref="C136:S138" ca="1" si="48">C21+C71</f>
        <v>11061.416666666662</v>
      </c>
      <c r="D136" s="55">
        <f t="shared" ca="1" si="48"/>
        <v>11154.625000000002</v>
      </c>
      <c r="E136" s="55">
        <f t="shared" ca="1" si="48"/>
        <v>11245.125</v>
      </c>
      <c r="F136" s="55">
        <f t="shared" ca="1" si="48"/>
        <v>11336.291666666668</v>
      </c>
      <c r="G136" s="55">
        <f t="shared" ca="1" si="48"/>
        <v>11468.083333333338</v>
      </c>
      <c r="H136" s="55">
        <f t="shared" ca="1" si="48"/>
        <v>11562.083333333332</v>
      </c>
      <c r="I136" s="55">
        <f t="shared" ca="1" si="48"/>
        <v>11641.33333333333</v>
      </c>
      <c r="J136" s="55">
        <f t="shared" ca="1" si="48"/>
        <v>11796.791666666662</v>
      </c>
      <c r="K136" s="55">
        <f t="shared" ca="1" si="48"/>
        <v>11922.666666666668</v>
      </c>
      <c r="L136" s="55">
        <f t="shared" ca="1" si="48"/>
        <v>11966.625</v>
      </c>
      <c r="M136" s="55">
        <f t="shared" ca="1" si="48"/>
        <v>12043.826041873806</v>
      </c>
      <c r="N136" s="55">
        <f t="shared" ca="1" si="48"/>
        <v>12149.904951038121</v>
      </c>
      <c r="O136" s="55">
        <f t="shared" ca="1" si="48"/>
        <v>12257.011125236808</v>
      </c>
      <c r="P136" s="55">
        <f t="shared" ca="1" si="48"/>
        <v>12365.15562209135</v>
      </c>
      <c r="Q136" s="55">
        <f t="shared" ca="1" si="48"/>
        <v>12474.349630296862</v>
      </c>
      <c r="R136" s="55">
        <f t="shared" ca="1" si="48"/>
        <v>12584.604471293493</v>
      </c>
      <c r="S136" s="65">
        <f t="shared" ca="1" si="48"/>
        <v>12695.93160096017</v>
      </c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</row>
    <row r="137" spans="1:53">
      <c r="B137" s="64" t="str">
        <f t="shared" si="45"/>
        <v>GS 50 - 2,999</v>
      </c>
      <c r="C137" s="55">
        <f t="shared" ref="C137:Q137" ca="1" si="49">C22+C72</f>
        <v>1420.2083333333335</v>
      </c>
      <c r="D137" s="55">
        <f t="shared" ca="1" si="49"/>
        <v>1423.1249999999998</v>
      </c>
      <c r="E137" s="55">
        <f t="shared" ca="1" si="49"/>
        <v>1436.3333333333337</v>
      </c>
      <c r="F137" s="55">
        <f t="shared" ca="1" si="49"/>
        <v>1433.125</v>
      </c>
      <c r="G137" s="55">
        <f t="shared" ca="1" si="49"/>
        <v>1406.0833333333337</v>
      </c>
      <c r="H137" s="55">
        <f t="shared" ca="1" si="49"/>
        <v>1413.875</v>
      </c>
      <c r="I137" s="55">
        <f t="shared" ca="1" si="49"/>
        <v>1443.0833333333337</v>
      </c>
      <c r="J137" s="55">
        <f t="shared" ca="1" si="49"/>
        <v>1423.5833333333335</v>
      </c>
      <c r="K137" s="55">
        <f t="shared" ca="1" si="49"/>
        <v>1413.791666666667</v>
      </c>
      <c r="L137" s="55">
        <f t="shared" ca="1" si="49"/>
        <v>1448.0416666666663</v>
      </c>
      <c r="M137" s="55">
        <f t="shared" ca="1" si="49"/>
        <v>1474.3913548963119</v>
      </c>
      <c r="N137" s="55">
        <f t="shared" ca="1" si="49"/>
        <v>1490.9058039913718</v>
      </c>
      <c r="O137" s="55">
        <f t="shared" ca="1" si="49"/>
        <v>1501.4974014309801</v>
      </c>
      <c r="P137" s="55">
        <f t="shared" ca="1" si="49"/>
        <v>1507.9687572098201</v>
      </c>
      <c r="Q137" s="55">
        <f t="shared" ca="1" si="49"/>
        <v>1512.7324820413444</v>
      </c>
      <c r="R137" s="55">
        <f t="shared" ca="1" si="48"/>
        <v>1516.7761873624795</v>
      </c>
      <c r="S137" s="65">
        <f t="shared" ca="1" si="48"/>
        <v>1520.96248533836</v>
      </c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</row>
    <row r="138" spans="1:53">
      <c r="A138" s="362" t="s">
        <v>59</v>
      </c>
      <c r="B138" s="64" t="str">
        <f t="shared" si="45"/>
        <v>GS 3,000 - 4,999</v>
      </c>
      <c r="C138" s="55">
        <f t="shared" ca="1" si="48"/>
        <v>7</v>
      </c>
      <c r="D138" s="55">
        <f t="shared" ca="1" si="48"/>
        <v>7</v>
      </c>
      <c r="E138" s="55">
        <f t="shared" ca="1" si="48"/>
        <v>7</v>
      </c>
      <c r="F138" s="55">
        <f t="shared" ca="1" si="48"/>
        <v>7.0000000000000018</v>
      </c>
      <c r="G138" s="55">
        <f t="shared" ca="1" si="48"/>
        <v>7</v>
      </c>
      <c r="H138" s="55">
        <f t="shared" ca="1" si="48"/>
        <v>7.5416666666666652</v>
      </c>
      <c r="I138" s="55">
        <f t="shared" ca="1" si="48"/>
        <v>8.5416666666666643</v>
      </c>
      <c r="J138" s="55">
        <f t="shared" ca="1" si="48"/>
        <v>8.4583333333333357</v>
      </c>
      <c r="K138" s="55">
        <f t="shared" ca="1" si="48"/>
        <v>8</v>
      </c>
      <c r="L138" s="55">
        <f t="shared" ca="1" si="48"/>
        <v>8</v>
      </c>
      <c r="M138" s="55">
        <f t="shared" ca="1" si="48"/>
        <v>10.73</v>
      </c>
      <c r="N138" s="55">
        <f t="shared" ca="1" si="48"/>
        <v>15.78</v>
      </c>
      <c r="O138" s="55">
        <f t="shared" ca="1" si="48"/>
        <v>18.405000000000001</v>
      </c>
      <c r="P138" s="55">
        <f t="shared" ca="1" si="48"/>
        <v>18.655000000000001</v>
      </c>
      <c r="Q138" s="55">
        <f t="shared" ca="1" si="48"/>
        <v>18.600000000000001</v>
      </c>
      <c r="R138" s="55">
        <f t="shared" ca="1" si="48"/>
        <v>18.900000000000002</v>
      </c>
      <c r="S138" s="65">
        <f t="shared" ca="1" si="48"/>
        <v>19.3</v>
      </c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</row>
    <row r="139" spans="1:53">
      <c r="B139" s="64" t="str">
        <f t="shared" si="45"/>
        <v>Large Use</v>
      </c>
      <c r="C139" s="55">
        <f t="shared" ref="C139:S139" ca="1" si="50">C24</f>
        <v>2.5416666666666674</v>
      </c>
      <c r="D139" s="55">
        <f t="shared" ca="1" si="50"/>
        <v>3</v>
      </c>
      <c r="E139" s="55">
        <f t="shared" ca="1" si="50"/>
        <v>3</v>
      </c>
      <c r="F139" s="55">
        <f t="shared" ca="1" si="50"/>
        <v>3.5416666666666674</v>
      </c>
      <c r="G139" s="55">
        <f t="shared" ca="1" si="50"/>
        <v>4</v>
      </c>
      <c r="H139" s="55">
        <f t="shared" ca="1" si="50"/>
        <v>4</v>
      </c>
      <c r="I139" s="55">
        <f t="shared" ca="1" si="50"/>
        <v>4</v>
      </c>
      <c r="J139" s="55">
        <f t="shared" ca="1" si="50"/>
        <v>4</v>
      </c>
      <c r="K139" s="55">
        <f t="shared" ca="1" si="50"/>
        <v>4.5416666666666652</v>
      </c>
      <c r="L139" s="55">
        <f t="shared" ca="1" si="50"/>
        <v>5</v>
      </c>
      <c r="M139" s="55">
        <f t="shared" ca="1" si="50"/>
        <v>5.4124999999999996</v>
      </c>
      <c r="N139" s="55">
        <f t="shared" ca="1" si="50"/>
        <v>6.0975000000000001</v>
      </c>
      <c r="O139" s="55">
        <f t="shared" ca="1" si="50"/>
        <v>7.1275000000000004</v>
      </c>
      <c r="P139" s="55">
        <f t="shared" ca="1" si="50"/>
        <v>8.3025000000000002</v>
      </c>
      <c r="Q139" s="55">
        <f t="shared" ca="1" si="50"/>
        <v>8.7799999999999994</v>
      </c>
      <c r="R139" s="55">
        <f t="shared" ca="1" si="50"/>
        <v>8.8849999999999998</v>
      </c>
      <c r="S139" s="65">
        <f t="shared" ca="1" si="50"/>
        <v>8.9450000000000003</v>
      </c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</row>
    <row r="140" spans="1:53">
      <c r="B140" s="64" t="str">
        <f t="shared" si="45"/>
        <v>Street Light</v>
      </c>
      <c r="C140" s="55">
        <f t="shared" ref="C140:S142" ca="1" si="51">C25+C74</f>
        <v>41667.666666666672</v>
      </c>
      <c r="D140" s="55">
        <f t="shared" ca="1" si="51"/>
        <v>41888.125</v>
      </c>
      <c r="E140" s="55">
        <f t="shared" ca="1" si="51"/>
        <v>42302.75</v>
      </c>
      <c r="F140" s="55">
        <f t="shared" ca="1" si="51"/>
        <v>42951.291666666672</v>
      </c>
      <c r="G140" s="55">
        <f t="shared" ca="1" si="51"/>
        <v>43551.458333333328</v>
      </c>
      <c r="H140" s="55">
        <f t="shared" ca="1" si="51"/>
        <v>44122.708333333328</v>
      </c>
      <c r="I140" s="55">
        <f t="shared" ca="1" si="51"/>
        <v>44702.958333333328</v>
      </c>
      <c r="J140" s="55">
        <f t="shared" ca="1" si="51"/>
        <v>45137.958333333328</v>
      </c>
      <c r="K140" s="55">
        <f t="shared" ca="1" si="51"/>
        <v>45686.999999999985</v>
      </c>
      <c r="L140" s="55">
        <f t="shared" ca="1" si="51"/>
        <v>46425.416666666657</v>
      </c>
      <c r="M140" s="55">
        <f t="shared" ca="1" si="51"/>
        <v>46988.362756918141</v>
      </c>
      <c r="N140" s="55">
        <f t="shared" ca="1" si="51"/>
        <v>47558.513044562351</v>
      </c>
      <c r="O140" s="55">
        <f t="shared" ca="1" si="51"/>
        <v>48135.965022122771</v>
      </c>
      <c r="P140" s="55">
        <f t="shared" ca="1" si="51"/>
        <v>48720.817571824547</v>
      </c>
      <c r="Q140" s="55">
        <f t="shared" ca="1" si="51"/>
        <v>49313.170986287565</v>
      </c>
      <c r="R140" s="55">
        <f t="shared" ca="1" si="51"/>
        <v>49913.126989538141</v>
      </c>
      <c r="S140" s="65">
        <f t="shared" ca="1" si="51"/>
        <v>50520.788758344446</v>
      </c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</row>
    <row r="141" spans="1:53">
      <c r="B141" s="64" t="str">
        <f t="shared" si="45"/>
        <v>Sentinel Light</v>
      </c>
      <c r="C141" s="55">
        <f t="shared" ref="C141:Q141" ca="1" si="52">C26+C75</f>
        <v>483.04166666666657</v>
      </c>
      <c r="D141" s="55">
        <f t="shared" ca="1" si="52"/>
        <v>478</v>
      </c>
      <c r="E141" s="55">
        <f t="shared" ca="1" si="52"/>
        <v>477.45833333333331</v>
      </c>
      <c r="F141" s="55">
        <f t="shared" ca="1" si="52"/>
        <v>476.45833333333331</v>
      </c>
      <c r="G141" s="55">
        <f t="shared" ca="1" si="52"/>
        <v>379.04166666666652</v>
      </c>
      <c r="H141" s="55">
        <f t="shared" ca="1" si="52"/>
        <v>292.125</v>
      </c>
      <c r="I141" s="55">
        <f t="shared" ca="1" si="52"/>
        <v>291.24999999999994</v>
      </c>
      <c r="J141" s="55">
        <f t="shared" ca="1" si="52"/>
        <v>292.37500000000006</v>
      </c>
      <c r="K141" s="55">
        <f t="shared" ca="1" si="52"/>
        <v>288.83333333333326</v>
      </c>
      <c r="L141" s="55">
        <f t="shared" ca="1" si="52"/>
        <v>283.75000000000006</v>
      </c>
      <c r="M141" s="55">
        <f t="shared" ca="1" si="52"/>
        <v>280.32108747654399</v>
      </c>
      <c r="N141" s="55">
        <f t="shared" ca="1" si="52"/>
        <v>276.96838967660676</v>
      </c>
      <c r="O141" s="55">
        <f t="shared" ca="1" si="52"/>
        <v>273.69085843414712</v>
      </c>
      <c r="P141" s="55">
        <f t="shared" ca="1" si="52"/>
        <v>270.48746651923324</v>
      </c>
      <c r="Q141" s="55">
        <f t="shared" ca="1" si="52"/>
        <v>267.35720732626959</v>
      </c>
      <c r="R141" s="55">
        <f t="shared" ca="1" si="51"/>
        <v>264.29909456806155</v>
      </c>
      <c r="S141" s="65">
        <f t="shared" ca="1" si="51"/>
        <v>261.3121619756277</v>
      </c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</row>
    <row r="142" spans="1:53">
      <c r="B142" s="64" t="str">
        <f t="shared" si="45"/>
        <v>USL</v>
      </c>
      <c r="C142" s="55">
        <f t="shared" ca="1" si="51"/>
        <v>1250.7916666666665</v>
      </c>
      <c r="D142" s="55">
        <f t="shared" ca="1" si="51"/>
        <v>1209.6250000000005</v>
      </c>
      <c r="E142" s="55">
        <f t="shared" ca="1" si="51"/>
        <v>1196.208333333333</v>
      </c>
      <c r="F142" s="55">
        <f t="shared" ca="1" si="51"/>
        <v>1194.625</v>
      </c>
      <c r="G142" s="55">
        <f t="shared" ca="1" si="51"/>
        <v>1193.291666666667</v>
      </c>
      <c r="H142" s="55">
        <f t="shared" ca="1" si="51"/>
        <v>1190.9999999999995</v>
      </c>
      <c r="I142" s="55">
        <f t="shared" ca="1" si="51"/>
        <v>1193.1666666666665</v>
      </c>
      <c r="J142" s="55">
        <f t="shared" ca="1" si="51"/>
        <v>1193.9166666666665</v>
      </c>
      <c r="K142" s="55">
        <f t="shared" ca="1" si="51"/>
        <v>1198.416666666667</v>
      </c>
      <c r="L142" s="55">
        <f t="shared" ca="1" si="51"/>
        <v>1166.166666666667</v>
      </c>
      <c r="M142" s="55">
        <f t="shared" ca="1" si="51"/>
        <v>1130.4886290248251</v>
      </c>
      <c r="N142" s="55">
        <f t="shared" ca="1" si="51"/>
        <v>1122.2662581262366</v>
      </c>
      <c r="O142" s="55">
        <f t="shared" ca="1" si="51"/>
        <v>1114.1955009201774</v>
      </c>
      <c r="P142" s="55">
        <f t="shared" ca="1" si="51"/>
        <v>1106.2744618900422</v>
      </c>
      <c r="Q142" s="55">
        <f t="shared" ca="1" si="51"/>
        <v>1098.5012726984244</v>
      </c>
      <c r="R142" s="55">
        <f t="shared" ca="1" si="51"/>
        <v>1090.8740918172587</v>
      </c>
      <c r="S142" s="65">
        <f t="shared" ca="1" si="51"/>
        <v>1083.3911041630913</v>
      </c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</row>
    <row r="143" spans="1:53" ht="15.75" thickBot="1">
      <c r="B143" s="63" t="s">
        <v>495</v>
      </c>
      <c r="C143" s="62">
        <f t="shared" ref="C143:S143" ca="1" si="53">SUM(C134:C142)</f>
        <v>203819.63663921045</v>
      </c>
      <c r="D143" s="62">
        <f t="shared" ca="1" si="53"/>
        <v>204630.41666666669</v>
      </c>
      <c r="E143" s="62">
        <f t="shared" ca="1" si="53"/>
        <v>206361.25</v>
      </c>
      <c r="F143" s="62">
        <f t="shared" ca="1" si="53"/>
        <v>208539.91666666666</v>
      </c>
      <c r="G143" s="62">
        <f t="shared" ca="1" si="53"/>
        <v>211438</v>
      </c>
      <c r="H143" s="62">
        <f t="shared" ca="1" si="53"/>
        <v>214253.33333333331</v>
      </c>
      <c r="I143" s="62">
        <f t="shared" ca="1" si="53"/>
        <v>216800.33333333328</v>
      </c>
      <c r="J143" s="62">
        <f t="shared" ca="1" si="53"/>
        <v>219590.62500000003</v>
      </c>
      <c r="K143" s="62">
        <f t="shared" ca="1" si="53"/>
        <v>222720.41666666663</v>
      </c>
      <c r="L143" s="62">
        <f t="shared" ca="1" si="53"/>
        <v>225841.83333333331</v>
      </c>
      <c r="M143" s="62">
        <f t="shared" ca="1" si="53"/>
        <v>229586.69365341848</v>
      </c>
      <c r="N143" s="62">
        <f t="shared" ca="1" si="53"/>
        <v>233601.33340474975</v>
      </c>
      <c r="O143" s="62">
        <f t="shared" ca="1" si="53"/>
        <v>237713.48504902006</v>
      </c>
      <c r="P143" s="62">
        <f t="shared" ca="1" si="53"/>
        <v>241765.48466490454</v>
      </c>
      <c r="Q143" s="62">
        <f t="shared" ca="1" si="53"/>
        <v>245909.74413536067</v>
      </c>
      <c r="R143" s="62">
        <f ca="1">SUM(R134:R142)</f>
        <v>250183.06825054294</v>
      </c>
      <c r="S143" s="60">
        <f t="shared" ca="1" si="53"/>
        <v>254526.00665429462</v>
      </c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</row>
    <row r="144" spans="1:53" ht="15.75" thickBot="1">
      <c r="B144" s="63" t="s">
        <v>524</v>
      </c>
      <c r="C144" s="62">
        <f t="shared" ref="C144:S144" ca="1" si="54">SUM(C134:C139)</f>
        <v>160418.13663921045</v>
      </c>
      <c r="D144" s="62">
        <f t="shared" ca="1" si="54"/>
        <v>161054.66666666669</v>
      </c>
      <c r="E144" s="62">
        <f t="shared" ca="1" si="54"/>
        <v>162384.83333333331</v>
      </c>
      <c r="F144" s="62">
        <f t="shared" ca="1" si="54"/>
        <v>163917.54166666666</v>
      </c>
      <c r="G144" s="62">
        <f t="shared" ca="1" si="54"/>
        <v>166314.20833333337</v>
      </c>
      <c r="H144" s="62">
        <f t="shared" ca="1" si="54"/>
        <v>168647.5</v>
      </c>
      <c r="I144" s="62">
        <f t="shared" ca="1" si="54"/>
        <v>170612.95833333331</v>
      </c>
      <c r="J144" s="62">
        <f t="shared" ca="1" si="54"/>
        <v>172966.37500000006</v>
      </c>
      <c r="K144" s="62">
        <f t="shared" ca="1" si="54"/>
        <v>175546.16666666666</v>
      </c>
      <c r="L144" s="62">
        <f t="shared" ca="1" si="54"/>
        <v>177966.5</v>
      </c>
      <c r="M144" s="62">
        <f t="shared" ca="1" si="54"/>
        <v>181187.52117999896</v>
      </c>
      <c r="N144" s="62">
        <f t="shared" ca="1" si="54"/>
        <v>184643.58571238455</v>
      </c>
      <c r="O144" s="62">
        <f t="shared" ca="1" si="54"/>
        <v>188189.63366754295</v>
      </c>
      <c r="P144" s="62">
        <f t="shared" ca="1" si="54"/>
        <v>191667.90516467072</v>
      </c>
      <c r="Q144" s="62">
        <f t="shared" ca="1" si="54"/>
        <v>195230.71466904841</v>
      </c>
      <c r="R144" s="62">
        <f ca="1">SUM(R134:R139)</f>
        <v>198914.76807461947</v>
      </c>
      <c r="S144" s="60">
        <f t="shared" ca="1" si="54"/>
        <v>202660.51462981146</v>
      </c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</row>
    <row r="145" spans="1:53">
      <c r="B145" s="388" t="str">
        <f>B134</f>
        <v>Residential</v>
      </c>
      <c r="C145" s="389">
        <f>C29+C78</f>
        <v>146164</v>
      </c>
      <c r="D145" s="389">
        <f t="shared" ref="D145:K145" si="55">D29+D78</f>
        <v>147488</v>
      </c>
      <c r="E145" s="389">
        <f t="shared" si="55"/>
        <v>148648</v>
      </c>
      <c r="F145" s="389">
        <f t="shared" si="55"/>
        <v>150344</v>
      </c>
      <c r="G145" s="389">
        <f t="shared" si="55"/>
        <v>153150</v>
      </c>
      <c r="H145" s="389">
        <f t="shared" si="55"/>
        <v>154902</v>
      </c>
      <c r="I145" s="389">
        <f t="shared" si="55"/>
        <v>156850</v>
      </c>
      <c r="J145" s="389">
        <f t="shared" si="55"/>
        <v>159295</v>
      </c>
      <c r="K145" s="389">
        <f t="shared" si="55"/>
        <v>161768</v>
      </c>
      <c r="L145" s="389">
        <f t="shared" ref="L145:S145" si="56">L29+L78</f>
        <v>164000</v>
      </c>
      <c r="M145" s="389">
        <f t="shared" ca="1" si="56"/>
        <v>167540.83226976247</v>
      </c>
      <c r="N145" s="389">
        <f t="shared" ca="1" si="56"/>
        <v>170971.88784555602</v>
      </c>
      <c r="O145" s="389">
        <f t="shared" ca="1" si="56"/>
        <v>174445.09305825387</v>
      </c>
      <c r="P145" s="389">
        <f t="shared" ca="1" si="56"/>
        <v>177780.76212103054</v>
      </c>
      <c r="Q145" s="389">
        <f t="shared" ca="1" si="56"/>
        <v>181272.59577207227</v>
      </c>
      <c r="R145" s="389">
        <f t="shared" ca="1" si="56"/>
        <v>184901.69501625653</v>
      </c>
      <c r="S145" s="389">
        <f t="shared" ca="1" si="56"/>
        <v>188562.71428035156</v>
      </c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</row>
    <row r="146" spans="1:53">
      <c r="B146" s="64" t="str">
        <f t="shared" ref="B146:B153" si="57">B135</f>
        <v>Residential Seasonal</v>
      </c>
      <c r="C146" s="55">
        <f>C30</f>
        <v>1589</v>
      </c>
      <c r="D146" s="55">
        <f t="shared" ref="D146:K146" si="58">D30</f>
        <v>1583</v>
      </c>
      <c r="E146" s="55">
        <f t="shared" si="58"/>
        <v>1572</v>
      </c>
      <c r="F146" s="55">
        <f t="shared" si="58"/>
        <v>1570</v>
      </c>
      <c r="G146" s="55">
        <f t="shared" si="58"/>
        <v>1561</v>
      </c>
      <c r="H146" s="55">
        <f t="shared" si="58"/>
        <v>1561</v>
      </c>
      <c r="I146" s="55">
        <f t="shared" si="58"/>
        <v>1557</v>
      </c>
      <c r="J146" s="55">
        <f t="shared" si="58"/>
        <v>1561</v>
      </c>
      <c r="K146" s="55">
        <f t="shared" si="58"/>
        <v>1564</v>
      </c>
      <c r="L146" s="55">
        <f t="shared" ref="L146:S146" si="59">L30</f>
        <v>1560</v>
      </c>
      <c r="M146" s="55">
        <f t="shared" si="59"/>
        <v>1557.0002053868013</v>
      </c>
      <c r="N146" s="55">
        <f t="shared" si="59"/>
        <v>1553.6928394081144</v>
      </c>
      <c r="O146" s="55">
        <f t="shared" si="59"/>
        <v>1550.3924989068032</v>
      </c>
      <c r="P146" s="55">
        <f t="shared" si="59"/>
        <v>1547.0991689594107</v>
      </c>
      <c r="Q146" s="55">
        <f t="shared" si="59"/>
        <v>1543.8128346741814</v>
      </c>
      <c r="R146" s="55">
        <f t="shared" si="59"/>
        <v>1540.5334811909913</v>
      </c>
      <c r="S146" s="55">
        <f t="shared" si="59"/>
        <v>1537.2610936812841</v>
      </c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</row>
    <row r="147" spans="1:53">
      <c r="A147" s="362" t="s">
        <v>707</v>
      </c>
      <c r="B147" s="64" t="str">
        <f t="shared" si="57"/>
        <v>GS&lt;50</v>
      </c>
      <c r="C147" s="55">
        <f>C31+C79</f>
        <v>11088</v>
      </c>
      <c r="D147" s="55">
        <f t="shared" ref="D147:K147" si="60">D31+D79</f>
        <v>11211</v>
      </c>
      <c r="E147" s="55">
        <f t="shared" si="60"/>
        <v>11274</v>
      </c>
      <c r="F147" s="55">
        <f t="shared" si="60"/>
        <v>11389</v>
      </c>
      <c r="G147" s="55">
        <f t="shared" si="60"/>
        <v>11535</v>
      </c>
      <c r="H147" s="55">
        <f t="shared" si="60"/>
        <v>11585</v>
      </c>
      <c r="I147" s="55">
        <f t="shared" si="60"/>
        <v>11689</v>
      </c>
      <c r="J147" s="55">
        <f t="shared" si="60"/>
        <v>11888</v>
      </c>
      <c r="K147" s="55">
        <f t="shared" si="60"/>
        <v>11952</v>
      </c>
      <c r="L147" s="55">
        <f t="shared" ref="L147:S147" si="61">L31+L79</f>
        <v>11979</v>
      </c>
      <c r="M147" s="55">
        <f t="shared" si="61"/>
        <v>12092.267942945862</v>
      </c>
      <c r="N147" s="55">
        <f t="shared" si="61"/>
        <v>12198.77882326572</v>
      </c>
      <c r="O147" s="55">
        <f t="shared" si="61"/>
        <v>12306.358659126608</v>
      </c>
      <c r="P147" s="55">
        <f t="shared" si="61"/>
        <v>12414.981920203632</v>
      </c>
      <c r="Q147" s="55">
        <f t="shared" si="61"/>
        <v>12524.659855715174</v>
      </c>
      <c r="R147" s="55">
        <f t="shared" si="61"/>
        <v>12635.403848396752</v>
      </c>
      <c r="S147" s="55">
        <f t="shared" si="61"/>
        <v>12747.225416205114</v>
      </c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</row>
    <row r="148" spans="1:53">
      <c r="B148" s="64" t="str">
        <f t="shared" si="57"/>
        <v>GS 50 - 2,999</v>
      </c>
      <c r="C148" s="55">
        <f t="shared" ref="C148:J149" si="62">C32+C80</f>
        <v>1428</v>
      </c>
      <c r="D148" s="55">
        <f t="shared" si="62"/>
        <v>1419</v>
      </c>
      <c r="E148" s="55">
        <f t="shared" si="62"/>
        <v>1451</v>
      </c>
      <c r="F148" s="55">
        <f t="shared" si="62"/>
        <v>1418</v>
      </c>
      <c r="G148" s="55">
        <f t="shared" si="62"/>
        <v>1396</v>
      </c>
      <c r="H148" s="55">
        <f t="shared" si="62"/>
        <v>1429</v>
      </c>
      <c r="I148" s="55">
        <f t="shared" si="62"/>
        <v>1455</v>
      </c>
      <c r="J148" s="55">
        <f t="shared" si="62"/>
        <v>1397</v>
      </c>
      <c r="K148" s="55">
        <f t="shared" ref="K148:S148" si="63">K32+K80</f>
        <v>1428</v>
      </c>
      <c r="L148" s="55">
        <f t="shared" si="63"/>
        <v>1465</v>
      </c>
      <c r="M148" s="55">
        <f t="shared" si="63"/>
        <v>1478.7196664078892</v>
      </c>
      <c r="N148" s="55">
        <f t="shared" si="63"/>
        <v>1494.2539347028651</v>
      </c>
      <c r="O148" s="55">
        <f t="shared" si="63"/>
        <v>1504.370914291186</v>
      </c>
      <c r="P148" s="55">
        <f t="shared" si="63"/>
        <v>1510.3052027816366</v>
      </c>
      <c r="Q148" s="55">
        <f t="shared" si="63"/>
        <v>1514.5769112180799</v>
      </c>
      <c r="R148" s="55">
        <f t="shared" si="63"/>
        <v>1518.6411513700141</v>
      </c>
      <c r="S148" s="55">
        <f t="shared" si="63"/>
        <v>1522.7980357373237</v>
      </c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</row>
    <row r="149" spans="1:53">
      <c r="B149" s="64" t="str">
        <f t="shared" si="57"/>
        <v>GS 3,000 - 4,999</v>
      </c>
      <c r="C149" s="55">
        <f t="shared" si="62"/>
        <v>7</v>
      </c>
      <c r="D149" s="55">
        <f t="shared" si="62"/>
        <v>7</v>
      </c>
      <c r="E149" s="55">
        <f t="shared" si="62"/>
        <v>7</v>
      </c>
      <c r="F149" s="55">
        <f t="shared" si="62"/>
        <v>7</v>
      </c>
      <c r="G149" s="55">
        <f t="shared" si="62"/>
        <v>7</v>
      </c>
      <c r="H149" s="55">
        <f t="shared" si="62"/>
        <v>8</v>
      </c>
      <c r="I149" s="55">
        <f t="shared" si="62"/>
        <v>9</v>
      </c>
      <c r="J149" s="55">
        <f t="shared" si="62"/>
        <v>8</v>
      </c>
      <c r="K149" s="55">
        <f t="shared" ref="K149:S149" si="64">K33+K81</f>
        <v>8</v>
      </c>
      <c r="L149" s="55">
        <f t="shared" si="64"/>
        <v>8</v>
      </c>
      <c r="M149" s="55">
        <f t="shared" si="64"/>
        <v>13.46</v>
      </c>
      <c r="N149" s="55">
        <f t="shared" si="64"/>
        <v>18.100000000000001</v>
      </c>
      <c r="O149" s="55">
        <f t="shared" si="64"/>
        <v>18.710000000000004</v>
      </c>
      <c r="P149" s="55">
        <f t="shared" si="64"/>
        <v>18.600000000000009</v>
      </c>
      <c r="Q149" s="55">
        <f t="shared" si="64"/>
        <v>18.600000000000009</v>
      </c>
      <c r="R149" s="55">
        <f t="shared" si="64"/>
        <v>19.200000000000006</v>
      </c>
      <c r="S149" s="55">
        <f t="shared" si="64"/>
        <v>19.400000000000006</v>
      </c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</row>
    <row r="150" spans="1:53">
      <c r="B150" s="64" t="str">
        <f t="shared" si="57"/>
        <v>Large Use</v>
      </c>
      <c r="C150" s="55">
        <f>C34</f>
        <v>3</v>
      </c>
      <c r="D150" s="55">
        <f t="shared" ref="D150:K150" si="65">D34</f>
        <v>3</v>
      </c>
      <c r="E150" s="55">
        <f t="shared" si="65"/>
        <v>3</v>
      </c>
      <c r="F150" s="55">
        <f t="shared" si="65"/>
        <v>4</v>
      </c>
      <c r="G150" s="55">
        <f t="shared" si="65"/>
        <v>4</v>
      </c>
      <c r="H150" s="55">
        <f t="shared" si="65"/>
        <v>4</v>
      </c>
      <c r="I150" s="55">
        <f t="shared" si="65"/>
        <v>4</v>
      </c>
      <c r="J150" s="55">
        <f t="shared" si="65"/>
        <v>4</v>
      </c>
      <c r="K150" s="55">
        <f t="shared" si="65"/>
        <v>5</v>
      </c>
      <c r="L150" s="55">
        <f t="shared" ref="L150:S150" si="66">L34</f>
        <v>5</v>
      </c>
      <c r="M150" s="55">
        <f t="shared" si="66"/>
        <v>5.8250000000000002</v>
      </c>
      <c r="N150" s="55">
        <f t="shared" si="66"/>
        <v>6.37</v>
      </c>
      <c r="O150" s="55">
        <f t="shared" si="66"/>
        <v>7.8850000000000016</v>
      </c>
      <c r="P150" s="55">
        <f t="shared" si="66"/>
        <v>8.7199999999999989</v>
      </c>
      <c r="Q150" s="55">
        <f t="shared" si="66"/>
        <v>8.8399999999999963</v>
      </c>
      <c r="R150" s="55">
        <f t="shared" si="66"/>
        <v>8.9299999999999944</v>
      </c>
      <c r="S150" s="55">
        <f t="shared" si="66"/>
        <v>8.9599999999999937</v>
      </c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</row>
    <row r="151" spans="1:53">
      <c r="B151" s="64" t="str">
        <f t="shared" si="57"/>
        <v>Street Light</v>
      </c>
      <c r="C151" s="55">
        <f>C35+C82</f>
        <v>41763</v>
      </c>
      <c r="D151" s="55">
        <f t="shared" ref="D151:K151" si="67">D35+D82</f>
        <v>41994</v>
      </c>
      <c r="E151" s="55">
        <f t="shared" si="67"/>
        <v>42564</v>
      </c>
      <c r="F151" s="55">
        <f t="shared" si="67"/>
        <v>43279</v>
      </c>
      <c r="G151" s="55">
        <f t="shared" si="67"/>
        <v>43782</v>
      </c>
      <c r="H151" s="55">
        <f t="shared" si="67"/>
        <v>44411</v>
      </c>
      <c r="I151" s="55">
        <f t="shared" si="67"/>
        <v>44950</v>
      </c>
      <c r="J151" s="55">
        <f t="shared" si="67"/>
        <v>45297</v>
      </c>
      <c r="K151" s="55">
        <f t="shared" si="67"/>
        <v>46017</v>
      </c>
      <c r="L151" s="55">
        <f t="shared" ref="L151:S151" si="68">L35+L82</f>
        <v>46771</v>
      </c>
      <c r="M151" s="55">
        <f t="shared" si="68"/>
        <v>47248.311660764637</v>
      </c>
      <c r="N151" s="55">
        <f t="shared" si="68"/>
        <v>47821.790353897071</v>
      </c>
      <c r="O151" s="55">
        <f t="shared" si="68"/>
        <v>48402.61580273493</v>
      </c>
      <c r="P151" s="55">
        <f t="shared" si="68"/>
        <v>48990.887532184315</v>
      </c>
      <c r="Q151" s="55">
        <f t="shared" si="68"/>
        <v>49586.706487119227</v>
      </c>
      <c r="R151" s="55">
        <f t="shared" si="68"/>
        <v>50190.175053540792</v>
      </c>
      <c r="S151" s="55">
        <f t="shared" si="68"/>
        <v>50801.397080062467</v>
      </c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</row>
    <row r="152" spans="1:53">
      <c r="B152" s="64" t="str">
        <f t="shared" si="57"/>
        <v>Sentinel Light</v>
      </c>
      <c r="C152" s="55">
        <f t="shared" ref="C152:J153" si="69">C36+C83</f>
        <v>478</v>
      </c>
      <c r="D152" s="55">
        <f t="shared" si="69"/>
        <v>478</v>
      </c>
      <c r="E152" s="55">
        <f t="shared" si="69"/>
        <v>477</v>
      </c>
      <c r="F152" s="55">
        <f t="shared" si="69"/>
        <v>476</v>
      </c>
      <c r="G152" s="55">
        <f t="shared" si="69"/>
        <v>297</v>
      </c>
      <c r="H152" s="55">
        <f t="shared" si="69"/>
        <v>288</v>
      </c>
      <c r="I152" s="55">
        <f t="shared" si="69"/>
        <v>294</v>
      </c>
      <c r="J152" s="55">
        <f t="shared" si="69"/>
        <v>291</v>
      </c>
      <c r="K152" s="55">
        <f t="shared" ref="K152:S152" si="70">K36+K83</f>
        <v>287</v>
      </c>
      <c r="L152" s="55">
        <f t="shared" si="70"/>
        <v>281</v>
      </c>
      <c r="M152" s="55">
        <f t="shared" si="70"/>
        <v>278.77780439574923</v>
      </c>
      <c r="N152" s="55">
        <f t="shared" si="70"/>
        <v>275.4596247618544</v>
      </c>
      <c r="O152" s="55">
        <f t="shared" si="70"/>
        <v>272.21613913952979</v>
      </c>
      <c r="P152" s="55">
        <f t="shared" si="70"/>
        <v>269.0463297729948</v>
      </c>
      <c r="Q152" s="55">
        <f t="shared" si="70"/>
        <v>265.94919939011822</v>
      </c>
      <c r="R152" s="55">
        <f t="shared" si="70"/>
        <v>262.92377089912338</v>
      </c>
      <c r="S152" s="55">
        <f t="shared" si="70"/>
        <v>259.96908709099932</v>
      </c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</row>
    <row r="153" spans="1:53">
      <c r="B153" s="64" t="str">
        <f t="shared" si="57"/>
        <v>USL</v>
      </c>
      <c r="C153" s="55">
        <f t="shared" si="69"/>
        <v>1221</v>
      </c>
      <c r="D153" s="55">
        <f t="shared" si="69"/>
        <v>1200</v>
      </c>
      <c r="E153" s="55">
        <f t="shared" si="69"/>
        <v>1193</v>
      </c>
      <c r="F153" s="55">
        <f t="shared" si="69"/>
        <v>1196</v>
      </c>
      <c r="G153" s="55">
        <f t="shared" si="69"/>
        <v>1191</v>
      </c>
      <c r="H153" s="55">
        <f t="shared" si="69"/>
        <v>1191</v>
      </c>
      <c r="I153" s="55">
        <f t="shared" si="69"/>
        <v>1195</v>
      </c>
      <c r="J153" s="55">
        <f t="shared" si="69"/>
        <v>1193</v>
      </c>
      <c r="K153" s="55">
        <f t="shared" ref="K153:S153" si="71">K37+K84</f>
        <v>1203</v>
      </c>
      <c r="L153" s="55">
        <f t="shared" si="71"/>
        <v>1135</v>
      </c>
      <c r="M153" s="55">
        <f t="shared" si="71"/>
        <v>1126.6947840359858</v>
      </c>
      <c r="N153" s="55">
        <f t="shared" si="71"/>
        <v>1118.5551158030594</v>
      </c>
      <c r="O153" s="55">
        <f t="shared" si="71"/>
        <v>1110.5530895602546</v>
      </c>
      <c r="P153" s="55">
        <f t="shared" si="71"/>
        <v>1102.6999233621343</v>
      </c>
      <c r="Q153" s="55">
        <f t="shared" si="71"/>
        <v>1094.9937611823893</v>
      </c>
      <c r="R153" s="55">
        <f t="shared" si="71"/>
        <v>1087.4327736365515</v>
      </c>
      <c r="S153" s="55">
        <f t="shared" si="71"/>
        <v>1080.0151576195901</v>
      </c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</row>
    <row r="154" spans="1:53" ht="15.75" thickBot="1">
      <c r="B154" s="63" t="s">
        <v>495</v>
      </c>
      <c r="C154" s="62">
        <f t="shared" ref="C154:Q154" si="72">SUM(C145:C153)</f>
        <v>203741</v>
      </c>
      <c r="D154" s="62">
        <f>SUM(D145:D153)</f>
        <v>205383</v>
      </c>
      <c r="E154" s="62">
        <f t="shared" si="72"/>
        <v>207189</v>
      </c>
      <c r="F154" s="62">
        <f t="shared" si="72"/>
        <v>209683</v>
      </c>
      <c r="G154" s="62">
        <f t="shared" si="72"/>
        <v>212923</v>
      </c>
      <c r="H154" s="62">
        <f t="shared" si="72"/>
        <v>215379</v>
      </c>
      <c r="I154" s="62">
        <f t="shared" si="72"/>
        <v>218003</v>
      </c>
      <c r="J154" s="62">
        <f t="shared" si="72"/>
        <v>220934</v>
      </c>
      <c r="K154" s="62">
        <f t="shared" si="72"/>
        <v>224232</v>
      </c>
      <c r="L154" s="62">
        <f t="shared" si="72"/>
        <v>227204</v>
      </c>
      <c r="M154" s="62">
        <f t="shared" ca="1" si="72"/>
        <v>231341.88933369936</v>
      </c>
      <c r="N154" s="62">
        <f t="shared" ca="1" si="72"/>
        <v>235458.8885373947</v>
      </c>
      <c r="O154" s="62">
        <f t="shared" ca="1" si="72"/>
        <v>239618.19516201314</v>
      </c>
      <c r="P154" s="62">
        <f t="shared" ca="1" si="72"/>
        <v>243643.10219829468</v>
      </c>
      <c r="Q154" s="62">
        <f t="shared" ca="1" si="72"/>
        <v>247830.73482137144</v>
      </c>
      <c r="R154" s="62">
        <f ca="1">SUM(R145:R153)</f>
        <v>252164.93509529077</v>
      </c>
      <c r="S154" s="60">
        <f t="shared" ref="S154" ca="1" si="73">SUM(S145:S153)</f>
        <v>256539.74015074834</v>
      </c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</row>
    <row r="155" spans="1:53" ht="15.75" thickBot="1">
      <c r="B155" s="63" t="s">
        <v>524</v>
      </c>
      <c r="C155" s="62">
        <f t="shared" ref="C155:Q155" si="74">SUM(C145:C150)</f>
        <v>160279</v>
      </c>
      <c r="D155" s="62">
        <f>SUM(D145:D150)</f>
        <v>161711</v>
      </c>
      <c r="E155" s="62">
        <f t="shared" si="74"/>
        <v>162955</v>
      </c>
      <c r="F155" s="62">
        <f t="shared" si="74"/>
        <v>164732</v>
      </c>
      <c r="G155" s="62">
        <f t="shared" si="74"/>
        <v>167653</v>
      </c>
      <c r="H155" s="62">
        <f t="shared" si="74"/>
        <v>169489</v>
      </c>
      <c r="I155" s="62">
        <f t="shared" si="74"/>
        <v>171564</v>
      </c>
      <c r="J155" s="62">
        <f t="shared" si="74"/>
        <v>174153</v>
      </c>
      <c r="K155" s="62">
        <f t="shared" si="74"/>
        <v>176725</v>
      </c>
      <c r="L155" s="62">
        <f>SUM(L145:L150)</f>
        <v>179017</v>
      </c>
      <c r="M155" s="62">
        <f t="shared" ca="1" si="74"/>
        <v>182688.10508450301</v>
      </c>
      <c r="N155" s="62">
        <f t="shared" ca="1" si="74"/>
        <v>186243.08344293272</v>
      </c>
      <c r="O155" s="62">
        <f t="shared" ca="1" si="74"/>
        <v>189832.81013057847</v>
      </c>
      <c r="P155" s="62">
        <f t="shared" ca="1" si="74"/>
        <v>193280.46841297523</v>
      </c>
      <c r="Q155" s="62">
        <f t="shared" ca="1" si="74"/>
        <v>196883.0853736797</v>
      </c>
      <c r="R155" s="62">
        <f ca="1">SUM(R145:R150)</f>
        <v>200624.40349721431</v>
      </c>
      <c r="S155" s="60">
        <f t="shared" ref="S155" ca="1" si="75">SUM(S145:S150)</f>
        <v>204398.35882597527</v>
      </c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</row>
    <row r="156" spans="1:53">
      <c r="B156" s="362"/>
      <c r="C156" s="362"/>
      <c r="D156" s="362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</row>
    <row r="157" spans="1:53">
      <c r="B157" s="362"/>
      <c r="C157" s="675"/>
      <c r="D157" s="675"/>
      <c r="E157" s="675"/>
      <c r="F157" s="675"/>
      <c r="G157" s="675"/>
      <c r="H157" s="675"/>
      <c r="I157" s="675"/>
      <c r="J157" s="675"/>
      <c r="K157" s="675"/>
      <c r="L157" s="675"/>
      <c r="M157" s="675"/>
      <c r="N157" s="675"/>
      <c r="O157" s="675"/>
      <c r="P157" s="675"/>
      <c r="Q157" s="675"/>
      <c r="R157" s="675"/>
      <c r="S157" s="675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</row>
    <row r="158" spans="1:53">
      <c r="B158" s="362"/>
      <c r="C158" s="362"/>
      <c r="D158" s="362"/>
      <c r="E158" s="362"/>
      <c r="F158" s="362"/>
      <c r="G158" s="362"/>
      <c r="H158" s="36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</row>
    <row r="159" spans="1:53">
      <c r="B159" s="362"/>
      <c r="C159" s="362"/>
      <c r="D159" s="362"/>
      <c r="E159" s="362"/>
      <c r="F159" s="362"/>
      <c r="G159" s="362"/>
      <c r="H159" s="36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</row>
    <row r="160" spans="1:53">
      <c r="B160" s="362"/>
      <c r="C160" s="675"/>
      <c r="D160" s="675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</row>
    <row r="161" spans="2:53">
      <c r="B161" s="362"/>
      <c r="C161" s="675"/>
      <c r="D161" s="675"/>
      <c r="E161" s="362"/>
      <c r="F161" s="362"/>
      <c r="G161" s="362"/>
      <c r="H161" s="36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</row>
    <row r="162" spans="2:53">
      <c r="B162" s="362"/>
      <c r="C162" s="675"/>
      <c r="D162" s="675"/>
      <c r="E162" s="362"/>
      <c r="F162" s="362"/>
      <c r="G162" s="362"/>
      <c r="H162" s="36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</row>
    <row r="163" spans="2:53">
      <c r="B163" s="362"/>
      <c r="D163" s="362"/>
      <c r="E163" s="362"/>
      <c r="F163" s="362"/>
      <c r="G163" s="362"/>
      <c r="H163" s="362"/>
      <c r="I163" s="362"/>
      <c r="J163" s="362"/>
      <c r="K163" s="362"/>
      <c r="L163" s="739"/>
      <c r="M163" s="362"/>
      <c r="N163" s="362"/>
      <c r="O163" s="362"/>
      <c r="P163" s="362"/>
      <c r="Q163" s="362"/>
      <c r="R163" s="362"/>
      <c r="S163" s="36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</row>
    <row r="164" spans="2:53">
      <c r="B164" s="362"/>
      <c r="C164" s="362"/>
      <c r="D164" s="362"/>
      <c r="E164" s="362"/>
      <c r="F164" s="362"/>
      <c r="G164" s="362"/>
      <c r="H164" s="36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</row>
    <row r="165" spans="2:53"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</row>
    <row r="166" spans="2:53"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</row>
    <row r="167" spans="2:53"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</row>
    <row r="168" spans="2:53"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</row>
    <row r="169" spans="2:53"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</row>
    <row r="170" spans="2:53" ht="16.5" thickBot="1">
      <c r="B170" s="71" t="s">
        <v>515</v>
      </c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362"/>
      <c r="U170" s="362"/>
      <c r="V170" s="362"/>
      <c r="W170" s="362"/>
      <c r="X170" s="362"/>
      <c r="Y170" s="362"/>
      <c r="Z170" s="362"/>
      <c r="AA170" s="362"/>
      <c r="AB170" s="362"/>
      <c r="AC170" s="362"/>
      <c r="AD170" s="362"/>
      <c r="AE170" s="362"/>
      <c r="AF170" s="362"/>
      <c r="AG170" s="362"/>
      <c r="AH170" s="362"/>
      <c r="AI170" s="362"/>
      <c r="AJ170" s="362"/>
      <c r="AK170" s="362"/>
      <c r="AL170" s="362"/>
      <c r="AM170" s="362"/>
      <c r="AN170" s="362"/>
      <c r="AO170" s="362"/>
      <c r="AP170" s="362"/>
      <c r="AQ170" s="362"/>
      <c r="AR170" s="362"/>
      <c r="AS170" s="362"/>
      <c r="AT170" s="362"/>
      <c r="AU170" s="362"/>
      <c r="AV170" s="362"/>
      <c r="AW170" s="362"/>
      <c r="AX170" s="362"/>
    </row>
    <row r="171" spans="2:53" ht="25.5">
      <c r="B171" s="59" t="str">
        <f t="shared" ref="B171:S171" si="76">B117</f>
        <v>kWh</v>
      </c>
      <c r="C171" s="58" t="str">
        <f t="shared" si="76"/>
        <v>2015 Actual</v>
      </c>
      <c r="D171" s="58" t="str">
        <f t="shared" si="76"/>
        <v>2016 Actual</v>
      </c>
      <c r="E171" s="58" t="str">
        <f t="shared" si="76"/>
        <v>2017 Actual</v>
      </c>
      <c r="F171" s="58" t="str">
        <f t="shared" si="76"/>
        <v>2018 Actual</v>
      </c>
      <c r="G171" s="58" t="str">
        <f t="shared" si="76"/>
        <v>2019 Actual</v>
      </c>
      <c r="H171" s="58" t="str">
        <f t="shared" si="76"/>
        <v>2020 Actual</v>
      </c>
      <c r="I171" s="58" t="str">
        <f t="shared" si="76"/>
        <v>2021 Actual</v>
      </c>
      <c r="J171" s="58" t="str">
        <f t="shared" si="76"/>
        <v>2022 Actual</v>
      </c>
      <c r="K171" s="58" t="str">
        <f t="shared" si="76"/>
        <v>2023 Actual</v>
      </c>
      <c r="L171" s="58" t="str">
        <f t="shared" si="76"/>
        <v>2024 Actual</v>
      </c>
      <c r="M171" s="58" t="str">
        <f t="shared" si="76"/>
        <v>2025 Forecast</v>
      </c>
      <c r="N171" s="58" t="str">
        <f t="shared" si="76"/>
        <v>2026 Forecast</v>
      </c>
      <c r="O171" s="58" t="str">
        <f t="shared" si="76"/>
        <v>2027 Forecast</v>
      </c>
      <c r="P171" s="58" t="str">
        <f t="shared" si="76"/>
        <v>2028 Forecast</v>
      </c>
      <c r="Q171" s="58" t="str">
        <f t="shared" si="76"/>
        <v>2029 Forecast</v>
      </c>
      <c r="R171" s="58" t="str">
        <f t="shared" si="76"/>
        <v>2030 Forecast</v>
      </c>
      <c r="S171" s="57" t="str">
        <f t="shared" si="76"/>
        <v>2031 Forecast</v>
      </c>
      <c r="T171" s="362"/>
      <c r="U171" s="362"/>
      <c r="V171" s="362"/>
      <c r="W171" s="362"/>
      <c r="X171" s="362"/>
      <c r="Y171" s="362"/>
      <c r="Z171" s="362"/>
      <c r="AA171" s="362"/>
      <c r="AB171" s="362"/>
      <c r="AC171" s="362"/>
      <c r="AD171" s="362"/>
      <c r="AE171" s="362"/>
      <c r="AF171" s="362"/>
      <c r="AG171" s="362"/>
      <c r="AH171" s="362"/>
      <c r="AI171" s="362"/>
      <c r="AJ171" s="362"/>
      <c r="AK171" s="362"/>
      <c r="AL171" s="362"/>
      <c r="AM171" s="362"/>
      <c r="AN171" s="362"/>
      <c r="AO171" s="362"/>
      <c r="AP171" s="362"/>
      <c r="AQ171" s="362"/>
      <c r="AR171" s="362"/>
      <c r="AS171" s="362"/>
      <c r="AT171" s="362"/>
      <c r="AU171" s="362"/>
      <c r="AV171" s="362"/>
      <c r="AW171" s="362"/>
      <c r="AX171" s="362"/>
    </row>
    <row r="172" spans="2:53">
      <c r="B172" s="64" t="str">
        <f t="shared" ref="B172:B187" si="77">B118</f>
        <v>Residential</v>
      </c>
      <c r="C172" s="55">
        <f t="shared" ref="C172:S172" ca="1" si="78">C118/C134</f>
        <v>8262.4896442476092</v>
      </c>
      <c r="D172" s="55">
        <f t="shared" ca="1" si="78"/>
        <v>9051.9937559753998</v>
      </c>
      <c r="E172" s="55">
        <f t="shared" ca="1" si="78"/>
        <v>8401.2856447111208</v>
      </c>
      <c r="F172" s="55">
        <f t="shared" ca="1" si="78"/>
        <v>9015.3066893423074</v>
      </c>
      <c r="G172" s="55">
        <f t="shared" ca="1" si="78"/>
        <v>8619.2141800823028</v>
      </c>
      <c r="H172" s="55">
        <f t="shared" ca="1" si="78"/>
        <v>9267.1855637996578</v>
      </c>
      <c r="I172" s="55">
        <f t="shared" ca="1" si="78"/>
        <v>9113.1804708442851</v>
      </c>
      <c r="J172" s="55">
        <f t="shared" ca="1" si="78"/>
        <v>8922.4022443203776</v>
      </c>
      <c r="K172" s="55">
        <f t="shared" ca="1" si="78"/>
        <v>8722.4652378811243</v>
      </c>
      <c r="L172" s="55">
        <f t="shared" ca="1" si="78"/>
        <v>8981.1577277568886</v>
      </c>
      <c r="M172" s="55">
        <f t="shared" ca="1" si="78"/>
        <v>9127.2908829518601</v>
      </c>
      <c r="N172" s="55">
        <f t="shared" ca="1" si="78"/>
        <v>9128.3348999805567</v>
      </c>
      <c r="O172" s="55">
        <f t="shared" ca="1" si="78"/>
        <v>9132.4265361412181</v>
      </c>
      <c r="P172" s="55">
        <f t="shared" ca="1" si="78"/>
        <v>9139.7894622761469</v>
      </c>
      <c r="Q172" s="55">
        <f t="shared" ca="1" si="78"/>
        <v>9135.2097729780144</v>
      </c>
      <c r="R172" s="55">
        <f t="shared" ca="1" si="78"/>
        <v>9169.7853464263517</v>
      </c>
      <c r="S172" s="65">
        <f t="shared" ca="1" si="78"/>
        <v>9198.4818126168175</v>
      </c>
      <c r="T172" s="362"/>
      <c r="U172" s="362"/>
      <c r="V172" s="362"/>
      <c r="W172" s="362"/>
      <c r="X172" s="362"/>
      <c r="Y172" s="362"/>
      <c r="Z172" s="362"/>
      <c r="AA172" s="362"/>
      <c r="AB172" s="362"/>
      <c r="AC172" s="362"/>
      <c r="AD172" s="362"/>
      <c r="AE172" s="362"/>
      <c r="AF172" s="362"/>
      <c r="AG172" s="362"/>
      <c r="AH172" s="362"/>
      <c r="AI172" s="362"/>
      <c r="AJ172" s="362"/>
      <c r="AK172" s="362"/>
      <c r="AL172" s="362"/>
      <c r="AM172" s="362"/>
      <c r="AN172" s="362"/>
      <c r="AO172" s="362"/>
      <c r="AP172" s="362"/>
      <c r="AQ172" s="362"/>
      <c r="AR172" s="362"/>
      <c r="AS172" s="362"/>
      <c r="AT172" s="362"/>
      <c r="AU172" s="362"/>
      <c r="AV172" s="362"/>
      <c r="AW172" s="362"/>
      <c r="AX172" s="362"/>
    </row>
    <row r="173" spans="2:53">
      <c r="B173" s="64" t="str">
        <f t="shared" si="77"/>
        <v>Residential Seasonal</v>
      </c>
      <c r="C173" s="55">
        <f t="shared" ref="C173:S173" ca="1" si="79">C119/C135</f>
        <v>5975.5767508321051</v>
      </c>
      <c r="D173" s="55">
        <f t="shared" ca="1" si="79"/>
        <v>5983.1995112470449</v>
      </c>
      <c r="E173" s="55">
        <f t="shared" ca="1" si="79"/>
        <v>6285.6193799381772</v>
      </c>
      <c r="F173" s="55">
        <f t="shared" ca="1" si="79"/>
        <v>6695.032705590158</v>
      </c>
      <c r="G173" s="55">
        <f t="shared" ca="1" si="79"/>
        <v>6937.5856160753929</v>
      </c>
      <c r="H173" s="55">
        <f t="shared" ca="1" si="79"/>
        <v>7930.5463714670095</v>
      </c>
      <c r="I173" s="55">
        <f t="shared" ca="1" si="79"/>
        <v>8079.1031873174352</v>
      </c>
      <c r="J173" s="55">
        <f t="shared" ca="1" si="79"/>
        <v>8081.3942814195661</v>
      </c>
      <c r="K173" s="55">
        <f t="shared" ca="1" si="79"/>
        <v>7789.8497003759703</v>
      </c>
      <c r="L173" s="55">
        <f t="shared" ca="1" si="79"/>
        <v>7830.9979316164308</v>
      </c>
      <c r="M173" s="55">
        <f t="shared" ca="1" si="79"/>
        <v>8192.5427831007455</v>
      </c>
      <c r="N173" s="55">
        <f t="shared" ca="1" si="79"/>
        <v>8480.3743338789754</v>
      </c>
      <c r="O173" s="55">
        <f t="shared" ca="1" si="79"/>
        <v>8796.4686359060233</v>
      </c>
      <c r="P173" s="55">
        <f t="shared" ca="1" si="79"/>
        <v>9063.6397022283327</v>
      </c>
      <c r="Q173" s="55">
        <f t="shared" ca="1" si="79"/>
        <v>9368.1641141130367</v>
      </c>
      <c r="R173" s="55">
        <f t="shared" ca="1" si="79"/>
        <v>9724.4090818505865</v>
      </c>
      <c r="S173" s="65">
        <f t="shared" ca="1" si="79"/>
        <v>10041.286284506416</v>
      </c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362"/>
      <c r="AE173" s="362"/>
      <c r="AF173" s="362"/>
      <c r="AG173" s="362"/>
      <c r="AH173" s="362"/>
      <c r="AI173" s="362"/>
      <c r="AJ173" s="362"/>
      <c r="AK173" s="362"/>
      <c r="AL173" s="362"/>
      <c r="AM173" s="362"/>
      <c r="AN173" s="362"/>
      <c r="AO173" s="362"/>
      <c r="AP173" s="362"/>
      <c r="AQ173" s="362"/>
      <c r="AR173" s="362"/>
      <c r="AS173" s="362"/>
      <c r="AT173" s="362"/>
      <c r="AU173" s="362"/>
      <c r="AV173" s="362"/>
      <c r="AW173" s="362"/>
      <c r="AX173" s="362"/>
    </row>
    <row r="174" spans="2:53">
      <c r="B174" s="64" t="str">
        <f t="shared" si="77"/>
        <v>GS&lt;50</v>
      </c>
      <c r="C174" s="55">
        <f t="shared" ref="C174:S174" ca="1" si="80">C120/C136</f>
        <v>31471.863034900587</v>
      </c>
      <c r="D174" s="55">
        <f t="shared" ca="1" si="80"/>
        <v>33467.849443487306</v>
      </c>
      <c r="E174" s="55">
        <f t="shared" ca="1" si="80"/>
        <v>32102.153343028207</v>
      </c>
      <c r="F174" s="55">
        <f t="shared" ca="1" si="80"/>
        <v>32735.591870251243</v>
      </c>
      <c r="G174" s="55">
        <f t="shared" ca="1" si="80"/>
        <v>33007.529129678456</v>
      </c>
      <c r="H174" s="55">
        <f t="shared" ca="1" si="80"/>
        <v>30127.017454549612</v>
      </c>
      <c r="I174" s="55">
        <f t="shared" ca="1" si="80"/>
        <v>29916.298670933171</v>
      </c>
      <c r="J174" s="55">
        <f t="shared" ca="1" si="80"/>
        <v>31032.708332653991</v>
      </c>
      <c r="K174" s="55">
        <f t="shared" ca="1" si="80"/>
        <v>30612.588625198172</v>
      </c>
      <c r="L174" s="55">
        <f t="shared" ca="1" si="80"/>
        <v>28908.687155542448</v>
      </c>
      <c r="M174" s="55">
        <f t="shared" ca="1" si="80"/>
        <v>31122.957813463749</v>
      </c>
      <c r="N174" s="55">
        <f t="shared" ca="1" si="80"/>
        <v>30871.048843169821</v>
      </c>
      <c r="O174" s="55">
        <f t="shared" ca="1" si="80"/>
        <v>30699.181413231137</v>
      </c>
      <c r="P174" s="55">
        <f t="shared" ca="1" si="80"/>
        <v>30394.38310255119</v>
      </c>
      <c r="Q174" s="55">
        <f t="shared" ca="1" si="80"/>
        <v>30170.201281162888</v>
      </c>
      <c r="R174" s="55">
        <f t="shared" ca="1" si="80"/>
        <v>29974.43684959619</v>
      </c>
      <c r="S174" s="65">
        <f t="shared" ca="1" si="80"/>
        <v>29907.419069366224</v>
      </c>
      <c r="T174" s="362"/>
      <c r="U174" s="362"/>
      <c r="V174" s="362"/>
      <c r="W174" s="362"/>
      <c r="X174" s="362"/>
      <c r="Y174" s="362"/>
      <c r="Z174" s="362"/>
      <c r="AA174" s="362"/>
      <c r="AB174" s="362"/>
      <c r="AC174" s="362"/>
      <c r="AD174" s="362"/>
      <c r="AE174" s="362"/>
      <c r="AF174" s="362"/>
      <c r="AG174" s="362"/>
      <c r="AH174" s="362"/>
      <c r="AI174" s="362"/>
      <c r="AJ174" s="362"/>
      <c r="AK174" s="362"/>
      <c r="AL174" s="362"/>
      <c r="AM174" s="362"/>
      <c r="AN174" s="362"/>
      <c r="AO174" s="362"/>
      <c r="AP174" s="362"/>
      <c r="AQ174" s="362"/>
      <c r="AR174" s="362"/>
      <c r="AS174" s="362"/>
      <c r="AT174" s="362"/>
      <c r="AU174" s="362"/>
      <c r="AV174" s="362"/>
      <c r="AW174" s="362"/>
      <c r="AX174" s="362"/>
    </row>
    <row r="175" spans="2:53">
      <c r="B175" s="64" t="str">
        <f t="shared" si="77"/>
        <v>GS 50 - 2,999</v>
      </c>
      <c r="C175" s="55">
        <f t="shared" ref="C175:S175" ca="1" si="81">C121/C137</f>
        <v>917771.08411319309</v>
      </c>
      <c r="D175" s="55">
        <f t="shared" ca="1" si="81"/>
        <v>931395.23159244633</v>
      </c>
      <c r="E175" s="55">
        <f t="shared" ca="1" si="81"/>
        <v>896779.69773265219</v>
      </c>
      <c r="F175" s="55">
        <f t="shared" ca="1" si="81"/>
        <v>919338.33062712604</v>
      </c>
      <c r="G175" s="55">
        <f t="shared" ca="1" si="81"/>
        <v>913008.84416760481</v>
      </c>
      <c r="H175" s="55">
        <f t="shared" ca="1" si="81"/>
        <v>860805.3426010079</v>
      </c>
      <c r="I175" s="55">
        <f t="shared" ca="1" si="81"/>
        <v>854975.04821851337</v>
      </c>
      <c r="J175" s="55">
        <f t="shared" ca="1" si="81"/>
        <v>884819.39968389622</v>
      </c>
      <c r="K175" s="55">
        <f t="shared" ca="1" si="81"/>
        <v>888688.62468421203</v>
      </c>
      <c r="L175" s="55">
        <f t="shared" ca="1" si="81"/>
        <v>899580.39488697704</v>
      </c>
      <c r="M175" s="55">
        <f t="shared" ca="1" si="81"/>
        <v>864626.32096030423</v>
      </c>
      <c r="N175" s="55">
        <f t="shared" ca="1" si="81"/>
        <v>889356.23057212192</v>
      </c>
      <c r="O175" s="55">
        <f t="shared" ca="1" si="81"/>
        <v>909385.43014800712</v>
      </c>
      <c r="P175" s="55">
        <f t="shared" ca="1" si="81"/>
        <v>917709.96026160952</v>
      </c>
      <c r="Q175" s="55">
        <f t="shared" ca="1" si="81"/>
        <v>919855.27307896607</v>
      </c>
      <c r="R175" s="55">
        <f t="shared" ca="1" si="81"/>
        <v>916029.41524024273</v>
      </c>
      <c r="S175" s="65">
        <f t="shared" ca="1" si="81"/>
        <v>916944.27865930519</v>
      </c>
      <c r="T175" s="362"/>
      <c r="U175" s="362"/>
      <c r="V175" s="362"/>
      <c r="W175" s="362"/>
      <c r="X175" s="362"/>
      <c r="Y175" s="362"/>
      <c r="Z175" s="362"/>
      <c r="AA175" s="362"/>
      <c r="AB175" s="362"/>
      <c r="AC175" s="362"/>
      <c r="AD175" s="362"/>
      <c r="AE175" s="362"/>
      <c r="AF175" s="362"/>
      <c r="AG175" s="362"/>
      <c r="AH175" s="362"/>
      <c r="AI175" s="362"/>
      <c r="AJ175" s="362"/>
      <c r="AK175" s="362"/>
      <c r="AL175" s="362"/>
      <c r="AM175" s="362"/>
      <c r="AN175" s="362"/>
      <c r="AO175" s="362"/>
      <c r="AP175" s="362"/>
      <c r="AQ175" s="362"/>
      <c r="AR175" s="362"/>
      <c r="AS175" s="362"/>
      <c r="AT175" s="362"/>
      <c r="AU175" s="362"/>
      <c r="AV175" s="362"/>
      <c r="AW175" s="362"/>
      <c r="AX175" s="362"/>
    </row>
    <row r="176" spans="2:53">
      <c r="B176" s="64" t="str">
        <f t="shared" si="77"/>
        <v>GS 3,000 - 4,999</v>
      </c>
      <c r="C176" s="55">
        <f t="shared" ref="C176:S176" ca="1" si="82">C122/C138</f>
        <v>20407626.700617678</v>
      </c>
      <c r="D176" s="55">
        <f t="shared" ca="1" si="82"/>
        <v>20557823.585000001</v>
      </c>
      <c r="E176" s="55">
        <f t="shared" ca="1" si="82"/>
        <v>21700321.945714284</v>
      </c>
      <c r="F176" s="55">
        <f t="shared" ca="1" si="82"/>
        <v>22293986.479999997</v>
      </c>
      <c r="G176" s="55">
        <f t="shared" ca="1" si="82"/>
        <v>24727068.247142859</v>
      </c>
      <c r="H176" s="55">
        <f t="shared" ca="1" si="82"/>
        <v>23175757.038232051</v>
      </c>
      <c r="I176" s="55">
        <f t="shared" ca="1" si="82"/>
        <v>21862858.95219513</v>
      </c>
      <c r="J176" s="55">
        <f t="shared" ca="1" si="82"/>
        <v>23350063.870344821</v>
      </c>
      <c r="K176" s="55">
        <f t="shared" ca="1" si="82"/>
        <v>24433314.966250002</v>
      </c>
      <c r="L176" s="55">
        <f t="shared" ca="1" si="82"/>
        <v>22578927.576250002</v>
      </c>
      <c r="M176" s="55">
        <f t="shared" ca="1" si="82"/>
        <v>20019748.144834921</v>
      </c>
      <c r="N176" s="55">
        <f t="shared" ca="1" si="82"/>
        <v>17375988.315275863</v>
      </c>
      <c r="O176" s="55">
        <f t="shared" ca="1" si="82"/>
        <v>16785745.013108134</v>
      </c>
      <c r="P176" s="55">
        <f t="shared" ca="1" si="82"/>
        <v>17214974.696999975</v>
      </c>
      <c r="Q176" s="55">
        <f t="shared" ca="1" si="82"/>
        <v>17737570.025146432</v>
      </c>
      <c r="R176" s="55">
        <f t="shared" ca="1" si="82"/>
        <v>18107474.168805331</v>
      </c>
      <c r="S176" s="65">
        <f t="shared" ca="1" si="82"/>
        <v>18435198.536858041</v>
      </c>
      <c r="T176" s="362"/>
      <c r="U176" s="362"/>
      <c r="V176" s="362"/>
      <c r="W176" s="362"/>
      <c r="X176" s="362"/>
      <c r="Y176" s="362"/>
      <c r="Z176" s="362"/>
      <c r="AA176" s="362"/>
      <c r="AB176" s="362"/>
      <c r="AC176" s="362"/>
      <c r="AD176" s="362"/>
      <c r="AE176" s="362"/>
      <c r="AF176" s="362"/>
      <c r="AG176" s="362"/>
      <c r="AH176" s="362"/>
      <c r="AI176" s="362"/>
      <c r="AJ176" s="362"/>
      <c r="AK176" s="362"/>
      <c r="AL176" s="362"/>
      <c r="AM176" s="362"/>
      <c r="AN176" s="362"/>
      <c r="AO176" s="362"/>
      <c r="AP176" s="362"/>
      <c r="AQ176" s="362"/>
      <c r="AR176" s="362"/>
      <c r="AS176" s="362"/>
      <c r="AT176" s="362"/>
      <c r="AU176" s="362"/>
      <c r="AV176" s="362"/>
      <c r="AW176" s="362"/>
      <c r="AX176" s="362"/>
    </row>
    <row r="177" spans="2:50">
      <c r="B177" s="64" t="str">
        <f t="shared" si="77"/>
        <v>Large Use</v>
      </c>
      <c r="C177" s="55">
        <f t="shared" ref="C177:S177" ca="1" si="83">C123/C139</f>
        <v>82804260.781122223</v>
      </c>
      <c r="D177" s="55">
        <f t="shared" ca="1" si="83"/>
        <v>71933506.36333333</v>
      </c>
      <c r="E177" s="55">
        <f t="shared" ca="1" si="83"/>
        <v>74619870.37666668</v>
      </c>
      <c r="F177" s="55">
        <f t="shared" ca="1" si="83"/>
        <v>70650659.426823527</v>
      </c>
      <c r="G177" s="55">
        <f t="shared" ca="1" si="83"/>
        <v>64898096.015000001</v>
      </c>
      <c r="H177" s="55">
        <f t="shared" ca="1" si="83"/>
        <v>66060646.5075</v>
      </c>
      <c r="I177" s="55">
        <f t="shared" ca="1" si="83"/>
        <v>71202357.680000007</v>
      </c>
      <c r="J177" s="55">
        <f t="shared" ca="1" si="83"/>
        <v>72300725.137500003</v>
      </c>
      <c r="K177" s="55">
        <f t="shared" ca="1" si="83"/>
        <v>66916130.410199799</v>
      </c>
      <c r="L177" s="55">
        <f t="shared" ca="1" si="83"/>
        <v>64378608.305876411</v>
      </c>
      <c r="M177" s="55">
        <f t="shared" ca="1" si="83"/>
        <v>61281546.091047816</v>
      </c>
      <c r="N177" s="55">
        <f t="shared" ca="1" si="83"/>
        <v>59213401.557994656</v>
      </c>
      <c r="O177" s="55">
        <f t="shared" ca="1" si="83"/>
        <v>57331227.875996955</v>
      </c>
      <c r="P177" s="55">
        <f t="shared" ca="1" si="83"/>
        <v>60376705.682461321</v>
      </c>
      <c r="Q177" s="55">
        <f t="shared" ca="1" si="83"/>
        <v>65027898.208153799</v>
      </c>
      <c r="R177" s="55">
        <f t="shared" ca="1" si="83"/>
        <v>66999039.491066657</v>
      </c>
      <c r="S177" s="65">
        <f t="shared" ca="1" si="83"/>
        <v>67733495.635419846</v>
      </c>
      <c r="T177" s="362"/>
      <c r="U177" s="362"/>
      <c r="V177" s="362"/>
      <c r="W177" s="362"/>
      <c r="X177" s="362"/>
      <c r="Y177" s="362"/>
      <c r="Z177" s="362"/>
      <c r="AA177" s="362"/>
      <c r="AB177" s="362"/>
      <c r="AC177" s="362"/>
      <c r="AD177" s="362"/>
      <c r="AE177" s="362"/>
      <c r="AF177" s="362"/>
      <c r="AG177" s="362"/>
      <c r="AH177" s="362"/>
      <c r="AI177" s="362"/>
      <c r="AJ177" s="362"/>
      <c r="AK177" s="362"/>
      <c r="AL177" s="362"/>
      <c r="AM177" s="362"/>
      <c r="AN177" s="362"/>
      <c r="AO177" s="362"/>
      <c r="AP177" s="362"/>
      <c r="AQ177" s="362"/>
      <c r="AR177" s="362"/>
      <c r="AS177" s="362"/>
      <c r="AT177" s="362"/>
      <c r="AU177" s="362"/>
      <c r="AV177" s="362"/>
      <c r="AW177" s="362"/>
      <c r="AX177" s="362"/>
    </row>
    <row r="178" spans="2:50">
      <c r="B178" s="64" t="str">
        <f t="shared" si="77"/>
        <v>Street Light</v>
      </c>
      <c r="C178" s="55">
        <f t="shared" ref="C178:S178" ca="1" si="84">C124/C140</f>
        <v>737.74346559021251</v>
      </c>
      <c r="D178" s="55">
        <f t="shared" ca="1" si="84"/>
        <v>668.66018137598667</v>
      </c>
      <c r="E178" s="55">
        <f t="shared" ca="1" si="84"/>
        <v>601.61032415150316</v>
      </c>
      <c r="F178" s="55">
        <f t="shared" ca="1" si="84"/>
        <v>465.04864312384859</v>
      </c>
      <c r="G178" s="55">
        <f t="shared" ca="1" si="84"/>
        <v>396.86548445086515</v>
      </c>
      <c r="H178" s="55">
        <f t="shared" ca="1" si="84"/>
        <v>346.75093501551078</v>
      </c>
      <c r="I178" s="55">
        <f t="shared" ca="1" si="84"/>
        <v>334.13608845797864</v>
      </c>
      <c r="J178" s="55">
        <f t="shared" ca="1" si="84"/>
        <v>337.36750115156224</v>
      </c>
      <c r="K178" s="55">
        <f t="shared" ca="1" si="84"/>
        <v>340.07377197014478</v>
      </c>
      <c r="L178" s="55">
        <f t="shared" ca="1" si="84"/>
        <v>341.46160590911956</v>
      </c>
      <c r="M178" s="55">
        <f t="shared" ca="1" si="84"/>
        <v>341.33211949614656</v>
      </c>
      <c r="N178" s="55">
        <f t="shared" ca="1" si="84"/>
        <v>341.20230745713837</v>
      </c>
      <c r="O178" s="55">
        <f t="shared" ca="1" si="84"/>
        <v>341.07217104460915</v>
      </c>
      <c r="P178" s="55">
        <f t="shared" ca="1" si="84"/>
        <v>340.94171152973041</v>
      </c>
      <c r="Q178" s="55">
        <f t="shared" ca="1" si="84"/>
        <v>340.81093020233476</v>
      </c>
      <c r="R178" s="55">
        <f t="shared" ca="1" si="84"/>
        <v>340.67982837091802</v>
      </c>
      <c r="S178" s="65">
        <f t="shared" ca="1" si="84"/>
        <v>340.54840736263878</v>
      </c>
      <c r="T178" s="362"/>
      <c r="U178" s="362"/>
      <c r="V178" s="362"/>
      <c r="W178" s="362"/>
      <c r="X178" s="362"/>
      <c r="Y178" s="362"/>
      <c r="Z178" s="362"/>
      <c r="AA178" s="362"/>
      <c r="AB178" s="362"/>
      <c r="AC178" s="362"/>
      <c r="AD178" s="362"/>
      <c r="AE178" s="362"/>
      <c r="AF178" s="362"/>
      <c r="AG178" s="362"/>
      <c r="AH178" s="362"/>
      <c r="AI178" s="362"/>
      <c r="AJ178" s="362"/>
      <c r="AK178" s="362"/>
      <c r="AL178" s="362"/>
      <c r="AM178" s="362"/>
      <c r="AN178" s="362"/>
      <c r="AO178" s="362"/>
      <c r="AP178" s="362"/>
      <c r="AQ178" s="362"/>
      <c r="AR178" s="362"/>
      <c r="AS178" s="362"/>
      <c r="AT178" s="362"/>
      <c r="AU178" s="362"/>
      <c r="AV178" s="362"/>
      <c r="AW178" s="362"/>
      <c r="AX178" s="362"/>
    </row>
    <row r="179" spans="2:50">
      <c r="B179" s="64" t="str">
        <f t="shared" si="77"/>
        <v>Sentinel Light</v>
      </c>
      <c r="C179" s="55">
        <f t="shared" ref="C179:S179" ca="1" si="85">C125/C141</f>
        <v>825.17726214094728</v>
      </c>
      <c r="D179" s="55">
        <f t="shared" ca="1" si="85"/>
        <v>833.45397489539744</v>
      </c>
      <c r="E179" s="55">
        <f t="shared" ca="1" si="85"/>
        <v>797.58373331006203</v>
      </c>
      <c r="F179" s="55">
        <f t="shared" ca="1" si="85"/>
        <v>606.40139921294269</v>
      </c>
      <c r="G179" s="55">
        <f t="shared" ca="1" si="85"/>
        <v>677.31867648675416</v>
      </c>
      <c r="H179" s="55">
        <f t="shared" ca="1" si="85"/>
        <v>879.27086007702178</v>
      </c>
      <c r="I179" s="55">
        <f t="shared" ca="1" si="85"/>
        <v>876.16480686695297</v>
      </c>
      <c r="J179" s="55">
        <f t="shared" ca="1" si="85"/>
        <v>846.31306957611412</v>
      </c>
      <c r="K179" s="55">
        <f t="shared" ca="1" si="85"/>
        <v>865.57783035199088</v>
      </c>
      <c r="L179" s="55">
        <f t="shared" ca="1" si="85"/>
        <v>869.04669603524189</v>
      </c>
      <c r="M179" s="55">
        <f t="shared" ca="1" si="85"/>
        <v>871.4909544658035</v>
      </c>
      <c r="N179" s="55">
        <f t="shared" ca="1" si="85"/>
        <v>870.52065524250827</v>
      </c>
      <c r="O179" s="55">
        <f t="shared" ca="1" si="85"/>
        <v>869.53070708665473</v>
      </c>
      <c r="P179" s="55">
        <f t="shared" ca="1" si="85"/>
        <v>868.5209735045263</v>
      </c>
      <c r="Q179" s="55">
        <f t="shared" ca="1" si="85"/>
        <v>867.49133094454112</v>
      </c>
      <c r="R179" s="55">
        <f t="shared" ca="1" si="85"/>
        <v>866.44166949777127</v>
      </c>
      <c r="S179" s="65">
        <f t="shared" ca="1" si="85"/>
        <v>865.37189360003379</v>
      </c>
      <c r="T179" s="362"/>
      <c r="U179" s="362"/>
      <c r="V179" s="362"/>
      <c r="W179" s="362"/>
      <c r="X179" s="362"/>
      <c r="Y179" s="362"/>
      <c r="Z179" s="362"/>
      <c r="AA179" s="362"/>
      <c r="AB179" s="362"/>
      <c r="AC179" s="362"/>
      <c r="AD179" s="362"/>
      <c r="AE179" s="362"/>
      <c r="AF179" s="362"/>
      <c r="AG179" s="362"/>
      <c r="AH179" s="362"/>
      <c r="AI179" s="362"/>
      <c r="AJ179" s="362"/>
      <c r="AK179" s="362"/>
      <c r="AL179" s="362"/>
      <c r="AM179" s="362"/>
      <c r="AN179" s="362"/>
      <c r="AO179" s="362"/>
      <c r="AP179" s="362"/>
      <c r="AQ179" s="362"/>
      <c r="AR179" s="362"/>
      <c r="AS179" s="362"/>
      <c r="AT179" s="362"/>
      <c r="AU179" s="362"/>
      <c r="AV179" s="362"/>
      <c r="AW179" s="362"/>
      <c r="AX179" s="362"/>
    </row>
    <row r="180" spans="2:50">
      <c r="B180" s="64" t="str">
        <f t="shared" si="77"/>
        <v>USL</v>
      </c>
      <c r="C180" s="55">
        <f t="shared" ref="C180:S180" ca="1" si="86">C126/C142</f>
        <v>4570.411102301875</v>
      </c>
      <c r="D180" s="55">
        <f t="shared" ca="1" si="86"/>
        <v>4608.2735723881351</v>
      </c>
      <c r="E180" s="55">
        <f t="shared" ca="1" si="86"/>
        <v>4612.0500888223214</v>
      </c>
      <c r="F180" s="55">
        <f t="shared" ca="1" si="86"/>
        <v>4599.8946698754835</v>
      </c>
      <c r="G180" s="55">
        <f t="shared" ca="1" si="86"/>
        <v>4562.1089227975826</v>
      </c>
      <c r="H180" s="55">
        <f t="shared" ca="1" si="86"/>
        <v>5598.0475986565934</v>
      </c>
      <c r="I180" s="55">
        <f t="shared" ca="1" si="86"/>
        <v>5658.8561419192638</v>
      </c>
      <c r="J180" s="55">
        <f t="shared" ca="1" si="86"/>
        <v>5636.5486200879468</v>
      </c>
      <c r="K180" s="55">
        <f t="shared" ca="1" si="86"/>
        <v>5604.5595633127023</v>
      </c>
      <c r="L180" s="55">
        <f t="shared" ca="1" si="86"/>
        <v>5750.4552150921809</v>
      </c>
      <c r="M180" s="55">
        <f t="shared" ca="1" si="86"/>
        <v>5745.1452266633296</v>
      </c>
      <c r="N180" s="55">
        <f t="shared" ca="1" si="86"/>
        <v>5739.9234237064493</v>
      </c>
      <c r="O180" s="55">
        <f t="shared" ca="1" si="86"/>
        <v>5734.6713890000819</v>
      </c>
      <c r="P180" s="55">
        <f t="shared" ca="1" si="86"/>
        <v>5729.3898205137011</v>
      </c>
      <c r="Q180" s="55">
        <f t="shared" ca="1" si="86"/>
        <v>5724.0794348659474</v>
      </c>
      <c r="R180" s="55">
        <f t="shared" ca="1" si="86"/>
        <v>5718.7409670308252</v>
      </c>
      <c r="S180" s="65">
        <f t="shared" ca="1" si="86"/>
        <v>5713.3751700203538</v>
      </c>
      <c r="T180" s="362"/>
      <c r="U180" s="362"/>
      <c r="V180" s="362"/>
      <c r="W180" s="362"/>
      <c r="X180" s="362"/>
      <c r="Y180" s="362"/>
      <c r="Z180" s="362"/>
      <c r="AA180" s="362"/>
      <c r="AB180" s="362"/>
      <c r="AC180" s="362"/>
      <c r="AD180" s="362"/>
      <c r="AE180" s="362"/>
      <c r="AF180" s="362"/>
      <c r="AG180" s="362"/>
      <c r="AH180" s="362"/>
      <c r="AI180" s="362"/>
      <c r="AJ180" s="362"/>
      <c r="AK180" s="362"/>
      <c r="AL180" s="362"/>
      <c r="AM180" s="362"/>
      <c r="AN180" s="362"/>
      <c r="AO180" s="362"/>
      <c r="AP180" s="362"/>
      <c r="AQ180" s="362"/>
      <c r="AR180" s="362"/>
      <c r="AS180" s="362"/>
      <c r="AT180" s="362"/>
      <c r="AU180" s="362"/>
      <c r="AV180" s="362"/>
      <c r="AW180" s="362"/>
      <c r="AX180" s="362"/>
    </row>
    <row r="181" spans="2:50" ht="15.75" thickBot="1">
      <c r="B181" s="63" t="str">
        <f t="shared" si="77"/>
        <v>Total kWh</v>
      </c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0"/>
      <c r="T181" s="362"/>
      <c r="U181" s="362"/>
      <c r="V181" s="362"/>
      <c r="W181" s="362"/>
      <c r="X181" s="362"/>
      <c r="Y181" s="362"/>
      <c r="Z181" s="362"/>
      <c r="AA181" s="362"/>
      <c r="AB181" s="362"/>
      <c r="AC181" s="362"/>
      <c r="AD181" s="362"/>
      <c r="AE181" s="362"/>
      <c r="AF181" s="362"/>
      <c r="AG181" s="362"/>
      <c r="AH181" s="362"/>
      <c r="AI181" s="362"/>
      <c r="AJ181" s="362"/>
      <c r="AK181" s="362"/>
      <c r="AL181" s="362"/>
      <c r="AM181" s="362"/>
      <c r="AN181" s="362"/>
      <c r="AO181" s="362"/>
      <c r="AP181" s="362"/>
      <c r="AQ181" s="362"/>
      <c r="AR181" s="362"/>
      <c r="AS181" s="362"/>
      <c r="AT181" s="362"/>
      <c r="AU181" s="362"/>
      <c r="AV181" s="362"/>
      <c r="AW181" s="362"/>
      <c r="AX181" s="362"/>
    </row>
    <row r="182" spans="2:50">
      <c r="B182" s="64" t="str">
        <f t="shared" si="77"/>
        <v>GS 50 - 2,999</v>
      </c>
      <c r="C182" s="55">
        <f t="shared" ref="C182:S182" ca="1" si="87">C128/C137</f>
        <v>2184.3242156189222</v>
      </c>
      <c r="D182" s="55">
        <f t="shared" ca="1" si="87"/>
        <v>2242.0909898989903</v>
      </c>
      <c r="E182" s="55">
        <f t="shared" ca="1" si="87"/>
        <v>2166.1944465073093</v>
      </c>
      <c r="F182" s="55">
        <f t="shared" ca="1" si="87"/>
        <v>2197.7239598778892</v>
      </c>
      <c r="G182" s="55">
        <f t="shared" ca="1" si="87"/>
        <v>2174.3644260060446</v>
      </c>
      <c r="H182" s="55">
        <f t="shared" ca="1" si="87"/>
        <v>2081.6570064538942</v>
      </c>
      <c r="I182" s="55">
        <f t="shared" ca="1" si="87"/>
        <v>2044.3854362764903</v>
      </c>
      <c r="J182" s="55">
        <f t="shared" ca="1" si="87"/>
        <v>2137.8174489258327</v>
      </c>
      <c r="K182" s="55">
        <f t="shared" ca="1" si="87"/>
        <v>2115.5783843682761</v>
      </c>
      <c r="L182" s="55">
        <f t="shared" ca="1" si="87"/>
        <v>2050.0310718499127</v>
      </c>
      <c r="M182" s="55">
        <f t="shared" ca="1" si="87"/>
        <v>2067.717127746505</v>
      </c>
      <c r="N182" s="55">
        <f t="shared" ca="1" si="87"/>
        <v>2137.5173035498897</v>
      </c>
      <c r="O182" s="55">
        <f t="shared" ca="1" si="87"/>
        <v>2196.5090206859768</v>
      </c>
      <c r="P182" s="55">
        <f t="shared" ca="1" si="87"/>
        <v>2228.2954805024892</v>
      </c>
      <c r="Q182" s="55">
        <f t="shared" ca="1" si="87"/>
        <v>2246.4812284912418</v>
      </c>
      <c r="R182" s="55">
        <f t="shared" ca="1" si="87"/>
        <v>2251.0807035105113</v>
      </c>
      <c r="S182" s="65">
        <f t="shared" ca="1" si="87"/>
        <v>2266.7409848339939</v>
      </c>
      <c r="T182" s="362"/>
      <c r="U182" s="362"/>
      <c r="V182" s="362"/>
      <c r="W182" s="362"/>
      <c r="X182" s="362"/>
      <c r="Y182" s="362"/>
      <c r="Z182" s="362"/>
      <c r="AA182" s="362"/>
      <c r="AB182" s="362"/>
      <c r="AC182" s="362"/>
      <c r="AD182" s="362"/>
      <c r="AE182" s="362"/>
      <c r="AF182" s="362"/>
      <c r="AG182" s="362"/>
      <c r="AH182" s="362"/>
      <c r="AI182" s="362"/>
      <c r="AJ182" s="362"/>
      <c r="AK182" s="362"/>
      <c r="AL182" s="362"/>
      <c r="AM182" s="362"/>
      <c r="AN182" s="362"/>
      <c r="AO182" s="362"/>
      <c r="AP182" s="362"/>
      <c r="AQ182" s="362"/>
      <c r="AR182" s="362"/>
      <c r="AS182" s="362"/>
      <c r="AT182" s="362"/>
      <c r="AU182" s="362"/>
      <c r="AV182" s="362"/>
      <c r="AW182" s="362"/>
      <c r="AX182" s="362"/>
    </row>
    <row r="183" spans="2:50">
      <c r="B183" s="64" t="str">
        <f t="shared" si="77"/>
        <v>GS 3,000 - 4,999</v>
      </c>
      <c r="C183" s="55">
        <f t="shared" ref="C183:S183" ca="1" si="88">C129/C138</f>
        <v>40668.453269227357</v>
      </c>
      <c r="D183" s="55">
        <f t="shared" ca="1" si="88"/>
        <v>45356.157142857141</v>
      </c>
      <c r="E183" s="55">
        <f t="shared" ca="1" si="88"/>
        <v>41503.861428571436</v>
      </c>
      <c r="F183" s="55">
        <f t="shared" ca="1" si="88"/>
        <v>43433.267142857141</v>
      </c>
      <c r="G183" s="55">
        <f t="shared" ca="1" si="88"/>
        <v>48998.124285714286</v>
      </c>
      <c r="H183" s="55">
        <f t="shared" ca="1" si="88"/>
        <v>45008.592265193372</v>
      </c>
      <c r="I183" s="55">
        <f t="shared" ca="1" si="88"/>
        <v>43102.55882926831</v>
      </c>
      <c r="J183" s="55">
        <f t="shared" ca="1" si="88"/>
        <v>46475.056551724127</v>
      </c>
      <c r="K183" s="55">
        <f t="shared" ca="1" si="88"/>
        <v>49337.467499999999</v>
      </c>
      <c r="L183" s="55">
        <f t="shared" ca="1" si="88"/>
        <v>47004.722500000003</v>
      </c>
      <c r="M183" s="55">
        <f t="shared" ca="1" si="88"/>
        <v>40504.370811755958</v>
      </c>
      <c r="N183" s="55">
        <f t="shared" ca="1" si="88"/>
        <v>35477.88982386858</v>
      </c>
      <c r="O183" s="55">
        <f t="shared" ca="1" si="88"/>
        <v>34494.265859117717</v>
      </c>
      <c r="P183" s="55">
        <f t="shared" ca="1" si="88"/>
        <v>35586.174147493919</v>
      </c>
      <c r="Q183" s="55">
        <f t="shared" ca="1" si="88"/>
        <v>36879.124531345544</v>
      </c>
      <c r="R183" s="55">
        <f t="shared" ca="1" si="88"/>
        <v>37824.43296417324</v>
      </c>
      <c r="S183" s="65">
        <f t="shared" ca="1" si="88"/>
        <v>38677.09329794423</v>
      </c>
      <c r="T183" s="362"/>
      <c r="U183" s="362"/>
      <c r="V183" s="362"/>
      <c r="W183" s="362"/>
      <c r="X183" s="362"/>
      <c r="Y183" s="362"/>
      <c r="Z183" s="362"/>
      <c r="AA183" s="362"/>
      <c r="AB183" s="362"/>
      <c r="AC183" s="362"/>
      <c r="AD183" s="362"/>
      <c r="AE183" s="362"/>
      <c r="AF183" s="362"/>
      <c r="AG183" s="362"/>
      <c r="AH183" s="362"/>
      <c r="AI183" s="362"/>
      <c r="AJ183" s="362"/>
      <c r="AK183" s="362"/>
      <c r="AL183" s="362"/>
      <c r="AM183" s="362"/>
      <c r="AN183" s="362"/>
      <c r="AO183" s="362"/>
      <c r="AP183" s="362"/>
      <c r="AQ183" s="362"/>
      <c r="AR183" s="362"/>
      <c r="AS183" s="362"/>
      <c r="AT183" s="362"/>
      <c r="AU183" s="362"/>
      <c r="AV183" s="362"/>
      <c r="AW183" s="362"/>
      <c r="AX183" s="362"/>
    </row>
    <row r="184" spans="2:50">
      <c r="B184" s="64" t="str">
        <f t="shared" si="77"/>
        <v>Large Use</v>
      </c>
      <c r="C184" s="55">
        <f t="shared" ref="C184:S184" ca="1" si="89">C130/C139</f>
        <v>142132.97040199128</v>
      </c>
      <c r="D184" s="55">
        <f t="shared" ca="1" si="89"/>
        <v>140586</v>
      </c>
      <c r="E184" s="55">
        <f t="shared" ca="1" si="89"/>
        <v>127622</v>
      </c>
      <c r="F184" s="55">
        <f t="shared" ca="1" si="89"/>
        <v>119446.02352941174</v>
      </c>
      <c r="G184" s="55">
        <f t="shared" ca="1" si="89"/>
        <v>108353.5</v>
      </c>
      <c r="H184" s="55">
        <f t="shared" ca="1" si="89"/>
        <v>113314.25</v>
      </c>
      <c r="I184" s="55">
        <f t="shared" ca="1" si="89"/>
        <v>120391.75</v>
      </c>
      <c r="J184" s="55">
        <f t="shared" ca="1" si="89"/>
        <v>122613</v>
      </c>
      <c r="K184" s="55">
        <f t="shared" ca="1" si="89"/>
        <v>114140.7588990826</v>
      </c>
      <c r="L184" s="55">
        <f t="shared" ca="1" si="89"/>
        <v>106502.018</v>
      </c>
      <c r="M184" s="55">
        <f t="shared" ca="1" si="89"/>
        <v>103852.6939785763</v>
      </c>
      <c r="N184" s="55">
        <f t="shared" ca="1" si="89"/>
        <v>100752.44363476604</v>
      </c>
      <c r="O184" s="55">
        <f t="shared" ca="1" si="89"/>
        <v>98275.634522929628</v>
      </c>
      <c r="P184" s="55">
        <f t="shared" ca="1" si="89"/>
        <v>104418.81604600586</v>
      </c>
      <c r="Q184" s="55">
        <f t="shared" ca="1" si="89"/>
        <v>113315.34055496023</v>
      </c>
      <c r="R184" s="55">
        <f t="shared" ca="1" si="89"/>
        <v>117567.15958877082</v>
      </c>
      <c r="S184" s="65">
        <f t="shared" ca="1" si="89"/>
        <v>119640.46345386159</v>
      </c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362"/>
      <c r="AT184" s="362"/>
      <c r="AU184" s="362"/>
      <c r="AV184" s="362"/>
      <c r="AW184" s="362"/>
      <c r="AX184" s="362"/>
    </row>
    <row r="185" spans="2:50">
      <c r="B185" s="64" t="str">
        <f t="shared" si="77"/>
        <v>Street Light</v>
      </c>
      <c r="C185" s="363">
        <f t="shared" ref="C185:S185" ca="1" si="90">C131/C140</f>
        <v>1.9633487196307287</v>
      </c>
      <c r="D185" s="363">
        <f t="shared" ca="1" si="90"/>
        <v>1.759612778084481</v>
      </c>
      <c r="E185" s="363">
        <f t="shared" ca="1" si="90"/>
        <v>1.5987107221161745</v>
      </c>
      <c r="F185" s="363">
        <f t="shared" ca="1" si="90"/>
        <v>1.2317741317441946</v>
      </c>
      <c r="G185" s="363">
        <f t="shared" ca="1" si="90"/>
        <v>1.0486810717207138</v>
      </c>
      <c r="H185" s="363">
        <f t="shared" ca="1" si="90"/>
        <v>0.92880472545788517</v>
      </c>
      <c r="I185" s="363">
        <f t="shared" ca="1" si="90"/>
        <v>0.90562798323377192</v>
      </c>
      <c r="J185" s="363">
        <f t="shared" ca="1" si="90"/>
        <v>0.89941817262078938</v>
      </c>
      <c r="K185" s="363">
        <f t="shared" ca="1" si="90"/>
        <v>0.90554140127388572</v>
      </c>
      <c r="L185" s="363">
        <f t="shared" ca="1" si="90"/>
        <v>0.9059660207680782</v>
      </c>
      <c r="M185" s="363">
        <f t="shared" ca="1" si="90"/>
        <v>0.90834184280194907</v>
      </c>
      <c r="N185" s="363">
        <f t="shared" ca="1" si="90"/>
        <v>0.90799059407858129</v>
      </c>
      <c r="O185" s="363">
        <f t="shared" ca="1" si="90"/>
        <v>0.90763846765707368</v>
      </c>
      <c r="P185" s="363">
        <f t="shared" ca="1" si="90"/>
        <v>0.90728546697699453</v>
      </c>
      <c r="Q185" s="363">
        <f t="shared" ca="1" si="90"/>
        <v>0.90693159552840585</v>
      </c>
      <c r="R185" s="363">
        <f t="shared" ca="1" si="90"/>
        <v>0.90657685685186895</v>
      </c>
      <c r="S185" s="364">
        <f t="shared" ca="1" si="90"/>
        <v>0.90622125453844327</v>
      </c>
      <c r="T185" s="362"/>
      <c r="U185" s="362"/>
      <c r="V185" s="362"/>
      <c r="W185" s="362"/>
      <c r="X185" s="362"/>
      <c r="Y185" s="362"/>
      <c r="Z185" s="362"/>
      <c r="AA185" s="362"/>
      <c r="AB185" s="362"/>
      <c r="AC185" s="362"/>
      <c r="AD185" s="362"/>
      <c r="AE185" s="362"/>
      <c r="AF185" s="362"/>
      <c r="AG185" s="362"/>
      <c r="AH185" s="362"/>
      <c r="AI185" s="362"/>
      <c r="AJ185" s="362"/>
      <c r="AK185" s="362"/>
      <c r="AL185" s="362"/>
      <c r="AM185" s="362"/>
      <c r="AN185" s="362"/>
      <c r="AO185" s="362"/>
      <c r="AP185" s="362"/>
      <c r="AQ185" s="362"/>
      <c r="AR185" s="362"/>
      <c r="AS185" s="362"/>
      <c r="AT185" s="362"/>
      <c r="AU185" s="362"/>
      <c r="AV185" s="362"/>
      <c r="AW185" s="362"/>
      <c r="AX185" s="362"/>
    </row>
    <row r="186" spans="2:50">
      <c r="B186" s="64" t="str">
        <f t="shared" si="77"/>
        <v>Sentinel Light</v>
      </c>
      <c r="C186" s="363">
        <f t="shared" ref="C186:S186" ca="1" si="91">C132/C141</f>
        <v>2.2958681963253693</v>
      </c>
      <c r="D186" s="363">
        <f t="shared" ca="1" si="91"/>
        <v>2.3138075313807533</v>
      </c>
      <c r="E186" s="363">
        <f t="shared" ca="1" si="91"/>
        <v>2.2096168950170174</v>
      </c>
      <c r="F186" s="363">
        <f t="shared" ca="1" si="91"/>
        <v>1.6937472671622213</v>
      </c>
      <c r="G186" s="363">
        <f t="shared" ca="1" si="91"/>
        <v>1.8863361547763007</v>
      </c>
      <c r="H186" s="363">
        <f t="shared" ca="1" si="91"/>
        <v>2.4441591784338894</v>
      </c>
      <c r="I186" s="363">
        <f t="shared" ca="1" si="91"/>
        <v>2.4137339055793996</v>
      </c>
      <c r="J186" s="363">
        <f t="shared" ca="1" si="91"/>
        <v>2.3805044890979046</v>
      </c>
      <c r="K186" s="363">
        <f t="shared" ca="1" si="91"/>
        <v>2.4235429890363536</v>
      </c>
      <c r="L186" s="363">
        <f t="shared" ca="1" si="91"/>
        <v>2.4140969162995591</v>
      </c>
      <c r="M186" s="363">
        <f t="shared" ca="1" si="91"/>
        <v>2.4352247988702653</v>
      </c>
      <c r="N186" s="363">
        <f t="shared" ca="1" si="91"/>
        <v>2.4329880483686845</v>
      </c>
      <c r="O186" s="363">
        <f t="shared" ca="1" si="91"/>
        <v>2.4307060028089391</v>
      </c>
      <c r="P186" s="363">
        <f t="shared" ca="1" si="91"/>
        <v>2.4283783475433616</v>
      </c>
      <c r="Q186" s="363">
        <f t="shared" ca="1" si="91"/>
        <v>2.4260047977587136</v>
      </c>
      <c r="R186" s="363">
        <f t="shared" ca="1" si="91"/>
        <v>2.42358510009104</v>
      </c>
      <c r="S186" s="364">
        <f t="shared" ca="1" si="91"/>
        <v>2.4211190342441382</v>
      </c>
      <c r="T186" s="362"/>
      <c r="U186" s="362"/>
      <c r="V186" s="362"/>
      <c r="W186" s="362"/>
      <c r="X186" s="362"/>
      <c r="Y186" s="362"/>
      <c r="Z186" s="362"/>
      <c r="AA186" s="362"/>
      <c r="AB186" s="362"/>
      <c r="AC186" s="362"/>
      <c r="AD186" s="362"/>
      <c r="AE186" s="362"/>
      <c r="AF186" s="362"/>
      <c r="AG186" s="362"/>
      <c r="AH186" s="362"/>
      <c r="AI186" s="362"/>
      <c r="AJ186" s="362"/>
      <c r="AK186" s="362"/>
      <c r="AL186" s="362"/>
      <c r="AM186" s="362"/>
      <c r="AN186" s="362"/>
      <c r="AO186" s="362"/>
      <c r="AP186" s="362"/>
      <c r="AQ186" s="362"/>
      <c r="AR186" s="362"/>
      <c r="AS186" s="362"/>
      <c r="AT186" s="362"/>
      <c r="AU186" s="362"/>
      <c r="AV186" s="362"/>
      <c r="AW186" s="362"/>
      <c r="AX186" s="362"/>
    </row>
    <row r="187" spans="2:50" ht="15.75" thickBot="1">
      <c r="B187" s="63" t="str">
        <f t="shared" si="77"/>
        <v>Total kW</v>
      </c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0"/>
      <c r="T187" s="362"/>
      <c r="U187" s="362"/>
      <c r="V187" s="362"/>
      <c r="W187" s="362"/>
      <c r="X187" s="362"/>
      <c r="Y187" s="362"/>
      <c r="Z187" s="362"/>
      <c r="AA187" s="362"/>
      <c r="AB187" s="362"/>
      <c r="AC187" s="362"/>
      <c r="AD187" s="362"/>
      <c r="AE187" s="362"/>
      <c r="AF187" s="362"/>
      <c r="AG187" s="362"/>
      <c r="AH187" s="362"/>
      <c r="AI187" s="362"/>
      <c r="AJ187" s="362"/>
      <c r="AK187" s="362"/>
      <c r="AL187" s="362"/>
      <c r="AM187" s="362"/>
      <c r="AN187" s="362"/>
      <c r="AO187" s="362"/>
      <c r="AP187" s="362"/>
      <c r="AQ187" s="362"/>
      <c r="AR187" s="362"/>
      <c r="AS187" s="362"/>
      <c r="AT187" s="362"/>
      <c r="AU187" s="362"/>
      <c r="AV187" s="362"/>
      <c r="AW187" s="362"/>
      <c r="AX187" s="362"/>
    </row>
    <row r="188" spans="2:50">
      <c r="B188" s="362"/>
      <c r="C188" s="362"/>
      <c r="D188" s="362"/>
      <c r="E188" s="362"/>
      <c r="F188" s="362"/>
      <c r="G188" s="362"/>
      <c r="H188" s="362"/>
      <c r="I188" s="362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  <c r="AA188" s="362"/>
      <c r="AB188" s="362"/>
      <c r="AC188" s="362"/>
      <c r="AD188" s="362"/>
      <c r="AE188" s="362"/>
      <c r="AF188" s="362"/>
      <c r="AG188" s="362"/>
      <c r="AH188" s="362"/>
      <c r="AI188" s="362"/>
      <c r="AJ188" s="362"/>
      <c r="AK188" s="362"/>
      <c r="AL188" s="362"/>
      <c r="AM188" s="362"/>
      <c r="AN188" s="362"/>
      <c r="AO188" s="362"/>
      <c r="AP188" s="362"/>
      <c r="AQ188" s="362"/>
      <c r="AR188" s="362"/>
      <c r="AS188" s="362"/>
      <c r="AT188" s="362"/>
      <c r="AU188" s="362"/>
      <c r="AV188" s="362"/>
      <c r="AW188" s="362"/>
      <c r="AX188" s="362"/>
    </row>
    <row r="189" spans="2:50">
      <c r="B189" s="362"/>
      <c r="C189" s="362"/>
      <c r="D189" s="362"/>
      <c r="E189" s="362"/>
      <c r="F189" s="362"/>
      <c r="G189" s="362"/>
      <c r="H189" s="362"/>
      <c r="I189" s="362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362"/>
      <c r="AJ189" s="362"/>
      <c r="AK189" s="362"/>
      <c r="AL189" s="362"/>
      <c r="AM189" s="362"/>
      <c r="AN189" s="362"/>
      <c r="AO189" s="362"/>
      <c r="AP189" s="362"/>
      <c r="AQ189" s="362"/>
      <c r="AR189" s="362"/>
      <c r="AS189" s="362"/>
      <c r="AT189" s="362"/>
      <c r="AU189" s="362"/>
      <c r="AV189" s="362"/>
      <c r="AW189" s="362"/>
      <c r="AX189" s="362"/>
    </row>
    <row r="190" spans="2:50" ht="16.5" thickBot="1">
      <c r="B190" s="71" t="s">
        <v>514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362"/>
      <c r="U190" s="362"/>
      <c r="V190" s="362"/>
      <c r="W190" s="362"/>
      <c r="X190" s="362"/>
      <c r="Y190" s="362"/>
      <c r="Z190" s="362"/>
      <c r="AA190" s="362"/>
      <c r="AB190" s="362"/>
      <c r="AC190" s="362"/>
      <c r="AD190" s="362"/>
      <c r="AE190" s="362"/>
      <c r="AF190" s="362"/>
      <c r="AG190" s="362"/>
      <c r="AH190" s="362"/>
      <c r="AI190" s="362"/>
      <c r="AJ190" s="362"/>
      <c r="AK190" s="362"/>
      <c r="AL190" s="362"/>
      <c r="AM190" s="362"/>
      <c r="AN190" s="362"/>
      <c r="AO190" s="362"/>
      <c r="AP190" s="362"/>
      <c r="AQ190" s="362"/>
      <c r="AR190" s="362"/>
      <c r="AS190" s="362"/>
      <c r="AT190" s="362"/>
      <c r="AU190" s="362"/>
      <c r="AV190" s="362"/>
      <c r="AW190" s="362"/>
      <c r="AX190" s="362"/>
    </row>
    <row r="191" spans="2:50" ht="25.5">
      <c r="B191" s="59" t="str">
        <f>B171</f>
        <v>kWh</v>
      </c>
      <c r="C191" s="58" t="str">
        <f t="shared" ref="C191:S191" si="92">C171</f>
        <v>2015 Actual</v>
      </c>
      <c r="D191" s="58" t="str">
        <f t="shared" si="92"/>
        <v>2016 Actual</v>
      </c>
      <c r="E191" s="58" t="str">
        <f t="shared" si="92"/>
        <v>2017 Actual</v>
      </c>
      <c r="F191" s="58" t="str">
        <f t="shared" si="92"/>
        <v>2018 Actual</v>
      </c>
      <c r="G191" s="58" t="str">
        <f t="shared" si="92"/>
        <v>2019 Actual</v>
      </c>
      <c r="H191" s="58" t="str">
        <f t="shared" si="92"/>
        <v>2020 Actual</v>
      </c>
      <c r="I191" s="58" t="str">
        <f t="shared" si="92"/>
        <v>2021 Actual</v>
      </c>
      <c r="J191" s="58" t="str">
        <f t="shared" si="92"/>
        <v>2022 Actual</v>
      </c>
      <c r="K191" s="58" t="str">
        <f t="shared" si="92"/>
        <v>2023 Actual</v>
      </c>
      <c r="L191" s="58" t="str">
        <f t="shared" si="92"/>
        <v>2024 Actual</v>
      </c>
      <c r="M191" s="58" t="str">
        <f t="shared" si="92"/>
        <v>2025 Forecast</v>
      </c>
      <c r="N191" s="58" t="str">
        <f t="shared" si="92"/>
        <v>2026 Forecast</v>
      </c>
      <c r="O191" s="58" t="str">
        <f t="shared" si="92"/>
        <v>2027 Forecast</v>
      </c>
      <c r="P191" s="58" t="str">
        <f t="shared" si="92"/>
        <v>2028 Forecast</v>
      </c>
      <c r="Q191" s="58" t="str">
        <f t="shared" si="92"/>
        <v>2029 Forecast</v>
      </c>
      <c r="R191" s="58" t="str">
        <f t="shared" si="92"/>
        <v>2030 Forecast</v>
      </c>
      <c r="S191" s="57" t="str">
        <f t="shared" si="92"/>
        <v>2031 Forecast</v>
      </c>
      <c r="T191" s="362"/>
      <c r="U191" s="362"/>
      <c r="V191" s="362"/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  <c r="AH191" s="362"/>
      <c r="AI191" s="362"/>
      <c r="AJ191" s="362"/>
      <c r="AK191" s="362"/>
      <c r="AL191" s="362"/>
      <c r="AM191" s="362"/>
      <c r="AN191" s="362"/>
      <c r="AO191" s="362"/>
      <c r="AP191" s="362"/>
      <c r="AQ191" s="362"/>
      <c r="AR191" s="362"/>
      <c r="AS191" s="362"/>
      <c r="AT191" s="362"/>
      <c r="AU191" s="362"/>
      <c r="AV191" s="362"/>
      <c r="AW191" s="362"/>
      <c r="AX191" s="362"/>
    </row>
    <row r="192" spans="2:50">
      <c r="B192" s="64" t="str">
        <f t="shared" ref="B192:B206" si="93">B172</f>
        <v>Residential</v>
      </c>
      <c r="C192" s="365"/>
      <c r="D192" s="365">
        <f ca="1">D172/C172-1</f>
        <v>9.5552811043756902E-2</v>
      </c>
      <c r="E192" s="365">
        <f t="shared" ref="D192:S200" ca="1" si="94">E172/D172-1</f>
        <v>-7.1885612032678847E-2</v>
      </c>
      <c r="F192" s="365">
        <f t="shared" ca="1" si="94"/>
        <v>7.3086557295874321E-2</v>
      </c>
      <c r="G192" s="365">
        <f t="shared" ca="1" si="94"/>
        <v>-4.3935555706413831E-2</v>
      </c>
      <c r="H192" s="365">
        <f t="shared" ca="1" si="94"/>
        <v>7.517754753266459E-2</v>
      </c>
      <c r="I192" s="365">
        <f t="shared" ca="1" si="94"/>
        <v>-1.6618324074243351E-2</v>
      </c>
      <c r="J192" s="365">
        <f t="shared" ca="1" si="94"/>
        <v>-2.0934318938845009E-2</v>
      </c>
      <c r="K192" s="365">
        <f t="shared" ca="1" si="94"/>
        <v>-2.240842779381802E-2</v>
      </c>
      <c r="L192" s="365">
        <f t="shared" ca="1" si="94"/>
        <v>2.9658185251605129E-2</v>
      </c>
      <c r="M192" s="365">
        <f t="shared" ca="1" si="94"/>
        <v>1.6271082150504546E-2</v>
      </c>
      <c r="N192" s="365">
        <f t="shared" ca="1" si="94"/>
        <v>1.1438410828423784E-4</v>
      </c>
      <c r="O192" s="365">
        <f t="shared" ca="1" si="94"/>
        <v>4.4823466771259923E-4</v>
      </c>
      <c r="P192" s="365">
        <f t="shared" ca="1" si="94"/>
        <v>8.062398428052564E-4</v>
      </c>
      <c r="Q192" s="365">
        <f t="shared" ca="1" si="94"/>
        <v>-5.0107164032986429E-4</v>
      </c>
      <c r="R192" s="365">
        <f t="shared" ca="1" si="94"/>
        <v>3.7848691280863989E-3</v>
      </c>
      <c r="S192" s="366">
        <f t="shared" ca="1" si="94"/>
        <v>3.1294588811339175E-3</v>
      </c>
      <c r="T192" s="362"/>
      <c r="U192" s="362"/>
      <c r="V192" s="362"/>
      <c r="W192" s="362"/>
      <c r="X192" s="362"/>
      <c r="Y192" s="362"/>
      <c r="Z192" s="362"/>
      <c r="AA192" s="362"/>
      <c r="AB192" s="362"/>
      <c r="AC192" s="362"/>
      <c r="AD192" s="362"/>
      <c r="AE192" s="362"/>
      <c r="AF192" s="362"/>
      <c r="AG192" s="362"/>
      <c r="AH192" s="362"/>
      <c r="AI192" s="362"/>
      <c r="AJ192" s="362"/>
      <c r="AK192" s="362"/>
      <c r="AL192" s="362"/>
      <c r="AM192" s="362"/>
      <c r="AN192" s="362"/>
      <c r="AO192" s="362"/>
      <c r="AP192" s="362"/>
      <c r="AQ192" s="362"/>
      <c r="AR192" s="362"/>
      <c r="AS192" s="362"/>
      <c r="AT192" s="362"/>
      <c r="AU192" s="362"/>
      <c r="AV192" s="362"/>
      <c r="AW192" s="362"/>
      <c r="AX192" s="362"/>
    </row>
    <row r="193" spans="2:50">
      <c r="B193" s="64" t="str">
        <f t="shared" si="93"/>
        <v>Residential Seasonal</v>
      </c>
      <c r="C193" s="365"/>
      <c r="D193" s="365">
        <f t="shared" ref="D193:R193" ca="1" si="95">D173/C173-1</f>
        <v>1.2756526663102452E-3</v>
      </c>
      <c r="E193" s="365">
        <f t="shared" ca="1" si="95"/>
        <v>5.0544841120984119E-2</v>
      </c>
      <c r="F193" s="365">
        <f t="shared" ca="1" si="95"/>
        <v>6.5134921621042841E-2</v>
      </c>
      <c r="G193" s="365">
        <f t="shared" ca="1" si="95"/>
        <v>3.622878649759409E-2</v>
      </c>
      <c r="H193" s="365">
        <f t="shared" ca="1" si="95"/>
        <v>0.14312771190755225</v>
      </c>
      <c r="I193" s="365">
        <f t="shared" ca="1" si="95"/>
        <v>1.8732229646233778E-2</v>
      </c>
      <c r="J193" s="365">
        <f t="shared" ca="1" si="95"/>
        <v>2.8358272558359765E-4</v>
      </c>
      <c r="K193" s="365">
        <f t="shared" ca="1" si="95"/>
        <v>-3.6076024865400291E-2</v>
      </c>
      <c r="L193" s="365">
        <f t="shared" ca="1" si="95"/>
        <v>5.2822882113470193E-3</v>
      </c>
      <c r="M193" s="365">
        <f t="shared" ca="1" si="95"/>
        <v>4.6168426379559424E-2</v>
      </c>
      <c r="N193" s="365">
        <f t="shared" ca="1" si="95"/>
        <v>3.5133359495168826E-2</v>
      </c>
      <c r="O193" s="365">
        <f t="shared" ca="1" si="95"/>
        <v>3.7273626090331469E-2</v>
      </c>
      <c r="P193" s="365">
        <f t="shared" ca="1" si="95"/>
        <v>3.0372536682703899E-2</v>
      </c>
      <c r="Q193" s="365">
        <f t="shared" ca="1" si="95"/>
        <v>3.3598468373564616E-2</v>
      </c>
      <c r="R193" s="365">
        <f t="shared" ca="1" si="95"/>
        <v>3.8027191176216668E-2</v>
      </c>
      <c r="S193" s="366">
        <f t="shared" ca="1" si="94"/>
        <v>3.2585754053399585E-2</v>
      </c>
      <c r="T193" s="362"/>
      <c r="U193" s="362"/>
      <c r="V193" s="362"/>
      <c r="W193" s="362"/>
      <c r="X193" s="362"/>
      <c r="Y193" s="362"/>
      <c r="Z193" s="362"/>
      <c r="AA193" s="362"/>
      <c r="AB193" s="362"/>
      <c r="AC193" s="362"/>
      <c r="AD193" s="362"/>
      <c r="AE193" s="362"/>
      <c r="AF193" s="362"/>
      <c r="AG193" s="362"/>
      <c r="AH193" s="362"/>
      <c r="AI193" s="362"/>
      <c r="AJ193" s="362"/>
      <c r="AK193" s="362"/>
      <c r="AL193" s="362"/>
      <c r="AM193" s="362"/>
      <c r="AN193" s="362"/>
      <c r="AO193" s="362"/>
      <c r="AP193" s="362"/>
      <c r="AQ193" s="362"/>
      <c r="AR193" s="362"/>
      <c r="AS193" s="362"/>
      <c r="AT193" s="362"/>
      <c r="AU193" s="362"/>
      <c r="AV193" s="362"/>
      <c r="AW193" s="362"/>
      <c r="AX193" s="362"/>
    </row>
    <row r="194" spans="2:50">
      <c r="B194" s="64" t="str">
        <f t="shared" si="93"/>
        <v>GS&lt;50</v>
      </c>
      <c r="C194" s="365"/>
      <c r="D194" s="365">
        <f t="shared" ca="1" si="94"/>
        <v>6.3421298140922788E-2</v>
      </c>
      <c r="E194" s="365">
        <f t="shared" ca="1" si="94"/>
        <v>-4.0806210233650275E-2</v>
      </c>
      <c r="F194" s="365">
        <f t="shared" ca="1" si="94"/>
        <v>1.973196378618014E-2</v>
      </c>
      <c r="G194" s="365">
        <f t="shared" ca="1" si="94"/>
        <v>8.3070824106388219E-3</v>
      </c>
      <c r="H194" s="365">
        <f t="shared" ca="1" si="94"/>
        <v>-8.7268321836876162E-2</v>
      </c>
      <c r="I194" s="365">
        <f t="shared" ca="1" si="94"/>
        <v>-6.9943459864335589E-3</v>
      </c>
      <c r="J194" s="365">
        <f t="shared" ca="1" si="94"/>
        <v>3.7317773632388862E-2</v>
      </c>
      <c r="K194" s="365">
        <f t="shared" ca="1" si="94"/>
        <v>-1.3537964619535048E-2</v>
      </c>
      <c r="L194" s="365">
        <f t="shared" ca="1" si="94"/>
        <v>-5.5660156366299285E-2</v>
      </c>
      <c r="M194" s="365">
        <f t="shared" ca="1" si="94"/>
        <v>7.6595337796125929E-2</v>
      </c>
      <c r="N194" s="365">
        <f t="shared" ca="1" si="94"/>
        <v>-8.0939919593681076E-3</v>
      </c>
      <c r="O194" s="365">
        <f t="shared" ca="1" si="94"/>
        <v>-5.5672688936420078E-3</v>
      </c>
      <c r="P194" s="365">
        <f t="shared" ca="1" si="94"/>
        <v>-9.9285484709563665E-3</v>
      </c>
      <c r="Q194" s="365">
        <f t="shared" ca="1" si="94"/>
        <v>-7.3757648125940545E-3</v>
      </c>
      <c r="R194" s="365">
        <f t="shared" ca="1" si="94"/>
        <v>-6.4886683964195946E-3</v>
      </c>
      <c r="S194" s="366">
        <f t="shared" ca="1" si="94"/>
        <v>-2.2358311706152101E-3</v>
      </c>
      <c r="T194" s="362"/>
      <c r="U194" s="362"/>
      <c r="V194" s="362"/>
      <c r="W194" s="362"/>
      <c r="X194" s="362"/>
      <c r="Y194" s="362"/>
      <c r="Z194" s="362"/>
      <c r="AA194" s="362"/>
      <c r="AB194" s="362"/>
      <c r="AC194" s="362"/>
      <c r="AD194" s="362"/>
      <c r="AE194" s="362"/>
      <c r="AF194" s="362"/>
      <c r="AG194" s="362"/>
      <c r="AH194" s="362"/>
      <c r="AI194" s="362"/>
      <c r="AJ194" s="362"/>
      <c r="AK194" s="362"/>
      <c r="AL194" s="362"/>
      <c r="AM194" s="362"/>
      <c r="AN194" s="362"/>
      <c r="AO194" s="362"/>
      <c r="AP194" s="362"/>
      <c r="AQ194" s="362"/>
      <c r="AR194" s="362"/>
      <c r="AS194" s="362"/>
      <c r="AT194" s="362"/>
    </row>
    <row r="195" spans="2:50">
      <c r="B195" s="64" t="str">
        <f t="shared" si="93"/>
        <v>GS 50 - 2,999</v>
      </c>
      <c r="C195" s="365"/>
      <c r="D195" s="365">
        <f t="shared" ca="1" si="94"/>
        <v>1.4844821018105803E-2</v>
      </c>
      <c r="E195" s="365">
        <f t="shared" ca="1" si="94"/>
        <v>-3.716524702473567E-2</v>
      </c>
      <c r="F195" s="365">
        <f t="shared" ca="1" si="94"/>
        <v>2.5155155665889106E-2</v>
      </c>
      <c r="G195" s="365">
        <f t="shared" ca="1" si="94"/>
        <v>-6.8848281950819601E-3</v>
      </c>
      <c r="H195" s="365">
        <f t="shared" ca="1" si="94"/>
        <v>-5.7177432507996229E-2</v>
      </c>
      <c r="I195" s="365">
        <f t="shared" ca="1" si="94"/>
        <v>-6.7730694664112079E-3</v>
      </c>
      <c r="J195" s="365">
        <f t="shared" ca="1" si="94"/>
        <v>3.4906692923458493E-2</v>
      </c>
      <c r="K195" s="365">
        <f t="shared" ca="1" si="94"/>
        <v>4.3728980192998534E-3</v>
      </c>
      <c r="L195" s="365">
        <f t="shared" ca="1" si="94"/>
        <v>1.2256002721577897E-2</v>
      </c>
      <c r="M195" s="365">
        <f t="shared" ca="1" si="94"/>
        <v>-3.8855975658589559E-2</v>
      </c>
      <c r="N195" s="365">
        <f t="shared" ca="1" si="94"/>
        <v>2.8601846846798784E-2</v>
      </c>
      <c r="O195" s="365">
        <f t="shared" ca="1" si="94"/>
        <v>2.2521008890892258E-2</v>
      </c>
      <c r="P195" s="365">
        <f t="shared" ca="1" si="94"/>
        <v>9.1540174689708209E-3</v>
      </c>
      <c r="Q195" s="365">
        <f t="shared" ca="1" si="94"/>
        <v>2.3376806510251313E-3</v>
      </c>
      <c r="R195" s="365">
        <f t="shared" ca="1" si="94"/>
        <v>-4.1591954198592074E-3</v>
      </c>
      <c r="S195" s="366">
        <f t="shared" ca="1" si="94"/>
        <v>9.9872711928417068E-4</v>
      </c>
      <c r="T195" s="362"/>
      <c r="U195" s="362"/>
      <c r="V195" s="362"/>
      <c r="W195" s="362"/>
      <c r="X195" s="362"/>
      <c r="Y195" s="362"/>
      <c r="Z195" s="362"/>
      <c r="AA195" s="362"/>
      <c r="AB195" s="362"/>
      <c r="AC195" s="362"/>
      <c r="AD195" s="362"/>
      <c r="AE195" s="362"/>
      <c r="AF195" s="362"/>
      <c r="AG195" s="362"/>
      <c r="AH195" s="362"/>
      <c r="AI195" s="362"/>
      <c r="AJ195" s="362"/>
      <c r="AK195" s="362"/>
      <c r="AL195" s="362"/>
      <c r="AM195" s="362"/>
      <c r="AN195" s="362"/>
      <c r="AO195" s="362"/>
      <c r="AP195" s="362"/>
      <c r="AQ195" s="362"/>
      <c r="AR195" s="362"/>
      <c r="AS195" s="362"/>
      <c r="AT195" s="362"/>
    </row>
    <row r="196" spans="2:50">
      <c r="B196" s="64" t="str">
        <f t="shared" si="93"/>
        <v>GS 3,000 - 4,999</v>
      </c>
      <c r="C196" s="365"/>
      <c r="D196" s="365">
        <f t="shared" ca="1" si="94"/>
        <v>7.3598408372383961E-3</v>
      </c>
      <c r="E196" s="365">
        <f t="shared" ca="1" si="94"/>
        <v>5.557486939171441E-2</v>
      </c>
      <c r="F196" s="365">
        <f t="shared" ca="1" si="94"/>
        <v>2.7357406759716651E-2</v>
      </c>
      <c r="G196" s="365">
        <f t="shared" ca="1" si="94"/>
        <v>0.10913623587802879</v>
      </c>
      <c r="H196" s="365">
        <f t="shared" ca="1" si="94"/>
        <v>-6.2737369161831702E-2</v>
      </c>
      <c r="I196" s="365">
        <f t="shared" ca="1" si="94"/>
        <v>-5.6649631072292039E-2</v>
      </c>
      <c r="J196" s="365">
        <f t="shared" ca="1" si="94"/>
        <v>6.8024265326029898E-2</v>
      </c>
      <c r="K196" s="365">
        <f t="shared" ca="1" si="94"/>
        <v>4.6391782991263675E-2</v>
      </c>
      <c r="L196" s="365">
        <f t="shared" ca="1" si="94"/>
        <v>-7.5895857461891092E-2</v>
      </c>
      <c r="M196" s="365">
        <f t="shared" ca="1" si="94"/>
        <v>-0.1133437105359687</v>
      </c>
      <c r="N196" s="365">
        <f t="shared" ca="1" si="94"/>
        <v>-0.13205759685049512</v>
      </c>
      <c r="O196" s="365">
        <f t="shared" ca="1" si="94"/>
        <v>-3.3968905334082478E-2</v>
      </c>
      <c r="P196" s="365">
        <f t="shared" ca="1" si="94"/>
        <v>2.5571083294584351E-2</v>
      </c>
      <c r="Q196" s="365">
        <f t="shared" ca="1" si="94"/>
        <v>3.035701982399841E-2</v>
      </c>
      <c r="R196" s="365">
        <f t="shared" ca="1" si="94"/>
        <v>2.0854273901920406E-2</v>
      </c>
      <c r="S196" s="366">
        <f t="shared" ca="1" si="94"/>
        <v>1.8098844985088958E-2</v>
      </c>
      <c r="T196" s="362"/>
      <c r="U196" s="362"/>
      <c r="V196" s="362"/>
      <c r="W196" s="362"/>
      <c r="X196" s="362"/>
      <c r="Y196" s="362"/>
      <c r="Z196" s="362"/>
      <c r="AA196" s="362"/>
      <c r="AB196" s="362"/>
      <c r="AC196" s="362"/>
      <c r="AD196" s="362"/>
      <c r="AE196" s="362"/>
      <c r="AF196" s="362"/>
      <c r="AG196" s="362"/>
      <c r="AH196" s="362"/>
      <c r="AI196" s="362"/>
      <c r="AJ196" s="362"/>
      <c r="AK196" s="362"/>
      <c r="AL196" s="362"/>
      <c r="AM196" s="362"/>
      <c r="AN196" s="362"/>
      <c r="AO196" s="362"/>
      <c r="AP196" s="362"/>
      <c r="AQ196" s="362"/>
      <c r="AR196" s="362"/>
      <c r="AS196" s="362"/>
      <c r="AT196" s="362"/>
    </row>
    <row r="197" spans="2:50">
      <c r="B197" s="64" t="str">
        <f t="shared" si="93"/>
        <v>Large Use</v>
      </c>
      <c r="C197" s="365"/>
      <c r="D197" s="365">
        <f t="shared" ca="1" si="94"/>
        <v>-0.13128254893215852</v>
      </c>
      <c r="E197" s="365">
        <f t="shared" ca="1" si="94"/>
        <v>3.734510034537486E-2</v>
      </c>
      <c r="F197" s="365">
        <f t="shared" ca="1" si="94"/>
        <v>-5.3192412822581248E-2</v>
      </c>
      <c r="G197" s="365">
        <f t="shared" ca="1" si="94"/>
        <v>-8.1422642881086582E-2</v>
      </c>
      <c r="H197" s="365">
        <f t="shared" ca="1" si="94"/>
        <v>1.7913476109242099E-2</v>
      </c>
      <c r="I197" s="365">
        <f t="shared" ca="1" si="94"/>
        <v>7.7833194864604494E-2</v>
      </c>
      <c r="J197" s="365">
        <f t="shared" ca="1" si="94"/>
        <v>1.5425998426011667E-2</v>
      </c>
      <c r="K197" s="365">
        <f t="shared" ca="1" si="94"/>
        <v>-7.4474975417741618E-2</v>
      </c>
      <c r="L197" s="365">
        <f t="shared" ca="1" si="94"/>
        <v>-3.7920933095925147E-2</v>
      </c>
      <c r="M197" s="365">
        <f t="shared" ca="1" si="94"/>
        <v>-4.8107007845118344E-2</v>
      </c>
      <c r="N197" s="365">
        <f t="shared" ca="1" si="94"/>
        <v>-3.3748243394193356E-2</v>
      </c>
      <c r="O197" s="365">
        <f t="shared" ca="1" si="94"/>
        <v>-3.1786278654406752E-2</v>
      </c>
      <c r="P197" s="365">
        <f t="shared" ca="1" si="94"/>
        <v>5.3120749708195802E-2</v>
      </c>
      <c r="Q197" s="365">
        <f t="shared" ca="1" si="94"/>
        <v>7.7036209132615774E-2</v>
      </c>
      <c r="R197" s="365">
        <f t="shared" ca="1" si="94"/>
        <v>3.0312240395703016E-2</v>
      </c>
      <c r="S197" s="366">
        <f t="shared" ca="1" si="94"/>
        <v>1.0962189158713498E-2</v>
      </c>
      <c r="T197" s="362"/>
      <c r="U197" s="362"/>
      <c r="V197" s="362"/>
      <c r="W197" s="362"/>
      <c r="X197" s="362"/>
      <c r="Y197" s="362"/>
      <c r="Z197" s="362"/>
      <c r="AA197" s="362"/>
      <c r="AB197" s="362"/>
      <c r="AC197" s="362"/>
      <c r="AD197" s="362"/>
      <c r="AE197" s="362"/>
      <c r="AF197" s="362"/>
      <c r="AG197" s="362"/>
      <c r="AH197" s="362"/>
      <c r="AI197" s="362"/>
      <c r="AJ197" s="362"/>
      <c r="AK197" s="362"/>
      <c r="AL197" s="362"/>
      <c r="AM197" s="362"/>
      <c r="AN197" s="362"/>
      <c r="AO197" s="362"/>
      <c r="AP197" s="362"/>
      <c r="AQ197" s="362"/>
      <c r="AR197" s="362"/>
      <c r="AS197" s="362"/>
      <c r="AT197" s="362"/>
    </row>
    <row r="198" spans="2:50">
      <c r="B198" s="64" t="str">
        <f t="shared" si="93"/>
        <v>Street Light</v>
      </c>
      <c r="C198" s="365"/>
      <c r="D198" s="365">
        <f t="shared" ca="1" si="94"/>
        <v>-9.3641336638553008E-2</v>
      </c>
      <c r="E198" s="365">
        <f t="shared" ca="1" si="94"/>
        <v>-0.10027493649540564</v>
      </c>
      <c r="F198" s="365">
        <f t="shared" ca="1" si="94"/>
        <v>-0.22699357964020628</v>
      </c>
      <c r="G198" s="365">
        <f t="shared" ca="1" si="94"/>
        <v>-0.14661511151818452</v>
      </c>
      <c r="H198" s="365">
        <f t="shared" ca="1" si="94"/>
        <v>-0.12627590808179467</v>
      </c>
      <c r="I198" s="365">
        <f t="shared" ca="1" si="94"/>
        <v>-3.6380137106098442E-2</v>
      </c>
      <c r="J198" s="365">
        <f t="shared" ca="1" si="94"/>
        <v>9.670947871857738E-3</v>
      </c>
      <c r="K198" s="365">
        <f t="shared" ca="1" si="94"/>
        <v>8.021729447397874E-3</v>
      </c>
      <c r="L198" s="365">
        <f t="shared" ca="1" si="94"/>
        <v>4.0809790503237853E-3</v>
      </c>
      <c r="M198" s="365">
        <f t="shared" ca="1" si="94"/>
        <v>-3.792122181006663E-4</v>
      </c>
      <c r="N198" s="365">
        <f t="shared" ca="1" si="94"/>
        <v>-3.8031006047656302E-4</v>
      </c>
      <c r="O198" s="365">
        <f t="shared" ca="1" si="94"/>
        <v>-3.8140542922782128E-4</v>
      </c>
      <c r="P198" s="365">
        <f t="shared" ca="1" si="94"/>
        <v>-3.8249826856051605E-4</v>
      </c>
      <c r="Q198" s="365">
        <f t="shared" ca="1" si="94"/>
        <v>-3.8358852253328468E-4</v>
      </c>
      <c r="R198" s="365">
        <f t="shared" ca="1" si="94"/>
        <v>-3.8467613506087961E-4</v>
      </c>
      <c r="S198" s="366">
        <f t="shared" ca="1" si="94"/>
        <v>-3.8576104992094074E-4</v>
      </c>
      <c r="T198" s="362"/>
      <c r="U198" s="362"/>
      <c r="V198" s="362"/>
      <c r="W198" s="362"/>
      <c r="X198" s="362"/>
      <c r="Y198" s="362"/>
      <c r="Z198" s="362"/>
      <c r="AA198" s="362"/>
      <c r="AB198" s="362"/>
      <c r="AC198" s="362"/>
      <c r="AD198" s="362"/>
      <c r="AE198" s="362"/>
      <c r="AF198" s="362"/>
      <c r="AG198" s="362"/>
      <c r="AH198" s="362"/>
      <c r="AI198" s="362"/>
      <c r="AJ198" s="362"/>
      <c r="AK198" s="362"/>
      <c r="AL198" s="362"/>
      <c r="AM198" s="362"/>
      <c r="AN198" s="362"/>
      <c r="AO198" s="362"/>
      <c r="AP198" s="362"/>
      <c r="AQ198" s="362"/>
      <c r="AR198" s="362"/>
      <c r="AS198" s="362"/>
      <c r="AT198" s="362"/>
    </row>
    <row r="199" spans="2:50">
      <c r="B199" s="64" t="str">
        <f t="shared" si="93"/>
        <v>Sentinel Light</v>
      </c>
      <c r="C199" s="365"/>
      <c r="D199" s="365">
        <f t="shared" ca="1" si="94"/>
        <v>1.0030223970272756E-2</v>
      </c>
      <c r="E199" s="365">
        <f t="shared" ca="1" si="94"/>
        <v>-4.3038059287961672E-2</v>
      </c>
      <c r="F199" s="365">
        <f t="shared" ca="1" si="94"/>
        <v>-0.2397018972587257</v>
      </c>
      <c r="G199" s="365">
        <f t="shared" ca="1" si="94"/>
        <v>0.11694774676617836</v>
      </c>
      <c r="H199" s="365">
        <f t="shared" ca="1" si="94"/>
        <v>0.29816420335224159</v>
      </c>
      <c r="I199" s="365">
        <f t="shared" ca="1" si="94"/>
        <v>-3.5325328645563481E-3</v>
      </c>
      <c r="J199" s="365">
        <f t="shared" ca="1" si="94"/>
        <v>-3.4070915719138117E-2</v>
      </c>
      <c r="K199" s="365">
        <f t="shared" ca="1" si="94"/>
        <v>2.2763161137905774E-2</v>
      </c>
      <c r="L199" s="365">
        <f t="shared" ca="1" si="94"/>
        <v>4.0075722385823909E-3</v>
      </c>
      <c r="M199" s="365">
        <f t="shared" ca="1" si="94"/>
        <v>2.8125743319808993E-3</v>
      </c>
      <c r="N199" s="365">
        <f t="shared" ca="1" si="94"/>
        <v>-1.1133784215694442E-3</v>
      </c>
      <c r="O199" s="365">
        <f t="shared" ca="1" si="94"/>
        <v>-1.1371908867318092E-3</v>
      </c>
      <c r="P199" s="365">
        <f t="shared" ca="1" si="94"/>
        <v>-1.1612397053940571E-3</v>
      </c>
      <c r="Q199" s="365">
        <f t="shared" ca="1" si="94"/>
        <v>-1.1855126029144403E-3</v>
      </c>
      <c r="R199" s="365">
        <f t="shared" ca="1" si="94"/>
        <v>-1.2099964683530695E-3</v>
      </c>
      <c r="S199" s="366">
        <f t="shared" ca="1" si="94"/>
        <v>-1.2346773422815538E-3</v>
      </c>
      <c r="T199" s="362"/>
      <c r="U199" s="362"/>
      <c r="V199" s="362"/>
      <c r="W199" s="362"/>
      <c r="X199" s="362"/>
      <c r="Y199" s="362"/>
      <c r="Z199" s="362"/>
      <c r="AA199" s="362"/>
      <c r="AB199" s="362"/>
      <c r="AC199" s="362"/>
      <c r="AD199" s="362"/>
      <c r="AE199" s="362"/>
      <c r="AF199" s="362"/>
      <c r="AG199" s="362"/>
      <c r="AH199" s="362"/>
      <c r="AI199" s="362"/>
      <c r="AJ199" s="362"/>
      <c r="AK199" s="362"/>
      <c r="AL199" s="362"/>
      <c r="AM199" s="362"/>
      <c r="AN199" s="362"/>
      <c r="AO199" s="362"/>
      <c r="AP199" s="362"/>
      <c r="AQ199" s="362"/>
      <c r="AR199" s="362"/>
      <c r="AS199" s="362"/>
      <c r="AT199" s="362"/>
    </row>
    <row r="200" spans="2:50">
      <c r="B200" s="64" t="str">
        <f t="shared" si="93"/>
        <v>USL</v>
      </c>
      <c r="C200" s="365"/>
      <c r="D200" s="365">
        <f t="shared" ca="1" si="94"/>
        <v>8.2842591702945167E-3</v>
      </c>
      <c r="E200" s="365">
        <f t="shared" ca="1" si="94"/>
        <v>8.1950786446682855E-4</v>
      </c>
      <c r="F200" s="365">
        <f t="shared" ca="1" si="94"/>
        <v>-2.6355782597196065E-3</v>
      </c>
      <c r="G200" s="365">
        <f t="shared" ca="1" si="94"/>
        <v>-8.2144809370001681E-3</v>
      </c>
      <c r="H200" s="365">
        <f t="shared" ca="1" si="94"/>
        <v>0.22707451606038176</v>
      </c>
      <c r="I200" s="365">
        <f t="shared" ca="1" si="94"/>
        <v>1.0862455559910389E-2</v>
      </c>
      <c r="J200" s="365">
        <f t="shared" ca="1" si="94"/>
        <v>-3.9420549439433961E-3</v>
      </c>
      <c r="K200" s="365">
        <f t="shared" ca="1" si="94"/>
        <v>-5.6752915536361082E-3</v>
      </c>
      <c r="L200" s="365">
        <f t="shared" ca="1" si="94"/>
        <v>2.6031599830699914E-2</v>
      </c>
      <c r="M200" s="365">
        <f t="shared" ca="1" si="94"/>
        <v>-9.2340314466154982E-4</v>
      </c>
      <c r="N200" s="365">
        <f t="shared" ca="1" si="94"/>
        <v>-9.0890704253143717E-4</v>
      </c>
      <c r="O200" s="365">
        <f t="shared" ca="1" si="94"/>
        <v>-9.1500083166196067E-4</v>
      </c>
      <c r="P200" s="365">
        <f t="shared" ca="1" si="94"/>
        <v>-9.2098886372316002E-4</v>
      </c>
      <c r="Q200" s="365">
        <f t="shared" ca="1" si="94"/>
        <v>-9.2686757475290982E-4</v>
      </c>
      <c r="R200" s="365">
        <f t="shared" ca="1" si="94"/>
        <v>-9.3263342968386009E-4</v>
      </c>
      <c r="S200" s="366">
        <f t="shared" ca="1" si="94"/>
        <v>-9.3828292650532941E-4</v>
      </c>
      <c r="T200" s="362"/>
      <c r="U200" s="362"/>
      <c r="V200" s="362"/>
      <c r="W200" s="362"/>
      <c r="X200" s="362"/>
      <c r="Y200" s="362"/>
      <c r="Z200" s="362"/>
      <c r="AA200" s="362"/>
      <c r="AB200" s="362"/>
      <c r="AC200" s="362"/>
      <c r="AD200" s="362"/>
      <c r="AE200" s="362"/>
      <c r="AF200" s="362"/>
      <c r="AG200" s="362"/>
      <c r="AH200" s="362"/>
      <c r="AI200" s="362"/>
      <c r="AJ200" s="362"/>
      <c r="AK200" s="362"/>
      <c r="AL200" s="362"/>
      <c r="AM200" s="362"/>
      <c r="AN200" s="362"/>
      <c r="AO200" s="362"/>
      <c r="AP200" s="362"/>
      <c r="AQ200" s="362"/>
      <c r="AR200" s="362"/>
      <c r="AS200" s="362"/>
      <c r="AT200" s="362"/>
    </row>
    <row r="201" spans="2:50" ht="15.75" thickBot="1">
      <c r="B201" s="63" t="str">
        <f t="shared" si="93"/>
        <v>Total kWh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0"/>
      <c r="T201" s="362"/>
      <c r="U201" s="362"/>
      <c r="V201" s="362"/>
      <c r="W201" s="362"/>
      <c r="X201" s="362"/>
      <c r="Y201" s="362"/>
      <c r="Z201" s="362"/>
      <c r="AA201" s="362"/>
      <c r="AB201" s="362"/>
      <c r="AC201" s="362"/>
      <c r="AD201" s="362"/>
      <c r="AE201" s="362"/>
      <c r="AF201" s="362"/>
      <c r="AG201" s="362"/>
      <c r="AH201" s="362"/>
      <c r="AI201" s="362"/>
      <c r="AJ201" s="362"/>
      <c r="AK201" s="362"/>
      <c r="AL201" s="362"/>
      <c r="AM201" s="362"/>
      <c r="AN201" s="362"/>
      <c r="AO201" s="362"/>
      <c r="AP201" s="362"/>
      <c r="AQ201" s="362"/>
      <c r="AR201" s="362"/>
      <c r="AS201" s="362"/>
      <c r="AT201" s="362"/>
    </row>
    <row r="202" spans="2:50">
      <c r="B202" s="64" t="str">
        <f t="shared" si="93"/>
        <v>GS 50 - 2,999</v>
      </c>
      <c r="C202" s="55"/>
      <c r="D202" s="365">
        <f ca="1">D182/C182-1</f>
        <v>2.6446062295610417E-2</v>
      </c>
      <c r="E202" s="365">
        <f t="shared" ref="E202:S202" ca="1" si="96">E182/D182-1</f>
        <v>-3.3850786490650098E-2</v>
      </c>
      <c r="F202" s="365">
        <f t="shared" ca="1" si="96"/>
        <v>1.4555255379505194E-2</v>
      </c>
      <c r="G202" s="365">
        <f t="shared" ca="1" si="96"/>
        <v>-1.0628966284347396E-2</v>
      </c>
      <c r="H202" s="365">
        <f t="shared" ca="1" si="96"/>
        <v>-4.2636560110780986E-2</v>
      </c>
      <c r="I202" s="365">
        <f t="shared" ca="1" si="96"/>
        <v>-1.7904760516188944E-2</v>
      </c>
      <c r="J202" s="365">
        <f t="shared" ca="1" si="96"/>
        <v>4.5701760045558482E-2</v>
      </c>
      <c r="K202" s="365">
        <f t="shared" ca="1" si="96"/>
        <v>-1.0402695781499327E-2</v>
      </c>
      <c r="L202" s="365">
        <f t="shared" ca="1" si="96"/>
        <v>-3.0983164227184279E-2</v>
      </c>
      <c r="M202" s="365">
        <f t="shared" ca="1" si="96"/>
        <v>8.6272135771252589E-3</v>
      </c>
      <c r="N202" s="365">
        <f t="shared" ca="1" si="96"/>
        <v>3.3757120288236075E-2</v>
      </c>
      <c r="O202" s="365">
        <f t="shared" ca="1" si="96"/>
        <v>2.7598240743182068E-2</v>
      </c>
      <c r="P202" s="365">
        <f t="shared" ca="1" si="96"/>
        <v>1.4471354097414624E-2</v>
      </c>
      <c r="Q202" s="365">
        <f t="shared" ca="1" si="96"/>
        <v>8.1612820866341362E-3</v>
      </c>
      <c r="R202" s="365">
        <f t="shared" ca="1" si="96"/>
        <v>2.0474130657919254E-3</v>
      </c>
      <c r="S202" s="366">
        <f t="shared" ca="1" si="96"/>
        <v>6.9567836013435524E-3</v>
      </c>
      <c r="T202" s="362"/>
      <c r="U202" s="362"/>
      <c r="V202" s="362"/>
      <c r="W202" s="362"/>
      <c r="X202" s="362"/>
      <c r="Y202" s="362"/>
      <c r="Z202" s="362"/>
      <c r="AA202" s="362"/>
      <c r="AB202" s="362"/>
      <c r="AC202" s="362"/>
      <c r="AD202" s="362"/>
      <c r="AE202" s="362"/>
      <c r="AF202" s="362"/>
      <c r="AG202" s="362"/>
      <c r="AH202" s="362"/>
      <c r="AI202" s="362"/>
      <c r="AJ202" s="362"/>
      <c r="AK202" s="362"/>
      <c r="AL202" s="362"/>
      <c r="AM202" s="362"/>
      <c r="AN202" s="362"/>
      <c r="AO202" s="362"/>
      <c r="AP202" s="362"/>
      <c r="AQ202" s="362"/>
      <c r="AR202" s="362"/>
      <c r="AS202" s="362"/>
      <c r="AT202" s="362"/>
    </row>
    <row r="203" spans="2:50">
      <c r="B203" s="64" t="str">
        <f t="shared" si="93"/>
        <v>GS 3,000 - 4,999</v>
      </c>
      <c r="C203" s="55"/>
      <c r="D203" s="365">
        <f t="shared" ref="D203:S203" ca="1" si="97">D183/C183-1</f>
        <v>0.11526634274967207</v>
      </c>
      <c r="E203" s="365">
        <f t="shared" ca="1" si="97"/>
        <v>-8.4934349754372418E-2</v>
      </c>
      <c r="F203" s="365">
        <f t="shared" ca="1" si="97"/>
        <v>4.6487378472150898E-2</v>
      </c>
      <c r="G203" s="365">
        <f t="shared" ca="1" si="97"/>
        <v>0.12812430445431766</v>
      </c>
      <c r="H203" s="365">
        <f t="shared" ca="1" si="97"/>
        <v>-8.1422137656891658E-2</v>
      </c>
      <c r="I203" s="365">
        <f t="shared" ca="1" si="97"/>
        <v>-4.2348212641146299E-2</v>
      </c>
      <c r="J203" s="365">
        <f t="shared" ca="1" si="97"/>
        <v>7.824356172946656E-2</v>
      </c>
      <c r="K203" s="365">
        <f t="shared" ca="1" si="97"/>
        <v>6.159026283464919E-2</v>
      </c>
      <c r="L203" s="365">
        <f t="shared" ca="1" si="97"/>
        <v>-4.728140940756631E-2</v>
      </c>
      <c r="M203" s="365">
        <f t="shared" ca="1" si="97"/>
        <v>-0.13829145971969192</v>
      </c>
      <c r="N203" s="365">
        <f t="shared" ca="1" si="97"/>
        <v>-0.12409724894253871</v>
      </c>
      <c r="O203" s="365">
        <f t="shared" ca="1" si="97"/>
        <v>-2.772498504375831E-2</v>
      </c>
      <c r="P203" s="365">
        <f t="shared" ca="1" si="97"/>
        <v>3.165477685003637E-2</v>
      </c>
      <c r="Q203" s="365">
        <f t="shared" ca="1" si="97"/>
        <v>3.6332941509608085E-2</v>
      </c>
      <c r="R203" s="365">
        <f t="shared" ca="1" si="97"/>
        <v>2.5632615872543951E-2</v>
      </c>
      <c r="S203" s="366">
        <f t="shared" ca="1" si="97"/>
        <v>2.254258073289872E-2</v>
      </c>
      <c r="T203" s="362"/>
      <c r="U203" s="362"/>
      <c r="V203" s="362"/>
      <c r="W203" s="362"/>
      <c r="X203" s="362"/>
      <c r="Y203" s="362"/>
      <c r="Z203" s="362"/>
      <c r="AA203" s="362"/>
      <c r="AB203" s="362"/>
      <c r="AC203" s="362"/>
      <c r="AD203" s="362"/>
      <c r="AE203" s="362"/>
      <c r="AF203" s="362"/>
      <c r="AG203" s="362"/>
      <c r="AH203" s="362"/>
      <c r="AI203" s="362"/>
      <c r="AJ203" s="362"/>
      <c r="AK203" s="362"/>
      <c r="AL203" s="362"/>
      <c r="AM203" s="362"/>
      <c r="AN203" s="362"/>
      <c r="AO203" s="362"/>
      <c r="AP203" s="362"/>
      <c r="AQ203" s="362"/>
      <c r="AR203" s="362"/>
      <c r="AS203" s="362"/>
      <c r="AT203" s="362"/>
    </row>
    <row r="204" spans="2:50">
      <c r="B204" s="64" t="str">
        <f t="shared" si="93"/>
        <v>Large Use</v>
      </c>
      <c r="C204" s="55"/>
      <c r="D204" s="365">
        <f t="shared" ref="D204:S204" ca="1" si="98">D184/C184-1</f>
        <v>-1.0883965892051761E-2</v>
      </c>
      <c r="E204" s="365">
        <f t="shared" ca="1" si="98"/>
        <v>-9.2214018465565539E-2</v>
      </c>
      <c r="F204" s="365">
        <f t="shared" ca="1" si="98"/>
        <v>-6.4064005191802775E-2</v>
      </c>
      <c r="G204" s="365">
        <f t="shared" ca="1" si="98"/>
        <v>-9.2866411134066573E-2</v>
      </c>
      <c r="H204" s="365">
        <f t="shared" ca="1" si="98"/>
        <v>4.5783015777063119E-2</v>
      </c>
      <c r="I204" s="365">
        <f t="shared" ca="1" si="98"/>
        <v>6.2459046412962183E-2</v>
      </c>
      <c r="J204" s="365">
        <f t="shared" ca="1" si="98"/>
        <v>1.8450184501844991E-2</v>
      </c>
      <c r="K204" s="365">
        <f t="shared" ca="1" si="98"/>
        <v>-6.9097413006103725E-2</v>
      </c>
      <c r="L204" s="365">
        <f t="shared" ca="1" si="98"/>
        <v>-6.692386639759762E-2</v>
      </c>
      <c r="M204" s="365">
        <f t="shared" ca="1" si="98"/>
        <v>-2.4875810535568421E-2</v>
      </c>
      <c r="N204" s="365">
        <f t="shared" ca="1" si="98"/>
        <v>-2.9852382495246688E-2</v>
      </c>
      <c r="O204" s="365">
        <f t="shared" ca="1" si="98"/>
        <v>-2.4583117019126632E-2</v>
      </c>
      <c r="P204" s="365">
        <f t="shared" ca="1" si="98"/>
        <v>6.2509711108941213E-2</v>
      </c>
      <c r="Q204" s="365">
        <f t="shared" ca="1" si="98"/>
        <v>8.5200396306300386E-2</v>
      </c>
      <c r="R204" s="365">
        <f t="shared" ca="1" si="98"/>
        <v>3.7522007285045067E-2</v>
      </c>
      <c r="S204" s="366">
        <f t="shared" ca="1" si="98"/>
        <v>1.7635059589283353E-2</v>
      </c>
      <c r="T204" s="362"/>
      <c r="U204" s="362"/>
      <c r="V204" s="362"/>
      <c r="W204" s="362"/>
      <c r="X204" s="362"/>
      <c r="Y204" s="362"/>
      <c r="Z204" s="362"/>
      <c r="AA204" s="362"/>
      <c r="AB204" s="362"/>
      <c r="AC204" s="362"/>
      <c r="AD204" s="362"/>
      <c r="AE204" s="362"/>
      <c r="AF204" s="362"/>
      <c r="AG204" s="362"/>
      <c r="AH204" s="362"/>
      <c r="AI204" s="362"/>
      <c r="AJ204" s="362"/>
      <c r="AK204" s="362"/>
      <c r="AL204" s="362"/>
      <c r="AM204" s="362"/>
      <c r="AN204" s="362"/>
      <c r="AO204" s="362"/>
      <c r="AP204" s="362"/>
      <c r="AQ204" s="362"/>
      <c r="AR204" s="362"/>
      <c r="AS204" s="362"/>
      <c r="AT204" s="362"/>
    </row>
    <row r="205" spans="2:50">
      <c r="B205" s="64" t="str">
        <f t="shared" si="93"/>
        <v>Street Light</v>
      </c>
      <c r="C205" s="363"/>
      <c r="D205" s="365">
        <f t="shared" ref="D205:S206" ca="1" si="99">D185/C185-1</f>
        <v>-0.10376961540717367</v>
      </c>
      <c r="E205" s="365">
        <f t="shared" ca="1" si="99"/>
        <v>-9.1441741030924395E-2</v>
      </c>
      <c r="F205" s="365">
        <f t="shared" ca="1" si="99"/>
        <v>-0.22952031614967516</v>
      </c>
      <c r="G205" s="365">
        <f t="shared" ca="1" si="99"/>
        <v>-0.14864174795116103</v>
      </c>
      <c r="H205" s="365">
        <f t="shared" ca="1" si="99"/>
        <v>-0.11431153807909511</v>
      </c>
      <c r="I205" s="365">
        <f t="shared" ca="1" si="99"/>
        <v>-2.4953299212261748E-2</v>
      </c>
      <c r="J205" s="365">
        <f t="shared" ca="1" si="99"/>
        <v>-6.8569111466817434E-3</v>
      </c>
      <c r="K205" s="365">
        <f t="shared" ca="1" si="99"/>
        <v>6.807988585836533E-3</v>
      </c>
      <c r="L205" s="365">
        <f t="shared" ca="1" si="99"/>
        <v>4.6891229224321762E-4</v>
      </c>
      <c r="M205" s="365">
        <f t="shared" ca="1" si="99"/>
        <v>2.6224184786276528E-3</v>
      </c>
      <c r="N205" s="365">
        <f t="shared" ca="1" si="99"/>
        <v>-3.8669221962106537E-4</v>
      </c>
      <c r="O205" s="365">
        <f t="shared" ca="1" si="99"/>
        <v>-3.8780844625918576E-4</v>
      </c>
      <c r="P205" s="365">
        <f t="shared" ca="1" si="99"/>
        <v>-3.8892212335417398E-4</v>
      </c>
      <c r="Q205" s="365">
        <f t="shared" ca="1" si="99"/>
        <v>-3.9003319403729808E-4</v>
      </c>
      <c r="R205" s="365">
        <f t="shared" ca="1" si="99"/>
        <v>-3.9114160129161135E-4</v>
      </c>
      <c r="S205" s="366">
        <f t="shared" ca="1" si="99"/>
        <v>-3.9224728795805852E-4</v>
      </c>
      <c r="T205" s="362"/>
      <c r="U205" s="362"/>
      <c r="V205" s="362"/>
      <c r="W205" s="362"/>
      <c r="X205" s="362"/>
      <c r="Y205" s="362"/>
      <c r="Z205" s="362"/>
      <c r="AA205" s="362"/>
      <c r="AB205" s="362"/>
      <c r="AC205" s="362"/>
      <c r="AD205" s="362"/>
      <c r="AE205" s="362"/>
      <c r="AF205" s="362"/>
      <c r="AG205" s="362"/>
      <c r="AH205" s="362"/>
      <c r="AI205" s="362"/>
      <c r="AJ205" s="362"/>
      <c r="AK205" s="362"/>
      <c r="AL205" s="362"/>
      <c r="AM205" s="362"/>
      <c r="AN205" s="362"/>
      <c r="AO205" s="362"/>
      <c r="AP205" s="362"/>
      <c r="AQ205" s="362"/>
      <c r="AR205" s="362"/>
      <c r="AS205" s="362"/>
      <c r="AT205" s="362"/>
    </row>
    <row r="206" spans="2:50">
      <c r="B206" s="64" t="str">
        <f t="shared" si="93"/>
        <v>Sentinel Light</v>
      </c>
      <c r="C206" s="363"/>
      <c r="D206" s="365">
        <f t="shared" ca="1" si="99"/>
        <v>7.8137477944495437E-3</v>
      </c>
      <c r="E206" s="365">
        <f t="shared" ca="1" si="99"/>
        <v>-4.5029949531524172E-2</v>
      </c>
      <c r="F206" s="365">
        <f t="shared" ca="1" si="99"/>
        <v>-0.23346564240079415</v>
      </c>
      <c r="G206" s="365">
        <f t="shared" ca="1" si="99"/>
        <v>0.11370579976595407</v>
      </c>
      <c r="H206" s="365">
        <f t="shared" ca="1" si="99"/>
        <v>0.29571771831078575</v>
      </c>
      <c r="I206" s="365">
        <f t="shared" ca="1" si="99"/>
        <v>-1.2448155227756108E-2</v>
      </c>
      <c r="J206" s="365">
        <f t="shared" ca="1" si="99"/>
        <v>-1.3766810171031874E-2</v>
      </c>
      <c r="K206" s="365">
        <f t="shared" ca="1" si="99"/>
        <v>1.8079571005034545E-2</v>
      </c>
      <c r="L206" s="365">
        <f t="shared" ca="1" si="99"/>
        <v>-3.8976295363963853E-3</v>
      </c>
      <c r="M206" s="365">
        <f t="shared" ca="1" si="99"/>
        <v>8.7518783641429287E-3</v>
      </c>
      <c r="N206" s="365">
        <f t="shared" ca="1" si="99"/>
        <v>-9.1849857254178158E-4</v>
      </c>
      <c r="O206" s="365">
        <f t="shared" ca="1" si="99"/>
        <v>-9.3796003694945895E-4</v>
      </c>
      <c r="P206" s="365">
        <f t="shared" ca="1" si="99"/>
        <v>-9.5760460659899405E-4</v>
      </c>
      <c r="Q206" s="365">
        <f t="shared" ca="1" si="99"/>
        <v>-9.7742173786430353E-4</v>
      </c>
      <c r="R206" s="365">
        <f t="shared" ca="1" si="99"/>
        <v>-9.9740019884098086E-4</v>
      </c>
      <c r="S206" s="366">
        <f t="shared" ca="1" si="99"/>
        <v>-1.0175280607267467E-3</v>
      </c>
    </row>
    <row r="207" spans="2:50" ht="15.75" thickBot="1">
      <c r="B207" s="63" t="str">
        <f>B187</f>
        <v>Total kW</v>
      </c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0"/>
    </row>
  </sheetData>
  <pageMargins left="0.7" right="0.7" top="0.75" bottom="0.75" header="0.3" footer="0.3"/>
  <ignoredErrors>
    <ignoredError sqref="C118:S118 C127:S127 C133:S133" formula="1"/>
  </ignoredError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AE85-2B59-4C8F-8AF4-39601CB70C0C}">
  <sheetPr codeName="Sheet61">
    <tabColor rgb="FFFF0000"/>
  </sheetPr>
  <dimension ref="B1:U138"/>
  <sheetViews>
    <sheetView workbookViewId="0">
      <selection activeCell="L23" sqref="L23"/>
    </sheetView>
  </sheetViews>
  <sheetFormatPr defaultColWidth="8.42578125" defaultRowHeight="12.75"/>
  <cols>
    <col min="1" max="1" width="2.5703125" style="92" customWidth="1"/>
    <col min="2" max="2" width="23.42578125" style="92" bestFit="1" customWidth="1"/>
    <col min="3" max="5" width="12.5703125" style="92" bestFit="1" customWidth="1"/>
    <col min="6" max="6" width="14.5703125" style="92" bestFit="1" customWidth="1"/>
    <col min="7" max="7" width="13" style="92" bestFit="1" customWidth="1"/>
    <col min="8" max="8" width="12.5703125" style="92" bestFit="1" customWidth="1"/>
    <col min="9" max="9" width="13.140625" style="92" bestFit="1" customWidth="1"/>
    <col min="10" max="10" width="13.140625" style="92" customWidth="1"/>
    <col min="11" max="11" width="14.42578125" style="92" customWidth="1"/>
    <col min="12" max="12" width="13.42578125" style="92" customWidth="1"/>
    <col min="13" max="13" width="13" style="92" bestFit="1" customWidth="1"/>
    <col min="14" max="14" width="14.42578125" style="92" customWidth="1"/>
    <col min="15" max="15" width="14" style="92" customWidth="1"/>
    <col min="16" max="16" width="13.5703125" style="92" customWidth="1"/>
    <col min="17" max="19" width="13" style="92" bestFit="1" customWidth="1"/>
    <col min="20" max="20" width="16.140625" style="92" customWidth="1"/>
    <col min="21" max="21" width="10" style="92" bestFit="1" customWidth="1"/>
    <col min="22" max="16384" width="8.42578125" style="92"/>
  </cols>
  <sheetData>
    <row r="1" spans="2:21" ht="16.5" thickBot="1">
      <c r="B1" s="71" t="s">
        <v>449</v>
      </c>
    </row>
    <row r="2" spans="2:21">
      <c r="B2" s="70" t="s">
        <v>178</v>
      </c>
      <c r="C2" s="69" t="s">
        <v>476</v>
      </c>
      <c r="D2" s="69" t="s">
        <v>477</v>
      </c>
      <c r="E2" s="69" t="s">
        <v>478</v>
      </c>
      <c r="F2" s="69" t="s">
        <v>479</v>
      </c>
      <c r="G2" s="69" t="s">
        <v>480</v>
      </c>
      <c r="H2" s="69" t="s">
        <v>481</v>
      </c>
      <c r="I2" s="69" t="s">
        <v>482</v>
      </c>
      <c r="J2" s="69" t="s">
        <v>483</v>
      </c>
      <c r="K2" s="69" t="s">
        <v>484</v>
      </c>
      <c r="L2" s="69" t="s">
        <v>528</v>
      </c>
      <c r="M2" s="69" t="s">
        <v>195</v>
      </c>
      <c r="N2" s="69" t="s">
        <v>196</v>
      </c>
      <c r="O2" s="69" t="s">
        <v>487</v>
      </c>
      <c r="P2" s="69" t="s">
        <v>488</v>
      </c>
      <c r="Q2" s="69" t="s">
        <v>489</v>
      </c>
      <c r="R2" s="69" t="s">
        <v>490</v>
      </c>
      <c r="S2" s="67" t="s">
        <v>491</v>
      </c>
    </row>
    <row r="3" spans="2:21">
      <c r="B3" s="66" t="str">
        <f>'Total Additional'!C4</f>
        <v>Residential</v>
      </c>
      <c r="C3" s="55">
        <f ca="1">OFFSET('Normalized Annual Summary'!$J$14,COLUMN()-COLUMN($K3),0)</f>
        <v>909266185.97185385</v>
      </c>
      <c r="D3" s="55">
        <f ca="1">OFFSET('Normalized Annual Summary'!$J$14,COLUMN()-COLUMN($K3),0)</f>
        <v>922555373.18513787</v>
      </c>
      <c r="E3" s="55">
        <f ca="1">OFFSET('Normalized Annual Summary'!$J$14,COLUMN()-COLUMN($K3),0)</f>
        <v>922758187.25840759</v>
      </c>
      <c r="F3" s="55">
        <f ca="1">OFFSET('Normalized Annual Summary'!$J$14,COLUMN()-COLUMN($K3),0)</f>
        <v>933139851.59645271</v>
      </c>
      <c r="G3" s="55">
        <f ca="1">OFFSET('Normalized Annual Summary'!$J$14,COLUMN()-COLUMN($K3),0)</f>
        <v>951107940.18205774</v>
      </c>
      <c r="H3" s="55">
        <f ca="1">OFFSET('Normalized Annual Summary'!$J$14,COLUMN()-COLUMN($K3),0)</f>
        <v>1002622507.3840976</v>
      </c>
      <c r="I3" s="55">
        <f ca="1">OFFSET('Normalized Annual Summary'!$J$14,COLUMN()-COLUMN($K3),0)</f>
        <v>1024179328.0293525</v>
      </c>
      <c r="J3" s="55">
        <f ca="1">OFFSET('Normalized Annual Summary'!$J$14,COLUMN()-COLUMN($K3),0)</f>
        <v>1034919844.9658777</v>
      </c>
      <c r="K3" s="55">
        <f ca="1">OFFSET('Normalized Annual Summary'!$J$14,COLUMN()-COLUMN($K3),0)</f>
        <v>1045583847.0129473</v>
      </c>
      <c r="L3" s="55">
        <f ca="1">OFFSET('Normalized Annual Summary'!$J$14,COLUMN()-COLUMN($K3),0)</f>
        <v>1072021454.190488</v>
      </c>
      <c r="M3" s="55">
        <f ca="1">OFFSET('Normalized Annual Summary'!$J$14,COLUMN()-COLUMN($K3),0)</f>
        <v>1100921521.969846</v>
      </c>
      <c r="N3" s="55">
        <f ca="1">OFFSET('Normalized Annual Summary'!$J$14,COLUMN()-COLUMN($K3),0)</f>
        <v>1130955558.6094716</v>
      </c>
      <c r="O3" s="55">
        <f ca="1">OFFSET('Normalized Annual Summary'!$J$14,COLUMN()-COLUMN($K3),0)</f>
        <v>1162149247.7623448</v>
      </c>
      <c r="P3" s="55">
        <f ca="1">OFFSET('Normalized Annual Summary'!$J$14,COLUMN()-COLUMN($K3),0)</f>
        <v>1195939031.6201279</v>
      </c>
      <c r="Q3" s="55">
        <f ca="1">OFFSET('Normalized Annual Summary'!$J$14,COLUMN()-COLUMN($K3),0)</f>
        <v>1227873384.2322893</v>
      </c>
      <c r="R3" s="55">
        <f ca="1">OFFSET('Normalized Annual Summary'!$J$14,COLUMN()-COLUMN($K3),0)</f>
        <v>1265926072.510371</v>
      </c>
      <c r="S3" s="65">
        <f ca="1">OFFSET('Normalized Annual Summary'!$J$14,COLUMN()-COLUMN($K3),0)</f>
        <v>1305916275.3578732</v>
      </c>
      <c r="T3" s="55"/>
    </row>
    <row r="4" spans="2:21">
      <c r="B4" s="64" t="str">
        <f>'Total Additional'!C5</f>
        <v>Residential Seasonal</v>
      </c>
      <c r="C4" s="55">
        <f ca="1">OFFSET('Normalized Annual Summary'!$T$14,COLUMN()-COLUMN($K4),0)</f>
        <v>8964951.7157241087</v>
      </c>
      <c r="D4" s="55">
        <f ca="1">OFFSET('Normalized Annual Summary'!$T$14,COLUMN()-COLUMN($K4),0)</f>
        <v>9295758.711955959</v>
      </c>
      <c r="E4" s="55">
        <f ca="1">OFFSET('Normalized Annual Summary'!$T$14,COLUMN()-COLUMN($K4),0)</f>
        <v>9446280.6071286649</v>
      </c>
      <c r="F4" s="55">
        <f ca="1">OFFSET('Normalized Annual Summary'!$T$14,COLUMN()-COLUMN($K4),0)</f>
        <v>9730170.5480127409</v>
      </c>
      <c r="G4" s="55">
        <f ca="1">OFFSET('Normalized Annual Summary'!$T$14,COLUMN()-COLUMN($K4),0)</f>
        <v>10103167.762959503</v>
      </c>
      <c r="H4" s="55">
        <f ca="1">OFFSET('Normalized Annual Summary'!$T$14,COLUMN()-COLUMN($K4),0)</f>
        <v>11427622.785318363</v>
      </c>
      <c r="I4" s="55">
        <f ca="1">OFFSET('Normalized Annual Summary'!$T$14,COLUMN()-COLUMN($K4),0)</f>
        <v>11949841.907106293</v>
      </c>
      <c r="J4" s="55">
        <f ca="1">OFFSET('Normalized Annual Summary'!$T$14,COLUMN()-COLUMN($K4),0)</f>
        <v>11955885.961284323</v>
      </c>
      <c r="K4" s="55">
        <f ca="1">OFFSET('Normalized Annual Summary'!$T$14,COLUMN()-COLUMN($K4),0)</f>
        <v>11859436.314662673</v>
      </c>
      <c r="L4" s="55">
        <f ca="1">OFFSET('Normalized Annual Summary'!$T$14,COLUMN()-COLUMN($K4),0)</f>
        <v>12348786.74589261</v>
      </c>
      <c r="M4" s="55">
        <f ca="1">OFFSET('Normalized Annual Summary'!$T$14,COLUMN()-COLUMN($K4),0)</f>
        <v>12834574.130133457</v>
      </c>
      <c r="N4" s="55">
        <f ca="1">OFFSET('Normalized Annual Summary'!$T$14,COLUMN()-COLUMN($K4),0)</f>
        <v>13347474.341764932</v>
      </c>
      <c r="O4" s="55">
        <f ca="1">OFFSET('Normalized Annual Summary'!$T$14,COLUMN()-COLUMN($K4),0)</f>
        <v>13910847.33473875</v>
      </c>
      <c r="P4" s="55">
        <f ca="1">OFFSET('Normalized Annual Summary'!$T$14,COLUMN()-COLUMN($K4),0)</f>
        <v>14405233.530786896</v>
      </c>
      <c r="Q4" s="55">
        <f ca="1">OFFSET('Normalized Annual Summary'!$T$14,COLUMN()-COLUMN($K4),0)</f>
        <v>14963929.886097709</v>
      </c>
      <c r="R4" s="55">
        <f ca="1">OFFSET('Normalized Annual Summary'!$T$14,COLUMN()-COLUMN($K4),0)</f>
        <v>15608901.039753584</v>
      </c>
      <c r="S4" s="65">
        <f ca="1">OFFSET('Normalized Annual Summary'!$T$14,COLUMN()-COLUMN($K4),0)</f>
        <v>16199482.1583005</v>
      </c>
      <c r="T4" s="55"/>
    </row>
    <row r="5" spans="2:21">
      <c r="B5" s="64" t="str">
        <f>'Total Additional'!C6</f>
        <v>GS&lt;50</v>
      </c>
      <c r="C5" s="55">
        <f ca="1">OFFSET('Normalized Annual Summary'!$AD$14,COLUMN()-COLUMN($K5),0)</f>
        <v>278568440.89979368</v>
      </c>
      <c r="D5" s="55">
        <f ca="1">OFFSET('Normalized Annual Summary'!$AD$14,COLUMN()-COLUMN($K5),0)</f>
        <v>277482228.81864136</v>
      </c>
      <c r="E5" s="55">
        <f ca="1">OFFSET('Normalized Annual Summary'!$AD$14,COLUMN()-COLUMN($K5),0)</f>
        <v>276930458.08712184</v>
      </c>
      <c r="F5" s="55">
        <f ca="1">OFFSET('Normalized Annual Summary'!$AD$14,COLUMN()-COLUMN($K5),0)</f>
        <v>275119103.12723571</v>
      </c>
      <c r="G5" s="55">
        <f ca="1">OFFSET('Normalized Annual Summary'!$AD$14,COLUMN()-COLUMN($K5),0)</f>
        <v>274334621.16990894</v>
      </c>
      <c r="H5" s="55">
        <f ca="1">OFFSET('Normalized Annual Summary'!$AD$14,COLUMN()-COLUMN($K5),0)</f>
        <v>255568180.58832818</v>
      </c>
      <c r="I5" s="55">
        <f ca="1">OFFSET('Normalized Annual Summary'!$AD$14,COLUMN()-COLUMN($K5),0)</f>
        <v>258851455.7103456</v>
      </c>
      <c r="J5" s="55">
        <f ca="1">OFFSET('Normalized Annual Summary'!$AD$14,COLUMN()-COLUMN($K5),0)</f>
        <v>270528523.6118961</v>
      </c>
      <c r="K5" s="55">
        <f ca="1">OFFSET('Normalized Annual Summary'!$AD$14,COLUMN()-COLUMN($K5),0)</f>
        <v>281055491.60902649</v>
      </c>
      <c r="L5" s="55">
        <f ca="1">OFFSET('Normalized Annual Summary'!$AD$14,COLUMN()-COLUMN($K5),0)</f>
        <v>282858836.65561378</v>
      </c>
      <c r="M5" s="55">
        <f ca="1">OFFSET('Normalized Annual Summary'!$AD$14,COLUMN()-COLUMN($K5),0)</f>
        <v>286756279.47506201</v>
      </c>
      <c r="N5" s="55">
        <f ca="1">OFFSET('Normalized Annual Summary'!$AD$14,COLUMN()-COLUMN($K5),0)</f>
        <v>290654087.43456149</v>
      </c>
      <c r="O5" s="55">
        <f ca="1">OFFSET('Normalized Annual Summary'!$AD$14,COLUMN()-COLUMN($K5),0)</f>
        <v>295409951.03434849</v>
      </c>
      <c r="P5" s="55">
        <f ca="1">OFFSET('Normalized Annual Summary'!$AD$14,COLUMN()-COLUMN($K5),0)</f>
        <v>299067202.93199492</v>
      </c>
      <c r="Q5" s="55">
        <f ca="1">OFFSET('Normalized Annual Summary'!$AD$14,COLUMN()-COLUMN($K5),0)</f>
        <v>303636023.41424274</v>
      </c>
      <c r="R5" s="55">
        <f ca="1">OFFSET('Normalized Annual Summary'!$AD$14,COLUMN()-COLUMN($K5),0)</f>
        <v>308589835.18093765</v>
      </c>
      <c r="S5" s="65">
        <f ca="1">OFFSET('Normalized Annual Summary'!$AD$14,COLUMN()-COLUMN($K5),0)</f>
        <v>315198313.98346817</v>
      </c>
      <c r="T5" s="55"/>
    </row>
    <row r="6" spans="2:21">
      <c r="B6" s="64" t="str">
        <f>'Total Additional'!C7</f>
        <v>GS 50 - 2,999</v>
      </c>
      <c r="C6" s="55">
        <f ca="1">OFFSET('Normalized Annual Summary'!$AN$14,COLUMN()-COLUMN($K6),0)</f>
        <v>943320237.06339586</v>
      </c>
      <c r="D6" s="55">
        <f ca="1">OFFSET('Normalized Annual Summary'!$AN$14,COLUMN()-COLUMN($K6),0)</f>
        <v>943132075.24501574</v>
      </c>
      <c r="E6" s="55">
        <f ca="1">OFFSET('Normalized Annual Summary'!$AN$14,COLUMN()-COLUMN($K6),0)</f>
        <v>943645866.39452398</v>
      </c>
      <c r="F6" s="55">
        <f ca="1">OFFSET('Normalized Annual Summary'!$AN$14,COLUMN()-COLUMN($K6),0)</f>
        <v>948155046.66902041</v>
      </c>
      <c r="G6" s="55">
        <f ca="1">OFFSET('Normalized Annual Summary'!$AN$14,COLUMN()-COLUMN($K6),0)</f>
        <v>945077070.96542311</v>
      </c>
      <c r="H6" s="55">
        <f ca="1">OFFSET('Normalized Annual Summary'!$AN$14,COLUMN()-COLUMN($K6),0)</f>
        <v>889542122.28068078</v>
      </c>
      <c r="I6" s="55">
        <f ca="1">OFFSET('Normalized Annual Summary'!$AN$14,COLUMN()-COLUMN($K6),0)</f>
        <v>922657456.54871857</v>
      </c>
      <c r="J6" s="55">
        <f ca="1">OFFSET('Normalized Annual Summary'!$AN$14,COLUMN()-COLUMN($K6),0)</f>
        <v>938204098.4046998</v>
      </c>
      <c r="K6" s="55">
        <f ca="1">OFFSET('Normalized Annual Summary'!$AN$14,COLUMN()-COLUMN($K6),0)</f>
        <v>939133262.1881988</v>
      </c>
      <c r="L6" s="55">
        <f ca="1">OFFSET('Normalized Annual Summary'!$AN$14,COLUMN()-COLUMN($K6),0)</f>
        <v>935562053.74613178</v>
      </c>
      <c r="M6" s="55">
        <f ca="1">OFFSET('Normalized Annual Summary'!$AN$14,COLUMN()-COLUMN($K6),0)</f>
        <v>956730420.57967591</v>
      </c>
      <c r="N6" s="55">
        <f ca="1">OFFSET('Normalized Annual Summary'!$AN$14,COLUMN()-COLUMN($K6),0)</f>
        <v>1009274580.4096613</v>
      </c>
      <c r="O6" s="55">
        <f ca="1">OFFSET('Normalized Annual Summary'!$AN$14,COLUMN()-COLUMN($K6),0)</f>
        <v>1058827298.8922802</v>
      </c>
      <c r="P6" s="55">
        <f ca="1">OFFSET('Normalized Annual Summary'!$AN$14,COLUMN()-COLUMN($K6),0)</f>
        <v>1093637917.7943132</v>
      </c>
      <c r="Q6" s="55">
        <f ca="1">OFFSET('Normalized Annual Summary'!$AN$14,COLUMN()-COLUMN($K6),0)</f>
        <v>1116514669.0380874</v>
      </c>
      <c r="R6" s="55">
        <f ca="1">OFFSET('Normalized Annual Summary'!$AN$14,COLUMN()-COLUMN($K6),0)</f>
        <v>1133994827.0036874</v>
      </c>
      <c r="S6" s="65">
        <f ca="1">OFFSET('Normalized Annual Summary'!$AN$14,COLUMN()-COLUMN($K6),0)</f>
        <v>1161164064.1494517</v>
      </c>
      <c r="T6" s="55"/>
    </row>
    <row r="7" spans="2:21">
      <c r="B7" s="64" t="str">
        <f>'Total Additional'!C8</f>
        <v>GS 3,000 - 4,999</v>
      </c>
      <c r="C7" s="55">
        <f ca="1">OFFSET('Normalized Annual Summary'!$AY$14,COLUMN()-COLUMN($K7),0)</f>
        <v>84896095.623584554</v>
      </c>
      <c r="D7" s="55">
        <f ca="1">OFFSET('Normalized Annual Summary'!$AY$14,COLUMN()-COLUMN($K7),0)</f>
        <v>86941951.361680239</v>
      </c>
      <c r="E7" s="55">
        <f ca="1">OFFSET('Normalized Annual Summary'!$AY$14,COLUMN()-COLUMN($K7),0)</f>
        <v>89445749.188194692</v>
      </c>
      <c r="F7" s="55">
        <f ca="1">OFFSET('Normalized Annual Summary'!$AY$14,COLUMN()-COLUMN($K7),0)</f>
        <v>92303148.327011585</v>
      </c>
      <c r="G7" s="55">
        <f ca="1">OFFSET('Normalized Annual Summary'!$AY$14,COLUMN()-COLUMN($K7),0)</f>
        <v>94541183.20302844</v>
      </c>
      <c r="H7" s="55">
        <f ca="1">OFFSET('Normalized Annual Summary'!$AY$14,COLUMN()-COLUMN($K7),0)</f>
        <v>88872272.370965421</v>
      </c>
      <c r="I7" s="55">
        <f ca="1">OFFSET('Normalized Annual Summary'!$AY$14,COLUMN()-COLUMN($K7),0)</f>
        <v>95121604.925970703</v>
      </c>
      <c r="J7" s="55">
        <f ca="1">OFFSET('Normalized Annual Summary'!$AY$14,COLUMN()-COLUMN($K7),0)</f>
        <v>99626145.325411141</v>
      </c>
      <c r="K7" s="55">
        <f ca="1">OFFSET('Normalized Annual Summary'!$AY$14,COLUMN()-COLUMN($K7),0)</f>
        <v>101725108.28833295</v>
      </c>
      <c r="L7" s="55">
        <f ca="1">OFFSET('Normalized Annual Summary'!$AY$14,COLUMN()-COLUMN($K7),0)</f>
        <v>103098436.38779709</v>
      </c>
      <c r="M7" s="55">
        <f ca="1">OFFSET('Normalized Annual Summary'!$AY$14,COLUMN()-COLUMN($K7),0)</f>
        <v>125282808.39052375</v>
      </c>
      <c r="N7" s="55">
        <f ca="1">OFFSET('Normalized Annual Summary'!$AY$14,COLUMN()-COLUMN($K7),0)</f>
        <v>167021119.35500461</v>
      </c>
      <c r="O7" s="55">
        <f ca="1">OFFSET('Normalized Annual Summary'!$AY$14,COLUMN()-COLUMN($K7),0)</f>
        <v>191058679.49353778</v>
      </c>
      <c r="P7" s="55">
        <f ca="1">OFFSET('Normalized Annual Summary'!$AY$14,COLUMN()-COLUMN($K7),0)</f>
        <v>200413892.0398683</v>
      </c>
      <c r="Q7" s="55">
        <f ca="1">OFFSET('Normalized Annual Summary'!$AY$14,COLUMN()-COLUMN($K7),0)</f>
        <v>206693582.05160493</v>
      </c>
      <c r="R7" s="55">
        <f ca="1">OFFSET('Normalized Annual Summary'!$AY$14,COLUMN()-COLUMN($K7),0)</f>
        <v>212162972.40803963</v>
      </c>
      <c r="S7" s="65">
        <f ca="1">OFFSET('Normalized Annual Summary'!$AY$14,COLUMN()-COLUMN($K7),0)</f>
        <v>217920349.56035179</v>
      </c>
      <c r="T7" s="55"/>
    </row>
    <row r="8" spans="2:21">
      <c r="B8" s="64" t="str">
        <f>'Total Additional'!C9</f>
        <v>Large Use</v>
      </c>
      <c r="C8" s="55">
        <f ca="1">OFFSET('Normalized Annual Summary'!$BJ$14,COLUMN()-COLUMN($K8),0)</f>
        <v>216570438.9793556</v>
      </c>
      <c r="D8" s="55">
        <f ca="1">OFFSET('Normalized Annual Summary'!$BJ$14,COLUMN()-COLUMN($K8),0)</f>
        <v>226727336.38278434</v>
      </c>
      <c r="E8" s="55">
        <f ca="1">OFFSET('Normalized Annual Summary'!$BJ$14,COLUMN()-COLUMN($K8),0)</f>
        <v>240553057.51885092</v>
      </c>
      <c r="F8" s="55">
        <f ca="1">OFFSET('Normalized Annual Summary'!$BJ$14,COLUMN()-COLUMN($K8),0)</f>
        <v>253989024.03521276</v>
      </c>
      <c r="G8" s="55">
        <f ca="1">OFFSET('Normalized Annual Summary'!$BJ$14,COLUMN()-COLUMN($K8),0)</f>
        <v>265866750.78735611</v>
      </c>
      <c r="H8" s="55">
        <f ca="1">OFFSET('Normalized Annual Summary'!$BJ$14,COLUMN()-COLUMN($K8),0)</f>
        <v>256607713.98383373</v>
      </c>
      <c r="I8" s="55">
        <f ca="1">OFFSET('Normalized Annual Summary'!$BJ$14,COLUMN()-COLUMN($K8),0)</f>
        <v>291845501.28238231</v>
      </c>
      <c r="J8" s="55">
        <f ca="1">OFFSET('Normalized Annual Summary'!$BJ$14,COLUMN()-COLUMN($K8),0)</f>
        <v>307286347.86862731</v>
      </c>
      <c r="K8" s="55">
        <f ca="1">OFFSET('Normalized Annual Summary'!$BJ$14,COLUMN()-COLUMN($K8),0)</f>
        <v>307878492.81700319</v>
      </c>
      <c r="L8" s="55">
        <f ca="1">OFFSET('Normalized Annual Summary'!$BJ$14,COLUMN()-COLUMN($K8),0)</f>
        <v>314713652.61928004</v>
      </c>
      <c r="M8" s="55">
        <f ca="1">OFFSET('Normalized Annual Summary'!$BJ$14,COLUMN()-COLUMN($K8),0)</f>
        <v>338004940.25230598</v>
      </c>
      <c r="N8" s="55">
        <f ca="1">OFFSET('Normalized Annual Summary'!$BJ$14,COLUMN()-COLUMN($K8),0)</f>
        <v>373570916.05862993</v>
      </c>
      <c r="O8" s="55">
        <f ca="1">OFFSET('Normalized Annual Summary'!$BJ$14,COLUMN()-COLUMN($K8),0)</f>
        <v>428923191.76795107</v>
      </c>
      <c r="P8" s="55">
        <f ca="1">OFFSET('Normalized Annual Summary'!$BJ$14,COLUMN()-COLUMN($K8),0)</f>
        <v>530841633.0666129</v>
      </c>
      <c r="Q8" s="55">
        <f ca="1">OFFSET('Normalized Annual Summary'!$BJ$14,COLUMN()-COLUMN($K8),0)</f>
        <v>610486596.59660208</v>
      </c>
      <c r="R8" s="55">
        <f ca="1">OFFSET('Normalized Annual Summary'!$BJ$14,COLUMN()-COLUMN($K8),0)</f>
        <v>645516919.45869923</v>
      </c>
      <c r="S8" s="65">
        <f ca="1">OFFSET('Normalized Annual Summary'!$BJ$14,COLUMN()-COLUMN($K8),0)</f>
        <v>667506562.35148895</v>
      </c>
      <c r="T8" s="55"/>
    </row>
    <row r="9" spans="2:21">
      <c r="B9" s="64" t="s">
        <v>193</v>
      </c>
      <c r="C9" s="55">
        <f ca="1">OFFSET('Normalized Annual Summary'!$BQ$14,COLUMN()-COLUMN($K9),0)</f>
        <v>21466090.209724449</v>
      </c>
      <c r="D9" s="55">
        <f ca="1">OFFSET('Normalized Annual Summary'!$BQ$14,COLUMN()-COLUMN($K9),0)</f>
        <v>21694274.73</v>
      </c>
      <c r="E9" s="55">
        <f ca="1">OFFSET('Normalized Annual Summary'!$BQ$14,COLUMN()-COLUMN($K9),0)</f>
        <v>20460691.740000002</v>
      </c>
      <c r="F9" s="55">
        <f ca="1">OFFSET('Normalized Annual Summary'!$BQ$14,COLUMN()-COLUMN($K9),0)</f>
        <v>16161422.92</v>
      </c>
      <c r="G9" s="55">
        <f ca="1">OFFSET('Normalized Annual Summary'!$BQ$14,COLUMN()-COLUMN($K9),0)</f>
        <v>13788944.16</v>
      </c>
      <c r="H9" s="55">
        <f ca="1">OFFSET('Normalized Annual Summary'!$BQ$14,COLUMN()-COLUMN($K9),0)</f>
        <v>11924083.520000001</v>
      </c>
      <c r="I9" s="55">
        <f ca="1">OFFSET('Normalized Annual Summary'!$BQ$14,COLUMN()-COLUMN($K9),0)</f>
        <v>11682342.399999999</v>
      </c>
      <c r="J9" s="55">
        <f ca="1">OFFSET('Normalized Annual Summary'!$BQ$14,COLUMN()-COLUMN($K9),0)</f>
        <v>11643673.439999999</v>
      </c>
      <c r="K9" s="55">
        <f ca="1">OFFSET('Normalized Annual Summary'!$BQ$14,COLUMN()-COLUMN($K9),0)</f>
        <v>11868526.83</v>
      </c>
      <c r="L9" s="55">
        <f ca="1">OFFSET('Normalized Annual Summary'!$BQ$14,COLUMN()-COLUMN($K9),0)</f>
        <v>12144394.529999999</v>
      </c>
      <c r="M9" s="55">
        <f ca="1">OFFSET('Normalized Annual Summary'!$BQ$14,COLUMN()-COLUMN($K9),0)</f>
        <v>12269224.120433811</v>
      </c>
      <c r="N9" s="55">
        <f ca="1">OFFSET('Normalized Annual Summary'!$BQ$14,COLUMN()-COLUMN($K9),0)</f>
        <v>12395336.807082044</v>
      </c>
      <c r="O9" s="55">
        <f ca="1">OFFSET('Normalized Annual Summary'!$BQ$14,COLUMN()-COLUMN($K9),0)</f>
        <v>12522745.778611662</v>
      </c>
      <c r="P9" s="55">
        <f ca="1">OFFSET('Normalized Annual Summary'!$BQ$14,COLUMN()-COLUMN($K9),0)</f>
        <v>12651464.359253068</v>
      </c>
      <c r="Q9" s="55">
        <f ca="1">OFFSET('Normalized Annual Summary'!$BQ$14,COLUMN()-COLUMN($K9),0)</f>
        <v>12781506.01019353</v>
      </c>
      <c r="R9" s="55">
        <f ca="1">OFFSET('Normalized Annual Summary'!$BQ$14,COLUMN()-COLUMN($K9),0)</f>
        <v>12912884.330984939</v>
      </c>
      <c r="S9" s="65">
        <f ca="1">OFFSET('Normalized Annual Summary'!$BQ$14,COLUMN()-COLUMN($K9),0)</f>
        <v>13045613.060966017</v>
      </c>
      <c r="T9" s="55"/>
    </row>
    <row r="10" spans="2:21">
      <c r="B10" s="64" t="s">
        <v>396</v>
      </c>
      <c r="C10" s="55">
        <f ca="1">OFFSET('Normalized Annual Summary'!$BX$14,COLUMN()-COLUMN($K10),0)</f>
        <v>116055.18000000001</v>
      </c>
      <c r="D10" s="55">
        <f ca="1">OFFSET('Normalized Annual Summary'!$BX$14,COLUMN()-COLUMN($K10),0)</f>
        <v>156261.63999999998</v>
      </c>
      <c r="E10" s="55">
        <f ca="1">OFFSET('Normalized Annual Summary'!$BX$14,COLUMN()-COLUMN($K10),0)</f>
        <v>311450.02999999997</v>
      </c>
      <c r="F10" s="55">
        <f ca="1">OFFSET('Normalized Annual Summary'!$BX$14,COLUMN()-COLUMN($K10),0)</f>
        <v>247862.16999999995</v>
      </c>
      <c r="G10" s="55">
        <f ca="1">OFFSET('Normalized Annual Summary'!$BX$14,COLUMN()-COLUMN($K10),0)</f>
        <v>229776.43000000002</v>
      </c>
      <c r="H10" s="55">
        <f ca="1">OFFSET('Normalized Annual Summary'!$BX$14,COLUMN()-COLUMN($K10),0)</f>
        <v>229649.84000000003</v>
      </c>
      <c r="I10" s="55">
        <f ca="1">OFFSET('Normalized Annual Summary'!$BX$14,COLUMN()-COLUMN($K10),0)</f>
        <v>227251.3</v>
      </c>
      <c r="J10" s="55">
        <f ca="1">OFFSET('Normalized Annual Summary'!$BX$14,COLUMN()-COLUMN($K10),0)</f>
        <v>216445.25</v>
      </c>
      <c r="K10" s="55">
        <f ca="1">OFFSET('Normalized Annual Summary'!$BX$14,COLUMN()-COLUMN($K10),0)</f>
        <v>218811.02999999997</v>
      </c>
      <c r="L10" s="55">
        <f ca="1">OFFSET('Normalized Annual Summary'!$BX$14,COLUMN()-COLUMN($K10),0)</f>
        <v>216725.99999999994</v>
      </c>
      <c r="M10" s="55">
        <f ca="1">OFFSET('Normalized Annual Summary'!$BX$14,COLUMN()-COLUMN($K10),0)</f>
        <v>213059.04438813563</v>
      </c>
      <c r="N10" s="55">
        <f ca="1">OFFSET('Normalized Annual Summary'!$BX$14,COLUMN()-COLUMN($K10),0)</f>
        <v>209454.13284786118</v>
      </c>
      <c r="O10" s="55">
        <f ca="1">OFFSET('Normalized Annual Summary'!$BX$14,COLUMN()-COLUMN($K10),0)</f>
        <v>205910.21560731487</v>
      </c>
      <c r="P10" s="55">
        <f ca="1">OFFSET('Normalized Annual Summary'!$BX$14,COLUMN()-COLUMN($K10),0)</f>
        <v>202426.26065654092</v>
      </c>
      <c r="Q10" s="55">
        <f ca="1">OFFSET('Normalized Annual Summary'!$BX$14,COLUMN()-COLUMN($K10),0)</f>
        <v>199001.25344696196</v>
      </c>
      <c r="R10" s="55">
        <f ca="1">OFFSET('Normalized Annual Summary'!$BX$14,COLUMN()-COLUMN($K10),0)</f>
        <v>195634.19659593637</v>
      </c>
      <c r="S10" s="65">
        <f ca="1">OFFSET('Normalized Annual Summary'!$BX$14,COLUMN()-COLUMN($K10),0)</f>
        <v>192324.10959631458</v>
      </c>
      <c r="T10" s="55"/>
    </row>
    <row r="11" spans="2:21">
      <c r="B11" s="64" t="s">
        <v>64</v>
      </c>
      <c r="C11" s="55">
        <f ca="1">OFFSET('Normalized Annual Summary'!$CE$14,COLUMN()-COLUMN($K11),0)</f>
        <v>5083749.959999999</v>
      </c>
      <c r="D11" s="55">
        <f ca="1">OFFSET('Normalized Annual Summary'!$CE$14,COLUMN()-COLUMN($K11),0)</f>
        <v>4975743.38</v>
      </c>
      <c r="E11" s="55">
        <f ca="1">OFFSET('Normalized Annual Summary'!$CE$14,COLUMN()-COLUMN($K11),0)</f>
        <v>4919673.07</v>
      </c>
      <c r="F11" s="55">
        <f ca="1">OFFSET('Normalized Annual Summary'!$CE$14,COLUMN()-COLUMN($K11),0)</f>
        <v>4890679</v>
      </c>
      <c r="G11" s="55">
        <f ca="1">OFFSET('Normalized Annual Summary'!$CE$14,COLUMN()-COLUMN($K11),0)</f>
        <v>4846041.4799999995</v>
      </c>
      <c r="H11" s="55">
        <f ca="1">OFFSET('Normalized Annual Summary'!$CE$14,COLUMN()-COLUMN($K11),0)</f>
        <v>4814697.32</v>
      </c>
      <c r="I11" s="55">
        <f ca="1">OFFSET('Normalized Annual Summary'!$CE$14,COLUMN()-COLUMN($K11),0)</f>
        <v>4782281.78</v>
      </c>
      <c r="J11" s="55">
        <f ca="1">OFFSET('Normalized Annual Summary'!$CE$14,COLUMN()-COLUMN($K11),0)</f>
        <v>4773215.28</v>
      </c>
      <c r="K11" s="55">
        <f ca="1">OFFSET('Normalized Annual Summary'!$CE$14,COLUMN()-COLUMN($K11),0)</f>
        <v>4755033.3099999996</v>
      </c>
      <c r="L11" s="55">
        <f ca="1">OFFSET('Normalized Annual Summary'!$CE$14,COLUMN()-COLUMN($K11),0)</f>
        <v>4744114.4700000007</v>
      </c>
      <c r="M11" s="55">
        <f ca="1">OFFSET('Normalized Annual Summary'!$CE$14,COLUMN()-COLUMN($K11),0)</f>
        <v>4568421.3099587467</v>
      </c>
      <c r="N11" s="55">
        <f ca="1">OFFSET('Normalized Annual Summary'!$CE$14,COLUMN()-COLUMN($K11),0)</f>
        <v>4505369.3749406869</v>
      </c>
      <c r="O11" s="55">
        <f ca="1">OFFSET('Normalized Annual Summary'!$CE$14,COLUMN()-COLUMN($K11),0)</f>
        <v>4443187.6631879052</v>
      </c>
      <c r="P11" s="55">
        <f ca="1">OFFSET('Normalized Annual Summary'!$CE$14,COLUMN()-COLUMN($K11),0)</f>
        <v>4381864.1641486054</v>
      </c>
      <c r="Q11" s="55">
        <f ca="1">OFFSET('Normalized Annual Summary'!$CE$14,COLUMN()-COLUMN($K11),0)</f>
        <v>4321387.0330369044</v>
      </c>
      <c r="R11" s="55">
        <f ca="1">OFFSET('Normalized Annual Summary'!$CE$14,COLUMN()-COLUMN($K11),0)</f>
        <v>4261744.5885449816</v>
      </c>
      <c r="S11" s="65">
        <f ca="1">OFFSET('Normalized Annual Summary'!$CE$14,COLUMN()-COLUMN($K11),0)</f>
        <v>4202925.3105868073</v>
      </c>
      <c r="T11" s="55"/>
    </row>
    <row r="12" spans="2:21" ht="13.5" thickBot="1">
      <c r="B12" s="63" t="s">
        <v>65</v>
      </c>
      <c r="C12" s="62">
        <f t="shared" ref="C12:R12" ca="1" si="0">SUM(C3:C11)</f>
        <v>2468252245.6034322</v>
      </c>
      <c r="D12" s="62">
        <f t="shared" ca="1" si="0"/>
        <v>2492961003.4552155</v>
      </c>
      <c r="E12" s="62">
        <f t="shared" ca="1" si="0"/>
        <v>2508471413.894228</v>
      </c>
      <c r="F12" s="62">
        <f ca="1">SUM(F3:F11)</f>
        <v>2533736308.3929462</v>
      </c>
      <c r="G12" s="62">
        <f t="shared" ca="1" si="0"/>
        <v>2559895496.1407332</v>
      </c>
      <c r="H12" s="62">
        <f t="shared" ca="1" si="0"/>
        <v>2521608850.0732245</v>
      </c>
      <c r="I12" s="62">
        <f t="shared" ca="1" si="0"/>
        <v>2621297063.8838763</v>
      </c>
      <c r="J12" s="62">
        <f t="shared" ca="1" si="0"/>
        <v>2679154180.1077967</v>
      </c>
      <c r="K12" s="62">
        <f t="shared" ca="1" si="0"/>
        <v>2704078009.4001713</v>
      </c>
      <c r="L12" s="62">
        <f t="shared" ref="L12" ca="1" si="1">SUM(L3:L11)</f>
        <v>2737708455.3452029</v>
      </c>
      <c r="M12" s="61">
        <f t="shared" ca="1" si="0"/>
        <v>2837581249.2723284</v>
      </c>
      <c r="N12" s="61">
        <f t="shared" ca="1" si="0"/>
        <v>3001933896.5239649</v>
      </c>
      <c r="O12" s="61">
        <f t="shared" ca="1" si="0"/>
        <v>3167451059.9426079</v>
      </c>
      <c r="P12" s="61">
        <f t="shared" ca="1" si="0"/>
        <v>3351540665.7677622</v>
      </c>
      <c r="Q12" s="61">
        <f t="shared" ca="1" si="0"/>
        <v>3497470079.5156007</v>
      </c>
      <c r="R12" s="61">
        <f t="shared" ca="1" si="0"/>
        <v>3599169790.7176147</v>
      </c>
      <c r="S12" s="54">
        <f ca="1">SUM(S3:S11)</f>
        <v>3701345910.0420837</v>
      </c>
      <c r="T12" s="55"/>
      <c r="U12" s="372"/>
    </row>
    <row r="13" spans="2:21">
      <c r="T13" s="55"/>
      <c r="U13" s="372"/>
    </row>
    <row r="14" spans="2:21" ht="16.5" thickBot="1">
      <c r="B14" s="71" t="s">
        <v>449</v>
      </c>
      <c r="C14" s="71" t="s">
        <v>352</v>
      </c>
      <c r="T14" s="55"/>
    </row>
    <row r="15" spans="2:21">
      <c r="B15" s="70" t="s">
        <v>178</v>
      </c>
      <c r="C15" s="69" t="s">
        <v>476</v>
      </c>
      <c r="D15" s="69" t="s">
        <v>477</v>
      </c>
      <c r="E15" s="69" t="s">
        <v>478</v>
      </c>
      <c r="F15" s="69" t="s">
        <v>479</v>
      </c>
      <c r="G15" s="69" t="s">
        <v>480</v>
      </c>
      <c r="H15" s="69" t="s">
        <v>481</v>
      </c>
      <c r="I15" s="69" t="s">
        <v>482</v>
      </c>
      <c r="J15" s="69" t="s">
        <v>483</v>
      </c>
      <c r="K15" s="69" t="s">
        <v>484</v>
      </c>
      <c r="L15" s="69" t="s">
        <v>528</v>
      </c>
      <c r="M15" s="69" t="s">
        <v>195</v>
      </c>
      <c r="N15" s="69" t="s">
        <v>196</v>
      </c>
      <c r="O15" s="69" t="s">
        <v>487</v>
      </c>
      <c r="P15" s="69" t="s">
        <v>488</v>
      </c>
      <c r="Q15" s="69" t="s">
        <v>489</v>
      </c>
      <c r="R15" s="69" t="s">
        <v>490</v>
      </c>
      <c r="S15" s="67" t="s">
        <v>491</v>
      </c>
      <c r="T15" s="55"/>
    </row>
    <row r="16" spans="2:21">
      <c r="B16" s="66" t="str">
        <f>'Total Additional'!C35</f>
        <v>Residential</v>
      </c>
      <c r="C16" s="55">
        <f ca="1">OFFSET('Normalized Annual Summary'!$CR$14,COLUMN()-COLUMN($K16),0)</f>
        <v>348672276.58808219</v>
      </c>
      <c r="D16" s="55">
        <f ca="1">OFFSET('Normalized Annual Summary'!$CR$14,COLUMN()-COLUMN($K16),0)</f>
        <v>352538536.83270472</v>
      </c>
      <c r="E16" s="55">
        <f ca="1">OFFSET('Normalized Annual Summary'!$CR$14,COLUMN()-COLUMN($K16),0)</f>
        <v>350247424.52398503</v>
      </c>
      <c r="F16" s="55">
        <f ca="1">OFFSET('Normalized Annual Summary'!$CR$14,COLUMN()-COLUMN($K16),0)</f>
        <v>353626902.47704446</v>
      </c>
      <c r="G16" s="55">
        <f ca="1">OFFSET('Normalized Annual Summary'!$CR$14,COLUMN()-COLUMN($K16),0)</f>
        <v>360668226.74253583</v>
      </c>
      <c r="H16" s="55">
        <f ca="1">OFFSET('Normalized Annual Summary'!$CR$14,COLUMN()-COLUMN($K16),0)</f>
        <v>386021141.40936047</v>
      </c>
      <c r="I16" s="55">
        <f ca="1">OFFSET('Normalized Annual Summary'!$CR$14,COLUMN()-COLUMN($K16),0)</f>
        <v>397951461.62452286</v>
      </c>
      <c r="J16" s="55">
        <f ca="1">OFFSET('Normalized Annual Summary'!$CR$14,COLUMN()-COLUMN($K16),0)</f>
        <v>399753827.16440701</v>
      </c>
      <c r="K16" s="55">
        <f ca="1">OFFSET('Normalized Annual Summary'!$CR$14,COLUMN()-COLUMN($K16),0)</f>
        <v>401254003.74528873</v>
      </c>
      <c r="L16" s="55">
        <f ca="1">OFFSET('Normalized Annual Summary'!$CR$14,COLUMN()-COLUMN($K16),0)</f>
        <v>411759522.22110844</v>
      </c>
      <c r="M16" s="55">
        <f ca="1">OFFSET('Normalized Annual Summary'!$CR$14,COLUMN()-COLUMN($K16),0)</f>
        <v>423136209.79578412</v>
      </c>
      <c r="N16" s="55">
        <f ca="1">OFFSET('Normalized Annual Summary'!$CR$14,COLUMN()-COLUMN($K16),0)</f>
        <v>434855421.37029326</v>
      </c>
      <c r="O16" s="55">
        <f ca="1">OFFSET('Normalized Annual Summary'!$CR$14,COLUMN()-COLUMN($K16),0)</f>
        <v>447861754.19012976</v>
      </c>
      <c r="P16" s="55">
        <f ca="1">OFFSET('Normalized Annual Summary'!$CR$14,COLUMN()-COLUMN($K16),0)</f>
        <v>459376871.31126744</v>
      </c>
      <c r="Q16" s="55">
        <f ca="1">OFFSET('Normalized Annual Summary'!$CR$14,COLUMN()-COLUMN($K16),0)</f>
        <v>472301249.26622075</v>
      </c>
      <c r="R16" s="55">
        <f ca="1">OFFSET('Normalized Annual Summary'!$CR$14,COLUMN()-COLUMN($K16),0)</f>
        <v>488093153.42331409</v>
      </c>
      <c r="S16" s="65">
        <f ca="1">OFFSET('Normalized Annual Summary'!$CR$14,COLUMN()-COLUMN($K16),0)</f>
        <v>502390530.34837389</v>
      </c>
      <c r="T16" s="55"/>
    </row>
    <row r="17" spans="2:20">
      <c r="B17" s="64" t="str">
        <f>'Total Additional'!C36</f>
        <v>GS&lt;50</v>
      </c>
      <c r="C17" s="55">
        <f ca="1">OFFSET('Normalized Annual Summary'!$DB$14,COLUMN()-COLUMN($K17),0)</f>
        <v>84260809.389776453</v>
      </c>
      <c r="D17" s="55">
        <f ca="1">OFFSET('Normalized Annual Summary'!$DB$14,COLUMN()-COLUMN($K17),0)</f>
        <v>86873112.087687507</v>
      </c>
      <c r="E17" s="55">
        <f ca="1">OFFSET('Normalized Annual Summary'!$DB$14,COLUMN()-COLUMN($K17),0)</f>
        <v>86218574.233523846</v>
      </c>
      <c r="F17" s="55">
        <f ca="1">OFFSET('Normalized Annual Summary'!$DB$14,COLUMN()-COLUMN($K17),0)</f>
        <v>86953749.518707722</v>
      </c>
      <c r="G17" s="55">
        <f ca="1">OFFSET('Normalized Annual Summary'!$DB$14,COLUMN()-COLUMN($K17),0)</f>
        <v>86739805.615665242</v>
      </c>
      <c r="H17" s="55">
        <f ca="1">OFFSET('Normalized Annual Summary'!$DB$14,COLUMN()-COLUMN($K17),0)</f>
        <v>80919678.491756484</v>
      </c>
      <c r="I17" s="55">
        <f ca="1">OFFSET('Normalized Annual Summary'!$DB$14,COLUMN()-COLUMN($K17),0)</f>
        <v>81997463.398262218</v>
      </c>
      <c r="J17" s="55">
        <f ca="1">OFFSET('Normalized Annual Summary'!$DB$14,COLUMN()-COLUMN($K17),0)</f>
        <v>87570952.356109798</v>
      </c>
      <c r="K17" s="55">
        <f ca="1">OFFSET('Normalized Annual Summary'!$DB$14,COLUMN()-COLUMN($K17),0)</f>
        <v>90476235.96408169</v>
      </c>
      <c r="L17" s="55">
        <f ca="1">OFFSET('Normalized Annual Summary'!$DB$14,COLUMN()-COLUMN($K17),0)</f>
        <v>91781432.266853184</v>
      </c>
      <c r="M17" s="55">
        <f ca="1">OFFSET('Normalized Annual Summary'!$DB$14,COLUMN()-COLUMN($K17),0)</f>
        <v>92896584.464930475</v>
      </c>
      <c r="N17" s="55">
        <f ca="1">OFFSET('Normalized Annual Summary'!$DB$14,COLUMN()-COLUMN($K17),0)</f>
        <v>93922026.624372616</v>
      </c>
      <c r="O17" s="55">
        <f ca="1">OFFSET('Normalized Annual Summary'!$DB$14,COLUMN()-COLUMN($K17),0)</f>
        <v>95337869.485193223</v>
      </c>
      <c r="P17" s="55">
        <f ca="1">OFFSET('Normalized Annual Summary'!$DB$14,COLUMN()-COLUMN($K17),0)</f>
        <v>96360968.805483773</v>
      </c>
      <c r="Q17" s="55">
        <f ca="1">OFFSET('Normalized Annual Summary'!$DB$14,COLUMN()-COLUMN($K17),0)</f>
        <v>97655547.719699606</v>
      </c>
      <c r="R17" s="55">
        <f ca="1">OFFSET('Normalized Annual Summary'!$DB$14,COLUMN()-COLUMN($K17),0)</f>
        <v>99082285.676707745</v>
      </c>
      <c r="S17" s="65">
        <f ca="1">OFFSET('Normalized Annual Summary'!$DB$14,COLUMN()-COLUMN($K17),0)</f>
        <v>100654398.2777067</v>
      </c>
      <c r="T17" s="55"/>
    </row>
    <row r="18" spans="2:20">
      <c r="B18" s="64" t="str">
        <f>'Total Additional'!C37</f>
        <v>GS 50 - 2,999</v>
      </c>
      <c r="C18" s="55">
        <f ca="1">OFFSET('Normalized Annual Summary'!$DL$14,COLUMN()-COLUMN($K18),0)</f>
        <v>358172542.93684006</v>
      </c>
      <c r="D18" s="55">
        <f ca="1">OFFSET('Normalized Annual Summary'!$DL$14,COLUMN()-COLUMN($K18),0)</f>
        <v>356869593.64628685</v>
      </c>
      <c r="E18" s="55">
        <f ca="1">OFFSET('Normalized Annual Summary'!$DL$14,COLUMN()-COLUMN($K18),0)</f>
        <v>352948084.36956447</v>
      </c>
      <c r="F18" s="55">
        <f ca="1">OFFSET('Normalized Annual Summary'!$DL$14,COLUMN()-COLUMN($K18),0)</f>
        <v>349003159.32088166</v>
      </c>
      <c r="G18" s="55">
        <f ca="1">OFFSET('Normalized Annual Summary'!$DL$14,COLUMN()-COLUMN($K18),0)</f>
        <v>343413304.85093433</v>
      </c>
      <c r="H18" s="55">
        <f ca="1">OFFSET('Normalized Annual Summary'!$DL$14,COLUMN()-COLUMN($K18),0)</f>
        <v>322489991.18765843</v>
      </c>
      <c r="I18" s="55">
        <f ca="1">OFFSET('Normalized Annual Summary'!$DL$14,COLUMN()-COLUMN($K18),0)</f>
        <v>318641985.4660508</v>
      </c>
      <c r="J18" s="55">
        <f ca="1">OFFSET('Normalized Annual Summary'!$DL$14,COLUMN()-COLUMN($K18),0)</f>
        <v>322534493.04242218</v>
      </c>
      <c r="K18" s="55">
        <f ca="1">OFFSET('Normalized Annual Summary'!$DL$14,COLUMN()-COLUMN($K18),0)</f>
        <v>328997984.10325587</v>
      </c>
      <c r="L18" s="55">
        <f ca="1">OFFSET('Normalized Annual Summary'!$DL$14,COLUMN()-COLUMN($K18),0)</f>
        <v>326383380.86347687</v>
      </c>
      <c r="M18" s="55">
        <f ca="1">OFFSET('Normalized Annual Summary'!$DL$14,COLUMN()-COLUMN($K18),0)</f>
        <v>338913911.79067665</v>
      </c>
      <c r="N18" s="55">
        <f ca="1">OFFSET('Normalized Annual Summary'!$DL$14,COLUMN()-COLUMN($K18),0)</f>
        <v>360007852.1668486</v>
      </c>
      <c r="O18" s="55">
        <f ca="1">OFFSET('Normalized Annual Summary'!$DL$14,COLUMN()-COLUMN($K18),0)</f>
        <v>375200812.08177775</v>
      </c>
      <c r="P18" s="55">
        <f ca="1">OFFSET('Normalized Annual Summary'!$DL$14,COLUMN()-COLUMN($K18),0)</f>
        <v>386105854.7472927</v>
      </c>
      <c r="Q18" s="55">
        <f ca="1">OFFSET('Normalized Annual Summary'!$DL$14,COLUMN()-COLUMN($K18),0)</f>
        <v>399323580.81141138</v>
      </c>
      <c r="R18" s="55">
        <f ca="1">OFFSET('Normalized Annual Summary'!$DL$14,COLUMN()-COLUMN($K18),0)</f>
        <v>409198807.53389639</v>
      </c>
      <c r="S18" s="65">
        <f ca="1">OFFSET('Normalized Annual Summary'!$DL$14,COLUMN()-COLUMN($K18),0)</f>
        <v>417655802.3988418</v>
      </c>
      <c r="T18" s="55"/>
    </row>
    <row r="19" spans="2:20">
      <c r="B19" s="64" t="str">
        <f>'Total Additional'!C38</f>
        <v>GS 3,000 - 4,999</v>
      </c>
      <c r="C19" s="55">
        <f ca="1">OFFSET('Normalized Annual Summary'!$DW$14,COLUMN()-COLUMN($K19),0)</f>
        <v>63272753.257049665</v>
      </c>
      <c r="D19" s="55">
        <f ca="1">OFFSET('Normalized Annual Summary'!$DW$14,COLUMN()-COLUMN($K19),0)</f>
        <v>63083377.368510991</v>
      </c>
      <c r="E19" s="55">
        <f ca="1">OFFSET('Normalized Annual Summary'!$DW$14,COLUMN()-COLUMN($K19),0)</f>
        <v>62098128.009472221</v>
      </c>
      <c r="F19" s="55">
        <f ca="1">OFFSET('Normalized Annual Summary'!$DW$14,COLUMN()-COLUMN($K19),0)</f>
        <v>74788486.317366749</v>
      </c>
      <c r="G19" s="55">
        <f ca="1">OFFSET('Normalized Annual Summary'!$DW$14,COLUMN()-COLUMN($K19),0)</f>
        <v>85011682.129669309</v>
      </c>
      <c r="H19" s="55">
        <f ca="1">OFFSET('Normalized Annual Summary'!$DW$14,COLUMN()-COLUMN($K19),0)</f>
        <v>84324523.996920094</v>
      </c>
      <c r="I19" s="55">
        <f ca="1">OFFSET('Normalized Annual Summary'!$DW$14,COLUMN()-COLUMN($K19),0)</f>
        <v>83333939.190517202</v>
      </c>
      <c r="J19" s="55">
        <f ca="1">OFFSET('Normalized Annual Summary'!$DW$14,COLUMN()-COLUMN($K19),0)</f>
        <v>82209680.713174418</v>
      </c>
      <c r="K19" s="55">
        <f ca="1">OFFSET('Normalized Annual Summary'!$DW$14,COLUMN()-COLUMN($K19),0)</f>
        <v>81676247.466148376</v>
      </c>
      <c r="L19" s="55">
        <f ca="1">OFFSET('Normalized Annual Summary'!$DW$14,COLUMN()-COLUMN($K19),0)</f>
        <v>81169458.333077088</v>
      </c>
      <c r="M19" s="55">
        <f ca="1">OFFSET('Normalized Annual Summary'!$DW$14,COLUMN()-COLUMN($K19),0)</f>
        <v>91907121.333394676</v>
      </c>
      <c r="N19" s="55">
        <f ca="1">OFFSET('Normalized Annual Summary'!$DW$14,COLUMN()-COLUMN($K19),0)</f>
        <v>112160823.30461539</v>
      </c>
      <c r="O19" s="55">
        <f ca="1">OFFSET('Normalized Annual Summary'!$DW$14,COLUMN()-COLUMN($K19),0)</f>
        <v>125842819.7414977</v>
      </c>
      <c r="P19" s="55">
        <f ca="1">OFFSET('Normalized Annual Summary'!$DW$14,COLUMN()-COLUMN($K19),0)</f>
        <v>131952306.9375944</v>
      </c>
      <c r="Q19" s="55">
        <f ca="1">OFFSET('Normalized Annual Summary'!$DW$14,COLUMN()-COLUMN($K19),0)</f>
        <v>137847686.18108562</v>
      </c>
      <c r="R19" s="55">
        <f ca="1">OFFSET('Normalized Annual Summary'!$DW$14,COLUMN()-COLUMN($K19),0)</f>
        <v>148183993.73779297</v>
      </c>
      <c r="S19" s="65">
        <f ca="1">OFFSET('Normalized Annual Summary'!$DW$14,COLUMN()-COLUMN($K19),0)</f>
        <v>159579543.97727138</v>
      </c>
      <c r="T19" s="55"/>
    </row>
    <row r="20" spans="2:20">
      <c r="B20" s="64" t="s">
        <v>193</v>
      </c>
      <c r="C20" s="55">
        <f ca="1">OFFSET('Normalized Annual Summary'!$ED$14,COLUMN()-COLUMN($K20),0)</f>
        <v>9273958.5999999996</v>
      </c>
      <c r="D20" s="55">
        <f ca="1">OFFSET('Normalized Annual Summary'!$ED$14,COLUMN()-COLUMN($K20),0)</f>
        <v>6314646.5300000003</v>
      </c>
      <c r="E20" s="55">
        <f ca="1">OFFSET('Normalized Annual Summary'!$ED$14,COLUMN()-COLUMN($K20),0)</f>
        <v>4989079.4000000004</v>
      </c>
      <c r="F20" s="55">
        <f ca="1">OFFSET('Normalized Annual Summary'!$ED$14,COLUMN()-COLUMN($K20),0)</f>
        <v>3813016.9899999998</v>
      </c>
      <c r="G20" s="55">
        <f ca="1">OFFSET('Normalized Annual Summary'!$ED$14,COLUMN()-COLUMN($K20),0)</f>
        <v>3495126.45</v>
      </c>
      <c r="H20" s="55">
        <f ca="1">OFFSET('Normalized Annual Summary'!$ED$14,COLUMN()-COLUMN($K20),0)</f>
        <v>3375506.85</v>
      </c>
      <c r="I20" s="55">
        <f ca="1">OFFSET('Normalized Annual Summary'!$ED$14,COLUMN()-COLUMN($K20),0)</f>
        <v>3254529.2399999998</v>
      </c>
      <c r="J20" s="55">
        <f ca="1">OFFSET('Normalized Annual Summary'!$ED$14,COLUMN()-COLUMN($K20),0)</f>
        <v>3584406.7699999996</v>
      </c>
      <c r="K20" s="55">
        <f ca="1">OFFSET('Normalized Annual Summary'!$ED$14,COLUMN()-COLUMN($K20),0)</f>
        <v>3668423.59</v>
      </c>
      <c r="L20" s="55">
        <f ca="1">OFFSET('Normalized Annual Summary'!$ED$14,COLUMN()-COLUMN($K20),0)</f>
        <v>3708102.8000000003</v>
      </c>
      <c r="M20" s="55">
        <f ca="1">OFFSET('Normalized Annual Summary'!$ED$14,COLUMN()-COLUMN($K20),0)</f>
        <v>3769413.3310388532</v>
      </c>
      <c r="N20" s="55">
        <f ca="1">OFFSET('Normalized Annual Summary'!$ED$14,COLUMN()-COLUMN($K20),0)</f>
        <v>3831737.5829530451</v>
      </c>
      <c r="O20" s="55">
        <f ca="1">OFFSET('Normalized Annual Summary'!$ED$14,COLUMN()-COLUMN($K20),0)</f>
        <v>3895092.3168111197</v>
      </c>
      <c r="P20" s="55">
        <f ca="1">OFFSET('Normalized Annual Summary'!$ED$14,COLUMN()-COLUMN($K20),0)</f>
        <v>3959494.5708125578</v>
      </c>
      <c r="Q20" s="55">
        <f ca="1">OFFSET('Normalized Annual Summary'!$ED$14,COLUMN()-COLUMN($K20),0)</f>
        <v>4024961.6648699204</v>
      </c>
      <c r="R20" s="55">
        <f ca="1">OFFSET('Normalized Annual Summary'!$ED$14,COLUMN()-COLUMN($K20),0)</f>
        <v>4091511.2052667504</v>
      </c>
      <c r="S20" s="65">
        <f ca="1">OFFSET('Normalized Annual Summary'!$ED$14,COLUMN()-COLUMN($K20),0)</f>
        <v>4159161.089392487</v>
      </c>
      <c r="T20" s="55"/>
    </row>
    <row r="21" spans="2:20">
      <c r="B21" s="64" t="s">
        <v>396</v>
      </c>
      <c r="C21" s="55">
        <f ca="1">OFFSET('Normalized Annual Summary'!$EK$14,COLUMN()-COLUMN($K21),0)</f>
        <v>32743.20528781541</v>
      </c>
      <c r="D21" s="55">
        <f ca="1">OFFSET('Normalized Annual Summary'!$EK$14,COLUMN()-COLUMN($K21),0)</f>
        <v>31709.209331358081</v>
      </c>
      <c r="E21" s="55">
        <f ca="1">OFFSET('Normalized Annual Summary'!$EK$14,COLUMN()-COLUMN($K21),0)</f>
        <v>30330.548056081636</v>
      </c>
      <c r="F21" s="55">
        <f ca="1">OFFSET('Normalized Annual Summary'!$EK$14,COLUMN()-COLUMN($K21),0)</f>
        <v>29985.882737262535</v>
      </c>
      <c r="G21" s="55">
        <f ca="1">OFFSET('Normalized Annual Summary'!$EK$14,COLUMN()-COLUMN($K21),0)</f>
        <v>29641.217418443437</v>
      </c>
      <c r="H21" s="55">
        <f ca="1">OFFSET('Normalized Annual Summary'!$EK$14,COLUMN()-COLUMN($K21),0)</f>
        <v>24815.902954975896</v>
      </c>
      <c r="I21" s="55">
        <f ca="1">OFFSET('Normalized Annual Summary'!$EK$14,COLUMN()-COLUMN($K21),0)</f>
        <v>25473.639999999989</v>
      </c>
      <c r="J21" s="55">
        <f ca="1">OFFSET('Normalized Annual Summary'!$EK$14,COLUMN()-COLUMN($K21),0)</f>
        <v>30995.533717316393</v>
      </c>
      <c r="K21" s="55">
        <f ca="1">OFFSET('Normalized Annual Summary'!$EK$14,COLUMN()-COLUMN($K21),0)</f>
        <v>31196.699999999993</v>
      </c>
      <c r="L21" s="55">
        <f ca="1">OFFSET('Normalized Annual Summary'!$EK$14,COLUMN()-COLUMN($K21),0)</f>
        <v>29865.999999999993</v>
      </c>
      <c r="M21" s="55">
        <f ca="1">OFFSET('Normalized Annual Summary'!$EK$14,COLUMN()-COLUMN($K21),0)</f>
        <v>31238.247693689678</v>
      </c>
      <c r="N21" s="55">
        <f ca="1">OFFSET('Normalized Annual Summary'!$EK$14,COLUMN()-COLUMN($K21),0)</f>
        <v>31652.571214880914</v>
      </c>
      <c r="O21" s="55">
        <f ca="1">OFFSET('Normalized Annual Summary'!$EK$14,COLUMN()-COLUMN($K21),0)</f>
        <v>32072.390050082573</v>
      </c>
      <c r="P21" s="55">
        <f ca="1">OFFSET('Normalized Annual Summary'!$EK$14,COLUMN()-COLUMN($K21),0)</f>
        <v>32497.777085516482</v>
      </c>
      <c r="Q21" s="55">
        <f ca="1">OFFSET('Normalized Annual Summary'!$EK$14,COLUMN()-COLUMN($K21),0)</f>
        <v>32928.806174119265</v>
      </c>
      <c r="R21" s="55">
        <f ca="1">OFFSET('Normalized Annual Summary'!$EK$14,COLUMN()-COLUMN($K21),0)</f>
        <v>33365.552148364186</v>
      </c>
      <c r="S21" s="65">
        <f ca="1">OFFSET('Normalized Annual Summary'!$EK$14,COLUMN()-COLUMN($K21),0)</f>
        <v>33808.090833253111</v>
      </c>
      <c r="T21" s="55"/>
    </row>
    <row r="22" spans="2:20">
      <c r="B22" s="64" t="s">
        <v>64</v>
      </c>
      <c r="C22" s="55">
        <f ca="1">OFFSET('Normalized Annual Summary'!$ER$14,COLUMN()-COLUMN($K22),0)</f>
        <v>632882.16</v>
      </c>
      <c r="D22" s="55">
        <f ca="1">OFFSET('Normalized Annual Summary'!$ER$14,COLUMN()-COLUMN($K22),0)</f>
        <v>598539.54</v>
      </c>
      <c r="E22" s="55">
        <f ca="1">OFFSET('Normalized Annual Summary'!$ER$14,COLUMN()-COLUMN($K22),0)</f>
        <v>597299.67999999982</v>
      </c>
      <c r="F22" s="55">
        <f ca="1">OFFSET('Normalized Annual Summary'!$ER$14,COLUMN()-COLUMN($K22),0)</f>
        <v>604470.16999999993</v>
      </c>
      <c r="G22" s="55">
        <f ca="1">OFFSET('Normalized Annual Summary'!$ER$14,COLUMN()-COLUMN($K22),0)</f>
        <v>597885.07999999996</v>
      </c>
      <c r="H22" s="55">
        <f ca="1">OFFSET('Normalized Annual Summary'!$ER$14,COLUMN()-COLUMN($K22),0)</f>
        <v>1852577.37</v>
      </c>
      <c r="I22" s="55">
        <f ca="1">OFFSET('Normalized Annual Summary'!$ER$14,COLUMN()-COLUMN($K22),0)</f>
        <v>1969676.7400000002</v>
      </c>
      <c r="J22" s="55">
        <f ca="1">OFFSET('Normalized Annual Summary'!$ER$14,COLUMN()-COLUMN($K22),0)</f>
        <v>1956354.06</v>
      </c>
      <c r="K22" s="55">
        <f ca="1">OFFSET('Normalized Annual Summary'!$ER$14,COLUMN()-COLUMN($K22),0)</f>
        <v>1961564.28</v>
      </c>
      <c r="L22" s="55">
        <f ca="1">OFFSET('Normalized Annual Summary'!$ER$14,COLUMN()-COLUMN($K22),0)</f>
        <v>1961874.72</v>
      </c>
      <c r="M22" s="55">
        <f ca="1">OFFSET('Normalized Annual Summary'!$ER$14,COLUMN()-COLUMN($K22),0)</f>
        <v>1926400.0408803986</v>
      </c>
      <c r="N22" s="55">
        <f ca="1">OFFSET('Normalized Annual Summary'!$ER$14,COLUMN()-COLUMN($K22),0)</f>
        <v>1936353.0077134862</v>
      </c>
      <c r="O22" s="55">
        <f ca="1">OFFSET('Normalized Annual Summary'!$ER$14,COLUMN()-COLUMN($K22),0)</f>
        <v>1946357.3976916517</v>
      </c>
      <c r="P22" s="55">
        <f ca="1">OFFSET('Normalized Annual Summary'!$ER$14,COLUMN()-COLUMN($K22),0)</f>
        <v>1956413.4764984741</v>
      </c>
      <c r="Q22" s="55">
        <f ca="1">OFFSET('Normalized Annual Summary'!$ER$14,COLUMN()-COLUMN($K22),0)</f>
        <v>1966521.5111902175</v>
      </c>
      <c r="R22" s="55">
        <f ca="1">OFFSET('Normalized Annual Summary'!$ER$14,COLUMN()-COLUMN($K22),0)</f>
        <v>1976681.7702029219</v>
      </c>
      <c r="S22" s="65">
        <f ca="1">OFFSET('Normalized Annual Summary'!$ER$14,COLUMN()-COLUMN($K22),0)</f>
        <v>1986894.5233595334</v>
      </c>
      <c r="T22" s="55"/>
    </row>
    <row r="23" spans="2:20" ht="13.5" thickBot="1">
      <c r="B23" s="63" t="s">
        <v>65</v>
      </c>
      <c r="C23" s="62">
        <f t="shared" ref="C23:S23" ca="1" si="2">SUM(C16:C22)</f>
        <v>864317966.1370362</v>
      </c>
      <c r="D23" s="62">
        <f t="shared" ca="1" si="2"/>
        <v>866309515.21452129</v>
      </c>
      <c r="E23" s="62">
        <f t="shared" ca="1" si="2"/>
        <v>857128920.76460159</v>
      </c>
      <c r="F23" s="62">
        <f t="shared" ca="1" si="2"/>
        <v>868819770.6767379</v>
      </c>
      <c r="G23" s="62">
        <f t="shared" ca="1" si="2"/>
        <v>879955672.08622324</v>
      </c>
      <c r="H23" s="62">
        <f t="shared" ca="1" si="2"/>
        <v>879008235.20865047</v>
      </c>
      <c r="I23" s="62">
        <f t="shared" ca="1" si="2"/>
        <v>887174529.299353</v>
      </c>
      <c r="J23" s="62">
        <f t="shared" ca="1" si="2"/>
        <v>897640709.63983059</v>
      </c>
      <c r="K23" s="62">
        <f t="shared" ca="1" si="2"/>
        <v>908065655.84877479</v>
      </c>
      <c r="L23" s="62">
        <f t="shared" ref="L23" ca="1" si="3">SUM(L16:L22)</f>
        <v>916793637.20451558</v>
      </c>
      <c r="M23" s="61">
        <f t="shared" ca="1" si="2"/>
        <v>952580879.00439882</v>
      </c>
      <c r="N23" s="61">
        <f t="shared" ca="1" si="2"/>
        <v>1006745866.6280113</v>
      </c>
      <c r="O23" s="61">
        <f t="shared" ca="1" si="2"/>
        <v>1050116777.6031513</v>
      </c>
      <c r="P23" s="61">
        <f t="shared" ca="1" si="2"/>
        <v>1079744407.6260347</v>
      </c>
      <c r="Q23" s="61">
        <f t="shared" ca="1" si="2"/>
        <v>1113152475.9606516</v>
      </c>
      <c r="R23" s="61">
        <f t="shared" ca="1" si="2"/>
        <v>1150659798.8993292</v>
      </c>
      <c r="S23" s="54">
        <f t="shared" ca="1" si="2"/>
        <v>1186460138.7057788</v>
      </c>
      <c r="T23" s="55"/>
    </row>
    <row r="26" spans="2:20" ht="16.5" thickBot="1">
      <c r="B26" s="71" t="s">
        <v>485</v>
      </c>
      <c r="F26" s="55"/>
      <c r="G26" s="55"/>
      <c r="H26" s="55"/>
      <c r="I26" s="55"/>
      <c r="J26" s="55"/>
      <c r="K26" s="71" t="s">
        <v>485</v>
      </c>
      <c r="L26" s="71" t="s">
        <v>352</v>
      </c>
      <c r="O26" s="55"/>
      <c r="P26" s="55"/>
      <c r="Q26" s="55"/>
      <c r="R26" s="55"/>
    </row>
    <row r="27" spans="2:20">
      <c r="B27" s="59" t="s">
        <v>178</v>
      </c>
      <c r="C27" s="58">
        <f>'CDM Adjustment'!AB5</f>
        <v>2025</v>
      </c>
      <c r="D27" s="58">
        <f>'CDM Adjustment'!AC5</f>
        <v>2026</v>
      </c>
      <c r="E27" s="58">
        <f>'CDM Adjustment'!AD5</f>
        <v>2027</v>
      </c>
      <c r="F27" s="58">
        <f>'CDM Adjustment'!AE5</f>
        <v>2028</v>
      </c>
      <c r="G27" s="58">
        <f>'CDM Adjustment'!AF5</f>
        <v>2029</v>
      </c>
      <c r="H27" s="58">
        <f>'CDM Adjustment'!AG5</f>
        <v>2030</v>
      </c>
      <c r="I27" s="57">
        <f>'CDM Adjustment'!AH5</f>
        <v>2031</v>
      </c>
      <c r="K27" s="59" t="s">
        <v>178</v>
      </c>
      <c r="L27" s="58">
        <f>C27</f>
        <v>2025</v>
      </c>
      <c r="M27" s="58">
        <f t="shared" ref="M27:Q27" si="4">D27</f>
        <v>2026</v>
      </c>
      <c r="N27" s="58">
        <f t="shared" si="4"/>
        <v>2027</v>
      </c>
      <c r="O27" s="58">
        <f t="shared" si="4"/>
        <v>2028</v>
      </c>
      <c r="P27" s="58">
        <f t="shared" si="4"/>
        <v>2029</v>
      </c>
      <c r="Q27" s="58">
        <f t="shared" si="4"/>
        <v>2030</v>
      </c>
      <c r="R27" s="57">
        <f>I27</f>
        <v>2031</v>
      </c>
    </row>
    <row r="28" spans="2:20">
      <c r="B28" s="66" t="str">
        <f t="shared" ref="B28:B36" si="5">B3</f>
        <v>Residential</v>
      </c>
      <c r="C28" s="55">
        <f>'CDM Adjustment'!AB7</f>
        <v>5796248.8515412118</v>
      </c>
      <c r="D28" s="55">
        <f>'CDM Adjustment'!AC7</f>
        <v>13865197.37762068</v>
      </c>
      <c r="E28" s="55">
        <f>'CDM Adjustment'!AD7</f>
        <v>22672655.905443456</v>
      </c>
      <c r="F28" s="55">
        <f>'CDM Adjustment'!AE7</f>
        <v>32248714.28288899</v>
      </c>
      <c r="G28" s="55">
        <f>'CDM Adjustment'!AF7</f>
        <v>42548237.738138154</v>
      </c>
      <c r="H28" s="55">
        <f>'CDM Adjustment'!AG7</f>
        <v>53586271.195130631</v>
      </c>
      <c r="I28" s="65">
        <f>'CDM Adjustment'!AH7</f>
        <v>65362814.65386641</v>
      </c>
      <c r="K28" s="823" t="str">
        <f>B28</f>
        <v>Residential</v>
      </c>
      <c r="L28" s="55">
        <f>'CDM Adjustment'!AB38</f>
        <v>2267338.583079739</v>
      </c>
      <c r="M28" s="55">
        <f>'CDM Adjustment'!AC38</f>
        <v>5371322.2463232838</v>
      </c>
      <c r="N28" s="55">
        <f>'CDM Adjustment'!AD38</f>
        <v>8764710.7758569978</v>
      </c>
      <c r="O28" s="55">
        <f>'CDM Adjustment'!AE38</f>
        <v>12460634.56317197</v>
      </c>
      <c r="P28" s="55">
        <f>'CDM Adjustment'!AF38</f>
        <v>16294695.587886503</v>
      </c>
      <c r="Q28" s="55">
        <f>'CDM Adjustment'!AG38</f>
        <v>20128756.612601034</v>
      </c>
      <c r="R28" s="65">
        <f>'CDM Adjustment'!AH38</f>
        <v>23962817.637315568</v>
      </c>
    </row>
    <row r="29" spans="2:20">
      <c r="B29" s="64" t="str">
        <f t="shared" si="5"/>
        <v>Residential Seasonal</v>
      </c>
      <c r="C29" s="55">
        <f>'CDM Adjustment'!AB8</f>
        <v>66367.572644037195</v>
      </c>
      <c r="D29" s="55">
        <f>'CDM Adjustment'!AC8</f>
        <v>158752.7947791795</v>
      </c>
      <c r="E29" s="55">
        <f>'CDM Adjustment'!AD8</f>
        <v>259593.91136626145</v>
      </c>
      <c r="F29" s="55">
        <f>'CDM Adjustment'!AE8</f>
        <v>369235.52197270939</v>
      </c>
      <c r="G29" s="55">
        <f>'CDM Adjustment'!AF8</f>
        <v>487160.72724738444</v>
      </c>
      <c r="H29" s="55">
        <f>'CDM Adjustment'!AG8</f>
        <v>613541.82697399915</v>
      </c>
      <c r="I29" s="65">
        <f>'CDM Adjustment'!AH8</f>
        <v>748378.82115255354</v>
      </c>
      <c r="K29" s="64"/>
      <c r="L29" s="55"/>
      <c r="M29" s="55"/>
      <c r="N29" s="55"/>
      <c r="O29" s="55"/>
      <c r="P29" s="55"/>
      <c r="Q29" s="55"/>
      <c r="R29" s="65"/>
    </row>
    <row r="30" spans="2:20">
      <c r="B30" s="64" t="str">
        <f t="shared" si="5"/>
        <v>GS&lt;50</v>
      </c>
      <c r="C30" s="55">
        <f>'CDM Adjustment'!AB9</f>
        <v>3781887.2322590188</v>
      </c>
      <c r="D30" s="55">
        <f>'CDM Adjustment'!AC9</f>
        <v>7454039.0570226014</v>
      </c>
      <c r="E30" s="55">
        <f>'CDM Adjustment'!AD9</f>
        <v>11350326.25878565</v>
      </c>
      <c r="F30" s="55">
        <f>'CDM Adjustment'!AE9</f>
        <v>15363114.737070946</v>
      </c>
      <c r="G30" s="55">
        <f>'CDM Adjustment'!AF9</f>
        <v>19559024.128815398</v>
      </c>
      <c r="H30" s="55">
        <f>'CDM Adjustment'!AG9</f>
        <v>23931653.140669849</v>
      </c>
      <c r="I30" s="65">
        <f>'CDM Adjustment'!AH9</f>
        <v>28481001.772634298</v>
      </c>
      <c r="K30" s="64" t="str">
        <f>B30</f>
        <v>GS&lt;50</v>
      </c>
      <c r="L30" s="55">
        <f>'CDM Adjustment'!AB39</f>
        <v>1031486.8937988754</v>
      </c>
      <c r="M30" s="55">
        <f>'CDM Adjustment'!AC39</f>
        <v>2041765.8185428162</v>
      </c>
      <c r="N30" s="55">
        <f>'CDM Adjustment'!AD39</f>
        <v>3117286.143118931</v>
      </c>
      <c r="O30" s="55">
        <f>'CDM Adjustment'!AE39</f>
        <v>4233779.8998986101</v>
      </c>
      <c r="P30" s="55">
        <f>'CDM Adjustment'!AF39</f>
        <v>5378907.807470792</v>
      </c>
      <c r="Q30" s="55">
        <f>'CDM Adjustment'!AG39</f>
        <v>6524035.7150429748</v>
      </c>
      <c r="R30" s="65">
        <f>'CDM Adjustment'!AH39</f>
        <v>7669163.6226151576</v>
      </c>
    </row>
    <row r="31" spans="2:20">
      <c r="B31" s="64" t="str">
        <f t="shared" si="5"/>
        <v>GS 50 - 2,999</v>
      </c>
      <c r="C31" s="55">
        <f>'CDM Adjustment'!AB10</f>
        <v>14932858.355741456</v>
      </c>
      <c r="D31" s="55">
        <f>'CDM Adjustment'!AC10</f>
        <v>31139153.51297503</v>
      </c>
      <c r="E31" s="55">
        <f>'CDM Adjustment'!AD10</f>
        <v>49254274.205374904</v>
      </c>
      <c r="F31" s="55">
        <f>'CDM Adjustment'!AE10</f>
        <v>68740030.123844653</v>
      </c>
      <c r="G31" s="55">
        <f>'CDM Adjustment'!AF10</f>
        <v>89211577.123919502</v>
      </c>
      <c r="H31" s="55">
        <f>'CDM Adjustment'!AG10</f>
        <v>110644380.01656318</v>
      </c>
      <c r="I31" s="65">
        <f>'CDM Adjustment'!AH10</f>
        <v>133038438.80177569</v>
      </c>
      <c r="K31" s="64" t="str">
        <f>B31</f>
        <v>GS 50 - 2,999</v>
      </c>
      <c r="L31" s="55">
        <f>'CDM Adjustment'!AB40</f>
        <v>5913901.1749345483</v>
      </c>
      <c r="M31" s="55">
        <f>'CDM Adjustment'!AC40</f>
        <v>12196913.08766944</v>
      </c>
      <c r="N31" s="55">
        <f>'CDM Adjustment'!AD40</f>
        <v>19333976.502256293</v>
      </c>
      <c r="O31" s="55">
        <f>'CDM Adjustment'!AE40</f>
        <v>27125794.162988514</v>
      </c>
      <c r="P31" s="55">
        <f>'CDM Adjustment'!AF40</f>
        <v>35131722.362016067</v>
      </c>
      <c r="Q31" s="55">
        <f>'CDM Adjustment'!AG40</f>
        <v>43137650.56104362</v>
      </c>
      <c r="R31" s="65">
        <f>'CDM Adjustment'!AH40</f>
        <v>51143578.760071173</v>
      </c>
    </row>
    <row r="32" spans="2:20">
      <c r="B32" s="64" t="str">
        <f t="shared" si="5"/>
        <v>GS 3,000 - 4,999</v>
      </c>
      <c r="C32" s="55">
        <f>'CDM Adjustment'!AB11</f>
        <v>1045432.1165972531</v>
      </c>
      <c r="D32" s="55">
        <f>'CDM Adjustment'!AC11</f>
        <v>2239135.3775984943</v>
      </c>
      <c r="E32" s="55">
        <f>'CDM Adjustment'!AD11</f>
        <v>3600683.4225532725</v>
      </c>
      <c r="F32" s="55">
        <f>'CDM Adjustment'!AE11</f>
        <v>5104682.4857397061</v>
      </c>
      <c r="G32" s="55">
        <f>'CDM Adjustment'!AF11</f>
        <v>6701016.0798156373</v>
      </c>
      <c r="H32" s="55">
        <f>'CDM Adjustment'!AG11</f>
        <v>8388968.5042977445</v>
      </c>
      <c r="I32" s="65">
        <f>'CDM Adjustment'!AH11</f>
        <v>10168539.759186028</v>
      </c>
      <c r="K32" s="64" t="str">
        <f>B32</f>
        <v>GS 3,000 - 4,999</v>
      </c>
      <c r="L32" s="55">
        <f>'CDM Adjustment'!AB41</f>
        <v>1332600.0132424636</v>
      </c>
      <c r="M32" s="55">
        <f>'CDM Adjustment'!AC41</f>
        <v>2749711.6669683699</v>
      </c>
      <c r="N32" s="55">
        <f>'CDM Adjustment'!AD41</f>
        <v>4359178.8462269781</v>
      </c>
      <c r="O32" s="55">
        <f>'CDM Adjustment'!AE41</f>
        <v>6116163.5191884115</v>
      </c>
      <c r="P32" s="55">
        <f>'CDM Adjustment'!AF41</f>
        <v>7921449.6851512687</v>
      </c>
      <c r="Q32" s="55">
        <f>'CDM Adjustment'!AG41</f>
        <v>9726735.8511141259</v>
      </c>
      <c r="R32" s="65">
        <f>'CDM Adjustment'!AH41</f>
        <v>11532022.017076982</v>
      </c>
    </row>
    <row r="33" spans="2:18">
      <c r="B33" s="64" t="str">
        <f t="shared" si="5"/>
        <v>Large Use</v>
      </c>
      <c r="C33" s="55">
        <f>'CDM Adjustment'!AB12</f>
        <v>6318572.0345096961</v>
      </c>
      <c r="D33" s="55">
        <f>'CDM Adjustment'!AC12</f>
        <v>12517200.058757482</v>
      </c>
      <c r="E33" s="55">
        <f>'CDM Adjustment'!AD12</f>
        <v>20294865.081782751</v>
      </c>
      <c r="F33" s="55">
        <f>'CDM Adjustment'!AE12</f>
        <v>29564034.137977801</v>
      </c>
      <c r="G33" s="55">
        <f>'CDM Adjustment'!AF12</f>
        <v>39541650.329011783</v>
      </c>
      <c r="H33" s="55">
        <f>'CDM Adjustment'!AG12</f>
        <v>50230453.580571987</v>
      </c>
      <c r="I33" s="65">
        <f>'CDM Adjustment'!AH12</f>
        <v>61630443.892658427</v>
      </c>
      <c r="K33" s="64"/>
      <c r="L33" s="55"/>
      <c r="M33" s="55"/>
      <c r="N33" s="55"/>
      <c r="O33" s="55"/>
      <c r="P33" s="55"/>
      <c r="Q33" s="55"/>
      <c r="R33" s="65"/>
    </row>
    <row r="34" spans="2:18">
      <c r="B34" s="64" t="str">
        <f t="shared" si="5"/>
        <v>Street Light</v>
      </c>
      <c r="C34" s="55">
        <f>'CDM Adjustment'!AB13</f>
        <v>0</v>
      </c>
      <c r="D34" s="55">
        <f>'CDM Adjustment'!AC13</f>
        <v>0</v>
      </c>
      <c r="E34" s="55">
        <f>'CDM Adjustment'!AD13</f>
        <v>0</v>
      </c>
      <c r="F34" s="55">
        <f>'CDM Adjustment'!AE13</f>
        <v>0</v>
      </c>
      <c r="G34" s="55">
        <f>'CDM Adjustment'!AF13</f>
        <v>0</v>
      </c>
      <c r="H34" s="55">
        <f>'CDM Adjustment'!AG13</f>
        <v>0</v>
      </c>
      <c r="I34" s="65">
        <f>'CDM Adjustment'!AH13</f>
        <v>0</v>
      </c>
      <c r="K34" s="64" t="str">
        <f>B34</f>
        <v>Street Light</v>
      </c>
      <c r="L34" s="55">
        <f>'CDM Adjustment'!AB42</f>
        <v>0</v>
      </c>
      <c r="M34" s="55">
        <f>'CDM Adjustment'!AC42</f>
        <v>0</v>
      </c>
      <c r="N34" s="55">
        <f>'CDM Adjustment'!AD42</f>
        <v>0</v>
      </c>
      <c r="O34" s="55">
        <f>'CDM Adjustment'!AE42</f>
        <v>0</v>
      </c>
      <c r="P34" s="55">
        <f>'CDM Adjustment'!AF42</f>
        <v>0</v>
      </c>
      <c r="Q34" s="55">
        <f>'CDM Adjustment'!AG42</f>
        <v>0</v>
      </c>
      <c r="R34" s="65">
        <f>'CDM Adjustment'!AH42</f>
        <v>0</v>
      </c>
    </row>
    <row r="35" spans="2:18">
      <c r="B35" s="64" t="str">
        <f t="shared" si="5"/>
        <v>Sentinel Light</v>
      </c>
      <c r="C35" s="55">
        <f>'CDM Adjustment'!AB14</f>
        <v>0</v>
      </c>
      <c r="D35" s="55">
        <f>'CDM Adjustment'!AC14</f>
        <v>0</v>
      </c>
      <c r="E35" s="55">
        <f>'CDM Adjustment'!AD14</f>
        <v>0</v>
      </c>
      <c r="F35" s="55">
        <f>'CDM Adjustment'!AE14</f>
        <v>0</v>
      </c>
      <c r="G35" s="55">
        <f>'CDM Adjustment'!AF14</f>
        <v>0</v>
      </c>
      <c r="H35" s="55">
        <f>'CDM Adjustment'!AG14</f>
        <v>0</v>
      </c>
      <c r="I35" s="65">
        <f>'CDM Adjustment'!AH14</f>
        <v>0</v>
      </c>
      <c r="K35" s="64" t="str">
        <f>B35</f>
        <v>Sentinel Light</v>
      </c>
      <c r="L35" s="55">
        <f>'CDM Adjustment'!AB43</f>
        <v>0</v>
      </c>
      <c r="M35" s="55">
        <f>'CDM Adjustment'!AC43</f>
        <v>0</v>
      </c>
      <c r="N35" s="55">
        <f>'CDM Adjustment'!AD43</f>
        <v>0</v>
      </c>
      <c r="O35" s="55">
        <f>'CDM Adjustment'!AE43</f>
        <v>0</v>
      </c>
      <c r="P35" s="55">
        <f>'CDM Adjustment'!AF43</f>
        <v>0</v>
      </c>
      <c r="Q35" s="55">
        <f>'CDM Adjustment'!AG43</f>
        <v>0</v>
      </c>
      <c r="R35" s="65">
        <f>'CDM Adjustment'!AH43</f>
        <v>0</v>
      </c>
    </row>
    <row r="36" spans="2:18">
      <c r="B36" s="64" t="str">
        <f t="shared" si="5"/>
        <v>USL</v>
      </c>
      <c r="C36" s="55">
        <f>'CDM Adjustment'!AB15</f>
        <v>0</v>
      </c>
      <c r="D36" s="55">
        <f>'CDM Adjustment'!AC15</f>
        <v>0</v>
      </c>
      <c r="E36" s="55">
        <f>'CDM Adjustment'!AD15</f>
        <v>0</v>
      </c>
      <c r="F36" s="55">
        <f>'CDM Adjustment'!AE15</f>
        <v>0</v>
      </c>
      <c r="G36" s="55">
        <f>'CDM Adjustment'!AF15</f>
        <v>0</v>
      </c>
      <c r="H36" s="55">
        <f>'CDM Adjustment'!AG15</f>
        <v>0</v>
      </c>
      <c r="I36" s="65">
        <f>'CDM Adjustment'!AH15</f>
        <v>0</v>
      </c>
      <c r="K36" s="64" t="str">
        <f>B36</f>
        <v>USL</v>
      </c>
      <c r="L36" s="55">
        <f>'CDM Adjustment'!AB44</f>
        <v>0</v>
      </c>
      <c r="M36" s="55">
        <f>'CDM Adjustment'!AC44</f>
        <v>0</v>
      </c>
      <c r="N36" s="55">
        <f>'CDM Adjustment'!AD44</f>
        <v>0</v>
      </c>
      <c r="O36" s="55">
        <f>'CDM Adjustment'!AE44</f>
        <v>0</v>
      </c>
      <c r="P36" s="55">
        <f>'CDM Adjustment'!AF44</f>
        <v>0</v>
      </c>
      <c r="Q36" s="55">
        <f>'CDM Adjustment'!AG44</f>
        <v>0</v>
      </c>
      <c r="R36" s="65">
        <f>'CDM Adjustment'!AH44</f>
        <v>0</v>
      </c>
    </row>
    <row r="37" spans="2:18" ht="13.5" thickBot="1">
      <c r="B37" s="63" t="s">
        <v>65</v>
      </c>
      <c r="C37" s="62">
        <f t="shared" ref="C37:I37" si="6">SUM(C28:C36)</f>
        <v>31941366.163292672</v>
      </c>
      <c r="D37" s="62">
        <f t="shared" si="6"/>
        <v>67373478.178753465</v>
      </c>
      <c r="E37" s="62">
        <f t="shared" si="6"/>
        <v>107432398.7853063</v>
      </c>
      <c r="F37" s="62">
        <f t="shared" si="6"/>
        <v>151389811.28949481</v>
      </c>
      <c r="G37" s="62">
        <f t="shared" si="6"/>
        <v>198048666.12694788</v>
      </c>
      <c r="H37" s="62">
        <f t="shared" si="6"/>
        <v>247395268.26420736</v>
      </c>
      <c r="I37" s="60">
        <f t="shared" si="6"/>
        <v>299429617.70127338</v>
      </c>
      <c r="K37" s="63" t="s">
        <v>65</v>
      </c>
      <c r="L37" s="62">
        <f t="shared" ref="L37" si="7">SUM(L28:L36)</f>
        <v>10545326.665055625</v>
      </c>
      <c r="M37" s="62">
        <f t="shared" ref="M37:R37" si="8">SUM(M28:M36)</f>
        <v>22359712.819503911</v>
      </c>
      <c r="N37" s="62">
        <f t="shared" si="8"/>
        <v>35575152.267459199</v>
      </c>
      <c r="O37" s="62">
        <f t="shared" si="8"/>
        <v>49936372.145247504</v>
      </c>
      <c r="P37" s="62">
        <f t="shared" si="8"/>
        <v>64726775.442524634</v>
      </c>
      <c r="Q37" s="62">
        <f t="shared" si="8"/>
        <v>79517178.73980175</v>
      </c>
      <c r="R37" s="60">
        <f t="shared" si="8"/>
        <v>94307582.037078887</v>
      </c>
    </row>
    <row r="38" spans="2:18">
      <c r="F38" s="56"/>
    </row>
    <row r="39" spans="2:18">
      <c r="F39" s="56"/>
      <c r="R39" s="372"/>
    </row>
    <row r="40" spans="2:18" ht="16.5" thickBot="1">
      <c r="B40" s="71" t="s">
        <v>492</v>
      </c>
      <c r="C40" s="71" t="s">
        <v>376</v>
      </c>
      <c r="F40" s="55"/>
      <c r="G40" s="55"/>
      <c r="H40" s="55"/>
      <c r="I40" s="55"/>
      <c r="K40" s="71" t="s">
        <v>492</v>
      </c>
      <c r="L40" s="71"/>
      <c r="O40" s="55"/>
      <c r="P40" s="55"/>
      <c r="Q40" s="55"/>
      <c r="R40" s="55"/>
    </row>
    <row r="41" spans="2:18">
      <c r="B41" s="59" t="s">
        <v>178</v>
      </c>
      <c r="C41" s="58">
        <f t="shared" ref="C41:I41" si="9">C27</f>
        <v>2025</v>
      </c>
      <c r="D41" s="58">
        <f t="shared" si="9"/>
        <v>2026</v>
      </c>
      <c r="E41" s="58">
        <f t="shared" si="9"/>
        <v>2027</v>
      </c>
      <c r="F41" s="58">
        <f t="shared" si="9"/>
        <v>2028</v>
      </c>
      <c r="G41" s="58">
        <f t="shared" si="9"/>
        <v>2029</v>
      </c>
      <c r="H41" s="58">
        <f t="shared" si="9"/>
        <v>2030</v>
      </c>
      <c r="I41" s="57">
        <f t="shared" si="9"/>
        <v>2031</v>
      </c>
      <c r="K41" s="59" t="s">
        <v>178</v>
      </c>
      <c r="L41" s="58">
        <f t="shared" ref="L41:R41" si="10">L27</f>
        <v>2025</v>
      </c>
      <c r="M41" s="58">
        <f t="shared" si="10"/>
        <v>2026</v>
      </c>
      <c r="N41" s="58">
        <f t="shared" si="10"/>
        <v>2027</v>
      </c>
      <c r="O41" s="58">
        <f t="shared" si="10"/>
        <v>2028</v>
      </c>
      <c r="P41" s="58">
        <f t="shared" si="10"/>
        <v>2029</v>
      </c>
      <c r="Q41" s="58">
        <f t="shared" si="10"/>
        <v>2030</v>
      </c>
      <c r="R41" s="57">
        <f t="shared" si="10"/>
        <v>2031</v>
      </c>
    </row>
    <row r="42" spans="2:18">
      <c r="B42" s="66" t="str">
        <f t="shared" ref="B42:B50" si="11">B28</f>
        <v>Residential</v>
      </c>
      <c r="C42" s="55">
        <f t="shared" ref="C42:C50" ca="1" si="12">M3-C28</f>
        <v>1095125273.1183047</v>
      </c>
      <c r="D42" s="55">
        <f t="shared" ref="D42:D50" ca="1" si="13">N3-D28</f>
        <v>1117090361.2318509</v>
      </c>
      <c r="E42" s="55">
        <f t="shared" ref="E42:E50" ca="1" si="14">O3-E28</f>
        <v>1139476591.8569014</v>
      </c>
      <c r="F42" s="55">
        <f t="shared" ref="F42:F50" ca="1" si="15">P3-F28</f>
        <v>1163690317.337239</v>
      </c>
      <c r="G42" s="55">
        <f t="shared" ref="G42:G50" ca="1" si="16">Q3-G28</f>
        <v>1185325146.4941511</v>
      </c>
      <c r="H42" s="55">
        <f t="shared" ref="H42:H50" ca="1" si="17">R3-H28</f>
        <v>1212339801.3152404</v>
      </c>
      <c r="I42" s="65">
        <f t="shared" ref="I42:I50" ca="1" si="18">S3-I28</f>
        <v>1240553460.7040067</v>
      </c>
      <c r="K42" s="66" t="str">
        <f>K28</f>
        <v>Residential</v>
      </c>
      <c r="L42" s="55">
        <f t="shared" ref="L42:R42" ca="1" si="19">M16-L28</f>
        <v>420868871.21270436</v>
      </c>
      <c r="M42" s="55">
        <f t="shared" ca="1" si="19"/>
        <v>429484099.12396997</v>
      </c>
      <c r="N42" s="55">
        <f t="shared" ca="1" si="19"/>
        <v>439097043.41427279</v>
      </c>
      <c r="O42" s="55">
        <f t="shared" ca="1" si="19"/>
        <v>446916236.74809545</v>
      </c>
      <c r="P42" s="55">
        <f t="shared" ca="1" si="19"/>
        <v>456006553.67833424</v>
      </c>
      <c r="Q42" s="55">
        <f t="shared" ca="1" si="19"/>
        <v>467964396.81071305</v>
      </c>
      <c r="R42" s="65">
        <f t="shared" ca="1" si="19"/>
        <v>478427712.71105832</v>
      </c>
    </row>
    <row r="43" spans="2:18">
      <c r="B43" s="64" t="str">
        <f t="shared" si="11"/>
        <v>Residential Seasonal</v>
      </c>
      <c r="C43" s="55">
        <f t="shared" ca="1" si="12"/>
        <v>12768206.557489421</v>
      </c>
      <c r="D43" s="55">
        <f t="shared" ca="1" si="13"/>
        <v>13188721.546985753</v>
      </c>
      <c r="E43" s="55">
        <f t="shared" ca="1" si="14"/>
        <v>13651253.423372488</v>
      </c>
      <c r="F43" s="55">
        <f t="shared" ca="1" si="15"/>
        <v>14035998.008814186</v>
      </c>
      <c r="G43" s="55">
        <f t="shared" ca="1" si="16"/>
        <v>14476769.158850323</v>
      </c>
      <c r="H43" s="55">
        <f t="shared" ca="1" si="17"/>
        <v>14995359.212779585</v>
      </c>
      <c r="I43" s="65">
        <f t="shared" ca="1" si="18"/>
        <v>15451103.337147947</v>
      </c>
      <c r="K43" s="64"/>
      <c r="L43" s="55"/>
      <c r="M43" s="55"/>
      <c r="N43" s="55"/>
      <c r="O43" s="55"/>
      <c r="P43" s="55"/>
      <c r="Q43" s="55"/>
      <c r="R43" s="65"/>
    </row>
    <row r="44" spans="2:18">
      <c r="B44" s="64" t="str">
        <f t="shared" si="11"/>
        <v>GS&lt;50</v>
      </c>
      <c r="C44" s="55">
        <f t="shared" ca="1" si="12"/>
        <v>282974392.24280298</v>
      </c>
      <c r="D44" s="55">
        <f t="shared" ca="1" si="13"/>
        <v>283200048.37753892</v>
      </c>
      <c r="E44" s="55">
        <f t="shared" ca="1" si="14"/>
        <v>284059624.77556282</v>
      </c>
      <c r="F44" s="55">
        <f t="shared" ca="1" si="15"/>
        <v>283704088.194924</v>
      </c>
      <c r="G44" s="55">
        <f t="shared" ca="1" si="16"/>
        <v>284076999.28542733</v>
      </c>
      <c r="H44" s="55">
        <f t="shared" ca="1" si="17"/>
        <v>284658182.04026783</v>
      </c>
      <c r="I44" s="65">
        <f t="shared" ca="1" si="18"/>
        <v>286717312.21083391</v>
      </c>
      <c r="K44" s="64" t="str">
        <f>K30</f>
        <v>GS&lt;50</v>
      </c>
      <c r="L44" s="55">
        <f t="shared" ref="L44:R46" ca="1" si="20">M17-L30</f>
        <v>91865097.571131602</v>
      </c>
      <c r="M44" s="55">
        <f t="shared" ca="1" si="20"/>
        <v>91880260.805829793</v>
      </c>
      <c r="N44" s="55">
        <f t="shared" ca="1" si="20"/>
        <v>92220583.34207429</v>
      </c>
      <c r="O44" s="55">
        <f t="shared" ca="1" si="20"/>
        <v>92127188.90558517</v>
      </c>
      <c r="P44" s="55">
        <f t="shared" ca="1" si="20"/>
        <v>92276639.912228808</v>
      </c>
      <c r="Q44" s="55">
        <f t="shared" ca="1" si="20"/>
        <v>92558249.961664766</v>
      </c>
      <c r="R44" s="65">
        <f t="shared" ca="1" si="20"/>
        <v>92985234.655091539</v>
      </c>
    </row>
    <row r="45" spans="2:18">
      <c r="B45" s="64" t="str">
        <f t="shared" si="11"/>
        <v>GS 50 - 2,999</v>
      </c>
      <c r="C45" s="55">
        <f t="shared" ca="1" si="12"/>
        <v>941797562.22393441</v>
      </c>
      <c r="D45" s="55">
        <f t="shared" ca="1" si="13"/>
        <v>978135426.89668632</v>
      </c>
      <c r="E45" s="55">
        <f t="shared" ca="1" si="14"/>
        <v>1009573024.6869053</v>
      </c>
      <c r="F45" s="55">
        <f t="shared" ca="1" si="15"/>
        <v>1024897887.6704686</v>
      </c>
      <c r="G45" s="55">
        <f t="shared" ca="1" si="16"/>
        <v>1027303091.9141679</v>
      </c>
      <c r="H45" s="55">
        <f t="shared" ca="1" si="17"/>
        <v>1023350446.9871242</v>
      </c>
      <c r="I45" s="65">
        <f t="shared" ca="1" si="18"/>
        <v>1028125625.347676</v>
      </c>
      <c r="K45" s="64" t="str">
        <f>K31</f>
        <v>GS 50 - 2,999</v>
      </c>
      <c r="L45" s="55">
        <f t="shared" ca="1" si="20"/>
        <v>333000010.61574209</v>
      </c>
      <c r="M45" s="55">
        <f t="shared" ca="1" si="20"/>
        <v>347810939.07917917</v>
      </c>
      <c r="N45" s="55">
        <f t="shared" ca="1" si="20"/>
        <v>355866835.57952148</v>
      </c>
      <c r="O45" s="55">
        <f t="shared" ca="1" si="20"/>
        <v>358980060.58430421</v>
      </c>
      <c r="P45" s="55">
        <f t="shared" ca="1" si="20"/>
        <v>364191858.4493953</v>
      </c>
      <c r="Q45" s="55">
        <f t="shared" ca="1" si="20"/>
        <v>366061156.97285277</v>
      </c>
      <c r="R45" s="65">
        <f t="shared" ca="1" si="20"/>
        <v>366512223.63877064</v>
      </c>
    </row>
    <row r="46" spans="2:18">
      <c r="B46" s="64" t="str">
        <f t="shared" si="11"/>
        <v>GS 3,000 - 4,999</v>
      </c>
      <c r="C46" s="55">
        <f t="shared" ca="1" si="12"/>
        <v>124237376.2739265</v>
      </c>
      <c r="D46" s="55">
        <f t="shared" ca="1" si="13"/>
        <v>164781983.97740611</v>
      </c>
      <c r="E46" s="55">
        <f t="shared" ca="1" si="14"/>
        <v>187457996.07098451</v>
      </c>
      <c r="F46" s="55">
        <f t="shared" ca="1" si="15"/>
        <v>195309209.55412859</v>
      </c>
      <c r="G46" s="55">
        <f t="shared" ca="1" si="16"/>
        <v>199992565.9717893</v>
      </c>
      <c r="H46" s="55">
        <f t="shared" ca="1" si="17"/>
        <v>203774003.9037419</v>
      </c>
      <c r="I46" s="65">
        <f t="shared" ca="1" si="18"/>
        <v>207751809.80116576</v>
      </c>
      <c r="K46" s="64" t="str">
        <f>K32</f>
        <v>GS 3,000 - 4,999</v>
      </c>
      <c r="L46" s="55">
        <f t="shared" ca="1" si="20"/>
        <v>90574521.320152208</v>
      </c>
      <c r="M46" s="55">
        <f t="shared" ca="1" si="20"/>
        <v>109411111.63764702</v>
      </c>
      <c r="N46" s="55">
        <f t="shared" ca="1" si="20"/>
        <v>121483640.89527072</v>
      </c>
      <c r="O46" s="55">
        <f t="shared" ca="1" si="20"/>
        <v>125836143.41840598</v>
      </c>
      <c r="P46" s="55">
        <f t="shared" ca="1" si="20"/>
        <v>129926236.49593435</v>
      </c>
      <c r="Q46" s="55">
        <f t="shared" ca="1" si="20"/>
        <v>138457257.88667884</v>
      </c>
      <c r="R46" s="65">
        <f t="shared" ca="1" si="20"/>
        <v>148047521.96019441</v>
      </c>
    </row>
    <row r="47" spans="2:18">
      <c r="B47" s="64" t="str">
        <f t="shared" si="11"/>
        <v>Large Use</v>
      </c>
      <c r="C47" s="55">
        <f t="shared" ca="1" si="12"/>
        <v>331686368.21779627</v>
      </c>
      <c r="D47" s="55">
        <f t="shared" ca="1" si="13"/>
        <v>361053715.99987245</v>
      </c>
      <c r="E47" s="55">
        <f t="shared" ca="1" si="14"/>
        <v>408628326.68616831</v>
      </c>
      <c r="F47" s="55">
        <f t="shared" ca="1" si="15"/>
        <v>501277598.92863512</v>
      </c>
      <c r="G47" s="55">
        <f t="shared" ca="1" si="16"/>
        <v>570944946.26759028</v>
      </c>
      <c r="H47" s="55">
        <f t="shared" ca="1" si="17"/>
        <v>595286465.87812722</v>
      </c>
      <c r="I47" s="65">
        <f t="shared" ca="1" si="18"/>
        <v>605876118.45883048</v>
      </c>
      <c r="K47" s="64"/>
      <c r="L47" s="55"/>
      <c r="M47" s="55"/>
      <c r="N47" s="55"/>
      <c r="O47" s="55"/>
      <c r="P47" s="55"/>
      <c r="Q47" s="55"/>
      <c r="R47" s="65"/>
    </row>
    <row r="48" spans="2:18">
      <c r="B48" s="64" t="str">
        <f t="shared" si="11"/>
        <v>Street Light</v>
      </c>
      <c r="C48" s="55">
        <f t="shared" ca="1" si="12"/>
        <v>12269224.120433811</v>
      </c>
      <c r="D48" s="55">
        <f t="shared" ca="1" si="13"/>
        <v>12395336.807082044</v>
      </c>
      <c r="E48" s="55">
        <f t="shared" ca="1" si="14"/>
        <v>12522745.778611662</v>
      </c>
      <c r="F48" s="55">
        <f t="shared" ca="1" si="15"/>
        <v>12651464.359253068</v>
      </c>
      <c r="G48" s="55">
        <f t="shared" ca="1" si="16"/>
        <v>12781506.01019353</v>
      </c>
      <c r="H48" s="55">
        <f t="shared" ca="1" si="17"/>
        <v>12912884.330984939</v>
      </c>
      <c r="I48" s="65">
        <f t="shared" ca="1" si="18"/>
        <v>13045613.060966017</v>
      </c>
      <c r="K48" s="64" t="str">
        <f>K34</f>
        <v>Street Light</v>
      </c>
      <c r="L48" s="55">
        <f t="shared" ref="L48:R50" ca="1" si="21">M20-L34</f>
        <v>3769413.3310388532</v>
      </c>
      <c r="M48" s="55">
        <f t="shared" ca="1" si="21"/>
        <v>3831737.5829530451</v>
      </c>
      <c r="N48" s="55">
        <f t="shared" ca="1" si="21"/>
        <v>3895092.3168111197</v>
      </c>
      <c r="O48" s="55">
        <f t="shared" ca="1" si="21"/>
        <v>3959494.5708125578</v>
      </c>
      <c r="P48" s="55">
        <f t="shared" ca="1" si="21"/>
        <v>4024961.6648699204</v>
      </c>
      <c r="Q48" s="55">
        <f t="shared" ca="1" si="21"/>
        <v>4091511.2052667504</v>
      </c>
      <c r="R48" s="65">
        <f t="shared" ca="1" si="21"/>
        <v>4159161.089392487</v>
      </c>
    </row>
    <row r="49" spans="2:20">
      <c r="B49" s="64" t="str">
        <f t="shared" si="11"/>
        <v>Sentinel Light</v>
      </c>
      <c r="C49" s="55">
        <f t="shared" ca="1" si="12"/>
        <v>213059.04438813563</v>
      </c>
      <c r="D49" s="55">
        <f t="shared" ca="1" si="13"/>
        <v>209454.13284786118</v>
      </c>
      <c r="E49" s="55">
        <f t="shared" ca="1" si="14"/>
        <v>205910.21560731487</v>
      </c>
      <c r="F49" s="55">
        <f t="shared" ca="1" si="15"/>
        <v>202426.26065654092</v>
      </c>
      <c r="G49" s="55">
        <f t="shared" ca="1" si="16"/>
        <v>199001.25344696196</v>
      </c>
      <c r="H49" s="55">
        <f t="shared" ca="1" si="17"/>
        <v>195634.19659593637</v>
      </c>
      <c r="I49" s="65">
        <f t="shared" ca="1" si="18"/>
        <v>192324.10959631458</v>
      </c>
      <c r="K49" s="64" t="str">
        <f>K35</f>
        <v>Sentinel Light</v>
      </c>
      <c r="L49" s="55">
        <f t="shared" ca="1" si="21"/>
        <v>31238.247693689678</v>
      </c>
      <c r="M49" s="55">
        <f t="shared" ca="1" si="21"/>
        <v>31652.571214880914</v>
      </c>
      <c r="N49" s="55">
        <f t="shared" ca="1" si="21"/>
        <v>32072.390050082573</v>
      </c>
      <c r="O49" s="55">
        <f t="shared" ca="1" si="21"/>
        <v>32497.777085516482</v>
      </c>
      <c r="P49" s="55">
        <f t="shared" ca="1" si="21"/>
        <v>32928.806174119265</v>
      </c>
      <c r="Q49" s="55">
        <f t="shared" ca="1" si="21"/>
        <v>33365.552148364186</v>
      </c>
      <c r="R49" s="65">
        <f t="shared" ca="1" si="21"/>
        <v>33808.090833253111</v>
      </c>
    </row>
    <row r="50" spans="2:20">
      <c r="B50" s="64" t="str">
        <f t="shared" si="11"/>
        <v>USL</v>
      </c>
      <c r="C50" s="55">
        <f t="shared" ca="1" si="12"/>
        <v>4568421.3099587467</v>
      </c>
      <c r="D50" s="55">
        <f t="shared" ca="1" si="13"/>
        <v>4505369.3749406869</v>
      </c>
      <c r="E50" s="55">
        <f t="shared" ca="1" si="14"/>
        <v>4443187.6631879052</v>
      </c>
      <c r="F50" s="55">
        <f t="shared" ca="1" si="15"/>
        <v>4381864.1641486054</v>
      </c>
      <c r="G50" s="55">
        <f t="shared" ca="1" si="16"/>
        <v>4321387.0330369044</v>
      </c>
      <c r="H50" s="55">
        <f t="shared" ca="1" si="17"/>
        <v>4261744.5885449816</v>
      </c>
      <c r="I50" s="65">
        <f t="shared" ca="1" si="18"/>
        <v>4202925.3105868073</v>
      </c>
      <c r="K50" s="64" t="str">
        <f>K36</f>
        <v>USL</v>
      </c>
      <c r="L50" s="55">
        <f t="shared" ca="1" si="21"/>
        <v>1926400.0408803986</v>
      </c>
      <c r="M50" s="55">
        <f t="shared" ca="1" si="21"/>
        <v>1936353.0077134862</v>
      </c>
      <c r="N50" s="55">
        <f t="shared" ca="1" si="21"/>
        <v>1946357.3976916517</v>
      </c>
      <c r="O50" s="55">
        <f t="shared" ca="1" si="21"/>
        <v>1956413.4764984741</v>
      </c>
      <c r="P50" s="55">
        <f t="shared" ca="1" si="21"/>
        <v>1966521.5111902175</v>
      </c>
      <c r="Q50" s="55">
        <f t="shared" ca="1" si="21"/>
        <v>1976681.7702029219</v>
      </c>
      <c r="R50" s="65">
        <f t="shared" ca="1" si="21"/>
        <v>1986894.5233595334</v>
      </c>
    </row>
    <row r="51" spans="2:20" ht="13.5" thickBot="1">
      <c r="B51" s="63" t="s">
        <v>65</v>
      </c>
      <c r="C51" s="62">
        <f t="shared" ref="C51:I51" ca="1" si="22">SUM(C42:C50)</f>
        <v>2805639883.1090355</v>
      </c>
      <c r="D51" s="62">
        <f t="shared" ca="1" si="22"/>
        <v>2934560418.345211</v>
      </c>
      <c r="E51" s="62">
        <f t="shared" ca="1" si="22"/>
        <v>3060018661.1573014</v>
      </c>
      <c r="F51" s="62">
        <f t="shared" ca="1" si="22"/>
        <v>3200150854.4782677</v>
      </c>
      <c r="G51" s="62">
        <f t="shared" ca="1" si="22"/>
        <v>3299421413.3886533</v>
      </c>
      <c r="H51" s="62">
        <f t="shared" ca="1" si="22"/>
        <v>3351774522.4534073</v>
      </c>
      <c r="I51" s="60">
        <f t="shared" ca="1" si="22"/>
        <v>3401916292.3408098</v>
      </c>
      <c r="K51" s="63" t="s">
        <v>65</v>
      </c>
      <c r="L51" s="62">
        <f ca="1">SUM(L42:L50)</f>
        <v>942035552.33934319</v>
      </c>
      <c r="M51" s="62">
        <f t="shared" ref="M51:R51" ca="1" si="23">SUM(M42:M50)</f>
        <v>984386153.80850744</v>
      </c>
      <c r="N51" s="62">
        <f t="shared" ca="1" si="23"/>
        <v>1014541625.335692</v>
      </c>
      <c r="O51" s="62">
        <f t="shared" ca="1" si="23"/>
        <v>1029808035.4807874</v>
      </c>
      <c r="P51" s="62">
        <f t="shared" ca="1" si="23"/>
        <v>1048425700.518127</v>
      </c>
      <c r="Q51" s="62">
        <f t="shared" ca="1" si="23"/>
        <v>1071142620.1595274</v>
      </c>
      <c r="R51" s="60">
        <f t="shared" ca="1" si="23"/>
        <v>1092152556.6687</v>
      </c>
    </row>
    <row r="52" spans="2:20">
      <c r="F52" s="56"/>
    </row>
    <row r="53" spans="2:20">
      <c r="F53" s="56"/>
    </row>
    <row r="54" spans="2:20" ht="16.5" thickBot="1">
      <c r="B54" s="71" t="s">
        <v>449</v>
      </c>
    </row>
    <row r="55" spans="2:20">
      <c r="B55" s="70" t="s">
        <v>199</v>
      </c>
      <c r="C55" s="69" t="s">
        <v>476</v>
      </c>
      <c r="D55" s="69" t="s">
        <v>477</v>
      </c>
      <c r="E55" s="69" t="s">
        <v>478</v>
      </c>
      <c r="F55" s="69" t="s">
        <v>479</v>
      </c>
      <c r="G55" s="69" t="s">
        <v>480</v>
      </c>
      <c r="H55" s="69" t="s">
        <v>481</v>
      </c>
      <c r="I55" s="69" t="s">
        <v>482</v>
      </c>
      <c r="J55" s="69" t="s">
        <v>483</v>
      </c>
      <c r="K55" s="69" t="s">
        <v>484</v>
      </c>
      <c r="L55" s="69" t="s">
        <v>528</v>
      </c>
      <c r="M55" s="69" t="s">
        <v>195</v>
      </c>
      <c r="N55" s="69" t="s">
        <v>196</v>
      </c>
      <c r="O55" s="69" t="s">
        <v>487</v>
      </c>
      <c r="P55" s="69" t="s">
        <v>488</v>
      </c>
      <c r="Q55" s="69" t="s">
        <v>489</v>
      </c>
      <c r="R55" s="69" t="s">
        <v>490</v>
      </c>
      <c r="S55" s="67" t="s">
        <v>491</v>
      </c>
    </row>
    <row r="56" spans="2:20">
      <c r="B56" s="64" t="str">
        <f>B45</f>
        <v>GS 50 - 2,999</v>
      </c>
      <c r="C56" s="55">
        <f ca="1">OFFSET('kW Forecast'!$D$6,COLUMN()-COLUMN($C$65),0)</f>
        <v>2278207.1437237901</v>
      </c>
      <c r="D56" s="55">
        <f ca="1">OFFSET('kW Forecast'!$D$6,COLUMN()-COLUMN($C$65),0)</f>
        <v>2342969.96</v>
      </c>
      <c r="E56" s="55">
        <f ca="1">OFFSET('kW Forecast'!$D$6,COLUMN()-COLUMN($C$65),0)</f>
        <v>2295183.8399999994</v>
      </c>
      <c r="F56" s="55">
        <f ca="1">OFFSET('kW Forecast'!$D$6,COLUMN()-COLUMN($C$65),0)</f>
        <v>2313760.27</v>
      </c>
      <c r="G56" s="55">
        <f ca="1">OFFSET('kW Forecast'!$D$6,COLUMN()-COLUMN($C$65),0)</f>
        <v>2245850.48</v>
      </c>
      <c r="H56" s="55">
        <f ca="1">OFFSET('kW Forecast'!$D$6,COLUMN()-COLUMN($C$65),0)</f>
        <v>2160161.04</v>
      </c>
      <c r="I56" s="55">
        <f ca="1">OFFSET('kW Forecast'!$D$6,COLUMN()-COLUMN($C$65),0)</f>
        <v>2190090.0699999994</v>
      </c>
      <c r="J56" s="55">
        <f ca="1">OFFSET('kW Forecast'!$D$6,COLUMN()-COLUMN($C$65),0)</f>
        <v>2248196.86</v>
      </c>
      <c r="K56" s="55">
        <f ca="1">OFFSET('kW Forecast'!$D$6,COLUMN()-COLUMN($C$65),0)</f>
        <v>2217562.73</v>
      </c>
      <c r="L56" s="55">
        <f ca="1">OFFSET('kW Forecast'!$D$6,COLUMN()-COLUMN($C$65),0)</f>
        <v>2202593.3899999997</v>
      </c>
      <c r="M56" s="55">
        <f ca="1">OFFSET('kW Forecast'!$G$19,COLUMN()-COLUMN($K56),0)</f>
        <v>2291558.7530487799</v>
      </c>
      <c r="N56" s="55">
        <f ca="1">OFFSET('kW Forecast'!$G$19,COLUMN()-COLUMN($K56),0)</f>
        <v>2421524.6482410766</v>
      </c>
      <c r="O56" s="55">
        <f ca="1">OFFSET('kW Forecast'!$G$19,COLUMN()-COLUMN($K56),0)</f>
        <v>2544818.9157957616</v>
      </c>
      <c r="P56" s="55">
        <f ca="1">OFFSET('kW Forecast'!$G$19,COLUMN()-COLUMN($K56),0)</f>
        <v>2633210.486616693</v>
      </c>
      <c r="Q56" s="55">
        <f ca="1">OFFSET('kW Forecast'!$G$19,COLUMN()-COLUMN($K56),0)</f>
        <v>2694345.2544028829</v>
      </c>
      <c r="R56" s="55">
        <f ca="1">OFFSET('kW Forecast'!$G$19,COLUMN()-COLUMN($K56),0)</f>
        <v>2743409.6355915153</v>
      </c>
      <c r="S56" s="65">
        <f ca="1">OFFSET('kW Forecast'!$G$19,COLUMN()-COLUMN($K56),0)</f>
        <v>2816120.0992779671</v>
      </c>
      <c r="T56" s="55"/>
    </row>
    <row r="57" spans="2:20">
      <c r="B57" s="64" t="str">
        <f>B46</f>
        <v>GS 3,000 - 4,999</v>
      </c>
      <c r="C57" s="55">
        <f ca="1">OFFSET('kW Forecast'!$K$6,COLUMN()-COLUMN($C$65),0)</f>
        <v>194667.50288459152</v>
      </c>
      <c r="D57" s="55">
        <f ca="1">OFFSET('kW Forecast'!$K$6,COLUMN()-COLUMN($C$65),0)</f>
        <v>223616.35</v>
      </c>
      <c r="E57" s="55">
        <f ca="1">OFFSET('kW Forecast'!$K$6,COLUMN()-COLUMN($C$65),0)</f>
        <v>200189.70000000004</v>
      </c>
      <c r="F57" s="55">
        <f ca="1">OFFSET('kW Forecast'!$K$6,COLUMN()-COLUMN($C$65),0)</f>
        <v>189119.25000000003</v>
      </c>
      <c r="G57" s="55">
        <f ca="1">OFFSET('kW Forecast'!$K$6,COLUMN()-COLUMN($C$65),0)</f>
        <v>195386.42</v>
      </c>
      <c r="H57" s="55">
        <f ca="1">OFFSET('kW Forecast'!$K$6,COLUMN()-COLUMN($C$65),0)</f>
        <v>192683.53999999998</v>
      </c>
      <c r="I57" s="55">
        <f ca="1">OFFSET('kW Forecast'!$K$6,COLUMN()-COLUMN($C$65),0)</f>
        <v>216388.10000000003</v>
      </c>
      <c r="J57" s="55">
        <f ca="1">OFFSET('kW Forecast'!$K$6,COLUMN()-COLUMN($C$65),0)</f>
        <v>228646.87000000002</v>
      </c>
      <c r="K57" s="55">
        <f ca="1">OFFSET('kW Forecast'!$K$6,COLUMN()-COLUMN($C$65),0)</f>
        <v>234048.35</v>
      </c>
      <c r="L57" s="55">
        <f ca="1">OFFSET('kW Forecast'!$K$6,COLUMN()-COLUMN($C$65),0)</f>
        <v>215659.85000000003</v>
      </c>
      <c r="M57" s="55">
        <f ca="1">OFFSET('kW Forecast'!$O$19,COLUMN()-COLUMN($K57),0)</f>
        <v>270895.58237171127</v>
      </c>
      <c r="N57" s="55">
        <f ca="1">OFFSET('kW Forecast'!$O$19,COLUMN()-COLUMN($K57),0)</f>
        <v>361547.98350374302</v>
      </c>
      <c r="O57" s="55">
        <f ca="1">OFFSET('kW Forecast'!$O$19,COLUMN()-COLUMN($K57),0)</f>
        <v>414054.66144655779</v>
      </c>
      <c r="P57" s="55">
        <f ca="1">OFFSET('kW Forecast'!$O$19,COLUMN()-COLUMN($K57),0)</f>
        <v>434907.16360370023</v>
      </c>
      <c r="Q57" s="55">
        <f ca="1">OFFSET('kW Forecast'!$O$19,COLUMN()-COLUMN($K57),0)</f>
        <v>449320.22557102551</v>
      </c>
      <c r="R57" s="55">
        <f ca="1">OFFSET('kW Forecast'!$O$19,COLUMN()-COLUMN($K57),0)</f>
        <v>462094.98393583077</v>
      </c>
      <c r="S57" s="65">
        <f ca="1">OFFSET('kW Forecast'!$O$19,COLUMN()-COLUMN($K57),0)</f>
        <v>475555.28750977298</v>
      </c>
      <c r="T57" s="55"/>
    </row>
    <row r="58" spans="2:20">
      <c r="B58" s="64" t="str">
        <f>B47</f>
        <v>Large Use</v>
      </c>
      <c r="C58" s="55">
        <f ca="1">OFFSET('kW Forecast'!$S$6,COLUMN()-COLUMN($C$65),0)</f>
        <v>361254.63310506125</v>
      </c>
      <c r="D58" s="55">
        <f ca="1">OFFSET('kW Forecast'!$S$6,COLUMN()-COLUMN($C$65),0)</f>
        <v>421758</v>
      </c>
      <c r="E58" s="55">
        <f ca="1">OFFSET('kW Forecast'!$S$6,COLUMN()-COLUMN($C$65),0)</f>
        <v>382866</v>
      </c>
      <c r="F58" s="55">
        <f ca="1">OFFSET('kW Forecast'!$S$6,COLUMN()-COLUMN($C$65),0)</f>
        <v>423038</v>
      </c>
      <c r="G58" s="55">
        <f ca="1">OFFSET('kW Forecast'!$S$6,COLUMN()-COLUMN($C$65),0)</f>
        <v>433414</v>
      </c>
      <c r="H58" s="55">
        <f ca="1">OFFSET('kW Forecast'!$S$6,COLUMN()-COLUMN($C$65),0)</f>
        <v>453257</v>
      </c>
      <c r="I58" s="55">
        <f ca="1">OFFSET('kW Forecast'!$S$6,COLUMN()-COLUMN($C$65),0)</f>
        <v>481567</v>
      </c>
      <c r="J58" s="55">
        <f ca="1">OFFSET('kW Forecast'!$S$6,COLUMN()-COLUMN($C$65),0)</f>
        <v>490452</v>
      </c>
      <c r="K58" s="55">
        <f ca="1">OFFSET('kW Forecast'!$S$6,COLUMN()-COLUMN($C$65),0)</f>
        <v>518389.27999999997</v>
      </c>
      <c r="L58" s="55">
        <f ca="1">OFFSET('kW Forecast'!$S$6,COLUMN()-COLUMN($C$65),0)</f>
        <v>532510.09</v>
      </c>
      <c r="M58" s="55">
        <f ca="1">OFFSET('kW Forecast'!$W$19,COLUMN()-COLUMN($K58),0)</f>
        <v>572177.1630624634</v>
      </c>
      <c r="N58" s="55">
        <f ca="1">OFFSET('kW Forecast'!$W$19,COLUMN()-COLUMN($K58),0)</f>
        <v>632468.48033445701</v>
      </c>
      <c r="O58" s="55">
        <f ca="1">OFFSET('kW Forecast'!$W$19,COLUMN()-COLUMN($K58),0)</f>
        <v>726264.65441780514</v>
      </c>
      <c r="P58" s="55">
        <f ca="1">OFFSET('kW Forecast'!$W$19,COLUMN()-COLUMN($K58),0)</f>
        <v>898888.92788284295</v>
      </c>
      <c r="Q58" s="55">
        <f ca="1">OFFSET('kW Forecast'!$W$19,COLUMN()-COLUMN($K58),0)</f>
        <v>1033837.0153169513</v>
      </c>
      <c r="R58" s="55">
        <f ca="1">OFFSET('kW Forecast'!$W$19,COLUMN()-COLUMN($K58),0)</f>
        <v>1093299.2112046846</v>
      </c>
      <c r="S58" s="65">
        <f ca="1">OFFSET('kW Forecast'!$W$19,COLUMN()-COLUMN($K58),0)</f>
        <v>1130712.4019692407</v>
      </c>
      <c r="T58" s="55"/>
    </row>
    <row r="59" spans="2:20">
      <c r="B59" s="64" t="str">
        <f>B48</f>
        <v>Street Light</v>
      </c>
      <c r="C59" s="55">
        <f ca="1">OFFSET('kW Forecast'!$AA$6,COLUMN()-COLUMN($C$65),0)</f>
        <v>57817.140000000007</v>
      </c>
      <c r="D59" s="55">
        <f ca="1">OFFSET('kW Forecast'!$AA$6,COLUMN()-COLUMN($C$65),0)</f>
        <v>57564.81</v>
      </c>
      <c r="E59" s="55">
        <f ca="1">OFFSET('kW Forecast'!$AA$6,COLUMN()-COLUMN($C$65),0)</f>
        <v>54832.51</v>
      </c>
      <c r="F59" s="55">
        <f ca="1">OFFSET('kW Forecast'!$AA$6,COLUMN()-COLUMN($C$65),0)</f>
        <v>43114.93</v>
      </c>
      <c r="G59" s="55">
        <f ca="1">OFFSET('kW Forecast'!$AA$6,COLUMN()-COLUMN($C$65),0)</f>
        <v>36690.920000000006</v>
      </c>
      <c r="H59" s="55">
        <f ca="1">OFFSET('kW Forecast'!$AA$6,COLUMN()-COLUMN($C$65),0)</f>
        <v>31667.35</v>
      </c>
      <c r="I59" s="55">
        <f ca="1">OFFSET('kW Forecast'!$AA$6,COLUMN()-COLUMN($C$65),0)</f>
        <v>31122.25</v>
      </c>
      <c r="J59" s="55">
        <f ca="1">OFFSET('kW Forecast'!$AA$6,COLUMN()-COLUMN($C$65),0)</f>
        <v>31016.899999999998</v>
      </c>
      <c r="K59" s="55">
        <f ca="1">OFFSET('kW Forecast'!$AA$6,COLUMN()-COLUMN($C$65),0)</f>
        <v>31561.47</v>
      </c>
      <c r="L59" s="55">
        <f ca="1">OFFSET('kW Forecast'!$AA$6,COLUMN()-COLUMN($C$65),0)</f>
        <v>32173.850000000002</v>
      </c>
      <c r="M59" s="55">
        <f ca="1">OFFSET('kW Forecast'!$AA$19,COLUMN()-COLUMN($K59),0)</f>
        <v>32694.531495072591</v>
      </c>
      <c r="N59" s="55">
        <f ca="1">OFFSET('kW Forecast'!$AA$19,COLUMN()-COLUMN($K59),0)</f>
        <v>33030.591474503723</v>
      </c>
      <c r="O59" s="55">
        <f ca="1">OFFSET('kW Forecast'!$AA$19,COLUMN()-COLUMN($K59),0)</f>
        <v>33370.10574138326</v>
      </c>
      <c r="P59" s="55">
        <f ca="1">OFFSET('kW Forecast'!$AA$19,COLUMN()-COLUMN($K59),0)</f>
        <v>33713.109801580729</v>
      </c>
      <c r="Q59" s="55">
        <f ca="1">OFFSET('kW Forecast'!$AA$19,COLUMN()-COLUMN($K59),0)</f>
        <v>34059.639525922736</v>
      </c>
      <c r="R59" s="55">
        <f ca="1">OFFSET('kW Forecast'!$AA$19,COLUMN()-COLUMN($K59),0)</f>
        <v>34409.731153944325</v>
      </c>
      <c r="S59" s="65">
        <f ca="1">OFFSET('kW Forecast'!$AA$19,COLUMN()-COLUMN($K59),0)</f>
        <v>34763.421297678848</v>
      </c>
      <c r="T59" s="55"/>
    </row>
    <row r="60" spans="2:20">
      <c r="B60" s="64" t="str">
        <f>B49</f>
        <v>Sentinel Light</v>
      </c>
      <c r="C60" s="55">
        <f ca="1">OFFSET('kW Forecast'!$AH$6,COLUMN()-COLUMN($C$65),0)</f>
        <v>1014</v>
      </c>
      <c r="D60" s="55">
        <f ca="1">OFFSET('kW Forecast'!$AH$6,COLUMN()-COLUMN($C$65),0)</f>
        <v>1014</v>
      </c>
      <c r="E60" s="55">
        <f ca="1">OFFSET('kW Forecast'!$AH$6,COLUMN()-COLUMN($C$65),0)</f>
        <v>967.00000000000011</v>
      </c>
      <c r="F60" s="55">
        <f ca="1">OFFSET('kW Forecast'!$AH$6,COLUMN()-COLUMN($C$65),0)</f>
        <v>720</v>
      </c>
      <c r="G60" s="55">
        <f ca="1">OFFSET('kW Forecast'!$AH$6,COLUMN()-COLUMN($C$65),0)</f>
        <v>629</v>
      </c>
      <c r="H60" s="55">
        <f ca="1">OFFSET('kW Forecast'!$AH$6,COLUMN()-COLUMN($C$65),0)</f>
        <v>642</v>
      </c>
      <c r="I60" s="55">
        <f ca="1">OFFSET('kW Forecast'!$AH$6,COLUMN()-COLUMN($C$65),0)</f>
        <v>632</v>
      </c>
      <c r="J60" s="55">
        <f ca="1">OFFSET('kW Forecast'!$AH$6,COLUMN()-COLUMN($C$65),0)</f>
        <v>601</v>
      </c>
      <c r="K60" s="55">
        <f ca="1">OFFSET('kW Forecast'!$AH$6,COLUMN()-COLUMN($C$65),0)</f>
        <v>608</v>
      </c>
      <c r="L60" s="55">
        <f ca="1">OFFSET('kW Forecast'!$AH$6,COLUMN()-COLUMN($C$65),0)</f>
        <v>602</v>
      </c>
      <c r="M60" s="55">
        <f ca="1">OFFSET('kW Forecast'!$AH$19,COLUMN()-COLUMN($K60),0)</f>
        <v>591.00035762195512</v>
      </c>
      <c r="N60" s="55">
        <f ca="1">OFFSET('kW Forecast'!$AH$19,COLUMN()-COLUMN($K60),0)</f>
        <v>581.00076330472677</v>
      </c>
      <c r="O60" s="55">
        <f ca="1">OFFSET('kW Forecast'!$AH$19,COLUMN()-COLUMN($K60),0)</f>
        <v>571.17035989444037</v>
      </c>
      <c r="P60" s="55">
        <f ca="1">OFFSET('kW Forecast'!$AH$19,COLUMN()-COLUMN($K60),0)</f>
        <v>561.50628471866321</v>
      </c>
      <c r="Q60" s="55">
        <f ca="1">OFFSET('kW Forecast'!$AH$19,COLUMN()-COLUMN($K60),0)</f>
        <v>552.00572354074188</v>
      </c>
      <c r="R60" s="55">
        <f ca="1">OFFSET('kW Forecast'!$AH$19,COLUMN()-COLUMN($K60),0)</f>
        <v>542.66590974027986</v>
      </c>
      <c r="S60" s="65">
        <f ca="1">OFFSET('kW Forecast'!$AH$19,COLUMN()-COLUMN($K60),0)</f>
        <v>533.48412350748094</v>
      </c>
      <c r="T60" s="55"/>
    </row>
    <row r="61" spans="2:20" ht="13.5" thickBot="1">
      <c r="B61" s="63" t="s">
        <v>65</v>
      </c>
      <c r="C61" s="62">
        <f ca="1">SUM(C56:C60)</f>
        <v>2892960.4197134427</v>
      </c>
      <c r="D61" s="62">
        <f t="shared" ref="D61:L61" ca="1" si="24">SUM(D56:D60)</f>
        <v>3046923.12</v>
      </c>
      <c r="E61" s="62">
        <f t="shared" ca="1" si="24"/>
        <v>2934039.0499999993</v>
      </c>
      <c r="F61" s="62">
        <f t="shared" ca="1" si="24"/>
        <v>2969752.45</v>
      </c>
      <c r="G61" s="62">
        <f t="shared" ca="1" si="24"/>
        <v>2911970.82</v>
      </c>
      <c r="H61" s="62">
        <f t="shared" ca="1" si="24"/>
        <v>2838410.93</v>
      </c>
      <c r="I61" s="62">
        <f t="shared" ca="1" si="24"/>
        <v>2919799.4199999995</v>
      </c>
      <c r="J61" s="62">
        <f t="shared" ca="1" si="24"/>
        <v>2998913.63</v>
      </c>
      <c r="K61" s="62">
        <f t="shared" ca="1" si="24"/>
        <v>3002169.83</v>
      </c>
      <c r="L61" s="62">
        <f t="shared" ca="1" si="24"/>
        <v>2983539.1799999997</v>
      </c>
      <c r="M61" s="62">
        <f t="shared" ref="M61:S61" ca="1" si="25">SUM(M56:M60)</f>
        <v>3167917.0303356489</v>
      </c>
      <c r="N61" s="62">
        <f t="shared" ca="1" si="25"/>
        <v>3449152.704317085</v>
      </c>
      <c r="O61" s="62">
        <f t="shared" ca="1" si="25"/>
        <v>3719079.5077614025</v>
      </c>
      <c r="P61" s="62">
        <f t="shared" ca="1" si="25"/>
        <v>4001281.1941895355</v>
      </c>
      <c r="Q61" s="62">
        <f t="shared" ca="1" si="25"/>
        <v>4212114.1405403232</v>
      </c>
      <c r="R61" s="62">
        <f t="shared" ca="1" si="25"/>
        <v>4333756.2277957154</v>
      </c>
      <c r="S61" s="60">
        <f t="shared" ca="1" si="25"/>
        <v>4457684.6941781668</v>
      </c>
      <c r="T61" s="55"/>
    </row>
    <row r="62" spans="2:20">
      <c r="T62" s="55"/>
    </row>
    <row r="63" spans="2:20" ht="16.5" thickBot="1">
      <c r="B63" s="71" t="s">
        <v>449</v>
      </c>
      <c r="C63" s="71" t="s">
        <v>352</v>
      </c>
      <c r="T63" s="55"/>
    </row>
    <row r="64" spans="2:20">
      <c r="B64" s="70" t="s">
        <v>199</v>
      </c>
      <c r="C64" s="69" t="s">
        <v>476</v>
      </c>
      <c r="D64" s="69" t="s">
        <v>477</v>
      </c>
      <c r="E64" s="69" t="s">
        <v>478</v>
      </c>
      <c r="F64" s="69" t="s">
        <v>479</v>
      </c>
      <c r="G64" s="69" t="s">
        <v>480</v>
      </c>
      <c r="H64" s="69" t="s">
        <v>481</v>
      </c>
      <c r="I64" s="69" t="s">
        <v>482</v>
      </c>
      <c r="J64" s="69" t="s">
        <v>483</v>
      </c>
      <c r="K64" s="69" t="s">
        <v>484</v>
      </c>
      <c r="L64" s="69" t="s">
        <v>528</v>
      </c>
      <c r="M64" s="69" t="s">
        <v>195</v>
      </c>
      <c r="N64" s="69" t="s">
        <v>196</v>
      </c>
      <c r="O64" s="69" t="s">
        <v>487</v>
      </c>
      <c r="P64" s="69" t="s">
        <v>488</v>
      </c>
      <c r="Q64" s="69" t="s">
        <v>489</v>
      </c>
      <c r="R64" s="69" t="s">
        <v>490</v>
      </c>
      <c r="S64" s="67" t="s">
        <v>491</v>
      </c>
      <c r="T64" s="55"/>
    </row>
    <row r="65" spans="2:20">
      <c r="B65" s="64" t="str">
        <f>B56</f>
        <v>GS 50 - 2,999</v>
      </c>
      <c r="C65" s="55">
        <f ca="1">OFFSET('kW Forecast'!$AQ$6,COLUMN()-COLUMN($C$65),0)</f>
        <v>823988.30999999982</v>
      </c>
      <c r="D65" s="55">
        <f ca="1">OFFSET('kW Forecast'!$AQ$6,COLUMN()-COLUMN($C$65),0)</f>
        <v>847805.77999999991</v>
      </c>
      <c r="E65" s="55">
        <f ca="1">OFFSET('kW Forecast'!$AQ$6,COLUMN()-COLUMN($C$65),0)</f>
        <v>816193.45000000007</v>
      </c>
      <c r="F65" s="55">
        <f ca="1">OFFSET('kW Forecast'!$AQ$6,COLUMN()-COLUMN($C$65),0)</f>
        <v>835852.88</v>
      </c>
      <c r="G65" s="55">
        <f ca="1">OFFSET('kW Forecast'!$AQ$6,COLUMN()-COLUMN($C$65),0)</f>
        <v>811487.09999999986</v>
      </c>
      <c r="H65" s="55">
        <f ca="1">OFFSET('kW Forecast'!$AQ$6,COLUMN()-COLUMN($C$65),0)</f>
        <v>783041.75999999989</v>
      </c>
      <c r="I65" s="55">
        <f ca="1">OFFSET('kW Forecast'!$AQ$6,COLUMN()-COLUMN($C$65),0)</f>
        <v>760128.48</v>
      </c>
      <c r="J65" s="55">
        <f ca="1">OFFSET('kW Forecast'!$AQ$6,COLUMN()-COLUMN($C$65),0)</f>
        <v>795164.42999999993</v>
      </c>
      <c r="K65" s="55">
        <f ca="1">OFFSET('kW Forecast'!$AQ$6,COLUMN()-COLUMN($C$65),0)</f>
        <v>773424.36</v>
      </c>
      <c r="L65" s="55">
        <f ca="1">OFFSET('kW Forecast'!$AQ$6,COLUMN()-COLUMN($C$65),0)</f>
        <v>765937.02</v>
      </c>
      <c r="M65" s="55">
        <f ca="1">OFFSET('kW Forecast'!$AU$19,COLUMN()-COLUMN($K65),0)</f>
        <v>805572.13401930628</v>
      </c>
      <c r="N65" s="55">
        <f ca="1">OFFSET('kW Forecast'!$AU$19,COLUMN()-COLUMN($K65),0)</f>
        <v>861150.09475727112</v>
      </c>
      <c r="O65" s="55">
        <f ca="1">OFFSET('kW Forecast'!$AU$19,COLUMN()-COLUMN($K65),0)</f>
        <v>899152.25450047106</v>
      </c>
      <c r="P65" s="55">
        <f ca="1">OFFSET('kW Forecast'!$AU$19,COLUMN()-COLUMN($K65),0)</f>
        <v>927216.57680304325</v>
      </c>
      <c r="Q65" s="55">
        <f ca="1">OFFSET('kW Forecast'!$AU$19,COLUMN()-COLUMN($K65),0)</f>
        <v>961188.29480631871</v>
      </c>
      <c r="R65" s="55">
        <f ca="1">OFFSET('kW Forecast'!$AU$19,COLUMN()-COLUMN($K65),0)</f>
        <v>987570.65056596871</v>
      </c>
      <c r="S65" s="65">
        <f ca="1">OFFSET('kW Forecast'!$AU$19,COLUMN()-COLUMN($K65),0)</f>
        <v>1010789.2345567748</v>
      </c>
      <c r="T65" s="55"/>
    </row>
    <row r="66" spans="2:20">
      <c r="B66" s="64" t="str">
        <f>B57</f>
        <v>GS 3,000 - 4,999</v>
      </c>
      <c r="C66" s="55">
        <f ca="1">OFFSET('kW Forecast'!$AY$6,COLUMN()-COLUMN($C$65),0)</f>
        <v>90011.670000000013</v>
      </c>
      <c r="D66" s="55">
        <f ca="1">OFFSET('kW Forecast'!$AY$6,COLUMN()-COLUMN($C$65),0)</f>
        <v>93876.75</v>
      </c>
      <c r="E66" s="55">
        <f ca="1">OFFSET('kW Forecast'!$AY$6,COLUMN()-COLUMN($C$65),0)</f>
        <v>90337.329999999987</v>
      </c>
      <c r="F66" s="55">
        <f ca="1">OFFSET('kW Forecast'!$AY$6,COLUMN()-COLUMN($C$65),0)</f>
        <v>114913.62000000001</v>
      </c>
      <c r="G66" s="55">
        <f ca="1">OFFSET('kW Forecast'!$AY$6,COLUMN()-COLUMN($C$65),0)</f>
        <v>147600.45000000001</v>
      </c>
      <c r="H66" s="55">
        <f ca="1">OFFSET('kW Forecast'!$AY$6,COLUMN()-COLUMN($C$65),0)</f>
        <v>146756.25999999998</v>
      </c>
      <c r="I66" s="55">
        <f ca="1">OFFSET('kW Forecast'!$AY$6,COLUMN()-COLUMN($C$65),0)</f>
        <v>151779.59</v>
      </c>
      <c r="J66" s="55">
        <f ca="1">OFFSET('kW Forecast'!$AY$6,COLUMN()-COLUMN($C$65),0)</f>
        <v>164454.65</v>
      </c>
      <c r="K66" s="55">
        <f ca="1">OFFSET('kW Forecast'!$AY$6,COLUMN()-COLUMN($C$65),0)</f>
        <v>160651.39000000001</v>
      </c>
      <c r="L66" s="55">
        <f ca="1">OFFSET('kW Forecast'!$AY$6,COLUMN()-COLUMN($C$65),0)</f>
        <v>160377.93</v>
      </c>
      <c r="M66" s="55">
        <f ca="1">OFFSET('kW Forecast'!$BC$19,COLUMN()-COLUMN($K66),0)</f>
        <v>167731.70299014938</v>
      </c>
      <c r="N66" s="55">
        <f ca="1">OFFSET('kW Forecast'!$BC$19,COLUMN()-COLUMN($K66),0)</f>
        <v>204948.79065319334</v>
      </c>
      <c r="O66" s="55">
        <f ca="1">OFFSET('kW Forecast'!$BC$19,COLUMN()-COLUMN($K66),0)</f>
        <v>230231.71902234078</v>
      </c>
      <c r="P66" s="55">
        <f ca="1">OFFSET('kW Forecast'!$BC$19,COLUMN()-COLUMN($K66),0)</f>
        <v>241786.65251404676</v>
      </c>
      <c r="Q66" s="55">
        <f ca="1">OFFSET('kW Forecast'!$BC$19,COLUMN()-COLUMN($K66),0)</f>
        <v>253030.87949305424</v>
      </c>
      <c r="R66" s="55">
        <f ca="1">OFFSET('kW Forecast'!$BC$19,COLUMN()-COLUMN($K66),0)</f>
        <v>272423.1296694614</v>
      </c>
      <c r="S66" s="65">
        <f ca="1">OFFSET('kW Forecast'!$BC$19,COLUMN()-COLUMN($K66),0)</f>
        <v>293800.36311581929</v>
      </c>
      <c r="T66" s="55"/>
    </row>
    <row r="67" spans="2:20">
      <c r="B67" s="64" t="str">
        <f>B59</f>
        <v>Street Light</v>
      </c>
      <c r="C67" s="55">
        <f ca="1">OFFSET('kW Forecast'!$BG$6,COLUMN()-COLUMN($C$65),0)</f>
        <v>23991.02</v>
      </c>
      <c r="D67" s="55">
        <f ca="1">OFFSET('kW Forecast'!$BG$6,COLUMN()-COLUMN($C$65),0)</f>
        <v>16142.07</v>
      </c>
      <c r="E67" s="55">
        <f ca="1">OFFSET('kW Forecast'!$BG$6,COLUMN()-COLUMN($C$65),0)</f>
        <v>12797.349999999999</v>
      </c>
      <c r="F67" s="55">
        <f ca="1">OFFSET('kW Forecast'!$BG$6,COLUMN()-COLUMN($C$65),0)</f>
        <v>9791.36</v>
      </c>
      <c r="G67" s="55">
        <f ca="1">OFFSET('kW Forecast'!$BG$6,COLUMN()-COLUMN($C$65),0)</f>
        <v>8980.67</v>
      </c>
      <c r="H67" s="55">
        <f ca="1">OFFSET('kW Forecast'!$BG$6,COLUMN()-COLUMN($C$65),0)</f>
        <v>9314.0300000000025</v>
      </c>
      <c r="I67" s="55">
        <f ca="1">OFFSET('kW Forecast'!$BG$6,COLUMN()-COLUMN($C$65),0)</f>
        <v>9362</v>
      </c>
      <c r="J67" s="55">
        <f ca="1">OFFSET('kW Forecast'!$BG$6,COLUMN()-COLUMN($C$65),0)</f>
        <v>9581</v>
      </c>
      <c r="K67" s="55">
        <f ca="1">OFFSET('kW Forecast'!$BG$6,COLUMN()-COLUMN($C$65),0)</f>
        <v>9810</v>
      </c>
      <c r="L67" s="55">
        <f ca="1">OFFSET('kW Forecast'!$BG$6,COLUMN()-COLUMN($C$65),0)</f>
        <v>9886</v>
      </c>
      <c r="M67" s="55">
        <f ca="1">OFFSET('kW Forecast'!$BG$19,COLUMN()-COLUMN($K67),0)</f>
        <v>9986.964521792901</v>
      </c>
      <c r="N67" s="55">
        <f ca="1">OFFSET('kW Forecast'!$BG$19,COLUMN()-COLUMN($K67),0)</f>
        <v>10152.091038322405</v>
      </c>
      <c r="O67" s="55">
        <f ca="1">OFFSET('kW Forecast'!$BG$19,COLUMN()-COLUMN($K67),0)</f>
        <v>10319.947790490745</v>
      </c>
      <c r="P67" s="55">
        <f ca="1">OFFSET('kW Forecast'!$BG$19,COLUMN()-COLUMN($K67),0)</f>
        <v>10490.579920573065</v>
      </c>
      <c r="Q67" s="55">
        <f ca="1">OFFSET('kW Forecast'!$BG$19,COLUMN()-COLUMN($K67),0)</f>
        <v>10664.033317236139</v>
      </c>
      <c r="R67" s="55">
        <f ca="1">OFFSET('kW Forecast'!$BG$19,COLUMN()-COLUMN($K67),0)</f>
        <v>10840.354627879351</v>
      </c>
      <c r="S67" s="65">
        <f ca="1">OFFSET('kW Forecast'!$BG$19,COLUMN()-COLUMN($K67),0)</f>
        <v>11019.591271179737</v>
      </c>
      <c r="T67" s="55"/>
    </row>
    <row r="68" spans="2:20">
      <c r="B68" s="64" t="str">
        <f>B60</f>
        <v>Sentinel Light</v>
      </c>
      <c r="C68" s="55">
        <f ca="1">OFFSET('kW Forecast'!$BN$6,COLUMN()-COLUMN($C$65),0)</f>
        <v>95.000000000000014</v>
      </c>
      <c r="D68" s="55">
        <f ca="1">OFFSET('kW Forecast'!$BN$6,COLUMN()-COLUMN($C$65),0)</f>
        <v>92.000000000000014</v>
      </c>
      <c r="E68" s="55">
        <f ca="1">OFFSET('kW Forecast'!$BN$6,COLUMN()-COLUMN($C$65),0)</f>
        <v>87.999999999999986</v>
      </c>
      <c r="F68" s="55">
        <f ca="1">OFFSET('kW Forecast'!$BN$6,COLUMN()-COLUMN($C$65),0)</f>
        <v>87</v>
      </c>
      <c r="G68" s="55">
        <f ca="1">OFFSET('kW Forecast'!$BN$6,COLUMN()-COLUMN($C$65),0)</f>
        <v>86.000000000000014</v>
      </c>
      <c r="H68" s="55">
        <f ca="1">OFFSET('kW Forecast'!$BN$6,COLUMN()-COLUMN($C$65),0)</f>
        <v>72</v>
      </c>
      <c r="I68" s="55">
        <f ca="1">OFFSET('kW Forecast'!$BN$6,COLUMN()-COLUMN($C$65),0)</f>
        <v>71</v>
      </c>
      <c r="J68" s="55">
        <f ca="1">OFFSET('kW Forecast'!$BN$6,COLUMN()-COLUMN($C$65),0)</f>
        <v>95.000000000000014</v>
      </c>
      <c r="K68" s="55">
        <f ca="1">OFFSET('kW Forecast'!$BN$6,COLUMN()-COLUMN($C$65),0)</f>
        <v>92.000000000000014</v>
      </c>
      <c r="L68" s="55">
        <f ca="1">OFFSET('kW Forecast'!$BN$6,COLUMN()-COLUMN($C$65),0)</f>
        <v>83</v>
      </c>
      <c r="M68" s="55">
        <f ca="1">OFFSET('kW Forecast'!$BN$19,COLUMN()-COLUMN($K68),0)</f>
        <v>91.644506247205769</v>
      </c>
      <c r="N68" s="55">
        <f ca="1">OFFSET('kW Forecast'!$BN$19,COLUMN()-COLUMN($K68),0)</f>
        <v>92.860018554378001</v>
      </c>
      <c r="O68" s="55">
        <f ca="1">OFFSET('kW Forecast'!$BN$19,COLUMN()-COLUMN($K68),0)</f>
        <v>94.091652615372567</v>
      </c>
      <c r="P68" s="55">
        <f ca="1">OFFSET('kW Forecast'!$BN$19,COLUMN()-COLUMN($K68),0)</f>
        <v>95.339622258502658</v>
      </c>
      <c r="Q68" s="55">
        <f ca="1">OFFSET('kW Forecast'!$BN$19,COLUMN()-COLUMN($K68),0)</f>
        <v>96.60414414815925</v>
      </c>
      <c r="R68" s="55">
        <f ca="1">OFFSET('kW Forecast'!$BN$19,COLUMN()-COLUMN($K68),0)</f>
        <v>97.885437822426894</v>
      </c>
      <c r="S68" s="65">
        <f ca="1">OFFSET('kW Forecast'!$BN$19,COLUMN()-COLUMN($K68),0)</f>
        <v>99.183725731198621</v>
      </c>
      <c r="T68" s="55"/>
    </row>
    <row r="69" spans="2:20" ht="13.5" thickBot="1">
      <c r="B69" s="63" t="s">
        <v>65</v>
      </c>
      <c r="C69" s="62">
        <f t="shared" ref="C69:K69" ca="1" si="26">SUM(C65:C68)</f>
        <v>938085.99999999988</v>
      </c>
      <c r="D69" s="62">
        <f t="shared" ca="1" si="26"/>
        <v>957916.59999999986</v>
      </c>
      <c r="E69" s="62">
        <f t="shared" ca="1" si="26"/>
        <v>919416.13</v>
      </c>
      <c r="F69" s="62">
        <f t="shared" ca="1" si="26"/>
        <v>960644.86</v>
      </c>
      <c r="G69" s="62">
        <f t="shared" ca="1" si="26"/>
        <v>968154.21999999986</v>
      </c>
      <c r="H69" s="62">
        <f t="shared" ca="1" si="26"/>
        <v>939184.04999999993</v>
      </c>
      <c r="I69" s="62">
        <f t="shared" ca="1" si="26"/>
        <v>921341.07</v>
      </c>
      <c r="J69" s="62">
        <f t="shared" ca="1" si="26"/>
        <v>969295.08</v>
      </c>
      <c r="K69" s="62">
        <f t="shared" ca="1" si="26"/>
        <v>943977.75</v>
      </c>
      <c r="L69" s="62">
        <f t="shared" ref="L69:S69" ca="1" si="27">SUM(L65:L68)</f>
        <v>936283.95</v>
      </c>
      <c r="M69" s="62">
        <f t="shared" ca="1" si="27"/>
        <v>983382.44603749586</v>
      </c>
      <c r="N69" s="62">
        <f t="shared" ca="1" si="27"/>
        <v>1076343.8364673411</v>
      </c>
      <c r="O69" s="62">
        <f t="shared" ca="1" si="27"/>
        <v>1139798.0129659181</v>
      </c>
      <c r="P69" s="62">
        <f t="shared" ca="1" si="27"/>
        <v>1179589.1488599216</v>
      </c>
      <c r="Q69" s="62">
        <f t="shared" ca="1" si="27"/>
        <v>1224979.8117607571</v>
      </c>
      <c r="R69" s="62">
        <f t="shared" ca="1" si="27"/>
        <v>1270932.020301132</v>
      </c>
      <c r="S69" s="62">
        <f t="shared" ca="1" si="27"/>
        <v>1315708.3726695052</v>
      </c>
      <c r="T69" s="55"/>
    </row>
    <row r="70" spans="2:20">
      <c r="T70" s="55"/>
    </row>
    <row r="71" spans="2:20" ht="16.5" thickBot="1">
      <c r="B71" s="71" t="s">
        <v>485</v>
      </c>
      <c r="F71" s="55"/>
      <c r="G71" s="55"/>
      <c r="H71" s="55"/>
      <c r="I71" s="55"/>
      <c r="K71" s="71" t="s">
        <v>485</v>
      </c>
      <c r="L71" s="71" t="s">
        <v>352</v>
      </c>
      <c r="O71" s="55"/>
      <c r="P71" s="55"/>
      <c r="Q71" s="55"/>
      <c r="R71" s="55"/>
    </row>
    <row r="72" spans="2:20">
      <c r="B72" s="59" t="s">
        <v>178</v>
      </c>
      <c r="C72" s="58">
        <f>'CDM Adjustment'!AM22</f>
        <v>2025</v>
      </c>
      <c r="D72" s="58">
        <f>'CDM Adjustment'!AN22</f>
        <v>2026</v>
      </c>
      <c r="E72" s="58">
        <f>'CDM Adjustment'!AO22</f>
        <v>2027</v>
      </c>
      <c r="F72" s="58">
        <f>'CDM Adjustment'!AP22</f>
        <v>2028</v>
      </c>
      <c r="G72" s="58">
        <f>'CDM Adjustment'!AQ22</f>
        <v>2029</v>
      </c>
      <c r="H72" s="58">
        <f>'CDM Adjustment'!AR22</f>
        <v>2030</v>
      </c>
      <c r="I72" s="57">
        <f>'CDM Adjustment'!AS22</f>
        <v>2031</v>
      </c>
      <c r="K72" s="59" t="s">
        <v>178</v>
      </c>
      <c r="L72" s="58">
        <f>'CDM Adjustment'!AM51</f>
        <v>2025</v>
      </c>
      <c r="M72" s="58">
        <f>'CDM Adjustment'!AN51</f>
        <v>2026</v>
      </c>
      <c r="N72" s="58">
        <f>'CDM Adjustment'!AO51</f>
        <v>2027</v>
      </c>
      <c r="O72" s="58">
        <f>'CDM Adjustment'!AP51</f>
        <v>2028</v>
      </c>
      <c r="P72" s="58">
        <f>'CDM Adjustment'!AQ51</f>
        <v>2029</v>
      </c>
      <c r="Q72" s="58">
        <f>'CDM Adjustment'!AR51</f>
        <v>2030</v>
      </c>
      <c r="R72" s="57">
        <f>'CDM Adjustment'!AS51</f>
        <v>2031</v>
      </c>
    </row>
    <row r="73" spans="2:20">
      <c r="B73" s="64" t="str">
        <f>B65</f>
        <v>GS 50 - 2,999</v>
      </c>
      <c r="C73" s="55">
        <f ca="1">'CDM Adjustment'!AM24</f>
        <v>34973.294229268766</v>
      </c>
      <c r="D73" s="55">
        <f ca="1">'CDM Adjustment'!AN24</f>
        <v>69421.799788042656</v>
      </c>
      <c r="E73" s="55">
        <f ca="1">'CDM Adjustment'!AO24</f>
        <v>105427.94624912791</v>
      </c>
      <c r="F73" s="55">
        <f ca="1">'CDM Adjustment'!AP24</f>
        <v>144810.85067973941</v>
      </c>
      <c r="G73" s="55">
        <f ca="1">'CDM Adjustment'!AQ24</f>
        <v>187056.42252201922</v>
      </c>
      <c r="H73" s="55">
        <f ca="1">'CDM Adjustment'!AR24</f>
        <v>231964.35080918894</v>
      </c>
      <c r="I73" s="65">
        <f ca="1">'CDM Adjustment'!AS24</f>
        <v>279532.52563488064</v>
      </c>
      <c r="K73" s="64" t="str">
        <f>B73</f>
        <v>GS 50 - 2,999</v>
      </c>
      <c r="L73" s="55">
        <f ca="1">'CDM Adjustment'!AM53</f>
        <v>13533.335318338011</v>
      </c>
      <c r="M73" s="55">
        <f ca="1">'CDM Adjustment'!AN53</f>
        <v>26415.989215788341</v>
      </c>
      <c r="N73" s="55">
        <f ca="1">'CDM Adjustment'!AO53</f>
        <v>40490.637267403799</v>
      </c>
      <c r="O73" s="55">
        <f ca="1">'CDM Adjustment'!AP53</f>
        <v>55416.246310399089</v>
      </c>
      <c r="P73" s="55">
        <f ca="1">'CDM Adjustment'!AQ53</f>
        <v>70152.002052337819</v>
      </c>
      <c r="Q73" s="55">
        <f ca="1">'CDM Adjustment'!AR53</f>
        <v>84630.328432373659</v>
      </c>
      <c r="R73" s="65">
        <f ca="1">'CDM Adjustment'!AS53</f>
        <v>99748.806288427935</v>
      </c>
    </row>
    <row r="74" spans="2:20">
      <c r="B74" s="64" t="str">
        <f>B66</f>
        <v>GS 3,000 - 4,999</v>
      </c>
      <c r="C74" s="55">
        <f ca="1">'CDM Adjustment'!AM25</f>
        <v>1865.8652029678958</v>
      </c>
      <c r="D74" s="55">
        <f ca="1">'CDM Adjustment'!AN25</f>
        <v>3005.232083825199</v>
      </c>
      <c r="E74" s="55">
        <f ca="1">'CDM Adjustment'!AO25</f>
        <v>4220.8884924381891</v>
      </c>
      <c r="F74" s="55">
        <f ca="1">'CDM Adjustment'!AP25</f>
        <v>5865.2810634033358</v>
      </c>
      <c r="G74" s="55">
        <f ca="1">'CDM Adjustment'!AQ25</f>
        <v>7678.8875590902453</v>
      </c>
      <c r="H74" s="55">
        <f ca="1">'CDM Adjustment'!AR25</f>
        <v>9606.5440791871097</v>
      </c>
      <c r="I74" s="65">
        <f ca="1">'CDM Adjustment'!AS25</f>
        <v>11717.628893387493</v>
      </c>
      <c r="K74" s="64" t="str">
        <f>B74</f>
        <v>GS 3,000 - 4,999</v>
      </c>
      <c r="L74" s="55">
        <f ca="1">'CDM Adjustment'!AM54</f>
        <v>2149.5213487513306</v>
      </c>
      <c r="M74" s="55">
        <f ca="1">'CDM Adjustment'!AN54</f>
        <v>3650.4406524649908</v>
      </c>
      <c r="N74" s="55">
        <f ca="1">'CDM Adjustment'!AO54</f>
        <v>5198.5288393988476</v>
      </c>
      <c r="O74" s="55">
        <f ca="1">'CDM Adjustment'!AP54</f>
        <v>6968.4563328445056</v>
      </c>
      <c r="P74" s="55">
        <f ca="1">'CDM Adjustment'!AQ54</f>
        <v>8720.5012219623386</v>
      </c>
      <c r="Q74" s="55">
        <f ca="1">'CDM Adjustment'!AR54</f>
        <v>10029.786503230867</v>
      </c>
      <c r="R74" s="65">
        <f ca="1">'CDM Adjustment'!AS54</f>
        <v>11170.121081881238</v>
      </c>
    </row>
    <row r="75" spans="2:20">
      <c r="B75" s="64" t="str">
        <f>B67</f>
        <v>Street Light</v>
      </c>
      <c r="C75" s="55">
        <f ca="1">'CDM Adjustment'!AM26</f>
        <v>10074.456903419197</v>
      </c>
      <c r="D75" s="55">
        <f ca="1">'CDM Adjustment'!AN26</f>
        <v>18130.455271471095</v>
      </c>
      <c r="E75" s="55">
        <f ca="1">'CDM Adjustment'!AO26</f>
        <v>25805.069355624189</v>
      </c>
      <c r="F75" s="55">
        <f ca="1">'CDM Adjustment'!AP26</f>
        <v>31951.707660879409</v>
      </c>
      <c r="G75" s="55">
        <f ca="1">'CDM Adjustment'!AQ26</f>
        <v>38928.325244400505</v>
      </c>
      <c r="H75" s="55">
        <f ca="1">'CDM Adjustment'!AR26</f>
        <v>48714.998258455817</v>
      </c>
      <c r="I75" s="65">
        <f ca="1">'CDM Adjustment'!AS26</f>
        <v>60528.45637444871</v>
      </c>
      <c r="K75" s="64"/>
      <c r="L75" s="55"/>
      <c r="M75" s="55"/>
      <c r="N75" s="55"/>
      <c r="O75" s="55"/>
      <c r="P75" s="55"/>
      <c r="Q75" s="55"/>
      <c r="R75" s="65"/>
    </row>
    <row r="76" spans="2:20">
      <c r="B76" s="64" t="str">
        <f>B68</f>
        <v>Sentinel Light</v>
      </c>
      <c r="C76" s="55">
        <f>'CDM Adjustment'!AM27</f>
        <v>0</v>
      </c>
      <c r="D76" s="55">
        <f>'CDM Adjustment'!AN27</f>
        <v>0</v>
      </c>
      <c r="E76" s="55">
        <f>'CDM Adjustment'!AO27</f>
        <v>0</v>
      </c>
      <c r="F76" s="55">
        <f>'CDM Adjustment'!AP27</f>
        <v>0</v>
      </c>
      <c r="G76" s="55">
        <f>'CDM Adjustment'!AQ27</f>
        <v>0</v>
      </c>
      <c r="H76" s="55">
        <f>'CDM Adjustment'!AR27</f>
        <v>0</v>
      </c>
      <c r="I76" s="65">
        <f>'CDM Adjustment'!AS27</f>
        <v>0</v>
      </c>
      <c r="K76" s="64" t="str">
        <f>B76</f>
        <v>Sentinel Light</v>
      </c>
      <c r="L76" s="55">
        <f>'CDM Adjustment'!AM55</f>
        <v>0</v>
      </c>
      <c r="M76" s="55">
        <f>'CDM Adjustment'!AN55</f>
        <v>0</v>
      </c>
      <c r="N76" s="55">
        <f>'CDM Adjustment'!AO55</f>
        <v>0</v>
      </c>
      <c r="O76" s="55">
        <f>'CDM Adjustment'!AP55</f>
        <v>0</v>
      </c>
      <c r="P76" s="55">
        <f>'CDM Adjustment'!AQ55</f>
        <v>0</v>
      </c>
      <c r="Q76" s="55">
        <f>'CDM Adjustment'!AR55</f>
        <v>0</v>
      </c>
      <c r="R76" s="65">
        <f>'CDM Adjustment'!AS55</f>
        <v>0</v>
      </c>
    </row>
    <row r="77" spans="2:20">
      <c r="B77" s="64" t="str">
        <f>B69</f>
        <v>Total</v>
      </c>
      <c r="C77" s="55">
        <f>'CDM Adjustment'!AM28</f>
        <v>0</v>
      </c>
      <c r="D77" s="55">
        <f>'CDM Adjustment'!AN28</f>
        <v>0</v>
      </c>
      <c r="E77" s="55">
        <f>'CDM Adjustment'!AO28</f>
        <v>0</v>
      </c>
      <c r="F77" s="55">
        <f>'CDM Adjustment'!AP28</f>
        <v>0</v>
      </c>
      <c r="G77" s="55">
        <f>'CDM Adjustment'!AQ28</f>
        <v>0</v>
      </c>
      <c r="H77" s="55">
        <f>'CDM Adjustment'!AR28</f>
        <v>0</v>
      </c>
      <c r="I77" s="65">
        <f>'CDM Adjustment'!AS28</f>
        <v>0</v>
      </c>
      <c r="K77" s="64" t="str">
        <f>B77</f>
        <v>Total</v>
      </c>
      <c r="L77" s="55">
        <f>'CDM Adjustment'!AM56</f>
        <v>0</v>
      </c>
      <c r="M77" s="55">
        <f>'CDM Adjustment'!AN56</f>
        <v>0</v>
      </c>
      <c r="N77" s="55">
        <f>'CDM Adjustment'!AO56</f>
        <v>0</v>
      </c>
      <c r="O77" s="55">
        <f>'CDM Adjustment'!AP56</f>
        <v>0</v>
      </c>
      <c r="P77" s="55">
        <f>'CDM Adjustment'!AQ56</f>
        <v>0</v>
      </c>
      <c r="Q77" s="55">
        <f>'CDM Adjustment'!AR56</f>
        <v>0</v>
      </c>
      <c r="R77" s="65">
        <f>'CDM Adjustment'!AS56</f>
        <v>0</v>
      </c>
    </row>
    <row r="78" spans="2:20" ht="13.5" thickBot="1">
      <c r="B78" s="63" t="s">
        <v>65</v>
      </c>
      <c r="C78" s="62">
        <f t="shared" ref="C78:I78" ca="1" si="28">SUM(C73:C77)</f>
        <v>46913.616335655854</v>
      </c>
      <c r="D78" s="62">
        <f t="shared" ca="1" si="28"/>
        <v>90557.487143338949</v>
      </c>
      <c r="E78" s="62">
        <f t="shared" ca="1" si="28"/>
        <v>135453.9040971903</v>
      </c>
      <c r="F78" s="62">
        <f t="shared" ca="1" si="28"/>
        <v>182627.83940402215</v>
      </c>
      <c r="G78" s="62">
        <f t="shared" ca="1" si="28"/>
        <v>233663.63532550997</v>
      </c>
      <c r="H78" s="62">
        <f t="shared" ca="1" si="28"/>
        <v>290285.89314683189</v>
      </c>
      <c r="I78" s="60">
        <f t="shared" ca="1" si="28"/>
        <v>351778.61090271687</v>
      </c>
      <c r="K78" s="63" t="s">
        <v>65</v>
      </c>
      <c r="L78" s="62">
        <f t="shared" ref="L78:R78" ca="1" si="29">SUM(L73:L77)</f>
        <v>15682.856667089341</v>
      </c>
      <c r="M78" s="62">
        <f t="shared" ca="1" si="29"/>
        <v>30066.42986825333</v>
      </c>
      <c r="N78" s="62">
        <f t="shared" ca="1" si="29"/>
        <v>45689.166106802644</v>
      </c>
      <c r="O78" s="62">
        <f t="shared" ca="1" si="29"/>
        <v>62384.702643243596</v>
      </c>
      <c r="P78" s="62">
        <f t="shared" ca="1" si="29"/>
        <v>78872.503274300165</v>
      </c>
      <c r="Q78" s="62">
        <f t="shared" ca="1" si="29"/>
        <v>94660.114935604521</v>
      </c>
      <c r="R78" s="60">
        <f t="shared" ca="1" si="29"/>
        <v>110918.92737030917</v>
      </c>
    </row>
    <row r="80" spans="2:20" ht="16.5" thickBot="1">
      <c r="B80" s="71" t="s">
        <v>493</v>
      </c>
      <c r="C80" s="71" t="s">
        <v>376</v>
      </c>
      <c r="F80" s="55"/>
      <c r="G80" s="55"/>
      <c r="H80" s="55"/>
      <c r="I80" s="55"/>
      <c r="K80" s="71" t="s">
        <v>493</v>
      </c>
      <c r="L80" s="71" t="s">
        <v>352</v>
      </c>
      <c r="O80" s="55"/>
      <c r="P80" s="55"/>
      <c r="Q80" s="55"/>
      <c r="R80" s="55"/>
    </row>
    <row r="81" spans="2:19">
      <c r="B81" s="59" t="s">
        <v>178</v>
      </c>
      <c r="C81" s="58">
        <f t="shared" ref="C81:I81" si="30">C72</f>
        <v>2025</v>
      </c>
      <c r="D81" s="58">
        <f t="shared" si="30"/>
        <v>2026</v>
      </c>
      <c r="E81" s="58">
        <f t="shared" si="30"/>
        <v>2027</v>
      </c>
      <c r="F81" s="58">
        <f t="shared" si="30"/>
        <v>2028</v>
      </c>
      <c r="G81" s="58">
        <f t="shared" si="30"/>
        <v>2029</v>
      </c>
      <c r="H81" s="58">
        <f t="shared" si="30"/>
        <v>2030</v>
      </c>
      <c r="I81" s="57">
        <f t="shared" si="30"/>
        <v>2031</v>
      </c>
      <c r="K81" s="59" t="s">
        <v>178</v>
      </c>
      <c r="L81" s="58">
        <f t="shared" ref="L81:R81" si="31">L72</f>
        <v>2025</v>
      </c>
      <c r="M81" s="58">
        <f t="shared" si="31"/>
        <v>2026</v>
      </c>
      <c r="N81" s="58">
        <f t="shared" si="31"/>
        <v>2027</v>
      </c>
      <c r="O81" s="58">
        <f t="shared" si="31"/>
        <v>2028</v>
      </c>
      <c r="P81" s="58">
        <f t="shared" si="31"/>
        <v>2029</v>
      </c>
      <c r="Q81" s="58">
        <f t="shared" si="31"/>
        <v>2030</v>
      </c>
      <c r="R81" s="57">
        <f t="shared" si="31"/>
        <v>2031</v>
      </c>
    </row>
    <row r="82" spans="2:19">
      <c r="B82" s="64" t="str">
        <f>B56</f>
        <v>GS 50 - 2,999</v>
      </c>
      <c r="C82" s="55">
        <f t="shared" ref="C82:I86" ca="1" si="32">M56-C73</f>
        <v>2256585.4588195113</v>
      </c>
      <c r="D82" s="55">
        <f t="shared" ca="1" si="32"/>
        <v>2352102.8484530342</v>
      </c>
      <c r="E82" s="55">
        <f t="shared" ca="1" si="32"/>
        <v>2439390.9695466338</v>
      </c>
      <c r="F82" s="55">
        <f t="shared" ca="1" si="32"/>
        <v>2488399.6359369536</v>
      </c>
      <c r="G82" s="55">
        <f t="shared" ca="1" si="32"/>
        <v>2507288.8318808638</v>
      </c>
      <c r="H82" s="55">
        <f t="shared" ca="1" si="32"/>
        <v>2511445.2847823263</v>
      </c>
      <c r="I82" s="65">
        <f t="shared" ca="1" si="32"/>
        <v>2536587.5736430865</v>
      </c>
      <c r="K82" s="64" t="str">
        <f>B82</f>
        <v>GS 50 - 2,999</v>
      </c>
      <c r="L82" s="55">
        <f t="shared" ref="L82:R83" ca="1" si="33">M65-L73</f>
        <v>792038.79870096827</v>
      </c>
      <c r="M82" s="55">
        <f t="shared" ca="1" si="33"/>
        <v>834734.1055414828</v>
      </c>
      <c r="N82" s="55">
        <f t="shared" ca="1" si="33"/>
        <v>858661.61723306729</v>
      </c>
      <c r="O82" s="55">
        <f t="shared" ca="1" si="33"/>
        <v>871800.33049264411</v>
      </c>
      <c r="P82" s="55">
        <f t="shared" ca="1" si="33"/>
        <v>891036.29275398084</v>
      </c>
      <c r="Q82" s="55">
        <f t="shared" ca="1" si="33"/>
        <v>902940.32213359501</v>
      </c>
      <c r="R82" s="65">
        <f t="shared" ca="1" si="33"/>
        <v>911040.42826834694</v>
      </c>
    </row>
    <row r="83" spans="2:19">
      <c r="B83" s="64" t="str">
        <f>B57</f>
        <v>GS 3,000 - 4,999</v>
      </c>
      <c r="C83" s="55">
        <f t="shared" ca="1" si="32"/>
        <v>269029.71716874337</v>
      </c>
      <c r="D83" s="55">
        <f t="shared" ca="1" si="32"/>
        <v>358542.7514199178</v>
      </c>
      <c r="E83" s="55">
        <f t="shared" ca="1" si="32"/>
        <v>409833.7729541196</v>
      </c>
      <c r="F83" s="55">
        <f t="shared" ca="1" si="32"/>
        <v>429041.88254029688</v>
      </c>
      <c r="G83" s="55">
        <f t="shared" ca="1" si="32"/>
        <v>441641.3380119353</v>
      </c>
      <c r="H83" s="55">
        <f t="shared" ca="1" si="32"/>
        <v>452488.43985664367</v>
      </c>
      <c r="I83" s="65">
        <f t="shared" ca="1" si="32"/>
        <v>463837.65861638548</v>
      </c>
      <c r="K83" s="64" t="str">
        <f>B83</f>
        <v>GS 3,000 - 4,999</v>
      </c>
      <c r="L83" s="55">
        <f t="shared" ca="1" si="33"/>
        <v>165582.18164139806</v>
      </c>
      <c r="M83" s="55">
        <f t="shared" ca="1" si="33"/>
        <v>201298.35000072836</v>
      </c>
      <c r="N83" s="55">
        <f t="shared" ca="1" si="33"/>
        <v>225033.19018294194</v>
      </c>
      <c r="O83" s="55">
        <f t="shared" ca="1" si="33"/>
        <v>234818.19618120225</v>
      </c>
      <c r="P83" s="55">
        <f t="shared" ca="1" si="33"/>
        <v>244310.3782710919</v>
      </c>
      <c r="Q83" s="55">
        <f t="shared" ca="1" si="33"/>
        <v>262393.34316623054</v>
      </c>
      <c r="R83" s="65">
        <f t="shared" ca="1" si="33"/>
        <v>282630.24203393806</v>
      </c>
    </row>
    <row r="84" spans="2:19">
      <c r="B84" s="64" t="str">
        <f>B58</f>
        <v>Large Use</v>
      </c>
      <c r="C84" s="55">
        <f t="shared" ca="1" si="32"/>
        <v>562102.70615904417</v>
      </c>
      <c r="D84" s="55">
        <f t="shared" ca="1" si="32"/>
        <v>614338.02506298595</v>
      </c>
      <c r="E84" s="55">
        <f t="shared" ca="1" si="32"/>
        <v>700459.585062181</v>
      </c>
      <c r="F84" s="55">
        <f t="shared" ca="1" si="32"/>
        <v>866937.22022196359</v>
      </c>
      <c r="G84" s="55">
        <f t="shared" ca="1" si="32"/>
        <v>994908.69007255079</v>
      </c>
      <c r="H84" s="55">
        <f t="shared" ca="1" si="32"/>
        <v>1044584.2129462288</v>
      </c>
      <c r="I84" s="65">
        <f t="shared" ca="1" si="32"/>
        <v>1070183.945594792</v>
      </c>
      <c r="K84" s="64"/>
      <c r="L84" s="55"/>
      <c r="M84" s="55"/>
      <c r="N84" s="55"/>
      <c r="O84" s="55"/>
      <c r="P84" s="55"/>
      <c r="Q84" s="55"/>
      <c r="R84" s="65"/>
    </row>
    <row r="85" spans="2:19">
      <c r="B85" s="64" t="str">
        <f>B59</f>
        <v>Street Light</v>
      </c>
      <c r="C85" s="55">
        <f t="shared" ca="1" si="32"/>
        <v>32694.531495072591</v>
      </c>
      <c r="D85" s="55">
        <f t="shared" ca="1" si="32"/>
        <v>33030.591474503723</v>
      </c>
      <c r="E85" s="55">
        <f t="shared" ca="1" si="32"/>
        <v>33370.10574138326</v>
      </c>
      <c r="F85" s="55">
        <f t="shared" ca="1" si="32"/>
        <v>33713.109801580729</v>
      </c>
      <c r="G85" s="55">
        <f t="shared" ca="1" si="32"/>
        <v>34059.639525922736</v>
      </c>
      <c r="H85" s="55">
        <f t="shared" ca="1" si="32"/>
        <v>34409.731153944325</v>
      </c>
      <c r="I85" s="65">
        <f t="shared" ca="1" si="32"/>
        <v>34763.421297678848</v>
      </c>
      <c r="K85" s="64" t="str">
        <f>B85</f>
        <v>Street Light</v>
      </c>
      <c r="L85" s="55">
        <f t="shared" ref="L85:R86" ca="1" si="34">M67-L76</f>
        <v>9986.964521792901</v>
      </c>
      <c r="M85" s="55">
        <f t="shared" ca="1" si="34"/>
        <v>10152.091038322405</v>
      </c>
      <c r="N85" s="55">
        <f t="shared" ca="1" si="34"/>
        <v>10319.947790490745</v>
      </c>
      <c r="O85" s="55">
        <f t="shared" ca="1" si="34"/>
        <v>10490.579920573065</v>
      </c>
      <c r="P85" s="55">
        <f t="shared" ca="1" si="34"/>
        <v>10664.033317236139</v>
      </c>
      <c r="Q85" s="55">
        <f t="shared" ca="1" si="34"/>
        <v>10840.354627879351</v>
      </c>
      <c r="R85" s="65">
        <f t="shared" ca="1" si="34"/>
        <v>11019.591271179737</v>
      </c>
    </row>
    <row r="86" spans="2:19">
      <c r="B86" s="64" t="str">
        <f>B60</f>
        <v>Sentinel Light</v>
      </c>
      <c r="C86" s="55">
        <f t="shared" ca="1" si="32"/>
        <v>591.00035762195512</v>
      </c>
      <c r="D86" s="55">
        <f t="shared" ca="1" si="32"/>
        <v>581.00076330472677</v>
      </c>
      <c r="E86" s="55">
        <f t="shared" ca="1" si="32"/>
        <v>571.17035989444037</v>
      </c>
      <c r="F86" s="55">
        <f t="shared" ca="1" si="32"/>
        <v>561.50628471866321</v>
      </c>
      <c r="G86" s="55">
        <f t="shared" ca="1" si="32"/>
        <v>552.00572354074188</v>
      </c>
      <c r="H86" s="55">
        <f t="shared" ca="1" si="32"/>
        <v>542.66590974027986</v>
      </c>
      <c r="I86" s="65">
        <f t="shared" ca="1" si="32"/>
        <v>533.48412350748094</v>
      </c>
      <c r="K86" s="64" t="str">
        <f>B86</f>
        <v>Sentinel Light</v>
      </c>
      <c r="L86" s="55">
        <f t="shared" ca="1" si="34"/>
        <v>91.644506247205769</v>
      </c>
      <c r="M86" s="55">
        <f t="shared" ca="1" si="34"/>
        <v>92.860018554378001</v>
      </c>
      <c r="N86" s="55">
        <f t="shared" ca="1" si="34"/>
        <v>94.091652615372567</v>
      </c>
      <c r="O86" s="55">
        <f t="shared" ca="1" si="34"/>
        <v>95.339622258502658</v>
      </c>
      <c r="P86" s="55">
        <f t="shared" ca="1" si="34"/>
        <v>96.60414414815925</v>
      </c>
      <c r="Q86" s="55">
        <f t="shared" ca="1" si="34"/>
        <v>97.885437822426894</v>
      </c>
      <c r="R86" s="65">
        <f t="shared" ca="1" si="34"/>
        <v>99.183725731198621</v>
      </c>
    </row>
    <row r="87" spans="2:19" ht="13.5" thickBot="1">
      <c r="B87" s="63" t="s">
        <v>65</v>
      </c>
      <c r="C87" s="62">
        <f t="shared" ref="C87:I87" ca="1" si="35">SUM(C82:C86)</f>
        <v>3121003.4139999929</v>
      </c>
      <c r="D87" s="62">
        <f t="shared" ca="1" si="35"/>
        <v>3358595.2171737463</v>
      </c>
      <c r="E87" s="62">
        <f t="shared" ca="1" si="35"/>
        <v>3583625.6036642119</v>
      </c>
      <c r="F87" s="62">
        <f t="shared" ca="1" si="35"/>
        <v>3818653.3547855136</v>
      </c>
      <c r="G87" s="62">
        <f t="shared" ca="1" si="35"/>
        <v>3978450.5052148136</v>
      </c>
      <c r="H87" s="62">
        <f t="shared" ca="1" si="35"/>
        <v>4043470.3346488834</v>
      </c>
      <c r="I87" s="60">
        <f t="shared" ca="1" si="35"/>
        <v>4105906.0832754504</v>
      </c>
      <c r="K87" s="63" t="s">
        <v>65</v>
      </c>
      <c r="L87" s="62">
        <f t="shared" ref="L87:R87" ca="1" si="36">SUM(L82:L86)</f>
        <v>967699.58937040647</v>
      </c>
      <c r="M87" s="62">
        <f t="shared" ca="1" si="36"/>
        <v>1046277.406599088</v>
      </c>
      <c r="N87" s="62">
        <f t="shared" ca="1" si="36"/>
        <v>1094108.8468591154</v>
      </c>
      <c r="O87" s="62">
        <f t="shared" ca="1" si="36"/>
        <v>1117204.446216678</v>
      </c>
      <c r="P87" s="62">
        <f t="shared" ca="1" si="36"/>
        <v>1146107.308486457</v>
      </c>
      <c r="Q87" s="62">
        <f t="shared" ca="1" si="36"/>
        <v>1176271.9053655274</v>
      </c>
      <c r="R87" s="60">
        <f t="shared" ca="1" si="36"/>
        <v>1204789.4452991958</v>
      </c>
    </row>
    <row r="91" spans="2:19" ht="16.5" thickBot="1">
      <c r="B91" s="71" t="s">
        <v>486</v>
      </c>
    </row>
    <row r="92" spans="2:19">
      <c r="B92" s="70" t="s">
        <v>381</v>
      </c>
      <c r="C92" s="69" t="s">
        <v>476</v>
      </c>
      <c r="D92" s="69" t="s">
        <v>477</v>
      </c>
      <c r="E92" s="69" t="s">
        <v>478</v>
      </c>
      <c r="F92" s="69" t="s">
        <v>479</v>
      </c>
      <c r="G92" s="69" t="s">
        <v>480</v>
      </c>
      <c r="H92" s="69" t="s">
        <v>481</v>
      </c>
      <c r="I92" s="69" t="s">
        <v>482</v>
      </c>
      <c r="J92" s="69" t="s">
        <v>483</v>
      </c>
      <c r="K92" s="69" t="s">
        <v>484</v>
      </c>
      <c r="L92" s="69" t="s">
        <v>528</v>
      </c>
      <c r="M92" s="69" t="s">
        <v>195</v>
      </c>
      <c r="N92" s="69" t="s">
        <v>196</v>
      </c>
      <c r="O92" s="69" t="s">
        <v>487</v>
      </c>
      <c r="P92" s="69" t="s">
        <v>488</v>
      </c>
      <c r="Q92" s="69" t="s">
        <v>489</v>
      </c>
      <c r="R92" s="69" t="s">
        <v>490</v>
      </c>
      <c r="S92" s="67" t="s">
        <v>491</v>
      </c>
    </row>
    <row r="93" spans="2:19">
      <c r="B93" s="66" t="str">
        <f t="shared" ref="B93:B101" si="37">B3</f>
        <v>Residential</v>
      </c>
      <c r="C93" s="55">
        <f ca="1">OFFSET('Customer Count'!$C$5,COLUMN()-COLUMN($C93),0)</f>
        <v>107215.95833333336</v>
      </c>
      <c r="D93" s="55">
        <f ca="1">OFFSET('Customer Count'!$C$5,COLUMN()-COLUMN($C93),0)</f>
        <v>107447.625</v>
      </c>
      <c r="E93" s="55">
        <f ca="1">OFFSET('Customer Count'!$C$5,COLUMN()-COLUMN($C93),0)</f>
        <v>108364.75</v>
      </c>
      <c r="F93" s="55">
        <f ca="1">OFFSET('Customer Count'!$C$5,COLUMN()-COLUMN($C93),0)</f>
        <v>109469.75</v>
      </c>
      <c r="G93" s="55">
        <f ca="1">OFFSET('Customer Count'!$C$5,COLUMN()-COLUMN($C93),0)</f>
        <v>110960.875</v>
      </c>
      <c r="H93" s="55">
        <f ca="1">OFFSET('Customer Count'!$C$5,COLUMN()-COLUMN($C93),0)</f>
        <v>112218.375</v>
      </c>
      <c r="I93" s="55">
        <f ca="1">OFFSET('Customer Count'!$C$5,COLUMN()-COLUMN($C93),0)</f>
        <v>113059.29166666664</v>
      </c>
      <c r="J93" s="55">
        <f ca="1">OFFSET('Customer Count'!$C$5,COLUMN()-COLUMN($C93),0)</f>
        <v>114160.83333333336</v>
      </c>
      <c r="K93" s="55">
        <f ca="1">OFFSET('Customer Count'!$C$5,COLUMN()-COLUMN($C93),0)</f>
        <v>115689.125</v>
      </c>
      <c r="L93" s="55">
        <f ca="1">OFFSET('Customer Count'!$C$5,COLUMN()-COLUMN($C93),0)</f>
        <v>117456.375</v>
      </c>
      <c r="M93" s="55">
        <f ca="1">OFFSET('Customer Count'!$C$5,COLUMN()-COLUMN($C93),0)</f>
        <v>119658.08251290793</v>
      </c>
      <c r="N93" s="55">
        <f ca="1">OFFSET('Customer Count'!$C$5,COLUMN()-COLUMN($C93),0)</f>
        <v>122101.82410195106</v>
      </c>
      <c r="O93" s="55">
        <f ca="1">OFFSET('Customer Count'!$C$5,COLUMN()-COLUMN($C93),0)</f>
        <v>124619.26455933102</v>
      </c>
      <c r="P93" s="55">
        <f ca="1">OFFSET('Customer Count'!$C$5,COLUMN()-COLUMN($C93),0)</f>
        <v>127084.20705650066</v>
      </c>
      <c r="Q93" s="55">
        <f ca="1">OFFSET('Customer Count'!$C$5,COLUMN()-COLUMN($C93),0)</f>
        <v>129594.08740725768</v>
      </c>
      <c r="R93" s="55">
        <f ca="1">OFFSET('Customer Count'!$C$5,COLUMN()-COLUMN($C93),0)</f>
        <v>132210.11590597217</v>
      </c>
      <c r="S93" s="65">
        <f ca="1">OFFSET('Customer Count'!$C$5,COLUMN()-COLUMN($C93),0)</f>
        <v>134871.14313253391</v>
      </c>
    </row>
    <row r="94" spans="2:19">
      <c r="B94" s="64" t="str">
        <f t="shared" si="37"/>
        <v>Residential Seasonal</v>
      </c>
      <c r="C94" s="55">
        <f ca="1">OFFSET('Customer Count'!$G$5,COLUMN()-COLUMN($C94),0)</f>
        <v>1592.011639210438</v>
      </c>
      <c r="D94" s="55">
        <f ca="1">OFFSET('Customer Count'!$G$5,COLUMN()-COLUMN($C94),0)</f>
        <v>1585.75</v>
      </c>
      <c r="E94" s="55">
        <f ca="1">OFFSET('Customer Count'!$G$5,COLUMN()-COLUMN($C94),0)</f>
        <v>1577.0416666666661</v>
      </c>
      <c r="F94" s="55">
        <f ca="1">OFFSET('Customer Count'!$G$5,COLUMN()-COLUMN($C94),0)</f>
        <v>1570.9166666666661</v>
      </c>
      <c r="G94" s="55">
        <f ca="1">OFFSET('Customer Count'!$G$5,COLUMN()-COLUMN($C94),0)</f>
        <v>1565.125</v>
      </c>
      <c r="H94" s="55">
        <f ca="1">OFFSET('Customer Count'!$G$5,COLUMN()-COLUMN($C94),0)</f>
        <v>1561</v>
      </c>
      <c r="I94" s="55">
        <f ca="1">OFFSET('Customer Count'!$G$5,COLUMN()-COLUMN($C94),0)</f>
        <v>1558.8333333333339</v>
      </c>
      <c r="J94" s="55">
        <f ca="1">OFFSET('Customer Count'!$G$5,COLUMN()-COLUMN($C94),0)</f>
        <v>1559.1666666666661</v>
      </c>
      <c r="K94" s="55">
        <f ca="1">OFFSET('Customer Count'!$G$5,COLUMN()-COLUMN($C94),0)</f>
        <v>1562.625</v>
      </c>
      <c r="L94" s="55">
        <f ca="1">OFFSET('Customer Count'!$G$5,COLUMN()-COLUMN($C94),0)</f>
        <v>1561.8333333333339</v>
      </c>
      <c r="M94" s="55">
        <f ca="1">OFFSET('Customer Count'!$G$5,COLUMN()-COLUMN($C94),0)</f>
        <v>1558.5157008672784</v>
      </c>
      <c r="N94" s="55">
        <f ca="1">OFFSET('Customer Count'!$G$5,COLUMN()-COLUMN($C94),0)</f>
        <v>1555.2051156865798</v>
      </c>
      <c r="O94" s="55">
        <f ca="1">OFFSET('Customer Count'!$G$5,COLUMN()-COLUMN($C94),0)</f>
        <v>1551.9015628214572</v>
      </c>
      <c r="P94" s="55">
        <f ca="1">OFFSET('Customer Count'!$G$5,COLUMN()-COLUMN($C94),0)</f>
        <v>1548.6050273339283</v>
      </c>
      <c r="Q94" s="55">
        <f ca="1">OFFSET('Customer Count'!$G$5,COLUMN()-COLUMN($C94),0)</f>
        <v>1545.3154943177424</v>
      </c>
      <c r="R94" s="55">
        <f ca="1">OFFSET('Customer Count'!$G$5,COLUMN()-COLUMN($C94),0)</f>
        <v>1542.0329488983118</v>
      </c>
      <c r="S94" s="65">
        <f ca="1">OFFSET('Customer Count'!$G$5,COLUMN()-COLUMN($C94),0)</f>
        <v>1538.757376232646</v>
      </c>
    </row>
    <row r="95" spans="2:19" ht="13.5" customHeight="1">
      <c r="B95" s="64" t="str">
        <f t="shared" si="37"/>
        <v>GS&lt;50</v>
      </c>
      <c r="C95" s="55">
        <f ca="1">OFFSET('Customer Count'!$K$5,COLUMN()-COLUMN($C95),0)</f>
        <v>8892.9583333333303</v>
      </c>
      <c r="D95" s="55">
        <f ca="1">OFFSET('Customer Count'!$K$5,COLUMN()-COLUMN($C95),0)</f>
        <v>8953.4166666666697</v>
      </c>
      <c r="E95" s="55">
        <f ca="1">OFFSET('Customer Count'!$K$5,COLUMN()-COLUMN($C95),0)</f>
        <v>9015.375</v>
      </c>
      <c r="F95" s="55">
        <f ca="1">OFFSET('Customer Count'!$K$5,COLUMN()-COLUMN($C95),0)</f>
        <v>9089.625</v>
      </c>
      <c r="G95" s="55">
        <f ca="1">OFFSET('Customer Count'!$K$5,COLUMN()-COLUMN($C95),0)</f>
        <v>9207.0416666666697</v>
      </c>
      <c r="H95" s="55">
        <f ca="1">OFFSET('Customer Count'!$K$5,COLUMN()-COLUMN($C95),0)</f>
        <v>9277.75</v>
      </c>
      <c r="I95" s="55">
        <f ca="1">OFFSET('Customer Count'!$K$5,COLUMN()-COLUMN($C95),0)</f>
        <v>9314.7083333333303</v>
      </c>
      <c r="J95" s="55">
        <f ca="1">OFFSET('Customer Count'!$K$5,COLUMN()-COLUMN($C95),0)</f>
        <v>9413.2083333333303</v>
      </c>
      <c r="K95" s="55">
        <f ca="1">OFFSET('Customer Count'!$K$5,COLUMN()-COLUMN($C95),0)</f>
        <v>9487.375</v>
      </c>
      <c r="L95" s="55">
        <f ca="1">OFFSET('Customer Count'!$K$5,COLUMN()-COLUMN($C95),0)</f>
        <v>9501.875</v>
      </c>
      <c r="M95" s="55">
        <f ca="1">OFFSET('Customer Count'!$K$5,COLUMN()-COLUMN($C95),0)</f>
        <v>9543.9881818488975</v>
      </c>
      <c r="N95" s="55">
        <f ca="1">OFFSET('Customer Count'!$K$5,COLUMN()-COLUMN($C95),0)</f>
        <v>9614.4797247823481</v>
      </c>
      <c r="O95" s="55">
        <f ca="1">OFFSET('Customer Count'!$K$5,COLUMN()-COLUMN($C95),0)</f>
        <v>9685.4919156389169</v>
      </c>
      <c r="P95" s="55">
        <f ca="1">OFFSET('Customer Count'!$K$5,COLUMN()-COLUMN($C95),0)</f>
        <v>9757.0285999048647</v>
      </c>
      <c r="Q95" s="55">
        <f ca="1">OFFSET('Customer Count'!$K$5,COLUMN()-COLUMN($C95),0)</f>
        <v>9829.0936514690693</v>
      </c>
      <c r="R95" s="55">
        <f ca="1">OFFSET('Customer Count'!$K$5,COLUMN()-COLUMN($C95),0)</f>
        <v>9901.6909728328119</v>
      </c>
      <c r="S95" s="65">
        <f ca="1">OFFSET('Customer Count'!$K$5,COLUMN()-COLUMN($C95),0)</f>
        <v>9974.8244953211015</v>
      </c>
    </row>
    <row r="96" spans="2:19" ht="13.5" customHeight="1">
      <c r="B96" s="64" t="str">
        <f t="shared" si="37"/>
        <v>GS 50 - 2,999</v>
      </c>
      <c r="C96" s="55">
        <f ca="1">OFFSET('Customer Count'!$O$5,COLUMN()-COLUMN($C96),0)</f>
        <v>1053.75</v>
      </c>
      <c r="D96" s="55">
        <f ca="1">OFFSET('Customer Count'!$O$5,COLUMN()-COLUMN($C96),0)</f>
        <v>1056.0416666666663</v>
      </c>
      <c r="E96" s="55">
        <f ca="1">OFFSET('Customer Count'!$O$5,COLUMN()-COLUMN($C96),0)</f>
        <v>1068.3333333333337</v>
      </c>
      <c r="F96" s="55">
        <f ca="1">OFFSET('Customer Count'!$O$5,COLUMN()-COLUMN($C96),0)</f>
        <v>1060.25</v>
      </c>
      <c r="G96" s="55">
        <f ca="1">OFFSET('Customer Count'!$O$5,COLUMN()-COLUMN($C96),0)</f>
        <v>1029.0833333333337</v>
      </c>
      <c r="H96" s="55">
        <f ca="1">OFFSET('Customer Count'!$O$5,COLUMN()-COLUMN($C96),0)</f>
        <v>1032</v>
      </c>
      <c r="I96" s="55">
        <f ca="1">OFFSET('Customer Count'!$O$5,COLUMN()-COLUMN($C96),0)</f>
        <v>1052.2083333333337</v>
      </c>
      <c r="J96" s="55">
        <f ca="1">OFFSET('Customer Count'!$O$5,COLUMN()-COLUMN($C96),0)</f>
        <v>1037.25</v>
      </c>
      <c r="K96" s="55">
        <f ca="1">OFFSET('Customer Count'!$O$5,COLUMN()-COLUMN($C96),0)</f>
        <v>1030.4583333333335</v>
      </c>
      <c r="L96" s="55">
        <f ca="1">OFFSET('Customer Count'!$O$5,COLUMN()-COLUMN($C96),0)</f>
        <v>1059.4166666666663</v>
      </c>
      <c r="M96" s="55">
        <f ca="1">OFFSET('Customer Count'!$R$5,COLUMN()-COLUMN($C96),0)</f>
        <v>1080.3570666497312</v>
      </c>
      <c r="N96" s="55">
        <f ca="1">OFFSET('Customer Count'!$R$5,COLUMN()-COLUMN($C96),0)</f>
        <v>1089.5680703025032</v>
      </c>
      <c r="O96" s="55">
        <f ca="1">OFFSET('Customer Count'!$R$5,COLUMN()-COLUMN($C96),0)</f>
        <v>1094.3094560511545</v>
      </c>
      <c r="P96" s="55">
        <f ca="1">OFFSET('Customer Count'!$R$5,COLUMN()-COLUMN($C96),0)</f>
        <v>1095.9412241234484</v>
      </c>
      <c r="Q96" s="55">
        <f ca="1">OFFSET('Customer Count'!$R$5,COLUMN()-COLUMN($C96),0)</f>
        <v>1096.8933747472843</v>
      </c>
      <c r="R96" s="55">
        <f ca="1">OFFSET('Customer Count'!$R$5,COLUMN()-COLUMN($C96),0)</f>
        <v>1097.5959081506974</v>
      </c>
      <c r="S96" s="65">
        <f ca="1">OFFSET('Customer Count'!$R$5,COLUMN()-COLUMN($C96),0)</f>
        <v>1098.4488245618588</v>
      </c>
    </row>
    <row r="97" spans="2:19" ht="13.5" customHeight="1">
      <c r="B97" s="64" t="str">
        <f t="shared" si="37"/>
        <v>GS 3,000 - 4,999</v>
      </c>
      <c r="C97" s="55">
        <f ca="1">OFFSET('Customer Count'!$U$5,COLUMN()-COLUMN($C97),0)</f>
        <v>5</v>
      </c>
      <c r="D97" s="55">
        <f ca="1">OFFSET('Customer Count'!$U$5,COLUMN()-COLUMN($C97),0)</f>
        <v>5</v>
      </c>
      <c r="E97" s="55">
        <f ca="1">OFFSET('Customer Count'!$U$5,COLUMN()-COLUMN($C97),0)</f>
        <v>5</v>
      </c>
      <c r="F97" s="55">
        <f ca="1">OFFSET('Customer Count'!$U$5,COLUMN()-COLUMN($C97),0)</f>
        <v>4.4583333333333348</v>
      </c>
      <c r="G97" s="55">
        <f ca="1">OFFSET('Customer Count'!$U$5,COLUMN()-COLUMN($C97),0)</f>
        <v>4</v>
      </c>
      <c r="H97" s="55">
        <f ca="1">OFFSET('Customer Count'!$U$5,COLUMN()-COLUMN($C97),0)</f>
        <v>4.5416666666666652</v>
      </c>
      <c r="I97" s="55">
        <f ca="1">OFFSET('Customer Count'!$U$5,COLUMN()-COLUMN($C97),0)</f>
        <v>5.5416666666666643</v>
      </c>
      <c r="J97" s="55">
        <f ca="1">OFFSET('Customer Count'!$U$5,COLUMN()-COLUMN($C97),0)</f>
        <v>5.4583333333333357</v>
      </c>
      <c r="K97" s="55">
        <f ca="1">OFFSET('Customer Count'!$U$5,COLUMN()-COLUMN($C97),0)</f>
        <v>5</v>
      </c>
      <c r="L97" s="55">
        <f ca="1">OFFSET('Customer Count'!$U$5,COLUMN()-COLUMN($C97),0)</f>
        <v>5</v>
      </c>
      <c r="M97" s="55">
        <f ca="1">OFFSET('Customer Count'!$X$5,COLUMN()-COLUMN($C97),0)</f>
        <v>6.8</v>
      </c>
      <c r="N97" s="55">
        <f ca="1">OFFSET('Customer Count'!$X$5,COLUMN()-COLUMN($C97),0)</f>
        <v>10.234999999999999</v>
      </c>
      <c r="O97" s="55">
        <f ca="1">OFFSET('Customer Count'!$X$5,COLUMN()-COLUMN($C97),0)</f>
        <v>12.05</v>
      </c>
      <c r="P97" s="55">
        <f ca="1">OFFSET('Customer Count'!$X$5,COLUMN()-COLUMN($C97),0)</f>
        <v>12.175000000000001</v>
      </c>
      <c r="Q97" s="55">
        <f ca="1">OFFSET('Customer Count'!$X$5,COLUMN()-COLUMN($C97),0)</f>
        <v>12.120000000000001</v>
      </c>
      <c r="R97" s="55">
        <f ca="1">OFFSET('Customer Count'!$X$5,COLUMN()-COLUMN($C97),0)</f>
        <v>12.120000000000001</v>
      </c>
      <c r="S97" s="65">
        <f ca="1">OFFSET('Customer Count'!$X$5,COLUMN()-COLUMN($C97),0)</f>
        <v>12.120000000000001</v>
      </c>
    </row>
    <row r="98" spans="2:19" ht="13.5" customHeight="1">
      <c r="B98" s="64" t="str">
        <f t="shared" si="37"/>
        <v>Large Use</v>
      </c>
      <c r="C98" s="55">
        <f ca="1">OFFSET('Customer Count'!$AA$5,COLUMN()-COLUMN($C98),0)</f>
        <v>2.5416666666666674</v>
      </c>
      <c r="D98" s="55">
        <f ca="1">OFFSET('Customer Count'!$AA$5,COLUMN()-COLUMN($C98),0)</f>
        <v>3</v>
      </c>
      <c r="E98" s="55">
        <f ca="1">OFFSET('Customer Count'!$AA$5,COLUMN()-COLUMN($C98),0)</f>
        <v>3</v>
      </c>
      <c r="F98" s="55">
        <f ca="1">OFFSET('Customer Count'!$AA$5,COLUMN()-COLUMN($C98),0)</f>
        <v>3.5416666666666674</v>
      </c>
      <c r="G98" s="55">
        <f ca="1">OFFSET('Customer Count'!$AA$5,COLUMN()-COLUMN($C98),0)</f>
        <v>4</v>
      </c>
      <c r="H98" s="55">
        <f ca="1">OFFSET('Customer Count'!$AA$5,COLUMN()-COLUMN($C98),0)</f>
        <v>4</v>
      </c>
      <c r="I98" s="55">
        <f ca="1">OFFSET('Customer Count'!$AA$5,COLUMN()-COLUMN($C98),0)</f>
        <v>4</v>
      </c>
      <c r="J98" s="55">
        <f ca="1">OFFSET('Customer Count'!$AA$5,COLUMN()-COLUMN($C98),0)</f>
        <v>4</v>
      </c>
      <c r="K98" s="55">
        <f ca="1">OFFSET('Customer Count'!$AA$5,COLUMN()-COLUMN($C98),0)</f>
        <v>4.5416666666666652</v>
      </c>
      <c r="L98" s="55">
        <f ca="1">OFFSET('Customer Count'!$AA$5,COLUMN()-COLUMN($C98),0)</f>
        <v>5</v>
      </c>
      <c r="M98" s="55">
        <f ca="1">OFFSET('Customer Count'!$AD$5,COLUMN()-COLUMN($C98),0)</f>
        <v>5.4124999999999996</v>
      </c>
      <c r="N98" s="55">
        <f ca="1">OFFSET('Customer Count'!$AD$5,COLUMN()-COLUMN($C98),0)</f>
        <v>6.0975000000000001</v>
      </c>
      <c r="O98" s="55">
        <f ca="1">OFFSET('Customer Count'!$AD$5,COLUMN()-COLUMN($C98),0)</f>
        <v>7.1275000000000004</v>
      </c>
      <c r="P98" s="55">
        <f ca="1">OFFSET('Customer Count'!$AD$5,COLUMN()-COLUMN($C98),0)</f>
        <v>8.3025000000000002</v>
      </c>
      <c r="Q98" s="55">
        <f ca="1">OFFSET('Customer Count'!$AD$5,COLUMN()-COLUMN($C98),0)</f>
        <v>8.7799999999999994</v>
      </c>
      <c r="R98" s="55">
        <f ca="1">OFFSET('Customer Count'!$AD$5,COLUMN()-COLUMN($C98),0)</f>
        <v>8.8849999999999998</v>
      </c>
      <c r="S98" s="65">
        <f ca="1">OFFSET('Customer Count'!$AD$5,COLUMN()-COLUMN($C98),0)</f>
        <v>8.9450000000000003</v>
      </c>
    </row>
    <row r="99" spans="2:19" ht="13.5" customHeight="1">
      <c r="B99" s="64" t="str">
        <f t="shared" si="37"/>
        <v>Street Light</v>
      </c>
      <c r="C99" s="55">
        <f ca="1">OFFSET('Customer Count'!$AG$5,COLUMN()-COLUMN($C99),0)</f>
        <v>29840.625</v>
      </c>
      <c r="D99" s="55">
        <f ca="1">OFFSET('Customer Count'!$AG$5,COLUMN()-COLUMN($C99),0)</f>
        <v>30030.75</v>
      </c>
      <c r="E99" s="55">
        <f ca="1">OFFSET('Customer Count'!$AG$5,COLUMN()-COLUMN($C99),0)</f>
        <v>30411.75</v>
      </c>
      <c r="F99" s="55">
        <f ca="1">OFFSET('Customer Count'!$AG$5,COLUMN()-COLUMN($C99),0)</f>
        <v>30897.625</v>
      </c>
      <c r="G99" s="55">
        <f ca="1">OFFSET('Customer Count'!$AG$5,COLUMN()-COLUMN($C99),0)</f>
        <v>31143.041666666657</v>
      </c>
      <c r="H99" s="55">
        <f ca="1">OFFSET('Customer Count'!$AG$5,COLUMN()-COLUMN($C99),0)</f>
        <v>31414.916666666657</v>
      </c>
      <c r="I99" s="55">
        <f ca="1">OFFSET('Customer Count'!$AG$5,COLUMN()-COLUMN($C99),0)</f>
        <v>31679.166666666657</v>
      </c>
      <c r="J99" s="55">
        <f ca="1">OFFSET('Customer Count'!$AG$5,COLUMN()-COLUMN($C99),0)</f>
        <v>31795.041666666657</v>
      </c>
      <c r="K99" s="55">
        <f ca="1">OFFSET('Customer Count'!$AG$5,COLUMN()-COLUMN($C99),0)</f>
        <v>32131.541666666657</v>
      </c>
      <c r="L99" s="55">
        <f ca="1">OFFSET('Customer Count'!$AG$5,COLUMN()-COLUMN($C99),0)</f>
        <v>32717.416666666661</v>
      </c>
      <c r="M99" s="55">
        <f ca="1">OFFSET('Customer Count'!$AG$5,COLUMN()-COLUMN($C99),0)</f>
        <v>33053.711877799957</v>
      </c>
      <c r="N99" s="55">
        <f ca="1">OFFSET('Customer Count'!$AG$5,COLUMN()-COLUMN($C99),0)</f>
        <v>33393.463794277181</v>
      </c>
      <c r="O99" s="55">
        <f ca="1">OFFSET('Customer Count'!$AG$5,COLUMN()-COLUMN($C99),0)</f>
        <v>33736.707946820861</v>
      </c>
      <c r="P99" s="55">
        <f ca="1">OFFSET('Customer Count'!$AG$5,COLUMN()-COLUMN($C99),0)</f>
        <v>34083.480231366098</v>
      </c>
      <c r="Q99" s="55">
        <f ca="1">OFFSET('Customer Count'!$AG$5,COLUMN()-COLUMN($C99),0)</f>
        <v>34433.816912814502</v>
      </c>
      <c r="R99" s="55">
        <f ca="1">OFFSET('Customer Count'!$AG$5,COLUMN()-COLUMN($C99),0)</f>
        <v>34787.754628826726</v>
      </c>
      <c r="S99" s="65">
        <f ca="1">OFFSET('Customer Count'!$AG$5,COLUMN()-COLUMN($C99),0)</f>
        <v>35145.33039365396</v>
      </c>
    </row>
    <row r="100" spans="2:19" ht="13.5" customHeight="1">
      <c r="B100" s="64" t="str">
        <f t="shared" si="37"/>
        <v>Sentinel Light</v>
      </c>
      <c r="C100" s="55">
        <f ca="1">OFFSET('Customer Count'!$AK$5,COLUMN()-COLUMN($C100),0)</f>
        <v>442.66666666666657</v>
      </c>
      <c r="D100" s="55">
        <f ca="1">OFFSET('Customer Count'!$AK$5,COLUMN()-COLUMN($C100),0)</f>
        <v>439</v>
      </c>
      <c r="E100" s="55">
        <f ca="1">OFFSET('Customer Count'!$AK$5,COLUMN()-COLUMN($C100),0)</f>
        <v>439</v>
      </c>
      <c r="F100" s="55">
        <f ca="1">OFFSET('Customer Count'!$AK$5,COLUMN()-COLUMN($C100),0)</f>
        <v>439</v>
      </c>
      <c r="G100" s="55">
        <f ca="1">OFFSET('Customer Count'!$AK$5,COLUMN()-COLUMN($C100),0)</f>
        <v>342.04166666666652</v>
      </c>
      <c r="H100" s="55">
        <f ca="1">OFFSET('Customer Count'!$AK$5,COLUMN()-COLUMN($C100),0)</f>
        <v>255.125</v>
      </c>
      <c r="I100" s="55">
        <f ca="1">OFFSET('Customer Count'!$AK$5,COLUMN()-COLUMN($C100),0)</f>
        <v>248.83333333333326</v>
      </c>
      <c r="J100" s="55">
        <f ca="1">OFFSET('Customer Count'!$AK$5,COLUMN()-COLUMN($C100),0)</f>
        <v>245.91666666666674</v>
      </c>
      <c r="K100" s="55">
        <f ca="1">OFFSET('Customer Count'!$AK$5,COLUMN()-COLUMN($C100),0)</f>
        <v>242.83333333333326</v>
      </c>
      <c r="L100" s="55">
        <f ca="1">OFFSET('Customer Count'!$AK$5,COLUMN()-COLUMN($C100),0)</f>
        <v>238.29166666666674</v>
      </c>
      <c r="M100" s="55">
        <f ca="1">OFFSET('Customer Count'!$AK$5,COLUMN()-COLUMN($C100),0)</f>
        <v>234.25982478178059</v>
      </c>
      <c r="N100" s="55">
        <f ca="1">OFFSET('Customer Count'!$AK$5,COLUMN()-COLUMN($C100),0)</f>
        <v>230.29620076289083</v>
      </c>
      <c r="O100" s="55">
        <f ca="1">OFFSET('Customer Count'!$AK$5,COLUMN()-COLUMN($C100),0)</f>
        <v>226.39964037891053</v>
      </c>
      <c r="P100" s="55">
        <f ca="1">OFFSET('Customer Count'!$AK$5,COLUMN()-COLUMN($C100),0)</f>
        <v>222.56900892808551</v>
      </c>
      <c r="Q100" s="55">
        <f ca="1">OFFSET('Customer Count'!$AK$5,COLUMN()-COLUMN($C100),0)</f>
        <v>218.80319090756225</v>
      </c>
      <c r="R100" s="55">
        <f ca="1">OFFSET('Customer Count'!$AK$5,COLUMN()-COLUMN($C100),0)</f>
        <v>215.10108968854698</v>
      </c>
      <c r="S100" s="65">
        <f ca="1">OFFSET('Customer Count'!$AK$5,COLUMN()-COLUMN($C100),0)</f>
        <v>211.46162719696062</v>
      </c>
    </row>
    <row r="101" spans="2:19">
      <c r="B101" s="64" t="str">
        <f t="shared" si="37"/>
        <v>USL</v>
      </c>
      <c r="C101" s="55">
        <f ca="1">OFFSET('Customer Count'!$AO$5,COLUMN()-COLUMN($C101),0)</f>
        <v>872.5</v>
      </c>
      <c r="D101" s="55">
        <f ca="1">OFFSET('Customer Count'!$AO$5,COLUMN()-COLUMN($C101),0)</f>
        <v>837.41666666666686</v>
      </c>
      <c r="E101" s="55">
        <f ca="1">OFFSET('Customer Count'!$AO$5,COLUMN()-COLUMN($C101),0)</f>
        <v>825.58333333333314</v>
      </c>
      <c r="F101" s="55">
        <f ca="1">OFFSET('Customer Count'!$AO$5,COLUMN()-COLUMN($C101),0)</f>
        <v>817.75</v>
      </c>
      <c r="G101" s="55">
        <f ca="1">OFFSET('Customer Count'!$AO$5,COLUMN()-COLUMN($C101),0)</f>
        <v>809.04166666666697</v>
      </c>
      <c r="H101" s="55">
        <f ca="1">OFFSET('Customer Count'!$AO$5,COLUMN()-COLUMN($C101),0)</f>
        <v>801.83333333333303</v>
      </c>
      <c r="I101" s="55">
        <f ca="1">OFFSET('Customer Count'!$AO$5,COLUMN()-COLUMN($C101),0)</f>
        <v>801.625</v>
      </c>
      <c r="J101" s="55">
        <f ca="1">OFFSET('Customer Count'!$AO$5,COLUMN()-COLUMN($C101),0)</f>
        <v>800.83333333333303</v>
      </c>
      <c r="K101" s="55">
        <f ca="1">OFFSET('Customer Count'!$AO$5,COLUMN()-COLUMN($C101),0)</f>
        <v>797.91666666666697</v>
      </c>
      <c r="L101" s="55">
        <f ca="1">OFFSET('Customer Count'!$AO$5,COLUMN()-COLUMN($C101),0)</f>
        <v>769.91666666666697</v>
      </c>
      <c r="M101" s="55">
        <f ca="1">OFFSET('Customer Count'!$AO$5,COLUMN()-COLUMN($C101),0)</f>
        <v>741.40363373070261</v>
      </c>
      <c r="N101" s="55">
        <f ca="1">OFFSET('Customer Count'!$AO$5,COLUMN()-COLUMN($C101),0)</f>
        <v>731.17101056299305</v>
      </c>
      <c r="O101" s="55">
        <f ca="1">OFFSET('Customer Count'!$AO$5,COLUMN()-COLUMN($C101),0)</f>
        <v>721.07961488882222</v>
      </c>
      <c r="P101" s="55">
        <f ca="1">OFFSET('Customer Count'!$AO$5,COLUMN()-COLUMN($C101),0)</f>
        <v>711.12749753009541</v>
      </c>
      <c r="Q101" s="55">
        <f ca="1">OFFSET('Customer Count'!$AO$5,COLUMN()-COLUMN($C101),0)</f>
        <v>701.31273621066964</v>
      </c>
      <c r="R101" s="55">
        <f ca="1">OFFSET('Customer Count'!$AO$5,COLUMN()-COLUMN($C101),0)</f>
        <v>691.63343518506156</v>
      </c>
      <c r="S101" s="65">
        <f ca="1">OFFSET('Customer Count'!$AO$5,COLUMN()-COLUMN($C101),0)</f>
        <v>682.08772487227952</v>
      </c>
    </row>
    <row r="102" spans="2:19" ht="13.5" thickBot="1">
      <c r="B102" s="63" t="s">
        <v>65</v>
      </c>
      <c r="C102" s="62">
        <f t="shared" ref="C102:L102" ca="1" si="38">SUM(C93:C101)</f>
        <v>149918.01163921045</v>
      </c>
      <c r="D102" s="62">
        <f t="shared" ca="1" si="38"/>
        <v>150358</v>
      </c>
      <c r="E102" s="62">
        <f t="shared" ca="1" si="38"/>
        <v>151709.83333333334</v>
      </c>
      <c r="F102" s="62">
        <f ca="1">SUM(F93:F101)</f>
        <v>153352.91666666669</v>
      </c>
      <c r="G102" s="62">
        <f t="shared" ca="1" si="38"/>
        <v>155064.24999999997</v>
      </c>
      <c r="H102" s="62">
        <f t="shared" ca="1" si="38"/>
        <v>156569.54166666666</v>
      </c>
      <c r="I102" s="62">
        <f t="shared" ca="1" si="38"/>
        <v>157724.20833333328</v>
      </c>
      <c r="J102" s="62">
        <f t="shared" ca="1" si="38"/>
        <v>159021.70833333334</v>
      </c>
      <c r="K102" s="62">
        <f t="shared" ca="1" si="38"/>
        <v>160951.41666666666</v>
      </c>
      <c r="L102" s="61">
        <f t="shared" ca="1" si="38"/>
        <v>163315.12499999997</v>
      </c>
      <c r="M102" s="62">
        <f t="shared" ref="M102:S102" ca="1" si="39">SUM(M93:M101)</f>
        <v>165882.53129858625</v>
      </c>
      <c r="N102" s="61">
        <f t="shared" ca="1" si="39"/>
        <v>168732.34051832557</v>
      </c>
      <c r="O102" s="62">
        <f t="shared" ca="1" si="39"/>
        <v>171654.33219593111</v>
      </c>
      <c r="P102" s="61">
        <f t="shared" ca="1" si="39"/>
        <v>174523.43614568716</v>
      </c>
      <c r="Q102" s="62">
        <f t="shared" ca="1" si="39"/>
        <v>177440.22276772451</v>
      </c>
      <c r="R102" s="61">
        <f t="shared" ca="1" si="39"/>
        <v>180466.92988955433</v>
      </c>
      <c r="S102" s="54">
        <f t="shared" ca="1" si="39"/>
        <v>183543.11857437275</v>
      </c>
    </row>
    <row r="104" spans="2:19" ht="16.5" thickBot="1">
      <c r="B104" s="71" t="s">
        <v>486</v>
      </c>
      <c r="C104" s="71" t="s">
        <v>352</v>
      </c>
    </row>
    <row r="105" spans="2:19">
      <c r="B105" s="70" t="s">
        <v>381</v>
      </c>
      <c r="C105" s="69" t="s">
        <v>476</v>
      </c>
      <c r="D105" s="69" t="s">
        <v>477</v>
      </c>
      <c r="E105" s="69" t="s">
        <v>478</v>
      </c>
      <c r="F105" s="69" t="s">
        <v>479</v>
      </c>
      <c r="G105" s="69" t="s">
        <v>480</v>
      </c>
      <c r="H105" s="69" t="s">
        <v>481</v>
      </c>
      <c r="I105" s="69" t="s">
        <v>482</v>
      </c>
      <c r="J105" s="69" t="s">
        <v>483</v>
      </c>
      <c r="K105" s="69" t="s">
        <v>484</v>
      </c>
      <c r="L105" s="69" t="s">
        <v>528</v>
      </c>
      <c r="M105" s="69" t="s">
        <v>195</v>
      </c>
      <c r="N105" s="69" t="s">
        <v>196</v>
      </c>
      <c r="O105" s="69" t="s">
        <v>487</v>
      </c>
      <c r="P105" s="69" t="s">
        <v>488</v>
      </c>
      <c r="Q105" s="69" t="s">
        <v>489</v>
      </c>
      <c r="R105" s="69" t="s">
        <v>490</v>
      </c>
      <c r="S105" s="67" t="s">
        <v>491</v>
      </c>
    </row>
    <row r="106" spans="2:19">
      <c r="B106" s="66" t="str">
        <f t="shared" ref="B106:B112" si="40">B16</f>
        <v>Residential</v>
      </c>
      <c r="C106" s="55">
        <f ca="1">OFFSET('Customer Count'!$AT$5,COLUMN()-COLUMN($C106),0)</f>
        <v>39119</v>
      </c>
      <c r="D106" s="55">
        <f ca="1">OFFSET('Customer Count'!$AT$5,COLUMN()-COLUMN($C106),0)</f>
        <v>39433.541666666679</v>
      </c>
      <c r="E106" s="55">
        <f ca="1">OFFSET('Customer Count'!$AT$5,COLUMN()-COLUMN($C106),0)</f>
        <v>39751.583333333321</v>
      </c>
      <c r="F106" s="55">
        <f ca="1">OFFSET('Customer Count'!$AT$5,COLUMN()-COLUMN($C106),0)</f>
        <v>40096.916666666679</v>
      </c>
      <c r="G106" s="55">
        <f ca="1">OFFSET('Customer Count'!$AT$5,COLUMN()-COLUMN($C106),0)</f>
        <v>40903.041666666679</v>
      </c>
      <c r="H106" s="55">
        <f ca="1">OFFSET('Customer Count'!$AT$5,COLUMN()-COLUMN($C106),0)</f>
        <v>41880.625</v>
      </c>
      <c r="I106" s="55">
        <f ca="1">OFFSET('Customer Count'!$AT$5,COLUMN()-COLUMN($C106),0)</f>
        <v>42897.875</v>
      </c>
      <c r="J106" s="55">
        <f ca="1">OFFSET('Customer Count'!$AT$5,COLUMN()-COLUMN($C106),0)</f>
        <v>44013.541666666686</v>
      </c>
      <c r="K106" s="55">
        <f ca="1">OFFSET('Customer Count'!$AT$5,COLUMN()-COLUMN($C106),0)</f>
        <v>44945.416666666686</v>
      </c>
      <c r="L106" s="55">
        <f ca="1">OFFSET('Customer Count'!$AT$5,COLUMN()-COLUMN($C106),0)</f>
        <v>45520.625</v>
      </c>
      <c r="M106" s="55">
        <f ca="1">OFFSET('Customer Count'!$AT$5,COLUMN()-COLUMN($C106),0)</f>
        <v>46436.563069453616</v>
      </c>
      <c r="N106" s="55">
        <f ca="1">OFFSET('Customer Count'!$AT$5,COLUMN()-COLUMN($C106),0)</f>
        <v>47323.86823971742</v>
      </c>
      <c r="O106" s="55">
        <f ca="1">OFFSET('Customer Count'!$AT$5,COLUMN()-COLUMN($C106),0)</f>
        <v>48234.426518722685</v>
      </c>
      <c r="P106" s="55">
        <f ca="1">OFFSET('Customer Count'!$AT$5,COLUMN()-COLUMN($C106),0)</f>
        <v>49135.011201534966</v>
      </c>
      <c r="Q106" s="55">
        <f ca="1">OFFSET('Customer Count'!$AT$5,COLUMN()-COLUMN($C106),0)</f>
        <v>50076.849655134763</v>
      </c>
      <c r="R106" s="55">
        <f ca="1">OFFSET('Customer Count'!$AT$5,COLUMN()-COLUMN($C106),0)</f>
        <v>51033.453561093025</v>
      </c>
      <c r="S106" s="65">
        <f ca="1">OFFSET('Customer Count'!$AT$5,COLUMN()-COLUMN($C106),0)</f>
        <v>52005.475034746378</v>
      </c>
    </row>
    <row r="107" spans="2:19">
      <c r="B107" s="64" t="str">
        <f t="shared" si="40"/>
        <v>GS&lt;50</v>
      </c>
      <c r="C107" s="55">
        <f ca="1">OFFSET('Customer Count'!$AX$5,COLUMN()-COLUMN($C107),0)</f>
        <v>2168.4583333333326</v>
      </c>
      <c r="D107" s="55">
        <f ca="1">OFFSET('Customer Count'!$AX$5,COLUMN()-COLUMN($C107),0)</f>
        <v>2201.2083333333326</v>
      </c>
      <c r="E107" s="55">
        <f ca="1">OFFSET('Customer Count'!$AX$5,COLUMN()-COLUMN($C107),0)</f>
        <v>2229.75</v>
      </c>
      <c r="F107" s="55">
        <f ca="1">OFFSET('Customer Count'!$AX$5,COLUMN()-COLUMN($C107),0)</f>
        <v>2246.6666666666674</v>
      </c>
      <c r="G107" s="55">
        <f ca="1">OFFSET('Customer Count'!$AX$5,COLUMN()-COLUMN($C107),0)</f>
        <v>2261.0416666666674</v>
      </c>
      <c r="H107" s="55">
        <f ca="1">OFFSET('Customer Count'!$AX$5,COLUMN()-COLUMN($C107),0)</f>
        <v>2284.3333333333326</v>
      </c>
      <c r="I107" s="55">
        <f ca="1">OFFSET('Customer Count'!$AX$5,COLUMN()-COLUMN($C107),0)</f>
        <v>2326.625</v>
      </c>
      <c r="J107" s="55">
        <f ca="1">OFFSET('Customer Count'!$AX$5,COLUMN()-COLUMN($C107),0)</f>
        <v>2383.5833333333326</v>
      </c>
      <c r="K107" s="55">
        <f ca="1">OFFSET('Customer Count'!$AX$5,COLUMN()-COLUMN($C107),0)</f>
        <v>2435.2916666666674</v>
      </c>
      <c r="L107" s="55">
        <f ca="1">OFFSET('Customer Count'!$AX$5,COLUMN()-COLUMN($C107),0)</f>
        <v>2464.75</v>
      </c>
      <c r="M107" s="55">
        <f ca="1">OFFSET('Customer Count'!$AX$5,COLUMN()-COLUMN($C107),0)</f>
        <v>2499.8378600249093</v>
      </c>
      <c r="N107" s="55">
        <f ca="1">OFFSET('Customer Count'!$AX$5,COLUMN()-COLUMN($C107),0)</f>
        <v>2535.4252262557734</v>
      </c>
      <c r="O107" s="55">
        <f ca="1">OFFSET('Customer Count'!$AX$5,COLUMN()-COLUMN($C107),0)</f>
        <v>2571.5192095978919</v>
      </c>
      <c r="P107" s="55">
        <f ca="1">OFFSET('Customer Count'!$AX$5,COLUMN()-COLUMN($C107),0)</f>
        <v>2608.1270221864852</v>
      </c>
      <c r="Q107" s="55">
        <f ca="1">OFFSET('Customer Count'!$AX$5,COLUMN()-COLUMN($C107),0)</f>
        <v>2645.2559788277927</v>
      </c>
      <c r="R107" s="55">
        <f ca="1">OFFSET('Customer Count'!$AX$5,COLUMN()-COLUMN($C107),0)</f>
        <v>2682.9134984606817</v>
      </c>
      <c r="S107" s="65">
        <f ca="1">OFFSET('Customer Count'!$AX$5,COLUMN()-COLUMN($C107),0)</f>
        <v>2721.1071056390679</v>
      </c>
    </row>
    <row r="108" spans="2:19">
      <c r="B108" s="64" t="str">
        <f t="shared" si="40"/>
        <v>GS 50 - 2,999</v>
      </c>
      <c r="C108" s="55">
        <f ca="1">OFFSET('Customer Count'!$BB$5,COLUMN()-COLUMN($C108),0)</f>
        <v>366.45833333333348</v>
      </c>
      <c r="D108" s="55">
        <f ca="1">OFFSET('Customer Count'!$BB$5,COLUMN()-COLUMN($C108),0)</f>
        <v>367.08333333333348</v>
      </c>
      <c r="E108" s="55">
        <f ca="1">OFFSET('Customer Count'!$BB$5,COLUMN()-COLUMN($C108),0)</f>
        <v>368</v>
      </c>
      <c r="F108" s="55">
        <f ca="1">OFFSET('Customer Count'!$BB$5,COLUMN()-COLUMN($C108),0)</f>
        <v>372.875</v>
      </c>
      <c r="G108" s="55">
        <f ca="1">OFFSET('Customer Count'!$BB$5,COLUMN()-COLUMN($C108),0)</f>
        <v>377</v>
      </c>
      <c r="H108" s="55">
        <f ca="1">OFFSET('Customer Count'!$BB$5,COLUMN()-COLUMN($C108),0)</f>
        <v>381.875</v>
      </c>
      <c r="I108" s="55">
        <f ca="1">OFFSET('Customer Count'!$BB$5,COLUMN()-COLUMN($C108),0)</f>
        <v>390.875</v>
      </c>
      <c r="J108" s="55">
        <f ca="1">OFFSET('Customer Count'!$BB$5,COLUMN()-COLUMN($C108),0)</f>
        <v>386.33333333333348</v>
      </c>
      <c r="K108" s="55">
        <f ca="1">OFFSET('Customer Count'!$BB$5,COLUMN()-COLUMN($C108),0)</f>
        <v>383.33333333333348</v>
      </c>
      <c r="L108" s="55">
        <f ca="1">OFFSET('Customer Count'!$BB$5,COLUMN()-COLUMN($C108),0)</f>
        <v>388.625</v>
      </c>
      <c r="M108" s="55">
        <f ca="1">OFFSET('Customer Count'!$BE$5,COLUMN()-COLUMN($C108),0)</f>
        <v>394.03428824658079</v>
      </c>
      <c r="N108" s="55">
        <f ca="1">OFFSET('Customer Count'!$BE$5,COLUMN()-COLUMN($C108),0)</f>
        <v>401.3377336888687</v>
      </c>
      <c r="O108" s="55">
        <f ca="1">OFFSET('Customer Count'!$BE$5,COLUMN()-COLUMN($C108),0)</f>
        <v>407.18794537982552</v>
      </c>
      <c r="P108" s="55">
        <f ca="1">OFFSET('Customer Count'!$BE$5,COLUMN()-COLUMN($C108),0)</f>
        <v>412.02753308637159</v>
      </c>
      <c r="Q108" s="55">
        <f ca="1">OFFSET('Customer Count'!$BE$5,COLUMN()-COLUMN($C108),0)</f>
        <v>415.83910729406017</v>
      </c>
      <c r="R108" s="55">
        <f ca="1">OFFSET('Customer Count'!$BE$5,COLUMN()-COLUMN($C108),0)</f>
        <v>419.18027921178202</v>
      </c>
      <c r="S108" s="65">
        <f ca="1">OFFSET('Customer Count'!$BE$5,COLUMN()-COLUMN($C108),0)</f>
        <v>422.51366077650124</v>
      </c>
    </row>
    <row r="109" spans="2:19">
      <c r="B109" s="64" t="str">
        <f t="shared" si="40"/>
        <v>GS 3,000 - 4,999</v>
      </c>
      <c r="C109" s="55">
        <f ca="1">OFFSET('Customer Count'!$BH$5,COLUMN()-COLUMN($C109),0)</f>
        <v>2</v>
      </c>
      <c r="D109" s="55">
        <f ca="1">OFFSET('Customer Count'!$BH$5,COLUMN()-COLUMN($C109),0)</f>
        <v>2</v>
      </c>
      <c r="E109" s="55">
        <f ca="1">OFFSET('Customer Count'!$BH$5,COLUMN()-COLUMN($C109),0)</f>
        <v>2</v>
      </c>
      <c r="F109" s="55">
        <f ca="1">OFFSET('Customer Count'!$BH$5,COLUMN()-COLUMN($C109),0)</f>
        <v>2.5416666666666674</v>
      </c>
      <c r="G109" s="55">
        <f ca="1">OFFSET('Customer Count'!$BH$5,COLUMN()-COLUMN($C109),0)</f>
        <v>3</v>
      </c>
      <c r="H109" s="55">
        <f ca="1">OFFSET('Customer Count'!$BH$5,COLUMN()-COLUMN($C109),0)</f>
        <v>3</v>
      </c>
      <c r="I109" s="55">
        <f ca="1">OFFSET('Customer Count'!$BH$5,COLUMN()-COLUMN($C109),0)</f>
        <v>3</v>
      </c>
      <c r="J109" s="55">
        <f ca="1">OFFSET('Customer Count'!$BH$5,COLUMN()-COLUMN($C109),0)</f>
        <v>3</v>
      </c>
      <c r="K109" s="55">
        <f ca="1">OFFSET('Customer Count'!$BH$5,COLUMN()-COLUMN($C109),0)</f>
        <v>3</v>
      </c>
      <c r="L109" s="55">
        <f ca="1">OFFSET('Customer Count'!$BH$5,COLUMN()-COLUMN($C109),0)</f>
        <v>3</v>
      </c>
      <c r="M109" s="55">
        <f ca="1">OFFSET('Customer Count'!$BK$5,COLUMN()-COLUMN($C109),0)</f>
        <v>3.9299999999999997</v>
      </c>
      <c r="N109" s="55">
        <f ca="1">OFFSET('Customer Count'!$BK$5,COLUMN()-COLUMN($C109),0)</f>
        <v>5.5449999999999999</v>
      </c>
      <c r="O109" s="55">
        <f ca="1">OFFSET('Customer Count'!$BK$5,COLUMN()-COLUMN($C109),0)</f>
        <v>6.3550000000000004</v>
      </c>
      <c r="P109" s="55">
        <f ca="1">OFFSET('Customer Count'!$BK$5,COLUMN()-COLUMN($C109),0)</f>
        <v>6.48</v>
      </c>
      <c r="Q109" s="55">
        <f ca="1">OFFSET('Customer Count'!$BK$5,COLUMN()-COLUMN($C109),0)</f>
        <v>6.48</v>
      </c>
      <c r="R109" s="55">
        <f ca="1">OFFSET('Customer Count'!$BK$5,COLUMN()-COLUMN($C109),0)</f>
        <v>6.78</v>
      </c>
      <c r="S109" s="65">
        <f ca="1">OFFSET('Customer Count'!$BK$5,COLUMN()-COLUMN($C109),0)</f>
        <v>7.18</v>
      </c>
    </row>
    <row r="110" spans="2:19">
      <c r="B110" s="64" t="str">
        <f t="shared" si="40"/>
        <v>Street Light</v>
      </c>
      <c r="C110" s="55">
        <f ca="1">OFFSET('Customer Count'!$BN$5,COLUMN()-COLUMN($C110),0)</f>
        <v>11827.041666666672</v>
      </c>
      <c r="D110" s="55">
        <f ca="1">OFFSET('Customer Count'!$BN$5,COLUMN()-COLUMN($C110),0)</f>
        <v>11857.375</v>
      </c>
      <c r="E110" s="55">
        <f ca="1">OFFSET('Customer Count'!$BN$5,COLUMN()-COLUMN($C110),0)</f>
        <v>11891</v>
      </c>
      <c r="F110" s="55">
        <f ca="1">OFFSET('Customer Count'!$BN$5,COLUMN()-COLUMN($C110),0)</f>
        <v>12053.666666666672</v>
      </c>
      <c r="G110" s="55">
        <f ca="1">OFFSET('Customer Count'!$BN$5,COLUMN()-COLUMN($C110),0)</f>
        <v>12408.416666666672</v>
      </c>
      <c r="H110" s="55">
        <f ca="1">OFFSET('Customer Count'!$BN$5,COLUMN()-COLUMN($C110),0)</f>
        <v>12707.791666666672</v>
      </c>
      <c r="I110" s="55">
        <f ca="1">OFFSET('Customer Count'!$BN$5,COLUMN()-COLUMN($C110),0)</f>
        <v>13023.791666666672</v>
      </c>
      <c r="J110" s="55">
        <f ca="1">OFFSET('Customer Count'!$BN$5,COLUMN()-COLUMN($C110),0)</f>
        <v>13342.91666666667</v>
      </c>
      <c r="K110" s="55">
        <f ca="1">OFFSET('Customer Count'!$BN$5,COLUMN()-COLUMN($C110),0)</f>
        <v>13555.45833333333</v>
      </c>
      <c r="L110" s="55">
        <f ca="1">OFFSET('Customer Count'!$BN$5,COLUMN()-COLUMN($C110),0)</f>
        <v>13708</v>
      </c>
      <c r="M110" s="55">
        <f ca="1">OFFSET('Customer Count'!$BN$5,COLUMN()-COLUMN($C110),0)</f>
        <v>13934.650879118182</v>
      </c>
      <c r="N110" s="55">
        <f ca="1">OFFSET('Customer Count'!$BN$5,COLUMN()-COLUMN($C110),0)</f>
        <v>14165.04925028517</v>
      </c>
      <c r="O110" s="55">
        <f ca="1">OFFSET('Customer Count'!$BN$5,COLUMN()-COLUMN($C110),0)</f>
        <v>14399.25707530191</v>
      </c>
      <c r="P110" s="55">
        <f ca="1">OFFSET('Customer Count'!$BN$5,COLUMN()-COLUMN($C110),0)</f>
        <v>14637.337340458451</v>
      </c>
      <c r="Q110" s="55">
        <f ca="1">OFFSET('Customer Count'!$BN$5,COLUMN()-COLUMN($C110),0)</f>
        <v>14879.354073473061</v>
      </c>
      <c r="R110" s="55">
        <f ca="1">OFFSET('Customer Count'!$BN$5,COLUMN()-COLUMN($C110),0)</f>
        <v>15125.372360711415</v>
      </c>
      <c r="S110" s="65">
        <f ca="1">OFFSET('Customer Count'!$BN$5,COLUMN()-COLUMN($C110),0)</f>
        <v>15375.458364690485</v>
      </c>
    </row>
    <row r="111" spans="2:19">
      <c r="B111" s="64" t="str">
        <f t="shared" si="40"/>
        <v>Sentinel Light</v>
      </c>
      <c r="C111" s="55">
        <f ca="1">OFFSET('Customer Count'!$BR$5,COLUMN()-COLUMN($C111),0)</f>
        <v>40.375</v>
      </c>
      <c r="D111" s="55">
        <f ca="1">OFFSET('Customer Count'!$BR$5,COLUMN()-COLUMN($C111),0)</f>
        <v>39</v>
      </c>
      <c r="E111" s="55">
        <f ca="1">OFFSET('Customer Count'!$BR$5,COLUMN()-COLUMN($C111),0)</f>
        <v>38.458333333333321</v>
      </c>
      <c r="F111" s="55">
        <f ca="1">OFFSET('Customer Count'!$BR$5,COLUMN()-COLUMN($C111),0)</f>
        <v>37.458333333333321</v>
      </c>
      <c r="G111" s="55">
        <f ca="1">OFFSET('Customer Count'!$BR$5,COLUMN()-COLUMN($C111),0)</f>
        <v>37</v>
      </c>
      <c r="H111" s="55">
        <f ca="1">OFFSET('Customer Count'!$BR$5,COLUMN()-COLUMN($C111),0)</f>
        <v>37</v>
      </c>
      <c r="I111" s="55">
        <f ca="1">OFFSET('Customer Count'!$BR$5,COLUMN()-COLUMN($C111),0)</f>
        <v>42.416666666666679</v>
      </c>
      <c r="J111" s="55">
        <f ca="1">OFFSET('Customer Count'!$BR$5,COLUMN()-COLUMN($C111),0)</f>
        <v>46.458333333333314</v>
      </c>
      <c r="K111" s="55">
        <f ca="1">OFFSET('Customer Count'!$BR$5,COLUMN()-COLUMN($C111),0)</f>
        <v>46</v>
      </c>
      <c r="L111" s="55">
        <f ca="1">OFFSET('Customer Count'!$BR$5,COLUMN()-COLUMN($C111),0)</f>
        <v>45.458333333333314</v>
      </c>
      <c r="M111" s="55">
        <f ca="1">OFFSET('Customer Count'!$BR$5,COLUMN()-COLUMN($C111),0)</f>
        <v>46.061262694763407</v>
      </c>
      <c r="N111" s="55">
        <f ca="1">OFFSET('Customer Count'!$BR$5,COLUMN()-COLUMN($C111),0)</f>
        <v>46.672188913715949</v>
      </c>
      <c r="O111" s="55">
        <f ca="1">OFFSET('Customer Count'!$BR$5,COLUMN()-COLUMN($C111),0)</f>
        <v>47.29121805523657</v>
      </c>
      <c r="P111" s="55">
        <f ca="1">OFFSET('Customer Count'!$BR$5,COLUMN()-COLUMN($C111),0)</f>
        <v>47.918457591147735</v>
      </c>
      <c r="Q111" s="55">
        <f ca="1">OFFSET('Customer Count'!$BR$5,COLUMN()-COLUMN($C111),0)</f>
        <v>48.554016418707313</v>
      </c>
      <c r="R111" s="55">
        <f ca="1">OFFSET('Customer Count'!$BR$5,COLUMN()-COLUMN($C111),0)</f>
        <v>49.198004879514592</v>
      </c>
      <c r="S111" s="65">
        <f ca="1">OFFSET('Customer Count'!$BR$5,COLUMN()-COLUMN($C111),0)</f>
        <v>49.850534778667082</v>
      </c>
    </row>
    <row r="112" spans="2:19">
      <c r="B112" s="64" t="str">
        <f t="shared" si="40"/>
        <v>USL</v>
      </c>
      <c r="C112" s="55">
        <f ca="1">OFFSET('Customer Count'!$BV$5,COLUMN()-COLUMN($C112),0)</f>
        <v>378.29166666666652</v>
      </c>
      <c r="D112" s="55">
        <f ca="1">OFFSET('Customer Count'!$BV$5,COLUMN()-COLUMN($C112),0)</f>
        <v>372.20833333333348</v>
      </c>
      <c r="E112" s="55">
        <f ca="1">OFFSET('Customer Count'!$BV$5,COLUMN()-COLUMN($C112),0)</f>
        <v>370.625</v>
      </c>
      <c r="F112" s="55">
        <f ca="1">OFFSET('Customer Count'!$BV$5,COLUMN()-COLUMN($C112),0)</f>
        <v>376.875</v>
      </c>
      <c r="G112" s="55">
        <f ca="1">OFFSET('Customer Count'!$BV$5,COLUMN()-COLUMN($C112),0)</f>
        <v>384.25</v>
      </c>
      <c r="H112" s="55">
        <f ca="1">OFFSET('Customer Count'!$BV$5,COLUMN()-COLUMN($C112),0)</f>
        <v>389.16666666666652</v>
      </c>
      <c r="I112" s="55">
        <f ca="1">OFFSET('Customer Count'!$BV$5,COLUMN()-COLUMN($C112),0)</f>
        <v>391.54166666666652</v>
      </c>
      <c r="J112" s="55">
        <f ca="1">OFFSET('Customer Count'!$BV$5,COLUMN()-COLUMN($C112),0)</f>
        <v>393.08333333333348</v>
      </c>
      <c r="K112" s="55">
        <f ca="1">OFFSET('Customer Count'!$BV$5,COLUMN()-COLUMN($C112),0)</f>
        <v>400.5</v>
      </c>
      <c r="L112" s="55">
        <f ca="1">OFFSET('Customer Count'!$BV$5,COLUMN()-COLUMN($C112),0)</f>
        <v>396.25</v>
      </c>
      <c r="M112" s="55">
        <f ca="1">OFFSET('Customer Count'!$BV$5,COLUMN()-COLUMN($C112),0)</f>
        <v>389.08499529412256</v>
      </c>
      <c r="N112" s="55">
        <f ca="1">OFFSET('Customer Count'!$BV$5,COLUMN()-COLUMN($C112),0)</f>
        <v>391.09524756324345</v>
      </c>
      <c r="O112" s="55">
        <f ca="1">OFFSET('Customer Count'!$BV$5,COLUMN()-COLUMN($C112),0)</f>
        <v>393.11588603135527</v>
      </c>
      <c r="P112" s="55">
        <f ca="1">OFFSET('Customer Count'!$BV$5,COLUMN()-COLUMN($C112),0)</f>
        <v>395.14696435994671</v>
      </c>
      <c r="Q112" s="55">
        <f ca="1">OFFSET('Customer Count'!$BV$5,COLUMN()-COLUMN($C112),0)</f>
        <v>397.18853648775479</v>
      </c>
      <c r="R112" s="55">
        <f ca="1">OFFSET('Customer Count'!$BV$5,COLUMN()-COLUMN($C112),0)</f>
        <v>399.2406566321971</v>
      </c>
      <c r="S112" s="65">
        <f ca="1">OFFSET('Customer Count'!$BV$5,COLUMN()-COLUMN($C112),0)</f>
        <v>401.30337929081179</v>
      </c>
    </row>
    <row r="113" spans="2:19" ht="13.5" thickBot="1">
      <c r="B113" s="63" t="s">
        <v>65</v>
      </c>
      <c r="C113" s="62">
        <f t="shared" ref="C113:L113" ca="1" si="41">SUM(C106:C112)</f>
        <v>53901.625000000007</v>
      </c>
      <c r="D113" s="62">
        <f t="shared" ca="1" si="41"/>
        <v>54272.416666666686</v>
      </c>
      <c r="E113" s="62">
        <f t="shared" ca="1" si="41"/>
        <v>54651.416666666657</v>
      </c>
      <c r="F113" s="62">
        <f t="shared" ca="1" si="41"/>
        <v>55187.000000000015</v>
      </c>
      <c r="G113" s="62">
        <f t="shared" ca="1" si="41"/>
        <v>56373.750000000015</v>
      </c>
      <c r="H113" s="62">
        <f t="shared" ca="1" si="41"/>
        <v>57683.791666666672</v>
      </c>
      <c r="I113" s="62">
        <f t="shared" ca="1" si="41"/>
        <v>59076.125</v>
      </c>
      <c r="J113" s="62">
        <f t="shared" ca="1" si="41"/>
        <v>60568.916666666701</v>
      </c>
      <c r="K113" s="62">
        <f t="shared" ca="1" si="41"/>
        <v>61769.000000000015</v>
      </c>
      <c r="L113" s="61">
        <f t="shared" ca="1" si="41"/>
        <v>62526.708333333336</v>
      </c>
      <c r="M113" s="62">
        <f t="shared" ref="M113:S113" ca="1" si="42">SUM(M106:M112)</f>
        <v>63704.162354832173</v>
      </c>
      <c r="N113" s="61">
        <f t="shared" ca="1" si="42"/>
        <v>64868.992886424188</v>
      </c>
      <c r="O113" s="62">
        <f t="shared" ca="1" si="42"/>
        <v>66059.152853088919</v>
      </c>
      <c r="P113" s="61">
        <f t="shared" ca="1" si="42"/>
        <v>67242.048519217366</v>
      </c>
      <c r="Q113" s="62">
        <f t="shared" ca="1" si="42"/>
        <v>68469.521367636145</v>
      </c>
      <c r="R113" s="61">
        <f t="shared" ca="1" si="42"/>
        <v>69716.138360988611</v>
      </c>
      <c r="S113" s="54">
        <f t="shared" ca="1" si="42"/>
        <v>70982.888079921904</v>
      </c>
    </row>
    <row r="115" spans="2:19" ht="16.5" thickBot="1">
      <c r="B115" s="71" t="s">
        <v>486</v>
      </c>
      <c r="C115" s="71" t="s">
        <v>376</v>
      </c>
    </row>
    <row r="116" spans="2:19">
      <c r="B116" s="70" t="s">
        <v>381</v>
      </c>
      <c r="C116" s="69" t="s">
        <v>476</v>
      </c>
      <c r="D116" s="69" t="s">
        <v>477</v>
      </c>
      <c r="E116" s="69" t="s">
        <v>478</v>
      </c>
      <c r="F116" s="69" t="s">
        <v>479</v>
      </c>
      <c r="G116" s="69" t="s">
        <v>480</v>
      </c>
      <c r="H116" s="69" t="s">
        <v>481</v>
      </c>
      <c r="I116" s="69" t="s">
        <v>482</v>
      </c>
      <c r="J116" s="69" t="s">
        <v>483</v>
      </c>
      <c r="K116" s="69" t="s">
        <v>484</v>
      </c>
      <c r="L116" s="69" t="s">
        <v>528</v>
      </c>
      <c r="M116" s="69" t="s">
        <v>195</v>
      </c>
      <c r="N116" s="69" t="s">
        <v>196</v>
      </c>
      <c r="O116" s="69" t="s">
        <v>487</v>
      </c>
      <c r="P116" s="69" t="s">
        <v>488</v>
      </c>
      <c r="Q116" s="69" t="s">
        <v>489</v>
      </c>
      <c r="R116" s="69" t="s">
        <v>490</v>
      </c>
      <c r="S116" s="67" t="s">
        <v>491</v>
      </c>
    </row>
    <row r="117" spans="2:19">
      <c r="B117" s="66" t="str">
        <f>B93</f>
        <v>Residential</v>
      </c>
      <c r="C117" s="55">
        <f>SUMIFS('Monthly Data'!$AT:$AT,'Monthly Data'!$B:$B,'Summary Tables'!C$138,'Monthly Data'!$C:$C,12)</f>
        <v>106913</v>
      </c>
      <c r="D117" s="55">
        <f>SUMIFS('Monthly Data'!$AT:$AT,'Monthly Data'!$B:$B,'Summary Tables'!D$138,'Monthly Data'!$C:$C,12)</f>
        <v>107900</v>
      </c>
      <c r="E117" s="55">
        <f>SUMIFS('Monthly Data'!$AT:$AT,'Monthly Data'!$B:$B,'Summary Tables'!E$138,'Monthly Data'!$C:$C,12)</f>
        <v>108758</v>
      </c>
      <c r="F117" s="55">
        <f>SUMIFS('Monthly Data'!$AT:$AT,'Monthly Data'!$B:$B,'Summary Tables'!F$138,'Monthly Data'!$C:$C,12)</f>
        <v>110072</v>
      </c>
      <c r="G117" s="55">
        <f>SUMIFS('Monthly Data'!$AT:$AT,'Monthly Data'!$B:$B,'Summary Tables'!G$138,'Monthly Data'!$C:$C,12)</f>
        <v>111713</v>
      </c>
      <c r="H117" s="55">
        <f>SUMIFS('Monthly Data'!$AT:$AT,'Monthly Data'!$B:$B,'Summary Tables'!H$138,'Monthly Data'!$C:$C,12)</f>
        <v>112646</v>
      </c>
      <c r="I117" s="55">
        <f>SUMIFS('Monthly Data'!$AT:$AT,'Monthly Data'!$B:$B,'Summary Tables'!I$138,'Monthly Data'!$C:$C,12)</f>
        <v>113409</v>
      </c>
      <c r="J117" s="55">
        <f>SUMIFS('Monthly Data'!$AT:$AT,'Monthly Data'!$B:$B,'Summary Tables'!J$138,'Monthly Data'!$C:$C,12)</f>
        <v>114797</v>
      </c>
      <c r="K117" s="55">
        <f>SUMIFS('Monthly Data'!$AT:$AT,'Monthly Data'!$B:$B,'Summary Tables'!K$138,'Monthly Data'!$C:$C,12)</f>
        <v>116444</v>
      </c>
      <c r="L117" s="55">
        <f>SUMIFS('Monthly Data'!$AT:$AT,'Monthly Data'!$B:$B,'Summary Tables'!L$138,'Monthly Data'!$C:$C,12)</f>
        <v>118313</v>
      </c>
      <c r="M117" s="55">
        <f ca="1">SUMIFS('Customer Count'!$C:$C,'Customer Count'!$A:$A,M$138,'Customer Count'!$B:$B,"Dec")</f>
        <v>120679.0969087102</v>
      </c>
      <c r="N117" s="55">
        <f ca="1">SUMIFS('Customer Count'!$C:$C,'Customer Count'!$A:$A,N$138,'Customer Count'!$B:$B,"Dec")</f>
        <v>123236.4362380458</v>
      </c>
      <c r="O117" s="55">
        <f ca="1">SUMIFS('Customer Count'!$C:$C,'Customer Count'!$A:$A,O$138,'Customer Count'!$B:$B,"Dec")</f>
        <v>125788.25690808798</v>
      </c>
      <c r="P117" s="55">
        <f ca="1">SUMIFS('Customer Count'!$C:$C,'Customer Count'!$A:$A,P$138,'Customer Count'!$B:$B,"Dec")</f>
        <v>128228.13804806618</v>
      </c>
      <c r="Q117" s="55">
        <f ca="1">SUMIFS('Customer Count'!$C:$C,'Customer Count'!$A:$A,Q$138,'Customer Count'!$B:$B,"Dec")</f>
        <v>130758.84820236517</v>
      </c>
      <c r="R117" s="55">
        <f ca="1">SUMIFS('Customer Count'!$C:$C,'Customer Count'!$A:$A,R$138,'Customer Count'!$B:$B,"Dec")</f>
        <v>133424.51497413241</v>
      </c>
      <c r="S117" s="65">
        <f ca="1">SUMIFS('Customer Count'!$C:$C,'Customer Count'!$A:$A,S$138,'Customer Count'!$B:$B,"Dec")</f>
        <v>136106.37924703243</v>
      </c>
    </row>
    <row r="118" spans="2:19">
      <c r="B118" s="64" t="str">
        <f t="shared" ref="B118:B125" si="43">B94</f>
        <v>Residential Seasonal</v>
      </c>
      <c r="C118" s="55">
        <f>SUMIFS('Monthly Data'!$AU:$AU,'Monthly Data'!$B:$B,'Summary Tables'!C$138,'Monthly Data'!$C:$C,12)</f>
        <v>1589</v>
      </c>
      <c r="D118" s="55">
        <f>SUMIFS('Monthly Data'!$AU:$AU,'Monthly Data'!$B:$B,'Summary Tables'!D$138,'Monthly Data'!$C:$C,12)</f>
        <v>1583</v>
      </c>
      <c r="E118" s="55">
        <f>SUMIFS('Monthly Data'!$AU:$AU,'Monthly Data'!$B:$B,'Summary Tables'!E$138,'Monthly Data'!$C:$C,12)</f>
        <v>1572</v>
      </c>
      <c r="F118" s="55">
        <f>SUMIFS('Monthly Data'!$AU:$AU,'Monthly Data'!$B:$B,'Summary Tables'!F$138,'Monthly Data'!$C:$C,12)</f>
        <v>1570</v>
      </c>
      <c r="G118" s="55">
        <f>SUMIFS('Monthly Data'!$AU:$AU,'Monthly Data'!$B:$B,'Summary Tables'!G$138,'Monthly Data'!$C:$C,12)</f>
        <v>1561</v>
      </c>
      <c r="H118" s="55">
        <f>SUMIFS('Monthly Data'!$AU:$AU,'Monthly Data'!$B:$B,'Summary Tables'!H$138,'Monthly Data'!$C:$C,12)</f>
        <v>1561</v>
      </c>
      <c r="I118" s="55">
        <f>SUMIFS('Monthly Data'!$AU:$AU,'Monthly Data'!$B:$B,'Summary Tables'!I$138,'Monthly Data'!$C:$C,12)</f>
        <v>1557</v>
      </c>
      <c r="J118" s="55">
        <f>SUMIFS('Monthly Data'!$AU:$AU,'Monthly Data'!$B:$B,'Summary Tables'!J$138,'Monthly Data'!$C:$C,12)</f>
        <v>1561</v>
      </c>
      <c r="K118" s="55">
        <f>SUMIFS('Monthly Data'!$AU:$AU,'Monthly Data'!$B:$B,'Summary Tables'!K$138,'Monthly Data'!$C:$C,12)</f>
        <v>1564</v>
      </c>
      <c r="L118" s="55">
        <f>SUMIFS('Monthly Data'!$AU:$AU,'Monthly Data'!$B:$B,'Summary Tables'!L$138,'Monthly Data'!$C:$C,12)</f>
        <v>1560</v>
      </c>
      <c r="M118" s="55">
        <f>SUMIFS('Customer Count'!$G:$G,'Customer Count'!$A:$A,M$138,'Customer Count'!$B:$B,"Dec")</f>
        <v>1557.0002053868013</v>
      </c>
      <c r="N118" s="55">
        <f>SUMIFS('Customer Count'!$G:$G,'Customer Count'!$A:$A,N$138,'Customer Count'!$B:$B,"Dec")</f>
        <v>1553.6928394081144</v>
      </c>
      <c r="O118" s="55">
        <f>SUMIFS('Customer Count'!$G:$G,'Customer Count'!$A:$A,O$138,'Customer Count'!$B:$B,"Dec")</f>
        <v>1550.3924989068032</v>
      </c>
      <c r="P118" s="55">
        <f>SUMIFS('Customer Count'!$G:$G,'Customer Count'!$A:$A,P$138,'Customer Count'!$B:$B,"Dec")</f>
        <v>1547.0991689594107</v>
      </c>
      <c r="Q118" s="55">
        <f>SUMIFS('Customer Count'!$G:$G,'Customer Count'!$A:$A,Q$138,'Customer Count'!$B:$B,"Dec")</f>
        <v>1543.8128346741814</v>
      </c>
      <c r="R118" s="55">
        <f>SUMIFS('Customer Count'!$G:$G,'Customer Count'!$A:$A,R$138,'Customer Count'!$B:$B,"Dec")</f>
        <v>1540.5334811909913</v>
      </c>
      <c r="S118" s="65">
        <f>SUMIFS('Customer Count'!$G:$G,'Customer Count'!$A:$A,S$138,'Customer Count'!$B:$B,"Dec")</f>
        <v>1537.2610936812841</v>
      </c>
    </row>
    <row r="119" spans="2:19">
      <c r="B119" s="64" t="str">
        <f t="shared" si="43"/>
        <v>GS&lt;50</v>
      </c>
      <c r="C119" s="55">
        <f>SUMIFS('Monthly Data'!$AV:$AV,'Monthly Data'!$B:$B,'Summary Tables'!C$138,'Monthly Data'!$C:$C,12)</f>
        <v>8909</v>
      </c>
      <c r="D119" s="55">
        <f>SUMIFS('Monthly Data'!$AV:$AV,'Monthly Data'!$B:$B,'Summary Tables'!D$138,'Monthly Data'!$C:$C,12)</f>
        <v>8991</v>
      </c>
      <c r="E119" s="55">
        <f>SUMIFS('Monthly Data'!$AV:$AV,'Monthly Data'!$B:$B,'Summary Tables'!E$138,'Monthly Data'!$C:$C,12)</f>
        <v>9036</v>
      </c>
      <c r="F119" s="55">
        <f>SUMIFS('Monthly Data'!$AV:$AV,'Monthly Data'!$B:$B,'Summary Tables'!F$138,'Monthly Data'!$C:$C,12)</f>
        <v>9135</v>
      </c>
      <c r="G119" s="55">
        <f>SUMIFS('Monthly Data'!$AV:$AV,'Monthly Data'!$B:$B,'Summary Tables'!G$138,'Monthly Data'!$C:$C,12)</f>
        <v>9268</v>
      </c>
      <c r="H119" s="55">
        <f>SUMIFS('Monthly Data'!$AV:$AV,'Monthly Data'!$B:$B,'Summary Tables'!H$138,'Monthly Data'!$C:$C,12)</f>
        <v>9286</v>
      </c>
      <c r="I119" s="55">
        <f>SUMIFS('Monthly Data'!$AV:$AV,'Monthly Data'!$B:$B,'Summary Tables'!I$138,'Monthly Data'!$C:$C,12)</f>
        <v>9339</v>
      </c>
      <c r="J119" s="55">
        <f>SUMIFS('Monthly Data'!$AV:$AV,'Monthly Data'!$B:$B,'Summary Tables'!J$138,'Monthly Data'!$C:$C,12)</f>
        <v>9476</v>
      </c>
      <c r="K119" s="55">
        <f>SUMIFS('Monthly Data'!$AV:$AV,'Monthly Data'!$B:$B,'Summary Tables'!K$138,'Monthly Data'!$C:$C,12)</f>
        <v>9497</v>
      </c>
      <c r="L119" s="55">
        <f>SUMIFS('Monthly Data'!$AV:$AV,'Monthly Data'!$B:$B,'Summary Tables'!L$138,'Monthly Data'!$C:$C,12)</f>
        <v>9506</v>
      </c>
      <c r="M119" s="55">
        <f>SUMIFS('Customer Count'!$K:$K,'Customer Count'!$A:$A,M$138,'Customer Count'!$B:$B,"Dec")</f>
        <v>9576.2109636304667</v>
      </c>
      <c r="N119" s="55">
        <f>SUMIFS('Customer Count'!$K:$K,'Customer Count'!$A:$A,N$138,'Customer Count'!$B:$B,"Dec")</f>
        <v>9646.9035844493974</v>
      </c>
      <c r="O119" s="55">
        <f>SUMIFS('Customer Count'!$K:$K,'Customer Count'!$A:$A,O$138,'Customer Count'!$B:$B,"Dec")</f>
        <v>9718.1552567315775</v>
      </c>
      <c r="P119" s="55">
        <f>SUMIFS('Customer Count'!$K:$K,'Customer Count'!$A:$A,P$138,'Customer Count'!$B:$B,"Dec")</f>
        <v>9789.9331912240668</v>
      </c>
      <c r="Q119" s="55">
        <f>SUMIFS('Customer Count'!$K:$K,'Customer Count'!$A:$A,Q$138,'Customer Count'!$B:$B,"Dec")</f>
        <v>9862.2412748800452</v>
      </c>
      <c r="R119" s="55">
        <f>SUMIFS('Customer Count'!$K:$K,'Customer Count'!$A:$A,R$138,'Customer Count'!$B:$B,"Dec")</f>
        <v>9935.0834233615788</v>
      </c>
      <c r="S119" s="65">
        <f>SUMIFS('Customer Count'!$K:$K,'Customer Count'!$A:$A,S$138,'Customer Count'!$B:$B,"Dec")</f>
        <v>10008.463581251679</v>
      </c>
    </row>
    <row r="120" spans="2:19">
      <c r="B120" s="64" t="str">
        <f t="shared" si="43"/>
        <v>GS 50 - 2,999</v>
      </c>
      <c r="C120" s="55">
        <f>SUMIFS('Monthly Data'!$AW:$AW,'Monthly Data'!$B:$B,'Summary Tables'!C$138,'Monthly Data'!$C:$C,12)</f>
        <v>1062</v>
      </c>
      <c r="D120" s="55">
        <f>SUMIFS('Monthly Data'!$AW:$AW,'Monthly Data'!$B:$B,'Summary Tables'!D$138,'Monthly Data'!$C:$C,12)</f>
        <v>1051</v>
      </c>
      <c r="E120" s="55">
        <f>SUMIFS('Monthly Data'!$AW:$AW,'Monthly Data'!$B:$B,'Summary Tables'!E$138,'Monthly Data'!$C:$C,12)</f>
        <v>1083</v>
      </c>
      <c r="F120" s="55">
        <f>SUMIFS('Monthly Data'!$AW:$AW,'Monthly Data'!$B:$B,'Summary Tables'!F$138,'Monthly Data'!$C:$C,12)</f>
        <v>1041</v>
      </c>
      <c r="G120" s="55">
        <f>SUMIFS('Monthly Data'!$AW:$AW,'Monthly Data'!$B:$B,'Summary Tables'!G$138,'Monthly Data'!$C:$C,12)</f>
        <v>1019</v>
      </c>
      <c r="H120" s="55">
        <f>SUMIFS('Monthly Data'!$AW:$AW,'Monthly Data'!$B:$B,'Summary Tables'!H$138,'Monthly Data'!$C:$C,12)</f>
        <v>1043</v>
      </c>
      <c r="I120" s="55">
        <f>SUMIFS('Monthly Data'!$AW:$AW,'Monthly Data'!$B:$B,'Summary Tables'!I$138,'Monthly Data'!$C:$C,12)</f>
        <v>1060</v>
      </c>
      <c r="J120" s="55">
        <f>SUMIFS('Monthly Data'!$AW:$AW,'Monthly Data'!$B:$B,'Summary Tables'!J$138,'Monthly Data'!$C:$C,12)</f>
        <v>1018</v>
      </c>
      <c r="K120" s="55">
        <f>SUMIFS('Monthly Data'!$AW:$AW,'Monthly Data'!$B:$B,'Summary Tables'!K$138,'Monthly Data'!$C:$C,12)</f>
        <v>1041</v>
      </c>
      <c r="L120" s="55">
        <f>SUMIFS('Monthly Data'!$AW:$AW,'Monthly Data'!$B:$B,'Summary Tables'!L$138,'Monthly Data'!$C:$C,12)</f>
        <v>1075</v>
      </c>
      <c r="M120" s="55">
        <f>SUMIFS('Customer Count'!$R:$R,'Customer Count'!$A:$A,M$138,'Customer Count'!$B:$B,"Dec")</f>
        <v>1080.6507967698053</v>
      </c>
      <c r="N120" s="55">
        <f>SUMIFS('Customer Count'!$R:$R,'Customer Count'!$A:$A,N$138,'Customer Count'!$B:$B,"Dec")</f>
        <v>1089.8614624923862</v>
      </c>
      <c r="O120" s="55">
        <f>SUMIFS('Customer Count'!$R:$R,'Customer Count'!$A:$A,O$138,'Customer Count'!$B:$B,"Dec")</f>
        <v>1094.6030231291934</v>
      </c>
      <c r="P120" s="55">
        <f>SUMIFS('Customer Count'!$R:$R,'Customer Count'!$A:$A,P$138,'Customer Count'!$B:$B,"Dec")</f>
        <v>1096.234966193892</v>
      </c>
      <c r="Q120" s="55">
        <f>SUMIFS('Customer Count'!$R:$R,'Customer Count'!$A:$A,Q$138,'Customer Count'!$B:$B,"Dec")</f>
        <v>1097.1872919144444</v>
      </c>
      <c r="R120" s="55">
        <f>SUMIFS('Customer Count'!$R:$R,'Customer Count'!$A:$A,R$138,'Customer Count'!$B:$B,"Dec")</f>
        <v>1097.8900005189471</v>
      </c>
      <c r="S120" s="65">
        <f>SUMIFS('Customer Count'!$R:$R,'Customer Count'!$A:$A,S$138,'Customer Count'!$B:$B,"Dec")</f>
        <v>1098.7430922356336</v>
      </c>
    </row>
    <row r="121" spans="2:19">
      <c r="B121" s="64" t="str">
        <f t="shared" si="43"/>
        <v>GS 3,000 - 4,999</v>
      </c>
      <c r="C121" s="55">
        <f>SUMIFS('Monthly Data'!$AX:$AX,'Monthly Data'!$B:$B,'Summary Tables'!C$138,'Monthly Data'!$C:$C,12)</f>
        <v>5</v>
      </c>
      <c r="D121" s="55">
        <f>SUMIFS('Monthly Data'!$AX:$AX,'Monthly Data'!$B:$B,'Summary Tables'!D$138,'Monthly Data'!$C:$C,12)</f>
        <v>5</v>
      </c>
      <c r="E121" s="55">
        <f>SUMIFS('Monthly Data'!$AX:$AX,'Monthly Data'!$B:$B,'Summary Tables'!E$138,'Monthly Data'!$C:$C,12)</f>
        <v>5</v>
      </c>
      <c r="F121" s="55">
        <f>SUMIFS('Monthly Data'!$AX:$AX,'Monthly Data'!$B:$B,'Summary Tables'!F$138,'Monthly Data'!$C:$C,12)</f>
        <v>4</v>
      </c>
      <c r="G121" s="55">
        <f>SUMIFS('Monthly Data'!$AX:$AX,'Monthly Data'!$B:$B,'Summary Tables'!G$138,'Monthly Data'!$C:$C,12)</f>
        <v>4</v>
      </c>
      <c r="H121" s="55">
        <f>SUMIFS('Monthly Data'!$AX:$AX,'Monthly Data'!$B:$B,'Summary Tables'!H$138,'Monthly Data'!$C:$C,12)</f>
        <v>5</v>
      </c>
      <c r="I121" s="55">
        <f>SUMIFS('Monthly Data'!$AX:$AX,'Monthly Data'!$B:$B,'Summary Tables'!I$138,'Monthly Data'!$C:$C,12)</f>
        <v>6</v>
      </c>
      <c r="J121" s="55">
        <f>SUMIFS('Monthly Data'!$AX:$AX,'Monthly Data'!$B:$B,'Summary Tables'!J$138,'Monthly Data'!$C:$C,12)</f>
        <v>5</v>
      </c>
      <c r="K121" s="55">
        <f>SUMIFS('Monthly Data'!$AX:$AX,'Monthly Data'!$B:$B,'Summary Tables'!K$138,'Monthly Data'!$C:$C,12)</f>
        <v>5</v>
      </c>
      <c r="L121" s="55">
        <f>SUMIFS('Monthly Data'!$AX:$AX,'Monthly Data'!$B:$B,'Summary Tables'!L$138,'Monthly Data'!$C:$C,12)</f>
        <v>5</v>
      </c>
      <c r="M121" s="55">
        <f>SUMIFS('Customer Count'!$X:$X,'Customer Count'!$A:$A,M$138,'Customer Count'!$B:$B,"Dec")</f>
        <v>8.6</v>
      </c>
      <c r="N121" s="55">
        <f>SUMIFS('Customer Count'!$X:$X,'Customer Count'!$A:$A,N$138,'Customer Count'!$B:$B,"Dec")</f>
        <v>11.87</v>
      </c>
      <c r="O121" s="55">
        <f>SUMIFS('Customer Count'!$X:$X,'Customer Count'!$A:$A,O$138,'Customer Count'!$B:$B,"Dec")</f>
        <v>12.230000000000002</v>
      </c>
      <c r="P121" s="55">
        <f>SUMIFS('Customer Count'!$X:$X,'Customer Count'!$A:$A,P$138,'Customer Count'!$B:$B,"Dec")</f>
        <v>12.120000000000006</v>
      </c>
      <c r="Q121" s="55">
        <f>SUMIFS('Customer Count'!$X:$X,'Customer Count'!$A:$A,Q$138,'Customer Count'!$B:$B,"Dec")</f>
        <v>12.120000000000006</v>
      </c>
      <c r="R121" s="55">
        <f>SUMIFS('Customer Count'!$X:$X,'Customer Count'!$A:$A,R$138,'Customer Count'!$B:$B,"Dec")</f>
        <v>12.120000000000006</v>
      </c>
      <c r="S121" s="65">
        <f>SUMIFS('Customer Count'!$X:$X,'Customer Count'!$A:$A,S$138,'Customer Count'!$B:$B,"Dec")</f>
        <v>12.120000000000006</v>
      </c>
    </row>
    <row r="122" spans="2:19">
      <c r="B122" s="64" t="str">
        <f t="shared" si="43"/>
        <v>Large Use</v>
      </c>
      <c r="C122" s="55">
        <f>SUMIFS('Monthly Data'!$AY:$AY,'Monthly Data'!$B:$B,'Summary Tables'!C$138,'Monthly Data'!$C:$C,12)</f>
        <v>3</v>
      </c>
      <c r="D122" s="55">
        <f>SUMIFS('Monthly Data'!$AY:$AY,'Monthly Data'!$B:$B,'Summary Tables'!D$138,'Monthly Data'!$C:$C,12)</f>
        <v>3</v>
      </c>
      <c r="E122" s="55">
        <f>SUMIFS('Monthly Data'!$AY:$AY,'Monthly Data'!$B:$B,'Summary Tables'!E$138,'Monthly Data'!$C:$C,12)</f>
        <v>3</v>
      </c>
      <c r="F122" s="55">
        <f>SUMIFS('Monthly Data'!$AY:$AY,'Monthly Data'!$B:$B,'Summary Tables'!F$138,'Monthly Data'!$C:$C,12)</f>
        <v>4</v>
      </c>
      <c r="G122" s="55">
        <f>SUMIFS('Monthly Data'!$AY:$AY,'Monthly Data'!$B:$B,'Summary Tables'!G$138,'Monthly Data'!$C:$C,12)</f>
        <v>4</v>
      </c>
      <c r="H122" s="55">
        <f>SUMIFS('Monthly Data'!$AY:$AY,'Monthly Data'!$B:$B,'Summary Tables'!H$138,'Monthly Data'!$C:$C,12)</f>
        <v>4</v>
      </c>
      <c r="I122" s="55">
        <f>SUMIFS('Monthly Data'!$AY:$AY,'Monthly Data'!$B:$B,'Summary Tables'!I$138,'Monthly Data'!$C:$C,12)</f>
        <v>4</v>
      </c>
      <c r="J122" s="55">
        <f>SUMIFS('Monthly Data'!$AY:$AY,'Monthly Data'!$B:$B,'Summary Tables'!J$138,'Monthly Data'!$C:$C,12)</f>
        <v>4</v>
      </c>
      <c r="K122" s="55">
        <f>SUMIFS('Monthly Data'!$AY:$AY,'Monthly Data'!$B:$B,'Summary Tables'!K$138,'Monthly Data'!$C:$C,12)</f>
        <v>5</v>
      </c>
      <c r="L122" s="55">
        <f>SUMIFS('Monthly Data'!$AY:$AY,'Monthly Data'!$B:$B,'Summary Tables'!L$138,'Monthly Data'!$C:$C,12)</f>
        <v>5</v>
      </c>
      <c r="M122" s="55">
        <f>SUMIFS('Customer Count'!$AD:$AD,'Customer Count'!$A:$A,M$138,'Customer Count'!$B:$B,"Dec")</f>
        <v>5.8250000000000002</v>
      </c>
      <c r="N122" s="55">
        <f>SUMIFS('Customer Count'!$AD:$AD,'Customer Count'!$A:$A,N$138,'Customer Count'!$B:$B,"Dec")</f>
        <v>6.37</v>
      </c>
      <c r="O122" s="55">
        <f>SUMIFS('Customer Count'!$AD:$AD,'Customer Count'!$A:$A,O$138,'Customer Count'!$B:$B,"Dec")</f>
        <v>7.8850000000000016</v>
      </c>
      <c r="P122" s="55">
        <f>SUMIFS('Customer Count'!$AD:$AD,'Customer Count'!$A:$A,P$138,'Customer Count'!$B:$B,"Dec")</f>
        <v>8.7199999999999989</v>
      </c>
      <c r="Q122" s="55">
        <f>SUMIFS('Customer Count'!$AD:$AD,'Customer Count'!$A:$A,Q$138,'Customer Count'!$B:$B,"Dec")</f>
        <v>8.8399999999999963</v>
      </c>
      <c r="R122" s="55">
        <f>SUMIFS('Customer Count'!$AD:$AD,'Customer Count'!$A:$A,R$138,'Customer Count'!$B:$B,"Dec")</f>
        <v>8.9299999999999944</v>
      </c>
      <c r="S122" s="65">
        <f>SUMIFS('Customer Count'!$AD:$AD,'Customer Count'!$A:$A,S$138,'Customer Count'!$B:$B,"Dec")</f>
        <v>8.9599999999999937</v>
      </c>
    </row>
    <row r="123" spans="2:19">
      <c r="B123" s="64" t="str">
        <f t="shared" si="43"/>
        <v>Street Light</v>
      </c>
      <c r="C123" s="55">
        <f>SUMIFS('Monthly Data'!$AZ:$AZ,'Monthly Data'!$B:$B,'Summary Tables'!C$138,'Monthly Data'!$C:$C,12)</f>
        <v>29930</v>
      </c>
      <c r="D123" s="55">
        <f>SUMIFS('Monthly Data'!$AZ:$AZ,'Monthly Data'!$B:$B,'Summary Tables'!D$138,'Monthly Data'!$C:$C,12)</f>
        <v>30116</v>
      </c>
      <c r="E123" s="55">
        <f>SUMIFS('Monthly Data'!$AZ:$AZ,'Monthly Data'!$B:$B,'Summary Tables'!E$138,'Monthly Data'!$C:$C,12)</f>
        <v>30662</v>
      </c>
      <c r="F123" s="55">
        <f>SUMIFS('Monthly Data'!$AZ:$AZ,'Monthly Data'!$B:$B,'Summary Tables'!F$138,'Monthly Data'!$C:$C,12)</f>
        <v>31097</v>
      </c>
      <c r="G123" s="55">
        <f>SUMIFS('Monthly Data'!$AZ:$AZ,'Monthly Data'!$B:$B,'Summary Tables'!G$138,'Monthly Data'!$C:$C,12)</f>
        <v>31182</v>
      </c>
      <c r="H123" s="55">
        <f>SUMIFS('Monthly Data'!$AZ:$AZ,'Monthly Data'!$B:$B,'Summary Tables'!H$138,'Monthly Data'!$C:$C,12)</f>
        <v>31612</v>
      </c>
      <c r="I123" s="55">
        <f>SUMIFS('Monthly Data'!$AZ:$AZ,'Monthly Data'!$B:$B,'Summary Tables'!I$138,'Monthly Data'!$C:$C,12)</f>
        <v>31736</v>
      </c>
      <c r="J123" s="55">
        <f>SUMIFS('Monthly Data'!$AZ:$AZ,'Monthly Data'!$B:$B,'Summary Tables'!J$138,'Monthly Data'!$C:$C,12)</f>
        <v>31845</v>
      </c>
      <c r="K123" s="55">
        <f>SUMIFS('Monthly Data'!$AZ:$AZ,'Monthly Data'!$B:$B,'Summary Tables'!K$138,'Monthly Data'!$C:$C,12)</f>
        <v>32374</v>
      </c>
      <c r="L123" s="55">
        <f>SUMIFS('Monthly Data'!$AZ:$AZ,'Monthly Data'!$B:$B,'Summary Tables'!L$138,'Monthly Data'!$C:$C,12)</f>
        <v>33008</v>
      </c>
      <c r="M123" s="55">
        <f>SUMIFS('Customer Count'!$AG:$AG,'Customer Count'!$A:$A,M$138,'Customer Count'!$B:$B,"Dec")</f>
        <v>33208.720266172058</v>
      </c>
      <c r="N123" s="55">
        <f>SUMIFS('Customer Count'!$AG:$AG,'Customer Count'!$A:$A,N$138,'Customer Count'!$B:$B,"Dec")</f>
        <v>33550.06548016498</v>
      </c>
      <c r="O123" s="55">
        <f>SUMIFS('Customer Count'!$AG:$AG,'Customer Count'!$A:$A,O$138,'Customer Count'!$B:$B,"Dec")</f>
        <v>33894.919307383039</v>
      </c>
      <c r="P123" s="55">
        <f>SUMIFS('Customer Count'!$AG:$AG,'Customer Count'!$A:$A,P$138,'Customer Count'!$B:$B,"Dec")</f>
        <v>34243.317812098598</v>
      </c>
      <c r="Q123" s="55">
        <f>SUMIFS('Customer Count'!$AG:$AG,'Customer Count'!$A:$A,Q$138,'Customer Count'!$B:$B,"Dec")</f>
        <v>34595.297429280807</v>
      </c>
      <c r="R123" s="55">
        <f>SUMIFS('Customer Count'!$AG:$AG,'Customer Count'!$A:$A,R$138,'Customer Count'!$B:$B,"Dec")</f>
        <v>34950.894968405948</v>
      </c>
      <c r="S123" s="65">
        <f>SUMIFS('Customer Count'!$AG:$AG,'Customer Count'!$A:$A,S$138,'Customer Count'!$B:$B,"Dec")</f>
        <v>35310.14761730696</v>
      </c>
    </row>
    <row r="124" spans="2:19">
      <c r="B124" s="64" t="str">
        <f t="shared" si="43"/>
        <v>Sentinel Light</v>
      </c>
      <c r="C124" s="55">
        <f>SUMIFS('Monthly Data'!$BA:$BA,'Monthly Data'!$B:$B,'Summary Tables'!C$138,'Monthly Data'!$C:$C,12)</f>
        <v>439</v>
      </c>
      <c r="D124" s="55">
        <f>SUMIFS('Monthly Data'!$BA:$BA,'Monthly Data'!$B:$B,'Summary Tables'!D$138,'Monthly Data'!$C:$C,12)</f>
        <v>439</v>
      </c>
      <c r="E124" s="55">
        <f>SUMIFS('Monthly Data'!$BA:$BA,'Monthly Data'!$B:$B,'Summary Tables'!E$138,'Monthly Data'!$C:$C,12)</f>
        <v>439</v>
      </c>
      <c r="F124" s="55">
        <f>SUMIFS('Monthly Data'!$BA:$BA,'Monthly Data'!$B:$B,'Summary Tables'!F$138,'Monthly Data'!$C:$C,12)</f>
        <v>439</v>
      </c>
      <c r="G124" s="55">
        <f>SUMIFS('Monthly Data'!$BA:$BA,'Monthly Data'!$B:$B,'Summary Tables'!G$138,'Monthly Data'!$C:$C,12)</f>
        <v>260</v>
      </c>
      <c r="H124" s="55">
        <f>SUMIFS('Monthly Data'!$BA:$BA,'Monthly Data'!$B:$B,'Summary Tables'!H$138,'Monthly Data'!$C:$C,12)</f>
        <v>251</v>
      </c>
      <c r="I124" s="55">
        <f>SUMIFS('Monthly Data'!$BA:$BA,'Monthly Data'!$B:$B,'Summary Tables'!I$138,'Monthly Data'!$C:$C,12)</f>
        <v>247</v>
      </c>
      <c r="J124" s="55">
        <f>SUMIFS('Monthly Data'!$BA:$BA,'Monthly Data'!$B:$B,'Summary Tables'!J$138,'Monthly Data'!$C:$C,12)</f>
        <v>245</v>
      </c>
      <c r="K124" s="55">
        <f>SUMIFS('Monthly Data'!$BA:$BA,'Monthly Data'!$B:$B,'Summary Tables'!K$138,'Monthly Data'!$C:$C,12)</f>
        <v>241</v>
      </c>
      <c r="L124" s="55">
        <f>SUMIFS('Monthly Data'!$BA:$BA,'Monthly Data'!$B:$B,'Summary Tables'!L$138,'Monthly Data'!$C:$C,12)</f>
        <v>236</v>
      </c>
      <c r="M124" s="55">
        <f>SUMIFS('Customer Count'!$AK:$AK,'Customer Count'!$A:$A,M$138,'Customer Count'!$B:$B,"Dec")</f>
        <v>232.43803633332885</v>
      </c>
      <c r="N124" s="55">
        <f>SUMIFS('Customer Count'!$AK:$AK,'Customer Count'!$A:$A,N$138,'Customer Count'!$B:$B,"Dec")</f>
        <v>228.50523656891096</v>
      </c>
      <c r="O124" s="55">
        <f>SUMIFS('Customer Count'!$AK:$AK,'Customer Count'!$A:$A,O$138,'Customer Count'!$B:$B,"Dec")</f>
        <v>224.63897889988763</v>
      </c>
      <c r="P124" s="55">
        <f>SUMIFS('Customer Count'!$AK:$AK,'Customer Count'!$A:$A,P$138,'Customer Count'!$B:$B,"Dec")</f>
        <v>220.83813744883696</v>
      </c>
      <c r="Q124" s="55">
        <f>SUMIFS('Customer Count'!$AK:$AK,'Customer Count'!$A:$A,Q$138,'Customer Count'!$B:$B,"Dec")</f>
        <v>217.10160538793207</v>
      </c>
      <c r="R124" s="55">
        <f>SUMIFS('Customer Count'!$AK:$AK,'Customer Count'!$A:$A,R$138,'Customer Count'!$B:$B,"Dec")</f>
        <v>213.42829461662623</v>
      </c>
      <c r="S124" s="65">
        <f>SUMIFS('Customer Count'!$AK:$AK,'Customer Count'!$A:$A,S$138,'Customer Count'!$B:$B,"Dec")</f>
        <v>209.81713544479143</v>
      </c>
    </row>
    <row r="125" spans="2:19">
      <c r="B125" s="64" t="str">
        <f t="shared" si="43"/>
        <v>USL</v>
      </c>
      <c r="C125" s="55">
        <f>SUMIFS('Monthly Data'!$BB:$BB,'Monthly Data'!$B:$B,'Summary Tables'!C$138,'Monthly Data'!$C:$C,12)</f>
        <v>845</v>
      </c>
      <c r="D125" s="55">
        <f>SUMIFS('Monthly Data'!$BB:$BB,'Monthly Data'!$B:$B,'Summary Tables'!D$138,'Monthly Data'!$C:$C,12)</f>
        <v>831</v>
      </c>
      <c r="E125" s="55">
        <f>SUMIFS('Monthly Data'!$BB:$BB,'Monthly Data'!$B:$B,'Summary Tables'!E$138,'Monthly Data'!$C:$C,12)</f>
        <v>821</v>
      </c>
      <c r="F125" s="55">
        <f>SUMIFS('Monthly Data'!$BB:$BB,'Monthly Data'!$B:$B,'Summary Tables'!F$138,'Monthly Data'!$C:$C,12)</f>
        <v>815</v>
      </c>
      <c r="G125" s="55">
        <f>SUMIFS('Monthly Data'!$BB:$BB,'Monthly Data'!$B:$B,'Summary Tables'!G$138,'Monthly Data'!$C:$C,12)</f>
        <v>804</v>
      </c>
      <c r="H125" s="55">
        <f>SUMIFS('Monthly Data'!$BB:$BB,'Monthly Data'!$B:$B,'Summary Tables'!H$138,'Monthly Data'!$C:$C,12)</f>
        <v>800</v>
      </c>
      <c r="I125" s="55">
        <f>SUMIFS('Monthly Data'!$BB:$BB,'Monthly Data'!$B:$B,'Summary Tables'!I$138,'Monthly Data'!$C:$C,12)</f>
        <v>803</v>
      </c>
      <c r="J125" s="55">
        <f>SUMIFS('Monthly Data'!$BB:$BB,'Monthly Data'!$B:$B,'Summary Tables'!J$138,'Monthly Data'!$C:$C,12)</f>
        <v>799</v>
      </c>
      <c r="K125" s="55">
        <f>SUMIFS('Monthly Data'!$BB:$BB,'Monthly Data'!$B:$B,'Summary Tables'!K$138,'Monthly Data'!$C:$C,12)</f>
        <v>797</v>
      </c>
      <c r="L125" s="55">
        <f>SUMIFS('Monthly Data'!$BB:$BB,'Monthly Data'!$B:$B,'Summary Tables'!L$138,'Monthly Data'!$C:$C,12)</f>
        <v>747</v>
      </c>
      <c r="M125" s="55">
        <f>SUMIFS('Customer Count'!$AO:$AO,'Customer Count'!$A:$A,M$138,'Customer Count'!$B:$B,"Dec")</f>
        <v>736.69013751953673</v>
      </c>
      <c r="N125" s="55">
        <f>SUMIFS('Customer Count'!$AO:$AO,'Customer Count'!$A:$A,N$138,'Customer Count'!$B:$B,"Dec")</f>
        <v>726.53670049778782</v>
      </c>
      <c r="O125" s="55">
        <f>SUMIFS('Customer Count'!$AO:$AO,'Customer Count'!$A:$A,O$138,'Customer Count'!$B:$B,"Dec")</f>
        <v>716.50926613481408</v>
      </c>
      <c r="P125" s="55">
        <f>SUMIFS('Customer Count'!$AO:$AO,'Customer Count'!$A:$A,P$138,'Customer Count'!$B:$B,"Dec")</f>
        <v>706.62022731309071</v>
      </c>
      <c r="Q125" s="55">
        <f>SUMIFS('Customer Count'!$AO:$AO,'Customer Count'!$A:$A,Q$138,'Customer Count'!$B:$B,"Dec")</f>
        <v>696.86767394025082</v>
      </c>
      <c r="R125" s="55">
        <f>SUMIFS('Customer Count'!$AO:$AO,'Customer Count'!$A:$A,R$138,'Customer Count'!$B:$B,"Dec")</f>
        <v>687.24972228642991</v>
      </c>
      <c r="S125" s="65">
        <f>SUMIFS('Customer Count'!$AO:$AO,'Customer Count'!$A:$A,S$138,'Customer Count'!$B:$B,"Dec")</f>
        <v>677.76451462041996</v>
      </c>
    </row>
    <row r="126" spans="2:19" ht="13.5" thickBot="1">
      <c r="B126" s="63" t="s">
        <v>65</v>
      </c>
      <c r="C126" s="62">
        <f t="shared" ref="C126:E126" si="44">SUM(C117:C125)</f>
        <v>149695</v>
      </c>
      <c r="D126" s="62">
        <f t="shared" si="44"/>
        <v>150919</v>
      </c>
      <c r="E126" s="62">
        <f t="shared" si="44"/>
        <v>152379</v>
      </c>
      <c r="F126" s="62">
        <f>SUM(F117:F125)</f>
        <v>154177</v>
      </c>
      <c r="G126" s="62">
        <f t="shared" ref="G126:L126" si="45">SUM(G117:G125)</f>
        <v>155815</v>
      </c>
      <c r="H126" s="62">
        <f t="shared" si="45"/>
        <v>157208</v>
      </c>
      <c r="I126" s="62">
        <f t="shared" si="45"/>
        <v>158161</v>
      </c>
      <c r="J126" s="62">
        <f t="shared" si="45"/>
        <v>159750</v>
      </c>
      <c r="K126" s="62">
        <f t="shared" si="45"/>
        <v>161968</v>
      </c>
      <c r="L126" s="61">
        <f t="shared" si="45"/>
        <v>164455</v>
      </c>
      <c r="M126" s="62">
        <f t="shared" ref="M126:S126" ca="1" si="46">SUM(M117:M125)</f>
        <v>167085.2323145222</v>
      </c>
      <c r="N126" s="61">
        <f t="shared" ca="1" si="46"/>
        <v>170050.24154162739</v>
      </c>
      <c r="O126" s="62">
        <f t="shared" ca="1" si="46"/>
        <v>173007.59023927333</v>
      </c>
      <c r="P126" s="61">
        <f t="shared" ca="1" si="46"/>
        <v>175853.02155130403</v>
      </c>
      <c r="Q126" s="62">
        <f t="shared" ca="1" si="46"/>
        <v>178792.31631244282</v>
      </c>
      <c r="R126" s="61">
        <f t="shared" ca="1" si="46"/>
        <v>181870.64486451293</v>
      </c>
      <c r="S126" s="54">
        <f t="shared" ca="1" si="46"/>
        <v>184969.65628157317</v>
      </c>
    </row>
    <row r="128" spans="2:19" ht="16.5" thickBot="1">
      <c r="B128" s="71" t="s">
        <v>706</v>
      </c>
      <c r="C128" s="71" t="s">
        <v>352</v>
      </c>
    </row>
    <row r="129" spans="2:19">
      <c r="B129" s="70" t="s">
        <v>381</v>
      </c>
      <c r="C129" s="69" t="s">
        <v>476</v>
      </c>
      <c r="D129" s="69" t="s">
        <v>477</v>
      </c>
      <c r="E129" s="69" t="s">
        <v>478</v>
      </c>
      <c r="F129" s="69" t="s">
        <v>479</v>
      </c>
      <c r="G129" s="69" t="s">
        <v>480</v>
      </c>
      <c r="H129" s="69" t="s">
        <v>481</v>
      </c>
      <c r="I129" s="69" t="s">
        <v>482</v>
      </c>
      <c r="J129" s="69" t="s">
        <v>483</v>
      </c>
      <c r="K129" s="69" t="s">
        <v>484</v>
      </c>
      <c r="L129" s="69" t="s">
        <v>528</v>
      </c>
      <c r="M129" s="69" t="s">
        <v>195</v>
      </c>
      <c r="N129" s="69" t="s">
        <v>196</v>
      </c>
      <c r="O129" s="69" t="s">
        <v>487</v>
      </c>
      <c r="P129" s="69" t="s">
        <v>488</v>
      </c>
      <c r="Q129" s="69" t="s">
        <v>489</v>
      </c>
      <c r="R129" s="69" t="s">
        <v>490</v>
      </c>
      <c r="S129" s="67" t="s">
        <v>491</v>
      </c>
    </row>
    <row r="130" spans="2:19">
      <c r="B130" s="66" t="str">
        <f>B106</f>
        <v>Residential</v>
      </c>
      <c r="C130" s="55">
        <f>SUMIFS('Monthly Data'!$CG:$CG,'Monthly Data'!$B:$B,'Summary Tables'!C$138,'Monthly Data'!$C:$C,12)</f>
        <v>39251</v>
      </c>
      <c r="D130" s="55">
        <f>SUMIFS('Monthly Data'!$CG:$CG,'Monthly Data'!$B:$B,'Summary Tables'!D$138,'Monthly Data'!$C:$C,12)</f>
        <v>39588</v>
      </c>
      <c r="E130" s="55">
        <f>SUMIFS('Monthly Data'!$CG:$CG,'Monthly Data'!$B:$B,'Summary Tables'!E$138,'Monthly Data'!$C:$C,12)</f>
        <v>39890</v>
      </c>
      <c r="F130" s="55">
        <f>SUMIFS('Monthly Data'!$CG:$CG,'Monthly Data'!$B:$B,'Summary Tables'!F$138,'Monthly Data'!$C:$C,12)</f>
        <v>40272</v>
      </c>
      <c r="G130" s="55">
        <f>SUMIFS('Monthly Data'!$CG:$CG,'Monthly Data'!$B:$B,'Summary Tables'!G$138,'Monthly Data'!$C:$C,12)</f>
        <v>41437</v>
      </c>
      <c r="H130" s="55">
        <f>SUMIFS('Monthly Data'!$CG:$CG,'Monthly Data'!$B:$B,'Summary Tables'!H$138,'Monthly Data'!$C:$C,12)</f>
        <v>42256</v>
      </c>
      <c r="I130" s="55">
        <f>SUMIFS('Monthly Data'!$CG:$CG,'Monthly Data'!$B:$B,'Summary Tables'!I$138,'Monthly Data'!$C:$C,12)</f>
        <v>43441</v>
      </c>
      <c r="J130" s="55">
        <f>SUMIFS('Monthly Data'!$CG:$CG,'Monthly Data'!$B:$B,'Summary Tables'!J$138,'Monthly Data'!$C:$C,12)</f>
        <v>44498</v>
      </c>
      <c r="K130" s="55">
        <f>SUMIFS('Monthly Data'!$CG:$CG,'Monthly Data'!$B:$B,'Summary Tables'!K$138,'Monthly Data'!$C:$C,12)</f>
        <v>45324</v>
      </c>
      <c r="L130" s="55">
        <f>SUMIFS('Monthly Data'!$CG:$CG,'Monthly Data'!$B:$B,'Summary Tables'!L$138,'Monthly Data'!$C:$C,12)</f>
        <v>45687</v>
      </c>
      <c r="M130" s="55">
        <f ca="1">SUMIFS('Customer Count'!$AT:$AT,'Customer Count'!$A:$A,M$138,'Customer Count'!$B:$B,"Dec")</f>
        <v>46861.73536105227</v>
      </c>
      <c r="N130" s="55">
        <f ca="1">SUMIFS('Customer Count'!$AT:$AT,'Customer Count'!$A:$A,N$138,'Customer Count'!$B:$B,"Dec")</f>
        <v>47735.451607510207</v>
      </c>
      <c r="O130" s="55">
        <f ca="1">SUMIFS('Customer Count'!$AT:$AT,'Customer Count'!$A:$A,O$138,'Customer Count'!$B:$B,"Dec")</f>
        <v>48656.83615016588</v>
      </c>
      <c r="P130" s="55">
        <f ca="1">SUMIFS('Customer Count'!$AT:$AT,'Customer Count'!$A:$A,P$138,'Customer Count'!$B:$B,"Dec")</f>
        <v>49552.624072964376</v>
      </c>
      <c r="Q130" s="55">
        <f ca="1">SUMIFS('Customer Count'!$AT:$AT,'Customer Count'!$A:$A,Q$138,'Customer Count'!$B:$B,"Dec")</f>
        <v>50513.747569707084</v>
      </c>
      <c r="R130" s="55">
        <f ca="1">SUMIFS('Customer Count'!$AT:$AT,'Customer Count'!$A:$A,R$138,'Customer Count'!$B:$B,"Dec")</f>
        <v>51477.180042124113</v>
      </c>
      <c r="S130" s="65">
        <f ca="1">SUMIFS('Customer Count'!$AT:$AT,'Customer Count'!$A:$A,S$138,'Customer Count'!$B:$B,"Dec")</f>
        <v>52456.335033319127</v>
      </c>
    </row>
    <row r="131" spans="2:19">
      <c r="B131" s="64" t="str">
        <f t="shared" ref="B131:B136" si="47">B107</f>
        <v>GS&lt;50</v>
      </c>
      <c r="C131" s="55">
        <f>SUMIFS('Monthly Data'!$CH:$CH,'Monthly Data'!$B:$B,'Summary Tables'!C$138,'Monthly Data'!$C:$C,12)</f>
        <v>2179</v>
      </c>
      <c r="D131" s="55">
        <f>SUMIFS('Monthly Data'!$CH:$CH,'Monthly Data'!$B:$B,'Summary Tables'!D$138,'Monthly Data'!$C:$C,12)</f>
        <v>2220</v>
      </c>
      <c r="E131" s="55">
        <f>SUMIFS('Monthly Data'!$CH:$CH,'Monthly Data'!$B:$B,'Summary Tables'!E$138,'Monthly Data'!$C:$C,12)</f>
        <v>2238</v>
      </c>
      <c r="F131" s="55">
        <f>SUMIFS('Monthly Data'!$CH:$CH,'Monthly Data'!$B:$B,'Summary Tables'!F$138,'Monthly Data'!$C:$C,12)</f>
        <v>2254</v>
      </c>
      <c r="G131" s="55">
        <f>SUMIFS('Monthly Data'!$CH:$CH,'Monthly Data'!$B:$B,'Summary Tables'!G$138,'Monthly Data'!$C:$C,12)</f>
        <v>2267</v>
      </c>
      <c r="H131" s="55">
        <f>SUMIFS('Monthly Data'!$CH:$CH,'Monthly Data'!$B:$B,'Summary Tables'!H$138,'Monthly Data'!$C:$C,12)</f>
        <v>2299</v>
      </c>
      <c r="I131" s="55">
        <f>SUMIFS('Monthly Data'!$CH:$CH,'Monthly Data'!$B:$B,'Summary Tables'!I$138,'Monthly Data'!$C:$C,12)</f>
        <v>2350</v>
      </c>
      <c r="J131" s="55">
        <f>SUMIFS('Monthly Data'!$CH:$CH,'Monthly Data'!$B:$B,'Summary Tables'!J$138,'Monthly Data'!$C:$C,12)</f>
        <v>2412</v>
      </c>
      <c r="K131" s="55">
        <f>SUMIFS('Monthly Data'!$CH:$CH,'Monthly Data'!$B:$B,'Summary Tables'!K$138,'Monthly Data'!$C:$C,12)</f>
        <v>2455</v>
      </c>
      <c r="L131" s="55">
        <f>SUMIFS('Monthly Data'!$CH:$CH,'Monthly Data'!$B:$B,'Summary Tables'!L$138,'Monthly Data'!$C:$C,12)</f>
        <v>2473</v>
      </c>
      <c r="M131" s="55">
        <f>SUMIFS('Customer Count'!$AX:$AX,'Customer Count'!$A:$A,M$138,'Customer Count'!$B:$B,"Dec")</f>
        <v>2516.0569793153954</v>
      </c>
      <c r="N131" s="55">
        <f>SUMIFS('Customer Count'!$AX:$AX,'Customer Count'!$A:$A,N$138,'Customer Count'!$B:$B,"Dec")</f>
        <v>2551.8752388163234</v>
      </c>
      <c r="O131" s="55">
        <f>SUMIFS('Customer Count'!$AX:$AX,'Customer Count'!$A:$A,O$138,'Customer Count'!$B:$B,"Dec")</f>
        <v>2588.2034023950305</v>
      </c>
      <c r="P131" s="55">
        <f>SUMIFS('Customer Count'!$AX:$AX,'Customer Count'!$A:$A,P$138,'Customer Count'!$B:$B,"Dec")</f>
        <v>2625.0487289795656</v>
      </c>
      <c r="Q131" s="55">
        <f>SUMIFS('Customer Count'!$AX:$AX,'Customer Count'!$A:$A,Q$138,'Customer Count'!$B:$B,"Dec")</f>
        <v>2662.4185808351294</v>
      </c>
      <c r="R131" s="55">
        <f>SUMIFS('Customer Count'!$AX:$AX,'Customer Count'!$A:$A,R$138,'Customer Count'!$B:$B,"Dec")</f>
        <v>2700.3204250351737</v>
      </c>
      <c r="S131" s="65">
        <f>SUMIFS('Customer Count'!$AX:$AX,'Customer Count'!$A:$A,S$138,'Customer Count'!$B:$B,"Dec")</f>
        <v>2738.7618349534355</v>
      </c>
    </row>
    <row r="132" spans="2:19">
      <c r="B132" s="64" t="str">
        <f t="shared" si="47"/>
        <v>GS 50 - 2,999</v>
      </c>
      <c r="C132" s="55">
        <f>SUMIFS('Monthly Data'!$CI:$CI,'Monthly Data'!$B:$B,'Summary Tables'!C$138,'Monthly Data'!$C:$C,12)</f>
        <v>366</v>
      </c>
      <c r="D132" s="55">
        <f>SUMIFS('Monthly Data'!$CI:$CI,'Monthly Data'!$B:$B,'Summary Tables'!D$138,'Monthly Data'!$C:$C,12)</f>
        <v>368</v>
      </c>
      <c r="E132" s="55">
        <f>SUMIFS('Monthly Data'!$CI:$CI,'Monthly Data'!$B:$B,'Summary Tables'!E$138,'Monthly Data'!$C:$C,12)</f>
        <v>368</v>
      </c>
      <c r="F132" s="55">
        <f>SUMIFS('Monthly Data'!$CI:$CI,'Monthly Data'!$B:$B,'Summary Tables'!F$138,'Monthly Data'!$C:$C,12)</f>
        <v>377</v>
      </c>
      <c r="G132" s="55">
        <f>SUMIFS('Monthly Data'!$CI:$CI,'Monthly Data'!$B:$B,'Summary Tables'!G$138,'Monthly Data'!$C:$C,12)</f>
        <v>377</v>
      </c>
      <c r="H132" s="55">
        <f>SUMIFS('Monthly Data'!$CI:$CI,'Monthly Data'!$B:$B,'Summary Tables'!H$138,'Monthly Data'!$C:$C,12)</f>
        <v>386</v>
      </c>
      <c r="I132" s="55">
        <f>SUMIFS('Monthly Data'!$CI:$CI,'Monthly Data'!$B:$B,'Summary Tables'!I$138,'Monthly Data'!$C:$C,12)</f>
        <v>395</v>
      </c>
      <c r="J132" s="55">
        <f>SUMIFS('Monthly Data'!$CI:$CI,'Monthly Data'!$B:$B,'Summary Tables'!J$138,'Monthly Data'!$C:$C,12)</f>
        <v>379</v>
      </c>
      <c r="K132" s="55">
        <f>SUMIFS('Monthly Data'!$CI:$CI,'Monthly Data'!$B:$B,'Summary Tables'!K$138,'Monthly Data'!$C:$C,12)</f>
        <v>387</v>
      </c>
      <c r="L132" s="55">
        <f>SUMIFS('Monthly Data'!$CI:$CI,'Monthly Data'!$B:$B,'Summary Tables'!L$138,'Monthly Data'!$C:$C,12)</f>
        <v>390</v>
      </c>
      <c r="M132" s="55">
        <f>SUMIFS('Customer Count'!$BE:$BE,'Customer Count'!$A:$A,M$138,'Customer Count'!$B:$B,"Dec")</f>
        <v>398.06886963808387</v>
      </c>
      <c r="N132" s="55">
        <f>SUMIFS('Customer Count'!$BE:$BE,'Customer Count'!$A:$A,N$138,'Customer Count'!$B:$B,"Dec")</f>
        <v>404.39247221047879</v>
      </c>
      <c r="O132" s="55">
        <f>SUMIFS('Customer Count'!$BE:$BE,'Customer Count'!$A:$A,O$138,'Customer Count'!$B:$B,"Dec")</f>
        <v>409.76789116199257</v>
      </c>
      <c r="P132" s="55">
        <f>SUMIFS('Customer Count'!$BE:$BE,'Customer Count'!$A:$A,P$138,'Customer Count'!$B:$B,"Dec")</f>
        <v>414.07023658774466</v>
      </c>
      <c r="Q132" s="55">
        <f>SUMIFS('Customer Count'!$BE:$BE,'Customer Count'!$A:$A,Q$138,'Customer Count'!$B:$B,"Dec")</f>
        <v>417.38961930363553</v>
      </c>
      <c r="R132" s="55">
        <f>SUMIFS('Customer Count'!$BE:$BE,'Customer Count'!$A:$A,R$138,'Customer Count'!$B:$B,"Dec")</f>
        <v>420.75115085106694</v>
      </c>
      <c r="S132" s="65">
        <f>SUMIFS('Customer Count'!$BE:$BE,'Customer Count'!$A:$A,S$138,'Customer Count'!$B:$B,"Dec")</f>
        <v>424.05494350169005</v>
      </c>
    </row>
    <row r="133" spans="2:19">
      <c r="B133" s="64" t="str">
        <f t="shared" si="47"/>
        <v>GS 3,000 - 4,999</v>
      </c>
      <c r="C133" s="55">
        <f>SUMIFS('Monthly Data'!$CJ:$CJ,'Monthly Data'!$B:$B,'Summary Tables'!C$138,'Monthly Data'!$C:$C,12)</f>
        <v>2</v>
      </c>
      <c r="D133" s="55">
        <f>SUMIFS('Monthly Data'!$CJ:$CJ,'Monthly Data'!$B:$B,'Summary Tables'!D$138,'Monthly Data'!$C:$C,12)</f>
        <v>2</v>
      </c>
      <c r="E133" s="55">
        <f>SUMIFS('Monthly Data'!$CJ:$CJ,'Monthly Data'!$B:$B,'Summary Tables'!E$138,'Monthly Data'!$C:$C,12)</f>
        <v>2</v>
      </c>
      <c r="F133" s="55">
        <f>SUMIFS('Monthly Data'!$CJ:$CJ,'Monthly Data'!$B:$B,'Summary Tables'!F$138,'Monthly Data'!$C:$C,12)</f>
        <v>3</v>
      </c>
      <c r="G133" s="55">
        <f>SUMIFS('Monthly Data'!$CJ:$CJ,'Monthly Data'!$B:$B,'Summary Tables'!G$138,'Monthly Data'!$C:$C,12)</f>
        <v>3</v>
      </c>
      <c r="H133" s="55">
        <f>SUMIFS('Monthly Data'!$CJ:$CJ,'Monthly Data'!$B:$B,'Summary Tables'!H$138,'Monthly Data'!$C:$C,12)</f>
        <v>3</v>
      </c>
      <c r="I133" s="55">
        <f>SUMIFS('Monthly Data'!$CJ:$CJ,'Monthly Data'!$B:$B,'Summary Tables'!I$138,'Monthly Data'!$C:$C,12)</f>
        <v>3</v>
      </c>
      <c r="J133" s="55">
        <f>SUMIFS('Monthly Data'!$CJ:$CJ,'Monthly Data'!$B:$B,'Summary Tables'!J$138,'Monthly Data'!$C:$C,12)</f>
        <v>3</v>
      </c>
      <c r="K133" s="55">
        <f>SUMIFS('Monthly Data'!$CJ:$CJ,'Monthly Data'!$B:$B,'Summary Tables'!K$138,'Monthly Data'!$C:$C,12)</f>
        <v>3</v>
      </c>
      <c r="L133" s="55">
        <f>SUMIFS('Monthly Data'!$CJ:$CJ,'Monthly Data'!$B:$B,'Summary Tables'!L$138,'Monthly Data'!$C:$C,12)</f>
        <v>3</v>
      </c>
      <c r="M133" s="55">
        <f>SUMIFS('Customer Count'!$BK:$BK,'Customer Count'!$A:$A,M$138,'Customer Count'!$B:$B,"Dec")</f>
        <v>4.8600000000000003</v>
      </c>
      <c r="N133" s="55">
        <f>SUMIFS('Customer Count'!$BK:$BK,'Customer Count'!$A:$A,N$138,'Customer Count'!$B:$B,"Dec")</f>
        <v>6.23</v>
      </c>
      <c r="O133" s="55">
        <f>SUMIFS('Customer Count'!$BK:$BK,'Customer Count'!$A:$A,O$138,'Customer Count'!$B:$B,"Dec")</f>
        <v>6.4800000000000022</v>
      </c>
      <c r="P133" s="55">
        <f>SUMIFS('Customer Count'!$BK:$BK,'Customer Count'!$A:$A,P$138,'Customer Count'!$B:$B,"Dec")</f>
        <v>6.4800000000000022</v>
      </c>
      <c r="Q133" s="55">
        <f>SUMIFS('Customer Count'!$BK:$BK,'Customer Count'!$A:$A,Q$138,'Customer Count'!$B:$B,"Dec")</f>
        <v>6.4800000000000022</v>
      </c>
      <c r="R133" s="55">
        <f>SUMIFS('Customer Count'!$BK:$BK,'Customer Count'!$A:$A,R$138,'Customer Count'!$B:$B,"Dec")</f>
        <v>7.080000000000001</v>
      </c>
      <c r="S133" s="65">
        <f>SUMIFS('Customer Count'!$BK:$BK,'Customer Count'!$A:$A,S$138,'Customer Count'!$B:$B,"Dec")</f>
        <v>7.28</v>
      </c>
    </row>
    <row r="134" spans="2:19">
      <c r="B134" s="64" t="str">
        <f t="shared" si="47"/>
        <v>Street Light</v>
      </c>
      <c r="C134" s="55">
        <f>SUMIFS('Monthly Data'!$CK:$CK,'Monthly Data'!$B:$B,'Summary Tables'!C$138,'Monthly Data'!$C:$C,12)</f>
        <v>11833</v>
      </c>
      <c r="D134" s="55">
        <f>SUMIFS('Monthly Data'!$CK:$CK,'Monthly Data'!$B:$B,'Summary Tables'!D$138,'Monthly Data'!$C:$C,12)</f>
        <v>11878</v>
      </c>
      <c r="E134" s="55">
        <f>SUMIFS('Monthly Data'!$CK:$CK,'Monthly Data'!$B:$B,'Summary Tables'!E$138,'Monthly Data'!$C:$C,12)</f>
        <v>11902</v>
      </c>
      <c r="F134" s="55">
        <f>SUMIFS('Monthly Data'!$CK:$CK,'Monthly Data'!$B:$B,'Summary Tables'!F$138,'Monthly Data'!$C:$C,12)</f>
        <v>12182</v>
      </c>
      <c r="G134" s="55">
        <f>SUMIFS('Monthly Data'!$CK:$CK,'Monthly Data'!$B:$B,'Summary Tables'!G$138,'Monthly Data'!$C:$C,12)</f>
        <v>12600</v>
      </c>
      <c r="H134" s="55">
        <f>SUMIFS('Monthly Data'!$CK:$CK,'Monthly Data'!$B:$B,'Summary Tables'!H$138,'Monthly Data'!$C:$C,12)</f>
        <v>12799</v>
      </c>
      <c r="I134" s="55">
        <f>SUMIFS('Monthly Data'!$CK:$CK,'Monthly Data'!$B:$B,'Summary Tables'!I$138,'Monthly Data'!$C:$C,12)</f>
        <v>13214</v>
      </c>
      <c r="J134" s="55">
        <f>SUMIFS('Monthly Data'!$CK:$CK,'Monthly Data'!$B:$B,'Summary Tables'!J$138,'Monthly Data'!$C:$C,12)</f>
        <v>13452</v>
      </c>
      <c r="K134" s="55">
        <f>SUMIFS('Monthly Data'!$CK:$CK,'Monthly Data'!$B:$B,'Summary Tables'!K$138,'Monthly Data'!$C:$C,12)</f>
        <v>13643</v>
      </c>
      <c r="L134" s="55">
        <f>SUMIFS('Monthly Data'!$CK:$CK,'Monthly Data'!$B:$B,'Summary Tables'!L$138,'Monthly Data'!$C:$C,12)</f>
        <v>13763</v>
      </c>
      <c r="M134" s="55">
        <f>SUMIFS('Customer Count'!$BN:$BN,'Customer Count'!$A:$A,M$138,'Customer Count'!$B:$B,"Dec")</f>
        <v>14039.591394592579</v>
      </c>
      <c r="N134" s="55">
        <f>SUMIFS('Customer Count'!$BN:$BN,'Customer Count'!$A:$A,N$138,'Customer Count'!$B:$B,"Dec")</f>
        <v>14271.724873732093</v>
      </c>
      <c r="O134" s="55">
        <f>SUMIFS('Customer Count'!$BN:$BN,'Customer Count'!$A:$A,O$138,'Customer Count'!$B:$B,"Dec")</f>
        <v>14507.696495351893</v>
      </c>
      <c r="P134" s="55">
        <f>SUMIFS('Customer Count'!$BN:$BN,'Customer Count'!$A:$A,P$138,'Customer Count'!$B:$B,"Dec")</f>
        <v>14747.569720085719</v>
      </c>
      <c r="Q134" s="55">
        <f>SUMIFS('Customer Count'!$BN:$BN,'Customer Count'!$A:$A,Q$138,'Customer Count'!$B:$B,"Dec")</f>
        <v>14991.40905783842</v>
      </c>
      <c r="R134" s="55">
        <f>SUMIFS('Customer Count'!$BN:$BN,'Customer Count'!$A:$A,R$138,'Customer Count'!$B:$B,"Dec")</f>
        <v>15239.28008513484</v>
      </c>
      <c r="S134" s="65">
        <f>SUMIFS('Customer Count'!$BN:$BN,'Customer Count'!$A:$A,S$138,'Customer Count'!$B:$B,"Dec")</f>
        <v>15491.249462755502</v>
      </c>
    </row>
    <row r="135" spans="2:19">
      <c r="B135" s="64" t="str">
        <f t="shared" si="47"/>
        <v>Sentinel Light</v>
      </c>
      <c r="C135" s="55">
        <f>SUMIFS('Monthly Data'!$CL:$CL,'Monthly Data'!$B:$B,'Summary Tables'!C$138,'Monthly Data'!$C:$C,12)</f>
        <v>39</v>
      </c>
      <c r="D135" s="55">
        <f>SUMIFS('Monthly Data'!$CL:$CL,'Monthly Data'!$B:$B,'Summary Tables'!D$138,'Monthly Data'!$C:$C,12)</f>
        <v>39</v>
      </c>
      <c r="E135" s="55">
        <f>SUMIFS('Monthly Data'!$CL:$CL,'Monthly Data'!$B:$B,'Summary Tables'!E$138,'Monthly Data'!$C:$C,12)</f>
        <v>38</v>
      </c>
      <c r="F135" s="55">
        <f>SUMIFS('Monthly Data'!$CL:$CL,'Monthly Data'!$B:$B,'Summary Tables'!F$138,'Monthly Data'!$C:$C,12)</f>
        <v>37</v>
      </c>
      <c r="G135" s="55">
        <f>SUMIFS('Monthly Data'!$CL:$CL,'Monthly Data'!$B:$B,'Summary Tables'!G$138,'Monthly Data'!$C:$C,12)</f>
        <v>37</v>
      </c>
      <c r="H135" s="55">
        <f>SUMIFS('Monthly Data'!$CL:$CL,'Monthly Data'!$B:$B,'Summary Tables'!H$138,'Monthly Data'!$C:$C,12)</f>
        <v>37</v>
      </c>
      <c r="I135" s="55">
        <f>SUMIFS('Monthly Data'!$CL:$CL,'Monthly Data'!$B:$B,'Summary Tables'!I$138,'Monthly Data'!$C:$C,12)</f>
        <v>47</v>
      </c>
      <c r="J135" s="55">
        <f>SUMIFS('Monthly Data'!$CL:$CL,'Monthly Data'!$B:$B,'Summary Tables'!J$138,'Monthly Data'!$C:$C,12)</f>
        <v>46</v>
      </c>
      <c r="K135" s="55">
        <f>SUMIFS('Monthly Data'!$CL:$CL,'Monthly Data'!$B:$B,'Summary Tables'!K$138,'Monthly Data'!$C:$C,12)</f>
        <v>46</v>
      </c>
      <c r="L135" s="55">
        <f>SUMIFS('Monthly Data'!$CL:$CL,'Monthly Data'!$B:$B,'Summary Tables'!L$138,'Monthly Data'!$C:$C,12)</f>
        <v>45</v>
      </c>
      <c r="M135" s="55">
        <f>SUMIFS('Customer Count'!$BR:$BR,'Customer Count'!$A:$A,M$138,'Customer Count'!$B:$B,"Dec")</f>
        <v>46.339768062420362</v>
      </c>
      <c r="N135" s="55">
        <f>SUMIFS('Customer Count'!$BR:$BR,'Customer Count'!$A:$A,N$138,'Customer Count'!$B:$B,"Dec")</f>
        <v>46.954388192943426</v>
      </c>
      <c r="O135" s="55">
        <f>SUMIFS('Customer Count'!$BR:$BR,'Customer Count'!$A:$A,O$138,'Customer Count'!$B:$B,"Dec")</f>
        <v>47.57716023964214</v>
      </c>
      <c r="P135" s="55">
        <f>SUMIFS('Customer Count'!$BR:$BR,'Customer Count'!$A:$A,P$138,'Customer Count'!$B:$B,"Dec")</f>
        <v>48.208192324157856</v>
      </c>
      <c r="Q135" s="55">
        <f>SUMIFS('Customer Count'!$BR:$BR,'Customer Count'!$A:$A,Q$138,'Customer Count'!$B:$B,"Dec")</f>
        <v>48.847594002186185</v>
      </c>
      <c r="R135" s="55">
        <f>SUMIFS('Customer Count'!$BR:$BR,'Customer Count'!$A:$A,R$138,'Customer Count'!$B:$B,"Dec")</f>
        <v>49.495476282497123</v>
      </c>
      <c r="S135" s="65">
        <f>SUMIFS('Customer Count'!$BR:$BR,'Customer Count'!$A:$A,S$138,'Customer Count'!$B:$B,"Dec")</f>
        <v>50.15195164620787</v>
      </c>
    </row>
    <row r="136" spans="2:19">
      <c r="B136" s="64" t="str">
        <f t="shared" si="47"/>
        <v>USL</v>
      </c>
      <c r="C136" s="55">
        <f>SUMIFS('Monthly Data'!$CM:$CM,'Monthly Data'!$B:$B,'Summary Tables'!C$138,'Monthly Data'!$C:$C,12)</f>
        <v>376</v>
      </c>
      <c r="D136" s="55">
        <f>SUMIFS('Monthly Data'!$CM:$CM,'Monthly Data'!$B:$B,'Summary Tables'!D$138,'Monthly Data'!$C:$C,12)</f>
        <v>369</v>
      </c>
      <c r="E136" s="55">
        <f>SUMIFS('Monthly Data'!$CM:$CM,'Monthly Data'!$B:$B,'Summary Tables'!E$138,'Monthly Data'!$C:$C,12)</f>
        <v>372</v>
      </c>
      <c r="F136" s="55">
        <f>SUMIFS('Monthly Data'!$CM:$CM,'Monthly Data'!$B:$B,'Summary Tables'!F$138,'Monthly Data'!$C:$C,12)</f>
        <v>381</v>
      </c>
      <c r="G136" s="55">
        <f>SUMIFS('Monthly Data'!$CM:$CM,'Monthly Data'!$B:$B,'Summary Tables'!G$138,'Monthly Data'!$C:$C,12)</f>
        <v>387</v>
      </c>
      <c r="H136" s="55">
        <f>SUMIFS('Monthly Data'!$CM:$CM,'Monthly Data'!$B:$B,'Summary Tables'!H$138,'Monthly Data'!$C:$C,12)</f>
        <v>391</v>
      </c>
      <c r="I136" s="55">
        <f>SUMIFS('Monthly Data'!$CM:$CM,'Monthly Data'!$B:$B,'Summary Tables'!I$138,'Monthly Data'!$C:$C,12)</f>
        <v>392</v>
      </c>
      <c r="J136" s="55">
        <f>SUMIFS('Monthly Data'!$CM:$CM,'Monthly Data'!$B:$B,'Summary Tables'!J$138,'Monthly Data'!$C:$C,12)</f>
        <v>394</v>
      </c>
      <c r="K136" s="55">
        <f>SUMIFS('Monthly Data'!$CM:$CM,'Monthly Data'!$B:$B,'Summary Tables'!K$138,'Monthly Data'!$C:$C,12)</f>
        <v>406</v>
      </c>
      <c r="L136" s="55">
        <f>SUMIFS('Monthly Data'!$CM:$CM,'Monthly Data'!$B:$B,'Summary Tables'!L$138,'Monthly Data'!$C:$C,12)</f>
        <v>388</v>
      </c>
      <c r="M136" s="55">
        <f>SUMIFS('Customer Count'!$BV:$BV,'Customer Count'!$A:$A,M$138,'Customer Count'!$B:$B,"Dec")</f>
        <v>390.00464651644904</v>
      </c>
      <c r="N136" s="55">
        <f>SUMIFS('Customer Count'!$BV:$BV,'Customer Count'!$A:$A,N$138,'Customer Count'!$B:$B,"Dec")</f>
        <v>392.01841530527156</v>
      </c>
      <c r="O136" s="55">
        <f>SUMIFS('Customer Count'!$BV:$BV,'Customer Count'!$A:$A,O$138,'Customer Count'!$B:$B,"Dec")</f>
        <v>394.04382342544045</v>
      </c>
      <c r="P136" s="55">
        <f>SUMIFS('Customer Count'!$BV:$BV,'Customer Count'!$A:$A,P$138,'Customer Count'!$B:$B,"Dec")</f>
        <v>396.0796960490436</v>
      </c>
      <c r="Q136" s="55">
        <f>SUMIFS('Customer Count'!$BV:$BV,'Customer Count'!$A:$A,Q$138,'Customer Count'!$B:$B,"Dec")</f>
        <v>398.12608724213851</v>
      </c>
      <c r="R136" s="55">
        <f>SUMIFS('Customer Count'!$BV:$BV,'Customer Count'!$A:$A,R$138,'Customer Count'!$B:$B,"Dec")</f>
        <v>400.18305135012156</v>
      </c>
      <c r="S136" s="65">
        <f>SUMIFS('Customer Count'!$BV:$BV,'Customer Count'!$A:$A,S$138,'Customer Count'!$B:$B,"Dec")</f>
        <v>402.25064299917022</v>
      </c>
    </row>
    <row r="137" spans="2:19" ht="13.5" thickBot="1">
      <c r="B137" s="63" t="s">
        <v>65</v>
      </c>
      <c r="C137" s="62">
        <f t="shared" ref="C137:L137" si="48">SUM(C130:C136)</f>
        <v>54046</v>
      </c>
      <c r="D137" s="62">
        <f t="shared" si="48"/>
        <v>54464</v>
      </c>
      <c r="E137" s="62">
        <f t="shared" si="48"/>
        <v>54810</v>
      </c>
      <c r="F137" s="62">
        <f t="shared" si="48"/>
        <v>55506</v>
      </c>
      <c r="G137" s="62">
        <f t="shared" si="48"/>
        <v>57108</v>
      </c>
      <c r="H137" s="62">
        <f t="shared" si="48"/>
        <v>58171</v>
      </c>
      <c r="I137" s="62">
        <f t="shared" si="48"/>
        <v>59842</v>
      </c>
      <c r="J137" s="62">
        <f t="shared" si="48"/>
        <v>61184</v>
      </c>
      <c r="K137" s="62">
        <f t="shared" si="48"/>
        <v>62264</v>
      </c>
      <c r="L137" s="61">
        <f t="shared" si="48"/>
        <v>62749</v>
      </c>
      <c r="M137" s="62">
        <f t="shared" ref="M137:S137" ca="1" si="49">SUM(M130:M136)</f>
        <v>64256.657019177197</v>
      </c>
      <c r="N137" s="61">
        <f t="shared" ca="1" si="49"/>
        <v>65408.646995767318</v>
      </c>
      <c r="O137" s="62">
        <f t="shared" ca="1" si="49"/>
        <v>66610.604922739891</v>
      </c>
      <c r="P137" s="61">
        <f t="shared" ca="1" si="49"/>
        <v>67790.080646990609</v>
      </c>
      <c r="Q137" s="62">
        <f t="shared" ca="1" si="49"/>
        <v>69038.418508928604</v>
      </c>
      <c r="R137" s="61">
        <f t="shared" ca="1" si="49"/>
        <v>70294.290230777813</v>
      </c>
      <c r="S137" s="54">
        <f t="shared" ca="1" si="49"/>
        <v>71570.083869175141</v>
      </c>
    </row>
    <row r="138" spans="2:19" hidden="1">
      <c r="C138" s="92">
        <v>2015</v>
      </c>
      <c r="D138" s="92">
        <f t="shared" ref="D138:L138" si="50">C138+1</f>
        <v>2016</v>
      </c>
      <c r="E138" s="92">
        <f t="shared" si="50"/>
        <v>2017</v>
      </c>
      <c r="F138" s="92">
        <f t="shared" si="50"/>
        <v>2018</v>
      </c>
      <c r="G138" s="92">
        <f t="shared" si="50"/>
        <v>2019</v>
      </c>
      <c r="H138" s="92">
        <f t="shared" si="50"/>
        <v>2020</v>
      </c>
      <c r="I138" s="92">
        <f t="shared" si="50"/>
        <v>2021</v>
      </c>
      <c r="J138" s="92">
        <f t="shared" si="50"/>
        <v>2022</v>
      </c>
      <c r="K138" s="92">
        <f t="shared" si="50"/>
        <v>2023</v>
      </c>
      <c r="L138" s="92">
        <f t="shared" si="50"/>
        <v>2024</v>
      </c>
      <c r="M138" s="92">
        <f t="shared" ref="M138:S138" si="51">L138+1</f>
        <v>2025</v>
      </c>
      <c r="N138" s="92">
        <f t="shared" si="51"/>
        <v>2026</v>
      </c>
      <c r="O138" s="92">
        <f t="shared" si="51"/>
        <v>2027</v>
      </c>
      <c r="P138" s="92">
        <f t="shared" si="51"/>
        <v>2028</v>
      </c>
      <c r="Q138" s="92">
        <f t="shared" si="51"/>
        <v>2029</v>
      </c>
      <c r="R138" s="92">
        <f t="shared" si="51"/>
        <v>2030</v>
      </c>
      <c r="S138" s="92">
        <f t="shared" si="51"/>
        <v>2031</v>
      </c>
    </row>
  </sheetData>
  <pageMargins left="0.7" right="0.7" top="0.75" bottom="0.75" header="0.3" footer="0.3"/>
  <pageSetup orientation="portrait" r:id="rId1"/>
  <ignoredErrors>
    <ignoredError sqref="L12 L2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3723A-1E72-46E4-8B97-280489CD10FA}">
  <sheetPr codeName="Sheet8"/>
  <dimension ref="A1:AJ203"/>
  <sheetViews>
    <sheetView workbookViewId="0">
      <selection activeCell="C1" sqref="C1"/>
    </sheetView>
  </sheetViews>
  <sheetFormatPr defaultColWidth="8.5703125" defaultRowHeight="15"/>
  <cols>
    <col min="1" max="1" width="12" style="12" bestFit="1" customWidth="1"/>
    <col min="2" max="2" width="10.5703125" style="12" customWidth="1"/>
    <col min="3" max="3" width="11.5703125" style="12" customWidth="1"/>
    <col min="4" max="4" width="10.5703125" style="12" customWidth="1"/>
    <col min="5" max="8" width="12.5703125" style="318" customWidth="1"/>
    <col min="9" max="12" width="12.5703125" style="12" customWidth="1"/>
    <col min="13" max="13" width="10.42578125" style="12" bestFit="1" customWidth="1"/>
    <col min="14" max="14" width="10.5703125" style="12" bestFit="1" customWidth="1"/>
    <col min="15" max="15" width="12.5703125" style="12" customWidth="1"/>
    <col min="16" max="16" width="10.42578125" style="12" bestFit="1" customWidth="1"/>
    <col min="17" max="17" width="12.5703125" style="318" customWidth="1"/>
    <col min="18" max="18" width="10.42578125" style="12" bestFit="1" customWidth="1"/>
    <col min="19" max="19" width="8.5703125" style="12"/>
    <col min="20" max="20" width="12.85546875" style="12" bestFit="1" customWidth="1"/>
    <col min="21" max="21" width="12.85546875" style="12" customWidth="1"/>
    <col min="22" max="22" width="8.5703125" style="12" bestFit="1" customWidth="1"/>
    <col min="23" max="23" width="12.140625" style="12" customWidth="1"/>
    <col min="24" max="24" width="11.42578125" style="12" customWidth="1"/>
    <col min="25" max="25" width="11.85546875" style="12" bestFit="1" customWidth="1"/>
    <col min="26" max="26" width="13" style="12" bestFit="1" customWidth="1"/>
    <col min="27" max="27" width="11.42578125" style="12" customWidth="1"/>
    <col min="28" max="28" width="11.42578125" style="12" bestFit="1" customWidth="1"/>
    <col min="29" max="29" width="11.42578125" style="12" customWidth="1"/>
    <col min="30" max="30" width="8.5703125" style="12" bestFit="1" customWidth="1"/>
    <col min="31" max="31" width="10.42578125" style="12" bestFit="1" customWidth="1"/>
    <col min="32" max="32" width="11.42578125" style="12" bestFit="1" customWidth="1"/>
    <col min="33" max="33" width="10.42578125" style="12" bestFit="1" customWidth="1"/>
    <col min="34" max="34" width="11.42578125" style="12" bestFit="1" customWidth="1"/>
    <col min="35" max="35" width="11.42578125" style="12" customWidth="1"/>
    <col min="36" max="36" width="10.42578125" style="12" bestFit="1" customWidth="1"/>
    <col min="37" max="16384" width="8.5703125" style="12"/>
  </cols>
  <sheetData>
    <row r="1" spans="1:36">
      <c r="C1" s="316">
        <v>0.9886759004337472</v>
      </c>
      <c r="D1" s="316">
        <v>1.1324099566252009E-2</v>
      </c>
      <c r="N1" s="324">
        <v>0.81644506112053161</v>
      </c>
      <c r="O1" s="324">
        <v>0.18355493887946875</v>
      </c>
    </row>
    <row r="3" spans="1:36" ht="75">
      <c r="A3" s="323" t="s">
        <v>61</v>
      </c>
      <c r="B3" s="323" t="s">
        <v>62</v>
      </c>
      <c r="C3" s="317" t="s">
        <v>134</v>
      </c>
      <c r="D3" s="317" t="s">
        <v>210</v>
      </c>
      <c r="E3" s="317" t="s">
        <v>135</v>
      </c>
      <c r="F3" s="317" t="s">
        <v>136</v>
      </c>
      <c r="G3" s="317" t="s">
        <v>137</v>
      </c>
      <c r="H3" s="317" t="s">
        <v>138</v>
      </c>
      <c r="I3" s="328" t="s">
        <v>139</v>
      </c>
      <c r="J3" s="328" t="s">
        <v>140</v>
      </c>
      <c r="K3" s="328" t="s">
        <v>141</v>
      </c>
      <c r="L3" s="328" t="s">
        <v>142</v>
      </c>
      <c r="M3" s="328" t="s">
        <v>143</v>
      </c>
      <c r="N3" s="328" t="s">
        <v>207</v>
      </c>
      <c r="O3" s="328" t="s">
        <v>208</v>
      </c>
      <c r="P3" s="328" t="s">
        <v>144</v>
      </c>
      <c r="Q3" s="317" t="s">
        <v>134</v>
      </c>
      <c r="R3" s="328" t="s">
        <v>209</v>
      </c>
      <c r="W3" s="322" t="str">
        <f t="shared" ref="W3:X3" si="0">C3</f>
        <v>Residential - VRZ</v>
      </c>
      <c r="X3" s="322" t="str">
        <f t="shared" si="0"/>
        <v>Residential Seasonal - VRZ</v>
      </c>
      <c r="Y3" s="322" t="str">
        <f t="shared" ref="Y3:AJ3" si="1">E3</f>
        <v>GS&lt;50 kW - VRZ</v>
      </c>
      <c r="Z3" s="322" t="str">
        <f t="shared" si="1"/>
        <v>GS 50 to 2,999 kW - VRZ</v>
      </c>
      <c r="AA3" s="322" t="str">
        <f t="shared" si="1"/>
        <v>GS 3,000 to 4,999 kW - VRZ</v>
      </c>
      <c r="AB3" s="322" t="str">
        <f t="shared" si="1"/>
        <v>Large Use - VRZ</v>
      </c>
      <c r="AC3" s="322" t="str">
        <f t="shared" si="1"/>
        <v>Unmetered Scattered Load - VRZ</v>
      </c>
      <c r="AD3" s="322" t="str">
        <f t="shared" si="1"/>
        <v>Sentinel Lighting - VRZ</v>
      </c>
      <c r="AE3" s="322" t="str">
        <f t="shared" si="1"/>
        <v>Street Lighting - VRZ</v>
      </c>
      <c r="AF3" s="322" t="str">
        <f t="shared" si="1"/>
        <v>Residential - WRZ</v>
      </c>
      <c r="AG3" s="322" t="str">
        <f t="shared" si="1"/>
        <v>GS&lt;50 kW - WRZ</v>
      </c>
      <c r="AH3" s="322" t="str">
        <f t="shared" si="1"/>
        <v>GS 50-2,999 kw - WRZ</v>
      </c>
      <c r="AI3" s="322" t="str">
        <f t="shared" si="1"/>
        <v>GS 3,000-4,999 kw - WRZ</v>
      </c>
      <c r="AJ3" s="322" t="str">
        <f t="shared" si="1"/>
        <v>Street Lighting - WRZ</v>
      </c>
    </row>
    <row r="4" spans="1:36">
      <c r="A4" s="12">
        <v>2014</v>
      </c>
      <c r="B4" s="12">
        <v>2014</v>
      </c>
      <c r="C4" s="319">
        <f>Q4*$C$1</f>
        <v>5253851.812575357</v>
      </c>
      <c r="D4" s="319">
        <f>Q4*$D$1</f>
        <v>60176.586691185163</v>
      </c>
      <c r="E4" s="326">
        <v>2486973.74383632</v>
      </c>
      <c r="F4" s="326">
        <v>9993641.5490281526</v>
      </c>
      <c r="G4" s="326">
        <v>8368.6769465878078</v>
      </c>
      <c r="H4" s="326">
        <v>1907305.7529377537</v>
      </c>
      <c r="I4" s="327">
        <v>0</v>
      </c>
      <c r="J4" s="327">
        <v>0</v>
      </c>
      <c r="K4" s="327">
        <v>542916.24946442863</v>
      </c>
      <c r="L4" s="327">
        <v>1989634.2830184824</v>
      </c>
      <c r="M4" s="327">
        <v>779547.71539999999</v>
      </c>
      <c r="N4" s="327">
        <f t="shared" ref="N4:N21" si="2">R4*$N$1</f>
        <v>1978774.1946478384</v>
      </c>
      <c r="O4" s="327">
        <f t="shared" ref="O4:O21" si="3">R4*$O$1</f>
        <v>444872.28063620167</v>
      </c>
      <c r="P4" s="327">
        <v>0</v>
      </c>
      <c r="Q4" s="326">
        <v>5314028.3992665466</v>
      </c>
      <c r="R4" s="327">
        <v>2423646.475284039</v>
      </c>
      <c r="U4" s="321">
        <v>0</v>
      </c>
      <c r="V4" s="12">
        <v>2014</v>
      </c>
      <c r="W4" s="327">
        <f>SUMIF($B$4:$B$203,$V4,C$4:C$203)-SUMIF($A$4:$A$203,$V4,C$4:C$203)/2</f>
        <v>2626925.9062876785</v>
      </c>
      <c r="X4" s="327">
        <f t="shared" ref="X4:AJ19" si="4">SUMIF($B$4:$B$203,$V4,D$4:D$203)-SUMIF($A$4:$A$203,$V4,D$4:D$203)/2</f>
        <v>30088.293345592581</v>
      </c>
      <c r="Y4" s="327">
        <f t="shared" si="4"/>
        <v>1243486.87191816</v>
      </c>
      <c r="Z4" s="327">
        <f t="shared" si="4"/>
        <v>4996820.7745140763</v>
      </c>
      <c r="AA4" s="327">
        <f t="shared" si="4"/>
        <v>4184.3384732939039</v>
      </c>
      <c r="AB4" s="327">
        <f t="shared" si="4"/>
        <v>953652.87646887684</v>
      </c>
      <c r="AC4" s="327">
        <f t="shared" si="4"/>
        <v>0</v>
      </c>
      <c r="AD4" s="327">
        <f t="shared" si="4"/>
        <v>0</v>
      </c>
      <c r="AE4" s="327">
        <f t="shared" si="4"/>
        <v>271458.12473221432</v>
      </c>
      <c r="AF4" s="327">
        <f t="shared" si="4"/>
        <v>994817.14150924119</v>
      </c>
      <c r="AG4" s="327">
        <f t="shared" si="4"/>
        <v>389773.85769999999</v>
      </c>
      <c r="AH4" s="327">
        <f t="shared" si="4"/>
        <v>989387.09732391918</v>
      </c>
      <c r="AI4" s="327">
        <f t="shared" si="4"/>
        <v>222436.14031810084</v>
      </c>
      <c r="AJ4" s="327">
        <f t="shared" si="4"/>
        <v>0</v>
      </c>
    </row>
    <row r="5" spans="1:36">
      <c r="B5" s="12">
        <v>2015</v>
      </c>
      <c r="C5" s="319">
        <f t="shared" ref="C5:C18" si="5">Q5*$C$1</f>
        <v>4827245.3263962818</v>
      </c>
      <c r="D5" s="319">
        <f t="shared" ref="D5:D18" si="6">Q5*$D$1</f>
        <v>55290.319793224604</v>
      </c>
      <c r="E5" s="326">
        <v>2441545.8345938167</v>
      </c>
      <c r="F5" s="326">
        <v>9981567.3322351854</v>
      </c>
      <c r="G5" s="326">
        <v>8362.6049968653915</v>
      </c>
      <c r="H5" s="326">
        <v>1907131.6470079748</v>
      </c>
      <c r="I5" s="327">
        <v>0</v>
      </c>
      <c r="J5" s="327">
        <v>0</v>
      </c>
      <c r="K5" s="327">
        <v>542916.24946442863</v>
      </c>
      <c r="L5" s="327">
        <v>1831712.7198884825</v>
      </c>
      <c r="M5" s="327">
        <v>776206.79709999997</v>
      </c>
      <c r="N5" s="327">
        <f t="shared" si="2"/>
        <v>2423653.3860113015</v>
      </c>
      <c r="O5" s="327">
        <f t="shared" si="3"/>
        <v>544890.97958869929</v>
      </c>
      <c r="P5" s="327">
        <v>0</v>
      </c>
      <c r="Q5" s="326">
        <v>4882535.6461895099</v>
      </c>
      <c r="R5" s="327">
        <v>2968544.3655999997</v>
      </c>
      <c r="U5" s="321">
        <v>0</v>
      </c>
      <c r="V5" s="12">
        <f t="shared" ref="V5:V21" si="7">V4+1</f>
        <v>2015</v>
      </c>
      <c r="W5" s="327">
        <f>SUMIF($B$4:$B$203,$V5,C$4:C$203)-SUMIF($A$4:$A$203,$V5,C$4:C$203)/2</f>
        <v>7706952.6761553641</v>
      </c>
      <c r="X5" s="327">
        <f t="shared" si="4"/>
        <v>88273.922140599505</v>
      </c>
      <c r="Y5" s="327">
        <f t="shared" si="4"/>
        <v>3862662.0457551135</v>
      </c>
      <c r="Z5" s="327">
        <f t="shared" si="4"/>
        <v>14434995.112896938</v>
      </c>
      <c r="AA5" s="327">
        <f t="shared" si="4"/>
        <v>147172.11075544692</v>
      </c>
      <c r="AB5" s="327">
        <f t="shared" si="4"/>
        <v>4341138.7283844277</v>
      </c>
      <c r="AC5" s="327">
        <f t="shared" si="4"/>
        <v>567.34755482945684</v>
      </c>
      <c r="AD5" s="327">
        <f t="shared" si="4"/>
        <v>0</v>
      </c>
      <c r="AE5" s="327">
        <f t="shared" si="4"/>
        <v>542916.24946442863</v>
      </c>
      <c r="AF5" s="327">
        <f t="shared" si="4"/>
        <v>3115752.2198884822</v>
      </c>
      <c r="AG5" s="327">
        <f t="shared" si="4"/>
        <v>1102210.2957640002</v>
      </c>
      <c r="AH5" s="327">
        <f t="shared" si="4"/>
        <v>3381318.542222091</v>
      </c>
      <c r="AI5" s="327">
        <f t="shared" si="4"/>
        <v>760195.32471390977</v>
      </c>
      <c r="AJ5" s="327">
        <f t="shared" si="4"/>
        <v>751290</v>
      </c>
    </row>
    <row r="6" spans="1:36">
      <c r="B6" s="12">
        <v>2016</v>
      </c>
      <c r="C6" s="319">
        <f t="shared" si="5"/>
        <v>4573978.4016057346</v>
      </c>
      <c r="D6" s="319">
        <f t="shared" si="6"/>
        <v>52389.450183771827</v>
      </c>
      <c r="E6" s="326">
        <v>2317588.3940786729</v>
      </c>
      <c r="F6" s="326">
        <v>9794236.4899596684</v>
      </c>
      <c r="G6" s="326">
        <v>8362.6049968653915</v>
      </c>
      <c r="H6" s="326">
        <v>730159.7230037679</v>
      </c>
      <c r="I6" s="327">
        <v>0</v>
      </c>
      <c r="J6" s="327">
        <v>0</v>
      </c>
      <c r="K6" s="327">
        <v>542916.24946442863</v>
      </c>
      <c r="L6" s="327">
        <v>1741252.6426584825</v>
      </c>
      <c r="M6" s="327">
        <v>675991.29859999998</v>
      </c>
      <c r="N6" s="327">
        <f t="shared" si="2"/>
        <v>2423653.3860113015</v>
      </c>
      <c r="O6" s="327">
        <f t="shared" si="3"/>
        <v>544890.97958869929</v>
      </c>
      <c r="P6" s="327">
        <v>0</v>
      </c>
      <c r="Q6" s="326">
        <v>4626367.8517895099</v>
      </c>
      <c r="R6" s="327">
        <v>2968544.3655999997</v>
      </c>
      <c r="U6" s="321">
        <v>0</v>
      </c>
      <c r="V6" s="12">
        <f t="shared" si="7"/>
        <v>2016</v>
      </c>
      <c r="W6" s="327">
        <f t="shared" ref="W6:W21" si="8">SUMIF($B$4:$B$203,$V6,C$4:C$203)-SUMIF($A$4:$A$203,$V6,C$4:C$203)/2</f>
        <v>15668447.662871409</v>
      </c>
      <c r="X6" s="327">
        <f t="shared" si="4"/>
        <v>179463.32190874958</v>
      </c>
      <c r="Y6" s="327">
        <f t="shared" si="4"/>
        <v>6266003.6809074264</v>
      </c>
      <c r="Z6" s="327">
        <f t="shared" si="4"/>
        <v>22146619.607547037</v>
      </c>
      <c r="AA6" s="327">
        <f t="shared" si="4"/>
        <v>498549.66246977245</v>
      </c>
      <c r="AB6" s="327">
        <f t="shared" si="4"/>
        <v>7128817.1578657236</v>
      </c>
      <c r="AC6" s="327">
        <f t="shared" si="4"/>
        <v>2519.3026226227612</v>
      </c>
      <c r="AD6" s="327">
        <f t="shared" si="4"/>
        <v>0</v>
      </c>
      <c r="AE6" s="327">
        <f t="shared" si="4"/>
        <v>547447.72962889867</v>
      </c>
      <c r="AF6" s="327">
        <f t="shared" si="4"/>
        <v>7827292.6426584832</v>
      </c>
      <c r="AG6" s="327">
        <f t="shared" si="4"/>
        <v>1385622.372852949</v>
      </c>
      <c r="AH6" s="327">
        <f t="shared" si="4"/>
        <v>5095617.3960494809</v>
      </c>
      <c r="AI6" s="327">
        <f t="shared" si="4"/>
        <v>1145607.6890235953</v>
      </c>
      <c r="AJ6" s="327">
        <f t="shared" si="4"/>
        <v>2671278.7368490696</v>
      </c>
    </row>
    <row r="7" spans="1:36">
      <c r="B7" s="12">
        <v>2017</v>
      </c>
      <c r="C7" s="319">
        <f t="shared" si="5"/>
        <v>4556786.7957492564</v>
      </c>
      <c r="D7" s="319">
        <f t="shared" si="6"/>
        <v>52192.540907094699</v>
      </c>
      <c r="E7" s="326">
        <v>1864696.0579415413</v>
      </c>
      <c r="F7" s="326">
        <v>9563380.0709978733</v>
      </c>
      <c r="G7" s="326">
        <v>8203.3373755542543</v>
      </c>
      <c r="H7" s="326">
        <v>697309.67215681775</v>
      </c>
      <c r="I7" s="327">
        <v>0</v>
      </c>
      <c r="J7" s="327">
        <v>0</v>
      </c>
      <c r="K7" s="327">
        <v>542916.24946442863</v>
      </c>
      <c r="L7" s="327">
        <v>1736678.2603252823</v>
      </c>
      <c r="M7" s="327">
        <v>565228.73970000003</v>
      </c>
      <c r="N7" s="327">
        <f t="shared" si="2"/>
        <v>2401290.2544609029</v>
      </c>
      <c r="O7" s="327">
        <f t="shared" si="3"/>
        <v>539863.25213909813</v>
      </c>
      <c r="P7" s="327">
        <v>0</v>
      </c>
      <c r="Q7" s="326">
        <v>4608979.3366563544</v>
      </c>
      <c r="R7" s="327">
        <v>2941153.5066</v>
      </c>
      <c r="U7" s="321">
        <v>0</v>
      </c>
      <c r="V7" s="12">
        <f t="shared" si="7"/>
        <v>2017</v>
      </c>
      <c r="W7" s="327">
        <f t="shared" si="8"/>
        <v>33039525.220143013</v>
      </c>
      <c r="X7" s="327">
        <f t="shared" si="4"/>
        <v>378428.23219464702</v>
      </c>
      <c r="Y7" s="327">
        <f t="shared" si="4"/>
        <v>8395441.8564269301</v>
      </c>
      <c r="Z7" s="327">
        <f t="shared" si="4"/>
        <v>31009573.568779044</v>
      </c>
      <c r="AA7" s="327">
        <f t="shared" si="4"/>
        <v>1165452.6221753072</v>
      </c>
      <c r="AB7" s="327">
        <f t="shared" si="4"/>
        <v>9855831.7522191294</v>
      </c>
      <c r="AC7" s="327">
        <f t="shared" si="4"/>
        <v>3827.7541168842581</v>
      </c>
      <c r="AD7" s="327">
        <f t="shared" si="4"/>
        <v>0</v>
      </c>
      <c r="AE7" s="327">
        <f t="shared" si="4"/>
        <v>3111313.582697886</v>
      </c>
      <c r="AF7" s="327">
        <f t="shared" si="4"/>
        <v>17132013.012366951</v>
      </c>
      <c r="AG7" s="327">
        <f t="shared" si="4"/>
        <v>1654412.3870165935</v>
      </c>
      <c r="AH7" s="327">
        <f t="shared" si="4"/>
        <v>8610844.415497696</v>
      </c>
      <c r="AI7" s="327">
        <f t="shared" si="4"/>
        <v>1935908.6062913383</v>
      </c>
      <c r="AJ7" s="327">
        <f t="shared" si="4"/>
        <v>5663577.4736981392</v>
      </c>
    </row>
    <row r="8" spans="1:36">
      <c r="B8" s="12">
        <v>2018</v>
      </c>
      <c r="C8" s="319">
        <f>Q8*$C$1</f>
        <v>4439224.1244569765</v>
      </c>
      <c r="D8" s="319">
        <f>Q8*$D$1</f>
        <v>50846.00116196258</v>
      </c>
      <c r="E8" s="326">
        <v>1791263.2916290413</v>
      </c>
      <c r="F8" s="326">
        <v>9122783.4731228743</v>
      </c>
      <c r="G8" s="326">
        <v>8203.3373755542543</v>
      </c>
      <c r="H8" s="326">
        <v>623876.90584431775</v>
      </c>
      <c r="I8" s="327">
        <v>0</v>
      </c>
      <c r="J8" s="327">
        <v>0</v>
      </c>
      <c r="K8" s="327">
        <v>542916.24946442863</v>
      </c>
      <c r="L8" s="327">
        <v>1697879.5482394223</v>
      </c>
      <c r="M8" s="327">
        <v>565228.73970000003</v>
      </c>
      <c r="N8" s="327">
        <f t="shared" si="2"/>
        <v>2028244.2671968876</v>
      </c>
      <c r="O8" s="327">
        <f t="shared" si="3"/>
        <v>455994.24900311313</v>
      </c>
      <c r="P8" s="327">
        <v>0</v>
      </c>
      <c r="Q8" s="326">
        <v>4490070.125618943</v>
      </c>
      <c r="R8" s="327">
        <v>2484238.5162</v>
      </c>
      <c r="U8" s="321">
        <v>0</v>
      </c>
      <c r="V8" s="12">
        <f t="shared" si="7"/>
        <v>2018</v>
      </c>
      <c r="W8" s="327">
        <f t="shared" si="8"/>
        <v>42806369.44191689</v>
      </c>
      <c r="X8" s="327">
        <f t="shared" si="4"/>
        <v>490295.74749153887</v>
      </c>
      <c r="Y8" s="327">
        <f t="shared" si="4"/>
        <v>12035401.390313063</v>
      </c>
      <c r="Z8" s="327">
        <f t="shared" si="4"/>
        <v>42215473.979362331</v>
      </c>
      <c r="AA8" s="327">
        <f t="shared" si="4"/>
        <v>1987430.9185984107</v>
      </c>
      <c r="AB8" s="327">
        <f t="shared" si="4"/>
        <v>16245528.999497304</v>
      </c>
      <c r="AC8" s="327">
        <f t="shared" si="4"/>
        <v>3829.0404061916652</v>
      </c>
      <c r="AD8" s="327">
        <f t="shared" si="4"/>
        <v>0</v>
      </c>
      <c r="AE8" s="327">
        <f t="shared" si="4"/>
        <v>5670647.9556024037</v>
      </c>
      <c r="AF8" s="327">
        <f t="shared" si="4"/>
        <v>21750215.18349817</v>
      </c>
      <c r="AG8" s="327">
        <f t="shared" si="4"/>
        <v>2178865.286832728</v>
      </c>
      <c r="AH8" s="327">
        <f t="shared" si="4"/>
        <v>12569733.819180509</v>
      </c>
      <c r="AI8" s="327">
        <f t="shared" si="4"/>
        <v>2825954.6573094553</v>
      </c>
      <c r="AJ8" s="327">
        <f t="shared" si="4"/>
        <v>8302444.7937721824</v>
      </c>
    </row>
    <row r="9" spans="1:36">
      <c r="B9" s="12">
        <v>2019</v>
      </c>
      <c r="C9" s="319">
        <f t="shared" si="5"/>
        <v>4373345.1984063443</v>
      </c>
      <c r="D9" s="319">
        <f t="shared" si="6"/>
        <v>50091.436883023613</v>
      </c>
      <c r="E9" s="326">
        <v>1791263.2916290413</v>
      </c>
      <c r="F9" s="326">
        <v>9122783.4731228743</v>
      </c>
      <c r="G9" s="326">
        <v>8203.3373755542543</v>
      </c>
      <c r="H9" s="326">
        <v>623876.90584431775</v>
      </c>
      <c r="I9" s="327">
        <v>0</v>
      </c>
      <c r="J9" s="327">
        <v>0</v>
      </c>
      <c r="K9" s="327">
        <v>542916.24946442863</v>
      </c>
      <c r="L9" s="327">
        <v>1669269.865614</v>
      </c>
      <c r="M9" s="327">
        <v>565228.73970000003</v>
      </c>
      <c r="N9" s="327">
        <f t="shared" si="2"/>
        <v>2028244.2671968876</v>
      </c>
      <c r="O9" s="327">
        <f t="shared" si="3"/>
        <v>455994.24900311313</v>
      </c>
      <c r="P9" s="327">
        <v>0</v>
      </c>
      <c r="Q9" s="326">
        <v>4423436.635289371</v>
      </c>
      <c r="R9" s="327">
        <v>2484238.5162</v>
      </c>
      <c r="U9" s="321">
        <v>0</v>
      </c>
      <c r="V9" s="12">
        <f t="shared" si="7"/>
        <v>2019</v>
      </c>
      <c r="W9" s="327">
        <f t="shared" si="8"/>
        <v>45836334.722457312</v>
      </c>
      <c r="X9" s="327">
        <f t="shared" si="4"/>
        <v>525000.374664178</v>
      </c>
      <c r="Y9" s="327">
        <f t="shared" si="4"/>
        <v>15081361.218734965</v>
      </c>
      <c r="Z9" s="327">
        <f t="shared" si="4"/>
        <v>53160687.282865867</v>
      </c>
      <c r="AA9" s="327">
        <f t="shared" si="4"/>
        <v>2523293.7631115629</v>
      </c>
      <c r="AB9" s="327">
        <f t="shared" si="4"/>
        <v>18748905.302183963</v>
      </c>
      <c r="AC9" s="327">
        <f t="shared" si="4"/>
        <v>3829.0404061916652</v>
      </c>
      <c r="AD9" s="327">
        <f t="shared" si="4"/>
        <v>0</v>
      </c>
      <c r="AE9" s="327">
        <f t="shared" si="4"/>
        <v>7637209.4556024037</v>
      </c>
      <c r="AF9" s="327">
        <f t="shared" si="4"/>
        <v>23029344.909228727</v>
      </c>
      <c r="AG9" s="327">
        <f t="shared" si="4"/>
        <v>2473207.88925929</v>
      </c>
      <c r="AH9" s="327">
        <f t="shared" si="4"/>
        <v>18209134.962835405</v>
      </c>
      <c r="AI9" s="327">
        <f t="shared" si="4"/>
        <v>4093816.9808560037</v>
      </c>
      <c r="AJ9" s="327">
        <f t="shared" si="4"/>
        <v>9278538.0651391298</v>
      </c>
    </row>
    <row r="10" spans="1:36">
      <c r="B10" s="12">
        <v>2020</v>
      </c>
      <c r="C10" s="319">
        <f t="shared" si="5"/>
        <v>4363015.9042468518</v>
      </c>
      <c r="D10" s="319">
        <f t="shared" si="6"/>
        <v>49973.127176617425</v>
      </c>
      <c r="E10" s="326">
        <v>1741945.4915655174</v>
      </c>
      <c r="F10" s="326">
        <v>8680890.1676230002</v>
      </c>
      <c r="G10" s="326">
        <v>7814.8352333876592</v>
      </c>
      <c r="H10" s="326">
        <v>493580.82091294741</v>
      </c>
      <c r="I10" s="327">
        <v>0</v>
      </c>
      <c r="J10" s="327">
        <v>0</v>
      </c>
      <c r="K10" s="327">
        <v>542916.24946442863</v>
      </c>
      <c r="L10" s="327">
        <v>1668673.828614</v>
      </c>
      <c r="M10" s="327">
        <v>565228.73970000003</v>
      </c>
      <c r="N10" s="327">
        <f t="shared" si="2"/>
        <v>2001378.5195131348</v>
      </c>
      <c r="O10" s="327">
        <f t="shared" si="3"/>
        <v>449954.23368686577</v>
      </c>
      <c r="P10" s="327">
        <v>0</v>
      </c>
      <c r="Q10" s="326">
        <v>4412989.0314234728</v>
      </c>
      <c r="R10" s="327">
        <v>2451332.7531999997</v>
      </c>
      <c r="U10" s="321">
        <v>0</v>
      </c>
      <c r="V10" s="12">
        <f t="shared" si="7"/>
        <v>2020</v>
      </c>
      <c r="W10" s="327">
        <f t="shared" si="8"/>
        <v>45977943.062860571</v>
      </c>
      <c r="X10" s="327">
        <f t="shared" si="4"/>
        <v>526622.32878021803</v>
      </c>
      <c r="Y10" s="327">
        <f t="shared" si="4"/>
        <v>16208808.983902762</v>
      </c>
      <c r="Z10" s="327">
        <f t="shared" si="4"/>
        <v>58143132.380277865</v>
      </c>
      <c r="AA10" s="327">
        <f t="shared" si="4"/>
        <v>2728507.3357045609</v>
      </c>
      <c r="AB10" s="327">
        <f t="shared" si="4"/>
        <v>19533897.241536323</v>
      </c>
      <c r="AC10" s="327">
        <f t="shared" si="4"/>
        <v>3828.1805973082755</v>
      </c>
      <c r="AD10" s="327">
        <f t="shared" si="4"/>
        <v>0</v>
      </c>
      <c r="AE10" s="327">
        <f t="shared" si="4"/>
        <v>9603770.9556024037</v>
      </c>
      <c r="AF10" s="327">
        <f t="shared" si="4"/>
        <v>23039289.717194855</v>
      </c>
      <c r="AG10" s="327">
        <f t="shared" si="4"/>
        <v>2609960.8076858087</v>
      </c>
      <c r="AH10" s="327">
        <f t="shared" si="4"/>
        <v>22144913.056713156</v>
      </c>
      <c r="AI10" s="327">
        <f t="shared" si="4"/>
        <v>4978667.0973762516</v>
      </c>
      <c r="AJ10" s="327">
        <f t="shared" si="4"/>
        <v>9439364.016432032</v>
      </c>
    </row>
    <row r="11" spans="1:36">
      <c r="B11" s="12">
        <v>2021</v>
      </c>
      <c r="C11" s="319">
        <f t="shared" si="5"/>
        <v>4360729.4213725785</v>
      </c>
      <c r="D11" s="319">
        <f t="shared" si="6"/>
        <v>49946.938250890154</v>
      </c>
      <c r="E11" s="326">
        <v>1741945.4915655174</v>
      </c>
      <c r="F11" s="326">
        <v>8680890.1676230002</v>
      </c>
      <c r="G11" s="326">
        <v>7814.8352333876592</v>
      </c>
      <c r="H11" s="326">
        <v>493580.82091294741</v>
      </c>
      <c r="I11" s="327">
        <v>0</v>
      </c>
      <c r="J11" s="327">
        <v>0</v>
      </c>
      <c r="K11" s="327">
        <v>542916.24946442863</v>
      </c>
      <c r="L11" s="327">
        <v>1667829.1084140001</v>
      </c>
      <c r="M11" s="327">
        <v>563375.92220000003</v>
      </c>
      <c r="N11" s="327">
        <f t="shared" si="2"/>
        <v>2001378.5195131348</v>
      </c>
      <c r="O11" s="327">
        <f t="shared" si="3"/>
        <v>449954.23368686577</v>
      </c>
      <c r="P11" s="327">
        <v>0</v>
      </c>
      <c r="Q11" s="326">
        <v>4410676.3596234722</v>
      </c>
      <c r="R11" s="327">
        <v>2451332.7531999997</v>
      </c>
      <c r="U11" s="321">
        <v>0</v>
      </c>
      <c r="V11" s="12">
        <f t="shared" si="7"/>
        <v>2021</v>
      </c>
      <c r="W11" s="327">
        <f ca="1">SUMIF($B$4:$B$203,$V11,C$4:C$203)-SUMIF($A$4:$A$203,$V11,C$4:C$203)/2</f>
        <v>46124535.321949124</v>
      </c>
      <c r="X11" s="327">
        <f t="shared" ca="1" si="4"/>
        <v>528301.36772193038</v>
      </c>
      <c r="Y11" s="327">
        <f t="shared" ca="1" si="4"/>
        <v>16926706.595811814</v>
      </c>
      <c r="Z11" s="327">
        <f t="shared" ca="1" si="4"/>
        <v>63936098.037740752</v>
      </c>
      <c r="AA11" s="327">
        <f t="shared" ca="1" si="4"/>
        <v>2915318.9221192822</v>
      </c>
      <c r="AB11" s="327">
        <f t="shared" ca="1" si="4"/>
        <v>20679875.671607789</v>
      </c>
      <c r="AC11" s="327">
        <f t="shared" si="4"/>
        <v>3789.5619867027826</v>
      </c>
      <c r="AD11" s="327">
        <f t="shared" si="4"/>
        <v>0</v>
      </c>
      <c r="AE11" s="327">
        <f t="shared" si="4"/>
        <v>9603770.9556024037</v>
      </c>
      <c r="AF11" s="327">
        <f t="shared" ca="1" si="4"/>
        <v>20372488.849605791</v>
      </c>
      <c r="AG11" s="327">
        <f t="shared" ca="1" si="4"/>
        <v>2782986.4768654015</v>
      </c>
      <c r="AH11" s="327">
        <f t="shared" ca="1" si="4"/>
        <v>25689096.87103441</v>
      </c>
      <c r="AI11" s="327">
        <f t="shared" ca="1" si="4"/>
        <v>5775700.3620081274</v>
      </c>
      <c r="AJ11" s="327">
        <f t="shared" si="4"/>
        <v>9439364.016432032</v>
      </c>
    </row>
    <row r="12" spans="1:36">
      <c r="B12" s="12">
        <v>2022</v>
      </c>
      <c r="C12" s="319">
        <f t="shared" si="5"/>
        <v>4225266.1275576139</v>
      </c>
      <c r="D12" s="319">
        <f t="shared" si="6"/>
        <v>48395.36829145236</v>
      </c>
      <c r="E12" s="326">
        <v>1684379.0494615759</v>
      </c>
      <c r="F12" s="326">
        <v>8185440.8819895415</v>
      </c>
      <c r="G12" s="326">
        <v>7361.3542174971735</v>
      </c>
      <c r="H12" s="326">
        <v>480577.79264063993</v>
      </c>
      <c r="I12" s="327">
        <v>0</v>
      </c>
      <c r="J12" s="327">
        <v>0</v>
      </c>
      <c r="K12" s="327">
        <v>542916.24946442863</v>
      </c>
      <c r="L12" s="327">
        <v>1634276.9509140002</v>
      </c>
      <c r="M12" s="327">
        <v>563375.92220000003</v>
      </c>
      <c r="N12" s="327">
        <f t="shared" si="2"/>
        <v>1831462.9468856428</v>
      </c>
      <c r="O12" s="327">
        <f t="shared" si="3"/>
        <v>411753.44831435825</v>
      </c>
      <c r="P12" s="327">
        <v>0</v>
      </c>
      <c r="Q12" s="326">
        <v>4273661.4958490692</v>
      </c>
      <c r="R12" s="327">
        <v>2243216.3952000001</v>
      </c>
      <c r="U12" s="321">
        <v>0</v>
      </c>
      <c r="V12" s="12">
        <f t="shared" si="7"/>
        <v>2022</v>
      </c>
      <c r="W12" s="327">
        <f t="shared" ca="1" si="8"/>
        <v>46174752.589602843</v>
      </c>
      <c r="X12" s="327">
        <f t="shared" ca="1" si="4"/>
        <v>528876.54644187947</v>
      </c>
      <c r="Y12" s="327">
        <f t="shared" ca="1" si="4"/>
        <v>18330488.783476453</v>
      </c>
      <c r="Z12" s="327">
        <f t="shared" ca="1" si="4"/>
        <v>73456510.710382164</v>
      </c>
      <c r="AA12" s="327">
        <f t="shared" ca="1" si="4"/>
        <v>3289696.7387988465</v>
      </c>
      <c r="AB12" s="327">
        <f t="shared" ca="1" si="4"/>
        <v>20968880.201682754</v>
      </c>
      <c r="AC12" s="327">
        <f t="shared" si="4"/>
        <v>3789.5619867027826</v>
      </c>
      <c r="AD12" s="327">
        <f t="shared" si="4"/>
        <v>0</v>
      </c>
      <c r="AE12" s="327">
        <f t="shared" si="4"/>
        <v>9603770.9556024037</v>
      </c>
      <c r="AF12" s="327">
        <f t="shared" ca="1" si="4"/>
        <v>20417888.25759545</v>
      </c>
      <c r="AG12" s="327">
        <f t="shared" ca="1" si="4"/>
        <v>3161995.1301914067</v>
      </c>
      <c r="AH12" s="327">
        <f t="shared" ca="1" si="4"/>
        <v>30714210.229835939</v>
      </c>
      <c r="AI12" s="327">
        <f t="shared" ca="1" si="4"/>
        <v>6906016.9683509069</v>
      </c>
      <c r="AJ12" s="327">
        <f t="shared" si="4"/>
        <v>9439364.016432032</v>
      </c>
    </row>
    <row r="13" spans="1:36">
      <c r="B13" s="12">
        <v>2023</v>
      </c>
      <c r="C13" s="319">
        <f t="shared" si="5"/>
        <v>3960630.2537973942</v>
      </c>
      <c r="D13" s="319">
        <f t="shared" si="6"/>
        <v>45364.280973608264</v>
      </c>
      <c r="E13" s="326">
        <v>1466165.6694691277</v>
      </c>
      <c r="F13" s="326">
        <v>6307373.3954196479</v>
      </c>
      <c r="G13" s="326">
        <v>5642.3731301963753</v>
      </c>
      <c r="H13" s="326">
        <v>431288.05636834586</v>
      </c>
      <c r="I13" s="327">
        <v>0</v>
      </c>
      <c r="J13" s="327">
        <v>0</v>
      </c>
      <c r="K13" s="327">
        <v>542916.24946442863</v>
      </c>
      <c r="L13" s="327">
        <v>1542709.6159140002</v>
      </c>
      <c r="M13" s="327">
        <v>563375.92220000003</v>
      </c>
      <c r="N13" s="327">
        <f t="shared" si="2"/>
        <v>1672225.769432629</v>
      </c>
      <c r="O13" s="327">
        <f t="shared" si="3"/>
        <v>375953.40276737191</v>
      </c>
      <c r="P13" s="327">
        <v>0</v>
      </c>
      <c r="Q13" s="326">
        <v>4005994.5347710056</v>
      </c>
      <c r="R13" s="327">
        <v>2048179.1722000001</v>
      </c>
      <c r="U13" s="321">
        <v>0</v>
      </c>
      <c r="V13" s="12">
        <f t="shared" si="7"/>
        <v>2023</v>
      </c>
      <c r="W13" s="327">
        <f t="shared" ca="1" si="8"/>
        <v>46187681.834781937</v>
      </c>
      <c r="X13" s="327">
        <f t="shared" ca="1" si="4"/>
        <v>529023.5933560424</v>
      </c>
      <c r="Y13" s="327">
        <f t="shared" ca="1" si="4"/>
        <v>18995001.106992897</v>
      </c>
      <c r="Z13" s="327">
        <f t="shared" ca="1" si="4"/>
        <v>78114239.036518067</v>
      </c>
      <c r="AA13" s="327">
        <f t="shared" ca="1" si="4"/>
        <v>3641970.9470070093</v>
      </c>
      <c r="AB13" s="327">
        <f t="shared" ca="1" si="4"/>
        <v>22381216.580736894</v>
      </c>
      <c r="AC13" s="327">
        <f t="shared" si="4"/>
        <v>3787.4601471108508</v>
      </c>
      <c r="AD13" s="327">
        <f t="shared" si="4"/>
        <v>0</v>
      </c>
      <c r="AE13" s="327">
        <f t="shared" si="4"/>
        <v>9603770.9556024037</v>
      </c>
      <c r="AF13" s="327">
        <f t="shared" ca="1" si="4"/>
        <v>20474981.61765546</v>
      </c>
      <c r="AG13" s="327">
        <f t="shared" ca="1" si="4"/>
        <v>3402710.8536004983</v>
      </c>
      <c r="AH13" s="327">
        <f t="shared" ca="1" si="4"/>
        <v>33134452.707924627</v>
      </c>
      <c r="AI13" s="327">
        <f t="shared" ca="1" si="4"/>
        <v>7450687.6723769503</v>
      </c>
      <c r="AJ13" s="327">
        <f t="shared" si="4"/>
        <v>9439364.016432032</v>
      </c>
    </row>
    <row r="14" spans="1:36">
      <c r="B14" s="12">
        <v>2024</v>
      </c>
      <c r="C14" s="319">
        <f t="shared" si="5"/>
        <v>3836100.2009717659</v>
      </c>
      <c r="D14" s="319">
        <f t="shared" si="6"/>
        <v>43937.938208937492</v>
      </c>
      <c r="E14" s="326">
        <v>1190674.1064554732</v>
      </c>
      <c r="F14" s="326">
        <v>4265540.7635049606</v>
      </c>
      <c r="G14" s="326">
        <v>3787.9026571185204</v>
      </c>
      <c r="H14" s="326">
        <v>378113.32325578254</v>
      </c>
      <c r="I14" s="327">
        <v>0</v>
      </c>
      <c r="J14" s="327">
        <v>0</v>
      </c>
      <c r="K14" s="327">
        <v>542916.24946442863</v>
      </c>
      <c r="L14" s="327">
        <v>1505892.1966539999</v>
      </c>
      <c r="M14" s="327">
        <v>541612.09360000002</v>
      </c>
      <c r="N14" s="327">
        <f t="shared" si="2"/>
        <v>1420577.3021874772</v>
      </c>
      <c r="O14" s="327">
        <f t="shared" si="3"/>
        <v>319377.25181252329</v>
      </c>
      <c r="P14" s="327">
        <v>0</v>
      </c>
      <c r="Q14" s="326">
        <v>3880038.1391807063</v>
      </c>
      <c r="R14" s="327">
        <v>1739954.554</v>
      </c>
      <c r="U14" s="321">
        <v>0</v>
      </c>
      <c r="V14" s="12">
        <f t="shared" si="7"/>
        <v>2024</v>
      </c>
      <c r="W14" s="327">
        <f t="shared" ca="1" si="8"/>
        <v>48210343.405689582</v>
      </c>
      <c r="X14" s="327">
        <f t="shared" ca="1" si="4"/>
        <v>552185.20462173456</v>
      </c>
      <c r="Y14" s="327">
        <f t="shared" ca="1" si="4"/>
        <v>20534227.127559096</v>
      </c>
      <c r="Z14" s="327">
        <f t="shared" ca="1" si="4"/>
        <v>83700791.462406725</v>
      </c>
      <c r="AA14" s="327">
        <f t="shared" ca="1" si="4"/>
        <v>4218257.0821728967</v>
      </c>
      <c r="AB14" s="327">
        <f t="shared" ca="1" si="4"/>
        <v>24762941.564390022</v>
      </c>
      <c r="AC14" s="327">
        <f t="shared" si="4"/>
        <v>3622.8610549544055</v>
      </c>
      <c r="AD14" s="327">
        <f t="shared" si="4"/>
        <v>0</v>
      </c>
      <c r="AE14" s="327">
        <f t="shared" si="4"/>
        <v>9603770.9556024037</v>
      </c>
      <c r="AF14" s="327">
        <f t="shared" ca="1" si="4"/>
        <v>21301907.860237032</v>
      </c>
      <c r="AG14" s="327">
        <f t="shared" ca="1" si="4"/>
        <v>3878107.6453262586</v>
      </c>
      <c r="AH14" s="327">
        <f t="shared" ca="1" si="4"/>
        <v>36355587.210857391</v>
      </c>
      <c r="AI14" s="327">
        <f t="shared" ca="1" si="4"/>
        <v>8175926.9072192442</v>
      </c>
      <c r="AJ14" s="327">
        <f t="shared" si="4"/>
        <v>9439364.016432032</v>
      </c>
    </row>
    <row r="15" spans="1:36">
      <c r="B15" s="12">
        <v>2025</v>
      </c>
      <c r="C15" s="319">
        <f t="shared" si="5"/>
        <v>3511082.5866755759</v>
      </c>
      <c r="D15" s="319">
        <f t="shared" si="6"/>
        <v>40215.250295273327</v>
      </c>
      <c r="E15" s="326">
        <v>625563.85456788237</v>
      </c>
      <c r="F15" s="326">
        <v>3882335.3895622417</v>
      </c>
      <c r="G15" s="326">
        <v>3531.3318361855218</v>
      </c>
      <c r="H15" s="326">
        <v>110983.77713062114</v>
      </c>
      <c r="I15" s="327">
        <v>0</v>
      </c>
      <c r="J15" s="327">
        <v>0</v>
      </c>
      <c r="K15" s="327">
        <v>542916.24946442863</v>
      </c>
      <c r="L15" s="327">
        <v>1385270.5665539999</v>
      </c>
      <c r="M15" s="327">
        <v>104782.48820000001</v>
      </c>
      <c r="N15" s="327">
        <f t="shared" si="2"/>
        <v>1261150.6947842725</v>
      </c>
      <c r="O15" s="327">
        <f t="shared" si="3"/>
        <v>283534.61821572809</v>
      </c>
      <c r="P15" s="327">
        <v>0</v>
      </c>
      <c r="Q15" s="326">
        <v>3551297.8369708522</v>
      </c>
      <c r="R15" s="327">
        <v>1544685.3130000001</v>
      </c>
      <c r="U15" s="321">
        <v>0</v>
      </c>
      <c r="V15" s="12">
        <f t="shared" si="7"/>
        <v>2025</v>
      </c>
      <c r="W15" s="327">
        <f t="shared" ca="1" si="8"/>
        <v>52929536.812889881</v>
      </c>
      <c r="X15" s="327">
        <f t="shared" ca="1" si="4"/>
        <v>606217.42745950283</v>
      </c>
      <c r="Y15" s="327">
        <f t="shared" ca="1" si="4"/>
        <v>22957091.080160491</v>
      </c>
      <c r="Z15" s="327">
        <f t="shared" ca="1" si="4"/>
        <v>95350719.032883123</v>
      </c>
      <c r="AA15" s="327">
        <f t="shared" ca="1" si="4"/>
        <v>5158161.1167992083</v>
      </c>
      <c r="AB15" s="327">
        <f t="shared" ca="1" si="4"/>
        <v>29713588.058730882</v>
      </c>
      <c r="AC15" s="327">
        <f t="shared" si="4"/>
        <v>3240.8747261284971</v>
      </c>
      <c r="AD15" s="327">
        <f t="shared" si="4"/>
        <v>0</v>
      </c>
      <c r="AE15" s="327">
        <f t="shared" si="4"/>
        <v>9603770.9556024037</v>
      </c>
      <c r="AF15" s="327">
        <f t="shared" ca="1" si="4"/>
        <v>23152907.570119713</v>
      </c>
      <c r="AG15" s="327">
        <f t="shared" ca="1" si="4"/>
        <v>4217750.3422236741</v>
      </c>
      <c r="AH15" s="327">
        <f t="shared" ca="1" si="4"/>
        <v>41599183.088131085</v>
      </c>
      <c r="AI15" s="327">
        <f t="shared" ca="1" si="4"/>
        <v>9357836.2216384523</v>
      </c>
      <c r="AJ15" s="327">
        <f t="shared" si="4"/>
        <v>9439364.016432032</v>
      </c>
    </row>
    <row r="16" spans="1:36">
      <c r="B16" s="12">
        <v>2026</v>
      </c>
      <c r="C16" s="319">
        <f t="shared" si="5"/>
        <v>3499825.8765681451</v>
      </c>
      <c r="D16" s="319">
        <f t="shared" si="6"/>
        <v>40086.318148763981</v>
      </c>
      <c r="E16" s="326">
        <v>193338.65948752302</v>
      </c>
      <c r="F16" s="326">
        <v>1658995.0458126485</v>
      </c>
      <c r="G16" s="326">
        <v>1515.9935895035121</v>
      </c>
      <c r="H16" s="326">
        <v>53196.352119212941</v>
      </c>
      <c r="I16" s="327">
        <v>0</v>
      </c>
      <c r="J16" s="327">
        <v>0</v>
      </c>
      <c r="K16" s="327">
        <v>0</v>
      </c>
      <c r="L16" s="327">
        <v>1384794.951104</v>
      </c>
      <c r="M16" s="327">
        <v>0</v>
      </c>
      <c r="N16" s="327">
        <f t="shared" si="2"/>
        <v>340904.72805521521</v>
      </c>
      <c r="O16" s="327">
        <f t="shared" si="3"/>
        <v>76642.935944784957</v>
      </c>
      <c r="P16" s="327">
        <v>0</v>
      </c>
      <c r="Q16" s="326">
        <v>3539912.1947169118</v>
      </c>
      <c r="R16" s="327">
        <v>417547.66399999999</v>
      </c>
      <c r="U16" s="321">
        <v>0</v>
      </c>
      <c r="V16" s="12">
        <f t="shared" si="7"/>
        <v>2026</v>
      </c>
      <c r="W16" s="327">
        <f t="shared" ca="1" si="8"/>
        <v>59906708.677965298</v>
      </c>
      <c r="X16" s="327">
        <f t="shared" ca="1" si="4"/>
        <v>686101.3205558625</v>
      </c>
      <c r="Y16" s="327">
        <f t="shared" ca="1" si="4"/>
        <v>24717424.834628005</v>
      </c>
      <c r="Z16" s="327">
        <f t="shared" ca="1" si="4"/>
        <v>108449451.30426164</v>
      </c>
      <c r="AA16" s="327">
        <f t="shared" ca="1" si="4"/>
        <v>6306425.8049027631</v>
      </c>
      <c r="AB16" s="327">
        <f t="shared" ca="1" si="4"/>
        <v>34227835.87905442</v>
      </c>
      <c r="AC16" s="327">
        <f t="shared" si="4"/>
        <v>3193.6157075946448</v>
      </c>
      <c r="AD16" s="327">
        <f t="shared" si="4"/>
        <v>0</v>
      </c>
      <c r="AE16" s="327">
        <f t="shared" si="4"/>
        <v>9060854.7061379757</v>
      </c>
      <c r="AF16" s="327">
        <f t="shared" ca="1" si="4"/>
        <v>25808749.292814855</v>
      </c>
      <c r="AG16" s="327">
        <f t="shared" ca="1" si="4"/>
        <v>4878232.9801788209</v>
      </c>
      <c r="AH16" s="327">
        <f t="shared" ca="1" si="4"/>
        <v>46454282.463775039</v>
      </c>
      <c r="AI16" s="327">
        <f t="shared" ca="1" si="4"/>
        <v>10453936.992188077</v>
      </c>
      <c r="AJ16" s="327">
        <f t="shared" si="4"/>
        <v>9439364.016432032</v>
      </c>
    </row>
    <row r="17" spans="1:36">
      <c r="B17" s="12">
        <v>2027</v>
      </c>
      <c r="C17" s="319">
        <f t="shared" si="5"/>
        <v>3468988.5930897868</v>
      </c>
      <c r="D17" s="319">
        <f t="shared" si="6"/>
        <v>39733.113960911862</v>
      </c>
      <c r="E17" s="326">
        <v>186420.64558492758</v>
      </c>
      <c r="F17" s="326">
        <v>1599454.7143144028</v>
      </c>
      <c r="G17" s="326">
        <v>1461.4967705611673</v>
      </c>
      <c r="H17" s="326">
        <v>51633.720713206611</v>
      </c>
      <c r="I17" s="327">
        <v>0</v>
      </c>
      <c r="J17" s="327">
        <v>0</v>
      </c>
      <c r="K17" s="327">
        <v>0</v>
      </c>
      <c r="L17" s="327">
        <v>1374483.5505039999</v>
      </c>
      <c r="M17" s="327">
        <v>0</v>
      </c>
      <c r="N17" s="327">
        <f t="shared" si="2"/>
        <v>332191.26320817374</v>
      </c>
      <c r="O17" s="327">
        <f t="shared" si="3"/>
        <v>74683.955991826457</v>
      </c>
      <c r="P17" s="327">
        <v>0</v>
      </c>
      <c r="Q17" s="326">
        <v>3508721.7070507016</v>
      </c>
      <c r="R17" s="327">
        <v>406875.21920000005</v>
      </c>
      <c r="U17" s="321">
        <v>0</v>
      </c>
      <c r="V17" s="12">
        <f t="shared" si="7"/>
        <v>2027</v>
      </c>
      <c r="W17" s="327">
        <f t="shared" ca="1" si="8"/>
        <v>67364488.561838835</v>
      </c>
      <c r="X17" s="327">
        <f t="shared" ca="1" si="4"/>
        <v>771487.58484080655</v>
      </c>
      <c r="Y17" s="327">
        <f t="shared" ca="1" si="4"/>
        <v>26898770.994402152</v>
      </c>
      <c r="Z17" s="327">
        <f t="shared" ca="1" si="4"/>
        <v>121889647.84399757</v>
      </c>
      <c r="AA17" s="327">
        <f t="shared" ca="1" si="4"/>
        <v>7476829.1163982656</v>
      </c>
      <c r="AB17" s="327">
        <f t="shared" ca="1" si="4"/>
        <v>37609861.220673993</v>
      </c>
      <c r="AC17" s="327">
        <f t="shared" si="4"/>
        <v>2396.6507401909262</v>
      </c>
      <c r="AD17" s="327">
        <f t="shared" si="4"/>
        <v>0</v>
      </c>
      <c r="AE17" s="327">
        <f t="shared" si="4"/>
        <v>9060854.7061379757</v>
      </c>
      <c r="AF17" s="327">
        <f t="shared" ca="1" si="4"/>
        <v>28510516.414790455</v>
      </c>
      <c r="AG17" s="327">
        <f t="shared" ca="1" si="4"/>
        <v>5585202.9095409531</v>
      </c>
      <c r="AH17" s="327">
        <f t="shared" ca="1" si="4"/>
        <v>51781900.266098857</v>
      </c>
      <c r="AI17" s="327">
        <f t="shared" ca="1" si="4"/>
        <v>11656613.203573557</v>
      </c>
      <c r="AJ17" s="327">
        <f t="shared" si="4"/>
        <v>7936784.016432032</v>
      </c>
    </row>
    <row r="18" spans="1:36">
      <c r="B18" s="12">
        <v>2028</v>
      </c>
      <c r="C18" s="319">
        <f t="shared" si="5"/>
        <v>3362377.6933744415</v>
      </c>
      <c r="D18" s="319">
        <f t="shared" si="6"/>
        <v>38512.013656257288</v>
      </c>
      <c r="E18" s="326">
        <v>186420.64558492758</v>
      </c>
      <c r="F18" s="326">
        <v>1599454.7143144028</v>
      </c>
      <c r="G18" s="326">
        <v>1461.4967705611673</v>
      </c>
      <c r="H18" s="326">
        <v>51633.720713206611</v>
      </c>
      <c r="I18" s="327">
        <v>0</v>
      </c>
      <c r="J18" s="327">
        <v>0</v>
      </c>
      <c r="K18" s="327">
        <v>0</v>
      </c>
      <c r="L18" s="327">
        <v>1329302.5505039999</v>
      </c>
      <c r="M18" s="327">
        <v>0</v>
      </c>
      <c r="N18" s="327">
        <f t="shared" si="2"/>
        <v>332191.26320817374</v>
      </c>
      <c r="O18" s="327">
        <f t="shared" si="3"/>
        <v>74683.955991826457</v>
      </c>
      <c r="P18" s="327">
        <v>0</v>
      </c>
      <c r="Q18" s="326">
        <v>3400889.7070307015</v>
      </c>
      <c r="R18" s="327">
        <v>406875.21920000005</v>
      </c>
      <c r="U18" s="321">
        <v>0</v>
      </c>
      <c r="V18" s="12">
        <f t="shared" si="7"/>
        <v>2028</v>
      </c>
      <c r="W18" s="327">
        <f t="shared" ca="1" si="8"/>
        <v>75589218.062914506</v>
      </c>
      <c r="X18" s="327">
        <f t="shared" ca="1" si="4"/>
        <v>865655.81519245193</v>
      </c>
      <c r="Y18" s="327">
        <f t="shared" ca="1" si="4"/>
        <v>29362071.001831468</v>
      </c>
      <c r="Z18" s="327">
        <f t="shared" ca="1" si="4"/>
        <v>137063663.53965902</v>
      </c>
      <c r="AA18" s="327">
        <f t="shared" ca="1" si="4"/>
        <v>8729903.7366963178</v>
      </c>
      <c r="AB18" s="327">
        <f t="shared" ca="1" si="4"/>
        <v>42269922.485587038</v>
      </c>
      <c r="AC18" s="327">
        <f t="shared" si="4"/>
        <v>1183.6553766332454</v>
      </c>
      <c r="AD18" s="327">
        <f t="shared" si="4"/>
        <v>0</v>
      </c>
      <c r="AE18" s="327">
        <f t="shared" si="4"/>
        <v>9051791.7458090354</v>
      </c>
      <c r="AF18" s="327">
        <f t="shared" ca="1" si="4"/>
        <v>31456060.265939098</v>
      </c>
      <c r="AG18" s="327">
        <f t="shared" ca="1" si="4"/>
        <v>6440937.9123126771</v>
      </c>
      <c r="AH18" s="327">
        <f t="shared" ca="1" si="4"/>
        <v>58208192.153637268</v>
      </c>
      <c r="AI18" s="327">
        <f t="shared" ca="1" si="4"/>
        <v>13106597.554556372</v>
      </c>
      <c r="AJ18" s="327">
        <f t="shared" si="4"/>
        <v>5599386.5427338928</v>
      </c>
    </row>
    <row r="19" spans="1:36">
      <c r="B19" s="12">
        <v>2029</v>
      </c>
      <c r="C19" s="319">
        <f t="shared" ref="C19:C21" si="9">Q19*$C$1</f>
        <v>3331137.4984214953</v>
      </c>
      <c r="D19" s="319">
        <f t="shared" ref="D19:D21" si="10">Q19*$D$1</f>
        <v>38154.194599515758</v>
      </c>
      <c r="E19" s="326">
        <v>136806.97882802255</v>
      </c>
      <c r="F19" s="326">
        <v>1177438.0603135189</v>
      </c>
      <c r="G19" s="326">
        <v>1077.7002272925247</v>
      </c>
      <c r="H19" s="326">
        <v>30901.771041152082</v>
      </c>
      <c r="I19" s="327">
        <v>0</v>
      </c>
      <c r="J19" s="327">
        <v>0</v>
      </c>
      <c r="K19" s="327">
        <v>0</v>
      </c>
      <c r="L19" s="327">
        <v>1328196.0876040002</v>
      </c>
      <c r="M19" s="327">
        <v>0</v>
      </c>
      <c r="N19" s="327">
        <f t="shared" si="2"/>
        <v>173270.19564761251</v>
      </c>
      <c r="O19" s="327">
        <f t="shared" si="3"/>
        <v>38954.978952387581</v>
      </c>
      <c r="P19" s="327">
        <v>0</v>
      </c>
      <c r="Q19" s="326">
        <v>3369291.6930210139</v>
      </c>
      <c r="R19" s="327">
        <v>212225.1746</v>
      </c>
      <c r="U19" s="321">
        <v>0</v>
      </c>
      <c r="V19" s="12">
        <f t="shared" si="7"/>
        <v>2029</v>
      </c>
      <c r="W19" s="327">
        <f t="shared" ca="1" si="8"/>
        <v>84454097.093614027</v>
      </c>
      <c r="X19" s="327">
        <f t="shared" ca="1" si="4"/>
        <v>967153.7597042229</v>
      </c>
      <c r="Y19" s="327">
        <f t="shared" ca="1" si="4"/>
        <v>31719083.894575872</v>
      </c>
      <c r="Z19" s="327">
        <f t="shared" ca="1" si="4"/>
        <v>149478156.48502275</v>
      </c>
      <c r="AA19" s="327">
        <f t="shared" ca="1" si="4"/>
        <v>9822679.6188783385</v>
      </c>
      <c r="AB19" s="327">
        <f t="shared" ca="1" si="4"/>
        <v>47476092.075808249</v>
      </c>
      <c r="AC19" s="327">
        <f t="shared" si="4"/>
        <v>1183.6553766332454</v>
      </c>
      <c r="AD19" s="327">
        <f t="shared" si="4"/>
        <v>0</v>
      </c>
      <c r="AE19" s="327">
        <f t="shared" si="4"/>
        <v>3933123</v>
      </c>
      <c r="AF19" s="327">
        <f t="shared" ca="1" si="4"/>
        <v>34508806.816687532</v>
      </c>
      <c r="AG19" s="327">
        <f t="shared" ca="1" si="4"/>
        <v>7271275.2003973871</v>
      </c>
      <c r="AH19" s="327">
        <f t="shared" ca="1" si="4"/>
        <v>62793362.469195075</v>
      </c>
      <c r="AI19" s="327">
        <f t="shared" ca="1" si="4"/>
        <v>14142719.113384817</v>
      </c>
      <c r="AJ19" s="327">
        <f t="shared" si="4"/>
        <v>1952186.5427338928</v>
      </c>
    </row>
    <row r="20" spans="1:36">
      <c r="B20" s="12">
        <v>2030</v>
      </c>
      <c r="C20" s="319">
        <f t="shared" si="9"/>
        <v>2733111.4875637968</v>
      </c>
      <c r="D20" s="319">
        <f t="shared" si="10"/>
        <v>31304.522136385978</v>
      </c>
      <c r="E20" s="326">
        <v>10816.697073534735</v>
      </c>
      <c r="F20" s="326">
        <v>93094.598903991777</v>
      </c>
      <c r="G20" s="326">
        <v>85.208788283796252</v>
      </c>
      <c r="H20" s="326">
        <v>2443.2605650041864</v>
      </c>
      <c r="I20" s="327">
        <v>0</v>
      </c>
      <c r="J20" s="327">
        <v>0</v>
      </c>
      <c r="K20" s="327">
        <v>0</v>
      </c>
      <c r="L20" s="327">
        <v>1115613.075224</v>
      </c>
      <c r="M20" s="327">
        <v>0</v>
      </c>
      <c r="N20" s="327">
        <f t="shared" si="2"/>
        <v>21961.318162555097</v>
      </c>
      <c r="O20" s="327">
        <f t="shared" si="3"/>
        <v>4937.3908974449123</v>
      </c>
      <c r="P20" s="327">
        <v>0</v>
      </c>
      <c r="Q20" s="326">
        <v>2764416.0097001852</v>
      </c>
      <c r="R20" s="327">
        <v>26898.709060000001</v>
      </c>
      <c r="U20" s="321">
        <v>0</v>
      </c>
      <c r="V20" s="12">
        <f t="shared" si="7"/>
        <v>2030</v>
      </c>
      <c r="W20" s="327">
        <f t="shared" ca="1" si="8"/>
        <v>91303158.337458834</v>
      </c>
      <c r="X20" s="327">
        <f t="shared" ref="X20:X21" ca="1" si="11">SUMIF($B$4:$B$203,$V20,D$4:D$203)-SUMIF($A$4:$A$203,$V20,D$4:D$203)/2</f>
        <v>1045560.4443804269</v>
      </c>
      <c r="Y20" s="327">
        <f t="shared" ref="Y20:Y21" ca="1" si="12">SUMIF($B$4:$B$203,$V20,E$4:E$203)-SUMIF($A$4:$A$203,$V20,E$4:E$203)/2</f>
        <v>34427927.157994613</v>
      </c>
      <c r="Z20" s="327">
        <f t="shared" ref="Z20:Z21" ca="1" si="13">SUMIF($B$4:$B$203,$V20,F$4:F$203)-SUMIF($A$4:$A$203,$V20,F$4:F$203)/2</f>
        <v>164580298.43304008</v>
      </c>
      <c r="AA20" s="327">
        <f t="shared" ref="AA20:AA21" ca="1" si="14">SUMIF($B$4:$B$203,$V20,G$4:G$203)-SUMIF($A$4:$A$203,$V20,G$4:G$203)/2</f>
        <v>11257285.098814037</v>
      </c>
      <c r="AB20" s="327">
        <f t="shared" ref="AB20:AB21" ca="1" si="15">SUMIF($B$4:$B$203,$V20,H$4:H$203)-SUMIF($A$4:$A$203,$V20,H$4:H$203)/2</f>
        <v>54608494.155591033</v>
      </c>
      <c r="AC20" s="327">
        <f t="shared" ref="AC20:AC21" si="16">SUMIF($B$4:$B$203,$V20,I$4:I$203)-SUMIF($A$4:$A$203,$V20,I$4:I$203)/2</f>
        <v>446.70790591188131</v>
      </c>
      <c r="AD20" s="327">
        <f t="shared" ref="AD20:AD21" si="17">SUMIF($B$4:$B$203,$V20,J$4:J$203)-SUMIF($A$4:$A$203,$V20,J$4:J$203)/2</f>
        <v>0</v>
      </c>
      <c r="AE20" s="327">
        <f t="shared" ref="AE20:AE21" si="18">SUMIF($B$4:$B$203,$V20,K$4:K$203)-SUMIF($A$4:$A$203,$V20,K$4:K$203)/2</f>
        <v>3933123</v>
      </c>
      <c r="AF20" s="327">
        <f t="shared" ref="AF20:AF21" ca="1" si="19">SUMIF($B$4:$B$203,$V20,L$4:L$203)-SUMIF($A$4:$A$203,$V20,L$4:L$203)/2</f>
        <v>36020733.102046885</v>
      </c>
      <c r="AG20" s="327">
        <f t="shared" ref="AG20:AG21" ca="1" si="20">SUMIF($B$4:$B$203,$V20,M$4:M$203)-SUMIF($A$4:$A$203,$V20,M$4:M$203)/2</f>
        <v>8174655.3157769861</v>
      </c>
      <c r="AH20" s="327">
        <f t="shared" ref="AH20:AH21" ca="1" si="21">SUMIF($B$4:$B$203,$V20,N$4:N$203)-SUMIF($A$4:$A$203,$V20,N$4:N$203)/2</f>
        <v>69037002.141383648</v>
      </c>
      <c r="AI20" s="327">
        <f t="shared" ref="AI20:AI21" ca="1" si="22">SUMIF($B$4:$B$203,$V20,O$4:O$203)-SUMIF($A$4:$A$203,$V20,O$4:O$203)/2</f>
        <v>15551575.209285533</v>
      </c>
      <c r="AJ20" s="327">
        <f t="shared" ref="AJ20:AJ21" si="23">SUMIF($B$4:$B$203,$V20,P$4:P$203)-SUMIF($A$4:$A$203,$V20,P$4:P$203)/2</f>
        <v>1952186.5427338928</v>
      </c>
    </row>
    <row r="21" spans="1:36">
      <c r="B21" s="12">
        <v>2031</v>
      </c>
      <c r="C21" s="319">
        <f t="shared" si="9"/>
        <v>2733111.4875637968</v>
      </c>
      <c r="D21" s="319">
        <f t="shared" si="10"/>
        <v>31304.522136385978</v>
      </c>
      <c r="E21" s="326">
        <v>10816.697073534735</v>
      </c>
      <c r="F21" s="326">
        <v>93094.598903991777</v>
      </c>
      <c r="G21" s="326">
        <v>85.208788283796252</v>
      </c>
      <c r="H21" s="326">
        <v>2443.2605650041864</v>
      </c>
      <c r="I21" s="327">
        <v>0</v>
      </c>
      <c r="J21" s="327">
        <v>0</v>
      </c>
      <c r="K21" s="327">
        <v>0</v>
      </c>
      <c r="L21" s="327">
        <v>1115613.075224</v>
      </c>
      <c r="M21" s="327">
        <v>0</v>
      </c>
      <c r="N21" s="327">
        <f t="shared" si="2"/>
        <v>21961.318162555097</v>
      </c>
      <c r="O21" s="327">
        <f t="shared" si="3"/>
        <v>4937.3908974449123</v>
      </c>
      <c r="P21" s="327">
        <v>0</v>
      </c>
      <c r="Q21" s="326">
        <v>2764416.0097001852</v>
      </c>
      <c r="R21" s="327">
        <v>26898.709060000001</v>
      </c>
      <c r="U21" s="321">
        <v>0</v>
      </c>
      <c r="V21" s="12">
        <f t="shared" si="7"/>
        <v>2031</v>
      </c>
      <c r="W21" s="327">
        <f t="shared" ca="1" si="8"/>
        <v>97809218.677816629</v>
      </c>
      <c r="X21" s="327">
        <f t="shared" ca="1" si="11"/>
        <v>1120035.9659408787</v>
      </c>
      <c r="Y21" s="327">
        <f t="shared" ca="1" si="12"/>
        <v>34772061.300374053</v>
      </c>
      <c r="Z21" s="327">
        <f t="shared" ca="1" si="13"/>
        <v>167368182.5871762</v>
      </c>
      <c r="AA21" s="327">
        <f t="shared" ca="1" si="14"/>
        <v>11875026.9303905</v>
      </c>
      <c r="AB21" s="327">
        <f t="shared" ca="1" si="15"/>
        <v>59812746.519167267</v>
      </c>
      <c r="AC21" s="327">
        <f t="shared" si="16"/>
        <v>55.382469116313921</v>
      </c>
      <c r="AD21" s="327">
        <f t="shared" si="17"/>
        <v>0</v>
      </c>
      <c r="AE21" s="327">
        <f t="shared" si="18"/>
        <v>0</v>
      </c>
      <c r="AF21" s="327">
        <f t="shared" ca="1" si="19"/>
        <v>37674692.892116413</v>
      </c>
      <c r="AG21" s="327">
        <f t="shared" ca="1" si="20"/>
        <v>8650868.4180700481</v>
      </c>
      <c r="AH21" s="327">
        <f t="shared" ca="1" si="21"/>
        <v>71741832.290898889</v>
      </c>
      <c r="AI21" s="327">
        <f t="shared" ca="1" si="22"/>
        <v>16164774.664879074</v>
      </c>
      <c r="AJ21" s="327">
        <f t="shared" si="23"/>
        <v>0</v>
      </c>
    </row>
    <row r="22" spans="1:36">
      <c r="E22" s="326"/>
      <c r="F22" s="326"/>
      <c r="G22" s="326"/>
      <c r="H22" s="326"/>
      <c r="I22" s="327"/>
      <c r="J22" s="327"/>
      <c r="K22" s="327"/>
      <c r="L22" s="327"/>
      <c r="M22" s="327"/>
      <c r="N22" s="327"/>
      <c r="O22" s="327"/>
      <c r="P22" s="327"/>
      <c r="Q22" s="326"/>
      <c r="R22" s="327"/>
    </row>
    <row r="23" spans="1:36">
      <c r="A23" s="12">
        <v>2015</v>
      </c>
      <c r="B23" s="12">
        <v>2015</v>
      </c>
      <c r="C23" s="319">
        <f>Q23*$C$1</f>
        <v>5759414.6995181637</v>
      </c>
      <c r="D23" s="319">
        <f>Q23*$D$1</f>
        <v>65967.204694749817</v>
      </c>
      <c r="E23" s="326">
        <v>2842232.4223225922</v>
      </c>
      <c r="F23" s="326">
        <v>8906855.5613235012</v>
      </c>
      <c r="G23" s="326">
        <v>277619.01151716308</v>
      </c>
      <c r="H23" s="326">
        <v>4868014.1627529068</v>
      </c>
      <c r="I23" s="327">
        <v>1134.6951096589137</v>
      </c>
      <c r="J23" s="327">
        <v>0</v>
      </c>
      <c r="K23" s="327">
        <v>0</v>
      </c>
      <c r="L23" s="327">
        <v>2568079</v>
      </c>
      <c r="M23" s="327">
        <v>652006.99732800014</v>
      </c>
      <c r="N23" s="327">
        <f t="shared" ref="N23:N39" si="24">R23*$N$1</f>
        <v>1915330.3124215803</v>
      </c>
      <c r="O23" s="327">
        <f t="shared" ref="O23:O39" si="25">R23*$O$1</f>
        <v>430608.69025042088</v>
      </c>
      <c r="P23" s="327">
        <v>1502580</v>
      </c>
      <c r="Q23" s="326">
        <v>5825381.9042129181</v>
      </c>
      <c r="R23" s="327">
        <v>2345939.0026720003</v>
      </c>
      <c r="T23" s="321"/>
    </row>
    <row r="24" spans="1:36">
      <c r="B24" s="12">
        <v>2016</v>
      </c>
      <c r="C24" s="319">
        <f t="shared" ref="C24:C36" si="26">Q24*$C$1</f>
        <v>5639553.5723183407</v>
      </c>
      <c r="D24" s="319">
        <f t="shared" ref="D24:D36" si="27">Q24*$D$1</f>
        <v>64594.338887119098</v>
      </c>
      <c r="E24" s="326">
        <v>2842232.5559749901</v>
      </c>
      <c r="F24" s="326">
        <v>8906671.0505540501</v>
      </c>
      <c r="G24" s="326">
        <v>277619.03847357951</v>
      </c>
      <c r="H24" s="326">
        <v>4868014.2318927851</v>
      </c>
      <c r="I24" s="327">
        <v>1134.6951096589137</v>
      </c>
      <c r="J24" s="327">
        <v>0</v>
      </c>
      <c r="K24" s="327">
        <v>0</v>
      </c>
      <c r="L24" s="327">
        <v>2544620</v>
      </c>
      <c r="M24" s="327">
        <v>652007.99732800014</v>
      </c>
      <c r="N24" s="327">
        <f t="shared" si="24"/>
        <v>1707667.511125573</v>
      </c>
      <c r="O24" s="327">
        <f t="shared" si="25"/>
        <v>383921.49154642795</v>
      </c>
      <c r="P24" s="327">
        <v>1502580</v>
      </c>
      <c r="Q24" s="326">
        <v>5704147.911205464</v>
      </c>
      <c r="R24" s="327">
        <v>2091589.0026720001</v>
      </c>
      <c r="T24" s="321"/>
      <c r="U24" s="320" t="s">
        <v>65</v>
      </c>
      <c r="V24" s="12">
        <v>2024</v>
      </c>
      <c r="W24" s="326">
        <f ca="1">SUMIF($B$4:$B$168,$V24,C$4:C$168)-C161/2</f>
        <v>48210343.405689582</v>
      </c>
      <c r="X24" s="326">
        <f t="shared" ref="W24:AJ31" ca="1" si="28">SUMIF($B$4:$B$168,$V24,D$4:D$168)-D161/2</f>
        <v>552185.20462173456</v>
      </c>
      <c r="Y24" s="326">
        <f t="shared" ca="1" si="28"/>
        <v>20534227.127559096</v>
      </c>
      <c r="Z24" s="326">
        <f t="shared" ca="1" si="28"/>
        <v>83700791.462406725</v>
      </c>
      <c r="AA24" s="326">
        <f t="shared" ca="1" si="28"/>
        <v>4218257.0821728967</v>
      </c>
      <c r="AB24" s="326">
        <f t="shared" ca="1" si="28"/>
        <v>24762941.564390022</v>
      </c>
      <c r="AC24" s="326">
        <f t="shared" si="28"/>
        <v>3622.8610549544055</v>
      </c>
      <c r="AD24" s="326">
        <f t="shared" si="28"/>
        <v>0</v>
      </c>
      <c r="AE24" s="326">
        <f t="shared" si="28"/>
        <v>9603770.9556024037</v>
      </c>
      <c r="AF24" s="326">
        <f t="shared" ca="1" si="28"/>
        <v>21301907.860237032</v>
      </c>
      <c r="AG24" s="326">
        <f t="shared" ca="1" si="28"/>
        <v>3878107.6453262586</v>
      </c>
      <c r="AH24" s="326">
        <f t="shared" ca="1" si="28"/>
        <v>36355587.210857391</v>
      </c>
      <c r="AI24" s="326">
        <f t="shared" ca="1" si="28"/>
        <v>8175926.9072192442</v>
      </c>
      <c r="AJ24" s="326">
        <f t="shared" si="28"/>
        <v>9439364.016432032</v>
      </c>
    </row>
    <row r="25" spans="1:36">
      <c r="B25" s="12">
        <v>2017</v>
      </c>
      <c r="C25" s="319">
        <f t="shared" si="26"/>
        <v>5627817.0007042913</v>
      </c>
      <c r="D25" s="319">
        <f t="shared" si="27"/>
        <v>64459.910501168124</v>
      </c>
      <c r="E25" s="326">
        <v>2769483.4778401726</v>
      </c>
      <c r="F25" s="326">
        <v>8892791.6944750287</v>
      </c>
      <c r="G25" s="326">
        <v>277619.03847357957</v>
      </c>
      <c r="H25" s="326">
        <v>2457857.38303249</v>
      </c>
      <c r="I25" s="327">
        <v>1134.104403201859</v>
      </c>
      <c r="J25" s="327">
        <v>0</v>
      </c>
      <c r="K25" s="327">
        <v>0</v>
      </c>
      <c r="L25" s="327">
        <v>2543995</v>
      </c>
      <c r="M25" s="327">
        <v>652006.78633600008</v>
      </c>
      <c r="N25" s="327">
        <f t="shared" si="24"/>
        <v>1707666.8669438881</v>
      </c>
      <c r="O25" s="327">
        <f t="shared" si="25"/>
        <v>383921.34672011278</v>
      </c>
      <c r="P25" s="327">
        <v>1502580</v>
      </c>
      <c r="Q25" s="326">
        <v>5692276.911205464</v>
      </c>
      <c r="R25" s="327">
        <v>2091588.2136640002</v>
      </c>
      <c r="T25" s="321"/>
      <c r="U25" s="320" t="s">
        <v>66</v>
      </c>
      <c r="V25" s="12">
        <v>2025</v>
      </c>
      <c r="W25" s="326">
        <f t="shared" ca="1" si="28"/>
        <v>47340361.843181349</v>
      </c>
      <c r="X25" s="326">
        <f t="shared" ca="1" si="28"/>
        <v>542221.12826574605</v>
      </c>
      <c r="Y25" s="326">
        <f t="shared" ca="1" si="28"/>
        <v>19185956.658384457</v>
      </c>
      <c r="Z25" s="326">
        <f t="shared" ca="1" si="28"/>
        <v>80397620.421312556</v>
      </c>
      <c r="AA25" s="326">
        <f t="shared" ca="1" si="28"/>
        <v>4113672.7685040799</v>
      </c>
      <c r="AB25" s="326">
        <f t="shared" ca="1" si="28"/>
        <v>23553829.053332716</v>
      </c>
      <c r="AC25" s="326">
        <f t="shared" si="28"/>
        <v>3240.8747261284971</v>
      </c>
      <c r="AD25" s="326">
        <f t="shared" si="28"/>
        <v>0</v>
      </c>
      <c r="AE25" s="326">
        <f t="shared" si="28"/>
        <v>9603770.9556024037</v>
      </c>
      <c r="AF25" s="326">
        <f t="shared" ca="1" si="28"/>
        <v>20963709.373924643</v>
      </c>
      <c r="AG25" s="326">
        <f t="shared" ca="1" si="28"/>
        <v>3190078.8846549485</v>
      </c>
      <c r="AH25" s="326">
        <f t="shared" ca="1" si="28"/>
        <v>35655243.392007224</v>
      </c>
      <c r="AI25" s="326">
        <f t="shared" ca="1" si="28"/>
        <v>8018474.3483405542</v>
      </c>
      <c r="AJ25" s="326">
        <f t="shared" si="28"/>
        <v>9439364.016432032</v>
      </c>
    </row>
    <row r="26" spans="1:36">
      <c r="B26" s="12">
        <v>2018</v>
      </c>
      <c r="C26" s="319">
        <f t="shared" si="26"/>
        <v>5615752.7013295498</v>
      </c>
      <c r="D26" s="319">
        <f t="shared" si="27"/>
        <v>64321.728385818991</v>
      </c>
      <c r="E26" s="326">
        <v>2854006.5690314695</v>
      </c>
      <c r="F26" s="326">
        <v>8902603.8955499977</v>
      </c>
      <c r="G26" s="326">
        <v>277967.98928479856</v>
      </c>
      <c r="H26" s="326">
        <v>2458752.3987600538</v>
      </c>
      <c r="I26" s="327">
        <v>1135.3906925092663</v>
      </c>
      <c r="J26" s="327">
        <v>0</v>
      </c>
      <c r="K26" s="327">
        <v>0</v>
      </c>
      <c r="L26" s="327">
        <v>2543293</v>
      </c>
      <c r="M26" s="327">
        <v>657871.79467199999</v>
      </c>
      <c r="N26" s="327">
        <f t="shared" si="24"/>
        <v>1708042.4248661175</v>
      </c>
      <c r="O26" s="327">
        <f t="shared" si="25"/>
        <v>384005.78046188335</v>
      </c>
      <c r="P26" s="327">
        <v>1502580</v>
      </c>
      <c r="Q26" s="326">
        <v>5680074.4297153736</v>
      </c>
      <c r="R26" s="327">
        <v>2092048.2053280002</v>
      </c>
      <c r="T26" s="321"/>
      <c r="U26" s="320" t="s">
        <v>67</v>
      </c>
      <c r="V26" s="12">
        <v>2026</v>
      </c>
      <c r="W26" s="326">
        <f t="shared" ca="1" si="28"/>
        <v>47092784.983948983</v>
      </c>
      <c r="X26" s="326">
        <f t="shared" ca="1" si="28"/>
        <v>539385.4587761733</v>
      </c>
      <c r="Y26" s="326">
        <f t="shared" ca="1" si="28"/>
        <v>17320822.499046709</v>
      </c>
      <c r="Z26" s="326">
        <f t="shared" ca="1" si="28"/>
        <v>77276692.240201831</v>
      </c>
      <c r="AA26" s="326">
        <f t="shared" ca="1" si="28"/>
        <v>4070737.9207027359</v>
      </c>
      <c r="AB26" s="326">
        <f t="shared" ca="1" si="28"/>
        <v>22625563.300378267</v>
      </c>
      <c r="AC26" s="326">
        <f t="shared" si="28"/>
        <v>3193.6157075946448</v>
      </c>
      <c r="AD26" s="326">
        <f t="shared" si="28"/>
        <v>0</v>
      </c>
      <c r="AE26" s="326">
        <f t="shared" si="28"/>
        <v>9060854.7061379757</v>
      </c>
      <c r="AF26" s="326">
        <f t="shared" ca="1" si="28"/>
        <v>20818156.43655296</v>
      </c>
      <c r="AG26" s="326">
        <f t="shared" ca="1" si="28"/>
        <v>2876704.9469285747</v>
      </c>
      <c r="AH26" s="326">
        <f t="shared" ca="1" si="28"/>
        <v>34169498.520810001</v>
      </c>
      <c r="AI26" s="326">
        <f t="shared" ca="1" si="28"/>
        <v>7684417.9464851022</v>
      </c>
      <c r="AJ26" s="326">
        <f t="shared" si="28"/>
        <v>9439364.016432032</v>
      </c>
    </row>
    <row r="27" spans="1:36">
      <c r="B27" s="12">
        <v>2019</v>
      </c>
      <c r="C27" s="319">
        <f t="shared" si="26"/>
        <v>5590899.3665444469</v>
      </c>
      <c r="D27" s="319">
        <f t="shared" si="27"/>
        <v>64037.063170922549</v>
      </c>
      <c r="E27" s="326">
        <v>2854006.7690314697</v>
      </c>
      <c r="F27" s="326">
        <v>8902420.4124758616</v>
      </c>
      <c r="G27" s="326">
        <v>277967.98928479856</v>
      </c>
      <c r="H27" s="326">
        <v>2458752.3987600538</v>
      </c>
      <c r="I27" s="327">
        <v>1135.3906925092663</v>
      </c>
      <c r="J27" s="327">
        <v>0</v>
      </c>
      <c r="K27" s="327">
        <v>0</v>
      </c>
      <c r="L27" s="327">
        <v>2539220</v>
      </c>
      <c r="M27" s="327">
        <v>657871.79467199999</v>
      </c>
      <c r="N27" s="327">
        <f t="shared" si="24"/>
        <v>1708042.4248661175</v>
      </c>
      <c r="O27" s="327">
        <f t="shared" si="25"/>
        <v>384005.78046188335</v>
      </c>
      <c r="P27" s="327">
        <v>1502580</v>
      </c>
      <c r="Q27" s="326">
        <v>5654936.4297153736</v>
      </c>
      <c r="R27" s="327">
        <v>2092048.2053280002</v>
      </c>
      <c r="T27" s="321"/>
      <c r="U27" s="320"/>
      <c r="V27" s="12">
        <v>2027</v>
      </c>
      <c r="W27" s="326">
        <f t="shared" ca="1" si="28"/>
        <v>46690164.070315555</v>
      </c>
      <c r="X27" s="326">
        <f t="shared" ca="1" si="28"/>
        <v>534773.9262652616</v>
      </c>
      <c r="Y27" s="326">
        <f t="shared" ca="1" si="28"/>
        <v>15732810.588081434</v>
      </c>
      <c r="Z27" s="326">
        <f t="shared" ca="1" si="28"/>
        <v>72642010.213213444</v>
      </c>
      <c r="AA27" s="326">
        <f t="shared" ca="1" si="28"/>
        <v>3882778.1772899865</v>
      </c>
      <c r="AB27" s="326">
        <f t="shared" ca="1" si="28"/>
        <v>19408459.108166493</v>
      </c>
      <c r="AC27" s="326">
        <f t="shared" si="28"/>
        <v>2396.6507401909262</v>
      </c>
      <c r="AD27" s="326">
        <f t="shared" si="28"/>
        <v>0</v>
      </c>
      <c r="AE27" s="326">
        <f t="shared" si="28"/>
        <v>9060854.7061379757</v>
      </c>
      <c r="AF27" s="326">
        <f t="shared" ca="1" si="28"/>
        <v>20541187.711464174</v>
      </c>
      <c r="AG27" s="326">
        <f t="shared" ca="1" si="28"/>
        <v>2587209.6779302293</v>
      </c>
      <c r="AH27" s="326">
        <f t="shared" ca="1" si="28"/>
        <v>32298361.425108843</v>
      </c>
      <c r="AI27" s="326">
        <f t="shared" ca="1" si="28"/>
        <v>7263712.3704899792</v>
      </c>
      <c r="AJ27" s="326">
        <f t="shared" si="28"/>
        <v>7936784.016432032</v>
      </c>
    </row>
    <row r="28" spans="1:36">
      <c r="B28" s="12">
        <v>2020</v>
      </c>
      <c r="C28" s="319">
        <f t="shared" si="26"/>
        <v>5569526.7547786729</v>
      </c>
      <c r="D28" s="319">
        <f t="shared" si="27"/>
        <v>63792.265473800275</v>
      </c>
      <c r="E28" s="326">
        <v>2853162.7969485866</v>
      </c>
      <c r="F28" s="326">
        <v>8896998.9036364891</v>
      </c>
      <c r="G28" s="326">
        <v>277785.22478112421</v>
      </c>
      <c r="H28" s="326">
        <v>2458283.6303836242</v>
      </c>
      <c r="I28" s="327">
        <v>1134.5308836258766</v>
      </c>
      <c r="J28" s="327">
        <v>0</v>
      </c>
      <c r="K28" s="327">
        <v>0</v>
      </c>
      <c r="L28" s="327">
        <v>2530674</v>
      </c>
      <c r="M28" s="327">
        <v>657871.79467199999</v>
      </c>
      <c r="N28" s="327">
        <f t="shared" si="24"/>
        <v>1708042.4248661175</v>
      </c>
      <c r="O28" s="327">
        <f t="shared" si="25"/>
        <v>384005.78046188335</v>
      </c>
      <c r="P28" s="327">
        <v>1502580</v>
      </c>
      <c r="Q28" s="326">
        <v>5633319.0202524774</v>
      </c>
      <c r="R28" s="327">
        <v>2092048.2053280002</v>
      </c>
      <c r="T28" s="321"/>
      <c r="U28" s="320"/>
      <c r="V28" s="12">
        <v>2028</v>
      </c>
      <c r="W28" s="326">
        <f t="shared" ca="1" si="28"/>
        <v>46387182.929008655</v>
      </c>
      <c r="X28" s="326">
        <f t="shared" ca="1" si="28"/>
        <v>531303.65624098026</v>
      </c>
      <c r="Y28" s="326">
        <f t="shared" ca="1" si="28"/>
        <v>14401490.09286269</v>
      </c>
      <c r="Z28" s="326">
        <f t="shared" ca="1" si="28"/>
        <v>68459276.931112111</v>
      </c>
      <c r="AA28" s="326">
        <f t="shared" ca="1" si="28"/>
        <v>3635483.2122286302</v>
      </c>
      <c r="AB28" s="326">
        <f t="shared" ca="1" si="28"/>
        <v>16253142.03059708</v>
      </c>
      <c r="AC28" s="326">
        <f t="shared" si="28"/>
        <v>1183.6553766332454</v>
      </c>
      <c r="AD28" s="326">
        <f t="shared" si="28"/>
        <v>0</v>
      </c>
      <c r="AE28" s="326">
        <f t="shared" si="28"/>
        <v>9051791.7458090354</v>
      </c>
      <c r="AF28" s="326">
        <f t="shared" ca="1" si="28"/>
        <v>20464127.002367388</v>
      </c>
      <c r="AG28" s="326">
        <f t="shared" ca="1" si="28"/>
        <v>2429927.7266018046</v>
      </c>
      <c r="AH28" s="326">
        <f t="shared" ca="1" si="28"/>
        <v>30915246.026042618</v>
      </c>
      <c r="AI28" s="326">
        <f t="shared" ca="1" si="28"/>
        <v>6952727.4831439583</v>
      </c>
      <c r="AJ28" s="326">
        <f t="shared" si="28"/>
        <v>5599386.5427338928</v>
      </c>
    </row>
    <row r="29" spans="1:36">
      <c r="B29" s="12">
        <v>2021</v>
      </c>
      <c r="C29" s="319">
        <f t="shared" si="26"/>
        <v>5561642.0644727126</v>
      </c>
      <c r="D29" s="319">
        <f t="shared" si="27"/>
        <v>63701.955779759403</v>
      </c>
      <c r="E29" s="326">
        <v>2853162.7969485866</v>
      </c>
      <c r="F29" s="326">
        <v>8896998.9036364891</v>
      </c>
      <c r="G29" s="326">
        <v>277785.22478112415</v>
      </c>
      <c r="H29" s="326">
        <v>2458283.6303836238</v>
      </c>
      <c r="I29" s="327">
        <v>1131.6817204720253</v>
      </c>
      <c r="J29" s="327">
        <v>0</v>
      </c>
      <c r="K29" s="327">
        <v>0</v>
      </c>
      <c r="L29" s="327">
        <v>2529922</v>
      </c>
      <c r="M29" s="327">
        <v>657871.58367999992</v>
      </c>
      <c r="N29" s="327">
        <f t="shared" si="24"/>
        <v>1708041.7806844325</v>
      </c>
      <c r="O29" s="327">
        <f t="shared" si="25"/>
        <v>384005.63563556806</v>
      </c>
      <c r="P29" s="327">
        <v>1502580</v>
      </c>
      <c r="Q29" s="326">
        <v>5625344.0202524764</v>
      </c>
      <c r="R29" s="327">
        <v>2092047.4163199998</v>
      </c>
      <c r="T29" s="321"/>
      <c r="U29" s="320"/>
      <c r="V29" s="12">
        <v>2029</v>
      </c>
      <c r="W29" s="326">
        <f t="shared" ca="1" si="28"/>
        <v>46101197.414687872</v>
      </c>
      <c r="X29" s="326">
        <f t="shared" ca="1" si="28"/>
        <v>528028.04305496975</v>
      </c>
      <c r="Y29" s="326">
        <f t="shared" ca="1" si="28"/>
        <v>12927193.308932692</v>
      </c>
      <c r="Z29" s="326">
        <f t="shared" ca="1" si="28"/>
        <v>60897439.982127123</v>
      </c>
      <c r="AA29" s="326">
        <f t="shared" ca="1" si="28"/>
        <v>3157980.5690414892</v>
      </c>
      <c r="AB29" s="326">
        <f t="shared" ca="1" si="28"/>
        <v>13611951.029143259</v>
      </c>
      <c r="AC29" s="326">
        <f t="shared" si="28"/>
        <v>1183.6553766332454</v>
      </c>
      <c r="AD29" s="326">
        <f t="shared" si="28"/>
        <v>0</v>
      </c>
      <c r="AE29" s="326">
        <f t="shared" si="28"/>
        <v>3933123</v>
      </c>
      <c r="AF29" s="326">
        <f t="shared" ca="1" si="28"/>
        <v>20426022.615645766</v>
      </c>
      <c r="AG29" s="326">
        <f t="shared" ca="1" si="28"/>
        <v>2249740.6572309947</v>
      </c>
      <c r="AH29" s="326">
        <f t="shared" ca="1" si="28"/>
        <v>27630078.657191455</v>
      </c>
      <c r="AI29" s="326">
        <f t="shared" ca="1" si="28"/>
        <v>6214102.9073612718</v>
      </c>
      <c r="AJ29" s="326">
        <f t="shared" si="28"/>
        <v>1952186.5427338928</v>
      </c>
    </row>
    <row r="30" spans="1:36">
      <c r="B30" s="12">
        <v>2022</v>
      </c>
      <c r="C30" s="319">
        <f t="shared" si="26"/>
        <v>5560092.8093367331</v>
      </c>
      <c r="D30" s="319">
        <f t="shared" si="27"/>
        <v>63684.210915739088</v>
      </c>
      <c r="E30" s="326">
        <v>2853162.7969485866</v>
      </c>
      <c r="F30" s="326">
        <v>8896998.9036364891</v>
      </c>
      <c r="G30" s="326">
        <v>277785.22478112415</v>
      </c>
      <c r="H30" s="326">
        <v>2458283.6303836238</v>
      </c>
      <c r="I30" s="327">
        <v>1131.6817204720253</v>
      </c>
      <c r="J30" s="327">
        <v>0</v>
      </c>
      <c r="K30" s="327">
        <v>0</v>
      </c>
      <c r="L30" s="327">
        <v>2529360</v>
      </c>
      <c r="M30" s="327">
        <v>657871.58367999992</v>
      </c>
      <c r="N30" s="327">
        <f t="shared" si="24"/>
        <v>1708041.7806844325</v>
      </c>
      <c r="O30" s="327">
        <f t="shared" si="25"/>
        <v>384005.63563556806</v>
      </c>
      <c r="P30" s="327">
        <v>1502580</v>
      </c>
      <c r="Q30" s="326">
        <v>5623777.0202524764</v>
      </c>
      <c r="R30" s="327">
        <v>2092047.4163199998</v>
      </c>
      <c r="T30" s="321"/>
      <c r="U30" s="320"/>
      <c r="V30" s="12">
        <v>2030</v>
      </c>
      <c r="W30" s="326">
        <f t="shared" ca="1" si="28"/>
        <v>43156994.328947246</v>
      </c>
      <c r="X30" s="326">
        <f t="shared" ca="1" si="28"/>
        <v>494305.72108931164</v>
      </c>
      <c r="Y30" s="326">
        <f t="shared" ca="1" si="28"/>
        <v>11751203.136852752</v>
      </c>
      <c r="Z30" s="326">
        <f t="shared" ca="1" si="28"/>
        <v>55454861.583945863</v>
      </c>
      <c r="AA30" s="326">
        <f t="shared" ca="1" si="28"/>
        <v>2960085.3455208577</v>
      </c>
      <c r="AB30" s="326">
        <f t="shared" ca="1" si="28"/>
        <v>12575352.747192459</v>
      </c>
      <c r="AC30" s="326">
        <f t="shared" si="28"/>
        <v>446.70790591188131</v>
      </c>
      <c r="AD30" s="326">
        <f t="shared" si="28"/>
        <v>0</v>
      </c>
      <c r="AE30" s="326">
        <f t="shared" si="28"/>
        <v>3933123</v>
      </c>
      <c r="AF30" s="326">
        <f t="shared" ca="1" si="28"/>
        <v>18885927.202980667</v>
      </c>
      <c r="AG30" s="326">
        <f t="shared" ca="1" si="28"/>
        <v>2172824.5700703794</v>
      </c>
      <c r="AH30" s="326">
        <f t="shared" ca="1" si="28"/>
        <v>26126764.299402285</v>
      </c>
      <c r="AI30" s="326">
        <f t="shared" ca="1" si="28"/>
        <v>5876087.6325790985</v>
      </c>
      <c r="AJ30" s="326">
        <f t="shared" si="28"/>
        <v>1952186.5427338928</v>
      </c>
    </row>
    <row r="31" spans="1:36">
      <c r="B31" s="12">
        <v>2023</v>
      </c>
      <c r="C31" s="319">
        <f t="shared" si="26"/>
        <v>5457329.9336772542</v>
      </c>
      <c r="D31" s="319">
        <f t="shared" si="27"/>
        <v>62507.185122785319</v>
      </c>
      <c r="E31" s="326">
        <v>2849735.790902874</v>
      </c>
      <c r="F31" s="326">
        <v>8883941.245833654</v>
      </c>
      <c r="G31" s="326">
        <v>277338.422178115</v>
      </c>
      <c r="H31" s="326">
        <v>2411957.0910812845</v>
      </c>
      <c r="I31" s="327">
        <v>1129.5798808800935</v>
      </c>
      <c r="J31" s="327">
        <v>0</v>
      </c>
      <c r="K31" s="327">
        <v>0</v>
      </c>
      <c r="L31" s="327">
        <v>2524252</v>
      </c>
      <c r="M31" s="327">
        <v>637292.47895999998</v>
      </c>
      <c r="N31" s="327">
        <f t="shared" si="24"/>
        <v>1645211.5200589679</v>
      </c>
      <c r="O31" s="327">
        <f t="shared" si="25"/>
        <v>369880.00098103291</v>
      </c>
      <c r="P31" s="327">
        <v>1502580</v>
      </c>
      <c r="Q31" s="326">
        <v>5519837.1188000441</v>
      </c>
      <c r="R31" s="327">
        <v>2015091.52104</v>
      </c>
      <c r="T31" s="321"/>
      <c r="U31" s="320"/>
      <c r="V31" s="12">
        <v>2031</v>
      </c>
      <c r="W31" s="326">
        <f t="shared" ca="1" si="28"/>
        <v>39220818.67180559</v>
      </c>
      <c r="X31" s="326">
        <f t="shared" ca="1" si="28"/>
        <v>449221.54827601853</v>
      </c>
      <c r="Y31" s="326">
        <f t="shared" ca="1" si="28"/>
        <v>8104464.3798648268</v>
      </c>
      <c r="Z31" s="326">
        <f t="shared" ca="1" si="28"/>
        <v>36896814.359585539</v>
      </c>
      <c r="AA31" s="326">
        <f t="shared" ca="1" si="28"/>
        <v>1860600.2196895164</v>
      </c>
      <c r="AB31" s="326">
        <f t="shared" ca="1" si="28"/>
        <v>9139421.292333236</v>
      </c>
      <c r="AC31" s="326">
        <f t="shared" si="28"/>
        <v>55.382469116313921</v>
      </c>
      <c r="AD31" s="326">
        <f t="shared" si="28"/>
        <v>0</v>
      </c>
      <c r="AE31" s="326">
        <f t="shared" si="28"/>
        <v>0</v>
      </c>
      <c r="AF31" s="326">
        <f t="shared" ca="1" si="28"/>
        <v>17518140.908956416</v>
      </c>
      <c r="AG31" s="326">
        <f t="shared" ca="1" si="28"/>
        <v>1686033.1070272452</v>
      </c>
      <c r="AH31" s="326">
        <f t="shared" ca="1" si="28"/>
        <v>21133228.636251938</v>
      </c>
      <c r="AI31" s="326">
        <f t="shared" ca="1" si="28"/>
        <v>4753363.2025522729</v>
      </c>
      <c r="AJ31" s="326">
        <f t="shared" si="28"/>
        <v>0</v>
      </c>
    </row>
    <row r="32" spans="1:36">
      <c r="B32" s="12">
        <v>2024</v>
      </c>
      <c r="C32" s="319">
        <f t="shared" si="26"/>
        <v>5447680.1410084749</v>
      </c>
      <c r="D32" s="319">
        <f t="shared" si="27"/>
        <v>62396.658292984968</v>
      </c>
      <c r="E32" s="326">
        <v>2643572.1983076483</v>
      </c>
      <c r="F32" s="326">
        <v>7864726.588430916</v>
      </c>
      <c r="G32" s="326">
        <v>242032.90265903191</v>
      </c>
      <c r="H32" s="326">
        <v>964947.6758631065</v>
      </c>
      <c r="I32" s="327">
        <v>984.41611514517149</v>
      </c>
      <c r="J32" s="327">
        <v>0</v>
      </c>
      <c r="K32" s="327">
        <v>0</v>
      </c>
      <c r="L32" s="327">
        <v>2524252</v>
      </c>
      <c r="M32" s="327">
        <v>575018.40115200018</v>
      </c>
      <c r="N32" s="327">
        <f t="shared" si="24"/>
        <v>1455081.9399764813</v>
      </c>
      <c r="O32" s="327">
        <f t="shared" si="25"/>
        <v>327134.65887151932</v>
      </c>
      <c r="P32" s="327">
        <v>1502580</v>
      </c>
      <c r="Q32" s="326">
        <v>5510076.7993014641</v>
      </c>
      <c r="R32" s="327">
        <v>1782216.5988479999</v>
      </c>
      <c r="T32" s="321"/>
      <c r="U32" s="320"/>
    </row>
    <row r="33" spans="1:36">
      <c r="B33" s="12">
        <v>2025</v>
      </c>
      <c r="C33" s="319">
        <f t="shared" si="26"/>
        <v>5152173.2000403497</v>
      </c>
      <c r="D33" s="319">
        <f t="shared" si="27"/>
        <v>59011.979835086371</v>
      </c>
      <c r="E33" s="326">
        <v>2158489.2511798805</v>
      </c>
      <c r="F33" s="326">
        <v>5151846.0506447749</v>
      </c>
      <c r="G33" s="326">
        <v>147370.45928356922</v>
      </c>
      <c r="H33" s="326">
        <v>583152.51925361715</v>
      </c>
      <c r="I33" s="327">
        <v>602.42978631926303</v>
      </c>
      <c r="J33" s="327">
        <v>0</v>
      </c>
      <c r="K33" s="327">
        <v>0</v>
      </c>
      <c r="L33" s="327">
        <v>2419440</v>
      </c>
      <c r="M33" s="327">
        <v>400561.56681599998</v>
      </c>
      <c r="N33" s="327">
        <f t="shared" si="24"/>
        <v>947493.8279969868</v>
      </c>
      <c r="O33" s="327">
        <f t="shared" si="25"/>
        <v>213017.60518701383</v>
      </c>
      <c r="P33" s="327">
        <v>1502580</v>
      </c>
      <c r="Q33" s="326">
        <v>5211185.17987544</v>
      </c>
      <c r="R33" s="327">
        <v>1160511.4331840002</v>
      </c>
      <c r="T33" s="321"/>
      <c r="U33" s="320"/>
    </row>
    <row r="34" spans="1:36">
      <c r="B34" s="12">
        <v>2026</v>
      </c>
      <c r="C34" s="319">
        <f t="shared" si="26"/>
        <v>5050219.8967018295</v>
      </c>
      <c r="D34" s="319">
        <f t="shared" si="27"/>
        <v>57844.226724479355</v>
      </c>
      <c r="E34" s="326">
        <v>1120094.8208645089</v>
      </c>
      <c r="F34" s="326">
        <v>4964344.3922731858</v>
      </c>
      <c r="G34" s="326">
        <v>140855.25516099299</v>
      </c>
      <c r="H34" s="326">
        <v>418557.8603144401</v>
      </c>
      <c r="I34" s="327">
        <v>577.84381761122472</v>
      </c>
      <c r="J34" s="327">
        <v>0</v>
      </c>
      <c r="K34" s="327">
        <v>0</v>
      </c>
      <c r="L34" s="327">
        <v>2379988</v>
      </c>
      <c r="M34" s="327">
        <v>277791.56536000001</v>
      </c>
      <c r="N34" s="327">
        <f t="shared" si="24"/>
        <v>889393.1493012103</v>
      </c>
      <c r="O34" s="327">
        <f t="shared" si="25"/>
        <v>199955.28533879019</v>
      </c>
      <c r="P34" s="327">
        <v>1502580</v>
      </c>
      <c r="Q34" s="326">
        <v>5108064.1234263126</v>
      </c>
      <c r="R34" s="327">
        <v>1089348.4346400001</v>
      </c>
      <c r="T34" s="321"/>
      <c r="U34" s="320"/>
    </row>
    <row r="35" spans="1:36">
      <c r="B35" s="12">
        <v>2027</v>
      </c>
      <c r="C35" s="319">
        <f t="shared" si="26"/>
        <v>5033763.8775361693</v>
      </c>
      <c r="D35" s="319">
        <f t="shared" si="27"/>
        <v>57655.742713273736</v>
      </c>
      <c r="E35" s="326">
        <v>512118.42269866192</v>
      </c>
      <c r="F35" s="326">
        <v>3475174.2078062962</v>
      </c>
      <c r="G35" s="326">
        <v>88887.624187682843</v>
      </c>
      <c r="H35" s="326">
        <v>284435.15221936704</v>
      </c>
      <c r="I35" s="327">
        <v>350.98463869905584</v>
      </c>
      <c r="J35" s="327">
        <v>0</v>
      </c>
      <c r="K35" s="327">
        <v>0</v>
      </c>
      <c r="L35" s="327">
        <v>2379746</v>
      </c>
      <c r="M35" s="327">
        <v>89594.16593599999</v>
      </c>
      <c r="N35" s="327">
        <f t="shared" si="24"/>
        <v>342436.51783779019</v>
      </c>
      <c r="O35" s="327">
        <f t="shared" si="25"/>
        <v>76987.316226209965</v>
      </c>
      <c r="P35" s="327">
        <v>0</v>
      </c>
      <c r="Q35" s="326">
        <v>5091419.6202494474</v>
      </c>
      <c r="R35" s="327">
        <v>419423.834064</v>
      </c>
      <c r="T35" s="321"/>
    </row>
    <row r="36" spans="1:36">
      <c r="B36" s="12">
        <v>2028</v>
      </c>
      <c r="C36" s="319">
        <f t="shared" si="26"/>
        <v>4984671.2268462693</v>
      </c>
      <c r="D36" s="319">
        <f t="shared" si="27"/>
        <v>57093.44513512931</v>
      </c>
      <c r="E36" s="326">
        <v>469509.58800540591</v>
      </c>
      <c r="F36" s="326">
        <v>3135983.011039448</v>
      </c>
      <c r="G36" s="326">
        <v>85861.631656714773</v>
      </c>
      <c r="H36" s="326">
        <v>276673.85515503975</v>
      </c>
      <c r="I36" s="327">
        <v>339.3868567489809</v>
      </c>
      <c r="J36" s="327">
        <v>0</v>
      </c>
      <c r="K36" s="327">
        <v>0</v>
      </c>
      <c r="L36" s="327">
        <v>2360267</v>
      </c>
      <c r="M36" s="327">
        <v>40565.954895999996</v>
      </c>
      <c r="N36" s="327">
        <f t="shared" si="24"/>
        <v>192748.01974439537</v>
      </c>
      <c r="O36" s="327">
        <f t="shared" si="25"/>
        <v>43334.025359604704</v>
      </c>
      <c r="P36" s="327">
        <v>0</v>
      </c>
      <c r="Q36" s="326">
        <v>5041764.6719814027</v>
      </c>
      <c r="R36" s="327">
        <v>236082.04510399999</v>
      </c>
      <c r="T36" s="321"/>
    </row>
    <row r="37" spans="1:36">
      <c r="B37" s="12">
        <v>2029</v>
      </c>
      <c r="C37" s="319">
        <f t="shared" ref="C37:C39" si="29">Q37*$C$1</f>
        <v>4916664.1663590334</v>
      </c>
      <c r="D37" s="319">
        <f t="shared" ref="D37:D39" si="30">Q37*$D$1</f>
        <v>56314.505622365097</v>
      </c>
      <c r="E37" s="326">
        <v>402468.35014844663</v>
      </c>
      <c r="F37" s="326">
        <v>2546951.6732392223</v>
      </c>
      <c r="G37" s="326">
        <v>85861.631656714773</v>
      </c>
      <c r="H37" s="326">
        <v>221647.44308060381</v>
      </c>
      <c r="I37" s="327">
        <v>339.3868567489809</v>
      </c>
      <c r="J37" s="327">
        <v>0</v>
      </c>
      <c r="K37" s="327">
        <v>0</v>
      </c>
      <c r="L37" s="327">
        <v>2356585</v>
      </c>
      <c r="M37" s="327">
        <v>40565.954895999996</v>
      </c>
      <c r="N37" s="327">
        <f t="shared" si="24"/>
        <v>153746.43917466758</v>
      </c>
      <c r="O37" s="327">
        <f t="shared" si="25"/>
        <v>34565.60592933248</v>
      </c>
      <c r="P37" s="327">
        <v>0</v>
      </c>
      <c r="Q37" s="326">
        <v>4972978.6719814027</v>
      </c>
      <c r="R37" s="327">
        <v>188312.04510399999</v>
      </c>
      <c r="T37" s="321"/>
    </row>
    <row r="38" spans="1:36">
      <c r="B38" s="12">
        <v>2030</v>
      </c>
      <c r="C38" s="319">
        <f t="shared" si="29"/>
        <v>4902449.7645029677</v>
      </c>
      <c r="D38" s="319">
        <f t="shared" si="30"/>
        <v>56151.696655521475</v>
      </c>
      <c r="E38" s="326">
        <v>279085.1333598661</v>
      </c>
      <c r="F38" s="326">
        <v>1798342.1056163274</v>
      </c>
      <c r="G38" s="326">
        <v>59743.047565912246</v>
      </c>
      <c r="H38" s="326">
        <v>153233.53740696207</v>
      </c>
      <c r="I38" s="327">
        <v>248.72533624527264</v>
      </c>
      <c r="J38" s="327">
        <v>0</v>
      </c>
      <c r="K38" s="327">
        <v>0</v>
      </c>
      <c r="L38" s="327">
        <v>2354669</v>
      </c>
      <c r="M38" s="327">
        <v>35518.604271999997</v>
      </c>
      <c r="N38" s="327">
        <f t="shared" si="24"/>
        <v>108442.18899832242</v>
      </c>
      <c r="O38" s="327">
        <f t="shared" si="25"/>
        <v>24380.206729677659</v>
      </c>
      <c r="P38" s="327">
        <v>0</v>
      </c>
      <c r="Q38" s="326">
        <v>4958601.4611584935</v>
      </c>
      <c r="R38" s="327">
        <v>132822.39572800003</v>
      </c>
      <c r="T38" s="321"/>
    </row>
    <row r="39" spans="1:36">
      <c r="B39" s="12">
        <v>2031</v>
      </c>
      <c r="C39" s="319">
        <f t="shared" si="29"/>
        <v>3017254.2183840498</v>
      </c>
      <c r="D39" s="319">
        <f t="shared" si="30"/>
        <v>34559.037163427347</v>
      </c>
      <c r="E39" s="326">
        <v>50284.855576583817</v>
      </c>
      <c r="F39" s="326">
        <v>396448.08985653054</v>
      </c>
      <c r="G39" s="326">
        <v>10822.030782170597</v>
      </c>
      <c r="H39" s="326">
        <v>27757.172193961069</v>
      </c>
      <c r="I39" s="327">
        <v>50.210682926967955</v>
      </c>
      <c r="J39" s="327">
        <v>0</v>
      </c>
      <c r="K39" s="327">
        <v>0</v>
      </c>
      <c r="L39" s="327">
        <v>1619300</v>
      </c>
      <c r="M39" s="327">
        <v>26445.526288000005</v>
      </c>
      <c r="N39" s="327">
        <f t="shared" si="24"/>
        <v>80741.08818921553</v>
      </c>
      <c r="O39" s="327">
        <f t="shared" si="25"/>
        <v>18152.385522784509</v>
      </c>
      <c r="P39" s="327">
        <v>0</v>
      </c>
      <c r="Q39" s="326">
        <v>3051813.2555474797</v>
      </c>
      <c r="R39" s="327">
        <v>98893.473712000006</v>
      </c>
      <c r="T39" s="321"/>
    </row>
    <row r="40" spans="1:36">
      <c r="C40" s="319"/>
      <c r="D40" s="319"/>
      <c r="E40" s="326"/>
      <c r="F40" s="326"/>
      <c r="G40" s="326"/>
      <c r="H40" s="326"/>
      <c r="I40" s="327"/>
      <c r="J40" s="327"/>
      <c r="K40" s="327"/>
      <c r="L40" s="327"/>
      <c r="M40" s="327"/>
      <c r="N40" s="327"/>
      <c r="O40" s="327"/>
      <c r="P40" s="327"/>
      <c r="Q40" s="326"/>
      <c r="R40" s="327"/>
      <c r="U40" s="321"/>
    </row>
    <row r="41" spans="1:36">
      <c r="A41" s="12">
        <v>2016</v>
      </c>
      <c r="B41" s="12">
        <v>2016</v>
      </c>
      <c r="C41" s="319">
        <f>Q41*$C$1</f>
        <v>10909831.37789467</v>
      </c>
      <c r="D41" s="319">
        <f>Q41*$D$1</f>
        <v>124959.06567571734</v>
      </c>
      <c r="E41" s="326">
        <v>2212365.4617075254</v>
      </c>
      <c r="F41" s="326">
        <v>6891424.1340666413</v>
      </c>
      <c r="G41" s="326">
        <v>425136.03799865523</v>
      </c>
      <c r="H41" s="326">
        <v>3061286.405938345</v>
      </c>
      <c r="I41" s="327">
        <v>2769.2150259276946</v>
      </c>
      <c r="J41" s="327">
        <v>0</v>
      </c>
      <c r="K41" s="327">
        <v>9062.9603289399056</v>
      </c>
      <c r="L41" s="327">
        <v>7082840</v>
      </c>
      <c r="M41" s="327">
        <v>115246.1538498976</v>
      </c>
      <c r="N41" s="327">
        <f t="shared" ref="N41:N56" si="31">R41*$N$1</f>
        <v>1928592.9978252139</v>
      </c>
      <c r="O41" s="327">
        <f t="shared" ref="O41:O56" si="32">R41*$O$1</f>
        <v>433590.43577693612</v>
      </c>
      <c r="P41" s="327">
        <v>2337397.4736981387</v>
      </c>
      <c r="Q41" s="326">
        <v>11034790.443570396</v>
      </c>
      <c r="R41" s="327">
        <v>2362183.4336021491</v>
      </c>
      <c r="T41" s="321"/>
      <c r="U41" s="321"/>
      <c r="V41" s="12">
        <f t="shared" ref="V41:AJ41" si="33">V4</f>
        <v>2014</v>
      </c>
      <c r="W41" s="325">
        <f t="shared" si="33"/>
        <v>2626925.9062876785</v>
      </c>
      <c r="X41" s="325">
        <f t="shared" si="33"/>
        <v>30088.293345592581</v>
      </c>
      <c r="Y41" s="325">
        <f t="shared" si="33"/>
        <v>1243486.87191816</v>
      </c>
      <c r="Z41" s="325">
        <f t="shared" si="33"/>
        <v>4996820.7745140763</v>
      </c>
      <c r="AA41" s="325">
        <f t="shared" si="33"/>
        <v>4184.3384732939039</v>
      </c>
      <c r="AB41" s="325">
        <f t="shared" si="33"/>
        <v>953652.87646887684</v>
      </c>
      <c r="AC41" s="325">
        <f t="shared" si="33"/>
        <v>0</v>
      </c>
      <c r="AD41" s="325">
        <f t="shared" si="33"/>
        <v>0</v>
      </c>
      <c r="AE41" s="325">
        <f t="shared" si="33"/>
        <v>271458.12473221432</v>
      </c>
      <c r="AF41" s="325">
        <f t="shared" si="33"/>
        <v>994817.14150924119</v>
      </c>
      <c r="AG41" s="325">
        <f t="shared" si="33"/>
        <v>389773.85769999999</v>
      </c>
      <c r="AH41" s="325">
        <f t="shared" si="33"/>
        <v>989387.09732391918</v>
      </c>
      <c r="AI41" s="325">
        <f t="shared" si="33"/>
        <v>222436.14031810084</v>
      </c>
      <c r="AJ41" s="325">
        <f t="shared" si="33"/>
        <v>0</v>
      </c>
    </row>
    <row r="42" spans="1:36">
      <c r="B42" s="12">
        <v>2017</v>
      </c>
      <c r="C42" s="319">
        <f t="shared" ref="C42:C58" si="34">Q42*$C$1</f>
        <v>10909831.37789467</v>
      </c>
      <c r="D42" s="319">
        <f t="shared" ref="D42:D58" si="35">Q42*$D$1</f>
        <v>124959.06567571734</v>
      </c>
      <c r="E42" s="326">
        <v>2195645.0639217976</v>
      </c>
      <c r="F42" s="326">
        <v>6961844.1769592073</v>
      </c>
      <c r="G42" s="326">
        <v>413893.71313297941</v>
      </c>
      <c r="H42" s="326">
        <v>2008464.6427353546</v>
      </c>
      <c r="I42" s="327">
        <v>2693.6497136823991</v>
      </c>
      <c r="J42" s="327">
        <v>0</v>
      </c>
      <c r="K42" s="327">
        <v>9062.9603289399056</v>
      </c>
      <c r="L42" s="327">
        <v>7082840</v>
      </c>
      <c r="M42" s="327">
        <v>115233.57655996809</v>
      </c>
      <c r="N42" s="327">
        <f t="shared" si="31"/>
        <v>1928555.9517215705</v>
      </c>
      <c r="O42" s="327">
        <f t="shared" si="32"/>
        <v>433582.10699204437</v>
      </c>
      <c r="P42" s="327">
        <v>2337397.4736981387</v>
      </c>
      <c r="Q42" s="326">
        <v>11034790.443570396</v>
      </c>
      <c r="R42" s="327">
        <v>2362138.058713614</v>
      </c>
      <c r="T42" s="321"/>
      <c r="V42" s="12">
        <f t="shared" ref="V42:V58" si="36">V5</f>
        <v>2015</v>
      </c>
      <c r="W42" s="325">
        <f t="shared" ref="W42:AJ42" si="37">W5-W4</f>
        <v>5080026.7698676856</v>
      </c>
      <c r="X42" s="325">
        <f t="shared" si="37"/>
        <v>58185.628795006924</v>
      </c>
      <c r="Y42" s="325">
        <f t="shared" si="37"/>
        <v>2619175.1738369535</v>
      </c>
      <c r="Z42" s="325">
        <f t="shared" si="37"/>
        <v>9438174.3383828625</v>
      </c>
      <c r="AA42" s="325">
        <f t="shared" si="37"/>
        <v>142987.77228215302</v>
      </c>
      <c r="AB42" s="325">
        <f t="shared" si="37"/>
        <v>3387485.8519155509</v>
      </c>
      <c r="AC42" s="325">
        <f t="shared" si="37"/>
        <v>567.34755482945684</v>
      </c>
      <c r="AD42" s="325">
        <f t="shared" si="37"/>
        <v>0</v>
      </c>
      <c r="AE42" s="325">
        <f t="shared" si="37"/>
        <v>271458.12473221432</v>
      </c>
      <c r="AF42" s="325">
        <f t="shared" si="37"/>
        <v>2120935.0783792408</v>
      </c>
      <c r="AG42" s="325">
        <f t="shared" si="37"/>
        <v>712436.4380640001</v>
      </c>
      <c r="AH42" s="325">
        <f t="shared" si="37"/>
        <v>2391931.4448981718</v>
      </c>
      <c r="AI42" s="325">
        <f t="shared" si="37"/>
        <v>537759.18439580896</v>
      </c>
      <c r="AJ42" s="325">
        <f t="shared" si="37"/>
        <v>751290</v>
      </c>
    </row>
    <row r="43" spans="1:36">
      <c r="B43" s="12">
        <v>2018</v>
      </c>
      <c r="C43" s="319">
        <f t="shared" si="34"/>
        <v>10909831.37789467</v>
      </c>
      <c r="D43" s="319">
        <f t="shared" si="35"/>
        <v>124959.06567571734</v>
      </c>
      <c r="E43" s="326">
        <v>2195993.1319781635</v>
      </c>
      <c r="F43" s="326">
        <v>6963962.9083914738</v>
      </c>
      <c r="G43" s="326">
        <v>413893.71313297941</v>
      </c>
      <c r="H43" s="326">
        <v>2008582.2362932754</v>
      </c>
      <c r="I43" s="327">
        <v>2693.6497136823991</v>
      </c>
      <c r="J43" s="327">
        <v>0</v>
      </c>
      <c r="K43" s="327">
        <v>9062.9603289399056</v>
      </c>
      <c r="L43" s="327">
        <v>7082840</v>
      </c>
      <c r="M43" s="327">
        <v>115266.66199440269</v>
      </c>
      <c r="N43" s="327">
        <f t="shared" si="31"/>
        <v>1929342.82144192</v>
      </c>
      <c r="O43" s="327">
        <f t="shared" si="32"/>
        <v>433759.01273904787</v>
      </c>
      <c r="P43" s="327">
        <v>2337397.4736981387</v>
      </c>
      <c r="Q43" s="326">
        <v>11034790.443570396</v>
      </c>
      <c r="R43" s="327">
        <v>2363101.834180967</v>
      </c>
      <c r="T43" s="321"/>
      <c r="U43" s="321"/>
      <c r="V43" s="12">
        <f t="shared" si="36"/>
        <v>2016</v>
      </c>
      <c r="W43" s="325">
        <f>W6-W5</f>
        <v>7961494.9867160451</v>
      </c>
      <c r="X43" s="325">
        <f t="shared" ref="X43:AJ43" si="38">X6-X5</f>
        <v>91189.399768150077</v>
      </c>
      <c r="Y43" s="325">
        <f t="shared" si="38"/>
        <v>2403341.6351523129</v>
      </c>
      <c r="Z43" s="325">
        <f t="shared" si="38"/>
        <v>7711624.4946500994</v>
      </c>
      <c r="AA43" s="325">
        <f t="shared" si="38"/>
        <v>351377.55171432556</v>
      </c>
      <c r="AB43" s="325">
        <f t="shared" si="38"/>
        <v>2787678.4294812959</v>
      </c>
      <c r="AC43" s="325">
        <f t="shared" si="38"/>
        <v>1951.9550677933044</v>
      </c>
      <c r="AD43" s="325">
        <f t="shared" si="38"/>
        <v>0</v>
      </c>
      <c r="AE43" s="325">
        <f t="shared" si="38"/>
        <v>4531.4801644700347</v>
      </c>
      <c r="AF43" s="325">
        <f t="shared" si="38"/>
        <v>4711540.422770001</v>
      </c>
      <c r="AG43" s="325">
        <f t="shared" si="38"/>
        <v>283412.0770889488</v>
      </c>
      <c r="AH43" s="325">
        <f t="shared" si="38"/>
        <v>1714298.8538273899</v>
      </c>
      <c r="AI43" s="325">
        <f t="shared" si="38"/>
        <v>385412.36430968554</v>
      </c>
      <c r="AJ43" s="325">
        <f t="shared" si="38"/>
        <v>1919988.7368490696</v>
      </c>
    </row>
    <row r="44" spans="1:36">
      <c r="B44" s="12">
        <v>2019</v>
      </c>
      <c r="C44" s="319">
        <f t="shared" si="34"/>
        <v>10909831.37789467</v>
      </c>
      <c r="D44" s="319">
        <f t="shared" si="35"/>
        <v>124959.06567571734</v>
      </c>
      <c r="E44" s="326">
        <v>2195978.9169542245</v>
      </c>
      <c r="F44" s="326">
        <v>6963874.1151413387</v>
      </c>
      <c r="G44" s="326">
        <v>413893.71313297941</v>
      </c>
      <c r="H44" s="326">
        <v>2008582.2362932754</v>
      </c>
      <c r="I44" s="327">
        <v>2693.6497136823991</v>
      </c>
      <c r="J44" s="327">
        <v>0</v>
      </c>
      <c r="K44" s="327">
        <v>9062.9603289399056</v>
      </c>
      <c r="L44" s="327">
        <v>7082840</v>
      </c>
      <c r="M44" s="327">
        <v>115254.08470447321</v>
      </c>
      <c r="N44" s="327">
        <f t="shared" si="31"/>
        <v>1929305.7753382761</v>
      </c>
      <c r="O44" s="327">
        <f t="shared" si="32"/>
        <v>433750.68395415606</v>
      </c>
      <c r="P44" s="327">
        <v>2337397.4736981387</v>
      </c>
      <c r="Q44" s="326">
        <v>11034790.443570396</v>
      </c>
      <c r="R44" s="327">
        <v>2363056.4592924314</v>
      </c>
      <c r="T44" s="321"/>
      <c r="U44" s="321"/>
      <c r="V44" s="12">
        <f t="shared" si="36"/>
        <v>2017</v>
      </c>
      <c r="W44" s="325">
        <f t="shared" ref="W44:AJ44" si="39">W7-W6</f>
        <v>17371077.557271603</v>
      </c>
      <c r="X44" s="325">
        <f t="shared" si="39"/>
        <v>198964.91028589744</v>
      </c>
      <c r="Y44" s="325">
        <f t="shared" si="39"/>
        <v>2129438.1755195037</v>
      </c>
      <c r="Z44" s="325">
        <f t="shared" si="39"/>
        <v>8862953.9612320065</v>
      </c>
      <c r="AA44" s="325">
        <f t="shared" si="39"/>
        <v>666902.95970553486</v>
      </c>
      <c r="AB44" s="325">
        <f t="shared" si="39"/>
        <v>2727014.5943534058</v>
      </c>
      <c r="AC44" s="325">
        <f t="shared" si="39"/>
        <v>1308.4514942614969</v>
      </c>
      <c r="AD44" s="325">
        <f t="shared" si="39"/>
        <v>0</v>
      </c>
      <c r="AE44" s="325">
        <f t="shared" si="39"/>
        <v>2563865.8530689874</v>
      </c>
      <c r="AF44" s="325">
        <f t="shared" si="39"/>
        <v>9304720.3697084673</v>
      </c>
      <c r="AG44" s="325">
        <f t="shared" si="39"/>
        <v>268790.01416364452</v>
      </c>
      <c r="AH44" s="325">
        <f t="shared" si="39"/>
        <v>3515227.0194482151</v>
      </c>
      <c r="AI44" s="325">
        <f t="shared" si="39"/>
        <v>790300.91726774303</v>
      </c>
      <c r="AJ44" s="325">
        <f t="shared" si="39"/>
        <v>2992298.7368490696</v>
      </c>
    </row>
    <row r="45" spans="1:36">
      <c r="B45" s="12">
        <v>2020</v>
      </c>
      <c r="C45" s="319">
        <f t="shared" si="34"/>
        <v>10909831.37789467</v>
      </c>
      <c r="D45" s="319">
        <f t="shared" si="35"/>
        <v>124959.06567571734</v>
      </c>
      <c r="E45" s="326">
        <v>2195964.7019302859</v>
      </c>
      <c r="F45" s="326">
        <v>6963785.3218912045</v>
      </c>
      <c r="G45" s="326">
        <v>413893.71313297941</v>
      </c>
      <c r="H45" s="326">
        <v>2008582.2362932754</v>
      </c>
      <c r="I45" s="327">
        <v>2693.6497136823991</v>
      </c>
      <c r="J45" s="327">
        <v>0</v>
      </c>
      <c r="K45" s="327">
        <v>9062.9603289399056</v>
      </c>
      <c r="L45" s="327">
        <v>7082840</v>
      </c>
      <c r="M45" s="327">
        <v>115241.50741454371</v>
      </c>
      <c r="N45" s="327">
        <f t="shared" si="31"/>
        <v>1929268.7292346323</v>
      </c>
      <c r="O45" s="327">
        <f t="shared" si="32"/>
        <v>433742.35516926425</v>
      </c>
      <c r="P45" s="327">
        <v>2337397.4736981387</v>
      </c>
      <c r="Q45" s="326">
        <v>11034790.443570396</v>
      </c>
      <c r="R45" s="327">
        <v>2363011.0844038958</v>
      </c>
      <c r="T45" s="321"/>
      <c r="U45" s="321"/>
      <c r="V45" s="12">
        <f t="shared" si="36"/>
        <v>2018</v>
      </c>
      <c r="W45" s="325">
        <f t="shared" ref="W45:AJ45" si="40">W8-W7</f>
        <v>9766844.2217738777</v>
      </c>
      <c r="X45" s="325">
        <f t="shared" si="40"/>
        <v>111867.51529689186</v>
      </c>
      <c r="Y45" s="325">
        <f t="shared" si="40"/>
        <v>3639959.5338861328</v>
      </c>
      <c r="Z45" s="325">
        <f t="shared" si="40"/>
        <v>11205900.410583287</v>
      </c>
      <c r="AA45" s="325">
        <f t="shared" si="40"/>
        <v>821978.29642310343</v>
      </c>
      <c r="AB45" s="325">
        <f t="shared" si="40"/>
        <v>6389697.2472781744</v>
      </c>
      <c r="AC45" s="325">
        <f t="shared" si="40"/>
        <v>1.2862893074070598</v>
      </c>
      <c r="AD45" s="325">
        <f t="shared" si="40"/>
        <v>0</v>
      </c>
      <c r="AE45" s="325">
        <f t="shared" si="40"/>
        <v>2559334.3729045177</v>
      </c>
      <c r="AF45" s="325">
        <f t="shared" si="40"/>
        <v>4618202.1711312197</v>
      </c>
      <c r="AG45" s="325">
        <f t="shared" si="40"/>
        <v>524452.89981613448</v>
      </c>
      <c r="AH45" s="325">
        <f t="shared" si="40"/>
        <v>3958889.403682813</v>
      </c>
      <c r="AI45" s="325">
        <f t="shared" si="40"/>
        <v>890046.051018117</v>
      </c>
      <c r="AJ45" s="325">
        <f t="shared" si="40"/>
        <v>2638867.3200740432</v>
      </c>
    </row>
    <row r="46" spans="1:36">
      <c r="B46" s="12">
        <v>2021</v>
      </c>
      <c r="C46" s="319">
        <f t="shared" si="34"/>
        <v>10909831.37789467</v>
      </c>
      <c r="D46" s="319">
        <f t="shared" si="35"/>
        <v>124959.06567571734</v>
      </c>
      <c r="E46" s="326">
        <v>2156398.0840748027</v>
      </c>
      <c r="F46" s="326">
        <v>6899480.7823126605</v>
      </c>
      <c r="G46" s="326">
        <v>408572.06836544775</v>
      </c>
      <c r="H46" s="326">
        <v>1983308.1331018172</v>
      </c>
      <c r="I46" s="327">
        <v>2657.8802662307576</v>
      </c>
      <c r="J46" s="327">
        <v>0</v>
      </c>
      <c r="K46" s="327">
        <v>9062.9603289399056</v>
      </c>
      <c r="L46" s="327">
        <v>7082840</v>
      </c>
      <c r="M46" s="327">
        <v>112801.57772092355</v>
      </c>
      <c r="N46" s="327">
        <f t="shared" si="31"/>
        <v>1888479.8254606514</v>
      </c>
      <c r="O46" s="327">
        <f t="shared" si="32"/>
        <v>424572.10588278063</v>
      </c>
      <c r="P46" s="327">
        <v>2337397.4736981387</v>
      </c>
      <c r="Q46" s="326">
        <v>11034790.443570396</v>
      </c>
      <c r="R46" s="327">
        <v>2313051.9313434311</v>
      </c>
      <c r="T46" s="321"/>
      <c r="U46" s="321"/>
      <c r="V46" s="12">
        <f t="shared" si="36"/>
        <v>2019</v>
      </c>
      <c r="W46" s="325">
        <f t="shared" ref="W46:AJ46" si="41">W9-W8</f>
        <v>3029965.2805404216</v>
      </c>
      <c r="X46" s="325">
        <f t="shared" si="41"/>
        <v>34704.627172639128</v>
      </c>
      <c r="Y46" s="325">
        <f t="shared" si="41"/>
        <v>3045959.8284219019</v>
      </c>
      <c r="Z46" s="325">
        <f t="shared" si="41"/>
        <v>10945213.303503536</v>
      </c>
      <c r="AA46" s="325">
        <f t="shared" si="41"/>
        <v>535862.84451315226</v>
      </c>
      <c r="AB46" s="325">
        <f t="shared" si="41"/>
        <v>2503376.3026866596</v>
      </c>
      <c r="AC46" s="325">
        <f t="shared" si="41"/>
        <v>0</v>
      </c>
      <c r="AD46" s="325">
        <f t="shared" si="41"/>
        <v>0</v>
      </c>
      <c r="AE46" s="325">
        <f t="shared" si="41"/>
        <v>1966561.5</v>
      </c>
      <c r="AF46" s="325">
        <f t="shared" si="41"/>
        <v>1279129.725730557</v>
      </c>
      <c r="AG46" s="325">
        <f t="shared" si="41"/>
        <v>294342.60242656199</v>
      </c>
      <c r="AH46" s="325">
        <f t="shared" si="41"/>
        <v>5639401.1436548959</v>
      </c>
      <c r="AI46" s="325">
        <f t="shared" si="41"/>
        <v>1267862.3235465484</v>
      </c>
      <c r="AJ46" s="325">
        <f t="shared" si="41"/>
        <v>976093.27136694733</v>
      </c>
    </row>
    <row r="47" spans="1:36">
      <c r="B47" s="12">
        <v>2022</v>
      </c>
      <c r="C47" s="319">
        <f t="shared" si="34"/>
        <v>10909831.37789467</v>
      </c>
      <c r="D47" s="319">
        <f t="shared" si="35"/>
        <v>124959.06567571734</v>
      </c>
      <c r="E47" s="326">
        <v>2156398.0840748027</v>
      </c>
      <c r="F47" s="326">
        <v>6899480.7823126605</v>
      </c>
      <c r="G47" s="326">
        <v>408572.06836544775</v>
      </c>
      <c r="H47" s="326">
        <v>1983308.1331018172</v>
      </c>
      <c r="I47" s="327">
        <v>2657.8802662307576</v>
      </c>
      <c r="J47" s="327">
        <v>0</v>
      </c>
      <c r="K47" s="327">
        <v>9062.9603289399056</v>
      </c>
      <c r="L47" s="327">
        <v>7082840</v>
      </c>
      <c r="M47" s="327">
        <v>112801.57772092355</v>
      </c>
      <c r="N47" s="327">
        <f t="shared" si="31"/>
        <v>1888479.8254606514</v>
      </c>
      <c r="O47" s="327">
        <f t="shared" si="32"/>
        <v>424572.10588278063</v>
      </c>
      <c r="P47" s="327">
        <v>2337397.4736981387</v>
      </c>
      <c r="Q47" s="326">
        <v>11034790.443570396</v>
      </c>
      <c r="R47" s="327">
        <v>2313051.9313434311</v>
      </c>
      <c r="T47" s="321"/>
      <c r="U47" s="321"/>
      <c r="V47" s="12">
        <f t="shared" si="36"/>
        <v>2020</v>
      </c>
      <c r="W47" s="325">
        <f t="shared" ref="W47:AJ47" si="42">W10-W9</f>
        <v>141608.3404032588</v>
      </c>
      <c r="X47" s="325">
        <f t="shared" si="42"/>
        <v>1621.9541160400258</v>
      </c>
      <c r="Y47" s="325">
        <f t="shared" si="42"/>
        <v>1127447.765167797</v>
      </c>
      <c r="Z47" s="325">
        <f t="shared" si="42"/>
        <v>4982445.0974119976</v>
      </c>
      <c r="AA47" s="325">
        <f t="shared" si="42"/>
        <v>205213.57259299792</v>
      </c>
      <c r="AB47" s="325">
        <f t="shared" si="42"/>
        <v>784991.93935235962</v>
      </c>
      <c r="AC47" s="325">
        <f t="shared" si="42"/>
        <v>-0.85980888338963268</v>
      </c>
      <c r="AD47" s="325">
        <f t="shared" si="42"/>
        <v>0</v>
      </c>
      <c r="AE47" s="325">
        <f t="shared" si="42"/>
        <v>1966561.5</v>
      </c>
      <c r="AF47" s="325">
        <f t="shared" si="42"/>
        <v>9944.8079661279917</v>
      </c>
      <c r="AG47" s="325">
        <f t="shared" si="42"/>
        <v>136752.91842651879</v>
      </c>
      <c r="AH47" s="325">
        <f t="shared" si="42"/>
        <v>3935778.0938777514</v>
      </c>
      <c r="AI47" s="325">
        <f t="shared" si="42"/>
        <v>884850.11652024789</v>
      </c>
      <c r="AJ47" s="325">
        <f t="shared" si="42"/>
        <v>160825.95129290223</v>
      </c>
    </row>
    <row r="48" spans="1:36">
      <c r="B48" s="12">
        <v>2023</v>
      </c>
      <c r="C48" s="319">
        <f t="shared" si="34"/>
        <v>10908484.801318279</v>
      </c>
      <c r="D48" s="319">
        <f t="shared" si="35"/>
        <v>124943.64225210811</v>
      </c>
      <c r="E48" s="326">
        <v>2156398.0840748027</v>
      </c>
      <c r="F48" s="326">
        <v>6899480.7823126605</v>
      </c>
      <c r="G48" s="326">
        <v>408572.06836544775</v>
      </c>
      <c r="H48" s="326">
        <v>1983308.1331018172</v>
      </c>
      <c r="I48" s="327">
        <v>2657.8802662307576</v>
      </c>
      <c r="J48" s="327">
        <v>0</v>
      </c>
      <c r="K48" s="327">
        <v>9062.9603289399056</v>
      </c>
      <c r="L48" s="327">
        <v>7081990</v>
      </c>
      <c r="M48" s="327">
        <v>112801.57772092355</v>
      </c>
      <c r="N48" s="327">
        <f t="shared" si="31"/>
        <v>1888479.8254606514</v>
      </c>
      <c r="O48" s="327">
        <f t="shared" si="32"/>
        <v>424572.10588278063</v>
      </c>
      <c r="P48" s="327">
        <v>2337397.4736981387</v>
      </c>
      <c r="Q48" s="326">
        <v>11033428.443570396</v>
      </c>
      <c r="R48" s="327">
        <v>2313051.9313434311</v>
      </c>
      <c r="T48" s="321"/>
      <c r="U48" s="321"/>
      <c r="V48" s="12">
        <f t="shared" si="36"/>
        <v>2021</v>
      </c>
      <c r="W48" s="325">
        <f ca="1">W11-W10</f>
        <v>146592.25908855349</v>
      </c>
      <c r="X48" s="325">
        <f t="shared" ref="X48:AJ48" ca="1" si="43">X11-X10</f>
        <v>1679.0389417123515</v>
      </c>
      <c r="Y48" s="325">
        <f t="shared" ca="1" si="43"/>
        <v>717897.61190905236</v>
      </c>
      <c r="Z48" s="325">
        <f t="shared" ca="1" si="43"/>
        <v>5792965.6574628875</v>
      </c>
      <c r="AA48" s="325">
        <f t="shared" ca="1" si="43"/>
        <v>186811.58641472133</v>
      </c>
      <c r="AB48" s="325">
        <f t="shared" ca="1" si="43"/>
        <v>1145978.4300714657</v>
      </c>
      <c r="AC48" s="325">
        <f t="shared" si="43"/>
        <v>-38.618610605492904</v>
      </c>
      <c r="AD48" s="325">
        <f t="shared" si="43"/>
        <v>0</v>
      </c>
      <c r="AE48" s="325">
        <f t="shared" si="43"/>
        <v>0</v>
      </c>
      <c r="AF48" s="325">
        <f t="shared" ca="1" si="43"/>
        <v>-2666800.8675890639</v>
      </c>
      <c r="AG48" s="325">
        <f t="shared" ca="1" si="43"/>
        <v>173025.66917959275</v>
      </c>
      <c r="AH48" s="325">
        <f t="shared" ca="1" si="43"/>
        <v>3544183.8143212534</v>
      </c>
      <c r="AI48" s="325">
        <f t="shared" ca="1" si="43"/>
        <v>797033.26463187579</v>
      </c>
      <c r="AJ48" s="325">
        <f t="shared" si="43"/>
        <v>0</v>
      </c>
    </row>
    <row r="49" spans="1:36">
      <c r="B49" s="12">
        <v>2024</v>
      </c>
      <c r="C49" s="319">
        <f t="shared" si="34"/>
        <v>10908484.801318279</v>
      </c>
      <c r="D49" s="319">
        <f t="shared" si="35"/>
        <v>124943.64225210811</v>
      </c>
      <c r="E49" s="326">
        <v>2143454.1208947184</v>
      </c>
      <c r="F49" s="326">
        <v>6864915.4410939822</v>
      </c>
      <c r="G49" s="326">
        <v>405680.55310521898</v>
      </c>
      <c r="H49" s="326">
        <v>1969595.24935662</v>
      </c>
      <c r="I49" s="327">
        <v>2638.4449398092338</v>
      </c>
      <c r="J49" s="327">
        <v>0</v>
      </c>
      <c r="K49" s="327">
        <v>9062.9603289399056</v>
      </c>
      <c r="L49" s="327">
        <v>7081990</v>
      </c>
      <c r="M49" s="327">
        <v>112795.09199606015</v>
      </c>
      <c r="N49" s="327">
        <f t="shared" si="31"/>
        <v>1888371.4020056429</v>
      </c>
      <c r="O49" s="327">
        <f t="shared" si="32"/>
        <v>424547.729887867</v>
      </c>
      <c r="P49" s="327">
        <v>2337397.4736981387</v>
      </c>
      <c r="Q49" s="326">
        <v>11033428.443570396</v>
      </c>
      <c r="R49" s="327">
        <v>2312919.1318935091</v>
      </c>
      <c r="T49" s="321"/>
      <c r="U49" s="321"/>
      <c r="V49" s="12">
        <f t="shared" si="36"/>
        <v>2022</v>
      </c>
      <c r="W49" s="325">
        <f t="shared" ref="W49:AJ49" ca="1" si="44">W12-W11</f>
        <v>50217.267653718591</v>
      </c>
      <c r="X49" s="325">
        <f t="shared" ca="1" si="44"/>
        <v>575.17871994909365</v>
      </c>
      <c r="Y49" s="325">
        <f t="shared" ca="1" si="44"/>
        <v>1403782.1876646392</v>
      </c>
      <c r="Z49" s="325">
        <f t="shared" ca="1" si="44"/>
        <v>9520412.6726414114</v>
      </c>
      <c r="AA49" s="325">
        <f t="shared" ca="1" si="44"/>
        <v>374377.8166795643</v>
      </c>
      <c r="AB49" s="325">
        <f t="shared" ca="1" si="44"/>
        <v>289004.53007496521</v>
      </c>
      <c r="AC49" s="325">
        <f t="shared" si="44"/>
        <v>0</v>
      </c>
      <c r="AD49" s="325">
        <f t="shared" si="44"/>
        <v>0</v>
      </c>
      <c r="AE49" s="325">
        <f t="shared" si="44"/>
        <v>0</v>
      </c>
      <c r="AF49" s="325">
        <f t="shared" ca="1" si="44"/>
        <v>45399.407989658415</v>
      </c>
      <c r="AG49" s="325">
        <f t="shared" ca="1" si="44"/>
        <v>379008.65332600521</v>
      </c>
      <c r="AH49" s="325">
        <f t="shared" ca="1" si="44"/>
        <v>5025113.3588015288</v>
      </c>
      <c r="AI49" s="325">
        <f t="shared" ca="1" si="44"/>
        <v>1130316.6063427795</v>
      </c>
      <c r="AJ49" s="325">
        <f t="shared" si="44"/>
        <v>0</v>
      </c>
    </row>
    <row r="50" spans="1:36">
      <c r="B50" s="12">
        <v>2025</v>
      </c>
      <c r="C50" s="319">
        <f t="shared" si="34"/>
        <v>10870179.542231875</v>
      </c>
      <c r="D50" s="319">
        <f t="shared" si="35"/>
        <v>124504.90133851324</v>
      </c>
      <c r="E50" s="326">
        <v>2143454.1208947184</v>
      </c>
      <c r="F50" s="326">
        <v>6864915.4410939822</v>
      </c>
      <c r="G50" s="326">
        <v>405680.55310521898</v>
      </c>
      <c r="H50" s="326">
        <v>1969595.24935662</v>
      </c>
      <c r="I50" s="327">
        <v>2638.4449398092338</v>
      </c>
      <c r="J50" s="327">
        <v>0</v>
      </c>
      <c r="K50" s="327">
        <v>9062.9603289399056</v>
      </c>
      <c r="L50" s="327">
        <v>7057980</v>
      </c>
      <c r="M50" s="327">
        <v>112795.09199606015</v>
      </c>
      <c r="N50" s="327">
        <f t="shared" si="31"/>
        <v>1888371.4020056429</v>
      </c>
      <c r="O50" s="327">
        <f t="shared" si="32"/>
        <v>424547.729887867</v>
      </c>
      <c r="P50" s="327">
        <v>2337397.4736981387</v>
      </c>
      <c r="Q50" s="326">
        <v>10994684.443570396</v>
      </c>
      <c r="R50" s="327">
        <v>2312919.1318935091</v>
      </c>
      <c r="T50" s="321"/>
      <c r="U50" s="321"/>
      <c r="V50" s="12">
        <f t="shared" si="36"/>
        <v>2023</v>
      </c>
      <c r="W50" s="325">
        <f t="shared" ref="W50:AJ50" ca="1" si="45">W13-W12</f>
        <v>12929.245179094374</v>
      </c>
      <c r="X50" s="325">
        <f t="shared" ca="1" si="45"/>
        <v>147.04691416292917</v>
      </c>
      <c r="Y50" s="325">
        <f t="shared" ca="1" si="45"/>
        <v>664512.32351644337</v>
      </c>
      <c r="Z50" s="325">
        <f t="shared" ca="1" si="45"/>
        <v>4657728.3261359036</v>
      </c>
      <c r="AA50" s="325">
        <f t="shared" ca="1" si="45"/>
        <v>352274.2082081628</v>
      </c>
      <c r="AB50" s="325">
        <f t="shared" ca="1" si="45"/>
        <v>1412336.3790541403</v>
      </c>
      <c r="AC50" s="325">
        <f t="shared" si="45"/>
        <v>-2.1018395919318209</v>
      </c>
      <c r="AD50" s="325">
        <f t="shared" si="45"/>
        <v>0</v>
      </c>
      <c r="AE50" s="325">
        <f t="shared" si="45"/>
        <v>0</v>
      </c>
      <c r="AF50" s="325">
        <f t="shared" ca="1" si="45"/>
        <v>57093.360060010105</v>
      </c>
      <c r="AG50" s="325">
        <f t="shared" ca="1" si="45"/>
        <v>240715.72340909159</v>
      </c>
      <c r="AH50" s="325">
        <f t="shared" ca="1" si="45"/>
        <v>2420242.4780886881</v>
      </c>
      <c r="AI50" s="325">
        <f t="shared" ca="1" si="45"/>
        <v>544670.70402604342</v>
      </c>
      <c r="AJ50" s="325">
        <f t="shared" si="45"/>
        <v>0</v>
      </c>
    </row>
    <row r="51" spans="1:36">
      <c r="B51" s="12">
        <v>2026</v>
      </c>
      <c r="C51" s="319">
        <f t="shared" si="34"/>
        <v>10769878.372132869</v>
      </c>
      <c r="D51" s="319">
        <f t="shared" si="35"/>
        <v>123356.07143751698</v>
      </c>
      <c r="E51" s="326">
        <v>2099351.8029856435</v>
      </c>
      <c r="F51" s="326">
        <v>6715563.7563014524</v>
      </c>
      <c r="G51" s="326">
        <v>392409.48430924222</v>
      </c>
      <c r="H51" s="326">
        <v>1950973.7753093929</v>
      </c>
      <c r="I51" s="327">
        <v>2615.7718899834204</v>
      </c>
      <c r="J51" s="327">
        <v>0</v>
      </c>
      <c r="K51" s="327">
        <v>9062.9603289399056</v>
      </c>
      <c r="L51" s="327">
        <v>6990631</v>
      </c>
      <c r="M51" s="327">
        <v>112272.53474169374</v>
      </c>
      <c r="N51" s="327">
        <f t="shared" si="31"/>
        <v>1879635.6840788189</v>
      </c>
      <c r="O51" s="327">
        <f t="shared" si="32"/>
        <v>422583.74694953457</v>
      </c>
      <c r="P51" s="327">
        <v>2337397.4736981387</v>
      </c>
      <c r="Q51" s="326">
        <v>10893234.443570396</v>
      </c>
      <c r="R51" s="327">
        <v>2302219.4310283526</v>
      </c>
      <c r="T51" s="321"/>
      <c r="U51" s="321"/>
      <c r="V51" s="12">
        <f t="shared" si="36"/>
        <v>2024</v>
      </c>
      <c r="W51" s="325">
        <f ca="1">W14-W13</f>
        <v>2022661.5709076449</v>
      </c>
      <c r="X51" s="325">
        <f t="shared" ref="X51:AJ51" ca="1" si="46">X14-X13</f>
        <v>23161.611265692161</v>
      </c>
      <c r="Y51" s="325">
        <f t="shared" ca="1" si="46"/>
        <v>1539226.020566199</v>
      </c>
      <c r="Z51" s="325">
        <f t="shared" ca="1" si="46"/>
        <v>5586552.4258886576</v>
      </c>
      <c r="AA51" s="325">
        <f t="shared" ca="1" si="46"/>
        <v>576286.13516588742</v>
      </c>
      <c r="AB51" s="325">
        <f t="shared" ca="1" si="46"/>
        <v>2381724.9836531281</v>
      </c>
      <c r="AC51" s="325">
        <f t="shared" si="46"/>
        <v>-164.59909215644529</v>
      </c>
      <c r="AD51" s="325">
        <f t="shared" si="46"/>
        <v>0</v>
      </c>
      <c r="AE51" s="325">
        <f t="shared" si="46"/>
        <v>0</v>
      </c>
      <c r="AF51" s="325">
        <f t="shared" ca="1" si="46"/>
        <v>826926.24258157238</v>
      </c>
      <c r="AG51" s="325">
        <f t="shared" ca="1" si="46"/>
        <v>475396.79172576033</v>
      </c>
      <c r="AH51" s="325">
        <f t="shared" ca="1" si="46"/>
        <v>3221134.5029327646</v>
      </c>
      <c r="AI51" s="325">
        <f t="shared" ca="1" si="46"/>
        <v>725239.2348422939</v>
      </c>
      <c r="AJ51" s="325">
        <f t="shared" si="46"/>
        <v>0</v>
      </c>
    </row>
    <row r="52" spans="1:36">
      <c r="B52" s="12">
        <v>2027</v>
      </c>
      <c r="C52" s="319">
        <f t="shared" si="34"/>
        <v>10765619.156353801</v>
      </c>
      <c r="D52" s="319">
        <f t="shared" si="35"/>
        <v>123307.28721658555</v>
      </c>
      <c r="E52" s="326">
        <v>1639717.2903993761</v>
      </c>
      <c r="F52" s="326">
        <v>5353766.8276816355</v>
      </c>
      <c r="G52" s="326">
        <v>304346.5605623037</v>
      </c>
      <c r="H52" s="326">
        <v>1531366.8916339725</v>
      </c>
      <c r="I52" s="327">
        <v>2045.6661014918702</v>
      </c>
      <c r="J52" s="327">
        <v>0</v>
      </c>
      <c r="K52" s="327">
        <v>9062.9603289399056</v>
      </c>
      <c r="L52" s="327">
        <v>6988073</v>
      </c>
      <c r="M52" s="327">
        <v>79290.413860487781</v>
      </c>
      <c r="N52" s="327">
        <f t="shared" si="31"/>
        <v>1328265.4710751467</v>
      </c>
      <c r="O52" s="327">
        <f t="shared" si="32"/>
        <v>298623.5069194861</v>
      </c>
      <c r="P52" s="327">
        <v>2337397.4736981387</v>
      </c>
      <c r="Q52" s="326">
        <v>10888926.443570396</v>
      </c>
      <c r="R52" s="327">
        <v>1626888.9779946322</v>
      </c>
      <c r="T52" s="321"/>
      <c r="U52" s="321"/>
      <c r="V52" s="12">
        <f t="shared" si="36"/>
        <v>2025</v>
      </c>
      <c r="W52" s="325">
        <f t="shared" ref="W52:AJ52" ca="1" si="47">W15-W14</f>
        <v>4719193.4072002992</v>
      </c>
      <c r="X52" s="325">
        <f t="shared" ca="1" si="47"/>
        <v>54032.222837768262</v>
      </c>
      <c r="Y52" s="325">
        <f t="shared" ca="1" si="47"/>
        <v>2422863.9526013955</v>
      </c>
      <c r="Z52" s="325">
        <f t="shared" ca="1" si="47"/>
        <v>11649927.570476398</v>
      </c>
      <c r="AA52" s="325">
        <f t="shared" ca="1" si="47"/>
        <v>939904.03462631162</v>
      </c>
      <c r="AB52" s="325">
        <f t="shared" ca="1" si="47"/>
        <v>4950646.4943408594</v>
      </c>
      <c r="AC52" s="325">
        <f t="shared" si="47"/>
        <v>-381.98632882590846</v>
      </c>
      <c r="AD52" s="325">
        <f t="shared" si="47"/>
        <v>0</v>
      </c>
      <c r="AE52" s="325">
        <f t="shared" si="47"/>
        <v>0</v>
      </c>
      <c r="AF52" s="325">
        <f t="shared" ca="1" si="47"/>
        <v>1850999.7098826803</v>
      </c>
      <c r="AG52" s="325">
        <f t="shared" ca="1" si="47"/>
        <v>339642.69689741544</v>
      </c>
      <c r="AH52" s="325">
        <f t="shared" ca="1" si="47"/>
        <v>5243595.8772736937</v>
      </c>
      <c r="AI52" s="325">
        <f t="shared" ca="1" si="47"/>
        <v>1181909.3144192081</v>
      </c>
      <c r="AJ52" s="325">
        <f t="shared" si="47"/>
        <v>0</v>
      </c>
    </row>
    <row r="53" spans="1:36">
      <c r="B53" s="12">
        <v>2028</v>
      </c>
      <c r="C53" s="319">
        <f t="shared" si="34"/>
        <v>10765520.288763758</v>
      </c>
      <c r="D53" s="319">
        <f t="shared" si="35"/>
        <v>123306.15480662893</v>
      </c>
      <c r="E53" s="326">
        <v>725925.95192336873</v>
      </c>
      <c r="F53" s="326">
        <v>2523578.1158796391</v>
      </c>
      <c r="G53" s="326">
        <v>125607.11644506078</v>
      </c>
      <c r="H53" s="326">
        <v>647085.76198349451</v>
      </c>
      <c r="I53" s="327">
        <v>844.26851988426461</v>
      </c>
      <c r="J53" s="327">
        <v>0</v>
      </c>
      <c r="K53" s="327">
        <v>0</v>
      </c>
      <c r="L53" s="327">
        <v>6988073</v>
      </c>
      <c r="M53" s="327">
        <v>13500.5407484845</v>
      </c>
      <c r="N53" s="327">
        <f t="shared" si="31"/>
        <v>227757.46053902066</v>
      </c>
      <c r="O53" s="327">
        <f t="shared" si="32"/>
        <v>51204.923318669127</v>
      </c>
      <c r="P53" s="327">
        <v>0</v>
      </c>
      <c r="Q53" s="326">
        <v>10888826.443570396</v>
      </c>
      <c r="R53" s="327">
        <v>278962.38385768968</v>
      </c>
      <c r="T53" s="321"/>
      <c r="U53" s="321"/>
      <c r="V53" s="12">
        <f t="shared" si="36"/>
        <v>2026</v>
      </c>
      <c r="W53" s="325">
        <f t="shared" ref="W53:AJ53" ca="1" si="48">W16-W15</f>
        <v>6977171.8650754169</v>
      </c>
      <c r="X53" s="325">
        <f t="shared" ca="1" si="48"/>
        <v>79883.893096359679</v>
      </c>
      <c r="Y53" s="325">
        <f t="shared" ca="1" si="48"/>
        <v>1760333.7544675134</v>
      </c>
      <c r="Z53" s="325">
        <f t="shared" ca="1" si="48"/>
        <v>13098732.271378517</v>
      </c>
      <c r="AA53" s="325">
        <f t="shared" ca="1" si="48"/>
        <v>1148264.6881035548</v>
      </c>
      <c r="AB53" s="325">
        <f t="shared" ca="1" si="48"/>
        <v>4514247.820323538</v>
      </c>
      <c r="AC53" s="325">
        <f t="shared" si="48"/>
        <v>-47.259018533852213</v>
      </c>
      <c r="AD53" s="325">
        <f t="shared" si="48"/>
        <v>0</v>
      </c>
      <c r="AE53" s="325">
        <f t="shared" si="48"/>
        <v>-542916.24946442805</v>
      </c>
      <c r="AF53" s="325">
        <f t="shared" ca="1" si="48"/>
        <v>2655841.722695142</v>
      </c>
      <c r="AG53" s="325">
        <f t="shared" ca="1" si="48"/>
        <v>660482.63795514684</v>
      </c>
      <c r="AH53" s="325">
        <f t="shared" ca="1" si="48"/>
        <v>4855099.3756439537</v>
      </c>
      <c r="AI53" s="325">
        <f t="shared" ca="1" si="48"/>
        <v>1096100.7705496252</v>
      </c>
      <c r="AJ53" s="325">
        <f t="shared" si="48"/>
        <v>0</v>
      </c>
    </row>
    <row r="54" spans="1:36">
      <c r="B54" s="12">
        <v>2029</v>
      </c>
      <c r="C54" s="319">
        <f t="shared" ref="C54:C56" si="49">Q54*$C$1</f>
        <v>10720947.813144503</v>
      </c>
      <c r="D54" s="319">
        <f t="shared" ref="D54:D56" si="50">Q54*$D$1</f>
        <v>122795.63042588359</v>
      </c>
      <c r="E54" s="326">
        <v>725925.95192336873</v>
      </c>
      <c r="F54" s="326">
        <v>2523578.1158796391</v>
      </c>
      <c r="G54" s="326">
        <v>125607.11644506078</v>
      </c>
      <c r="H54" s="326">
        <v>647085.76198349451</v>
      </c>
      <c r="I54" s="327">
        <v>844.26851988426461</v>
      </c>
      <c r="J54" s="327">
        <v>0</v>
      </c>
      <c r="K54" s="327">
        <v>0</v>
      </c>
      <c r="L54" s="327">
        <v>6957505</v>
      </c>
      <c r="M54" s="327">
        <v>13500.5407484845</v>
      </c>
      <c r="N54" s="327">
        <f t="shared" si="31"/>
        <v>227757.46053902066</v>
      </c>
      <c r="O54" s="327">
        <f t="shared" si="32"/>
        <v>51204.923318669127</v>
      </c>
      <c r="P54" s="327">
        <v>0</v>
      </c>
      <c r="Q54" s="326">
        <v>10843743.443570396</v>
      </c>
      <c r="R54" s="327">
        <v>278962.38385768968</v>
      </c>
      <c r="T54" s="321"/>
      <c r="U54" s="321"/>
      <c r="V54" s="12">
        <f t="shared" si="36"/>
        <v>2027</v>
      </c>
      <c r="W54" s="325">
        <f t="shared" ref="W54:AJ54" ca="1" si="51">W17-W16</f>
        <v>7457779.8838735372</v>
      </c>
      <c r="X54" s="325">
        <f t="shared" ca="1" si="51"/>
        <v>85386.264284944045</v>
      </c>
      <c r="Y54" s="325">
        <f t="shared" ca="1" si="51"/>
        <v>2181346.159774147</v>
      </c>
      <c r="Z54" s="325">
        <f t="shared" ca="1" si="51"/>
        <v>13440196.539735928</v>
      </c>
      <c r="AA54" s="325">
        <f t="shared" ca="1" si="51"/>
        <v>1170403.3114955025</v>
      </c>
      <c r="AB54" s="325">
        <f t="shared" ca="1" si="51"/>
        <v>3382025.3416195735</v>
      </c>
      <c r="AC54" s="325">
        <f t="shared" si="51"/>
        <v>-796.96496740371867</v>
      </c>
      <c r="AD54" s="325">
        <f t="shared" si="51"/>
        <v>0</v>
      </c>
      <c r="AE54" s="325">
        <f t="shared" si="51"/>
        <v>0</v>
      </c>
      <c r="AF54" s="325">
        <f t="shared" ca="1" si="51"/>
        <v>2701767.1219756007</v>
      </c>
      <c r="AG54" s="325">
        <f t="shared" ca="1" si="51"/>
        <v>706969.92936213221</v>
      </c>
      <c r="AH54" s="325">
        <f t="shared" ca="1" si="51"/>
        <v>5327617.8023238182</v>
      </c>
      <c r="AI54" s="325">
        <f t="shared" ca="1" si="51"/>
        <v>1202676.2113854792</v>
      </c>
      <c r="AJ54" s="325">
        <f t="shared" si="51"/>
        <v>-1502580</v>
      </c>
    </row>
    <row r="55" spans="1:36">
      <c r="B55" s="12">
        <v>2030</v>
      </c>
      <c r="C55" s="319">
        <f t="shared" si="49"/>
        <v>9548186.392105395</v>
      </c>
      <c r="D55" s="319">
        <f t="shared" si="50"/>
        <v>109363.05146499285</v>
      </c>
      <c r="E55" s="326">
        <v>164660.9221893322</v>
      </c>
      <c r="F55" s="326">
        <v>576781.41735279106</v>
      </c>
      <c r="G55" s="326">
        <v>29455.107109305784</v>
      </c>
      <c r="H55" s="326">
        <v>148937.3436105304</v>
      </c>
      <c r="I55" s="327">
        <v>197.98256966660867</v>
      </c>
      <c r="J55" s="327">
        <v>0</v>
      </c>
      <c r="K55" s="327">
        <v>0</v>
      </c>
      <c r="L55" s="327">
        <v>6183582</v>
      </c>
      <c r="M55" s="327">
        <v>3758.9820036214437</v>
      </c>
      <c r="N55" s="327">
        <f t="shared" si="31"/>
        <v>64905.431117117078</v>
      </c>
      <c r="O55" s="327">
        <f t="shared" si="32"/>
        <v>14592.178958492315</v>
      </c>
      <c r="P55" s="327">
        <v>0</v>
      </c>
      <c r="Q55" s="326">
        <v>9657549.4435703959</v>
      </c>
      <c r="R55" s="327">
        <v>79497.610075609366</v>
      </c>
      <c r="T55" s="321"/>
      <c r="U55" s="321"/>
      <c r="V55" s="12">
        <f t="shared" si="36"/>
        <v>2028</v>
      </c>
      <c r="W55" s="325">
        <f ca="1">W18-W17</f>
        <v>8224729.5010756701</v>
      </c>
      <c r="X55" s="325">
        <f t="shared" ref="X55:AJ55" ca="1" si="52">X18-X17</f>
        <v>94168.230351645383</v>
      </c>
      <c r="Y55" s="325">
        <f t="shared" ca="1" si="52"/>
        <v>2463300.0074293166</v>
      </c>
      <c r="Z55" s="325">
        <f t="shared" ca="1" si="52"/>
        <v>15174015.695661455</v>
      </c>
      <c r="AA55" s="325">
        <f t="shared" ca="1" si="52"/>
        <v>1253074.6202980522</v>
      </c>
      <c r="AB55" s="325">
        <f t="shared" ca="1" si="52"/>
        <v>4660061.2649130449</v>
      </c>
      <c r="AC55" s="325">
        <f t="shared" si="52"/>
        <v>-1212.9953635576808</v>
      </c>
      <c r="AD55" s="325">
        <f t="shared" si="52"/>
        <v>0</v>
      </c>
      <c r="AE55" s="325">
        <f t="shared" si="52"/>
        <v>-9062.9603289403021</v>
      </c>
      <c r="AF55" s="325">
        <f t="shared" ca="1" si="52"/>
        <v>2945543.8511486426</v>
      </c>
      <c r="AG55" s="325">
        <f t="shared" ca="1" si="52"/>
        <v>855735.00277172402</v>
      </c>
      <c r="AH55" s="325">
        <f t="shared" ca="1" si="52"/>
        <v>6426291.8875384107</v>
      </c>
      <c r="AI55" s="325">
        <f t="shared" ca="1" si="52"/>
        <v>1449984.350982815</v>
      </c>
      <c r="AJ55" s="325">
        <f t="shared" si="52"/>
        <v>-2337397.4736981392</v>
      </c>
    </row>
    <row r="56" spans="1:36">
      <c r="B56" s="12">
        <v>2031</v>
      </c>
      <c r="C56" s="319">
        <f t="shared" si="49"/>
        <v>9547979.7588422056</v>
      </c>
      <c r="D56" s="319">
        <f t="shared" si="50"/>
        <v>109360.68472818351</v>
      </c>
      <c r="E56" s="326">
        <v>5377.7677782088549</v>
      </c>
      <c r="F56" s="326">
        <v>41542.539504788787</v>
      </c>
      <c r="G56" s="326">
        <v>769.43902895157953</v>
      </c>
      <c r="H56" s="326">
        <v>3602.7100710146283</v>
      </c>
      <c r="I56" s="327">
        <v>5.1717861893459656</v>
      </c>
      <c r="J56" s="327">
        <v>0</v>
      </c>
      <c r="K56" s="327">
        <v>0</v>
      </c>
      <c r="L56" s="327">
        <v>6183582</v>
      </c>
      <c r="M56" s="327">
        <v>0</v>
      </c>
      <c r="N56" s="327">
        <f t="shared" si="31"/>
        <v>2065.6060046349448</v>
      </c>
      <c r="O56" s="327">
        <f t="shared" si="32"/>
        <v>464.39399536505596</v>
      </c>
      <c r="P56" s="327">
        <v>0</v>
      </c>
      <c r="Q56" s="326">
        <v>9657340.4435703959</v>
      </c>
      <c r="R56" s="327">
        <v>2530</v>
      </c>
      <c r="T56" s="321"/>
      <c r="U56" s="321"/>
      <c r="V56" s="12">
        <f t="shared" si="36"/>
        <v>2029</v>
      </c>
      <c r="W56" s="325">
        <f ca="1">W19-W18</f>
        <v>8864879.0306995213</v>
      </c>
      <c r="X56" s="325">
        <f t="shared" ref="X56:AJ56" ca="1" si="53">X19-X18</f>
        <v>101497.94451177097</v>
      </c>
      <c r="Y56" s="325">
        <f t="shared" ca="1" si="53"/>
        <v>2357012.8927444033</v>
      </c>
      <c r="Z56" s="325">
        <f t="shared" ca="1" si="53"/>
        <v>12414492.94536373</v>
      </c>
      <c r="AA56" s="325">
        <f t="shared" ca="1" si="53"/>
        <v>1092775.8821820207</v>
      </c>
      <c r="AB56" s="325">
        <f t="shared" ca="1" si="53"/>
        <v>5206169.5902212113</v>
      </c>
      <c r="AC56" s="325">
        <f t="shared" si="53"/>
        <v>0</v>
      </c>
      <c r="AD56" s="325">
        <f t="shared" si="53"/>
        <v>0</v>
      </c>
      <c r="AE56" s="325">
        <f t="shared" si="53"/>
        <v>-5118668.7458090354</v>
      </c>
      <c r="AF56" s="325">
        <f t="shared" ca="1" si="53"/>
        <v>3052746.5507484339</v>
      </c>
      <c r="AG56" s="325">
        <f t="shared" ca="1" si="53"/>
        <v>830337.28808471002</v>
      </c>
      <c r="AH56" s="325">
        <f t="shared" ca="1" si="53"/>
        <v>4585170.3155578077</v>
      </c>
      <c r="AI56" s="325">
        <f t="shared" ca="1" si="53"/>
        <v>1036121.5588284452</v>
      </c>
      <c r="AJ56" s="325">
        <f t="shared" si="53"/>
        <v>-3647200</v>
      </c>
    </row>
    <row r="57" spans="1:36">
      <c r="C57" s="319"/>
      <c r="D57" s="319"/>
      <c r="E57" s="326"/>
      <c r="F57" s="326"/>
      <c r="G57" s="326"/>
      <c r="H57" s="326"/>
      <c r="I57" s="327"/>
      <c r="J57" s="327"/>
      <c r="K57" s="327"/>
      <c r="L57" s="327"/>
      <c r="M57" s="327"/>
      <c r="N57" s="327"/>
      <c r="O57" s="327"/>
      <c r="P57" s="327"/>
      <c r="Q57" s="326"/>
      <c r="R57" s="327"/>
      <c r="V57" s="12">
        <f t="shared" si="36"/>
        <v>2030</v>
      </c>
      <c r="W57" s="325">
        <f ca="1">W20-W19</f>
        <v>6849061.2438448071</v>
      </c>
      <c r="X57" s="325">
        <f t="shared" ref="X57:AJ57" ca="1" si="54">X20-X19</f>
        <v>78406.684676203993</v>
      </c>
      <c r="Y57" s="325">
        <f t="shared" ca="1" si="54"/>
        <v>2708843.2634187415</v>
      </c>
      <c r="Z57" s="325">
        <f t="shared" ca="1" si="54"/>
        <v>15102141.948017329</v>
      </c>
      <c r="AA57" s="325">
        <f t="shared" ca="1" si="54"/>
        <v>1434605.4799356982</v>
      </c>
      <c r="AB57" s="325">
        <f t="shared" ca="1" si="54"/>
        <v>7132402.079782784</v>
      </c>
      <c r="AC57" s="325">
        <f t="shared" si="54"/>
        <v>-736.94747072136408</v>
      </c>
      <c r="AD57" s="325">
        <f t="shared" si="54"/>
        <v>0</v>
      </c>
      <c r="AE57" s="325">
        <f t="shared" si="54"/>
        <v>0</v>
      </c>
      <c r="AF57" s="325">
        <f t="shared" ca="1" si="54"/>
        <v>1511926.2853593528</v>
      </c>
      <c r="AG57" s="325">
        <f t="shared" ca="1" si="54"/>
        <v>903380.11537959892</v>
      </c>
      <c r="AH57" s="325">
        <f t="shared" ca="1" si="54"/>
        <v>6243639.6721885726</v>
      </c>
      <c r="AI57" s="325">
        <f t="shared" ca="1" si="54"/>
        <v>1408856.0959007163</v>
      </c>
      <c r="AJ57" s="325">
        <f t="shared" si="54"/>
        <v>0</v>
      </c>
    </row>
    <row r="58" spans="1:36">
      <c r="A58" s="12">
        <v>2017</v>
      </c>
      <c r="B58" s="12">
        <v>2017</v>
      </c>
      <c r="C58" s="319">
        <f t="shared" si="34"/>
        <v>23890180.091589589</v>
      </c>
      <c r="D58" s="319">
        <f t="shared" si="35"/>
        <v>273633.43022133375</v>
      </c>
      <c r="E58" s="326">
        <v>3131234.5134468381</v>
      </c>
      <c r="F58" s="326">
        <v>11183115.252693864</v>
      </c>
      <c r="G58" s="326">
        <v>931473.06638638803</v>
      </c>
      <c r="H58" s="326">
        <v>9384400.1085889358</v>
      </c>
      <c r="I58" s="327">
        <v>0</v>
      </c>
      <c r="J58" s="327">
        <v>0</v>
      </c>
      <c r="K58" s="327">
        <v>5118668.7458090354</v>
      </c>
      <c r="L58" s="327">
        <v>11536999.504083337</v>
      </c>
      <c r="M58" s="327">
        <v>643886.56884125061</v>
      </c>
      <c r="N58" s="327">
        <f t="shared" ref="N58:N72" si="55">R58*$N$1</f>
        <v>5146662.6847426705</v>
      </c>
      <c r="O58" s="327">
        <f t="shared" ref="O58:O72" si="56">R58*$O$1</f>
        <v>1157083.8008801651</v>
      </c>
      <c r="P58" s="327">
        <v>3647200</v>
      </c>
      <c r="Q58" s="326">
        <v>24163813.521810941</v>
      </c>
      <c r="R58" s="327">
        <v>6303746.4856228335</v>
      </c>
      <c r="T58" s="321"/>
      <c r="V58" s="12">
        <f t="shared" si="36"/>
        <v>2031</v>
      </c>
      <c r="W58" s="325">
        <f ca="1">W21-W20</f>
        <v>6506060.3403577954</v>
      </c>
      <c r="X58" s="325">
        <f t="shared" ref="X58:AJ58" ca="1" si="57">X21-X20</f>
        <v>74475.521560451831</v>
      </c>
      <c r="Y58" s="325">
        <f t="shared" ca="1" si="57"/>
        <v>344134.14237944037</v>
      </c>
      <c r="Z58" s="325">
        <f t="shared" ca="1" si="57"/>
        <v>2787884.1541361213</v>
      </c>
      <c r="AA58" s="325">
        <f t="shared" ca="1" si="57"/>
        <v>617741.83157646284</v>
      </c>
      <c r="AB58" s="325">
        <f t="shared" ca="1" si="57"/>
        <v>5204252.3635762334</v>
      </c>
      <c r="AC58" s="325">
        <f t="shared" si="57"/>
        <v>-391.32543679556738</v>
      </c>
      <c r="AD58" s="325">
        <f t="shared" si="57"/>
        <v>0</v>
      </c>
      <c r="AE58" s="325">
        <f t="shared" si="57"/>
        <v>-3933123</v>
      </c>
      <c r="AF58" s="325">
        <f t="shared" ca="1" si="57"/>
        <v>1653959.7900695279</v>
      </c>
      <c r="AG58" s="325">
        <f t="shared" ca="1" si="57"/>
        <v>476213.10229306202</v>
      </c>
      <c r="AH58" s="325">
        <f t="shared" ca="1" si="57"/>
        <v>2704830.1495152414</v>
      </c>
      <c r="AI58" s="325">
        <f t="shared" ca="1" si="57"/>
        <v>613199.45559354126</v>
      </c>
      <c r="AJ58" s="325">
        <f t="shared" si="57"/>
        <v>-1952186.5427338928</v>
      </c>
    </row>
    <row r="59" spans="1:36">
      <c r="B59" s="12">
        <v>2018</v>
      </c>
      <c r="C59" s="319">
        <f t="shared" ref="C59:C69" si="58">Q59*$C$1</f>
        <v>18837497.315586567</v>
      </c>
      <c r="D59" s="319">
        <f t="shared" ref="D59:D69" si="59">Q59*$D$1</f>
        <v>215760.99416110126</v>
      </c>
      <c r="E59" s="326">
        <v>3143418.6216264833</v>
      </c>
      <c r="F59" s="326">
        <v>11231657.391009752</v>
      </c>
      <c r="G59" s="326">
        <v>938430.6741885962</v>
      </c>
      <c r="H59" s="326">
        <v>9265374.3339025527</v>
      </c>
      <c r="I59" s="327">
        <v>0</v>
      </c>
      <c r="J59" s="327">
        <v>0</v>
      </c>
      <c r="K59" s="327">
        <v>5118668.7458090354</v>
      </c>
      <c r="L59" s="327">
        <v>9133477.0718688909</v>
      </c>
      <c r="M59" s="327">
        <v>643777.40646628162</v>
      </c>
      <c r="N59" s="327">
        <f t="shared" si="55"/>
        <v>5145373.2468832061</v>
      </c>
      <c r="O59" s="327">
        <f t="shared" si="56"/>
        <v>1156793.9066805993</v>
      </c>
      <c r="P59" s="327">
        <v>3647200</v>
      </c>
      <c r="Q59" s="326">
        <v>19053258.309747685</v>
      </c>
      <c r="R59" s="327">
        <v>6302167.1535638031</v>
      </c>
      <c r="T59" s="321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  <c r="AG59" s="325"/>
      <c r="AH59" s="325"/>
      <c r="AI59" s="325"/>
      <c r="AJ59" s="325"/>
    </row>
    <row r="60" spans="1:36">
      <c r="B60" s="12">
        <v>2019</v>
      </c>
      <c r="C60" s="319">
        <f t="shared" si="58"/>
        <v>18837456.570212819</v>
      </c>
      <c r="D60" s="319">
        <f t="shared" si="59"/>
        <v>215760.52747159361</v>
      </c>
      <c r="E60" s="326">
        <v>3140915.8392246878</v>
      </c>
      <c r="F60" s="326">
        <v>11225544.053293206</v>
      </c>
      <c r="G60" s="326">
        <v>938343.9552036227</v>
      </c>
      <c r="H60" s="326">
        <v>9265334.2505020704</v>
      </c>
      <c r="I60" s="327">
        <v>0</v>
      </c>
      <c r="J60" s="327">
        <v>0</v>
      </c>
      <c r="K60" s="327">
        <v>5118668.7458090354</v>
      </c>
      <c r="L60" s="327">
        <v>9133453.6396544408</v>
      </c>
      <c r="M60" s="327">
        <v>604537.24409131263</v>
      </c>
      <c r="N60" s="327">
        <f t="shared" si="55"/>
        <v>5144083.8090237416</v>
      </c>
      <c r="O60" s="327">
        <f t="shared" si="56"/>
        <v>1156504.0124810338</v>
      </c>
      <c r="P60" s="327">
        <v>3647200</v>
      </c>
      <c r="Q60" s="326">
        <v>19053217.097684428</v>
      </c>
      <c r="R60" s="327">
        <v>6300587.8215047736</v>
      </c>
      <c r="T60" s="321"/>
    </row>
    <row r="61" spans="1:36">
      <c r="B61" s="12">
        <v>2020</v>
      </c>
      <c r="C61" s="319">
        <f t="shared" si="58"/>
        <v>18837415.824839074</v>
      </c>
      <c r="D61" s="319">
        <f t="shared" si="59"/>
        <v>215760.06078208599</v>
      </c>
      <c r="E61" s="326">
        <v>3138413.0568228932</v>
      </c>
      <c r="F61" s="326">
        <v>11218354.639729619</v>
      </c>
      <c r="G61" s="326">
        <v>938257.23621864908</v>
      </c>
      <c r="H61" s="326">
        <v>9067301.242948629</v>
      </c>
      <c r="I61" s="327">
        <v>0</v>
      </c>
      <c r="J61" s="327">
        <v>0</v>
      </c>
      <c r="K61" s="327">
        <v>5118668.7458090354</v>
      </c>
      <c r="L61" s="327">
        <v>9133430.2074399944</v>
      </c>
      <c r="M61" s="327">
        <v>604428.08171634376</v>
      </c>
      <c r="N61" s="327">
        <f t="shared" si="55"/>
        <v>5142262.048984427</v>
      </c>
      <c r="O61" s="327">
        <f t="shared" si="56"/>
        <v>1156094.4404613187</v>
      </c>
      <c r="P61" s="327">
        <v>3647200</v>
      </c>
      <c r="Q61" s="326">
        <v>19053175.885621175</v>
      </c>
      <c r="R61" s="327">
        <v>6298356.4894457432</v>
      </c>
      <c r="T61" s="321"/>
    </row>
    <row r="62" spans="1:36">
      <c r="B62" s="12">
        <v>2021</v>
      </c>
      <c r="C62" s="319">
        <f t="shared" si="58"/>
        <v>18837276.421537112</v>
      </c>
      <c r="D62" s="319">
        <f t="shared" si="59"/>
        <v>215758.46408404715</v>
      </c>
      <c r="E62" s="326">
        <v>2985889.097715022</v>
      </c>
      <c r="F62" s="326">
        <v>11218354.639729619</v>
      </c>
      <c r="G62" s="326">
        <v>938257.23621864908</v>
      </c>
      <c r="H62" s="326">
        <v>9067301.242948629</v>
      </c>
      <c r="I62" s="327">
        <v>0</v>
      </c>
      <c r="J62" s="327">
        <v>0</v>
      </c>
      <c r="K62" s="327">
        <v>5118668.7458090354</v>
      </c>
      <c r="L62" s="327">
        <v>9003961</v>
      </c>
      <c r="M62" s="327">
        <v>588573.08171634376</v>
      </c>
      <c r="N62" s="327">
        <f t="shared" si="55"/>
        <v>5142262.048984427</v>
      </c>
      <c r="O62" s="327">
        <f t="shared" si="56"/>
        <v>1156094.4404613187</v>
      </c>
      <c r="P62" s="327">
        <v>3647200</v>
      </c>
      <c r="Q62" s="326">
        <v>19053034.885621175</v>
      </c>
      <c r="R62" s="327">
        <v>6298356.4894457432</v>
      </c>
      <c r="T62" s="321"/>
    </row>
    <row r="63" spans="1:36">
      <c r="B63" s="12">
        <v>2022</v>
      </c>
      <c r="C63" s="319">
        <f t="shared" si="58"/>
        <v>18836997.204901651</v>
      </c>
      <c r="D63" s="319">
        <f t="shared" si="59"/>
        <v>215755.26599154877</v>
      </c>
      <c r="E63" s="326">
        <v>2670309.0416699541</v>
      </c>
      <c r="F63" s="326">
        <v>10463684.919895634</v>
      </c>
      <c r="G63" s="326">
        <v>872459.20876198937</v>
      </c>
      <c r="H63" s="326">
        <v>7410441.4728901405</v>
      </c>
      <c r="I63" s="327">
        <v>0</v>
      </c>
      <c r="J63" s="327">
        <v>0</v>
      </c>
      <c r="K63" s="327">
        <v>5118668.7458090354</v>
      </c>
      <c r="L63" s="327">
        <v>9003961</v>
      </c>
      <c r="M63" s="327">
        <v>524778.09073104057</v>
      </c>
      <c r="N63" s="327">
        <f t="shared" si="55"/>
        <v>4807806.3107584678</v>
      </c>
      <c r="O63" s="327">
        <f t="shared" si="56"/>
        <v>1080901.3803138335</v>
      </c>
      <c r="P63" s="327">
        <v>3647200</v>
      </c>
      <c r="Q63" s="326">
        <v>19052752.470893215</v>
      </c>
      <c r="R63" s="327">
        <v>5888707.6910722991</v>
      </c>
      <c r="T63" s="321"/>
    </row>
    <row r="64" spans="1:36">
      <c r="B64" s="12">
        <v>2023</v>
      </c>
      <c r="C64" s="319">
        <f t="shared" si="58"/>
        <v>18836997.204901651</v>
      </c>
      <c r="D64" s="319">
        <f t="shared" si="59"/>
        <v>215755.26599154877</v>
      </c>
      <c r="E64" s="326">
        <v>2520913.9764838195</v>
      </c>
      <c r="F64" s="326">
        <v>10463684.919895634</v>
      </c>
      <c r="G64" s="326">
        <v>872459.20876198937</v>
      </c>
      <c r="H64" s="326">
        <v>7410441.4728901405</v>
      </c>
      <c r="I64" s="327">
        <v>0</v>
      </c>
      <c r="J64" s="327">
        <v>0</v>
      </c>
      <c r="K64" s="327">
        <v>5118668.7458090354</v>
      </c>
      <c r="L64" s="327">
        <v>9003961</v>
      </c>
      <c r="M64" s="327">
        <v>488231.09073104052</v>
      </c>
      <c r="N64" s="327">
        <f t="shared" si="55"/>
        <v>4807806.3107584678</v>
      </c>
      <c r="O64" s="327">
        <f t="shared" si="56"/>
        <v>1080901.3803138335</v>
      </c>
      <c r="P64" s="327">
        <v>3647200</v>
      </c>
      <c r="Q64" s="326">
        <v>19052752.470893215</v>
      </c>
      <c r="R64" s="327">
        <v>5888707.6910722991</v>
      </c>
      <c r="T64" s="321"/>
    </row>
    <row r="65" spans="1:20">
      <c r="B65" s="12">
        <v>2024</v>
      </c>
      <c r="C65" s="319">
        <f t="shared" si="58"/>
        <v>18836756.826937214</v>
      </c>
      <c r="D65" s="319">
        <f t="shared" si="59"/>
        <v>215752.51274955954</v>
      </c>
      <c r="E65" s="326">
        <v>2440112.5692757918</v>
      </c>
      <c r="F65" s="326">
        <v>10463684.919895634</v>
      </c>
      <c r="G65" s="326">
        <v>872459.20876198937</v>
      </c>
      <c r="H65" s="326">
        <v>7410441.4728901405</v>
      </c>
      <c r="I65" s="327">
        <v>0</v>
      </c>
      <c r="J65" s="327">
        <v>0</v>
      </c>
      <c r="K65" s="327">
        <v>5118668.7458090354</v>
      </c>
      <c r="L65" s="327">
        <v>9003847</v>
      </c>
      <c r="M65" s="327">
        <v>472372.09073104052</v>
      </c>
      <c r="N65" s="327">
        <f t="shared" si="55"/>
        <v>4807806.3107584678</v>
      </c>
      <c r="O65" s="327">
        <f t="shared" si="56"/>
        <v>1080901.3803138335</v>
      </c>
      <c r="P65" s="327">
        <v>3647200</v>
      </c>
      <c r="Q65" s="326">
        <v>19052509.339686789</v>
      </c>
      <c r="R65" s="327">
        <v>5888707.6910722991</v>
      </c>
      <c r="T65" s="321"/>
    </row>
    <row r="66" spans="1:20">
      <c r="B66" s="12">
        <v>2025</v>
      </c>
      <c r="C66" s="319">
        <f t="shared" si="58"/>
        <v>18836728.273067556</v>
      </c>
      <c r="D66" s="319">
        <f t="shared" si="59"/>
        <v>215752.18569914508</v>
      </c>
      <c r="E66" s="326">
        <v>2336966.8845997229</v>
      </c>
      <c r="F66" s="326">
        <v>10387196.196200801</v>
      </c>
      <c r="G66" s="326">
        <v>865730.42522616452</v>
      </c>
      <c r="H66" s="326">
        <v>7383548.2561729103</v>
      </c>
      <c r="I66" s="327">
        <v>0</v>
      </c>
      <c r="J66" s="327">
        <v>0</v>
      </c>
      <c r="K66" s="327">
        <v>5118668.7458090354</v>
      </c>
      <c r="L66" s="327">
        <v>9003847</v>
      </c>
      <c r="M66" s="327">
        <v>435474.87674536183</v>
      </c>
      <c r="N66" s="327">
        <f t="shared" si="55"/>
        <v>4804627.4219663637</v>
      </c>
      <c r="O66" s="327">
        <f t="shared" si="56"/>
        <v>1080186.6956819752</v>
      </c>
      <c r="P66" s="327">
        <v>3647200</v>
      </c>
      <c r="Q66" s="326">
        <v>19052480.458766717</v>
      </c>
      <c r="R66" s="327">
        <v>5884814.117648337</v>
      </c>
      <c r="T66" s="321"/>
    </row>
    <row r="67" spans="1:20">
      <c r="B67" s="12">
        <v>2026</v>
      </c>
      <c r="C67" s="319">
        <f t="shared" si="58"/>
        <v>18814561.24655268</v>
      </c>
      <c r="D67" s="319">
        <f t="shared" si="59"/>
        <v>215498.2889315268</v>
      </c>
      <c r="E67" s="326">
        <v>2225452.5731789223</v>
      </c>
      <c r="F67" s="326">
        <v>10315946.014382619</v>
      </c>
      <c r="G67" s="326">
        <v>865730.42522616452</v>
      </c>
      <c r="H67" s="326">
        <v>7374641.9834456388</v>
      </c>
      <c r="I67" s="327">
        <v>0</v>
      </c>
      <c r="J67" s="327">
        <v>0</v>
      </c>
      <c r="K67" s="327">
        <v>5118668.7458090354</v>
      </c>
      <c r="L67" s="327">
        <v>8993310</v>
      </c>
      <c r="M67" s="327">
        <v>416521.87674536183</v>
      </c>
      <c r="N67" s="327">
        <f t="shared" si="55"/>
        <v>4472891.9140670532</v>
      </c>
      <c r="O67" s="327">
        <f t="shared" si="56"/>
        <v>1005605.2035812862</v>
      </c>
      <c r="P67" s="327">
        <v>3647200</v>
      </c>
      <c r="Q67" s="326">
        <v>19030059.535484221</v>
      </c>
      <c r="R67" s="327">
        <v>5478497.117648337</v>
      </c>
      <c r="T67" s="321"/>
    </row>
    <row r="68" spans="1:20">
      <c r="B68" s="12">
        <v>2027</v>
      </c>
      <c r="C68" s="319">
        <f t="shared" si="58"/>
        <v>18466638.667253871</v>
      </c>
      <c r="D68" s="319">
        <f t="shared" si="59"/>
        <v>211513.25204775279</v>
      </c>
      <c r="E68" s="326">
        <v>1978866.0770878724</v>
      </c>
      <c r="F68" s="326">
        <v>9591115.4313502964</v>
      </c>
      <c r="G68" s="326">
        <v>842744.44638070068</v>
      </c>
      <c r="H68" s="326">
        <v>4996132.781248128</v>
      </c>
      <c r="I68" s="327">
        <v>0</v>
      </c>
      <c r="J68" s="327">
        <v>0</v>
      </c>
      <c r="K68" s="327">
        <v>5118668.7458090354</v>
      </c>
      <c r="L68" s="327">
        <v>8808698</v>
      </c>
      <c r="M68" s="327">
        <v>402226.1571166428</v>
      </c>
      <c r="N68" s="327">
        <f t="shared" si="55"/>
        <v>4404305.7881216602</v>
      </c>
      <c r="O68" s="327">
        <f t="shared" si="56"/>
        <v>990185.52287600061</v>
      </c>
      <c r="P68" s="327">
        <v>3647200</v>
      </c>
      <c r="Q68" s="326">
        <v>18678151.919301637</v>
      </c>
      <c r="R68" s="327">
        <v>5394491.3109976593</v>
      </c>
      <c r="T68" s="321"/>
    </row>
    <row r="69" spans="1:20">
      <c r="B69" s="12">
        <v>2028</v>
      </c>
      <c r="C69" s="319">
        <f t="shared" si="58"/>
        <v>18406909.994179673</v>
      </c>
      <c r="D69" s="319">
        <f t="shared" si="59"/>
        <v>210829.13155836333</v>
      </c>
      <c r="E69" s="326">
        <v>1863449.7977328463</v>
      </c>
      <c r="F69" s="326">
        <v>9176551.3051647563</v>
      </c>
      <c r="G69" s="326">
        <v>806965.593395415</v>
      </c>
      <c r="H69" s="326">
        <v>3408428.3741547461</v>
      </c>
      <c r="I69" s="327">
        <v>0</v>
      </c>
      <c r="J69" s="327">
        <v>0</v>
      </c>
      <c r="K69" s="327">
        <v>5118668.7458090354</v>
      </c>
      <c r="L69" s="327">
        <v>8801844</v>
      </c>
      <c r="M69" s="327">
        <v>387522.1571166428</v>
      </c>
      <c r="N69" s="327">
        <f t="shared" si="55"/>
        <v>4404305.7881216602</v>
      </c>
      <c r="O69" s="327">
        <f t="shared" si="56"/>
        <v>990185.52287600061</v>
      </c>
      <c r="P69" s="327">
        <v>3647200</v>
      </c>
      <c r="Q69" s="326">
        <v>18617739.125738051</v>
      </c>
      <c r="R69" s="327">
        <v>5394491.3109976593</v>
      </c>
    </row>
    <row r="70" spans="1:20">
      <c r="B70" s="12">
        <v>2029</v>
      </c>
      <c r="C70" s="319">
        <f t="shared" ref="C70:C72" si="60">Q70*$C$1</f>
        <v>18403142.679046251</v>
      </c>
      <c r="D70" s="319">
        <f t="shared" ref="D70:D72" si="61">Q70*$D$1</f>
        <v>210785.98147080725</v>
      </c>
      <c r="E70" s="326">
        <v>876627.71974885243</v>
      </c>
      <c r="F70" s="326">
        <v>4343704.3101612488</v>
      </c>
      <c r="G70" s="326">
        <v>381894.94084510632</v>
      </c>
      <c r="H70" s="326">
        <v>1543560.1316916719</v>
      </c>
      <c r="I70" s="327">
        <v>0</v>
      </c>
      <c r="J70" s="327">
        <v>0</v>
      </c>
      <c r="K70" s="327">
        <v>0</v>
      </c>
      <c r="L70" s="327">
        <v>8800490</v>
      </c>
      <c r="M70" s="327">
        <v>251521.90884164261</v>
      </c>
      <c r="N70" s="327">
        <f t="shared" si="55"/>
        <v>2748118.6468723724</v>
      </c>
      <c r="O70" s="327">
        <f t="shared" si="56"/>
        <v>617837.95907575171</v>
      </c>
      <c r="P70" s="327">
        <v>0</v>
      </c>
      <c r="Q70" s="326">
        <v>18613928.660517074</v>
      </c>
      <c r="R70" s="327">
        <v>3365956.6059481227</v>
      </c>
    </row>
    <row r="71" spans="1:20">
      <c r="B71" s="12">
        <v>2030</v>
      </c>
      <c r="C71" s="319">
        <f t="shared" si="60"/>
        <v>17246964.110725529</v>
      </c>
      <c r="D71" s="319">
        <f t="shared" si="61"/>
        <v>197543.33924772221</v>
      </c>
      <c r="E71" s="326">
        <v>731111.43985553179</v>
      </c>
      <c r="F71" s="326">
        <v>3616360.7597424695</v>
      </c>
      <c r="G71" s="326">
        <v>317909.85820112843</v>
      </c>
      <c r="H71" s="326">
        <v>1287828.2174381053</v>
      </c>
      <c r="I71" s="327">
        <v>0</v>
      </c>
      <c r="J71" s="327">
        <v>0</v>
      </c>
      <c r="K71" s="327">
        <v>0</v>
      </c>
      <c r="L71" s="327">
        <v>8250359</v>
      </c>
      <c r="M71" s="327">
        <v>223283.5278418462</v>
      </c>
      <c r="N71" s="327">
        <f t="shared" si="55"/>
        <v>2483823.33170775</v>
      </c>
      <c r="O71" s="327">
        <f t="shared" si="56"/>
        <v>558418.51650531008</v>
      </c>
      <c r="P71" s="327">
        <v>0</v>
      </c>
      <c r="Q71" s="326">
        <v>17444507.449973267</v>
      </c>
      <c r="R71" s="327">
        <v>3042241.8482130589</v>
      </c>
    </row>
    <row r="72" spans="1:20">
      <c r="B72" s="12">
        <v>2031</v>
      </c>
      <c r="C72" s="319">
        <f t="shared" si="60"/>
        <v>15918569.041796589</v>
      </c>
      <c r="D72" s="319">
        <f t="shared" si="61"/>
        <v>182328.16305371365</v>
      </c>
      <c r="E72" s="326">
        <v>85547.94064863032</v>
      </c>
      <c r="F72" s="326">
        <v>389598.44917386939</v>
      </c>
      <c r="G72" s="326">
        <v>34048.603096398198</v>
      </c>
      <c r="H72" s="326">
        <v>153307.80813791175</v>
      </c>
      <c r="I72" s="327">
        <v>0</v>
      </c>
      <c r="J72" s="327">
        <v>0</v>
      </c>
      <c r="K72" s="327">
        <v>0</v>
      </c>
      <c r="L72" s="327">
        <v>7620125</v>
      </c>
      <c r="M72" s="327">
        <v>28421.93992002519</v>
      </c>
      <c r="N72" s="327">
        <f t="shared" si="55"/>
        <v>200966.26082868953</v>
      </c>
      <c r="O72" s="327">
        <f t="shared" si="56"/>
        <v>45181.668038530355</v>
      </c>
      <c r="P72" s="327">
        <v>0</v>
      </c>
      <c r="Q72" s="326">
        <v>16100897.204850316</v>
      </c>
      <c r="R72" s="327">
        <v>246147.9288672198</v>
      </c>
    </row>
    <row r="73" spans="1:20">
      <c r="C73" s="319"/>
      <c r="D73" s="319"/>
      <c r="N73" s="327"/>
      <c r="O73" s="327"/>
    </row>
    <row r="74" spans="1:20">
      <c r="A74" s="12">
        <v>2018</v>
      </c>
      <c r="B74" s="12">
        <v>2018</v>
      </c>
      <c r="C74" s="319">
        <f t="shared" ref="C74:C93" si="62">Q74*$C$1</f>
        <v>6008127.8452982539</v>
      </c>
      <c r="D74" s="319">
        <f t="shared" ref="D74:D93" si="63">Q74*$D$1</f>
        <v>68815.916213877441</v>
      </c>
      <c r="E74" s="326">
        <v>4101439.5520958058</v>
      </c>
      <c r="F74" s="326">
        <v>11988932.622576458</v>
      </c>
      <c r="G74" s="326">
        <v>697870.40923296474</v>
      </c>
      <c r="H74" s="326">
        <v>3777886.2493942054</v>
      </c>
      <c r="I74" s="327">
        <v>0</v>
      </c>
      <c r="J74" s="327">
        <v>0</v>
      </c>
      <c r="K74" s="327">
        <v>0</v>
      </c>
      <c r="L74" s="327">
        <v>2585451.1267797137</v>
      </c>
      <c r="M74" s="327">
        <v>393441.3680000875</v>
      </c>
      <c r="N74" s="327">
        <f t="shared" ref="N74:N87" si="64">R74*$N$1</f>
        <v>3517462.1175847533</v>
      </c>
      <c r="O74" s="327">
        <f t="shared" ref="O74:O87" si="65">R74*$O$1</f>
        <v>790803.41684962355</v>
      </c>
      <c r="P74" s="327">
        <v>1630534.6401480865</v>
      </c>
      <c r="Q74" s="326">
        <v>6076943.7615121361</v>
      </c>
      <c r="R74" s="327">
        <v>4308265.5344343754</v>
      </c>
      <c r="T74" s="321"/>
    </row>
    <row r="75" spans="1:20">
      <c r="B75" s="12">
        <v>2019</v>
      </c>
      <c r="C75" s="319">
        <f t="shared" si="62"/>
        <v>5987717.8087717649</v>
      </c>
      <c r="D75" s="319">
        <f t="shared" si="63"/>
        <v>68582.143664475341</v>
      </c>
      <c r="E75" s="326">
        <v>4060972.0146413436</v>
      </c>
      <c r="F75" s="326">
        <v>11963526.190470902</v>
      </c>
      <c r="G75" s="326">
        <v>696144.88830867212</v>
      </c>
      <c r="H75" s="326">
        <v>3769875.5936828153</v>
      </c>
      <c r="I75" s="327">
        <v>0</v>
      </c>
      <c r="J75" s="327">
        <v>0</v>
      </c>
      <c r="K75" s="327">
        <v>0</v>
      </c>
      <c r="L75" s="327">
        <v>2576682.3291623341</v>
      </c>
      <c r="M75" s="327">
        <v>376950.19698951981</v>
      </c>
      <c r="N75" s="327">
        <f t="shared" si="64"/>
        <v>3507788.0820234185</v>
      </c>
      <c r="O75" s="327">
        <f t="shared" si="65"/>
        <v>788628.47931770748</v>
      </c>
      <c r="P75" s="327">
        <v>1630534.6401480865</v>
      </c>
      <c r="Q75" s="326">
        <v>6056299.952436245</v>
      </c>
      <c r="R75" s="327">
        <v>4296416.5613411246</v>
      </c>
      <c r="T75" s="321"/>
    </row>
    <row r="76" spans="1:20">
      <c r="B76" s="12">
        <v>2020</v>
      </c>
      <c r="C76" s="319">
        <f t="shared" si="62"/>
        <v>5967307.7722452758</v>
      </c>
      <c r="D76" s="319">
        <f t="shared" si="63"/>
        <v>68348.371115073256</v>
      </c>
      <c r="E76" s="326">
        <v>4020504.4771868815</v>
      </c>
      <c r="F76" s="326">
        <v>11938119.758365346</v>
      </c>
      <c r="G76" s="326">
        <v>694419.36738437938</v>
      </c>
      <c r="H76" s="326">
        <v>3761864.9379714262</v>
      </c>
      <c r="I76" s="327">
        <v>0</v>
      </c>
      <c r="J76" s="327">
        <v>0</v>
      </c>
      <c r="K76" s="327">
        <v>0</v>
      </c>
      <c r="L76" s="327">
        <v>2567913.5315449545</v>
      </c>
      <c r="M76" s="327">
        <v>360459.02597895212</v>
      </c>
      <c r="N76" s="327">
        <f t="shared" si="64"/>
        <v>3498114.0464620842</v>
      </c>
      <c r="O76" s="327">
        <f t="shared" si="65"/>
        <v>786453.54178579128</v>
      </c>
      <c r="P76" s="327">
        <v>1630534.6401480865</v>
      </c>
      <c r="Q76" s="326">
        <v>6035656.143360354</v>
      </c>
      <c r="R76" s="327">
        <v>4284567.5882478738</v>
      </c>
      <c r="T76" s="321"/>
    </row>
    <row r="77" spans="1:20">
      <c r="B77" s="12">
        <v>2021</v>
      </c>
      <c r="C77" s="319">
        <f t="shared" si="62"/>
        <v>5967307.7722452758</v>
      </c>
      <c r="D77" s="319">
        <f t="shared" si="63"/>
        <v>68348.371115073256</v>
      </c>
      <c r="E77" s="326">
        <v>3945880.7793294475</v>
      </c>
      <c r="F77" s="326">
        <v>11929235.662686849</v>
      </c>
      <c r="G77" s="326">
        <v>694419.36738437938</v>
      </c>
      <c r="H77" s="326">
        <v>3616023.882092725</v>
      </c>
      <c r="I77" s="327">
        <v>0</v>
      </c>
      <c r="J77" s="327">
        <v>0</v>
      </c>
      <c r="K77" s="327">
        <v>0</v>
      </c>
      <c r="L77" s="327">
        <v>0</v>
      </c>
      <c r="M77" s="327">
        <v>360459.02597895212</v>
      </c>
      <c r="N77" s="327">
        <f t="shared" si="64"/>
        <v>3498114.0464620842</v>
      </c>
      <c r="O77" s="327">
        <f t="shared" si="65"/>
        <v>786453.54178579128</v>
      </c>
      <c r="P77" s="327">
        <v>1630534.6401480865</v>
      </c>
      <c r="Q77" s="326">
        <v>6035656.143360354</v>
      </c>
      <c r="R77" s="327">
        <v>4284567.5882478738</v>
      </c>
      <c r="T77" s="321"/>
    </row>
    <row r="78" spans="1:20">
      <c r="B78" s="12">
        <v>2022</v>
      </c>
      <c r="C78" s="319">
        <f t="shared" si="62"/>
        <v>5967307.7722452758</v>
      </c>
      <c r="D78" s="319">
        <f t="shared" si="63"/>
        <v>68348.371115073256</v>
      </c>
      <c r="E78" s="326">
        <v>3874000.8005028949</v>
      </c>
      <c r="F78" s="326">
        <v>11928930.250059063</v>
      </c>
      <c r="G78" s="326">
        <v>694419.36738437938</v>
      </c>
      <c r="H78" s="326">
        <v>3616023.882092725</v>
      </c>
      <c r="I78" s="327">
        <v>0</v>
      </c>
      <c r="J78" s="327">
        <v>0</v>
      </c>
      <c r="K78" s="327">
        <v>0</v>
      </c>
      <c r="L78" s="327">
        <v>0</v>
      </c>
      <c r="M78" s="327">
        <v>356206.68380237254</v>
      </c>
      <c r="N78" s="327">
        <f t="shared" si="64"/>
        <v>3498114.0464620842</v>
      </c>
      <c r="O78" s="327">
        <f t="shared" si="65"/>
        <v>786453.54178579128</v>
      </c>
      <c r="P78" s="327">
        <v>1630534.6401480865</v>
      </c>
      <c r="Q78" s="326">
        <v>6035656.143360354</v>
      </c>
      <c r="R78" s="327">
        <v>4284567.5882478738</v>
      </c>
      <c r="T78" s="321"/>
    </row>
    <row r="79" spans="1:20">
      <c r="B79" s="12">
        <v>2023</v>
      </c>
      <c r="C79" s="319">
        <f t="shared" si="62"/>
        <v>5966773.3623594437</v>
      </c>
      <c r="D79" s="319">
        <f t="shared" si="63"/>
        <v>68342.250089210589</v>
      </c>
      <c r="E79" s="326">
        <v>3542263.2488588598</v>
      </c>
      <c r="F79" s="326">
        <v>11092113.613923138</v>
      </c>
      <c r="G79" s="326">
        <v>645721.18224089092</v>
      </c>
      <c r="H79" s="326">
        <v>3239624.711998119</v>
      </c>
      <c r="I79" s="327">
        <v>0</v>
      </c>
      <c r="J79" s="327">
        <v>0</v>
      </c>
      <c r="K79" s="327">
        <v>0</v>
      </c>
      <c r="L79" s="327">
        <v>0</v>
      </c>
      <c r="M79" s="327">
        <v>325023.20110597264</v>
      </c>
      <c r="N79" s="327">
        <f t="shared" si="64"/>
        <v>3249912.4118581191</v>
      </c>
      <c r="O79" s="327">
        <f t="shared" si="65"/>
        <v>730652.31517663284</v>
      </c>
      <c r="P79" s="327">
        <v>1630534.6401480865</v>
      </c>
      <c r="Q79" s="326">
        <v>6035115.6124486588</v>
      </c>
      <c r="R79" s="327">
        <v>3980564.7270347504</v>
      </c>
      <c r="T79" s="321"/>
    </row>
    <row r="80" spans="1:20">
      <c r="B80" s="12">
        <v>2024</v>
      </c>
      <c r="C80" s="319">
        <f t="shared" si="62"/>
        <v>5966773.3623594437</v>
      </c>
      <c r="D80" s="319">
        <f t="shared" si="63"/>
        <v>68342.250089210589</v>
      </c>
      <c r="E80" s="326">
        <v>3463123.8828441631</v>
      </c>
      <c r="F80" s="326">
        <v>11091761.450337086</v>
      </c>
      <c r="G80" s="326">
        <v>645721.18224089092</v>
      </c>
      <c r="H80" s="326">
        <v>3239624.711998119</v>
      </c>
      <c r="I80" s="327">
        <v>0</v>
      </c>
      <c r="J80" s="327">
        <v>0</v>
      </c>
      <c r="K80" s="327">
        <v>0</v>
      </c>
      <c r="L80" s="327">
        <v>0</v>
      </c>
      <c r="M80" s="327">
        <v>315221.22384154791</v>
      </c>
      <c r="N80" s="327">
        <f t="shared" si="64"/>
        <v>3249912.4118581191</v>
      </c>
      <c r="O80" s="327">
        <f t="shared" si="65"/>
        <v>730652.31517663284</v>
      </c>
      <c r="P80" s="327">
        <v>1630534.6401480865</v>
      </c>
      <c r="Q80" s="326">
        <v>6035115.6124486588</v>
      </c>
      <c r="R80" s="327">
        <v>3980564.7270347504</v>
      </c>
      <c r="T80" s="321"/>
    </row>
    <row r="81" spans="1:20">
      <c r="B81" s="12">
        <v>2025</v>
      </c>
      <c r="C81" s="319">
        <f t="shared" si="62"/>
        <v>5966687.4711189279</v>
      </c>
      <c r="D81" s="319">
        <f t="shared" si="63"/>
        <v>68341.266307812621</v>
      </c>
      <c r="E81" s="326">
        <v>3451699.0201660716</v>
      </c>
      <c r="F81" s="326">
        <v>11091761.450337086</v>
      </c>
      <c r="G81" s="326">
        <v>645721.18224089092</v>
      </c>
      <c r="H81" s="326">
        <v>3239624.711998119</v>
      </c>
      <c r="I81" s="327">
        <v>0</v>
      </c>
      <c r="J81" s="327">
        <v>0</v>
      </c>
      <c r="K81" s="327">
        <v>0</v>
      </c>
      <c r="L81" s="327">
        <v>0</v>
      </c>
      <c r="M81" s="327">
        <v>310967.80885710288</v>
      </c>
      <c r="N81" s="327">
        <f t="shared" si="64"/>
        <v>3249912.4118581191</v>
      </c>
      <c r="O81" s="327">
        <f t="shared" si="65"/>
        <v>730652.31517663284</v>
      </c>
      <c r="P81" s="327">
        <v>1630534.6401480865</v>
      </c>
      <c r="Q81" s="326">
        <v>6035028.7374267457</v>
      </c>
      <c r="R81" s="327">
        <v>3980564.7270347504</v>
      </c>
      <c r="T81" s="321"/>
    </row>
    <row r="82" spans="1:20">
      <c r="B82" s="12">
        <v>2026</v>
      </c>
      <c r="C82" s="319">
        <f t="shared" si="62"/>
        <v>5966632.8201122014</v>
      </c>
      <c r="D82" s="319">
        <f t="shared" si="63"/>
        <v>68340.64034591621</v>
      </c>
      <c r="E82" s="326">
        <v>3416331.7817907729</v>
      </c>
      <c r="F82" s="326">
        <v>11006237.129005747</v>
      </c>
      <c r="G82" s="326">
        <v>640741.1006323063</v>
      </c>
      <c r="H82" s="326">
        <v>3225185.1894012443</v>
      </c>
      <c r="I82" s="327">
        <v>0</v>
      </c>
      <c r="J82" s="327">
        <v>0</v>
      </c>
      <c r="K82" s="327">
        <v>0</v>
      </c>
      <c r="L82" s="327">
        <v>0</v>
      </c>
      <c r="M82" s="327">
        <v>300938.13926390919</v>
      </c>
      <c r="N82" s="327">
        <f t="shared" si="64"/>
        <v>3247553.3391789976</v>
      </c>
      <c r="O82" s="327">
        <f t="shared" si="65"/>
        <v>730121.94337080175</v>
      </c>
      <c r="P82" s="327">
        <v>1630534.6401480865</v>
      </c>
      <c r="Q82" s="326">
        <v>6034973.4604581222</v>
      </c>
      <c r="R82" s="327">
        <v>3977675.282549798</v>
      </c>
      <c r="T82" s="321"/>
    </row>
    <row r="83" spans="1:20">
      <c r="B83" s="12">
        <v>2027</v>
      </c>
      <c r="C83" s="319">
        <f t="shared" si="62"/>
        <v>5966632.8201122014</v>
      </c>
      <c r="D83" s="319">
        <f t="shared" si="63"/>
        <v>68340.64034591621</v>
      </c>
      <c r="E83" s="326">
        <v>3403082.8812350808</v>
      </c>
      <c r="F83" s="326">
        <v>11006237.129005747</v>
      </c>
      <c r="G83" s="326">
        <v>640741.1006323063</v>
      </c>
      <c r="H83" s="326">
        <v>3225185.1894012443</v>
      </c>
      <c r="I83" s="327">
        <v>0</v>
      </c>
      <c r="J83" s="327">
        <v>0</v>
      </c>
      <c r="K83" s="327">
        <v>0</v>
      </c>
      <c r="L83" s="327">
        <v>0</v>
      </c>
      <c r="M83" s="327">
        <v>295854.90739555773</v>
      </c>
      <c r="N83" s="327">
        <f t="shared" si="64"/>
        <v>3247553.3391789976</v>
      </c>
      <c r="O83" s="327">
        <f t="shared" si="65"/>
        <v>730121.94337080175</v>
      </c>
      <c r="P83" s="327">
        <v>1630534.6401480865</v>
      </c>
      <c r="Q83" s="326">
        <v>6034973.4604581222</v>
      </c>
      <c r="R83" s="327">
        <v>3977675.282549798</v>
      </c>
      <c r="T83" s="321"/>
    </row>
    <row r="84" spans="1:20">
      <c r="B84" s="12">
        <v>2028</v>
      </c>
      <c r="C84" s="319">
        <f t="shared" si="62"/>
        <v>5885540.6424424043</v>
      </c>
      <c r="D84" s="319">
        <f t="shared" si="63"/>
        <v>67411.826471142776</v>
      </c>
      <c r="E84" s="326">
        <v>3312393.7647090815</v>
      </c>
      <c r="F84" s="326">
        <v>10714075.514281558</v>
      </c>
      <c r="G84" s="326">
        <v>623728.80563215562</v>
      </c>
      <c r="H84" s="326">
        <v>2751476.6498552635</v>
      </c>
      <c r="I84" s="327">
        <v>0</v>
      </c>
      <c r="J84" s="327">
        <v>0</v>
      </c>
      <c r="K84" s="327">
        <v>0</v>
      </c>
      <c r="L84" s="327">
        <v>0</v>
      </c>
      <c r="M84" s="327">
        <v>291073.29359445965</v>
      </c>
      <c r="N84" s="327">
        <f t="shared" si="64"/>
        <v>3230843.6480525881</v>
      </c>
      <c r="O84" s="327">
        <f t="shared" si="65"/>
        <v>726365.23458602035</v>
      </c>
      <c r="P84" s="327">
        <v>1630534.6401480865</v>
      </c>
      <c r="Q84" s="326">
        <v>5952952.4689135514</v>
      </c>
      <c r="R84" s="327">
        <v>3957208.8826386072</v>
      </c>
      <c r="T84" s="321"/>
    </row>
    <row r="85" spans="1:20">
      <c r="B85" s="12">
        <v>2029</v>
      </c>
      <c r="C85" s="319">
        <f t="shared" ref="C85:C87" si="66">Q85*$C$1</f>
        <v>5755474.250497519</v>
      </c>
      <c r="D85" s="319">
        <f t="shared" ref="D85:D87" si="67">Q85*$D$1</f>
        <v>65922.071565656704</v>
      </c>
      <c r="E85" s="326">
        <v>3184781.332873188</v>
      </c>
      <c r="F85" s="326">
        <v>10259313.650513787</v>
      </c>
      <c r="G85" s="326">
        <v>597248.2974125623</v>
      </c>
      <c r="H85" s="326">
        <v>2399787.8540170589</v>
      </c>
      <c r="I85" s="327">
        <v>0</v>
      </c>
      <c r="J85" s="327">
        <v>0</v>
      </c>
      <c r="K85" s="327">
        <v>0</v>
      </c>
      <c r="L85" s="327">
        <v>0</v>
      </c>
      <c r="M85" s="327">
        <v>287129.6518811562</v>
      </c>
      <c r="N85" s="327">
        <f t="shared" si="64"/>
        <v>3230843.6480525881</v>
      </c>
      <c r="O85" s="327">
        <f t="shared" si="65"/>
        <v>726365.23458602035</v>
      </c>
      <c r="P85" s="327">
        <v>1630534.6401480865</v>
      </c>
      <c r="Q85" s="326">
        <v>5821396.3220631806</v>
      </c>
      <c r="R85" s="327">
        <v>3957208.8826386072</v>
      </c>
      <c r="T85" s="321"/>
    </row>
    <row r="86" spans="1:20">
      <c r="B86" s="12">
        <v>2030</v>
      </c>
      <c r="C86" s="319">
        <f t="shared" si="66"/>
        <v>5755474.250497519</v>
      </c>
      <c r="D86" s="319">
        <f t="shared" si="67"/>
        <v>65922.071565656704</v>
      </c>
      <c r="E86" s="326">
        <v>3184781.332873188</v>
      </c>
      <c r="F86" s="326">
        <v>10259313.650513787</v>
      </c>
      <c r="G86" s="326">
        <v>597248.2974125623</v>
      </c>
      <c r="H86" s="326">
        <v>2399787.8540170589</v>
      </c>
      <c r="I86" s="327">
        <v>0</v>
      </c>
      <c r="J86" s="327">
        <v>0</v>
      </c>
      <c r="K86" s="327">
        <v>0</v>
      </c>
      <c r="L86" s="327">
        <v>0</v>
      </c>
      <c r="M86" s="327">
        <v>287129.6518811562</v>
      </c>
      <c r="N86" s="327">
        <f t="shared" si="64"/>
        <v>3230843.6480525881</v>
      </c>
      <c r="O86" s="327">
        <f t="shared" si="65"/>
        <v>726365.23458602035</v>
      </c>
      <c r="P86" s="327">
        <v>1630534.6401480865</v>
      </c>
      <c r="Q86" s="326">
        <v>5821396.3220631806</v>
      </c>
      <c r="R86" s="327">
        <v>3957208.8826386072</v>
      </c>
      <c r="T86" s="321"/>
    </row>
    <row r="87" spans="1:20">
      <c r="B87" s="12">
        <v>2031</v>
      </c>
      <c r="C87" s="319">
        <f t="shared" si="66"/>
        <v>5041125.61300229</v>
      </c>
      <c r="D87" s="319">
        <f t="shared" si="67"/>
        <v>57740.062585298714</v>
      </c>
      <c r="E87" s="326">
        <v>1439661.507746171</v>
      </c>
      <c r="F87" s="326">
        <v>4042855.3978721183</v>
      </c>
      <c r="G87" s="326">
        <v>235290.23182064682</v>
      </c>
      <c r="H87" s="326">
        <v>1318724.6309510309</v>
      </c>
      <c r="I87" s="327">
        <v>0</v>
      </c>
      <c r="J87" s="327">
        <v>0</v>
      </c>
      <c r="K87" s="327">
        <v>0</v>
      </c>
      <c r="L87" s="327">
        <v>0</v>
      </c>
      <c r="M87" s="327">
        <v>164401.71730212995</v>
      </c>
      <c r="N87" s="327">
        <f t="shared" si="64"/>
        <v>1843260.3795867008</v>
      </c>
      <c r="O87" s="327">
        <f t="shared" si="65"/>
        <v>414405.77256922645</v>
      </c>
      <c r="P87" s="327">
        <v>0</v>
      </c>
      <c r="Q87" s="326">
        <v>5098865.6755875926</v>
      </c>
      <c r="R87" s="327">
        <v>2257666.1521559265</v>
      </c>
      <c r="T87" s="321"/>
    </row>
    <row r="88" spans="1:20">
      <c r="C88" s="319"/>
      <c r="D88" s="319"/>
      <c r="E88" s="326"/>
      <c r="F88" s="326"/>
      <c r="G88" s="326"/>
      <c r="H88" s="326"/>
      <c r="I88" s="327"/>
      <c r="J88" s="327"/>
      <c r="K88" s="327"/>
      <c r="L88" s="327"/>
      <c r="M88" s="327"/>
      <c r="N88" s="327"/>
      <c r="O88" s="327"/>
      <c r="P88" s="327"/>
      <c r="Q88" s="326"/>
      <c r="R88" s="327"/>
    </row>
    <row r="89" spans="1:20">
      <c r="A89" s="12">
        <v>2019</v>
      </c>
      <c r="B89" s="12">
        <v>2019</v>
      </c>
      <c r="C89" s="319">
        <f t="shared" si="62"/>
        <v>274168.80125453143</v>
      </c>
      <c r="D89" s="319">
        <f t="shared" si="63"/>
        <v>3140.2755968909401</v>
      </c>
      <c r="E89" s="326">
        <v>2076448.7745083962</v>
      </c>
      <c r="F89" s="326">
        <v>9965078.0767233763</v>
      </c>
      <c r="G89" s="326">
        <v>377479.75961187226</v>
      </c>
      <c r="H89" s="326">
        <v>1244967.8342028649</v>
      </c>
      <c r="I89" s="327">
        <v>0</v>
      </c>
      <c r="J89" s="327">
        <v>0</v>
      </c>
      <c r="K89" s="327">
        <v>3933123</v>
      </c>
      <c r="L89" s="327">
        <v>55758.149595908391</v>
      </c>
      <c r="M89" s="327">
        <v>306731.65820396936</v>
      </c>
      <c r="N89" s="327">
        <f t="shared" ref="N89:N101" si="68">R89*$N$1</f>
        <v>7783341.2087739306</v>
      </c>
      <c r="O89" s="327">
        <f t="shared" ref="O89:O101" si="69">R89*$O$1</f>
        <v>1749867.5512762209</v>
      </c>
      <c r="P89" s="327">
        <v>321651.90258580621</v>
      </c>
      <c r="Q89" s="326">
        <v>277309.07685142261</v>
      </c>
      <c r="R89" s="327">
        <v>9533208.7600501478</v>
      </c>
    </row>
    <row r="90" spans="1:20">
      <c r="B90" s="12">
        <v>2020</v>
      </c>
      <c r="C90" s="319">
        <f t="shared" si="62"/>
        <v>274168.80125453143</v>
      </c>
      <c r="D90" s="319">
        <f t="shared" si="63"/>
        <v>3140.2755968909401</v>
      </c>
      <c r="E90" s="326">
        <v>2076448.7745083962</v>
      </c>
      <c r="F90" s="326">
        <v>10043708.370305527</v>
      </c>
      <c r="G90" s="326">
        <v>377922.55695534917</v>
      </c>
      <c r="H90" s="326">
        <v>1254842.2674887753</v>
      </c>
      <c r="I90" s="327">
        <v>0</v>
      </c>
      <c r="J90" s="327">
        <v>0</v>
      </c>
      <c r="K90" s="327">
        <v>3933123</v>
      </c>
      <c r="L90" s="327">
        <v>55758.149595908391</v>
      </c>
      <c r="M90" s="327">
        <v>306731.65820396936</v>
      </c>
      <c r="N90" s="327">
        <f t="shared" si="68"/>
        <v>7783341.2087739306</v>
      </c>
      <c r="O90" s="327">
        <f t="shared" si="69"/>
        <v>1749867.5512762209</v>
      </c>
      <c r="P90" s="327">
        <v>321651.90258580621</v>
      </c>
      <c r="Q90" s="326">
        <v>277309.07685142261</v>
      </c>
      <c r="R90" s="327">
        <v>9533208.7600501478</v>
      </c>
    </row>
    <row r="91" spans="1:20">
      <c r="B91" s="12">
        <v>2021</v>
      </c>
      <c r="C91" s="319">
        <f t="shared" si="62"/>
        <v>272573.48765556607</v>
      </c>
      <c r="D91" s="319">
        <f t="shared" si="63"/>
        <v>3122.0031882824624</v>
      </c>
      <c r="E91" s="326">
        <v>2076448.7745083962</v>
      </c>
      <c r="F91" s="326">
        <v>10043708.370305527</v>
      </c>
      <c r="G91" s="326">
        <v>377922.55695534917</v>
      </c>
      <c r="H91" s="326">
        <v>1254842.2674887753</v>
      </c>
      <c r="I91" s="327">
        <v>0</v>
      </c>
      <c r="J91" s="327">
        <v>0</v>
      </c>
      <c r="K91" s="327">
        <v>3933123</v>
      </c>
      <c r="L91" s="327">
        <v>45093.175041144248</v>
      </c>
      <c r="M91" s="327">
        <v>306731.65820396936</v>
      </c>
      <c r="N91" s="327">
        <f t="shared" si="68"/>
        <v>7783341.2087739306</v>
      </c>
      <c r="O91" s="327">
        <f t="shared" si="69"/>
        <v>1749867.5512762209</v>
      </c>
      <c r="P91" s="327">
        <v>321651.90258580621</v>
      </c>
      <c r="Q91" s="326">
        <v>275695.49084384873</v>
      </c>
      <c r="R91" s="327">
        <v>9533208.7600501478</v>
      </c>
    </row>
    <row r="92" spans="1:20">
      <c r="B92" s="12">
        <v>2022</v>
      </c>
      <c r="C92" s="319">
        <f>Q92*$C$1</f>
        <v>272573.48765556607</v>
      </c>
      <c r="D92" s="319">
        <f t="shared" si="63"/>
        <v>3122.0031882824624</v>
      </c>
      <c r="E92" s="326">
        <v>2031317.9738300233</v>
      </c>
      <c r="F92" s="326">
        <v>10043708.370305527</v>
      </c>
      <c r="G92" s="326">
        <v>377922.55695534917</v>
      </c>
      <c r="H92" s="326">
        <v>1254842.2674887753</v>
      </c>
      <c r="I92" s="327">
        <v>0</v>
      </c>
      <c r="J92" s="327">
        <v>0</v>
      </c>
      <c r="K92" s="327">
        <v>3933123</v>
      </c>
      <c r="L92" s="327">
        <v>45093.175041144248</v>
      </c>
      <c r="M92" s="327">
        <v>306731.65820396936</v>
      </c>
      <c r="N92" s="327">
        <f t="shared" si="68"/>
        <v>7783341.2087739306</v>
      </c>
      <c r="O92" s="327">
        <f t="shared" si="69"/>
        <v>1749867.5512762209</v>
      </c>
      <c r="P92" s="327">
        <v>321651.90258580621</v>
      </c>
      <c r="Q92" s="326">
        <v>275695.49084384873</v>
      </c>
      <c r="R92" s="327">
        <v>9533208.7600501478</v>
      </c>
    </row>
    <row r="93" spans="1:20">
      <c r="B93" s="12">
        <v>2023</v>
      </c>
      <c r="C93" s="319">
        <f t="shared" si="62"/>
        <v>272573.48765556607</v>
      </c>
      <c r="D93" s="319">
        <f t="shared" si="63"/>
        <v>3122.0031882824624</v>
      </c>
      <c r="E93" s="326">
        <v>1952107.1612779046</v>
      </c>
      <c r="F93" s="326">
        <v>10042441.085859202</v>
      </c>
      <c r="G93" s="326">
        <v>377922.55695534917</v>
      </c>
      <c r="H93" s="326">
        <v>1254842.2674887753</v>
      </c>
      <c r="I93" s="327">
        <v>0</v>
      </c>
      <c r="J93" s="327">
        <v>0</v>
      </c>
      <c r="K93" s="327">
        <v>3933123</v>
      </c>
      <c r="L93" s="327">
        <v>45093.175041144248</v>
      </c>
      <c r="M93" s="327">
        <v>306731.65820396936</v>
      </c>
      <c r="N93" s="327">
        <f t="shared" si="68"/>
        <v>7783341.2087739306</v>
      </c>
      <c r="O93" s="327">
        <f t="shared" si="69"/>
        <v>1749867.5512762209</v>
      </c>
      <c r="P93" s="327">
        <v>321651.90258580621</v>
      </c>
      <c r="Q93" s="326">
        <v>275695.49084384873</v>
      </c>
      <c r="R93" s="327">
        <v>9533208.7600501478</v>
      </c>
    </row>
    <row r="94" spans="1:20">
      <c r="B94" s="12">
        <v>2024</v>
      </c>
      <c r="C94" s="319">
        <f t="shared" ref="C94:C98" si="70">Q94*$C$1</f>
        <v>272573.48765556607</v>
      </c>
      <c r="D94" s="319">
        <f t="shared" ref="D94:D98" si="71">Q94*$D$1</f>
        <v>3122.0031882824624</v>
      </c>
      <c r="E94" s="326">
        <v>1798940.6702315805</v>
      </c>
      <c r="F94" s="326">
        <v>9337227.181712212</v>
      </c>
      <c r="G94" s="326">
        <v>373976.41306400741</v>
      </c>
      <c r="H94" s="326">
        <v>1166842.7906046321</v>
      </c>
      <c r="I94" s="327">
        <v>0</v>
      </c>
      <c r="J94" s="327">
        <v>0</v>
      </c>
      <c r="K94" s="327">
        <v>3933123</v>
      </c>
      <c r="L94" s="327">
        <v>45093.175041144248</v>
      </c>
      <c r="M94" s="327">
        <v>285225.90767313133</v>
      </c>
      <c r="N94" s="327">
        <f t="shared" si="68"/>
        <v>7604017.9053520542</v>
      </c>
      <c r="O94" s="327">
        <f t="shared" si="69"/>
        <v>1709551.6995836506</v>
      </c>
      <c r="P94" s="327">
        <v>321651.90258580621</v>
      </c>
      <c r="Q94" s="326">
        <v>275695.49084384873</v>
      </c>
      <c r="R94" s="327">
        <v>9313569.6049357019</v>
      </c>
    </row>
    <row r="95" spans="1:20">
      <c r="B95" s="12">
        <v>2025</v>
      </c>
      <c r="C95" s="319">
        <f t="shared" si="70"/>
        <v>272573.48765556607</v>
      </c>
      <c r="D95" s="319">
        <f t="shared" si="71"/>
        <v>3122.0031882824624</v>
      </c>
      <c r="E95" s="326">
        <v>1752660.0125202443</v>
      </c>
      <c r="F95" s="326">
        <v>9335985.8944837935</v>
      </c>
      <c r="G95" s="326">
        <v>373976.41306400741</v>
      </c>
      <c r="H95" s="326">
        <v>1166842.7906046321</v>
      </c>
      <c r="I95" s="327">
        <v>0</v>
      </c>
      <c r="J95" s="327">
        <v>0</v>
      </c>
      <c r="K95" s="327">
        <v>3933123</v>
      </c>
      <c r="L95" s="327">
        <v>45093.175041144248</v>
      </c>
      <c r="M95" s="327">
        <v>285225.90767313133</v>
      </c>
      <c r="N95" s="327">
        <f t="shared" si="68"/>
        <v>7604017.9053520542</v>
      </c>
      <c r="O95" s="327">
        <f t="shared" si="69"/>
        <v>1709551.6995836506</v>
      </c>
      <c r="P95" s="327">
        <v>321651.90258580621</v>
      </c>
      <c r="Q95" s="326">
        <v>275695.49084384873</v>
      </c>
      <c r="R95" s="327">
        <v>9313569.6049357019</v>
      </c>
    </row>
    <row r="96" spans="1:20">
      <c r="B96" s="12">
        <v>2026</v>
      </c>
      <c r="C96" s="319">
        <f t="shared" si="70"/>
        <v>272573.48765556607</v>
      </c>
      <c r="D96" s="319">
        <f t="shared" si="71"/>
        <v>3122.0031882824624</v>
      </c>
      <c r="E96" s="326">
        <v>1727505.3773082048</v>
      </c>
      <c r="F96" s="326">
        <v>9335314.5352613162</v>
      </c>
      <c r="G96" s="326">
        <v>373976.41306400741</v>
      </c>
      <c r="H96" s="326">
        <v>1166842.7906046321</v>
      </c>
      <c r="I96" s="327">
        <v>0</v>
      </c>
      <c r="J96" s="327">
        <v>0</v>
      </c>
      <c r="K96" s="327">
        <v>3933123</v>
      </c>
      <c r="L96" s="327">
        <v>45093.175041144248</v>
      </c>
      <c r="M96" s="327">
        <v>285225.90767313133</v>
      </c>
      <c r="N96" s="327">
        <f t="shared" si="68"/>
        <v>7604017.9053520542</v>
      </c>
      <c r="O96" s="327">
        <f t="shared" si="69"/>
        <v>1709551.6995836506</v>
      </c>
      <c r="P96" s="327">
        <v>321651.90258580621</v>
      </c>
      <c r="Q96" s="326">
        <v>275695.49084384873</v>
      </c>
      <c r="R96" s="327">
        <v>9313569.6049357019</v>
      </c>
    </row>
    <row r="97" spans="1:18">
      <c r="B97" s="12">
        <v>2027</v>
      </c>
      <c r="C97" s="319">
        <f t="shared" si="70"/>
        <v>272573.48765556607</v>
      </c>
      <c r="D97" s="319">
        <f t="shared" si="71"/>
        <v>3122.0031882824624</v>
      </c>
      <c r="E97" s="326">
        <v>1688842.3791830689</v>
      </c>
      <c r="F97" s="326">
        <v>9262607.5222635157</v>
      </c>
      <c r="G97" s="326">
        <v>373572.86376211466</v>
      </c>
      <c r="H97" s="326">
        <v>1157843.5933018059</v>
      </c>
      <c r="I97" s="327">
        <v>0</v>
      </c>
      <c r="J97" s="327">
        <v>0</v>
      </c>
      <c r="K97" s="327">
        <v>3933123</v>
      </c>
      <c r="L97" s="327">
        <v>45092.719759412983</v>
      </c>
      <c r="M97" s="327">
        <v>285021.50278030196</v>
      </c>
      <c r="N97" s="327">
        <f t="shared" si="68"/>
        <v>7088358.6514005661</v>
      </c>
      <c r="O97" s="327">
        <f t="shared" si="69"/>
        <v>1593620.0743597893</v>
      </c>
      <c r="P97" s="327">
        <v>321651.90258580621</v>
      </c>
      <c r="Q97" s="326">
        <v>275695.49084384873</v>
      </c>
      <c r="R97" s="327">
        <v>8681978.7257603519</v>
      </c>
    </row>
    <row r="98" spans="1:18">
      <c r="B98" s="12">
        <v>2028</v>
      </c>
      <c r="C98" s="319">
        <f t="shared" si="70"/>
        <v>272573.48765556607</v>
      </c>
      <c r="D98" s="319">
        <f t="shared" si="71"/>
        <v>3122.0031882824624</v>
      </c>
      <c r="E98" s="326">
        <v>1657017.2878064804</v>
      </c>
      <c r="F98" s="326">
        <v>9261828.9771005362</v>
      </c>
      <c r="G98" s="326">
        <v>373572.86376211466</v>
      </c>
      <c r="H98" s="326">
        <v>1157843.5933018059</v>
      </c>
      <c r="I98" s="327">
        <v>0</v>
      </c>
      <c r="J98" s="327">
        <v>0</v>
      </c>
      <c r="K98" s="327">
        <v>3933123</v>
      </c>
      <c r="L98" s="327">
        <v>45092.719759412983</v>
      </c>
      <c r="M98" s="327">
        <v>285021.50278030196</v>
      </c>
      <c r="N98" s="327">
        <f t="shared" si="68"/>
        <v>7088358.6514005661</v>
      </c>
      <c r="O98" s="327">
        <f t="shared" si="69"/>
        <v>1593620.0743597893</v>
      </c>
      <c r="P98" s="327">
        <v>321651.90258580621</v>
      </c>
      <c r="Q98" s="326">
        <v>275695.49084384873</v>
      </c>
      <c r="R98" s="327">
        <v>8681978.7257603519</v>
      </c>
    </row>
    <row r="99" spans="1:18">
      <c r="B99" s="12">
        <v>2029</v>
      </c>
      <c r="C99" s="319">
        <f t="shared" ref="C99:C101" si="72">Q99*$C$1</f>
        <v>268647.29044231726</v>
      </c>
      <c r="D99" s="319">
        <f t="shared" ref="D99:D101" si="73">Q99*$D$1</f>
        <v>3077.0332965919042</v>
      </c>
      <c r="E99" s="326">
        <v>1568839.4362074314</v>
      </c>
      <c r="F99" s="326">
        <v>9015273.3794128653</v>
      </c>
      <c r="G99" s="326">
        <v>372194.3121016217</v>
      </c>
      <c r="H99" s="326">
        <v>1127101.7277435537</v>
      </c>
      <c r="I99" s="327">
        <v>0</v>
      </c>
      <c r="J99" s="327">
        <v>0</v>
      </c>
      <c r="K99" s="327">
        <v>3933123</v>
      </c>
      <c r="L99" s="327">
        <v>44967.224670409545</v>
      </c>
      <c r="M99" s="327">
        <v>283573.67005597154</v>
      </c>
      <c r="N99" s="327">
        <f t="shared" si="68"/>
        <v>6284778.2396266218</v>
      </c>
      <c r="O99" s="327">
        <f t="shared" si="69"/>
        <v>1412957.3936823334</v>
      </c>
      <c r="P99" s="327">
        <v>321651.90258580621</v>
      </c>
      <c r="Q99" s="326">
        <v>271724.32373890938</v>
      </c>
      <c r="R99" s="327">
        <v>7697735.6333089527</v>
      </c>
    </row>
    <row r="100" spans="1:18">
      <c r="B100" s="12">
        <v>2030</v>
      </c>
      <c r="C100" s="319">
        <f t="shared" si="72"/>
        <v>268647.29044231726</v>
      </c>
      <c r="D100" s="319">
        <f t="shared" si="73"/>
        <v>3077.0332965919042</v>
      </c>
      <c r="E100" s="326">
        <v>1485512.7034818586</v>
      </c>
      <c r="F100" s="326">
        <v>8632267.5555089656</v>
      </c>
      <c r="G100" s="326">
        <v>370048.52585840801</v>
      </c>
      <c r="H100" s="326">
        <v>1079250.4399782221</v>
      </c>
      <c r="I100" s="327">
        <v>0</v>
      </c>
      <c r="J100" s="327">
        <v>0</v>
      </c>
      <c r="K100" s="327">
        <v>3933123</v>
      </c>
      <c r="L100" s="327">
        <v>44041.398922580382</v>
      </c>
      <c r="M100" s="327">
        <v>283573.67005597154</v>
      </c>
      <c r="N100" s="327">
        <f t="shared" si="68"/>
        <v>6284778.2396266218</v>
      </c>
      <c r="O100" s="327">
        <f t="shared" si="69"/>
        <v>1412957.3936823334</v>
      </c>
      <c r="P100" s="327">
        <v>321651.90258580621</v>
      </c>
      <c r="Q100" s="326">
        <v>271724.32373890938</v>
      </c>
      <c r="R100" s="327">
        <v>7697735.6333089527</v>
      </c>
    </row>
    <row r="101" spans="1:18">
      <c r="B101" s="12">
        <v>2031</v>
      </c>
      <c r="C101" s="319">
        <f t="shared" si="72"/>
        <v>268647.29044231726</v>
      </c>
      <c r="D101" s="319">
        <f t="shared" si="73"/>
        <v>3077.0332965919042</v>
      </c>
      <c r="E101" s="326">
        <v>841975.67444842099</v>
      </c>
      <c r="F101" s="326">
        <v>4085160.7034406965</v>
      </c>
      <c r="G101" s="326">
        <v>22903.610430310782</v>
      </c>
      <c r="H101" s="326">
        <v>510753.22951294488</v>
      </c>
      <c r="I101" s="327">
        <v>0</v>
      </c>
      <c r="J101" s="327">
        <v>0</v>
      </c>
      <c r="K101" s="327">
        <v>0</v>
      </c>
      <c r="L101" s="327">
        <v>44034.311013809631</v>
      </c>
      <c r="M101" s="327">
        <v>180297.48282813648</v>
      </c>
      <c r="N101" s="327">
        <f t="shared" si="68"/>
        <v>5423968.3933565905</v>
      </c>
      <c r="O101" s="327">
        <f t="shared" si="69"/>
        <v>1219428.2681560121</v>
      </c>
      <c r="P101" s="327">
        <v>0</v>
      </c>
      <c r="Q101" s="326">
        <v>271724.32373890938</v>
      </c>
      <c r="R101" s="327">
        <v>6643396.6615126003</v>
      </c>
    </row>
    <row r="102" spans="1:18">
      <c r="C102" s="319"/>
      <c r="D102" s="319"/>
      <c r="E102" s="326"/>
      <c r="F102" s="326"/>
      <c r="G102" s="326"/>
      <c r="H102" s="326"/>
      <c r="I102" s="327"/>
      <c r="J102" s="327"/>
      <c r="K102" s="327"/>
      <c r="L102" s="327"/>
      <c r="M102" s="327"/>
      <c r="N102" s="327"/>
      <c r="O102" s="327"/>
      <c r="P102" s="327"/>
      <c r="Q102" s="326"/>
      <c r="R102" s="327"/>
    </row>
    <row r="103" spans="1:18">
      <c r="A103" s="12">
        <v>2020</v>
      </c>
      <c r="B103" s="12">
        <v>2020</v>
      </c>
      <c r="C103" s="319">
        <f t="shared" ref="C103" si="74">Q103*$C$1</f>
        <v>113353.25520298492</v>
      </c>
      <c r="D103" s="319">
        <f t="shared" ref="D103:D104" si="75">Q103*$D$1</f>
        <v>1298.3259200656451</v>
      </c>
      <c r="E103" s="326">
        <v>364739.36988039833</v>
      </c>
      <c r="F103" s="326">
        <v>802550.43745333503</v>
      </c>
      <c r="G103" s="326">
        <v>36828.803997383846</v>
      </c>
      <c r="H103" s="326">
        <v>978884.21107529197</v>
      </c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f t="shared" ref="N103:N114" si="76">R103*$N$1</f>
        <v>165012.15775766131</v>
      </c>
      <c r="O103" s="327">
        <f t="shared" ref="O103:O114" si="77">R103*$O$1</f>
        <v>37098.389069813049</v>
      </c>
      <c r="P103" s="327">
        <v>0</v>
      </c>
      <c r="Q103" s="326">
        <v>114651.58112305065</v>
      </c>
      <c r="R103" s="327">
        <v>202110.54682747429</v>
      </c>
    </row>
    <row r="104" spans="1:18">
      <c r="B104" s="12">
        <v>2021</v>
      </c>
      <c r="C104" s="319">
        <f>Q104*$C$1</f>
        <v>113353.25520298492</v>
      </c>
      <c r="D104" s="319">
        <f t="shared" si="75"/>
        <v>1298.3259200656451</v>
      </c>
      <c r="E104" s="326">
        <v>364739.36988039833</v>
      </c>
      <c r="F104" s="326">
        <v>807079.53512363357</v>
      </c>
      <c r="G104" s="326">
        <v>37036.64296002117</v>
      </c>
      <c r="H104" s="326">
        <v>984408.42736497661</v>
      </c>
      <c r="I104" s="327">
        <v>0</v>
      </c>
      <c r="J104" s="327">
        <v>0</v>
      </c>
      <c r="K104" s="327">
        <v>0</v>
      </c>
      <c r="L104" s="327">
        <v>0</v>
      </c>
      <c r="M104" s="327">
        <v>0</v>
      </c>
      <c r="N104" s="327">
        <f t="shared" si="76"/>
        <v>165012.15775766131</v>
      </c>
      <c r="O104" s="327">
        <f t="shared" si="77"/>
        <v>37098.389069813049</v>
      </c>
      <c r="P104" s="327">
        <v>0</v>
      </c>
      <c r="Q104" s="326">
        <v>114651.58112305065</v>
      </c>
      <c r="R104" s="327">
        <v>202110.54682747429</v>
      </c>
    </row>
    <row r="105" spans="1:18">
      <c r="B105" s="12">
        <v>2022</v>
      </c>
      <c r="C105" s="319">
        <f>Q105*$C$1</f>
        <v>113353.25520298492</v>
      </c>
      <c r="D105" s="319">
        <f t="shared" ref="D105:D111" si="78">Q105*$D$1</f>
        <v>1298.3259200656451</v>
      </c>
      <c r="E105" s="326">
        <v>364739.36988039833</v>
      </c>
      <c r="F105" s="326">
        <v>807079.53512363357</v>
      </c>
      <c r="G105" s="326">
        <v>37036.64296002117</v>
      </c>
      <c r="H105" s="326">
        <v>984408.42736497661</v>
      </c>
      <c r="I105" s="327">
        <v>0</v>
      </c>
      <c r="J105" s="327">
        <v>0</v>
      </c>
      <c r="K105" s="327">
        <v>0</v>
      </c>
      <c r="L105" s="327">
        <v>0</v>
      </c>
      <c r="M105" s="327">
        <v>0</v>
      </c>
      <c r="N105" s="327">
        <f t="shared" si="76"/>
        <v>165012.15775766131</v>
      </c>
      <c r="O105" s="327">
        <f t="shared" si="77"/>
        <v>37098.389069813049</v>
      </c>
      <c r="P105" s="327">
        <v>0</v>
      </c>
      <c r="Q105" s="326">
        <v>114651.58112305065</v>
      </c>
      <c r="R105" s="327">
        <v>202110.54682747429</v>
      </c>
    </row>
    <row r="106" spans="1:18">
      <c r="B106" s="12">
        <v>2023</v>
      </c>
      <c r="C106" s="319">
        <f>Q106*$C$1</f>
        <v>113353.25520298492</v>
      </c>
      <c r="D106" s="319">
        <f t="shared" si="78"/>
        <v>1298.3259200656451</v>
      </c>
      <c r="E106" s="326">
        <v>364739.36988039833</v>
      </c>
      <c r="F106" s="326">
        <v>807079.53512363357</v>
      </c>
      <c r="G106" s="326">
        <v>37036.64296002117</v>
      </c>
      <c r="H106" s="326">
        <v>984408.42736497661</v>
      </c>
      <c r="I106" s="327">
        <v>0</v>
      </c>
      <c r="J106" s="327">
        <v>0</v>
      </c>
      <c r="K106" s="327">
        <v>0</v>
      </c>
      <c r="L106" s="327">
        <v>0</v>
      </c>
      <c r="M106" s="327">
        <v>0</v>
      </c>
      <c r="N106" s="327">
        <f t="shared" si="76"/>
        <v>165012.15775766131</v>
      </c>
      <c r="O106" s="327">
        <f t="shared" si="77"/>
        <v>37098.389069813049</v>
      </c>
      <c r="P106" s="327">
        <v>0</v>
      </c>
      <c r="Q106" s="326">
        <v>114651.58112305065</v>
      </c>
      <c r="R106" s="327">
        <v>202110.54682747429</v>
      </c>
    </row>
    <row r="107" spans="1:18">
      <c r="B107" s="12">
        <v>2024</v>
      </c>
      <c r="C107" s="319">
        <f t="shared" ref="C107:C111" si="79">Q107*$C$1</f>
        <v>113353.25520298492</v>
      </c>
      <c r="D107" s="319">
        <f t="shared" si="78"/>
        <v>1298.3259200656451</v>
      </c>
      <c r="E107" s="326">
        <v>364739.36988039833</v>
      </c>
      <c r="F107" s="326">
        <v>807079.53512363357</v>
      </c>
      <c r="G107" s="326">
        <v>37036.64296002117</v>
      </c>
      <c r="H107" s="326">
        <v>984408.42736497661</v>
      </c>
      <c r="I107" s="327">
        <v>0</v>
      </c>
      <c r="J107" s="327">
        <v>0</v>
      </c>
      <c r="K107" s="327">
        <v>0</v>
      </c>
      <c r="L107" s="327">
        <v>0</v>
      </c>
      <c r="M107" s="327">
        <v>0</v>
      </c>
      <c r="N107" s="327">
        <f t="shared" si="76"/>
        <v>165012.15775766131</v>
      </c>
      <c r="O107" s="327">
        <f t="shared" si="77"/>
        <v>37098.389069813049</v>
      </c>
      <c r="P107" s="327">
        <v>0</v>
      </c>
      <c r="Q107" s="326">
        <v>114651.58112305065</v>
      </c>
      <c r="R107" s="327">
        <v>202110.54682747429</v>
      </c>
    </row>
    <row r="108" spans="1:18">
      <c r="B108" s="12">
        <v>2025</v>
      </c>
      <c r="C108" s="319">
        <f t="shared" si="79"/>
        <v>113353.25520298492</v>
      </c>
      <c r="D108" s="319">
        <f t="shared" si="78"/>
        <v>1298.3259200656451</v>
      </c>
      <c r="E108" s="326">
        <v>346687.66309306346</v>
      </c>
      <c r="F108" s="326">
        <v>767135.49747590791</v>
      </c>
      <c r="G108" s="326">
        <v>35203.622797375319</v>
      </c>
      <c r="H108" s="326">
        <v>935688.01559368614</v>
      </c>
      <c r="I108" s="327">
        <v>0</v>
      </c>
      <c r="J108" s="327">
        <v>0</v>
      </c>
      <c r="K108" s="327">
        <v>0</v>
      </c>
      <c r="L108" s="327">
        <v>0</v>
      </c>
      <c r="M108" s="327">
        <v>0</v>
      </c>
      <c r="N108" s="327">
        <f t="shared" si="76"/>
        <v>153304.05254982761</v>
      </c>
      <c r="O108" s="327">
        <f t="shared" si="77"/>
        <v>34466.147614559719</v>
      </c>
      <c r="P108" s="327">
        <v>0</v>
      </c>
      <c r="Q108" s="326">
        <v>114651.58112305065</v>
      </c>
      <c r="R108" s="327">
        <v>187770.20016438726</v>
      </c>
    </row>
    <row r="109" spans="1:18">
      <c r="B109" s="12">
        <v>2026</v>
      </c>
      <c r="C109" s="319">
        <f t="shared" si="79"/>
        <v>113353.25520298492</v>
      </c>
      <c r="D109" s="319">
        <f t="shared" si="78"/>
        <v>1298.3259200656451</v>
      </c>
      <c r="E109" s="326">
        <v>346687.66309306346</v>
      </c>
      <c r="F109" s="326">
        <v>767135.49747590791</v>
      </c>
      <c r="G109" s="326">
        <v>35203.622797375319</v>
      </c>
      <c r="H109" s="326">
        <v>935688.01559368614</v>
      </c>
      <c r="I109" s="327">
        <v>0</v>
      </c>
      <c r="J109" s="327">
        <v>0</v>
      </c>
      <c r="K109" s="327">
        <v>0</v>
      </c>
      <c r="L109" s="327">
        <v>0</v>
      </c>
      <c r="M109" s="327">
        <v>0</v>
      </c>
      <c r="N109" s="327">
        <f t="shared" si="76"/>
        <v>153304.05254982761</v>
      </c>
      <c r="O109" s="327">
        <f t="shared" si="77"/>
        <v>34466.147614559719</v>
      </c>
      <c r="P109" s="327">
        <v>0</v>
      </c>
      <c r="Q109" s="326">
        <v>114651.58112305065</v>
      </c>
      <c r="R109" s="327">
        <v>187770.20016438726</v>
      </c>
    </row>
    <row r="110" spans="1:18">
      <c r="B110" s="12">
        <v>2027</v>
      </c>
      <c r="C110" s="319">
        <f t="shared" si="79"/>
        <v>113353.25520298492</v>
      </c>
      <c r="D110" s="319">
        <f t="shared" si="78"/>
        <v>1298.3259200656451</v>
      </c>
      <c r="E110" s="326">
        <v>346687.66309306346</v>
      </c>
      <c r="F110" s="326">
        <v>767135.49747590791</v>
      </c>
      <c r="G110" s="326">
        <v>35203.622797375319</v>
      </c>
      <c r="H110" s="326">
        <v>935688.01559368614</v>
      </c>
      <c r="I110" s="327">
        <v>0</v>
      </c>
      <c r="J110" s="327">
        <v>0</v>
      </c>
      <c r="K110" s="327">
        <v>0</v>
      </c>
      <c r="L110" s="327">
        <v>0</v>
      </c>
      <c r="M110" s="327">
        <v>0</v>
      </c>
      <c r="N110" s="327">
        <f t="shared" si="76"/>
        <v>153304.05254982761</v>
      </c>
      <c r="O110" s="327">
        <f t="shared" si="77"/>
        <v>34466.147614559719</v>
      </c>
      <c r="P110" s="327">
        <v>0</v>
      </c>
      <c r="Q110" s="326">
        <v>114651.58112305065</v>
      </c>
      <c r="R110" s="327">
        <v>187770.20016438726</v>
      </c>
    </row>
    <row r="111" spans="1:18">
      <c r="B111" s="12">
        <v>2028</v>
      </c>
      <c r="C111" s="319">
        <f t="shared" si="79"/>
        <v>113353.25520298492</v>
      </c>
      <c r="D111" s="319">
        <f t="shared" si="78"/>
        <v>1298.3259200656451</v>
      </c>
      <c r="E111" s="326">
        <v>344841.61949389684</v>
      </c>
      <c r="F111" s="326">
        <v>763050.6518769206</v>
      </c>
      <c r="G111" s="326">
        <v>35016.170431886545</v>
      </c>
      <c r="H111" s="326">
        <v>930705.66099648795</v>
      </c>
      <c r="I111" s="327">
        <v>0</v>
      </c>
      <c r="J111" s="327">
        <v>0</v>
      </c>
      <c r="K111" s="327">
        <v>0</v>
      </c>
      <c r="L111" s="327">
        <v>0</v>
      </c>
      <c r="M111" s="327">
        <v>0</v>
      </c>
      <c r="N111" s="327">
        <f t="shared" si="76"/>
        <v>153192.77096554573</v>
      </c>
      <c r="O111" s="327">
        <f t="shared" si="77"/>
        <v>34441.129048860712</v>
      </c>
      <c r="P111" s="327">
        <v>0</v>
      </c>
      <c r="Q111" s="326">
        <v>114651.58112305065</v>
      </c>
      <c r="R111" s="327">
        <v>187633.90001440636</v>
      </c>
    </row>
    <row r="112" spans="1:18">
      <c r="B112" s="12">
        <v>2029</v>
      </c>
      <c r="C112" s="319">
        <f t="shared" ref="C112:C114" si="80">Q112*$C$1</f>
        <v>113353.25520298492</v>
      </c>
      <c r="D112" s="319">
        <f t="shared" ref="D112:D114" si="81">Q112*$D$1</f>
        <v>1298.3259200656451</v>
      </c>
      <c r="E112" s="326">
        <v>344841.61949389684</v>
      </c>
      <c r="F112" s="326">
        <v>763050.6518769206</v>
      </c>
      <c r="G112" s="326">
        <v>35016.170431886545</v>
      </c>
      <c r="H112" s="326">
        <v>930705.66099648795</v>
      </c>
      <c r="I112" s="327">
        <v>0</v>
      </c>
      <c r="J112" s="327">
        <v>0</v>
      </c>
      <c r="K112" s="327">
        <v>0</v>
      </c>
      <c r="L112" s="327">
        <v>0</v>
      </c>
      <c r="M112" s="327">
        <v>0</v>
      </c>
      <c r="N112" s="327">
        <f t="shared" si="76"/>
        <v>153192.77096554573</v>
      </c>
      <c r="O112" s="327">
        <f t="shared" si="77"/>
        <v>34441.129048860712</v>
      </c>
      <c r="P112" s="327">
        <v>0</v>
      </c>
      <c r="Q112" s="326">
        <v>114651.58112305065</v>
      </c>
      <c r="R112" s="327">
        <v>187633.90001440636</v>
      </c>
    </row>
    <row r="113" spans="1:21">
      <c r="B113" s="12">
        <v>2030</v>
      </c>
      <c r="C113" s="319">
        <f t="shared" si="80"/>
        <v>113352.8925849083</v>
      </c>
      <c r="D113" s="319">
        <f t="shared" si="81"/>
        <v>1298.3217667094216</v>
      </c>
      <c r="E113" s="326">
        <v>338535.40992535756</v>
      </c>
      <c r="F113" s="326">
        <v>749096.54352651734</v>
      </c>
      <c r="G113" s="326">
        <v>34375.820495718028</v>
      </c>
      <c r="H113" s="326">
        <v>913685.60131377436</v>
      </c>
      <c r="I113" s="327">
        <v>0</v>
      </c>
      <c r="J113" s="327">
        <v>0</v>
      </c>
      <c r="K113" s="327">
        <v>0</v>
      </c>
      <c r="L113" s="327">
        <v>0</v>
      </c>
      <c r="M113" s="327">
        <v>0</v>
      </c>
      <c r="N113" s="327">
        <f t="shared" si="76"/>
        <v>152404.54560993687</v>
      </c>
      <c r="O113" s="327">
        <f t="shared" si="77"/>
        <v>34263.91852501547</v>
      </c>
      <c r="P113" s="327">
        <v>0</v>
      </c>
      <c r="Q113" s="326">
        <v>114651.21435161782</v>
      </c>
      <c r="R113" s="327">
        <v>186668.46413495229</v>
      </c>
    </row>
    <row r="114" spans="1:21">
      <c r="B114" s="12">
        <v>2031</v>
      </c>
      <c r="C114" s="319">
        <f t="shared" si="80"/>
        <v>113352.8925849083</v>
      </c>
      <c r="D114" s="319">
        <f t="shared" si="81"/>
        <v>1298.3217667094216</v>
      </c>
      <c r="E114" s="326">
        <v>328719.47184570978</v>
      </c>
      <c r="F114" s="326">
        <v>727376.25941043103</v>
      </c>
      <c r="G114" s="326">
        <v>33379.08303331356</v>
      </c>
      <c r="H114" s="326">
        <v>887193.0069682101</v>
      </c>
      <c r="I114" s="327">
        <v>0</v>
      </c>
      <c r="J114" s="327">
        <v>0</v>
      </c>
      <c r="K114" s="327">
        <v>0</v>
      </c>
      <c r="L114" s="327">
        <v>0</v>
      </c>
      <c r="M114" s="327">
        <v>0</v>
      </c>
      <c r="N114" s="327">
        <f t="shared" si="76"/>
        <v>152404.54560993687</v>
      </c>
      <c r="O114" s="327">
        <f t="shared" si="77"/>
        <v>34263.91852501547</v>
      </c>
      <c r="P114" s="327">
        <v>0</v>
      </c>
      <c r="Q114" s="326">
        <v>114651.21435161782</v>
      </c>
      <c r="R114" s="327">
        <v>186668.46413495229</v>
      </c>
    </row>
    <row r="115" spans="1:21">
      <c r="C115" s="319"/>
      <c r="D115" s="319"/>
      <c r="N115" s="327"/>
      <c r="O115" s="327"/>
    </row>
    <row r="116" spans="1:21">
      <c r="A116" s="12">
        <f>A103+1</f>
        <v>2021</v>
      </c>
      <c r="B116" s="12">
        <f>B104</f>
        <v>2021</v>
      </c>
      <c r="C116" s="319">
        <f t="shared" ref="C116:C117" si="82">Q116*$C$1</f>
        <v>0</v>
      </c>
      <c r="D116" s="319">
        <f t="shared" ref="D116:D117" si="83">Q116*$D$1</f>
        <v>0</v>
      </c>
      <c r="E116" s="326">
        <v>0</v>
      </c>
      <c r="F116" s="326">
        <v>3973117.8880244461</v>
      </c>
      <c r="G116" s="326">
        <v>0</v>
      </c>
      <c r="H116" s="326">
        <v>169538.15202532854</v>
      </c>
      <c r="I116" s="327">
        <v>0</v>
      </c>
      <c r="J116" s="327">
        <v>0</v>
      </c>
      <c r="K116" s="327">
        <v>0</v>
      </c>
      <c r="L116" s="327">
        <v>0</v>
      </c>
      <c r="M116" s="327">
        <v>0</v>
      </c>
      <c r="N116" s="327">
        <f t="shared" ref="N116:N126" si="84">R116*$N$1</f>
        <v>4391739.4439604972</v>
      </c>
      <c r="O116" s="327">
        <f t="shared" ref="O116:O126" si="85">R116*$O$1</f>
        <v>987360.33028891461</v>
      </c>
      <c r="P116" s="327">
        <v>0</v>
      </c>
      <c r="Q116" s="326">
        <v>0</v>
      </c>
      <c r="R116" s="327">
        <v>5379099.7742494103</v>
      </c>
    </row>
    <row r="117" spans="1:21">
      <c r="B117" s="12">
        <f>B105</f>
        <v>2022</v>
      </c>
      <c r="C117" s="319">
        <f t="shared" si="82"/>
        <v>0</v>
      </c>
      <c r="D117" s="319">
        <f t="shared" si="83"/>
        <v>0</v>
      </c>
      <c r="E117" s="326">
        <v>0</v>
      </c>
      <c r="F117" s="326">
        <v>3973117.8880244461</v>
      </c>
      <c r="G117" s="326">
        <v>0</v>
      </c>
      <c r="H117" s="326">
        <v>170494.92036477546</v>
      </c>
      <c r="I117" s="327">
        <v>0</v>
      </c>
      <c r="J117" s="327">
        <v>0</v>
      </c>
      <c r="K117" s="327">
        <v>0</v>
      </c>
      <c r="L117" s="327">
        <v>0</v>
      </c>
      <c r="M117" s="327">
        <v>0</v>
      </c>
      <c r="N117" s="327">
        <f t="shared" si="84"/>
        <v>4391739.4439604972</v>
      </c>
      <c r="O117" s="327">
        <f t="shared" si="85"/>
        <v>987360.33028891461</v>
      </c>
      <c r="P117" s="327">
        <v>0</v>
      </c>
      <c r="Q117" s="326">
        <v>0</v>
      </c>
      <c r="R117" s="327">
        <v>5379099.7742494103</v>
      </c>
    </row>
    <row r="118" spans="1:21">
      <c r="B118" s="12">
        <f t="shared" ref="B118:B123" si="86">B106</f>
        <v>2023</v>
      </c>
      <c r="C118" s="319">
        <f t="shared" ref="C118:C123" si="87">Q118*$C$1</f>
        <v>0</v>
      </c>
      <c r="D118" s="319">
        <f t="shared" ref="D118:D123" si="88">Q118*$D$1</f>
        <v>0</v>
      </c>
      <c r="E118" s="326">
        <v>0</v>
      </c>
      <c r="F118" s="326">
        <v>3973117.8880244461</v>
      </c>
      <c r="G118" s="326">
        <v>0</v>
      </c>
      <c r="H118" s="326">
        <v>170494.92036477546</v>
      </c>
      <c r="I118" s="327">
        <v>0</v>
      </c>
      <c r="J118" s="327">
        <v>0</v>
      </c>
      <c r="K118" s="327">
        <v>0</v>
      </c>
      <c r="L118" s="327">
        <v>0</v>
      </c>
      <c r="M118" s="327">
        <v>0</v>
      </c>
      <c r="N118" s="327">
        <f t="shared" si="84"/>
        <v>4391739.4439604972</v>
      </c>
      <c r="O118" s="327">
        <f t="shared" si="85"/>
        <v>987360.33028891461</v>
      </c>
      <c r="P118" s="327">
        <v>0</v>
      </c>
      <c r="Q118" s="326">
        <v>0</v>
      </c>
      <c r="R118" s="327">
        <v>5379099.7742494103</v>
      </c>
    </row>
    <row r="119" spans="1:21">
      <c r="B119" s="12">
        <f t="shared" si="86"/>
        <v>2024</v>
      </c>
      <c r="C119" s="319">
        <f t="shared" si="87"/>
        <v>0</v>
      </c>
      <c r="D119" s="319">
        <f t="shared" si="88"/>
        <v>0</v>
      </c>
      <c r="E119" s="326">
        <v>0</v>
      </c>
      <c r="F119" s="326">
        <v>3973117.8880244461</v>
      </c>
      <c r="G119" s="326">
        <v>0</v>
      </c>
      <c r="H119" s="326">
        <v>170494.92036477546</v>
      </c>
      <c r="I119" s="327">
        <v>0</v>
      </c>
      <c r="J119" s="327">
        <v>0</v>
      </c>
      <c r="K119" s="327">
        <v>0</v>
      </c>
      <c r="L119" s="327">
        <v>0</v>
      </c>
      <c r="M119" s="327">
        <v>0</v>
      </c>
      <c r="N119" s="327">
        <f t="shared" si="84"/>
        <v>4391739.4439604972</v>
      </c>
      <c r="O119" s="327">
        <f t="shared" si="85"/>
        <v>987360.33028891461</v>
      </c>
      <c r="P119" s="327">
        <v>0</v>
      </c>
      <c r="Q119" s="326">
        <v>0</v>
      </c>
      <c r="R119" s="327">
        <v>5379099.7742494103</v>
      </c>
    </row>
    <row r="120" spans="1:21">
      <c r="B120" s="12">
        <f t="shared" si="86"/>
        <v>2025</v>
      </c>
      <c r="C120" s="319">
        <f t="shared" si="87"/>
        <v>0</v>
      </c>
      <c r="D120" s="319">
        <f t="shared" si="88"/>
        <v>0</v>
      </c>
      <c r="E120" s="326">
        <v>0</v>
      </c>
      <c r="F120" s="326">
        <v>3973117.8880244461</v>
      </c>
      <c r="G120" s="326">
        <v>0</v>
      </c>
      <c r="H120" s="326">
        <v>170494.92036477546</v>
      </c>
      <c r="I120" s="327">
        <v>0</v>
      </c>
      <c r="J120" s="327">
        <v>0</v>
      </c>
      <c r="K120" s="327">
        <v>0</v>
      </c>
      <c r="L120" s="327">
        <v>0</v>
      </c>
      <c r="M120" s="327">
        <v>0</v>
      </c>
      <c r="N120" s="327">
        <f t="shared" si="84"/>
        <v>4391739.4439604972</v>
      </c>
      <c r="O120" s="327">
        <f t="shared" si="85"/>
        <v>987360.33028891461</v>
      </c>
      <c r="P120" s="327">
        <v>0</v>
      </c>
      <c r="Q120" s="326">
        <v>0</v>
      </c>
      <c r="R120" s="327">
        <v>5379099.7742494103</v>
      </c>
    </row>
    <row r="121" spans="1:21">
      <c r="B121" s="12">
        <f t="shared" si="86"/>
        <v>2026</v>
      </c>
      <c r="C121" s="319">
        <f t="shared" si="87"/>
        <v>0</v>
      </c>
      <c r="D121" s="319">
        <f t="shared" si="88"/>
        <v>0</v>
      </c>
      <c r="E121" s="326">
        <v>0</v>
      </c>
      <c r="F121" s="326">
        <v>3973117.8880244461</v>
      </c>
      <c r="G121" s="326">
        <v>0</v>
      </c>
      <c r="H121" s="326">
        <v>162056.77366247636</v>
      </c>
      <c r="I121" s="327">
        <v>0</v>
      </c>
      <c r="J121" s="327">
        <v>0</v>
      </c>
      <c r="K121" s="327">
        <v>0</v>
      </c>
      <c r="L121" s="327">
        <v>0</v>
      </c>
      <c r="M121" s="327">
        <v>0</v>
      </c>
      <c r="N121" s="327">
        <f t="shared" si="84"/>
        <v>4391739.4439604972</v>
      </c>
      <c r="O121" s="327">
        <f t="shared" si="85"/>
        <v>987360.33028891461</v>
      </c>
      <c r="P121" s="327">
        <v>0</v>
      </c>
      <c r="Q121" s="326">
        <v>0</v>
      </c>
      <c r="R121" s="327">
        <v>5379099.7742494103</v>
      </c>
      <c r="U121" s="319"/>
    </row>
    <row r="122" spans="1:21">
      <c r="B122" s="12">
        <f t="shared" si="86"/>
        <v>2027</v>
      </c>
      <c r="C122" s="319">
        <f t="shared" si="87"/>
        <v>0</v>
      </c>
      <c r="D122" s="319">
        <f t="shared" si="88"/>
        <v>0</v>
      </c>
      <c r="E122" s="326">
        <v>0</v>
      </c>
      <c r="F122" s="326">
        <v>3584607.971557911</v>
      </c>
      <c r="G122" s="326">
        <v>0</v>
      </c>
      <c r="H122" s="326">
        <v>162056.77366247636</v>
      </c>
      <c r="I122" s="327">
        <v>0</v>
      </c>
      <c r="J122" s="327">
        <v>0</v>
      </c>
      <c r="K122" s="327">
        <v>0</v>
      </c>
      <c r="L122" s="327">
        <v>0</v>
      </c>
      <c r="M122" s="327">
        <v>0</v>
      </c>
      <c r="N122" s="327">
        <f t="shared" si="84"/>
        <v>4391739.4439604972</v>
      </c>
      <c r="O122" s="327">
        <f t="shared" si="85"/>
        <v>987360.33028891461</v>
      </c>
      <c r="P122" s="327">
        <v>0</v>
      </c>
      <c r="Q122" s="326">
        <v>0</v>
      </c>
      <c r="R122" s="327">
        <v>5379099.7742494103</v>
      </c>
      <c r="U122" s="319"/>
    </row>
    <row r="123" spans="1:21">
      <c r="B123" s="12">
        <f t="shared" si="86"/>
        <v>2028</v>
      </c>
      <c r="C123" s="319">
        <f t="shared" si="87"/>
        <v>0</v>
      </c>
      <c r="D123" s="319">
        <f t="shared" si="88"/>
        <v>0</v>
      </c>
      <c r="E123" s="326">
        <v>0</v>
      </c>
      <c r="F123" s="326">
        <v>3584607.971557911</v>
      </c>
      <c r="G123" s="326">
        <v>0</v>
      </c>
      <c r="H123" s="326">
        <v>162056.77366247636</v>
      </c>
      <c r="I123" s="327">
        <v>0</v>
      </c>
      <c r="J123" s="327">
        <v>0</v>
      </c>
      <c r="K123" s="327">
        <v>0</v>
      </c>
      <c r="L123" s="327">
        <v>0</v>
      </c>
      <c r="M123" s="327">
        <v>0</v>
      </c>
      <c r="N123" s="327">
        <f t="shared" si="84"/>
        <v>4391739.4439604972</v>
      </c>
      <c r="O123" s="327">
        <f t="shared" si="85"/>
        <v>987360.33028891461</v>
      </c>
      <c r="P123" s="327">
        <v>0</v>
      </c>
      <c r="Q123" s="326">
        <v>0</v>
      </c>
      <c r="R123" s="327">
        <v>5379099.7742494103</v>
      </c>
    </row>
    <row r="124" spans="1:21">
      <c r="B124" s="12">
        <v>2029</v>
      </c>
      <c r="C124" s="319">
        <f t="shared" ref="C124:C126" si="89">Q124*$C$1</f>
        <v>0</v>
      </c>
      <c r="D124" s="319">
        <f t="shared" ref="D124:D126" si="90">Q124*$D$1</f>
        <v>0</v>
      </c>
      <c r="E124" s="326">
        <v>0</v>
      </c>
      <c r="F124" s="326">
        <v>2986289.580162175</v>
      </c>
      <c r="G124" s="326">
        <v>0</v>
      </c>
      <c r="H124" s="326">
        <v>161193.85322552701</v>
      </c>
      <c r="I124" s="327">
        <v>0</v>
      </c>
      <c r="J124" s="327">
        <v>0</v>
      </c>
      <c r="K124" s="327">
        <v>0</v>
      </c>
      <c r="L124" s="327">
        <v>0</v>
      </c>
      <c r="M124" s="327">
        <v>0</v>
      </c>
      <c r="N124" s="327">
        <f t="shared" si="84"/>
        <v>3962294.7678639945</v>
      </c>
      <c r="O124" s="327">
        <f t="shared" si="85"/>
        <v>890811.65233522467</v>
      </c>
      <c r="P124" s="327">
        <v>0</v>
      </c>
      <c r="Q124" s="326">
        <v>0</v>
      </c>
      <c r="R124" s="327">
        <v>4853106.4201992173</v>
      </c>
    </row>
    <row r="125" spans="1:21">
      <c r="B125" s="12">
        <v>2030</v>
      </c>
      <c r="C125" s="319">
        <f t="shared" si="89"/>
        <v>0</v>
      </c>
      <c r="D125" s="319">
        <f t="shared" si="90"/>
        <v>0</v>
      </c>
      <c r="E125" s="326">
        <v>0</v>
      </c>
      <c r="F125" s="326">
        <v>2986289.580162175</v>
      </c>
      <c r="G125" s="326">
        <v>0</v>
      </c>
      <c r="H125" s="326">
        <v>158246.05875369839</v>
      </c>
      <c r="I125" s="327">
        <v>0</v>
      </c>
      <c r="J125" s="327">
        <v>0</v>
      </c>
      <c r="K125" s="327">
        <v>0</v>
      </c>
      <c r="L125" s="327">
        <v>0</v>
      </c>
      <c r="M125" s="327">
        <v>0</v>
      </c>
      <c r="N125" s="327">
        <f t="shared" si="84"/>
        <v>3300935.4642652278</v>
      </c>
      <c r="O125" s="327">
        <f t="shared" si="85"/>
        <v>742123.42782342504</v>
      </c>
      <c r="P125" s="327">
        <v>0</v>
      </c>
      <c r="Q125" s="326">
        <v>0</v>
      </c>
      <c r="R125" s="327">
        <v>4043058.8920886512</v>
      </c>
    </row>
    <row r="126" spans="1:21">
      <c r="B126" s="12">
        <v>2031</v>
      </c>
      <c r="C126" s="319">
        <f t="shared" si="89"/>
        <v>0</v>
      </c>
      <c r="D126" s="319">
        <f t="shared" si="90"/>
        <v>0</v>
      </c>
      <c r="E126" s="326">
        <v>0</v>
      </c>
      <c r="F126" s="326">
        <v>1677381.6067064134</v>
      </c>
      <c r="G126" s="326">
        <v>0</v>
      </c>
      <c r="H126" s="326">
        <v>153657.66572734673</v>
      </c>
      <c r="I126" s="327">
        <v>0</v>
      </c>
      <c r="J126" s="327">
        <v>0</v>
      </c>
      <c r="K126" s="327">
        <v>0</v>
      </c>
      <c r="L126" s="327">
        <v>0</v>
      </c>
      <c r="M126" s="327">
        <v>0</v>
      </c>
      <c r="N126" s="327">
        <f t="shared" si="84"/>
        <v>3300935.4642652278</v>
      </c>
      <c r="O126" s="327">
        <f t="shared" si="85"/>
        <v>742123.42782342504</v>
      </c>
      <c r="P126" s="327">
        <v>0</v>
      </c>
      <c r="Q126" s="326">
        <v>0</v>
      </c>
      <c r="R126" s="327">
        <v>4043058.8920886512</v>
      </c>
    </row>
    <row r="127" spans="1:21">
      <c r="C127" s="319"/>
      <c r="D127" s="319"/>
      <c r="E127" s="326"/>
      <c r="F127" s="326"/>
      <c r="G127" s="326"/>
      <c r="H127" s="326"/>
      <c r="I127" s="327"/>
      <c r="J127" s="327"/>
      <c r="K127" s="327"/>
      <c r="L127" s="327"/>
      <c r="M127" s="327"/>
      <c r="N127" s="327"/>
      <c r="O127" s="327"/>
      <c r="P127" s="327"/>
      <c r="Q127" s="326"/>
      <c r="R127" s="327"/>
    </row>
    <row r="128" spans="1:21">
      <c r="A128" s="12">
        <f>A116</f>
        <v>2021</v>
      </c>
      <c r="B128" s="12">
        <f>B116</f>
        <v>2021</v>
      </c>
      <c r="C128" s="318">
        <f ca="1">OFFSET('CDM-eDSM Framework'!$T$46,COLUMN()-COLUMN($C$128),0)</f>
        <v>203643.04313645163</v>
      </c>
      <c r="D128" s="318">
        <f ca="1">OFFSET('CDM-eDSM Framework'!$T$46,COLUMN()-COLUMN($C$128),0)</f>
        <v>2332.4874161896951</v>
      </c>
      <c r="E128" s="318">
        <f ca="1">OFFSET('CDM-eDSM Framework'!$T$46,COLUMN()-COLUMN($C$128),0)</f>
        <v>1604484.403579283</v>
      </c>
      <c r="F128" s="318">
        <f ca="1">OFFSET('CDM-eDSM Framework'!$T$46,COLUMN()-COLUMN($C$128),0)</f>
        <v>6947582.0646214895</v>
      </c>
      <c r="G128" s="318">
        <f ca="1">OFFSET('CDM-eDSM Framework'!$T$46,COLUMN()-COLUMN($C$128),0)</f>
        <v>347021.98044184718</v>
      </c>
      <c r="H128" s="318">
        <f ca="1">OFFSET('CDM-eDSM Framework'!$T$46,COLUMN()-COLUMN($C$128),0)</f>
        <v>1474716.3826032656</v>
      </c>
      <c r="I128" s="327"/>
      <c r="J128" s="327"/>
      <c r="K128" s="327"/>
      <c r="L128" s="327">
        <f ca="1">OFFSET('CDM-eDSM Framework'!$AH$46,COLUMN()-COLUMN($L$128),0)</f>
        <v>85687.132301298756</v>
      </c>
      <c r="M128" s="327">
        <f ca="1">OFFSET('CDM-eDSM Framework'!$AH$46,COLUMN()-COLUMN($L$128),0)</f>
        <v>386347.25473042624</v>
      </c>
      <c r="N128" s="327">
        <f ca="1">OFFSET('CDM-eDSM Framework'!$AH$46,COLUMN()-COLUMN($L$128),0)</f>
        <v>2613195.1228356813</v>
      </c>
      <c r="O128" s="327">
        <f ca="1">OFFSET('CDM-eDSM Framework'!$AH$46,COLUMN()-COLUMN($L$128),0)</f>
        <v>587948.59813062323</v>
      </c>
      <c r="P128" s="327"/>
      <c r="R128" s="327">
        <f ca="1">OFFSET('CDM-eDSM Framework'!$AH$46,COLUMN()-COLUMN($L$128),0)</f>
        <v>0</v>
      </c>
    </row>
    <row r="129" spans="1:18">
      <c r="B129" s="12">
        <f>B117</f>
        <v>2022</v>
      </c>
      <c r="C129" s="326">
        <f ca="1">C128*SUM(C$5,C$24,C$42,C$59,C$75,C$90,C$104)/SUM(C$4,C$23,C$41,C$58,C$74,C$89,C$103)</f>
        <v>181723.71951466778</v>
      </c>
      <c r="D129" s="326">
        <f t="shared" ref="D129:O129" ca="1" si="91">D128*SUM(D$5,D$24,D$42,D$59,D$75,D$90,D$104)/SUM(D$4,D$23,D$41,D$58,D$74,D$89,D$103)</f>
        <v>2081.4277888547072</v>
      </c>
      <c r="E129" s="326">
        <f t="shared" ca="1" si="91"/>
        <v>1596056.1468527475</v>
      </c>
      <c r="F129" s="326">
        <f t="shared" ca="1" si="91"/>
        <v>6966710.5404900862</v>
      </c>
      <c r="G129" s="326">
        <f t="shared" ca="1" si="91"/>
        <v>346346.06432602997</v>
      </c>
      <c r="H129" s="326">
        <f t="shared" ca="1" si="91"/>
        <v>1406622.9122022025</v>
      </c>
      <c r="I129" s="326"/>
      <c r="J129" s="326"/>
      <c r="K129" s="326"/>
      <c r="L129" s="326">
        <f t="shared" ca="1" si="91"/>
        <v>77079.27195837209</v>
      </c>
      <c r="M129" s="326">
        <f t="shared" ca="1" si="91"/>
        <v>383680.67126812774</v>
      </c>
      <c r="N129" s="326">
        <f t="shared" ca="1" si="91"/>
        <v>2639544.2015416976</v>
      </c>
      <c r="O129" s="326">
        <f t="shared" ca="1" si="91"/>
        <v>593876.93610732374</v>
      </c>
      <c r="P129" s="327"/>
      <c r="Q129" s="326"/>
      <c r="R129" s="327"/>
    </row>
    <row r="130" spans="1:18">
      <c r="B130" s="12">
        <f t="shared" ref="B130:B135" si="92">B118</f>
        <v>2023</v>
      </c>
      <c r="C130" s="326">
        <f ca="1">C128*SUM(C$6,C$25,C$43,C$60,C$76,C$91,C$105)/SUM(C$4,C$23,C$41,C$58,C$74,C$89,C$103)</f>
        <v>180604.07092588631</v>
      </c>
      <c r="D130" s="326">
        <f t="shared" ref="D130:O130" ca="1" si="93">D128*SUM(D$6,D$25,D$43,D$60,D$76,D$91,D$105)/SUM(D$4,D$23,D$41,D$58,D$74,D$89,D$103)</f>
        <v>2068.6035538419874</v>
      </c>
      <c r="E130" s="326">
        <f t="shared" ca="1" si="93"/>
        <v>1573750.6224533857</v>
      </c>
      <c r="F130" s="326">
        <f t="shared" ca="1" si="93"/>
        <v>6939887.3756029485</v>
      </c>
      <c r="G130" s="326">
        <f t="shared" ca="1" si="93"/>
        <v>346117.77457185771</v>
      </c>
      <c r="H130" s="326">
        <f t="shared" ca="1" si="93"/>
        <v>1196427.8376616829</v>
      </c>
      <c r="I130" s="326"/>
      <c r="J130" s="326"/>
      <c r="K130" s="326"/>
      <c r="L130" s="326">
        <f t="shared" ca="1" si="93"/>
        <v>76712.404984406385</v>
      </c>
      <c r="M130" s="326">
        <f t="shared" ca="1" si="93"/>
        <v>362843.5134117672</v>
      </c>
      <c r="N130" s="326">
        <f t="shared" ca="1" si="93"/>
        <v>2638358.7802677024</v>
      </c>
      <c r="O130" s="326">
        <f t="shared" ca="1" si="93"/>
        <v>593610.22553138982</v>
      </c>
      <c r="P130" s="327"/>
      <c r="Q130" s="326"/>
      <c r="R130" s="327"/>
    </row>
    <row r="131" spans="1:18">
      <c r="B131" s="12">
        <f t="shared" si="92"/>
        <v>2024</v>
      </c>
      <c r="C131" s="326">
        <f ca="1">C128*SUM(C$7,C$26,C$44,C$61,C$77,C$92,C$106)/SUM(C$4,C$23,C$41,C$58,C$74,C$89,C$103)</f>
        <v>180489.79815062013</v>
      </c>
      <c r="D131" s="326">
        <f t="shared" ref="D131:O131" ca="1" si="94">D128*SUM(D$7,D$26,D$44,D$61,D$77,D$92,D$106)/SUM(D$4,D$23,D$41,D$58,D$74,D$89,D$103)</f>
        <v>2067.2946959197316</v>
      </c>
      <c r="E131" s="326">
        <f t="shared" ca="1" si="94"/>
        <v>1528022.7352584638</v>
      </c>
      <c r="F131" s="326">
        <f t="shared" ca="1" si="94"/>
        <v>6912297.091199399</v>
      </c>
      <c r="G131" s="326">
        <f t="shared" ca="1" si="94"/>
        <v>346130.74508029473</v>
      </c>
      <c r="H131" s="326">
        <f t="shared" ca="1" si="94"/>
        <v>1174453.9670644032</v>
      </c>
      <c r="I131" s="326"/>
      <c r="J131" s="326"/>
      <c r="K131" s="326"/>
      <c r="L131" s="326">
        <f t="shared" ca="1" si="94"/>
        <v>68172.44199609544</v>
      </c>
      <c r="M131" s="326">
        <f t="shared" ca="1" si="94"/>
        <v>348808.27545673616</v>
      </c>
      <c r="N131" s="326">
        <f t="shared" ca="1" si="94"/>
        <v>2635581.2114970642</v>
      </c>
      <c r="O131" s="326">
        <f t="shared" ca="1" si="94"/>
        <v>592985.29413968569</v>
      </c>
      <c r="P131" s="327"/>
      <c r="Q131" s="326"/>
      <c r="R131" s="327"/>
    </row>
    <row r="132" spans="1:18">
      <c r="B132" s="12">
        <f t="shared" si="92"/>
        <v>2025</v>
      </c>
      <c r="C132" s="326">
        <f ca="1">C128*SUM(C$8,C$27,C$45,C$62,C$78,C$93,C$107)/SUM(C$4,C$23,C$41,C$58,C$74,C$89,C$103)</f>
        <v>179933.75498791729</v>
      </c>
      <c r="D132" s="326">
        <f t="shared" ref="D132:O132" ca="1" si="95">D128*SUM(D$8,D$27,D$45,D$62,D$78,D$93,D$107)/SUM(D$4,D$23,D$41,D$58,D$74,D$89,D$103)</f>
        <v>2060.9258867530289</v>
      </c>
      <c r="E132" s="326">
        <f t="shared" ca="1" si="95"/>
        <v>1492880.4697367328</v>
      </c>
      <c r="F132" s="326">
        <f t="shared" ca="1" si="95"/>
        <v>6860835.2310284404</v>
      </c>
      <c r="G132" s="326">
        <f t="shared" ca="1" si="95"/>
        <v>346130.74508029473</v>
      </c>
      <c r="H132" s="326">
        <f t="shared" ca="1" si="95"/>
        <v>1170160.5206261945</v>
      </c>
      <c r="I132" s="326"/>
      <c r="J132" s="326"/>
      <c r="K132" s="326"/>
      <c r="L132" s="326">
        <f t="shared" ca="1" si="95"/>
        <v>67600.478122071087</v>
      </c>
      <c r="M132" s="326">
        <f t="shared" ca="1" si="95"/>
        <v>346119.36128931958</v>
      </c>
      <c r="N132" s="326">
        <f t="shared" ca="1" si="95"/>
        <v>2592125.4000790296</v>
      </c>
      <c r="O132" s="326">
        <f t="shared" ca="1" si="95"/>
        <v>583208.07422197168</v>
      </c>
      <c r="P132" s="327"/>
      <c r="Q132" s="326"/>
      <c r="R132" s="327"/>
    </row>
    <row r="133" spans="1:18">
      <c r="B133" s="12">
        <f t="shared" si="92"/>
        <v>2026</v>
      </c>
      <c r="C133" s="326">
        <f ca="1">C128*SUM(C$9,C$28,C$46,C$63,C$79,C$94,C$108)/SUM(C$4,C$23,C$41,C$58,C$74,C$89,C$103)</f>
        <v>179590.25323855915</v>
      </c>
      <c r="D133" s="326">
        <f t="shared" ref="D133:O133" ca="1" si="96">D128*SUM(D$9,D$28,D$46,D$63,D$79,D$94,D$108)/SUM(D$4,D$23,D$41,D$58,D$74,D$89,D$103)</f>
        <v>2056.9914851870485</v>
      </c>
      <c r="E133" s="326">
        <f t="shared" ca="1" si="96"/>
        <v>1412826.367817898</v>
      </c>
      <c r="F133" s="326">
        <f t="shared" ca="1" si="96"/>
        <v>6580942.2410492795</v>
      </c>
      <c r="G133" s="326">
        <f t="shared" ca="1" si="96"/>
        <v>330286.13407602487</v>
      </c>
      <c r="H133" s="326">
        <f t="shared" ca="1" si="96"/>
        <v>1041781.6784937915</v>
      </c>
      <c r="I133" s="326"/>
      <c r="J133" s="326"/>
      <c r="K133" s="326"/>
      <c r="L133" s="326">
        <f t="shared" ca="1" si="96"/>
        <v>67477.166094753818</v>
      </c>
      <c r="M133" s="326">
        <f t="shared" ca="1" si="96"/>
        <v>330225.81644593214</v>
      </c>
      <c r="N133" s="326">
        <f t="shared" ca="1" si="96"/>
        <v>2497257.0047670677</v>
      </c>
      <c r="O133" s="326">
        <f t="shared" ca="1" si="96"/>
        <v>561863.42240353301</v>
      </c>
      <c r="P133" s="327"/>
      <c r="Q133" s="326"/>
      <c r="R133" s="327"/>
    </row>
    <row r="134" spans="1:18">
      <c r="B134" s="12">
        <f t="shared" si="92"/>
        <v>2027</v>
      </c>
      <c r="C134" s="326">
        <f ca="1">C128*SUM(C$10,C$29,C$47,C$64,C$80,C$95,C$109)/SUM(C$4,C$23,C$41,C$58,C$74,C$89,C$103)</f>
        <v>179519.20885257836</v>
      </c>
      <c r="D134" s="326">
        <f t="shared" ref="D134:O134" ca="1" si="97">D128*SUM(D$10,D$29,D$47,D$64,D$80,D$95,D$109)/SUM(D$4,D$23,D$41,D$58,D$74,D$89,D$103)</f>
        <v>2056.1777567446775</v>
      </c>
      <c r="E134" s="326">
        <f t="shared" ca="1" si="97"/>
        <v>1382617.0701639091</v>
      </c>
      <c r="F134" s="326">
        <f t="shared" ca="1" si="97"/>
        <v>6529358.8119075838</v>
      </c>
      <c r="G134" s="326">
        <f t="shared" ca="1" si="97"/>
        <v>330237.19405540347</v>
      </c>
      <c r="H134" s="326">
        <f t="shared" ca="1" si="97"/>
        <v>1034163.5634498827</v>
      </c>
      <c r="I134" s="326"/>
      <c r="J134" s="326"/>
      <c r="K134" s="326"/>
      <c r="L134" s="326">
        <f t="shared" ca="1" si="97"/>
        <v>67472.692238707503</v>
      </c>
      <c r="M134" s="326">
        <f t="shared" ca="1" si="97"/>
        <v>324031.50790715235</v>
      </c>
      <c r="N134" s="326">
        <f t="shared" ca="1" si="97"/>
        <v>2494127.6722754533</v>
      </c>
      <c r="O134" s="326">
        <f t="shared" ca="1" si="97"/>
        <v>561159.34690781077</v>
      </c>
      <c r="P134" s="327"/>
      <c r="Q134" s="326"/>
      <c r="R134" s="327"/>
    </row>
    <row r="135" spans="1:18">
      <c r="B135" s="12">
        <f t="shared" si="92"/>
        <v>2028</v>
      </c>
      <c r="C135" s="326">
        <f ca="1">C128*SUM(C$11,C$30,C$48,C$65,C$81,C$96,C$110)/SUM(C$4,C$23,C$41,C$58,C$74,C$89,C$103)</f>
        <v>179497.72239782489</v>
      </c>
      <c r="D135" s="326">
        <f t="shared" ref="D135:O135" ca="1" si="98">D128*SUM(D$11,D$30,D$48,D$65,D$81,D$96,D$110)/SUM(D$4,D$23,D$41,D$58,D$74,D$89,D$103)</f>
        <v>2055.9316551123356</v>
      </c>
      <c r="E135" s="326">
        <f t="shared" ca="1" si="98"/>
        <v>1371677.1291038988</v>
      </c>
      <c r="F135" s="326">
        <f t="shared" ca="1" si="98"/>
        <v>6529280.72386913</v>
      </c>
      <c r="G135" s="326">
        <f t="shared" ca="1" si="98"/>
        <v>330237.19405540347</v>
      </c>
      <c r="H135" s="326">
        <f t="shared" ca="1" si="98"/>
        <v>1034163.5634498827</v>
      </c>
      <c r="I135" s="326"/>
      <c r="J135" s="326"/>
      <c r="K135" s="326"/>
      <c r="L135" s="326">
        <f t="shared" ca="1" si="98"/>
        <v>67464.824308598108</v>
      </c>
      <c r="M135" s="326">
        <f t="shared" ca="1" si="98"/>
        <v>321095.97802511993</v>
      </c>
      <c r="N135" s="326">
        <f t="shared" ca="1" si="98"/>
        <v>2494127.6722754533</v>
      </c>
      <c r="O135" s="326">
        <f t="shared" ca="1" si="98"/>
        <v>561159.34690781077</v>
      </c>
      <c r="P135" s="327"/>
      <c r="Q135" s="326"/>
      <c r="R135" s="327"/>
    </row>
    <row r="136" spans="1:18">
      <c r="B136" s="12">
        <v>2029</v>
      </c>
      <c r="C136" s="326">
        <f ca="1">C128*SUM(C$12,C$31,C$49,C$66,C$82,C$97,C$111)/SUM(C$4,C$23,C$41,C$58,C$74,C$89,C$103)</f>
        <v>178568.18700669042</v>
      </c>
      <c r="D136" s="326">
        <f t="shared" ref="D136:O136" ca="1" si="99">D128*SUM(D$12,D$31,D$49,D$66,D$82,D$97,D$111)/SUM(D$4,D$23,D$41,D$58,D$74,D$89,D$103)</f>
        <v>2045.2849393231229</v>
      </c>
      <c r="E136" s="326">
        <f t="shared" ca="1" si="99"/>
        <v>1348101.2275306745</v>
      </c>
      <c r="F136" s="326">
        <f t="shared" ca="1" si="99"/>
        <v>6438337.9708673805</v>
      </c>
      <c r="G136" s="326">
        <f t="shared" ca="1" si="99"/>
        <v>328210.11012130673</v>
      </c>
      <c r="H136" s="326">
        <f t="shared" ca="1" si="99"/>
        <v>1026658.837334741</v>
      </c>
      <c r="I136" s="326"/>
      <c r="J136" s="326"/>
      <c r="K136" s="326"/>
      <c r="L136" s="326">
        <f t="shared" ca="1" si="99"/>
        <v>67336.517729292202</v>
      </c>
      <c r="M136" s="326">
        <f t="shared" ca="1" si="99"/>
        <v>312045.99771107966</v>
      </c>
      <c r="N136" s="326">
        <f t="shared" ca="1" si="99"/>
        <v>2406284.6146372724</v>
      </c>
      <c r="O136" s="326">
        <f t="shared" ca="1" si="99"/>
        <v>541395.3414791493</v>
      </c>
      <c r="P136" s="327"/>
      <c r="Q136" s="326"/>
      <c r="R136" s="327"/>
    </row>
    <row r="137" spans="1:18">
      <c r="B137" s="12">
        <v>2030</v>
      </c>
      <c r="C137" s="326">
        <f ca="1">C128*SUM(C$13,C$32,C$50,C$67,C$83,C$98,C$112)/SUM(C$4,C$23,C$41,C$58,C$74,C$89,C$103)</f>
        <v>177262.4500220523</v>
      </c>
      <c r="D137" s="326">
        <f t="shared" ref="D137:O137" ca="1" si="100">D128*SUM(D$13,D$32,D$50,D$67,D$83,D$98,D$112)/SUM(D$4,D$23,D$41,D$58,D$74,D$89,D$103)</f>
        <v>2030.3292843760441</v>
      </c>
      <c r="E137" s="326">
        <f t="shared" ca="1" si="100"/>
        <v>1293955.0623482752</v>
      </c>
      <c r="F137" s="326">
        <f t="shared" ca="1" si="100"/>
        <v>6092967.4840812022</v>
      </c>
      <c r="G137" s="326">
        <f t="shared" ca="1" si="100"/>
        <v>323546.09510951693</v>
      </c>
      <c r="H137" s="326">
        <f t="shared" ca="1" si="100"/>
        <v>938652.90766735177</v>
      </c>
      <c r="I137" s="326"/>
      <c r="J137" s="326"/>
      <c r="K137" s="326"/>
      <c r="L137" s="326">
        <f t="shared" ca="1" si="100"/>
        <v>66917.970330247015</v>
      </c>
      <c r="M137" s="326">
        <f t="shared" ca="1" si="100"/>
        <v>300511.1098667637</v>
      </c>
      <c r="N137" s="326">
        <f t="shared" ca="1" si="100"/>
        <v>2326951.4663673975</v>
      </c>
      <c r="O137" s="326">
        <f t="shared" ca="1" si="100"/>
        <v>523545.99953642191</v>
      </c>
      <c r="P137" s="327"/>
      <c r="Q137" s="326"/>
      <c r="R137" s="327"/>
    </row>
    <row r="138" spans="1:18">
      <c r="B138" s="12">
        <v>2031</v>
      </c>
      <c r="C138" s="326">
        <f ca="1">C128*SUM(C$14,C$33,C$51,C$68,C$84,C$99,C$113)/SUM(C$4,C$23,C$41,C$58,C$74,C$89,C$103)</f>
        <v>173544.14469998941</v>
      </c>
      <c r="D138" s="326">
        <f t="shared" ref="D138:O138" ca="1" si="101">D128*SUM(D$14,D$33,D$51,D$68,D$84,D$99,D$113)/SUM(D$4,D$23,D$41,D$58,D$74,D$89,D$103)</f>
        <v>1987.7405455726687</v>
      </c>
      <c r="E138" s="326">
        <f t="shared" ca="1" si="101"/>
        <v>1178718.7516109347</v>
      </c>
      <c r="F138" s="326">
        <f t="shared" ca="1" si="101"/>
        <v>5373968.7624265077</v>
      </c>
      <c r="G138" s="326">
        <f t="shared" ca="1" si="101"/>
        <v>304423.04079175385</v>
      </c>
      <c r="H138" s="326">
        <f t="shared" ca="1" si="101"/>
        <v>742577.25479061028</v>
      </c>
      <c r="I138" s="326"/>
      <c r="J138" s="326"/>
      <c r="K138" s="326"/>
      <c r="L138" s="326">
        <f t="shared" ca="1" si="101"/>
        <v>65611.308625901685</v>
      </c>
      <c r="M138" s="326">
        <f t="shared" ca="1" si="101"/>
        <v>271474.41102977435</v>
      </c>
      <c r="N138" s="326">
        <f t="shared" ca="1" si="101"/>
        <v>2133873.937710647</v>
      </c>
      <c r="O138" s="326">
        <f t="shared" ca="1" si="101"/>
        <v>480105.05579966924</v>
      </c>
      <c r="P138" s="327"/>
      <c r="Q138" s="326"/>
      <c r="R138" s="327"/>
    </row>
    <row r="139" spans="1:18">
      <c r="C139" s="319"/>
      <c r="D139" s="319"/>
      <c r="E139" s="326"/>
      <c r="F139" s="326"/>
      <c r="G139" s="326"/>
      <c r="H139" s="326"/>
      <c r="I139" s="327"/>
      <c r="J139" s="327"/>
      <c r="K139" s="327"/>
      <c r="L139" s="327"/>
      <c r="M139" s="327"/>
      <c r="N139" s="327"/>
      <c r="O139" s="327"/>
      <c r="P139" s="327"/>
      <c r="Q139" s="326"/>
      <c r="R139" s="327"/>
    </row>
    <row r="140" spans="1:18">
      <c r="A140" s="12">
        <f>A116+1</f>
        <v>2022</v>
      </c>
      <c r="B140" s="12">
        <f>B117</f>
        <v>2022</v>
      </c>
      <c r="C140" s="318">
        <f ca="1">OFFSET('CDM-eDSM Framework'!$U$46,COLUMN()-COLUMN($C$140),0)</f>
        <v>215213.67058738638</v>
      </c>
      <c r="D140" s="318">
        <f ca="1">OFFSET('CDM-eDSM Framework'!$U$46,COLUMN()-COLUMN($C$140),0)</f>
        <v>2465.0151102913819</v>
      </c>
      <c r="E140" s="318">
        <f ca="1">OFFSET('CDM-eDSM Framework'!$U$46,COLUMN()-COLUMN($C$140),0)</f>
        <v>2200251.0405109427</v>
      </c>
      <c r="F140" s="318">
        <f ca="1">OFFSET('CDM-eDSM Framework'!$U$46,COLUMN()-COLUMN($C$140),0)</f>
        <v>10582717.277090162</v>
      </c>
      <c r="G140" s="318">
        <f ca="1">OFFSET('CDM-eDSM Framework'!$U$46,COLUMN()-COLUMN($C$140),0)</f>
        <v>535588.50209401711</v>
      </c>
      <c r="H140" s="318">
        <f ca="1">OFFSET('CDM-eDSM Framework'!$U$46,COLUMN()-COLUMN($C$140),0)</f>
        <v>2407753.5263061561</v>
      </c>
      <c r="I140" s="327"/>
      <c r="J140" s="327"/>
      <c r="K140" s="327"/>
      <c r="L140" s="327">
        <f ca="1">OFFSET('CDM-eDSM Framework'!$AI$46,COLUMN()-COLUMN($L$140),0)</f>
        <v>90555.719363872558</v>
      </c>
      <c r="M140" s="327">
        <f ca="1">OFFSET('CDM-eDSM Framework'!$AI$46,COLUMN()-COLUMN($L$140),0)</f>
        <v>513097.88516994577</v>
      </c>
      <c r="N140" s="327">
        <f ca="1">OFFSET('CDM-eDSM Framework'!$AI$46,COLUMN()-COLUMN($L$140),0)</f>
        <v>4001336.6151017491</v>
      </c>
      <c r="O140" s="327">
        <f ca="1">OFFSET('CDM-eDSM Framework'!$AI$46,COLUMN()-COLUMN($L$140),0)</f>
        <v>900255.29935260606</v>
      </c>
      <c r="P140" s="327"/>
      <c r="R140" s="327"/>
    </row>
    <row r="141" spans="1:18">
      <c r="B141" s="12">
        <f>B118</f>
        <v>2023</v>
      </c>
      <c r="C141" s="326">
        <f ca="1">C140*SUM(C$5,C$24,C$42,C$59,C$75,C$90,C$104)/SUM(C$4,C$23,C$41,C$58,C$74,C$89,C$103)</f>
        <v>192048.93085072844</v>
      </c>
      <c r="D141" s="326">
        <f t="shared" ref="D141" ca="1" si="102">D140*SUM(D$5,D$24,D$42,D$59,D$75,D$90,D$104)/SUM(D$4,D$23,D$41,D$58,D$74,D$89,D$103)</f>
        <v>2199.6907314032696</v>
      </c>
      <c r="E141" s="326">
        <f t="shared" ref="E141" ca="1" si="103">E140*SUM(E$5,E$24,E$42,E$59,E$75,E$90,E$104)/SUM(E$4,E$23,E$41,E$58,E$74,E$89,E$103)</f>
        <v>2188693.2587145697</v>
      </c>
      <c r="F141" s="326">
        <f t="shared" ref="F141" ca="1" si="104">F140*SUM(F$5,F$24,F$42,F$59,F$75,F$90,F$104)/SUM(F$4,F$23,F$41,F$58,F$74,F$89,F$103)</f>
        <v>10611854.212814867</v>
      </c>
      <c r="G141" s="326">
        <f t="shared" ref="G141" ca="1" si="105">G140*SUM(G$5,G$24,G$42,G$59,G$75,G$90,G$104)/SUM(G$4,G$23,G$41,G$58,G$74,G$89,G$103)</f>
        <v>534545.3033330891</v>
      </c>
      <c r="H141" s="326">
        <f t="shared" ref="H141" ca="1" si="106">H140*SUM(H$5,H$24,H$42,H$59,H$75,H$90,H$104)/SUM(H$4,H$23,H$41,H$58,H$74,H$89,H$103)</f>
        <v>2296578.0518822777</v>
      </c>
      <c r="I141" s="326"/>
      <c r="J141" s="326"/>
      <c r="K141" s="326"/>
      <c r="L141" s="326">
        <f t="shared" ref="L141" ca="1" si="107">L140*SUM(L$5,L$24,L$42,L$59,L$75,L$90,L$104)/SUM(L$4,L$23,L$41,L$58,L$74,L$89,L$103)</f>
        <v>81458.776046915984</v>
      </c>
      <c r="M141" s="326">
        <f t="shared" ref="M141" ca="1" si="108">M140*SUM(M$5,M$24,M$42,M$59,M$75,M$90,M$104)/SUM(M$4,M$23,M$41,M$58,M$74,M$89,M$103)</f>
        <v>509556.46403033088</v>
      </c>
      <c r="N141" s="326">
        <f t="shared" ref="N141" ca="1" si="109">N140*SUM(N$5,N$24,N$42,N$59,N$75,N$90,N$104)/SUM(N$4,N$23,N$41,N$58,N$74,N$89,N$103)</f>
        <v>4041682.4478638167</v>
      </c>
      <c r="O141" s="326">
        <f t="shared" ref="O141" ca="1" si="110">O140*SUM(O$5,O$24,O$42,O$59,O$75,O$90,O$104)/SUM(O$4,O$23,O$41,O$58,O$74,O$89,O$103)</f>
        <v>909332.65355813864</v>
      </c>
      <c r="Q141" s="326"/>
    </row>
    <row r="142" spans="1:18">
      <c r="B142" s="12">
        <f>B119</f>
        <v>2024</v>
      </c>
      <c r="C142" s="326">
        <f ca="1">C140*SUM(C$6,C$25,C$43,C$60,C$76,C$91,C$105)/SUM(C$4,C$23,C$41,C$58,C$74,C$89,C$103)</f>
        <v>190865.66586485709</v>
      </c>
      <c r="D142" s="326">
        <f t="shared" ref="D142:H142" ca="1" si="111">D140*SUM(D$6,D$25,D$43,D$60,D$76,D$91,D$105)/SUM(D$4,D$23,D$41,D$58,D$74,D$89,D$103)</f>
        <v>2186.1378466739184</v>
      </c>
      <c r="E142" s="326">
        <f t="shared" ca="1" si="111"/>
        <v>2158105.3931302391</v>
      </c>
      <c r="F142" s="326">
        <f t="shared" ca="1" si="111"/>
        <v>10570996.549265586</v>
      </c>
      <c r="G142" s="326">
        <f t="shared" ca="1" si="111"/>
        <v>534192.96436215448</v>
      </c>
      <c r="H142" s="326">
        <f t="shared" ca="1" si="111"/>
        <v>1953394.8215965165</v>
      </c>
      <c r="I142" s="326"/>
      <c r="J142" s="326"/>
      <c r="K142" s="326"/>
      <c r="L142" s="326">
        <f t="shared" ref="L142:O142" ca="1" si="112">L140*SUM(L$6,L$25,L$43,L$60,L$76,L$91,L$105)/SUM(L$4,L$23,L$41,L$58,L$74,L$89,L$103)</f>
        <v>81071.064358520394</v>
      </c>
      <c r="M142" s="326">
        <f t="shared" ca="1" si="112"/>
        <v>481883.16883243725</v>
      </c>
      <c r="N142" s="326">
        <f t="shared" ca="1" si="112"/>
        <v>4039867.3252552878</v>
      </c>
      <c r="O142" s="326">
        <f t="shared" ca="1" si="112"/>
        <v>908924.27158369147</v>
      </c>
      <c r="Q142" s="326"/>
    </row>
    <row r="143" spans="1:18">
      <c r="B143" s="12">
        <f t="shared" ref="B143:B145" si="113">B120</f>
        <v>2025</v>
      </c>
      <c r="C143" s="326">
        <f ca="1">C140*SUM(C$7,C$26,C$44,C$61,C$77,C$92,C$106)/SUM(C$4,C$23,C$41,C$58,C$74,C$89,C$103)</f>
        <v>190744.90031826901</v>
      </c>
      <c r="D143" s="326">
        <f t="shared" ref="D143:H143" ca="1" si="114">D140*SUM(D$7,D$26,D$44,D$61,D$77,D$92,D$106)/SUM(D$4,D$23,D$41,D$58,D$74,D$89,D$103)</f>
        <v>2184.7546218242614</v>
      </c>
      <c r="E143" s="326">
        <f t="shared" ca="1" si="114"/>
        <v>2095398.1264490876</v>
      </c>
      <c r="F143" s="326">
        <f t="shared" ca="1" si="114"/>
        <v>10528970.391571945</v>
      </c>
      <c r="G143" s="326">
        <f t="shared" ca="1" si="114"/>
        <v>534212.98284967616</v>
      </c>
      <c r="H143" s="326">
        <f t="shared" ca="1" si="114"/>
        <v>1917518.3201611699</v>
      </c>
      <c r="I143" s="326"/>
      <c r="J143" s="326"/>
      <c r="K143" s="326"/>
      <c r="L143" s="326">
        <f t="shared" ref="L143:O143" ca="1" si="115">L140*SUM(L$7,L$26,L$44,L$61,L$77,L$92,L$106)/SUM(L$4,L$23,L$41,L$58,L$74,L$89,L$103)</f>
        <v>72045.87620041905</v>
      </c>
      <c r="M143" s="326">
        <f t="shared" ca="1" si="115"/>
        <v>463243.32909135189</v>
      </c>
      <c r="N143" s="326">
        <f t="shared" ca="1" si="115"/>
        <v>4035614.2989405678</v>
      </c>
      <c r="O143" s="326">
        <f t="shared" ca="1" si="115"/>
        <v>907967.38896010467</v>
      </c>
      <c r="Q143" s="326"/>
    </row>
    <row r="144" spans="1:18">
      <c r="B144" s="12">
        <f t="shared" si="113"/>
        <v>2026</v>
      </c>
      <c r="C144" s="326">
        <f ca="1">C140*SUM(C$8,C$27,C$45,C$62,C$78,C$93,C$107)/SUM(C$4,C$23,C$41,C$58,C$74,C$89,C$103)</f>
        <v>190157.26379404895</v>
      </c>
      <c r="D144" s="326">
        <f t="shared" ref="D144:H144" ca="1" si="116">D140*SUM(D$8,D$27,D$45,D$62,D$78,D$93,D$107)/SUM(D$4,D$23,D$41,D$58,D$74,D$89,D$103)</f>
        <v>2178.0239485003599</v>
      </c>
      <c r="E144" s="326">
        <f t="shared" ca="1" si="116"/>
        <v>2047207.0651289457</v>
      </c>
      <c r="F144" s="326">
        <f t="shared" ca="1" si="116"/>
        <v>10450582.498967459</v>
      </c>
      <c r="G144" s="326">
        <f t="shared" ca="1" si="116"/>
        <v>534212.98284967616</v>
      </c>
      <c r="H144" s="326">
        <f t="shared" ca="1" si="116"/>
        <v>1910508.45648599</v>
      </c>
      <c r="I144" s="326"/>
      <c r="J144" s="326"/>
      <c r="K144" s="326"/>
      <c r="L144" s="326">
        <f t="shared" ref="L144:O144" ca="1" si="117">L140*SUM(L$8,L$27,L$45,L$62,L$78,L$93,L$107)/SUM(L$4,L$23,L$41,L$58,L$74,L$89,L$103)</f>
        <v>71441.41437900695</v>
      </c>
      <c r="M144" s="326">
        <f t="shared" ca="1" si="117"/>
        <v>459672.25111470727</v>
      </c>
      <c r="N144" s="326">
        <f t="shared" ca="1" si="117"/>
        <v>3969074.556903528</v>
      </c>
      <c r="O144" s="326">
        <f t="shared" ca="1" si="117"/>
        <v>892996.70262486429</v>
      </c>
      <c r="Q144" s="326"/>
    </row>
    <row r="145" spans="1:17">
      <c r="B145" s="12">
        <f t="shared" si="113"/>
        <v>2027</v>
      </c>
      <c r="C145" s="326">
        <f ca="1">C140*SUM(C$9,C$28,C$46,C$63,C$79,C$94,C$108)/SUM(C$4,C$23,C$41,C$58,C$74,C$89,C$103)</f>
        <v>189794.24489984091</v>
      </c>
      <c r="D145" s="326">
        <f t="shared" ref="D145:H145" ca="1" si="118">D140*SUM(D$9,D$28,D$46,D$63,D$79,D$94,D$108)/SUM(D$4,D$23,D$41,D$58,D$74,D$89,D$103)</f>
        <v>2173.8660013908575</v>
      </c>
      <c r="E145" s="326">
        <f t="shared" ca="1" si="118"/>
        <v>1937427.798561347</v>
      </c>
      <c r="F145" s="326">
        <f t="shared" ca="1" si="118"/>
        <v>10024243.039679579</v>
      </c>
      <c r="G145" s="326">
        <f t="shared" ca="1" si="118"/>
        <v>509758.64867973619</v>
      </c>
      <c r="H145" s="326">
        <f t="shared" ca="1" si="118"/>
        <v>1700905.706090186</v>
      </c>
      <c r="I145" s="326"/>
      <c r="J145" s="326"/>
      <c r="K145" s="326"/>
      <c r="L145" s="326">
        <f t="shared" ref="L145:O145" ca="1" si="119">L140*SUM(L$9,L$28,L$46,L$63,L$79,L$94,L$108)/SUM(L$4,L$23,L$41,L$58,L$74,L$89,L$103)</f>
        <v>71311.095986501197</v>
      </c>
      <c r="M145" s="326">
        <f t="shared" ca="1" si="119"/>
        <v>438564.4416320544</v>
      </c>
      <c r="N145" s="326">
        <f t="shared" ca="1" si="119"/>
        <v>3823811.6255362825</v>
      </c>
      <c r="O145" s="326">
        <f t="shared" ca="1" si="119"/>
        <v>860314.19266824308</v>
      </c>
      <c r="Q145" s="326"/>
    </row>
    <row r="146" spans="1:17">
      <c r="B146" s="12">
        <f>B123</f>
        <v>2028</v>
      </c>
      <c r="C146" s="326">
        <f ca="1">C140*SUM(C$10,C$29,C$47,C$64,C$80,C$95,C$109)/SUM(C$4,C$23,C$41,C$58,C$74,C$89,C$103)</f>
        <v>189719.16390102034</v>
      </c>
      <c r="D146" s="326">
        <f t="shared" ref="D146:H146" ca="1" si="120">D140*SUM(D$10,D$29,D$47,D$64,D$80,D$95,D$109)/SUM(D$4,D$23,D$41,D$58,D$74,D$89,D$103)</f>
        <v>2173.0060383778978</v>
      </c>
      <c r="E146" s="326">
        <f t="shared" ca="1" si="120"/>
        <v>1896001.3824191787</v>
      </c>
      <c r="F146" s="326">
        <f t="shared" ca="1" si="120"/>
        <v>9945669.9704143498</v>
      </c>
      <c r="G146" s="326">
        <f t="shared" ca="1" si="120"/>
        <v>509683.11538843368</v>
      </c>
      <c r="H146" s="326">
        <f t="shared" ca="1" si="120"/>
        <v>1688467.6918542569</v>
      </c>
      <c r="I146" s="326"/>
      <c r="J146" s="326"/>
      <c r="K146" s="326"/>
      <c r="L146" s="326">
        <f t="shared" ref="L146:O146" ca="1" si="121">L140*SUM(L$10,L$29,L$47,L$64,L$80,L$95,L$109)/SUM(L$4,L$23,L$41,L$58,L$74,L$89,L$103)</f>
        <v>71306.367934088616</v>
      </c>
      <c r="M146" s="326">
        <f t="shared" ca="1" si="121"/>
        <v>430337.93925000518</v>
      </c>
      <c r="N146" s="326">
        <f t="shared" ca="1" si="121"/>
        <v>3819019.9769639643</v>
      </c>
      <c r="O146" s="326">
        <f t="shared" ca="1" si="121"/>
        <v>859236.12615327281</v>
      </c>
      <c r="Q146" s="326"/>
    </row>
    <row r="147" spans="1:17">
      <c r="B147" s="12">
        <v>2029</v>
      </c>
      <c r="C147" s="326">
        <f ca="1">C140*SUM(C$11,C$30,C$48,C$65,C$81,C$96,C$110)/SUM(C$4,C$23,C$41,C$58,C$74,C$89,C$103)</f>
        <v>189696.456624974</v>
      </c>
      <c r="D147" s="326">
        <f t="shared" ref="D147:H147" ca="1" si="122">D140*SUM(D$11,D$30,D$48,D$65,D$81,D$96,D$110)/SUM(D$4,D$23,D$41,D$58,D$74,D$89,D$103)</f>
        <v>2172.7459536982633</v>
      </c>
      <c r="E147" s="326">
        <f t="shared" ca="1" si="122"/>
        <v>1880999.2941179653</v>
      </c>
      <c r="F147" s="326">
        <f t="shared" ca="1" si="122"/>
        <v>9945551.0249127373</v>
      </c>
      <c r="G147" s="326">
        <f t="shared" ca="1" si="122"/>
        <v>509683.11538843368</v>
      </c>
      <c r="H147" s="326">
        <f t="shared" ca="1" si="122"/>
        <v>1688467.6918542569</v>
      </c>
      <c r="I147" s="326"/>
      <c r="J147" s="326"/>
      <c r="K147" s="326"/>
      <c r="L147" s="326">
        <f t="shared" ref="L147:O147" ca="1" si="123">L140*SUM(L$11,L$30,L$48,L$65,L$81,L$96,L$110)/SUM(L$4,L$23,L$41,L$58,L$74,L$89,L$103)</f>
        <v>71298.052962495727</v>
      </c>
      <c r="M147" s="326">
        <f t="shared" ca="1" si="123"/>
        <v>426439.33726466179</v>
      </c>
      <c r="N147" s="326">
        <f t="shared" ca="1" si="123"/>
        <v>3819019.9769639643</v>
      </c>
      <c r="O147" s="326">
        <f t="shared" ca="1" si="123"/>
        <v>859236.12615327281</v>
      </c>
      <c r="Q147" s="326"/>
    </row>
    <row r="148" spans="1:17">
      <c r="B148" s="12">
        <v>2030</v>
      </c>
      <c r="C148" s="326">
        <f ca="1">C140*SUM(C$12,C$31,C$49,C$66,C$82,C$97,C$111)/SUM(C$4,C$23,C$41,C$58,C$74,C$89,C$103)</f>
        <v>188714.10672297963</v>
      </c>
      <c r="D148" s="326">
        <f t="shared" ref="D148:H148" ca="1" si="124">D140*SUM(D$12,D$31,D$49,D$66,D$82,D$97,D$111)/SUM(D$4,D$23,D$41,D$58,D$74,D$89,D$103)</f>
        <v>2161.4943108755729</v>
      </c>
      <c r="E148" s="326">
        <f t="shared" ca="1" si="124"/>
        <v>1848669.3432304701</v>
      </c>
      <c r="F148" s="326">
        <f t="shared" ca="1" si="124"/>
        <v>9807024.9255495351</v>
      </c>
      <c r="G148" s="326">
        <f t="shared" ca="1" si="124"/>
        <v>506554.54455122229</v>
      </c>
      <c r="H148" s="326">
        <f t="shared" ca="1" si="124"/>
        <v>1676214.806498907</v>
      </c>
      <c r="I148" s="326"/>
      <c r="J148" s="326"/>
      <c r="K148" s="326"/>
      <c r="L148" s="326">
        <f t="shared" ref="L148:O148" ca="1" si="125">L140*SUM(L$12,L$31,L$49,L$66,L$82,L$97,L$111)/SUM(L$4,L$23,L$41,L$58,L$74,L$89,L$103)</f>
        <v>71162.456236638362</v>
      </c>
      <c r="M148" s="326">
        <f t="shared" ca="1" si="125"/>
        <v>414420.29040174634</v>
      </c>
      <c r="N148" s="326">
        <f t="shared" ca="1" si="125"/>
        <v>3684514.2755570472</v>
      </c>
      <c r="O148" s="326">
        <f t="shared" ca="1" si="125"/>
        <v>828973.87077898043</v>
      </c>
      <c r="Q148" s="326"/>
    </row>
    <row r="149" spans="1:17">
      <c r="B149" s="12">
        <v>2031</v>
      </c>
      <c r="C149" s="326">
        <f ca="1">C140*SUM(C$13,C$32,C$50,C$67,C$83,C$98,C$112)/SUM(C$4,C$23,C$41,C$58,C$74,C$89,C$103)</f>
        <v>187334.18013694164</v>
      </c>
      <c r="D149" s="326">
        <f t="shared" ref="D149:H149" ca="1" si="126">D140*SUM(D$13,D$32,D$50,D$67,D$83,D$98,D$112)/SUM(D$4,D$23,D$41,D$58,D$74,D$89,D$103)</f>
        <v>2145.6889028065007</v>
      </c>
      <c r="E149" s="326">
        <f t="shared" ca="1" si="126"/>
        <v>1774417.9787320152</v>
      </c>
      <c r="F149" s="326">
        <f t="shared" ca="1" si="126"/>
        <v>9280948.6326013841</v>
      </c>
      <c r="G149" s="326">
        <f t="shared" ca="1" si="126"/>
        <v>499356.17397328967</v>
      </c>
      <c r="H149" s="326">
        <f t="shared" ca="1" si="126"/>
        <v>1532528.4746779681</v>
      </c>
      <c r="I149" s="326"/>
      <c r="J149" s="326"/>
      <c r="K149" s="326"/>
      <c r="L149" s="326">
        <f t="shared" ref="L149:O149" ca="1" si="127">L140*SUM(L$13,L$32,L$50,L$67,L$83,L$98,L$112)/SUM(L$4,L$23,L$41,L$58,L$74,L$89,L$103)</f>
        <v>70720.127735374699</v>
      </c>
      <c r="M149" s="326">
        <f t="shared" ca="1" si="127"/>
        <v>399101.10154735495</v>
      </c>
      <c r="N149" s="326">
        <f t="shared" ca="1" si="127"/>
        <v>3563038.9872444468</v>
      </c>
      <c r="O149" s="326">
        <f t="shared" ca="1" si="127"/>
        <v>801643.3103779722</v>
      </c>
      <c r="Q149" s="326"/>
    </row>
    <row r="150" spans="1:17">
      <c r="C150" s="318"/>
      <c r="E150" s="326"/>
      <c r="F150" s="326"/>
      <c r="Q150" s="326"/>
    </row>
    <row r="151" spans="1:17">
      <c r="A151" s="12">
        <f>A140+1</f>
        <v>2023</v>
      </c>
      <c r="B151" s="12">
        <f>B141</f>
        <v>2023</v>
      </c>
      <c r="C151" s="318">
        <f ca="1">OFFSET('CDM-eDSM Framework'!$V$46,COLUMN()-COLUMN($C$151),0)</f>
        <v>597773.06818551128</v>
      </c>
      <c r="D151" s="318">
        <f ca="1">OFFSET('CDM-eDSM Framework'!$V$46,COLUMN()-COLUMN($C$151),0)</f>
        <v>6844.6910663757699</v>
      </c>
      <c r="E151" s="318">
        <f ca="1">OFFSET('CDM-eDSM Framework'!$V$46,COLUMN()-COLUMN($C$151),0)</f>
        <v>760467.84975430951</v>
      </c>
      <c r="F151" s="318">
        <f ca="1">OFFSET('CDM-eDSM Framework'!$V$46,COLUMN()-COLUMN($C$151),0)</f>
        <v>4186529.9634164791</v>
      </c>
      <c r="G151" s="318">
        <f ca="1">OFFSET('CDM-eDSM Framework'!$V$46,COLUMN()-COLUMN($C$151),0)</f>
        <v>273230.82902010489</v>
      </c>
      <c r="H151" s="318">
        <f ca="1">OFFSET('CDM-eDSM Framework'!$V$46,COLUMN()-COLUMN($C$151),0)</f>
        <v>2003691.2210693914</v>
      </c>
      <c r="L151" s="327">
        <f ca="1">OFFSET('CDM-eDSM Framework'!$AJ$46,COLUMN()-COLUMN($L$151),0)</f>
        <v>237609.29133798226</v>
      </c>
      <c r="M151" s="327">
        <f ca="1">OFFSET('CDM-eDSM Framework'!$AJ$46,COLUMN()-COLUMN($L$151),0)</f>
        <v>193709.89447298835</v>
      </c>
      <c r="N151" s="327">
        <f ca="1">OFFSET('CDM-eDSM Framework'!$AJ$46,COLUMN()-COLUMN($L$151),0)</f>
        <v>1701365.6634643639</v>
      </c>
      <c r="O151" s="327">
        <f ca="1">OFFSET('CDM-eDSM Framework'!$AJ$46,COLUMN()-COLUMN($L$151),0)</f>
        <v>382918.63506163895</v>
      </c>
    </row>
    <row r="152" spans="1:17">
      <c r="B152" s="12">
        <f>B142</f>
        <v>2024</v>
      </c>
      <c r="C152" s="326">
        <f ca="1">C151*SUM(C$5,C$24,C$42,C$59,C$75,C$90,C$104)/SUM(C$4,C$23,C$41,C$58,C$74,C$89,C$103)</f>
        <v>533431.16319263936</v>
      </c>
      <c r="D152" s="326">
        <f t="shared" ref="D152" ca="1" si="128">D151*SUM(D$5,D$24,D$42,D$59,D$75,D$90,D$104)/SUM(D$4,D$23,D$41,D$58,D$74,D$89,D$103)</f>
        <v>6107.9558641106241</v>
      </c>
      <c r="E152" s="326">
        <f t="shared" ref="E152" ca="1" si="129">E151*SUM(E$5,E$24,E$42,E$59,E$75,E$90,E$104)/SUM(E$4,E$23,E$41,E$58,E$74,E$89,E$103)</f>
        <v>756473.15946270712</v>
      </c>
      <c r="F152" s="326">
        <f t="shared" ref="F152" ca="1" si="130">F151*SUM(F$5,F$24,F$42,F$59,F$75,F$90,F$104)/SUM(F$4,F$23,F$41,F$58,F$74,F$89,F$103)</f>
        <v>4198056.5544856451</v>
      </c>
      <c r="G152" s="326">
        <f t="shared" ref="G152" ca="1" si="131">G151*SUM(G$5,G$24,G$42,G$59,G$75,G$90,G$104)/SUM(G$4,G$23,G$41,G$58,G$74,G$89,G$103)</f>
        <v>272698.64048139151</v>
      </c>
      <c r="H152" s="326">
        <f t="shared" ref="H152" ca="1" si="132">H151*SUM(H$5,H$24,H$42,H$59,H$75,H$90,H$104)/SUM(H$4,H$23,H$41,H$58,H$74,H$89,H$103)</f>
        <v>1911172.8965533855</v>
      </c>
      <c r="I152" s="326"/>
      <c r="J152" s="326"/>
      <c r="K152" s="326"/>
      <c r="L152" s="326">
        <f t="shared" ref="L152" ca="1" si="133">L151*SUM(L$5,L$24,L$42,L$59,L$75,L$90,L$104)/SUM(L$4,L$23,L$41,L$58,L$74,L$89,L$103)</f>
        <v>213739.80777506786</v>
      </c>
      <c r="M152" s="326">
        <f t="shared" ref="M152" ca="1" si="134">M151*SUM(M$5,M$24,M$42,M$59,M$75,M$90,M$104)/SUM(M$4,M$23,M$41,M$58,M$74,M$89,M$103)</f>
        <v>192372.90140584292</v>
      </c>
      <c r="N152" s="326">
        <f t="shared" ref="N152" ca="1" si="135">N151*SUM(N$5,N$24,N$42,N$59,N$75,N$90,N$104)/SUM(N$4,N$23,N$41,N$58,N$74,N$89,N$103)</f>
        <v>1718520.6846805711</v>
      </c>
      <c r="O152" s="326">
        <f t="shared" ref="O152" ca="1" si="136">O151*SUM(O$5,O$24,O$42,O$59,O$75,O$90,O$104)/SUM(O$4,O$23,O$41,O$58,O$74,O$89,O$103)</f>
        <v>386779.63769595075</v>
      </c>
      <c r="Q152" s="326"/>
    </row>
    <row r="153" spans="1:17">
      <c r="B153" s="12">
        <f>B143</f>
        <v>2025</v>
      </c>
      <c r="C153" s="326">
        <f ca="1">C151*SUM(C$6,C$25,C$43,C$60,C$76,C$91,C$105)/SUM(C$4,C$23,C$41,C$58,C$74,C$89,C$103)</f>
        <v>530144.55068726139</v>
      </c>
      <c r="D153" s="326">
        <f t="shared" ref="D153:H153" ca="1" si="137">D151*SUM(D$6,D$25,D$43,D$60,D$76,D$91,D$105)/SUM(D$4,D$23,D$41,D$58,D$74,D$89,D$103)</f>
        <v>6070.3231093890327</v>
      </c>
      <c r="E153" s="326">
        <f t="shared" ca="1" si="137"/>
        <v>745901.14384212228</v>
      </c>
      <c r="F153" s="326">
        <f t="shared" ca="1" si="137"/>
        <v>4181893.2357268077</v>
      </c>
      <c r="G153" s="326">
        <f t="shared" ca="1" si="137"/>
        <v>272518.8945220437</v>
      </c>
      <c r="H153" s="326">
        <f t="shared" ca="1" si="137"/>
        <v>1625581.6937043364</v>
      </c>
      <c r="I153" s="326"/>
      <c r="J153" s="326"/>
      <c r="K153" s="326"/>
      <c r="L153" s="326">
        <f t="shared" ref="L153:O153" ca="1" si="138">L151*SUM(L$6,L$25,L$43,L$60,L$76,L$91,L$105)/SUM(L$4,L$23,L$41,L$58,L$74,L$89,L$103)</f>
        <v>212722.49047948152</v>
      </c>
      <c r="M153" s="326">
        <f t="shared" ca="1" si="138"/>
        <v>181925.39957930872</v>
      </c>
      <c r="N153" s="326">
        <f t="shared" ca="1" si="138"/>
        <v>1717748.8957564719</v>
      </c>
      <c r="O153" s="326">
        <f t="shared" ca="1" si="138"/>
        <v>386605.93467154034</v>
      </c>
      <c r="Q153" s="326"/>
    </row>
    <row r="154" spans="1:17">
      <c r="B154" s="12">
        <f t="shared" ref="B154:B155" si="139">B144</f>
        <v>2026</v>
      </c>
      <c r="C154" s="326">
        <f ca="1">C151*SUM(C$7,C$26,C$44,C$61,C$77,C$92,C$106)/SUM(C$4,C$23,C$41,C$58,C$74,C$89,C$103)</f>
        <v>529809.11478712526</v>
      </c>
      <c r="D154" s="326">
        <f t="shared" ref="D154:H154" ca="1" si="140">D151*SUM(D$7,D$26,D$44,D$61,D$77,D$92,D$106)/SUM(D$4,D$23,D$41,D$58,D$74,D$89,D$103)</f>
        <v>6066.4822620320692</v>
      </c>
      <c r="E154" s="326">
        <f t="shared" ca="1" si="140"/>
        <v>724227.77140462468</v>
      </c>
      <c r="F154" s="326">
        <f t="shared" ca="1" si="140"/>
        <v>4165267.6599106067</v>
      </c>
      <c r="G154" s="326">
        <f t="shared" ca="1" si="140"/>
        <v>272529.10696670943</v>
      </c>
      <c r="H154" s="326">
        <f t="shared" ca="1" si="140"/>
        <v>1595725.8840530179</v>
      </c>
      <c r="I154" s="326"/>
      <c r="J154" s="326"/>
      <c r="K154" s="326"/>
      <c r="L154" s="326">
        <f t="shared" ref="L154:O154" ca="1" si="141">L151*SUM(L$7,L$26,L$44,L$61,L$77,L$92,L$106)/SUM(L$4,L$23,L$41,L$58,L$74,L$89,L$103)</f>
        <v>189041.28538826617</v>
      </c>
      <c r="M154" s="326">
        <f t="shared" ca="1" si="141"/>
        <v>174888.29906964063</v>
      </c>
      <c r="N154" s="326">
        <f t="shared" ca="1" si="141"/>
        <v>1715940.5118003795</v>
      </c>
      <c r="O154" s="326">
        <f t="shared" ca="1" si="141"/>
        <v>386198.92991588765</v>
      </c>
      <c r="Q154" s="326"/>
    </row>
    <row r="155" spans="1:17">
      <c r="B155" s="12">
        <f t="shared" si="139"/>
        <v>2027</v>
      </c>
      <c r="C155" s="326">
        <f ca="1">C151*SUM(C$8,C$27,C$45,C$62,C$78,C$93,C$107)/SUM(C$4,C$23,C$41,C$58,C$74,C$89,C$103)</f>
        <v>528176.90765501268</v>
      </c>
      <c r="D155" s="326">
        <f t="shared" ref="D155:H155" ca="1" si="142">D151*SUM(D$8,D$27,D$45,D$62,D$78,D$93,D$107)/SUM(D$4,D$23,D$41,D$58,D$74,D$89,D$103)</f>
        <v>6047.7929731192089</v>
      </c>
      <c r="E155" s="326">
        <f t="shared" ca="1" si="142"/>
        <v>707571.60258354503</v>
      </c>
      <c r="F155" s="326">
        <f t="shared" ca="1" si="142"/>
        <v>4134257.3576824451</v>
      </c>
      <c r="G155" s="326">
        <f t="shared" ca="1" si="142"/>
        <v>272529.10696670943</v>
      </c>
      <c r="H155" s="326">
        <f t="shared" ca="1" si="142"/>
        <v>1589892.3956359543</v>
      </c>
      <c r="I155" s="326"/>
      <c r="J155" s="326"/>
      <c r="K155" s="326"/>
      <c r="L155" s="326">
        <f t="shared" ref="L155:O155" ca="1" si="143">L151*SUM(L$8,L$27,L$45,L$62,L$78,L$93,L$107)/SUM(L$4,L$23,L$41,L$58,L$74,L$89,L$103)</f>
        <v>187455.23708523766</v>
      </c>
      <c r="M155" s="326">
        <f t="shared" ca="1" si="143"/>
        <v>173540.10965392803</v>
      </c>
      <c r="N155" s="326">
        <f t="shared" ca="1" si="143"/>
        <v>1687647.8578081289</v>
      </c>
      <c r="O155" s="326">
        <f t="shared" ca="1" si="143"/>
        <v>379831.23090700805</v>
      </c>
      <c r="Q155" s="326"/>
    </row>
    <row r="156" spans="1:17">
      <c r="B156" s="12">
        <f>B146</f>
        <v>2028</v>
      </c>
      <c r="C156" s="326">
        <f ca="1">C151*SUM(C$9,C$28,C$46,C$63,C$79,C$94,C$108)/SUM(C$4,C$23,C$41,C$58,C$74,C$89,C$103)</f>
        <v>527168.59383550577</v>
      </c>
      <c r="D156" s="326">
        <f t="shared" ref="D156:H156" ca="1" si="144">D151*SUM(D$9,D$28,D$46,D$63,D$79,D$94,D$108)/SUM(D$4,D$23,D$41,D$58,D$74,D$89,D$103)</f>
        <v>6036.2474603489009</v>
      </c>
      <c r="E156" s="326">
        <f t="shared" ca="1" si="144"/>
        <v>669628.84002728667</v>
      </c>
      <c r="F156" s="326">
        <f t="shared" ca="1" si="144"/>
        <v>3965597.1852369937</v>
      </c>
      <c r="G156" s="326">
        <f t="shared" ca="1" si="144"/>
        <v>260053.71219579174</v>
      </c>
      <c r="H156" s="326">
        <f t="shared" ca="1" si="144"/>
        <v>1415464.5788799841</v>
      </c>
      <c r="I156" s="326"/>
      <c r="J156" s="326"/>
      <c r="K156" s="326"/>
      <c r="L156" s="326">
        <f t="shared" ref="L156:O156" ca="1" si="145">L151*SUM(L$9,L$28,L$46,L$63,L$79,L$94,L$108)/SUM(L$4,L$23,L$41,L$58,L$74,L$89,L$103)</f>
        <v>187113.294454677</v>
      </c>
      <c r="M156" s="326">
        <f t="shared" ca="1" si="145"/>
        <v>165571.27628778314</v>
      </c>
      <c r="N156" s="326">
        <f t="shared" ca="1" si="145"/>
        <v>1625882.1561499278</v>
      </c>
      <c r="O156" s="326">
        <f t="shared" ca="1" si="145"/>
        <v>365929.90523641492</v>
      </c>
      <c r="Q156" s="326"/>
    </row>
    <row r="157" spans="1:17">
      <c r="B157" s="12">
        <v>2029</v>
      </c>
      <c r="C157" s="326">
        <f ca="1">C151*SUM(C$10,C$29,C$47,C$64,C$80,C$95,C$109)/SUM(C$4,C$23,C$41,C$58,C$74,C$89,C$103)</f>
        <v>526960.05039630458</v>
      </c>
      <c r="D157" s="326">
        <f t="shared" ref="D157:H157" ca="1" si="146">D151*SUM(D$10,D$29,D$47,D$64,D$80,D$95,D$109)/SUM(D$4,D$23,D$41,D$58,D$74,D$89,D$103)</f>
        <v>6033.8595718821534</v>
      </c>
      <c r="E157" s="326">
        <f t="shared" ca="1" si="146"/>
        <v>655310.7204006525</v>
      </c>
      <c r="F157" s="326">
        <f t="shared" ca="1" si="146"/>
        <v>3934513.6269992054</v>
      </c>
      <c r="G157" s="326">
        <f t="shared" ca="1" si="146"/>
        <v>260015.17883721419</v>
      </c>
      <c r="H157" s="326">
        <f t="shared" ca="1" si="146"/>
        <v>1405113.8765926529</v>
      </c>
      <c r="I157" s="326"/>
      <c r="J157" s="326"/>
      <c r="K157" s="326"/>
      <c r="L157" s="326">
        <f t="shared" ref="L157:O157" ca="1" si="147">L151*SUM(L$10,L$29,L$47,L$64,L$80,L$95,L$109)/SUM(L$4,L$23,L$41,L$58,L$74,L$89,L$103)</f>
        <v>187100.88851067857</v>
      </c>
      <c r="M157" s="326">
        <f t="shared" ca="1" si="147"/>
        <v>162465.52404368506</v>
      </c>
      <c r="N157" s="326">
        <f t="shared" ca="1" si="147"/>
        <v>1623844.7503686789</v>
      </c>
      <c r="O157" s="326">
        <f t="shared" ca="1" si="147"/>
        <v>365471.35557976208</v>
      </c>
      <c r="Q157" s="326"/>
    </row>
    <row r="158" spans="1:17">
      <c r="B158" s="12">
        <v>2030</v>
      </c>
      <c r="C158" s="326">
        <f ca="1">C151*SUM(C$11,C$30,C$48,C$65,C$81,C$96,C$110)/SUM(C$4,C$23,C$41,C$58,C$74,C$89,C$103)</f>
        <v>526896.97913305589</v>
      </c>
      <c r="D158" s="326">
        <f t="shared" ref="D158:H158" ca="1" si="148">D151*SUM(D$11,D$30,D$48,D$65,D$81,D$96,D$110)/SUM(D$4,D$23,D$41,D$58,D$74,D$89,D$103)</f>
        <v>6033.1373859305295</v>
      </c>
      <c r="E158" s="326">
        <f t="shared" ca="1" si="148"/>
        <v>650125.5821495197</v>
      </c>
      <c r="F158" s="326">
        <f t="shared" ca="1" si="148"/>
        <v>3934466.5720799929</v>
      </c>
      <c r="G158" s="326">
        <f t="shared" ca="1" si="148"/>
        <v>260015.17883721419</v>
      </c>
      <c r="H158" s="326">
        <f t="shared" ca="1" si="148"/>
        <v>1405113.8765926529</v>
      </c>
      <c r="I158" s="326"/>
      <c r="J158" s="326"/>
      <c r="K158" s="326"/>
      <c r="L158" s="326">
        <f t="shared" ref="L158:O158" ca="1" si="149">L151*SUM(L$11,L$30,L$48,L$65,L$81,L$96,L$110)/SUM(L$4,L$23,L$41,L$58,L$74,L$89,L$103)</f>
        <v>187079.07084392538</v>
      </c>
      <c r="M158" s="326">
        <f t="shared" ca="1" si="149"/>
        <v>160993.68445712561</v>
      </c>
      <c r="N158" s="326">
        <f t="shared" ca="1" si="149"/>
        <v>1623844.7503686789</v>
      </c>
      <c r="O158" s="326">
        <f t="shared" ca="1" si="149"/>
        <v>365471.35557976208</v>
      </c>
      <c r="Q158" s="326"/>
    </row>
    <row r="159" spans="1:17">
      <c r="B159" s="12">
        <v>2031</v>
      </c>
      <c r="C159" s="326">
        <f ca="1">C151*SUM(C$12,C$31,C$49,C$66,C$82,C$97,C$111)/SUM(C$4,C$23,C$41,C$58,C$74,C$89,C$103)</f>
        <v>524168.42423529213</v>
      </c>
      <c r="D159" s="326">
        <f t="shared" ref="D159:H159" ca="1" si="150">D151*SUM(D$12,D$31,D$49,D$66,D$82,D$97,D$111)/SUM(D$4,D$23,D$41,D$58,D$74,D$89,D$103)</f>
        <v>6001.8945676658514</v>
      </c>
      <c r="E159" s="326">
        <f t="shared" ca="1" si="150"/>
        <v>638951.45347901736</v>
      </c>
      <c r="F159" s="326">
        <f t="shared" ca="1" si="150"/>
        <v>3879665.5554304468</v>
      </c>
      <c r="G159" s="326">
        <f t="shared" ca="1" si="150"/>
        <v>258419.136352812</v>
      </c>
      <c r="H159" s="326">
        <f t="shared" ca="1" si="150"/>
        <v>1394917.2353870436</v>
      </c>
      <c r="I159" s="326"/>
      <c r="J159" s="326"/>
      <c r="K159" s="326"/>
      <c r="L159" s="326">
        <f t="shared" ref="L159:O159" ca="1" si="151">L151*SUM(L$12,L$31,L$49,L$66,L$82,L$97,L$111)/SUM(L$4,L$23,L$41,L$58,L$74,L$89,L$103)</f>
        <v>186723.27838636388</v>
      </c>
      <c r="M159" s="326">
        <f t="shared" ca="1" si="151"/>
        <v>156456.13252644456</v>
      </c>
      <c r="N159" s="326">
        <f t="shared" ca="1" si="151"/>
        <v>1566653.0157242545</v>
      </c>
      <c r="O159" s="326">
        <f t="shared" ca="1" si="151"/>
        <v>352599.47187061427</v>
      </c>
      <c r="Q159" s="326"/>
    </row>
    <row r="160" spans="1:17">
      <c r="C160" s="326"/>
      <c r="D160" s="326"/>
      <c r="E160" s="326"/>
      <c r="F160" s="326"/>
      <c r="Q160" s="326"/>
    </row>
    <row r="161" spans="1:17">
      <c r="A161" s="12">
        <f>A151+1</f>
        <v>2024</v>
      </c>
      <c r="B161" s="12">
        <f>B152</f>
        <v>2024</v>
      </c>
      <c r="C161" s="318">
        <f ca="1">OFFSET('CDM-eDSM Framework'!$W$46,COLUMN()-COLUMN($C$161),0)</f>
        <v>3847669.4060554798</v>
      </c>
      <c r="D161" s="318">
        <f ca="1">OFFSET('CDM-eDSM Framework'!$W$46,COLUMN()-COLUMN($C$161),0)</f>
        <v>44060.971027763</v>
      </c>
      <c r="E161" s="318">
        <f ca="1">OFFSET('CDM-eDSM Framework'!$W$46,COLUMN()-COLUMN($C$161),0)</f>
        <v>4094017.8436358268</v>
      </c>
      <c r="F161" s="318">
        <f ca="1">OFFSET('CDM-eDSM Framework'!$W$46,COLUMN()-COLUMN($C$161),0)</f>
        <v>14702774.998666458</v>
      </c>
      <c r="G161" s="318">
        <f ca="1">OFFSET('CDM-eDSM Framework'!$W$46,COLUMN()-COLUMN($C$161),0)</f>
        <v>969079.85360155499</v>
      </c>
      <c r="H161" s="318">
        <f ca="1">OFFSET('CDM-eDSM Framework'!$W$46,COLUMN()-COLUMN($C$161),0)</f>
        <v>6878902.6149551198</v>
      </c>
      <c r="L161" s="327">
        <f ca="1">OFFSET('CDM-eDSM Framework'!$AK$46,COLUMN()-COLUMN($L$161),0)</f>
        <v>1555700.3488244072</v>
      </c>
      <c r="M161" s="327">
        <f ca="1">OFFSET('CDM-eDSM Framework'!$AK$46,COLUMN()-COLUMN($L$161),0)</f>
        <v>1105596.9812749238</v>
      </c>
      <c r="N161" s="327">
        <f ca="1">OFFSET('CDM-eDSM Framework'!$AK$46,COLUMN()-COLUMN($L$161),0)</f>
        <v>5958198.2311361292</v>
      </c>
      <c r="O161" s="327">
        <f ca="1">OFFSET('CDM-eDSM Framework'!$AK$46,COLUMN()-COLUMN($L$161),0)</f>
        <v>1341227.8975903215</v>
      </c>
    </row>
    <row r="162" spans="1:17">
      <c r="B162" s="12">
        <f>B153</f>
        <v>2025</v>
      </c>
      <c r="C162" s="326">
        <f ca="1">C161*SUM(C$5,C$24,C$42,C$59,C$75,C$90,C$104)/SUM(C$4,C$23,C$41,C$58,C$74,C$89,C$103)</f>
        <v>3433521.6423901343</v>
      </c>
      <c r="D162" s="326">
        <f t="shared" ref="D162" ca="1" si="152">D161*SUM(D$5,D$24,D$42,D$59,D$75,D$90,D$104)/SUM(D$4,D$23,D$41,D$58,D$74,D$89,D$103)</f>
        <v>39318.424127202044</v>
      </c>
      <c r="E162" s="326">
        <f t="shared" ref="E162" ca="1" si="153">E161*SUM(E$5,E$24,E$42,E$59,E$75,E$90,E$104)/SUM(E$4,E$23,E$41,E$58,E$74,E$89,E$103)</f>
        <v>4072512.2226698608</v>
      </c>
      <c r="F162" s="326">
        <f t="shared" ref="F162" ca="1" si="154">F161*SUM(F$5,F$24,F$42,F$59,F$75,F$90,F$104)/SUM(F$4,F$23,F$41,F$58,F$74,F$89,F$103)</f>
        <v>14743255.510324683</v>
      </c>
      <c r="G162" s="326">
        <f t="shared" ref="G162" ca="1" si="155">G161*SUM(G$5,G$24,G$42,G$59,G$75,G$90,G$104)/SUM(G$4,G$23,G$41,G$58,G$74,G$89,G$103)</f>
        <v>967192.31699730572</v>
      </c>
      <c r="H162" s="326">
        <f t="shared" ref="H162" ca="1" si="156">H161*SUM(H$5,H$24,H$42,H$59,H$75,H$90,H$104)/SUM(H$4,H$23,H$41,H$58,H$74,H$89,H$103)</f>
        <v>6561276.5567320613</v>
      </c>
      <c r="I162" s="326"/>
      <c r="J162" s="326"/>
      <c r="K162" s="326"/>
      <c r="L162" s="326">
        <f t="shared" ref="L162" ca="1" si="157">L161*SUM(L$5,L$24,L$42,L$59,L$75,L$90,L$104)/SUM(L$4,L$23,L$41,L$58,L$74,L$89,L$103)</f>
        <v>1399419.5750550672</v>
      </c>
      <c r="M162" s="326">
        <f t="shared" ref="M162" ca="1" si="158">M161*SUM(M$5,M$24,M$42,M$59,M$75,M$90,M$104)/SUM(M$4,M$23,M$41,M$58,M$74,M$89,M$103)</f>
        <v>1097966.1088146241</v>
      </c>
      <c r="N162" s="326">
        <f t="shared" ref="N162" ca="1" si="159">N161*SUM(N$5,N$24,N$42,N$59,N$75,N$90,N$104)/SUM(N$4,N$23,N$41,N$58,N$74,N$89,N$103)</f>
        <v>6018275.2735147681</v>
      </c>
      <c r="O162" s="326">
        <f t="shared" ref="O162" ca="1" si="160">O161*SUM(O$5,O$24,O$42,O$59,O$75,O$90,O$104)/SUM(O$4,O$23,O$41,O$58,O$74,O$89,O$103)</f>
        <v>1354751.6177011882</v>
      </c>
      <c r="Q162" s="326"/>
    </row>
    <row r="163" spans="1:17">
      <c r="B163" s="12">
        <v>2026</v>
      </c>
      <c r="C163" s="326">
        <f ca="1">C161*SUM(C$6,C$25,C$43,C$60,C$76,C$91,C$105)/SUM(C$4,C$23,C$41,C$58,C$74,C$89,C$103)</f>
        <v>3412366.794405953</v>
      </c>
      <c r="D163" s="326">
        <f t="shared" ref="D163:H163" ca="1" si="161">D161*SUM(D$6,D$25,D$43,D$60,D$76,D$91,D$105)/SUM(D$4,D$23,D$41,D$58,D$74,D$89,D$103)</f>
        <v>39076.172767804899</v>
      </c>
      <c r="E163" s="326">
        <f t="shared" ca="1" si="161"/>
        <v>4015597.2319732071</v>
      </c>
      <c r="F163" s="326">
        <f t="shared" ca="1" si="161"/>
        <v>14686491.163474295</v>
      </c>
      <c r="G163" s="326">
        <f t="shared" ca="1" si="161"/>
        <v>966554.80406146729</v>
      </c>
      <c r="H163" s="326">
        <f t="shared" ca="1" si="161"/>
        <v>5580809.0817894908</v>
      </c>
      <c r="I163" s="326"/>
      <c r="J163" s="326"/>
      <c r="K163" s="326"/>
      <c r="L163" s="326">
        <f t="shared" ref="L163:O163" ca="1" si="162">L161*SUM(L$6,L$25,L$43,L$60,L$76,L$91,L$105)/SUM(L$4,L$23,L$41,L$58,L$74,L$89,L$103)</f>
        <v>1392758.8890915813</v>
      </c>
      <c r="M163" s="326">
        <f t="shared" ca="1" si="162"/>
        <v>1038337.1130283963</v>
      </c>
      <c r="N163" s="326">
        <f t="shared" ca="1" si="162"/>
        <v>6015572.4615907185</v>
      </c>
      <c r="O163" s="326">
        <f t="shared" ca="1" si="162"/>
        <v>1354143.1977369897</v>
      </c>
      <c r="Q163" s="326"/>
    </row>
    <row r="164" spans="1:17">
      <c r="B164" s="12">
        <v>2027</v>
      </c>
      <c r="C164" s="326">
        <f ca="1">C161*SUM(C$7,C$26,C$44,C$61,C$77,C$92,C$106)/SUM(C$4,C$23,C$41,C$58,C$74,C$89,C$103)</f>
        <v>3410207.7034074836</v>
      </c>
      <c r="D164" s="326">
        <f t="shared" ref="D164:H164" ca="1" si="163">D161*SUM(D$7,D$26,D$44,D$61,D$77,D$92,D$106)/SUM(D$4,D$23,D$41,D$58,D$74,D$89,D$103)</f>
        <v>39051.448282437181</v>
      </c>
      <c r="E164" s="326">
        <f t="shared" ca="1" si="163"/>
        <v>3898917.5149811646</v>
      </c>
      <c r="F164" s="326">
        <f t="shared" ca="1" si="163"/>
        <v>14628103.40497623</v>
      </c>
      <c r="G164" s="326">
        <f t="shared" ca="1" si="163"/>
        <v>966591.02499018551</v>
      </c>
      <c r="H164" s="326">
        <f t="shared" ca="1" si="163"/>
        <v>5478310.6504331632</v>
      </c>
      <c r="I164" s="326"/>
      <c r="J164" s="326"/>
      <c r="K164" s="326"/>
      <c r="L164" s="326">
        <f t="shared" ref="L164:O164" ca="1" si="164">L161*SUM(L$7,L$26,L$44,L$61,L$77,L$92,L$106)/SUM(L$4,L$23,L$41,L$58,L$74,L$89,L$103)</f>
        <v>1237710.8317806297</v>
      </c>
      <c r="M164" s="326">
        <f t="shared" ca="1" si="164"/>
        <v>998172.94329620851</v>
      </c>
      <c r="N164" s="326">
        <f t="shared" ca="1" si="164"/>
        <v>6009239.4843126507</v>
      </c>
      <c r="O164" s="326">
        <f t="shared" ca="1" si="164"/>
        <v>1352717.6047186572</v>
      </c>
      <c r="Q164" s="326"/>
    </row>
    <row r="165" spans="1:17">
      <c r="B165" s="12">
        <v>2028</v>
      </c>
      <c r="C165" s="326">
        <f ca="1">C161*SUM(C$8,C$27,C$45,C$62,C$78,C$93,C$107)/SUM(C$4,C$23,C$41,C$58,C$74,C$89,C$103)</f>
        <v>3399701.7208184083</v>
      </c>
      <c r="D165" s="326">
        <f t="shared" ref="D165:H165" ca="1" si="165">D161*SUM(D$8,D$27,D$45,D$62,D$78,D$93,D$107)/SUM(D$4,D$23,D$41,D$58,D$74,D$89,D$103)</f>
        <v>38931.140702542994</v>
      </c>
      <c r="E165" s="326">
        <f t="shared" ca="1" si="165"/>
        <v>3809248.1721126377</v>
      </c>
      <c r="F165" s="326">
        <f t="shared" ca="1" si="165"/>
        <v>14519197.580752958</v>
      </c>
      <c r="G165" s="326">
        <f t="shared" ca="1" si="165"/>
        <v>966591.02499018551</v>
      </c>
      <c r="H165" s="326">
        <f t="shared" ca="1" si="165"/>
        <v>5458283.6131808702</v>
      </c>
      <c r="I165" s="326"/>
      <c r="J165" s="326"/>
      <c r="K165" s="326"/>
      <c r="L165" s="326">
        <f t="shared" ref="L165:O165" ca="1" si="166">L161*SUM(L$8,L$27,L$45,L$62,L$78,L$93,L$107)/SUM(L$4,L$23,L$41,L$58,L$74,L$89,L$103)</f>
        <v>1227326.4908132383</v>
      </c>
      <c r="M165" s="326">
        <f t="shared" ca="1" si="166"/>
        <v>990478.16780601523</v>
      </c>
      <c r="N165" s="326">
        <f t="shared" ca="1" si="166"/>
        <v>5910158.3493216457</v>
      </c>
      <c r="O165" s="326">
        <f t="shared" ca="1" si="166"/>
        <v>1330413.8180335492</v>
      </c>
      <c r="Q165" s="326"/>
    </row>
    <row r="166" spans="1:17">
      <c r="B166" s="12">
        <v>2029</v>
      </c>
      <c r="C166" s="326">
        <f ca="1">C161*SUM(C$9,C$28,C$46,C$63,C$79,C$94,C$108)/SUM(C$4,C$23,C$41,C$58,C$74,C$89,C$103)</f>
        <v>3393211.5350915804</v>
      </c>
      <c r="D166" s="326">
        <f t="shared" ref="D166:H166" ca="1" si="167">D161*SUM(D$9,D$28,D$46,D$63,D$79,D$94,D$108)/SUM(D$4,D$23,D$41,D$58,D$74,D$89,D$103)</f>
        <v>38856.819378360487</v>
      </c>
      <c r="E166" s="326">
        <f t="shared" ca="1" si="167"/>
        <v>3604981.3553203889</v>
      </c>
      <c r="F166" s="326">
        <f t="shared" ca="1" si="167"/>
        <v>13926875.875576839</v>
      </c>
      <c r="G166" s="326">
        <f t="shared" ca="1" si="167"/>
        <v>922343.99114857975</v>
      </c>
      <c r="H166" s="326">
        <f t="shared" ca="1" si="167"/>
        <v>4859452.8391641174</v>
      </c>
      <c r="I166" s="326"/>
      <c r="J166" s="326"/>
      <c r="K166" s="326"/>
      <c r="L166" s="326">
        <f t="shared" ref="L166:O166" ca="1" si="168">L161*SUM(L$9,L$28,L$46,L$63,L$79,L$94,L$108)/SUM(L$4,L$23,L$41,L$58,L$74,L$89,L$103)</f>
        <v>1225087.6883377726</v>
      </c>
      <c r="M166" s="326">
        <f t="shared" ca="1" si="168"/>
        <v>944996.14357662713</v>
      </c>
      <c r="N166" s="326">
        <f t="shared" ca="1" si="168"/>
        <v>5693854.2929582298</v>
      </c>
      <c r="O166" s="326">
        <f t="shared" ca="1" si="168"/>
        <v>1281722.4144410167</v>
      </c>
      <c r="Q166" s="326"/>
    </row>
    <row r="167" spans="1:17">
      <c r="B167" s="12">
        <v>2030</v>
      </c>
      <c r="C167" s="326">
        <f ca="1">C161*SUM(C$10,C$29,C$47,C$64,C$80,C$95,C$109)/SUM(C$4,C$23,C$41,C$58,C$74,C$89,C$103)</f>
        <v>3391869.2092934581</v>
      </c>
      <c r="D167" s="326">
        <f t="shared" ref="D167:H167" ca="1" si="169">D161*SUM(D$10,D$29,D$47,D$64,D$80,D$95,D$109)/SUM(D$4,D$23,D$41,D$58,D$74,D$89,D$103)</f>
        <v>38841.447949097928</v>
      </c>
      <c r="E167" s="326">
        <f t="shared" ca="1" si="169"/>
        <v>3527899.0207316335</v>
      </c>
      <c r="F167" s="326">
        <f t="shared" ca="1" si="169"/>
        <v>13817712.781816203</v>
      </c>
      <c r="G167" s="326">
        <f t="shared" ca="1" si="169"/>
        <v>922207.32318317122</v>
      </c>
      <c r="H167" s="326">
        <f t="shared" ca="1" si="169"/>
        <v>4823917.6867003841</v>
      </c>
      <c r="I167" s="326"/>
      <c r="J167" s="326"/>
      <c r="K167" s="326"/>
      <c r="L167" s="326">
        <f t="shared" ref="L167:O167" ca="1" si="170">L161*SUM(L$10,L$29,L$47,L$64,L$80,L$95,L$109)/SUM(L$4,L$23,L$41,L$58,L$74,L$89,L$103)</f>
        <v>1225006.4628465592</v>
      </c>
      <c r="M167" s="326">
        <f t="shared" ca="1" si="170"/>
        <v>927270.0985802965</v>
      </c>
      <c r="N167" s="326">
        <f t="shared" ca="1" si="170"/>
        <v>5686719.2791380826</v>
      </c>
      <c r="O167" s="326">
        <f t="shared" ca="1" si="170"/>
        <v>1280116.2779524275</v>
      </c>
      <c r="Q167" s="326"/>
    </row>
    <row r="168" spans="1:17">
      <c r="B168" s="12">
        <v>2031</v>
      </c>
      <c r="C168" s="326">
        <f ca="1">C161*SUM(C$11,C$30,C$48,C$65,C$81,C$96,C$110)/SUM(C$4,C$23,C$41,C$58,C$74,C$89,C$103)</f>
        <v>3391463.2402344309</v>
      </c>
      <c r="D168" s="326">
        <f t="shared" ref="D168:H168" ca="1" si="171">D161*SUM(D$11,D$30,D$48,D$65,D$81,D$96,D$110)/SUM(D$4,D$23,D$41,D$58,D$74,D$89,D$103)</f>
        <v>38836.799059325895</v>
      </c>
      <c r="E168" s="326">
        <f t="shared" ca="1" si="171"/>
        <v>3499984.561851203</v>
      </c>
      <c r="F168" s="326">
        <f t="shared" ca="1" si="171"/>
        <v>13817547.528516736</v>
      </c>
      <c r="G168" s="326">
        <f t="shared" ca="1" si="171"/>
        <v>922207.32318317122</v>
      </c>
      <c r="H168" s="326">
        <f t="shared" ca="1" si="171"/>
        <v>4823917.6867003841</v>
      </c>
      <c r="I168" s="326"/>
      <c r="J168" s="326"/>
      <c r="K168" s="326"/>
      <c r="L168" s="326">
        <f t="shared" ref="L168:O168" ca="1" si="172">L161*SUM(L$11,L$30,L$48,L$65,L$81,L$96,L$110)/SUM(L$4,L$23,L$41,L$58,L$74,L$89,L$103)</f>
        <v>1224863.6159419308</v>
      </c>
      <c r="M168" s="326">
        <f t="shared" ca="1" si="172"/>
        <v>918869.59117075917</v>
      </c>
      <c r="N168" s="326">
        <f t="shared" ca="1" si="172"/>
        <v>5686719.2791380826</v>
      </c>
      <c r="O168" s="326">
        <f t="shared" ca="1" si="172"/>
        <v>1280116.2779524275</v>
      </c>
      <c r="Q168" s="326"/>
    </row>
    <row r="169" spans="1:17">
      <c r="C169" s="318"/>
      <c r="D169" s="318"/>
    </row>
    <row r="170" spans="1:17">
      <c r="A170" s="12">
        <v>2025</v>
      </c>
      <c r="B170" s="12">
        <f>B162</f>
        <v>2025</v>
      </c>
      <c r="C170" s="318">
        <f ca="1">OFFSET('CDM-eDSM Framework'!$X$46,COLUMN()-COLUMN($C$170),0)</f>
        <v>7744828.2970269434</v>
      </c>
      <c r="D170" s="318">
        <f ca="1">OFFSET('CDM-eDSM Framework'!$X$46,COLUMN()-COLUMN($C$170),0)</f>
        <v>88674.174260311396</v>
      </c>
      <c r="E170" s="318">
        <f ca="1">OFFSET('CDM-eDSM Framework'!$X$46,COLUMN()-COLUMN($C$170),0)</f>
        <v>3469756.6208822108</v>
      </c>
      <c r="F170" s="318">
        <f ca="1">OFFSET('CDM-eDSM Framework'!$X$46,COLUMN()-COLUMN($C$170),0)</f>
        <v>15162941.712816454</v>
      </c>
      <c r="G170" s="318">
        <f ca="1">OFFSET('CDM-eDSM Framework'!$X$46,COLUMN()-COLUMN($C$170),0)</f>
        <v>1121784.3795929514</v>
      </c>
      <c r="H170" s="318">
        <f ca="1">OFFSET('CDM-eDSM Framework'!$X$46,COLUMN()-COLUMN($C$170),0)</f>
        <v>5758241.4540642723</v>
      </c>
      <c r="L170" s="327">
        <f ca="1">OFFSET('CDM-eDSM Framework'!$AL$46,COLUMN()-COLUMN($L$170),0)</f>
        <v>2978976.8173350706</v>
      </c>
      <c r="M170" s="327">
        <f ca="1">OFFSET('CDM-eDSM Framework'!$AL$46,COLUMN()-COLUMN($L$170),0)</f>
        <v>957376.806322827</v>
      </c>
      <c r="N170" s="327">
        <f ca="1">OFFSET('CDM-eDSM Framework'!$AL$46,COLUMN()-COLUMN($L$170),0)</f>
        <v>5869604.1187329674</v>
      </c>
      <c r="O170" s="327">
        <f ca="1">OFFSET('CDM-eDSM Framework'!$AL$46,COLUMN()-COLUMN($L$170),0)</f>
        <v>1323972.1288946057</v>
      </c>
    </row>
    <row r="171" spans="1:17">
      <c r="B171" s="12">
        <v>2026</v>
      </c>
      <c r="C171" s="326">
        <f ca="1">C170*SUM(C$5,C$24,C$42,C$59,C$75,C$90,C$104)/SUM(C$4,C$23,C$41,C$58,C$74,C$89,C$103)</f>
        <v>6911205.9192473423</v>
      </c>
      <c r="D171" s="326">
        <f t="shared" ref="D171" ca="1" si="173">D170*SUM(D$5,D$24,D$42,D$59,D$75,D$90,D$104)/SUM(D$4,D$23,D$41,D$58,D$74,D$89,D$103)</f>
        <v>79129.64039080005</v>
      </c>
      <c r="E171" s="326">
        <f t="shared" ref="E171" ca="1" si="174">E170*SUM(E$5,E$24,E$42,E$59,E$75,E$90,E$104)/SUM(E$4,E$23,E$41,E$58,E$74,E$89,E$103)</f>
        <v>3451530.2052722154</v>
      </c>
      <c r="F171" s="326">
        <f t="shared" ref="F171" ca="1" si="175">F170*SUM(F$5,F$24,F$42,F$59,F$75,F$90,F$104)/SUM(F$4,F$23,F$41,F$58,F$74,F$89,F$103)</f>
        <v>15204689.181497321</v>
      </c>
      <c r="G171" s="326">
        <f t="shared" ref="G171" ca="1" si="176">G170*SUM(G$5,G$24,G$42,G$59,G$75,G$90,G$104)/SUM(G$4,G$23,G$41,G$58,G$74,G$89,G$103)</f>
        <v>1119599.4109645276</v>
      </c>
      <c r="H171" s="326">
        <f t="shared" ref="H171" ca="1" si="177">H170*SUM(H$5,H$24,H$42,H$59,H$75,H$90,H$104)/SUM(H$4,H$23,H$41,H$58,H$74,H$89,H$103)</f>
        <v>5492360.7405657601</v>
      </c>
      <c r="I171" s="326"/>
      <c r="J171" s="326"/>
      <c r="K171" s="326"/>
      <c r="L171" s="326">
        <f t="shared" ref="L171" ca="1" si="178">L170*SUM(L$5,L$24,L$42,L$59,L$75,L$90,L$104)/SUM(L$4,L$23,L$41,L$58,L$74,L$89,L$103)</f>
        <v>2679718.1571400934</v>
      </c>
      <c r="M171" s="326">
        <f t="shared" ref="M171" ca="1" si="179">M170*SUM(M$5,M$24,M$42,M$59,M$75,M$90,M$104)/SUM(M$4,M$23,M$41,M$58,M$74,M$89,M$103)</f>
        <v>950768.95515352115</v>
      </c>
      <c r="N171" s="326">
        <f t="shared" ref="N171" ca="1" si="180">N170*SUM(N$5,N$24,N$42,N$59,N$75,N$90,N$104)/SUM(N$4,N$23,N$41,N$58,N$74,N$89,N$103)</f>
        <v>5928787.8588012662</v>
      </c>
      <c r="O171" s="326">
        <f t="shared" ref="O171" ca="1" si="181">O170*SUM(O$5,O$24,O$42,O$59,O$75,O$90,O$104)/SUM(O$4,O$23,O$41,O$58,O$74,O$89,O$103)</f>
        <v>1337321.8575558777</v>
      </c>
    </row>
    <row r="172" spans="1:17">
      <c r="B172" s="12">
        <v>2027</v>
      </c>
      <c r="C172" s="326">
        <f ca="1">C170*SUM(C$6,C$25,C$43,C$60,C$76,C$91,C$105)/SUM(C$4,C$23,C$41,C$58,C$74,C$89,C$103)</f>
        <v>6868624.1254400732</v>
      </c>
      <c r="D172" s="326">
        <f t="shared" ref="D172:H172" ca="1" si="182">D170*SUM(D$6,D$25,D$43,D$60,D$76,D$91,D$105)/SUM(D$4,D$23,D$41,D$58,D$74,D$89,D$103)</f>
        <v>78642.10144744713</v>
      </c>
      <c r="E172" s="326">
        <f t="shared" ca="1" si="182"/>
        <v>3403293.6871768804</v>
      </c>
      <c r="F172" s="326">
        <f t="shared" ca="1" si="182"/>
        <v>15146148.226967542</v>
      </c>
      <c r="G172" s="326">
        <f t="shared" ca="1" si="182"/>
        <v>1118861.4407646994</v>
      </c>
      <c r="H172" s="326">
        <f t="shared" ca="1" si="182"/>
        <v>4671623.9494529143</v>
      </c>
      <c r="I172" s="326"/>
      <c r="J172" s="326"/>
      <c r="K172" s="326"/>
      <c r="L172" s="326">
        <f t="shared" ref="L172:O172" ca="1" si="183">L170*SUM(L$6,L$25,L$43,L$60,L$76,L$91,L$105)/SUM(L$4,L$23,L$41,L$58,L$74,L$89,L$103)</f>
        <v>2666963.7542193974</v>
      </c>
      <c r="M172" s="326">
        <f t="shared" ca="1" si="183"/>
        <v>899134.02984445821</v>
      </c>
      <c r="N172" s="326">
        <f t="shared" ca="1" si="183"/>
        <v>5926125.2357420558</v>
      </c>
      <c r="O172" s="326">
        <f t="shared" ca="1" si="183"/>
        <v>1336721.2653099892</v>
      </c>
    </row>
    <row r="173" spans="1:17">
      <c r="B173" s="12">
        <f>B165</f>
        <v>2028</v>
      </c>
      <c r="C173" s="326">
        <f ca="1">C170*SUM(C$7,C$26,C$44,C$61,C$77,C$92,C$106)/SUM(C$4,C$23,C$41,C$58,C$74,C$89,C$103)</f>
        <v>6864278.1727876756</v>
      </c>
      <c r="D173" s="326">
        <f t="shared" ref="D173:H173" ca="1" si="184">D170*SUM(D$7,D$26,D$44,D$61,D$77,D$92,D$106)/SUM(D$4,D$23,D$41,D$58,D$74,D$89,D$103)</f>
        <v>78592.342595727489</v>
      </c>
      <c r="E173" s="326">
        <f t="shared" ca="1" si="184"/>
        <v>3304405.4468178055</v>
      </c>
      <c r="F173" s="326">
        <f t="shared" ca="1" si="184"/>
        <v>15085933.051333794</v>
      </c>
      <c r="G173" s="326">
        <f t="shared" ca="1" si="184"/>
        <v>1118903.3692723445</v>
      </c>
      <c r="H173" s="326">
        <f t="shared" ca="1" si="184"/>
        <v>4585823.8226813246</v>
      </c>
      <c r="I173" s="326"/>
      <c r="J173" s="326"/>
      <c r="K173" s="326"/>
      <c r="L173" s="326">
        <f t="shared" ref="L173:O173" ca="1" si="185">L170*SUM(L$7,L$26,L$44,L$61,L$77,L$92,L$106)/SUM(L$4,L$23,L$41,L$58,L$74,L$89,L$103)</f>
        <v>2370065.5960032633</v>
      </c>
      <c r="M173" s="326">
        <f t="shared" ca="1" si="185"/>
        <v>864354.40833855607</v>
      </c>
      <c r="N173" s="326">
        <f t="shared" ca="1" si="185"/>
        <v>5919886.4252706394</v>
      </c>
      <c r="O173" s="326">
        <f t="shared" ca="1" si="185"/>
        <v>1335314.0134724679</v>
      </c>
    </row>
    <row r="174" spans="1:17">
      <c r="B174" s="12">
        <v>2029</v>
      </c>
      <c r="C174" s="326">
        <f ca="1">C170*SUM(C$8,C$27,C$45,C$62,C$78,C$93,C$107)/SUM(C$4,C$23,C$41,C$58,C$74,C$89,C$103)</f>
        <v>6843131.0775835272</v>
      </c>
      <c r="D174" s="326">
        <f t="shared" ref="D174:H174" ca="1" si="186">D170*SUM(D$8,D$27,D$45,D$62,D$78,D$93,D$107)/SUM(D$4,D$23,D$41,D$58,D$74,D$89,D$103)</f>
        <v>78350.219577202733</v>
      </c>
      <c r="E174" s="326">
        <f t="shared" ca="1" si="186"/>
        <v>3228409.0032283165</v>
      </c>
      <c r="F174" s="326">
        <f t="shared" ca="1" si="186"/>
        <v>14973618.698088674</v>
      </c>
      <c r="G174" s="326">
        <f t="shared" ca="1" si="186"/>
        <v>1118903.3692723445</v>
      </c>
      <c r="H174" s="326">
        <f t="shared" ca="1" si="186"/>
        <v>4569059.4457794717</v>
      </c>
      <c r="I174" s="326"/>
      <c r="J174" s="326"/>
      <c r="K174" s="326"/>
      <c r="L174" s="326">
        <f t="shared" ref="L174:O174" ca="1" si="187">L170*SUM(L$8,L$27,L$45,L$62,L$78,L$93,L$107)/SUM(L$4,L$23,L$41,L$58,L$74,L$89,L$103)</f>
        <v>2350180.8469713964</v>
      </c>
      <c r="M174" s="326">
        <f t="shared" ca="1" si="187"/>
        <v>857691.22120170493</v>
      </c>
      <c r="N174" s="326">
        <f t="shared" ca="1" si="187"/>
        <v>5822278.5553288832</v>
      </c>
      <c r="O174" s="326">
        <f t="shared" ca="1" si="187"/>
        <v>1313297.1795004434</v>
      </c>
    </row>
    <row r="175" spans="1:17">
      <c r="B175" s="12">
        <v>2030</v>
      </c>
      <c r="C175" s="326">
        <f ca="1">C170*SUM(C$9,C$28,C$46,C$63,C$79,C$94,C$108)/SUM(C$4,C$23,C$41,C$58,C$74,C$89,C$103)</f>
        <v>6830067.2280773856</v>
      </c>
      <c r="D175" s="326">
        <f t="shared" ref="D175:H175" ca="1" si="188">D170*SUM(D$9,D$28,D$46,D$63,D$79,D$94,D$108)/SUM(D$4,D$23,D$41,D$58,D$74,D$89,D$103)</f>
        <v>78200.645432600606</v>
      </c>
      <c r="E175" s="326">
        <f t="shared" ca="1" si="188"/>
        <v>3055289.0591877201</v>
      </c>
      <c r="F175" s="326">
        <f t="shared" ca="1" si="188"/>
        <v>14362758.53790557</v>
      </c>
      <c r="G175" s="326">
        <f t="shared" ca="1" si="188"/>
        <v>1067684.0283456245</v>
      </c>
      <c r="H175" s="326">
        <f t="shared" ca="1" si="188"/>
        <v>4067785.8589989222</v>
      </c>
      <c r="I175" s="326"/>
      <c r="J175" s="326"/>
      <c r="K175" s="326"/>
      <c r="L175" s="326">
        <f t="shared" ref="L175:O175" ca="1" si="189">L170*SUM(L$9,L$28,L$46,L$63,L$79,L$94,L$108)/SUM(L$4,L$23,L$41,L$58,L$74,L$89,L$103)</f>
        <v>2345893.8127247016</v>
      </c>
      <c r="M175" s="326">
        <f t="shared" ca="1" si="189"/>
        <v>818306.67526018433</v>
      </c>
      <c r="N175" s="326">
        <f t="shared" ca="1" si="189"/>
        <v>5609190.7843489535</v>
      </c>
      <c r="O175" s="326">
        <f t="shared" ca="1" si="189"/>
        <v>1265232.2224643624</v>
      </c>
    </row>
    <row r="176" spans="1:17">
      <c r="B176" s="12">
        <v>2031</v>
      </c>
      <c r="C176" s="326">
        <f ca="1">C170*SUM(C$10,C$29,C$47,C$64,C$80,C$95,C$109)/SUM(C$4,C$23,C$41,C$58,C$74,C$89,C$103)</f>
        <v>6827365.3112212317</v>
      </c>
      <c r="D176" s="326">
        <f t="shared" ref="D176:H176" ca="1" si="190">D170*SUM(D$10,D$29,D$47,D$64,D$80,D$95,D$109)/SUM(D$4,D$23,D$41,D$58,D$74,D$89,D$103)</f>
        <v>78169.709918351524</v>
      </c>
      <c r="E176" s="326">
        <f t="shared" ca="1" si="190"/>
        <v>2989960.3403087459</v>
      </c>
      <c r="F176" s="326">
        <f t="shared" ca="1" si="190"/>
        <v>14250178.863114016</v>
      </c>
      <c r="G176" s="326">
        <f t="shared" ca="1" si="190"/>
        <v>1067525.8246762196</v>
      </c>
      <c r="H176" s="326">
        <f t="shared" ca="1" si="190"/>
        <v>4038039.8370755548</v>
      </c>
      <c r="I176" s="326"/>
      <c r="J176" s="326"/>
      <c r="K176" s="326"/>
      <c r="L176" s="326">
        <f t="shared" ref="L176:O176" ca="1" si="191">L170*SUM(L$10,L$29,L$47,L$64,L$80,L$95,L$109)/SUM(L$4,L$23,L$41,L$58,L$74,L$89,L$103)</f>
        <v>2345738.2757953149</v>
      </c>
      <c r="M176" s="326">
        <f t="shared" ca="1" si="191"/>
        <v>802957.04548120976</v>
      </c>
      <c r="N176" s="326">
        <f t="shared" ca="1" si="191"/>
        <v>5602161.8630406456</v>
      </c>
      <c r="O176" s="326">
        <f t="shared" ca="1" si="191"/>
        <v>1263646.7499656819</v>
      </c>
    </row>
    <row r="177" spans="1:15">
      <c r="C177" s="318"/>
      <c r="D177" s="318"/>
    </row>
    <row r="178" spans="1:15">
      <c r="A178" s="12">
        <v>2026</v>
      </c>
      <c r="B178" s="12">
        <v>2026</v>
      </c>
      <c r="C178" s="318">
        <f ca="1">OFFSET('CDM-eDSM Framework'!$Y$46,COLUMN()-COLUMN($C$178),0)</f>
        <v>8393068.7551319934</v>
      </c>
      <c r="D178" s="318">
        <f ca="1">OFFSET('CDM-eDSM Framework'!$Y$46,COLUMN()-COLUMN($C$178),0)</f>
        <v>96096.270009973174</v>
      </c>
      <c r="E178" s="318">
        <f ca="1">OFFSET('CDM-eDSM Framework'!$Y$46,COLUMN()-COLUMN($C$178),0)</f>
        <v>3874547.0286449548</v>
      </c>
      <c r="F178" s="318">
        <f ca="1">OFFSET('CDM-eDSM Framework'!$Y$46,COLUMN()-COLUMN($C$178),0)</f>
        <v>17249648.601650693</v>
      </c>
      <c r="G178" s="318">
        <f ca="1">OFFSET('CDM-eDSM Framework'!$Y$46,COLUMN()-COLUMN($C$178),0)</f>
        <v>1265622.1424095314</v>
      </c>
      <c r="H178" s="318">
        <f ca="1">OFFSET('CDM-eDSM Framework'!$Y$46,COLUMN()-COLUMN($C$178),0)</f>
        <v>6639014.5944312997</v>
      </c>
      <c r="L178" s="327">
        <f ca="1">OFFSET('CDM-eDSM Framework'!$AM$46,COLUMN()-COLUMN($L$178),0)</f>
        <v>3228990.5091520185</v>
      </c>
      <c r="M178" s="327">
        <f ca="1">OFFSET('CDM-eDSM Framework'!$AM$46,COLUMN()-COLUMN($L$178),0)</f>
        <v>1063181.0431650544</v>
      </c>
      <c r="N178" s="327">
        <f ca="1">OFFSET('CDM-eDSM Framework'!$AM$46,COLUMN()-COLUMN($L$178),0)</f>
        <v>6696419.7067368161</v>
      </c>
      <c r="O178" s="327">
        <f ca="1">OFFSET('CDM-eDSM Framework'!$AM$46,COLUMN()-COLUMN($L$178),0)</f>
        <v>1510251.1785572066</v>
      </c>
    </row>
    <row r="179" spans="1:15">
      <c r="B179" s="12">
        <v>2027</v>
      </c>
      <c r="C179" s="326">
        <f ca="1">C178*SUM(C$5,C$24,C$42,C$59,C$75,C$90,C$104)/SUM(C$4,C$23,C$41,C$58,C$74,C$89,C$103)</f>
        <v>7489672.3641226981</v>
      </c>
      <c r="D179" s="326">
        <f t="shared" ref="D179" ca="1" si="192">D178*SUM(D$5,D$24,D$42,D$59,D$75,D$90,D$104)/SUM(D$4,D$23,D$41,D$58,D$74,D$89,D$103)</f>
        <v>85752.851404783942</v>
      </c>
      <c r="E179" s="326">
        <f t="shared" ref="E179" ca="1" si="193">E178*SUM(E$5,E$24,E$42,E$59,E$75,E$90,E$104)/SUM(E$4,E$23,E$41,E$58,E$74,E$89,E$103)</f>
        <v>3854194.2742126859</v>
      </c>
      <c r="F179" s="326">
        <f t="shared" ref="F179" ca="1" si="194">F178*SUM(F$5,F$24,F$42,F$59,F$75,F$90,F$104)/SUM(F$4,F$23,F$41,F$58,F$74,F$89,F$103)</f>
        <v>17297141.309753943</v>
      </c>
      <c r="G179" s="326">
        <f t="shared" ref="G179" ca="1" si="195">G178*SUM(G$5,G$24,G$42,G$59,G$75,G$90,G$104)/SUM(G$4,G$23,G$41,G$58,G$74,G$89,G$103)</f>
        <v>1263157.0120984758</v>
      </c>
      <c r="H179" s="326">
        <f t="shared" ref="H179" ca="1" si="196">H178*SUM(H$5,H$24,H$42,H$59,H$75,H$90,H$104)/SUM(H$4,H$23,H$41,H$58,H$74,H$89,H$103)</f>
        <v>6332465.1120283818</v>
      </c>
      <c r="I179" s="326"/>
      <c r="J179" s="326"/>
      <c r="K179" s="326"/>
      <c r="L179" s="326">
        <f t="shared" ref="L179" ca="1" si="197">L178*SUM(L$5,L$24,L$42,L$59,L$75,L$90,L$104)/SUM(L$4,L$23,L$41,L$58,L$74,L$89,L$103)</f>
        <v>2904616.2582588661</v>
      </c>
      <c r="M179" s="326">
        <f t="shared" ref="M179" ca="1" si="198">M178*SUM(M$5,M$24,M$42,M$59,M$75,M$90,M$104)/SUM(M$4,M$23,M$41,M$58,M$74,M$89,M$103)</f>
        <v>1055842.9271245734</v>
      </c>
      <c r="N179" s="326">
        <f t="shared" ref="N179" ca="1" si="199">N178*SUM(N$5,N$24,N$42,N$59,N$75,N$90,N$104)/SUM(N$4,N$23,N$41,N$58,N$74,N$89,N$103)</f>
        <v>6763940.3018731857</v>
      </c>
      <c r="O179" s="326">
        <f t="shared" ref="O179" ca="1" si="200">O178*SUM(O$5,O$24,O$42,O$59,O$75,O$90,O$104)/SUM(O$4,O$23,O$41,O$58,O$74,O$89,O$103)</f>
        <v>1525479.1754342539</v>
      </c>
    </row>
    <row r="180" spans="1:15">
      <c r="B180" s="12">
        <v>2028</v>
      </c>
      <c r="C180" s="326">
        <f ca="1">C178*SUM(C$6,C$25,C$43,C$60,C$76,C$91,C$105)/SUM(C$4,C$23,C$41,C$58,C$74,C$89,C$103)</f>
        <v>7443526.4833575357</v>
      </c>
      <c r="D180" s="326">
        <f t="shared" ref="D180:H180" ca="1" si="201">D178*SUM(D$6,D$25,D$43,D$60,D$76,D$91,D$105)/SUM(D$4,D$23,D$41,D$58,D$74,D$89,D$103)</f>
        <v>85224.50508149837</v>
      </c>
      <c r="E180" s="326">
        <f t="shared" ca="1" si="201"/>
        <v>3800330.3643540917</v>
      </c>
      <c r="F180" s="326">
        <f t="shared" ca="1" si="201"/>
        <v>17230544.015273124</v>
      </c>
      <c r="G180" s="326">
        <f t="shared" ca="1" si="201"/>
        <v>1262324.4176691612</v>
      </c>
      <c r="H180" s="326">
        <f t="shared" ca="1" si="201"/>
        <v>5386189.4864137284</v>
      </c>
      <c r="I180" s="326"/>
      <c r="J180" s="326"/>
      <c r="K180" s="326"/>
      <c r="L180" s="326">
        <f t="shared" ref="L180" ca="1" si="202">L178*SUM(L$6,L$25,L$43,L$60,L$76,L$91,L$105)/SUM(L$4,L$23,L$41,L$58,L$74,L$89,L$103)</f>
        <v>2890791.4289613795</v>
      </c>
      <c r="M180" s="326">
        <f t="shared" ref="M180:O180" ca="1" si="203">M178*SUM(M$6,M$25,M$43,M$60,M$76,M$91,M$105)/SUM(M$4,M$23,M$41,M$58,M$74,M$89,M$103)</f>
        <v>998501.58211675647</v>
      </c>
      <c r="N180" s="326">
        <f t="shared" ca="1" si="203"/>
        <v>6760902.6112275096</v>
      </c>
      <c r="O180" s="326">
        <f t="shared" ca="1" si="203"/>
        <v>1524794.0815962574</v>
      </c>
    </row>
    <row r="181" spans="1:15">
      <c r="B181" s="12">
        <v>2029</v>
      </c>
      <c r="C181" s="326">
        <f ca="1">C178*SUM(C$7,C$26,C$44,C$61,C$77,C$92,C$106)/SUM(C$4,C$23,C$41,C$58,C$74,C$89,C$103)</f>
        <v>7438816.7754054386</v>
      </c>
      <c r="D181" s="326">
        <f t="shared" ref="D181:H181" ca="1" si="204">D178*SUM(D$7,D$26,D$44,D$61,D$77,D$92,D$106)/SUM(D$4,D$23,D$41,D$58,D$74,D$89,D$103)</f>
        <v>85170.581376088943</v>
      </c>
      <c r="E181" s="326">
        <f t="shared" ca="1" si="204"/>
        <v>3689905.5767637263</v>
      </c>
      <c r="F181" s="326">
        <f t="shared" ca="1" si="204"/>
        <v>17162042.095273595</v>
      </c>
      <c r="G181" s="326">
        <f t="shared" ca="1" si="204"/>
        <v>1262371.7223461021</v>
      </c>
      <c r="H181" s="326">
        <f t="shared" ca="1" si="204"/>
        <v>5287265.4835936343</v>
      </c>
      <c r="I181" s="326"/>
      <c r="J181" s="326"/>
      <c r="K181" s="326"/>
      <c r="L181" s="326">
        <f t="shared" ref="L181" ca="1" si="205">L178*SUM(L$7,L$26,L$44,L$61,L$77,L$92,L$106)/SUM(L$4,L$23,L$41,L$58,L$74,L$89,L$103)</f>
        <v>2568975.7876022672</v>
      </c>
      <c r="M181" s="326">
        <f t="shared" ref="M181:O181" ca="1" si="206">M178*SUM(M$7,M$26,M$44,M$61,M$77,M$92,M$106)/SUM(M$4,M$23,M$41,M$58,M$74,M$89,M$103)</f>
        <v>959878.30021842499</v>
      </c>
      <c r="N181" s="326">
        <f t="shared" ca="1" si="206"/>
        <v>6753784.9773049681</v>
      </c>
      <c r="O181" s="326">
        <f t="shared" ca="1" si="206"/>
        <v>1523188.833494911</v>
      </c>
    </row>
    <row r="182" spans="1:15">
      <c r="B182" s="12">
        <v>2030</v>
      </c>
      <c r="C182" s="326">
        <f ca="1">C178*SUM(C$8,C$27,C$45,C$62,C$78,C$93,C$107)/SUM(C$4,C$23,C$41,C$58,C$74,C$89,C$103)</f>
        <v>7415899.6728935773</v>
      </c>
      <c r="D182" s="326">
        <f t="shared" ref="D182:H182" ca="1" si="207">D178*SUM(D$8,D$27,D$45,D$62,D$78,D$93,D$107)/SUM(D$4,D$23,D$41,D$58,D$74,D$89,D$103)</f>
        <v>84908.192476977463</v>
      </c>
      <c r="E182" s="326">
        <f t="shared" ca="1" si="207"/>
        <v>3605043.1996952244</v>
      </c>
      <c r="F182" s="326">
        <f t="shared" ca="1" si="207"/>
        <v>17034271.167765353</v>
      </c>
      <c r="G182" s="326">
        <f t="shared" ca="1" si="207"/>
        <v>1262371.7223461021</v>
      </c>
      <c r="H182" s="326">
        <f t="shared" ca="1" si="207"/>
        <v>5267936.8493559388</v>
      </c>
      <c r="I182" s="326"/>
      <c r="J182" s="326"/>
      <c r="K182" s="326"/>
      <c r="L182" s="326">
        <f t="shared" ref="L182" ca="1" si="208">L178*SUM(L$8,L$27,L$45,L$62,L$78,L$93,L$107)/SUM(L$4,L$23,L$41,L$58,L$74,L$89,L$103)</f>
        <v>2547422.1905661523</v>
      </c>
      <c r="M182" s="326">
        <f t="shared" ref="M182:O182" ca="1" si="209">M178*SUM(M$8,M$27,M$45,M$62,M$78,M$93,M$107)/SUM(M$4,M$23,M$41,M$58,M$74,M$89,M$103)</f>
        <v>952478.73277102597</v>
      </c>
      <c r="N182" s="326">
        <f t="shared" ca="1" si="209"/>
        <v>6642427.6778025124</v>
      </c>
      <c r="O182" s="326">
        <f t="shared" ca="1" si="209"/>
        <v>1498074.2946547996</v>
      </c>
    </row>
    <row r="183" spans="1:15">
      <c r="B183" s="12">
        <v>2031</v>
      </c>
      <c r="C183" s="326">
        <f ca="1">C178*SUM(C$9,C$28,C$46,C$63,C$79,C$94,C$108)/SUM(C$4,C$23,C$41,C$58,C$74,C$89,C$103)</f>
        <v>7401742.3820012994</v>
      </c>
      <c r="D183" s="326">
        <f t="shared" ref="D183:H183" ca="1" si="210">D178*SUM(D$9,D$28,D$46,D$63,D$79,D$94,D$108)/SUM(D$4,D$23,D$41,D$58,D$74,D$89,D$103)</f>
        <v>84746.098862843515</v>
      </c>
      <c r="E183" s="326">
        <f t="shared" ca="1" si="210"/>
        <v>3411726.6538761901</v>
      </c>
      <c r="F183" s="326">
        <f t="shared" ca="1" si="210"/>
        <v>16339345.123236667</v>
      </c>
      <c r="G183" s="326">
        <f t="shared" ca="1" si="210"/>
        <v>1204584.9201979018</v>
      </c>
      <c r="H183" s="326">
        <f t="shared" ca="1" si="210"/>
        <v>4689989.1052421415</v>
      </c>
      <c r="I183" s="326"/>
      <c r="J183" s="326"/>
      <c r="K183" s="326"/>
      <c r="L183" s="326">
        <f t="shared" ref="L183" ca="1" si="211">L178*SUM(L$9,L$28,L$46,L$63,L$79,L$94,L$108)/SUM(L$4,L$23,L$41,L$58,L$74,L$89,L$103)</f>
        <v>2542775.362563184</v>
      </c>
      <c r="M183" s="326">
        <f t="shared" ref="M183:O183" ca="1" si="212">M178*SUM(M$9,M$28,M$46,M$63,M$79,M$94,M$108)/SUM(M$4,M$23,M$41,M$58,M$74,M$89,M$103)</f>
        <v>908741.6144680276</v>
      </c>
      <c r="N183" s="326">
        <f t="shared" ca="1" si="212"/>
        <v>6399323.5229072021</v>
      </c>
      <c r="O183" s="326">
        <f t="shared" ca="1" si="212"/>
        <v>1443246.7371656185</v>
      </c>
    </row>
    <row r="184" spans="1:15">
      <c r="C184" s="318"/>
      <c r="D184" s="318"/>
    </row>
    <row r="185" spans="1:15">
      <c r="A185" s="12">
        <v>2027</v>
      </c>
      <c r="B185" s="12">
        <v>2027</v>
      </c>
      <c r="C185" s="318">
        <f ca="1">OFFSET('CDM-eDSM Framework'!$Z$46,COLUMN()-COLUMN($C$185),0)</f>
        <v>9221848.3005135581</v>
      </c>
      <c r="D185" s="318">
        <f ca="1">OFFSET('CDM-eDSM Framework'!$Z$46,COLUMN()-COLUMN($C$185),0)</f>
        <v>105585.96316419075</v>
      </c>
      <c r="E185" s="318">
        <f ca="1">OFFSET('CDM-eDSM Framework'!$Z$46,COLUMN()-COLUMN($C$185),0)</f>
        <v>3918027.3748811418</v>
      </c>
      <c r="F185" s="318">
        <f ca="1">OFFSET('CDM-eDSM Framework'!$Z$46,COLUMN()-COLUMN($C$185),0)</f>
        <v>18980592.783149049</v>
      </c>
      <c r="G185" s="318">
        <f ca="1">OFFSET('CDM-eDSM Framework'!$Z$46,COLUMN()-COLUMN($C$185),0)</f>
        <v>1457473.9475000249</v>
      </c>
      <c r="H185" s="318">
        <f ca="1">OFFSET('CDM-eDSM Framework'!$Z$46,COLUMN()-COLUMN($C$185),0)</f>
        <v>8916315.4516192377</v>
      </c>
      <c r="L185" s="327">
        <f ca="1">OFFSET('CDM-eDSM Framework'!$AN$46,COLUMN()-COLUMN($L$185),0)</f>
        <v>3557786.5499154106</v>
      </c>
      <c r="M185" s="327">
        <f ca="1">OFFSET('CDM-eDSM Framework'!$AN$46,COLUMN()-COLUMN($L$185),0)</f>
        <v>1087859.6059871754</v>
      </c>
      <c r="N185" s="327">
        <f ca="1">OFFSET('CDM-eDSM Framework'!$AN$46,COLUMN()-COLUMN($L$185),0)</f>
        <v>7577707.1224368885</v>
      </c>
      <c r="O185" s="327">
        <f ca="1">OFFSET('CDM-eDSM Framework'!$AN$46,COLUMN()-COLUMN($L$185),0)</f>
        <v>1708683.1799600101</v>
      </c>
    </row>
    <row r="186" spans="1:15">
      <c r="B186" s="12">
        <v>2028</v>
      </c>
      <c r="C186" s="326">
        <f ca="1">C185*SUM(C$5,C$24,C$42,C$59,C$75,C$90,C$104)/SUM(C$4,C$23,C$41,C$58,C$74,C$89,C$103)</f>
        <v>8229245.3901626663</v>
      </c>
      <c r="D186" s="326">
        <f t="shared" ref="D186:H186" ca="1" si="213">D185*SUM(D$5,D$24,D$42,D$59,D$75,D$90,D$104)/SUM(D$4,D$23,D$41,D$58,D$74,D$89,D$103)</f>
        <v>94221.111898621632</v>
      </c>
      <c r="E186" s="326">
        <f t="shared" ca="1" si="213"/>
        <v>3897446.2208958329</v>
      </c>
      <c r="F186" s="326">
        <f t="shared" ca="1" si="213"/>
        <v>19032851.224668287</v>
      </c>
      <c r="G186" s="326">
        <f t="shared" ca="1" si="213"/>
        <v>1454635.1355946676</v>
      </c>
      <c r="H186" s="326">
        <f t="shared" ca="1" si="213"/>
        <v>8504614.0089190416</v>
      </c>
      <c r="I186" s="326"/>
      <c r="J186" s="326"/>
      <c r="K186" s="326"/>
      <c r="L186" s="326">
        <f t="shared" ref="L186" ca="1" si="214">L185*SUM(L$5,L$24,L$42,L$59,L$75,L$90,L$104)/SUM(L$4,L$23,L$41,L$58,L$74,L$89,L$103)</f>
        <v>3200382.4808431808</v>
      </c>
      <c r="M186" s="326">
        <f t="shared" ref="M186" ca="1" si="215">M185*SUM(M$5,M$24,M$42,M$59,M$75,M$90,M$104)/SUM(M$4,M$23,M$41,M$58,M$74,M$89,M$103)</f>
        <v>1080351.1575664612</v>
      </c>
      <c r="N186" s="326">
        <f t="shared" ref="N186" ca="1" si="216">N185*SUM(N$5,N$24,N$42,N$59,N$75,N$90,N$104)/SUM(N$4,N$23,N$41,N$58,N$74,N$89,N$103)</f>
        <v>7654113.8169219</v>
      </c>
      <c r="O186" s="326">
        <f t="shared" ref="O186" ca="1" si="217">O185*SUM(O$5,O$24,O$42,O$59,O$75,O$90,O$104)/SUM(O$4,O$23,O$41,O$58,O$74,O$89,O$103)</f>
        <v>1725911.9843454845</v>
      </c>
    </row>
    <row r="187" spans="1:15">
      <c r="B187" s="12">
        <v>2029</v>
      </c>
      <c r="C187" s="326">
        <f ca="1">C185*SUM(C$6,C$25,C$43,C$60,C$76,C$91,C$105)/SUM(C$4,C$23,C$41,C$58,C$74,C$89,C$103)</f>
        <v>8178542.801571371</v>
      </c>
      <c r="D187" s="326">
        <f t="shared" ref="D187:H187" ca="1" si="218">D185*SUM(D$6,D$25,D$43,D$60,D$76,D$91,D$105)/SUM(D$4,D$23,D$41,D$58,D$74,D$89,D$103)</f>
        <v>93640.590350568033</v>
      </c>
      <c r="E187" s="326">
        <f t="shared" ca="1" si="218"/>
        <v>3842977.8477456663</v>
      </c>
      <c r="F187" s="326">
        <f t="shared" ca="1" si="218"/>
        <v>18959571.115827173</v>
      </c>
      <c r="G187" s="326">
        <f t="shared" ca="1" si="218"/>
        <v>1453676.3307121538</v>
      </c>
      <c r="H187" s="326">
        <f t="shared" ca="1" si="218"/>
        <v>7233748.9035409549</v>
      </c>
      <c r="I187" s="326"/>
      <c r="J187" s="326"/>
      <c r="K187" s="326"/>
      <c r="L187" s="326">
        <f t="shared" ref="L187" ca="1" si="219">L185*SUM(L$6,L$25,L$43,L$60,L$76,L$91,L$105)/SUM(L$4,L$23,L$41,L$58,L$74,L$89,L$103)</f>
        <v>3185149.920824789</v>
      </c>
      <c r="M187" s="326">
        <f t="shared" ref="M187:O187" ca="1" si="220">M185*SUM(M$6,M$25,M$43,M$60,M$76,M$91,M$105)/SUM(M$4,M$23,M$41,M$58,M$74,M$89,M$103)</f>
        <v>1021678.805018416</v>
      </c>
      <c r="N187" s="326">
        <f t="shared" ca="1" si="220"/>
        <v>7650676.3486852031</v>
      </c>
      <c r="O187" s="326">
        <f t="shared" ca="1" si="220"/>
        <v>1725136.8759831807</v>
      </c>
    </row>
    <row r="188" spans="1:15">
      <c r="B188" s="12">
        <v>2030</v>
      </c>
      <c r="C188" s="326">
        <f ca="1">C185*SUM(C$7,C$26,C$44,C$61,C$77,C$92,C$106)/SUM(C$4,C$23,C$41,C$58,C$74,C$89,C$103)</f>
        <v>8173368.030156876</v>
      </c>
      <c r="D188" s="326">
        <f t="shared" ref="D188:H188" ca="1" si="221">D185*SUM(D$7,D$26,D$44,D$61,D$77,D$92,D$106)/SUM(D$4,D$23,D$41,D$58,D$74,D$89,D$103)</f>
        <v>93581.341574601553</v>
      </c>
      <c r="E188" s="326">
        <f t="shared" ca="1" si="221"/>
        <v>3731313.8680737517</v>
      </c>
      <c r="F188" s="326">
        <f t="shared" ca="1" si="221"/>
        <v>18884195.258706789</v>
      </c>
      <c r="G188" s="326">
        <f t="shared" ca="1" si="221"/>
        <v>1453730.8061609676</v>
      </c>
      <c r="H188" s="326">
        <f t="shared" ca="1" si="221"/>
        <v>7100892.196821155</v>
      </c>
      <c r="I188" s="326"/>
      <c r="J188" s="326"/>
      <c r="K188" s="326"/>
      <c r="L188" s="326">
        <f t="shared" ref="L188" ca="1" si="222">L185*SUM(L$7,L$26,L$44,L$61,L$77,L$92,L$106)/SUM(L$4,L$23,L$41,L$58,L$74,L$89,L$103)</f>
        <v>2830564.994937059</v>
      </c>
      <c r="M188" s="326">
        <f t="shared" ref="M188:O188" ca="1" si="223">M185*SUM(M$7,M$26,M$44,M$61,M$77,M$92,M$106)/SUM(M$4,M$23,M$41,M$58,M$74,M$89,M$103)</f>
        <v>982158.99933906714</v>
      </c>
      <c r="N188" s="326">
        <f t="shared" ca="1" si="223"/>
        <v>7642621.9931292785</v>
      </c>
      <c r="O188" s="326">
        <f t="shared" ca="1" si="223"/>
        <v>1723320.7142285155</v>
      </c>
    </row>
    <row r="189" spans="1:15">
      <c r="B189" s="12">
        <v>2031</v>
      </c>
      <c r="C189" s="326">
        <f ca="1">C185*SUM(C$8,C$27,C$45,C$62,C$78,C$93,C$107)/SUM(C$4,C$23,C$41,C$58,C$74,C$89,C$103)</f>
        <v>8148187.9620533586</v>
      </c>
      <c r="D189" s="326">
        <f t="shared" ref="D189:H189" ca="1" si="224">D185*SUM(D$8,D$27,D$45,D$62,D$78,D$93,D$107)/SUM(D$4,D$23,D$41,D$58,D$74,D$89,D$103)</f>
        <v>93293.041262493673</v>
      </c>
      <c r="E189" s="326">
        <f t="shared" ca="1" si="224"/>
        <v>3645499.1614787052</v>
      </c>
      <c r="F189" s="326">
        <f t="shared" ca="1" si="224"/>
        <v>18743602.948650856</v>
      </c>
      <c r="G189" s="326">
        <f t="shared" ca="1" si="224"/>
        <v>1453730.8061609676</v>
      </c>
      <c r="H189" s="326">
        <f t="shared" ca="1" si="224"/>
        <v>7074933.4950197134</v>
      </c>
      <c r="I189" s="326"/>
      <c r="J189" s="326"/>
      <c r="K189" s="326"/>
      <c r="L189" s="326">
        <f ca="1">L185*SUM(L$8,L$27,L$45,L$62,L$78,L$93,L$107)/SUM(L$4,L$23,L$41,L$58,L$74,L$89,L$103)</f>
        <v>2806816.675634156</v>
      </c>
      <c r="M189" s="326">
        <f t="shared" ref="M189:O189" ca="1" si="225">M185*SUM(M$8,M$27,M$45,M$62,M$78,M$93,M$107)/SUM(M$4,M$23,M$41,M$58,M$74,M$89,M$103)</f>
        <v>974587.67310112063</v>
      </c>
      <c r="N189" s="326">
        <f t="shared" ca="1" si="225"/>
        <v>7516609.4314127313</v>
      </c>
      <c r="O189" s="326">
        <f t="shared" ca="1" si="225"/>
        <v>1694906.3744830259</v>
      </c>
    </row>
    <row r="190" spans="1:15">
      <c r="E190" s="12"/>
      <c r="F190" s="12"/>
      <c r="G190" s="12"/>
      <c r="H190" s="12"/>
    </row>
    <row r="191" spans="1:15">
      <c r="A191" s="12">
        <v>2028</v>
      </c>
      <c r="B191" s="12">
        <v>2028</v>
      </c>
      <c r="C191" s="318">
        <f ca="1">OFFSET('CDM-eDSM Framework'!$AA$46,COLUMN()-COLUMN($C$191),0)</f>
        <v>9930268.4543775115</v>
      </c>
      <c r="D191" s="318">
        <f ca="1">OFFSET('CDM-eDSM Framework'!$AA$46,COLUMN()-COLUMN($C$191),0)</f>
        <v>113697.2580487052</v>
      </c>
      <c r="E191" s="318">
        <f ca="1">OFFSET('CDM-eDSM Framework'!$AA$46,COLUMN()-COLUMN($C$191),0)</f>
        <v>4107549.58168945</v>
      </c>
      <c r="F191" s="318">
        <f ca="1">OFFSET('CDM-eDSM Framework'!$AA$46,COLUMN()-COLUMN($C$191),0)</f>
        <v>19990919.053790435</v>
      </c>
      <c r="G191" s="318">
        <f ca="1">OFFSET('CDM-eDSM Framework'!$AA$46,COLUMN()-COLUMN($C$191),0)</f>
        <v>1550524.1788728423</v>
      </c>
      <c r="H191" s="318">
        <f ca="1">OFFSET('CDM-eDSM Framework'!$AA$46,COLUMN()-COLUMN($C$191),0)</f>
        <v>9622022.6607708633</v>
      </c>
      <c r="I191" s="319"/>
      <c r="J191" s="319"/>
      <c r="K191" s="319"/>
      <c r="L191" s="319">
        <f ca="1">OFFSET('CDM-eDSM Framework'!$AO$46,COLUMN()-COLUMN($L$191),0)</f>
        <v>3834061.0247145328</v>
      </c>
      <c r="M191" s="319">
        <f ca="1">OFFSET('CDM-eDSM Framework'!$AO$46,COLUMN()-COLUMN($L$191),0)</f>
        <v>1145127.9075721826</v>
      </c>
      <c r="N191" s="319">
        <f ca="1">OFFSET('CDM-eDSM Framework'!$AO$46,COLUMN()-COLUMN($L$191),0)</f>
        <v>8005928.1990275532</v>
      </c>
      <c r="O191" s="319">
        <f ca="1">OFFSET('CDM-eDSM Framework'!$AO$46,COLUMN()-COLUMN($L$191),0)</f>
        <v>1805286.165962857</v>
      </c>
    </row>
    <row r="192" spans="1:15">
      <c r="B192" s="12">
        <v>2029</v>
      </c>
      <c r="C192" s="326">
        <f ca="1">C191*SUM(C$5,C$24,C$42,C$59,C$75,C$90,C$104)/SUM(C$4,C$23,C$41,C$58,C$74,C$89,C$103)</f>
        <v>8861414.0287596174</v>
      </c>
      <c r="D192" s="326">
        <f t="shared" ref="D192:H192" ca="1" si="226">D191*SUM(D$5,D$24,D$42,D$59,D$75,D$90,D$104)/SUM(D$4,D$23,D$41,D$58,D$74,D$89,D$103)</f>
        <v>101459.33940589079</v>
      </c>
      <c r="E192" s="326">
        <f t="shared" ca="1" si="226"/>
        <v>4085972.8793455549</v>
      </c>
      <c r="F192" s="326">
        <f t="shared" ca="1" si="226"/>
        <v>20045959.182738133</v>
      </c>
      <c r="G192" s="326">
        <f t="shared" ca="1" si="226"/>
        <v>1547504.1272924498</v>
      </c>
      <c r="H192" s="326">
        <f t="shared" ca="1" si="226"/>
        <v>9177735.9335203227</v>
      </c>
      <c r="I192" s="326"/>
      <c r="J192" s="326"/>
      <c r="K192" s="326"/>
      <c r="L192" s="326">
        <f t="shared" ref="L192" ca="1" si="227">L191*SUM(L$5,L$24,L$42,L$59,L$75,L$90,L$104)/SUM(L$4,L$23,L$41,L$58,L$74,L$89,L$103)</f>
        <v>3448903.289117157</v>
      </c>
      <c r="M192" s="326">
        <f t="shared" ref="M192" ca="1" si="228">M191*SUM(M$5,M$24,M$42,M$59,M$75,M$90,M$104)/SUM(M$4,M$23,M$41,M$58,M$74,M$89,M$103)</f>
        <v>1137224.1911534416</v>
      </c>
      <c r="N192" s="326">
        <f t="shared" ref="N192" ca="1" si="229">N191*SUM(N$5,N$24,N$42,N$59,N$75,N$90,N$104)/SUM(N$4,N$23,N$41,N$58,N$74,N$89,N$103)</f>
        <v>8086652.6846916713</v>
      </c>
      <c r="O192" s="326">
        <f t="shared" ref="O192" ca="1" si="230">O191*SUM(O$5,O$24,O$42,O$59,O$75,O$90,O$104)/SUM(O$4,O$23,O$41,O$58,O$74,O$89,O$103)</f>
        <v>1823489.0268430731</v>
      </c>
    </row>
    <row r="193" spans="1:15">
      <c r="B193" s="12">
        <v>2030</v>
      </c>
      <c r="C193" s="326">
        <f ca="1">C191*SUM(C$6,C$25,C$43,C$60,C$76,C$91,C$105)/SUM(C$4,C$23,C$41,C$58,C$74,C$89,C$103)</f>
        <v>8806816.4795876816</v>
      </c>
      <c r="D193" s="326">
        <f t="shared" ref="D193:H193" ca="1" si="231">D191*SUM(D$6,D$25,D$43,D$60,D$76,D$91,D$105)/SUM(D$4,D$23,D$41,D$58,D$74,D$89,D$103)</f>
        <v>100834.22119629275</v>
      </c>
      <c r="E193" s="326">
        <f t="shared" ca="1" si="231"/>
        <v>4028869.770576424</v>
      </c>
      <c r="F193" s="326">
        <f t="shared" ca="1" si="231"/>
        <v>19968778.414949037</v>
      </c>
      <c r="G193" s="326">
        <f t="shared" ca="1" si="231"/>
        <v>1546484.1089547572</v>
      </c>
      <c r="H193" s="326">
        <f t="shared" ca="1" si="231"/>
        <v>7806284.5858103</v>
      </c>
      <c r="I193" s="326"/>
      <c r="J193" s="326"/>
      <c r="K193" s="326"/>
      <c r="L193" s="326">
        <f t="shared" ref="L193" ca="1" si="232">L191*SUM(L$6,L$25,L$43,L$60,L$76,L$91,L$105)/SUM(L$4,L$23,L$41,L$58,L$74,L$89,L$103)</f>
        <v>3432487.8679406028</v>
      </c>
      <c r="M193" s="326">
        <f t="shared" ref="M193:O193" ca="1" si="233">M191*SUM(M$6,M$25,M$43,M$60,M$76,M$91,M$105)/SUM(M$4,M$23,M$41,M$58,M$74,M$89,M$103)</f>
        <v>1075463.1441066477</v>
      </c>
      <c r="N193" s="326">
        <f t="shared" ca="1" si="233"/>
        <v>8083020.9629261307</v>
      </c>
      <c r="O193" s="326">
        <f t="shared" ca="1" si="233"/>
        <v>1822670.0965580437</v>
      </c>
    </row>
    <row r="194" spans="1:15">
      <c r="B194" s="12">
        <v>2031</v>
      </c>
      <c r="C194" s="326">
        <f ca="1">C191*SUM(C$7,C$26,C$44,C$61,C$77,C$92,C$106)/SUM(C$4,C$23,C$41,C$58,C$74,C$89,C$103)</f>
        <v>8801244.1834859215</v>
      </c>
      <c r="D194" s="326">
        <f t="shared" ref="D194:H194" ca="1" si="234">D191*SUM(D$7,D$26,D$44,D$61,D$77,D$92,D$106)/SUM(D$4,D$23,D$41,D$58,D$74,D$89,D$103)</f>
        <v>100770.42082768073</v>
      </c>
      <c r="E194" s="326">
        <f t="shared" ca="1" si="234"/>
        <v>3911804.3983608796</v>
      </c>
      <c r="F194" s="326">
        <f t="shared" ca="1" si="234"/>
        <v>19889390.343379356</v>
      </c>
      <c r="G194" s="326">
        <f t="shared" ca="1" si="234"/>
        <v>1546542.0623066409</v>
      </c>
      <c r="H194" s="326">
        <f t="shared" ca="1" si="234"/>
        <v>7662912.5562281534</v>
      </c>
      <c r="I194" s="326"/>
      <c r="J194" s="326"/>
      <c r="K194" s="326"/>
      <c r="L194" s="326">
        <f t="shared" ref="L194" ca="1" si="235">L191*SUM(L$7,L$26,L$44,L$61,L$77,L$92,L$106)/SUM(L$4,L$23,L$41,L$58,L$74,L$89,L$103)</f>
        <v>3050368.1917813467</v>
      </c>
      <c r="M194" s="326">
        <f t="shared" ref="M194:O194" ca="1" si="236">M191*SUM(M$7,M$26,M$44,M$61,M$77,M$92,M$106)/SUM(M$4,M$23,M$41,M$58,M$74,M$89,M$103)</f>
        <v>1033862.8933608861</v>
      </c>
      <c r="N194" s="326">
        <f t="shared" ca="1" si="236"/>
        <v>8074511.4505857509</v>
      </c>
      <c r="O194" s="326">
        <f t="shared" ca="1" si="236"/>
        <v>1820751.2553537169</v>
      </c>
    </row>
    <row r="195" spans="1:15">
      <c r="E195" s="12"/>
      <c r="F195" s="12"/>
      <c r="G195" s="12"/>
      <c r="H195" s="12"/>
    </row>
    <row r="196" spans="1:15">
      <c r="A196" s="12">
        <v>2029</v>
      </c>
      <c r="B196" s="12">
        <v>2029</v>
      </c>
      <c r="C196" s="318">
        <f ca="1">OFFSET('CDM-eDSM Framework'!$AB$46,COLUMN()-COLUMN($C$196),0)</f>
        <v>10668778.456120823</v>
      </c>
      <c r="D196" s="318">
        <f ca="1">OFFSET('CDM-eDSM Framework'!$AB$46,COLUMN()-COLUMN($C$196),0)</f>
        <v>122153.15250064488</v>
      </c>
      <c r="E196" s="318">
        <f ca="1">OFFSET('CDM-eDSM Framework'!$AB$46,COLUMN()-COLUMN($C$196),0)</f>
        <v>4284269.2017994504</v>
      </c>
      <c r="F196" s="318">
        <f ca="1">OFFSET('CDM-eDSM Framework'!$AB$46,COLUMN()-COLUMN($C$196),0)</f>
        <v>20952174.946359269</v>
      </c>
      <c r="G196" s="318">
        <f ca="1">OFFSET('CDM-eDSM Framework'!$AB$46,COLUMN()-COLUMN($C$196),0)</f>
        <v>1642143.0092790192</v>
      </c>
      <c r="H196" s="318">
        <f ca="1">OFFSET('CDM-eDSM Framework'!$AB$46,COLUMN()-COLUMN($C$196),0)</f>
        <v>10333209.721297096</v>
      </c>
      <c r="I196" s="319"/>
      <c r="J196" s="319"/>
      <c r="K196" s="319"/>
      <c r="L196" s="319">
        <f ca="1">OFFSET('CDM-eDSM Framework'!$AP$46,COLUMN()-COLUMN($L$196),0)</f>
        <v>3834061.0247145328</v>
      </c>
      <c r="M196" s="319">
        <f ca="1">OFFSET('CDM-eDSM Framework'!$AP$46,COLUMN()-COLUMN($L$196),0)</f>
        <v>1145127.9075721826</v>
      </c>
      <c r="N196" s="319">
        <f ca="1">OFFSET('CDM-eDSM Framework'!$AP$46,COLUMN()-COLUMN($L$196),0)</f>
        <v>8005928.1990275532</v>
      </c>
      <c r="O196" s="319">
        <f ca="1">OFFSET('CDM-eDSM Framework'!$AP$46,COLUMN()-COLUMN($L$196),0)</f>
        <v>1805286.165962857</v>
      </c>
    </row>
    <row r="197" spans="1:15">
      <c r="B197" s="12">
        <v>2030</v>
      </c>
      <c r="C197" s="326">
        <f ca="1">C196*SUM(C$5,C$24,C$42,C$59,C$75,C$90,C$104)/SUM(C$4,C$23,C$41,C$58,C$74,C$89,C$103)</f>
        <v>9520433.7642172836</v>
      </c>
      <c r="D197" s="326">
        <f t="shared" ref="D197:H197" ca="1" si="237">D196*SUM(D$5,D$24,D$42,D$59,D$75,D$90,D$104)/SUM(D$4,D$23,D$41,D$58,D$74,D$89,D$103)</f>
        <v>109005.07515980158</v>
      </c>
      <c r="E197" s="326">
        <f t="shared" ca="1" si="237"/>
        <v>4261764.2022882039</v>
      </c>
      <c r="F197" s="326">
        <f t="shared" ca="1" si="237"/>
        <v>21009861.659395292</v>
      </c>
      <c r="G197" s="326">
        <f t="shared" ca="1" si="237"/>
        <v>1638944.5060515434</v>
      </c>
      <c r="H197" s="326">
        <f t="shared" ca="1" si="237"/>
        <v>9856084.6831504125</v>
      </c>
      <c r="I197" s="326"/>
      <c r="J197" s="326"/>
      <c r="K197" s="326"/>
      <c r="L197" s="326">
        <f t="shared" ref="L197" ca="1" si="238">L196*SUM(L$5,L$24,L$42,L$59,L$75,L$90,L$104)/SUM(L$4,L$23,L$41,L$58,L$74,L$89,L$103)</f>
        <v>3448903.289117157</v>
      </c>
      <c r="M197" s="326">
        <f t="shared" ref="M197" ca="1" si="239">M196*SUM(M$5,M$24,M$42,M$59,M$75,M$90,M$104)/SUM(M$4,M$23,M$41,M$58,M$74,M$89,M$103)</f>
        <v>1137224.1911534416</v>
      </c>
      <c r="N197" s="326">
        <f t="shared" ref="N197" ca="1" si="240">N196*SUM(N$5,N$24,N$42,N$59,N$75,N$90,N$104)/SUM(N$4,N$23,N$41,N$58,N$74,N$89,N$103)</f>
        <v>8086652.6846916713</v>
      </c>
      <c r="O197" s="326">
        <f t="shared" ref="O197" ca="1" si="241">O196*SUM(O$5,O$24,O$42,O$59,O$75,O$90,O$104)/SUM(O$4,O$23,O$41,O$58,O$74,O$89,O$103)</f>
        <v>1823489.0268430731</v>
      </c>
    </row>
    <row r="198" spans="1:15">
      <c r="B198" s="12">
        <v>2031</v>
      </c>
      <c r="C198" s="326">
        <f ca="1">C196*SUM(C$6,C$25,C$43,C$60,C$76,C$91,C$105)/SUM(C$4,C$23,C$41,C$58,C$74,C$89,C$103)</f>
        <v>9461775.8176533338</v>
      </c>
      <c r="D198" s="326">
        <f t="shared" ref="D198:H198" ca="1" si="242">D196*SUM(D$6,D$25,D$43,D$60,D$76,D$91,D$105)/SUM(D$4,D$23,D$41,D$58,D$74,D$89,D$103)</f>
        <v>108333.46564785321</v>
      </c>
      <c r="E198" s="326">
        <f t="shared" ca="1" si="242"/>
        <v>4202204.3393185232</v>
      </c>
      <c r="F198" s="326">
        <f t="shared" ca="1" si="242"/>
        <v>20928969.683150467</v>
      </c>
      <c r="G198" s="326">
        <f t="shared" ca="1" si="242"/>
        <v>1637864.2159113435</v>
      </c>
      <c r="H198" s="326">
        <f t="shared" ca="1" si="242"/>
        <v>8383266.0359629951</v>
      </c>
      <c r="I198" s="326"/>
      <c r="J198" s="326"/>
      <c r="K198" s="326"/>
      <c r="L198" s="326">
        <f t="shared" ref="L198" ca="1" si="243">L196*SUM(L$6,L$25,L$43,L$60,L$76,L$91,L$105)/SUM(L$4,L$23,L$41,L$58,L$74,L$89,L$103)</f>
        <v>3432487.8679406028</v>
      </c>
      <c r="M198" s="326">
        <f t="shared" ref="M198:O198" ca="1" si="244">M196*SUM(M$6,M$25,M$43,M$60,M$76,M$91,M$105)/SUM(M$4,M$23,M$41,M$58,M$74,M$89,M$103)</f>
        <v>1075463.1441066477</v>
      </c>
      <c r="N198" s="326">
        <f t="shared" ca="1" si="244"/>
        <v>8083020.9629261307</v>
      </c>
      <c r="O198" s="326">
        <f t="shared" ca="1" si="244"/>
        <v>1822670.0965580437</v>
      </c>
    </row>
    <row r="199" spans="1:15">
      <c r="E199" s="12"/>
      <c r="F199" s="12"/>
      <c r="G199" s="12"/>
      <c r="H199" s="12"/>
    </row>
    <row r="200" spans="1:15">
      <c r="A200" s="12">
        <v>2030</v>
      </c>
      <c r="B200" s="12">
        <v>2030</v>
      </c>
      <c r="C200" s="318">
        <f ca="1">OFFSET('CDM-eDSM Framework'!$AC$46,COLUMN()-COLUMN($C$200),0)</f>
        <v>11407288.457864128</v>
      </c>
      <c r="D200" s="318">
        <f ca="1">OFFSET('CDM-eDSM Framework'!$AC$46,COLUMN()-COLUMN($C$200),0)</f>
        <v>130609.04695258455</v>
      </c>
      <c r="E200" s="318">
        <f ca="1">OFFSET('CDM-eDSM Framework'!$AC$46,COLUMN()-COLUMN($C$200),0)</f>
        <v>4460988.82190945</v>
      </c>
      <c r="F200" s="318">
        <f ca="1">OFFSET('CDM-eDSM Framework'!$AC$46,COLUMN()-COLUMN($C$200),0)</f>
        <v>21913430.838928107</v>
      </c>
      <c r="G200" s="318">
        <f ca="1">OFFSET('CDM-eDSM Framework'!$AC$46,COLUMN()-COLUMN($C$200),0)</f>
        <v>1733761.8396851956</v>
      </c>
      <c r="H200" s="318">
        <f ca="1">OFFSET('CDM-eDSM Framework'!$AC$46,COLUMN()-COLUMN($C$200),0)</f>
        <v>11044396.781823326</v>
      </c>
      <c r="I200" s="319"/>
      <c r="J200" s="319"/>
      <c r="K200" s="319"/>
      <c r="L200" s="319">
        <f ca="1">OFFSET('CDM-eDSM Framework'!$AQ$46,COLUMN()-COLUMN($L$200),0)</f>
        <v>3834061.0247145328</v>
      </c>
      <c r="M200" s="319">
        <f ca="1">OFFSET('CDM-eDSM Framework'!$AQ$46,COLUMN()-COLUMN($L$200),0)</f>
        <v>1145127.9075721826</v>
      </c>
      <c r="N200" s="319">
        <f ca="1">OFFSET('CDM-eDSM Framework'!$AQ$46,COLUMN()-COLUMN($L$200),0)</f>
        <v>8005928.1990275532</v>
      </c>
      <c r="O200" s="319">
        <f ca="1">OFFSET('CDM-eDSM Framework'!$AQ$46,COLUMN()-COLUMN($L$200),0)</f>
        <v>1805286.165962857</v>
      </c>
    </row>
    <row r="201" spans="1:15">
      <c r="B201" s="12">
        <v>2031</v>
      </c>
      <c r="C201" s="326">
        <f ca="1">C200*SUM(C$5,C$24,C$42,C$59,C$75,C$90,C$104)/SUM(C$4,C$23,C$41,C$58,C$74,C$89,C$103)</f>
        <v>10179453.499674944</v>
      </c>
      <c r="D201" s="326">
        <f t="shared" ref="D201:H201" ca="1" si="245">D200*SUM(D$5,D$24,D$42,D$59,D$75,D$90,D$104)/SUM(D$4,D$23,D$41,D$58,D$74,D$89,D$103)</f>
        <v>116550.81091371237</v>
      </c>
      <c r="E201" s="326">
        <f t="shared" ca="1" si="245"/>
        <v>4437555.525230851</v>
      </c>
      <c r="F201" s="326">
        <f t="shared" ca="1" si="245"/>
        <v>21973764.136052452</v>
      </c>
      <c r="G201" s="326">
        <f t="shared" ca="1" si="245"/>
        <v>1730384.884810637</v>
      </c>
      <c r="H201" s="326">
        <f t="shared" ca="1" si="245"/>
        <v>10534433.432780499</v>
      </c>
      <c r="I201" s="326"/>
      <c r="J201" s="326"/>
      <c r="K201" s="326"/>
      <c r="L201" s="326">
        <f t="shared" ref="L201" ca="1" si="246">L200*SUM(L$5,L$24,L$42,L$59,L$75,L$90,L$104)/SUM(L$4,L$23,L$41,L$58,L$74,L$89,L$103)</f>
        <v>3448903.289117157</v>
      </c>
      <c r="M201" s="326">
        <f t="shared" ref="M201" ca="1" si="247">M200*SUM(M$5,M$24,M$42,M$59,M$75,M$90,M$104)/SUM(M$4,M$23,M$41,M$58,M$74,M$89,M$103)</f>
        <v>1137224.1911534416</v>
      </c>
      <c r="N201" s="326">
        <f t="shared" ref="N201" ca="1" si="248">N200*SUM(N$5,N$24,N$42,N$59,N$75,N$90,N$104)/SUM(N$4,N$23,N$41,N$58,N$74,N$89,N$103)</f>
        <v>8086652.6846916713</v>
      </c>
      <c r="O201" s="326">
        <f t="shared" ref="O201" ca="1" si="249">O200*SUM(O$5,O$24,O$42,O$59,O$75,O$90,O$104)/SUM(O$4,O$23,O$41,O$58,O$74,O$89,O$103)</f>
        <v>1823489.0268430731</v>
      </c>
    </row>
    <row r="202" spans="1:15">
      <c r="E202" s="12"/>
      <c r="F202" s="12"/>
      <c r="G202" s="12"/>
      <c r="H202" s="12"/>
    </row>
    <row r="203" spans="1:15">
      <c r="A203" s="12">
        <v>2031</v>
      </c>
      <c r="B203" s="12">
        <v>2031</v>
      </c>
      <c r="C203" s="318">
        <f ca="1">OFFSET('CDM-eDSM Framework'!$AD$46,COLUMN()-COLUMN($C$203),0)</f>
        <v>12145798.459607437</v>
      </c>
      <c r="D203" s="318">
        <f ca="1">OFFSET('CDM-eDSM Framework'!$AD$46,COLUMN()-COLUMN($C$203),0)</f>
        <v>139064.94140452426</v>
      </c>
      <c r="E203" s="318">
        <f ca="1">OFFSET('CDM-eDSM Framework'!$AD$46,COLUMN()-COLUMN($C$203),0)</f>
        <v>4637708.4420194505</v>
      </c>
      <c r="F203" s="318">
        <f ca="1">OFFSET('CDM-eDSM Framework'!$AD$46,COLUMN()-COLUMN($C$203),0)</f>
        <v>22874686.731496945</v>
      </c>
      <c r="G203" s="318">
        <f ca="1">OFFSET('CDM-eDSM Framework'!$AD$46,COLUMN()-COLUMN($C$203),0)</f>
        <v>1825380.670091372</v>
      </c>
      <c r="H203" s="318">
        <f ca="1">OFFSET('CDM-eDSM Framework'!$AD$46,COLUMN()-COLUMN($C$203),0)</f>
        <v>11755583.842349557</v>
      </c>
      <c r="I203" s="319"/>
      <c r="J203" s="319"/>
      <c r="K203" s="319"/>
      <c r="L203" s="319">
        <f ca="1">OFFSET('CDM-eDSM Framework'!$AR$46,COLUMN()-COLUMN($L$203),0)</f>
        <v>3834061.0247145328</v>
      </c>
      <c r="M203" s="319">
        <f ca="1">OFFSET('CDM-eDSM Framework'!$AR$46,COLUMN()-COLUMN($L$203),0)</f>
        <v>1145127.9075721826</v>
      </c>
      <c r="N203" s="319">
        <f ca="1">OFFSET('CDM-eDSM Framework'!$AR$46,COLUMN()-COLUMN($L$203),0)</f>
        <v>8005928.1990275532</v>
      </c>
      <c r="O203" s="319">
        <f ca="1">OFFSET('CDM-eDSM Framework'!$AR$46,COLUMN()-COLUMN($L$203),0)</f>
        <v>1805286.165962857</v>
      </c>
    </row>
  </sheetData>
  <pageMargins left="0.7" right="0.7" top="0.75" bottom="0.75" header="0.3" footer="0.3"/>
  <ignoredErrors>
    <ignoredError sqref="W3:AJ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D1EA2-2492-4716-9220-73436488F0C2}">
  <sheetPr codeName="Sheet10">
    <tabColor theme="9" tint="0.79998168889431442"/>
  </sheetPr>
  <dimension ref="A1:AF122"/>
  <sheetViews>
    <sheetView workbookViewId="0"/>
  </sheetViews>
  <sheetFormatPr defaultRowHeight="15"/>
  <cols>
    <col min="4" max="4" width="28.5703125" customWidth="1"/>
    <col min="13" max="13" width="13.5703125" bestFit="1" customWidth="1"/>
    <col min="14" max="15" width="11.42578125" bestFit="1" customWidth="1"/>
    <col min="16" max="18" width="10.42578125" bestFit="1" customWidth="1"/>
    <col min="19" max="20" width="11.42578125" bestFit="1" customWidth="1"/>
    <col min="21" max="23" width="12.5703125" customWidth="1"/>
    <col min="24" max="24" width="10.42578125" bestFit="1" customWidth="1"/>
    <col min="28" max="28" width="15.5703125" customWidth="1"/>
    <col min="29" max="29" width="16.85546875" customWidth="1"/>
    <col min="30" max="30" width="12.5703125" bestFit="1" customWidth="1"/>
    <col min="31" max="31" width="13.5703125" bestFit="1" customWidth="1"/>
    <col min="32" max="32" width="8.5703125" bestFit="1" customWidth="1"/>
  </cols>
  <sheetData>
    <row r="1" spans="1:32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Data'!F1</f>
        <v>VRZ_ResidentialkWh_No_CDM</v>
      </c>
      <c r="E1" s="760" t="str">
        <f>'Monthly Data'!CN1</f>
        <v>HDD20</v>
      </c>
      <c r="F1" s="760" t="str">
        <f>'Monthly Data'!CS1</f>
        <v>CDD16</v>
      </c>
      <c r="G1" s="762" t="str">
        <f>'Monthly Data'!EM1</f>
        <v>CovHDD20</v>
      </c>
      <c r="H1" s="762" t="str">
        <f>'Monthly Data'!ER1</f>
        <v>CovCDD16</v>
      </c>
      <c r="I1" s="762" t="str">
        <f>'Monthly Data'!EG1</f>
        <v>Shoulder</v>
      </c>
      <c r="J1" s="760" t="str">
        <f>'Monthly Data'!DQ1</f>
        <v>Month Days</v>
      </c>
      <c r="K1" s="762" t="str">
        <f>'Monthly Data'!EH1</f>
        <v>Trend</v>
      </c>
      <c r="L1" s="762"/>
      <c r="M1" s="762" t="str">
        <f>AB8</f>
        <v>const</v>
      </c>
      <c r="N1" s="760" t="str">
        <f>E1</f>
        <v>HDD20</v>
      </c>
      <c r="O1" s="760" t="str">
        <f t="shared" ref="O1:T1" si="0">F1</f>
        <v>CDD16</v>
      </c>
      <c r="P1" s="760" t="str">
        <f t="shared" si="0"/>
        <v>CovHDD20</v>
      </c>
      <c r="Q1" s="760" t="str">
        <f t="shared" si="0"/>
        <v>CovCDD16</v>
      </c>
      <c r="R1" s="760" t="str">
        <f t="shared" si="0"/>
        <v>Shoulder</v>
      </c>
      <c r="S1" s="760" t="str">
        <f t="shared" si="0"/>
        <v>Month Days</v>
      </c>
      <c r="T1" s="760" t="str">
        <f t="shared" si="0"/>
        <v>Trend</v>
      </c>
      <c r="U1" s="760" t="s">
        <v>424</v>
      </c>
      <c r="V1" s="760" t="s">
        <v>630</v>
      </c>
      <c r="W1" s="760" t="s">
        <v>631</v>
      </c>
      <c r="X1" s="762" t="s">
        <v>425</v>
      </c>
    </row>
    <row r="2" spans="1:32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Data'!F2</f>
        <v>89085710.173255071</v>
      </c>
      <c r="E2" s="3">
        <f>'Monthly Data'!CN2</f>
        <v>859.89184782608675</v>
      </c>
      <c r="F2" s="3">
        <f>'Monthly Data'!CS2</f>
        <v>0</v>
      </c>
      <c r="G2" s="3">
        <f>'Monthly Data'!EM2</f>
        <v>0</v>
      </c>
      <c r="H2" s="3">
        <f>'Monthly Data'!ER2</f>
        <v>0</v>
      </c>
      <c r="I2" s="3">
        <f>'Monthly Data'!EG2</f>
        <v>0</v>
      </c>
      <c r="J2" s="3">
        <f>'Monthly Data'!DQ2</f>
        <v>31</v>
      </c>
      <c r="K2" s="3">
        <f>'Monthly Data'!EH2</f>
        <v>1</v>
      </c>
      <c r="M2" s="3">
        <f t="shared" ref="M2:M33" si="1">$AC$8</f>
        <v>-11000000</v>
      </c>
      <c r="N2" s="3">
        <f t="shared" ref="N2:N33" si="2">E2*$AC$9</f>
        <v>40389859.599380426</v>
      </c>
      <c r="O2" s="3">
        <f t="shared" ref="O2:O33" si="3">F2*$AC$10</f>
        <v>0</v>
      </c>
      <c r="P2" s="3">
        <f t="shared" ref="P2:P33" si="4">G2*$AC$11</f>
        <v>0</v>
      </c>
      <c r="Q2" s="3">
        <f t="shared" ref="Q2:Q33" si="5">H2*$AC$12</f>
        <v>0</v>
      </c>
      <c r="R2" s="3">
        <f t="shared" ref="R2:R33" si="6">I2*$AC$13</f>
        <v>0</v>
      </c>
      <c r="S2" s="3">
        <f t="shared" ref="S2:S33" si="7">J2*$AC$14</f>
        <v>60785761</v>
      </c>
      <c r="T2" s="3">
        <f t="shared" ref="T2:T33" si="8">K2*$AC$15</f>
        <v>133957.29999999999</v>
      </c>
      <c r="U2" s="47">
        <f t="shared" ref="U2:U54" si="9">SUM(M2:T2)</f>
        <v>90309577.899380431</v>
      </c>
      <c r="V2" s="47">
        <f>'Monthly Data'!G2+'Monthly Data'!H2</f>
        <v>0</v>
      </c>
      <c r="W2" s="47">
        <f t="shared" ref="W2:W54" si="10">U2+V2</f>
        <v>90309577.899380431</v>
      </c>
      <c r="X2" s="47">
        <f t="shared" ref="X2:X54" si="11">W2-D2</f>
        <v>1223867.7261253595</v>
      </c>
      <c r="Y2" s="18">
        <f t="shared" ref="Y2:Y54" si="12">ABS(X2/D2)</f>
        <v>1.373809249255762E-2</v>
      </c>
    </row>
    <row r="3" spans="1:32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Data'!F3</f>
        <v>83761157.109440491</v>
      </c>
      <c r="E3" s="3">
        <f>'Monthly Data'!CN3</f>
        <v>921.85434782608706</v>
      </c>
      <c r="F3" s="3">
        <f>'Monthly Data'!CS3</f>
        <v>0</v>
      </c>
      <c r="G3" s="3">
        <f>'Monthly Data'!EM3</f>
        <v>0</v>
      </c>
      <c r="H3" s="3">
        <f>'Monthly Data'!ER3</f>
        <v>0</v>
      </c>
      <c r="I3" s="3">
        <f>'Monthly Data'!EG3</f>
        <v>0</v>
      </c>
      <c r="J3" s="3">
        <f>'Monthly Data'!DQ3</f>
        <v>28</v>
      </c>
      <c r="K3" s="3">
        <f>'Monthly Data'!EH3</f>
        <v>2</v>
      </c>
      <c r="M3" s="3">
        <f t="shared" si="1"/>
        <v>-11000000</v>
      </c>
      <c r="N3" s="3">
        <f t="shared" si="2"/>
        <v>43300291.512130439</v>
      </c>
      <c r="O3" s="3">
        <f t="shared" si="3"/>
        <v>0</v>
      </c>
      <c r="P3" s="3">
        <f t="shared" si="4"/>
        <v>0</v>
      </c>
      <c r="Q3" s="3">
        <f t="shared" si="5"/>
        <v>0</v>
      </c>
      <c r="R3" s="3">
        <f t="shared" si="6"/>
        <v>0</v>
      </c>
      <c r="S3" s="3">
        <f t="shared" si="7"/>
        <v>54903268</v>
      </c>
      <c r="T3" s="3">
        <f t="shared" si="8"/>
        <v>267914.59999999998</v>
      </c>
      <c r="U3" s="47">
        <f t="shared" si="9"/>
        <v>87471474.112130433</v>
      </c>
      <c r="V3" s="47">
        <f>'Monthly Data'!G3+'Monthly Data'!H3</f>
        <v>0</v>
      </c>
      <c r="W3" s="47">
        <f t="shared" si="10"/>
        <v>87471474.112130433</v>
      </c>
      <c r="X3" s="47">
        <f t="shared" si="11"/>
        <v>3710317.0026899427</v>
      </c>
      <c r="Y3" s="18">
        <f t="shared" si="12"/>
        <v>4.4296391438839892E-2</v>
      </c>
      <c r="AB3" s="684" t="s">
        <v>542</v>
      </c>
      <c r="AC3" s="684"/>
      <c r="AD3" s="684"/>
      <c r="AE3" s="684"/>
      <c r="AF3" s="684"/>
    </row>
    <row r="4" spans="1:32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Data'!F4</f>
        <v>76997089.746835828</v>
      </c>
      <c r="E4" s="3">
        <f>'Monthly Data'!CN4</f>
        <v>699.80000000000007</v>
      </c>
      <c r="F4" s="3">
        <f>'Monthly Data'!CS4</f>
        <v>0</v>
      </c>
      <c r="G4" s="3">
        <f>'Monthly Data'!EM4</f>
        <v>0</v>
      </c>
      <c r="H4" s="3">
        <f>'Monthly Data'!ER4</f>
        <v>0</v>
      </c>
      <c r="I4" s="3">
        <f>'Monthly Data'!EG4</f>
        <v>1</v>
      </c>
      <c r="J4" s="3">
        <f>'Monthly Data'!DQ4</f>
        <v>31</v>
      </c>
      <c r="K4" s="3">
        <f>'Monthly Data'!EH4</f>
        <v>3</v>
      </c>
      <c r="M4" s="3">
        <f t="shared" si="1"/>
        <v>-11000000</v>
      </c>
      <c r="N4" s="3">
        <f t="shared" si="2"/>
        <v>32870207.828000005</v>
      </c>
      <c r="O4" s="3">
        <f t="shared" si="3"/>
        <v>0</v>
      </c>
      <c r="P4" s="3">
        <f t="shared" si="4"/>
        <v>0</v>
      </c>
      <c r="Q4" s="3">
        <f t="shared" si="5"/>
        <v>0</v>
      </c>
      <c r="R4" s="3">
        <f t="shared" si="6"/>
        <v>-3105221</v>
      </c>
      <c r="S4" s="3">
        <f t="shared" si="7"/>
        <v>60785761</v>
      </c>
      <c r="T4" s="3">
        <f t="shared" si="8"/>
        <v>401871.89999999997</v>
      </c>
      <c r="U4" s="47">
        <f t="shared" si="9"/>
        <v>79952619.728000015</v>
      </c>
      <c r="V4" s="47">
        <f>'Monthly Data'!G4+'Monthly Data'!H4</f>
        <v>0</v>
      </c>
      <c r="W4" s="47">
        <f t="shared" si="10"/>
        <v>79952619.728000015</v>
      </c>
      <c r="X4" s="47">
        <f t="shared" si="11"/>
        <v>2955529.9811641872</v>
      </c>
      <c r="Y4" s="18">
        <f t="shared" si="12"/>
        <v>3.8384957027361465E-2</v>
      </c>
      <c r="AB4" s="684" t="s">
        <v>636</v>
      </c>
      <c r="AC4" s="684"/>
      <c r="AD4" s="684"/>
      <c r="AE4" s="684"/>
      <c r="AF4" s="684"/>
    </row>
    <row r="5" spans="1:32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Data'!F5</f>
        <v>62629126.228042737</v>
      </c>
      <c r="E5" s="3">
        <f>'Monthly Data'!CN5</f>
        <v>406.75037878787873</v>
      </c>
      <c r="F5" s="3">
        <f>'Monthly Data'!CS5</f>
        <v>0</v>
      </c>
      <c r="G5" s="3">
        <f>'Monthly Data'!EM5</f>
        <v>0</v>
      </c>
      <c r="H5" s="3">
        <f>'Monthly Data'!ER5</f>
        <v>0</v>
      </c>
      <c r="I5" s="3">
        <f>'Monthly Data'!EG5</f>
        <v>1</v>
      </c>
      <c r="J5" s="3">
        <f>'Monthly Data'!DQ5</f>
        <v>30</v>
      </c>
      <c r="K5" s="3">
        <f>'Monthly Data'!EH5</f>
        <v>4</v>
      </c>
      <c r="M5" s="3">
        <f t="shared" si="1"/>
        <v>-11000000</v>
      </c>
      <c r="N5" s="3">
        <f t="shared" si="2"/>
        <v>19105415.096992422</v>
      </c>
      <c r="O5" s="3">
        <f t="shared" si="3"/>
        <v>0</v>
      </c>
      <c r="P5" s="3">
        <f t="shared" si="4"/>
        <v>0</v>
      </c>
      <c r="Q5" s="3">
        <f t="shared" si="5"/>
        <v>0</v>
      </c>
      <c r="R5" s="3">
        <f t="shared" si="6"/>
        <v>-3105221</v>
      </c>
      <c r="S5" s="3">
        <f t="shared" si="7"/>
        <v>58824930</v>
      </c>
      <c r="T5" s="3">
        <f t="shared" si="8"/>
        <v>535829.19999999995</v>
      </c>
      <c r="U5" s="47">
        <f t="shared" si="9"/>
        <v>64360953.296992421</v>
      </c>
      <c r="V5" s="47">
        <f>'Monthly Data'!G5+'Monthly Data'!H5</f>
        <v>0</v>
      </c>
      <c r="W5" s="47">
        <f t="shared" si="10"/>
        <v>64360953.296992421</v>
      </c>
      <c r="X5" s="47">
        <f t="shared" si="11"/>
        <v>1731827.0689496845</v>
      </c>
      <c r="Y5" s="18">
        <f t="shared" si="12"/>
        <v>2.7652103314419925E-2</v>
      </c>
      <c r="AB5" s="684" t="s">
        <v>691</v>
      </c>
      <c r="AC5" s="684"/>
      <c r="AD5" s="684"/>
      <c r="AE5" s="684"/>
      <c r="AF5" s="684"/>
    </row>
    <row r="6" spans="1:32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Data'!F6</f>
        <v>60212975.927167453</v>
      </c>
      <c r="E6" s="3">
        <f>'Monthly Data'!CN6</f>
        <v>159.09689440993785</v>
      </c>
      <c r="F6" s="3">
        <f>'Monthly Data'!CS6</f>
        <v>32.514880952380949</v>
      </c>
      <c r="G6" s="3">
        <f>'Monthly Data'!EM6</f>
        <v>0</v>
      </c>
      <c r="H6" s="3">
        <f>'Monthly Data'!ER6</f>
        <v>0</v>
      </c>
      <c r="I6" s="3">
        <f>'Monthly Data'!EG6</f>
        <v>1</v>
      </c>
      <c r="J6" s="3">
        <f>'Monthly Data'!DQ6</f>
        <v>31</v>
      </c>
      <c r="K6" s="3">
        <f>'Monthly Data'!EH6</f>
        <v>5</v>
      </c>
      <c r="M6" s="3">
        <f t="shared" si="1"/>
        <v>-11000000</v>
      </c>
      <c r="N6" s="3">
        <f t="shared" si="2"/>
        <v>7472917.953763973</v>
      </c>
      <c r="O6" s="3">
        <f t="shared" si="3"/>
        <v>8952244.1369047593</v>
      </c>
      <c r="P6" s="3">
        <f t="shared" si="4"/>
        <v>0</v>
      </c>
      <c r="Q6" s="3">
        <f t="shared" si="5"/>
        <v>0</v>
      </c>
      <c r="R6" s="3">
        <f t="shared" si="6"/>
        <v>-3105221</v>
      </c>
      <c r="S6" s="3">
        <f t="shared" si="7"/>
        <v>60785761</v>
      </c>
      <c r="T6" s="3">
        <f t="shared" si="8"/>
        <v>669786.5</v>
      </c>
      <c r="U6" s="47">
        <f t="shared" si="9"/>
        <v>63775488.59066873</v>
      </c>
      <c r="V6" s="47">
        <f>'Monthly Data'!G6+'Monthly Data'!H6</f>
        <v>0</v>
      </c>
      <c r="W6" s="47">
        <f t="shared" si="10"/>
        <v>63775488.59066873</v>
      </c>
      <c r="X6" s="47">
        <f t="shared" si="11"/>
        <v>3562512.6635012776</v>
      </c>
      <c r="Y6" s="18">
        <f t="shared" si="12"/>
        <v>5.916519834213857E-2</v>
      </c>
      <c r="AB6" s="685"/>
      <c r="AC6" s="685"/>
      <c r="AD6" s="685"/>
      <c r="AE6" s="685"/>
      <c r="AF6" s="685"/>
    </row>
    <row r="7" spans="1:32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Data'!F7</f>
        <v>63337869.780153669</v>
      </c>
      <c r="E7" s="3">
        <f>'Monthly Data'!CN7</f>
        <v>93.137500000000045</v>
      </c>
      <c r="F7" s="3">
        <f>'Monthly Data'!CS7</f>
        <v>47.337499999999999</v>
      </c>
      <c r="G7" s="3">
        <f>'Monthly Data'!EM7</f>
        <v>0</v>
      </c>
      <c r="H7" s="3">
        <f>'Monthly Data'!ER7</f>
        <v>0</v>
      </c>
      <c r="I7" s="3">
        <f>'Monthly Data'!EG7</f>
        <v>0</v>
      </c>
      <c r="J7" s="3">
        <f>'Monthly Data'!DQ7</f>
        <v>30</v>
      </c>
      <c r="K7" s="3">
        <f>'Monthly Data'!EH7</f>
        <v>6</v>
      </c>
      <c r="M7" s="3">
        <f t="shared" si="1"/>
        <v>-11000000</v>
      </c>
      <c r="N7" s="3">
        <f t="shared" si="2"/>
        <v>4374748.4732500026</v>
      </c>
      <c r="O7" s="3">
        <f t="shared" si="3"/>
        <v>13033320.264999999</v>
      </c>
      <c r="P7" s="3">
        <f t="shared" si="4"/>
        <v>0</v>
      </c>
      <c r="Q7" s="3">
        <f t="shared" si="5"/>
        <v>0</v>
      </c>
      <c r="R7" s="3">
        <f t="shared" si="6"/>
        <v>0</v>
      </c>
      <c r="S7" s="3">
        <f t="shared" si="7"/>
        <v>58824930</v>
      </c>
      <c r="T7" s="3">
        <f t="shared" si="8"/>
        <v>803743.79999999993</v>
      </c>
      <c r="U7" s="47">
        <f t="shared" si="9"/>
        <v>66036742.538249999</v>
      </c>
      <c r="V7" s="47">
        <f>'Monthly Data'!G7+'Monthly Data'!H7</f>
        <v>0</v>
      </c>
      <c r="W7" s="47">
        <f t="shared" si="10"/>
        <v>66036742.538249999</v>
      </c>
      <c r="X7" s="47">
        <f t="shared" si="11"/>
        <v>2698872.7580963299</v>
      </c>
      <c r="Y7" s="18">
        <f t="shared" si="12"/>
        <v>4.2610728265161775E-2</v>
      </c>
      <c r="AB7" s="685"/>
      <c r="AC7" s="685" t="s">
        <v>409</v>
      </c>
      <c r="AD7" s="685" t="s">
        <v>410</v>
      </c>
      <c r="AE7" s="685" t="s">
        <v>411</v>
      </c>
      <c r="AF7" s="685" t="s">
        <v>412</v>
      </c>
    </row>
    <row r="8" spans="1:32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Data'!F8</f>
        <v>85840421.551369086</v>
      </c>
      <c r="E8" s="3">
        <f>'Monthly Data'!CN8</f>
        <v>25.987500000000004</v>
      </c>
      <c r="F8" s="3">
        <f>'Monthly Data'!CS8</f>
        <v>143.53749999999999</v>
      </c>
      <c r="G8" s="3">
        <f>'Monthly Data'!EM8</f>
        <v>0</v>
      </c>
      <c r="H8" s="3">
        <f>'Monthly Data'!ER8</f>
        <v>0</v>
      </c>
      <c r="I8" s="3">
        <f>'Monthly Data'!EG8</f>
        <v>0</v>
      </c>
      <c r="J8" s="3">
        <f>'Monthly Data'!DQ8</f>
        <v>31</v>
      </c>
      <c r="K8" s="3">
        <f>'Monthly Data'!EH8</f>
        <v>7</v>
      </c>
      <c r="M8" s="3">
        <f t="shared" si="1"/>
        <v>-11000000</v>
      </c>
      <c r="N8" s="3">
        <f t="shared" si="2"/>
        <v>1220655.2242500002</v>
      </c>
      <c r="O8" s="3">
        <f t="shared" si="3"/>
        <v>39519835.384999998</v>
      </c>
      <c r="P8" s="3">
        <f t="shared" si="4"/>
        <v>0</v>
      </c>
      <c r="Q8" s="3">
        <f t="shared" si="5"/>
        <v>0</v>
      </c>
      <c r="R8" s="3">
        <f t="shared" si="6"/>
        <v>0</v>
      </c>
      <c r="S8" s="3">
        <f t="shared" si="7"/>
        <v>60785761</v>
      </c>
      <c r="T8" s="3">
        <f t="shared" si="8"/>
        <v>937701.09999999986</v>
      </c>
      <c r="U8" s="47">
        <f t="shared" si="9"/>
        <v>91463952.709249988</v>
      </c>
      <c r="V8" s="47">
        <f>'Monthly Data'!G8+'Monthly Data'!H8</f>
        <v>0</v>
      </c>
      <c r="W8" s="47">
        <f t="shared" si="10"/>
        <v>91463952.709249988</v>
      </c>
      <c r="X8" s="47">
        <f t="shared" si="11"/>
        <v>5623531.1578809023</v>
      </c>
      <c r="Y8" s="18">
        <f t="shared" si="12"/>
        <v>6.5511457845248797E-2</v>
      </c>
      <c r="AB8" s="685" t="s">
        <v>413</v>
      </c>
      <c r="AC8" s="695">
        <v>-11000000</v>
      </c>
      <c r="AD8" s="686">
        <v>5843237</v>
      </c>
      <c r="AE8" s="687">
        <v>-1.89883</v>
      </c>
      <c r="AF8" s="694">
        <v>6.0158999999999997E-2</v>
      </c>
    </row>
    <row r="9" spans="1:32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Data'!F9</f>
        <v>79382005.814455315</v>
      </c>
      <c r="E9" s="3">
        <f>'Monthly Data'!CN9</f>
        <v>40.1875</v>
      </c>
      <c r="F9" s="3">
        <f>'Monthly Data'!CS9</f>
        <v>106.43333333333335</v>
      </c>
      <c r="G9" s="3">
        <f>'Monthly Data'!EM9</f>
        <v>0</v>
      </c>
      <c r="H9" s="3">
        <f>'Monthly Data'!ER9</f>
        <v>0</v>
      </c>
      <c r="I9" s="3">
        <f>'Monthly Data'!EG9</f>
        <v>0</v>
      </c>
      <c r="J9" s="3">
        <f>'Monthly Data'!DQ9</f>
        <v>31</v>
      </c>
      <c r="K9" s="3">
        <f>'Monthly Data'!EH9</f>
        <v>8</v>
      </c>
      <c r="M9" s="3">
        <f t="shared" si="1"/>
        <v>-11000000</v>
      </c>
      <c r="N9" s="3">
        <f t="shared" si="2"/>
        <v>1887641.43625</v>
      </c>
      <c r="O9" s="3">
        <f t="shared" si="3"/>
        <v>29304034.22666667</v>
      </c>
      <c r="P9" s="3">
        <f t="shared" si="4"/>
        <v>0</v>
      </c>
      <c r="Q9" s="3">
        <f t="shared" si="5"/>
        <v>0</v>
      </c>
      <c r="R9" s="3">
        <f t="shared" si="6"/>
        <v>0</v>
      </c>
      <c r="S9" s="3">
        <f t="shared" si="7"/>
        <v>60785761</v>
      </c>
      <c r="T9" s="3">
        <f t="shared" si="8"/>
        <v>1071658.3999999999</v>
      </c>
      <c r="U9" s="47">
        <f t="shared" si="9"/>
        <v>82049095.062916666</v>
      </c>
      <c r="V9" s="47">
        <f>'Monthly Data'!G9+'Monthly Data'!H9</f>
        <v>0</v>
      </c>
      <c r="W9" s="47">
        <f t="shared" si="10"/>
        <v>82049095.062916666</v>
      </c>
      <c r="X9" s="47">
        <f t="shared" si="11"/>
        <v>2667089.2484613508</v>
      </c>
      <c r="Y9" s="18">
        <f t="shared" si="12"/>
        <v>3.3598158941653737E-2</v>
      </c>
      <c r="AB9" s="685" t="s">
        <v>40</v>
      </c>
      <c r="AC9" s="686">
        <v>46970.86</v>
      </c>
      <c r="AD9" s="686">
        <v>1579.876</v>
      </c>
      <c r="AE9" s="687">
        <v>29.730730000000001</v>
      </c>
      <c r="AF9" s="694">
        <v>5.72E-55</v>
      </c>
    </row>
    <row r="10" spans="1:32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Data'!F10</f>
        <v>73737868.814600527</v>
      </c>
      <c r="E10" s="3">
        <f>'Monthly Data'!CN10</f>
        <v>78.99404761904762</v>
      </c>
      <c r="F10" s="3">
        <f>'Monthly Data'!CS10</f>
        <v>87.618452380952391</v>
      </c>
      <c r="G10" s="3">
        <f>'Monthly Data'!EM10</f>
        <v>0</v>
      </c>
      <c r="H10" s="3">
        <f>'Monthly Data'!ER10</f>
        <v>0</v>
      </c>
      <c r="I10" s="3">
        <f>'Monthly Data'!EG10</f>
        <v>1</v>
      </c>
      <c r="J10" s="3">
        <f>'Monthly Data'!DQ10</f>
        <v>30</v>
      </c>
      <c r="K10" s="3">
        <f>'Monthly Data'!EH10</f>
        <v>9</v>
      </c>
      <c r="M10" s="3">
        <f t="shared" si="1"/>
        <v>-11000000</v>
      </c>
      <c r="N10" s="3">
        <f t="shared" si="2"/>
        <v>3710418.3515476193</v>
      </c>
      <c r="O10" s="3">
        <f t="shared" si="3"/>
        <v>24123778.209761906</v>
      </c>
      <c r="P10" s="3">
        <f t="shared" si="4"/>
        <v>0</v>
      </c>
      <c r="Q10" s="3">
        <f t="shared" si="5"/>
        <v>0</v>
      </c>
      <c r="R10" s="3">
        <f t="shared" si="6"/>
        <v>-3105221</v>
      </c>
      <c r="S10" s="3">
        <f t="shared" si="7"/>
        <v>58824930</v>
      </c>
      <c r="T10" s="3">
        <f t="shared" si="8"/>
        <v>1205615.7</v>
      </c>
      <c r="U10" s="47">
        <f t="shared" si="9"/>
        <v>73759521.261309519</v>
      </c>
      <c r="V10" s="47">
        <f>'Monthly Data'!G10+'Monthly Data'!H10</f>
        <v>0</v>
      </c>
      <c r="W10" s="47">
        <f t="shared" si="10"/>
        <v>73759521.261309519</v>
      </c>
      <c r="X10" s="47">
        <f t="shared" si="11"/>
        <v>21652.446708992124</v>
      </c>
      <c r="Y10" s="18">
        <f t="shared" si="12"/>
        <v>2.9364079891477436E-4</v>
      </c>
      <c r="AB10" s="685" t="s">
        <v>45</v>
      </c>
      <c r="AC10" s="686">
        <v>275327.59999999998</v>
      </c>
      <c r="AD10" s="686">
        <v>7403.8059999999996</v>
      </c>
      <c r="AE10" s="687">
        <v>37.187309999999997</v>
      </c>
      <c r="AF10" s="694">
        <v>7.4300000000000004E-65</v>
      </c>
    </row>
    <row r="11" spans="1:32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Data'!F11</f>
        <v>62701818.978226148</v>
      </c>
      <c r="E11" s="3">
        <f>'Monthly Data'!CN11</f>
        <v>338.98750000000007</v>
      </c>
      <c r="F11" s="3">
        <f>'Monthly Data'!CS11</f>
        <v>1</v>
      </c>
      <c r="G11" s="3">
        <f>'Monthly Data'!EM11</f>
        <v>0</v>
      </c>
      <c r="H11" s="3">
        <f>'Monthly Data'!ER11</f>
        <v>0</v>
      </c>
      <c r="I11" s="3">
        <f>'Monthly Data'!EG11</f>
        <v>1</v>
      </c>
      <c r="J11" s="3">
        <f>'Monthly Data'!DQ11</f>
        <v>31</v>
      </c>
      <c r="K11" s="3">
        <f>'Monthly Data'!EH11</f>
        <v>10</v>
      </c>
      <c r="M11" s="3">
        <f t="shared" si="1"/>
        <v>-11000000</v>
      </c>
      <c r="N11" s="3">
        <f t="shared" si="2"/>
        <v>15922534.404250003</v>
      </c>
      <c r="O11" s="3">
        <f t="shared" si="3"/>
        <v>275327.59999999998</v>
      </c>
      <c r="P11" s="3">
        <f t="shared" si="4"/>
        <v>0</v>
      </c>
      <c r="Q11" s="3">
        <f t="shared" si="5"/>
        <v>0</v>
      </c>
      <c r="R11" s="3">
        <f t="shared" si="6"/>
        <v>-3105221</v>
      </c>
      <c r="S11" s="3">
        <f t="shared" si="7"/>
        <v>60785761</v>
      </c>
      <c r="T11" s="3">
        <f t="shared" si="8"/>
        <v>1339573</v>
      </c>
      <c r="U11" s="47">
        <f t="shared" si="9"/>
        <v>64217975.004250005</v>
      </c>
      <c r="V11" s="47">
        <f>'Monthly Data'!G11+'Monthly Data'!H11</f>
        <v>0</v>
      </c>
      <c r="W11" s="47">
        <f t="shared" si="10"/>
        <v>64217975.004250005</v>
      </c>
      <c r="X11" s="47">
        <f t="shared" si="11"/>
        <v>1516156.0260238573</v>
      </c>
      <c r="Y11" s="18">
        <f t="shared" si="12"/>
        <v>2.4180415348880997E-2</v>
      </c>
      <c r="AB11" s="685" t="s">
        <v>216</v>
      </c>
      <c r="AC11" s="686">
        <v>8276.8109999999997</v>
      </c>
      <c r="AD11" s="686">
        <v>3288.2939999999999</v>
      </c>
      <c r="AE11" s="687">
        <v>2.5170530000000002</v>
      </c>
      <c r="AF11" s="694">
        <v>1.3249E-2</v>
      </c>
    </row>
    <row r="12" spans="1:32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Data'!F12</f>
        <v>65118517.23753316</v>
      </c>
      <c r="E12" s="3">
        <f>'Monthly Data'!CN12</f>
        <v>431.77083333333331</v>
      </c>
      <c r="F12" s="3">
        <f>'Monthly Data'!CS12</f>
        <v>0</v>
      </c>
      <c r="G12" s="3">
        <f>'Monthly Data'!EM12</f>
        <v>0</v>
      </c>
      <c r="H12" s="3">
        <f>'Monthly Data'!ER12</f>
        <v>0</v>
      </c>
      <c r="I12" s="3">
        <f>'Monthly Data'!EG12</f>
        <v>1</v>
      </c>
      <c r="J12" s="3">
        <f>'Monthly Data'!DQ12</f>
        <v>30</v>
      </c>
      <c r="K12" s="3">
        <f>'Monthly Data'!EH12</f>
        <v>11</v>
      </c>
      <c r="M12" s="3">
        <f t="shared" si="1"/>
        <v>-11000000</v>
      </c>
      <c r="N12" s="3">
        <f t="shared" si="2"/>
        <v>20280647.364583332</v>
      </c>
      <c r="O12" s="3">
        <f t="shared" si="3"/>
        <v>0</v>
      </c>
      <c r="P12" s="3">
        <f t="shared" si="4"/>
        <v>0</v>
      </c>
      <c r="Q12" s="3">
        <f t="shared" si="5"/>
        <v>0</v>
      </c>
      <c r="R12" s="3">
        <f t="shared" si="6"/>
        <v>-3105221</v>
      </c>
      <c r="S12" s="3">
        <f t="shared" si="7"/>
        <v>58824930</v>
      </c>
      <c r="T12" s="3">
        <f t="shared" si="8"/>
        <v>1473530.2999999998</v>
      </c>
      <c r="U12" s="47">
        <f t="shared" si="9"/>
        <v>66473886.664583325</v>
      </c>
      <c r="V12" s="47">
        <f>'Monthly Data'!G12+'Monthly Data'!H12</f>
        <v>0</v>
      </c>
      <c r="W12" s="47">
        <f t="shared" si="10"/>
        <v>66473886.664583325</v>
      </c>
      <c r="X12" s="47">
        <f t="shared" si="11"/>
        <v>1355369.4270501658</v>
      </c>
      <c r="Y12" s="18">
        <f t="shared" si="12"/>
        <v>2.0813886503376261E-2</v>
      </c>
      <c r="AB12" s="685" t="s">
        <v>399</v>
      </c>
      <c r="AC12" s="686">
        <v>41146.019999999997</v>
      </c>
      <c r="AD12" s="686">
        <v>16483.740000000002</v>
      </c>
      <c r="AE12" s="687">
        <v>2.4961579999999999</v>
      </c>
      <c r="AF12" s="694">
        <v>1.4010999999999999E-2</v>
      </c>
    </row>
    <row r="13" spans="1:32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Data'!F13</f>
        <v>75289570.107017979</v>
      </c>
      <c r="E13" s="3">
        <f>'Monthly Data'!CN13</f>
        <v>499.62590579710155</v>
      </c>
      <c r="F13" s="3">
        <f>'Monthly Data'!CS13</f>
        <v>0</v>
      </c>
      <c r="G13" s="3">
        <f>'Monthly Data'!EM13</f>
        <v>0</v>
      </c>
      <c r="H13" s="3">
        <f>'Monthly Data'!ER13</f>
        <v>0</v>
      </c>
      <c r="I13" s="3">
        <f>'Monthly Data'!EG13</f>
        <v>0</v>
      </c>
      <c r="J13" s="3">
        <f>'Monthly Data'!DQ13</f>
        <v>31</v>
      </c>
      <c r="K13" s="3">
        <f>'Monthly Data'!EH13</f>
        <v>12</v>
      </c>
      <c r="M13" s="3">
        <f t="shared" si="1"/>
        <v>-11000000</v>
      </c>
      <c r="N13" s="3">
        <f t="shared" si="2"/>
        <v>23467858.473568846</v>
      </c>
      <c r="O13" s="3">
        <f t="shared" si="3"/>
        <v>0</v>
      </c>
      <c r="P13" s="3">
        <f t="shared" si="4"/>
        <v>0</v>
      </c>
      <c r="Q13" s="3">
        <f t="shared" si="5"/>
        <v>0</v>
      </c>
      <c r="R13" s="3">
        <f t="shared" si="6"/>
        <v>0</v>
      </c>
      <c r="S13" s="3">
        <f t="shared" si="7"/>
        <v>60785761</v>
      </c>
      <c r="T13" s="3">
        <f t="shared" si="8"/>
        <v>1607487.5999999999</v>
      </c>
      <c r="U13" s="47">
        <f t="shared" si="9"/>
        <v>74861107.073568836</v>
      </c>
      <c r="V13" s="47">
        <f>'Monthly Data'!G13+'Monthly Data'!H13</f>
        <v>0</v>
      </c>
      <c r="W13" s="47">
        <f t="shared" si="10"/>
        <v>74861107.073568836</v>
      </c>
      <c r="X13" s="47">
        <f t="shared" si="11"/>
        <v>-428463.03344914317</v>
      </c>
      <c r="Y13" s="18">
        <f t="shared" si="12"/>
        <v>5.690868374465652E-3</v>
      </c>
      <c r="AB13" s="685" t="s">
        <v>118</v>
      </c>
      <c r="AC13" s="686">
        <v>-3105221</v>
      </c>
      <c r="AD13" s="686">
        <v>507335.5</v>
      </c>
      <c r="AE13" s="687">
        <v>-6.1206500000000004</v>
      </c>
      <c r="AF13" s="694">
        <v>1.4100000000000001E-8</v>
      </c>
    </row>
    <row r="14" spans="1:32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Data'!F14</f>
        <v>89442152.753839836</v>
      </c>
      <c r="E14" s="3">
        <f>'Monthly Data'!CN14</f>
        <v>737.87916666666683</v>
      </c>
      <c r="F14" s="3">
        <f>'Monthly Data'!CS14</f>
        <v>0</v>
      </c>
      <c r="G14" s="3">
        <f>'Monthly Data'!EM14</f>
        <v>0</v>
      </c>
      <c r="H14" s="3">
        <f>'Monthly Data'!ER14</f>
        <v>0</v>
      </c>
      <c r="I14" s="3">
        <f>'Monthly Data'!EG14</f>
        <v>0</v>
      </c>
      <c r="J14" s="3">
        <f>'Monthly Data'!DQ14</f>
        <v>31</v>
      </c>
      <c r="K14" s="3">
        <f>'Monthly Data'!EH14</f>
        <v>13</v>
      </c>
      <c r="M14" s="3">
        <f t="shared" si="1"/>
        <v>-11000000</v>
      </c>
      <c r="N14" s="3">
        <f t="shared" si="2"/>
        <v>34658819.034416676</v>
      </c>
      <c r="O14" s="3">
        <f t="shared" si="3"/>
        <v>0</v>
      </c>
      <c r="P14" s="3">
        <f t="shared" si="4"/>
        <v>0</v>
      </c>
      <c r="Q14" s="3">
        <f t="shared" si="5"/>
        <v>0</v>
      </c>
      <c r="R14" s="3">
        <f t="shared" si="6"/>
        <v>0</v>
      </c>
      <c r="S14" s="3">
        <f t="shared" si="7"/>
        <v>60785761</v>
      </c>
      <c r="T14" s="3">
        <f t="shared" si="8"/>
        <v>1741444.9</v>
      </c>
      <c r="U14" s="47">
        <f t="shared" si="9"/>
        <v>86186024.934416682</v>
      </c>
      <c r="V14" s="47">
        <f>'Monthly Data'!G14+'Monthly Data'!H14</f>
        <v>0</v>
      </c>
      <c r="W14" s="47">
        <f t="shared" si="10"/>
        <v>86186024.934416682</v>
      </c>
      <c r="X14" s="47">
        <f t="shared" si="11"/>
        <v>-3256127.819423154</v>
      </c>
      <c r="Y14" s="18">
        <f t="shared" si="12"/>
        <v>3.6404846251683776E-2</v>
      </c>
      <c r="AB14" s="685" t="s">
        <v>414</v>
      </c>
      <c r="AC14" s="686">
        <v>1960831</v>
      </c>
      <c r="AD14" s="686">
        <v>197275.9</v>
      </c>
      <c r="AE14" s="687">
        <v>9.9395380000000007</v>
      </c>
      <c r="AF14" s="694">
        <v>4.5400000000000002E-17</v>
      </c>
    </row>
    <row r="15" spans="1:32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Data'!F15</f>
        <v>81059215.66888456</v>
      </c>
      <c r="E15" s="3">
        <f>'Monthly Data'!CN15</f>
        <v>661.70833333333326</v>
      </c>
      <c r="F15" s="3">
        <f>'Monthly Data'!CS15</f>
        <v>0</v>
      </c>
      <c r="G15" s="3">
        <f>'Monthly Data'!EM15</f>
        <v>0</v>
      </c>
      <c r="H15" s="3">
        <f>'Monthly Data'!ER15</f>
        <v>0</v>
      </c>
      <c r="I15" s="3">
        <f>'Monthly Data'!EG15</f>
        <v>0</v>
      </c>
      <c r="J15" s="3">
        <f>'Monthly Data'!DQ15</f>
        <v>29</v>
      </c>
      <c r="K15" s="3">
        <f>'Monthly Data'!EH15</f>
        <v>14</v>
      </c>
      <c r="M15" s="3">
        <f t="shared" si="1"/>
        <v>-11000000</v>
      </c>
      <c r="N15" s="3">
        <f t="shared" si="2"/>
        <v>31081009.485833332</v>
      </c>
      <c r="O15" s="3">
        <f t="shared" si="3"/>
        <v>0</v>
      </c>
      <c r="P15" s="3">
        <f t="shared" si="4"/>
        <v>0</v>
      </c>
      <c r="Q15" s="3">
        <f t="shared" si="5"/>
        <v>0</v>
      </c>
      <c r="R15" s="3">
        <f t="shared" si="6"/>
        <v>0</v>
      </c>
      <c r="S15" s="3">
        <f t="shared" si="7"/>
        <v>56864099</v>
      </c>
      <c r="T15" s="3">
        <f t="shared" si="8"/>
        <v>1875402.1999999997</v>
      </c>
      <c r="U15" s="47">
        <f t="shared" si="9"/>
        <v>78820510.685833335</v>
      </c>
      <c r="V15" s="47">
        <f>'Monthly Data'!G15+'Monthly Data'!H15</f>
        <v>0</v>
      </c>
      <c r="W15" s="47">
        <f t="shared" si="10"/>
        <v>78820510.685833335</v>
      </c>
      <c r="X15" s="47">
        <f t="shared" si="11"/>
        <v>-2238704.9830512255</v>
      </c>
      <c r="Y15" s="18">
        <f t="shared" si="12"/>
        <v>2.761814266987259E-2</v>
      </c>
      <c r="AB15" s="685" t="s">
        <v>119</v>
      </c>
      <c r="AC15" s="686">
        <v>133957.29999999999</v>
      </c>
      <c r="AD15" s="686">
        <v>10143.91</v>
      </c>
      <c r="AE15" s="687">
        <v>13.205690000000001</v>
      </c>
      <c r="AF15" s="694">
        <v>1.41E-24</v>
      </c>
    </row>
    <row r="16" spans="1:32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Data'!F16</f>
        <v>77482986.059256971</v>
      </c>
      <c r="E16" s="3">
        <f>'Monthly Data'!CN16</f>
        <v>577.07934782608709</v>
      </c>
      <c r="F16" s="3">
        <f>'Monthly Data'!CS16</f>
        <v>0</v>
      </c>
      <c r="G16" s="3">
        <f>'Monthly Data'!EM16</f>
        <v>0</v>
      </c>
      <c r="H16" s="3">
        <f>'Monthly Data'!ER16</f>
        <v>0</v>
      </c>
      <c r="I16" s="3">
        <f>'Monthly Data'!EG16</f>
        <v>1</v>
      </c>
      <c r="J16" s="3">
        <f>'Monthly Data'!DQ16</f>
        <v>31</v>
      </c>
      <c r="K16" s="3">
        <f>'Monthly Data'!EH16</f>
        <v>15</v>
      </c>
      <c r="M16" s="3">
        <f t="shared" si="1"/>
        <v>-11000000</v>
      </c>
      <c r="N16" s="3">
        <f t="shared" si="2"/>
        <v>27105913.255630441</v>
      </c>
      <c r="O16" s="3">
        <f t="shared" si="3"/>
        <v>0</v>
      </c>
      <c r="P16" s="3">
        <f t="shared" si="4"/>
        <v>0</v>
      </c>
      <c r="Q16" s="3">
        <f t="shared" si="5"/>
        <v>0</v>
      </c>
      <c r="R16" s="3">
        <f t="shared" si="6"/>
        <v>-3105221</v>
      </c>
      <c r="S16" s="3">
        <f t="shared" si="7"/>
        <v>60785761</v>
      </c>
      <c r="T16" s="3">
        <f t="shared" si="8"/>
        <v>2009359.4999999998</v>
      </c>
      <c r="U16" s="47">
        <f t="shared" si="9"/>
        <v>75795812.755630434</v>
      </c>
      <c r="V16" s="47">
        <f>'Monthly Data'!G16+'Monthly Data'!H16</f>
        <v>0</v>
      </c>
      <c r="W16" s="47">
        <f t="shared" si="10"/>
        <v>75795812.755630434</v>
      </c>
      <c r="X16" s="47">
        <f t="shared" si="11"/>
        <v>-1687173.3036265373</v>
      </c>
      <c r="Y16" s="18">
        <f t="shared" si="12"/>
        <v>2.1774758426788447E-2</v>
      </c>
    </row>
    <row r="17" spans="1:31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Data'!F17</f>
        <v>68514282.597392097</v>
      </c>
      <c r="E17" s="3">
        <f>'Monthly Data'!CN17</f>
        <v>465.98333333333341</v>
      </c>
      <c r="F17" s="3">
        <f>'Monthly Data'!CS17</f>
        <v>0</v>
      </c>
      <c r="G17" s="3">
        <f>'Monthly Data'!EM17</f>
        <v>0</v>
      </c>
      <c r="H17" s="3">
        <f>'Monthly Data'!ER17</f>
        <v>0</v>
      </c>
      <c r="I17" s="3">
        <f>'Monthly Data'!EG17</f>
        <v>1</v>
      </c>
      <c r="J17" s="3">
        <f>'Monthly Data'!DQ17</f>
        <v>30</v>
      </c>
      <c r="K17" s="3">
        <f>'Monthly Data'!EH17</f>
        <v>16</v>
      </c>
      <c r="M17" s="3">
        <f t="shared" si="1"/>
        <v>-11000000</v>
      </c>
      <c r="N17" s="3">
        <f t="shared" si="2"/>
        <v>21887637.912333336</v>
      </c>
      <c r="O17" s="3">
        <f t="shared" si="3"/>
        <v>0</v>
      </c>
      <c r="P17" s="3">
        <f t="shared" si="4"/>
        <v>0</v>
      </c>
      <c r="Q17" s="3">
        <f t="shared" si="5"/>
        <v>0</v>
      </c>
      <c r="R17" s="3">
        <f t="shared" si="6"/>
        <v>-3105221</v>
      </c>
      <c r="S17" s="3">
        <f t="shared" si="7"/>
        <v>58824930</v>
      </c>
      <c r="T17" s="3">
        <f t="shared" si="8"/>
        <v>2143316.7999999998</v>
      </c>
      <c r="U17" s="47">
        <f t="shared" si="9"/>
        <v>68750663.712333336</v>
      </c>
      <c r="V17" s="47">
        <f>'Monthly Data'!G17+'Monthly Data'!H17</f>
        <v>0</v>
      </c>
      <c r="W17" s="47">
        <f t="shared" si="10"/>
        <v>68750663.712333336</v>
      </c>
      <c r="X17" s="47">
        <f t="shared" si="11"/>
        <v>236381.11494123936</v>
      </c>
      <c r="Y17" s="18">
        <f t="shared" si="12"/>
        <v>3.4500998329104141E-3</v>
      </c>
      <c r="AB17" s="691" t="s">
        <v>407</v>
      </c>
      <c r="AC17" s="692"/>
      <c r="AD17" s="692"/>
      <c r="AE17" s="693"/>
    </row>
    <row r="18" spans="1:31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Data'!F18</f>
        <v>68269965.69856523</v>
      </c>
      <c r="E18" s="3">
        <f>'Monthly Data'!CN18</f>
        <v>203.72361111111115</v>
      </c>
      <c r="F18" s="3">
        <f>'Monthly Data'!CS18</f>
        <v>40.95416666666668</v>
      </c>
      <c r="G18" s="3">
        <f>'Monthly Data'!EM18</f>
        <v>0</v>
      </c>
      <c r="H18" s="3">
        <f>'Monthly Data'!ER18</f>
        <v>0</v>
      </c>
      <c r="I18" s="3">
        <f>'Monthly Data'!EG18</f>
        <v>1</v>
      </c>
      <c r="J18" s="3">
        <f>'Monthly Data'!DQ18</f>
        <v>31</v>
      </c>
      <c r="K18" s="3">
        <f>'Monthly Data'!EH18</f>
        <v>17</v>
      </c>
      <c r="M18" s="3">
        <f t="shared" si="1"/>
        <v>-11000000</v>
      </c>
      <c r="N18" s="3">
        <f t="shared" si="2"/>
        <v>9569073.2161944471</v>
      </c>
      <c r="O18" s="3">
        <f t="shared" si="3"/>
        <v>11275812.418333337</v>
      </c>
      <c r="P18" s="3">
        <f t="shared" si="4"/>
        <v>0</v>
      </c>
      <c r="Q18" s="3">
        <f t="shared" si="5"/>
        <v>0</v>
      </c>
      <c r="R18" s="3">
        <f t="shared" si="6"/>
        <v>-3105221</v>
      </c>
      <c r="S18" s="3">
        <f t="shared" si="7"/>
        <v>60785761</v>
      </c>
      <c r="T18" s="3">
        <f t="shared" si="8"/>
        <v>2277274.0999999996</v>
      </c>
      <c r="U18" s="47">
        <f t="shared" si="9"/>
        <v>69802699.734527782</v>
      </c>
      <c r="V18" s="47">
        <f>'Monthly Data'!G18+'Monthly Data'!H18</f>
        <v>0</v>
      </c>
      <c r="W18" s="47">
        <f t="shared" si="10"/>
        <v>69802699.734527782</v>
      </c>
      <c r="X18" s="47">
        <f t="shared" si="11"/>
        <v>1532734.0359625518</v>
      </c>
      <c r="Y18" s="18">
        <f t="shared" si="12"/>
        <v>2.2451073766904851E-2</v>
      </c>
      <c r="AB18" s="685" t="s">
        <v>415</v>
      </c>
      <c r="AC18" s="689">
        <v>493000000000000</v>
      </c>
      <c r="AD18" s="685" t="s">
        <v>416</v>
      </c>
      <c r="AE18" s="686">
        <v>2098686</v>
      </c>
    </row>
    <row r="19" spans="1:31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Data'!F19</f>
        <v>78208721.173178941</v>
      </c>
      <c r="E19" s="3">
        <f>'Monthly Data'!CN19</f>
        <v>56.883333333333326</v>
      </c>
      <c r="F19" s="3">
        <f>'Monthly Data'!CS19</f>
        <v>97.33750000000002</v>
      </c>
      <c r="G19" s="3">
        <f>'Monthly Data'!EM19</f>
        <v>0</v>
      </c>
      <c r="H19" s="3">
        <f>'Monthly Data'!ER19</f>
        <v>0</v>
      </c>
      <c r="I19" s="3">
        <f>'Monthly Data'!EG19</f>
        <v>0</v>
      </c>
      <c r="J19" s="3">
        <f>'Monthly Data'!DQ19</f>
        <v>30</v>
      </c>
      <c r="K19" s="3">
        <f>'Monthly Data'!EH19</f>
        <v>18</v>
      </c>
      <c r="M19" s="3">
        <f t="shared" si="1"/>
        <v>-11000000</v>
      </c>
      <c r="N19" s="3">
        <f t="shared" si="2"/>
        <v>2671859.086333333</v>
      </c>
      <c r="O19" s="3">
        <f t="shared" si="3"/>
        <v>26799700.265000004</v>
      </c>
      <c r="P19" s="3">
        <f t="shared" si="4"/>
        <v>0</v>
      </c>
      <c r="Q19" s="3">
        <f t="shared" si="5"/>
        <v>0</v>
      </c>
      <c r="R19" s="3">
        <f t="shared" si="6"/>
        <v>0</v>
      </c>
      <c r="S19" s="3">
        <f t="shared" si="7"/>
        <v>58824930</v>
      </c>
      <c r="T19" s="3">
        <f t="shared" si="8"/>
        <v>2411231.4</v>
      </c>
      <c r="U19" s="47">
        <f t="shared" si="9"/>
        <v>79707720.751333341</v>
      </c>
      <c r="V19" s="47">
        <f>'Monthly Data'!G19+'Monthly Data'!H19</f>
        <v>0</v>
      </c>
      <c r="W19" s="47">
        <f t="shared" si="10"/>
        <v>79707720.751333341</v>
      </c>
      <c r="X19" s="47">
        <f t="shared" si="11"/>
        <v>1498999.5781544</v>
      </c>
      <c r="Y19" s="18">
        <f t="shared" si="12"/>
        <v>1.9166655018372426E-2</v>
      </c>
      <c r="AB19" s="685" t="s">
        <v>417</v>
      </c>
      <c r="AC19" s="690">
        <v>0.97792900000000005</v>
      </c>
      <c r="AD19" s="685" t="s">
        <v>418</v>
      </c>
      <c r="AE19" s="690">
        <v>0.97655000000000003</v>
      </c>
    </row>
    <row r="20" spans="1:31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Data'!F20</f>
        <v>102570182.69668086</v>
      </c>
      <c r="E20" s="3">
        <f>'Monthly Data'!CN20</f>
        <v>8.75416666666667</v>
      </c>
      <c r="F20" s="3">
        <f>'Monthly Data'!CS20</f>
        <v>189.22916666666666</v>
      </c>
      <c r="G20" s="3">
        <f>'Monthly Data'!EM20</f>
        <v>0</v>
      </c>
      <c r="H20" s="3">
        <f>'Monthly Data'!ER20</f>
        <v>0</v>
      </c>
      <c r="I20" s="3">
        <f>'Monthly Data'!EG20</f>
        <v>0</v>
      </c>
      <c r="J20" s="3">
        <f>'Monthly Data'!DQ20</f>
        <v>31</v>
      </c>
      <c r="K20" s="3">
        <f>'Monthly Data'!EH20</f>
        <v>19</v>
      </c>
      <c r="M20" s="3">
        <f t="shared" si="1"/>
        <v>-11000000</v>
      </c>
      <c r="N20" s="3">
        <f t="shared" si="2"/>
        <v>411190.73691666685</v>
      </c>
      <c r="O20" s="3">
        <f t="shared" si="3"/>
        <v>52100012.30833333</v>
      </c>
      <c r="P20" s="3">
        <f t="shared" si="4"/>
        <v>0</v>
      </c>
      <c r="Q20" s="3">
        <f t="shared" si="5"/>
        <v>0</v>
      </c>
      <c r="R20" s="3">
        <f t="shared" si="6"/>
        <v>0</v>
      </c>
      <c r="S20" s="3">
        <f t="shared" si="7"/>
        <v>60785761</v>
      </c>
      <c r="T20" s="3">
        <f t="shared" si="8"/>
        <v>2545188.6999999997</v>
      </c>
      <c r="U20" s="47">
        <f t="shared" si="9"/>
        <v>104842152.74525</v>
      </c>
      <c r="V20" s="47">
        <f>'Monthly Data'!G20+'Monthly Data'!H20</f>
        <v>0</v>
      </c>
      <c r="W20" s="47">
        <f t="shared" si="10"/>
        <v>104842152.74525</v>
      </c>
      <c r="X20" s="47">
        <f t="shared" si="11"/>
        <v>2271970.0485691428</v>
      </c>
      <c r="Y20" s="18">
        <f t="shared" si="12"/>
        <v>2.2150394869508826E-2</v>
      </c>
      <c r="AB20" s="685" t="s">
        <v>543</v>
      </c>
      <c r="AC20" s="687">
        <v>578.95600000000002</v>
      </c>
      <c r="AD20" s="685" t="s">
        <v>419</v>
      </c>
      <c r="AE20" s="690">
        <v>8.18E-85</v>
      </c>
    </row>
    <row r="21" spans="1:31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Data'!F21</f>
        <v>109059318.26472567</v>
      </c>
      <c r="E21" s="3">
        <f>'Monthly Data'!CN21</f>
        <v>4.029166666666665</v>
      </c>
      <c r="F21" s="3">
        <f>'Monthly Data'!CS21</f>
        <v>204.02500000000006</v>
      </c>
      <c r="G21" s="3">
        <f>'Monthly Data'!EM21</f>
        <v>0</v>
      </c>
      <c r="H21" s="3">
        <f>'Monthly Data'!ER21</f>
        <v>0</v>
      </c>
      <c r="I21" s="3">
        <f>'Monthly Data'!EG21</f>
        <v>0</v>
      </c>
      <c r="J21" s="3">
        <f>'Monthly Data'!DQ21</f>
        <v>31</v>
      </c>
      <c r="K21" s="3">
        <f>'Monthly Data'!EH21</f>
        <v>20</v>
      </c>
      <c r="M21" s="3">
        <f t="shared" si="1"/>
        <v>-11000000</v>
      </c>
      <c r="N21" s="3">
        <f t="shared" si="2"/>
        <v>189253.4234166666</v>
      </c>
      <c r="O21" s="3">
        <f t="shared" si="3"/>
        <v>56173713.590000011</v>
      </c>
      <c r="P21" s="3">
        <f t="shared" si="4"/>
        <v>0</v>
      </c>
      <c r="Q21" s="3">
        <f t="shared" si="5"/>
        <v>0</v>
      </c>
      <c r="R21" s="3">
        <f t="shared" si="6"/>
        <v>0</v>
      </c>
      <c r="S21" s="3">
        <f t="shared" si="7"/>
        <v>60785761</v>
      </c>
      <c r="T21" s="3">
        <f t="shared" si="8"/>
        <v>2679146</v>
      </c>
      <c r="U21" s="47">
        <f t="shared" si="9"/>
        <v>108827874.01341668</v>
      </c>
      <c r="V21" s="47">
        <f>'Monthly Data'!G21+'Monthly Data'!H21</f>
        <v>0</v>
      </c>
      <c r="W21" s="47">
        <f t="shared" si="10"/>
        <v>108827874.01341668</v>
      </c>
      <c r="X21" s="47">
        <f t="shared" si="11"/>
        <v>-231444.25130899251</v>
      </c>
      <c r="Y21" s="18">
        <f t="shared" si="12"/>
        <v>2.1221868519954909E-3</v>
      </c>
      <c r="AB21" s="685" t="s">
        <v>420</v>
      </c>
      <c r="AC21" s="690">
        <v>-2.3439999999999999E-2</v>
      </c>
      <c r="AD21" s="685" t="s">
        <v>421</v>
      </c>
      <c r="AE21" s="690">
        <v>2.0350450000000002</v>
      </c>
    </row>
    <row r="22" spans="1:31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Data'!F22</f>
        <v>76313540.785070717</v>
      </c>
      <c r="E22" s="3">
        <f>'Monthly Data'!CN22</f>
        <v>80.145833333333343</v>
      </c>
      <c r="F22" s="3">
        <f>'Monthly Data'!CS22</f>
        <v>71.529166666666654</v>
      </c>
      <c r="G22" s="3">
        <f>'Monthly Data'!EM22</f>
        <v>0</v>
      </c>
      <c r="H22" s="3">
        <f>'Monthly Data'!ER22</f>
        <v>0</v>
      </c>
      <c r="I22" s="3">
        <f>'Monthly Data'!EG22</f>
        <v>1</v>
      </c>
      <c r="J22" s="3">
        <f>'Monthly Data'!DQ22</f>
        <v>30</v>
      </c>
      <c r="K22" s="3">
        <f>'Monthly Data'!EH22</f>
        <v>21</v>
      </c>
      <c r="M22" s="3">
        <f t="shared" si="1"/>
        <v>-11000000</v>
      </c>
      <c r="N22" s="3">
        <f t="shared" si="2"/>
        <v>3764518.717083334</v>
      </c>
      <c r="O22" s="3">
        <f t="shared" si="3"/>
        <v>19693953.788333327</v>
      </c>
      <c r="P22" s="3">
        <f t="shared" si="4"/>
        <v>0</v>
      </c>
      <c r="Q22" s="3">
        <f t="shared" si="5"/>
        <v>0</v>
      </c>
      <c r="R22" s="3">
        <f t="shared" si="6"/>
        <v>-3105221</v>
      </c>
      <c r="S22" s="3">
        <f t="shared" si="7"/>
        <v>58824930</v>
      </c>
      <c r="T22" s="3">
        <f t="shared" si="8"/>
        <v>2813103.3</v>
      </c>
      <c r="U22" s="47">
        <f t="shared" si="9"/>
        <v>70991284.805416659</v>
      </c>
      <c r="V22" s="47">
        <f>'Monthly Data'!G22+'Monthly Data'!H22</f>
        <v>0</v>
      </c>
      <c r="W22" s="47">
        <f t="shared" si="10"/>
        <v>70991284.805416659</v>
      </c>
      <c r="X22" s="47">
        <f t="shared" si="11"/>
        <v>-5322255.9796540588</v>
      </c>
      <c r="Y22" s="18">
        <f t="shared" si="12"/>
        <v>6.9741960927270405E-2</v>
      </c>
    </row>
    <row r="23" spans="1:31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Data'!F23</f>
        <v>66405514.986074924</v>
      </c>
      <c r="E23" s="3">
        <f>'Monthly Data'!CN23</f>
        <v>283.19583333333327</v>
      </c>
      <c r="F23" s="3">
        <f>'Monthly Data'!CS23</f>
        <v>7.2541666666666735</v>
      </c>
      <c r="G23" s="3">
        <f>'Monthly Data'!EM23</f>
        <v>0</v>
      </c>
      <c r="H23" s="3">
        <f>'Monthly Data'!ER23</f>
        <v>0</v>
      </c>
      <c r="I23" s="3">
        <f>'Monthly Data'!EG23</f>
        <v>1</v>
      </c>
      <c r="J23" s="3">
        <f>'Monthly Data'!DQ23</f>
        <v>31</v>
      </c>
      <c r="K23" s="3">
        <f>'Monthly Data'!EH23</f>
        <v>22</v>
      </c>
      <c r="M23" s="3">
        <f t="shared" si="1"/>
        <v>-11000000</v>
      </c>
      <c r="N23" s="3">
        <f t="shared" si="2"/>
        <v>13301951.840083331</v>
      </c>
      <c r="O23" s="3">
        <f t="shared" si="3"/>
        <v>1997272.298333335</v>
      </c>
      <c r="P23" s="3">
        <f t="shared" si="4"/>
        <v>0</v>
      </c>
      <c r="Q23" s="3">
        <f t="shared" si="5"/>
        <v>0</v>
      </c>
      <c r="R23" s="3">
        <f t="shared" si="6"/>
        <v>-3105221</v>
      </c>
      <c r="S23" s="3">
        <f t="shared" si="7"/>
        <v>60785761</v>
      </c>
      <c r="T23" s="3">
        <f t="shared" si="8"/>
        <v>2947060.5999999996</v>
      </c>
      <c r="U23" s="47">
        <f t="shared" si="9"/>
        <v>64926824.738416664</v>
      </c>
      <c r="V23" s="47">
        <f>'Monthly Data'!G23+'Monthly Data'!H23</f>
        <v>0</v>
      </c>
      <c r="W23" s="47">
        <f t="shared" si="10"/>
        <v>64926824.738416664</v>
      </c>
      <c r="X23" s="47">
        <f t="shared" si="11"/>
        <v>-1478690.2476582602</v>
      </c>
      <c r="Y23" s="18">
        <f t="shared" si="12"/>
        <v>2.2267581961653907E-2</v>
      </c>
      <c r="AB23" s="691" t="s">
        <v>408</v>
      </c>
      <c r="AC23" s="692"/>
      <c r="AD23" s="692"/>
      <c r="AE23" s="693"/>
    </row>
    <row r="24" spans="1:31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Data'!F24</f>
        <v>69398951.33887735</v>
      </c>
      <c r="E24" s="3">
        <f>'Monthly Data'!CN24</f>
        <v>437.33511904761912</v>
      </c>
      <c r="F24" s="3">
        <f>'Monthly Data'!CS24</f>
        <v>0</v>
      </c>
      <c r="G24" s="3">
        <f>'Monthly Data'!EM24</f>
        <v>0</v>
      </c>
      <c r="H24" s="3">
        <f>'Monthly Data'!ER24</f>
        <v>0</v>
      </c>
      <c r="I24" s="3">
        <f>'Monthly Data'!EG24</f>
        <v>1</v>
      </c>
      <c r="J24" s="3">
        <f>'Monthly Data'!DQ24</f>
        <v>30</v>
      </c>
      <c r="K24" s="3">
        <f>'Monthly Data'!EH24</f>
        <v>23</v>
      </c>
      <c r="M24" s="3">
        <f t="shared" si="1"/>
        <v>-11000000</v>
      </c>
      <c r="N24" s="3">
        <f t="shared" si="2"/>
        <v>20542006.649869051</v>
      </c>
      <c r="O24" s="3">
        <f t="shared" si="3"/>
        <v>0</v>
      </c>
      <c r="P24" s="3">
        <f t="shared" si="4"/>
        <v>0</v>
      </c>
      <c r="Q24" s="3">
        <f t="shared" si="5"/>
        <v>0</v>
      </c>
      <c r="R24" s="3">
        <f t="shared" si="6"/>
        <v>-3105221</v>
      </c>
      <c r="S24" s="3">
        <f t="shared" si="7"/>
        <v>58824930</v>
      </c>
      <c r="T24" s="3">
        <f t="shared" si="8"/>
        <v>3081017.9</v>
      </c>
      <c r="U24" s="47">
        <f t="shared" si="9"/>
        <v>68342733.549869061</v>
      </c>
      <c r="V24" s="47">
        <f>'Monthly Data'!G24+'Monthly Data'!H24</f>
        <v>0</v>
      </c>
      <c r="W24" s="47">
        <f t="shared" si="10"/>
        <v>68342733.549869061</v>
      </c>
      <c r="X24" s="47">
        <f t="shared" si="11"/>
        <v>-1056217.7890082896</v>
      </c>
      <c r="Y24" s="18">
        <f t="shared" si="12"/>
        <v>1.5219506471369337E-2</v>
      </c>
      <c r="AB24" s="685" t="s">
        <v>422</v>
      </c>
      <c r="AC24" s="686">
        <v>84186375</v>
      </c>
      <c r="AD24" s="685" t="s">
        <v>423</v>
      </c>
      <c r="AE24" s="686">
        <v>13585578</v>
      </c>
    </row>
    <row r="25" spans="1:31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Data'!F25</f>
        <v>88165004.775042474</v>
      </c>
      <c r="E25" s="3">
        <f>'Monthly Data'!CN25</f>
        <v>678.67083333333323</v>
      </c>
      <c r="F25" s="3">
        <f>'Monthly Data'!CS25</f>
        <v>0</v>
      </c>
      <c r="G25" s="3">
        <f>'Monthly Data'!EM25</f>
        <v>0</v>
      </c>
      <c r="H25" s="3">
        <f>'Monthly Data'!ER25</f>
        <v>0</v>
      </c>
      <c r="I25" s="3">
        <f>'Monthly Data'!EG25</f>
        <v>0</v>
      </c>
      <c r="J25" s="3">
        <f>'Monthly Data'!DQ25</f>
        <v>31</v>
      </c>
      <c r="K25" s="3">
        <f>'Monthly Data'!EH25</f>
        <v>24</v>
      </c>
      <c r="M25" s="3">
        <f t="shared" si="1"/>
        <v>-11000000</v>
      </c>
      <c r="N25" s="3">
        <f t="shared" si="2"/>
        <v>31877752.698583331</v>
      </c>
      <c r="O25" s="3">
        <f t="shared" si="3"/>
        <v>0</v>
      </c>
      <c r="P25" s="3">
        <f t="shared" si="4"/>
        <v>0</v>
      </c>
      <c r="Q25" s="3">
        <f t="shared" si="5"/>
        <v>0</v>
      </c>
      <c r="R25" s="3">
        <f t="shared" si="6"/>
        <v>0</v>
      </c>
      <c r="S25" s="3">
        <f t="shared" si="7"/>
        <v>60785761</v>
      </c>
      <c r="T25" s="3">
        <f t="shared" si="8"/>
        <v>3214975.1999999997</v>
      </c>
      <c r="U25" s="47">
        <f t="shared" si="9"/>
        <v>84878488.898583338</v>
      </c>
      <c r="V25" s="47">
        <f>'Monthly Data'!G25+'Monthly Data'!H25</f>
        <v>0</v>
      </c>
      <c r="W25" s="47">
        <f t="shared" si="10"/>
        <v>84878488.898583338</v>
      </c>
      <c r="X25" s="47">
        <f t="shared" si="11"/>
        <v>-3286515.8764591366</v>
      </c>
      <c r="Y25" s="18">
        <f t="shared" si="12"/>
        <v>3.7276875159762655E-2</v>
      </c>
    </row>
    <row r="26" spans="1:31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Data'!F26</f>
        <v>86449266.718781069</v>
      </c>
      <c r="E26" s="3">
        <f>'Monthly Data'!CN26</f>
        <v>682.2166666666667</v>
      </c>
      <c r="F26" s="3">
        <f>'Monthly Data'!CS26</f>
        <v>0</v>
      </c>
      <c r="G26" s="3">
        <f>'Monthly Data'!EM26</f>
        <v>0</v>
      </c>
      <c r="H26" s="3">
        <f>'Monthly Data'!ER26</f>
        <v>0</v>
      </c>
      <c r="I26" s="3">
        <f>'Monthly Data'!EG26</f>
        <v>0</v>
      </c>
      <c r="J26" s="3">
        <f>'Monthly Data'!DQ26</f>
        <v>31</v>
      </c>
      <c r="K26" s="3">
        <f>'Monthly Data'!EH26</f>
        <v>25</v>
      </c>
      <c r="M26" s="3">
        <f t="shared" si="1"/>
        <v>-11000000</v>
      </c>
      <c r="N26" s="3">
        <f t="shared" si="2"/>
        <v>32044303.539666668</v>
      </c>
      <c r="O26" s="3">
        <f t="shared" si="3"/>
        <v>0</v>
      </c>
      <c r="P26" s="3">
        <f t="shared" si="4"/>
        <v>0</v>
      </c>
      <c r="Q26" s="3">
        <f t="shared" si="5"/>
        <v>0</v>
      </c>
      <c r="R26" s="3">
        <f t="shared" si="6"/>
        <v>0</v>
      </c>
      <c r="S26" s="3">
        <f t="shared" si="7"/>
        <v>60785761</v>
      </c>
      <c r="T26" s="3">
        <f t="shared" si="8"/>
        <v>3348932.4999999995</v>
      </c>
      <c r="U26" s="47">
        <f t="shared" si="9"/>
        <v>85178997.039666668</v>
      </c>
      <c r="V26" s="47">
        <f>'Monthly Data'!G26+'Monthly Data'!H26</f>
        <v>3139.3773146332878</v>
      </c>
      <c r="W26" s="47">
        <f t="shared" si="10"/>
        <v>85182136.416981295</v>
      </c>
      <c r="X26" s="47">
        <f t="shared" si="11"/>
        <v>-1267130.3017997742</v>
      </c>
      <c r="Y26" s="18">
        <f t="shared" si="12"/>
        <v>1.4657502022796113E-2</v>
      </c>
    </row>
    <row r="27" spans="1:31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Data'!F27</f>
        <v>74948439.222194627</v>
      </c>
      <c r="E27" s="3">
        <f>'Monthly Data'!CN27</f>
        <v>586.08333333333337</v>
      </c>
      <c r="F27" s="3">
        <f>'Monthly Data'!CS27</f>
        <v>0</v>
      </c>
      <c r="G27" s="3">
        <f>'Monthly Data'!EM27</f>
        <v>0</v>
      </c>
      <c r="H27" s="3">
        <f>'Monthly Data'!ER27</f>
        <v>0</v>
      </c>
      <c r="I27" s="3">
        <f>'Monthly Data'!EG27</f>
        <v>0</v>
      </c>
      <c r="J27" s="3">
        <f>'Monthly Data'!DQ27</f>
        <v>28</v>
      </c>
      <c r="K27" s="3">
        <f>'Monthly Data'!EH27</f>
        <v>26</v>
      </c>
      <c r="M27" s="3">
        <f t="shared" si="1"/>
        <v>-11000000</v>
      </c>
      <c r="N27" s="3">
        <f t="shared" si="2"/>
        <v>27528838.198333334</v>
      </c>
      <c r="O27" s="3">
        <f t="shared" si="3"/>
        <v>0</v>
      </c>
      <c r="P27" s="3">
        <f t="shared" si="4"/>
        <v>0</v>
      </c>
      <c r="Q27" s="3">
        <f t="shared" si="5"/>
        <v>0</v>
      </c>
      <c r="R27" s="3">
        <f t="shared" si="6"/>
        <v>0</v>
      </c>
      <c r="S27" s="3">
        <f t="shared" si="7"/>
        <v>54903268</v>
      </c>
      <c r="T27" s="3">
        <f t="shared" si="8"/>
        <v>3482889.8</v>
      </c>
      <c r="U27" s="47">
        <f t="shared" si="9"/>
        <v>74914995.998333335</v>
      </c>
      <c r="V27" s="47">
        <f>'Monthly Data'!G27+'Monthly Data'!H27</f>
        <v>6278.7546292665756</v>
      </c>
      <c r="W27" s="47">
        <f t="shared" si="10"/>
        <v>74921274.752962604</v>
      </c>
      <c r="X27" s="47">
        <f t="shared" si="11"/>
        <v>-27164.469232022762</v>
      </c>
      <c r="Y27" s="18">
        <f t="shared" si="12"/>
        <v>3.6244209371045176E-4</v>
      </c>
    </row>
    <row r="28" spans="1:31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Data'!F28</f>
        <v>81712037.110148981</v>
      </c>
      <c r="E28" s="3">
        <f>'Monthly Data'!CN28</f>
        <v>661.67916666666667</v>
      </c>
      <c r="F28" s="3">
        <f>'Monthly Data'!CS28</f>
        <v>0</v>
      </c>
      <c r="G28" s="3">
        <f>'Monthly Data'!EM28</f>
        <v>0</v>
      </c>
      <c r="H28" s="3">
        <f>'Monthly Data'!ER28</f>
        <v>0</v>
      </c>
      <c r="I28" s="3">
        <f>'Monthly Data'!EG28</f>
        <v>1</v>
      </c>
      <c r="J28" s="3">
        <f>'Monthly Data'!DQ28</f>
        <v>31</v>
      </c>
      <c r="K28" s="3">
        <f>'Monthly Data'!EH28</f>
        <v>27</v>
      </c>
      <c r="M28" s="3">
        <f t="shared" si="1"/>
        <v>-11000000</v>
      </c>
      <c r="N28" s="3">
        <f t="shared" si="2"/>
        <v>31079639.502416667</v>
      </c>
      <c r="O28" s="3">
        <f t="shared" si="3"/>
        <v>0</v>
      </c>
      <c r="P28" s="3">
        <f t="shared" si="4"/>
        <v>0</v>
      </c>
      <c r="Q28" s="3">
        <f t="shared" si="5"/>
        <v>0</v>
      </c>
      <c r="R28" s="3">
        <f t="shared" si="6"/>
        <v>-3105221</v>
      </c>
      <c r="S28" s="3">
        <f t="shared" si="7"/>
        <v>60785761</v>
      </c>
      <c r="T28" s="3">
        <f t="shared" si="8"/>
        <v>3616847.0999999996</v>
      </c>
      <c r="U28" s="47">
        <f t="shared" si="9"/>
        <v>81377026.602416664</v>
      </c>
      <c r="V28" s="47">
        <f>'Monthly Data'!G28+'Monthly Data'!H28</f>
        <v>9418.1319438998635</v>
      </c>
      <c r="W28" s="47">
        <f t="shared" si="10"/>
        <v>81386444.734360561</v>
      </c>
      <c r="X28" s="47">
        <f t="shared" si="11"/>
        <v>-325592.37578842044</v>
      </c>
      <c r="Y28" s="18">
        <f t="shared" si="12"/>
        <v>3.9846317299557388E-3</v>
      </c>
    </row>
    <row r="29" spans="1:31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Data'!F29</f>
        <v>66062458.293514147</v>
      </c>
      <c r="E29" s="3">
        <f>'Monthly Data'!CN29</f>
        <v>348.38749999999999</v>
      </c>
      <c r="F29" s="3">
        <f>'Monthly Data'!CS29</f>
        <v>2.3458333333333385</v>
      </c>
      <c r="G29" s="3">
        <f>'Monthly Data'!EM29</f>
        <v>0</v>
      </c>
      <c r="H29" s="3">
        <f>'Monthly Data'!ER29</f>
        <v>0</v>
      </c>
      <c r="I29" s="3">
        <f>'Monthly Data'!EG29</f>
        <v>1</v>
      </c>
      <c r="J29" s="3">
        <f>'Monthly Data'!DQ29</f>
        <v>30</v>
      </c>
      <c r="K29" s="3">
        <f>'Monthly Data'!EH29</f>
        <v>28</v>
      </c>
      <c r="M29" s="3">
        <f t="shared" si="1"/>
        <v>-11000000</v>
      </c>
      <c r="N29" s="3">
        <f t="shared" si="2"/>
        <v>16364060.48825</v>
      </c>
      <c r="O29" s="3">
        <f t="shared" si="3"/>
        <v>645872.66166666802</v>
      </c>
      <c r="P29" s="3">
        <f t="shared" si="4"/>
        <v>0</v>
      </c>
      <c r="Q29" s="3">
        <f t="shared" si="5"/>
        <v>0</v>
      </c>
      <c r="R29" s="3">
        <f t="shared" si="6"/>
        <v>-3105221</v>
      </c>
      <c r="S29" s="3">
        <f t="shared" si="7"/>
        <v>58824930</v>
      </c>
      <c r="T29" s="3">
        <f t="shared" si="8"/>
        <v>3750804.3999999994</v>
      </c>
      <c r="U29" s="47">
        <f t="shared" si="9"/>
        <v>65480446.54991667</v>
      </c>
      <c r="V29" s="47">
        <f>'Monthly Data'!G29+'Monthly Data'!H29</f>
        <v>12557.509258533151</v>
      </c>
      <c r="W29" s="47">
        <f t="shared" si="10"/>
        <v>65493004.059175201</v>
      </c>
      <c r="X29" s="47">
        <f t="shared" si="11"/>
        <v>-569454.23433894664</v>
      </c>
      <c r="Y29" s="18">
        <f t="shared" si="12"/>
        <v>8.6199370875493786E-3</v>
      </c>
    </row>
    <row r="30" spans="1:31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Data'!F30</f>
        <v>65410460.427608207</v>
      </c>
      <c r="E30" s="3">
        <f>'Monthly Data'!CN30</f>
        <v>247.16666666666663</v>
      </c>
      <c r="F30" s="3">
        <f>'Monthly Data'!CS30</f>
        <v>13.075000000000003</v>
      </c>
      <c r="G30" s="3">
        <f>'Monthly Data'!EM30</f>
        <v>0</v>
      </c>
      <c r="H30" s="3">
        <f>'Monthly Data'!ER30</f>
        <v>0</v>
      </c>
      <c r="I30" s="3">
        <f>'Monthly Data'!EG30</f>
        <v>1</v>
      </c>
      <c r="J30" s="3">
        <f>'Monthly Data'!DQ30</f>
        <v>31</v>
      </c>
      <c r="K30" s="3">
        <f>'Monthly Data'!EH30</f>
        <v>29</v>
      </c>
      <c r="M30" s="3">
        <f t="shared" si="1"/>
        <v>-11000000</v>
      </c>
      <c r="N30" s="3">
        <f t="shared" si="2"/>
        <v>11609630.896666665</v>
      </c>
      <c r="O30" s="3">
        <f t="shared" si="3"/>
        <v>3599908.3700000006</v>
      </c>
      <c r="P30" s="3">
        <f t="shared" si="4"/>
        <v>0</v>
      </c>
      <c r="Q30" s="3">
        <f t="shared" si="5"/>
        <v>0</v>
      </c>
      <c r="R30" s="3">
        <f t="shared" si="6"/>
        <v>-3105221</v>
      </c>
      <c r="S30" s="3">
        <f t="shared" si="7"/>
        <v>60785761</v>
      </c>
      <c r="T30" s="3">
        <f t="shared" si="8"/>
        <v>3884761.6999999997</v>
      </c>
      <c r="U30" s="47">
        <f t="shared" si="9"/>
        <v>65774840.966666669</v>
      </c>
      <c r="V30" s="47">
        <f>'Monthly Data'!G30+'Monthly Data'!H30</f>
        <v>15696.886573166441</v>
      </c>
      <c r="W30" s="47">
        <f t="shared" si="10"/>
        <v>65790537.853239834</v>
      </c>
      <c r="X30" s="47">
        <f t="shared" si="11"/>
        <v>380077.42563162744</v>
      </c>
      <c r="Y30" s="18">
        <f t="shared" si="12"/>
        <v>5.8106520447485759E-3</v>
      </c>
    </row>
    <row r="31" spans="1:31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Data'!F31</f>
        <v>72754421.433572561</v>
      </c>
      <c r="E31" s="3">
        <f>'Monthly Data'!CN31</f>
        <v>85.453333333333319</v>
      </c>
      <c r="F31" s="3">
        <f>'Monthly Data'!CS31</f>
        <v>68.909166666666678</v>
      </c>
      <c r="G31" s="3">
        <f>'Monthly Data'!EM31</f>
        <v>0</v>
      </c>
      <c r="H31" s="3">
        <f>'Monthly Data'!ER31</f>
        <v>0</v>
      </c>
      <c r="I31" s="3">
        <f>'Monthly Data'!EG31</f>
        <v>0</v>
      </c>
      <c r="J31" s="3">
        <f>'Monthly Data'!DQ31</f>
        <v>30</v>
      </c>
      <c r="K31" s="3">
        <f>'Monthly Data'!EH31</f>
        <v>30</v>
      </c>
      <c r="M31" s="3">
        <f t="shared" si="1"/>
        <v>-11000000</v>
      </c>
      <c r="N31" s="3">
        <f t="shared" si="2"/>
        <v>4013816.5565333329</v>
      </c>
      <c r="O31" s="3">
        <f t="shared" si="3"/>
        <v>18972595.476333335</v>
      </c>
      <c r="P31" s="3">
        <f t="shared" si="4"/>
        <v>0</v>
      </c>
      <c r="Q31" s="3">
        <f t="shared" si="5"/>
        <v>0</v>
      </c>
      <c r="R31" s="3">
        <f t="shared" si="6"/>
        <v>0</v>
      </c>
      <c r="S31" s="3">
        <f t="shared" si="7"/>
        <v>58824930</v>
      </c>
      <c r="T31" s="3">
        <f t="shared" si="8"/>
        <v>4018718.9999999995</v>
      </c>
      <c r="U31" s="47">
        <f t="shared" si="9"/>
        <v>74830061.032866672</v>
      </c>
      <c r="V31" s="47">
        <f>'Monthly Data'!G31+'Monthly Data'!H31</f>
        <v>18836.263887799727</v>
      </c>
      <c r="W31" s="47">
        <f t="shared" si="10"/>
        <v>74848897.296754465</v>
      </c>
      <c r="X31" s="47">
        <f t="shared" si="11"/>
        <v>2094475.863181904</v>
      </c>
      <c r="Y31" s="18">
        <f t="shared" si="12"/>
        <v>2.8788296599873822E-2</v>
      </c>
    </row>
    <row r="32" spans="1:31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Data'!F32</f>
        <v>89929975.656787142</v>
      </c>
      <c r="E32" s="3">
        <f>'Monthly Data'!CN32</f>
        <v>14.412500000000009</v>
      </c>
      <c r="F32" s="3">
        <f>'Monthly Data'!CS32</f>
        <v>136.16666666666663</v>
      </c>
      <c r="G32" s="3">
        <f>'Monthly Data'!EM32</f>
        <v>0</v>
      </c>
      <c r="H32" s="3">
        <f>'Monthly Data'!ER32</f>
        <v>0</v>
      </c>
      <c r="I32" s="3">
        <f>'Monthly Data'!EG32</f>
        <v>0</v>
      </c>
      <c r="J32" s="3">
        <f>'Monthly Data'!DQ32</f>
        <v>31</v>
      </c>
      <c r="K32" s="3">
        <f>'Monthly Data'!EH32</f>
        <v>31</v>
      </c>
      <c r="M32" s="3">
        <f t="shared" si="1"/>
        <v>-11000000</v>
      </c>
      <c r="N32" s="3">
        <f t="shared" si="2"/>
        <v>676967.51975000044</v>
      </c>
      <c r="O32" s="3">
        <f t="shared" si="3"/>
        <v>37490441.533333316</v>
      </c>
      <c r="P32" s="3">
        <f t="shared" si="4"/>
        <v>0</v>
      </c>
      <c r="Q32" s="3">
        <f t="shared" si="5"/>
        <v>0</v>
      </c>
      <c r="R32" s="3">
        <f t="shared" si="6"/>
        <v>0</v>
      </c>
      <c r="S32" s="3">
        <f t="shared" si="7"/>
        <v>60785761</v>
      </c>
      <c r="T32" s="3">
        <f t="shared" si="8"/>
        <v>4152676.3</v>
      </c>
      <c r="U32" s="47">
        <f t="shared" si="9"/>
        <v>92105846.353083313</v>
      </c>
      <c r="V32" s="47">
        <f>'Monthly Data'!G32+'Monthly Data'!H32</f>
        <v>21975.641202433017</v>
      </c>
      <c r="W32" s="47">
        <f t="shared" si="10"/>
        <v>92127821.994285747</v>
      </c>
      <c r="X32" s="47">
        <f t="shared" si="11"/>
        <v>2197846.3374986053</v>
      </c>
      <c r="Y32" s="18">
        <f t="shared" si="12"/>
        <v>2.4439529994832492E-2</v>
      </c>
    </row>
    <row r="33" spans="1:25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Data'!F33</f>
        <v>83733361.307911798</v>
      </c>
      <c r="E33" s="3">
        <f>'Monthly Data'!CN33</f>
        <v>46.587500000000006</v>
      </c>
      <c r="F33" s="3">
        <f>'Monthly Data'!CS33</f>
        <v>97.06576086956521</v>
      </c>
      <c r="G33" s="3">
        <f>'Monthly Data'!EM33</f>
        <v>0</v>
      </c>
      <c r="H33" s="3">
        <f>'Monthly Data'!ER33</f>
        <v>0</v>
      </c>
      <c r="I33" s="3">
        <f>'Monthly Data'!EG33</f>
        <v>0</v>
      </c>
      <c r="J33" s="3">
        <f>'Monthly Data'!DQ33</f>
        <v>31</v>
      </c>
      <c r="K33" s="3">
        <f>'Monthly Data'!EH33</f>
        <v>32</v>
      </c>
      <c r="M33" s="3">
        <f t="shared" si="1"/>
        <v>-11000000</v>
      </c>
      <c r="N33" s="3">
        <f t="shared" si="2"/>
        <v>2188254.9402500005</v>
      </c>
      <c r="O33" s="3">
        <f t="shared" si="3"/>
        <v>26724882.982391302</v>
      </c>
      <c r="P33" s="3">
        <f t="shared" si="4"/>
        <v>0</v>
      </c>
      <c r="Q33" s="3">
        <f t="shared" si="5"/>
        <v>0</v>
      </c>
      <c r="R33" s="3">
        <f t="shared" si="6"/>
        <v>0</v>
      </c>
      <c r="S33" s="3">
        <f t="shared" si="7"/>
        <v>60785761</v>
      </c>
      <c r="T33" s="3">
        <f t="shared" si="8"/>
        <v>4286633.5999999996</v>
      </c>
      <c r="U33" s="47">
        <f t="shared" si="9"/>
        <v>82985532.522641301</v>
      </c>
      <c r="V33" s="47">
        <f>'Monthly Data'!G33+'Monthly Data'!H33</f>
        <v>25115.018517066303</v>
      </c>
      <c r="W33" s="47">
        <f t="shared" si="10"/>
        <v>83010647.541158363</v>
      </c>
      <c r="X33" s="47">
        <f t="shared" si="11"/>
        <v>-722713.76675343513</v>
      </c>
      <c r="Y33" s="18">
        <f t="shared" si="12"/>
        <v>8.6311328658574618E-3</v>
      </c>
    </row>
    <row r="34" spans="1:25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Data'!F34</f>
        <v>77037126.901957154</v>
      </c>
      <c r="E34" s="3">
        <f>'Monthly Data'!CN34</f>
        <v>100.06666666666666</v>
      </c>
      <c r="F34" s="3">
        <f>'Monthly Data'!CS34</f>
        <v>73.237499999999983</v>
      </c>
      <c r="G34" s="3">
        <f>'Monthly Data'!EM34</f>
        <v>0</v>
      </c>
      <c r="H34" s="3">
        <f>'Monthly Data'!ER34</f>
        <v>0</v>
      </c>
      <c r="I34" s="3">
        <f>'Monthly Data'!EG34</f>
        <v>1</v>
      </c>
      <c r="J34" s="3">
        <f>'Monthly Data'!DQ34</f>
        <v>30</v>
      </c>
      <c r="K34" s="3">
        <f>'Monthly Data'!EH34</f>
        <v>33</v>
      </c>
      <c r="M34" s="3">
        <f t="shared" ref="M34:M65" si="13">$AC$8</f>
        <v>-11000000</v>
      </c>
      <c r="N34" s="3">
        <f t="shared" ref="N34:N65" si="14">E34*$AC$9</f>
        <v>4700217.3906666664</v>
      </c>
      <c r="O34" s="3">
        <f t="shared" ref="O34:O65" si="15">F34*$AC$10</f>
        <v>20164305.104999993</v>
      </c>
      <c r="P34" s="3">
        <f t="shared" ref="P34:P65" si="16">G34*$AC$11</f>
        <v>0</v>
      </c>
      <c r="Q34" s="3">
        <f t="shared" ref="Q34:Q65" si="17">H34*$AC$12</f>
        <v>0</v>
      </c>
      <c r="R34" s="3">
        <f t="shared" ref="R34:R65" si="18">I34*$AC$13</f>
        <v>-3105221</v>
      </c>
      <c r="S34" s="3">
        <f t="shared" ref="S34:S65" si="19">J34*$AC$14</f>
        <v>58824930</v>
      </c>
      <c r="T34" s="3">
        <f t="shared" ref="T34:T65" si="20">K34*$AC$15</f>
        <v>4420590.8999999994</v>
      </c>
      <c r="U34" s="47">
        <f t="shared" si="9"/>
        <v>74004822.395666659</v>
      </c>
      <c r="V34" s="47">
        <f>'Monthly Data'!G34+'Monthly Data'!H34</f>
        <v>28254.395831699592</v>
      </c>
      <c r="W34" s="47">
        <f t="shared" si="10"/>
        <v>74033076.791498363</v>
      </c>
      <c r="X34" s="47">
        <f t="shared" si="11"/>
        <v>-3004050.1104587913</v>
      </c>
      <c r="Y34" s="18">
        <f t="shared" si="12"/>
        <v>3.8994835753440753E-2</v>
      </c>
    </row>
    <row r="35" spans="1:25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Data'!F35</f>
        <v>66833646.300961815</v>
      </c>
      <c r="E35" s="3">
        <f>'Monthly Data'!CN35</f>
        <v>238.48333333333335</v>
      </c>
      <c r="F35" s="3">
        <f>'Monthly Data'!CS35</f>
        <v>10.279166666666672</v>
      </c>
      <c r="G35" s="3">
        <f>'Monthly Data'!EM35</f>
        <v>0</v>
      </c>
      <c r="H35" s="3">
        <f>'Monthly Data'!ER35</f>
        <v>0</v>
      </c>
      <c r="I35" s="3">
        <f>'Monthly Data'!EG35</f>
        <v>1</v>
      </c>
      <c r="J35" s="3">
        <f>'Monthly Data'!DQ35</f>
        <v>31</v>
      </c>
      <c r="K35" s="3">
        <f>'Monthly Data'!EH35</f>
        <v>34</v>
      </c>
      <c r="M35" s="3">
        <f t="shared" si="13"/>
        <v>-11000000</v>
      </c>
      <c r="N35" s="3">
        <f t="shared" si="14"/>
        <v>11201767.262333333</v>
      </c>
      <c r="O35" s="3">
        <f t="shared" si="15"/>
        <v>2830138.2883333345</v>
      </c>
      <c r="P35" s="3">
        <f t="shared" si="16"/>
        <v>0</v>
      </c>
      <c r="Q35" s="3">
        <f t="shared" si="17"/>
        <v>0</v>
      </c>
      <c r="R35" s="3">
        <f t="shared" si="18"/>
        <v>-3105221</v>
      </c>
      <c r="S35" s="3">
        <f t="shared" si="19"/>
        <v>60785761</v>
      </c>
      <c r="T35" s="3">
        <f t="shared" si="20"/>
        <v>4554548.1999999993</v>
      </c>
      <c r="U35" s="47">
        <f t="shared" si="9"/>
        <v>65266993.750666663</v>
      </c>
      <c r="V35" s="47">
        <f>'Monthly Data'!G35+'Monthly Data'!H35</f>
        <v>31393.773146332882</v>
      </c>
      <c r="W35" s="47">
        <f t="shared" si="10"/>
        <v>65298387.523812994</v>
      </c>
      <c r="X35" s="47">
        <f t="shared" si="11"/>
        <v>-1535258.7771488205</v>
      </c>
      <c r="Y35" s="18">
        <f t="shared" si="12"/>
        <v>2.2971345454283948E-2</v>
      </c>
    </row>
    <row r="36" spans="1:25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Data'!F36</f>
        <v>75128517.47217609</v>
      </c>
      <c r="E36" s="3">
        <f>'Monthly Data'!CN36</f>
        <v>502.61174242424244</v>
      </c>
      <c r="F36" s="3">
        <f>'Monthly Data'!CS36</f>
        <v>0</v>
      </c>
      <c r="G36" s="3">
        <f>'Monthly Data'!EM36</f>
        <v>0</v>
      </c>
      <c r="H36" s="3">
        <f>'Monthly Data'!ER36</f>
        <v>0</v>
      </c>
      <c r="I36" s="3">
        <f>'Monthly Data'!EG36</f>
        <v>1</v>
      </c>
      <c r="J36" s="3">
        <f>'Monthly Data'!DQ36</f>
        <v>30</v>
      </c>
      <c r="K36" s="3">
        <f>'Monthly Data'!EH36</f>
        <v>35</v>
      </c>
      <c r="M36" s="3">
        <f t="shared" si="13"/>
        <v>-11000000</v>
      </c>
      <c r="N36" s="3">
        <f t="shared" si="14"/>
        <v>23608105.787765153</v>
      </c>
      <c r="O36" s="3">
        <f t="shared" si="15"/>
        <v>0</v>
      </c>
      <c r="P36" s="3">
        <f t="shared" si="16"/>
        <v>0</v>
      </c>
      <c r="Q36" s="3">
        <f t="shared" si="17"/>
        <v>0</v>
      </c>
      <c r="R36" s="3">
        <f t="shared" si="18"/>
        <v>-3105221</v>
      </c>
      <c r="S36" s="3">
        <f t="shared" si="19"/>
        <v>58824930</v>
      </c>
      <c r="T36" s="3">
        <f t="shared" si="20"/>
        <v>4688505.5</v>
      </c>
      <c r="U36" s="47">
        <f t="shared" si="9"/>
        <v>73016320.287765145</v>
      </c>
      <c r="V36" s="47">
        <f>'Monthly Data'!G36+'Monthly Data'!H36</f>
        <v>34533.150460966172</v>
      </c>
      <c r="W36" s="47">
        <f t="shared" si="10"/>
        <v>73050853.438226119</v>
      </c>
      <c r="X36" s="47">
        <f t="shared" si="11"/>
        <v>-2077664.0339499712</v>
      </c>
      <c r="Y36" s="18">
        <f t="shared" si="12"/>
        <v>2.7654798788215619E-2</v>
      </c>
    </row>
    <row r="37" spans="1:25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Data'!F37</f>
        <v>95011558.49266924</v>
      </c>
      <c r="E37" s="3">
        <f>'Monthly Data'!CN37</f>
        <v>798.31250000000011</v>
      </c>
      <c r="F37" s="3">
        <f>'Monthly Data'!CS37</f>
        <v>0</v>
      </c>
      <c r="G37" s="3">
        <f>'Monthly Data'!EM37</f>
        <v>0</v>
      </c>
      <c r="H37" s="3">
        <f>'Monthly Data'!ER37</f>
        <v>0</v>
      </c>
      <c r="I37" s="3">
        <f>'Monthly Data'!EG37</f>
        <v>0</v>
      </c>
      <c r="J37" s="3">
        <f>'Monthly Data'!DQ37</f>
        <v>31</v>
      </c>
      <c r="K37" s="3">
        <f>'Monthly Data'!EH37</f>
        <v>36</v>
      </c>
      <c r="M37" s="3">
        <f t="shared" si="13"/>
        <v>-11000000</v>
      </c>
      <c r="N37" s="3">
        <f t="shared" si="14"/>
        <v>37497424.673750006</v>
      </c>
      <c r="O37" s="3">
        <f t="shared" si="15"/>
        <v>0</v>
      </c>
      <c r="P37" s="3">
        <f t="shared" si="16"/>
        <v>0</v>
      </c>
      <c r="Q37" s="3">
        <f t="shared" si="17"/>
        <v>0</v>
      </c>
      <c r="R37" s="3">
        <f t="shared" si="18"/>
        <v>0</v>
      </c>
      <c r="S37" s="3">
        <f t="shared" si="19"/>
        <v>60785761</v>
      </c>
      <c r="T37" s="3">
        <f t="shared" si="20"/>
        <v>4822462.8</v>
      </c>
      <c r="U37" s="47">
        <f t="shared" si="9"/>
        <v>92105648.47375001</v>
      </c>
      <c r="V37" s="47">
        <f>'Monthly Data'!G37+'Monthly Data'!H37</f>
        <v>37672.527775599454</v>
      </c>
      <c r="W37" s="47">
        <f t="shared" si="10"/>
        <v>92143321.001525611</v>
      </c>
      <c r="X37" s="47">
        <f t="shared" si="11"/>
        <v>-2868237.491143629</v>
      </c>
      <c r="Y37" s="18">
        <f t="shared" si="12"/>
        <v>3.0188300630443109E-2</v>
      </c>
    </row>
    <row r="38" spans="1:25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Data'!F38</f>
        <v>95870065.827220172</v>
      </c>
      <c r="E38" s="3">
        <f>'Monthly Data'!CN38</f>
        <v>812.53750000000002</v>
      </c>
      <c r="F38" s="3">
        <f>'Monthly Data'!CS38</f>
        <v>0</v>
      </c>
      <c r="G38" s="3">
        <f>'Monthly Data'!EM38</f>
        <v>0</v>
      </c>
      <c r="H38" s="3">
        <f>'Monthly Data'!ER38</f>
        <v>0</v>
      </c>
      <c r="I38" s="3">
        <f>'Monthly Data'!EG38</f>
        <v>0</v>
      </c>
      <c r="J38" s="3">
        <f>'Monthly Data'!DQ38</f>
        <v>31</v>
      </c>
      <c r="K38" s="3">
        <f>'Monthly Data'!EH38</f>
        <v>37</v>
      </c>
      <c r="M38" s="3">
        <f t="shared" si="13"/>
        <v>-11000000</v>
      </c>
      <c r="N38" s="3">
        <f t="shared" si="14"/>
        <v>38165585.157250002</v>
      </c>
      <c r="O38" s="3">
        <f t="shared" si="15"/>
        <v>0</v>
      </c>
      <c r="P38" s="3">
        <f t="shared" si="16"/>
        <v>0</v>
      </c>
      <c r="Q38" s="3">
        <f t="shared" si="17"/>
        <v>0</v>
      </c>
      <c r="R38" s="3">
        <f t="shared" si="18"/>
        <v>0</v>
      </c>
      <c r="S38" s="3">
        <f t="shared" si="19"/>
        <v>60785761</v>
      </c>
      <c r="T38" s="3">
        <f t="shared" si="20"/>
        <v>4956420.0999999996</v>
      </c>
      <c r="U38" s="47">
        <f t="shared" si="9"/>
        <v>92907766.257249996</v>
      </c>
      <c r="V38" s="47">
        <f>'Monthly Data'!G38+'Monthly Data'!H38</f>
        <v>48680.955465587038</v>
      </c>
      <c r="W38" s="47">
        <f t="shared" si="10"/>
        <v>92956447.212715581</v>
      </c>
      <c r="X38" s="47">
        <f t="shared" si="11"/>
        <v>-2913618.6145045906</v>
      </c>
      <c r="Y38" s="18">
        <f t="shared" si="12"/>
        <v>3.0391327985062607E-2</v>
      </c>
    </row>
    <row r="39" spans="1:25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Data'!F39</f>
        <v>79073573.86240077</v>
      </c>
      <c r="E39" s="3">
        <f>'Monthly Data'!CN39</f>
        <v>632.49583333333328</v>
      </c>
      <c r="F39" s="3">
        <f>'Monthly Data'!CS39</f>
        <v>0</v>
      </c>
      <c r="G39" s="3">
        <f>'Monthly Data'!EM39</f>
        <v>0</v>
      </c>
      <c r="H39" s="3">
        <f>'Monthly Data'!ER39</f>
        <v>0</v>
      </c>
      <c r="I39" s="3">
        <f>'Monthly Data'!EG39</f>
        <v>0</v>
      </c>
      <c r="J39" s="3">
        <f>'Monthly Data'!DQ39</f>
        <v>28</v>
      </c>
      <c r="K39" s="3">
        <f>'Monthly Data'!EH39</f>
        <v>38</v>
      </c>
      <c r="M39" s="3">
        <f t="shared" si="13"/>
        <v>-11000000</v>
      </c>
      <c r="N39" s="3">
        <f t="shared" si="14"/>
        <v>29708873.238083333</v>
      </c>
      <c r="O39" s="3">
        <f t="shared" si="15"/>
        <v>0</v>
      </c>
      <c r="P39" s="3">
        <f t="shared" si="16"/>
        <v>0</v>
      </c>
      <c r="Q39" s="3">
        <f t="shared" si="17"/>
        <v>0</v>
      </c>
      <c r="R39" s="3">
        <f t="shared" si="18"/>
        <v>0</v>
      </c>
      <c r="S39" s="3">
        <f t="shared" si="19"/>
        <v>54903268</v>
      </c>
      <c r="T39" s="3">
        <f t="shared" si="20"/>
        <v>5090377.3999999994</v>
      </c>
      <c r="U39" s="47">
        <f t="shared" si="9"/>
        <v>78702518.638083339</v>
      </c>
      <c r="V39" s="47">
        <f>'Monthly Data'!G39+'Monthly Data'!H39</f>
        <v>56550.00584094134</v>
      </c>
      <c r="W39" s="47">
        <f t="shared" si="10"/>
        <v>78759068.643924281</v>
      </c>
      <c r="X39" s="47">
        <f t="shared" si="11"/>
        <v>-314505.21847648919</v>
      </c>
      <c r="Y39" s="18">
        <f t="shared" si="12"/>
        <v>3.9773745274720076E-3</v>
      </c>
    </row>
    <row r="40" spans="1:25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Data'!F40</f>
        <v>80922409.343110263</v>
      </c>
      <c r="E40" s="3">
        <f>'Monthly Data'!CN40</f>
        <v>629.27916666666681</v>
      </c>
      <c r="F40" s="3">
        <f>'Monthly Data'!CS40</f>
        <v>0</v>
      </c>
      <c r="G40" s="3">
        <f>'Monthly Data'!EM40</f>
        <v>0</v>
      </c>
      <c r="H40" s="3">
        <f>'Monthly Data'!ER40</f>
        <v>0</v>
      </c>
      <c r="I40" s="3">
        <f>'Monthly Data'!EG40</f>
        <v>1</v>
      </c>
      <c r="J40" s="3">
        <f>'Monthly Data'!DQ40</f>
        <v>31</v>
      </c>
      <c r="K40" s="3">
        <f>'Monthly Data'!EH40</f>
        <v>39</v>
      </c>
      <c r="M40" s="3">
        <f t="shared" si="13"/>
        <v>-11000000</v>
      </c>
      <c r="N40" s="3">
        <f t="shared" si="14"/>
        <v>29557783.638416674</v>
      </c>
      <c r="O40" s="3">
        <f t="shared" si="15"/>
        <v>0</v>
      </c>
      <c r="P40" s="3">
        <f t="shared" si="16"/>
        <v>0</v>
      </c>
      <c r="Q40" s="3">
        <f t="shared" si="17"/>
        <v>0</v>
      </c>
      <c r="R40" s="3">
        <f t="shared" si="18"/>
        <v>-3105221</v>
      </c>
      <c r="S40" s="3">
        <f t="shared" si="19"/>
        <v>60785761</v>
      </c>
      <c r="T40" s="3">
        <f t="shared" si="20"/>
        <v>5224334.6999999993</v>
      </c>
      <c r="U40" s="47">
        <f t="shared" si="9"/>
        <v>81462658.338416681</v>
      </c>
      <c r="V40" s="47">
        <f>'Monthly Data'!G40+'Monthly Data'!H40</f>
        <v>64419.056216295634</v>
      </c>
      <c r="W40" s="47">
        <f t="shared" si="10"/>
        <v>81527077.39463298</v>
      </c>
      <c r="X40" s="47">
        <f t="shared" si="11"/>
        <v>604668.05152271688</v>
      </c>
      <c r="Y40" s="18">
        <f t="shared" si="12"/>
        <v>7.4721953588767973E-3</v>
      </c>
    </row>
    <row r="41" spans="1:25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Data'!F41</f>
        <v>74863812.10232158</v>
      </c>
      <c r="E41" s="3">
        <f>'Monthly Data'!CN41</f>
        <v>512.51666666666677</v>
      </c>
      <c r="F41" s="3">
        <f>'Monthly Data'!CS41</f>
        <v>0</v>
      </c>
      <c r="G41" s="3">
        <f>'Monthly Data'!EM41</f>
        <v>0</v>
      </c>
      <c r="H41" s="3">
        <f>'Monthly Data'!ER41</f>
        <v>0</v>
      </c>
      <c r="I41" s="3">
        <f>'Monthly Data'!EG41</f>
        <v>1</v>
      </c>
      <c r="J41" s="3">
        <f>'Monthly Data'!DQ41</f>
        <v>30</v>
      </c>
      <c r="K41" s="3">
        <f>'Monthly Data'!EH41</f>
        <v>40</v>
      </c>
      <c r="M41" s="3">
        <f t="shared" si="13"/>
        <v>-11000000</v>
      </c>
      <c r="N41" s="3">
        <f t="shared" si="14"/>
        <v>24073348.597666673</v>
      </c>
      <c r="O41" s="3">
        <f t="shared" si="15"/>
        <v>0</v>
      </c>
      <c r="P41" s="3">
        <f t="shared" si="16"/>
        <v>0</v>
      </c>
      <c r="Q41" s="3">
        <f t="shared" si="17"/>
        <v>0</v>
      </c>
      <c r="R41" s="3">
        <f t="shared" si="18"/>
        <v>-3105221</v>
      </c>
      <c r="S41" s="3">
        <f t="shared" si="19"/>
        <v>58824930</v>
      </c>
      <c r="T41" s="3">
        <f t="shared" si="20"/>
        <v>5358292</v>
      </c>
      <c r="U41" s="47">
        <f t="shared" si="9"/>
        <v>74151349.597666681</v>
      </c>
      <c r="V41" s="47">
        <f>'Monthly Data'!G41+'Monthly Data'!H41</f>
        <v>72288.106591649936</v>
      </c>
      <c r="W41" s="47">
        <f t="shared" si="10"/>
        <v>74223637.704258338</v>
      </c>
      <c r="X41" s="47">
        <f t="shared" si="11"/>
        <v>-640174.39806324244</v>
      </c>
      <c r="Y41" s="18">
        <f t="shared" si="12"/>
        <v>8.5511862151538796E-3</v>
      </c>
    </row>
    <row r="42" spans="1:25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Data'!F42</f>
        <v>69109283.173491776</v>
      </c>
      <c r="E42" s="3">
        <f>'Monthly Data'!CN42</f>
        <v>140.84469696969697</v>
      </c>
      <c r="F42" s="3">
        <f>'Monthly Data'!CS42</f>
        <v>50.000541125541133</v>
      </c>
      <c r="G42" s="3">
        <f>'Monthly Data'!EM42</f>
        <v>0</v>
      </c>
      <c r="H42" s="3">
        <f>'Monthly Data'!ER42</f>
        <v>0</v>
      </c>
      <c r="I42" s="3">
        <f>'Monthly Data'!EG42</f>
        <v>1</v>
      </c>
      <c r="J42" s="3">
        <f>'Monthly Data'!DQ42</f>
        <v>31</v>
      </c>
      <c r="K42" s="3">
        <f>'Monthly Data'!EH42</f>
        <v>41</v>
      </c>
      <c r="M42" s="3">
        <f t="shared" si="13"/>
        <v>-11000000</v>
      </c>
      <c r="N42" s="3">
        <f t="shared" si="14"/>
        <v>6615596.5431060605</v>
      </c>
      <c r="O42" s="3">
        <f t="shared" si="15"/>
        <v>13766528.986796537</v>
      </c>
      <c r="P42" s="3">
        <f t="shared" si="16"/>
        <v>0</v>
      </c>
      <c r="Q42" s="3">
        <f t="shared" si="17"/>
        <v>0</v>
      </c>
      <c r="R42" s="3">
        <f t="shared" si="18"/>
        <v>-3105221</v>
      </c>
      <c r="S42" s="3">
        <f t="shared" si="19"/>
        <v>60785761</v>
      </c>
      <c r="T42" s="3">
        <f t="shared" si="20"/>
        <v>5492249.2999999998</v>
      </c>
      <c r="U42" s="47">
        <f t="shared" si="9"/>
        <v>72554914.829902604</v>
      </c>
      <c r="V42" s="47">
        <f>'Monthly Data'!G42+'Monthly Data'!H42</f>
        <v>80157.156967004237</v>
      </c>
      <c r="W42" s="47">
        <f t="shared" si="10"/>
        <v>72635071.986869603</v>
      </c>
      <c r="X42" s="47">
        <f t="shared" si="11"/>
        <v>3525788.8133778274</v>
      </c>
      <c r="Y42" s="18">
        <f t="shared" si="12"/>
        <v>5.1017586226827095E-2</v>
      </c>
    </row>
    <row r="43" spans="1:25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Data'!F43</f>
        <v>78838430.972002566</v>
      </c>
      <c r="E43" s="3">
        <f>'Monthly Data'!CN43</f>
        <v>63.468560606060585</v>
      </c>
      <c r="F43" s="3">
        <f>'Monthly Data'!CS43</f>
        <v>85.839772727272717</v>
      </c>
      <c r="G43" s="3">
        <f>'Monthly Data'!EM43</f>
        <v>0</v>
      </c>
      <c r="H43" s="3">
        <f>'Monthly Data'!ER43</f>
        <v>0</v>
      </c>
      <c r="I43" s="3">
        <f>'Monthly Data'!EG43</f>
        <v>0</v>
      </c>
      <c r="J43" s="3">
        <f>'Monthly Data'!DQ43</f>
        <v>30</v>
      </c>
      <c r="K43" s="3">
        <f>'Monthly Data'!EH43</f>
        <v>42</v>
      </c>
      <c r="M43" s="3">
        <f t="shared" si="13"/>
        <v>-11000000</v>
      </c>
      <c r="N43" s="3">
        <f t="shared" si="14"/>
        <v>2981172.8746287869</v>
      </c>
      <c r="O43" s="3">
        <f t="shared" si="15"/>
        <v>23634058.609545451</v>
      </c>
      <c r="P43" s="3">
        <f t="shared" si="16"/>
        <v>0</v>
      </c>
      <c r="Q43" s="3">
        <f t="shared" si="17"/>
        <v>0</v>
      </c>
      <c r="R43" s="3">
        <f t="shared" si="18"/>
        <v>0</v>
      </c>
      <c r="S43" s="3">
        <f t="shared" si="19"/>
        <v>58824930</v>
      </c>
      <c r="T43" s="3">
        <f t="shared" si="20"/>
        <v>5626206.5999999996</v>
      </c>
      <c r="U43" s="47">
        <f t="shared" si="9"/>
        <v>80066368.084174231</v>
      </c>
      <c r="V43" s="47">
        <f>'Monthly Data'!G43+'Monthly Data'!H43</f>
        <v>88026.207342358524</v>
      </c>
      <c r="W43" s="47">
        <f t="shared" si="10"/>
        <v>80154394.291516587</v>
      </c>
      <c r="X43" s="47">
        <f t="shared" si="11"/>
        <v>1315963.3195140213</v>
      </c>
      <c r="Y43" s="18">
        <f t="shared" si="12"/>
        <v>1.6691901440572195E-2</v>
      </c>
    </row>
    <row r="44" spans="1:25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Data'!F44</f>
        <v>109192429.79401337</v>
      </c>
      <c r="E44" s="3">
        <f>'Monthly Data'!CN44</f>
        <v>4.9668995859213254</v>
      </c>
      <c r="F44" s="3">
        <f>'Monthly Data'!CS44</f>
        <v>194.39861424807077</v>
      </c>
      <c r="G44" s="3">
        <f>'Monthly Data'!EM44</f>
        <v>0</v>
      </c>
      <c r="H44" s="3">
        <f>'Monthly Data'!ER44</f>
        <v>0</v>
      </c>
      <c r="I44" s="3">
        <f>'Monthly Data'!EG44</f>
        <v>0</v>
      </c>
      <c r="J44" s="3">
        <f>'Monthly Data'!DQ44</f>
        <v>31</v>
      </c>
      <c r="K44" s="3">
        <f>'Monthly Data'!EH44</f>
        <v>43</v>
      </c>
      <c r="M44" s="3">
        <f t="shared" si="13"/>
        <v>-11000000</v>
      </c>
      <c r="N44" s="3">
        <f t="shared" si="14"/>
        <v>233299.54508436855</v>
      </c>
      <c r="O44" s="3">
        <f t="shared" si="15"/>
        <v>53523303.904247127</v>
      </c>
      <c r="P44" s="3">
        <f t="shared" si="16"/>
        <v>0</v>
      </c>
      <c r="Q44" s="3">
        <f t="shared" si="17"/>
        <v>0</v>
      </c>
      <c r="R44" s="3">
        <f t="shared" si="18"/>
        <v>0</v>
      </c>
      <c r="S44" s="3">
        <f t="shared" si="19"/>
        <v>60785761</v>
      </c>
      <c r="T44" s="3">
        <f t="shared" si="20"/>
        <v>5760163.8999999994</v>
      </c>
      <c r="U44" s="47">
        <f t="shared" si="9"/>
        <v>109302528.3493315</v>
      </c>
      <c r="V44" s="47">
        <f>'Monthly Data'!G44+'Monthly Data'!H44</f>
        <v>95895.257717712826</v>
      </c>
      <c r="W44" s="47">
        <f t="shared" si="10"/>
        <v>109398423.60704921</v>
      </c>
      <c r="X44" s="47">
        <f t="shared" si="11"/>
        <v>205993.81303584576</v>
      </c>
      <c r="Y44" s="18">
        <f t="shared" si="12"/>
        <v>1.8865210108836654E-3</v>
      </c>
    </row>
    <row r="45" spans="1:25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Data'!F45</f>
        <v>106578000.43759398</v>
      </c>
      <c r="E45" s="3">
        <f>'Monthly Data'!CN45</f>
        <v>7.2291666666666679</v>
      </c>
      <c r="F45" s="3">
        <f>'Monthly Data'!CS45</f>
        <v>190.24583333333339</v>
      </c>
      <c r="G45" s="3">
        <f>'Monthly Data'!EM45</f>
        <v>0</v>
      </c>
      <c r="H45" s="3">
        <f>'Monthly Data'!ER45</f>
        <v>0</v>
      </c>
      <c r="I45" s="3">
        <f>'Monthly Data'!EG45</f>
        <v>0</v>
      </c>
      <c r="J45" s="3">
        <f>'Monthly Data'!DQ45</f>
        <v>31</v>
      </c>
      <c r="K45" s="3">
        <f>'Monthly Data'!EH45</f>
        <v>44</v>
      </c>
      <c r="M45" s="3">
        <f t="shared" si="13"/>
        <v>-11000000</v>
      </c>
      <c r="N45" s="3">
        <f t="shared" si="14"/>
        <v>339560.17541666672</v>
      </c>
      <c r="O45" s="3">
        <f t="shared" si="15"/>
        <v>52379928.701666676</v>
      </c>
      <c r="P45" s="3">
        <f t="shared" si="16"/>
        <v>0</v>
      </c>
      <c r="Q45" s="3">
        <f t="shared" si="17"/>
        <v>0</v>
      </c>
      <c r="R45" s="3">
        <f t="shared" si="18"/>
        <v>0</v>
      </c>
      <c r="S45" s="3">
        <f t="shared" si="19"/>
        <v>60785761</v>
      </c>
      <c r="T45" s="3">
        <f t="shared" si="20"/>
        <v>5894121.1999999993</v>
      </c>
      <c r="U45" s="47">
        <f t="shared" si="9"/>
        <v>108399371.07708335</v>
      </c>
      <c r="V45" s="47">
        <f>'Monthly Data'!G45+'Monthly Data'!H45</f>
        <v>103764.30809306711</v>
      </c>
      <c r="W45" s="47">
        <f t="shared" si="10"/>
        <v>108503135.38517642</v>
      </c>
      <c r="X45" s="47">
        <f t="shared" si="11"/>
        <v>1925134.9475824386</v>
      </c>
      <c r="Y45" s="18">
        <f t="shared" si="12"/>
        <v>1.8063155057123522E-2</v>
      </c>
    </row>
    <row r="46" spans="1:25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Data'!F46</f>
        <v>84771686.626504868</v>
      </c>
      <c r="E46" s="3">
        <f>'Monthly Data'!CN46</f>
        <v>92.370833333333337</v>
      </c>
      <c r="F46" s="3">
        <f>'Monthly Data'!CS46</f>
        <v>94.645833333333329</v>
      </c>
      <c r="G46" s="3">
        <f>'Monthly Data'!EM46</f>
        <v>0</v>
      </c>
      <c r="H46" s="3">
        <f>'Monthly Data'!ER46</f>
        <v>0</v>
      </c>
      <c r="I46" s="3">
        <f>'Monthly Data'!EG46</f>
        <v>1</v>
      </c>
      <c r="J46" s="3">
        <f>'Monthly Data'!DQ46</f>
        <v>30</v>
      </c>
      <c r="K46" s="3">
        <f>'Monthly Data'!EH46</f>
        <v>45</v>
      </c>
      <c r="M46" s="3">
        <f t="shared" si="13"/>
        <v>-11000000</v>
      </c>
      <c r="N46" s="3">
        <f t="shared" si="14"/>
        <v>4338737.4805833334</v>
      </c>
      <c r="O46" s="3">
        <f t="shared" si="15"/>
        <v>26058610.141666662</v>
      </c>
      <c r="P46" s="3">
        <f t="shared" si="16"/>
        <v>0</v>
      </c>
      <c r="Q46" s="3">
        <f t="shared" si="17"/>
        <v>0</v>
      </c>
      <c r="R46" s="3">
        <f t="shared" si="18"/>
        <v>-3105221</v>
      </c>
      <c r="S46" s="3">
        <f t="shared" si="19"/>
        <v>58824930</v>
      </c>
      <c r="T46" s="3">
        <f t="shared" si="20"/>
        <v>6028078.4999999991</v>
      </c>
      <c r="U46" s="47">
        <f t="shared" si="9"/>
        <v>81145135.122249991</v>
      </c>
      <c r="V46" s="47">
        <f>'Monthly Data'!G46+'Monthly Data'!H46</f>
        <v>111633.35846842141</v>
      </c>
      <c r="W46" s="47">
        <f t="shared" si="10"/>
        <v>81256768.480718419</v>
      </c>
      <c r="X46" s="47">
        <f t="shared" si="11"/>
        <v>-3514918.1457864493</v>
      </c>
      <c r="Y46" s="18">
        <f t="shared" si="12"/>
        <v>4.1463350390476585E-2</v>
      </c>
    </row>
    <row r="47" spans="1:25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Data'!F47</f>
        <v>72143929.807266369</v>
      </c>
      <c r="E47" s="3">
        <f>'Monthly Data'!CN47</f>
        <v>364.80833333333339</v>
      </c>
      <c r="F47" s="3">
        <f>'Monthly Data'!CS47</f>
        <v>8.0958333333333314</v>
      </c>
      <c r="G47" s="3">
        <f>'Monthly Data'!EM47</f>
        <v>0</v>
      </c>
      <c r="H47" s="3">
        <f>'Monthly Data'!ER47</f>
        <v>0</v>
      </c>
      <c r="I47" s="3">
        <f>'Monthly Data'!EG47</f>
        <v>1</v>
      </c>
      <c r="J47" s="3">
        <f>'Monthly Data'!DQ47</f>
        <v>31</v>
      </c>
      <c r="K47" s="3">
        <f>'Monthly Data'!EH47</f>
        <v>46</v>
      </c>
      <c r="M47" s="3">
        <f t="shared" si="13"/>
        <v>-11000000</v>
      </c>
      <c r="N47" s="3">
        <f t="shared" si="14"/>
        <v>17135361.151833337</v>
      </c>
      <c r="O47" s="3">
        <f t="shared" si="15"/>
        <v>2229006.3616666659</v>
      </c>
      <c r="P47" s="3">
        <f t="shared" si="16"/>
        <v>0</v>
      </c>
      <c r="Q47" s="3">
        <f t="shared" si="17"/>
        <v>0</v>
      </c>
      <c r="R47" s="3">
        <f t="shared" si="18"/>
        <v>-3105221</v>
      </c>
      <c r="S47" s="3">
        <f t="shared" si="19"/>
        <v>60785761</v>
      </c>
      <c r="T47" s="3">
        <f t="shared" si="20"/>
        <v>6162035.7999999998</v>
      </c>
      <c r="U47" s="47">
        <f t="shared" si="9"/>
        <v>72206943.313500002</v>
      </c>
      <c r="V47" s="47">
        <f>'Monthly Data'!G47+'Monthly Data'!H47</f>
        <v>119502.40884377572</v>
      </c>
      <c r="W47" s="47">
        <f t="shared" si="10"/>
        <v>72326445.722343773</v>
      </c>
      <c r="X47" s="47">
        <f t="shared" si="11"/>
        <v>182515.91507740319</v>
      </c>
      <c r="Y47" s="18">
        <f t="shared" si="12"/>
        <v>2.5298859594285656E-3</v>
      </c>
    </row>
    <row r="48" spans="1:25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Data'!F48</f>
        <v>80045137.019556984</v>
      </c>
      <c r="E48" s="3">
        <f>'Monthly Data'!CN48</f>
        <v>563.52499999999998</v>
      </c>
      <c r="F48" s="3">
        <f>'Monthly Data'!CS48</f>
        <v>0</v>
      </c>
      <c r="G48" s="3">
        <f>'Monthly Data'!EM48</f>
        <v>0</v>
      </c>
      <c r="H48" s="3">
        <f>'Monthly Data'!ER48</f>
        <v>0</v>
      </c>
      <c r="I48" s="3">
        <f>'Monthly Data'!EG48</f>
        <v>1</v>
      </c>
      <c r="J48" s="3">
        <f>'Monthly Data'!DQ48</f>
        <v>30</v>
      </c>
      <c r="K48" s="3">
        <f>'Monthly Data'!EH48</f>
        <v>47</v>
      </c>
      <c r="M48" s="3">
        <f t="shared" si="13"/>
        <v>-11000000</v>
      </c>
      <c r="N48" s="3">
        <f t="shared" si="14"/>
        <v>26469253.881499998</v>
      </c>
      <c r="O48" s="3">
        <f t="shared" si="15"/>
        <v>0</v>
      </c>
      <c r="P48" s="3">
        <f t="shared" si="16"/>
        <v>0</v>
      </c>
      <c r="Q48" s="3">
        <f t="shared" si="17"/>
        <v>0</v>
      </c>
      <c r="R48" s="3">
        <f t="shared" si="18"/>
        <v>-3105221</v>
      </c>
      <c r="S48" s="3">
        <f t="shared" si="19"/>
        <v>58824930</v>
      </c>
      <c r="T48" s="3">
        <f t="shared" si="20"/>
        <v>6295993.0999999996</v>
      </c>
      <c r="U48" s="47">
        <f t="shared" si="9"/>
        <v>77484955.9815</v>
      </c>
      <c r="V48" s="47">
        <f>'Monthly Data'!G48+'Monthly Data'!H48</f>
        <v>127371.45921913002</v>
      </c>
      <c r="W48" s="47">
        <f t="shared" si="10"/>
        <v>77612327.440719128</v>
      </c>
      <c r="X48" s="47">
        <f t="shared" si="11"/>
        <v>-2432809.5788378567</v>
      </c>
      <c r="Y48" s="18">
        <f t="shared" si="12"/>
        <v>3.0392971633535486E-2</v>
      </c>
    </row>
    <row r="49" spans="1:25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Data'!F49</f>
        <v>91097634.01558648</v>
      </c>
      <c r="E49" s="3">
        <f>'Monthly Data'!CN49</f>
        <v>646.91666666666663</v>
      </c>
      <c r="F49" s="3">
        <f>'Monthly Data'!CS49</f>
        <v>0</v>
      </c>
      <c r="G49" s="3">
        <f>'Monthly Data'!EM49</f>
        <v>0</v>
      </c>
      <c r="H49" s="3">
        <f>'Monthly Data'!ER49</f>
        <v>0</v>
      </c>
      <c r="I49" s="3">
        <f>'Monthly Data'!EG49</f>
        <v>0</v>
      </c>
      <c r="J49" s="3">
        <f>'Monthly Data'!DQ49</f>
        <v>31</v>
      </c>
      <c r="K49" s="3">
        <f>'Monthly Data'!EH49</f>
        <v>48</v>
      </c>
      <c r="M49" s="3">
        <f t="shared" si="13"/>
        <v>-11000000</v>
      </c>
      <c r="N49" s="3">
        <f t="shared" si="14"/>
        <v>30386232.181666665</v>
      </c>
      <c r="O49" s="3">
        <f t="shared" si="15"/>
        <v>0</v>
      </c>
      <c r="P49" s="3">
        <f t="shared" si="16"/>
        <v>0</v>
      </c>
      <c r="Q49" s="3">
        <f t="shared" si="17"/>
        <v>0</v>
      </c>
      <c r="R49" s="3">
        <f t="shared" si="18"/>
        <v>0</v>
      </c>
      <c r="S49" s="3">
        <f t="shared" si="19"/>
        <v>60785761</v>
      </c>
      <c r="T49" s="3">
        <f t="shared" si="20"/>
        <v>6429950.3999999994</v>
      </c>
      <c r="U49" s="47">
        <f t="shared" si="9"/>
        <v>86601943.581666678</v>
      </c>
      <c r="V49" s="47">
        <f>'Monthly Data'!G49+'Monthly Data'!H49</f>
        <v>135240.50959448429</v>
      </c>
      <c r="W49" s="47">
        <f t="shared" si="10"/>
        <v>86737184.091261163</v>
      </c>
      <c r="X49" s="47">
        <f t="shared" si="11"/>
        <v>-4360449.9243253171</v>
      </c>
      <c r="Y49" s="18">
        <f t="shared" si="12"/>
        <v>4.7865676989802611E-2</v>
      </c>
    </row>
    <row r="50" spans="1:25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Data'!F50</f>
        <v>97582725.053261355</v>
      </c>
      <c r="E50" s="3">
        <f>'Monthly Data'!CN50</f>
        <v>841.93333333333351</v>
      </c>
      <c r="F50" s="3">
        <f>'Monthly Data'!CS50</f>
        <v>0</v>
      </c>
      <c r="G50" s="3">
        <f>'Monthly Data'!EM50</f>
        <v>0</v>
      </c>
      <c r="H50" s="3">
        <f>'Monthly Data'!ER50</f>
        <v>0</v>
      </c>
      <c r="I50" s="3">
        <f>'Monthly Data'!EG50</f>
        <v>0</v>
      </c>
      <c r="J50" s="3">
        <f>'Monthly Data'!DQ50</f>
        <v>31</v>
      </c>
      <c r="K50" s="3">
        <f>'Monthly Data'!EH50</f>
        <v>49</v>
      </c>
      <c r="M50" s="3">
        <f t="shared" si="13"/>
        <v>-11000000</v>
      </c>
      <c r="N50" s="3">
        <f t="shared" si="14"/>
        <v>39546332.729333341</v>
      </c>
      <c r="O50" s="3">
        <f t="shared" si="15"/>
        <v>0</v>
      </c>
      <c r="P50" s="3">
        <f t="shared" si="16"/>
        <v>0</v>
      </c>
      <c r="Q50" s="3">
        <f t="shared" si="17"/>
        <v>0</v>
      </c>
      <c r="R50" s="3">
        <f t="shared" si="18"/>
        <v>0</v>
      </c>
      <c r="S50" s="3">
        <f t="shared" si="19"/>
        <v>60785761</v>
      </c>
      <c r="T50" s="3">
        <f t="shared" si="20"/>
        <v>6563907.6999999993</v>
      </c>
      <c r="U50" s="47">
        <f t="shared" si="9"/>
        <v>95896001.429333344</v>
      </c>
      <c r="V50" s="47">
        <f ca="1">'Monthly Data'!G50+'Monthly Data'!H50</f>
        <v>294045.18416591722</v>
      </c>
      <c r="W50" s="47">
        <f t="shared" ca="1" si="10"/>
        <v>96190046.613499254</v>
      </c>
      <c r="X50" s="47">
        <f t="shared" ca="1" si="11"/>
        <v>-1392678.4397621006</v>
      </c>
      <c r="Y50" s="18">
        <f t="shared" ca="1" si="12"/>
        <v>1.4271772375714725E-2</v>
      </c>
    </row>
    <row r="51" spans="1:25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Data'!F51</f>
        <v>84965543.467803493</v>
      </c>
      <c r="E51" s="3">
        <f>'Monthly Data'!CN51</f>
        <v>695.30416666666645</v>
      </c>
      <c r="F51" s="3">
        <f>'Monthly Data'!CS51</f>
        <v>0</v>
      </c>
      <c r="G51" s="3">
        <f>'Monthly Data'!EM51</f>
        <v>0</v>
      </c>
      <c r="H51" s="3">
        <f>'Monthly Data'!ER51</f>
        <v>0</v>
      </c>
      <c r="I51" s="3">
        <f>'Monthly Data'!EG51</f>
        <v>0</v>
      </c>
      <c r="J51" s="3">
        <f>'Monthly Data'!DQ51</f>
        <v>28</v>
      </c>
      <c r="K51" s="3">
        <f>'Monthly Data'!EH51</f>
        <v>50</v>
      </c>
      <c r="M51" s="3">
        <f t="shared" si="13"/>
        <v>-11000000</v>
      </c>
      <c r="N51" s="3">
        <f t="shared" si="14"/>
        <v>32659034.669916656</v>
      </c>
      <c r="O51" s="3">
        <f t="shared" si="15"/>
        <v>0</v>
      </c>
      <c r="P51" s="3">
        <f t="shared" si="16"/>
        <v>0</v>
      </c>
      <c r="Q51" s="3">
        <f t="shared" si="17"/>
        <v>0</v>
      </c>
      <c r="R51" s="3">
        <f t="shared" si="18"/>
        <v>0</v>
      </c>
      <c r="S51" s="3">
        <f t="shared" si="19"/>
        <v>54903268</v>
      </c>
      <c r="T51" s="3">
        <f t="shared" si="20"/>
        <v>6697864.9999999991</v>
      </c>
      <c r="U51" s="47">
        <f t="shared" si="9"/>
        <v>83260167.66991666</v>
      </c>
      <c r="V51" s="47">
        <f ca="1">'Monthly Data'!G51+'Monthly Data'!H51</f>
        <v>271702.42871505627</v>
      </c>
      <c r="W51" s="47">
        <f t="shared" ca="1" si="10"/>
        <v>83531870.09863171</v>
      </c>
      <c r="X51" s="47">
        <f t="shared" ca="1" si="11"/>
        <v>-1433673.3691717833</v>
      </c>
      <c r="Y51" s="18">
        <f t="shared" ca="1" si="12"/>
        <v>1.6873585581372218E-2</v>
      </c>
    </row>
    <row r="52" spans="1:25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Data'!F52</f>
        <v>85994852.180544943</v>
      </c>
      <c r="E52" s="3">
        <f>'Monthly Data'!CN52</f>
        <v>673.45833333333326</v>
      </c>
      <c r="F52" s="3">
        <f>'Monthly Data'!CS52</f>
        <v>0</v>
      </c>
      <c r="G52" s="3">
        <f>'Monthly Data'!EM52</f>
        <v>0</v>
      </c>
      <c r="H52" s="3">
        <f>'Monthly Data'!ER52</f>
        <v>0</v>
      </c>
      <c r="I52" s="3">
        <f>'Monthly Data'!EG52</f>
        <v>1</v>
      </c>
      <c r="J52" s="3">
        <f>'Monthly Data'!DQ52</f>
        <v>31</v>
      </c>
      <c r="K52" s="3">
        <f>'Monthly Data'!EH52</f>
        <v>51</v>
      </c>
      <c r="M52" s="3">
        <f t="shared" si="13"/>
        <v>-11000000</v>
      </c>
      <c r="N52" s="3">
        <f t="shared" si="14"/>
        <v>31632917.090833329</v>
      </c>
      <c r="O52" s="3">
        <f t="shared" si="15"/>
        <v>0</v>
      </c>
      <c r="P52" s="3">
        <f t="shared" si="16"/>
        <v>0</v>
      </c>
      <c r="Q52" s="3">
        <f t="shared" si="17"/>
        <v>0</v>
      </c>
      <c r="R52" s="3">
        <f t="shared" si="18"/>
        <v>-3105221</v>
      </c>
      <c r="S52" s="3">
        <f t="shared" si="19"/>
        <v>60785761</v>
      </c>
      <c r="T52" s="3">
        <f t="shared" si="20"/>
        <v>6831822.2999999998</v>
      </c>
      <c r="U52" s="47">
        <f t="shared" si="9"/>
        <v>85145279.390833333</v>
      </c>
      <c r="V52" s="47">
        <f ca="1">'Monthly Data'!G52+'Monthly Data'!H52</f>
        <v>270588.9903949505</v>
      </c>
      <c r="W52" s="47">
        <f t="shared" ca="1" si="10"/>
        <v>85415868.381228283</v>
      </c>
      <c r="X52" s="47">
        <f t="shared" ca="1" si="11"/>
        <v>-578983.79931665957</v>
      </c>
      <c r="Y52" s="18">
        <f t="shared" ca="1" si="12"/>
        <v>6.7327727722711998E-3</v>
      </c>
    </row>
    <row r="53" spans="1:25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Data'!F53</f>
        <v>72269957.038458869</v>
      </c>
      <c r="E53" s="3">
        <f>'Monthly Data'!CN53</f>
        <v>426.6541666666667</v>
      </c>
      <c r="F53" s="3">
        <f>'Monthly Data'!CS53</f>
        <v>0</v>
      </c>
      <c r="G53" s="3">
        <f>'Monthly Data'!EM53</f>
        <v>0</v>
      </c>
      <c r="H53" s="3">
        <f>'Monthly Data'!ER53</f>
        <v>0</v>
      </c>
      <c r="I53" s="3">
        <f>'Monthly Data'!EG53</f>
        <v>1</v>
      </c>
      <c r="J53" s="3">
        <f>'Monthly Data'!DQ53</f>
        <v>30</v>
      </c>
      <c r="K53" s="3">
        <f>'Monthly Data'!EH53</f>
        <v>52</v>
      </c>
      <c r="M53" s="3">
        <f t="shared" si="13"/>
        <v>-11000000</v>
      </c>
      <c r="N53" s="3">
        <f t="shared" si="14"/>
        <v>20040313.13091667</v>
      </c>
      <c r="O53" s="3">
        <f t="shared" si="15"/>
        <v>0</v>
      </c>
      <c r="P53" s="3">
        <f t="shared" si="16"/>
        <v>0</v>
      </c>
      <c r="Q53" s="3">
        <f t="shared" si="17"/>
        <v>0</v>
      </c>
      <c r="R53" s="3">
        <f t="shared" si="18"/>
        <v>-3105221</v>
      </c>
      <c r="S53" s="3">
        <f t="shared" si="19"/>
        <v>58824930</v>
      </c>
      <c r="T53" s="3">
        <f t="shared" si="20"/>
        <v>6965779.5999999996</v>
      </c>
      <c r="U53" s="47">
        <f t="shared" si="9"/>
        <v>71725801.730916664</v>
      </c>
      <c r="V53" s="47">
        <f ca="1">'Monthly Data'!G53+'Monthly Data'!H53</f>
        <v>228637.27281526092</v>
      </c>
      <c r="W53" s="47">
        <f t="shared" ca="1" si="10"/>
        <v>71954439.003731921</v>
      </c>
      <c r="X53" s="47">
        <f t="shared" ca="1" si="11"/>
        <v>-315518.03472694755</v>
      </c>
      <c r="Y53" s="18">
        <f t="shared" ca="1" si="12"/>
        <v>4.3658256854787227E-3</v>
      </c>
    </row>
    <row r="54" spans="1:25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Data'!F54</f>
        <v>67222007.218181014</v>
      </c>
      <c r="E54" s="3">
        <f>'Monthly Data'!CN54</f>
        <v>267.53464912280702</v>
      </c>
      <c r="F54" s="3">
        <f>'Monthly Data'!CS54</f>
        <v>2.4041666666666686</v>
      </c>
      <c r="G54" s="3">
        <f>'Monthly Data'!EM54</f>
        <v>0</v>
      </c>
      <c r="H54" s="3">
        <f>'Monthly Data'!ER54</f>
        <v>0</v>
      </c>
      <c r="I54" s="3">
        <f>'Monthly Data'!EG54</f>
        <v>1</v>
      </c>
      <c r="J54" s="3">
        <f>'Monthly Data'!DQ54</f>
        <v>31</v>
      </c>
      <c r="K54" s="3">
        <f>'Monthly Data'!EH54</f>
        <v>53</v>
      </c>
      <c r="M54" s="3">
        <f t="shared" si="13"/>
        <v>-11000000</v>
      </c>
      <c r="N54" s="3">
        <f t="shared" si="14"/>
        <v>12566332.549096491</v>
      </c>
      <c r="O54" s="3">
        <f t="shared" si="15"/>
        <v>661933.43833333382</v>
      </c>
      <c r="P54" s="3">
        <f t="shared" si="16"/>
        <v>0</v>
      </c>
      <c r="Q54" s="3">
        <f t="shared" si="17"/>
        <v>0</v>
      </c>
      <c r="R54" s="3">
        <f t="shared" si="18"/>
        <v>-3105221</v>
      </c>
      <c r="S54" s="3">
        <f t="shared" si="19"/>
        <v>60785761</v>
      </c>
      <c r="T54" s="3">
        <f t="shared" si="20"/>
        <v>7099736.8999999994</v>
      </c>
      <c r="U54" s="47">
        <f t="shared" si="9"/>
        <v>67008542.887429826</v>
      </c>
      <c r="V54" s="47">
        <f ca="1">'Monthly Data'!G54+'Monthly Data'!H54</f>
        <v>202437.59858007287</v>
      </c>
      <c r="W54" s="47">
        <f t="shared" ca="1" si="10"/>
        <v>67210980.486009896</v>
      </c>
      <c r="X54" s="47">
        <f t="shared" ca="1" si="11"/>
        <v>-11026.732171118259</v>
      </c>
      <c r="Y54" s="18">
        <f t="shared" ca="1" si="12"/>
        <v>1.6403455694693903E-4</v>
      </c>
    </row>
    <row r="55" spans="1:25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Data'!F55</f>
        <v>74433839.523464859</v>
      </c>
      <c r="E55" s="3">
        <f>'Monthly Data'!CN55</f>
        <v>80.695833333333368</v>
      </c>
      <c r="F55" s="3">
        <f>'Monthly Data'!CS55</f>
        <v>71.666666666666629</v>
      </c>
      <c r="G55" s="3">
        <f>'Monthly Data'!EM55</f>
        <v>0</v>
      </c>
      <c r="H55" s="3">
        <f>'Monthly Data'!ER55</f>
        <v>0</v>
      </c>
      <c r="I55" s="3">
        <f>'Monthly Data'!EG55</f>
        <v>0</v>
      </c>
      <c r="J55" s="3">
        <f>'Monthly Data'!DQ55</f>
        <v>30</v>
      </c>
      <c r="K55" s="3">
        <f>'Monthly Data'!EH55</f>
        <v>54</v>
      </c>
      <c r="M55" s="3">
        <f t="shared" si="13"/>
        <v>-11000000</v>
      </c>
      <c r="N55" s="3">
        <f t="shared" si="14"/>
        <v>3790352.6900833352</v>
      </c>
      <c r="O55" s="3">
        <f t="shared" si="15"/>
        <v>19731811.333333321</v>
      </c>
      <c r="P55" s="3">
        <f t="shared" si="16"/>
        <v>0</v>
      </c>
      <c r="Q55" s="3">
        <f t="shared" si="17"/>
        <v>0</v>
      </c>
      <c r="R55" s="3">
        <f t="shared" si="18"/>
        <v>0</v>
      </c>
      <c r="S55" s="3">
        <f t="shared" si="19"/>
        <v>58824930</v>
      </c>
      <c r="T55" s="3">
        <f t="shared" si="20"/>
        <v>7233694.1999999993</v>
      </c>
      <c r="U55" s="47">
        <f t="shared" ref="U55:U109" si="21">SUM(M55:T55)</f>
        <v>78580788.223416656</v>
      </c>
      <c r="V55" s="47">
        <f ca="1">'Monthly Data'!G55+'Monthly Data'!H55</f>
        <v>176558.99025421846</v>
      </c>
      <c r="W55" s="47">
        <f t="shared" ref="W55:W118" ca="1" si="22">U55+V55</f>
        <v>78757347.21367088</v>
      </c>
      <c r="X55" s="47">
        <f t="shared" ref="X55:X117" ca="1" si="23">W55-D55</f>
        <v>4323507.6902060211</v>
      </c>
      <c r="Y55" s="18">
        <f t="shared" ref="Y55:Y109" ca="1" si="24">ABS(X55/D55)</f>
        <v>5.8085243457621977E-2</v>
      </c>
    </row>
    <row r="56" spans="1:25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Data'!F56</f>
        <v>112131169.99675699</v>
      </c>
      <c r="E56" s="3">
        <f>'Monthly Data'!CN56</f>
        <v>0.97500000000000497</v>
      </c>
      <c r="F56" s="3">
        <f>'Monthly Data'!CS56</f>
        <v>197.60000000000005</v>
      </c>
      <c r="G56" s="3">
        <f>'Monthly Data'!EM56</f>
        <v>0</v>
      </c>
      <c r="H56" s="3">
        <f>'Monthly Data'!ER56</f>
        <v>0</v>
      </c>
      <c r="I56" s="3">
        <f>'Monthly Data'!EG56</f>
        <v>0</v>
      </c>
      <c r="J56" s="3">
        <f>'Monthly Data'!DQ56</f>
        <v>31</v>
      </c>
      <c r="K56" s="3">
        <f>'Monthly Data'!EH56</f>
        <v>55</v>
      </c>
      <c r="M56" s="3">
        <f t="shared" si="13"/>
        <v>-11000000</v>
      </c>
      <c r="N56" s="3">
        <f t="shared" si="14"/>
        <v>45796.588500000231</v>
      </c>
      <c r="O56" s="3">
        <f t="shared" si="15"/>
        <v>54404733.760000013</v>
      </c>
      <c r="P56" s="3">
        <f t="shared" si="16"/>
        <v>0</v>
      </c>
      <c r="Q56" s="3">
        <f t="shared" si="17"/>
        <v>0</v>
      </c>
      <c r="R56" s="3">
        <f t="shared" si="18"/>
        <v>0</v>
      </c>
      <c r="S56" s="3">
        <f t="shared" si="19"/>
        <v>60785761</v>
      </c>
      <c r="T56" s="3">
        <f t="shared" si="20"/>
        <v>7367651.4999999991</v>
      </c>
      <c r="U56" s="47">
        <f t="shared" si="21"/>
        <v>111603942.84850001</v>
      </c>
      <c r="V56" s="47">
        <f ca="1">'Monthly Data'!G56+'Monthly Data'!H56</f>
        <v>172005.63081192068</v>
      </c>
      <c r="W56" s="47">
        <f t="shared" ca="1" si="22"/>
        <v>111775948.47931193</v>
      </c>
      <c r="X56" s="47">
        <f t="shared" ca="1" si="23"/>
        <v>-355221.51744505763</v>
      </c>
      <c r="Y56" s="18">
        <f t="shared" ca="1" si="24"/>
        <v>3.1679105591721837E-3</v>
      </c>
    </row>
    <row r="57" spans="1:25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Data'!F57</f>
        <v>94355862.047129244</v>
      </c>
      <c r="E57" s="3">
        <f>'Monthly Data'!CN57</f>
        <v>19.091666666666661</v>
      </c>
      <c r="F57" s="3">
        <f>'Monthly Data'!CS57</f>
        <v>128.07083333333338</v>
      </c>
      <c r="G57" s="3">
        <f>'Monthly Data'!EM57</f>
        <v>0</v>
      </c>
      <c r="H57" s="3">
        <f>'Monthly Data'!ER57</f>
        <v>0</v>
      </c>
      <c r="I57" s="3">
        <f>'Monthly Data'!EG57</f>
        <v>0</v>
      </c>
      <c r="J57" s="3">
        <f>'Monthly Data'!DQ57</f>
        <v>31</v>
      </c>
      <c r="K57" s="3">
        <f>'Monthly Data'!EH57</f>
        <v>56</v>
      </c>
      <c r="M57" s="3">
        <f t="shared" si="13"/>
        <v>-11000000</v>
      </c>
      <c r="N57" s="3">
        <f t="shared" si="14"/>
        <v>896752.00216666644</v>
      </c>
      <c r="O57" s="3">
        <f t="shared" si="15"/>
        <v>35261435.171666674</v>
      </c>
      <c r="P57" s="3">
        <f t="shared" si="16"/>
        <v>0</v>
      </c>
      <c r="Q57" s="3">
        <f t="shared" si="17"/>
        <v>0</v>
      </c>
      <c r="R57" s="3">
        <f t="shared" si="18"/>
        <v>0</v>
      </c>
      <c r="S57" s="3">
        <f t="shared" si="19"/>
        <v>60785761</v>
      </c>
      <c r="T57" s="3">
        <f t="shared" si="20"/>
        <v>7501608.7999999989</v>
      </c>
      <c r="U57" s="47">
        <f t="shared" si="21"/>
        <v>93445556.973833337</v>
      </c>
      <c r="V57" s="47">
        <f ca="1">'Monthly Data'!G57+'Monthly Data'!H57</f>
        <v>177008.13068398373</v>
      </c>
      <c r="W57" s="47">
        <f t="shared" ca="1" si="22"/>
        <v>93622565.104517326</v>
      </c>
      <c r="X57" s="47">
        <f t="shared" ca="1" si="23"/>
        <v>-733296.94261191785</v>
      </c>
      <c r="Y57" s="18">
        <f t="shared" ca="1" si="24"/>
        <v>7.7716098046526011E-3</v>
      </c>
    </row>
    <row r="58" spans="1:25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Data'!F58</f>
        <v>70117922.694170371</v>
      </c>
      <c r="E58" s="3">
        <f>'Monthly Data'!CN58</f>
        <v>113.56666666666666</v>
      </c>
      <c r="F58" s="3">
        <f>'Monthly Data'!CS58</f>
        <v>32.520833333333329</v>
      </c>
      <c r="G58" s="3">
        <f>'Monthly Data'!EM58</f>
        <v>0</v>
      </c>
      <c r="H58" s="3">
        <f>'Monthly Data'!ER58</f>
        <v>0</v>
      </c>
      <c r="I58" s="3">
        <f>'Monthly Data'!EG58</f>
        <v>1</v>
      </c>
      <c r="J58" s="3">
        <f>'Monthly Data'!DQ58</f>
        <v>30</v>
      </c>
      <c r="K58" s="3">
        <f>'Monthly Data'!EH58</f>
        <v>57</v>
      </c>
      <c r="M58" s="3">
        <f t="shared" si="13"/>
        <v>-11000000</v>
      </c>
      <c r="N58" s="3">
        <f t="shared" si="14"/>
        <v>5334324.0006666668</v>
      </c>
      <c r="O58" s="3">
        <f t="shared" si="15"/>
        <v>8953882.9916666653</v>
      </c>
      <c r="P58" s="3">
        <f t="shared" si="16"/>
        <v>0</v>
      </c>
      <c r="Q58" s="3">
        <f t="shared" si="17"/>
        <v>0</v>
      </c>
      <c r="R58" s="3">
        <f t="shared" si="18"/>
        <v>-3105221</v>
      </c>
      <c r="S58" s="3">
        <f t="shared" si="19"/>
        <v>58824930</v>
      </c>
      <c r="T58" s="3">
        <f t="shared" si="20"/>
        <v>7635566.0999999996</v>
      </c>
      <c r="U58" s="47">
        <f t="shared" si="21"/>
        <v>66643482.092333332</v>
      </c>
      <c r="V58" s="47">
        <f ca="1">'Monthly Data'!G58+'Monthly Data'!H58</f>
        <v>191942.16753058316</v>
      </c>
      <c r="W58" s="47">
        <f t="shared" ca="1" si="22"/>
        <v>66835424.259863913</v>
      </c>
      <c r="X58" s="47">
        <f t="shared" ca="1" si="23"/>
        <v>-3282498.4343064576</v>
      </c>
      <c r="Y58" s="18">
        <f t="shared" ca="1" si="24"/>
        <v>4.6813971495184722E-2</v>
      </c>
    </row>
    <row r="59" spans="1:25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Data'!F59</f>
        <v>69000383.471293017</v>
      </c>
      <c r="E59" s="3">
        <f>'Monthly Data'!CN59</f>
        <v>303.96666666666664</v>
      </c>
      <c r="F59" s="3">
        <f>'Monthly Data'!CS59</f>
        <v>3.8125000000000036</v>
      </c>
      <c r="G59" s="3">
        <f>'Monthly Data'!EM59</f>
        <v>0</v>
      </c>
      <c r="H59" s="3">
        <f>'Monthly Data'!ER59</f>
        <v>0</v>
      </c>
      <c r="I59" s="3">
        <f>'Monthly Data'!EG59</f>
        <v>1</v>
      </c>
      <c r="J59" s="3">
        <f>'Monthly Data'!DQ59</f>
        <v>31</v>
      </c>
      <c r="K59" s="3">
        <f>'Monthly Data'!EH59</f>
        <v>58</v>
      </c>
      <c r="M59" s="3">
        <f t="shared" si="13"/>
        <v>-11000000</v>
      </c>
      <c r="N59" s="3">
        <f t="shared" si="14"/>
        <v>14277575.744666666</v>
      </c>
      <c r="O59" s="3">
        <f t="shared" si="15"/>
        <v>1049686.4750000008</v>
      </c>
      <c r="P59" s="3">
        <f t="shared" si="16"/>
        <v>0</v>
      </c>
      <c r="Q59" s="3">
        <f t="shared" si="17"/>
        <v>0</v>
      </c>
      <c r="R59" s="3">
        <f t="shared" si="18"/>
        <v>-3105221</v>
      </c>
      <c r="S59" s="3">
        <f t="shared" si="19"/>
        <v>60785761</v>
      </c>
      <c r="T59" s="3">
        <f t="shared" si="20"/>
        <v>7769523.3999999994</v>
      </c>
      <c r="U59" s="47">
        <f t="shared" si="21"/>
        <v>69777325.619666666</v>
      </c>
      <c r="V59" s="47">
        <f ca="1">'Monthly Data'!G59+'Monthly Data'!H59</f>
        <v>230276.4521203925</v>
      </c>
      <c r="W59" s="47">
        <f t="shared" ca="1" si="22"/>
        <v>70007602.071787059</v>
      </c>
      <c r="X59" s="47">
        <f t="shared" ca="1" si="23"/>
        <v>1007218.600494042</v>
      </c>
      <c r="Y59" s="18">
        <f t="shared" ca="1" si="24"/>
        <v>1.4597289896411752E-2</v>
      </c>
    </row>
    <row r="60" spans="1:25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Data'!F60</f>
        <v>80826223.736635447</v>
      </c>
      <c r="E60" s="3">
        <f>'Monthly Data'!CN60</f>
        <v>589.72500000000002</v>
      </c>
      <c r="F60" s="3">
        <f>'Monthly Data'!CS60</f>
        <v>0</v>
      </c>
      <c r="G60" s="3">
        <f>'Monthly Data'!EM60</f>
        <v>0</v>
      </c>
      <c r="H60" s="3">
        <f>'Monthly Data'!ER60</f>
        <v>0</v>
      </c>
      <c r="I60" s="3">
        <f>'Monthly Data'!EG60</f>
        <v>1</v>
      </c>
      <c r="J60" s="3">
        <f>'Monthly Data'!DQ60</f>
        <v>30</v>
      </c>
      <c r="K60" s="3">
        <f>'Monthly Data'!EH60</f>
        <v>59</v>
      </c>
      <c r="M60" s="3">
        <f t="shared" si="13"/>
        <v>-11000000</v>
      </c>
      <c r="N60" s="3">
        <f t="shared" si="14"/>
        <v>27699890.4135</v>
      </c>
      <c r="O60" s="3">
        <f t="shared" si="15"/>
        <v>0</v>
      </c>
      <c r="P60" s="3">
        <f t="shared" si="16"/>
        <v>0</v>
      </c>
      <c r="Q60" s="3">
        <f t="shared" si="17"/>
        <v>0</v>
      </c>
      <c r="R60" s="3">
        <f t="shared" si="18"/>
        <v>-3105221</v>
      </c>
      <c r="S60" s="3">
        <f t="shared" si="19"/>
        <v>58824930</v>
      </c>
      <c r="T60" s="3">
        <f t="shared" si="20"/>
        <v>7903480.6999999993</v>
      </c>
      <c r="U60" s="47">
        <f t="shared" si="21"/>
        <v>80323080.113499999</v>
      </c>
      <c r="V60" s="47">
        <f ca="1">'Monthly Data'!G60+'Monthly Data'!H60</f>
        <v>288228.32609218702</v>
      </c>
      <c r="W60" s="47">
        <f t="shared" ca="1" si="22"/>
        <v>80611308.439592183</v>
      </c>
      <c r="X60" s="47">
        <f t="shared" ca="1" si="23"/>
        <v>-214915.29704326391</v>
      </c>
      <c r="Y60" s="18">
        <f t="shared" ca="1" si="24"/>
        <v>2.6589798101114429E-3</v>
      </c>
    </row>
    <row r="61" spans="1:25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Data'!F61</f>
        <v>92695458.730908185</v>
      </c>
      <c r="E61" s="3">
        <f>'Monthly Data'!CN61</f>
        <v>676.42916666666656</v>
      </c>
      <c r="F61" s="3">
        <f>'Monthly Data'!CS61</f>
        <v>0</v>
      </c>
      <c r="G61" s="3">
        <f>'Monthly Data'!EM61</f>
        <v>0</v>
      </c>
      <c r="H61" s="3">
        <f>'Monthly Data'!ER61</f>
        <v>0</v>
      </c>
      <c r="I61" s="3">
        <f>'Monthly Data'!EG61</f>
        <v>0</v>
      </c>
      <c r="J61" s="3">
        <f>'Monthly Data'!DQ61</f>
        <v>31</v>
      </c>
      <c r="K61" s="3">
        <f>'Monthly Data'!EH61</f>
        <v>60</v>
      </c>
      <c r="M61" s="3">
        <f t="shared" si="13"/>
        <v>-11000000</v>
      </c>
      <c r="N61" s="3">
        <f t="shared" si="14"/>
        <v>31772459.687416662</v>
      </c>
      <c r="O61" s="3">
        <f t="shared" si="15"/>
        <v>0</v>
      </c>
      <c r="P61" s="3">
        <f t="shared" si="16"/>
        <v>0</v>
      </c>
      <c r="Q61" s="3">
        <f t="shared" si="17"/>
        <v>0</v>
      </c>
      <c r="R61" s="3">
        <f t="shared" si="18"/>
        <v>0</v>
      </c>
      <c r="S61" s="3">
        <f t="shared" si="19"/>
        <v>60785761</v>
      </c>
      <c r="T61" s="3">
        <f t="shared" si="20"/>
        <v>8037437.9999999991</v>
      </c>
      <c r="U61" s="47">
        <f t="shared" si="21"/>
        <v>89595658.687416658</v>
      </c>
      <c r="V61" s="47">
        <f ca="1">'Monthly Data'!G61+'Monthly Data'!H61</f>
        <v>308300.28434131254</v>
      </c>
      <c r="W61" s="47">
        <f t="shared" ca="1" si="22"/>
        <v>89903958.971757963</v>
      </c>
      <c r="X61" s="47">
        <f t="shared" ca="1" si="23"/>
        <v>-2791499.7591502219</v>
      </c>
      <c r="Y61" s="18">
        <f t="shared" ca="1" si="24"/>
        <v>3.0114741297670819E-2</v>
      </c>
    </row>
    <row r="62" spans="1:25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Data'!F62</f>
        <v>90519632.411834493</v>
      </c>
      <c r="E62" s="3">
        <f>'Monthly Data'!CN62</f>
        <v>690.82083333333321</v>
      </c>
      <c r="F62" s="3">
        <f>'Monthly Data'!CS62</f>
        <v>0</v>
      </c>
      <c r="G62" s="3">
        <f>'Monthly Data'!EM62</f>
        <v>0</v>
      </c>
      <c r="H62" s="3">
        <f>'Monthly Data'!ER62</f>
        <v>0</v>
      </c>
      <c r="I62" s="3">
        <f>'Monthly Data'!EG62</f>
        <v>0</v>
      </c>
      <c r="J62" s="3">
        <f>'Monthly Data'!DQ62</f>
        <v>31</v>
      </c>
      <c r="K62" s="3">
        <f>'Monthly Data'!EH62</f>
        <v>61</v>
      </c>
      <c r="M62" s="3">
        <f t="shared" si="13"/>
        <v>-11000000</v>
      </c>
      <c r="N62" s="3">
        <f t="shared" si="14"/>
        <v>32448448.647583328</v>
      </c>
      <c r="O62" s="3">
        <f t="shared" si="15"/>
        <v>0</v>
      </c>
      <c r="P62" s="3">
        <f t="shared" si="16"/>
        <v>0</v>
      </c>
      <c r="Q62" s="3">
        <f t="shared" si="17"/>
        <v>0</v>
      </c>
      <c r="R62" s="3">
        <f t="shared" si="18"/>
        <v>0</v>
      </c>
      <c r="S62" s="3">
        <f t="shared" si="19"/>
        <v>60785761</v>
      </c>
      <c r="T62" s="3">
        <f t="shared" si="20"/>
        <v>8171395.2999999989</v>
      </c>
      <c r="U62" s="47">
        <f t="shared" si="21"/>
        <v>90405604.947583333</v>
      </c>
      <c r="V62" s="47">
        <f ca="1">'Monthly Data'!G62+'Monthly Data'!H62</f>
        <v>704742.79291063629</v>
      </c>
      <c r="W62" s="47">
        <f t="shared" ca="1" si="22"/>
        <v>91110347.740493968</v>
      </c>
      <c r="X62" s="47">
        <f t="shared" ca="1" si="23"/>
        <v>590715.32865947485</v>
      </c>
      <c r="Y62" s="18">
        <f t="shared" ca="1" si="24"/>
        <v>6.5258255355248769E-3</v>
      </c>
    </row>
    <row r="63" spans="1:25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Data'!F63</f>
        <v>84297297.111895412</v>
      </c>
      <c r="E63" s="3">
        <f>'Monthly Data'!CN63</f>
        <v>678.4000000000002</v>
      </c>
      <c r="F63" s="3">
        <f>'Monthly Data'!CS63</f>
        <v>0</v>
      </c>
      <c r="G63" s="3">
        <f>'Monthly Data'!EM63</f>
        <v>0</v>
      </c>
      <c r="H63" s="3">
        <f>'Monthly Data'!ER63</f>
        <v>0</v>
      </c>
      <c r="I63" s="3">
        <f>'Monthly Data'!EG63</f>
        <v>0</v>
      </c>
      <c r="J63" s="3">
        <f>'Monthly Data'!DQ63</f>
        <v>29</v>
      </c>
      <c r="K63" s="3">
        <f>'Monthly Data'!EH63</f>
        <v>62</v>
      </c>
      <c r="M63" s="3">
        <f t="shared" si="13"/>
        <v>-11000000</v>
      </c>
      <c r="N63" s="3">
        <f t="shared" si="14"/>
        <v>31865031.42400001</v>
      </c>
      <c r="O63" s="3">
        <f t="shared" si="15"/>
        <v>0</v>
      </c>
      <c r="P63" s="3">
        <f t="shared" si="16"/>
        <v>0</v>
      </c>
      <c r="Q63" s="3">
        <f t="shared" si="17"/>
        <v>0</v>
      </c>
      <c r="R63" s="3">
        <f t="shared" si="18"/>
        <v>0</v>
      </c>
      <c r="S63" s="3">
        <f t="shared" si="19"/>
        <v>56864099</v>
      </c>
      <c r="T63" s="3">
        <f t="shared" si="20"/>
        <v>8305352.5999999996</v>
      </c>
      <c r="U63" s="47">
        <f t="shared" si="21"/>
        <v>86034483.024000004</v>
      </c>
      <c r="V63" s="47">
        <f ca="1">'Monthly Data'!G63+'Monthly Data'!H63</f>
        <v>702776.38243185193</v>
      </c>
      <c r="W63" s="47">
        <f t="shared" ca="1" si="22"/>
        <v>86737259.406431854</v>
      </c>
      <c r="X63" s="47">
        <f t="shared" ca="1" si="23"/>
        <v>2439962.2945364416</v>
      </c>
      <c r="Y63" s="18">
        <f t="shared" ca="1" si="24"/>
        <v>2.8944727507664442E-2</v>
      </c>
    </row>
    <row r="64" spans="1:25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Data'!F64</f>
        <v>83899422.903006136</v>
      </c>
      <c r="E64" s="3">
        <f>'Monthly Data'!CN64</f>
        <v>543.57083333333344</v>
      </c>
      <c r="F64" s="3">
        <f>'Monthly Data'!CS64</f>
        <v>0</v>
      </c>
      <c r="G64" s="3">
        <f>'Monthly Data'!EM64</f>
        <v>271.78541666666672</v>
      </c>
      <c r="H64" s="3">
        <f>'Monthly Data'!ER64</f>
        <v>0</v>
      </c>
      <c r="I64" s="3">
        <f>'Monthly Data'!EG64</f>
        <v>1</v>
      </c>
      <c r="J64" s="3">
        <f>'Monthly Data'!DQ64</f>
        <v>31</v>
      </c>
      <c r="K64" s="3">
        <f>'Monthly Data'!EH64</f>
        <v>63</v>
      </c>
      <c r="M64" s="3">
        <f t="shared" si="13"/>
        <v>-11000000</v>
      </c>
      <c r="N64" s="3">
        <f t="shared" si="14"/>
        <v>25531989.512583338</v>
      </c>
      <c r="O64" s="3">
        <f t="shared" si="15"/>
        <v>0</v>
      </c>
      <c r="P64" s="3">
        <f t="shared" si="16"/>
        <v>2249516.5263062501</v>
      </c>
      <c r="Q64" s="3">
        <f t="shared" si="17"/>
        <v>0</v>
      </c>
      <c r="R64" s="3">
        <f t="shared" si="18"/>
        <v>-3105221</v>
      </c>
      <c r="S64" s="3">
        <f t="shared" si="19"/>
        <v>60785761</v>
      </c>
      <c r="T64" s="3">
        <f t="shared" si="20"/>
        <v>8439309.8999999985</v>
      </c>
      <c r="U64" s="47">
        <f t="shared" si="21"/>
        <v>82901355.938889593</v>
      </c>
      <c r="V64" s="47">
        <f ca="1">'Monthly Data'!G64+'Monthly Data'!H64</f>
        <v>596454.20915990823</v>
      </c>
      <c r="W64" s="47">
        <f t="shared" ca="1" si="22"/>
        <v>83497810.148049504</v>
      </c>
      <c r="X64" s="47">
        <f t="shared" ca="1" si="23"/>
        <v>-401612.75495663285</v>
      </c>
      <c r="Y64" s="18">
        <f t="shared" ca="1" si="24"/>
        <v>4.7868357261637729E-3</v>
      </c>
    </row>
    <row r="65" spans="1:25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Data'!F65</f>
        <v>78190166.770940244</v>
      </c>
      <c r="E65" s="3">
        <f>'Monthly Data'!CN65</f>
        <v>439.67500000000013</v>
      </c>
      <c r="F65" s="3">
        <f>'Monthly Data'!CS65</f>
        <v>0</v>
      </c>
      <c r="G65" s="3">
        <f>'Monthly Data'!EM65</f>
        <v>439.67500000000013</v>
      </c>
      <c r="H65" s="3">
        <f>'Monthly Data'!ER65</f>
        <v>0</v>
      </c>
      <c r="I65" s="3">
        <f>'Monthly Data'!EG65</f>
        <v>1</v>
      </c>
      <c r="J65" s="3">
        <f>'Monthly Data'!DQ65</f>
        <v>30</v>
      </c>
      <c r="K65" s="3">
        <f>'Monthly Data'!EH65</f>
        <v>64</v>
      </c>
      <c r="M65" s="3">
        <f t="shared" si="13"/>
        <v>-11000000</v>
      </c>
      <c r="N65" s="3">
        <f t="shared" si="14"/>
        <v>20651912.870500006</v>
      </c>
      <c r="O65" s="3">
        <f t="shared" si="15"/>
        <v>0</v>
      </c>
      <c r="P65" s="3">
        <f t="shared" si="16"/>
        <v>3639106.8764250008</v>
      </c>
      <c r="Q65" s="3">
        <f t="shared" si="17"/>
        <v>0</v>
      </c>
      <c r="R65" s="3">
        <f t="shared" si="18"/>
        <v>-3105221</v>
      </c>
      <c r="S65" s="3">
        <f t="shared" si="19"/>
        <v>58824930</v>
      </c>
      <c r="T65" s="3">
        <f t="shared" si="20"/>
        <v>8573267.1999999993</v>
      </c>
      <c r="U65" s="47">
        <f t="shared" si="21"/>
        <v>77583995.946925014</v>
      </c>
      <c r="V65" s="47">
        <f ca="1">'Monthly Data'!G65+'Monthly Data'!H65</f>
        <v>519686.94295546284</v>
      </c>
      <c r="W65" s="47">
        <f t="shared" ca="1" si="22"/>
        <v>78103682.889880478</v>
      </c>
      <c r="X65" s="47">
        <f t="shared" ca="1" si="23"/>
        <v>-86483.881059765816</v>
      </c>
      <c r="Y65" s="18">
        <f t="shared" ca="1" si="24"/>
        <v>1.1060710653440884E-3</v>
      </c>
    </row>
    <row r="66" spans="1:25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Data'!F66</f>
        <v>80490357.670741558</v>
      </c>
      <c r="E66" s="3">
        <f>'Monthly Data'!CN66</f>
        <v>265.14107142857148</v>
      </c>
      <c r="F66" s="3">
        <f>'Monthly Data'!CS66</f>
        <v>31.450595238095232</v>
      </c>
      <c r="G66" s="3">
        <f>'Monthly Data'!EM66</f>
        <v>265.14107142857148</v>
      </c>
      <c r="H66" s="3">
        <f>'Monthly Data'!ER66</f>
        <v>31.450595238095232</v>
      </c>
      <c r="I66" s="3">
        <f>'Monthly Data'!EG66</f>
        <v>1</v>
      </c>
      <c r="J66" s="3">
        <f>'Monthly Data'!DQ66</f>
        <v>31</v>
      </c>
      <c r="K66" s="3">
        <f>'Monthly Data'!EH66</f>
        <v>65</v>
      </c>
      <c r="M66" s="3">
        <f t="shared" ref="M66:M97" si="25">$AC$8</f>
        <v>-11000000</v>
      </c>
      <c r="N66" s="3">
        <f t="shared" ref="N66:N97" si="26">E66*$AC$9</f>
        <v>12453904.146321431</v>
      </c>
      <c r="O66" s="3">
        <f t="shared" ref="O66:O97" si="27">F66*$AC$10</f>
        <v>8659216.9054761883</v>
      </c>
      <c r="P66" s="3">
        <f t="shared" ref="P66:P97" si="28">G66*$AC$11</f>
        <v>2194522.5365517861</v>
      </c>
      <c r="Q66" s="3">
        <f t="shared" ref="Q66:Q97" si="29">H66*$AC$12</f>
        <v>1294066.820678571</v>
      </c>
      <c r="R66" s="3">
        <f t="shared" ref="R66:R97" si="30">I66*$AC$13</f>
        <v>-3105221</v>
      </c>
      <c r="S66" s="3">
        <f t="shared" ref="S66:S97" si="31">J66*$AC$14</f>
        <v>60785761</v>
      </c>
      <c r="T66" s="3">
        <f t="shared" ref="T66:T97" si="32">K66*$AC$15</f>
        <v>8707224.5</v>
      </c>
      <c r="U66" s="47">
        <f t="shared" si="21"/>
        <v>79989474.909027979</v>
      </c>
      <c r="V66" s="47">
        <f ca="1">'Monthly Data'!G66+'Monthly Data'!H66</f>
        <v>390871.35528743092</v>
      </c>
      <c r="W66" s="47">
        <f t="shared" ca="1" si="22"/>
        <v>80380346.264315411</v>
      </c>
      <c r="X66" s="47">
        <f t="shared" ca="1" si="23"/>
        <v>-110011.40642614663</v>
      </c>
      <c r="Y66" s="18">
        <f t="shared" ca="1" si="24"/>
        <v>1.3667650338462347E-3</v>
      </c>
    </row>
    <row r="67" spans="1:25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Data'!F67</f>
        <v>95507381.583931163</v>
      </c>
      <c r="E67" s="3">
        <f>'Monthly Data'!CN67</f>
        <v>53.275000000000006</v>
      </c>
      <c r="F67" s="3">
        <f>'Monthly Data'!CS67</f>
        <v>115.68206521739128</v>
      </c>
      <c r="G67" s="3">
        <f>'Monthly Data'!EM67</f>
        <v>26.637500000000003</v>
      </c>
      <c r="H67" s="3">
        <f>'Monthly Data'!ER67</f>
        <v>57.841032608695642</v>
      </c>
      <c r="I67" s="3">
        <f>'Monthly Data'!EG67</f>
        <v>0</v>
      </c>
      <c r="J67" s="3">
        <f>'Monthly Data'!DQ67</f>
        <v>30</v>
      </c>
      <c r="K67" s="3">
        <f>'Monthly Data'!EH67</f>
        <v>66</v>
      </c>
      <c r="M67" s="3">
        <f t="shared" si="25"/>
        <v>-11000000</v>
      </c>
      <c r="N67" s="3">
        <f t="shared" si="26"/>
        <v>2502372.5665000002</v>
      </c>
      <c r="O67" s="3">
        <f t="shared" si="27"/>
        <v>31850465.379347816</v>
      </c>
      <c r="P67" s="3">
        <f t="shared" si="28"/>
        <v>220473.55301250002</v>
      </c>
      <c r="Q67" s="3">
        <f t="shared" si="29"/>
        <v>2379928.2845380427</v>
      </c>
      <c r="R67" s="3">
        <f t="shared" si="30"/>
        <v>0</v>
      </c>
      <c r="S67" s="3">
        <f t="shared" si="31"/>
        <v>58824930</v>
      </c>
      <c r="T67" s="3">
        <f t="shared" si="32"/>
        <v>8841181.7999999989</v>
      </c>
      <c r="U67" s="47">
        <f t="shared" si="21"/>
        <v>93619351.583398357</v>
      </c>
      <c r="V67" s="47">
        <f ca="1">'Monthly Data'!G67+'Monthly Data'!H67</f>
        <v>249199.80220952642</v>
      </c>
      <c r="W67" s="47">
        <f t="shared" ca="1" si="22"/>
        <v>93868551.385607883</v>
      </c>
      <c r="X67" s="47">
        <f t="shared" ca="1" si="23"/>
        <v>-1638830.1983232796</v>
      </c>
      <c r="Y67" s="18">
        <f t="shared" ca="1" si="24"/>
        <v>1.71591993324944E-2</v>
      </c>
    </row>
    <row r="68" spans="1:25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Data'!F68</f>
        <v>132537474.22698428</v>
      </c>
      <c r="E68" s="3">
        <f>'Monthly Data'!CN68</f>
        <v>0</v>
      </c>
      <c r="F68" s="3">
        <f>'Monthly Data'!CS68</f>
        <v>246.88749999999999</v>
      </c>
      <c r="G68" s="3">
        <f>'Monthly Data'!EM68</f>
        <v>0</v>
      </c>
      <c r="H68" s="3">
        <f>'Monthly Data'!ER68</f>
        <v>123.44374999999999</v>
      </c>
      <c r="I68" s="3">
        <f>'Monthly Data'!EG68</f>
        <v>0</v>
      </c>
      <c r="J68" s="3">
        <f>'Monthly Data'!DQ68</f>
        <v>31</v>
      </c>
      <c r="K68" s="3">
        <f>'Monthly Data'!EH68</f>
        <v>67</v>
      </c>
      <c r="M68" s="3">
        <f t="shared" si="25"/>
        <v>-11000000</v>
      </c>
      <c r="N68" s="3">
        <f t="shared" si="26"/>
        <v>0</v>
      </c>
      <c r="O68" s="3">
        <f t="shared" si="27"/>
        <v>67974942.844999984</v>
      </c>
      <c r="P68" s="3">
        <f t="shared" si="28"/>
        <v>0</v>
      </c>
      <c r="Q68" s="3">
        <f t="shared" si="29"/>
        <v>5079219.0063749989</v>
      </c>
      <c r="R68" s="3">
        <f t="shared" si="30"/>
        <v>0</v>
      </c>
      <c r="S68" s="3">
        <f t="shared" si="31"/>
        <v>60785761</v>
      </c>
      <c r="T68" s="3">
        <f t="shared" si="32"/>
        <v>8975139.0999999996</v>
      </c>
      <c r="U68" s="47">
        <f t="shared" si="21"/>
        <v>131815061.95137498</v>
      </c>
      <c r="V68" s="47">
        <f ca="1">'Monthly Data'!G68+'Monthly Data'!H68</f>
        <v>230178.6365806681</v>
      </c>
      <c r="W68" s="47">
        <f t="shared" ca="1" si="22"/>
        <v>132045240.58795564</v>
      </c>
      <c r="X68" s="47">
        <f t="shared" ca="1" si="23"/>
        <v>-492233.6390286386</v>
      </c>
      <c r="Y68" s="18">
        <f t="shared" ca="1" si="24"/>
        <v>3.7139204734325708E-3</v>
      </c>
    </row>
    <row r="69" spans="1:25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Data'!F69</f>
        <v>109545031.81259611</v>
      </c>
      <c r="E69" s="3">
        <f>'Monthly Data'!CN69</f>
        <v>19.720833333333321</v>
      </c>
      <c r="F69" s="3">
        <f>'Monthly Data'!CS69</f>
        <v>154.93106060606064</v>
      </c>
      <c r="G69" s="3">
        <f>'Monthly Data'!EM69</f>
        <v>9.8604166666666604</v>
      </c>
      <c r="H69" s="3">
        <f>'Monthly Data'!ER69</f>
        <v>77.46553030303032</v>
      </c>
      <c r="I69" s="3">
        <f>'Monthly Data'!EG69</f>
        <v>0</v>
      </c>
      <c r="J69" s="3">
        <f>'Monthly Data'!DQ69</f>
        <v>31</v>
      </c>
      <c r="K69" s="3">
        <f>'Monthly Data'!EH69</f>
        <v>68</v>
      </c>
      <c r="M69" s="3">
        <f t="shared" si="25"/>
        <v>-11000000</v>
      </c>
      <c r="N69" s="3">
        <f t="shared" si="26"/>
        <v>926304.50158333278</v>
      </c>
      <c r="O69" s="3">
        <f t="shared" si="27"/>
        <v>42656797.082121216</v>
      </c>
      <c r="P69" s="3">
        <f t="shared" si="28"/>
        <v>81612.805131249945</v>
      </c>
      <c r="Q69" s="3">
        <f t="shared" si="29"/>
        <v>3187398.2591590914</v>
      </c>
      <c r="R69" s="3">
        <f t="shared" si="30"/>
        <v>0</v>
      </c>
      <c r="S69" s="3">
        <f t="shared" si="31"/>
        <v>60785761</v>
      </c>
      <c r="T69" s="3">
        <f t="shared" si="32"/>
        <v>9109096.3999999985</v>
      </c>
      <c r="U69" s="47">
        <f t="shared" si="21"/>
        <v>105746970.04799488</v>
      </c>
      <c r="V69" s="47">
        <f ca="1">'Monthly Data'!G69+'Monthly Data'!H69</f>
        <v>237741.54970284368</v>
      </c>
      <c r="W69" s="47">
        <f t="shared" ca="1" si="22"/>
        <v>105984711.59769772</v>
      </c>
      <c r="X69" s="47">
        <f t="shared" ca="1" si="23"/>
        <v>-3560320.2148983926</v>
      </c>
      <c r="Y69" s="18">
        <f t="shared" ca="1" si="24"/>
        <v>3.2500973855110117E-2</v>
      </c>
    </row>
    <row r="70" spans="1:25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Data'!F70</f>
        <v>75602999.461888224</v>
      </c>
      <c r="E70" s="3">
        <f>'Monthly Data'!CN70</f>
        <v>132.75869565217394</v>
      </c>
      <c r="F70" s="3">
        <f>'Monthly Data'!CS70</f>
        <v>37.879166666666663</v>
      </c>
      <c r="G70" s="3">
        <f>'Monthly Data'!EM70</f>
        <v>66.37934782608697</v>
      </c>
      <c r="H70" s="3">
        <f>'Monthly Data'!ER70</f>
        <v>18.939583333333331</v>
      </c>
      <c r="I70" s="3">
        <f>'Monthly Data'!EG70</f>
        <v>1</v>
      </c>
      <c r="J70" s="3">
        <f>'Monthly Data'!DQ70</f>
        <v>30</v>
      </c>
      <c r="K70" s="3">
        <f>'Monthly Data'!EH70</f>
        <v>69</v>
      </c>
      <c r="M70" s="3">
        <f t="shared" si="25"/>
        <v>-11000000</v>
      </c>
      <c r="N70" s="3">
        <f t="shared" si="26"/>
        <v>6235790.1072608707</v>
      </c>
      <c r="O70" s="3">
        <f t="shared" si="27"/>
        <v>10429180.048333332</v>
      </c>
      <c r="P70" s="3">
        <f t="shared" si="28"/>
        <v>549409.31625978276</v>
      </c>
      <c r="Q70" s="3">
        <f t="shared" si="29"/>
        <v>779288.47462499992</v>
      </c>
      <c r="R70" s="3">
        <f t="shared" si="30"/>
        <v>-3105221</v>
      </c>
      <c r="S70" s="3">
        <f t="shared" si="31"/>
        <v>58824930</v>
      </c>
      <c r="T70" s="3">
        <f t="shared" si="32"/>
        <v>9243053.6999999993</v>
      </c>
      <c r="U70" s="47">
        <f t="shared" si="21"/>
        <v>71956430.646478981</v>
      </c>
      <c r="V70" s="47">
        <f ca="1">'Monthly Data'!G70+'Monthly Data'!H70</f>
        <v>307775.50398122054</v>
      </c>
      <c r="W70" s="47">
        <f t="shared" ca="1" si="22"/>
        <v>72264206.150460199</v>
      </c>
      <c r="X70" s="47">
        <f t="shared" ca="1" si="23"/>
        <v>-3338793.3114280254</v>
      </c>
      <c r="Y70" s="18">
        <f t="shared" ca="1" si="24"/>
        <v>4.4162180537706368E-2</v>
      </c>
    </row>
    <row r="71" spans="1:25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Data'!F71</f>
        <v>74687073.988129541</v>
      </c>
      <c r="E71" s="3">
        <f>'Monthly Data'!CN71</f>
        <v>349.83333333333326</v>
      </c>
      <c r="F71" s="3">
        <f>'Monthly Data'!CS71</f>
        <v>0.22916666666666785</v>
      </c>
      <c r="G71" s="3">
        <f>'Monthly Data'!EM71</f>
        <v>174.91666666666663</v>
      </c>
      <c r="H71" s="3">
        <f>'Monthly Data'!ER71</f>
        <v>0.11458333333333393</v>
      </c>
      <c r="I71" s="3">
        <f>'Monthly Data'!EG71</f>
        <v>1</v>
      </c>
      <c r="J71" s="3">
        <f>'Monthly Data'!DQ71</f>
        <v>31</v>
      </c>
      <c r="K71" s="3">
        <f>'Monthly Data'!EH71</f>
        <v>70</v>
      </c>
      <c r="M71" s="3">
        <f t="shared" si="25"/>
        <v>-11000000</v>
      </c>
      <c r="N71" s="3">
        <f t="shared" si="26"/>
        <v>16431972.52333333</v>
      </c>
      <c r="O71" s="3">
        <f t="shared" si="27"/>
        <v>63095.908333333653</v>
      </c>
      <c r="P71" s="3">
        <f t="shared" si="28"/>
        <v>1447752.1907499996</v>
      </c>
      <c r="Q71" s="3">
        <f t="shared" si="29"/>
        <v>4714.6481250000243</v>
      </c>
      <c r="R71" s="3">
        <f t="shared" si="30"/>
        <v>-3105221</v>
      </c>
      <c r="S71" s="3">
        <f t="shared" si="31"/>
        <v>60785761</v>
      </c>
      <c r="T71" s="3">
        <f t="shared" si="32"/>
        <v>9377011</v>
      </c>
      <c r="U71" s="47">
        <f t="shared" si="21"/>
        <v>74005086.270541668</v>
      </c>
      <c r="V71" s="47">
        <f ca="1">'Monthly Data'!G71+'Monthly Data'!H71</f>
        <v>474825.92835878074</v>
      </c>
      <c r="W71" s="47">
        <f t="shared" ca="1" si="22"/>
        <v>74479912.198900446</v>
      </c>
      <c r="X71" s="47">
        <f t="shared" ca="1" si="23"/>
        <v>-207161.78922909498</v>
      </c>
      <c r="Y71" s="18">
        <f t="shared" ca="1" si="24"/>
        <v>2.7737301539222225E-3</v>
      </c>
    </row>
    <row r="72" spans="1:25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Data'!F72</f>
        <v>78620250.542581946</v>
      </c>
      <c r="E72" s="3">
        <f>'Monthly Data'!CN72</f>
        <v>426.30072463768113</v>
      </c>
      <c r="F72" s="3">
        <f>'Monthly Data'!CS72</f>
        <v>0</v>
      </c>
      <c r="G72" s="3">
        <f>'Monthly Data'!EM72</f>
        <v>213.15036231884056</v>
      </c>
      <c r="H72" s="3">
        <f>'Monthly Data'!ER72</f>
        <v>0</v>
      </c>
      <c r="I72" s="3">
        <f>'Monthly Data'!EG72</f>
        <v>1</v>
      </c>
      <c r="J72" s="3">
        <f>'Monthly Data'!DQ72</f>
        <v>30</v>
      </c>
      <c r="K72" s="3">
        <f>'Monthly Data'!EH72</f>
        <v>71</v>
      </c>
      <c r="M72" s="3">
        <f t="shared" si="25"/>
        <v>-11000000</v>
      </c>
      <c r="N72" s="3">
        <f t="shared" si="26"/>
        <v>20023711.654855072</v>
      </c>
      <c r="O72" s="3">
        <f t="shared" si="27"/>
        <v>0</v>
      </c>
      <c r="P72" s="3">
        <f t="shared" si="28"/>
        <v>1764205.2634945649</v>
      </c>
      <c r="Q72" s="3">
        <f t="shared" si="29"/>
        <v>0</v>
      </c>
      <c r="R72" s="3">
        <f t="shared" si="30"/>
        <v>-3105221</v>
      </c>
      <c r="S72" s="3">
        <f t="shared" si="31"/>
        <v>58824930</v>
      </c>
      <c r="T72" s="3">
        <f t="shared" si="32"/>
        <v>9510968.2999999989</v>
      </c>
      <c r="U72" s="47">
        <f t="shared" si="21"/>
        <v>76018594.218349636</v>
      </c>
      <c r="V72" s="47">
        <f ca="1">'Monthly Data'!G72+'Monthly Data'!H72</f>
        <v>542389.48370382085</v>
      </c>
      <c r="W72" s="47">
        <f t="shared" ca="1" si="22"/>
        <v>76560983.702053457</v>
      </c>
      <c r="X72" s="47">
        <f t="shared" ca="1" si="23"/>
        <v>-2059266.8405284882</v>
      </c>
      <c r="Y72" s="18">
        <f t="shared" ca="1" si="24"/>
        <v>2.6192575402862107E-2</v>
      </c>
    </row>
    <row r="73" spans="1:25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Data'!F73</f>
        <v>96228875.838215366</v>
      </c>
      <c r="E73" s="3">
        <f>'Monthly Data'!CN73</f>
        <v>644.90416666666681</v>
      </c>
      <c r="F73" s="3">
        <f>'Monthly Data'!CS73</f>
        <v>0</v>
      </c>
      <c r="G73" s="3">
        <f>'Monthly Data'!EM73</f>
        <v>322.45208333333341</v>
      </c>
      <c r="H73" s="3">
        <f>'Monthly Data'!ER73</f>
        <v>0</v>
      </c>
      <c r="I73" s="3">
        <f>'Monthly Data'!EG73</f>
        <v>0</v>
      </c>
      <c r="J73" s="3">
        <f>'Monthly Data'!DQ73</f>
        <v>31</v>
      </c>
      <c r="K73" s="3">
        <f>'Monthly Data'!EH73</f>
        <v>72</v>
      </c>
      <c r="M73" s="3">
        <f t="shared" si="25"/>
        <v>-11000000</v>
      </c>
      <c r="N73" s="3">
        <f t="shared" si="26"/>
        <v>30291703.325916674</v>
      </c>
      <c r="O73" s="3">
        <f t="shared" si="27"/>
        <v>0</v>
      </c>
      <c r="P73" s="3">
        <f t="shared" si="28"/>
        <v>2668874.9503062507</v>
      </c>
      <c r="Q73" s="3">
        <f t="shared" si="29"/>
        <v>0</v>
      </c>
      <c r="R73" s="3">
        <f t="shared" si="30"/>
        <v>0</v>
      </c>
      <c r="S73" s="3">
        <f t="shared" si="31"/>
        <v>60785761</v>
      </c>
      <c r="T73" s="3">
        <f t="shared" si="32"/>
        <v>9644925.5999999996</v>
      </c>
      <c r="U73" s="47">
        <f t="shared" si="21"/>
        <v>92391264.876222923</v>
      </c>
      <c r="V73" s="47">
        <f ca="1">'Monthly Data'!G73+'Monthly Data'!H73</f>
        <v>720492.69992894866</v>
      </c>
      <c r="W73" s="47">
        <f t="shared" ca="1" si="22"/>
        <v>93111757.576151878</v>
      </c>
      <c r="X73" s="47">
        <f t="shared" ca="1" si="23"/>
        <v>-3117118.2620634884</v>
      </c>
      <c r="Y73" s="18">
        <f t="shared" ca="1" si="24"/>
        <v>3.2392753577461908E-2</v>
      </c>
    </row>
    <row r="74" spans="1:25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Data'!F74</f>
        <v>97528980.617651656</v>
      </c>
      <c r="E74" s="3">
        <f>'Monthly Data'!CN74</f>
        <v>715.50416666666661</v>
      </c>
      <c r="F74" s="3">
        <f>'Monthly Data'!CS74</f>
        <v>0</v>
      </c>
      <c r="G74" s="3">
        <f>'Monthly Data'!EM74</f>
        <v>357.7520833333333</v>
      </c>
      <c r="H74" s="3">
        <f>'Monthly Data'!ER74</f>
        <v>0</v>
      </c>
      <c r="I74" s="3">
        <f>'Monthly Data'!EG74</f>
        <v>0</v>
      </c>
      <c r="J74" s="3">
        <f>'Monthly Data'!DQ74</f>
        <v>31</v>
      </c>
      <c r="K74" s="3">
        <f>'Monthly Data'!EH74</f>
        <v>73</v>
      </c>
      <c r="M74" s="3">
        <f t="shared" si="25"/>
        <v>-11000000</v>
      </c>
      <c r="N74" s="3">
        <f t="shared" si="26"/>
        <v>33607846.041916661</v>
      </c>
      <c r="O74" s="3">
        <f t="shared" si="27"/>
        <v>0</v>
      </c>
      <c r="P74" s="3">
        <f t="shared" si="28"/>
        <v>2961046.3786062496</v>
      </c>
      <c r="Q74" s="3">
        <f t="shared" si="29"/>
        <v>0</v>
      </c>
      <c r="R74" s="3">
        <f t="shared" si="30"/>
        <v>0</v>
      </c>
      <c r="S74" s="3">
        <f t="shared" si="31"/>
        <v>60785761</v>
      </c>
      <c r="T74" s="3">
        <f t="shared" si="32"/>
        <v>9778882.8999999985</v>
      </c>
      <c r="U74" s="47">
        <f t="shared" si="21"/>
        <v>96133536.320522904</v>
      </c>
      <c r="V74" s="47">
        <f ca="1">'Monthly Data'!G74+'Monthly Data'!H74</f>
        <v>1268909.6998966017</v>
      </c>
      <c r="W74" s="47">
        <f t="shared" ca="1" si="22"/>
        <v>97402446.020419508</v>
      </c>
      <c r="X74" s="47">
        <f t="shared" ca="1" si="23"/>
        <v>-126534.59723214805</v>
      </c>
      <c r="Y74" s="18">
        <f t="shared" ca="1" si="24"/>
        <v>1.297405103906589E-3</v>
      </c>
    </row>
    <row r="75" spans="1:25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Data'!F75</f>
        <v>90461788.453591064</v>
      </c>
      <c r="E75" s="3">
        <f>'Monthly Data'!CN75</f>
        <v>709.45416666666654</v>
      </c>
      <c r="F75" s="3">
        <f>'Monthly Data'!CS75</f>
        <v>0</v>
      </c>
      <c r="G75" s="3">
        <f>'Monthly Data'!EM75</f>
        <v>354.72708333333327</v>
      </c>
      <c r="H75" s="3">
        <f>'Monthly Data'!ER75</f>
        <v>0</v>
      </c>
      <c r="I75" s="3">
        <f>'Monthly Data'!EG75</f>
        <v>0</v>
      </c>
      <c r="J75" s="3">
        <f>'Monthly Data'!DQ75</f>
        <v>28</v>
      </c>
      <c r="K75" s="3">
        <f>'Monthly Data'!EH75</f>
        <v>74</v>
      </c>
      <c r="M75" s="3">
        <f t="shared" si="25"/>
        <v>-11000000</v>
      </c>
      <c r="N75" s="3">
        <f t="shared" si="26"/>
        <v>33323672.338916659</v>
      </c>
      <c r="O75" s="3">
        <f t="shared" si="27"/>
        <v>0</v>
      </c>
      <c r="P75" s="3">
        <f t="shared" si="28"/>
        <v>2936009.0253312495</v>
      </c>
      <c r="Q75" s="3">
        <f t="shared" si="29"/>
        <v>0</v>
      </c>
      <c r="R75" s="3">
        <f t="shared" si="30"/>
        <v>0</v>
      </c>
      <c r="S75" s="3">
        <f t="shared" si="31"/>
        <v>54903268</v>
      </c>
      <c r="T75" s="3">
        <f t="shared" si="32"/>
        <v>9912840.1999999993</v>
      </c>
      <c r="U75" s="47">
        <f t="shared" si="21"/>
        <v>90075789.564247921</v>
      </c>
      <c r="V75" s="47">
        <f ca="1">'Monthly Data'!G75+'Monthly Data'!H75</f>
        <v>1278239.0025626363</v>
      </c>
      <c r="W75" s="47">
        <f t="shared" ca="1" si="22"/>
        <v>91354028.566810563</v>
      </c>
      <c r="X75" s="47">
        <f t="shared" ca="1" si="23"/>
        <v>892240.11321949959</v>
      </c>
      <c r="Y75" s="18">
        <f t="shared" ca="1" si="24"/>
        <v>9.8631712734403749E-3</v>
      </c>
    </row>
    <row r="76" spans="1:25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Data'!F76</f>
        <v>85842595.117859676</v>
      </c>
      <c r="E76" s="3">
        <f>'Monthly Data'!CN76</f>
        <v>554.59637681159427</v>
      </c>
      <c r="F76" s="3">
        <f>'Monthly Data'!CS76</f>
        <v>0</v>
      </c>
      <c r="G76" s="3">
        <f>'Monthly Data'!EM76</f>
        <v>277.29818840579713</v>
      </c>
      <c r="H76" s="3">
        <f>'Monthly Data'!ER76</f>
        <v>0</v>
      </c>
      <c r="I76" s="3">
        <f>'Monthly Data'!EG76</f>
        <v>1</v>
      </c>
      <c r="J76" s="3">
        <f>'Monthly Data'!DQ76</f>
        <v>31</v>
      </c>
      <c r="K76" s="3">
        <f>'Monthly Data'!EH76</f>
        <v>75</v>
      </c>
      <c r="M76" s="3">
        <f t="shared" si="25"/>
        <v>-11000000</v>
      </c>
      <c r="N76" s="3">
        <f t="shared" si="26"/>
        <v>26049868.771724641</v>
      </c>
      <c r="O76" s="3">
        <f t="shared" si="27"/>
        <v>0</v>
      </c>
      <c r="P76" s="3">
        <f t="shared" si="28"/>
        <v>2295144.696077174</v>
      </c>
      <c r="Q76" s="3">
        <f t="shared" si="29"/>
        <v>0</v>
      </c>
      <c r="R76" s="3">
        <f t="shared" si="30"/>
        <v>-3105221</v>
      </c>
      <c r="S76" s="3">
        <f t="shared" si="31"/>
        <v>60785761</v>
      </c>
      <c r="T76" s="3">
        <f t="shared" si="32"/>
        <v>10046797.5</v>
      </c>
      <c r="U76" s="47">
        <f t="shared" si="21"/>
        <v>85072350.967801809</v>
      </c>
      <c r="V76" s="47">
        <f ca="1">'Monthly Data'!G76+'Monthly Data'!H76</f>
        <v>1041327.8995957023</v>
      </c>
      <c r="W76" s="47">
        <f t="shared" ca="1" si="22"/>
        <v>86113678.867397517</v>
      </c>
      <c r="X76" s="47">
        <f t="shared" ca="1" si="23"/>
        <v>271083.74953784049</v>
      </c>
      <c r="Y76" s="18">
        <f t="shared" ca="1" si="24"/>
        <v>3.1579165234421149E-3</v>
      </c>
    </row>
    <row r="77" spans="1:25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Data'!F77</f>
        <v>74577144.3089187</v>
      </c>
      <c r="E77" s="3">
        <f>'Monthly Data'!CN77</f>
        <v>379.79583333333329</v>
      </c>
      <c r="F77" s="3">
        <f>'Monthly Data'!CS77</f>
        <v>0.21249999999999858</v>
      </c>
      <c r="G77" s="3">
        <f>'Monthly Data'!EM77</f>
        <v>189.89791666666665</v>
      </c>
      <c r="H77" s="3">
        <f>'Monthly Data'!ER77</f>
        <v>0.10624999999999929</v>
      </c>
      <c r="I77" s="3">
        <f>'Monthly Data'!EG77</f>
        <v>1</v>
      </c>
      <c r="J77" s="3">
        <f>'Monthly Data'!DQ77</f>
        <v>30</v>
      </c>
      <c r="K77" s="3">
        <f>'Monthly Data'!EH77</f>
        <v>76</v>
      </c>
      <c r="M77" s="3">
        <f t="shared" si="25"/>
        <v>-11000000</v>
      </c>
      <c r="N77" s="3">
        <f t="shared" si="26"/>
        <v>17839336.916083332</v>
      </c>
      <c r="O77" s="3">
        <f t="shared" si="27"/>
        <v>58507.114999999605</v>
      </c>
      <c r="P77" s="3">
        <f t="shared" si="28"/>
        <v>1571749.1655437497</v>
      </c>
      <c r="Q77" s="3">
        <f t="shared" si="29"/>
        <v>4371.7646249999707</v>
      </c>
      <c r="R77" s="3">
        <f t="shared" si="30"/>
        <v>-3105221</v>
      </c>
      <c r="S77" s="3">
        <f t="shared" si="31"/>
        <v>58824930</v>
      </c>
      <c r="T77" s="3">
        <f t="shared" si="32"/>
        <v>10180754.799999999</v>
      </c>
      <c r="U77" s="47">
        <f t="shared" si="21"/>
        <v>74374428.761252075</v>
      </c>
      <c r="V77" s="47">
        <f ca="1">'Monthly Data'!G77+'Monthly Data'!H77</f>
        <v>786129.19688500604</v>
      </c>
      <c r="W77" s="47">
        <f t="shared" ca="1" si="22"/>
        <v>75160557.95813708</v>
      </c>
      <c r="X77" s="47">
        <f t="shared" ca="1" si="23"/>
        <v>583413.64921838045</v>
      </c>
      <c r="Y77" s="18">
        <f t="shared" ca="1" si="24"/>
        <v>7.8229550705471284E-3</v>
      </c>
    </row>
    <row r="78" spans="1:25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Data'!F78</f>
        <v>78307510.131016716</v>
      </c>
      <c r="E78" s="3">
        <f>'Monthly Data'!CN78</f>
        <v>221.92222222222222</v>
      </c>
      <c r="F78" s="3">
        <f>'Monthly Data'!CS78</f>
        <v>35.574999999999996</v>
      </c>
      <c r="G78" s="3">
        <f>'Monthly Data'!EM78</f>
        <v>110.96111111111111</v>
      </c>
      <c r="H78" s="3">
        <f>'Monthly Data'!ER78</f>
        <v>17.787499999999998</v>
      </c>
      <c r="I78" s="3">
        <f>'Monthly Data'!EG78</f>
        <v>1</v>
      </c>
      <c r="J78" s="3">
        <f>'Monthly Data'!DQ78</f>
        <v>31</v>
      </c>
      <c r="K78" s="3">
        <f>'Monthly Data'!EH78</f>
        <v>77</v>
      </c>
      <c r="M78" s="3">
        <f t="shared" si="25"/>
        <v>-11000000</v>
      </c>
      <c r="N78" s="3">
        <f t="shared" si="26"/>
        <v>10423877.630888889</v>
      </c>
      <c r="O78" s="3">
        <f t="shared" si="27"/>
        <v>9794779.3699999973</v>
      </c>
      <c r="P78" s="3">
        <f t="shared" si="28"/>
        <v>918404.14501666662</v>
      </c>
      <c r="Q78" s="3">
        <f t="shared" si="29"/>
        <v>731884.83074999985</v>
      </c>
      <c r="R78" s="3">
        <f t="shared" si="30"/>
        <v>-3105221</v>
      </c>
      <c r="S78" s="3">
        <f t="shared" si="31"/>
        <v>60785761</v>
      </c>
      <c r="T78" s="3">
        <f t="shared" si="32"/>
        <v>10314712.1</v>
      </c>
      <c r="U78" s="47">
        <f t="shared" si="21"/>
        <v>78864198.076655552</v>
      </c>
      <c r="V78" s="47">
        <f ca="1">'Monthly Data'!G78+'Monthly Data'!H78</f>
        <v>571735.46165264584</v>
      </c>
      <c r="W78" s="47">
        <f t="shared" ca="1" si="22"/>
        <v>79435933.538308203</v>
      </c>
      <c r="X78" s="47">
        <f t="shared" ca="1" si="23"/>
        <v>1128423.4072914869</v>
      </c>
      <c r="Y78" s="18">
        <f t="shared" ca="1" si="24"/>
        <v>1.441015562113411E-2</v>
      </c>
    </row>
    <row r="79" spans="1:25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Data'!F79</f>
        <v>96114636.587795839</v>
      </c>
      <c r="E79" s="3">
        <f>'Monthly Data'!CN79</f>
        <v>36.066666666666677</v>
      </c>
      <c r="F79" s="3">
        <f>'Monthly Data'!CS79</f>
        <v>124.94583333333331</v>
      </c>
      <c r="G79" s="3">
        <f>'Monthly Data'!EM79</f>
        <v>18.033333333333339</v>
      </c>
      <c r="H79" s="3">
        <f>'Monthly Data'!ER79</f>
        <v>62.472916666666656</v>
      </c>
      <c r="I79" s="3">
        <f>'Monthly Data'!EG79</f>
        <v>0</v>
      </c>
      <c r="J79" s="3">
        <f>'Monthly Data'!DQ79</f>
        <v>30</v>
      </c>
      <c r="K79" s="3">
        <f>'Monthly Data'!EH79</f>
        <v>78</v>
      </c>
      <c r="M79" s="3">
        <f t="shared" si="25"/>
        <v>-11000000</v>
      </c>
      <c r="N79" s="3">
        <f t="shared" si="26"/>
        <v>1694082.3506666671</v>
      </c>
      <c r="O79" s="3">
        <f t="shared" si="27"/>
        <v>34401036.421666659</v>
      </c>
      <c r="P79" s="3">
        <f t="shared" si="28"/>
        <v>149258.49170000004</v>
      </c>
      <c r="Q79" s="3">
        <f t="shared" si="29"/>
        <v>2570511.8786249994</v>
      </c>
      <c r="R79" s="3">
        <f t="shared" si="30"/>
        <v>0</v>
      </c>
      <c r="S79" s="3">
        <f t="shared" si="31"/>
        <v>58824930</v>
      </c>
      <c r="T79" s="3">
        <f t="shared" si="32"/>
        <v>10448669.399999999</v>
      </c>
      <c r="U79" s="47">
        <f t="shared" si="21"/>
        <v>97088488.542658329</v>
      </c>
      <c r="V79" s="47">
        <f ca="1">'Monthly Data'!G79+'Monthly Data'!H79</f>
        <v>337073.64505469712</v>
      </c>
      <c r="W79" s="47">
        <f t="shared" ca="1" si="22"/>
        <v>97425562.187713027</v>
      </c>
      <c r="X79" s="47">
        <f t="shared" ca="1" si="23"/>
        <v>1310925.5999171883</v>
      </c>
      <c r="Y79" s="18">
        <f t="shared" ca="1" si="24"/>
        <v>1.3639188020231698E-2</v>
      </c>
    </row>
    <row r="80" spans="1:25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Data'!F80</f>
        <v>102087737.27422275</v>
      </c>
      <c r="E80" s="3">
        <f>'Monthly Data'!CN80</f>
        <v>25.516666666666669</v>
      </c>
      <c r="F80" s="3">
        <f>'Monthly Data'!CS80</f>
        <v>131.62083333333331</v>
      </c>
      <c r="G80" s="3">
        <f>'Monthly Data'!EM80</f>
        <v>12.758333333333335</v>
      </c>
      <c r="H80" s="3">
        <f>'Monthly Data'!ER80</f>
        <v>65.810416666666654</v>
      </c>
      <c r="I80" s="3">
        <f>'Monthly Data'!EG80</f>
        <v>0</v>
      </c>
      <c r="J80" s="3">
        <f>'Monthly Data'!DQ80</f>
        <v>31</v>
      </c>
      <c r="K80" s="3">
        <f>'Monthly Data'!EH80</f>
        <v>79</v>
      </c>
      <c r="M80" s="3">
        <f t="shared" si="25"/>
        <v>-11000000</v>
      </c>
      <c r="N80" s="3">
        <f t="shared" si="26"/>
        <v>1198539.7776666668</v>
      </c>
      <c r="O80" s="3">
        <f t="shared" si="27"/>
        <v>36238848.151666656</v>
      </c>
      <c r="P80" s="3">
        <f t="shared" si="28"/>
        <v>105598.31367500001</v>
      </c>
      <c r="Q80" s="3">
        <f t="shared" si="29"/>
        <v>2707836.7203749991</v>
      </c>
      <c r="R80" s="3">
        <f t="shared" si="30"/>
        <v>0</v>
      </c>
      <c r="S80" s="3">
        <f t="shared" si="31"/>
        <v>60785761</v>
      </c>
      <c r="T80" s="3">
        <f t="shared" si="32"/>
        <v>10582626.699999999</v>
      </c>
      <c r="U80" s="47">
        <f t="shared" si="21"/>
        <v>100619210.66338332</v>
      </c>
      <c r="V80" s="47">
        <f ca="1">'Monthly Data'!G80+'Monthly Data'!H80</f>
        <v>332851.19384229241</v>
      </c>
      <c r="W80" s="47">
        <f t="shared" ca="1" si="22"/>
        <v>100952061.85722561</v>
      </c>
      <c r="X80" s="47">
        <f t="shared" ca="1" si="23"/>
        <v>-1135675.4169971347</v>
      </c>
      <c r="Y80" s="18">
        <f t="shared" ca="1" si="24"/>
        <v>1.1124503758434205E-2</v>
      </c>
    </row>
    <row r="81" spans="1:25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Data'!F81</f>
        <v>121523553.21489187</v>
      </c>
      <c r="E81" s="3">
        <f>'Monthly Data'!CN81</f>
        <v>8.524999999999995</v>
      </c>
      <c r="F81" s="3">
        <f>'Monthly Data'!CS81</f>
        <v>204.06249999999994</v>
      </c>
      <c r="G81" s="3">
        <f>'Monthly Data'!EM81</f>
        <v>4.2624999999999975</v>
      </c>
      <c r="H81" s="3">
        <f>'Monthly Data'!ER81</f>
        <v>102.03124999999997</v>
      </c>
      <c r="I81" s="3">
        <f>'Monthly Data'!EG81</f>
        <v>0</v>
      </c>
      <c r="J81" s="3">
        <f>'Monthly Data'!DQ81</f>
        <v>31</v>
      </c>
      <c r="K81" s="3">
        <f>'Monthly Data'!EH81</f>
        <v>80</v>
      </c>
      <c r="M81" s="3">
        <f t="shared" si="25"/>
        <v>-11000000</v>
      </c>
      <c r="N81" s="3">
        <f t="shared" si="26"/>
        <v>400426.5814999998</v>
      </c>
      <c r="O81" s="3">
        <f t="shared" si="27"/>
        <v>56184038.374999978</v>
      </c>
      <c r="P81" s="3">
        <f t="shared" si="28"/>
        <v>35279.906887499979</v>
      </c>
      <c r="Q81" s="3">
        <f t="shared" si="29"/>
        <v>4198179.8531249985</v>
      </c>
      <c r="R81" s="3">
        <f t="shared" si="30"/>
        <v>0</v>
      </c>
      <c r="S81" s="3">
        <f t="shared" si="31"/>
        <v>60785761</v>
      </c>
      <c r="T81" s="3">
        <f t="shared" si="32"/>
        <v>10716584</v>
      </c>
      <c r="U81" s="47">
        <f t="shared" si="21"/>
        <v>121320269.71651247</v>
      </c>
      <c r="V81" s="47">
        <f ca="1">'Monthly Data'!G81+'Monthly Data'!H81</f>
        <v>335117.50613947958</v>
      </c>
      <c r="W81" s="47">
        <f t="shared" ca="1" si="22"/>
        <v>121655387.22265196</v>
      </c>
      <c r="X81" s="47">
        <f t="shared" ca="1" si="23"/>
        <v>131834.00776009262</v>
      </c>
      <c r="Y81" s="18">
        <f t="shared" ca="1" si="24"/>
        <v>1.0848432610176286E-3</v>
      </c>
    </row>
    <row r="82" spans="1:25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Data'!F82</f>
        <v>78892771.244770288</v>
      </c>
      <c r="E82" s="3">
        <f>'Monthly Data'!CN82</f>
        <v>93.104166666666671</v>
      </c>
      <c r="F82" s="3">
        <f>'Monthly Data'!CS82</f>
        <v>49.341666666666683</v>
      </c>
      <c r="G82" s="3">
        <f>'Monthly Data'!EM82</f>
        <v>46.552083333333336</v>
      </c>
      <c r="H82" s="3">
        <f>'Monthly Data'!ER82</f>
        <v>24.670833333333341</v>
      </c>
      <c r="I82" s="3">
        <f>'Monthly Data'!EG82</f>
        <v>1</v>
      </c>
      <c r="J82" s="3">
        <f>'Monthly Data'!DQ82</f>
        <v>30</v>
      </c>
      <c r="K82" s="3">
        <f>'Monthly Data'!EH82</f>
        <v>81</v>
      </c>
      <c r="M82" s="3">
        <f t="shared" si="25"/>
        <v>-11000000</v>
      </c>
      <c r="N82" s="3">
        <f t="shared" si="26"/>
        <v>4373182.7779166671</v>
      </c>
      <c r="O82" s="3">
        <f t="shared" si="27"/>
        <v>13585122.663333336</v>
      </c>
      <c r="P82" s="3">
        <f t="shared" si="28"/>
        <v>385302.79540624999</v>
      </c>
      <c r="Q82" s="3">
        <f t="shared" si="29"/>
        <v>1015106.6017500003</v>
      </c>
      <c r="R82" s="3">
        <f t="shared" si="30"/>
        <v>-3105221</v>
      </c>
      <c r="S82" s="3">
        <f t="shared" si="31"/>
        <v>58824930</v>
      </c>
      <c r="T82" s="3">
        <f t="shared" si="32"/>
        <v>10850541.299999999</v>
      </c>
      <c r="U82" s="47">
        <f t="shared" si="21"/>
        <v>74928965.138406247</v>
      </c>
      <c r="V82" s="47">
        <f ca="1">'Monthly Data'!G82+'Monthly Data'!H82</f>
        <v>413411.4546021499</v>
      </c>
      <c r="W82" s="47">
        <f t="shared" ca="1" si="22"/>
        <v>75342376.593008399</v>
      </c>
      <c r="X82" s="47">
        <f t="shared" ca="1" si="23"/>
        <v>-3550394.6517618895</v>
      </c>
      <c r="Y82" s="18">
        <f t="shared" ca="1" si="24"/>
        <v>4.5002787907481967E-2</v>
      </c>
    </row>
    <row r="83" spans="1:25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Data'!F83</f>
        <v>73885457.7566787</v>
      </c>
      <c r="E83" s="3">
        <f>'Monthly Data'!CN83</f>
        <v>214.18749999999994</v>
      </c>
      <c r="F83" s="3">
        <f>'Monthly Data'!CS83</f>
        <v>18.245833333333344</v>
      </c>
      <c r="G83" s="3">
        <f>'Monthly Data'!EM83</f>
        <v>107.09374999999997</v>
      </c>
      <c r="H83" s="3">
        <f>'Monthly Data'!ER83</f>
        <v>9.1229166666666721</v>
      </c>
      <c r="I83" s="3">
        <f>'Monthly Data'!EG83</f>
        <v>1</v>
      </c>
      <c r="J83" s="3">
        <f>'Monthly Data'!DQ83</f>
        <v>31</v>
      </c>
      <c r="K83" s="3">
        <f>'Monthly Data'!EH83</f>
        <v>82</v>
      </c>
      <c r="M83" s="3">
        <f t="shared" si="25"/>
        <v>-11000000</v>
      </c>
      <c r="N83" s="3">
        <f t="shared" si="26"/>
        <v>10060571.076249998</v>
      </c>
      <c r="O83" s="3">
        <f t="shared" si="27"/>
        <v>5023581.5016666688</v>
      </c>
      <c r="P83" s="3">
        <f t="shared" si="28"/>
        <v>886394.72803124972</v>
      </c>
      <c r="Q83" s="3">
        <f t="shared" si="29"/>
        <v>375371.71162500017</v>
      </c>
      <c r="R83" s="3">
        <f t="shared" si="30"/>
        <v>-3105221</v>
      </c>
      <c r="S83" s="3">
        <f t="shared" si="31"/>
        <v>60785761</v>
      </c>
      <c r="T83" s="3">
        <f t="shared" si="32"/>
        <v>10984498.6</v>
      </c>
      <c r="U83" s="47">
        <f t="shared" si="21"/>
        <v>74010957.617572919</v>
      </c>
      <c r="V83" s="47">
        <f ca="1">'Monthly Data'!G83+'Monthly Data'!H83</f>
        <v>587882.02169174969</v>
      </c>
      <c r="W83" s="47">
        <f t="shared" ca="1" si="22"/>
        <v>74598839.639264673</v>
      </c>
      <c r="X83" s="47">
        <f t="shared" ca="1" si="23"/>
        <v>713381.88258597255</v>
      </c>
      <c r="Y83" s="18">
        <f t="shared" ca="1" si="24"/>
        <v>9.6552407502880772E-3</v>
      </c>
    </row>
    <row r="84" spans="1:25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Data'!F84</f>
        <v>79844590.581778824</v>
      </c>
      <c r="E84" s="3">
        <f>'Monthly Data'!CN84</f>
        <v>506.31260351966881</v>
      </c>
      <c r="F84" s="3">
        <f>'Monthly Data'!CS84</f>
        <v>0</v>
      </c>
      <c r="G84" s="3">
        <f>'Monthly Data'!EM84</f>
        <v>253.15630175983441</v>
      </c>
      <c r="H84" s="3">
        <f>'Monthly Data'!ER84</f>
        <v>0</v>
      </c>
      <c r="I84" s="3">
        <f>'Monthly Data'!EG84</f>
        <v>1</v>
      </c>
      <c r="J84" s="3">
        <f>'Monthly Data'!DQ84</f>
        <v>30</v>
      </c>
      <c r="K84" s="3">
        <f>'Monthly Data'!EH84</f>
        <v>83</v>
      </c>
      <c r="M84" s="3">
        <f t="shared" si="25"/>
        <v>-11000000</v>
      </c>
      <c r="N84" s="3">
        <f t="shared" si="26"/>
        <v>23781938.416157871</v>
      </c>
      <c r="O84" s="3">
        <f t="shared" si="27"/>
        <v>0</v>
      </c>
      <c r="P84" s="3">
        <f t="shared" si="28"/>
        <v>2095326.8631251168</v>
      </c>
      <c r="Q84" s="3">
        <f t="shared" si="29"/>
        <v>0</v>
      </c>
      <c r="R84" s="3">
        <f t="shared" si="30"/>
        <v>-3105221</v>
      </c>
      <c r="S84" s="3">
        <f t="shared" si="31"/>
        <v>58824930</v>
      </c>
      <c r="T84" s="3">
        <f t="shared" si="32"/>
        <v>11118455.899999999</v>
      </c>
      <c r="U84" s="47">
        <f t="shared" si="21"/>
        <v>81715430.179282993</v>
      </c>
      <c r="V84" s="47">
        <f ca="1">'Monthly Data'!G84+'Monthly Data'!H84</f>
        <v>1045701.8008486941</v>
      </c>
      <c r="W84" s="47">
        <f t="shared" ca="1" si="22"/>
        <v>82761131.980131686</v>
      </c>
      <c r="X84" s="47">
        <f t="shared" ca="1" si="23"/>
        <v>2916541.3983528614</v>
      </c>
      <c r="Y84" s="18">
        <f t="shared" ca="1" si="24"/>
        <v>3.6527726889220714E-2</v>
      </c>
    </row>
    <row r="85" spans="1:25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Data'!F85</f>
        <v>93297787.605306625</v>
      </c>
      <c r="E85" s="3">
        <f>'Monthly Data'!CN85</f>
        <v>595.04583333333335</v>
      </c>
      <c r="F85" s="3">
        <f>'Monthly Data'!CS85</f>
        <v>0</v>
      </c>
      <c r="G85" s="3">
        <f>'Monthly Data'!EM85</f>
        <v>297.52291666666667</v>
      </c>
      <c r="H85" s="3">
        <f>'Monthly Data'!ER85</f>
        <v>0</v>
      </c>
      <c r="I85" s="3">
        <f>'Monthly Data'!EG85</f>
        <v>0</v>
      </c>
      <c r="J85" s="3">
        <f>'Monthly Data'!DQ85</f>
        <v>31</v>
      </c>
      <c r="K85" s="3">
        <f>'Monthly Data'!EH85</f>
        <v>84</v>
      </c>
      <c r="M85" s="3">
        <f t="shared" si="25"/>
        <v>-11000000</v>
      </c>
      <c r="N85" s="3">
        <f t="shared" si="26"/>
        <v>27949814.531083334</v>
      </c>
      <c r="O85" s="3">
        <f t="shared" si="27"/>
        <v>0</v>
      </c>
      <c r="P85" s="3">
        <f t="shared" si="28"/>
        <v>2462540.9494187501</v>
      </c>
      <c r="Q85" s="3">
        <f t="shared" si="29"/>
        <v>0</v>
      </c>
      <c r="R85" s="3">
        <f t="shared" si="30"/>
        <v>0</v>
      </c>
      <c r="S85" s="3">
        <f t="shared" si="31"/>
        <v>60785761</v>
      </c>
      <c r="T85" s="3">
        <f t="shared" si="32"/>
        <v>11252413.199999999</v>
      </c>
      <c r="U85" s="47">
        <f t="shared" si="21"/>
        <v>91450529.680502087</v>
      </c>
      <c r="V85" s="47">
        <f ca="1">'Monthly Data'!G85+'Monthly Data'!H85</f>
        <v>1187919.800826689</v>
      </c>
      <c r="W85" s="47">
        <f t="shared" ca="1" si="22"/>
        <v>92638449.481328771</v>
      </c>
      <c r="X85" s="47">
        <f t="shared" ca="1" si="23"/>
        <v>-659338.12397785485</v>
      </c>
      <c r="Y85" s="18">
        <f t="shared" ca="1" si="24"/>
        <v>7.0670284998307163E-3</v>
      </c>
    </row>
    <row r="86" spans="1:25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Data'!F86</f>
        <v>106247354.43479422</v>
      </c>
      <c r="E86" s="3">
        <f>'Monthly Data'!CN86</f>
        <v>887.49166666666656</v>
      </c>
      <c r="F86" s="3">
        <f>'Monthly Data'!CS86</f>
        <v>0</v>
      </c>
      <c r="G86" s="3">
        <f>'Monthly Data'!EM86</f>
        <v>221.87291666666664</v>
      </c>
      <c r="H86" s="3">
        <f>'Monthly Data'!ER86</f>
        <v>0</v>
      </c>
      <c r="I86" s="3">
        <f>'Monthly Data'!EG86</f>
        <v>0</v>
      </c>
      <c r="J86" s="3">
        <f>'Monthly Data'!DQ86</f>
        <v>31</v>
      </c>
      <c r="K86" s="3">
        <f>'Monthly Data'!EH86</f>
        <v>85</v>
      </c>
      <c r="M86" s="3">
        <f t="shared" si="25"/>
        <v>-11000000</v>
      </c>
      <c r="N86" s="3">
        <f t="shared" si="26"/>
        <v>41686246.82616666</v>
      </c>
      <c r="O86" s="3">
        <f t="shared" si="27"/>
        <v>0</v>
      </c>
      <c r="P86" s="3">
        <f t="shared" si="28"/>
        <v>1836400.1972687498</v>
      </c>
      <c r="Q86" s="3">
        <f t="shared" si="29"/>
        <v>0</v>
      </c>
      <c r="R86" s="3">
        <f t="shared" si="30"/>
        <v>0</v>
      </c>
      <c r="S86" s="3">
        <f t="shared" si="31"/>
        <v>60785761</v>
      </c>
      <c r="T86" s="3">
        <f t="shared" si="32"/>
        <v>11386370.499999998</v>
      </c>
      <c r="U86" s="47">
        <f t="shared" si="21"/>
        <v>104694778.52343541</v>
      </c>
      <c r="V86" s="47">
        <f ca="1">'Monthly Data'!G86+'Monthly Data'!H86</f>
        <v>2264576.0494392286</v>
      </c>
      <c r="W86" s="47">
        <f t="shared" ca="1" si="22"/>
        <v>106959354.57287464</v>
      </c>
      <c r="X86" s="47">
        <f t="shared" ca="1" si="23"/>
        <v>712000.13808041811</v>
      </c>
      <c r="Y86" s="18">
        <f t="shared" ca="1" si="24"/>
        <v>6.7013446298786151E-3</v>
      </c>
    </row>
    <row r="87" spans="1:25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Data'!F87</f>
        <v>89862073.648005784</v>
      </c>
      <c r="E87" s="3">
        <f>'Monthly Data'!CN87</f>
        <v>692.85</v>
      </c>
      <c r="F87" s="3">
        <f>'Monthly Data'!CS87</f>
        <v>0</v>
      </c>
      <c r="G87" s="3">
        <f>'Monthly Data'!EM87</f>
        <v>173.21250000000001</v>
      </c>
      <c r="H87" s="3">
        <f>'Monthly Data'!ER87</f>
        <v>0</v>
      </c>
      <c r="I87" s="3">
        <f>'Monthly Data'!EG87</f>
        <v>0</v>
      </c>
      <c r="J87" s="3">
        <f>'Monthly Data'!DQ87</f>
        <v>28</v>
      </c>
      <c r="K87" s="3">
        <f>'Monthly Data'!EH87</f>
        <v>86</v>
      </c>
      <c r="M87" s="3">
        <f t="shared" si="25"/>
        <v>-11000000</v>
      </c>
      <c r="N87" s="3">
        <f t="shared" si="26"/>
        <v>32543760.351</v>
      </c>
      <c r="O87" s="3">
        <f t="shared" si="27"/>
        <v>0</v>
      </c>
      <c r="P87" s="3">
        <f t="shared" si="28"/>
        <v>1433647.1253374999</v>
      </c>
      <c r="Q87" s="3">
        <f t="shared" si="29"/>
        <v>0</v>
      </c>
      <c r="R87" s="3">
        <f t="shared" si="30"/>
        <v>0</v>
      </c>
      <c r="S87" s="3">
        <f t="shared" si="31"/>
        <v>54903268</v>
      </c>
      <c r="T87" s="3">
        <f t="shared" si="32"/>
        <v>11520327.799999999</v>
      </c>
      <c r="U87" s="47">
        <f t="shared" si="21"/>
        <v>89401003.276337489</v>
      </c>
      <c r="V87" s="47">
        <f ca="1">'Monthly Data'!G87+'Monthly Data'!H87</f>
        <v>1860276.4879661247</v>
      </c>
      <c r="W87" s="47">
        <f t="shared" ca="1" si="22"/>
        <v>91261279.76430361</v>
      </c>
      <c r="X87" s="47">
        <f t="shared" ca="1" si="23"/>
        <v>1399206.1162978262</v>
      </c>
      <c r="Y87" s="18">
        <f t="shared" ca="1" si="24"/>
        <v>1.557059679902988E-2</v>
      </c>
    </row>
    <row r="88" spans="1:25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Data'!F88</f>
        <v>88943021.860327378</v>
      </c>
      <c r="E88" s="3">
        <f>'Monthly Data'!CN88</f>
        <v>606.7208333333333</v>
      </c>
      <c r="F88" s="3">
        <f>'Monthly Data'!CS88</f>
        <v>0</v>
      </c>
      <c r="G88" s="3">
        <f>'Monthly Data'!EM88</f>
        <v>151.68020833333333</v>
      </c>
      <c r="H88" s="3">
        <f>'Monthly Data'!ER88</f>
        <v>0</v>
      </c>
      <c r="I88" s="3">
        <f>'Monthly Data'!EG88</f>
        <v>1</v>
      </c>
      <c r="J88" s="3">
        <f>'Monthly Data'!DQ88</f>
        <v>31</v>
      </c>
      <c r="K88" s="3">
        <f>'Monthly Data'!EH88</f>
        <v>87</v>
      </c>
      <c r="M88" s="3">
        <f t="shared" si="25"/>
        <v>-11000000</v>
      </c>
      <c r="N88" s="3">
        <f t="shared" si="26"/>
        <v>28498199.321583331</v>
      </c>
      <c r="O88" s="3">
        <f t="shared" si="27"/>
        <v>0</v>
      </c>
      <c r="P88" s="3">
        <f t="shared" si="28"/>
        <v>1255428.4168156248</v>
      </c>
      <c r="Q88" s="3">
        <f t="shared" si="29"/>
        <v>0</v>
      </c>
      <c r="R88" s="3">
        <f t="shared" si="30"/>
        <v>-3105221</v>
      </c>
      <c r="S88" s="3">
        <f t="shared" si="31"/>
        <v>60785761</v>
      </c>
      <c r="T88" s="3">
        <f t="shared" si="32"/>
        <v>11654285.1</v>
      </c>
      <c r="U88" s="47">
        <f t="shared" si="21"/>
        <v>88088452.838398948</v>
      </c>
      <c r="V88" s="47">
        <f ca="1">'Monthly Data'!G88+'Monthly Data'!H88</f>
        <v>1673699.905058342</v>
      </c>
      <c r="W88" s="47">
        <f t="shared" ca="1" si="22"/>
        <v>89762152.743457288</v>
      </c>
      <c r="X88" s="47">
        <f t="shared" ca="1" si="23"/>
        <v>819130.88312990963</v>
      </c>
      <c r="Y88" s="18">
        <f t="shared" ca="1" si="24"/>
        <v>9.2096138178916452E-3</v>
      </c>
    </row>
    <row r="89" spans="1:25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Data'!F89</f>
        <v>75598538.227849066</v>
      </c>
      <c r="E89" s="3">
        <f>'Monthly Data'!CN89</f>
        <v>414.33333333333331</v>
      </c>
      <c r="F89" s="3">
        <f>'Monthly Data'!CS89</f>
        <v>0</v>
      </c>
      <c r="G89" s="3">
        <f>'Monthly Data'!EM89</f>
        <v>103.58333333333333</v>
      </c>
      <c r="H89" s="3">
        <f>'Monthly Data'!ER89</f>
        <v>0</v>
      </c>
      <c r="I89" s="3">
        <f>'Monthly Data'!EG89</f>
        <v>1</v>
      </c>
      <c r="J89" s="3">
        <f>'Monthly Data'!DQ89</f>
        <v>30</v>
      </c>
      <c r="K89" s="3">
        <f>'Monthly Data'!EH89</f>
        <v>88</v>
      </c>
      <c r="M89" s="3">
        <f t="shared" si="25"/>
        <v>-11000000</v>
      </c>
      <c r="N89" s="3">
        <f t="shared" si="26"/>
        <v>19461592.993333332</v>
      </c>
      <c r="O89" s="3">
        <f t="shared" si="27"/>
        <v>0</v>
      </c>
      <c r="P89" s="3">
        <f t="shared" si="28"/>
        <v>857339.67274999991</v>
      </c>
      <c r="Q89" s="3">
        <f t="shared" si="29"/>
        <v>0</v>
      </c>
      <c r="R89" s="3">
        <f t="shared" si="30"/>
        <v>-3105221</v>
      </c>
      <c r="S89" s="3">
        <f t="shared" si="31"/>
        <v>58824930</v>
      </c>
      <c r="T89" s="3">
        <f t="shared" si="32"/>
        <v>11788242.399999999</v>
      </c>
      <c r="U89" s="47">
        <f t="shared" si="21"/>
        <v>76826884.066083342</v>
      </c>
      <c r="V89" s="47">
        <f ca="1">'Monthly Data'!G89+'Monthly Data'!H89</f>
        <v>1265461.9103935589</v>
      </c>
      <c r="W89" s="47">
        <f t="shared" ca="1" si="22"/>
        <v>78092345.976476908</v>
      </c>
      <c r="X89" s="47">
        <f t="shared" ca="1" si="23"/>
        <v>2493807.7486278415</v>
      </c>
      <c r="Y89" s="18">
        <f t="shared" ca="1" si="24"/>
        <v>3.2987512815547668E-2</v>
      </c>
    </row>
    <row r="90" spans="1:25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Data'!F90</f>
        <v>75022641.819281444</v>
      </c>
      <c r="E90" s="3">
        <f>'Monthly Data'!CN90</f>
        <v>158.97916666666669</v>
      </c>
      <c r="F90" s="3">
        <f>'Monthly Data'!CS90</f>
        <v>41.6875</v>
      </c>
      <c r="G90" s="3">
        <f>'Monthly Data'!EM90</f>
        <v>39.744791666666671</v>
      </c>
      <c r="H90" s="3">
        <f>'Monthly Data'!ER90</f>
        <v>10.421875</v>
      </c>
      <c r="I90" s="3">
        <f>'Monthly Data'!EG90</f>
        <v>1</v>
      </c>
      <c r="J90" s="3">
        <f>'Monthly Data'!DQ90</f>
        <v>31</v>
      </c>
      <c r="K90" s="3">
        <f>'Monthly Data'!EH90</f>
        <v>89</v>
      </c>
      <c r="M90" s="3">
        <f t="shared" si="25"/>
        <v>-11000000</v>
      </c>
      <c r="N90" s="3">
        <f t="shared" si="26"/>
        <v>7467388.1804166678</v>
      </c>
      <c r="O90" s="3">
        <f t="shared" si="27"/>
        <v>11477719.324999999</v>
      </c>
      <c r="P90" s="3">
        <f t="shared" si="28"/>
        <v>328960.12885937502</v>
      </c>
      <c r="Q90" s="3">
        <f t="shared" si="29"/>
        <v>428818.67718749994</v>
      </c>
      <c r="R90" s="3">
        <f t="shared" si="30"/>
        <v>-3105221</v>
      </c>
      <c r="S90" s="3">
        <f t="shared" si="31"/>
        <v>60785761</v>
      </c>
      <c r="T90" s="3">
        <f t="shared" si="32"/>
        <v>11922199.699999999</v>
      </c>
      <c r="U90" s="47">
        <f t="shared" si="21"/>
        <v>78305626.011463538</v>
      </c>
      <c r="V90" s="47">
        <f ca="1">'Monthly Data'!G90+'Monthly Data'!H90</f>
        <v>734418.11704311683</v>
      </c>
      <c r="W90" s="47">
        <f t="shared" ca="1" si="22"/>
        <v>79040044.12850666</v>
      </c>
      <c r="X90" s="47">
        <f t="shared" ca="1" si="23"/>
        <v>4017402.3092252165</v>
      </c>
      <c r="Y90" s="18">
        <f t="shared" ca="1" si="24"/>
        <v>5.3549198106120417E-2</v>
      </c>
    </row>
    <row r="91" spans="1:25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Data'!F91</f>
        <v>84576519.944063723</v>
      </c>
      <c r="E91" s="3">
        <f>'Monthly Data'!CN91</f>
        <v>75.529010989011013</v>
      </c>
      <c r="F91" s="3">
        <f>'Monthly Data'!CS91</f>
        <v>67.11282467532466</v>
      </c>
      <c r="G91" s="3">
        <f>'Monthly Data'!EM91</f>
        <v>18.882252747252753</v>
      </c>
      <c r="H91" s="3">
        <f>'Monthly Data'!ER91</f>
        <v>16.778206168831165</v>
      </c>
      <c r="I91" s="3">
        <f>'Monthly Data'!EG91</f>
        <v>0</v>
      </c>
      <c r="J91" s="3">
        <f>'Monthly Data'!DQ91</f>
        <v>30</v>
      </c>
      <c r="K91" s="3">
        <f>'Monthly Data'!EH91</f>
        <v>90</v>
      </c>
      <c r="M91" s="3">
        <f t="shared" si="25"/>
        <v>-11000000</v>
      </c>
      <c r="N91" s="3">
        <f t="shared" si="26"/>
        <v>3547662.6011032979</v>
      </c>
      <c r="O91" s="3">
        <f t="shared" si="27"/>
        <v>18478012.947077915</v>
      </c>
      <c r="P91" s="3">
        <f t="shared" si="28"/>
        <v>156284.83724324181</v>
      </c>
      <c r="Q91" s="3">
        <f t="shared" si="29"/>
        <v>690356.40658685041</v>
      </c>
      <c r="R91" s="3">
        <f t="shared" si="30"/>
        <v>0</v>
      </c>
      <c r="S91" s="3">
        <f t="shared" si="31"/>
        <v>58824930</v>
      </c>
      <c r="T91" s="3">
        <f t="shared" si="32"/>
        <v>12056156.999999998</v>
      </c>
      <c r="U91" s="47">
        <f t="shared" si="21"/>
        <v>82753403.792011306</v>
      </c>
      <c r="V91" s="47">
        <f ca="1">'Monthly Data'!G91+'Monthly Data'!H91</f>
        <v>590223.98786094529</v>
      </c>
      <c r="W91" s="47">
        <f t="shared" ca="1" si="22"/>
        <v>83343627.779872254</v>
      </c>
      <c r="X91" s="47">
        <f t="shared" ca="1" si="23"/>
        <v>-1232892.1641914696</v>
      </c>
      <c r="Y91" s="18">
        <f t="shared" ca="1" si="24"/>
        <v>1.457723922676017E-2</v>
      </c>
    </row>
    <row r="92" spans="1:25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Data'!F92</f>
        <v>107101533.02612452</v>
      </c>
      <c r="E92" s="3">
        <f>'Monthly Data'!CN92</f>
        <v>8.9945652173913082</v>
      </c>
      <c r="F92" s="3">
        <f>'Monthly Data'!CS92</f>
        <v>159.8543382913806</v>
      </c>
      <c r="G92" s="3">
        <f>'Monthly Data'!EM92</f>
        <v>2.2486413043478271</v>
      </c>
      <c r="H92" s="3">
        <f>'Monthly Data'!ER92</f>
        <v>39.96358457284515</v>
      </c>
      <c r="I92" s="3">
        <f>'Monthly Data'!EG92</f>
        <v>0</v>
      </c>
      <c r="J92" s="3">
        <f>'Monthly Data'!DQ92</f>
        <v>31</v>
      </c>
      <c r="K92" s="3">
        <f>'Monthly Data'!EH92</f>
        <v>91</v>
      </c>
      <c r="M92" s="3">
        <f t="shared" si="25"/>
        <v>-11000000</v>
      </c>
      <c r="N92" s="3">
        <f t="shared" si="26"/>
        <v>422482.46358695673</v>
      </c>
      <c r="O92" s="3">
        <f t="shared" si="27"/>
        <v>44012311.311353914</v>
      </c>
      <c r="P92" s="3">
        <f t="shared" si="28"/>
        <v>18611.579082880442</v>
      </c>
      <c r="Q92" s="3">
        <f t="shared" si="29"/>
        <v>1644342.4501059779</v>
      </c>
      <c r="R92" s="3">
        <f t="shared" si="30"/>
        <v>0</v>
      </c>
      <c r="S92" s="3">
        <f t="shared" si="31"/>
        <v>60785761</v>
      </c>
      <c r="T92" s="3">
        <f t="shared" si="32"/>
        <v>12190114.299999999</v>
      </c>
      <c r="U92" s="47">
        <f t="shared" si="21"/>
        <v>108073623.10412972</v>
      </c>
      <c r="V92" s="47">
        <f ca="1">'Monthly Data'!G92+'Monthly Data'!H92</f>
        <v>531294.34980580432</v>
      </c>
      <c r="W92" s="47">
        <f t="shared" ca="1" si="22"/>
        <v>108604917.45393552</v>
      </c>
      <c r="X92" s="47">
        <f t="shared" ca="1" si="23"/>
        <v>1503384.4278109968</v>
      </c>
      <c r="Y92" s="18">
        <f t="shared" ca="1" si="24"/>
        <v>1.403700194883566E-2</v>
      </c>
    </row>
    <row r="93" spans="1:25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Data'!F93</f>
        <v>110339450.78441639</v>
      </c>
      <c r="E93" s="3">
        <f>'Monthly Data'!CN93</f>
        <v>7.3916666666666764</v>
      </c>
      <c r="F93" s="3">
        <f>'Monthly Data'!CS93</f>
        <v>166.28333333333327</v>
      </c>
      <c r="G93" s="3">
        <f>'Monthly Data'!EM93</f>
        <v>1.8479166666666691</v>
      </c>
      <c r="H93" s="3">
        <f>'Monthly Data'!ER93</f>
        <v>41.570833333333319</v>
      </c>
      <c r="I93" s="3">
        <f>'Monthly Data'!EG93</f>
        <v>0</v>
      </c>
      <c r="J93" s="3">
        <f>'Monthly Data'!DQ93</f>
        <v>31</v>
      </c>
      <c r="K93" s="3">
        <f>'Monthly Data'!EH93</f>
        <v>92</v>
      </c>
      <c r="M93" s="3">
        <f t="shared" si="25"/>
        <v>-11000000</v>
      </c>
      <c r="N93" s="3">
        <f t="shared" si="26"/>
        <v>347192.9401666671</v>
      </c>
      <c r="O93" s="3">
        <f t="shared" si="27"/>
        <v>45782391.086666644</v>
      </c>
      <c r="P93" s="3">
        <f t="shared" si="28"/>
        <v>15294.85699375002</v>
      </c>
      <c r="Q93" s="3">
        <f t="shared" si="29"/>
        <v>1710474.3397499993</v>
      </c>
      <c r="R93" s="3">
        <f t="shared" si="30"/>
        <v>0</v>
      </c>
      <c r="S93" s="3">
        <f t="shared" si="31"/>
        <v>60785761</v>
      </c>
      <c r="T93" s="3">
        <f t="shared" si="32"/>
        <v>12324071.6</v>
      </c>
      <c r="U93" s="47">
        <f t="shared" si="21"/>
        <v>109965185.82357705</v>
      </c>
      <c r="V93" s="47">
        <f ca="1">'Monthly Data'!G93+'Monthly Data'!H93</f>
        <v>552871.95073988242</v>
      </c>
      <c r="W93" s="47">
        <f t="shared" ca="1" si="22"/>
        <v>110518057.77431692</v>
      </c>
      <c r="X93" s="47">
        <f t="shared" ca="1" si="23"/>
        <v>178606.98990052938</v>
      </c>
      <c r="Y93" s="18">
        <f t="shared" ca="1" si="24"/>
        <v>1.6187047210294311E-3</v>
      </c>
    </row>
    <row r="94" spans="1:25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Data'!F94</f>
        <v>79912445.634409368</v>
      </c>
      <c r="E94" s="3">
        <f>'Monthly Data'!CN94</f>
        <v>111.79166666666666</v>
      </c>
      <c r="F94" s="3">
        <f>'Monthly Data'!CS94</f>
        <v>56.250000000000007</v>
      </c>
      <c r="G94" s="3">
        <f>'Monthly Data'!EM94</f>
        <v>27.947916666666664</v>
      </c>
      <c r="H94" s="3">
        <f>'Monthly Data'!ER94</f>
        <v>14.062500000000002</v>
      </c>
      <c r="I94" s="3">
        <f>'Monthly Data'!EG94</f>
        <v>1</v>
      </c>
      <c r="J94" s="3">
        <f>'Monthly Data'!DQ94</f>
        <v>30</v>
      </c>
      <c r="K94" s="3">
        <f>'Monthly Data'!EH94</f>
        <v>93</v>
      </c>
      <c r="M94" s="3">
        <f t="shared" si="25"/>
        <v>-11000000</v>
      </c>
      <c r="N94" s="3">
        <f t="shared" si="26"/>
        <v>5250950.7241666662</v>
      </c>
      <c r="O94" s="3">
        <f t="shared" si="27"/>
        <v>15487177.5</v>
      </c>
      <c r="P94" s="3">
        <f t="shared" si="28"/>
        <v>231319.62409374997</v>
      </c>
      <c r="Q94" s="3">
        <f t="shared" si="29"/>
        <v>578615.90625</v>
      </c>
      <c r="R94" s="3">
        <f t="shared" si="30"/>
        <v>-3105221</v>
      </c>
      <c r="S94" s="3">
        <f t="shared" si="31"/>
        <v>58824930</v>
      </c>
      <c r="T94" s="3">
        <f t="shared" si="32"/>
        <v>12458028.899999999</v>
      </c>
      <c r="U94" s="47">
        <f t="shared" si="21"/>
        <v>78725801.654510409</v>
      </c>
      <c r="V94" s="47">
        <f ca="1">'Monthly Data'!G94+'Monthly Data'!H94</f>
        <v>733509.61484722607</v>
      </c>
      <c r="W94" s="47">
        <f t="shared" ca="1" si="22"/>
        <v>79459311.269357637</v>
      </c>
      <c r="X94" s="47">
        <f t="shared" ca="1" si="23"/>
        <v>-453134.36505173147</v>
      </c>
      <c r="Y94" s="18">
        <f t="shared" ca="1" si="24"/>
        <v>5.6703854006016942E-3</v>
      </c>
    </row>
    <row r="95" spans="1:25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Data'!F95</f>
        <v>72580245.017529756</v>
      </c>
      <c r="E95" s="3">
        <f>'Monthly Data'!CN95</f>
        <v>330.85561594202903</v>
      </c>
      <c r="F95" s="3">
        <f>'Monthly Data'!CS95</f>
        <v>0</v>
      </c>
      <c r="G95" s="3">
        <f>'Monthly Data'!EM95</f>
        <v>82.713903985507258</v>
      </c>
      <c r="H95" s="3">
        <f>'Monthly Data'!ER95</f>
        <v>0</v>
      </c>
      <c r="I95" s="3">
        <f>'Monthly Data'!EG95</f>
        <v>1</v>
      </c>
      <c r="J95" s="3">
        <f>'Monthly Data'!DQ95</f>
        <v>31</v>
      </c>
      <c r="K95" s="3">
        <f>'Monthly Data'!EH95</f>
        <v>94</v>
      </c>
      <c r="M95" s="3">
        <f t="shared" si="25"/>
        <v>-11000000</v>
      </c>
      <c r="N95" s="3">
        <f t="shared" si="26"/>
        <v>15540572.816626813</v>
      </c>
      <c r="O95" s="3">
        <f t="shared" si="27"/>
        <v>0</v>
      </c>
      <c r="P95" s="3">
        <f t="shared" si="28"/>
        <v>684607.35036019026</v>
      </c>
      <c r="Q95" s="3">
        <f t="shared" si="29"/>
        <v>0</v>
      </c>
      <c r="R95" s="3">
        <f t="shared" si="30"/>
        <v>-3105221</v>
      </c>
      <c r="S95" s="3">
        <f t="shared" si="31"/>
        <v>60785761</v>
      </c>
      <c r="T95" s="3">
        <f t="shared" si="32"/>
        <v>12591986.199999999</v>
      </c>
      <c r="U95" s="47">
        <f t="shared" si="21"/>
        <v>75497706.366987005</v>
      </c>
      <c r="V95" s="47">
        <f ca="1">'Monthly Data'!G95+'Monthly Data'!H95</f>
        <v>1200180.4338772651</v>
      </c>
      <c r="W95" s="47">
        <f t="shared" ca="1" si="22"/>
        <v>76697886.800864264</v>
      </c>
      <c r="X95" s="47">
        <f t="shared" ca="1" si="23"/>
        <v>4117641.7833345085</v>
      </c>
      <c r="Y95" s="18">
        <f t="shared" ca="1" si="24"/>
        <v>5.6732266229467893E-2</v>
      </c>
    </row>
    <row r="96" spans="1:25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Data'!F96</f>
        <v>78604324.844152153</v>
      </c>
      <c r="E96" s="3">
        <f>'Monthly Data'!CN96</f>
        <v>471.83333333333348</v>
      </c>
      <c r="F96" s="3">
        <f>'Monthly Data'!CS96</f>
        <v>0</v>
      </c>
      <c r="G96" s="3">
        <f>'Monthly Data'!EM96</f>
        <v>117.95833333333337</v>
      </c>
      <c r="H96" s="3">
        <f>'Monthly Data'!ER96</f>
        <v>0</v>
      </c>
      <c r="I96" s="3">
        <f>'Monthly Data'!EG96</f>
        <v>1</v>
      </c>
      <c r="J96" s="3">
        <f>'Monthly Data'!DQ96</f>
        <v>30</v>
      </c>
      <c r="K96" s="3">
        <f>'Monthly Data'!EH96</f>
        <v>95</v>
      </c>
      <c r="M96" s="3">
        <f t="shared" si="25"/>
        <v>-11000000</v>
      </c>
      <c r="N96" s="3">
        <f t="shared" si="26"/>
        <v>22162417.443333339</v>
      </c>
      <c r="O96" s="3">
        <f t="shared" si="27"/>
        <v>0</v>
      </c>
      <c r="P96" s="3">
        <f t="shared" si="28"/>
        <v>976318.83087500033</v>
      </c>
      <c r="Q96" s="3">
        <f t="shared" si="29"/>
        <v>0</v>
      </c>
      <c r="R96" s="3">
        <f t="shared" si="30"/>
        <v>-3105221</v>
      </c>
      <c r="S96" s="3">
        <f t="shared" si="31"/>
        <v>58824930</v>
      </c>
      <c r="T96" s="3">
        <f t="shared" si="32"/>
        <v>12725943.499999998</v>
      </c>
      <c r="U96" s="47">
        <f t="shared" si="21"/>
        <v>80584388.774208337</v>
      </c>
      <c r="V96" s="47">
        <f ca="1">'Monthly Data'!G96+'Monthly Data'!H96</f>
        <v>1543982.5177568204</v>
      </c>
      <c r="W96" s="47">
        <f t="shared" ca="1" si="22"/>
        <v>82128371.291965157</v>
      </c>
      <c r="X96" s="47">
        <f t="shared" ca="1" si="23"/>
        <v>3524046.4478130043</v>
      </c>
      <c r="Y96" s="18">
        <f t="shared" ca="1" si="24"/>
        <v>4.483272968504072E-2</v>
      </c>
    </row>
    <row r="97" spans="1:25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Data'!F97</f>
        <v>95095994.174302921</v>
      </c>
      <c r="E97" s="3">
        <f>'Monthly Data'!CN97</f>
        <v>647.12083333333328</v>
      </c>
      <c r="F97" s="3">
        <f>'Monthly Data'!CS97</f>
        <v>0</v>
      </c>
      <c r="G97" s="3">
        <f>'Monthly Data'!EM97</f>
        <v>161.78020833333332</v>
      </c>
      <c r="H97" s="3">
        <f>'Monthly Data'!ER97</f>
        <v>0</v>
      </c>
      <c r="I97" s="3">
        <f>'Monthly Data'!EG97</f>
        <v>0</v>
      </c>
      <c r="J97" s="3">
        <f>'Monthly Data'!DQ97</f>
        <v>31</v>
      </c>
      <c r="K97" s="3">
        <f>'Monthly Data'!EH97</f>
        <v>96</v>
      </c>
      <c r="M97" s="3">
        <f t="shared" si="25"/>
        <v>-11000000</v>
      </c>
      <c r="N97" s="3">
        <f t="shared" si="26"/>
        <v>30395822.06558333</v>
      </c>
      <c r="O97" s="3">
        <f t="shared" si="27"/>
        <v>0</v>
      </c>
      <c r="P97" s="3">
        <f t="shared" si="28"/>
        <v>1339024.2079156248</v>
      </c>
      <c r="Q97" s="3">
        <f t="shared" si="29"/>
        <v>0</v>
      </c>
      <c r="R97" s="3">
        <f t="shared" si="30"/>
        <v>0</v>
      </c>
      <c r="S97" s="3">
        <f t="shared" si="31"/>
        <v>60785761</v>
      </c>
      <c r="T97" s="3">
        <f t="shared" si="32"/>
        <v>12859900.799999999</v>
      </c>
      <c r="U97" s="47">
        <f t="shared" si="21"/>
        <v>94380508.073498949</v>
      </c>
      <c r="V97" s="47">
        <f ca="1">'Monthly Data'!G97+'Monthly Data'!H97</f>
        <v>1956160.5752069755</v>
      </c>
      <c r="W97" s="47">
        <f t="shared" ca="1" si="22"/>
        <v>96336668.64870593</v>
      </c>
      <c r="X97" s="47">
        <f t="shared" ca="1" si="23"/>
        <v>1240674.4744030088</v>
      </c>
      <c r="Y97" s="18">
        <f t="shared" ca="1" si="24"/>
        <v>1.3046548229244623E-2</v>
      </c>
    </row>
    <row r="98" spans="1:25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Data'!F98</f>
        <v>93579093.204758495</v>
      </c>
      <c r="E98" s="3">
        <f>'Monthly Data'!CN98</f>
        <v>666.07083333333355</v>
      </c>
      <c r="F98" s="3">
        <f>'Monthly Data'!CS98</f>
        <v>0</v>
      </c>
      <c r="G98" s="3">
        <f>'Monthly Data'!EM98</f>
        <v>0</v>
      </c>
      <c r="H98" s="3">
        <f>'Monthly Data'!ER98</f>
        <v>0</v>
      </c>
      <c r="I98" s="3">
        <f>'Monthly Data'!EG98</f>
        <v>0</v>
      </c>
      <c r="J98" s="3">
        <f>'Monthly Data'!DQ98</f>
        <v>31</v>
      </c>
      <c r="K98" s="3">
        <f>'Monthly Data'!EH98</f>
        <v>97</v>
      </c>
      <c r="M98" s="3">
        <f t="shared" ref="M98:M121" si="33">$AC$8</f>
        <v>-11000000</v>
      </c>
      <c r="N98" s="3">
        <f t="shared" ref="N98:N121" si="34">E98*$AC$9</f>
        <v>31285919.862583343</v>
      </c>
      <c r="O98" s="3">
        <f t="shared" ref="O98:O121" si="35">F98*$AC$10</f>
        <v>0</v>
      </c>
      <c r="P98" s="3">
        <f t="shared" ref="P98:P121" si="36">G98*$AC$11</f>
        <v>0</v>
      </c>
      <c r="Q98" s="3">
        <f t="shared" ref="Q98:Q121" si="37">H98*$AC$12</f>
        <v>0</v>
      </c>
      <c r="R98" s="3">
        <f t="shared" ref="R98:R121" si="38">I98*$AC$13</f>
        <v>0</v>
      </c>
      <c r="S98" s="3">
        <f t="shared" ref="S98:S121" si="39">J98*$AC$14</f>
        <v>60785761</v>
      </c>
      <c r="T98" s="3">
        <f t="shared" ref="T98:T121" si="40">K98*$AC$15</f>
        <v>12993858.1</v>
      </c>
      <c r="U98" s="47">
        <f t="shared" si="21"/>
        <v>94065538.962583333</v>
      </c>
      <c r="V98" s="47">
        <f ca="1">'Monthly Data'!G98+'Monthly Data'!H98</f>
        <v>2542493.42053797</v>
      </c>
      <c r="W98" s="47">
        <f t="shared" ca="1" si="22"/>
        <v>96608032.383121297</v>
      </c>
      <c r="X98" s="47">
        <f t="shared" ca="1" si="23"/>
        <v>3028939.1783628017</v>
      </c>
      <c r="Y98" s="18">
        <f t="shared" ca="1" si="24"/>
        <v>3.2367691058249964E-2</v>
      </c>
    </row>
    <row r="99" spans="1:25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Data'!F99</f>
        <v>85577819.321666092</v>
      </c>
      <c r="E99" s="3">
        <f>'Monthly Data'!CN99</f>
        <v>629.43333333333328</v>
      </c>
      <c r="F99" s="3">
        <f>'Monthly Data'!CS99</f>
        <v>0</v>
      </c>
      <c r="G99" s="3">
        <f>'Monthly Data'!EM99</f>
        <v>0</v>
      </c>
      <c r="H99" s="3">
        <f>'Monthly Data'!ER99</f>
        <v>0</v>
      </c>
      <c r="I99" s="3">
        <f>'Monthly Data'!EG99</f>
        <v>0</v>
      </c>
      <c r="J99" s="3">
        <f>'Monthly Data'!DQ99</f>
        <v>28</v>
      </c>
      <c r="K99" s="3">
        <f>'Monthly Data'!EH99</f>
        <v>98</v>
      </c>
      <c r="M99" s="3">
        <f t="shared" si="33"/>
        <v>-11000000</v>
      </c>
      <c r="N99" s="3">
        <f t="shared" si="34"/>
        <v>29565024.97933333</v>
      </c>
      <c r="O99" s="3">
        <f t="shared" si="35"/>
        <v>0</v>
      </c>
      <c r="P99" s="3">
        <f t="shared" si="36"/>
        <v>0</v>
      </c>
      <c r="Q99" s="3">
        <f t="shared" si="37"/>
        <v>0</v>
      </c>
      <c r="R99" s="3">
        <f t="shared" si="38"/>
        <v>0</v>
      </c>
      <c r="S99" s="3">
        <f t="shared" si="39"/>
        <v>54903268</v>
      </c>
      <c r="T99" s="3">
        <f t="shared" si="40"/>
        <v>13127815.399999999</v>
      </c>
      <c r="U99" s="47">
        <f t="shared" si="21"/>
        <v>86596108.379333317</v>
      </c>
      <c r="V99" s="47">
        <f ca="1">'Monthly Data'!G99+'Monthly Data'!H99</f>
        <v>2474772.6570575563</v>
      </c>
      <c r="W99" s="47">
        <f t="shared" ca="1" si="22"/>
        <v>89070881.036390871</v>
      </c>
      <c r="X99" s="47">
        <f t="shared" ca="1" si="23"/>
        <v>3493061.7147247791</v>
      </c>
      <c r="Y99" s="18">
        <f t="shared" ca="1" si="24"/>
        <v>4.0817372333305367E-2</v>
      </c>
    </row>
    <row r="100" spans="1:25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Data'!F100</f>
        <v>87673851.95936197</v>
      </c>
      <c r="E100" s="3">
        <f>'Monthly Data'!CN100</f>
        <v>613.0333333333333</v>
      </c>
      <c r="F100" s="3">
        <f>'Monthly Data'!CS100</f>
        <v>0</v>
      </c>
      <c r="G100" s="3">
        <f>'Monthly Data'!EM100</f>
        <v>0</v>
      </c>
      <c r="H100" s="3">
        <f>'Monthly Data'!ER100</f>
        <v>0</v>
      </c>
      <c r="I100" s="3">
        <f>'Monthly Data'!EG100</f>
        <v>1</v>
      </c>
      <c r="J100" s="3">
        <f>'Monthly Data'!DQ100</f>
        <v>31</v>
      </c>
      <c r="K100" s="3">
        <f>'Monthly Data'!EH100</f>
        <v>99</v>
      </c>
      <c r="M100" s="3">
        <f t="shared" si="33"/>
        <v>-11000000</v>
      </c>
      <c r="N100" s="3">
        <f t="shared" si="34"/>
        <v>28794702.875333332</v>
      </c>
      <c r="O100" s="3">
        <f t="shared" si="35"/>
        <v>0</v>
      </c>
      <c r="P100" s="3">
        <f t="shared" si="36"/>
        <v>0</v>
      </c>
      <c r="Q100" s="3">
        <f t="shared" si="37"/>
        <v>0</v>
      </c>
      <c r="R100" s="3">
        <f t="shared" si="38"/>
        <v>-3105221</v>
      </c>
      <c r="S100" s="3">
        <f t="shared" si="39"/>
        <v>60785761</v>
      </c>
      <c r="T100" s="3">
        <f t="shared" si="40"/>
        <v>13261772.699999999</v>
      </c>
      <c r="U100" s="47">
        <f t="shared" si="21"/>
        <v>88737015.575333342</v>
      </c>
      <c r="V100" s="47">
        <f ca="1">'Monthly Data'!G100+'Monthly Data'!H100</f>
        <v>2432395.7576454449</v>
      </c>
      <c r="W100" s="47">
        <f t="shared" ca="1" si="22"/>
        <v>91169411.332978785</v>
      </c>
      <c r="X100" s="47">
        <f t="shared" ca="1" si="23"/>
        <v>3495559.3736168146</v>
      </c>
      <c r="Y100" s="18">
        <f t="shared" ca="1" si="24"/>
        <v>3.9870033031479603E-2</v>
      </c>
    </row>
    <row r="101" spans="1:25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Data'!F101</f>
        <v>74584412.929031551</v>
      </c>
      <c r="E101" s="3">
        <f>'Monthly Data'!CN101</f>
        <v>361.4</v>
      </c>
      <c r="F101" s="3">
        <f>'Monthly Data'!CS101</f>
        <v>1.75833333333334</v>
      </c>
      <c r="G101" s="3">
        <f>'Monthly Data'!EM101</f>
        <v>0</v>
      </c>
      <c r="H101" s="3">
        <f>'Monthly Data'!ER101</f>
        <v>0</v>
      </c>
      <c r="I101" s="3">
        <f>'Monthly Data'!EG101</f>
        <v>1</v>
      </c>
      <c r="J101" s="3">
        <f>'Monthly Data'!DQ101</f>
        <v>30</v>
      </c>
      <c r="K101" s="3">
        <f>'Monthly Data'!EH101</f>
        <v>100</v>
      </c>
      <c r="M101" s="3">
        <f t="shared" si="33"/>
        <v>-11000000</v>
      </c>
      <c r="N101" s="3">
        <f t="shared" si="34"/>
        <v>16975268.803999998</v>
      </c>
      <c r="O101" s="3">
        <f t="shared" si="35"/>
        <v>484117.69666666846</v>
      </c>
      <c r="P101" s="3">
        <f t="shared" si="36"/>
        <v>0</v>
      </c>
      <c r="Q101" s="3">
        <f t="shared" si="37"/>
        <v>0</v>
      </c>
      <c r="R101" s="3">
        <f t="shared" si="38"/>
        <v>-3105221</v>
      </c>
      <c r="S101" s="3">
        <f t="shared" si="39"/>
        <v>58824930</v>
      </c>
      <c r="T101" s="3">
        <f t="shared" si="40"/>
        <v>13395729.999999998</v>
      </c>
      <c r="U101" s="47">
        <f t="shared" si="21"/>
        <v>75574825.500666663</v>
      </c>
      <c r="V101" s="47">
        <f ca="1">'Monthly Data'!G101+'Monthly Data'!H101</f>
        <v>1690902.5351028733</v>
      </c>
      <c r="W101" s="47">
        <f t="shared" ca="1" si="22"/>
        <v>77265728.035769537</v>
      </c>
      <c r="X101" s="47">
        <f t="shared" ca="1" si="23"/>
        <v>2681315.1067379862</v>
      </c>
      <c r="Y101" s="18">
        <f t="shared" ca="1" si="24"/>
        <v>3.5950073231645695E-2</v>
      </c>
    </row>
    <row r="102" spans="1:25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Data'!F102</f>
        <v>73036288.682926536</v>
      </c>
      <c r="E102" s="3">
        <f>'Monthly Data'!CN102</f>
        <v>219.04750000000001</v>
      </c>
      <c r="F102" s="3">
        <f>'Monthly Data'!CS102</f>
        <v>19.570833333333329</v>
      </c>
      <c r="G102" s="3">
        <f>'Monthly Data'!EM102</f>
        <v>0</v>
      </c>
      <c r="H102" s="3">
        <f>'Monthly Data'!ER102</f>
        <v>0</v>
      </c>
      <c r="I102" s="3">
        <f>'Monthly Data'!EG102</f>
        <v>1</v>
      </c>
      <c r="J102" s="3">
        <f>'Monthly Data'!DQ102</f>
        <v>31</v>
      </c>
      <c r="K102" s="3">
        <f>'Monthly Data'!EH102</f>
        <v>101</v>
      </c>
      <c r="M102" s="3">
        <f t="shared" si="33"/>
        <v>-11000000</v>
      </c>
      <c r="N102" s="3">
        <f t="shared" si="34"/>
        <v>10288849.455850001</v>
      </c>
      <c r="O102" s="3">
        <f t="shared" si="35"/>
        <v>5388390.5716666654</v>
      </c>
      <c r="P102" s="3">
        <f t="shared" si="36"/>
        <v>0</v>
      </c>
      <c r="Q102" s="3">
        <f t="shared" si="37"/>
        <v>0</v>
      </c>
      <c r="R102" s="3">
        <f t="shared" si="38"/>
        <v>-3105221</v>
      </c>
      <c r="S102" s="3">
        <f t="shared" si="39"/>
        <v>60785761</v>
      </c>
      <c r="T102" s="3">
        <f t="shared" si="40"/>
        <v>13529687.299999999</v>
      </c>
      <c r="U102" s="47">
        <f t="shared" si="21"/>
        <v>75887467.32751666</v>
      </c>
      <c r="V102" s="47">
        <f ca="1">'Monthly Data'!G102+'Monthly Data'!H102</f>
        <v>1293370.5439018495</v>
      </c>
      <c r="W102" s="47">
        <f t="shared" ca="1" si="22"/>
        <v>77180837.871418506</v>
      </c>
      <c r="X102" s="47">
        <f t="shared" ca="1" si="23"/>
        <v>4144549.1884919703</v>
      </c>
      <c r="Y102" s="18">
        <f t="shared" ca="1" si="24"/>
        <v>5.674643746596654E-2</v>
      </c>
    </row>
    <row r="103" spans="1:25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Data'!F103</f>
        <v>87853574.731743038</v>
      </c>
      <c r="E103" s="3">
        <f>'Monthly Data'!CN103</f>
        <v>55.599999999999994</v>
      </c>
      <c r="F103" s="3">
        <f>'Monthly Data'!CS103</f>
        <v>89.8125</v>
      </c>
      <c r="G103" s="3">
        <f>'Monthly Data'!EM103</f>
        <v>0</v>
      </c>
      <c r="H103" s="3">
        <f>'Monthly Data'!ER103</f>
        <v>0</v>
      </c>
      <c r="I103" s="3">
        <f>'Monthly Data'!EG103</f>
        <v>0</v>
      </c>
      <c r="J103" s="3">
        <f>'Monthly Data'!DQ103</f>
        <v>30</v>
      </c>
      <c r="K103" s="3">
        <f>'Monthly Data'!EH103</f>
        <v>102</v>
      </c>
      <c r="M103" s="3">
        <f t="shared" si="33"/>
        <v>-11000000</v>
      </c>
      <c r="N103" s="3">
        <f t="shared" si="34"/>
        <v>2611579.8159999996</v>
      </c>
      <c r="O103" s="3">
        <f t="shared" si="35"/>
        <v>24727860.074999999</v>
      </c>
      <c r="P103" s="3">
        <f t="shared" si="36"/>
        <v>0</v>
      </c>
      <c r="Q103" s="3">
        <f t="shared" si="37"/>
        <v>0</v>
      </c>
      <c r="R103" s="3">
        <f t="shared" si="38"/>
        <v>0</v>
      </c>
      <c r="S103" s="3">
        <f t="shared" si="39"/>
        <v>58824930</v>
      </c>
      <c r="T103" s="3">
        <f t="shared" si="40"/>
        <v>13663644.6</v>
      </c>
      <c r="U103" s="47">
        <f t="shared" si="21"/>
        <v>88828014.490999997</v>
      </c>
      <c r="V103" s="47">
        <f ca="1">'Monthly Data'!G103+'Monthly Data'!H103</f>
        <v>882650.00067580317</v>
      </c>
      <c r="W103" s="47">
        <f t="shared" ca="1" si="22"/>
        <v>89710664.491675794</v>
      </c>
      <c r="X103" s="47">
        <f t="shared" ca="1" si="23"/>
        <v>1857089.7599327564</v>
      </c>
      <c r="Y103" s="18">
        <f t="shared" ca="1" si="24"/>
        <v>2.1138465516096494E-2</v>
      </c>
    </row>
    <row r="104" spans="1:25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Data'!F104</f>
        <v>111106802.19979022</v>
      </c>
      <c r="E104" s="3">
        <f>'Monthly Data'!CN104</f>
        <v>7.3166666666666593</v>
      </c>
      <c r="F104" s="3">
        <f>'Monthly Data'!CS104</f>
        <v>161.78333333333336</v>
      </c>
      <c r="G104" s="3">
        <f>'Monthly Data'!EM104</f>
        <v>0</v>
      </c>
      <c r="H104" s="3">
        <f>'Monthly Data'!ER104</f>
        <v>0</v>
      </c>
      <c r="I104" s="3">
        <f>'Monthly Data'!EG104</f>
        <v>0</v>
      </c>
      <c r="J104" s="3">
        <f>'Monthly Data'!DQ104</f>
        <v>31</v>
      </c>
      <c r="K104" s="3">
        <f>'Monthly Data'!EH104</f>
        <v>103</v>
      </c>
      <c r="M104" s="3">
        <f t="shared" si="33"/>
        <v>-11000000</v>
      </c>
      <c r="N104" s="3">
        <f t="shared" si="34"/>
        <v>343670.12566666631</v>
      </c>
      <c r="O104" s="3">
        <f t="shared" si="35"/>
        <v>44543416.88666667</v>
      </c>
      <c r="P104" s="3">
        <f t="shared" si="36"/>
        <v>0</v>
      </c>
      <c r="Q104" s="3">
        <f t="shared" si="37"/>
        <v>0</v>
      </c>
      <c r="R104" s="3">
        <f t="shared" si="38"/>
        <v>0</v>
      </c>
      <c r="S104" s="3">
        <f t="shared" si="39"/>
        <v>60785761</v>
      </c>
      <c r="T104" s="3">
        <f t="shared" si="40"/>
        <v>13797601.899999999</v>
      </c>
      <c r="U104" s="47">
        <f t="shared" si="21"/>
        <v>108470449.91233334</v>
      </c>
      <c r="V104" s="47">
        <f ca="1">'Monthly Data'!G104+'Monthly Data'!H104</f>
        <v>843606.1334628613</v>
      </c>
      <c r="W104" s="47">
        <f t="shared" ca="1" si="22"/>
        <v>109314056.0457962</v>
      </c>
      <c r="X104" s="47">
        <f t="shared" ca="1" si="23"/>
        <v>-1792746.1539940238</v>
      </c>
      <c r="Y104" s="18">
        <f t="shared" ca="1" si="24"/>
        <v>1.613534111773229E-2</v>
      </c>
    </row>
    <row r="105" spans="1:25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Data'!F105</f>
        <v>96064386.899557218</v>
      </c>
      <c r="E105" s="3">
        <f>'Monthly Data'!CN105</f>
        <v>32.211775362318839</v>
      </c>
      <c r="F105" s="3">
        <f>'Monthly Data'!CS105</f>
        <v>105.41739130434784</v>
      </c>
      <c r="G105" s="3">
        <f>'Monthly Data'!EM105</f>
        <v>0</v>
      </c>
      <c r="H105" s="3">
        <f>'Monthly Data'!ER105</f>
        <v>0</v>
      </c>
      <c r="I105" s="3">
        <f>'Monthly Data'!EG105</f>
        <v>0</v>
      </c>
      <c r="J105" s="3">
        <f>'Monthly Data'!DQ105</f>
        <v>31</v>
      </c>
      <c r="K105" s="3">
        <f>'Monthly Data'!EH105</f>
        <v>104</v>
      </c>
      <c r="M105" s="3">
        <f t="shared" si="33"/>
        <v>-11000000</v>
      </c>
      <c r="N105" s="3">
        <f t="shared" si="34"/>
        <v>1513014.7908949275</v>
      </c>
      <c r="O105" s="3">
        <f t="shared" si="35"/>
        <v>29024317.34608696</v>
      </c>
      <c r="P105" s="3">
        <f t="shared" si="36"/>
        <v>0</v>
      </c>
      <c r="Q105" s="3">
        <f t="shared" si="37"/>
        <v>0</v>
      </c>
      <c r="R105" s="3">
        <f t="shared" si="38"/>
        <v>0</v>
      </c>
      <c r="S105" s="3">
        <f t="shared" si="39"/>
        <v>60785761</v>
      </c>
      <c r="T105" s="3">
        <f t="shared" si="40"/>
        <v>13931559.199999999</v>
      </c>
      <c r="U105" s="47">
        <f t="shared" si="21"/>
        <v>94254652.336981893</v>
      </c>
      <c r="V105" s="47">
        <f ca="1">'Monthly Data'!G105+'Monthly Data'!H105</f>
        <v>898297.38717426162</v>
      </c>
      <c r="W105" s="47">
        <f t="shared" ca="1" si="22"/>
        <v>95152949.724156156</v>
      </c>
      <c r="X105" s="47">
        <f t="shared" ca="1" si="23"/>
        <v>-911437.17540106177</v>
      </c>
      <c r="Y105" s="18">
        <f t="shared" ca="1" si="24"/>
        <v>9.4877738235506579E-3</v>
      </c>
    </row>
    <row r="106" spans="1:25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Data'!F106</f>
        <v>84287938.705913395</v>
      </c>
      <c r="E106" s="3">
        <f>'Monthly Data'!CN106</f>
        <v>95.22083333333336</v>
      </c>
      <c r="F106" s="3">
        <f>'Monthly Data'!CS106</f>
        <v>58.208333333333314</v>
      </c>
      <c r="G106" s="3">
        <f>'Monthly Data'!EM106</f>
        <v>0</v>
      </c>
      <c r="H106" s="3">
        <f>'Monthly Data'!ER106</f>
        <v>0</v>
      </c>
      <c r="I106" s="3">
        <f>'Monthly Data'!EG106</f>
        <v>1</v>
      </c>
      <c r="J106" s="3">
        <f>'Monthly Data'!DQ106</f>
        <v>30</v>
      </c>
      <c r="K106" s="3">
        <f>'Monthly Data'!EH106</f>
        <v>105</v>
      </c>
      <c r="M106" s="3">
        <f t="shared" si="33"/>
        <v>-11000000</v>
      </c>
      <c r="N106" s="3">
        <f t="shared" si="34"/>
        <v>4472604.4315833347</v>
      </c>
      <c r="O106" s="3">
        <f t="shared" si="35"/>
        <v>16026360.716666659</v>
      </c>
      <c r="P106" s="3">
        <f t="shared" si="36"/>
        <v>0</v>
      </c>
      <c r="Q106" s="3">
        <f t="shared" si="37"/>
        <v>0</v>
      </c>
      <c r="R106" s="3">
        <f t="shared" si="38"/>
        <v>-3105221</v>
      </c>
      <c r="S106" s="3">
        <f t="shared" si="39"/>
        <v>58824930</v>
      </c>
      <c r="T106" s="3">
        <f t="shared" si="40"/>
        <v>14065516.499999998</v>
      </c>
      <c r="U106" s="47">
        <f t="shared" si="21"/>
        <v>79284190.648249999</v>
      </c>
      <c r="V106" s="47">
        <f ca="1">'Monthly Data'!G106+'Monthly Data'!H106</f>
        <v>1042724.1231710005</v>
      </c>
      <c r="W106" s="47">
        <f t="shared" ca="1" si="22"/>
        <v>80326914.771421</v>
      </c>
      <c r="X106" s="47">
        <f t="shared" ca="1" si="23"/>
        <v>-3961023.9344923943</v>
      </c>
      <c r="Y106" s="18">
        <f t="shared" ca="1" si="24"/>
        <v>4.699395898519583E-2</v>
      </c>
    </row>
    <row r="107" spans="1:25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Data'!F107</f>
        <v>78780244.738250986</v>
      </c>
      <c r="E107" s="3">
        <f>'Monthly Data'!CN107</f>
        <v>261.85000000000002</v>
      </c>
      <c r="F107" s="3">
        <f>'Monthly Data'!CS107</f>
        <v>19.579166666666676</v>
      </c>
      <c r="G107" s="3">
        <f>'Monthly Data'!EM107</f>
        <v>0</v>
      </c>
      <c r="H107" s="3">
        <f>'Monthly Data'!ER107</f>
        <v>0</v>
      </c>
      <c r="I107" s="3">
        <f>'Monthly Data'!EG107</f>
        <v>1</v>
      </c>
      <c r="J107" s="3">
        <f>'Monthly Data'!DQ107</f>
        <v>31</v>
      </c>
      <c r="K107" s="3">
        <f>'Monthly Data'!EH107</f>
        <v>106</v>
      </c>
      <c r="M107" s="3">
        <f t="shared" si="33"/>
        <v>-11000000</v>
      </c>
      <c r="N107" s="3">
        <f t="shared" si="34"/>
        <v>12299319.691000002</v>
      </c>
      <c r="O107" s="3">
        <f t="shared" si="35"/>
        <v>5390684.9683333356</v>
      </c>
      <c r="P107" s="3">
        <f t="shared" si="36"/>
        <v>0</v>
      </c>
      <c r="Q107" s="3">
        <f t="shared" si="37"/>
        <v>0</v>
      </c>
      <c r="R107" s="3">
        <f t="shared" si="38"/>
        <v>-3105221</v>
      </c>
      <c r="S107" s="3">
        <f t="shared" si="39"/>
        <v>60785761</v>
      </c>
      <c r="T107" s="3">
        <f t="shared" si="40"/>
        <v>14199473.799999999</v>
      </c>
      <c r="U107" s="47">
        <f t="shared" si="21"/>
        <v>78570018.45933333</v>
      </c>
      <c r="V107" s="47">
        <f ca="1">'Monthly Data'!G107+'Monthly Data'!H107</f>
        <v>1560181.2590278911</v>
      </c>
      <c r="W107" s="47">
        <f t="shared" ca="1" si="22"/>
        <v>80130199.718361229</v>
      </c>
      <c r="X107" s="47">
        <f t="shared" ca="1" si="23"/>
        <v>1349954.980110243</v>
      </c>
      <c r="Y107" s="18">
        <f t="shared" ca="1" si="24"/>
        <v>1.7135704320232776E-2</v>
      </c>
    </row>
    <row r="108" spans="1:25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Data'!F108</f>
        <v>87301898.996285781</v>
      </c>
      <c r="E108" s="3">
        <f>'Monthly Data'!CN108</f>
        <v>510.59311594202899</v>
      </c>
      <c r="F108" s="3">
        <f>'Monthly Data'!CS108</f>
        <v>0</v>
      </c>
      <c r="G108" s="3">
        <f>'Monthly Data'!EM108</f>
        <v>0</v>
      </c>
      <c r="H108" s="3">
        <f>'Monthly Data'!ER108</f>
        <v>0</v>
      </c>
      <c r="I108" s="3">
        <f>'Monthly Data'!EG108</f>
        <v>1</v>
      </c>
      <c r="J108" s="3">
        <f>'Monthly Data'!DQ108</f>
        <v>30</v>
      </c>
      <c r="K108" s="3">
        <f>'Monthly Data'!EH108</f>
        <v>107</v>
      </c>
      <c r="M108" s="3">
        <f t="shared" si="33"/>
        <v>-11000000</v>
      </c>
      <c r="N108" s="3">
        <f t="shared" si="34"/>
        <v>23982997.765876811</v>
      </c>
      <c r="O108" s="3">
        <f t="shared" si="35"/>
        <v>0</v>
      </c>
      <c r="P108" s="3">
        <f t="shared" si="36"/>
        <v>0</v>
      </c>
      <c r="Q108" s="3">
        <f t="shared" si="37"/>
        <v>0</v>
      </c>
      <c r="R108" s="3">
        <f t="shared" si="38"/>
        <v>-3105221</v>
      </c>
      <c r="S108" s="3">
        <f t="shared" si="39"/>
        <v>58824930</v>
      </c>
      <c r="T108" s="3">
        <f t="shared" si="40"/>
        <v>14333431.1</v>
      </c>
      <c r="U108" s="47">
        <f t="shared" si="21"/>
        <v>83036137.865876809</v>
      </c>
      <c r="V108" s="47">
        <f ca="1">'Monthly Data'!G108+'Monthly Data'!H108</f>
        <v>2335696.4621341433</v>
      </c>
      <c r="W108" s="47">
        <f t="shared" ca="1" si="22"/>
        <v>85371834.328010947</v>
      </c>
      <c r="X108" s="47">
        <f t="shared" ca="1" si="23"/>
        <v>-1930064.6682748348</v>
      </c>
      <c r="Y108" s="18">
        <f t="shared" ca="1" si="24"/>
        <v>2.2107934540541305E-2</v>
      </c>
    </row>
    <row r="109" spans="1:25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Data'!F109</f>
        <v>94966349.46302478</v>
      </c>
      <c r="E109" s="3">
        <f>'Monthly Data'!CN109</f>
        <v>551.67916666666667</v>
      </c>
      <c r="F109" s="3">
        <f>'Monthly Data'!CS109</f>
        <v>0</v>
      </c>
      <c r="G109" s="3">
        <f>'Monthly Data'!EM109</f>
        <v>0</v>
      </c>
      <c r="H109" s="3">
        <f>'Monthly Data'!ER109</f>
        <v>0</v>
      </c>
      <c r="I109" s="3">
        <f>'Monthly Data'!EG109</f>
        <v>0</v>
      </c>
      <c r="J109" s="3">
        <f>'Monthly Data'!DQ109</f>
        <v>31</v>
      </c>
      <c r="K109" s="3">
        <f>'Monthly Data'!EH109</f>
        <v>108</v>
      </c>
      <c r="M109" s="3">
        <f t="shared" si="33"/>
        <v>-11000000</v>
      </c>
      <c r="N109" s="3">
        <f t="shared" si="34"/>
        <v>25912844.902416669</v>
      </c>
      <c r="O109" s="3">
        <f t="shared" si="35"/>
        <v>0</v>
      </c>
      <c r="P109" s="3">
        <f t="shared" si="36"/>
        <v>0</v>
      </c>
      <c r="Q109" s="3">
        <f t="shared" si="37"/>
        <v>0</v>
      </c>
      <c r="R109" s="3">
        <f t="shared" si="38"/>
        <v>0</v>
      </c>
      <c r="S109" s="3">
        <f t="shared" si="39"/>
        <v>60785761</v>
      </c>
      <c r="T109" s="3">
        <f t="shared" si="40"/>
        <v>14467388.399999999</v>
      </c>
      <c r="U109" s="47">
        <f t="shared" si="21"/>
        <v>90165994.302416682</v>
      </c>
      <c r="V109" s="47">
        <f ca="1">'Monthly Data'!G109+'Monthly Data'!H109</f>
        <v>2482490.3198281853</v>
      </c>
      <c r="W109" s="47">
        <f t="shared" ca="1" si="22"/>
        <v>92648484.622244865</v>
      </c>
      <c r="X109" s="47">
        <f t="shared" ca="1" si="23"/>
        <v>-2317864.8407799155</v>
      </c>
      <c r="Y109" s="18">
        <f t="shared" ca="1" si="24"/>
        <v>2.440722270452628E-2</v>
      </c>
    </row>
    <row r="110" spans="1:25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Data'!F110</f>
        <v>101247045.04837896</v>
      </c>
      <c r="E110" s="3">
        <f>'Monthly Data'!CN110</f>
        <v>698.99583333333328</v>
      </c>
      <c r="F110" s="3">
        <f>'Monthly Data'!CS110</f>
        <v>0</v>
      </c>
      <c r="G110" s="3">
        <f>'Monthly Data'!EM110</f>
        <v>0</v>
      </c>
      <c r="H110" s="3">
        <f>'Monthly Data'!ER110</f>
        <v>0</v>
      </c>
      <c r="I110" s="3">
        <f>'Monthly Data'!EG110</f>
        <v>0</v>
      </c>
      <c r="J110" s="3">
        <f>'Monthly Data'!DQ110</f>
        <v>31</v>
      </c>
      <c r="K110" s="3">
        <f>'Monthly Data'!EH110</f>
        <v>109</v>
      </c>
      <c r="M110" s="3">
        <f t="shared" si="33"/>
        <v>-11000000</v>
      </c>
      <c r="N110" s="3">
        <f t="shared" si="34"/>
        <v>32832435.42808333</v>
      </c>
      <c r="O110" s="3">
        <f t="shared" si="35"/>
        <v>0</v>
      </c>
      <c r="P110" s="3">
        <f t="shared" si="36"/>
        <v>0</v>
      </c>
      <c r="Q110" s="3">
        <f t="shared" si="37"/>
        <v>0</v>
      </c>
      <c r="R110" s="3">
        <f t="shared" si="38"/>
        <v>0</v>
      </c>
      <c r="S110" s="3">
        <f t="shared" si="39"/>
        <v>60785761</v>
      </c>
      <c r="T110" s="3">
        <f t="shared" si="40"/>
        <v>14601345.699999999</v>
      </c>
      <c r="U110" s="47">
        <f t="shared" ref="U110:U121" si="41">SUM(M110:T110)</f>
        <v>97219542.128083333</v>
      </c>
      <c r="V110" s="47">
        <f ca="1">'Monthly Data'!G110+'Monthly Data'!H110</f>
        <v>3573914.0583384987</v>
      </c>
      <c r="W110" s="47">
        <f t="shared" ca="1" si="22"/>
        <v>100793456.18642183</v>
      </c>
      <c r="X110" s="47">
        <f t="shared" ca="1" si="23"/>
        <v>-453588.86195713282</v>
      </c>
      <c r="Y110" s="18">
        <f t="shared" ref="Y110:Y121" ca="1" si="42">ABS(X110/D110)</f>
        <v>4.480020742732729E-3</v>
      </c>
    </row>
    <row r="111" spans="1:25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Data'!F111</f>
        <v>87916152.055644214</v>
      </c>
      <c r="E111" s="3">
        <f>'Monthly Data'!CN111</f>
        <v>600.96666666666647</v>
      </c>
      <c r="F111" s="3">
        <f>'Monthly Data'!CS111</f>
        <v>0</v>
      </c>
      <c r="G111" s="3">
        <f>'Monthly Data'!EM111</f>
        <v>0</v>
      </c>
      <c r="H111" s="3">
        <f>'Monthly Data'!ER111</f>
        <v>0</v>
      </c>
      <c r="I111" s="3">
        <f>'Monthly Data'!EG111</f>
        <v>0</v>
      </c>
      <c r="J111" s="3">
        <f>'Monthly Data'!DQ111</f>
        <v>29</v>
      </c>
      <c r="K111" s="3">
        <f>'Monthly Data'!EH111</f>
        <v>110</v>
      </c>
      <c r="M111" s="3">
        <f t="shared" si="33"/>
        <v>-11000000</v>
      </c>
      <c r="N111" s="3">
        <f t="shared" si="34"/>
        <v>28227921.164666656</v>
      </c>
      <c r="O111" s="3">
        <f t="shared" si="35"/>
        <v>0</v>
      </c>
      <c r="P111" s="3">
        <f t="shared" si="36"/>
        <v>0</v>
      </c>
      <c r="Q111" s="3">
        <f t="shared" si="37"/>
        <v>0</v>
      </c>
      <c r="R111" s="3">
        <f t="shared" si="38"/>
        <v>0</v>
      </c>
      <c r="S111" s="3">
        <f t="shared" si="39"/>
        <v>56864099</v>
      </c>
      <c r="T111" s="3">
        <f t="shared" si="40"/>
        <v>14735302.999999998</v>
      </c>
      <c r="U111" s="47">
        <f t="shared" si="41"/>
        <v>88827323.164666653</v>
      </c>
      <c r="V111" s="47">
        <f ca="1">'Monthly Data'!G111+'Monthly Data'!H111</f>
        <v>3230789.7113385848</v>
      </c>
      <c r="W111" s="47">
        <f t="shared" ca="1" si="22"/>
        <v>92058112.876005232</v>
      </c>
      <c r="X111" s="47">
        <f t="shared" ca="1" si="23"/>
        <v>4141960.8203610182</v>
      </c>
      <c r="Y111" s="18">
        <f t="shared" ca="1" si="42"/>
        <v>4.7112626332183799E-2</v>
      </c>
    </row>
    <row r="112" spans="1:25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Data'!F112</f>
        <v>87169578.756874055</v>
      </c>
      <c r="E112" s="3">
        <f>'Monthly Data'!CN112</f>
        <v>522.11249999999995</v>
      </c>
      <c r="F112" s="3">
        <f>'Monthly Data'!CS112</f>
        <v>0</v>
      </c>
      <c r="G112" s="3">
        <f>'Monthly Data'!EM112</f>
        <v>0</v>
      </c>
      <c r="H112" s="3">
        <f>'Monthly Data'!ER112</f>
        <v>0</v>
      </c>
      <c r="I112" s="3">
        <f>'Monthly Data'!EG112</f>
        <v>1</v>
      </c>
      <c r="J112" s="3">
        <f>'Monthly Data'!DQ112</f>
        <v>31</v>
      </c>
      <c r="K112" s="3">
        <f>'Monthly Data'!EH112</f>
        <v>111</v>
      </c>
      <c r="M112" s="3">
        <f t="shared" si="33"/>
        <v>-11000000</v>
      </c>
      <c r="N112" s="3">
        <f t="shared" si="34"/>
        <v>24524073.141749997</v>
      </c>
      <c r="O112" s="3">
        <f t="shared" si="35"/>
        <v>0</v>
      </c>
      <c r="P112" s="3">
        <f t="shared" si="36"/>
        <v>0</v>
      </c>
      <c r="Q112" s="3">
        <f t="shared" si="37"/>
        <v>0</v>
      </c>
      <c r="R112" s="3">
        <f t="shared" si="38"/>
        <v>-3105221</v>
      </c>
      <c r="S112" s="3">
        <f t="shared" si="39"/>
        <v>60785761</v>
      </c>
      <c r="T112" s="3">
        <f t="shared" si="40"/>
        <v>14869260.299999999</v>
      </c>
      <c r="U112" s="47">
        <f t="shared" si="41"/>
        <v>86073873.44174999</v>
      </c>
      <c r="V112" s="47">
        <f ca="1">'Monthly Data'!G112+'Monthly Data'!H112</f>
        <v>2932219.7908130479</v>
      </c>
      <c r="W112" s="47">
        <f t="shared" ca="1" si="22"/>
        <v>89006093.232563034</v>
      </c>
      <c r="X112" s="47">
        <f t="shared" ca="1" si="23"/>
        <v>1836514.475688979</v>
      </c>
      <c r="Y112" s="18">
        <f t="shared" ca="1" si="42"/>
        <v>2.1068295865134652E-2</v>
      </c>
    </row>
    <row r="113" spans="1:25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Data'!F113</f>
        <v>76729213.431629419</v>
      </c>
      <c r="E113" s="3">
        <f>'Monthly Data'!CN113</f>
        <v>368.29791666666671</v>
      </c>
      <c r="F113" s="3">
        <f>'Monthly Data'!CS113</f>
        <v>0</v>
      </c>
      <c r="G113" s="3">
        <f>'Monthly Data'!EM113</f>
        <v>0</v>
      </c>
      <c r="H113" s="3">
        <f>'Monthly Data'!ER113</f>
        <v>0</v>
      </c>
      <c r="I113" s="3">
        <f>'Monthly Data'!EG113</f>
        <v>1</v>
      </c>
      <c r="J113" s="3">
        <f>'Monthly Data'!DQ113</f>
        <v>30</v>
      </c>
      <c r="K113" s="3">
        <f>'Monthly Data'!EH113</f>
        <v>112</v>
      </c>
      <c r="M113" s="3">
        <f t="shared" si="33"/>
        <v>-11000000</v>
      </c>
      <c r="N113" s="3">
        <f t="shared" si="34"/>
        <v>17299269.88204167</v>
      </c>
      <c r="O113" s="3">
        <f t="shared" si="35"/>
        <v>0</v>
      </c>
      <c r="P113" s="3">
        <f t="shared" si="36"/>
        <v>0</v>
      </c>
      <c r="Q113" s="3">
        <f t="shared" si="37"/>
        <v>0</v>
      </c>
      <c r="R113" s="3">
        <f t="shared" si="38"/>
        <v>-3105221</v>
      </c>
      <c r="S113" s="3">
        <f t="shared" si="39"/>
        <v>58824930</v>
      </c>
      <c r="T113" s="3">
        <f t="shared" si="40"/>
        <v>15003217.599999998</v>
      </c>
      <c r="U113" s="47">
        <f t="shared" si="41"/>
        <v>77022196.482041672</v>
      </c>
      <c r="V113" s="47">
        <f ca="1">'Monthly Data'!G113+'Monthly Data'!H113</f>
        <v>2358706.5312255551</v>
      </c>
      <c r="W113" s="47">
        <f t="shared" ca="1" si="22"/>
        <v>79380903.013267234</v>
      </c>
      <c r="X113" s="47">
        <f t="shared" ca="1" si="23"/>
        <v>2651689.5816378146</v>
      </c>
      <c r="Y113" s="18">
        <f t="shared" ca="1" si="42"/>
        <v>3.4559061184702977E-2</v>
      </c>
    </row>
    <row r="114" spans="1:25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Data'!F114</f>
        <v>77383275.520381123</v>
      </c>
      <c r="E114" s="3">
        <f>'Monthly Data'!CN114</f>
        <v>143.5708333333333</v>
      </c>
      <c r="F114" s="3">
        <f>'Monthly Data'!CS114</f>
        <v>27.287500000000005</v>
      </c>
      <c r="G114" s="3">
        <f>'Monthly Data'!EM114</f>
        <v>0</v>
      </c>
      <c r="H114" s="3">
        <f>'Monthly Data'!ER114</f>
        <v>0</v>
      </c>
      <c r="I114" s="3">
        <f>'Monthly Data'!EG114</f>
        <v>1</v>
      </c>
      <c r="J114" s="3">
        <f>'Monthly Data'!DQ114</f>
        <v>31</v>
      </c>
      <c r="K114" s="3">
        <f>'Monthly Data'!EH114</f>
        <v>113</v>
      </c>
      <c r="M114" s="3">
        <f t="shared" si="33"/>
        <v>-11000000</v>
      </c>
      <c r="N114" s="3">
        <f t="shared" si="34"/>
        <v>6743645.5125833321</v>
      </c>
      <c r="O114" s="3">
        <f t="shared" si="35"/>
        <v>7513001.8850000007</v>
      </c>
      <c r="P114" s="3">
        <f t="shared" si="36"/>
        <v>0</v>
      </c>
      <c r="Q114" s="3">
        <f t="shared" si="37"/>
        <v>0</v>
      </c>
      <c r="R114" s="3">
        <f t="shared" si="38"/>
        <v>-3105221</v>
      </c>
      <c r="S114" s="3">
        <f t="shared" si="39"/>
        <v>60785761</v>
      </c>
      <c r="T114" s="3">
        <f t="shared" si="40"/>
        <v>15137174.899999999</v>
      </c>
      <c r="U114" s="47">
        <f t="shared" si="41"/>
        <v>76074362.297583342</v>
      </c>
      <c r="V114" s="47">
        <f ca="1">'Monthly Data'!G114+'Monthly Data'!H114</f>
        <v>1518248.7977317413</v>
      </c>
      <c r="W114" s="47">
        <f ca="1">U114+V114</f>
        <v>77592611.095315084</v>
      </c>
      <c r="X114" s="47">
        <f t="shared" ca="1" si="23"/>
        <v>209335.57493396103</v>
      </c>
      <c r="Y114" s="18">
        <f t="shared" ca="1" si="42"/>
        <v>2.7051785224421841E-3</v>
      </c>
    </row>
    <row r="115" spans="1:25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Data'!F115</f>
        <v>94239830.365764245</v>
      </c>
      <c r="E115" s="3">
        <f>'Monthly Data'!CN115</f>
        <v>60.86249999999999</v>
      </c>
      <c r="F115" s="3">
        <f>'Monthly Data'!CS115</f>
        <v>94.466666666666669</v>
      </c>
      <c r="G115" s="3">
        <f>'Monthly Data'!EM115</f>
        <v>0</v>
      </c>
      <c r="H115" s="3">
        <f>'Monthly Data'!ER115</f>
        <v>0</v>
      </c>
      <c r="I115" s="3">
        <f>'Monthly Data'!EG115</f>
        <v>0</v>
      </c>
      <c r="J115" s="3">
        <f>'Monthly Data'!DQ115</f>
        <v>30</v>
      </c>
      <c r="K115" s="3">
        <f>'Monthly Data'!EH115</f>
        <v>114</v>
      </c>
      <c r="M115" s="3">
        <f t="shared" si="33"/>
        <v>-11000000</v>
      </c>
      <c r="N115" s="3">
        <f t="shared" si="34"/>
        <v>2858763.9667499997</v>
      </c>
      <c r="O115" s="3">
        <f t="shared" si="35"/>
        <v>26009280.613333333</v>
      </c>
      <c r="P115" s="3">
        <f t="shared" si="36"/>
        <v>0</v>
      </c>
      <c r="Q115" s="3">
        <f t="shared" si="37"/>
        <v>0</v>
      </c>
      <c r="R115" s="3">
        <f t="shared" si="38"/>
        <v>0</v>
      </c>
      <c r="S115" s="3">
        <f t="shared" si="39"/>
        <v>58824930</v>
      </c>
      <c r="T115" s="3">
        <f t="shared" si="40"/>
        <v>15271132.199999999</v>
      </c>
      <c r="U115" s="47">
        <f t="shared" si="41"/>
        <v>91964106.780083343</v>
      </c>
      <c r="V115" s="47">
        <f ca="1">'Monthly Data'!G115+'Monthly Data'!H115</f>
        <v>1318937.8996463232</v>
      </c>
      <c r="W115" s="47">
        <f ca="1">U115+V115</f>
        <v>93283044.67972967</v>
      </c>
      <c r="X115" s="47">
        <f t="shared" ca="1" si="23"/>
        <v>-956785.6860345751</v>
      </c>
      <c r="Y115" s="18">
        <f t="shared" ca="1" si="42"/>
        <v>1.0152667744849415E-2</v>
      </c>
    </row>
    <row r="116" spans="1:25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Data'!F116</f>
        <v>119620734.44843914</v>
      </c>
      <c r="E116" s="3">
        <f>'Monthly Data'!CN116</f>
        <v>5.5666666666666629</v>
      </c>
      <c r="F116" s="3">
        <f>'Monthly Data'!CS116</f>
        <v>179.14166666666668</v>
      </c>
      <c r="G116" s="3">
        <f>'Monthly Data'!EM116</f>
        <v>0</v>
      </c>
      <c r="H116" s="3">
        <f>'Monthly Data'!ER116</f>
        <v>0</v>
      </c>
      <c r="I116" s="3">
        <f>'Monthly Data'!EG116</f>
        <v>0</v>
      </c>
      <c r="J116" s="3">
        <f>'Monthly Data'!DQ116</f>
        <v>31</v>
      </c>
      <c r="K116" s="3">
        <f>'Monthly Data'!EH116</f>
        <v>115</v>
      </c>
      <c r="M116" s="3">
        <f t="shared" si="33"/>
        <v>-11000000</v>
      </c>
      <c r="N116" s="3">
        <f t="shared" si="34"/>
        <v>261471.12066666648</v>
      </c>
      <c r="O116" s="3">
        <f t="shared" si="35"/>
        <v>49322645.143333331</v>
      </c>
      <c r="P116" s="3">
        <f t="shared" si="36"/>
        <v>0</v>
      </c>
      <c r="Q116" s="3">
        <f t="shared" si="37"/>
        <v>0</v>
      </c>
      <c r="R116" s="3">
        <f t="shared" si="38"/>
        <v>0</v>
      </c>
      <c r="S116" s="3">
        <f t="shared" si="39"/>
        <v>60785761</v>
      </c>
      <c r="T116" s="3">
        <f t="shared" si="40"/>
        <v>15405089.499999998</v>
      </c>
      <c r="U116" s="47">
        <f t="shared" si="41"/>
        <v>114774966.764</v>
      </c>
      <c r="V116" s="47">
        <f ca="1">'Monthly Data'!G116+'Monthly Data'!H116</f>
        <v>1226145.6378598241</v>
      </c>
      <c r="W116" s="47">
        <f ca="1">U116+V116</f>
        <v>116001112.40185982</v>
      </c>
      <c r="X116" s="47">
        <f t="shared" ca="1" si="23"/>
        <v>-3619622.0465793163</v>
      </c>
      <c r="Y116" s="18">
        <f t="shared" ca="1" si="42"/>
        <v>3.0259152506202879E-2</v>
      </c>
    </row>
    <row r="117" spans="1:25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Data'!F117</f>
        <v>110041907.26242474</v>
      </c>
      <c r="E117" s="3">
        <f>'Monthly Data'!CN117</f>
        <v>26.975000000000016</v>
      </c>
      <c r="F117" s="3">
        <f>'Monthly Data'!CS117</f>
        <v>140.625</v>
      </c>
      <c r="G117" s="3">
        <f>'Monthly Data'!EM117</f>
        <v>0</v>
      </c>
      <c r="H117" s="3">
        <f>'Monthly Data'!ER117</f>
        <v>0</v>
      </c>
      <c r="I117" s="3">
        <f>'Monthly Data'!EG117</f>
        <v>0</v>
      </c>
      <c r="J117" s="3">
        <f>'Monthly Data'!DQ117</f>
        <v>31</v>
      </c>
      <c r="K117" s="3">
        <f>'Monthly Data'!EH117</f>
        <v>116</v>
      </c>
      <c r="M117" s="3">
        <f t="shared" si="33"/>
        <v>-11000000</v>
      </c>
      <c r="N117" s="3">
        <f t="shared" si="34"/>
        <v>1267038.9485000006</v>
      </c>
      <c r="O117" s="3">
        <f t="shared" si="35"/>
        <v>38717943.75</v>
      </c>
      <c r="P117" s="3">
        <f t="shared" si="36"/>
        <v>0</v>
      </c>
      <c r="Q117" s="3">
        <f t="shared" si="37"/>
        <v>0</v>
      </c>
      <c r="R117" s="3">
        <f t="shared" si="38"/>
        <v>0</v>
      </c>
      <c r="S117" s="3">
        <f t="shared" si="39"/>
        <v>60785761</v>
      </c>
      <c r="T117" s="3">
        <f t="shared" si="40"/>
        <v>15539046.799999999</v>
      </c>
      <c r="U117" s="47">
        <f t="shared" si="41"/>
        <v>105309790.4985</v>
      </c>
      <c r="V117" s="47">
        <f ca="1">'Monthly Data'!G117+'Monthly Data'!H117</f>
        <v>1289426.7678431852</v>
      </c>
      <c r="W117" s="47">
        <f t="shared" ca="1" si="22"/>
        <v>106599217.26634319</v>
      </c>
      <c r="X117" s="47">
        <f t="shared" ca="1" si="23"/>
        <v>-3442689.9960815459</v>
      </c>
      <c r="Y117" s="18">
        <f t="shared" ca="1" si="42"/>
        <v>3.1285262876001585E-2</v>
      </c>
    </row>
    <row r="118" spans="1:25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Data'!F118</f>
        <v>86683241.083469465</v>
      </c>
      <c r="E118" s="3">
        <f>'Monthly Data'!CN118</f>
        <v>69.33750000000002</v>
      </c>
      <c r="F118" s="3">
        <f>'Monthly Data'!CS118</f>
        <v>62.220833333333331</v>
      </c>
      <c r="G118" s="3">
        <f>'Monthly Data'!EM118</f>
        <v>0</v>
      </c>
      <c r="H118" s="3">
        <f>'Monthly Data'!ER118</f>
        <v>0</v>
      </c>
      <c r="I118" s="3">
        <f>'Monthly Data'!EG118</f>
        <v>1</v>
      </c>
      <c r="J118" s="3">
        <f>'Monthly Data'!DQ118</f>
        <v>30</v>
      </c>
      <c r="K118" s="3">
        <f>'Monthly Data'!EH118</f>
        <v>117</v>
      </c>
      <c r="M118" s="3">
        <f t="shared" si="33"/>
        <v>-11000000</v>
      </c>
      <c r="N118" s="3">
        <f t="shared" si="34"/>
        <v>3256842.0052500009</v>
      </c>
      <c r="O118" s="3">
        <f t="shared" si="35"/>
        <v>17131112.711666666</v>
      </c>
      <c r="P118" s="3">
        <f t="shared" si="36"/>
        <v>0</v>
      </c>
      <c r="Q118" s="3">
        <f t="shared" si="37"/>
        <v>0</v>
      </c>
      <c r="R118" s="3">
        <f t="shared" si="38"/>
        <v>-3105221</v>
      </c>
      <c r="S118" s="3">
        <f t="shared" si="39"/>
        <v>58824930</v>
      </c>
      <c r="T118" s="3">
        <f t="shared" si="40"/>
        <v>15673004.099999998</v>
      </c>
      <c r="U118" s="47">
        <f t="shared" si="41"/>
        <v>80780667.816916659</v>
      </c>
      <c r="V118" s="47">
        <f ca="1">'Monthly Data'!G118+'Monthly Data'!H118</f>
        <v>1405452.2319265259</v>
      </c>
      <c r="W118" s="47">
        <f t="shared" ca="1" si="22"/>
        <v>82186120.04884319</v>
      </c>
      <c r="X118" s="47">
        <f ca="1">W118-D118</f>
        <v>-4497121.0346262753</v>
      </c>
      <c r="Y118" s="18">
        <f t="shared" ca="1" si="42"/>
        <v>5.1879936403114932E-2</v>
      </c>
    </row>
    <row r="119" spans="1:25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Data'!F119</f>
        <v>76971042.953736901</v>
      </c>
      <c r="E119" s="3">
        <f>'Monthly Data'!CN119</f>
        <v>295.94166666666661</v>
      </c>
      <c r="F119" s="3">
        <f>'Monthly Data'!CS119</f>
        <v>3.0458333333333378</v>
      </c>
      <c r="G119" s="3">
        <f>'Monthly Data'!EM119</f>
        <v>0</v>
      </c>
      <c r="H119" s="3">
        <f>'Monthly Data'!ER119</f>
        <v>0</v>
      </c>
      <c r="I119" s="3">
        <f>'Monthly Data'!EG119</f>
        <v>1</v>
      </c>
      <c r="J119" s="3">
        <f>'Monthly Data'!DQ119</f>
        <v>31</v>
      </c>
      <c r="K119" s="3">
        <f>'Monthly Data'!EH119</f>
        <v>118</v>
      </c>
      <c r="M119" s="3">
        <f t="shared" si="33"/>
        <v>-11000000</v>
      </c>
      <c r="N119" s="3">
        <f t="shared" si="34"/>
        <v>13900634.593166664</v>
      </c>
      <c r="O119" s="3">
        <f t="shared" si="35"/>
        <v>838601.98166666785</v>
      </c>
      <c r="P119" s="3">
        <f t="shared" si="36"/>
        <v>0</v>
      </c>
      <c r="Q119" s="3">
        <f t="shared" si="37"/>
        <v>0</v>
      </c>
      <c r="R119" s="3">
        <f t="shared" si="38"/>
        <v>-3105221</v>
      </c>
      <c r="S119" s="3">
        <f t="shared" si="39"/>
        <v>60785761</v>
      </c>
      <c r="T119" s="3">
        <f t="shared" si="40"/>
        <v>15806961.399999999</v>
      </c>
      <c r="U119" s="47">
        <f t="shared" si="41"/>
        <v>77226737.974833339</v>
      </c>
      <c r="V119" s="47">
        <f ca="1">'Monthly Data'!G119+'Monthly Data'!H119</f>
        <v>2252854.7206037859</v>
      </c>
      <c r="W119" s="47">
        <f t="shared" ref="W119:W121" ca="1" si="43">U119+V119</f>
        <v>79479592.695437118</v>
      </c>
      <c r="X119" s="47">
        <f t="shared" ref="X119:X121" ca="1" si="44">W119-D119</f>
        <v>2508549.7417002171</v>
      </c>
      <c r="Y119" s="18">
        <f t="shared" ca="1" si="42"/>
        <v>3.25908243598566E-2</v>
      </c>
    </row>
    <row r="120" spans="1:25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Data'!F120</f>
        <v>81505458.083877072</v>
      </c>
      <c r="E120" s="3">
        <f>'Monthly Data'!CN120</f>
        <v>426.29166666666663</v>
      </c>
      <c r="F120" s="3">
        <f>'Monthly Data'!CS120</f>
        <v>1.5041666666666629</v>
      </c>
      <c r="G120" s="3">
        <f>'Monthly Data'!EM120</f>
        <v>0</v>
      </c>
      <c r="H120" s="3">
        <f>'Monthly Data'!ER120</f>
        <v>0</v>
      </c>
      <c r="I120" s="3">
        <f>'Monthly Data'!EG120</f>
        <v>1</v>
      </c>
      <c r="J120" s="3">
        <f>'Monthly Data'!DQ120</f>
        <v>30</v>
      </c>
      <c r="K120" s="3">
        <f>'Monthly Data'!EH120</f>
        <v>119</v>
      </c>
      <c r="M120" s="3">
        <f t="shared" si="33"/>
        <v>-11000000</v>
      </c>
      <c r="N120" s="3">
        <f t="shared" si="34"/>
        <v>20023286.194166664</v>
      </c>
      <c r="O120" s="3">
        <f t="shared" si="35"/>
        <v>414138.59833333228</v>
      </c>
      <c r="P120" s="3">
        <f t="shared" si="36"/>
        <v>0</v>
      </c>
      <c r="Q120" s="3">
        <f t="shared" si="37"/>
        <v>0</v>
      </c>
      <c r="R120" s="3">
        <f t="shared" si="38"/>
        <v>-3105221</v>
      </c>
      <c r="S120" s="3">
        <f t="shared" si="39"/>
        <v>58824930</v>
      </c>
      <c r="T120" s="3">
        <f t="shared" si="40"/>
        <v>15940918.699999999</v>
      </c>
      <c r="U120" s="47">
        <f t="shared" si="41"/>
        <v>81098052.492499992</v>
      </c>
      <c r="V120" s="47">
        <f ca="1">'Monthly Data'!G120+'Monthly Data'!H120</f>
        <v>2812298.0636781976</v>
      </c>
      <c r="W120" s="47">
        <f t="shared" ca="1" si="43"/>
        <v>83910350.556178182</v>
      </c>
      <c r="X120" s="47">
        <f t="shared" ca="1" si="44"/>
        <v>2404892.4723011106</v>
      </c>
      <c r="Y120" s="18">
        <f t="shared" ca="1" si="42"/>
        <v>2.9505907074667829E-2</v>
      </c>
    </row>
    <row r="121" spans="1:25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Data'!F121</f>
        <v>101671640.65752809</v>
      </c>
      <c r="E121" s="3">
        <f>'Monthly Data'!CN121</f>
        <v>660.57500000000016</v>
      </c>
      <c r="F121" s="3">
        <f>'Monthly Data'!CS121</f>
        <v>0</v>
      </c>
      <c r="G121" s="3">
        <f>'Monthly Data'!EM121</f>
        <v>0</v>
      </c>
      <c r="H121" s="3">
        <f>'Monthly Data'!ER121</f>
        <v>0</v>
      </c>
      <c r="I121" s="3">
        <f>'Monthly Data'!EG121</f>
        <v>0</v>
      </c>
      <c r="J121" s="3">
        <f>'Monthly Data'!DQ121</f>
        <v>31</v>
      </c>
      <c r="K121" s="3">
        <f>'Monthly Data'!EH121</f>
        <v>120</v>
      </c>
      <c r="M121" s="3">
        <f t="shared" si="33"/>
        <v>-11000000</v>
      </c>
      <c r="N121" s="3">
        <f t="shared" si="34"/>
        <v>31027775.844500009</v>
      </c>
      <c r="O121" s="3">
        <f t="shared" si="35"/>
        <v>0</v>
      </c>
      <c r="P121" s="3">
        <f t="shared" si="36"/>
        <v>0</v>
      </c>
      <c r="Q121" s="3">
        <f t="shared" si="37"/>
        <v>0</v>
      </c>
      <c r="R121" s="3">
        <f t="shared" si="38"/>
        <v>0</v>
      </c>
      <c r="S121" s="3">
        <f t="shared" si="39"/>
        <v>60785761</v>
      </c>
      <c r="T121" s="3">
        <f t="shared" si="40"/>
        <v>16074875.999999998</v>
      </c>
      <c r="U121" s="47">
        <f t="shared" si="41"/>
        <v>96888412.844500005</v>
      </c>
      <c r="V121" s="47">
        <f ca="1">'Monthly Data'!G121+'Monthly Data'!H121</f>
        <v>3770172.9371632887</v>
      </c>
      <c r="W121" s="47">
        <f t="shared" ca="1" si="43"/>
        <v>100658585.7816633</v>
      </c>
      <c r="X121" s="47">
        <f t="shared" ca="1" si="44"/>
        <v>-1013054.8758647889</v>
      </c>
      <c r="Y121" s="18">
        <f t="shared" ca="1" si="42"/>
        <v>9.96398670576365E-3</v>
      </c>
    </row>
    <row r="122" spans="1:25">
      <c r="Y122" s="17">
        <f ca="1">AVERAGE(Y2:Y121)</f>
        <v>2.2134473391589807E-2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A838A-B1D5-42C7-B45C-0B5DBACB978B}">
  <sheetPr codeName="Sheet9">
    <tabColor theme="9" tint="0.79998168889431442"/>
  </sheetPr>
  <dimension ref="A1:AD122"/>
  <sheetViews>
    <sheetView workbookViewId="0"/>
  </sheetViews>
  <sheetFormatPr defaultRowHeight="15"/>
  <cols>
    <col min="4" max="4" width="28.140625" customWidth="1"/>
    <col min="12" max="12" width="13.5703125" bestFit="1" customWidth="1"/>
    <col min="13" max="14" width="11.42578125" bestFit="1" customWidth="1"/>
    <col min="15" max="17" width="10.42578125" bestFit="1" customWidth="1"/>
    <col min="18" max="18" width="11.42578125" bestFit="1" customWidth="1"/>
    <col min="19" max="21" width="12.5703125" customWidth="1"/>
    <col min="22" max="22" width="10.42578125" bestFit="1" customWidth="1"/>
    <col min="27" max="27" width="13.5703125" bestFit="1" customWidth="1"/>
    <col min="28" max="28" width="12.5703125" bestFit="1" customWidth="1"/>
    <col min="29" max="29" width="13.5703125" bestFit="1" customWidth="1"/>
    <col min="30" max="30" width="8.5703125" bestFit="1" customWidth="1"/>
  </cols>
  <sheetData>
    <row r="1" spans="1:30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Data'!L1</f>
        <v>VRZ_SeasonalReskWh_No_CDM</v>
      </c>
      <c r="E1" s="760" t="str">
        <f>'Monthly Data'!CP1</f>
        <v>HDD18</v>
      </c>
      <c r="F1" s="760" t="str">
        <f>'Monthly Data'!CU1</f>
        <v>CDD14</v>
      </c>
      <c r="G1" s="760" t="str">
        <f>'Monthly Data'!EG1</f>
        <v>Shoulder</v>
      </c>
      <c r="H1" s="760" t="str">
        <f>'Monthly Data'!EH1</f>
        <v>Trend</v>
      </c>
      <c r="I1" s="760" t="str">
        <f>'Monthly Data'!DQ1</f>
        <v>Month Days</v>
      </c>
      <c r="J1" s="760" t="str">
        <f>'Monthly Data'!EO1</f>
        <v>CovHDD18</v>
      </c>
      <c r="K1" s="760"/>
      <c r="L1" s="760" t="str">
        <f>Z8</f>
        <v>const</v>
      </c>
      <c r="M1" s="762" t="str">
        <f>E1</f>
        <v>HDD18</v>
      </c>
      <c r="N1" s="762" t="str">
        <f>F1</f>
        <v>CDD14</v>
      </c>
      <c r="O1" s="762" t="str">
        <f t="shared" ref="O1:R1" si="0">G1</f>
        <v>Shoulder</v>
      </c>
      <c r="P1" s="760" t="str">
        <f t="shared" si="0"/>
        <v>Trend</v>
      </c>
      <c r="Q1" s="762" t="str">
        <f t="shared" si="0"/>
        <v>Month Days</v>
      </c>
      <c r="R1" s="762" t="str">
        <f t="shared" si="0"/>
        <v>CovHDD18</v>
      </c>
      <c r="S1" s="762" t="s">
        <v>424</v>
      </c>
      <c r="T1" s="760" t="s">
        <v>630</v>
      </c>
      <c r="U1" s="760" t="s">
        <v>631</v>
      </c>
      <c r="V1" s="760" t="s">
        <v>425</v>
      </c>
      <c r="W1" s="760"/>
    </row>
    <row r="2" spans="1:30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Data'!L2</f>
        <v>1117526.8306585595</v>
      </c>
      <c r="E2" s="683">
        <f>'Monthly Data'!CP2</f>
        <v>797.89184782608675</v>
      </c>
      <c r="F2" s="3">
        <f>'Monthly Data'!CU2</f>
        <v>0</v>
      </c>
      <c r="G2" s="3">
        <f>'Monthly Data'!EG2</f>
        <v>0</v>
      </c>
      <c r="H2">
        <f>'Monthly Data'!EH2</f>
        <v>1</v>
      </c>
      <c r="I2" s="3">
        <f>'Monthly Data'!DQ2</f>
        <v>31</v>
      </c>
      <c r="J2" s="360">
        <f>'Monthly Data'!EO2</f>
        <v>0</v>
      </c>
      <c r="L2" s="3">
        <f t="shared" ref="L2:L33" si="1">$AA$8</f>
        <v>-769716</v>
      </c>
      <c r="M2" s="3">
        <f t="shared" ref="M2:M33" si="2">E2*$AA$9</f>
        <v>665521.1115366302</v>
      </c>
      <c r="N2" s="3">
        <f t="shared" ref="N2:N33" si="3">F2*$AA$10</f>
        <v>0</v>
      </c>
      <c r="O2" s="3">
        <f t="shared" ref="O2:O33" si="4">G2*$AA$11</f>
        <v>0</v>
      </c>
      <c r="P2" s="3">
        <f t="shared" ref="P2:P33" si="5">H2*$AA$12</f>
        <v>2667.194</v>
      </c>
      <c r="Q2" s="3">
        <f t="shared" ref="Q2:Q33" si="6">I2*$AA$13</f>
        <v>1175534.26</v>
      </c>
      <c r="R2" s="3">
        <f t="shared" ref="R2:R33" si="7">J2*$AA$14</f>
        <v>0</v>
      </c>
      <c r="S2" s="47">
        <f t="shared" ref="S2:S21" si="8">SUM(L2:R2)</f>
        <v>1074006.5655366301</v>
      </c>
      <c r="T2" s="47">
        <f>'Monthly Data'!M2+'Monthly Data'!N2</f>
        <v>0</v>
      </c>
      <c r="U2" s="47">
        <f t="shared" ref="U2:U54" si="9">S2+T2</f>
        <v>1074006.5655366301</v>
      </c>
      <c r="V2" s="47">
        <f t="shared" ref="V2:V54" si="10">U2-D2</f>
        <v>-43520.265121929348</v>
      </c>
      <c r="W2" s="18">
        <f t="shared" ref="W2:W21" si="11">ABS(V2/D2)</f>
        <v>3.8943373821533053E-2</v>
      </c>
    </row>
    <row r="3" spans="1:30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Data'!L3</f>
        <v>1185347.5455785273</v>
      </c>
      <c r="E3" s="683">
        <f>'Monthly Data'!CP3</f>
        <v>865.85434782608706</v>
      </c>
      <c r="F3" s="3">
        <f>'Monthly Data'!CU3</f>
        <v>0</v>
      </c>
      <c r="G3" s="3">
        <f>'Monthly Data'!EG3</f>
        <v>0</v>
      </c>
      <c r="H3">
        <f>'Monthly Data'!EH3</f>
        <v>2</v>
      </c>
      <c r="I3" s="3">
        <f>'Monthly Data'!DQ3</f>
        <v>28</v>
      </c>
      <c r="J3" s="360">
        <f>'Monthly Data'!EO3</f>
        <v>0</v>
      </c>
      <c r="L3" s="3">
        <f t="shared" si="1"/>
        <v>-769716</v>
      </c>
      <c r="M3" s="3">
        <f t="shared" si="2"/>
        <v>722208.59200913052</v>
      </c>
      <c r="N3" s="3">
        <f t="shared" si="3"/>
        <v>0</v>
      </c>
      <c r="O3" s="3">
        <f t="shared" si="4"/>
        <v>0</v>
      </c>
      <c r="P3" s="3">
        <f t="shared" si="5"/>
        <v>5334.3879999999999</v>
      </c>
      <c r="Q3" s="3">
        <f t="shared" si="6"/>
        <v>1061772.8799999999</v>
      </c>
      <c r="R3" s="3">
        <f t="shared" si="7"/>
        <v>0</v>
      </c>
      <c r="S3" s="47">
        <f t="shared" si="8"/>
        <v>1019599.8600091304</v>
      </c>
      <c r="T3" s="47">
        <f>'Monthly Data'!M3+'Monthly Data'!N3</f>
        <v>0</v>
      </c>
      <c r="U3" s="47">
        <f t="shared" si="9"/>
        <v>1019599.8600091304</v>
      </c>
      <c r="V3" s="47">
        <f t="shared" si="10"/>
        <v>-165747.68556939682</v>
      </c>
      <c r="W3" s="18">
        <f t="shared" si="11"/>
        <v>0.13983045410407552</v>
      </c>
      <c r="Z3" s="684" t="s">
        <v>638</v>
      </c>
      <c r="AA3" s="684"/>
      <c r="AB3" s="684"/>
      <c r="AC3" s="684"/>
      <c r="AD3" s="684"/>
    </row>
    <row r="4" spans="1:30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Data'!L4</f>
        <v>954244.49087849434</v>
      </c>
      <c r="E4" s="683">
        <f>'Monthly Data'!CP4</f>
        <v>637.79999999999995</v>
      </c>
      <c r="F4" s="3">
        <f>'Monthly Data'!CU4</f>
        <v>0</v>
      </c>
      <c r="G4" s="3">
        <f>'Monthly Data'!EG4</f>
        <v>1</v>
      </c>
      <c r="H4">
        <f>'Monthly Data'!EH4</f>
        <v>3</v>
      </c>
      <c r="I4" s="3">
        <f>'Monthly Data'!DQ4</f>
        <v>31</v>
      </c>
      <c r="J4" s="360">
        <f>'Monthly Data'!EO4</f>
        <v>0</v>
      </c>
      <c r="L4" s="3">
        <f t="shared" si="1"/>
        <v>-769716</v>
      </c>
      <c r="M4" s="3">
        <f t="shared" si="2"/>
        <v>531988.59731999994</v>
      </c>
      <c r="N4" s="3">
        <f t="shared" si="3"/>
        <v>0</v>
      </c>
      <c r="O4" s="3">
        <f t="shared" si="4"/>
        <v>-56026.3</v>
      </c>
      <c r="P4" s="3">
        <f t="shared" si="5"/>
        <v>8001.5820000000003</v>
      </c>
      <c r="Q4" s="3">
        <f t="shared" si="6"/>
        <v>1175534.26</v>
      </c>
      <c r="R4" s="3">
        <f t="shared" si="7"/>
        <v>0</v>
      </c>
      <c r="S4" s="47">
        <f t="shared" si="8"/>
        <v>889782.13931999996</v>
      </c>
      <c r="T4" s="47">
        <f>'Monthly Data'!M4+'Monthly Data'!N4</f>
        <v>0</v>
      </c>
      <c r="U4" s="47">
        <f t="shared" si="9"/>
        <v>889782.13931999996</v>
      </c>
      <c r="V4" s="47">
        <f t="shared" si="10"/>
        <v>-64462.351558494382</v>
      </c>
      <c r="W4" s="18">
        <f t="shared" si="11"/>
        <v>6.7553286578735397E-2</v>
      </c>
      <c r="Z4" s="684" t="s">
        <v>679</v>
      </c>
      <c r="AA4" s="684"/>
      <c r="AB4" s="684"/>
      <c r="AC4" s="684"/>
      <c r="AD4" s="684"/>
    </row>
    <row r="5" spans="1:30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Data'!L5</f>
        <v>661354.07612846431</v>
      </c>
      <c r="E5" s="683">
        <f>'Monthly Data'!CP5</f>
        <v>346.75037878787867</v>
      </c>
      <c r="F5" s="3">
        <f>'Monthly Data'!CU5</f>
        <v>0</v>
      </c>
      <c r="G5" s="3">
        <f>'Monthly Data'!EG5</f>
        <v>1</v>
      </c>
      <c r="H5">
        <f>'Monthly Data'!EH5</f>
        <v>4</v>
      </c>
      <c r="I5" s="3">
        <f>'Monthly Data'!DQ5</f>
        <v>30</v>
      </c>
      <c r="J5" s="360">
        <f>'Monthly Data'!EO5</f>
        <v>0</v>
      </c>
      <c r="L5" s="3">
        <f t="shared" si="1"/>
        <v>-769716</v>
      </c>
      <c r="M5" s="3">
        <f t="shared" si="2"/>
        <v>289224.28289674228</v>
      </c>
      <c r="N5" s="3">
        <f t="shared" si="3"/>
        <v>0</v>
      </c>
      <c r="O5" s="3">
        <f t="shared" si="4"/>
        <v>-56026.3</v>
      </c>
      <c r="P5" s="3">
        <f t="shared" si="5"/>
        <v>10668.776</v>
      </c>
      <c r="Q5" s="3">
        <f t="shared" si="6"/>
        <v>1137613.8</v>
      </c>
      <c r="R5" s="3">
        <f t="shared" si="7"/>
        <v>0</v>
      </c>
      <c r="S5" s="47">
        <f t="shared" si="8"/>
        <v>611764.5588967423</v>
      </c>
      <c r="T5" s="47">
        <f>'Monthly Data'!M5+'Monthly Data'!N5</f>
        <v>0</v>
      </c>
      <c r="U5" s="47">
        <f t="shared" si="9"/>
        <v>611764.5588967423</v>
      </c>
      <c r="V5" s="47">
        <f t="shared" si="10"/>
        <v>-49589.517231722013</v>
      </c>
      <c r="W5" s="18">
        <f t="shared" si="11"/>
        <v>7.4981797227313879E-2</v>
      </c>
      <c r="Z5" s="684" t="s">
        <v>699</v>
      </c>
      <c r="AA5" s="684"/>
      <c r="AB5" s="684"/>
      <c r="AC5" s="684"/>
      <c r="AD5" s="684"/>
    </row>
    <row r="6" spans="1:30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Data'!L6</f>
        <v>635767.52028843039</v>
      </c>
      <c r="E6" s="683">
        <f>'Monthly Data'!CP6</f>
        <v>108.22189440993786</v>
      </c>
      <c r="F6" s="3">
        <f>'Monthly Data'!CU6</f>
        <v>62.881547619047637</v>
      </c>
      <c r="G6" s="3">
        <f>'Monthly Data'!EG6</f>
        <v>1</v>
      </c>
      <c r="H6">
        <f>'Monthly Data'!EH6</f>
        <v>5</v>
      </c>
      <c r="I6" s="3">
        <f>'Monthly Data'!DQ6</f>
        <v>31</v>
      </c>
      <c r="J6" s="360">
        <f>'Monthly Data'!EO6</f>
        <v>0</v>
      </c>
      <c r="L6" s="3">
        <f t="shared" si="1"/>
        <v>-769716</v>
      </c>
      <c r="M6" s="3">
        <f t="shared" si="2"/>
        <v>90267.817194192525</v>
      </c>
      <c r="N6" s="3">
        <f t="shared" si="3"/>
        <v>124747.62112559528</v>
      </c>
      <c r="O6" s="3">
        <f t="shared" si="4"/>
        <v>-56026.3</v>
      </c>
      <c r="P6" s="3">
        <f t="shared" si="5"/>
        <v>13335.97</v>
      </c>
      <c r="Q6" s="3">
        <f t="shared" si="6"/>
        <v>1175534.26</v>
      </c>
      <c r="R6" s="3">
        <f t="shared" si="7"/>
        <v>0</v>
      </c>
      <c r="S6" s="47">
        <f t="shared" si="8"/>
        <v>578143.36831978778</v>
      </c>
      <c r="T6" s="47">
        <f>'Monthly Data'!M6+'Monthly Data'!N6</f>
        <v>0</v>
      </c>
      <c r="U6" s="47">
        <f t="shared" si="9"/>
        <v>578143.36831978778</v>
      </c>
      <c r="V6" s="47">
        <f t="shared" si="10"/>
        <v>-57624.151968642604</v>
      </c>
      <c r="W6" s="18">
        <f t="shared" si="11"/>
        <v>9.0637143499403841E-2</v>
      </c>
      <c r="Z6" s="685"/>
      <c r="AA6" s="685"/>
      <c r="AB6" s="685"/>
      <c r="AC6" s="685"/>
      <c r="AD6" s="685"/>
    </row>
    <row r="7" spans="1:30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Data'!L7</f>
        <v>627871.28333839925</v>
      </c>
      <c r="E7" s="683">
        <f>'Monthly Data'!CP7</f>
        <v>44.925000000000004</v>
      </c>
      <c r="F7" s="3">
        <f>'Monthly Data'!CU7</f>
        <v>95.599999999999966</v>
      </c>
      <c r="G7" s="3">
        <f>'Monthly Data'!EG7</f>
        <v>0</v>
      </c>
      <c r="H7">
        <f>'Monthly Data'!EH7</f>
        <v>6</v>
      </c>
      <c r="I7" s="3">
        <f>'Monthly Data'!DQ7</f>
        <v>30</v>
      </c>
      <c r="J7" s="360">
        <f>'Monthly Data'!EO7</f>
        <v>0</v>
      </c>
      <c r="L7" s="3">
        <f t="shared" si="1"/>
        <v>-769716</v>
      </c>
      <c r="M7" s="3">
        <f t="shared" si="2"/>
        <v>37471.915545000003</v>
      </c>
      <c r="N7" s="3">
        <f t="shared" si="3"/>
        <v>189656.15559999994</v>
      </c>
      <c r="O7" s="3">
        <f t="shared" si="4"/>
        <v>0</v>
      </c>
      <c r="P7" s="3">
        <f t="shared" si="5"/>
        <v>16003.164000000001</v>
      </c>
      <c r="Q7" s="3">
        <f t="shared" si="6"/>
        <v>1137613.8</v>
      </c>
      <c r="R7" s="3">
        <f t="shared" si="7"/>
        <v>0</v>
      </c>
      <c r="S7" s="47">
        <f t="shared" si="8"/>
        <v>611029.03514499997</v>
      </c>
      <c r="T7" s="47">
        <f>'Monthly Data'!M7+'Monthly Data'!N7</f>
        <v>0</v>
      </c>
      <c r="U7" s="47">
        <f t="shared" si="9"/>
        <v>611029.03514499997</v>
      </c>
      <c r="V7" s="47">
        <f t="shared" si="10"/>
        <v>-16842.248193399282</v>
      </c>
      <c r="W7" s="18">
        <f t="shared" si="11"/>
        <v>2.6824364547855802E-2</v>
      </c>
      <c r="Z7" s="685"/>
      <c r="AA7" s="685" t="s">
        <v>409</v>
      </c>
      <c r="AB7" s="685" t="s">
        <v>410</v>
      </c>
      <c r="AC7" s="685" t="s">
        <v>411</v>
      </c>
      <c r="AD7" s="685" t="s">
        <v>412</v>
      </c>
    </row>
    <row r="8" spans="1:30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Data'!L8</f>
        <v>909220.97890836827</v>
      </c>
      <c r="E8" s="683">
        <f>'Monthly Data'!CP8</f>
        <v>6.0874999999999986</v>
      </c>
      <c r="F8" s="3">
        <f>'Monthly Data'!CU8</f>
        <v>205.53749999999997</v>
      </c>
      <c r="G8" s="3">
        <f>'Monthly Data'!EG8</f>
        <v>0</v>
      </c>
      <c r="H8">
        <f>'Monthly Data'!EH8</f>
        <v>7</v>
      </c>
      <c r="I8" s="3">
        <f>'Monthly Data'!DQ8</f>
        <v>31</v>
      </c>
      <c r="J8" s="360">
        <f>'Monthly Data'!EO8</f>
        <v>0</v>
      </c>
      <c r="L8" s="3">
        <f t="shared" si="1"/>
        <v>-769716</v>
      </c>
      <c r="M8" s="3">
        <f t="shared" si="2"/>
        <v>5077.5800974999984</v>
      </c>
      <c r="N8" s="3">
        <f t="shared" si="3"/>
        <v>407755.77491249994</v>
      </c>
      <c r="O8" s="3">
        <f t="shared" si="4"/>
        <v>0</v>
      </c>
      <c r="P8" s="3">
        <f t="shared" si="5"/>
        <v>18670.358</v>
      </c>
      <c r="Q8" s="3">
        <f t="shared" si="6"/>
        <v>1175534.26</v>
      </c>
      <c r="R8" s="3">
        <f t="shared" si="7"/>
        <v>0</v>
      </c>
      <c r="S8" s="47">
        <f t="shared" si="8"/>
        <v>837321.97300999996</v>
      </c>
      <c r="T8" s="47">
        <f>'Monthly Data'!M8+'Monthly Data'!N8</f>
        <v>0</v>
      </c>
      <c r="U8" s="47">
        <f t="shared" si="9"/>
        <v>837321.97300999996</v>
      </c>
      <c r="V8" s="47">
        <f t="shared" si="10"/>
        <v>-71899.005898368312</v>
      </c>
      <c r="W8" s="18">
        <f t="shared" si="11"/>
        <v>7.9077592319407239E-2</v>
      </c>
      <c r="Z8" s="685" t="s">
        <v>413</v>
      </c>
      <c r="AA8" s="686">
        <v>-769716</v>
      </c>
      <c r="AB8" s="686">
        <v>238148.6</v>
      </c>
      <c r="AC8" s="687">
        <v>-3.2320799999999998</v>
      </c>
      <c r="AD8" s="694">
        <v>1.611E-3</v>
      </c>
    </row>
    <row r="9" spans="1:30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Data'!L9</f>
        <v>938194.58134833619</v>
      </c>
      <c r="E9" s="683">
        <f>'Monthly Data'!CP9</f>
        <v>9.4166666666666572</v>
      </c>
      <c r="F9" s="3">
        <f>'Monthly Data'!CU9</f>
        <v>167.94166666666666</v>
      </c>
      <c r="G9" s="3">
        <f>'Monthly Data'!EG9</f>
        <v>0</v>
      </c>
      <c r="H9">
        <f>'Monthly Data'!EH9</f>
        <v>8</v>
      </c>
      <c r="I9" s="3">
        <f>'Monthly Data'!DQ9</f>
        <v>31</v>
      </c>
      <c r="J9" s="360">
        <f>'Monthly Data'!EO9</f>
        <v>0</v>
      </c>
      <c r="L9" s="3">
        <f t="shared" si="1"/>
        <v>-769716</v>
      </c>
      <c r="M9" s="3">
        <f t="shared" si="2"/>
        <v>7854.4360166666584</v>
      </c>
      <c r="N9" s="3">
        <f t="shared" si="3"/>
        <v>333171.24335833336</v>
      </c>
      <c r="O9" s="3">
        <f t="shared" si="4"/>
        <v>0</v>
      </c>
      <c r="P9" s="3">
        <f t="shared" si="5"/>
        <v>21337.552</v>
      </c>
      <c r="Q9" s="3">
        <f t="shared" si="6"/>
        <v>1175534.26</v>
      </c>
      <c r="R9" s="3">
        <f t="shared" si="7"/>
        <v>0</v>
      </c>
      <c r="S9" s="47">
        <f t="shared" si="8"/>
        <v>768181.4913750001</v>
      </c>
      <c r="T9" s="47">
        <f>'Monthly Data'!M9+'Monthly Data'!N9</f>
        <v>0</v>
      </c>
      <c r="U9" s="47">
        <f t="shared" si="9"/>
        <v>768181.4913750001</v>
      </c>
      <c r="V9" s="47">
        <f t="shared" si="10"/>
        <v>-170013.08997333609</v>
      </c>
      <c r="W9" s="18">
        <f t="shared" si="11"/>
        <v>0.18121303762914512</v>
      </c>
      <c r="Z9" s="685" t="s">
        <v>40</v>
      </c>
      <c r="AA9" s="686">
        <v>834.09939999999995</v>
      </c>
      <c r="AB9" s="686">
        <v>68.587569999999999</v>
      </c>
      <c r="AC9" s="687">
        <v>12.16109</v>
      </c>
      <c r="AD9" s="694">
        <v>2.9099999999999999E-22</v>
      </c>
    </row>
    <row r="10" spans="1:30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Data'!L10</f>
        <v>647048.53723830229</v>
      </c>
      <c r="E10" s="683">
        <f>'Monthly Data'!CP10</f>
        <v>42.631547619047623</v>
      </c>
      <c r="F10" s="3">
        <f>'Monthly Data'!CU10</f>
        <v>134.9267857142857</v>
      </c>
      <c r="G10" s="3">
        <f>'Monthly Data'!EG10</f>
        <v>1</v>
      </c>
      <c r="H10">
        <f>'Monthly Data'!EH10</f>
        <v>9</v>
      </c>
      <c r="I10" s="3">
        <f>'Monthly Data'!DQ10</f>
        <v>30</v>
      </c>
      <c r="J10" s="360">
        <f>'Monthly Data'!EO10</f>
        <v>0</v>
      </c>
      <c r="L10" s="3">
        <f t="shared" si="1"/>
        <v>-769716</v>
      </c>
      <c r="M10" s="3">
        <f t="shared" si="2"/>
        <v>35558.948290119049</v>
      </c>
      <c r="N10" s="3">
        <f t="shared" si="3"/>
        <v>267674.63876607141</v>
      </c>
      <c r="O10" s="3">
        <f t="shared" si="4"/>
        <v>-56026.3</v>
      </c>
      <c r="P10" s="3">
        <f t="shared" si="5"/>
        <v>24004.745999999999</v>
      </c>
      <c r="Q10" s="3">
        <f t="shared" si="6"/>
        <v>1137613.8</v>
      </c>
      <c r="R10" s="3">
        <f t="shared" si="7"/>
        <v>0</v>
      </c>
      <c r="S10" s="47">
        <f t="shared" si="8"/>
        <v>639109.83305619052</v>
      </c>
      <c r="T10" s="47">
        <f>'Monthly Data'!M10+'Monthly Data'!N10</f>
        <v>0</v>
      </c>
      <c r="U10" s="47">
        <f t="shared" si="9"/>
        <v>639109.83305619052</v>
      </c>
      <c r="V10" s="47">
        <f t="shared" si="10"/>
        <v>-7938.7041821117746</v>
      </c>
      <c r="W10" s="18">
        <f t="shared" si="11"/>
        <v>1.2269101505113239E-2</v>
      </c>
      <c r="Z10" s="685" t="s">
        <v>47</v>
      </c>
      <c r="AA10" s="686">
        <v>1983.8510000000001</v>
      </c>
      <c r="AB10" s="686">
        <v>226.0214</v>
      </c>
      <c r="AC10" s="687">
        <v>8.777272</v>
      </c>
      <c r="AD10" s="694">
        <v>2.04E-14</v>
      </c>
    </row>
    <row r="11" spans="1:30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Data'!L11</f>
        <v>746083.96594827226</v>
      </c>
      <c r="E11" s="683">
        <f>'Monthly Data'!CP11</f>
        <v>276.98750000000001</v>
      </c>
      <c r="F11" s="3">
        <f>'Monthly Data'!CU11</f>
        <v>4.3583333333333325</v>
      </c>
      <c r="G11" s="3">
        <f>'Monthly Data'!EG11</f>
        <v>1</v>
      </c>
      <c r="H11">
        <f>'Monthly Data'!EH11</f>
        <v>10</v>
      </c>
      <c r="I11" s="3">
        <f>'Monthly Data'!DQ11</f>
        <v>31</v>
      </c>
      <c r="J11" s="360">
        <f>'Monthly Data'!EO11</f>
        <v>0</v>
      </c>
      <c r="L11" s="3">
        <f t="shared" si="1"/>
        <v>-769716</v>
      </c>
      <c r="M11" s="3">
        <f t="shared" si="2"/>
        <v>231035.10755749998</v>
      </c>
      <c r="N11" s="3">
        <f t="shared" si="3"/>
        <v>8646.2839416666648</v>
      </c>
      <c r="O11" s="3">
        <f t="shared" si="4"/>
        <v>-56026.3</v>
      </c>
      <c r="P11" s="3">
        <f t="shared" si="5"/>
        <v>26671.94</v>
      </c>
      <c r="Q11" s="3">
        <f t="shared" si="6"/>
        <v>1175534.26</v>
      </c>
      <c r="R11" s="3">
        <f t="shared" si="7"/>
        <v>0</v>
      </c>
      <c r="S11" s="47">
        <f t="shared" si="8"/>
        <v>616145.29149916663</v>
      </c>
      <c r="T11" s="47">
        <f>'Monthly Data'!M11+'Monthly Data'!N11</f>
        <v>0</v>
      </c>
      <c r="U11" s="47">
        <f t="shared" si="9"/>
        <v>616145.29149916663</v>
      </c>
      <c r="V11" s="47">
        <f t="shared" si="10"/>
        <v>-129938.67444910563</v>
      </c>
      <c r="W11" s="18">
        <f t="shared" si="11"/>
        <v>0.17416092608819658</v>
      </c>
      <c r="Z11" s="685" t="s">
        <v>118</v>
      </c>
      <c r="AA11" s="686">
        <v>-56026.3</v>
      </c>
      <c r="AB11" s="686">
        <v>21028.19</v>
      </c>
      <c r="AC11" s="687">
        <v>-2.6643400000000002</v>
      </c>
      <c r="AD11" s="694">
        <v>8.8419999999999992E-3</v>
      </c>
    </row>
    <row r="12" spans="1:30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Data'!L12</f>
        <v>521205.37252823921</v>
      </c>
      <c r="E12" s="683">
        <f>'Monthly Data'!CP12</f>
        <v>371.77083333333326</v>
      </c>
      <c r="F12" s="3">
        <f>'Monthly Data'!CU12</f>
        <v>0.27083333333333393</v>
      </c>
      <c r="G12" s="3">
        <f>'Monthly Data'!EG12</f>
        <v>1</v>
      </c>
      <c r="H12">
        <f>'Monthly Data'!EH12</f>
        <v>11</v>
      </c>
      <c r="I12" s="3">
        <f>'Monthly Data'!DQ12</f>
        <v>30</v>
      </c>
      <c r="J12" s="360">
        <f>'Monthly Data'!EO12</f>
        <v>0</v>
      </c>
      <c r="L12" s="3">
        <f t="shared" si="1"/>
        <v>-769716</v>
      </c>
      <c r="M12" s="3">
        <f t="shared" si="2"/>
        <v>310093.82902083325</v>
      </c>
      <c r="N12" s="3">
        <f t="shared" si="3"/>
        <v>537.29297916666792</v>
      </c>
      <c r="O12" s="3">
        <f t="shared" si="4"/>
        <v>-56026.3</v>
      </c>
      <c r="P12" s="3">
        <f t="shared" si="5"/>
        <v>29339.133999999998</v>
      </c>
      <c r="Q12" s="3">
        <f t="shared" si="6"/>
        <v>1137613.8</v>
      </c>
      <c r="R12" s="3">
        <f t="shared" si="7"/>
        <v>0</v>
      </c>
      <c r="S12" s="47">
        <f t="shared" si="8"/>
        <v>651841.75600000005</v>
      </c>
      <c r="T12" s="47">
        <f>'Monthly Data'!M12+'Monthly Data'!N12</f>
        <v>0</v>
      </c>
      <c r="U12" s="47">
        <f t="shared" si="9"/>
        <v>651841.75600000005</v>
      </c>
      <c r="V12" s="47">
        <f t="shared" si="10"/>
        <v>130636.38347176084</v>
      </c>
      <c r="W12" s="18">
        <f t="shared" si="11"/>
        <v>0.25064281827732482</v>
      </c>
      <c r="Z12" s="685" t="s">
        <v>119</v>
      </c>
      <c r="AA12" s="686">
        <v>2667.194</v>
      </c>
      <c r="AB12" s="686">
        <v>310.50790000000001</v>
      </c>
      <c r="AC12" s="687">
        <v>8.5897790000000001</v>
      </c>
      <c r="AD12" s="694">
        <v>5.4799999999999997E-14</v>
      </c>
    </row>
    <row r="13" spans="1:30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Data'!L13</f>
        <v>657596.47761820816</v>
      </c>
      <c r="E13" s="683">
        <f>'Monthly Data'!CP13</f>
        <v>437.62590579710155</v>
      </c>
      <c r="F13" s="3">
        <f>'Monthly Data'!CU13</f>
        <v>0</v>
      </c>
      <c r="G13" s="3">
        <f>'Monthly Data'!EG13</f>
        <v>0</v>
      </c>
      <c r="H13">
        <f>'Monthly Data'!EH13</f>
        <v>12</v>
      </c>
      <c r="I13" s="3">
        <f>'Monthly Data'!DQ13</f>
        <v>31</v>
      </c>
      <c r="J13" s="360">
        <f>'Monthly Data'!EO13</f>
        <v>0</v>
      </c>
      <c r="L13" s="3">
        <f t="shared" si="1"/>
        <v>-769716</v>
      </c>
      <c r="M13" s="3">
        <f t="shared" si="2"/>
        <v>365023.50544981891</v>
      </c>
      <c r="N13" s="3">
        <f t="shared" si="3"/>
        <v>0</v>
      </c>
      <c r="O13" s="3">
        <f t="shared" si="4"/>
        <v>0</v>
      </c>
      <c r="P13" s="3">
        <f t="shared" si="5"/>
        <v>32006.328000000001</v>
      </c>
      <c r="Q13" s="3">
        <f t="shared" si="6"/>
        <v>1175534.26</v>
      </c>
      <c r="R13" s="3">
        <f t="shared" si="7"/>
        <v>0</v>
      </c>
      <c r="S13" s="47">
        <f t="shared" si="8"/>
        <v>802848.0934498189</v>
      </c>
      <c r="T13" s="47">
        <f>'Monthly Data'!M13+'Monthly Data'!N13</f>
        <v>0</v>
      </c>
      <c r="U13" s="47">
        <f t="shared" si="9"/>
        <v>802848.0934498189</v>
      </c>
      <c r="V13" s="47">
        <f t="shared" si="10"/>
        <v>145251.61583161075</v>
      </c>
      <c r="W13" s="18">
        <f t="shared" si="11"/>
        <v>0.22088259407609223</v>
      </c>
      <c r="Z13" s="685" t="s">
        <v>414</v>
      </c>
      <c r="AA13" s="686">
        <v>37920.46</v>
      </c>
      <c r="AB13" s="686">
        <v>8065.0190000000002</v>
      </c>
      <c r="AC13" s="687">
        <v>4.7018430000000002</v>
      </c>
      <c r="AD13" s="694">
        <v>7.34E-6</v>
      </c>
    </row>
    <row r="14" spans="1:30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Data'!L14</f>
        <v>981085.44305646745</v>
      </c>
      <c r="E14" s="683">
        <f>'Monthly Data'!CP14</f>
        <v>675.87916666666683</v>
      </c>
      <c r="F14" s="3">
        <f>'Monthly Data'!CU14</f>
        <v>0</v>
      </c>
      <c r="G14" s="3">
        <f>'Monthly Data'!EG14</f>
        <v>0</v>
      </c>
      <c r="H14">
        <f>'Monthly Data'!EH14</f>
        <v>13</v>
      </c>
      <c r="I14" s="3">
        <f>'Monthly Data'!DQ14</f>
        <v>31</v>
      </c>
      <c r="J14" s="360">
        <f>'Monthly Data'!EO14</f>
        <v>0</v>
      </c>
      <c r="L14" s="3">
        <f t="shared" si="1"/>
        <v>-769716</v>
      </c>
      <c r="M14" s="3">
        <f t="shared" si="2"/>
        <v>563750.40738916676</v>
      </c>
      <c r="N14" s="3">
        <f t="shared" si="3"/>
        <v>0</v>
      </c>
      <c r="O14" s="3">
        <f t="shared" si="4"/>
        <v>0</v>
      </c>
      <c r="P14" s="3">
        <f t="shared" si="5"/>
        <v>34673.521999999997</v>
      </c>
      <c r="Q14" s="3">
        <f t="shared" si="6"/>
        <v>1175534.26</v>
      </c>
      <c r="R14" s="3">
        <f t="shared" si="7"/>
        <v>0</v>
      </c>
      <c r="S14" s="47">
        <f t="shared" si="8"/>
        <v>1004242.1893891668</v>
      </c>
      <c r="T14" s="47">
        <f>'Monthly Data'!M14+'Monthly Data'!N14</f>
        <v>0</v>
      </c>
      <c r="U14" s="47">
        <f t="shared" si="9"/>
        <v>1004242.1893891668</v>
      </c>
      <c r="V14" s="47">
        <f t="shared" si="10"/>
        <v>23156.746332699317</v>
      </c>
      <c r="W14" s="18">
        <f t="shared" si="11"/>
        <v>2.360319021812915E-2</v>
      </c>
      <c r="Z14" s="685" t="s">
        <v>398</v>
      </c>
      <c r="AA14" s="686">
        <v>573.55119999999999</v>
      </c>
      <c r="AB14" s="686">
        <v>124.7486</v>
      </c>
      <c r="AC14" s="687">
        <v>4.597658</v>
      </c>
      <c r="AD14" s="694">
        <v>1.1199999999999999E-5</v>
      </c>
    </row>
    <row r="15" spans="1:30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Data'!L15</f>
        <v>939859.94660087873</v>
      </c>
      <c r="E15" s="683">
        <f>'Monthly Data'!CP15</f>
        <v>603.70833333333337</v>
      </c>
      <c r="F15" s="3">
        <f>'Monthly Data'!CU15</f>
        <v>0</v>
      </c>
      <c r="G15" s="3">
        <f>'Monthly Data'!EG15</f>
        <v>0</v>
      </c>
      <c r="H15">
        <f>'Monthly Data'!EH15</f>
        <v>14</v>
      </c>
      <c r="I15" s="3">
        <f>'Monthly Data'!DQ15</f>
        <v>29</v>
      </c>
      <c r="J15" s="360">
        <f>'Monthly Data'!EO15</f>
        <v>0</v>
      </c>
      <c r="L15" s="3">
        <f t="shared" si="1"/>
        <v>-769716</v>
      </c>
      <c r="M15" s="3">
        <f t="shared" si="2"/>
        <v>503552.75860833336</v>
      </c>
      <c r="N15" s="3">
        <f t="shared" si="3"/>
        <v>0</v>
      </c>
      <c r="O15" s="3">
        <f t="shared" si="4"/>
        <v>0</v>
      </c>
      <c r="P15" s="3">
        <f t="shared" si="5"/>
        <v>37340.716</v>
      </c>
      <c r="Q15" s="3">
        <f t="shared" si="6"/>
        <v>1099693.3400000001</v>
      </c>
      <c r="R15" s="3">
        <f t="shared" si="7"/>
        <v>0</v>
      </c>
      <c r="S15" s="47">
        <f t="shared" si="8"/>
        <v>870870.8146083334</v>
      </c>
      <c r="T15" s="47">
        <f>'Monthly Data'!M15+'Monthly Data'!N15</f>
        <v>0</v>
      </c>
      <c r="U15" s="47">
        <f t="shared" si="9"/>
        <v>870870.8146083334</v>
      </c>
      <c r="V15" s="47">
        <f t="shared" si="10"/>
        <v>-68989.131992545328</v>
      </c>
      <c r="W15" s="18">
        <f t="shared" si="11"/>
        <v>7.3403630234539913E-2</v>
      </c>
      <c r="AA15" s="3"/>
      <c r="AB15" s="3"/>
      <c r="AC15" s="360"/>
      <c r="AD15" s="108"/>
    </row>
    <row r="16" spans="1:30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Data'!L16</f>
        <v>821266.59913529083</v>
      </c>
      <c r="E16" s="683">
        <f>'Monthly Data'!CP16</f>
        <v>515.07934782608686</v>
      </c>
      <c r="F16" s="3">
        <f>'Monthly Data'!CU16</f>
        <v>0</v>
      </c>
      <c r="G16" s="3">
        <f>'Monthly Data'!EG16</f>
        <v>1</v>
      </c>
      <c r="H16">
        <f>'Monthly Data'!EH16</f>
        <v>15</v>
      </c>
      <c r="I16" s="3">
        <f>'Monthly Data'!DQ16</f>
        <v>31</v>
      </c>
      <c r="J16" s="360">
        <f>'Monthly Data'!EO16</f>
        <v>0</v>
      </c>
      <c r="L16" s="3">
        <f t="shared" si="1"/>
        <v>-769716</v>
      </c>
      <c r="M16" s="3">
        <f t="shared" si="2"/>
        <v>429627.3749741303</v>
      </c>
      <c r="N16" s="3">
        <f t="shared" si="3"/>
        <v>0</v>
      </c>
      <c r="O16" s="3">
        <f t="shared" si="4"/>
        <v>-56026.3</v>
      </c>
      <c r="P16" s="3">
        <f t="shared" si="5"/>
        <v>40007.909999999996</v>
      </c>
      <c r="Q16" s="3">
        <f t="shared" si="6"/>
        <v>1175534.26</v>
      </c>
      <c r="R16" s="3">
        <f t="shared" si="7"/>
        <v>0</v>
      </c>
      <c r="S16" s="47">
        <f t="shared" si="8"/>
        <v>819427.2449741303</v>
      </c>
      <c r="T16" s="47">
        <f>'Monthly Data'!M16+'Monthly Data'!N16</f>
        <v>0</v>
      </c>
      <c r="U16" s="47">
        <f t="shared" si="9"/>
        <v>819427.2449741303</v>
      </c>
      <c r="V16" s="47">
        <f t="shared" si="10"/>
        <v>-1839.3541611605324</v>
      </c>
      <c r="W16" s="18">
        <f t="shared" si="11"/>
        <v>2.23965538486185E-3</v>
      </c>
      <c r="Z16" s="691" t="s">
        <v>407</v>
      </c>
      <c r="AA16" s="692"/>
      <c r="AB16" s="692"/>
      <c r="AC16" s="693"/>
    </row>
    <row r="17" spans="1:29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Data'!L17</f>
        <v>688870.50393970101</v>
      </c>
      <c r="E17" s="683">
        <f>'Monthly Data'!CP17</f>
        <v>405.98333333333341</v>
      </c>
      <c r="F17" s="3">
        <f>'Monthly Data'!CU17</f>
        <v>0.83333333333333393</v>
      </c>
      <c r="G17" s="3">
        <f>'Monthly Data'!EG17</f>
        <v>1</v>
      </c>
      <c r="H17">
        <f>'Monthly Data'!EH17</f>
        <v>16</v>
      </c>
      <c r="I17" s="3">
        <f>'Monthly Data'!DQ17</f>
        <v>30</v>
      </c>
      <c r="J17" s="360">
        <f>'Monthly Data'!EO17</f>
        <v>0</v>
      </c>
      <c r="L17" s="3">
        <f t="shared" si="1"/>
        <v>-769716</v>
      </c>
      <c r="M17" s="3">
        <f t="shared" si="2"/>
        <v>338630.45474333339</v>
      </c>
      <c r="N17" s="3">
        <f t="shared" si="3"/>
        <v>1653.2091666666679</v>
      </c>
      <c r="O17" s="3">
        <f t="shared" si="4"/>
        <v>-56026.3</v>
      </c>
      <c r="P17" s="3">
        <f t="shared" si="5"/>
        <v>42675.103999999999</v>
      </c>
      <c r="Q17" s="3">
        <f t="shared" si="6"/>
        <v>1137613.8</v>
      </c>
      <c r="R17" s="3">
        <f t="shared" si="7"/>
        <v>0</v>
      </c>
      <c r="S17" s="47">
        <f t="shared" si="8"/>
        <v>694830.26791000017</v>
      </c>
      <c r="T17" s="47">
        <f>'Monthly Data'!M17+'Monthly Data'!N17</f>
        <v>0</v>
      </c>
      <c r="U17" s="47">
        <f t="shared" si="9"/>
        <v>694830.26791000017</v>
      </c>
      <c r="V17" s="47">
        <f t="shared" si="10"/>
        <v>5959.7639702991582</v>
      </c>
      <c r="W17" s="18">
        <f t="shared" si="11"/>
        <v>8.6515011692543525E-3</v>
      </c>
      <c r="Z17" s="685" t="s">
        <v>415</v>
      </c>
      <c r="AA17" s="689">
        <v>719000000000</v>
      </c>
      <c r="AB17" s="685" t="s">
        <v>416</v>
      </c>
      <c r="AC17" s="686">
        <v>79750.86</v>
      </c>
    </row>
    <row r="18" spans="1:29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Data'!L18</f>
        <v>672732.18985411234</v>
      </c>
      <c r="E18" s="683">
        <f>'Monthly Data'!CP18</f>
        <v>154.58611111111114</v>
      </c>
      <c r="F18" s="3">
        <f>'Monthly Data'!CU18</f>
        <v>66.604166666666671</v>
      </c>
      <c r="G18" s="3">
        <f>'Monthly Data'!EG18</f>
        <v>1</v>
      </c>
      <c r="H18">
        <f>'Monthly Data'!EH18</f>
        <v>17</v>
      </c>
      <c r="I18" s="3">
        <f>'Monthly Data'!DQ18</f>
        <v>31</v>
      </c>
      <c r="J18" s="360">
        <f>'Monthly Data'!EO18</f>
        <v>0</v>
      </c>
      <c r="L18" s="3">
        <f t="shared" si="1"/>
        <v>-769716</v>
      </c>
      <c r="M18" s="3">
        <f t="shared" si="2"/>
        <v>128940.18252611112</v>
      </c>
      <c r="N18" s="3">
        <f t="shared" si="3"/>
        <v>132132.74264583335</v>
      </c>
      <c r="O18" s="3">
        <f t="shared" si="4"/>
        <v>-56026.3</v>
      </c>
      <c r="P18" s="3">
        <f t="shared" si="5"/>
        <v>45342.298000000003</v>
      </c>
      <c r="Q18" s="3">
        <f t="shared" si="6"/>
        <v>1175534.26</v>
      </c>
      <c r="R18" s="3">
        <f t="shared" si="7"/>
        <v>0</v>
      </c>
      <c r="S18" s="47">
        <f t="shared" si="8"/>
        <v>656207.18317194446</v>
      </c>
      <c r="T18" s="47">
        <f>'Monthly Data'!M18+'Monthly Data'!N18</f>
        <v>0</v>
      </c>
      <c r="U18" s="47">
        <f t="shared" si="9"/>
        <v>656207.18317194446</v>
      </c>
      <c r="V18" s="47">
        <f t="shared" si="10"/>
        <v>-16525.006682167877</v>
      </c>
      <c r="W18" s="18">
        <f t="shared" si="11"/>
        <v>2.4564019577763128E-2</v>
      </c>
      <c r="Z18" s="685" t="s">
        <v>417</v>
      </c>
      <c r="AA18" s="690">
        <v>0.84965000000000002</v>
      </c>
      <c r="AB18" s="685" t="s">
        <v>418</v>
      </c>
      <c r="AC18" s="690">
        <v>0.84166700000000005</v>
      </c>
    </row>
    <row r="19" spans="1:29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Data'!L19</f>
        <v>655433.0775185246</v>
      </c>
      <c r="E19" s="683">
        <f>'Monthly Data'!CP19</f>
        <v>30.204166666666669</v>
      </c>
      <c r="F19" s="3">
        <f>'Monthly Data'!CU19</f>
        <v>147.17916666666667</v>
      </c>
      <c r="G19" s="3">
        <f>'Monthly Data'!EG19</f>
        <v>0</v>
      </c>
      <c r="H19">
        <f>'Monthly Data'!EH19</f>
        <v>18</v>
      </c>
      <c r="I19" s="3">
        <f>'Monthly Data'!DQ19</f>
        <v>30</v>
      </c>
      <c r="J19" s="360">
        <f>'Monthly Data'!EO19</f>
        <v>0</v>
      </c>
      <c r="L19" s="3">
        <f t="shared" si="1"/>
        <v>-769716</v>
      </c>
      <c r="M19" s="3">
        <f t="shared" si="2"/>
        <v>25193.277294166666</v>
      </c>
      <c r="N19" s="3">
        <f t="shared" si="3"/>
        <v>291981.53697083337</v>
      </c>
      <c r="O19" s="3">
        <f t="shared" si="4"/>
        <v>0</v>
      </c>
      <c r="P19" s="3">
        <f t="shared" si="5"/>
        <v>48009.491999999998</v>
      </c>
      <c r="Q19" s="3">
        <f t="shared" si="6"/>
        <v>1137613.8</v>
      </c>
      <c r="R19" s="3">
        <f t="shared" si="7"/>
        <v>0</v>
      </c>
      <c r="S19" s="47">
        <f t="shared" si="8"/>
        <v>733082.10626500007</v>
      </c>
      <c r="T19" s="47">
        <f>'Monthly Data'!M19+'Monthly Data'!N19</f>
        <v>0</v>
      </c>
      <c r="U19" s="47">
        <f t="shared" si="9"/>
        <v>733082.10626500007</v>
      </c>
      <c r="V19" s="47">
        <f t="shared" si="10"/>
        <v>77649.028746475466</v>
      </c>
      <c r="W19" s="18">
        <f t="shared" si="11"/>
        <v>0.11846980478991902</v>
      </c>
      <c r="Z19" s="685" t="s">
        <v>552</v>
      </c>
      <c r="AA19" s="687">
        <v>75.795299999999997</v>
      </c>
      <c r="AB19" s="685" t="s">
        <v>419</v>
      </c>
      <c r="AC19" s="690">
        <v>2.6600000000000002E-37</v>
      </c>
    </row>
    <row r="20" spans="1:29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Data'!L20</f>
        <v>998351.87830293574</v>
      </c>
      <c r="E20" s="683">
        <f>'Monthly Data'!CP20</f>
        <v>1.6583333333333314</v>
      </c>
      <c r="F20" s="3">
        <f>'Monthly Data'!CU20</f>
        <v>251.2291666666666</v>
      </c>
      <c r="G20" s="3">
        <f>'Monthly Data'!EG20</f>
        <v>0</v>
      </c>
      <c r="H20">
        <f>'Monthly Data'!EH20</f>
        <v>19</v>
      </c>
      <c r="I20" s="3">
        <f>'Monthly Data'!DQ20</f>
        <v>31</v>
      </c>
      <c r="J20" s="360">
        <f>'Monthly Data'!EO20</f>
        <v>0</v>
      </c>
      <c r="L20" s="3">
        <f t="shared" si="1"/>
        <v>-769716</v>
      </c>
      <c r="M20" s="3">
        <f t="shared" si="2"/>
        <v>1383.2148383333317</v>
      </c>
      <c r="N20" s="3">
        <f t="shared" si="3"/>
        <v>498401.23352083325</v>
      </c>
      <c r="O20" s="3">
        <f t="shared" si="4"/>
        <v>0</v>
      </c>
      <c r="P20" s="3">
        <f t="shared" si="5"/>
        <v>50676.686000000002</v>
      </c>
      <c r="Q20" s="3">
        <f t="shared" si="6"/>
        <v>1175534.26</v>
      </c>
      <c r="R20" s="3">
        <f t="shared" si="7"/>
        <v>0</v>
      </c>
      <c r="S20" s="47">
        <f t="shared" si="8"/>
        <v>956279.3943591665</v>
      </c>
      <c r="T20" s="47">
        <f>'Monthly Data'!M20+'Monthly Data'!N20</f>
        <v>0</v>
      </c>
      <c r="U20" s="47">
        <f t="shared" si="9"/>
        <v>956279.3943591665</v>
      </c>
      <c r="V20" s="47">
        <f t="shared" si="10"/>
        <v>-42072.483943769243</v>
      </c>
      <c r="W20" s="18">
        <f t="shared" si="11"/>
        <v>4.2141938987771348E-2</v>
      </c>
      <c r="Z20" s="685" t="s">
        <v>420</v>
      </c>
      <c r="AA20" s="690">
        <v>3.2661999999999997E-2</v>
      </c>
      <c r="AB20" s="685" t="s">
        <v>421</v>
      </c>
      <c r="AC20" s="690">
        <v>1.916391</v>
      </c>
    </row>
    <row r="21" spans="1:29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Data'!L21</f>
        <v>984083.20127734495</v>
      </c>
      <c r="E21" s="683">
        <f>'Monthly Data'!CP21</f>
        <v>1.1291666666666664</v>
      </c>
      <c r="F21" s="3">
        <f>'Monthly Data'!CU21</f>
        <v>266.02500000000003</v>
      </c>
      <c r="G21" s="3">
        <f>'Monthly Data'!EG21</f>
        <v>0</v>
      </c>
      <c r="H21">
        <f>'Monthly Data'!EH21</f>
        <v>20</v>
      </c>
      <c r="I21" s="3">
        <f>'Monthly Data'!DQ21</f>
        <v>31</v>
      </c>
      <c r="J21" s="360">
        <f>'Monthly Data'!EO21</f>
        <v>0</v>
      </c>
      <c r="L21" s="3">
        <f t="shared" si="1"/>
        <v>-769716</v>
      </c>
      <c r="M21" s="3">
        <f t="shared" si="2"/>
        <v>941.83723916666645</v>
      </c>
      <c r="N21" s="3">
        <f t="shared" si="3"/>
        <v>527753.96227500006</v>
      </c>
      <c r="O21" s="3">
        <f t="shared" si="4"/>
        <v>0</v>
      </c>
      <c r="P21" s="3">
        <f t="shared" si="5"/>
        <v>53343.88</v>
      </c>
      <c r="Q21" s="3">
        <f t="shared" si="6"/>
        <v>1175534.26</v>
      </c>
      <c r="R21" s="3">
        <f t="shared" si="7"/>
        <v>0</v>
      </c>
      <c r="S21" s="47">
        <f t="shared" si="8"/>
        <v>987857.93951416679</v>
      </c>
      <c r="T21" s="47">
        <f>'Monthly Data'!M21+'Monthly Data'!N21</f>
        <v>0</v>
      </c>
      <c r="U21" s="47">
        <f t="shared" si="9"/>
        <v>987857.93951416679</v>
      </c>
      <c r="V21" s="47">
        <f t="shared" si="10"/>
        <v>3774.7382368218387</v>
      </c>
      <c r="W21" s="18">
        <f t="shared" si="11"/>
        <v>3.8357917622434865E-3</v>
      </c>
    </row>
    <row r="22" spans="1:29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Data'!L22</f>
        <v>669884.15840175818</v>
      </c>
      <c r="E22" s="683">
        <f>'Monthly Data'!CP22</f>
        <v>40.929166666666667</v>
      </c>
      <c r="F22" s="3">
        <f>'Monthly Data'!CU22</f>
        <v>120.65416666666664</v>
      </c>
      <c r="G22" s="3">
        <f>'Monthly Data'!EG22</f>
        <v>1</v>
      </c>
      <c r="H22">
        <f>'Monthly Data'!EH22</f>
        <v>21</v>
      </c>
      <c r="I22" s="3">
        <f>'Monthly Data'!DQ22</f>
        <v>30</v>
      </c>
      <c r="J22" s="360">
        <f>'Monthly Data'!EO22</f>
        <v>0</v>
      </c>
      <c r="L22" s="3">
        <f t="shared" si="1"/>
        <v>-769716</v>
      </c>
      <c r="M22" s="3">
        <f t="shared" si="2"/>
        <v>34138.993359166663</v>
      </c>
      <c r="N22" s="3">
        <f t="shared" si="3"/>
        <v>239359.8891958333</v>
      </c>
      <c r="O22" s="3">
        <f t="shared" si="4"/>
        <v>-56026.3</v>
      </c>
      <c r="P22" s="3">
        <f t="shared" si="5"/>
        <v>56011.074000000001</v>
      </c>
      <c r="Q22" s="3">
        <f t="shared" si="6"/>
        <v>1137613.8</v>
      </c>
      <c r="R22" s="3">
        <f t="shared" si="7"/>
        <v>0</v>
      </c>
      <c r="S22" s="47">
        <f t="shared" ref="S22:S53" si="12">SUM(L22:R22)</f>
        <v>641381.45655500004</v>
      </c>
      <c r="T22" s="47">
        <f>'Monthly Data'!M22+'Monthly Data'!N22</f>
        <v>0</v>
      </c>
      <c r="U22" s="47">
        <f t="shared" si="9"/>
        <v>641381.45655500004</v>
      </c>
      <c r="V22" s="47">
        <f t="shared" si="10"/>
        <v>-28502.701846758137</v>
      </c>
      <c r="W22" s="18">
        <f t="shared" ref="W22:W53" si="13">ABS(V22/D22)</f>
        <v>4.2548702621601403E-2</v>
      </c>
      <c r="Z22" s="691" t="s">
        <v>408</v>
      </c>
      <c r="AA22" s="692"/>
      <c r="AB22" s="692"/>
      <c r="AC22" s="693"/>
    </row>
    <row r="23" spans="1:29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Data'!L23</f>
        <v>746305.87275616836</v>
      </c>
      <c r="E23" s="683">
        <f>'Monthly Data'!CP23</f>
        <v>222.13333333333333</v>
      </c>
      <c r="F23" s="3">
        <f>'Monthly Data'!CU23</f>
        <v>24.770833333333336</v>
      </c>
      <c r="G23" s="3">
        <f>'Monthly Data'!EG23</f>
        <v>1</v>
      </c>
      <c r="H23">
        <f>'Monthly Data'!EH23</f>
        <v>22</v>
      </c>
      <c r="I23" s="3">
        <f>'Monthly Data'!DQ23</f>
        <v>31</v>
      </c>
      <c r="J23" s="360">
        <f>'Monthly Data'!EO23</f>
        <v>0</v>
      </c>
      <c r="L23" s="3">
        <f t="shared" si="1"/>
        <v>-769716</v>
      </c>
      <c r="M23" s="3">
        <f t="shared" si="2"/>
        <v>185281.28005333332</v>
      </c>
      <c r="N23" s="3">
        <f t="shared" si="3"/>
        <v>49141.642479166672</v>
      </c>
      <c r="O23" s="3">
        <f t="shared" si="4"/>
        <v>-56026.3</v>
      </c>
      <c r="P23" s="3">
        <f t="shared" si="5"/>
        <v>58678.267999999996</v>
      </c>
      <c r="Q23" s="3">
        <f t="shared" si="6"/>
        <v>1175534.26</v>
      </c>
      <c r="R23" s="3">
        <f t="shared" si="7"/>
        <v>0</v>
      </c>
      <c r="S23" s="47">
        <f t="shared" si="12"/>
        <v>642893.1505325</v>
      </c>
      <c r="T23" s="47">
        <f>'Monthly Data'!M23+'Monthly Data'!N23</f>
        <v>0</v>
      </c>
      <c r="U23" s="47">
        <f t="shared" si="9"/>
        <v>642893.1505325</v>
      </c>
      <c r="V23" s="47">
        <f t="shared" si="10"/>
        <v>-103412.72222366836</v>
      </c>
      <c r="W23" s="18">
        <f t="shared" si="13"/>
        <v>0.13856613755665187</v>
      </c>
      <c r="Z23" s="685" t="s">
        <v>422</v>
      </c>
      <c r="AA23" s="686">
        <v>962777.1</v>
      </c>
      <c r="AB23" s="685" t="s">
        <v>423</v>
      </c>
      <c r="AC23" s="686">
        <v>199539.20000000001</v>
      </c>
    </row>
    <row r="24" spans="1:29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Data'!L24</f>
        <v>613201.60482057964</v>
      </c>
      <c r="E24" s="683">
        <f>'Monthly Data'!CP24</f>
        <v>377.33511904761912</v>
      </c>
      <c r="F24" s="3">
        <f>'Monthly Data'!CU24</f>
        <v>0</v>
      </c>
      <c r="G24" s="3">
        <f>'Monthly Data'!EG24</f>
        <v>1</v>
      </c>
      <c r="H24">
        <f>'Monthly Data'!EH24</f>
        <v>23</v>
      </c>
      <c r="I24" s="3">
        <f>'Monthly Data'!DQ24</f>
        <v>30</v>
      </c>
      <c r="J24" s="360">
        <f>'Monthly Data'!EO24</f>
        <v>0</v>
      </c>
      <c r="L24" s="3">
        <f t="shared" si="1"/>
        <v>-769716</v>
      </c>
      <c r="M24" s="3">
        <f t="shared" si="2"/>
        <v>314734.99639654765</v>
      </c>
      <c r="N24" s="3">
        <f t="shared" si="3"/>
        <v>0</v>
      </c>
      <c r="O24" s="3">
        <f t="shared" si="4"/>
        <v>-56026.3</v>
      </c>
      <c r="P24" s="3">
        <f t="shared" si="5"/>
        <v>61345.462</v>
      </c>
      <c r="Q24" s="3">
        <f t="shared" si="6"/>
        <v>1137613.8</v>
      </c>
      <c r="R24" s="3">
        <f t="shared" si="7"/>
        <v>0</v>
      </c>
      <c r="S24" s="47">
        <f t="shared" si="12"/>
        <v>687951.95839654771</v>
      </c>
      <c r="T24" s="47">
        <f>'Monthly Data'!M24+'Monthly Data'!N24</f>
        <v>0</v>
      </c>
      <c r="U24" s="47">
        <f t="shared" si="9"/>
        <v>687951.95839654771</v>
      </c>
      <c r="V24" s="47">
        <f t="shared" si="10"/>
        <v>74750.353575968067</v>
      </c>
      <c r="W24" s="18">
        <f t="shared" si="13"/>
        <v>0.12190175790201939</v>
      </c>
      <c r="AA24" s="3"/>
      <c r="AC24" s="3"/>
    </row>
    <row r="25" spans="1:29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Data'!L25</f>
        <v>896247.4712049918</v>
      </c>
      <c r="E25" s="683">
        <f>'Monthly Data'!CP25</f>
        <v>616.67083333333335</v>
      </c>
      <c r="F25" s="3">
        <f>'Monthly Data'!CU25</f>
        <v>0</v>
      </c>
      <c r="G25" s="3">
        <f>'Monthly Data'!EG25</f>
        <v>0</v>
      </c>
      <c r="H25">
        <f>'Monthly Data'!EH25</f>
        <v>24</v>
      </c>
      <c r="I25" s="3">
        <f>'Monthly Data'!DQ25</f>
        <v>31</v>
      </c>
      <c r="J25" s="360">
        <f>'Monthly Data'!EO25</f>
        <v>0</v>
      </c>
      <c r="L25" s="3">
        <f t="shared" si="1"/>
        <v>-769716</v>
      </c>
      <c r="M25" s="3">
        <f t="shared" si="2"/>
        <v>514364.77208083333</v>
      </c>
      <c r="N25" s="3">
        <f t="shared" si="3"/>
        <v>0</v>
      </c>
      <c r="O25" s="3">
        <f t="shared" si="4"/>
        <v>0</v>
      </c>
      <c r="P25" s="3">
        <f t="shared" si="5"/>
        <v>64012.656000000003</v>
      </c>
      <c r="Q25" s="3">
        <f t="shared" si="6"/>
        <v>1175534.26</v>
      </c>
      <c r="R25" s="3">
        <f t="shared" si="7"/>
        <v>0</v>
      </c>
      <c r="S25" s="47">
        <f t="shared" si="12"/>
        <v>984195.68808083329</v>
      </c>
      <c r="T25" s="47">
        <f>'Monthly Data'!M25+'Monthly Data'!N25</f>
        <v>0</v>
      </c>
      <c r="U25" s="47">
        <f t="shared" si="9"/>
        <v>984195.68808083329</v>
      </c>
      <c r="V25" s="47">
        <f t="shared" si="10"/>
        <v>87948.216875841492</v>
      </c>
      <c r="W25" s="18">
        <f t="shared" si="13"/>
        <v>9.8129389149178167E-2</v>
      </c>
    </row>
    <row r="26" spans="1:29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Data'!L26</f>
        <v>944894.23985255114</v>
      </c>
      <c r="E26" s="683">
        <f>'Monthly Data'!CP26</f>
        <v>620.2166666666667</v>
      </c>
      <c r="F26" s="3">
        <f>'Monthly Data'!CU26</f>
        <v>0</v>
      </c>
      <c r="G26" s="3">
        <f>'Monthly Data'!EG26</f>
        <v>0</v>
      </c>
      <c r="H26">
        <f>'Monthly Data'!EH26</f>
        <v>25</v>
      </c>
      <c r="I26" s="3">
        <f>'Monthly Data'!DQ26</f>
        <v>31</v>
      </c>
      <c r="J26" s="360">
        <f>'Monthly Data'!EO26</f>
        <v>0</v>
      </c>
      <c r="L26" s="3">
        <f t="shared" si="1"/>
        <v>-769716</v>
      </c>
      <c r="M26" s="3">
        <f t="shared" si="2"/>
        <v>517322.34953666665</v>
      </c>
      <c r="N26" s="3">
        <f t="shared" si="3"/>
        <v>0</v>
      </c>
      <c r="O26" s="3">
        <f t="shared" si="4"/>
        <v>0</v>
      </c>
      <c r="P26" s="3">
        <f t="shared" si="5"/>
        <v>66679.850000000006</v>
      </c>
      <c r="Q26" s="3">
        <f t="shared" si="6"/>
        <v>1175534.26</v>
      </c>
      <c r="R26" s="3">
        <f t="shared" si="7"/>
        <v>0</v>
      </c>
      <c r="S26" s="47">
        <f t="shared" si="12"/>
        <v>989820.45953666663</v>
      </c>
      <c r="T26" s="47">
        <f>'Monthly Data'!M26+'Monthly Data'!N26</f>
        <v>42.709352033378551</v>
      </c>
      <c r="U26" s="47">
        <f t="shared" si="9"/>
        <v>989863.16888869996</v>
      </c>
      <c r="V26" s="47">
        <f t="shared" si="10"/>
        <v>44968.929036148824</v>
      </c>
      <c r="W26" s="18">
        <f t="shared" si="13"/>
        <v>4.7591494518123147E-2</v>
      </c>
    </row>
    <row r="27" spans="1:29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Data'!L27</f>
        <v>862632.18090412836</v>
      </c>
      <c r="E27" s="683">
        <f>'Monthly Data'!CP27</f>
        <v>530.08333333333337</v>
      </c>
      <c r="F27" s="3">
        <f>'Monthly Data'!CU27</f>
        <v>0</v>
      </c>
      <c r="G27" s="3">
        <f>'Monthly Data'!EG27</f>
        <v>0</v>
      </c>
      <c r="H27">
        <f>'Monthly Data'!EH27</f>
        <v>26</v>
      </c>
      <c r="I27" s="3">
        <f>'Monthly Data'!DQ27</f>
        <v>28</v>
      </c>
      <c r="J27" s="360">
        <f>'Monthly Data'!EO27</f>
        <v>0</v>
      </c>
      <c r="L27" s="3">
        <f t="shared" si="1"/>
        <v>-769716</v>
      </c>
      <c r="M27" s="3">
        <f t="shared" si="2"/>
        <v>442142.19028333336</v>
      </c>
      <c r="N27" s="3">
        <f t="shared" si="3"/>
        <v>0</v>
      </c>
      <c r="O27" s="3">
        <f t="shared" si="4"/>
        <v>0</v>
      </c>
      <c r="P27" s="3">
        <f t="shared" si="5"/>
        <v>69347.043999999994</v>
      </c>
      <c r="Q27" s="3">
        <f t="shared" si="6"/>
        <v>1061772.8799999999</v>
      </c>
      <c r="R27" s="3">
        <f t="shared" si="7"/>
        <v>0</v>
      </c>
      <c r="S27" s="47">
        <f t="shared" si="12"/>
        <v>803546.1142833333</v>
      </c>
      <c r="T27" s="47">
        <f>'Monthly Data'!M27+'Monthly Data'!N27</f>
        <v>85.418704066757101</v>
      </c>
      <c r="U27" s="47">
        <f t="shared" si="9"/>
        <v>803631.53298740007</v>
      </c>
      <c r="V27" s="47">
        <f t="shared" si="10"/>
        <v>-59000.647916728281</v>
      </c>
      <c r="W27" s="18">
        <f t="shared" si="13"/>
        <v>6.8396066391691365E-2</v>
      </c>
    </row>
    <row r="28" spans="1:29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Data'!L28</f>
        <v>948152.62357570359</v>
      </c>
      <c r="E28" s="683">
        <f>'Monthly Data'!CP28</f>
        <v>599.67916666666667</v>
      </c>
      <c r="F28" s="3">
        <f>'Monthly Data'!CU28</f>
        <v>0</v>
      </c>
      <c r="G28" s="3">
        <f>'Monthly Data'!EG28</f>
        <v>1</v>
      </c>
      <c r="H28">
        <f>'Monthly Data'!EH28</f>
        <v>27</v>
      </c>
      <c r="I28" s="3">
        <f>'Monthly Data'!DQ28</f>
        <v>31</v>
      </c>
      <c r="J28" s="360">
        <f>'Monthly Data'!EO28</f>
        <v>0</v>
      </c>
      <c r="L28" s="3">
        <f t="shared" si="1"/>
        <v>-769716</v>
      </c>
      <c r="M28" s="3">
        <f t="shared" si="2"/>
        <v>500192.03310916666</v>
      </c>
      <c r="N28" s="3">
        <f t="shared" si="3"/>
        <v>0</v>
      </c>
      <c r="O28" s="3">
        <f t="shared" si="4"/>
        <v>-56026.3</v>
      </c>
      <c r="P28" s="3">
        <f t="shared" si="5"/>
        <v>72014.237999999998</v>
      </c>
      <c r="Q28" s="3">
        <f t="shared" si="6"/>
        <v>1175534.26</v>
      </c>
      <c r="R28" s="3">
        <f t="shared" si="7"/>
        <v>0</v>
      </c>
      <c r="S28" s="47">
        <f t="shared" si="12"/>
        <v>921998.23110916675</v>
      </c>
      <c r="T28" s="47">
        <f>'Monthly Data'!M28+'Monthly Data'!N28</f>
        <v>128.12805610013567</v>
      </c>
      <c r="U28" s="47">
        <f t="shared" si="9"/>
        <v>922126.35916526685</v>
      </c>
      <c r="V28" s="47">
        <f t="shared" si="10"/>
        <v>-26026.264410436735</v>
      </c>
      <c r="W28" s="18">
        <f t="shared" si="13"/>
        <v>2.7449446179124256E-2</v>
      </c>
    </row>
    <row r="29" spans="1:29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Data'!L29</f>
        <v>651130.06956727896</v>
      </c>
      <c r="E29" s="683">
        <f>'Monthly Data'!CP29</f>
        <v>288.73333333333335</v>
      </c>
      <c r="F29" s="3">
        <f>'Monthly Data'!CU29</f>
        <v>5.6500000000000057</v>
      </c>
      <c r="G29" s="3">
        <f>'Monthly Data'!EG29</f>
        <v>1</v>
      </c>
      <c r="H29">
        <f>'Monthly Data'!EH29</f>
        <v>28</v>
      </c>
      <c r="I29" s="3">
        <f>'Monthly Data'!DQ29</f>
        <v>30</v>
      </c>
      <c r="J29" s="360">
        <f>'Monthly Data'!EO29</f>
        <v>0</v>
      </c>
      <c r="L29" s="3">
        <f t="shared" si="1"/>
        <v>-769716</v>
      </c>
      <c r="M29" s="3">
        <f t="shared" si="2"/>
        <v>240832.30009333332</v>
      </c>
      <c r="N29" s="3">
        <f t="shared" si="3"/>
        <v>11208.758150000012</v>
      </c>
      <c r="O29" s="3">
        <f t="shared" si="4"/>
        <v>-56026.3</v>
      </c>
      <c r="P29" s="3">
        <f t="shared" si="5"/>
        <v>74681.432000000001</v>
      </c>
      <c r="Q29" s="3">
        <f t="shared" si="6"/>
        <v>1137613.8</v>
      </c>
      <c r="R29" s="3">
        <f t="shared" si="7"/>
        <v>0</v>
      </c>
      <c r="S29" s="47">
        <f t="shared" si="12"/>
        <v>638593.99024333339</v>
      </c>
      <c r="T29" s="47">
        <f>'Monthly Data'!M29+'Monthly Data'!N29</f>
        <v>170.8374081335142</v>
      </c>
      <c r="U29" s="47">
        <f t="shared" si="9"/>
        <v>638764.82765146694</v>
      </c>
      <c r="V29" s="47">
        <f t="shared" si="10"/>
        <v>-12365.241915812017</v>
      </c>
      <c r="W29" s="18">
        <f t="shared" si="13"/>
        <v>1.8990432931517934E-2</v>
      </c>
    </row>
    <row r="30" spans="1:29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Data'!L30</f>
        <v>747823.78382885619</v>
      </c>
      <c r="E30" s="683">
        <f>'Monthly Data'!CP30</f>
        <v>188.63749999999999</v>
      </c>
      <c r="F30" s="3">
        <f>'Monthly Data'!CU30</f>
        <v>28.370833333333344</v>
      </c>
      <c r="G30" s="3">
        <f>'Monthly Data'!EG30</f>
        <v>1</v>
      </c>
      <c r="H30">
        <f>'Monthly Data'!EH30</f>
        <v>29</v>
      </c>
      <c r="I30" s="3">
        <f>'Monthly Data'!DQ30</f>
        <v>31</v>
      </c>
      <c r="J30" s="360">
        <f>'Monthly Data'!EO30</f>
        <v>0</v>
      </c>
      <c r="L30" s="3">
        <f t="shared" si="1"/>
        <v>-769716</v>
      </c>
      <c r="M30" s="3">
        <f t="shared" si="2"/>
        <v>157342.42556749997</v>
      </c>
      <c r="N30" s="3">
        <f t="shared" si="3"/>
        <v>56283.506079166691</v>
      </c>
      <c r="O30" s="3">
        <f t="shared" si="4"/>
        <v>-56026.3</v>
      </c>
      <c r="P30" s="3">
        <f t="shared" si="5"/>
        <v>77348.626000000004</v>
      </c>
      <c r="Q30" s="3">
        <f t="shared" si="6"/>
        <v>1175534.26</v>
      </c>
      <c r="R30" s="3">
        <f t="shared" si="7"/>
        <v>0</v>
      </c>
      <c r="S30" s="47">
        <f t="shared" si="12"/>
        <v>640766.51764666662</v>
      </c>
      <c r="T30" s="47">
        <f>'Monthly Data'!M30+'Monthly Data'!N30</f>
        <v>213.54676016689277</v>
      </c>
      <c r="U30" s="47">
        <f t="shared" si="9"/>
        <v>640980.0644068335</v>
      </c>
      <c r="V30" s="47">
        <f t="shared" si="10"/>
        <v>-106843.7194220227</v>
      </c>
      <c r="W30" s="18">
        <f t="shared" si="13"/>
        <v>0.14287285552083284</v>
      </c>
    </row>
    <row r="31" spans="1:29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Data'!L31</f>
        <v>684051.82690043247</v>
      </c>
      <c r="E31" s="683">
        <f>'Monthly Data'!CP31</f>
        <v>47.73249999999998</v>
      </c>
      <c r="F31" s="3">
        <f>'Monthly Data'!CU31</f>
        <v>112.71333333333334</v>
      </c>
      <c r="G31" s="3">
        <f>'Monthly Data'!EG31</f>
        <v>0</v>
      </c>
      <c r="H31">
        <f>'Monthly Data'!EH31</f>
        <v>30</v>
      </c>
      <c r="I31" s="3">
        <f>'Monthly Data'!DQ31</f>
        <v>30</v>
      </c>
      <c r="J31" s="360">
        <f>'Monthly Data'!EO31</f>
        <v>0</v>
      </c>
      <c r="L31" s="3">
        <f t="shared" si="1"/>
        <v>-769716</v>
      </c>
      <c r="M31" s="3">
        <f t="shared" si="2"/>
        <v>39813.649610499982</v>
      </c>
      <c r="N31" s="3">
        <f t="shared" si="3"/>
        <v>223606.45904666669</v>
      </c>
      <c r="O31" s="3">
        <f t="shared" si="4"/>
        <v>0</v>
      </c>
      <c r="P31" s="3">
        <f t="shared" si="5"/>
        <v>80015.819999999992</v>
      </c>
      <c r="Q31" s="3">
        <f t="shared" si="6"/>
        <v>1137613.8</v>
      </c>
      <c r="R31" s="3">
        <f t="shared" si="7"/>
        <v>0</v>
      </c>
      <c r="S31" s="47">
        <f t="shared" si="12"/>
        <v>711333.72865716671</v>
      </c>
      <c r="T31" s="47">
        <f>'Monthly Data'!M31+'Monthly Data'!N31</f>
        <v>256.25611220027133</v>
      </c>
      <c r="U31" s="47">
        <f t="shared" si="9"/>
        <v>711589.98476936703</v>
      </c>
      <c r="V31" s="47">
        <f t="shared" si="10"/>
        <v>27538.157868934562</v>
      </c>
      <c r="W31" s="18">
        <f t="shared" si="13"/>
        <v>4.0257414403401477E-2</v>
      </c>
    </row>
    <row r="32" spans="1:29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Data'!L32</f>
        <v>1023307.9767920077</v>
      </c>
      <c r="E32" s="683">
        <f>'Monthly Data'!CP32</f>
        <v>1.8041666666666707</v>
      </c>
      <c r="F32" s="3">
        <f>'Monthly Data'!CU32</f>
        <v>198.16666666666666</v>
      </c>
      <c r="G32" s="3">
        <f>'Monthly Data'!EG32</f>
        <v>0</v>
      </c>
      <c r="H32">
        <f>'Monthly Data'!EH32</f>
        <v>31</v>
      </c>
      <c r="I32" s="3">
        <f>'Monthly Data'!DQ32</f>
        <v>31</v>
      </c>
      <c r="J32" s="360">
        <f>'Monthly Data'!EO32</f>
        <v>0</v>
      </c>
      <c r="L32" s="3">
        <f t="shared" si="1"/>
        <v>-769716</v>
      </c>
      <c r="M32" s="3">
        <f t="shared" si="2"/>
        <v>1504.85433416667</v>
      </c>
      <c r="N32" s="3">
        <f t="shared" si="3"/>
        <v>393133.13983333332</v>
      </c>
      <c r="O32" s="3">
        <f t="shared" si="4"/>
        <v>0</v>
      </c>
      <c r="P32" s="3">
        <f t="shared" si="5"/>
        <v>82683.013999999996</v>
      </c>
      <c r="Q32" s="3">
        <f t="shared" si="6"/>
        <v>1175534.26</v>
      </c>
      <c r="R32" s="3">
        <f t="shared" si="7"/>
        <v>0</v>
      </c>
      <c r="S32" s="47">
        <f t="shared" si="12"/>
        <v>883139.26816749992</v>
      </c>
      <c r="T32" s="47">
        <f>'Monthly Data'!M32+'Monthly Data'!N32</f>
        <v>298.96546423364987</v>
      </c>
      <c r="U32" s="47">
        <f t="shared" si="9"/>
        <v>883438.23363173357</v>
      </c>
      <c r="V32" s="47">
        <f t="shared" si="10"/>
        <v>-139869.74316027411</v>
      </c>
      <c r="W32" s="18">
        <f t="shared" si="13"/>
        <v>0.1366839175814451</v>
      </c>
    </row>
    <row r="33" spans="1:23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Data'!L33</f>
        <v>1042017.2955035861</v>
      </c>
      <c r="E33" s="683">
        <f>'Monthly Data'!CP33</f>
        <v>17.950000000000006</v>
      </c>
      <c r="F33" s="3">
        <f>'Monthly Data'!CU33</f>
        <v>155.42409420289857</v>
      </c>
      <c r="G33" s="3">
        <f>'Monthly Data'!EG33</f>
        <v>0</v>
      </c>
      <c r="H33">
        <f>'Monthly Data'!EH33</f>
        <v>32</v>
      </c>
      <c r="I33" s="3">
        <f>'Monthly Data'!DQ33</f>
        <v>31</v>
      </c>
      <c r="J33" s="360">
        <f>'Monthly Data'!EO33</f>
        <v>0</v>
      </c>
      <c r="L33" s="3">
        <f t="shared" si="1"/>
        <v>-769716</v>
      </c>
      <c r="M33" s="3">
        <f t="shared" si="2"/>
        <v>14972.084230000004</v>
      </c>
      <c r="N33" s="3">
        <f t="shared" si="3"/>
        <v>308338.24470851454</v>
      </c>
      <c r="O33" s="3">
        <f t="shared" si="4"/>
        <v>0</v>
      </c>
      <c r="P33" s="3">
        <f t="shared" si="5"/>
        <v>85350.207999999999</v>
      </c>
      <c r="Q33" s="3">
        <f t="shared" si="6"/>
        <v>1175534.26</v>
      </c>
      <c r="R33" s="3">
        <f t="shared" si="7"/>
        <v>0</v>
      </c>
      <c r="S33" s="47">
        <f t="shared" si="12"/>
        <v>814478.79693851457</v>
      </c>
      <c r="T33" s="47">
        <f>'Monthly Data'!M33+'Monthly Data'!N33</f>
        <v>341.6748162670284</v>
      </c>
      <c r="U33" s="47">
        <f t="shared" si="9"/>
        <v>814820.47175478155</v>
      </c>
      <c r="V33" s="47">
        <f t="shared" si="10"/>
        <v>-227196.82374880451</v>
      </c>
      <c r="W33" s="18">
        <f t="shared" si="13"/>
        <v>0.21803555922649523</v>
      </c>
    </row>
    <row r="34" spans="1:23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Data'!L34</f>
        <v>764048.71043516125</v>
      </c>
      <c r="E34" s="683">
        <f>'Monthly Data'!CP34</f>
        <v>65.699999999999989</v>
      </c>
      <c r="F34" s="3">
        <f>'Monthly Data'!CU34</f>
        <v>112.67916666666666</v>
      </c>
      <c r="G34" s="3">
        <f>'Monthly Data'!EG34</f>
        <v>1</v>
      </c>
      <c r="H34">
        <f>'Monthly Data'!EH34</f>
        <v>33</v>
      </c>
      <c r="I34" s="3">
        <f>'Monthly Data'!DQ34</f>
        <v>30</v>
      </c>
      <c r="J34" s="360">
        <f>'Monthly Data'!EO34</f>
        <v>0</v>
      </c>
      <c r="L34" s="3">
        <f t="shared" ref="L34:L65" si="14">$AA$8</f>
        <v>-769716</v>
      </c>
      <c r="M34" s="3">
        <f t="shared" ref="M34:M65" si="15">E34*$AA$9</f>
        <v>54800.330579999987</v>
      </c>
      <c r="N34" s="3">
        <f t="shared" ref="N34:N65" si="16">F34*$AA$10</f>
        <v>223538.67747083333</v>
      </c>
      <c r="O34" s="3">
        <f t="shared" ref="O34:O65" si="17">G34*$AA$11</f>
        <v>-56026.3</v>
      </c>
      <c r="P34" s="3">
        <f t="shared" ref="P34:P65" si="18">H34*$AA$12</f>
        <v>88017.402000000002</v>
      </c>
      <c r="Q34" s="3">
        <f t="shared" ref="Q34:Q65" si="19">I34*$AA$13</f>
        <v>1137613.8</v>
      </c>
      <c r="R34" s="3">
        <f t="shared" ref="R34:R65" si="20">J34*$AA$14</f>
        <v>0</v>
      </c>
      <c r="S34" s="47">
        <f t="shared" si="12"/>
        <v>678227.91005083325</v>
      </c>
      <c r="T34" s="47">
        <f>'Monthly Data'!M34+'Monthly Data'!N34</f>
        <v>384.384168300407</v>
      </c>
      <c r="U34" s="47">
        <f t="shared" si="9"/>
        <v>678612.29421913368</v>
      </c>
      <c r="V34" s="47">
        <f t="shared" si="10"/>
        <v>-85436.416216027574</v>
      </c>
      <c r="W34" s="18">
        <f t="shared" si="13"/>
        <v>0.11182064055492949</v>
      </c>
    </row>
    <row r="35" spans="1:23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Data'!L35</f>
        <v>692835.87622673658</v>
      </c>
      <c r="E35" s="683">
        <f>'Monthly Data'!CP35</f>
        <v>179.70833333333334</v>
      </c>
      <c r="F35" s="3">
        <f>'Monthly Data'!CU35</f>
        <v>29.654166666666669</v>
      </c>
      <c r="G35" s="3">
        <f>'Monthly Data'!EG35</f>
        <v>1</v>
      </c>
      <c r="H35">
        <f>'Monthly Data'!EH35</f>
        <v>34</v>
      </c>
      <c r="I35" s="3">
        <f>'Monthly Data'!DQ35</f>
        <v>31</v>
      </c>
      <c r="J35" s="360">
        <f>'Monthly Data'!EO35</f>
        <v>0</v>
      </c>
      <c r="L35" s="3">
        <f t="shared" si="14"/>
        <v>-769716</v>
      </c>
      <c r="M35" s="3">
        <f t="shared" si="15"/>
        <v>149894.61300833334</v>
      </c>
      <c r="N35" s="3">
        <f t="shared" si="16"/>
        <v>58829.448195833342</v>
      </c>
      <c r="O35" s="3">
        <f t="shared" si="17"/>
        <v>-56026.3</v>
      </c>
      <c r="P35" s="3">
        <f t="shared" si="18"/>
        <v>90684.596000000005</v>
      </c>
      <c r="Q35" s="3">
        <f t="shared" si="19"/>
        <v>1175534.26</v>
      </c>
      <c r="R35" s="3">
        <f t="shared" si="20"/>
        <v>0</v>
      </c>
      <c r="S35" s="47">
        <f t="shared" si="12"/>
        <v>649200.61720416672</v>
      </c>
      <c r="T35" s="47">
        <f>'Monthly Data'!M35+'Monthly Data'!N35</f>
        <v>427.09352033378553</v>
      </c>
      <c r="U35" s="47">
        <f t="shared" si="9"/>
        <v>649627.71072450047</v>
      </c>
      <c r="V35" s="47">
        <f t="shared" si="10"/>
        <v>-43208.165502236108</v>
      </c>
      <c r="W35" s="18">
        <f t="shared" si="13"/>
        <v>6.2364214938684638E-2</v>
      </c>
    </row>
    <row r="36" spans="1:23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Data'!L36</f>
        <v>785011.87798831379</v>
      </c>
      <c r="E36" s="683">
        <f>'Monthly Data'!CP36</f>
        <v>442.61174242424244</v>
      </c>
      <c r="F36" s="3">
        <f>'Monthly Data'!CU36</f>
        <v>0</v>
      </c>
      <c r="G36" s="3">
        <f>'Monthly Data'!EG36</f>
        <v>1</v>
      </c>
      <c r="H36">
        <f>'Monthly Data'!EH36</f>
        <v>35</v>
      </c>
      <c r="I36" s="3">
        <f>'Monthly Data'!DQ36</f>
        <v>30</v>
      </c>
      <c r="J36" s="360">
        <f>'Monthly Data'!EO36</f>
        <v>0</v>
      </c>
      <c r="L36" s="3">
        <f t="shared" si="14"/>
        <v>-769716</v>
      </c>
      <c r="M36" s="3">
        <f t="shared" si="15"/>
        <v>369182.18878901511</v>
      </c>
      <c r="N36" s="3">
        <f t="shared" si="16"/>
        <v>0</v>
      </c>
      <c r="O36" s="3">
        <f t="shared" si="17"/>
        <v>-56026.3</v>
      </c>
      <c r="P36" s="3">
        <f t="shared" si="18"/>
        <v>93351.79</v>
      </c>
      <c r="Q36" s="3">
        <f t="shared" si="19"/>
        <v>1137613.8</v>
      </c>
      <c r="R36" s="3">
        <f t="shared" si="20"/>
        <v>0</v>
      </c>
      <c r="S36" s="47">
        <f t="shared" si="12"/>
        <v>774405.47878901521</v>
      </c>
      <c r="T36" s="47">
        <f>'Monthly Data'!M36+'Monthly Data'!N36</f>
        <v>469.80287236716407</v>
      </c>
      <c r="U36" s="47">
        <f t="shared" si="9"/>
        <v>774875.28166138241</v>
      </c>
      <c r="V36" s="47">
        <f t="shared" si="10"/>
        <v>-10136.59632693138</v>
      </c>
      <c r="W36" s="18">
        <f t="shared" si="13"/>
        <v>1.2912666178896059E-2</v>
      </c>
    </row>
    <row r="37" spans="1:23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Data'!L37</f>
        <v>1145205.4335898901</v>
      </c>
      <c r="E37" s="683">
        <f>'Monthly Data'!CP37</f>
        <v>736.31250000000011</v>
      </c>
      <c r="F37" s="3">
        <f>'Monthly Data'!CU37</f>
        <v>0</v>
      </c>
      <c r="G37" s="3">
        <f>'Monthly Data'!EG37</f>
        <v>0</v>
      </c>
      <c r="H37">
        <f>'Monthly Data'!EH37</f>
        <v>36</v>
      </c>
      <c r="I37" s="3">
        <f>'Monthly Data'!DQ37</f>
        <v>31</v>
      </c>
      <c r="J37" s="360">
        <f>'Monthly Data'!EO37</f>
        <v>0</v>
      </c>
      <c r="L37" s="3">
        <f t="shared" si="14"/>
        <v>-769716</v>
      </c>
      <c r="M37" s="3">
        <f t="shared" si="15"/>
        <v>614157.81446250004</v>
      </c>
      <c r="N37" s="3">
        <f t="shared" si="16"/>
        <v>0</v>
      </c>
      <c r="O37" s="3">
        <f t="shared" si="17"/>
        <v>0</v>
      </c>
      <c r="P37" s="3">
        <f t="shared" si="18"/>
        <v>96018.983999999997</v>
      </c>
      <c r="Q37" s="3">
        <f t="shared" si="19"/>
        <v>1175534.26</v>
      </c>
      <c r="R37" s="3">
        <f t="shared" si="20"/>
        <v>0</v>
      </c>
      <c r="S37" s="47">
        <f t="shared" si="12"/>
        <v>1115995.0584625001</v>
      </c>
      <c r="T37" s="47">
        <f>'Monthly Data'!M37+'Monthly Data'!N37</f>
        <v>512.51222440054266</v>
      </c>
      <c r="U37" s="47">
        <f t="shared" si="9"/>
        <v>1116507.5706869008</v>
      </c>
      <c r="V37" s="47">
        <f t="shared" si="10"/>
        <v>-28697.862902989378</v>
      </c>
      <c r="W37" s="18">
        <f t="shared" si="13"/>
        <v>2.5059139662854918E-2</v>
      </c>
    </row>
    <row r="38" spans="1:23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Data'!L38</f>
        <v>1205620.7630839557</v>
      </c>
      <c r="E38" s="683">
        <f>'Monthly Data'!CP38</f>
        <v>750.53750000000002</v>
      </c>
      <c r="F38" s="3">
        <f>'Monthly Data'!CU38</f>
        <v>0</v>
      </c>
      <c r="G38" s="3">
        <f>'Monthly Data'!EG38</f>
        <v>0</v>
      </c>
      <c r="H38">
        <f>'Monthly Data'!EH38</f>
        <v>37</v>
      </c>
      <c r="I38" s="3">
        <f>'Monthly Data'!DQ38</f>
        <v>31</v>
      </c>
      <c r="J38" s="360">
        <f>'Monthly Data'!EO38</f>
        <v>0</v>
      </c>
      <c r="L38" s="3">
        <f t="shared" si="14"/>
        <v>-769716</v>
      </c>
      <c r="M38" s="3">
        <f t="shared" si="15"/>
        <v>626022.87842750002</v>
      </c>
      <c r="N38" s="3">
        <f t="shared" si="16"/>
        <v>0</v>
      </c>
      <c r="O38" s="3">
        <f t="shared" si="17"/>
        <v>0</v>
      </c>
      <c r="P38" s="3">
        <f t="shared" si="18"/>
        <v>98686.178</v>
      </c>
      <c r="Q38" s="3">
        <f t="shared" si="19"/>
        <v>1175534.26</v>
      </c>
      <c r="R38" s="3">
        <f t="shared" si="20"/>
        <v>0</v>
      </c>
      <c r="S38" s="47">
        <f t="shared" si="12"/>
        <v>1130527.3164275</v>
      </c>
      <c r="T38" s="47">
        <f>'Monthly Data'!M38+'Monthly Data'!N38</f>
        <v>662.27530364372433</v>
      </c>
      <c r="U38" s="47">
        <f t="shared" si="9"/>
        <v>1131189.5917311436</v>
      </c>
      <c r="V38" s="47">
        <f t="shared" si="10"/>
        <v>-74431.171352812089</v>
      </c>
      <c r="W38" s="18">
        <f t="shared" si="13"/>
        <v>6.1736802842063308E-2</v>
      </c>
    </row>
    <row r="39" spans="1:23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Data'!L39</f>
        <v>981679.43415098719</v>
      </c>
      <c r="E39" s="683">
        <f>'Monthly Data'!CP39</f>
        <v>576.49583333333317</v>
      </c>
      <c r="F39" s="3">
        <f>'Monthly Data'!CU39</f>
        <v>0</v>
      </c>
      <c r="G39" s="3">
        <f>'Monthly Data'!EG39</f>
        <v>0</v>
      </c>
      <c r="H39">
        <f>'Monthly Data'!EH39</f>
        <v>38</v>
      </c>
      <c r="I39" s="3">
        <f>'Monthly Data'!DQ39</f>
        <v>28</v>
      </c>
      <c r="J39" s="360">
        <f>'Monthly Data'!EO39</f>
        <v>0</v>
      </c>
      <c r="L39" s="3">
        <f t="shared" si="14"/>
        <v>-769716</v>
      </c>
      <c r="M39" s="3">
        <f t="shared" si="15"/>
        <v>480854.82868583314</v>
      </c>
      <c r="N39" s="3">
        <f t="shared" si="16"/>
        <v>0</v>
      </c>
      <c r="O39" s="3">
        <f t="shared" si="17"/>
        <v>0</v>
      </c>
      <c r="P39" s="3">
        <f t="shared" si="18"/>
        <v>101353.372</v>
      </c>
      <c r="Q39" s="3">
        <f t="shared" si="19"/>
        <v>1061772.8799999999</v>
      </c>
      <c r="R39" s="3">
        <f t="shared" si="20"/>
        <v>0</v>
      </c>
      <c r="S39" s="47">
        <f t="shared" si="12"/>
        <v>874265.080685833</v>
      </c>
      <c r="T39" s="47">
        <f>'Monthly Data'!M39+'Monthly Data'!N39</f>
        <v>769.32903085352746</v>
      </c>
      <c r="U39" s="47">
        <f t="shared" si="9"/>
        <v>875034.40971668658</v>
      </c>
      <c r="V39" s="47">
        <f t="shared" si="10"/>
        <v>-106645.02443430061</v>
      </c>
      <c r="W39" s="18">
        <f t="shared" si="13"/>
        <v>0.10863528431410337</v>
      </c>
    </row>
    <row r="40" spans="1:23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Data'!L40</f>
        <v>947242.46931801958</v>
      </c>
      <c r="E40" s="683">
        <f>'Monthly Data'!CP40</f>
        <v>567.2791666666667</v>
      </c>
      <c r="F40" s="3">
        <f>'Monthly Data'!CU40</f>
        <v>0</v>
      </c>
      <c r="G40" s="3">
        <f>'Monthly Data'!EG40</f>
        <v>1</v>
      </c>
      <c r="H40">
        <f>'Monthly Data'!EH40</f>
        <v>39</v>
      </c>
      <c r="I40" s="3">
        <f>'Monthly Data'!DQ40</f>
        <v>31</v>
      </c>
      <c r="J40" s="360">
        <f>'Monthly Data'!EO40</f>
        <v>0</v>
      </c>
      <c r="L40" s="3">
        <f t="shared" si="14"/>
        <v>-769716</v>
      </c>
      <c r="M40" s="3">
        <f t="shared" si="15"/>
        <v>473167.21254916664</v>
      </c>
      <c r="N40" s="3">
        <f t="shared" si="16"/>
        <v>0</v>
      </c>
      <c r="O40" s="3">
        <f t="shared" si="17"/>
        <v>-56026.3</v>
      </c>
      <c r="P40" s="3">
        <f t="shared" si="18"/>
        <v>104020.56599999999</v>
      </c>
      <c r="Q40" s="3">
        <f t="shared" si="19"/>
        <v>1175534.26</v>
      </c>
      <c r="R40" s="3">
        <f t="shared" si="20"/>
        <v>0</v>
      </c>
      <c r="S40" s="47">
        <f t="shared" si="12"/>
        <v>926979.73854916659</v>
      </c>
      <c r="T40" s="47">
        <f>'Monthly Data'!M40+'Monthly Data'!N40</f>
        <v>876.38275806333058</v>
      </c>
      <c r="U40" s="47">
        <f t="shared" si="9"/>
        <v>927856.12130722997</v>
      </c>
      <c r="V40" s="47">
        <f t="shared" si="10"/>
        <v>-19386.348010789603</v>
      </c>
      <c r="W40" s="18">
        <f t="shared" si="13"/>
        <v>2.046608829178349E-2</v>
      </c>
    </row>
    <row r="41" spans="1:23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Data'!L41</f>
        <v>825650.77664505085</v>
      </c>
      <c r="E41" s="683">
        <f>'Monthly Data'!CP41</f>
        <v>452.51666666666677</v>
      </c>
      <c r="F41" s="3">
        <f>'Monthly Data'!CU41</f>
        <v>0</v>
      </c>
      <c r="G41" s="3">
        <f>'Monthly Data'!EG41</f>
        <v>1</v>
      </c>
      <c r="H41">
        <f>'Monthly Data'!EH41</f>
        <v>40</v>
      </c>
      <c r="I41" s="3">
        <f>'Monthly Data'!DQ41</f>
        <v>30</v>
      </c>
      <c r="J41" s="360">
        <f>'Monthly Data'!EO41</f>
        <v>0</v>
      </c>
      <c r="L41" s="3">
        <f t="shared" si="14"/>
        <v>-769716</v>
      </c>
      <c r="M41" s="3">
        <f t="shared" si="15"/>
        <v>377443.88015666674</v>
      </c>
      <c r="N41" s="3">
        <f t="shared" si="16"/>
        <v>0</v>
      </c>
      <c r="O41" s="3">
        <f t="shared" si="17"/>
        <v>-56026.3</v>
      </c>
      <c r="P41" s="3">
        <f t="shared" si="18"/>
        <v>106687.76</v>
      </c>
      <c r="Q41" s="3">
        <f t="shared" si="19"/>
        <v>1137613.8</v>
      </c>
      <c r="R41" s="3">
        <f t="shared" si="20"/>
        <v>0</v>
      </c>
      <c r="S41" s="47">
        <f t="shared" si="12"/>
        <v>796003.14015666675</v>
      </c>
      <c r="T41" s="47">
        <f>'Monthly Data'!M41+'Monthly Data'!N41</f>
        <v>983.43648527313383</v>
      </c>
      <c r="U41" s="47">
        <f t="shared" si="9"/>
        <v>796986.57664193993</v>
      </c>
      <c r="V41" s="47">
        <f t="shared" si="10"/>
        <v>-28664.20000311092</v>
      </c>
      <c r="W41" s="18">
        <f t="shared" si="13"/>
        <v>3.471709930387884E-2</v>
      </c>
    </row>
    <row r="42" spans="1:23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Data'!L42</f>
        <v>682679.85105208121</v>
      </c>
      <c r="E42" s="683">
        <f>'Monthly Data'!CP42</f>
        <v>95.407196969696969</v>
      </c>
      <c r="F42" s="3">
        <f>'Monthly Data'!CU42</f>
        <v>80.600541125541127</v>
      </c>
      <c r="G42" s="3">
        <f>'Monthly Data'!EG42</f>
        <v>1</v>
      </c>
      <c r="H42">
        <f>'Monthly Data'!EH42</f>
        <v>41</v>
      </c>
      <c r="I42" s="3">
        <f>'Monthly Data'!DQ42</f>
        <v>31</v>
      </c>
      <c r="J42" s="360">
        <f>'Monthly Data'!EO42</f>
        <v>0</v>
      </c>
      <c r="L42" s="3">
        <f t="shared" si="14"/>
        <v>-769716</v>
      </c>
      <c r="M42" s="3">
        <f t="shared" si="15"/>
        <v>79579.085748106052</v>
      </c>
      <c r="N42" s="3">
        <f t="shared" si="16"/>
        <v>159899.46411244589</v>
      </c>
      <c r="O42" s="3">
        <f t="shared" si="17"/>
        <v>-56026.3</v>
      </c>
      <c r="P42" s="3">
        <f t="shared" si="18"/>
        <v>109354.954</v>
      </c>
      <c r="Q42" s="3">
        <f t="shared" si="19"/>
        <v>1175534.26</v>
      </c>
      <c r="R42" s="3">
        <f t="shared" si="20"/>
        <v>0</v>
      </c>
      <c r="S42" s="47">
        <f t="shared" si="12"/>
        <v>698625.46386055194</v>
      </c>
      <c r="T42" s="47">
        <f>'Monthly Data'!M42+'Monthly Data'!N42</f>
        <v>1090.4902124829371</v>
      </c>
      <c r="U42" s="47">
        <f>S42+T42</f>
        <v>699715.95407303493</v>
      </c>
      <c r="V42" s="47">
        <f t="shared" si="10"/>
        <v>17036.103020953713</v>
      </c>
      <c r="W42" s="18">
        <f t="shared" si="13"/>
        <v>2.4954747081958391E-2</v>
      </c>
    </row>
    <row r="43" spans="1:23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Data'!L43</f>
        <v>718411.03047911357</v>
      </c>
      <c r="E43" s="683">
        <f>'Monthly Data'!CP43</f>
        <v>23.060227272727261</v>
      </c>
      <c r="F43" s="3">
        <f>'Monthly Data'!CU43</f>
        <v>141.51477272727271</v>
      </c>
      <c r="G43" s="3">
        <f>'Monthly Data'!EG43</f>
        <v>0</v>
      </c>
      <c r="H43">
        <f>'Monthly Data'!EH43</f>
        <v>42</v>
      </c>
      <c r="I43" s="3">
        <f>'Monthly Data'!DQ43</f>
        <v>30</v>
      </c>
      <c r="J43" s="360">
        <f>'Monthly Data'!EO43</f>
        <v>0</v>
      </c>
      <c r="L43" s="3">
        <f t="shared" si="14"/>
        <v>-769716</v>
      </c>
      <c r="M43" s="3">
        <f t="shared" si="15"/>
        <v>19234.521732045443</v>
      </c>
      <c r="N43" s="3">
        <f t="shared" si="16"/>
        <v>280744.2233897727</v>
      </c>
      <c r="O43" s="3">
        <f t="shared" si="17"/>
        <v>0</v>
      </c>
      <c r="P43" s="3">
        <f t="shared" si="18"/>
        <v>112022.148</v>
      </c>
      <c r="Q43" s="3">
        <f t="shared" si="19"/>
        <v>1137613.8</v>
      </c>
      <c r="R43" s="3">
        <f t="shared" si="20"/>
        <v>0</v>
      </c>
      <c r="S43" s="47">
        <f t="shared" si="12"/>
        <v>779898.69312181813</v>
      </c>
      <c r="T43" s="47">
        <f>'Monthly Data'!M43+'Monthly Data'!N43</f>
        <v>1197.5439396927402</v>
      </c>
      <c r="U43" s="47">
        <f t="shared" si="9"/>
        <v>781096.23706151091</v>
      </c>
      <c r="V43" s="47">
        <f t="shared" si="10"/>
        <v>62685.206582397339</v>
      </c>
      <c r="W43" s="18">
        <f t="shared" si="13"/>
        <v>8.7255350938295187E-2</v>
      </c>
    </row>
    <row r="44" spans="1:23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Data'!L44</f>
        <v>1048671.4791061438</v>
      </c>
      <c r="E44" s="683">
        <f>'Monthly Data'!CP44</f>
        <v>0.19999999999999574</v>
      </c>
      <c r="F44" s="3">
        <f>'Monthly Data'!CU44</f>
        <v>256.39861424807077</v>
      </c>
      <c r="G44" s="3">
        <f>'Monthly Data'!EG44</f>
        <v>0</v>
      </c>
      <c r="H44">
        <f>'Monthly Data'!EH44</f>
        <v>43</v>
      </c>
      <c r="I44" s="3">
        <f>'Monthly Data'!DQ44</f>
        <v>31</v>
      </c>
      <c r="J44" s="360">
        <f>'Monthly Data'!EO44</f>
        <v>0</v>
      </c>
      <c r="L44" s="3">
        <f t="shared" si="14"/>
        <v>-769716</v>
      </c>
      <c r="M44" s="3">
        <f t="shared" si="15"/>
        <v>166.81987999999643</v>
      </c>
      <c r="N44" s="3">
        <f t="shared" si="16"/>
        <v>508656.64727464947</v>
      </c>
      <c r="O44" s="3">
        <f t="shared" si="17"/>
        <v>0</v>
      </c>
      <c r="P44" s="3">
        <f t="shared" si="18"/>
        <v>114689.342</v>
      </c>
      <c r="Q44" s="3">
        <f t="shared" si="19"/>
        <v>1175534.26</v>
      </c>
      <c r="R44" s="3">
        <f t="shared" si="20"/>
        <v>0</v>
      </c>
      <c r="S44" s="47">
        <f t="shared" si="12"/>
        <v>1029331.0691546495</v>
      </c>
      <c r="T44" s="47">
        <f>'Monthly Data'!M44+'Monthly Data'!N44</f>
        <v>1304.5976669025436</v>
      </c>
      <c r="U44" s="47">
        <f t="shared" si="9"/>
        <v>1030635.6668215521</v>
      </c>
      <c r="V44" s="47">
        <f t="shared" si="10"/>
        <v>-18035.812284591724</v>
      </c>
      <c r="W44" s="18">
        <f t="shared" si="13"/>
        <v>1.7198724904738432E-2</v>
      </c>
    </row>
    <row r="45" spans="1:23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Data'!L45</f>
        <v>1058102.8646831752</v>
      </c>
      <c r="E45" s="683">
        <f>'Monthly Data'!CP45</f>
        <v>0.90833333333333144</v>
      </c>
      <c r="F45" s="3">
        <f>'Monthly Data'!CU45</f>
        <v>252.24583333333339</v>
      </c>
      <c r="G45" s="3">
        <f>'Monthly Data'!EG45</f>
        <v>0</v>
      </c>
      <c r="H45">
        <f>'Monthly Data'!EH45</f>
        <v>44</v>
      </c>
      <c r="I45" s="3">
        <f>'Monthly Data'!DQ45</f>
        <v>31</v>
      </c>
      <c r="J45" s="360">
        <f>'Monthly Data'!EO45</f>
        <v>0</v>
      </c>
      <c r="L45" s="3">
        <f t="shared" si="14"/>
        <v>-769716</v>
      </c>
      <c r="M45" s="3">
        <f t="shared" si="15"/>
        <v>757.64028833333168</v>
      </c>
      <c r="N45" s="3">
        <f t="shared" si="16"/>
        <v>500418.14870416682</v>
      </c>
      <c r="O45" s="3">
        <f t="shared" si="17"/>
        <v>0</v>
      </c>
      <c r="P45" s="3">
        <f t="shared" si="18"/>
        <v>117356.53599999999</v>
      </c>
      <c r="Q45" s="3">
        <f t="shared" si="19"/>
        <v>1175534.26</v>
      </c>
      <c r="R45" s="3">
        <f t="shared" si="20"/>
        <v>0</v>
      </c>
      <c r="S45" s="47">
        <f t="shared" si="12"/>
        <v>1024350.5849925001</v>
      </c>
      <c r="T45" s="47">
        <f>'Monthly Data'!M45+'Monthly Data'!N45</f>
        <v>1411.6513941123467</v>
      </c>
      <c r="U45" s="47">
        <f t="shared" si="9"/>
        <v>1025762.2363866125</v>
      </c>
      <c r="V45" s="47">
        <f t="shared" si="10"/>
        <v>-32340.628296562703</v>
      </c>
      <c r="W45" s="18">
        <f t="shared" si="13"/>
        <v>3.0564729929397145E-2</v>
      </c>
    </row>
    <row r="46" spans="1:23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Data'!L46</f>
        <v>759533.26319020661</v>
      </c>
      <c r="E46" s="683">
        <f>'Monthly Data'!CP46</f>
        <v>59.1875</v>
      </c>
      <c r="F46" s="3">
        <f>'Monthly Data'!CU46</f>
        <v>135.06250000000003</v>
      </c>
      <c r="G46" s="3">
        <f>'Monthly Data'!EG46</f>
        <v>1</v>
      </c>
      <c r="H46">
        <f>'Monthly Data'!EH46</f>
        <v>45</v>
      </c>
      <c r="I46" s="3">
        <f>'Monthly Data'!DQ46</f>
        <v>30</v>
      </c>
      <c r="J46" s="360">
        <f>'Monthly Data'!EO46</f>
        <v>0</v>
      </c>
      <c r="L46" s="3">
        <f t="shared" si="14"/>
        <v>-769716</v>
      </c>
      <c r="M46" s="3">
        <f t="shared" si="15"/>
        <v>49368.258237499998</v>
      </c>
      <c r="N46" s="3">
        <f t="shared" si="16"/>
        <v>267943.87568750005</v>
      </c>
      <c r="O46" s="3">
        <f t="shared" si="17"/>
        <v>-56026.3</v>
      </c>
      <c r="P46" s="3">
        <f t="shared" si="18"/>
        <v>120023.73</v>
      </c>
      <c r="Q46" s="3">
        <f t="shared" si="19"/>
        <v>1137613.8</v>
      </c>
      <c r="R46" s="3">
        <f t="shared" si="20"/>
        <v>0</v>
      </c>
      <c r="S46" s="47">
        <f t="shared" si="12"/>
        <v>749207.36392500007</v>
      </c>
      <c r="T46" s="47">
        <f>'Monthly Data'!M46+'Monthly Data'!N46</f>
        <v>1518.7051213221498</v>
      </c>
      <c r="U46" s="47">
        <f t="shared" si="9"/>
        <v>750726.06904632226</v>
      </c>
      <c r="V46" s="47">
        <f t="shared" si="10"/>
        <v>-8807.1941438843496</v>
      </c>
      <c r="W46" s="18">
        <f t="shared" si="13"/>
        <v>1.1595534482442809E-2</v>
      </c>
    </row>
    <row r="47" spans="1:23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Data'!L47</f>
        <v>900029.46587723796</v>
      </c>
      <c r="E47" s="683">
        <f>'Monthly Data'!CP47</f>
        <v>305.10000000000002</v>
      </c>
      <c r="F47" s="3">
        <f>'Monthly Data'!CU47</f>
        <v>15.387500000000001</v>
      </c>
      <c r="G47" s="3">
        <f>'Monthly Data'!EG47</f>
        <v>1</v>
      </c>
      <c r="H47">
        <f>'Monthly Data'!EH47</f>
        <v>46</v>
      </c>
      <c r="I47" s="3">
        <f>'Monthly Data'!DQ47</f>
        <v>31</v>
      </c>
      <c r="J47" s="360">
        <f>'Monthly Data'!EO47</f>
        <v>0</v>
      </c>
      <c r="L47" s="3">
        <f t="shared" si="14"/>
        <v>-769716</v>
      </c>
      <c r="M47" s="3">
        <f t="shared" si="15"/>
        <v>254483.72693999999</v>
      </c>
      <c r="N47" s="3">
        <f t="shared" si="16"/>
        <v>30526.507262500003</v>
      </c>
      <c r="O47" s="3">
        <f t="shared" si="17"/>
        <v>-56026.3</v>
      </c>
      <c r="P47" s="3">
        <f t="shared" si="18"/>
        <v>122690.924</v>
      </c>
      <c r="Q47" s="3">
        <f t="shared" si="19"/>
        <v>1175534.26</v>
      </c>
      <c r="R47" s="3">
        <f t="shared" si="20"/>
        <v>0</v>
      </c>
      <c r="S47" s="47">
        <f t="shared" si="12"/>
        <v>757493.11820249993</v>
      </c>
      <c r="T47" s="47">
        <f>'Monthly Data'!M47+'Monthly Data'!N47</f>
        <v>1625.7588485319529</v>
      </c>
      <c r="U47" s="47">
        <f t="shared" si="9"/>
        <v>759118.87705103192</v>
      </c>
      <c r="V47" s="47">
        <f t="shared" si="10"/>
        <v>-140910.58882620605</v>
      </c>
      <c r="W47" s="18">
        <f t="shared" si="13"/>
        <v>0.1565621950930948</v>
      </c>
    </row>
    <row r="48" spans="1:23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Data'!L48</f>
        <v>856133.06674426829</v>
      </c>
      <c r="E48" s="683">
        <f>'Monthly Data'!CP48</f>
        <v>503.52500000000003</v>
      </c>
      <c r="F48" s="3">
        <f>'Monthly Data'!CU48</f>
        <v>0</v>
      </c>
      <c r="G48" s="3">
        <f>'Monthly Data'!EG48</f>
        <v>1</v>
      </c>
      <c r="H48">
        <f>'Monthly Data'!EH48</f>
        <v>47</v>
      </c>
      <c r="I48" s="3">
        <f>'Monthly Data'!DQ48</f>
        <v>30</v>
      </c>
      <c r="J48" s="360">
        <f>'Monthly Data'!EO48</f>
        <v>0</v>
      </c>
      <c r="L48" s="3">
        <f t="shared" si="14"/>
        <v>-769716</v>
      </c>
      <c r="M48" s="3">
        <f t="shared" si="15"/>
        <v>419989.90038499999</v>
      </c>
      <c r="N48" s="3">
        <f t="shared" si="16"/>
        <v>0</v>
      </c>
      <c r="O48" s="3">
        <f t="shared" si="17"/>
        <v>-56026.3</v>
      </c>
      <c r="P48" s="3">
        <f t="shared" si="18"/>
        <v>125358.118</v>
      </c>
      <c r="Q48" s="3">
        <f t="shared" si="19"/>
        <v>1137613.8</v>
      </c>
      <c r="R48" s="3">
        <f t="shared" si="20"/>
        <v>0</v>
      </c>
      <c r="S48" s="47">
        <f t="shared" si="12"/>
        <v>857219.51838500006</v>
      </c>
      <c r="T48" s="47">
        <f>'Monthly Data'!M48+'Monthly Data'!N48</f>
        <v>1732.8125757417561</v>
      </c>
      <c r="U48" s="47">
        <f t="shared" si="9"/>
        <v>858952.33096074185</v>
      </c>
      <c r="V48" s="47">
        <f t="shared" si="10"/>
        <v>2819.2642164735589</v>
      </c>
      <c r="W48" s="18">
        <f t="shared" si="13"/>
        <v>3.2930210571059382E-3</v>
      </c>
    </row>
    <row r="49" spans="1:23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Data'!L49</f>
        <v>1023879.7442513007</v>
      </c>
      <c r="E49" s="683">
        <f>'Monthly Data'!CP49</f>
        <v>584.91666666666663</v>
      </c>
      <c r="F49" s="3">
        <f>'Monthly Data'!CU49</f>
        <v>0</v>
      </c>
      <c r="G49" s="3">
        <f>'Monthly Data'!EG49</f>
        <v>0</v>
      </c>
      <c r="H49">
        <f>'Monthly Data'!EH49</f>
        <v>48</v>
      </c>
      <c r="I49" s="3">
        <f>'Monthly Data'!DQ49</f>
        <v>31</v>
      </c>
      <c r="J49" s="360">
        <f>'Monthly Data'!EO49</f>
        <v>0</v>
      </c>
      <c r="L49" s="3">
        <f t="shared" si="14"/>
        <v>-769716</v>
      </c>
      <c r="M49" s="3">
        <f t="shared" si="15"/>
        <v>487878.64071666659</v>
      </c>
      <c r="N49" s="3">
        <f t="shared" si="16"/>
        <v>0</v>
      </c>
      <c r="O49" s="3">
        <f t="shared" si="17"/>
        <v>0</v>
      </c>
      <c r="P49" s="3">
        <f t="shared" si="18"/>
        <v>128025.31200000001</v>
      </c>
      <c r="Q49" s="3">
        <f t="shared" si="19"/>
        <v>1175534.26</v>
      </c>
      <c r="R49" s="3">
        <f t="shared" si="20"/>
        <v>0</v>
      </c>
      <c r="S49" s="47">
        <f t="shared" si="12"/>
        <v>1021722.2127166666</v>
      </c>
      <c r="T49" s="47">
        <f>'Monthly Data'!M49+'Monthly Data'!N49</f>
        <v>1839.8663029515592</v>
      </c>
      <c r="U49" s="47">
        <f t="shared" si="9"/>
        <v>1023562.0790196182</v>
      </c>
      <c r="V49" s="47">
        <f t="shared" si="10"/>
        <v>-317.66523168247659</v>
      </c>
      <c r="W49" s="18">
        <f t="shared" si="13"/>
        <v>3.1025638847339963E-4</v>
      </c>
    </row>
    <row r="50" spans="1:23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Data'!L50</f>
        <v>1235593.5946586204</v>
      </c>
      <c r="E50" s="683">
        <f>'Monthly Data'!CP50</f>
        <v>779.93333333333351</v>
      </c>
      <c r="F50" s="3">
        <f>'Monthly Data'!CU50</f>
        <v>0</v>
      </c>
      <c r="G50" s="3">
        <f>'Monthly Data'!EG50</f>
        <v>0</v>
      </c>
      <c r="H50">
        <f>'Monthly Data'!EH50</f>
        <v>49</v>
      </c>
      <c r="I50" s="3">
        <f>'Monthly Data'!DQ50</f>
        <v>31</v>
      </c>
      <c r="J50" s="360">
        <f>'Monthly Data'!EO50</f>
        <v>0</v>
      </c>
      <c r="L50" s="3">
        <f t="shared" si="14"/>
        <v>-769716</v>
      </c>
      <c r="M50" s="3">
        <f t="shared" si="15"/>
        <v>650541.92537333339</v>
      </c>
      <c r="N50" s="3">
        <f t="shared" si="16"/>
        <v>0</v>
      </c>
      <c r="O50" s="3">
        <f t="shared" si="17"/>
        <v>0</v>
      </c>
      <c r="P50" s="3">
        <f t="shared" si="18"/>
        <v>130692.50599999999</v>
      </c>
      <c r="Q50" s="3">
        <f t="shared" si="19"/>
        <v>1175534.26</v>
      </c>
      <c r="R50" s="3">
        <f t="shared" si="20"/>
        <v>0</v>
      </c>
      <c r="S50" s="47">
        <f t="shared" si="12"/>
        <v>1187052.6913733333</v>
      </c>
      <c r="T50" s="47">
        <f ca="1">'Monthly Data'!M50+'Monthly Data'!N50</f>
        <v>4073.8294567275175</v>
      </c>
      <c r="U50" s="47">
        <f t="shared" ca="1" si="9"/>
        <v>1191126.5208300608</v>
      </c>
      <c r="V50" s="47">
        <f t="shared" ca="1" si="10"/>
        <v>-44467.073828559602</v>
      </c>
      <c r="W50" s="18">
        <f t="shared" ca="1" si="13"/>
        <v>3.5988430193218443E-2</v>
      </c>
    </row>
    <row r="51" spans="1:23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Data'!L51</f>
        <v>1085389.6130774193</v>
      </c>
      <c r="E51" s="683">
        <f>'Monthly Data'!CP51</f>
        <v>639.30416666666645</v>
      </c>
      <c r="F51" s="3">
        <f>'Monthly Data'!CU51</f>
        <v>0</v>
      </c>
      <c r="G51" s="3">
        <f>'Monthly Data'!EG51</f>
        <v>0</v>
      </c>
      <c r="H51">
        <f>'Monthly Data'!EH51</f>
        <v>50</v>
      </c>
      <c r="I51" s="3">
        <f>'Monthly Data'!DQ51</f>
        <v>28</v>
      </c>
      <c r="J51" s="360">
        <f>'Monthly Data'!EO51</f>
        <v>0</v>
      </c>
      <c r="L51" s="3">
        <f t="shared" si="14"/>
        <v>-769716</v>
      </c>
      <c r="M51" s="3">
        <f t="shared" si="15"/>
        <v>533243.22183416644</v>
      </c>
      <c r="N51" s="3">
        <f t="shared" si="16"/>
        <v>0</v>
      </c>
      <c r="O51" s="3">
        <f t="shared" si="17"/>
        <v>0</v>
      </c>
      <c r="P51" s="3">
        <f t="shared" si="18"/>
        <v>133359.70000000001</v>
      </c>
      <c r="Q51" s="3">
        <f t="shared" si="19"/>
        <v>1061772.8799999999</v>
      </c>
      <c r="R51" s="3">
        <f t="shared" si="20"/>
        <v>0</v>
      </c>
      <c r="S51" s="47">
        <f t="shared" si="12"/>
        <v>958659.80183416628</v>
      </c>
      <c r="T51" s="47">
        <f ca="1">'Monthly Data'!M51+'Monthly Data'!N51</f>
        <v>3756.6132043557927</v>
      </c>
      <c r="U51" s="47">
        <f t="shared" ca="1" si="9"/>
        <v>962416.4150385221</v>
      </c>
      <c r="V51" s="47">
        <f t="shared" ca="1" si="10"/>
        <v>-122973.19803889724</v>
      </c>
      <c r="W51" s="18">
        <f t="shared" ca="1" si="13"/>
        <v>0.11329866856771342</v>
      </c>
    </row>
    <row r="52" spans="1:23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Data'!L52</f>
        <v>1066107.9126962184</v>
      </c>
      <c r="E52" s="683">
        <f>'Monthly Data'!CP52</f>
        <v>611.45833333333337</v>
      </c>
      <c r="F52" s="3">
        <f>'Monthly Data'!CU52</f>
        <v>0</v>
      </c>
      <c r="G52" s="3">
        <f>'Monthly Data'!EG52</f>
        <v>1</v>
      </c>
      <c r="H52">
        <f>'Monthly Data'!EH52</f>
        <v>51</v>
      </c>
      <c r="I52" s="3">
        <f>'Monthly Data'!DQ52</f>
        <v>31</v>
      </c>
      <c r="J52" s="360">
        <f>'Monthly Data'!EO52</f>
        <v>0</v>
      </c>
      <c r="L52" s="3">
        <f t="shared" si="14"/>
        <v>-769716</v>
      </c>
      <c r="M52" s="3">
        <f t="shared" si="15"/>
        <v>510017.02895833331</v>
      </c>
      <c r="N52" s="3">
        <f t="shared" si="16"/>
        <v>0</v>
      </c>
      <c r="O52" s="3">
        <f t="shared" si="17"/>
        <v>-56026.3</v>
      </c>
      <c r="P52" s="3">
        <f t="shared" si="18"/>
        <v>136026.894</v>
      </c>
      <c r="Q52" s="3">
        <f t="shared" si="19"/>
        <v>1175534.26</v>
      </c>
      <c r="R52" s="3">
        <f t="shared" si="20"/>
        <v>0</v>
      </c>
      <c r="S52" s="47">
        <f t="shared" si="12"/>
        <v>995835.88295833336</v>
      </c>
      <c r="T52" s="47">
        <f ca="1">'Monthly Data'!M52+'Monthly Data'!N52</f>
        <v>3738.8406520654999</v>
      </c>
      <c r="U52" s="47">
        <f t="shared" ca="1" si="9"/>
        <v>999574.72361039883</v>
      </c>
      <c r="V52" s="47">
        <f t="shared" ca="1" si="10"/>
        <v>-66533.189085819526</v>
      </c>
      <c r="W52" s="18">
        <f t="shared" ca="1" si="13"/>
        <v>6.2407555833213099E-2</v>
      </c>
    </row>
    <row r="53" spans="1:23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Data'!L53</f>
        <v>791047.00539501745</v>
      </c>
      <c r="E53" s="683">
        <f>'Monthly Data'!CP53</f>
        <v>366.65416666666664</v>
      </c>
      <c r="F53" s="3">
        <f>'Monthly Data'!CU53</f>
        <v>0</v>
      </c>
      <c r="G53" s="3">
        <f>'Monthly Data'!EG53</f>
        <v>1</v>
      </c>
      <c r="H53">
        <f>'Monthly Data'!EH53</f>
        <v>52</v>
      </c>
      <c r="I53" s="3">
        <f>'Monthly Data'!DQ53</f>
        <v>30</v>
      </c>
      <c r="J53" s="360">
        <f>'Monthly Data'!EO53</f>
        <v>0</v>
      </c>
      <c r="L53" s="3">
        <f t="shared" si="14"/>
        <v>-769716</v>
      </c>
      <c r="M53" s="3">
        <f t="shared" si="15"/>
        <v>305826.02042416664</v>
      </c>
      <c r="N53" s="3">
        <f t="shared" si="16"/>
        <v>0</v>
      </c>
      <c r="O53" s="3">
        <f t="shared" si="17"/>
        <v>-56026.3</v>
      </c>
      <c r="P53" s="3">
        <f t="shared" si="18"/>
        <v>138694.08799999999</v>
      </c>
      <c r="Q53" s="3">
        <f t="shared" si="19"/>
        <v>1137613.8</v>
      </c>
      <c r="R53" s="3">
        <f t="shared" si="20"/>
        <v>0</v>
      </c>
      <c r="S53" s="47">
        <f t="shared" si="12"/>
        <v>756391.60842416668</v>
      </c>
      <c r="T53" s="47">
        <f ca="1">'Monthly Data'!M53+'Monthly Data'!N53</f>
        <v>3145.0361261074054</v>
      </c>
      <c r="U53" s="47">
        <f t="shared" ca="1" si="9"/>
        <v>759536.64455027413</v>
      </c>
      <c r="V53" s="47">
        <f t="shared" ca="1" si="10"/>
        <v>-31510.360844743322</v>
      </c>
      <c r="W53" s="18">
        <f t="shared" ca="1" si="13"/>
        <v>3.9833740131546669E-2</v>
      </c>
    </row>
    <row r="54" spans="1:23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Data'!L54</f>
        <v>804730.19336381648</v>
      </c>
      <c r="E54" s="683">
        <f>'Monthly Data'!CP54</f>
        <v>205.53464912280697</v>
      </c>
      <c r="F54" s="3">
        <f>'Monthly Data'!CU54</f>
        <v>11.208333333333332</v>
      </c>
      <c r="G54" s="3">
        <f>'Monthly Data'!EG54</f>
        <v>1</v>
      </c>
      <c r="H54">
        <f>'Monthly Data'!EH54</f>
        <v>53</v>
      </c>
      <c r="I54" s="3">
        <f>'Monthly Data'!DQ54</f>
        <v>31</v>
      </c>
      <c r="J54" s="360">
        <f>'Monthly Data'!EO54</f>
        <v>0</v>
      </c>
      <c r="L54" s="3">
        <f t="shared" si="14"/>
        <v>-769716</v>
      </c>
      <c r="M54" s="3">
        <f t="shared" si="15"/>
        <v>171436.32751254379</v>
      </c>
      <c r="N54" s="3">
        <f t="shared" si="16"/>
        <v>22235.663291666664</v>
      </c>
      <c r="O54" s="3">
        <f t="shared" si="17"/>
        <v>-56026.3</v>
      </c>
      <c r="P54" s="3">
        <f t="shared" si="18"/>
        <v>141361.28200000001</v>
      </c>
      <c r="Q54" s="3">
        <f t="shared" si="19"/>
        <v>1175534.26</v>
      </c>
      <c r="R54" s="3">
        <f t="shared" si="20"/>
        <v>0</v>
      </c>
      <c r="S54" s="47">
        <f t="shared" ref="S54:S85" si="21">SUM(L54:R54)</f>
        <v>684825.23280421039</v>
      </c>
      <c r="T54" s="47">
        <f ca="1">'Monthly Data'!M54+'Monthly Data'!N54</f>
        <v>2773.4172745103228</v>
      </c>
      <c r="U54" s="47">
        <f t="shared" ca="1" si="9"/>
        <v>687598.65007872076</v>
      </c>
      <c r="V54" s="47">
        <f t="shared" ca="1" si="10"/>
        <v>-117131.54328509571</v>
      </c>
      <c r="W54" s="18">
        <f t="shared" ref="W54:W85" ca="1" si="22">ABS(V54/D54)</f>
        <v>0.14555380704118906</v>
      </c>
    </row>
    <row r="55" spans="1:23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Data'!L55</f>
        <v>766672.19979261432</v>
      </c>
      <c r="E55" s="683">
        <f>'Monthly Data'!CP55</f>
        <v>46.120833333333351</v>
      </c>
      <c r="F55" s="3">
        <f>'Monthly Data'!CU55</f>
        <v>118.81666666666663</v>
      </c>
      <c r="G55" s="3">
        <f>'Monthly Data'!EG55</f>
        <v>0</v>
      </c>
      <c r="H55">
        <f>'Monthly Data'!EH55</f>
        <v>54</v>
      </c>
      <c r="I55" s="3">
        <f>'Monthly Data'!DQ55</f>
        <v>30</v>
      </c>
      <c r="J55" s="360">
        <f>'Monthly Data'!EO55</f>
        <v>0</v>
      </c>
      <c r="L55" s="3">
        <f t="shared" si="14"/>
        <v>-769716</v>
      </c>
      <c r="M55" s="3">
        <f t="shared" si="15"/>
        <v>38469.359410833349</v>
      </c>
      <c r="N55" s="3">
        <f t="shared" si="16"/>
        <v>235714.56298333328</v>
      </c>
      <c r="O55" s="3">
        <f t="shared" si="17"/>
        <v>0</v>
      </c>
      <c r="P55" s="3">
        <f t="shared" si="18"/>
        <v>144028.476</v>
      </c>
      <c r="Q55" s="3">
        <f t="shared" si="19"/>
        <v>1137613.8</v>
      </c>
      <c r="R55" s="3">
        <f t="shared" si="20"/>
        <v>0</v>
      </c>
      <c r="S55" s="47">
        <f t="shared" si="21"/>
        <v>786110.19839416665</v>
      </c>
      <c r="T55" s="47">
        <f ca="1">'Monthly Data'!M55+'Monthly Data'!N55</f>
        <v>2406.3271208109982</v>
      </c>
      <c r="U55" s="47">
        <f t="shared" ref="U55:U118" ca="1" si="23">S55+T55</f>
        <v>788516.52551497763</v>
      </c>
      <c r="V55" s="47">
        <f t="shared" ref="V55:V118" ca="1" si="24">U55-D55</f>
        <v>21844.325722363312</v>
      </c>
      <c r="W55" s="18">
        <f t="shared" ca="1" si="22"/>
        <v>2.8492393135256797E-2</v>
      </c>
    </row>
    <row r="56" spans="1:23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Data'!L56</f>
        <v>1019691.4391314134</v>
      </c>
      <c r="E56" s="683">
        <f>'Monthly Data'!CP56</f>
        <v>0</v>
      </c>
      <c r="F56" s="3">
        <f>'Monthly Data'!CU56</f>
        <v>259.60000000000008</v>
      </c>
      <c r="G56" s="3">
        <f>'Monthly Data'!EG56</f>
        <v>0</v>
      </c>
      <c r="H56">
        <f>'Monthly Data'!EH56</f>
        <v>55</v>
      </c>
      <c r="I56" s="3">
        <f>'Monthly Data'!DQ56</f>
        <v>31</v>
      </c>
      <c r="J56" s="360">
        <f>'Monthly Data'!EO56</f>
        <v>0</v>
      </c>
      <c r="L56" s="3">
        <f t="shared" si="14"/>
        <v>-769716</v>
      </c>
      <c r="M56" s="3">
        <f t="shared" si="15"/>
        <v>0</v>
      </c>
      <c r="N56" s="3">
        <f t="shared" si="16"/>
        <v>515007.71960000019</v>
      </c>
      <c r="O56" s="3">
        <f t="shared" si="17"/>
        <v>0</v>
      </c>
      <c r="P56" s="3">
        <f t="shared" si="18"/>
        <v>146695.66999999998</v>
      </c>
      <c r="Q56" s="3">
        <f t="shared" si="19"/>
        <v>1175534.26</v>
      </c>
      <c r="R56" s="3">
        <f t="shared" si="20"/>
        <v>0</v>
      </c>
      <c r="S56" s="47">
        <f t="shared" si="21"/>
        <v>1067521.6496000001</v>
      </c>
      <c r="T56" s="47">
        <f ca="1">'Monthly Data'!M56+'Monthly Data'!N56</f>
        <v>2340.0338034639153</v>
      </c>
      <c r="U56" s="47">
        <f t="shared" ca="1" si="23"/>
        <v>1069861.683403464</v>
      </c>
      <c r="V56" s="47">
        <f t="shared" ca="1" si="24"/>
        <v>50170.244272050681</v>
      </c>
      <c r="W56" s="18">
        <f t="shared" ca="1" si="22"/>
        <v>4.9201397939347573E-2</v>
      </c>
    </row>
    <row r="57" spans="1:23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Data'!L57</f>
        <v>1015301.5661502132</v>
      </c>
      <c r="E57" s="683">
        <f>'Monthly Data'!CP57</f>
        <v>4.645833333333325</v>
      </c>
      <c r="F57" s="3">
        <f>'Monthly Data'!CU57</f>
        <v>190.07083333333335</v>
      </c>
      <c r="G57" s="3">
        <f>'Monthly Data'!EG57</f>
        <v>0</v>
      </c>
      <c r="H57">
        <f>'Monthly Data'!EH57</f>
        <v>56</v>
      </c>
      <c r="I57" s="3">
        <f>'Monthly Data'!DQ57</f>
        <v>31</v>
      </c>
      <c r="J57" s="360">
        <f>'Monthly Data'!EO57</f>
        <v>0</v>
      </c>
      <c r="L57" s="3">
        <f t="shared" si="14"/>
        <v>-769716</v>
      </c>
      <c r="M57" s="3">
        <f t="shared" si="15"/>
        <v>3875.0867958333261</v>
      </c>
      <c r="N57" s="3">
        <f t="shared" si="16"/>
        <v>377072.2127791667</v>
      </c>
      <c r="O57" s="3">
        <f t="shared" si="17"/>
        <v>0</v>
      </c>
      <c r="P57" s="3">
        <f t="shared" si="18"/>
        <v>149362.864</v>
      </c>
      <c r="Q57" s="3">
        <f t="shared" si="19"/>
        <v>1175534.26</v>
      </c>
      <c r="R57" s="3">
        <f t="shared" si="20"/>
        <v>0</v>
      </c>
      <c r="S57" s="47">
        <f t="shared" si="21"/>
        <v>936128.42357500002</v>
      </c>
      <c r="T57" s="47">
        <f ca="1">'Monthly Data'!M57+'Monthly Data'!N57</f>
        <v>2408.5277641496441</v>
      </c>
      <c r="U57" s="47">
        <f t="shared" ca="1" si="23"/>
        <v>938536.95133914961</v>
      </c>
      <c r="V57" s="47">
        <f t="shared" ca="1" si="24"/>
        <v>-76764.614811063628</v>
      </c>
      <c r="W57" s="18">
        <f t="shared" ca="1" si="22"/>
        <v>7.5607698609327617E-2</v>
      </c>
    </row>
    <row r="58" spans="1:23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Data'!L58</f>
        <v>726854.95777901227</v>
      </c>
      <c r="E58" s="683">
        <f>'Monthly Data'!CP58</f>
        <v>62.054166666666653</v>
      </c>
      <c r="F58" s="3">
        <f>'Monthly Data'!CU58</f>
        <v>76.5</v>
      </c>
      <c r="G58" s="3">
        <f>'Monthly Data'!EG58</f>
        <v>1</v>
      </c>
      <c r="H58">
        <f>'Monthly Data'!EH58</f>
        <v>57</v>
      </c>
      <c r="I58" s="3">
        <f>'Monthly Data'!DQ58</f>
        <v>30</v>
      </c>
      <c r="J58" s="360">
        <f>'Monthly Data'!EO58</f>
        <v>0</v>
      </c>
      <c r="L58" s="3">
        <f t="shared" si="14"/>
        <v>-769716</v>
      </c>
      <c r="M58" s="3">
        <f t="shared" si="15"/>
        <v>51759.343184166653</v>
      </c>
      <c r="N58" s="3">
        <f t="shared" si="16"/>
        <v>151764.60150000002</v>
      </c>
      <c r="O58" s="3">
        <f t="shared" si="17"/>
        <v>-56026.3</v>
      </c>
      <c r="P58" s="3">
        <f t="shared" si="18"/>
        <v>152030.05799999999</v>
      </c>
      <c r="Q58" s="3">
        <f t="shared" si="19"/>
        <v>1137613.8</v>
      </c>
      <c r="R58" s="3">
        <f t="shared" si="20"/>
        <v>0</v>
      </c>
      <c r="S58" s="47">
        <f t="shared" si="21"/>
        <v>667425.50268416665</v>
      </c>
      <c r="T58" s="47">
        <f ca="1">'Monthly Data'!M58+'Monthly Data'!N58</f>
        <v>2617.1080102695059</v>
      </c>
      <c r="U58" s="47">
        <f t="shared" ca="1" si="23"/>
        <v>670042.61069443612</v>
      </c>
      <c r="V58" s="47">
        <f t="shared" ca="1" si="24"/>
        <v>-56812.347084576148</v>
      </c>
      <c r="W58" s="18">
        <f t="shared" ca="1" si="22"/>
        <v>7.8161876006421854E-2</v>
      </c>
    </row>
    <row r="59" spans="1:23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Data'!L59</f>
        <v>860246.65539781121</v>
      </c>
      <c r="E59" s="683">
        <f>'Monthly Data'!CP59</f>
        <v>243.77916666666664</v>
      </c>
      <c r="F59" s="3">
        <f>'Monthly Data'!CU59</f>
        <v>7.3333333333333357</v>
      </c>
      <c r="G59" s="3">
        <f>'Monthly Data'!EG59</f>
        <v>1</v>
      </c>
      <c r="H59">
        <f>'Monthly Data'!EH59</f>
        <v>58</v>
      </c>
      <c r="I59" s="3">
        <f>'Monthly Data'!DQ59</f>
        <v>31</v>
      </c>
      <c r="J59" s="360">
        <f>'Monthly Data'!EO59</f>
        <v>0</v>
      </c>
      <c r="L59" s="3">
        <f t="shared" si="14"/>
        <v>-769716</v>
      </c>
      <c r="M59" s="3">
        <f t="shared" si="15"/>
        <v>203336.05664916662</v>
      </c>
      <c r="N59" s="3">
        <f t="shared" si="16"/>
        <v>14548.240666666672</v>
      </c>
      <c r="O59" s="3">
        <f t="shared" si="17"/>
        <v>-56026.3</v>
      </c>
      <c r="P59" s="3">
        <f t="shared" si="18"/>
        <v>154697.25200000001</v>
      </c>
      <c r="Q59" s="3">
        <f t="shared" si="19"/>
        <v>1175534.26</v>
      </c>
      <c r="R59" s="3">
        <f t="shared" si="20"/>
        <v>0</v>
      </c>
      <c r="S59" s="47">
        <f t="shared" si="21"/>
        <v>722373.50931583322</v>
      </c>
      <c r="T59" s="47">
        <f ca="1">'Monthly Data'!M59+'Monthly Data'!N59</f>
        <v>3155.7533604099644</v>
      </c>
      <c r="U59" s="47">
        <f t="shared" ca="1" si="23"/>
        <v>725529.2626762432</v>
      </c>
      <c r="V59" s="47">
        <f t="shared" ca="1" si="24"/>
        <v>-134717.392721568</v>
      </c>
      <c r="W59" s="18">
        <f t="shared" ca="1" si="22"/>
        <v>0.15660321592214677</v>
      </c>
    </row>
    <row r="60" spans="1:23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Data'!L60</f>
        <v>935722.1514366112</v>
      </c>
      <c r="E60" s="683">
        <f>'Monthly Data'!CP60</f>
        <v>529.72500000000002</v>
      </c>
      <c r="F60" s="3">
        <f>'Monthly Data'!CU60</f>
        <v>0</v>
      </c>
      <c r="G60" s="3">
        <f>'Monthly Data'!EG60</f>
        <v>1</v>
      </c>
      <c r="H60">
        <f>'Monthly Data'!EH60</f>
        <v>59</v>
      </c>
      <c r="I60" s="3">
        <f>'Monthly Data'!DQ60</f>
        <v>30</v>
      </c>
      <c r="J60" s="360">
        <f>'Monthly Data'!EO60</f>
        <v>0</v>
      </c>
      <c r="L60" s="3">
        <f t="shared" si="14"/>
        <v>-769716</v>
      </c>
      <c r="M60" s="3">
        <f t="shared" si="15"/>
        <v>441843.304665</v>
      </c>
      <c r="N60" s="3">
        <f t="shared" si="16"/>
        <v>0</v>
      </c>
      <c r="O60" s="3">
        <f t="shared" si="17"/>
        <v>-56026.3</v>
      </c>
      <c r="P60" s="3">
        <f t="shared" si="18"/>
        <v>157364.446</v>
      </c>
      <c r="Q60" s="3">
        <f t="shared" si="19"/>
        <v>1137613.8</v>
      </c>
      <c r="R60" s="3">
        <f t="shared" si="20"/>
        <v>0</v>
      </c>
      <c r="S60" s="47">
        <f t="shared" si="21"/>
        <v>911079.25066500006</v>
      </c>
      <c r="T60" s="47">
        <f ca="1">'Monthly Data'!M60+'Monthly Data'!N60</f>
        <v>3971.108673242044</v>
      </c>
      <c r="U60" s="47">
        <f t="shared" ca="1" si="23"/>
        <v>915050.35933824209</v>
      </c>
      <c r="V60" s="47">
        <f t="shared" ca="1" si="24"/>
        <v>-20671.7920983691</v>
      </c>
      <c r="W60" s="18">
        <f t="shared" ca="1" si="22"/>
        <v>2.209180584923822E-2</v>
      </c>
    </row>
    <row r="61" spans="1:23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Data'!L61</f>
        <v>1075831.7731454091</v>
      </c>
      <c r="E61" s="683">
        <f>'Monthly Data'!CP61</f>
        <v>614.42916666666667</v>
      </c>
      <c r="F61" s="3">
        <f>'Monthly Data'!CU61</f>
        <v>0</v>
      </c>
      <c r="G61" s="3">
        <f>'Monthly Data'!EG61</f>
        <v>0</v>
      </c>
      <c r="H61">
        <f>'Monthly Data'!EH61</f>
        <v>60</v>
      </c>
      <c r="I61" s="3">
        <f>'Monthly Data'!DQ61</f>
        <v>31</v>
      </c>
      <c r="J61" s="360">
        <f>'Monthly Data'!EO61</f>
        <v>0</v>
      </c>
      <c r="L61" s="3">
        <f t="shared" si="14"/>
        <v>-769716</v>
      </c>
      <c r="M61" s="3">
        <f t="shared" si="15"/>
        <v>512494.99925916665</v>
      </c>
      <c r="N61" s="3">
        <f t="shared" si="16"/>
        <v>0</v>
      </c>
      <c r="O61" s="3">
        <f t="shared" si="17"/>
        <v>0</v>
      </c>
      <c r="P61" s="3">
        <f t="shared" si="18"/>
        <v>160031.63999999998</v>
      </c>
      <c r="Q61" s="3">
        <f t="shared" si="19"/>
        <v>1175534.26</v>
      </c>
      <c r="R61" s="3">
        <f t="shared" si="20"/>
        <v>0</v>
      </c>
      <c r="S61" s="47">
        <f t="shared" si="21"/>
        <v>1078344.8992591666</v>
      </c>
      <c r="T61" s="47">
        <f ca="1">'Monthly Data'!M61+'Monthly Data'!N61</f>
        <v>4252.1603128609986</v>
      </c>
      <c r="U61" s="47">
        <f t="shared" ca="1" si="23"/>
        <v>1082597.0595720275</v>
      </c>
      <c r="V61" s="47">
        <f t="shared" ca="1" si="24"/>
        <v>6765.2864266184624</v>
      </c>
      <c r="W61" s="18">
        <f t="shared" ca="1" si="22"/>
        <v>6.288424078458657E-3</v>
      </c>
    </row>
    <row r="62" spans="1:23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Data'!L62</f>
        <v>1105183.051995286</v>
      </c>
      <c r="E62" s="683">
        <f>'Monthly Data'!CP62</f>
        <v>628.82083333333333</v>
      </c>
      <c r="F62" s="3">
        <f>'Monthly Data'!CU62</f>
        <v>0</v>
      </c>
      <c r="G62" s="3">
        <f>'Monthly Data'!EG62</f>
        <v>0</v>
      </c>
      <c r="H62">
        <f>'Monthly Data'!EH62</f>
        <v>61</v>
      </c>
      <c r="I62" s="3">
        <f>'Monthly Data'!DQ62</f>
        <v>31</v>
      </c>
      <c r="J62" s="360">
        <f>'Monthly Data'!EO62</f>
        <v>0</v>
      </c>
      <c r="L62" s="3">
        <f t="shared" si="14"/>
        <v>-769716</v>
      </c>
      <c r="M62" s="3">
        <f t="shared" si="15"/>
        <v>524499.07979083329</v>
      </c>
      <c r="N62" s="3">
        <f t="shared" si="16"/>
        <v>0</v>
      </c>
      <c r="O62" s="3">
        <f t="shared" si="17"/>
        <v>0</v>
      </c>
      <c r="P62" s="3">
        <f t="shared" si="18"/>
        <v>162698.834</v>
      </c>
      <c r="Q62" s="3">
        <f t="shared" si="19"/>
        <v>1175534.26</v>
      </c>
      <c r="R62" s="3">
        <f t="shared" si="20"/>
        <v>0</v>
      </c>
      <c r="S62" s="47">
        <f t="shared" si="21"/>
        <v>1093016.1737908332</v>
      </c>
      <c r="T62" s="47">
        <f ca="1">'Monthly Data'!M62+'Monthly Data'!N62</f>
        <v>9405.8386270828705</v>
      </c>
      <c r="U62" s="47">
        <f t="shared" ca="1" si="23"/>
        <v>1102422.012417916</v>
      </c>
      <c r="V62" s="47">
        <f t="shared" ca="1" si="24"/>
        <v>-2761.0395773700438</v>
      </c>
      <c r="W62" s="18">
        <f t="shared" ca="1" si="22"/>
        <v>2.4982644932758347E-3</v>
      </c>
    </row>
    <row r="63" spans="1:23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Data'!L63</f>
        <v>1070997.4322070554</v>
      </c>
      <c r="E63" s="683">
        <f>'Monthly Data'!CP63</f>
        <v>620.40000000000009</v>
      </c>
      <c r="F63" s="3">
        <f>'Monthly Data'!CU63</f>
        <v>0</v>
      </c>
      <c r="G63" s="3">
        <f>'Monthly Data'!EG63</f>
        <v>0</v>
      </c>
      <c r="H63">
        <f>'Monthly Data'!EH63</f>
        <v>62</v>
      </c>
      <c r="I63" s="3">
        <f>'Monthly Data'!DQ63</f>
        <v>29</v>
      </c>
      <c r="J63" s="360">
        <f>'Monthly Data'!EO63</f>
        <v>0</v>
      </c>
      <c r="L63" s="3">
        <f t="shared" si="14"/>
        <v>-769716</v>
      </c>
      <c r="M63" s="3">
        <f t="shared" si="15"/>
        <v>517475.26776000002</v>
      </c>
      <c r="N63" s="3">
        <f t="shared" si="16"/>
        <v>0</v>
      </c>
      <c r="O63" s="3">
        <f t="shared" si="17"/>
        <v>0</v>
      </c>
      <c r="P63" s="3">
        <f t="shared" si="18"/>
        <v>165366.02799999999</v>
      </c>
      <c r="Q63" s="3">
        <f t="shared" si="19"/>
        <v>1099693.3400000001</v>
      </c>
      <c r="R63" s="3">
        <f t="shared" si="20"/>
        <v>0</v>
      </c>
      <c r="S63" s="47">
        <f t="shared" si="21"/>
        <v>1012818.6357600001</v>
      </c>
      <c r="T63" s="47">
        <f ca="1">'Monthly Data'!M63+'Monthly Data'!N63</f>
        <v>9381.5208993117449</v>
      </c>
      <c r="U63" s="47">
        <f t="shared" ca="1" si="23"/>
        <v>1022200.1566593118</v>
      </c>
      <c r="V63" s="47">
        <f t="shared" ca="1" si="24"/>
        <v>-48797.275547743542</v>
      </c>
      <c r="W63" s="18">
        <f t="shared" ca="1" si="22"/>
        <v>4.5562458023064231E-2</v>
      </c>
    </row>
    <row r="64" spans="1:23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Data'!L64</f>
        <v>1015725.855648826</v>
      </c>
      <c r="E64" s="683">
        <f>'Monthly Data'!CP64</f>
        <v>481.57083333333344</v>
      </c>
      <c r="F64" s="3">
        <f>'Monthly Data'!CU64</f>
        <v>0</v>
      </c>
      <c r="G64" s="3">
        <f>'Monthly Data'!EG64</f>
        <v>1</v>
      </c>
      <c r="H64">
        <f>'Monthly Data'!EH64</f>
        <v>63</v>
      </c>
      <c r="I64" s="3">
        <f>'Monthly Data'!DQ64</f>
        <v>31</v>
      </c>
      <c r="J64" s="360">
        <f>'Monthly Data'!EO64</f>
        <v>240.78541666666672</v>
      </c>
      <c r="L64" s="3">
        <f t="shared" si="14"/>
        <v>-769716</v>
      </c>
      <c r="M64" s="3">
        <f t="shared" si="15"/>
        <v>401677.94314083341</v>
      </c>
      <c r="N64" s="3">
        <f t="shared" si="16"/>
        <v>0</v>
      </c>
      <c r="O64" s="3">
        <f t="shared" si="17"/>
        <v>-56026.3</v>
      </c>
      <c r="P64" s="3">
        <f t="shared" si="18"/>
        <v>168033.22200000001</v>
      </c>
      <c r="Q64" s="3">
        <f t="shared" si="19"/>
        <v>1175534.26</v>
      </c>
      <c r="R64" s="3">
        <f t="shared" si="20"/>
        <v>138102.76467166669</v>
      </c>
      <c r="S64" s="47">
        <f t="shared" si="21"/>
        <v>1057605.8898125002</v>
      </c>
      <c r="T64" s="47">
        <f ca="1">'Monthly Data'!M64+'Monthly Data'!N64</f>
        <v>7975.2009969592227</v>
      </c>
      <c r="U64" s="47">
        <f t="shared" ca="1" si="23"/>
        <v>1065581.0908094593</v>
      </c>
      <c r="V64" s="47">
        <f t="shared" ca="1" si="24"/>
        <v>49855.23516063334</v>
      </c>
      <c r="W64" s="18">
        <f t="shared" ca="1" si="22"/>
        <v>4.9083357367905908E-2</v>
      </c>
    </row>
    <row r="65" spans="1:23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Data'!L65</f>
        <v>983039.7833405945</v>
      </c>
      <c r="E65" s="683">
        <f>'Monthly Data'!CP65</f>
        <v>379.67500000000013</v>
      </c>
      <c r="F65" s="3">
        <f>'Monthly Data'!CU65</f>
        <v>0</v>
      </c>
      <c r="G65" s="3">
        <f>'Monthly Data'!EG65</f>
        <v>1</v>
      </c>
      <c r="H65">
        <f>'Monthly Data'!EH65</f>
        <v>64</v>
      </c>
      <c r="I65" s="3">
        <f>'Monthly Data'!DQ65</f>
        <v>30</v>
      </c>
      <c r="J65" s="360">
        <f>'Monthly Data'!EO65</f>
        <v>379.67500000000013</v>
      </c>
      <c r="L65" s="3">
        <f t="shared" si="14"/>
        <v>-769716</v>
      </c>
      <c r="M65" s="3">
        <f t="shared" si="15"/>
        <v>316686.68969500007</v>
      </c>
      <c r="N65" s="3">
        <f t="shared" si="16"/>
        <v>0</v>
      </c>
      <c r="O65" s="3">
        <f t="shared" si="17"/>
        <v>-56026.3</v>
      </c>
      <c r="P65" s="3">
        <f t="shared" si="18"/>
        <v>170700.416</v>
      </c>
      <c r="Q65" s="3">
        <f t="shared" si="19"/>
        <v>1137613.8</v>
      </c>
      <c r="R65" s="3">
        <f t="shared" si="20"/>
        <v>217763.05186000007</v>
      </c>
      <c r="S65" s="47">
        <f t="shared" si="21"/>
        <v>1017021.6575550002</v>
      </c>
      <c r="T65" s="47">
        <f ca="1">'Monthly Data'!M65+'Monthly Data'!N65</f>
        <v>6960.2820555463604</v>
      </c>
      <c r="U65" s="47">
        <f t="shared" ca="1" si="23"/>
        <v>1023981.9396105466</v>
      </c>
      <c r="V65" s="47">
        <f t="shared" ca="1" si="24"/>
        <v>40942.156269952073</v>
      </c>
      <c r="W65" s="18">
        <f t="shared" ca="1" si="22"/>
        <v>4.1648524265031517E-2</v>
      </c>
    </row>
    <row r="66" spans="1:23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Data'!L66</f>
        <v>1018441.0476623629</v>
      </c>
      <c r="E66" s="683">
        <f>'Monthly Data'!CP66</f>
        <v>212.73690476190475</v>
      </c>
      <c r="F66" s="3">
        <f>'Monthly Data'!CU66</f>
        <v>50.900595238095221</v>
      </c>
      <c r="G66" s="3">
        <f>'Monthly Data'!EG66</f>
        <v>1</v>
      </c>
      <c r="H66">
        <f>'Monthly Data'!EH66</f>
        <v>65</v>
      </c>
      <c r="I66" s="3">
        <f>'Monthly Data'!DQ66</f>
        <v>31</v>
      </c>
      <c r="J66" s="360">
        <f>'Monthly Data'!EO66</f>
        <v>212.73690476190475</v>
      </c>
      <c r="L66" s="3">
        <f t="shared" ref="L66:L97" si="25">$AA$8</f>
        <v>-769716</v>
      </c>
      <c r="M66" s="3">
        <f t="shared" ref="M66:M97" si="26">E66*$AA$9</f>
        <v>177443.7246197619</v>
      </c>
      <c r="N66" s="3">
        <f t="shared" ref="N66:N97" si="27">F66*$AA$10</f>
        <v>100979.19676369044</v>
      </c>
      <c r="O66" s="3">
        <f t="shared" ref="O66:O97" si="28">G66*$AA$11</f>
        <v>-56026.3</v>
      </c>
      <c r="P66" s="3">
        <f t="shared" ref="P66:P97" si="29">H66*$AA$12</f>
        <v>173367.61</v>
      </c>
      <c r="Q66" s="3">
        <f t="shared" ref="Q66:Q97" si="30">I66*$AA$13</f>
        <v>1175534.26</v>
      </c>
      <c r="R66" s="3">
        <f t="shared" ref="R66:R97" si="31">J66*$AA$14</f>
        <v>122015.50701047618</v>
      </c>
      <c r="S66" s="47">
        <f t="shared" si="21"/>
        <v>923597.99839392852</v>
      </c>
      <c r="T66" s="47">
        <f ca="1">'Monthly Data'!M66+'Monthly Data'!N66</f>
        <v>5256.0778123858563</v>
      </c>
      <c r="U66" s="47">
        <f t="shared" ca="1" si="23"/>
        <v>928854.07620631438</v>
      </c>
      <c r="V66" s="47">
        <f t="shared" ca="1" si="24"/>
        <v>-89586.971456048544</v>
      </c>
      <c r="W66" s="18">
        <f t="shared" ca="1" si="22"/>
        <v>8.796480823478034E-2</v>
      </c>
    </row>
    <row r="67" spans="1:23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Data'!L67</f>
        <v>936917.0826641334</v>
      </c>
      <c r="E67" s="683">
        <f>'Monthly Data'!CP67</f>
        <v>29.733333333333348</v>
      </c>
      <c r="F67" s="3">
        <f>'Monthly Data'!CU67</f>
        <v>165.96956521739128</v>
      </c>
      <c r="G67" s="3">
        <f>'Monthly Data'!EG67</f>
        <v>0</v>
      </c>
      <c r="H67">
        <f>'Monthly Data'!EH67</f>
        <v>66</v>
      </c>
      <c r="I67" s="3">
        <f>'Monthly Data'!DQ67</f>
        <v>30</v>
      </c>
      <c r="J67" s="360">
        <f>'Monthly Data'!EO67</f>
        <v>14.866666666666674</v>
      </c>
      <c r="L67" s="3">
        <f t="shared" si="25"/>
        <v>-769716</v>
      </c>
      <c r="M67" s="3">
        <f t="shared" si="26"/>
        <v>24800.555493333344</v>
      </c>
      <c r="N67" s="3">
        <f t="shared" si="27"/>
        <v>329258.8879260869</v>
      </c>
      <c r="O67" s="3">
        <f t="shared" si="28"/>
        <v>0</v>
      </c>
      <c r="P67" s="3">
        <f t="shared" si="29"/>
        <v>176034.804</v>
      </c>
      <c r="Q67" s="3">
        <f t="shared" si="30"/>
        <v>1137613.8</v>
      </c>
      <c r="R67" s="3">
        <f t="shared" si="31"/>
        <v>8526.7945066666707</v>
      </c>
      <c r="S67" s="47">
        <f t="shared" si="21"/>
        <v>906518.84192608704</v>
      </c>
      <c r="T67" s="47">
        <f ca="1">'Monthly Data'!M67+'Monthly Data'!N67</f>
        <v>3381.6197022874749</v>
      </c>
      <c r="U67" s="47">
        <f t="shared" ca="1" si="23"/>
        <v>909900.46162837453</v>
      </c>
      <c r="V67" s="47">
        <f t="shared" ca="1" si="24"/>
        <v>-27016.621035758872</v>
      </c>
      <c r="W67" s="18">
        <f t="shared" ca="1" si="22"/>
        <v>2.8835658497053794E-2</v>
      </c>
    </row>
    <row r="68" spans="1:23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Data'!L68</f>
        <v>1203222.6046259028</v>
      </c>
      <c r="E68" s="683">
        <f>'Monthly Data'!CP68</f>
        <v>0</v>
      </c>
      <c r="F68" s="3">
        <f>'Monthly Data'!CU68</f>
        <v>308.88750000000005</v>
      </c>
      <c r="G68" s="3">
        <f>'Monthly Data'!EG68</f>
        <v>0</v>
      </c>
      <c r="H68">
        <f>'Monthly Data'!EH68</f>
        <v>67</v>
      </c>
      <c r="I68" s="3">
        <f>'Monthly Data'!DQ68</f>
        <v>31</v>
      </c>
      <c r="J68" s="360">
        <f>'Monthly Data'!EO68</f>
        <v>0</v>
      </c>
      <c r="L68" s="3">
        <f t="shared" si="25"/>
        <v>-769716</v>
      </c>
      <c r="M68" s="3">
        <f t="shared" si="26"/>
        <v>0</v>
      </c>
      <c r="N68" s="3">
        <f t="shared" si="27"/>
        <v>612786.77576250012</v>
      </c>
      <c r="O68" s="3">
        <f t="shared" si="28"/>
        <v>0</v>
      </c>
      <c r="P68" s="3">
        <f t="shared" si="29"/>
        <v>178701.99799999999</v>
      </c>
      <c r="Q68" s="3">
        <f t="shared" si="30"/>
        <v>1175534.26</v>
      </c>
      <c r="R68" s="3">
        <f t="shared" si="31"/>
        <v>0</v>
      </c>
      <c r="S68" s="47">
        <f t="shared" si="21"/>
        <v>1197307.0337625002</v>
      </c>
      <c r="T68" s="47">
        <f ca="1">'Monthly Data'!M68+'Monthly Data'!N68</f>
        <v>3131.4427783062442</v>
      </c>
      <c r="U68" s="47">
        <f t="shared" ca="1" si="23"/>
        <v>1200438.4765408065</v>
      </c>
      <c r="V68" s="47">
        <f t="shared" ca="1" si="24"/>
        <v>-2784.1280850963667</v>
      </c>
      <c r="W68" s="18">
        <f t="shared" ca="1" si="22"/>
        <v>2.3138927696276014E-3</v>
      </c>
    </row>
    <row r="69" spans="1:23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Data'!L69</f>
        <v>1150023.9218676724</v>
      </c>
      <c r="E69" s="683">
        <f>'Monthly Data'!CP69</f>
        <v>3.4874999999999972</v>
      </c>
      <c r="F69" s="3">
        <f>'Monthly Data'!CU69</f>
        <v>216.93106060606064</v>
      </c>
      <c r="G69" s="3">
        <f>'Monthly Data'!EG69</f>
        <v>0</v>
      </c>
      <c r="H69">
        <f>'Monthly Data'!EH69</f>
        <v>68</v>
      </c>
      <c r="I69" s="3">
        <f>'Monthly Data'!DQ69</f>
        <v>31</v>
      </c>
      <c r="J69" s="360">
        <f>'Monthly Data'!EO69</f>
        <v>1.7437499999999986</v>
      </c>
      <c r="L69" s="3">
        <f t="shared" si="25"/>
        <v>-769716</v>
      </c>
      <c r="M69" s="3">
        <f t="shared" si="26"/>
        <v>2908.9216574999973</v>
      </c>
      <c r="N69" s="3">
        <f t="shared" si="27"/>
        <v>430358.90151439403</v>
      </c>
      <c r="O69" s="3">
        <f t="shared" si="28"/>
        <v>0</v>
      </c>
      <c r="P69" s="3">
        <f t="shared" si="29"/>
        <v>181369.19200000001</v>
      </c>
      <c r="Q69" s="3">
        <f t="shared" si="30"/>
        <v>1175534.26</v>
      </c>
      <c r="R69" s="3">
        <f t="shared" si="31"/>
        <v>1000.1299049999992</v>
      </c>
      <c r="S69" s="47">
        <f t="shared" si="21"/>
        <v>1021455.405076894</v>
      </c>
      <c r="T69" s="47">
        <f ca="1">'Monthly Data'!M69+'Monthly Data'!N69</f>
        <v>3233.3236004409791</v>
      </c>
      <c r="U69" s="47">
        <f t="shared" ca="1" si="23"/>
        <v>1024688.728677335</v>
      </c>
      <c r="V69" s="47">
        <f t="shared" ca="1" si="24"/>
        <v>-125335.19319033739</v>
      </c>
      <c r="W69" s="18">
        <f t="shared" ca="1" si="22"/>
        <v>0.10898485745130361</v>
      </c>
    </row>
    <row r="70" spans="1:23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Data'!L70</f>
        <v>999424.37450944295</v>
      </c>
      <c r="E70" s="683">
        <f>'Monthly Data'!CP70</f>
        <v>85.042028985507244</v>
      </c>
      <c r="F70" s="3">
        <f>'Monthly Data'!CU70</f>
        <v>75.812499999999972</v>
      </c>
      <c r="G70" s="3">
        <f>'Monthly Data'!EG70</f>
        <v>1</v>
      </c>
      <c r="H70">
        <f>'Monthly Data'!EH70</f>
        <v>69</v>
      </c>
      <c r="I70" s="3">
        <f>'Monthly Data'!DQ70</f>
        <v>30</v>
      </c>
      <c r="J70" s="360">
        <f>'Monthly Data'!EO70</f>
        <v>42.521014492753622</v>
      </c>
      <c r="L70" s="3">
        <f t="shared" si="25"/>
        <v>-769716</v>
      </c>
      <c r="M70" s="3">
        <f t="shared" si="26"/>
        <v>70933.505351594198</v>
      </c>
      <c r="N70" s="3">
        <f t="shared" si="27"/>
        <v>150400.70393749996</v>
      </c>
      <c r="O70" s="3">
        <f t="shared" si="28"/>
        <v>-56026.3</v>
      </c>
      <c r="P70" s="3">
        <f t="shared" si="29"/>
        <v>184036.386</v>
      </c>
      <c r="Q70" s="3">
        <f t="shared" si="30"/>
        <v>1137613.8</v>
      </c>
      <c r="R70" s="3">
        <f t="shared" si="31"/>
        <v>24387.978887536232</v>
      </c>
      <c r="S70" s="47">
        <f t="shared" si="21"/>
        <v>741630.07417663035</v>
      </c>
      <c r="T70" s="47">
        <f ca="1">'Monthly Data'!M70+'Monthly Data'!N70</f>
        <v>4162.5196796866849</v>
      </c>
      <c r="U70" s="47">
        <f t="shared" ca="1" si="23"/>
        <v>745792.59385631699</v>
      </c>
      <c r="V70" s="47">
        <f t="shared" ca="1" si="24"/>
        <v>-253631.78065312596</v>
      </c>
      <c r="W70" s="18">
        <f t="shared" ca="1" si="22"/>
        <v>0.25377786165923605</v>
      </c>
    </row>
    <row r="71" spans="1:23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Data'!L71</f>
        <v>1169756.9441712114</v>
      </c>
      <c r="E71" s="683">
        <f>'Monthly Data'!CP71</f>
        <v>287.83333333333331</v>
      </c>
      <c r="F71" s="3">
        <f>'Monthly Data'!CU71</f>
        <v>3.9291666666666654</v>
      </c>
      <c r="G71" s="3">
        <f>'Monthly Data'!EG71</f>
        <v>1</v>
      </c>
      <c r="H71">
        <f>'Monthly Data'!EH71</f>
        <v>70</v>
      </c>
      <c r="I71" s="3">
        <f>'Monthly Data'!DQ71</f>
        <v>31</v>
      </c>
      <c r="J71" s="360">
        <f>'Monthly Data'!EO71</f>
        <v>143.91666666666666</v>
      </c>
      <c r="L71" s="3">
        <f t="shared" si="25"/>
        <v>-769716</v>
      </c>
      <c r="M71" s="3">
        <f t="shared" si="26"/>
        <v>240081.6106333333</v>
      </c>
      <c r="N71" s="3">
        <f t="shared" si="27"/>
        <v>7794.8812208333311</v>
      </c>
      <c r="O71" s="3">
        <f t="shared" si="28"/>
        <v>-56026.3</v>
      </c>
      <c r="P71" s="3">
        <f t="shared" si="29"/>
        <v>186703.58</v>
      </c>
      <c r="Q71" s="3">
        <f t="shared" si="30"/>
        <v>1175534.26</v>
      </c>
      <c r="R71" s="3">
        <f t="shared" si="31"/>
        <v>82543.576866666655</v>
      </c>
      <c r="S71" s="47">
        <f t="shared" si="21"/>
        <v>866915.60872083332</v>
      </c>
      <c r="T71" s="47">
        <f ca="1">'Monthly Data'!M71+'Monthly Data'!N71</f>
        <v>6376.5223576157132</v>
      </c>
      <c r="U71" s="47">
        <f t="shared" ca="1" si="23"/>
        <v>873292.13107844908</v>
      </c>
      <c r="V71" s="47">
        <f t="shared" ca="1" si="24"/>
        <v>-296464.81309276237</v>
      </c>
      <c r="W71" s="18">
        <f t="shared" ca="1" si="22"/>
        <v>0.25344137905743458</v>
      </c>
    </row>
    <row r="72" spans="1:23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Data'!L72</f>
        <v>953674.46702298184</v>
      </c>
      <c r="E72" s="683">
        <f>'Monthly Data'!CP72</f>
        <v>366.30072463768118</v>
      </c>
      <c r="F72" s="3">
        <f>'Monthly Data'!CU72</f>
        <v>0</v>
      </c>
      <c r="G72" s="3">
        <f>'Monthly Data'!EG72</f>
        <v>1</v>
      </c>
      <c r="H72">
        <f>'Monthly Data'!EH72</f>
        <v>71</v>
      </c>
      <c r="I72" s="3">
        <f>'Monthly Data'!DQ72</f>
        <v>30</v>
      </c>
      <c r="J72" s="360">
        <f>'Monthly Data'!EO72</f>
        <v>183.15036231884059</v>
      </c>
      <c r="L72" s="3">
        <f t="shared" si="25"/>
        <v>-769716</v>
      </c>
      <c r="M72" s="3">
        <f t="shared" si="26"/>
        <v>305531.21463985508</v>
      </c>
      <c r="N72" s="3">
        <f t="shared" si="27"/>
        <v>0</v>
      </c>
      <c r="O72" s="3">
        <f t="shared" si="28"/>
        <v>-56026.3</v>
      </c>
      <c r="P72" s="3">
        <f t="shared" si="29"/>
        <v>189370.774</v>
      </c>
      <c r="Q72" s="3">
        <f t="shared" si="30"/>
        <v>1137613.8</v>
      </c>
      <c r="R72" s="3">
        <f t="shared" si="31"/>
        <v>105046.11008840581</v>
      </c>
      <c r="S72" s="47">
        <f t="shared" si="21"/>
        <v>911819.59872826096</v>
      </c>
      <c r="T72" s="47">
        <f ca="1">'Monthly Data'!M72+'Monthly Data'!N72</f>
        <v>7273.0024985502605</v>
      </c>
      <c r="U72" s="47">
        <f t="shared" ca="1" si="23"/>
        <v>919092.60122681118</v>
      </c>
      <c r="V72" s="47">
        <f t="shared" ca="1" si="24"/>
        <v>-34581.865796170663</v>
      </c>
      <c r="W72" s="18">
        <f t="shared" ca="1" si="22"/>
        <v>3.6261708782161728E-2</v>
      </c>
    </row>
    <row r="73" spans="1:23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Data'!L73</f>
        <v>1299798.6489247503</v>
      </c>
      <c r="E73" s="683">
        <f>'Monthly Data'!CP73</f>
        <v>582.90416666666681</v>
      </c>
      <c r="F73" s="3">
        <f>'Monthly Data'!CU73</f>
        <v>0</v>
      </c>
      <c r="G73" s="3">
        <f>'Monthly Data'!EG73</f>
        <v>0</v>
      </c>
      <c r="H73">
        <f>'Monthly Data'!EH73</f>
        <v>72</v>
      </c>
      <c r="I73" s="3">
        <f>'Monthly Data'!DQ73</f>
        <v>31</v>
      </c>
      <c r="J73" s="360">
        <f>'Monthly Data'!EO73</f>
        <v>291.45208333333341</v>
      </c>
      <c r="L73" s="3">
        <f t="shared" si="25"/>
        <v>-769716</v>
      </c>
      <c r="M73" s="3">
        <f t="shared" si="26"/>
        <v>486200.01567416673</v>
      </c>
      <c r="N73" s="3">
        <f t="shared" si="27"/>
        <v>0</v>
      </c>
      <c r="O73" s="3">
        <f t="shared" si="28"/>
        <v>0</v>
      </c>
      <c r="P73" s="3">
        <f t="shared" si="29"/>
        <v>192037.96799999999</v>
      </c>
      <c r="Q73" s="3">
        <f t="shared" si="30"/>
        <v>1175534.26</v>
      </c>
      <c r="R73" s="3">
        <f t="shared" si="31"/>
        <v>167162.69213833337</v>
      </c>
      <c r="S73" s="47">
        <f t="shared" si="21"/>
        <v>1251218.9358125001</v>
      </c>
      <c r="T73" s="47">
        <f ca="1">'Monthly Data'!M73+'Monthly Data'!N73</f>
        <v>9633.3792909477925</v>
      </c>
      <c r="U73" s="47">
        <f t="shared" ca="1" si="23"/>
        <v>1260852.3151034478</v>
      </c>
      <c r="V73" s="47">
        <f t="shared" ca="1" si="24"/>
        <v>-38946.333821302513</v>
      </c>
      <c r="W73" s="18">
        <f t="shared" ca="1" si="22"/>
        <v>2.9963359212229222E-2</v>
      </c>
    </row>
    <row r="74" spans="1:23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Data'!L74</f>
        <v>1418579.340941062</v>
      </c>
      <c r="E74" s="683">
        <f>'Monthly Data'!CP74</f>
        <v>653.50416666666661</v>
      </c>
      <c r="F74" s="3">
        <f>'Monthly Data'!CU74</f>
        <v>0</v>
      </c>
      <c r="G74" s="3">
        <f>'Monthly Data'!EG74</f>
        <v>0</v>
      </c>
      <c r="H74">
        <f>'Monthly Data'!EH74</f>
        <v>73</v>
      </c>
      <c r="I74" s="3">
        <f>'Monthly Data'!DQ74</f>
        <v>31</v>
      </c>
      <c r="J74" s="360">
        <f>'Monthly Data'!EO74</f>
        <v>326.7520833333333</v>
      </c>
      <c r="L74" s="3">
        <f t="shared" si="25"/>
        <v>-769716</v>
      </c>
      <c r="M74" s="3">
        <f t="shared" si="26"/>
        <v>545087.43331416661</v>
      </c>
      <c r="N74" s="3">
        <f t="shared" si="27"/>
        <v>0</v>
      </c>
      <c r="O74" s="3">
        <f t="shared" si="28"/>
        <v>0</v>
      </c>
      <c r="P74" s="3">
        <f t="shared" si="29"/>
        <v>194705.16200000001</v>
      </c>
      <c r="Q74" s="3">
        <f t="shared" si="30"/>
        <v>1175534.26</v>
      </c>
      <c r="R74" s="3">
        <f t="shared" si="31"/>
        <v>187409.0494983333</v>
      </c>
      <c r="S74" s="47">
        <f t="shared" si="21"/>
        <v>1333019.9048125001</v>
      </c>
      <c r="T74" s="47">
        <f ca="1">'Monthly Data'!M74+'Monthly Data'!N74</f>
        <v>16162.874778184514</v>
      </c>
      <c r="U74" s="47">
        <f t="shared" ca="1" si="23"/>
        <v>1349182.7795906847</v>
      </c>
      <c r="V74" s="47">
        <f t="shared" ca="1" si="24"/>
        <v>-69396.561350377277</v>
      </c>
      <c r="W74" s="18">
        <f t="shared" ca="1" si="22"/>
        <v>4.8919760317629291E-2</v>
      </c>
    </row>
    <row r="75" spans="1:23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Data'!L75</f>
        <v>1389617.9935012013</v>
      </c>
      <c r="E75" s="683">
        <f>'Monthly Data'!CP75</f>
        <v>653.45416666666654</v>
      </c>
      <c r="F75" s="3">
        <f>'Monthly Data'!CU75</f>
        <v>0</v>
      </c>
      <c r="G75" s="3">
        <f>'Monthly Data'!EG75</f>
        <v>0</v>
      </c>
      <c r="H75">
        <f>'Monthly Data'!EH75</f>
        <v>74</v>
      </c>
      <c r="I75" s="3">
        <f>'Monthly Data'!DQ75</f>
        <v>28</v>
      </c>
      <c r="J75" s="360">
        <f>'Monthly Data'!EO75</f>
        <v>326.72708333333327</v>
      </c>
      <c r="L75" s="3">
        <f t="shared" si="25"/>
        <v>-769716</v>
      </c>
      <c r="M75" s="3">
        <f t="shared" si="26"/>
        <v>545045.72834416653</v>
      </c>
      <c r="N75" s="3">
        <f t="shared" si="27"/>
        <v>0</v>
      </c>
      <c r="O75" s="3">
        <f t="shared" si="28"/>
        <v>0</v>
      </c>
      <c r="P75" s="3">
        <f t="shared" si="29"/>
        <v>197372.356</v>
      </c>
      <c r="Q75" s="3">
        <f t="shared" si="30"/>
        <v>1061772.8799999999</v>
      </c>
      <c r="R75" s="3">
        <f t="shared" si="31"/>
        <v>187394.71071833328</v>
      </c>
      <c r="S75" s="47">
        <f t="shared" si="21"/>
        <v>1221869.6750624997</v>
      </c>
      <c r="T75" s="47">
        <f ca="1">'Monthly Data'!M75+'Monthly Data'!N75</f>
        <v>16289.878517787933</v>
      </c>
      <c r="U75" s="47">
        <f t="shared" ca="1" si="23"/>
        <v>1238159.5535802876</v>
      </c>
      <c r="V75" s="47">
        <f t="shared" ca="1" si="24"/>
        <v>-151458.43992091366</v>
      </c>
      <c r="W75" s="18">
        <f t="shared" ca="1" si="22"/>
        <v>0.108992860361075</v>
      </c>
    </row>
    <row r="76" spans="1:23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Data'!L76</f>
        <v>1177162.0596213406</v>
      </c>
      <c r="E76" s="683">
        <f>'Monthly Data'!CP76</f>
        <v>492.59637681159415</v>
      </c>
      <c r="F76" s="3">
        <f>'Monthly Data'!CU76</f>
        <v>0</v>
      </c>
      <c r="G76" s="3">
        <f>'Monthly Data'!EG76</f>
        <v>1</v>
      </c>
      <c r="H76">
        <f>'Monthly Data'!EH76</f>
        <v>75</v>
      </c>
      <c r="I76" s="3">
        <f>'Monthly Data'!DQ76</f>
        <v>31</v>
      </c>
      <c r="J76" s="360">
        <f>'Monthly Data'!EO76</f>
        <v>246.29818840579708</v>
      </c>
      <c r="L76" s="3">
        <f t="shared" si="25"/>
        <v>-769716</v>
      </c>
      <c r="M76" s="3">
        <f t="shared" si="26"/>
        <v>410874.34234072454</v>
      </c>
      <c r="N76" s="3">
        <f t="shared" si="27"/>
        <v>0</v>
      </c>
      <c r="O76" s="3">
        <f t="shared" si="28"/>
        <v>-56026.3</v>
      </c>
      <c r="P76" s="3">
        <f t="shared" si="29"/>
        <v>200039.55</v>
      </c>
      <c r="Q76" s="3">
        <f t="shared" si="30"/>
        <v>1175534.26</v>
      </c>
      <c r="R76" s="3">
        <f t="shared" si="31"/>
        <v>141264.62151797101</v>
      </c>
      <c r="S76" s="47">
        <f t="shared" si="21"/>
        <v>1101970.4738586955</v>
      </c>
      <c r="T76" s="47">
        <f ca="1">'Monthly Data'!M76+'Monthly Data'!N76</f>
        <v>13337.577025296408</v>
      </c>
      <c r="U76" s="47">
        <f t="shared" ca="1" si="23"/>
        <v>1115308.0508839919</v>
      </c>
      <c r="V76" s="47">
        <f t="shared" ca="1" si="24"/>
        <v>-61854.008737348719</v>
      </c>
      <c r="W76" s="18">
        <f t="shared" ca="1" si="22"/>
        <v>5.2545024053226273E-2</v>
      </c>
    </row>
    <row r="77" spans="1:23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Data'!L77</f>
        <v>986964.97047148063</v>
      </c>
      <c r="E77" s="683">
        <f>'Monthly Data'!CP77</f>
        <v>319.79583333333329</v>
      </c>
      <c r="F77" s="3">
        <f>'Monthly Data'!CU77</f>
        <v>3.7083333333333339</v>
      </c>
      <c r="G77" s="3">
        <f>'Monthly Data'!EG77</f>
        <v>1</v>
      </c>
      <c r="H77">
        <f>'Monthly Data'!EH77</f>
        <v>76</v>
      </c>
      <c r="I77" s="3">
        <f>'Monthly Data'!DQ77</f>
        <v>30</v>
      </c>
      <c r="J77" s="360">
        <f>'Monthly Data'!EO77</f>
        <v>159.89791666666665</v>
      </c>
      <c r="L77" s="3">
        <f t="shared" si="25"/>
        <v>-769716</v>
      </c>
      <c r="M77" s="3">
        <f t="shared" si="26"/>
        <v>266741.5127058333</v>
      </c>
      <c r="N77" s="3">
        <f t="shared" si="27"/>
        <v>7356.7807916666679</v>
      </c>
      <c r="O77" s="3">
        <f t="shared" si="28"/>
        <v>-56026.3</v>
      </c>
      <c r="P77" s="3">
        <f t="shared" si="29"/>
        <v>202706.74400000001</v>
      </c>
      <c r="Q77" s="3">
        <f t="shared" si="30"/>
        <v>1137613.8</v>
      </c>
      <c r="R77" s="3">
        <f t="shared" si="31"/>
        <v>91709.64198166666</v>
      </c>
      <c r="S77" s="47">
        <f t="shared" si="21"/>
        <v>880386.17947916663</v>
      </c>
      <c r="T77" s="47">
        <f ca="1">'Monthly Data'!M77+'Monthly Data'!N77</f>
        <v>10156.583976564676</v>
      </c>
      <c r="U77" s="47">
        <f t="shared" ca="1" si="23"/>
        <v>890542.76345573133</v>
      </c>
      <c r="V77" s="47">
        <f t="shared" ca="1" si="24"/>
        <v>-96422.2070157493</v>
      </c>
      <c r="W77" s="18">
        <f t="shared" ca="1" si="22"/>
        <v>9.7695672998087943E-2</v>
      </c>
    </row>
    <row r="78" spans="1:23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Data'!L78</f>
        <v>1002494.3405116198</v>
      </c>
      <c r="E78" s="683">
        <f>'Monthly Data'!CP78</f>
        <v>173.64305555555555</v>
      </c>
      <c r="F78" s="3">
        <f>'Monthly Data'!CU78</f>
        <v>53.908333333333317</v>
      </c>
      <c r="G78" s="3">
        <f>'Monthly Data'!EG78</f>
        <v>1</v>
      </c>
      <c r="H78">
        <f>'Monthly Data'!EH78</f>
        <v>77</v>
      </c>
      <c r="I78" s="3">
        <f>'Monthly Data'!DQ78</f>
        <v>31</v>
      </c>
      <c r="J78" s="360">
        <f>'Monthly Data'!EO78</f>
        <v>86.821527777777774</v>
      </c>
      <c r="L78" s="3">
        <f t="shared" si="25"/>
        <v>-769716</v>
      </c>
      <c r="M78" s="3">
        <f t="shared" si="26"/>
        <v>144835.56845305554</v>
      </c>
      <c r="N78" s="3">
        <f t="shared" si="27"/>
        <v>106946.10099166664</v>
      </c>
      <c r="O78" s="3">
        <f t="shared" si="28"/>
        <v>-56026.3</v>
      </c>
      <c r="P78" s="3">
        <f t="shared" si="29"/>
        <v>205373.93799999999</v>
      </c>
      <c r="Q78" s="3">
        <f t="shared" si="30"/>
        <v>1175534.26</v>
      </c>
      <c r="R78" s="3">
        <f t="shared" si="31"/>
        <v>49796.591442777775</v>
      </c>
      <c r="S78" s="47">
        <f t="shared" si="21"/>
        <v>856744.15888749994</v>
      </c>
      <c r="T78" s="47">
        <f ca="1">'Monthly Data'!M78+'Monthly Data'!N78</f>
        <v>7485.8684735854913</v>
      </c>
      <c r="U78" s="47">
        <f t="shared" ca="1" si="23"/>
        <v>864230.02736108541</v>
      </c>
      <c r="V78" s="47">
        <f t="shared" ca="1" si="24"/>
        <v>-138264.31315053441</v>
      </c>
      <c r="W78" s="18">
        <f t="shared" ca="1" si="22"/>
        <v>0.13792029297638891</v>
      </c>
    </row>
    <row r="79" spans="1:23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Data'!L79</f>
        <v>874256.18010175787</v>
      </c>
      <c r="E79" s="683">
        <f>'Monthly Data'!CP79</f>
        <v>14.254166666666677</v>
      </c>
      <c r="F79" s="3">
        <f>'Monthly Data'!CU79</f>
        <v>181.67499999999995</v>
      </c>
      <c r="G79" s="3">
        <f>'Monthly Data'!EG79</f>
        <v>0</v>
      </c>
      <c r="H79">
        <f>'Monthly Data'!EH79</f>
        <v>78</v>
      </c>
      <c r="I79" s="3">
        <f>'Monthly Data'!DQ79</f>
        <v>30</v>
      </c>
      <c r="J79" s="360">
        <f>'Monthly Data'!EO79</f>
        <v>7.1270833333333385</v>
      </c>
      <c r="L79" s="3">
        <f t="shared" si="25"/>
        <v>-769716</v>
      </c>
      <c r="M79" s="3">
        <f t="shared" si="26"/>
        <v>11889.391864166675</v>
      </c>
      <c r="N79" s="3">
        <f t="shared" si="27"/>
        <v>360416.13042499992</v>
      </c>
      <c r="O79" s="3">
        <f t="shared" si="28"/>
        <v>0</v>
      </c>
      <c r="P79" s="3">
        <f t="shared" si="29"/>
        <v>208041.13199999998</v>
      </c>
      <c r="Q79" s="3">
        <f t="shared" si="30"/>
        <v>1137613.8</v>
      </c>
      <c r="R79" s="3">
        <f t="shared" si="31"/>
        <v>4087.7471983333362</v>
      </c>
      <c r="S79" s="47">
        <f t="shared" si="21"/>
        <v>952332.2014875001</v>
      </c>
      <c r="T79" s="47">
        <f ca="1">'Monthly Data'!M79+'Monthly Data'!N79</f>
        <v>4561.6949370510438</v>
      </c>
      <c r="U79" s="47">
        <f t="shared" ca="1" si="23"/>
        <v>956893.89642455115</v>
      </c>
      <c r="V79" s="47">
        <f t="shared" ca="1" si="24"/>
        <v>82637.716322793276</v>
      </c>
      <c r="W79" s="18">
        <f t="shared" ca="1" si="22"/>
        <v>9.452345685811997E-2</v>
      </c>
    </row>
    <row r="80" spans="1:23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Data'!L80</f>
        <v>1137435.1007718972</v>
      </c>
      <c r="E80" s="683">
        <f>'Monthly Data'!CP80</f>
        <v>5.3541666666666572</v>
      </c>
      <c r="F80" s="3">
        <f>'Monthly Data'!CU80</f>
        <v>192.87499999999994</v>
      </c>
      <c r="G80" s="3">
        <f>'Monthly Data'!EG80</f>
        <v>0</v>
      </c>
      <c r="H80">
        <f>'Monthly Data'!EH80</f>
        <v>79</v>
      </c>
      <c r="I80" s="3">
        <f>'Monthly Data'!DQ80</f>
        <v>31</v>
      </c>
      <c r="J80" s="360">
        <f>'Monthly Data'!EO80</f>
        <v>2.6770833333333286</v>
      </c>
      <c r="L80" s="3">
        <f t="shared" si="25"/>
        <v>-769716</v>
      </c>
      <c r="M80" s="3">
        <f t="shared" si="26"/>
        <v>4465.9072041666586</v>
      </c>
      <c r="N80" s="3">
        <f t="shared" si="27"/>
        <v>382635.26162499993</v>
      </c>
      <c r="O80" s="3">
        <f t="shared" si="28"/>
        <v>0</v>
      </c>
      <c r="P80" s="3">
        <f t="shared" si="29"/>
        <v>210708.326</v>
      </c>
      <c r="Q80" s="3">
        <f t="shared" si="30"/>
        <v>1175534.26</v>
      </c>
      <c r="R80" s="3">
        <f t="shared" si="31"/>
        <v>1535.4443583333307</v>
      </c>
      <c r="S80" s="47">
        <f t="shared" si="21"/>
        <v>1005163.1991874999</v>
      </c>
      <c r="T80" s="47">
        <f ca="1">'Monthly Data'!M80+'Monthly Data'!N80</f>
        <v>4519.2301992343027</v>
      </c>
      <c r="U80" s="47">
        <f t="shared" ca="1" si="23"/>
        <v>1009682.4293867343</v>
      </c>
      <c r="V80" s="47">
        <f t="shared" ca="1" si="24"/>
        <v>-127752.67138516298</v>
      </c>
      <c r="W80" s="18">
        <f t="shared" ca="1" si="22"/>
        <v>0.1123164489107697</v>
      </c>
    </row>
    <row r="81" spans="1:23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Data'!L81</f>
        <v>1194091.8924420362</v>
      </c>
      <c r="E81" s="683">
        <f>'Monthly Data'!CP81</f>
        <v>0.69166666666666643</v>
      </c>
      <c r="F81" s="3">
        <f>'Monthly Data'!CU81</f>
        <v>266.0625</v>
      </c>
      <c r="G81" s="3">
        <f>'Monthly Data'!EG81</f>
        <v>0</v>
      </c>
      <c r="H81">
        <f>'Monthly Data'!EH81</f>
        <v>80</v>
      </c>
      <c r="I81" s="3">
        <f>'Monthly Data'!DQ81</f>
        <v>31</v>
      </c>
      <c r="J81" s="360">
        <f>'Monthly Data'!EO81</f>
        <v>0.34583333333333321</v>
      </c>
      <c r="L81" s="3">
        <f t="shared" si="25"/>
        <v>-769716</v>
      </c>
      <c r="M81" s="3">
        <f t="shared" si="26"/>
        <v>576.91875166666648</v>
      </c>
      <c r="N81" s="3">
        <f t="shared" si="27"/>
        <v>527828.35668750003</v>
      </c>
      <c r="O81" s="3">
        <f t="shared" si="28"/>
        <v>0</v>
      </c>
      <c r="P81" s="3">
        <f t="shared" si="29"/>
        <v>213375.52</v>
      </c>
      <c r="Q81" s="3">
        <f t="shared" si="30"/>
        <v>1175534.26</v>
      </c>
      <c r="R81" s="3">
        <f t="shared" si="31"/>
        <v>198.35312333333326</v>
      </c>
      <c r="S81" s="47">
        <f t="shared" si="21"/>
        <v>1147797.4085625</v>
      </c>
      <c r="T81" s="47">
        <f ca="1">'Monthly Data'!M81+'Monthly Data'!N81</f>
        <v>4557.9092662839957</v>
      </c>
      <c r="U81" s="47">
        <f t="shared" ca="1" si="23"/>
        <v>1152355.317828784</v>
      </c>
      <c r="V81" s="47">
        <f t="shared" ca="1" si="24"/>
        <v>-41736.574613252189</v>
      </c>
      <c r="W81" s="18">
        <f t="shared" ca="1" si="22"/>
        <v>3.4952565106104824E-2</v>
      </c>
    </row>
    <row r="82" spans="1:23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Data'!L82</f>
        <v>869537.03260217549</v>
      </c>
      <c r="E82" s="683">
        <f>'Monthly Data'!CP82</f>
        <v>45.679166666666674</v>
      </c>
      <c r="F82" s="3">
        <f>'Monthly Data'!CU82</f>
        <v>95.25833333333334</v>
      </c>
      <c r="G82" s="3">
        <f>'Monthly Data'!EG82</f>
        <v>1</v>
      </c>
      <c r="H82">
        <f>'Monthly Data'!EH82</f>
        <v>81</v>
      </c>
      <c r="I82" s="3">
        <f>'Monthly Data'!DQ82</f>
        <v>30</v>
      </c>
      <c r="J82" s="360">
        <f>'Monthly Data'!EO82</f>
        <v>22.839583333333337</v>
      </c>
      <c r="L82" s="3">
        <f t="shared" si="25"/>
        <v>-769716</v>
      </c>
      <c r="M82" s="3">
        <f t="shared" si="26"/>
        <v>38100.965509166672</v>
      </c>
      <c r="N82" s="3">
        <f t="shared" si="27"/>
        <v>188978.33984166669</v>
      </c>
      <c r="O82" s="3">
        <f t="shared" si="28"/>
        <v>-56026.3</v>
      </c>
      <c r="P82" s="3">
        <f t="shared" si="29"/>
        <v>216042.71400000001</v>
      </c>
      <c r="Q82" s="3">
        <f t="shared" si="30"/>
        <v>1137613.8</v>
      </c>
      <c r="R82" s="3">
        <f t="shared" si="31"/>
        <v>13099.670428333335</v>
      </c>
      <c r="S82" s="47">
        <f t="shared" si="21"/>
        <v>768093.18977916671</v>
      </c>
      <c r="T82" s="47">
        <f ca="1">'Monthly Data'!M82+'Monthly Data'!N82</f>
        <v>5547.3352151315376</v>
      </c>
      <c r="U82" s="47">
        <f t="shared" ca="1" si="23"/>
        <v>773640.52499429823</v>
      </c>
      <c r="V82" s="47">
        <f t="shared" ca="1" si="24"/>
        <v>-95896.507607877254</v>
      </c>
      <c r="W82" s="18">
        <f t="shared" ca="1" si="22"/>
        <v>0.11028455834813324</v>
      </c>
    </row>
    <row r="83" spans="1:23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Data'!L83</f>
        <v>875541.96913231572</v>
      </c>
      <c r="E83" s="683">
        <f>'Monthly Data'!CP83</f>
        <v>153.47499999999997</v>
      </c>
      <c r="F83" s="3">
        <f>'Monthly Data'!CU83</f>
        <v>44.562500000000028</v>
      </c>
      <c r="G83" s="3">
        <f>'Monthly Data'!EG83</f>
        <v>1</v>
      </c>
      <c r="H83">
        <f>'Monthly Data'!EH83</f>
        <v>82</v>
      </c>
      <c r="I83" s="3">
        <f>'Monthly Data'!DQ83</f>
        <v>31</v>
      </c>
      <c r="J83" s="360">
        <f>'Monthly Data'!EO83</f>
        <v>76.737499999999983</v>
      </c>
      <c r="L83" s="3">
        <f t="shared" si="25"/>
        <v>-769716</v>
      </c>
      <c r="M83" s="3">
        <f t="shared" si="26"/>
        <v>128013.40541499996</v>
      </c>
      <c r="N83" s="3">
        <f t="shared" si="27"/>
        <v>88405.36018750006</v>
      </c>
      <c r="O83" s="3">
        <f t="shared" si="28"/>
        <v>-56026.3</v>
      </c>
      <c r="P83" s="3">
        <f t="shared" si="29"/>
        <v>218709.908</v>
      </c>
      <c r="Q83" s="3">
        <f t="shared" si="30"/>
        <v>1175534.26</v>
      </c>
      <c r="R83" s="3">
        <f t="shared" si="31"/>
        <v>44012.885209999993</v>
      </c>
      <c r="S83" s="47">
        <f t="shared" si="21"/>
        <v>828933.51881249994</v>
      </c>
      <c r="T83" s="47">
        <f ca="1">'Monthly Data'!M83+'Monthly Data'!N83</f>
        <v>7739.4767141822322</v>
      </c>
      <c r="U83" s="47">
        <f t="shared" ca="1" si="23"/>
        <v>836672.99552668212</v>
      </c>
      <c r="V83" s="47">
        <f t="shared" ca="1" si="24"/>
        <v>-38868.973605633597</v>
      </c>
      <c r="W83" s="18">
        <f t="shared" ca="1" si="22"/>
        <v>4.4394186659211479E-2</v>
      </c>
    </row>
    <row r="84" spans="1:23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Data'!L84</f>
        <v>964597.77276245295</v>
      </c>
      <c r="E84" s="683">
        <f>'Monthly Data'!CP84</f>
        <v>446.3126035196687</v>
      </c>
      <c r="F84" s="3">
        <f>'Monthly Data'!CU84</f>
        <v>0</v>
      </c>
      <c r="G84" s="3">
        <f>'Monthly Data'!EG84</f>
        <v>1</v>
      </c>
      <c r="H84">
        <f>'Monthly Data'!EH84</f>
        <v>83</v>
      </c>
      <c r="I84" s="3">
        <f>'Monthly Data'!DQ84</f>
        <v>30</v>
      </c>
      <c r="J84" s="360">
        <f>'Monthly Data'!EO84</f>
        <v>223.15630175983435</v>
      </c>
      <c r="L84" s="3">
        <f t="shared" si="25"/>
        <v>-769716</v>
      </c>
      <c r="M84" s="3">
        <f t="shared" si="26"/>
        <v>372269.07480819355</v>
      </c>
      <c r="N84" s="3">
        <f t="shared" si="27"/>
        <v>0</v>
      </c>
      <c r="O84" s="3">
        <f t="shared" si="28"/>
        <v>-56026.3</v>
      </c>
      <c r="P84" s="3">
        <f t="shared" si="29"/>
        <v>221377.10199999998</v>
      </c>
      <c r="Q84" s="3">
        <f t="shared" si="30"/>
        <v>1137613.8</v>
      </c>
      <c r="R84" s="3">
        <f t="shared" si="31"/>
        <v>127991.56466191511</v>
      </c>
      <c r="S84" s="47">
        <f t="shared" si="21"/>
        <v>1033509.2414701086</v>
      </c>
      <c r="T84" s="47">
        <f ca="1">'Monthly Data'!M84+'Monthly Data'!N84</f>
        <v>13474.979462115358</v>
      </c>
      <c r="U84" s="47">
        <f t="shared" ca="1" si="23"/>
        <v>1046984.220932224</v>
      </c>
      <c r="V84" s="47">
        <f t="shared" ca="1" si="24"/>
        <v>82386.448169771</v>
      </c>
      <c r="W84" s="18">
        <f t="shared" ca="1" si="22"/>
        <v>8.5410157991376509E-2</v>
      </c>
    </row>
    <row r="85" spans="1:23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Data'!L85</f>
        <v>1231998.066692593</v>
      </c>
      <c r="E85" s="683">
        <f>'Monthly Data'!CP85</f>
        <v>533.04583333333346</v>
      </c>
      <c r="F85" s="3">
        <f>'Monthly Data'!CU85</f>
        <v>0</v>
      </c>
      <c r="G85" s="3">
        <f>'Monthly Data'!EG85</f>
        <v>0</v>
      </c>
      <c r="H85">
        <f>'Monthly Data'!EH85</f>
        <v>84</v>
      </c>
      <c r="I85" s="3">
        <f>'Monthly Data'!DQ85</f>
        <v>31</v>
      </c>
      <c r="J85" s="360">
        <f>'Monthly Data'!EO85</f>
        <v>266.52291666666673</v>
      </c>
      <c r="L85" s="3">
        <f t="shared" si="25"/>
        <v>-769716</v>
      </c>
      <c r="M85" s="3">
        <f t="shared" si="26"/>
        <v>444613.20975583344</v>
      </c>
      <c r="N85" s="3">
        <f t="shared" si="27"/>
        <v>0</v>
      </c>
      <c r="O85" s="3">
        <f t="shared" si="28"/>
        <v>0</v>
      </c>
      <c r="P85" s="3">
        <f t="shared" si="29"/>
        <v>224044.296</v>
      </c>
      <c r="Q85" s="3">
        <f t="shared" si="30"/>
        <v>1175534.26</v>
      </c>
      <c r="R85" s="3">
        <f t="shared" si="31"/>
        <v>152864.53868166672</v>
      </c>
      <c r="S85" s="47">
        <f t="shared" si="21"/>
        <v>1227340.3044375</v>
      </c>
      <c r="T85" s="47">
        <f ca="1">'Monthly Data'!M85+'Monthly Data'!N85</f>
        <v>15263.793577100208</v>
      </c>
      <c r="U85" s="47">
        <f t="shared" ca="1" si="23"/>
        <v>1242604.0980146001</v>
      </c>
      <c r="V85" s="47">
        <f t="shared" ca="1" si="24"/>
        <v>10606.031322007068</v>
      </c>
      <c r="W85" s="18">
        <f t="shared" ca="1" si="22"/>
        <v>8.6088051667807322E-3</v>
      </c>
    </row>
    <row r="86" spans="1:23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Data'!L86</f>
        <v>1647205.4995599021</v>
      </c>
      <c r="E86" s="683">
        <f>'Monthly Data'!CP86</f>
        <v>825.49166666666656</v>
      </c>
      <c r="F86" s="3">
        <f>'Monthly Data'!CU86</f>
        <v>0</v>
      </c>
      <c r="G86" s="3">
        <f>'Monthly Data'!EG86</f>
        <v>0</v>
      </c>
      <c r="H86">
        <f>'Monthly Data'!EH86</f>
        <v>85</v>
      </c>
      <c r="I86" s="3">
        <f>'Monthly Data'!DQ86</f>
        <v>31</v>
      </c>
      <c r="J86" s="360">
        <f>'Monthly Data'!EO86</f>
        <v>206.37291666666664</v>
      </c>
      <c r="L86" s="3">
        <f t="shared" si="25"/>
        <v>-769716</v>
      </c>
      <c r="M86" s="3">
        <f t="shared" si="26"/>
        <v>688542.10387166648</v>
      </c>
      <c r="N86" s="3">
        <f t="shared" si="27"/>
        <v>0</v>
      </c>
      <c r="O86" s="3">
        <f t="shared" si="28"/>
        <v>0</v>
      </c>
      <c r="P86" s="3">
        <f t="shared" si="29"/>
        <v>226711.49</v>
      </c>
      <c r="Q86" s="3">
        <f t="shared" si="30"/>
        <v>1175534.26</v>
      </c>
      <c r="R86" s="3">
        <f t="shared" si="31"/>
        <v>118365.43400166665</v>
      </c>
      <c r="S86" s="47">
        <f t="shared" ref="S86:S109" si="32">SUM(L86:R86)</f>
        <v>1439437.2878733331</v>
      </c>
      <c r="T86" s="47">
        <f ca="1">'Monthly Data'!M86+'Monthly Data'!N86</f>
        <v>28401.091975370935</v>
      </c>
      <c r="U86" s="47">
        <f t="shared" ca="1" si="23"/>
        <v>1467838.379848704</v>
      </c>
      <c r="V86" s="47">
        <f t="shared" ca="1" si="24"/>
        <v>-179367.11971119815</v>
      </c>
      <c r="W86" s="18">
        <f t="shared" ref="W86:W109" ca="1" si="33">ABS(V86/D86)</f>
        <v>0.10889176836716559</v>
      </c>
    </row>
    <row r="87" spans="1:23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Data'!L87</f>
        <v>1373917.7855929786</v>
      </c>
      <c r="E87" s="683">
        <f>'Monthly Data'!CP87</f>
        <v>636.84999999999991</v>
      </c>
      <c r="F87" s="3">
        <f>'Monthly Data'!CU87</f>
        <v>0</v>
      </c>
      <c r="G87" s="3">
        <f>'Monthly Data'!EG87</f>
        <v>0</v>
      </c>
      <c r="H87">
        <f>'Monthly Data'!EH87</f>
        <v>86</v>
      </c>
      <c r="I87" s="3">
        <f>'Monthly Data'!DQ87</f>
        <v>28</v>
      </c>
      <c r="J87" s="360">
        <f>'Monthly Data'!EO87</f>
        <v>159.21249999999998</v>
      </c>
      <c r="L87" s="3">
        <f t="shared" si="25"/>
        <v>-769716</v>
      </c>
      <c r="M87" s="3">
        <f t="shared" si="26"/>
        <v>531196.20288999984</v>
      </c>
      <c r="N87" s="3">
        <f t="shared" si="27"/>
        <v>0</v>
      </c>
      <c r="O87" s="3">
        <f t="shared" si="28"/>
        <v>0</v>
      </c>
      <c r="P87" s="3">
        <f t="shared" si="29"/>
        <v>229378.68400000001</v>
      </c>
      <c r="Q87" s="3">
        <f t="shared" si="30"/>
        <v>1061772.8799999999</v>
      </c>
      <c r="R87" s="3">
        <f t="shared" si="31"/>
        <v>91316.52042999999</v>
      </c>
      <c r="S87" s="47">
        <f t="shared" si="32"/>
        <v>1143948.2873199997</v>
      </c>
      <c r="T87" s="47">
        <f ca="1">'Monthly Data'!M87+'Monthly Data'!N87</f>
        <v>23450.912152905297</v>
      </c>
      <c r="U87" s="47">
        <f t="shared" ca="1" si="23"/>
        <v>1167399.1994729049</v>
      </c>
      <c r="V87" s="47">
        <f t="shared" ca="1" si="24"/>
        <v>-206518.58612007368</v>
      </c>
      <c r="W87" s="18">
        <f t="shared" ca="1" si="33"/>
        <v>0.15031364197017139</v>
      </c>
    </row>
    <row r="88" spans="1:23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Data'!L88</f>
        <v>1287003.7535860552</v>
      </c>
      <c r="E88" s="683">
        <f>'Monthly Data'!CP88</f>
        <v>544.7208333333333</v>
      </c>
      <c r="F88" s="3">
        <f>'Monthly Data'!CU88</f>
        <v>0</v>
      </c>
      <c r="G88" s="3">
        <f>'Monthly Data'!EG88</f>
        <v>1</v>
      </c>
      <c r="H88">
        <f>'Monthly Data'!EH88</f>
        <v>87</v>
      </c>
      <c r="I88" s="3">
        <f>'Monthly Data'!DQ88</f>
        <v>31</v>
      </c>
      <c r="J88" s="360">
        <f>'Monthly Data'!EO88</f>
        <v>136.18020833333333</v>
      </c>
      <c r="L88" s="3">
        <f t="shared" si="25"/>
        <v>-769716</v>
      </c>
      <c r="M88" s="3">
        <f t="shared" si="26"/>
        <v>454351.32025083329</v>
      </c>
      <c r="N88" s="3">
        <f t="shared" si="27"/>
        <v>0</v>
      </c>
      <c r="O88" s="3">
        <f t="shared" si="28"/>
        <v>-56026.3</v>
      </c>
      <c r="P88" s="3">
        <f t="shared" si="29"/>
        <v>232045.878</v>
      </c>
      <c r="Q88" s="3">
        <f t="shared" si="30"/>
        <v>1175534.26</v>
      </c>
      <c r="R88" s="3">
        <f t="shared" si="31"/>
        <v>78106.321905833334</v>
      </c>
      <c r="S88" s="47">
        <f t="shared" si="32"/>
        <v>1114295.4801566666</v>
      </c>
      <c r="T88" s="47">
        <f ca="1">'Monthly Data'!M88+'Monthly Data'!N88</f>
        <v>21181.295448825273</v>
      </c>
      <c r="U88" s="47">
        <f t="shared" ca="1" si="23"/>
        <v>1135476.7756054918</v>
      </c>
      <c r="V88" s="47">
        <f t="shared" ca="1" si="24"/>
        <v>-151526.97798056342</v>
      </c>
      <c r="W88" s="18">
        <f t="shared" ca="1" si="33"/>
        <v>0.11773623624511954</v>
      </c>
    </row>
    <row r="89" spans="1:23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Data'!L89</f>
        <v>995189.19428913179</v>
      </c>
      <c r="E89" s="683">
        <f>'Monthly Data'!CP89</f>
        <v>354.33333333333331</v>
      </c>
      <c r="F89" s="3">
        <f>'Monthly Data'!CU89</f>
        <v>0</v>
      </c>
      <c r="G89" s="3">
        <f>'Monthly Data'!EG89</f>
        <v>1</v>
      </c>
      <c r="H89">
        <f>'Monthly Data'!EH89</f>
        <v>88</v>
      </c>
      <c r="I89" s="3">
        <f>'Monthly Data'!DQ89</f>
        <v>30</v>
      </c>
      <c r="J89" s="360">
        <f>'Monthly Data'!EO89</f>
        <v>88.583333333333329</v>
      </c>
      <c r="L89" s="3">
        <f t="shared" si="25"/>
        <v>-769716</v>
      </c>
      <c r="M89" s="3">
        <f t="shared" si="26"/>
        <v>295549.22073333332</v>
      </c>
      <c r="N89" s="3">
        <f t="shared" si="27"/>
        <v>0</v>
      </c>
      <c r="O89" s="3">
        <f t="shared" si="28"/>
        <v>-56026.3</v>
      </c>
      <c r="P89" s="3">
        <f t="shared" si="29"/>
        <v>234713.07199999999</v>
      </c>
      <c r="Q89" s="3">
        <f t="shared" si="30"/>
        <v>1137613.8</v>
      </c>
      <c r="R89" s="3">
        <f t="shared" si="31"/>
        <v>50807.077133333332</v>
      </c>
      <c r="S89" s="47">
        <f t="shared" si="32"/>
        <v>892940.86986666662</v>
      </c>
      <c r="T89" s="47">
        <f ca="1">'Monthly Data'!M89+'Monthly Data'!N89</f>
        <v>16182.6264001539</v>
      </c>
      <c r="U89" s="47">
        <f t="shared" ca="1" si="23"/>
        <v>909123.49626682047</v>
      </c>
      <c r="V89" s="47">
        <f t="shared" ca="1" si="24"/>
        <v>-86065.698022311321</v>
      </c>
      <c r="W89" s="18">
        <f t="shared" ca="1" si="33"/>
        <v>8.6481744894535806E-2</v>
      </c>
    </row>
    <row r="90" spans="1:23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Data'!L90</f>
        <v>830219.78768220847</v>
      </c>
      <c r="E90" s="683">
        <f>'Monthly Data'!CP90</f>
        <v>109.50833333333333</v>
      </c>
      <c r="F90" s="3">
        <f>'Monthly Data'!CU90</f>
        <v>72.362499999999997</v>
      </c>
      <c r="G90" s="3">
        <f>'Monthly Data'!EG90</f>
        <v>1</v>
      </c>
      <c r="H90">
        <f>'Monthly Data'!EH90</f>
        <v>89</v>
      </c>
      <c r="I90" s="3">
        <f>'Monthly Data'!DQ90</f>
        <v>31</v>
      </c>
      <c r="J90" s="360">
        <f>'Monthly Data'!EO90</f>
        <v>27.377083333333331</v>
      </c>
      <c r="L90" s="3">
        <f t="shared" si="25"/>
        <v>-769716</v>
      </c>
      <c r="M90" s="3">
        <f t="shared" si="26"/>
        <v>91340.835128333318</v>
      </c>
      <c r="N90" s="3">
        <f t="shared" si="27"/>
        <v>143556.4179875</v>
      </c>
      <c r="O90" s="3">
        <f t="shared" si="28"/>
        <v>-56026.3</v>
      </c>
      <c r="P90" s="3">
        <f t="shared" si="29"/>
        <v>237380.266</v>
      </c>
      <c r="Q90" s="3">
        <f t="shared" si="30"/>
        <v>1175534.26</v>
      </c>
      <c r="R90" s="3">
        <f t="shared" si="31"/>
        <v>15702.158998333332</v>
      </c>
      <c r="S90" s="47">
        <f t="shared" si="32"/>
        <v>837771.63811416668</v>
      </c>
      <c r="T90" s="47">
        <f ca="1">'Monthly Data'!M90+'Monthly Data'!N90</f>
        <v>9671.9961572629509</v>
      </c>
      <c r="U90" s="47">
        <f t="shared" ca="1" si="23"/>
        <v>847443.63427142962</v>
      </c>
      <c r="V90" s="47">
        <f t="shared" ca="1" si="24"/>
        <v>17223.846589221153</v>
      </c>
      <c r="W90" s="18">
        <f t="shared" ca="1" si="33"/>
        <v>2.0746128729726324E-2</v>
      </c>
    </row>
    <row r="91" spans="1:23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Data'!L91</f>
        <v>816852.49289528502</v>
      </c>
      <c r="E91" s="683">
        <f>'Monthly Data'!CP91</f>
        <v>36.166510989010987</v>
      </c>
      <c r="F91" s="3">
        <f>'Monthly Data'!CU91</f>
        <v>120.92250416250417</v>
      </c>
      <c r="G91" s="3">
        <f>'Monthly Data'!EG91</f>
        <v>0</v>
      </c>
      <c r="H91">
        <f>'Monthly Data'!EH91</f>
        <v>90</v>
      </c>
      <c r="I91" s="3">
        <f>'Monthly Data'!DQ91</f>
        <v>30</v>
      </c>
      <c r="J91" s="360">
        <f>'Monthly Data'!EO91</f>
        <v>9.0416277472527469</v>
      </c>
      <c r="L91" s="3">
        <f t="shared" si="25"/>
        <v>-769716</v>
      </c>
      <c r="M91" s="3">
        <f t="shared" si="26"/>
        <v>30166.46511602747</v>
      </c>
      <c r="N91" s="3">
        <f t="shared" si="27"/>
        <v>239892.23080528807</v>
      </c>
      <c r="O91" s="3">
        <f t="shared" si="28"/>
        <v>0</v>
      </c>
      <c r="P91" s="3">
        <f t="shared" si="29"/>
        <v>240047.46</v>
      </c>
      <c r="Q91" s="3">
        <f t="shared" si="30"/>
        <v>1137613.8</v>
      </c>
      <c r="R91" s="3">
        <f t="shared" si="31"/>
        <v>5185.83644439011</v>
      </c>
      <c r="S91" s="47">
        <f t="shared" si="32"/>
        <v>883189.79236570571</v>
      </c>
      <c r="T91" s="47">
        <f ca="1">'Monthly Data'!M91+'Monthly Data'!N91</f>
        <v>7924.1840099282963</v>
      </c>
      <c r="U91" s="47">
        <f t="shared" ca="1" si="23"/>
        <v>891113.97637563397</v>
      </c>
      <c r="V91" s="47">
        <f t="shared" ca="1" si="24"/>
        <v>74261.48348034895</v>
      </c>
      <c r="W91" s="18">
        <f t="shared" ca="1" si="33"/>
        <v>9.0911742482579133E-2</v>
      </c>
    </row>
    <row r="92" spans="1:23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Data'!L92</f>
        <v>1100801.1767983616</v>
      </c>
      <c r="E92" s="683">
        <f>'Monthly Data'!CP92</f>
        <v>0.62083333333333357</v>
      </c>
      <c r="F92" s="3">
        <f>'Monthly Data'!CU92</f>
        <v>221.8543382913806</v>
      </c>
      <c r="G92" s="3">
        <f>'Monthly Data'!EG92</f>
        <v>0</v>
      </c>
      <c r="H92">
        <f>'Monthly Data'!EH92</f>
        <v>91</v>
      </c>
      <c r="I92" s="3">
        <f>'Monthly Data'!DQ92</f>
        <v>31</v>
      </c>
      <c r="J92" s="360">
        <f>'Monthly Data'!EO92</f>
        <v>0.15520833333333339</v>
      </c>
      <c r="L92" s="3">
        <f t="shared" si="25"/>
        <v>-769716</v>
      </c>
      <c r="M92" s="3">
        <f t="shared" si="26"/>
        <v>517.83671083333354</v>
      </c>
      <c r="N92" s="3">
        <f t="shared" si="27"/>
        <v>440125.95087369374</v>
      </c>
      <c r="O92" s="3">
        <f t="shared" si="28"/>
        <v>0</v>
      </c>
      <c r="P92" s="3">
        <f t="shared" si="29"/>
        <v>242714.65400000001</v>
      </c>
      <c r="Q92" s="3">
        <f t="shared" si="30"/>
        <v>1175534.26</v>
      </c>
      <c r="R92" s="3">
        <f t="shared" si="31"/>
        <v>89.01992583333336</v>
      </c>
      <c r="S92" s="47">
        <f t="shared" si="32"/>
        <v>1089265.7215103605</v>
      </c>
      <c r="T92" s="47">
        <f ca="1">'Monthly Data'!M92+'Monthly Data'!N92</f>
        <v>7226.1317534839109</v>
      </c>
      <c r="U92" s="47">
        <f t="shared" ca="1" si="23"/>
        <v>1096491.8532638445</v>
      </c>
      <c r="V92" s="47">
        <f t="shared" ca="1" si="24"/>
        <v>-4309.3235345170833</v>
      </c>
      <c r="W92" s="18">
        <f t="shared" ca="1" si="33"/>
        <v>3.914715595645153E-3</v>
      </c>
    </row>
    <row r="93" spans="1:23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Data'!L93</f>
        <v>1080444.9008314381</v>
      </c>
      <c r="E93" s="683">
        <f>'Monthly Data'!CP93</f>
        <v>0.76250000000000284</v>
      </c>
      <c r="F93" s="3">
        <f>'Monthly Data'!CU93</f>
        <v>228.28333333333333</v>
      </c>
      <c r="G93" s="3">
        <f>'Monthly Data'!EG93</f>
        <v>0</v>
      </c>
      <c r="H93">
        <f>'Monthly Data'!EH93</f>
        <v>92</v>
      </c>
      <c r="I93" s="3">
        <f>'Monthly Data'!DQ93</f>
        <v>31</v>
      </c>
      <c r="J93" s="360">
        <f>'Monthly Data'!EO93</f>
        <v>0.19062500000000071</v>
      </c>
      <c r="L93" s="3">
        <f t="shared" si="25"/>
        <v>-769716</v>
      </c>
      <c r="M93" s="3">
        <f t="shared" si="26"/>
        <v>636.00079250000238</v>
      </c>
      <c r="N93" s="3">
        <f t="shared" si="27"/>
        <v>452880.11911666667</v>
      </c>
      <c r="O93" s="3">
        <f t="shared" si="28"/>
        <v>0</v>
      </c>
      <c r="P93" s="3">
        <f t="shared" si="29"/>
        <v>245381.848</v>
      </c>
      <c r="Q93" s="3">
        <f t="shared" si="30"/>
        <v>1175534.26</v>
      </c>
      <c r="R93" s="3">
        <f t="shared" si="31"/>
        <v>109.33319750000041</v>
      </c>
      <c r="S93" s="47">
        <f t="shared" si="32"/>
        <v>1104825.5611066667</v>
      </c>
      <c r="T93" s="47">
        <f ca="1">'Monthly Data'!M93+'Monthly Data'!N93</f>
        <v>7519.2690215426128</v>
      </c>
      <c r="U93" s="47">
        <f t="shared" ca="1" si="23"/>
        <v>1112344.8301282092</v>
      </c>
      <c r="V93" s="47">
        <f t="shared" ca="1" si="24"/>
        <v>31899.929296771064</v>
      </c>
      <c r="W93" s="18">
        <f t="shared" ca="1" si="33"/>
        <v>2.9524808967327267E-2</v>
      </c>
    </row>
    <row r="94" spans="1:23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Data'!L94</f>
        <v>853738.2210845158</v>
      </c>
      <c r="E94" s="683">
        <f>'Monthly Data'!CP94</f>
        <v>71.412499999999994</v>
      </c>
      <c r="F94" s="3">
        <f>'Monthly Data'!CU94</f>
        <v>94.054166666666674</v>
      </c>
      <c r="G94" s="3">
        <f>'Monthly Data'!EG94</f>
        <v>1</v>
      </c>
      <c r="H94">
        <f>'Monthly Data'!EH94</f>
        <v>93</v>
      </c>
      <c r="I94" s="3">
        <f>'Monthly Data'!DQ94</f>
        <v>30</v>
      </c>
      <c r="J94" s="360">
        <f>'Monthly Data'!EO94</f>
        <v>17.853124999999999</v>
      </c>
      <c r="L94" s="3">
        <f t="shared" si="25"/>
        <v>-769716</v>
      </c>
      <c r="M94" s="3">
        <f t="shared" si="26"/>
        <v>59565.123402499994</v>
      </c>
      <c r="N94" s="3">
        <f t="shared" si="27"/>
        <v>186589.45259583337</v>
      </c>
      <c r="O94" s="3">
        <f t="shared" si="28"/>
        <v>-56026.3</v>
      </c>
      <c r="P94" s="3">
        <f t="shared" si="29"/>
        <v>248049.04199999999</v>
      </c>
      <c r="Q94" s="3">
        <f t="shared" si="30"/>
        <v>1137613.8</v>
      </c>
      <c r="R94" s="3">
        <f t="shared" si="31"/>
        <v>10239.681267499998</v>
      </c>
      <c r="S94" s="47">
        <f t="shared" si="32"/>
        <v>816314.79926583334</v>
      </c>
      <c r="T94" s="47">
        <f ca="1">'Monthly Data'!M94+'Monthly Data'!N94</f>
        <v>9770.7229622828017</v>
      </c>
      <c r="U94" s="47">
        <f t="shared" ca="1" si="23"/>
        <v>826085.52222811617</v>
      </c>
      <c r="V94" s="47">
        <f t="shared" ca="1" si="24"/>
        <v>-27652.698856399627</v>
      </c>
      <c r="W94" s="18">
        <f t="shared" ca="1" si="33"/>
        <v>3.2390138069807874E-2</v>
      </c>
    </row>
    <row r="95" spans="1:23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Data'!L95</f>
        <v>1024176.6882775914</v>
      </c>
      <c r="E95" s="683">
        <f>'Monthly Data'!CP95</f>
        <v>268.85561594202898</v>
      </c>
      <c r="F95" s="3">
        <f>'Monthly Data'!CU95</f>
        <v>2.4208333333333307</v>
      </c>
      <c r="G95" s="3">
        <f>'Monthly Data'!EG95</f>
        <v>1</v>
      </c>
      <c r="H95">
        <f>'Monthly Data'!EH95</f>
        <v>94</v>
      </c>
      <c r="I95" s="3">
        <f>'Monthly Data'!DQ95</f>
        <v>31</v>
      </c>
      <c r="J95" s="360">
        <f>'Monthly Data'!EO95</f>
        <v>67.213903985507244</v>
      </c>
      <c r="L95" s="3">
        <f t="shared" si="25"/>
        <v>-769716</v>
      </c>
      <c r="M95" s="3">
        <f t="shared" si="26"/>
        <v>224252.3079438768</v>
      </c>
      <c r="N95" s="3">
        <f t="shared" si="27"/>
        <v>4802.5726291666615</v>
      </c>
      <c r="O95" s="3">
        <f t="shared" si="28"/>
        <v>-56026.3</v>
      </c>
      <c r="P95" s="3">
        <f t="shared" si="29"/>
        <v>250716.236</v>
      </c>
      <c r="Q95" s="3">
        <f t="shared" si="30"/>
        <v>1175534.26</v>
      </c>
      <c r="R95" s="3">
        <f t="shared" si="31"/>
        <v>38550.615287572466</v>
      </c>
      <c r="S95" s="47">
        <f t="shared" si="32"/>
        <v>868113.69186061597</v>
      </c>
      <c r="T95" s="47">
        <f ca="1">'Monthly Data'!M95+'Monthly Data'!N95</f>
        <v>15543.761674522984</v>
      </c>
      <c r="U95" s="47">
        <f t="shared" ca="1" si="23"/>
        <v>883657.45353513898</v>
      </c>
      <c r="V95" s="47">
        <f t="shared" ca="1" si="24"/>
        <v>-140519.23474245239</v>
      </c>
      <c r="W95" s="18">
        <f t="shared" ca="1" si="33"/>
        <v>0.1372021413402511</v>
      </c>
    </row>
    <row r="96" spans="1:23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Data'!L96</f>
        <v>917442.699450669</v>
      </c>
      <c r="E96" s="683">
        <f>'Monthly Data'!CP96</f>
        <v>411.83333333333348</v>
      </c>
      <c r="F96" s="3">
        <f>'Monthly Data'!CU96</f>
        <v>2.3083333333333318</v>
      </c>
      <c r="G96" s="3">
        <f>'Monthly Data'!EG96</f>
        <v>1</v>
      </c>
      <c r="H96">
        <f>'Monthly Data'!EH96</f>
        <v>95</v>
      </c>
      <c r="I96" s="3">
        <f>'Monthly Data'!DQ96</f>
        <v>30</v>
      </c>
      <c r="J96" s="360">
        <f>'Monthly Data'!EO96</f>
        <v>102.95833333333337</v>
      </c>
      <c r="L96" s="3">
        <f t="shared" si="25"/>
        <v>-769716</v>
      </c>
      <c r="M96" s="3">
        <f t="shared" si="26"/>
        <v>343509.93623333343</v>
      </c>
      <c r="N96" s="3">
        <f t="shared" si="27"/>
        <v>4579.3893916666639</v>
      </c>
      <c r="O96" s="3">
        <f t="shared" si="28"/>
        <v>-56026.3</v>
      </c>
      <c r="P96" s="3">
        <f t="shared" si="29"/>
        <v>253383.43</v>
      </c>
      <c r="Q96" s="3">
        <f t="shared" si="30"/>
        <v>1137613.8</v>
      </c>
      <c r="R96" s="3">
        <f t="shared" si="31"/>
        <v>59051.875633333351</v>
      </c>
      <c r="S96" s="47">
        <f t="shared" si="32"/>
        <v>972396.13125833357</v>
      </c>
      <c r="T96" s="47">
        <f ca="1">'Monthly Data'!M96+'Monthly Data'!N96</f>
        <v>19804.064330985471</v>
      </c>
      <c r="U96" s="47">
        <f t="shared" ca="1" si="23"/>
        <v>992200.19558931899</v>
      </c>
      <c r="V96" s="47">
        <f t="shared" ca="1" si="24"/>
        <v>74757.496138649993</v>
      </c>
      <c r="W96" s="18">
        <f t="shared" ca="1" si="33"/>
        <v>8.1484648777969501E-2</v>
      </c>
    </row>
    <row r="97" spans="1:23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Data'!L97</f>
        <v>1202124.9301737447</v>
      </c>
      <c r="E97" s="683">
        <f>'Monthly Data'!CP97</f>
        <v>585.12083333333328</v>
      </c>
      <c r="F97" s="3">
        <f>'Monthly Data'!CU97</f>
        <v>0</v>
      </c>
      <c r="G97" s="3">
        <f>'Monthly Data'!EG97</f>
        <v>0</v>
      </c>
      <c r="H97">
        <f>'Monthly Data'!EH97</f>
        <v>96</v>
      </c>
      <c r="I97" s="3">
        <f>'Monthly Data'!DQ97</f>
        <v>31</v>
      </c>
      <c r="J97" s="360">
        <f>'Monthly Data'!EO97</f>
        <v>146.28020833333332</v>
      </c>
      <c r="L97" s="3">
        <f t="shared" si="25"/>
        <v>-769716</v>
      </c>
      <c r="M97" s="3">
        <f t="shared" si="26"/>
        <v>488048.93601083325</v>
      </c>
      <c r="N97" s="3">
        <f t="shared" si="27"/>
        <v>0</v>
      </c>
      <c r="O97" s="3">
        <f t="shared" si="28"/>
        <v>0</v>
      </c>
      <c r="P97" s="3">
        <f t="shared" si="29"/>
        <v>256050.62400000001</v>
      </c>
      <c r="Q97" s="3">
        <f t="shared" si="30"/>
        <v>1175534.26</v>
      </c>
      <c r="R97" s="3">
        <f t="shared" si="31"/>
        <v>83899.18902583333</v>
      </c>
      <c r="S97" s="47">
        <f t="shared" si="32"/>
        <v>1233817.0090366665</v>
      </c>
      <c r="T97" s="47">
        <f ca="1">'Monthly Data'!M97+'Monthly Data'!N97</f>
        <v>24906.198723100377</v>
      </c>
      <c r="U97" s="47">
        <f t="shared" ca="1" si="23"/>
        <v>1258723.2077597668</v>
      </c>
      <c r="V97" s="47">
        <f t="shared" ca="1" si="24"/>
        <v>56598.277586022159</v>
      </c>
      <c r="W97" s="18">
        <f t="shared" ca="1" si="33"/>
        <v>4.7081859934343044E-2</v>
      </c>
    </row>
    <row r="98" spans="1:23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Data'!L98</f>
        <v>1284447.9560900042</v>
      </c>
      <c r="E98" s="683">
        <f>'Monthly Data'!CP98</f>
        <v>604.07083333333344</v>
      </c>
      <c r="F98" s="3">
        <f>'Monthly Data'!CU98</f>
        <v>0</v>
      </c>
      <c r="G98" s="3">
        <f>'Monthly Data'!EG98</f>
        <v>0</v>
      </c>
      <c r="H98">
        <f>'Monthly Data'!EH98</f>
        <v>97</v>
      </c>
      <c r="I98" s="3">
        <f>'Monthly Data'!DQ98</f>
        <v>31</v>
      </c>
      <c r="J98" s="360">
        <f>'Monthly Data'!EO98</f>
        <v>0</v>
      </c>
      <c r="L98" s="3">
        <f t="shared" ref="L98:L121" si="34">$AA$8</f>
        <v>-769716</v>
      </c>
      <c r="M98" s="3">
        <f t="shared" ref="M98:M121" si="35">E98*$AA$9</f>
        <v>503855.11964083341</v>
      </c>
      <c r="N98" s="3">
        <f t="shared" ref="N98:N121" si="36">F98*$AA$10</f>
        <v>0</v>
      </c>
      <c r="O98" s="3">
        <f t="shared" ref="O98:O121" si="37">G98*$AA$11</f>
        <v>0</v>
      </c>
      <c r="P98" s="3">
        <f t="shared" ref="P98:P121" si="38">H98*$AA$12</f>
        <v>258717.818</v>
      </c>
      <c r="Q98" s="3">
        <f t="shared" ref="Q98:Q121" si="39">I98*$AA$13</f>
        <v>1175534.26</v>
      </c>
      <c r="R98" s="3">
        <f t="shared" ref="R98:R121" si="40">J98*$AA$14</f>
        <v>0</v>
      </c>
      <c r="S98" s="47">
        <f t="shared" si="32"/>
        <v>1168391.1976408334</v>
      </c>
      <c r="T98" s="47">
        <f ca="1">'Monthly Data'!M98+'Monthly Data'!N98</f>
        <v>31765.044522205015</v>
      </c>
      <c r="U98" s="47">
        <f t="shared" ca="1" si="23"/>
        <v>1200156.2421630383</v>
      </c>
      <c r="V98" s="47">
        <f t="shared" ca="1" si="24"/>
        <v>-84291.713926965836</v>
      </c>
      <c r="W98" s="18">
        <f t="shared" ca="1" si="33"/>
        <v>6.5624857377295967E-2</v>
      </c>
    </row>
    <row r="99" spans="1:23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Data'!L99</f>
        <v>1237997.4278684282</v>
      </c>
      <c r="E99" s="683">
        <f>'Monthly Data'!CP99</f>
        <v>573.43333333333328</v>
      </c>
      <c r="F99" s="3">
        <f>'Monthly Data'!CU99</f>
        <v>0</v>
      </c>
      <c r="G99" s="3">
        <f>'Monthly Data'!EG99</f>
        <v>0</v>
      </c>
      <c r="H99">
        <f>'Monthly Data'!EH99</f>
        <v>98</v>
      </c>
      <c r="I99" s="3">
        <f>'Monthly Data'!DQ99</f>
        <v>28</v>
      </c>
      <c r="J99" s="360">
        <f>'Monthly Data'!EO99</f>
        <v>0</v>
      </c>
      <c r="L99" s="3">
        <f t="shared" si="34"/>
        <v>-769716</v>
      </c>
      <c r="M99" s="3">
        <f t="shared" si="35"/>
        <v>478300.39927333326</v>
      </c>
      <c r="N99" s="3">
        <f t="shared" si="36"/>
        <v>0</v>
      </c>
      <c r="O99" s="3">
        <f t="shared" si="37"/>
        <v>0</v>
      </c>
      <c r="P99" s="3">
        <f t="shared" si="38"/>
        <v>261385.01199999999</v>
      </c>
      <c r="Q99" s="3">
        <f t="shared" si="39"/>
        <v>1061772.8799999999</v>
      </c>
      <c r="R99" s="3">
        <f t="shared" si="40"/>
        <v>0</v>
      </c>
      <c r="S99" s="47">
        <f t="shared" si="32"/>
        <v>1031742.2912733331</v>
      </c>
      <c r="T99" s="47">
        <f ca="1">'Monthly Data'!M99+'Monthly Data'!N99</f>
        <v>30986.975729071128</v>
      </c>
      <c r="U99" s="47">
        <f t="shared" ca="1" si="23"/>
        <v>1062729.2670024042</v>
      </c>
      <c r="V99" s="47">
        <f t="shared" ca="1" si="24"/>
        <v>-175268.16086602397</v>
      </c>
      <c r="W99" s="18">
        <f t="shared" ca="1" si="33"/>
        <v>0.14157392973570146</v>
      </c>
    </row>
    <row r="100" spans="1:23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Data'!L100</f>
        <v>1200861.7423668525</v>
      </c>
      <c r="E100" s="683">
        <f>'Monthly Data'!CP100</f>
        <v>551.03333333333342</v>
      </c>
      <c r="F100" s="3">
        <f>'Monthly Data'!CU100</f>
        <v>0</v>
      </c>
      <c r="G100" s="3">
        <f>'Monthly Data'!EG100</f>
        <v>1</v>
      </c>
      <c r="H100">
        <f>'Monthly Data'!EH100</f>
        <v>99</v>
      </c>
      <c r="I100" s="3">
        <f>'Monthly Data'!DQ100</f>
        <v>31</v>
      </c>
      <c r="J100" s="360">
        <f>'Monthly Data'!EO100</f>
        <v>0</v>
      </c>
      <c r="L100" s="3">
        <f t="shared" si="34"/>
        <v>-769716</v>
      </c>
      <c r="M100" s="3">
        <f t="shared" si="35"/>
        <v>459616.57271333336</v>
      </c>
      <c r="N100" s="3">
        <f t="shared" si="36"/>
        <v>0</v>
      </c>
      <c r="O100" s="3">
        <f t="shared" si="37"/>
        <v>-56026.3</v>
      </c>
      <c r="P100" s="3">
        <f t="shared" si="38"/>
        <v>264052.20600000001</v>
      </c>
      <c r="Q100" s="3">
        <f t="shared" si="39"/>
        <v>1175534.26</v>
      </c>
      <c r="R100" s="3">
        <f t="shared" si="40"/>
        <v>0</v>
      </c>
      <c r="S100" s="47">
        <f t="shared" si="32"/>
        <v>1073460.7387133334</v>
      </c>
      <c r="T100" s="47">
        <f ca="1">'Monthly Data'!M100+'Monthly Data'!N100</f>
        <v>30515.18436851339</v>
      </c>
      <c r="U100" s="47">
        <f t="shared" ca="1" si="23"/>
        <v>1103975.9230818467</v>
      </c>
      <c r="V100" s="47">
        <f t="shared" ca="1" si="24"/>
        <v>-96885.819285005797</v>
      </c>
      <c r="W100" s="18">
        <f t="shared" ca="1" si="33"/>
        <v>8.0680244749947283E-2</v>
      </c>
    </row>
    <row r="101" spans="1:23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Data'!L101</f>
        <v>910505.79270527558</v>
      </c>
      <c r="E101" s="683">
        <f>'Monthly Data'!CP101</f>
        <v>301.39999999999998</v>
      </c>
      <c r="F101" s="3">
        <f>'Monthly Data'!CU101</f>
        <v>11.71666666666667</v>
      </c>
      <c r="G101" s="3">
        <f>'Monthly Data'!EG101</f>
        <v>1</v>
      </c>
      <c r="H101">
        <f>'Monthly Data'!EH101</f>
        <v>100</v>
      </c>
      <c r="I101" s="3">
        <f>'Monthly Data'!DQ101</f>
        <v>30</v>
      </c>
      <c r="J101" s="360">
        <f>'Monthly Data'!EO101</f>
        <v>0</v>
      </c>
      <c r="L101" s="3">
        <f t="shared" si="34"/>
        <v>-769716</v>
      </c>
      <c r="M101" s="3">
        <f t="shared" si="35"/>
        <v>251397.55915999998</v>
      </c>
      <c r="N101" s="3">
        <f t="shared" si="36"/>
        <v>23244.12088333334</v>
      </c>
      <c r="O101" s="3">
        <f t="shared" si="37"/>
        <v>-56026.3</v>
      </c>
      <c r="P101" s="3">
        <f t="shared" si="38"/>
        <v>266719.40000000002</v>
      </c>
      <c r="Q101" s="3">
        <f t="shared" si="39"/>
        <v>1137613.8</v>
      </c>
      <c r="R101" s="3">
        <f t="shared" si="40"/>
        <v>0</v>
      </c>
      <c r="S101" s="47">
        <f t="shared" si="32"/>
        <v>853232.58004333335</v>
      </c>
      <c r="T101" s="47">
        <f ca="1">'Monthly Data'!M101+'Monthly Data'!N101</f>
        <v>21594.659541606616</v>
      </c>
      <c r="U101" s="47">
        <f t="shared" ca="1" si="23"/>
        <v>874827.23958494002</v>
      </c>
      <c r="V101" s="47">
        <f t="shared" ca="1" si="24"/>
        <v>-35678.553120335564</v>
      </c>
      <c r="W101" s="18">
        <f t="shared" ca="1" si="33"/>
        <v>3.9185421340734362E-2</v>
      </c>
    </row>
    <row r="102" spans="1:23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Data'!L102</f>
        <v>924428.24447370076</v>
      </c>
      <c r="E102" s="683">
        <f>'Monthly Data'!CP102</f>
        <v>163.56416666666669</v>
      </c>
      <c r="F102" s="3">
        <f>'Monthly Data'!CU102</f>
        <v>37.345833333333331</v>
      </c>
      <c r="G102" s="3">
        <f>'Monthly Data'!EG102</f>
        <v>1</v>
      </c>
      <c r="H102">
        <f>'Monthly Data'!EH102</f>
        <v>101</v>
      </c>
      <c r="I102" s="3">
        <f>'Monthly Data'!DQ102</f>
        <v>31</v>
      </c>
      <c r="J102" s="360">
        <f>'Monthly Data'!EO102</f>
        <v>0</v>
      </c>
      <c r="L102" s="3">
        <f t="shared" si="34"/>
        <v>-769716</v>
      </c>
      <c r="M102" s="3">
        <f t="shared" si="35"/>
        <v>136428.77327816669</v>
      </c>
      <c r="N102" s="3">
        <f t="shared" si="36"/>
        <v>74088.568804166673</v>
      </c>
      <c r="O102" s="3">
        <f t="shared" si="37"/>
        <v>-56026.3</v>
      </c>
      <c r="P102" s="3">
        <f t="shared" si="38"/>
        <v>269386.59399999998</v>
      </c>
      <c r="Q102" s="3">
        <f t="shared" si="39"/>
        <v>1175534.26</v>
      </c>
      <c r="R102" s="3">
        <f t="shared" si="40"/>
        <v>0</v>
      </c>
      <c r="S102" s="47">
        <f t="shared" si="32"/>
        <v>829695.89608233329</v>
      </c>
      <c r="T102" s="47">
        <f ca="1">'Monthly Data'!M102+'Monthly Data'!N102</f>
        <v>16830.863245010052</v>
      </c>
      <c r="U102" s="47">
        <f t="shared" ca="1" si="23"/>
        <v>846526.75932734332</v>
      </c>
      <c r="V102" s="47">
        <f t="shared" ca="1" si="24"/>
        <v>-77901.485146357445</v>
      </c>
      <c r="W102" s="18">
        <f t="shared" ca="1" si="33"/>
        <v>8.426991019806912E-2</v>
      </c>
    </row>
    <row r="103" spans="1:23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Data'!L103</f>
        <v>825344.00422212481</v>
      </c>
      <c r="E103" s="683">
        <f>'Monthly Data'!CP103</f>
        <v>21.441666666666659</v>
      </c>
      <c r="F103" s="3">
        <f>'Monthly Data'!CU103</f>
        <v>145.54166666666666</v>
      </c>
      <c r="G103" s="3">
        <f>'Monthly Data'!EG103</f>
        <v>0</v>
      </c>
      <c r="H103">
        <f>'Monthly Data'!EH103</f>
        <v>102</v>
      </c>
      <c r="I103" s="3">
        <f>'Monthly Data'!DQ103</f>
        <v>30</v>
      </c>
      <c r="J103" s="360">
        <f>'Monthly Data'!EO103</f>
        <v>0</v>
      </c>
      <c r="L103" s="3">
        <f t="shared" si="34"/>
        <v>-769716</v>
      </c>
      <c r="M103" s="3">
        <f t="shared" si="35"/>
        <v>17884.481301666659</v>
      </c>
      <c r="N103" s="3">
        <f t="shared" si="36"/>
        <v>288732.98095833336</v>
      </c>
      <c r="O103" s="3">
        <f t="shared" si="37"/>
        <v>0</v>
      </c>
      <c r="P103" s="3">
        <f t="shared" si="38"/>
        <v>272053.788</v>
      </c>
      <c r="Q103" s="3">
        <f t="shared" si="39"/>
        <v>1137613.8</v>
      </c>
      <c r="R103" s="3">
        <f t="shared" si="40"/>
        <v>0</v>
      </c>
      <c r="S103" s="47">
        <f t="shared" si="32"/>
        <v>946569.05026000016</v>
      </c>
      <c r="T103" s="47">
        <f ca="1">'Monthly Data'!M103+'Monthly Data'!N103</f>
        <v>11907.684944046094</v>
      </c>
      <c r="U103" s="47">
        <f t="shared" ca="1" si="23"/>
        <v>958476.73520404624</v>
      </c>
      <c r="V103" s="47">
        <f t="shared" ca="1" si="24"/>
        <v>133132.73098192143</v>
      </c>
      <c r="W103" s="18">
        <f t="shared" ca="1" si="33"/>
        <v>0.16130574681692533</v>
      </c>
    </row>
    <row r="104" spans="1:23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Data'!L104</f>
        <v>1149728.5446605489</v>
      </c>
      <c r="E104" s="683">
        <f>'Monthly Data'!CP104</f>
        <v>0.12499999999999645</v>
      </c>
      <c r="F104" s="3">
        <f>'Monthly Data'!CU104</f>
        <v>223.78333333333336</v>
      </c>
      <c r="G104" s="3">
        <f>'Monthly Data'!EG104</f>
        <v>0</v>
      </c>
      <c r="H104">
        <f>'Monthly Data'!EH104</f>
        <v>103</v>
      </c>
      <c r="I104" s="3">
        <f>'Monthly Data'!DQ104</f>
        <v>31</v>
      </c>
      <c r="J104" s="360">
        <f>'Monthly Data'!EO104</f>
        <v>0</v>
      </c>
      <c r="L104" s="3">
        <f t="shared" si="34"/>
        <v>-769716</v>
      </c>
      <c r="M104" s="3">
        <f t="shared" si="35"/>
        <v>104.26242499999702</v>
      </c>
      <c r="N104" s="3">
        <f t="shared" si="36"/>
        <v>443952.78961666673</v>
      </c>
      <c r="O104" s="3">
        <f t="shared" si="37"/>
        <v>0</v>
      </c>
      <c r="P104" s="3">
        <f t="shared" si="38"/>
        <v>274720.98200000002</v>
      </c>
      <c r="Q104" s="3">
        <f t="shared" si="39"/>
        <v>1175534.26</v>
      </c>
      <c r="R104" s="3">
        <f t="shared" si="40"/>
        <v>0</v>
      </c>
      <c r="S104" s="47">
        <f t="shared" si="32"/>
        <v>1124596.2940416667</v>
      </c>
      <c r="T104" s="47">
        <f ca="1">'Monthly Data'!M104+'Monthly Data'!N104</f>
        <v>11476.172861419454</v>
      </c>
      <c r="U104" s="47">
        <f t="shared" ca="1" si="23"/>
        <v>1136072.4669030861</v>
      </c>
      <c r="V104" s="47">
        <f t="shared" ca="1" si="24"/>
        <v>-13656.077757462859</v>
      </c>
      <c r="W104" s="18">
        <f t="shared" ca="1" si="33"/>
        <v>1.187765392177398E-2</v>
      </c>
    </row>
    <row r="105" spans="1:23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Data'!L105</f>
        <v>1094870.1071989732</v>
      </c>
      <c r="E105" s="683">
        <f>'Monthly Data'!CP105</f>
        <v>9.274999999999995</v>
      </c>
      <c r="F105" s="3">
        <f>'Monthly Data'!CU105</f>
        <v>165.80489130434788</v>
      </c>
      <c r="G105" s="3">
        <f>'Monthly Data'!EG105</f>
        <v>0</v>
      </c>
      <c r="H105">
        <f>'Monthly Data'!EH105</f>
        <v>104</v>
      </c>
      <c r="I105" s="3">
        <f>'Monthly Data'!DQ105</f>
        <v>31</v>
      </c>
      <c r="J105" s="360">
        <f>'Monthly Data'!EO105</f>
        <v>0</v>
      </c>
      <c r="L105" s="3">
        <f t="shared" si="34"/>
        <v>-769716</v>
      </c>
      <c r="M105" s="3">
        <f t="shared" si="35"/>
        <v>7736.2719349999952</v>
      </c>
      <c r="N105" s="3">
        <f t="shared" si="36"/>
        <v>328932.19941902184</v>
      </c>
      <c r="O105" s="3">
        <f t="shared" si="37"/>
        <v>0</v>
      </c>
      <c r="P105" s="3">
        <f t="shared" si="38"/>
        <v>277388.17599999998</v>
      </c>
      <c r="Q105" s="3">
        <f t="shared" si="39"/>
        <v>1175534.26</v>
      </c>
      <c r="R105" s="3">
        <f t="shared" si="40"/>
        <v>0</v>
      </c>
      <c r="S105" s="47">
        <f t="shared" si="32"/>
        <v>1019874.9073540218</v>
      </c>
      <c r="T105" s="47">
        <f ca="1">'Monthly Data'!M105+'Monthly Data'!N105</f>
        <v>12177.438010455278</v>
      </c>
      <c r="U105" s="47">
        <f t="shared" ca="1" si="23"/>
        <v>1032052.345364477</v>
      </c>
      <c r="V105" s="47">
        <f t="shared" ca="1" si="24"/>
        <v>-62817.761834496167</v>
      </c>
      <c r="W105" s="18">
        <f t="shared" ca="1" si="33"/>
        <v>5.7374625009357527E-2</v>
      </c>
    </row>
    <row r="106" spans="1:23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Data'!L106</f>
        <v>851300.06026739709</v>
      </c>
      <c r="E106" s="683">
        <f>'Monthly Data'!CP106</f>
        <v>47.591666666666676</v>
      </c>
      <c r="F106" s="3">
        <f>'Monthly Data'!CU106</f>
        <v>105.35</v>
      </c>
      <c r="G106" s="3">
        <f>'Monthly Data'!EG106</f>
        <v>1</v>
      </c>
      <c r="H106">
        <f>'Monthly Data'!EH106</f>
        <v>105</v>
      </c>
      <c r="I106" s="3">
        <f>'Monthly Data'!DQ106</f>
        <v>30</v>
      </c>
      <c r="J106" s="360">
        <f>'Monthly Data'!EO106</f>
        <v>0</v>
      </c>
      <c r="L106" s="3">
        <f t="shared" si="34"/>
        <v>-769716</v>
      </c>
      <c r="M106" s="3">
        <f t="shared" si="35"/>
        <v>39696.18061166667</v>
      </c>
      <c r="N106" s="3">
        <f t="shared" si="36"/>
        <v>208998.70285</v>
      </c>
      <c r="O106" s="3">
        <f t="shared" si="37"/>
        <v>-56026.3</v>
      </c>
      <c r="P106" s="3">
        <f t="shared" si="38"/>
        <v>280055.37</v>
      </c>
      <c r="Q106" s="3">
        <f t="shared" si="39"/>
        <v>1137613.8</v>
      </c>
      <c r="R106" s="3">
        <f t="shared" si="40"/>
        <v>0</v>
      </c>
      <c r="S106" s="47">
        <f t="shared" si="32"/>
        <v>840621.75346166664</v>
      </c>
      <c r="T106" s="47">
        <f ca="1">'Monthly Data'!M106+'Monthly Data'!N106</f>
        <v>13963.145257636241</v>
      </c>
      <c r="U106" s="47">
        <f t="shared" ca="1" si="23"/>
        <v>854584.89871930284</v>
      </c>
      <c r="V106" s="47">
        <f t="shared" ca="1" si="24"/>
        <v>3284.8384519057581</v>
      </c>
      <c r="W106" s="18">
        <f t="shared" ca="1" si="33"/>
        <v>3.8586141423201307E-3</v>
      </c>
    </row>
    <row r="107" spans="1:23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Data'!L107</f>
        <v>935633.28150582127</v>
      </c>
      <c r="E107" s="683">
        <f>'Monthly Data'!CP107</f>
        <v>207.15416666666667</v>
      </c>
      <c r="F107" s="3">
        <f>'Monthly Data'!CU107</f>
        <v>35.333333333333343</v>
      </c>
      <c r="G107" s="3">
        <f>'Monthly Data'!EG107</f>
        <v>1</v>
      </c>
      <c r="H107">
        <f>'Monthly Data'!EH107</f>
        <v>106</v>
      </c>
      <c r="I107" s="3">
        <f>'Monthly Data'!DQ107</f>
        <v>31</v>
      </c>
      <c r="J107" s="360">
        <f>'Monthly Data'!EO107</f>
        <v>0</v>
      </c>
      <c r="L107" s="3">
        <f t="shared" si="34"/>
        <v>-769716</v>
      </c>
      <c r="M107" s="3">
        <f t="shared" si="35"/>
        <v>172787.16612416666</v>
      </c>
      <c r="N107" s="3">
        <f t="shared" si="36"/>
        <v>70096.068666666688</v>
      </c>
      <c r="O107" s="3">
        <f t="shared" si="37"/>
        <v>-56026.3</v>
      </c>
      <c r="P107" s="3">
        <f t="shared" si="38"/>
        <v>282722.56400000001</v>
      </c>
      <c r="Q107" s="3">
        <f t="shared" si="39"/>
        <v>1175534.26</v>
      </c>
      <c r="R107" s="3">
        <f t="shared" si="40"/>
        <v>0</v>
      </c>
      <c r="S107" s="47">
        <f t="shared" si="32"/>
        <v>875397.75879083341</v>
      </c>
      <c r="T107" s="47">
        <f ca="1">'Monthly Data'!M107+'Monthly Data'!N107</f>
        <v>20256.878306806535</v>
      </c>
      <c r="U107" s="47">
        <f t="shared" ca="1" si="23"/>
        <v>895654.63709763996</v>
      </c>
      <c r="V107" s="47">
        <f t="shared" ca="1" si="24"/>
        <v>-39978.64440818131</v>
      </c>
      <c r="W107" s="18">
        <f t="shared" ca="1" si="33"/>
        <v>4.2728967853558099E-2</v>
      </c>
    </row>
    <row r="108" spans="1:23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Data'!L108</f>
        <v>1058502.3214542454</v>
      </c>
      <c r="E108" s="683">
        <f>'Monthly Data'!CP108</f>
        <v>450.59311594202899</v>
      </c>
      <c r="F108" s="3">
        <f>'Monthly Data'!CU108</f>
        <v>0</v>
      </c>
      <c r="G108" s="3">
        <f>'Monthly Data'!EG108</f>
        <v>1</v>
      </c>
      <c r="H108">
        <f>'Monthly Data'!EH108</f>
        <v>107</v>
      </c>
      <c r="I108" s="3">
        <f>'Monthly Data'!DQ108</f>
        <v>30</v>
      </c>
      <c r="J108" s="360">
        <f>'Monthly Data'!EO108</f>
        <v>0</v>
      </c>
      <c r="L108" s="3">
        <f t="shared" si="34"/>
        <v>-769716</v>
      </c>
      <c r="M108" s="3">
        <f t="shared" si="35"/>
        <v>375839.44765137677</v>
      </c>
      <c r="N108" s="3">
        <f t="shared" si="36"/>
        <v>0</v>
      </c>
      <c r="O108" s="3">
        <f t="shared" si="37"/>
        <v>-56026.3</v>
      </c>
      <c r="P108" s="3">
        <f t="shared" si="38"/>
        <v>285389.75799999997</v>
      </c>
      <c r="Q108" s="3">
        <f t="shared" si="39"/>
        <v>1137613.8</v>
      </c>
      <c r="R108" s="3">
        <f t="shared" si="40"/>
        <v>0</v>
      </c>
      <c r="S108" s="47">
        <f t="shared" si="32"/>
        <v>973100.70565137686</v>
      </c>
      <c r="T108" s="47">
        <f ca="1">'Monthly Data'!M108+'Monthly Data'!N108</f>
        <v>29669.210874964418</v>
      </c>
      <c r="U108" s="47">
        <f t="shared" ca="1" si="23"/>
        <v>1002769.9165263412</v>
      </c>
      <c r="V108" s="47">
        <f t="shared" ca="1" si="24"/>
        <v>-55732.404927904136</v>
      </c>
      <c r="W108" s="18">
        <f t="shared" ca="1" si="33"/>
        <v>5.2652132922424787E-2</v>
      </c>
    </row>
    <row r="109" spans="1:23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Data'!L109</f>
        <v>1228017.9985926696</v>
      </c>
      <c r="E109" s="683">
        <f>'Monthly Data'!CP109</f>
        <v>489.67916666666667</v>
      </c>
      <c r="F109" s="3">
        <f>'Monthly Data'!CU109</f>
        <v>0</v>
      </c>
      <c r="G109" s="3">
        <f>'Monthly Data'!EG109</f>
        <v>0</v>
      </c>
      <c r="H109">
        <f>'Monthly Data'!EH109</f>
        <v>108</v>
      </c>
      <c r="I109" s="3">
        <f>'Monthly Data'!DQ109</f>
        <v>31</v>
      </c>
      <c r="J109" s="360">
        <f>'Monthly Data'!EO109</f>
        <v>0</v>
      </c>
      <c r="L109" s="3">
        <f t="shared" si="34"/>
        <v>-769716</v>
      </c>
      <c r="M109" s="3">
        <f t="shared" si="35"/>
        <v>408441.09910916665</v>
      </c>
      <c r="N109" s="3">
        <f t="shared" si="36"/>
        <v>0</v>
      </c>
      <c r="O109" s="3">
        <f t="shared" si="37"/>
        <v>0</v>
      </c>
      <c r="P109" s="3">
        <f t="shared" si="38"/>
        <v>288056.95199999999</v>
      </c>
      <c r="Q109" s="3">
        <f t="shared" si="39"/>
        <v>1175534.26</v>
      </c>
      <c r="R109" s="3">
        <f t="shared" si="40"/>
        <v>0</v>
      </c>
      <c r="S109" s="47">
        <f t="shared" si="32"/>
        <v>1102316.3111091666</v>
      </c>
      <c r="T109" s="47">
        <f ca="1">'Monthly Data'!M109+'Monthly Data'!N109</f>
        <v>31483.524492274715</v>
      </c>
      <c r="U109" s="47">
        <f t="shared" ca="1" si="23"/>
        <v>1133799.8356014413</v>
      </c>
      <c r="V109" s="47">
        <f t="shared" ca="1" si="24"/>
        <v>-94218.162991228281</v>
      </c>
      <c r="W109" s="18">
        <f t="shared" ca="1" si="33"/>
        <v>7.6723763901835287E-2</v>
      </c>
    </row>
    <row r="110" spans="1:23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Data'!L110</f>
        <v>1367303.0013910239</v>
      </c>
      <c r="E110" s="683">
        <f>'Monthly Data'!CP110</f>
        <v>636.99583333333339</v>
      </c>
      <c r="F110" s="3">
        <f>'Monthly Data'!CU110</f>
        <v>0</v>
      </c>
      <c r="G110" s="3">
        <f>'Monthly Data'!EG110</f>
        <v>0</v>
      </c>
      <c r="H110">
        <f>'Monthly Data'!EH110</f>
        <v>109</v>
      </c>
      <c r="I110" s="3">
        <f>'Monthly Data'!DQ110</f>
        <v>31</v>
      </c>
      <c r="J110" s="360">
        <f>'Monthly Data'!EO110</f>
        <v>0</v>
      </c>
      <c r="L110" s="3">
        <f t="shared" si="34"/>
        <v>-769716</v>
      </c>
      <c r="M110" s="3">
        <f t="shared" si="35"/>
        <v>531317.84238583338</v>
      </c>
      <c r="N110" s="3">
        <f t="shared" si="36"/>
        <v>0</v>
      </c>
      <c r="O110" s="3">
        <f t="shared" si="37"/>
        <v>0</v>
      </c>
      <c r="P110" s="3">
        <f t="shared" si="38"/>
        <v>290724.14600000001</v>
      </c>
      <c r="Q110" s="3">
        <f t="shared" si="39"/>
        <v>1175534.26</v>
      </c>
      <c r="R110" s="3">
        <f t="shared" si="40"/>
        <v>0</v>
      </c>
      <c r="S110" s="47">
        <f t="shared" ref="S110:S121" si="41">SUM(L110:R110)</f>
        <v>1227860.2483858333</v>
      </c>
      <c r="T110" s="47">
        <f ca="1">'Monthly Data'!M110+'Monthly Data'!N110</f>
        <v>44083.257210399068</v>
      </c>
      <c r="U110" s="47">
        <f t="shared" ca="1" si="23"/>
        <v>1271943.5055962324</v>
      </c>
      <c r="V110" s="47">
        <f t="shared" ca="1" si="24"/>
        <v>-95359.495794791495</v>
      </c>
      <c r="W110" s="18">
        <f t="shared" ref="W110:W121" ca="1" si="42">ABS(V110/D110)</f>
        <v>6.9742767841347267E-2</v>
      </c>
    </row>
    <row r="111" spans="1:23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Data'!L111</f>
        <v>1275227.7416194798</v>
      </c>
      <c r="E111" s="683">
        <f>'Monthly Data'!CP111</f>
        <v>542.96666666666658</v>
      </c>
      <c r="F111" s="3">
        <f>'Monthly Data'!CU111</f>
        <v>0</v>
      </c>
      <c r="G111" s="3">
        <f>'Monthly Data'!EG111</f>
        <v>0</v>
      </c>
      <c r="H111">
        <f>'Monthly Data'!EH111</f>
        <v>110</v>
      </c>
      <c r="I111" s="3">
        <f>'Monthly Data'!DQ111</f>
        <v>29</v>
      </c>
      <c r="J111" s="360">
        <f>'Monthly Data'!EO111</f>
        <v>0</v>
      </c>
      <c r="L111" s="3">
        <f t="shared" si="34"/>
        <v>-769716</v>
      </c>
      <c r="M111" s="3">
        <f t="shared" si="35"/>
        <v>452888.17088666657</v>
      </c>
      <c r="N111" s="3">
        <f t="shared" si="36"/>
        <v>0</v>
      </c>
      <c r="O111" s="3">
        <f t="shared" si="37"/>
        <v>0</v>
      </c>
      <c r="P111" s="3">
        <f t="shared" si="38"/>
        <v>293391.33999999997</v>
      </c>
      <c r="Q111" s="3">
        <f t="shared" si="39"/>
        <v>1099693.3400000001</v>
      </c>
      <c r="R111" s="3">
        <f t="shared" si="40"/>
        <v>0</v>
      </c>
      <c r="S111" s="47">
        <f t="shared" si="41"/>
        <v>1076256.8508866667</v>
      </c>
      <c r="T111" s="47">
        <f ca="1">'Monthly Data'!M111+'Monthly Data'!N111</f>
        <v>40085.082307535282</v>
      </c>
      <c r="U111" s="47">
        <f t="shared" ca="1" si="23"/>
        <v>1116341.9331942019</v>
      </c>
      <c r="V111" s="47">
        <f t="shared" ca="1" si="24"/>
        <v>-158885.80842527794</v>
      </c>
      <c r="W111" s="18">
        <f t="shared" ca="1" si="42"/>
        <v>0.12459406523222304</v>
      </c>
    </row>
    <row r="112" spans="1:23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Data'!L112</f>
        <v>1195213.6387360801</v>
      </c>
      <c r="E112" s="683">
        <f>'Monthly Data'!CP112</f>
        <v>460.11250000000001</v>
      </c>
      <c r="F112" s="3">
        <f>'Monthly Data'!CU112</f>
        <v>0</v>
      </c>
      <c r="G112" s="3">
        <f>'Monthly Data'!EG112</f>
        <v>1</v>
      </c>
      <c r="H112">
        <f>'Monthly Data'!EH112</f>
        <v>111</v>
      </c>
      <c r="I112" s="3">
        <f>'Monthly Data'!DQ112</f>
        <v>31</v>
      </c>
      <c r="J112" s="360">
        <f>'Monthly Data'!EO112</f>
        <v>0</v>
      </c>
      <c r="L112" s="3">
        <f t="shared" si="34"/>
        <v>-769716</v>
      </c>
      <c r="M112" s="3">
        <f t="shared" si="35"/>
        <v>383779.56018249999</v>
      </c>
      <c r="N112" s="3">
        <f t="shared" si="36"/>
        <v>0</v>
      </c>
      <c r="O112" s="3">
        <f t="shared" si="37"/>
        <v>-56026.3</v>
      </c>
      <c r="P112" s="3">
        <f t="shared" si="38"/>
        <v>296058.53399999999</v>
      </c>
      <c r="Q112" s="3">
        <f t="shared" si="39"/>
        <v>1175534.26</v>
      </c>
      <c r="R112" s="3">
        <f t="shared" si="40"/>
        <v>0</v>
      </c>
      <c r="S112" s="47">
        <f t="shared" si="41"/>
        <v>1029630.0541825</v>
      </c>
      <c r="T112" s="47">
        <f ca="1">'Monthly Data'!M112+'Monthly Data'!N112</f>
        <v>36613.437447715878</v>
      </c>
      <c r="U112" s="47">
        <f t="shared" ca="1" si="23"/>
        <v>1066243.4916302159</v>
      </c>
      <c r="V112" s="47">
        <f t="shared" ca="1" si="24"/>
        <v>-128970.14710586425</v>
      </c>
      <c r="W112" s="18">
        <f t="shared" ca="1" si="42"/>
        <v>0.1079055182488113</v>
      </c>
    </row>
    <row r="113" spans="1:23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Data'!L113</f>
        <v>930346.69278810883</v>
      </c>
      <c r="E113" s="683">
        <f>'Monthly Data'!CP113</f>
        <v>308.29791666666665</v>
      </c>
      <c r="F113" s="3">
        <f>'Monthly Data'!CU113</f>
        <v>0</v>
      </c>
      <c r="G113" s="3">
        <f>'Monthly Data'!EG113</f>
        <v>1</v>
      </c>
      <c r="H113">
        <f>'Monthly Data'!EH113</f>
        <v>112</v>
      </c>
      <c r="I113" s="3">
        <f>'Monthly Data'!DQ113</f>
        <v>30</v>
      </c>
      <c r="J113" s="360">
        <f>'Monthly Data'!EO113</f>
        <v>0</v>
      </c>
      <c r="L113" s="3">
        <f t="shared" si="34"/>
        <v>-769716</v>
      </c>
      <c r="M113" s="3">
        <f t="shared" si="35"/>
        <v>257151.10731291663</v>
      </c>
      <c r="N113" s="3">
        <f t="shared" si="36"/>
        <v>0</v>
      </c>
      <c r="O113" s="3">
        <f t="shared" si="37"/>
        <v>-56026.3</v>
      </c>
      <c r="P113" s="3">
        <f t="shared" si="38"/>
        <v>298725.728</v>
      </c>
      <c r="Q113" s="3">
        <f t="shared" si="39"/>
        <v>1137613.8</v>
      </c>
      <c r="R113" s="3">
        <f t="shared" si="40"/>
        <v>0</v>
      </c>
      <c r="S113" s="47">
        <f t="shared" si="41"/>
        <v>867748.33531291666</v>
      </c>
      <c r="T113" s="47">
        <f ca="1">'Monthly Data'!M113+'Monthly Data'!N113</f>
        <v>29892.599643300717</v>
      </c>
      <c r="U113" s="47">
        <f t="shared" ca="1" si="23"/>
        <v>897640.93495621742</v>
      </c>
      <c r="V113" s="47">
        <f t="shared" ca="1" si="24"/>
        <v>-32705.757831891417</v>
      </c>
      <c r="W113" s="18">
        <f t="shared" ca="1" si="42"/>
        <v>3.5154376411955839E-2</v>
      </c>
    </row>
    <row r="114" spans="1:23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Data'!L114</f>
        <v>897517.03430432919</v>
      </c>
      <c r="E114" s="683">
        <f>'Monthly Data'!CP114</f>
        <v>89.52916666666664</v>
      </c>
      <c r="F114" s="3">
        <f>'Monthly Data'!CU114</f>
        <v>60.691666666666663</v>
      </c>
      <c r="G114" s="3">
        <f>'Monthly Data'!EG114</f>
        <v>1</v>
      </c>
      <c r="H114">
        <f>'Monthly Data'!EH114</f>
        <v>113</v>
      </c>
      <c r="I114" s="3">
        <f>'Monthly Data'!DQ114</f>
        <v>31</v>
      </c>
      <c r="J114" s="360">
        <f>'Monthly Data'!EO114</f>
        <v>0</v>
      </c>
      <c r="L114" s="3">
        <f t="shared" si="34"/>
        <v>-769716</v>
      </c>
      <c r="M114" s="3">
        <f t="shared" si="35"/>
        <v>74676.224199166638</v>
      </c>
      <c r="N114" s="3">
        <f t="shared" si="36"/>
        <v>120403.22360833333</v>
      </c>
      <c r="O114" s="3">
        <f t="shared" si="37"/>
        <v>-56026.3</v>
      </c>
      <c r="P114" s="3">
        <f t="shared" si="38"/>
        <v>301392.92200000002</v>
      </c>
      <c r="Q114" s="3">
        <f t="shared" si="39"/>
        <v>1175534.26</v>
      </c>
      <c r="R114" s="3">
        <f t="shared" si="40"/>
        <v>0</v>
      </c>
      <c r="S114" s="47">
        <f t="shared" si="41"/>
        <v>846264.32980749989</v>
      </c>
      <c r="T114" s="47">
        <f ca="1">'Monthly Data'!M114+'Monthly Data'!N114</f>
        <v>20017.096938930328</v>
      </c>
      <c r="U114" s="47">
        <f t="shared" ca="1" si="23"/>
        <v>866281.42674643022</v>
      </c>
      <c r="V114" s="47">
        <f t="shared" ca="1" si="24"/>
        <v>-31235.607557898969</v>
      </c>
      <c r="W114" s="18">
        <f t="shared" ca="1" si="42"/>
        <v>3.4802244819910157E-2</v>
      </c>
    </row>
    <row r="115" spans="1:23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Data'!L115</f>
        <v>823481.97335763171</v>
      </c>
      <c r="E115" s="683">
        <f>'Monthly Data'!CP115</f>
        <v>31.570833333333319</v>
      </c>
      <c r="F115" s="3">
        <f>'Monthly Data'!CU115</f>
        <v>146.61250000000007</v>
      </c>
      <c r="G115" s="3">
        <f>'Monthly Data'!EG115</f>
        <v>0</v>
      </c>
      <c r="H115">
        <f>'Monthly Data'!EH115</f>
        <v>114</v>
      </c>
      <c r="I115" s="3">
        <f>'Monthly Data'!DQ115</f>
        <v>30</v>
      </c>
      <c r="J115" s="360">
        <f>'Monthly Data'!EO115</f>
        <v>0</v>
      </c>
      <c r="L115" s="3">
        <f t="shared" si="34"/>
        <v>-769716</v>
      </c>
      <c r="M115" s="3">
        <f t="shared" si="35"/>
        <v>26333.213140833319</v>
      </c>
      <c r="N115" s="3">
        <f t="shared" si="36"/>
        <v>290857.35473750014</v>
      </c>
      <c r="O115" s="3">
        <f t="shared" si="37"/>
        <v>0</v>
      </c>
      <c r="P115" s="3">
        <f t="shared" si="38"/>
        <v>304060.11599999998</v>
      </c>
      <c r="Q115" s="3">
        <f t="shared" si="39"/>
        <v>1137613.8</v>
      </c>
      <c r="R115" s="3">
        <f t="shared" si="40"/>
        <v>0</v>
      </c>
      <c r="S115" s="47">
        <f t="shared" si="41"/>
        <v>989148.48387833347</v>
      </c>
      <c r="T115" s="47">
        <f ca="1">'Monthly Data'!M115+'Monthly Data'!N115</f>
        <v>17718.463640330188</v>
      </c>
      <c r="U115" s="47">
        <f t="shared" ca="1" si="23"/>
        <v>1006866.9475186637</v>
      </c>
      <c r="V115" s="47">
        <f t="shared" ca="1" si="24"/>
        <v>183384.97416103201</v>
      </c>
      <c r="W115" s="18">
        <f t="shared" ca="1" si="42"/>
        <v>0.22269458238813122</v>
      </c>
    </row>
    <row r="116" spans="1:23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Data'!L116</f>
        <v>1144356.3761343488</v>
      </c>
      <c r="E116" s="683">
        <f>'Monthly Data'!CP116</f>
        <v>0.32916666666666927</v>
      </c>
      <c r="F116" s="3">
        <f>'Monthly Data'!CU116</f>
        <v>241.14166666666668</v>
      </c>
      <c r="G116" s="3">
        <f>'Monthly Data'!EG116</f>
        <v>0</v>
      </c>
      <c r="H116">
        <f>'Monthly Data'!EH116</f>
        <v>115</v>
      </c>
      <c r="I116" s="3">
        <f>'Monthly Data'!DQ116</f>
        <v>31</v>
      </c>
      <c r="J116" s="360">
        <f>'Monthly Data'!EO116</f>
        <v>0</v>
      </c>
      <c r="L116" s="3">
        <f t="shared" si="34"/>
        <v>-769716</v>
      </c>
      <c r="M116" s="3">
        <f t="shared" si="35"/>
        <v>274.55771916666885</v>
      </c>
      <c r="N116" s="3">
        <f t="shared" si="36"/>
        <v>478389.13655833341</v>
      </c>
      <c r="O116" s="3">
        <f t="shared" si="37"/>
        <v>0</v>
      </c>
      <c r="P116" s="3">
        <f t="shared" si="38"/>
        <v>306727.31</v>
      </c>
      <c r="Q116" s="3">
        <f t="shared" si="39"/>
        <v>1175534.26</v>
      </c>
      <c r="R116" s="3">
        <f t="shared" si="40"/>
        <v>0</v>
      </c>
      <c r="S116" s="47">
        <f t="shared" si="41"/>
        <v>1191209.2642775001</v>
      </c>
      <c r="T116" s="47">
        <f ca="1">'Monthly Data'!M116+'Monthly Data'!N116</f>
        <v>16678.633710857743</v>
      </c>
      <c r="U116" s="47">
        <f t="shared" ca="1" si="23"/>
        <v>1207887.8979883578</v>
      </c>
      <c r="V116" s="47">
        <f t="shared" ca="1" si="24"/>
        <v>63531.521854009014</v>
      </c>
      <c r="W116" s="18">
        <f t="shared" ca="1" si="42"/>
        <v>5.5517252473935914E-2</v>
      </c>
    </row>
    <row r="117" spans="1:23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Data'!L117</f>
        <v>1173010.6780626387</v>
      </c>
      <c r="E117" s="683">
        <f>'Monthly Data'!CP117</f>
        <v>8.2333333333333432</v>
      </c>
      <c r="F117" s="3">
        <f>'Monthly Data'!CU117</f>
        <v>200.86666666666665</v>
      </c>
      <c r="G117" s="3">
        <f>'Monthly Data'!EG117</f>
        <v>0</v>
      </c>
      <c r="H117">
        <f>'Monthly Data'!EH117</f>
        <v>116</v>
      </c>
      <c r="I117" s="3">
        <f>'Monthly Data'!DQ117</f>
        <v>31</v>
      </c>
      <c r="J117" s="360">
        <f>'Monthly Data'!EO117</f>
        <v>0</v>
      </c>
      <c r="L117" s="3">
        <f t="shared" si="34"/>
        <v>-769716</v>
      </c>
      <c r="M117" s="3">
        <f t="shared" si="35"/>
        <v>6867.4183933333406</v>
      </c>
      <c r="N117" s="3">
        <f t="shared" si="36"/>
        <v>398489.53753333329</v>
      </c>
      <c r="O117" s="3">
        <f t="shared" si="37"/>
        <v>0</v>
      </c>
      <c r="P117" s="3">
        <f t="shared" si="38"/>
        <v>309394.50400000002</v>
      </c>
      <c r="Q117" s="3">
        <f t="shared" si="39"/>
        <v>1175534.26</v>
      </c>
      <c r="R117" s="3">
        <f t="shared" si="40"/>
        <v>0</v>
      </c>
      <c r="S117" s="47">
        <f t="shared" si="41"/>
        <v>1120569.7199266667</v>
      </c>
      <c r="T117" s="47">
        <f ca="1">'Monthly Data'!M117+'Monthly Data'!N117</f>
        <v>17483.229491453094</v>
      </c>
      <c r="U117" s="47">
        <f t="shared" ca="1" si="23"/>
        <v>1138052.9494181199</v>
      </c>
      <c r="V117" s="47">
        <f t="shared" ca="1" si="24"/>
        <v>-34957.72864451888</v>
      </c>
      <c r="W117" s="18">
        <f t="shared" ca="1" si="42"/>
        <v>2.9801713913001685E-2</v>
      </c>
    </row>
    <row r="118" spans="1:23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Data'!L118</f>
        <v>864674.0845947573</v>
      </c>
      <c r="E118" s="683">
        <f>'Monthly Data'!CP118</f>
        <v>29.36666666666666</v>
      </c>
      <c r="F118" s="3">
        <f>'Monthly Data'!CU118</f>
        <v>113.86250000000001</v>
      </c>
      <c r="G118" s="3">
        <f>'Monthly Data'!EG118</f>
        <v>1</v>
      </c>
      <c r="H118">
        <f>'Monthly Data'!EH118</f>
        <v>117</v>
      </c>
      <c r="I118" s="3">
        <f>'Monthly Data'!DQ118</f>
        <v>30</v>
      </c>
      <c r="J118" s="360">
        <f>'Monthly Data'!EO118</f>
        <v>0</v>
      </c>
      <c r="L118" s="3">
        <f t="shared" si="34"/>
        <v>-769716</v>
      </c>
      <c r="M118" s="3">
        <f t="shared" si="35"/>
        <v>24494.719046666658</v>
      </c>
      <c r="N118" s="3">
        <f t="shared" si="36"/>
        <v>225886.23448750004</v>
      </c>
      <c r="O118" s="3">
        <f t="shared" si="37"/>
        <v>-56026.3</v>
      </c>
      <c r="P118" s="3">
        <f t="shared" si="38"/>
        <v>312061.69799999997</v>
      </c>
      <c r="Q118" s="3">
        <f t="shared" si="39"/>
        <v>1137613.8</v>
      </c>
      <c r="R118" s="3">
        <f t="shared" si="40"/>
        <v>0</v>
      </c>
      <c r="S118" s="47">
        <f t="shared" si="41"/>
        <v>874314.15153416665</v>
      </c>
      <c r="T118" s="47">
        <f ca="1">'Monthly Data'!M118+'Monthly Data'!N118</f>
        <v>18911.141038888803</v>
      </c>
      <c r="U118" s="47">
        <f t="shared" ca="1" si="23"/>
        <v>893225.29257305549</v>
      </c>
      <c r="V118" s="47">
        <f t="shared" ca="1" si="24"/>
        <v>28551.207978298189</v>
      </c>
      <c r="W118" s="18">
        <f t="shared" ca="1" si="42"/>
        <v>3.3019618012119729E-2</v>
      </c>
    </row>
    <row r="119" spans="1:23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Data'!L119</f>
        <v>975931.00857247226</v>
      </c>
      <c r="E119" s="683">
        <f>'Monthly Data'!CP119</f>
        <v>233.94166666666658</v>
      </c>
      <c r="F119" s="3">
        <f>'Monthly Data'!CU119</f>
        <v>12.120833333333337</v>
      </c>
      <c r="G119" s="3">
        <f>'Monthly Data'!EG119</f>
        <v>1</v>
      </c>
      <c r="H119">
        <f>'Monthly Data'!EH119</f>
        <v>118</v>
      </c>
      <c r="I119" s="3">
        <f>'Monthly Data'!DQ119</f>
        <v>31</v>
      </c>
      <c r="J119" s="360">
        <f>'Monthly Data'!EO119</f>
        <v>0</v>
      </c>
      <c r="L119" s="3">
        <f t="shared" si="34"/>
        <v>-769716</v>
      </c>
      <c r="M119" s="3">
        <f t="shared" si="35"/>
        <v>195130.60380166658</v>
      </c>
      <c r="N119" s="3">
        <f t="shared" si="36"/>
        <v>24045.927329166676</v>
      </c>
      <c r="O119" s="3">
        <f t="shared" si="37"/>
        <v>-56026.3</v>
      </c>
      <c r="P119" s="3">
        <f t="shared" si="38"/>
        <v>314728.89199999999</v>
      </c>
      <c r="Q119" s="3">
        <f t="shared" si="39"/>
        <v>1175534.26</v>
      </c>
      <c r="R119" s="3">
        <f t="shared" si="40"/>
        <v>0</v>
      </c>
      <c r="S119" s="47">
        <f t="shared" si="41"/>
        <v>883697.38313083316</v>
      </c>
      <c r="T119" s="47">
        <f ca="1">'Monthly Data'!M119+'Monthly Data'!N119</f>
        <v>28982.233673226554</v>
      </c>
      <c r="U119" s="47">
        <f t="shared" ref="U119:U120" ca="1" si="43">S119+T119</f>
        <v>912679.61680405971</v>
      </c>
      <c r="V119" s="47">
        <f t="shared" ref="V119:V121" ca="1" si="44">U119-D119</f>
        <v>-63251.391768412548</v>
      </c>
      <c r="W119" s="18">
        <f t="shared" ca="1" si="42"/>
        <v>6.4811335240728268E-2</v>
      </c>
    </row>
    <row r="120" spans="1:23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Data'!L120</f>
        <v>954352.9623545974</v>
      </c>
      <c r="E120" s="683">
        <f>'Monthly Data'!CP120</f>
        <v>366.29166666666663</v>
      </c>
      <c r="F120" s="3">
        <f>'Monthly Data'!CU120</f>
        <v>5.5041666666666629</v>
      </c>
      <c r="G120" s="3">
        <f>'Monthly Data'!EG120</f>
        <v>1</v>
      </c>
      <c r="H120">
        <f>'Monthly Data'!EH120</f>
        <v>119</v>
      </c>
      <c r="I120" s="3">
        <f>'Monthly Data'!DQ120</f>
        <v>30</v>
      </c>
      <c r="J120" s="360">
        <f>'Monthly Data'!EO120</f>
        <v>0</v>
      </c>
      <c r="L120" s="3">
        <f t="shared" si="34"/>
        <v>-769716</v>
      </c>
      <c r="M120" s="3">
        <f t="shared" si="35"/>
        <v>305523.65939166659</v>
      </c>
      <c r="N120" s="3">
        <f t="shared" si="36"/>
        <v>10919.446545833327</v>
      </c>
      <c r="O120" s="3">
        <f t="shared" si="37"/>
        <v>-56026.3</v>
      </c>
      <c r="P120" s="3">
        <f t="shared" si="38"/>
        <v>317396.08600000001</v>
      </c>
      <c r="Q120" s="3">
        <f t="shared" si="39"/>
        <v>1137613.8</v>
      </c>
      <c r="R120" s="3">
        <f t="shared" si="40"/>
        <v>0</v>
      </c>
      <c r="S120" s="47">
        <f t="shared" si="41"/>
        <v>945710.69193749991</v>
      </c>
      <c r="T120" s="47">
        <f ca="1">'Monthly Data'!M120+'Monthly Data'!N120</f>
        <v>35650.316700505755</v>
      </c>
      <c r="U120" s="47">
        <f t="shared" ca="1" si="43"/>
        <v>981361.0086380057</v>
      </c>
      <c r="V120" s="47">
        <f t="shared" ca="1" si="44"/>
        <v>27008.046283408301</v>
      </c>
      <c r="W120" s="18">
        <f t="shared" ca="1" si="42"/>
        <v>2.8299850630497909E-2</v>
      </c>
    </row>
    <row r="121" spans="1:23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Data'!L121</f>
        <v>1181483.6155691985</v>
      </c>
      <c r="E121" s="683">
        <f>'Monthly Data'!CP121</f>
        <v>598.57499999999993</v>
      </c>
      <c r="F121" s="3">
        <f>'Monthly Data'!CU121</f>
        <v>0</v>
      </c>
      <c r="G121" s="3">
        <f>'Monthly Data'!EG121</f>
        <v>0</v>
      </c>
      <c r="H121">
        <f>'Monthly Data'!EH121</f>
        <v>120</v>
      </c>
      <c r="I121" s="3">
        <f>'Monthly Data'!DQ121</f>
        <v>31</v>
      </c>
      <c r="J121" s="360">
        <f>'Monthly Data'!EO121</f>
        <v>0</v>
      </c>
      <c r="L121" s="3">
        <f t="shared" si="34"/>
        <v>-769716</v>
      </c>
      <c r="M121" s="3">
        <f t="shared" si="35"/>
        <v>499271.04835499992</v>
      </c>
      <c r="N121" s="3">
        <f t="shared" si="36"/>
        <v>0</v>
      </c>
      <c r="O121" s="3">
        <f t="shared" si="37"/>
        <v>0</v>
      </c>
      <c r="P121" s="3">
        <f t="shared" si="38"/>
        <v>320063.27999999997</v>
      </c>
      <c r="Q121" s="3">
        <f t="shared" si="39"/>
        <v>1175534.26</v>
      </c>
      <c r="R121" s="3">
        <f t="shared" si="40"/>
        <v>0</v>
      </c>
      <c r="S121" s="47">
        <f t="shared" si="41"/>
        <v>1225152.5883549999</v>
      </c>
      <c r="T121" s="47">
        <f ca="1">'Monthly Data'!M121+'Monthly Data'!N121</f>
        <v>47026.936846493409</v>
      </c>
      <c r="U121" s="47">
        <f ca="1">S121+T121</f>
        <v>1272179.5252014934</v>
      </c>
      <c r="V121" s="47">
        <f t="shared" ca="1" si="44"/>
        <v>90695.909632294904</v>
      </c>
      <c r="W121" s="18">
        <f t="shared" ca="1" si="42"/>
        <v>7.6764424353528343E-2</v>
      </c>
    </row>
    <row r="122" spans="1:23">
      <c r="W122" s="17">
        <f ca="1">AVERAGE(W2:W121)</f>
        <v>7.352389847934436E-2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A2DCF-BC31-498C-BB95-7834DCDB7064}">
  <sheetPr codeName="Sheet11">
    <tabColor theme="9" tint="0.79998168889431442"/>
  </sheetPr>
  <dimension ref="A1:AB123"/>
  <sheetViews>
    <sheetView workbookViewId="0"/>
  </sheetViews>
  <sheetFormatPr defaultRowHeight="15"/>
  <cols>
    <col min="4" max="4" width="24.85546875" customWidth="1"/>
    <col min="8" max="8" width="9.42578125" bestFit="1" customWidth="1"/>
    <col min="11" max="11" width="13.5703125" bestFit="1" customWidth="1"/>
    <col min="12" max="13" width="11.42578125" bestFit="1" customWidth="1"/>
    <col min="14" max="14" width="10.42578125" bestFit="1" customWidth="1"/>
    <col min="15" max="16" width="11.42578125" bestFit="1" customWidth="1"/>
    <col min="17" max="19" width="12.5703125" customWidth="1"/>
    <col min="20" max="20" width="10.42578125" customWidth="1"/>
    <col min="24" max="24" width="13.42578125" customWidth="1"/>
    <col min="25" max="25" width="13.5703125" bestFit="1" customWidth="1"/>
    <col min="26" max="26" width="12.5703125" bestFit="1" customWidth="1"/>
    <col min="27" max="27" width="13.5703125" bestFit="1" customWidth="1"/>
    <col min="28" max="28" width="8.5703125" bestFit="1" customWidth="1"/>
  </cols>
  <sheetData>
    <row r="1" spans="1:28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Data'!R1</f>
        <v>VRZ_GSlt50kWh_No_CDM</v>
      </c>
      <c r="E1" s="760" t="str">
        <f>'Monthly Data'!CN1</f>
        <v>HDD20</v>
      </c>
      <c r="F1" s="760" t="str">
        <f>'Monthly Data'!CU1</f>
        <v>CDD14</v>
      </c>
      <c r="G1" s="760" t="str">
        <f>'Monthly Data'!EJ1</f>
        <v>COVID_AM</v>
      </c>
      <c r="H1" s="760" t="str">
        <f>'Monthly Data'!DB1</f>
        <v>ON_FTEAdj</v>
      </c>
      <c r="I1" s="760" t="str">
        <f>'Monthly Data'!DQ1</f>
        <v>Month Days</v>
      </c>
      <c r="J1" s="760"/>
      <c r="K1" s="760" t="str">
        <f>X8</f>
        <v>const</v>
      </c>
      <c r="L1" s="760" t="str">
        <f>E1</f>
        <v>HDD20</v>
      </c>
      <c r="M1" s="760" t="str">
        <f>F1</f>
        <v>CDD14</v>
      </c>
      <c r="N1" s="760" t="str">
        <f>G1</f>
        <v>COVID_AM</v>
      </c>
      <c r="O1" s="760" t="str">
        <f t="shared" ref="O1:P1" si="0">H1</f>
        <v>ON_FTEAdj</v>
      </c>
      <c r="P1" s="760" t="str">
        <f t="shared" si="0"/>
        <v>Month Days</v>
      </c>
      <c r="Q1" s="760" t="s">
        <v>424</v>
      </c>
      <c r="R1" s="760" t="s">
        <v>630</v>
      </c>
      <c r="S1" s="760" t="s">
        <v>631</v>
      </c>
      <c r="T1" s="760" t="s">
        <v>425</v>
      </c>
      <c r="U1" s="760"/>
    </row>
    <row r="2" spans="1:28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Data'!R2</f>
        <v>26981959.517060727</v>
      </c>
      <c r="E2" s="3">
        <f>'Monthly Data'!CN2</f>
        <v>859.89184782608675</v>
      </c>
      <c r="F2" s="3">
        <f>'Monthly Data'!CU2</f>
        <v>0</v>
      </c>
      <c r="G2">
        <f>'Monthly Data'!EJ2</f>
        <v>0</v>
      </c>
      <c r="H2" s="3">
        <f>'Monthly Data'!DB2</f>
        <v>6833</v>
      </c>
      <c r="I2" s="3">
        <f>'Monthly Data'!DQ2</f>
        <v>31</v>
      </c>
      <c r="K2" s="3">
        <f t="shared" ref="K2:K33" si="1">$Y$8</f>
        <v>-4083957</v>
      </c>
      <c r="L2" s="3">
        <f t="shared" ref="L2:L33" si="2">E2*$Y$9</f>
        <v>9584148.1618260853</v>
      </c>
      <c r="M2" s="3">
        <f t="shared" ref="M2:M33" si="3">F2*$Y$10</f>
        <v>0</v>
      </c>
      <c r="N2" s="3">
        <f t="shared" ref="N2:N33" si="4">G2*$Y$11</f>
        <v>0</v>
      </c>
      <c r="O2" s="3">
        <f t="shared" ref="O2:O33" si="5">H2*$Y$12</f>
        <v>6916225.9399999995</v>
      </c>
      <c r="P2" s="3">
        <f t="shared" ref="P2:P33" si="6">I2*$Y$13</f>
        <v>14778211.5</v>
      </c>
      <c r="Q2" s="47">
        <f t="shared" ref="Q2:Q21" si="7">SUM(K2:P2)</f>
        <v>27194628.601826087</v>
      </c>
      <c r="R2" s="47">
        <f>'Monthly Data'!S2+'Monthly Data'!T2</f>
        <v>0</v>
      </c>
      <c r="S2" s="47">
        <f t="shared" ref="S2:S54" si="8">Q2+R2</f>
        <v>27194628.601826087</v>
      </c>
      <c r="T2" s="47">
        <f t="shared" ref="T2:T54" si="9">S2-D2</f>
        <v>212669.08476535976</v>
      </c>
      <c r="U2" s="18">
        <f t="shared" ref="U2:U21" si="10">ABS(T2/D2)</f>
        <v>7.8818991864133825E-3</v>
      </c>
    </row>
    <row r="3" spans="1:28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Data'!R3</f>
        <v>25430194.3105684</v>
      </c>
      <c r="E3" s="3">
        <f>'Monthly Data'!CN3</f>
        <v>921.85434782608706</v>
      </c>
      <c r="F3" s="3">
        <f>'Monthly Data'!CU3</f>
        <v>0</v>
      </c>
      <c r="G3">
        <f>'Monthly Data'!EJ3</f>
        <v>0</v>
      </c>
      <c r="H3" s="3">
        <f>'Monthly Data'!DB3</f>
        <v>6837.7</v>
      </c>
      <c r="I3" s="3">
        <f>'Monthly Data'!DQ3</f>
        <v>28</v>
      </c>
      <c r="K3" s="3">
        <f t="shared" si="1"/>
        <v>-4083957</v>
      </c>
      <c r="L3" s="3">
        <f t="shared" si="2"/>
        <v>10274767.315826088</v>
      </c>
      <c r="M3" s="3">
        <f t="shared" si="3"/>
        <v>0</v>
      </c>
      <c r="N3" s="3">
        <f t="shared" si="4"/>
        <v>0</v>
      </c>
      <c r="O3" s="3">
        <f t="shared" si="5"/>
        <v>6920983.1859999998</v>
      </c>
      <c r="P3" s="3">
        <f t="shared" si="6"/>
        <v>13348062</v>
      </c>
      <c r="Q3" s="47">
        <f t="shared" si="7"/>
        <v>26459855.501826089</v>
      </c>
      <c r="R3" s="47">
        <f>'Monthly Data'!S3+'Monthly Data'!T3</f>
        <v>0</v>
      </c>
      <c r="S3" s="47">
        <f t="shared" si="8"/>
        <v>26459855.501826089</v>
      </c>
      <c r="T3" s="47">
        <f t="shared" si="9"/>
        <v>1029661.1912576891</v>
      </c>
      <c r="U3" s="18">
        <f t="shared" si="10"/>
        <v>4.0489709936261782E-2</v>
      </c>
      <c r="X3" s="684" t="s">
        <v>551</v>
      </c>
      <c r="Y3" s="684"/>
      <c r="Z3" s="684"/>
      <c r="AA3" s="684"/>
      <c r="AB3" s="684"/>
    </row>
    <row r="4" spans="1:28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Data'!R4</f>
        <v>24877501.19547607</v>
      </c>
      <c r="E4" s="3">
        <f>'Monthly Data'!CN4</f>
        <v>699.80000000000007</v>
      </c>
      <c r="F4" s="3">
        <f>'Monthly Data'!CU4</f>
        <v>0</v>
      </c>
      <c r="G4">
        <f>'Monthly Data'!EJ4</f>
        <v>0</v>
      </c>
      <c r="H4" s="3">
        <f>'Monthly Data'!DB4</f>
        <v>6840.5</v>
      </c>
      <c r="I4" s="3">
        <f>'Monthly Data'!DQ4</f>
        <v>31</v>
      </c>
      <c r="K4" s="3">
        <f t="shared" si="1"/>
        <v>-4083957</v>
      </c>
      <c r="L4" s="3">
        <f t="shared" si="2"/>
        <v>7799802.8480000012</v>
      </c>
      <c r="M4" s="3">
        <f t="shared" si="3"/>
        <v>0</v>
      </c>
      <c r="N4" s="3">
        <f t="shared" si="4"/>
        <v>0</v>
      </c>
      <c r="O4" s="3">
        <f t="shared" si="5"/>
        <v>6923817.29</v>
      </c>
      <c r="P4" s="3">
        <f t="shared" si="6"/>
        <v>14778211.5</v>
      </c>
      <c r="Q4" s="47">
        <f t="shared" si="7"/>
        <v>25417874.638</v>
      </c>
      <c r="R4" s="47">
        <f>'Monthly Data'!S4+'Monthly Data'!T4</f>
        <v>0</v>
      </c>
      <c r="S4" s="47">
        <f t="shared" si="8"/>
        <v>25417874.638</v>
      </c>
      <c r="T4" s="47">
        <f t="shared" si="9"/>
        <v>540373.44252393022</v>
      </c>
      <c r="U4" s="18">
        <f t="shared" si="10"/>
        <v>2.1721371382033988E-2</v>
      </c>
      <c r="X4" s="684" t="s">
        <v>678</v>
      </c>
      <c r="Y4" s="684"/>
      <c r="Z4" s="684"/>
      <c r="AA4" s="684"/>
      <c r="AB4" s="684"/>
    </row>
    <row r="5" spans="1:28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Data'!R5</f>
        <v>21229741.062543746</v>
      </c>
      <c r="E5" s="3">
        <f>'Monthly Data'!CN5</f>
        <v>406.75037878787873</v>
      </c>
      <c r="F5" s="3">
        <f>'Monthly Data'!CU5</f>
        <v>0</v>
      </c>
      <c r="G5">
        <f>'Monthly Data'!EJ5</f>
        <v>0</v>
      </c>
      <c r="H5" s="3">
        <f>'Monthly Data'!DB5</f>
        <v>6846.6</v>
      </c>
      <c r="I5" s="3">
        <f>'Monthly Data'!DQ5</f>
        <v>30</v>
      </c>
      <c r="K5" s="3">
        <f t="shared" si="1"/>
        <v>-4083957</v>
      </c>
      <c r="L5" s="3">
        <f t="shared" si="2"/>
        <v>4533542.1018787874</v>
      </c>
      <c r="M5" s="3">
        <f t="shared" si="3"/>
        <v>0</v>
      </c>
      <c r="N5" s="3">
        <f t="shared" si="4"/>
        <v>0</v>
      </c>
      <c r="O5" s="3">
        <f t="shared" si="5"/>
        <v>6929991.5880000005</v>
      </c>
      <c r="P5" s="3">
        <f t="shared" si="6"/>
        <v>14301495</v>
      </c>
      <c r="Q5" s="47">
        <f t="shared" si="7"/>
        <v>21681071.689878788</v>
      </c>
      <c r="R5" s="47">
        <f>'Monthly Data'!S5+'Monthly Data'!T5</f>
        <v>0</v>
      </c>
      <c r="S5" s="47">
        <f t="shared" si="8"/>
        <v>21681071.689878788</v>
      </c>
      <c r="T5" s="47">
        <f t="shared" si="9"/>
        <v>451330.62733504176</v>
      </c>
      <c r="U5" s="18">
        <f t="shared" si="10"/>
        <v>2.125935620248038E-2</v>
      </c>
      <c r="X5" s="684" t="s">
        <v>692</v>
      </c>
      <c r="Y5" s="684"/>
      <c r="Z5" s="684"/>
      <c r="AA5" s="684"/>
      <c r="AB5" s="684"/>
    </row>
    <row r="6" spans="1:28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Data'!R6</f>
        <v>20575374.446851514</v>
      </c>
      <c r="E6" s="3">
        <f>'Monthly Data'!CN6</f>
        <v>159.09689440993785</v>
      </c>
      <c r="F6" s="3">
        <f>'Monthly Data'!CU6</f>
        <v>62.881547619047637</v>
      </c>
      <c r="G6">
        <f>'Monthly Data'!EJ6</f>
        <v>0</v>
      </c>
      <c r="H6" s="3">
        <f>'Monthly Data'!DB6</f>
        <v>6853.6</v>
      </c>
      <c r="I6" s="3">
        <f>'Monthly Data'!DQ6</f>
        <v>31</v>
      </c>
      <c r="K6" s="3">
        <f t="shared" si="1"/>
        <v>-4083957</v>
      </c>
      <c r="L6" s="3">
        <f t="shared" si="2"/>
        <v>1773255.8018385088</v>
      </c>
      <c r="M6" s="3">
        <f t="shared" si="3"/>
        <v>2172781.9573630961</v>
      </c>
      <c r="N6" s="3">
        <f t="shared" si="4"/>
        <v>0</v>
      </c>
      <c r="O6" s="3">
        <f t="shared" si="5"/>
        <v>6937076.8480000002</v>
      </c>
      <c r="P6" s="3">
        <f t="shared" si="6"/>
        <v>14778211.5</v>
      </c>
      <c r="Q6" s="47">
        <f t="shared" si="7"/>
        <v>21577369.107201606</v>
      </c>
      <c r="R6" s="47">
        <f>'Monthly Data'!S6+'Monthly Data'!T6</f>
        <v>0</v>
      </c>
      <c r="S6" s="47">
        <f t="shared" si="8"/>
        <v>21577369.107201606</v>
      </c>
      <c r="T6" s="47">
        <f t="shared" si="9"/>
        <v>1001994.6603500918</v>
      </c>
      <c r="U6" s="18">
        <f t="shared" si="10"/>
        <v>4.8698732698078263E-2</v>
      </c>
      <c r="X6" s="685"/>
      <c r="Y6" s="685"/>
      <c r="Z6" s="685"/>
      <c r="AA6" s="685"/>
      <c r="AB6" s="685"/>
    </row>
    <row r="7" spans="1:28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Data'!R7</f>
        <v>20752045.947469089</v>
      </c>
      <c r="E7" s="3">
        <f>'Monthly Data'!CN7</f>
        <v>93.137500000000045</v>
      </c>
      <c r="F7" s="3">
        <f>'Monthly Data'!CU7</f>
        <v>95.599999999999966</v>
      </c>
      <c r="G7">
        <f>'Monthly Data'!EJ7</f>
        <v>0</v>
      </c>
      <c r="H7" s="3">
        <f>'Monthly Data'!DB7</f>
        <v>6861.1</v>
      </c>
      <c r="I7" s="3">
        <f>'Monthly Data'!DQ7</f>
        <v>30</v>
      </c>
      <c r="K7" s="3">
        <f t="shared" si="1"/>
        <v>-4083957</v>
      </c>
      <c r="L7" s="3">
        <f t="shared" si="2"/>
        <v>1038088.2220000005</v>
      </c>
      <c r="M7" s="3">
        <f t="shared" si="3"/>
        <v>3303321.291999999</v>
      </c>
      <c r="N7" s="3">
        <f t="shared" si="4"/>
        <v>0</v>
      </c>
      <c r="O7" s="3">
        <f t="shared" si="5"/>
        <v>6944668.1979999999</v>
      </c>
      <c r="P7" s="3">
        <f t="shared" si="6"/>
        <v>14301495</v>
      </c>
      <c r="Q7" s="47">
        <f t="shared" si="7"/>
        <v>21503615.711999997</v>
      </c>
      <c r="R7" s="47">
        <f>'Monthly Data'!S7+'Monthly Data'!T7</f>
        <v>0</v>
      </c>
      <c r="S7" s="47">
        <f t="shared" si="8"/>
        <v>21503615.711999997</v>
      </c>
      <c r="T7" s="47">
        <f t="shared" si="9"/>
        <v>751569.76453090832</v>
      </c>
      <c r="U7" s="18">
        <f t="shared" si="10"/>
        <v>3.621665865782113E-2</v>
      </c>
      <c r="X7" s="685"/>
      <c r="Y7" s="685" t="s">
        <v>409</v>
      </c>
      <c r="Z7" s="685" t="s">
        <v>410</v>
      </c>
      <c r="AA7" s="685" t="s">
        <v>411</v>
      </c>
      <c r="AB7" s="685" t="s">
        <v>412</v>
      </c>
    </row>
    <row r="8" spans="1:28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Data'!R8</f>
        <v>23522096.251636662</v>
      </c>
      <c r="E8" s="3">
        <f>'Monthly Data'!CN8</f>
        <v>25.987500000000004</v>
      </c>
      <c r="F8" s="3">
        <f>'Monthly Data'!CU8</f>
        <v>205.53749999999997</v>
      </c>
      <c r="G8">
        <f>'Monthly Data'!EJ8</f>
        <v>0</v>
      </c>
      <c r="H8" s="3">
        <f>'Monthly Data'!DB8</f>
        <v>6872.7</v>
      </c>
      <c r="I8" s="3">
        <f>'Monthly Data'!DQ8</f>
        <v>31</v>
      </c>
      <c r="K8" s="3">
        <f t="shared" si="1"/>
        <v>-4083957</v>
      </c>
      <c r="L8" s="3">
        <f t="shared" si="2"/>
        <v>289650.43800000008</v>
      </c>
      <c r="M8" s="3">
        <f t="shared" si="3"/>
        <v>7102054.3938749991</v>
      </c>
      <c r="N8" s="3">
        <f t="shared" si="4"/>
        <v>0</v>
      </c>
      <c r="O8" s="3">
        <f t="shared" si="5"/>
        <v>6956409.4859999996</v>
      </c>
      <c r="P8" s="3">
        <f t="shared" si="6"/>
        <v>14778211.5</v>
      </c>
      <c r="Q8" s="47">
        <f t="shared" si="7"/>
        <v>25042368.817874998</v>
      </c>
      <c r="R8" s="47">
        <f>'Monthly Data'!S8+'Monthly Data'!T8</f>
        <v>0</v>
      </c>
      <c r="S8" s="47">
        <f t="shared" si="8"/>
        <v>25042368.817874998</v>
      </c>
      <c r="T8" s="47">
        <f t="shared" si="9"/>
        <v>1520272.5662383363</v>
      </c>
      <c r="U8" s="18">
        <f t="shared" si="10"/>
        <v>6.4631678655449595E-2</v>
      </c>
      <c r="X8" s="685" t="s">
        <v>413</v>
      </c>
      <c r="Y8" s="686">
        <v>-4083957</v>
      </c>
      <c r="Z8" s="686">
        <v>4062698</v>
      </c>
      <c r="AA8" s="687">
        <v>-1.0052300000000001</v>
      </c>
      <c r="AB8" s="694">
        <v>0.31691399999999997</v>
      </c>
    </row>
    <row r="9" spans="1:28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Data'!R9</f>
        <v>22759897.850964334</v>
      </c>
      <c r="E9" s="3">
        <f>'Monthly Data'!CN9</f>
        <v>40.1875</v>
      </c>
      <c r="F9" s="3">
        <f>'Monthly Data'!CU9</f>
        <v>167.94166666666666</v>
      </c>
      <c r="G9">
        <f>'Monthly Data'!EJ9</f>
        <v>0</v>
      </c>
      <c r="H9" s="3">
        <f>'Monthly Data'!DB9</f>
        <v>6878.1</v>
      </c>
      <c r="I9" s="3">
        <f>'Monthly Data'!DQ9</f>
        <v>31</v>
      </c>
      <c r="K9" s="3">
        <f t="shared" si="1"/>
        <v>-4083957</v>
      </c>
      <c r="L9" s="3">
        <f t="shared" si="2"/>
        <v>447920.23</v>
      </c>
      <c r="M9" s="3">
        <f t="shared" si="3"/>
        <v>5802984.1350833336</v>
      </c>
      <c r="N9" s="3">
        <f t="shared" si="4"/>
        <v>0</v>
      </c>
      <c r="O9" s="3">
        <f t="shared" si="5"/>
        <v>6961875.2580000004</v>
      </c>
      <c r="P9" s="3">
        <f t="shared" si="6"/>
        <v>14778211.5</v>
      </c>
      <c r="Q9" s="47">
        <f t="shared" si="7"/>
        <v>23907034.123083334</v>
      </c>
      <c r="R9" s="47">
        <f>'Monthly Data'!S9+'Monthly Data'!T9</f>
        <v>0</v>
      </c>
      <c r="S9" s="47">
        <f t="shared" si="8"/>
        <v>23907034.123083334</v>
      </c>
      <c r="T9" s="47">
        <f t="shared" si="9"/>
        <v>1147136.2721190006</v>
      </c>
      <c r="U9" s="18">
        <f t="shared" si="10"/>
        <v>5.0401644138767368E-2</v>
      </c>
      <c r="X9" s="685" t="s">
        <v>40</v>
      </c>
      <c r="Y9" s="686">
        <v>11145.76</v>
      </c>
      <c r="Z9" s="686">
        <v>459.44279999999998</v>
      </c>
      <c r="AA9" s="687">
        <v>24.25929</v>
      </c>
      <c r="AB9" s="694">
        <v>7.8400000000000004E-47</v>
      </c>
    </row>
    <row r="10" spans="1:28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Data'!R10</f>
        <v>21803606.345172107</v>
      </c>
      <c r="E10" s="3">
        <f>'Monthly Data'!CN10</f>
        <v>78.99404761904762</v>
      </c>
      <c r="F10" s="3">
        <f>'Monthly Data'!CU10</f>
        <v>134.9267857142857</v>
      </c>
      <c r="G10">
        <f>'Monthly Data'!EJ10</f>
        <v>0</v>
      </c>
      <c r="H10" s="3">
        <f>'Monthly Data'!DB10</f>
        <v>6871</v>
      </c>
      <c r="I10" s="3">
        <f>'Monthly Data'!DQ10</f>
        <v>30</v>
      </c>
      <c r="K10" s="3">
        <f t="shared" si="1"/>
        <v>-4083957</v>
      </c>
      <c r="L10" s="3">
        <f t="shared" si="2"/>
        <v>880448.69619047618</v>
      </c>
      <c r="M10" s="3">
        <f t="shared" si="3"/>
        <v>4662202.1350535713</v>
      </c>
      <c r="N10" s="3">
        <f t="shared" si="4"/>
        <v>0</v>
      </c>
      <c r="O10" s="3">
        <f t="shared" si="5"/>
        <v>6954688.7799999993</v>
      </c>
      <c r="P10" s="3">
        <f t="shared" si="6"/>
        <v>14301495</v>
      </c>
      <c r="Q10" s="47">
        <f t="shared" si="7"/>
        <v>22714877.611244045</v>
      </c>
      <c r="R10" s="47">
        <f>'Monthly Data'!S10+'Monthly Data'!T10</f>
        <v>0</v>
      </c>
      <c r="S10" s="47">
        <f t="shared" si="8"/>
        <v>22714877.611244045</v>
      </c>
      <c r="T10" s="47">
        <f t="shared" si="9"/>
        <v>911271.26607193798</v>
      </c>
      <c r="U10" s="18">
        <f t="shared" si="10"/>
        <v>4.1794520211273098E-2</v>
      </c>
      <c r="X10" s="685" t="s">
        <v>47</v>
      </c>
      <c r="Y10" s="686">
        <v>34553.57</v>
      </c>
      <c r="Z10" s="686">
        <v>1177.922</v>
      </c>
      <c r="AA10" s="687">
        <v>29.334340000000001</v>
      </c>
      <c r="AB10" s="694">
        <v>6.0499999999999999E-55</v>
      </c>
    </row>
    <row r="11" spans="1:28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Data'!R11</f>
        <v>20501518.191849783</v>
      </c>
      <c r="E11" s="3">
        <f>'Monthly Data'!CN11</f>
        <v>338.98750000000007</v>
      </c>
      <c r="F11" s="3">
        <f>'Monthly Data'!CU11</f>
        <v>4.3583333333333325</v>
      </c>
      <c r="G11">
        <f>'Monthly Data'!EJ11</f>
        <v>0</v>
      </c>
      <c r="H11" s="3">
        <f>'Monthly Data'!DB11</f>
        <v>6867.3</v>
      </c>
      <c r="I11" s="3">
        <f>'Monthly Data'!DQ11</f>
        <v>31</v>
      </c>
      <c r="K11" s="3">
        <f t="shared" si="1"/>
        <v>-4083957</v>
      </c>
      <c r="L11" s="3">
        <f t="shared" si="2"/>
        <v>3778273.3180000009</v>
      </c>
      <c r="M11" s="3">
        <f t="shared" si="3"/>
        <v>150595.97591666665</v>
      </c>
      <c r="N11" s="3">
        <f t="shared" si="4"/>
        <v>0</v>
      </c>
      <c r="O11" s="3">
        <f t="shared" si="5"/>
        <v>6950943.7139999997</v>
      </c>
      <c r="P11" s="3">
        <f t="shared" si="6"/>
        <v>14778211.5</v>
      </c>
      <c r="Q11" s="47">
        <f t="shared" si="7"/>
        <v>21574067.507916667</v>
      </c>
      <c r="R11" s="47">
        <f>'Monthly Data'!S11+'Monthly Data'!T11</f>
        <v>0</v>
      </c>
      <c r="S11" s="47">
        <f t="shared" si="8"/>
        <v>21574067.507916667</v>
      </c>
      <c r="T11" s="47">
        <f t="shared" si="9"/>
        <v>1072549.3160668835</v>
      </c>
      <c r="U11" s="18">
        <f t="shared" si="10"/>
        <v>5.2315604436224974E-2</v>
      </c>
      <c r="X11" s="685" t="s">
        <v>213</v>
      </c>
      <c r="Y11" s="686">
        <v>-2450397</v>
      </c>
      <c r="Z11" s="686">
        <v>647593.69999999995</v>
      </c>
      <c r="AA11" s="687">
        <v>-3.7838500000000002</v>
      </c>
      <c r="AB11" s="694">
        <v>2.4800000000000001E-4</v>
      </c>
    </row>
    <row r="12" spans="1:28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Data'!R12</f>
        <v>21181526.340287454</v>
      </c>
      <c r="E12" s="3">
        <f>'Monthly Data'!CN12</f>
        <v>431.77083333333331</v>
      </c>
      <c r="F12" s="3">
        <f>'Monthly Data'!CU12</f>
        <v>0.27083333333333393</v>
      </c>
      <c r="G12">
        <f>'Monthly Data'!EJ12</f>
        <v>0</v>
      </c>
      <c r="H12" s="3">
        <f>'Monthly Data'!DB12</f>
        <v>6858.8</v>
      </c>
      <c r="I12" s="3">
        <f>'Monthly Data'!DQ12</f>
        <v>30</v>
      </c>
      <c r="K12" s="3">
        <f t="shared" si="1"/>
        <v>-4083957</v>
      </c>
      <c r="L12" s="3">
        <f t="shared" si="2"/>
        <v>4812414.083333333</v>
      </c>
      <c r="M12" s="3">
        <f t="shared" si="3"/>
        <v>9358.2585416666861</v>
      </c>
      <c r="N12" s="3">
        <f t="shared" si="4"/>
        <v>0</v>
      </c>
      <c r="O12" s="3">
        <f t="shared" si="5"/>
        <v>6942340.1839999994</v>
      </c>
      <c r="P12" s="3">
        <f t="shared" si="6"/>
        <v>14301495</v>
      </c>
      <c r="Q12" s="47">
        <f t="shared" si="7"/>
        <v>21981650.525874998</v>
      </c>
      <c r="R12" s="47">
        <f>'Monthly Data'!S12+'Monthly Data'!T12</f>
        <v>0</v>
      </c>
      <c r="S12" s="47">
        <f t="shared" si="8"/>
        <v>21981650.525874998</v>
      </c>
      <c r="T12" s="47">
        <f t="shared" si="9"/>
        <v>800124.18558754399</v>
      </c>
      <c r="U12" s="18">
        <f t="shared" si="10"/>
        <v>3.7774623638226701E-2</v>
      </c>
      <c r="X12" s="685" t="s">
        <v>120</v>
      </c>
      <c r="Y12" s="686">
        <v>1012.18</v>
      </c>
      <c r="Z12" s="686">
        <v>518.94770000000005</v>
      </c>
      <c r="AA12" s="687">
        <v>1.950448</v>
      </c>
      <c r="AB12" s="694">
        <v>5.3577E-2</v>
      </c>
    </row>
    <row r="13" spans="1:28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Data'!R13</f>
        <v>22656543.141495027</v>
      </c>
      <c r="E13" s="3">
        <f>'Monthly Data'!CN13</f>
        <v>499.62590579710155</v>
      </c>
      <c r="F13" s="3">
        <f>'Monthly Data'!CU13</f>
        <v>0</v>
      </c>
      <c r="G13">
        <f>'Monthly Data'!EJ13</f>
        <v>0</v>
      </c>
      <c r="H13" s="3">
        <f>'Monthly Data'!DB13</f>
        <v>6868.5</v>
      </c>
      <c r="I13" s="3">
        <f>'Monthly Data'!DQ13</f>
        <v>31</v>
      </c>
      <c r="K13" s="3">
        <f t="shared" si="1"/>
        <v>-4083957</v>
      </c>
      <c r="L13" s="3">
        <f t="shared" si="2"/>
        <v>5568710.4357971027</v>
      </c>
      <c r="M13" s="3">
        <f t="shared" si="3"/>
        <v>0</v>
      </c>
      <c r="N13" s="3">
        <f t="shared" si="4"/>
        <v>0</v>
      </c>
      <c r="O13" s="3">
        <f t="shared" si="5"/>
        <v>6952158.3300000001</v>
      </c>
      <c r="P13" s="3">
        <f t="shared" si="6"/>
        <v>14778211.5</v>
      </c>
      <c r="Q13" s="47">
        <f t="shared" si="7"/>
        <v>23215123.265797101</v>
      </c>
      <c r="R13" s="47">
        <f>'Monthly Data'!S13+'Monthly Data'!T13</f>
        <v>0</v>
      </c>
      <c r="S13" s="47">
        <f t="shared" si="8"/>
        <v>23215123.265797101</v>
      </c>
      <c r="T13" s="47">
        <f t="shared" si="9"/>
        <v>558580.12430207431</v>
      </c>
      <c r="U13" s="18">
        <f t="shared" si="10"/>
        <v>2.4654252010715857E-2</v>
      </c>
      <c r="X13" s="685" t="s">
        <v>414</v>
      </c>
      <c r="Y13" s="686">
        <v>476716.5</v>
      </c>
      <c r="Z13" s="686">
        <v>44272.13</v>
      </c>
      <c r="AA13" s="687">
        <v>10.76787</v>
      </c>
      <c r="AB13" s="694">
        <v>4.4500000000000004E-19</v>
      </c>
    </row>
    <row r="14" spans="1:28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Data'!R14</f>
        <v>26806952.146743711</v>
      </c>
      <c r="E14" s="3">
        <f>'Monthly Data'!CN14</f>
        <v>737.87916666666683</v>
      </c>
      <c r="F14" s="3">
        <f>'Monthly Data'!CU14</f>
        <v>0</v>
      </c>
      <c r="G14">
        <f>'Monthly Data'!EJ14</f>
        <v>0</v>
      </c>
      <c r="H14" s="3">
        <f>'Monthly Data'!DB14</f>
        <v>6882.9</v>
      </c>
      <c r="I14" s="3">
        <f>'Monthly Data'!DQ14</f>
        <v>31</v>
      </c>
      <c r="K14" s="3">
        <f t="shared" si="1"/>
        <v>-4083957</v>
      </c>
      <c r="L14" s="3">
        <f t="shared" si="2"/>
        <v>8224224.1006666683</v>
      </c>
      <c r="M14" s="3">
        <f t="shared" si="3"/>
        <v>0</v>
      </c>
      <c r="N14" s="3">
        <f t="shared" si="4"/>
        <v>0</v>
      </c>
      <c r="O14" s="3">
        <f t="shared" si="5"/>
        <v>6966733.7219999991</v>
      </c>
      <c r="P14" s="3">
        <f t="shared" si="6"/>
        <v>14778211.5</v>
      </c>
      <c r="Q14" s="47">
        <f t="shared" si="7"/>
        <v>25885212.322666667</v>
      </c>
      <c r="R14" s="47">
        <f>'Monthly Data'!S14+'Monthly Data'!T14</f>
        <v>0</v>
      </c>
      <c r="S14" s="47">
        <f t="shared" si="8"/>
        <v>25885212.322666667</v>
      </c>
      <c r="T14" s="47">
        <f t="shared" si="9"/>
        <v>-921739.82407704368</v>
      </c>
      <c r="U14" s="18">
        <f t="shared" si="10"/>
        <v>3.4384357424572382E-2</v>
      </c>
      <c r="Y14" s="3"/>
      <c r="Z14" s="3"/>
      <c r="AA14" s="360"/>
      <c r="AB14" s="108"/>
    </row>
    <row r="15" spans="1:28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Data'!R15</f>
        <v>24974302.665926483</v>
      </c>
      <c r="E15" s="3">
        <f>'Monthly Data'!CN15</f>
        <v>661.70833333333326</v>
      </c>
      <c r="F15" s="3">
        <f>'Monthly Data'!CU15</f>
        <v>0</v>
      </c>
      <c r="G15">
        <f>'Monthly Data'!EJ15</f>
        <v>0</v>
      </c>
      <c r="H15" s="3">
        <f>'Monthly Data'!DB15</f>
        <v>6899.5</v>
      </c>
      <c r="I15" s="3">
        <f>'Monthly Data'!DQ15</f>
        <v>29</v>
      </c>
      <c r="K15" s="3">
        <f t="shared" si="1"/>
        <v>-4083957</v>
      </c>
      <c r="L15" s="3">
        <f t="shared" si="2"/>
        <v>7375242.2733333325</v>
      </c>
      <c r="M15" s="3">
        <f t="shared" si="3"/>
        <v>0</v>
      </c>
      <c r="N15" s="3">
        <f t="shared" si="4"/>
        <v>0</v>
      </c>
      <c r="O15" s="3">
        <f t="shared" si="5"/>
        <v>6983535.9099999992</v>
      </c>
      <c r="P15" s="3">
        <f t="shared" si="6"/>
        <v>13824778.5</v>
      </c>
      <c r="Q15" s="47">
        <f t="shared" si="7"/>
        <v>24099599.68333333</v>
      </c>
      <c r="R15" s="47">
        <f>'Monthly Data'!S15+'Monthly Data'!T15</f>
        <v>0</v>
      </c>
      <c r="S15" s="47">
        <f t="shared" si="8"/>
        <v>24099599.68333333</v>
      </c>
      <c r="T15" s="47">
        <f t="shared" si="9"/>
        <v>-874702.98259315267</v>
      </c>
      <c r="U15" s="18">
        <f t="shared" si="10"/>
        <v>3.502412036459171E-2</v>
      </c>
      <c r="X15" s="691" t="s">
        <v>407</v>
      </c>
      <c r="Y15" s="692"/>
      <c r="Z15" s="692"/>
      <c r="AA15" s="693"/>
      <c r="AB15" s="108"/>
    </row>
    <row r="16" spans="1:28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Data'!R16</f>
        <v>24613245.078799155</v>
      </c>
      <c r="E16" s="3">
        <f>'Monthly Data'!CN16</f>
        <v>577.07934782608709</v>
      </c>
      <c r="F16" s="3">
        <f>'Monthly Data'!CU16</f>
        <v>0</v>
      </c>
      <c r="G16">
        <f>'Monthly Data'!EJ16</f>
        <v>0</v>
      </c>
      <c r="H16" s="3">
        <f>'Monthly Data'!DB16</f>
        <v>6908.6</v>
      </c>
      <c r="I16" s="3">
        <f>'Monthly Data'!DQ16</f>
        <v>31</v>
      </c>
      <c r="K16" s="3">
        <f t="shared" si="1"/>
        <v>-4083957</v>
      </c>
      <c r="L16" s="3">
        <f t="shared" si="2"/>
        <v>6431987.9118260881</v>
      </c>
      <c r="M16" s="3">
        <f t="shared" si="3"/>
        <v>0</v>
      </c>
      <c r="N16" s="3">
        <f t="shared" si="4"/>
        <v>0</v>
      </c>
      <c r="O16" s="3">
        <f t="shared" si="5"/>
        <v>6992746.7479999997</v>
      </c>
      <c r="P16" s="3">
        <f t="shared" si="6"/>
        <v>14778211.5</v>
      </c>
      <c r="Q16" s="47">
        <f t="shared" si="7"/>
        <v>24118989.159826089</v>
      </c>
      <c r="R16" s="47">
        <f>'Monthly Data'!S16+'Monthly Data'!T16</f>
        <v>0</v>
      </c>
      <c r="S16" s="47">
        <f t="shared" si="8"/>
        <v>24118989.159826089</v>
      </c>
      <c r="T16" s="47">
        <f t="shared" si="9"/>
        <v>-494255.91897306591</v>
      </c>
      <c r="U16" s="18">
        <f t="shared" si="10"/>
        <v>2.0080892112791654E-2</v>
      </c>
      <c r="X16" s="685" t="s">
        <v>415</v>
      </c>
      <c r="Y16" s="689">
        <v>40800000000000</v>
      </c>
      <c r="Z16" s="685" t="s">
        <v>416</v>
      </c>
      <c r="AA16" s="686">
        <v>597992.19999999995</v>
      </c>
    </row>
    <row r="17" spans="1:27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Data'!R17</f>
        <v>22554956.810262024</v>
      </c>
      <c r="E17" s="3">
        <f>'Monthly Data'!CN17</f>
        <v>465.98333333333341</v>
      </c>
      <c r="F17" s="3">
        <f>'Monthly Data'!CU17</f>
        <v>0.83333333333333393</v>
      </c>
      <c r="G17">
        <f>'Monthly Data'!EJ17</f>
        <v>0</v>
      </c>
      <c r="H17" s="3">
        <f>'Monthly Data'!DB17</f>
        <v>6909</v>
      </c>
      <c r="I17" s="3">
        <f>'Monthly Data'!DQ17</f>
        <v>30</v>
      </c>
      <c r="K17" s="3">
        <f t="shared" si="1"/>
        <v>-4083957</v>
      </c>
      <c r="L17" s="3">
        <f t="shared" si="2"/>
        <v>5193738.3973333342</v>
      </c>
      <c r="M17" s="3">
        <f t="shared" si="3"/>
        <v>28794.641666666688</v>
      </c>
      <c r="N17" s="3">
        <f t="shared" si="4"/>
        <v>0</v>
      </c>
      <c r="O17" s="3">
        <f t="shared" si="5"/>
        <v>6993151.6200000001</v>
      </c>
      <c r="P17" s="3">
        <f t="shared" si="6"/>
        <v>14301495</v>
      </c>
      <c r="Q17" s="47">
        <f t="shared" si="7"/>
        <v>22433222.659000002</v>
      </c>
      <c r="R17" s="47">
        <f>'Monthly Data'!S17+'Monthly Data'!T17</f>
        <v>0</v>
      </c>
      <c r="S17" s="47">
        <f t="shared" si="8"/>
        <v>22433222.659000002</v>
      </c>
      <c r="T17" s="47">
        <f t="shared" si="9"/>
        <v>-121734.15126202255</v>
      </c>
      <c r="U17" s="18">
        <f t="shared" si="10"/>
        <v>5.397223869062614E-3</v>
      </c>
      <c r="X17" s="685" t="s">
        <v>417</v>
      </c>
      <c r="Y17" s="690">
        <v>0.92285099999999998</v>
      </c>
      <c r="Z17" s="685" t="s">
        <v>418</v>
      </c>
      <c r="AA17" s="690">
        <v>0.91946700000000003</v>
      </c>
    </row>
    <row r="18" spans="1:27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Data'!R18</f>
        <v>22209499.313384797</v>
      </c>
      <c r="E18" s="3">
        <f>'Monthly Data'!CN18</f>
        <v>203.72361111111115</v>
      </c>
      <c r="F18" s="3">
        <f>'Monthly Data'!CU18</f>
        <v>66.604166666666671</v>
      </c>
      <c r="G18">
        <f>'Monthly Data'!EJ18</f>
        <v>0</v>
      </c>
      <c r="H18" s="3">
        <f>'Monthly Data'!DB18</f>
        <v>6919.1</v>
      </c>
      <c r="I18" s="3">
        <f>'Monthly Data'!DQ18</f>
        <v>31</v>
      </c>
      <c r="K18" s="3">
        <f t="shared" si="1"/>
        <v>-4083957</v>
      </c>
      <c r="L18" s="3">
        <f t="shared" si="2"/>
        <v>2270654.4757777783</v>
      </c>
      <c r="M18" s="3">
        <f t="shared" si="3"/>
        <v>2301411.7352083335</v>
      </c>
      <c r="N18" s="3">
        <f t="shared" si="4"/>
        <v>0</v>
      </c>
      <c r="O18" s="3">
        <f t="shared" si="5"/>
        <v>7003374.6380000003</v>
      </c>
      <c r="P18" s="3">
        <f t="shared" si="6"/>
        <v>14778211.5</v>
      </c>
      <c r="Q18" s="47">
        <f t="shared" si="7"/>
        <v>22269695.348986112</v>
      </c>
      <c r="R18" s="47">
        <f>'Monthly Data'!S18+'Monthly Data'!T18</f>
        <v>0</v>
      </c>
      <c r="S18" s="47">
        <f t="shared" si="8"/>
        <v>22269695.348986112</v>
      </c>
      <c r="T18" s="47">
        <f t="shared" si="9"/>
        <v>60196.035601314157</v>
      </c>
      <c r="U18" s="18">
        <f t="shared" si="10"/>
        <v>2.7103733745603331E-3</v>
      </c>
      <c r="X18" s="685" t="s">
        <v>555</v>
      </c>
      <c r="Y18" s="687">
        <v>323.4178</v>
      </c>
      <c r="Z18" s="685" t="s">
        <v>419</v>
      </c>
      <c r="AA18" s="690">
        <v>1.3799999999999999E-65</v>
      </c>
    </row>
    <row r="19" spans="1:27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Data'!R19</f>
        <v>23287133.693617567</v>
      </c>
      <c r="E19" s="3">
        <f>'Monthly Data'!CN19</f>
        <v>56.883333333333326</v>
      </c>
      <c r="F19" s="3">
        <f>'Monthly Data'!CU19</f>
        <v>147.17916666666667</v>
      </c>
      <c r="G19">
        <f>'Monthly Data'!EJ19</f>
        <v>0</v>
      </c>
      <c r="H19" s="3">
        <f>'Monthly Data'!DB19</f>
        <v>6930</v>
      </c>
      <c r="I19" s="3">
        <f>'Monthly Data'!DQ19</f>
        <v>30</v>
      </c>
      <c r="K19" s="3">
        <f t="shared" si="1"/>
        <v>-4083957</v>
      </c>
      <c r="L19" s="3">
        <f t="shared" si="2"/>
        <v>634007.9813333333</v>
      </c>
      <c r="M19" s="3">
        <f t="shared" si="3"/>
        <v>5085565.6379583338</v>
      </c>
      <c r="N19" s="3">
        <f t="shared" si="4"/>
        <v>0</v>
      </c>
      <c r="O19" s="3">
        <f t="shared" si="5"/>
        <v>7014407.3999999994</v>
      </c>
      <c r="P19" s="3">
        <f t="shared" si="6"/>
        <v>14301495</v>
      </c>
      <c r="Q19" s="47">
        <f t="shared" si="7"/>
        <v>22951519.019291665</v>
      </c>
      <c r="R19" s="47">
        <f>'Monthly Data'!S19+'Monthly Data'!T19</f>
        <v>0</v>
      </c>
      <c r="S19" s="47">
        <f t="shared" si="8"/>
        <v>22951519.019291665</v>
      </c>
      <c r="T19" s="47">
        <f t="shared" si="9"/>
        <v>-335614.67432590201</v>
      </c>
      <c r="U19" s="18">
        <f t="shared" si="10"/>
        <v>1.4412021622819376E-2</v>
      </c>
      <c r="X19" s="685" t="s">
        <v>420</v>
      </c>
      <c r="Y19" s="690">
        <v>-0.15135000000000001</v>
      </c>
      <c r="Z19" s="685" t="s">
        <v>421</v>
      </c>
      <c r="AA19" s="690">
        <v>2.2982939999999998</v>
      </c>
    </row>
    <row r="20" spans="1:27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Data'!R20</f>
        <v>25850604.260270339</v>
      </c>
      <c r="E20" s="3">
        <f>'Monthly Data'!CN20</f>
        <v>8.75416666666667</v>
      </c>
      <c r="F20" s="3">
        <f>'Monthly Data'!CU20</f>
        <v>251.2291666666666</v>
      </c>
      <c r="G20">
        <f>'Monthly Data'!EJ20</f>
        <v>0</v>
      </c>
      <c r="H20" s="3">
        <f>'Monthly Data'!DB20</f>
        <v>6933.8</v>
      </c>
      <c r="I20" s="3">
        <f>'Monthly Data'!DQ20</f>
        <v>31</v>
      </c>
      <c r="K20" s="3">
        <f t="shared" si="1"/>
        <v>-4083957</v>
      </c>
      <c r="L20" s="3">
        <f t="shared" si="2"/>
        <v>97571.8406666667</v>
      </c>
      <c r="M20" s="3">
        <f t="shared" si="3"/>
        <v>8680864.5964583308</v>
      </c>
      <c r="N20" s="3">
        <f t="shared" si="4"/>
        <v>0</v>
      </c>
      <c r="O20" s="3">
        <f t="shared" si="5"/>
        <v>7018253.6839999994</v>
      </c>
      <c r="P20" s="3">
        <f t="shared" si="6"/>
        <v>14778211.5</v>
      </c>
      <c r="Q20" s="47">
        <f t="shared" si="7"/>
        <v>26490944.621124998</v>
      </c>
      <c r="R20" s="47">
        <f>'Monthly Data'!S20+'Monthly Data'!T20</f>
        <v>0</v>
      </c>
      <c r="S20" s="47">
        <f t="shared" si="8"/>
        <v>26490944.621124998</v>
      </c>
      <c r="T20" s="47">
        <f t="shared" si="9"/>
        <v>640340.36085465923</v>
      </c>
      <c r="U20" s="18">
        <f t="shared" si="10"/>
        <v>2.4770808233631703E-2</v>
      </c>
    </row>
    <row r="21" spans="1:27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Data'!R21</f>
        <v>27029245.50254311</v>
      </c>
      <c r="E21" s="3">
        <f>'Monthly Data'!CN21</f>
        <v>4.029166666666665</v>
      </c>
      <c r="F21" s="3">
        <f>'Monthly Data'!CU21</f>
        <v>266.02500000000003</v>
      </c>
      <c r="G21">
        <f>'Monthly Data'!EJ21</f>
        <v>0</v>
      </c>
      <c r="H21" s="3">
        <f>'Monthly Data'!DB21</f>
        <v>6931.2</v>
      </c>
      <c r="I21" s="3">
        <f>'Monthly Data'!DQ21</f>
        <v>31</v>
      </c>
      <c r="K21" s="3">
        <f t="shared" si="1"/>
        <v>-4083957</v>
      </c>
      <c r="L21" s="3">
        <f t="shared" si="2"/>
        <v>44908.124666666648</v>
      </c>
      <c r="M21" s="3">
        <f t="shared" si="3"/>
        <v>9192113.4592500012</v>
      </c>
      <c r="N21" s="3">
        <f t="shared" si="4"/>
        <v>0</v>
      </c>
      <c r="O21" s="3">
        <f t="shared" si="5"/>
        <v>7015622.0159999998</v>
      </c>
      <c r="P21" s="3">
        <f t="shared" si="6"/>
        <v>14778211.5</v>
      </c>
      <c r="Q21" s="47">
        <f t="shared" si="7"/>
        <v>26946898.099916667</v>
      </c>
      <c r="R21" s="47">
        <f>'Monthly Data'!S21+'Monthly Data'!T21</f>
        <v>0</v>
      </c>
      <c r="S21" s="47">
        <f t="shared" si="8"/>
        <v>26946898.099916667</v>
      </c>
      <c r="T21" s="47">
        <f t="shared" si="9"/>
        <v>-82347.402626443654</v>
      </c>
      <c r="U21" s="18">
        <f t="shared" si="10"/>
        <v>3.0466038209870047E-3</v>
      </c>
      <c r="X21" s="691" t="s">
        <v>408</v>
      </c>
      <c r="Y21" s="692"/>
      <c r="Z21" s="692"/>
      <c r="AA21" s="693"/>
    </row>
    <row r="22" spans="1:27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Data'!R22</f>
        <v>22914722.99220578</v>
      </c>
      <c r="E22" s="3">
        <f>'Monthly Data'!CN22</f>
        <v>80.145833333333343</v>
      </c>
      <c r="F22" s="3">
        <f>'Monthly Data'!CU22</f>
        <v>120.65416666666664</v>
      </c>
      <c r="G22">
        <f>'Monthly Data'!EJ22</f>
        <v>0</v>
      </c>
      <c r="H22" s="3">
        <f>'Monthly Data'!DB22</f>
        <v>6929.7</v>
      </c>
      <c r="I22" s="3">
        <f>'Monthly Data'!DQ22</f>
        <v>30</v>
      </c>
      <c r="K22" s="3">
        <f t="shared" si="1"/>
        <v>-4083957</v>
      </c>
      <c r="L22" s="3">
        <f t="shared" si="2"/>
        <v>893286.2233333335</v>
      </c>
      <c r="M22" s="3">
        <f t="shared" si="3"/>
        <v>4169032.1937083323</v>
      </c>
      <c r="N22" s="3">
        <f t="shared" si="4"/>
        <v>0</v>
      </c>
      <c r="O22" s="3">
        <f t="shared" si="5"/>
        <v>7014103.7459999993</v>
      </c>
      <c r="P22" s="3">
        <f t="shared" si="6"/>
        <v>14301495</v>
      </c>
      <c r="Q22" s="47">
        <f t="shared" ref="Q22:Q53" si="11">SUM(K22:P22)</f>
        <v>22293960.163041666</v>
      </c>
      <c r="R22" s="47">
        <f>'Monthly Data'!S22+'Monthly Data'!T22</f>
        <v>0</v>
      </c>
      <c r="S22" s="47">
        <f t="shared" si="8"/>
        <v>22293960.163041666</v>
      </c>
      <c r="T22" s="47">
        <f t="shared" si="9"/>
        <v>-620762.82916411385</v>
      </c>
      <c r="U22" s="18">
        <f t="shared" ref="U22:U53" si="12">ABS(T22/D22)</f>
        <v>2.7090130191635319E-2</v>
      </c>
      <c r="X22" s="685" t="s">
        <v>422</v>
      </c>
      <c r="Y22" s="686">
        <v>23857206</v>
      </c>
      <c r="Z22" s="685" t="s">
        <v>423</v>
      </c>
      <c r="AA22" s="686">
        <v>2099015</v>
      </c>
    </row>
    <row r="23" spans="1:27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Data'!R23</f>
        <v>21696597.548698653</v>
      </c>
      <c r="E23" s="3">
        <f>'Monthly Data'!CN23</f>
        <v>283.19583333333327</v>
      </c>
      <c r="F23" s="3">
        <f>'Monthly Data'!CU23</f>
        <v>24.770833333333336</v>
      </c>
      <c r="G23">
        <f>'Monthly Data'!EJ23</f>
        <v>0</v>
      </c>
      <c r="H23" s="3">
        <f>'Monthly Data'!DB23</f>
        <v>6942</v>
      </c>
      <c r="I23" s="3">
        <f>'Monthly Data'!DQ23</f>
        <v>31</v>
      </c>
      <c r="K23" s="3">
        <f t="shared" si="1"/>
        <v>-4083957</v>
      </c>
      <c r="L23" s="3">
        <f t="shared" si="2"/>
        <v>3156432.7913333327</v>
      </c>
      <c r="M23" s="3">
        <f t="shared" si="3"/>
        <v>855920.72354166675</v>
      </c>
      <c r="N23" s="3">
        <f t="shared" si="4"/>
        <v>0</v>
      </c>
      <c r="O23" s="3">
        <f t="shared" si="5"/>
        <v>7026553.5599999996</v>
      </c>
      <c r="P23" s="3">
        <f t="shared" si="6"/>
        <v>14778211.5</v>
      </c>
      <c r="Q23" s="47">
        <f t="shared" si="11"/>
        <v>21733161.574874997</v>
      </c>
      <c r="R23" s="47">
        <f>'Monthly Data'!S23+'Monthly Data'!T23</f>
        <v>0</v>
      </c>
      <c r="S23" s="47">
        <f t="shared" si="8"/>
        <v>21733161.574874997</v>
      </c>
      <c r="T23" s="47">
        <f t="shared" si="9"/>
        <v>36564.026176344603</v>
      </c>
      <c r="U23" s="18">
        <f t="shared" si="12"/>
        <v>1.6852424023755599E-3</v>
      </c>
    </row>
    <row r="24" spans="1:27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Data'!R24</f>
        <v>22609434.965051424</v>
      </c>
      <c r="E24" s="3">
        <f>'Monthly Data'!CN24</f>
        <v>437.33511904761912</v>
      </c>
      <c r="F24" s="3">
        <f>'Monthly Data'!CU24</f>
        <v>0</v>
      </c>
      <c r="G24">
        <f>'Monthly Data'!EJ24</f>
        <v>0</v>
      </c>
      <c r="H24" s="3">
        <f>'Monthly Data'!DB24</f>
        <v>6959</v>
      </c>
      <c r="I24" s="3">
        <f>'Monthly Data'!DQ24</f>
        <v>30</v>
      </c>
      <c r="K24" s="3">
        <f t="shared" si="1"/>
        <v>-4083957</v>
      </c>
      <c r="L24" s="3">
        <f t="shared" si="2"/>
        <v>4874432.2764761914</v>
      </c>
      <c r="M24" s="3">
        <f t="shared" si="3"/>
        <v>0</v>
      </c>
      <c r="N24" s="3">
        <f t="shared" si="4"/>
        <v>0</v>
      </c>
      <c r="O24" s="3">
        <f t="shared" si="5"/>
        <v>7043760.6200000001</v>
      </c>
      <c r="P24" s="3">
        <f t="shared" si="6"/>
        <v>14301495</v>
      </c>
      <c r="Q24" s="47">
        <f t="shared" si="11"/>
        <v>22135730.896476191</v>
      </c>
      <c r="R24" s="47">
        <f>'Monthly Data'!S24+'Monthly Data'!T24</f>
        <v>0</v>
      </c>
      <c r="S24" s="47">
        <f t="shared" si="8"/>
        <v>22135730.896476191</v>
      </c>
      <c r="T24" s="47">
        <f t="shared" si="9"/>
        <v>-473704.06857523322</v>
      </c>
      <c r="U24" s="18">
        <f t="shared" si="12"/>
        <v>2.0951610215269076E-2</v>
      </c>
      <c r="Y24" s="3"/>
      <c r="AA24" s="3"/>
    </row>
    <row r="25" spans="1:27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Data'!R25</f>
        <v>25821402.248064097</v>
      </c>
      <c r="E25" s="3">
        <f>'Monthly Data'!CN25</f>
        <v>678.67083333333323</v>
      </c>
      <c r="F25" s="3">
        <f>'Monthly Data'!CU25</f>
        <v>0</v>
      </c>
      <c r="G25">
        <f>'Monthly Data'!EJ25</f>
        <v>0</v>
      </c>
      <c r="H25" s="3">
        <f>'Monthly Data'!DB25</f>
        <v>6974.4</v>
      </c>
      <c r="I25" s="3">
        <f>'Monthly Data'!DQ25</f>
        <v>31</v>
      </c>
      <c r="K25" s="3">
        <f t="shared" si="1"/>
        <v>-4083957</v>
      </c>
      <c r="L25" s="3">
        <f t="shared" si="2"/>
        <v>7564302.2273333324</v>
      </c>
      <c r="M25" s="3">
        <f t="shared" si="3"/>
        <v>0</v>
      </c>
      <c r="N25" s="3">
        <f t="shared" si="4"/>
        <v>0</v>
      </c>
      <c r="O25" s="3">
        <f t="shared" si="5"/>
        <v>7059348.1919999989</v>
      </c>
      <c r="P25" s="3">
        <f t="shared" si="6"/>
        <v>14778211.5</v>
      </c>
      <c r="Q25" s="47">
        <f t="shared" si="11"/>
        <v>25317904.919333331</v>
      </c>
      <c r="R25" s="47">
        <f>'Monthly Data'!S25+'Monthly Data'!T25</f>
        <v>0</v>
      </c>
      <c r="S25" s="47">
        <f t="shared" si="8"/>
        <v>25317904.919333331</v>
      </c>
      <c r="T25" s="47">
        <f t="shared" si="9"/>
        <v>-503497.32873076573</v>
      </c>
      <c r="U25" s="18">
        <f t="shared" si="12"/>
        <v>1.949922486368897E-2</v>
      </c>
    </row>
    <row r="26" spans="1:27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Data'!R26</f>
        <v>26279107.799820367</v>
      </c>
      <c r="E26" s="3">
        <f>'Monthly Data'!CN26</f>
        <v>682.2166666666667</v>
      </c>
      <c r="F26" s="3">
        <f>'Monthly Data'!CU26</f>
        <v>0</v>
      </c>
      <c r="G26">
        <f>'Monthly Data'!EJ26</f>
        <v>0</v>
      </c>
      <c r="H26" s="3">
        <f>'Monthly Data'!DB26</f>
        <v>6998.9</v>
      </c>
      <c r="I26" s="3">
        <f>'Monthly Data'!DQ26</f>
        <v>31</v>
      </c>
      <c r="K26" s="3">
        <f t="shared" si="1"/>
        <v>-4083957</v>
      </c>
      <c r="L26" s="3">
        <f t="shared" si="2"/>
        <v>7603823.2346666669</v>
      </c>
      <c r="M26" s="3">
        <f t="shared" si="3"/>
        <v>0</v>
      </c>
      <c r="N26" s="3">
        <f t="shared" si="4"/>
        <v>0</v>
      </c>
      <c r="O26" s="3">
        <f t="shared" si="5"/>
        <v>7084146.601999999</v>
      </c>
      <c r="P26" s="3">
        <f t="shared" si="6"/>
        <v>14778211.5</v>
      </c>
      <c r="Q26" s="47">
        <f t="shared" si="11"/>
        <v>25382224.336666666</v>
      </c>
      <c r="R26" s="47">
        <f>'Monthly Data'!S26+'Monthly Data'!T26</f>
        <v>400.49435897435899</v>
      </c>
      <c r="S26" s="47">
        <f t="shared" si="8"/>
        <v>25382624.831025641</v>
      </c>
      <c r="T26" s="47">
        <f t="shared" si="9"/>
        <v>-896482.96879472584</v>
      </c>
      <c r="U26" s="18">
        <f t="shared" si="12"/>
        <v>3.4113904308458058E-2</v>
      </c>
    </row>
    <row r="27" spans="1:27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Data'!R27</f>
        <v>23510045.533455335</v>
      </c>
      <c r="E27" s="3">
        <f>'Monthly Data'!CN27</f>
        <v>586.08333333333337</v>
      </c>
      <c r="F27" s="3">
        <f>'Monthly Data'!CU27</f>
        <v>0</v>
      </c>
      <c r="G27">
        <f>'Monthly Data'!EJ27</f>
        <v>0</v>
      </c>
      <c r="H27" s="3">
        <f>'Monthly Data'!DB27</f>
        <v>7017.3</v>
      </c>
      <c r="I27" s="3">
        <f>'Monthly Data'!DQ27</f>
        <v>28</v>
      </c>
      <c r="K27" s="3">
        <f t="shared" si="1"/>
        <v>-4083957</v>
      </c>
      <c r="L27" s="3">
        <f t="shared" si="2"/>
        <v>6532344.1733333338</v>
      </c>
      <c r="M27" s="3">
        <f t="shared" si="3"/>
        <v>0</v>
      </c>
      <c r="N27" s="3">
        <f t="shared" si="4"/>
        <v>0</v>
      </c>
      <c r="O27" s="3">
        <f t="shared" si="5"/>
        <v>7102770.7139999997</v>
      </c>
      <c r="P27" s="3">
        <f t="shared" si="6"/>
        <v>13348062</v>
      </c>
      <c r="Q27" s="47">
        <f t="shared" si="11"/>
        <v>22899219.887333333</v>
      </c>
      <c r="R27" s="47">
        <f>'Monthly Data'!S27+'Monthly Data'!T27</f>
        <v>800.98871794871798</v>
      </c>
      <c r="S27" s="47">
        <f t="shared" si="8"/>
        <v>22900020.876051281</v>
      </c>
      <c r="T27" s="47">
        <f t="shared" si="9"/>
        <v>-610024.65740405396</v>
      </c>
      <c r="U27" s="18">
        <f t="shared" si="12"/>
        <v>2.5947404335562637E-2</v>
      </c>
    </row>
    <row r="28" spans="1:27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Data'!R28</f>
        <v>25925594.397500303</v>
      </c>
      <c r="E28" s="3">
        <f>'Monthly Data'!CN28</f>
        <v>661.67916666666667</v>
      </c>
      <c r="F28" s="3">
        <f>'Monthly Data'!CU28</f>
        <v>0</v>
      </c>
      <c r="G28">
        <f>'Monthly Data'!EJ28</f>
        <v>0</v>
      </c>
      <c r="H28" s="3">
        <f>'Monthly Data'!DB28</f>
        <v>7035.4</v>
      </c>
      <c r="I28" s="3">
        <f>'Monthly Data'!DQ28</f>
        <v>31</v>
      </c>
      <c r="K28" s="3">
        <f t="shared" si="1"/>
        <v>-4083957</v>
      </c>
      <c r="L28" s="3">
        <f t="shared" si="2"/>
        <v>7374917.1886666669</v>
      </c>
      <c r="M28" s="3">
        <f t="shared" si="3"/>
        <v>0</v>
      </c>
      <c r="N28" s="3">
        <f t="shared" si="4"/>
        <v>0</v>
      </c>
      <c r="O28" s="3">
        <f t="shared" si="5"/>
        <v>7121091.1719999993</v>
      </c>
      <c r="P28" s="3">
        <f t="shared" si="6"/>
        <v>14778211.5</v>
      </c>
      <c r="Q28" s="47">
        <f t="shared" si="11"/>
        <v>25190262.860666666</v>
      </c>
      <c r="R28" s="47">
        <f>'Monthly Data'!S28+'Monthly Data'!T28</f>
        <v>1201.4830769230771</v>
      </c>
      <c r="S28" s="47">
        <f t="shared" si="8"/>
        <v>25191464.343743589</v>
      </c>
      <c r="T28" s="47">
        <f t="shared" si="9"/>
        <v>-734130.05375671387</v>
      </c>
      <c r="U28" s="18">
        <f t="shared" si="12"/>
        <v>2.8316807032493625E-2</v>
      </c>
    </row>
    <row r="29" spans="1:27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Data'!R29</f>
        <v>21381267.508215073</v>
      </c>
      <c r="E29" s="3">
        <f>'Monthly Data'!CN29</f>
        <v>348.38749999999999</v>
      </c>
      <c r="F29" s="3">
        <f>'Monthly Data'!CU29</f>
        <v>5.6500000000000057</v>
      </c>
      <c r="G29">
        <f>'Monthly Data'!EJ29</f>
        <v>0</v>
      </c>
      <c r="H29" s="3">
        <f>'Monthly Data'!DB29</f>
        <v>7041.8</v>
      </c>
      <c r="I29" s="3">
        <f>'Monthly Data'!DQ29</f>
        <v>30</v>
      </c>
      <c r="K29" s="3">
        <f t="shared" si="1"/>
        <v>-4083957</v>
      </c>
      <c r="L29" s="3">
        <f t="shared" si="2"/>
        <v>3883043.4619999998</v>
      </c>
      <c r="M29" s="3">
        <f t="shared" si="3"/>
        <v>195227.67050000018</v>
      </c>
      <c r="N29" s="3">
        <f t="shared" si="4"/>
        <v>0</v>
      </c>
      <c r="O29" s="3">
        <f t="shared" si="5"/>
        <v>7127569.1239999998</v>
      </c>
      <c r="P29" s="3">
        <f t="shared" si="6"/>
        <v>14301495</v>
      </c>
      <c r="Q29" s="47">
        <f t="shared" si="11"/>
        <v>21423378.256499998</v>
      </c>
      <c r="R29" s="47">
        <f>'Monthly Data'!S29+'Monthly Data'!T29</f>
        <v>1601.977435897436</v>
      </c>
      <c r="S29" s="47">
        <f t="shared" si="8"/>
        <v>21424980.233935896</v>
      </c>
      <c r="T29" s="47">
        <f t="shared" si="9"/>
        <v>43712.725720822811</v>
      </c>
      <c r="U29" s="18">
        <f t="shared" si="12"/>
        <v>2.0444403356362096E-3</v>
      </c>
    </row>
    <row r="30" spans="1:27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Data'!R30</f>
        <v>21685920.775199942</v>
      </c>
      <c r="E30" s="3">
        <f>'Monthly Data'!CN30</f>
        <v>247.16666666666663</v>
      </c>
      <c r="F30" s="3">
        <f>'Monthly Data'!CU30</f>
        <v>28.370833333333344</v>
      </c>
      <c r="G30">
        <f>'Monthly Data'!EJ30</f>
        <v>0</v>
      </c>
      <c r="H30" s="3">
        <f>'Monthly Data'!DB30</f>
        <v>7055.9</v>
      </c>
      <c r="I30" s="3">
        <f>'Monthly Data'!DQ30</f>
        <v>31</v>
      </c>
      <c r="K30" s="3">
        <f t="shared" si="1"/>
        <v>-4083957</v>
      </c>
      <c r="L30" s="3">
        <f t="shared" si="2"/>
        <v>2754860.3466666662</v>
      </c>
      <c r="M30" s="3">
        <f t="shared" si="3"/>
        <v>980313.57554166706</v>
      </c>
      <c r="N30" s="3">
        <f t="shared" si="4"/>
        <v>0</v>
      </c>
      <c r="O30" s="3">
        <f t="shared" si="5"/>
        <v>7141840.8619999997</v>
      </c>
      <c r="P30" s="3">
        <f t="shared" si="6"/>
        <v>14778211.5</v>
      </c>
      <c r="Q30" s="47">
        <f t="shared" si="11"/>
        <v>21571269.284208335</v>
      </c>
      <c r="R30" s="47">
        <f>'Monthly Data'!S30+'Monthly Data'!T30</f>
        <v>2002.4717948717951</v>
      </c>
      <c r="S30" s="47">
        <f t="shared" si="8"/>
        <v>21573271.756003208</v>
      </c>
      <c r="T30" s="47">
        <f t="shared" si="9"/>
        <v>-112649.01919673383</v>
      </c>
      <c r="U30" s="18">
        <f t="shared" si="12"/>
        <v>5.1945693413008986E-3</v>
      </c>
    </row>
    <row r="31" spans="1:27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Data'!R31</f>
        <v>22197923.77735481</v>
      </c>
      <c r="E31" s="3">
        <f>'Monthly Data'!CN31</f>
        <v>85.453333333333319</v>
      </c>
      <c r="F31" s="3">
        <f>'Monthly Data'!CU31</f>
        <v>112.71333333333334</v>
      </c>
      <c r="G31">
        <f>'Monthly Data'!EJ31</f>
        <v>0</v>
      </c>
      <c r="H31" s="3">
        <f>'Monthly Data'!DB31</f>
        <v>7071</v>
      </c>
      <c r="I31" s="3">
        <f>'Monthly Data'!DQ31</f>
        <v>30</v>
      </c>
      <c r="K31" s="3">
        <f t="shared" si="1"/>
        <v>-4083957</v>
      </c>
      <c r="L31" s="3">
        <f t="shared" si="2"/>
        <v>952442.34453333321</v>
      </c>
      <c r="M31" s="3">
        <f t="shared" si="3"/>
        <v>3894648.0532666668</v>
      </c>
      <c r="N31" s="3">
        <f t="shared" si="4"/>
        <v>0</v>
      </c>
      <c r="O31" s="3">
        <f t="shared" si="5"/>
        <v>7157124.7799999993</v>
      </c>
      <c r="P31" s="3">
        <f t="shared" si="6"/>
        <v>14301495</v>
      </c>
      <c r="Q31" s="47">
        <f t="shared" si="11"/>
        <v>22221753.1778</v>
      </c>
      <c r="R31" s="47">
        <f>'Monthly Data'!S31+'Monthly Data'!T31</f>
        <v>2402.9661538461542</v>
      </c>
      <c r="S31" s="47">
        <f t="shared" si="8"/>
        <v>22224156.143953845</v>
      </c>
      <c r="T31" s="47">
        <f t="shared" si="9"/>
        <v>26232.366599034518</v>
      </c>
      <c r="U31" s="18">
        <f t="shared" si="12"/>
        <v>1.1817486564124273E-3</v>
      </c>
    </row>
    <row r="32" spans="1:27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Data'!R32</f>
        <v>24159720.737949777</v>
      </c>
      <c r="E32" s="3">
        <f>'Monthly Data'!CN32</f>
        <v>14.412500000000009</v>
      </c>
      <c r="F32" s="3">
        <f>'Monthly Data'!CU32</f>
        <v>198.16666666666666</v>
      </c>
      <c r="G32">
        <f>'Monthly Data'!EJ32</f>
        <v>0</v>
      </c>
      <c r="H32" s="3">
        <f>'Monthly Data'!DB32</f>
        <v>7099.1</v>
      </c>
      <c r="I32" s="3">
        <f>'Monthly Data'!DQ32</f>
        <v>31</v>
      </c>
      <c r="K32" s="3">
        <f t="shared" si="1"/>
        <v>-4083957</v>
      </c>
      <c r="L32" s="3">
        <f t="shared" si="2"/>
        <v>160638.26600000009</v>
      </c>
      <c r="M32" s="3">
        <f t="shared" si="3"/>
        <v>6847365.7883333331</v>
      </c>
      <c r="N32" s="3">
        <f t="shared" si="4"/>
        <v>0</v>
      </c>
      <c r="O32" s="3">
        <f t="shared" si="5"/>
        <v>7185567.0379999997</v>
      </c>
      <c r="P32" s="3">
        <f t="shared" si="6"/>
        <v>14778211.5</v>
      </c>
      <c r="Q32" s="47">
        <f t="shared" si="11"/>
        <v>24887825.592333332</v>
      </c>
      <c r="R32" s="47">
        <f>'Monthly Data'!S32+'Monthly Data'!T32</f>
        <v>2803.460512820513</v>
      </c>
      <c r="S32" s="47">
        <f t="shared" si="8"/>
        <v>24890629.052846152</v>
      </c>
      <c r="T32" s="47">
        <f t="shared" si="9"/>
        <v>730908.31489637494</v>
      </c>
      <c r="U32" s="18">
        <f t="shared" si="12"/>
        <v>3.0253177295558455E-2</v>
      </c>
    </row>
    <row r="33" spans="1:21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Data'!R33</f>
        <v>23901050.910974443</v>
      </c>
      <c r="E33" s="3">
        <f>'Monthly Data'!CN33</f>
        <v>46.587500000000006</v>
      </c>
      <c r="F33" s="3">
        <f>'Monthly Data'!CU33</f>
        <v>155.42409420289857</v>
      </c>
      <c r="G33">
        <f>'Monthly Data'!EJ33</f>
        <v>0</v>
      </c>
      <c r="H33" s="3">
        <f>'Monthly Data'!DB33</f>
        <v>7118</v>
      </c>
      <c r="I33" s="3">
        <f>'Monthly Data'!DQ33</f>
        <v>31</v>
      </c>
      <c r="K33" s="3">
        <f t="shared" si="1"/>
        <v>-4083957</v>
      </c>
      <c r="L33" s="3">
        <f t="shared" si="2"/>
        <v>519253.0940000001</v>
      </c>
      <c r="M33" s="3">
        <f t="shared" si="3"/>
        <v>5370457.3187264502</v>
      </c>
      <c r="N33" s="3">
        <f t="shared" si="4"/>
        <v>0</v>
      </c>
      <c r="O33" s="3">
        <f t="shared" si="5"/>
        <v>7204697.2399999993</v>
      </c>
      <c r="P33" s="3">
        <f t="shared" si="6"/>
        <v>14778211.5</v>
      </c>
      <c r="Q33" s="47">
        <f t="shared" si="11"/>
        <v>23788662.152726449</v>
      </c>
      <c r="R33" s="47">
        <f>'Monthly Data'!S33+'Monthly Data'!T33</f>
        <v>3203.9548717948719</v>
      </c>
      <c r="S33" s="47">
        <f t="shared" si="8"/>
        <v>23791866.107598245</v>
      </c>
      <c r="T33" s="47">
        <f t="shared" si="9"/>
        <v>-109184.80337619781</v>
      </c>
      <c r="U33" s="18">
        <f t="shared" si="12"/>
        <v>4.5682009457611071E-3</v>
      </c>
    </row>
    <row r="34" spans="1:21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Data'!R34</f>
        <v>22414168.935549516</v>
      </c>
      <c r="E34" s="3">
        <f>'Monthly Data'!CN34</f>
        <v>100.06666666666666</v>
      </c>
      <c r="F34" s="3">
        <f>'Monthly Data'!CU34</f>
        <v>112.67916666666666</v>
      </c>
      <c r="G34">
        <f>'Monthly Data'!EJ34</f>
        <v>0</v>
      </c>
      <c r="H34" s="3">
        <f>'Monthly Data'!DB34</f>
        <v>7143.3</v>
      </c>
      <c r="I34" s="3">
        <f>'Monthly Data'!DQ34</f>
        <v>30</v>
      </c>
      <c r="K34" s="3">
        <f t="shared" ref="K34:K65" si="13">$Y$8</f>
        <v>-4083957</v>
      </c>
      <c r="L34" s="3">
        <f t="shared" ref="L34:L65" si="14">E34*$Y$9</f>
        <v>1115319.0506666666</v>
      </c>
      <c r="M34" s="3">
        <f t="shared" ref="M34:M65" si="15">F34*$Y$10</f>
        <v>3893467.4729583329</v>
      </c>
      <c r="N34" s="3">
        <f t="shared" ref="N34:N65" si="16">G34*$Y$11</f>
        <v>0</v>
      </c>
      <c r="O34" s="3">
        <f t="shared" ref="O34:O65" si="17">H34*$Y$12</f>
        <v>7230305.3939999994</v>
      </c>
      <c r="P34" s="3">
        <f t="shared" ref="P34:P65" si="18">I34*$Y$13</f>
        <v>14301495</v>
      </c>
      <c r="Q34" s="47">
        <f t="shared" si="11"/>
        <v>22456629.917624999</v>
      </c>
      <c r="R34" s="47">
        <f>'Monthly Data'!S34+'Monthly Data'!T34</f>
        <v>3604.4492307692312</v>
      </c>
      <c r="S34" s="47">
        <f t="shared" si="8"/>
        <v>22460234.366855767</v>
      </c>
      <c r="T34" s="47">
        <f t="shared" si="9"/>
        <v>46065.431306250393</v>
      </c>
      <c r="U34" s="18">
        <f t="shared" si="12"/>
        <v>2.0551924739529064E-3</v>
      </c>
    </row>
    <row r="35" spans="1:21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Data'!R35</f>
        <v>21325854.020314284</v>
      </c>
      <c r="E35" s="3">
        <f>'Monthly Data'!CN35</f>
        <v>238.48333333333335</v>
      </c>
      <c r="F35" s="3">
        <f>'Monthly Data'!CU35</f>
        <v>29.654166666666669</v>
      </c>
      <c r="G35">
        <f>'Monthly Data'!EJ35</f>
        <v>0</v>
      </c>
      <c r="H35" s="3">
        <f>'Monthly Data'!DB35</f>
        <v>7158.3</v>
      </c>
      <c r="I35" s="3">
        <f>'Monthly Data'!DQ35</f>
        <v>31</v>
      </c>
      <c r="K35" s="3">
        <f t="shared" si="13"/>
        <v>-4083957</v>
      </c>
      <c r="L35" s="3">
        <f t="shared" si="14"/>
        <v>2658077.9973333334</v>
      </c>
      <c r="M35" s="3">
        <f t="shared" si="15"/>
        <v>1024657.3237083334</v>
      </c>
      <c r="N35" s="3">
        <f t="shared" si="16"/>
        <v>0</v>
      </c>
      <c r="O35" s="3">
        <f t="shared" si="17"/>
        <v>7245488.0939999996</v>
      </c>
      <c r="P35" s="3">
        <f t="shared" si="18"/>
        <v>14778211.5</v>
      </c>
      <c r="Q35" s="47">
        <f t="shared" si="11"/>
        <v>21622477.915041666</v>
      </c>
      <c r="R35" s="47">
        <f>'Monthly Data'!S35+'Monthly Data'!T35</f>
        <v>4004.9435897435901</v>
      </c>
      <c r="S35" s="47">
        <f t="shared" si="8"/>
        <v>21626482.85863141</v>
      </c>
      <c r="T35" s="47">
        <f t="shared" si="9"/>
        <v>300628.83831712604</v>
      </c>
      <c r="U35" s="18">
        <f t="shared" si="12"/>
        <v>1.409691907441349E-2</v>
      </c>
    </row>
    <row r="36" spans="1:21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Data'!R36</f>
        <v>23171431.02149915</v>
      </c>
      <c r="E36" s="3">
        <f>'Monthly Data'!CN36</f>
        <v>502.61174242424244</v>
      </c>
      <c r="F36" s="3">
        <f>'Monthly Data'!CU36</f>
        <v>0</v>
      </c>
      <c r="G36">
        <f>'Monthly Data'!EJ36</f>
        <v>0</v>
      </c>
      <c r="H36" s="3">
        <f>'Monthly Data'!DB36</f>
        <v>7182.2</v>
      </c>
      <c r="I36" s="3">
        <f>'Monthly Data'!DQ36</f>
        <v>30</v>
      </c>
      <c r="K36" s="3">
        <f t="shared" si="13"/>
        <v>-4083957</v>
      </c>
      <c r="L36" s="3">
        <f t="shared" si="14"/>
        <v>5601989.8542424245</v>
      </c>
      <c r="M36" s="3">
        <f t="shared" si="15"/>
        <v>0</v>
      </c>
      <c r="N36" s="3">
        <f t="shared" si="16"/>
        <v>0</v>
      </c>
      <c r="O36" s="3">
        <f t="shared" si="17"/>
        <v>7269679.1959999995</v>
      </c>
      <c r="P36" s="3">
        <f t="shared" si="18"/>
        <v>14301495</v>
      </c>
      <c r="Q36" s="47">
        <f t="shared" si="11"/>
        <v>23089207.050242424</v>
      </c>
      <c r="R36" s="47">
        <f>'Monthly Data'!S36+'Monthly Data'!T36</f>
        <v>4405.4379487179494</v>
      </c>
      <c r="S36" s="47">
        <f t="shared" si="8"/>
        <v>23093612.488191143</v>
      </c>
      <c r="T36" s="47">
        <f t="shared" si="9"/>
        <v>-77818.533308006823</v>
      </c>
      <c r="U36" s="18">
        <f t="shared" si="12"/>
        <v>3.3583827099761105E-3</v>
      </c>
    </row>
    <row r="37" spans="1:21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Data'!R37</f>
        <v>26407186.930284023</v>
      </c>
      <c r="E37" s="3">
        <f>'Monthly Data'!CN37</f>
        <v>798.31250000000011</v>
      </c>
      <c r="F37" s="3">
        <f>'Monthly Data'!CU37</f>
        <v>0</v>
      </c>
      <c r="G37">
        <f>'Monthly Data'!EJ37</f>
        <v>0</v>
      </c>
      <c r="H37" s="3">
        <f>'Monthly Data'!DB37</f>
        <v>7196.8</v>
      </c>
      <c r="I37" s="3">
        <f>'Monthly Data'!DQ37</f>
        <v>31</v>
      </c>
      <c r="K37" s="3">
        <f t="shared" si="13"/>
        <v>-4083957</v>
      </c>
      <c r="L37" s="3">
        <f t="shared" si="14"/>
        <v>8897799.5300000012</v>
      </c>
      <c r="M37" s="3">
        <f t="shared" si="15"/>
        <v>0</v>
      </c>
      <c r="N37" s="3">
        <f t="shared" si="16"/>
        <v>0</v>
      </c>
      <c r="O37" s="3">
        <f t="shared" si="17"/>
        <v>7284457.0240000002</v>
      </c>
      <c r="P37" s="3">
        <f t="shared" si="18"/>
        <v>14778211.5</v>
      </c>
      <c r="Q37" s="47">
        <f t="shared" si="11"/>
        <v>26876511.054000001</v>
      </c>
      <c r="R37" s="47">
        <f>'Monthly Data'!S37+'Monthly Data'!T37</f>
        <v>4805.9323076923083</v>
      </c>
      <c r="S37" s="47">
        <f t="shared" si="8"/>
        <v>26881316.986307696</v>
      </c>
      <c r="T37" s="47">
        <f t="shared" si="9"/>
        <v>474130.05602367222</v>
      </c>
      <c r="U37" s="18">
        <f t="shared" si="12"/>
        <v>1.7954584003036508E-2</v>
      </c>
    </row>
    <row r="38" spans="1:21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Data'!R38</f>
        <v>28346942.335826002</v>
      </c>
      <c r="E38" s="3">
        <f>'Monthly Data'!CN38</f>
        <v>812.53750000000002</v>
      </c>
      <c r="F38" s="3">
        <f>'Monthly Data'!CU38</f>
        <v>0</v>
      </c>
      <c r="G38">
        <f>'Monthly Data'!EJ38</f>
        <v>0</v>
      </c>
      <c r="H38" s="3">
        <f>'Monthly Data'!DB38</f>
        <v>7195</v>
      </c>
      <c r="I38" s="3">
        <f>'Monthly Data'!DQ38</f>
        <v>31</v>
      </c>
      <c r="K38" s="3">
        <f t="shared" si="13"/>
        <v>-4083957</v>
      </c>
      <c r="L38" s="3">
        <f t="shared" si="14"/>
        <v>9056347.966</v>
      </c>
      <c r="M38" s="3">
        <f t="shared" si="15"/>
        <v>0</v>
      </c>
      <c r="N38" s="3">
        <f t="shared" si="16"/>
        <v>0</v>
      </c>
      <c r="O38" s="3">
        <f t="shared" si="17"/>
        <v>7282635.0999999996</v>
      </c>
      <c r="P38" s="3">
        <f t="shared" si="18"/>
        <v>14778211.5</v>
      </c>
      <c r="Q38" s="47">
        <f t="shared" si="11"/>
        <v>27033237.566</v>
      </c>
      <c r="R38" s="47">
        <f>'Monthly Data'!S38+'Monthly Data'!T38</f>
        <v>6211.3076923076933</v>
      </c>
      <c r="S38" s="47">
        <f t="shared" si="8"/>
        <v>27039448.873692308</v>
      </c>
      <c r="T38" s="47">
        <f t="shared" si="9"/>
        <v>-1307493.4621336944</v>
      </c>
      <c r="U38" s="18">
        <f t="shared" si="12"/>
        <v>4.6124673576565321E-2</v>
      </c>
    </row>
    <row r="39" spans="1:21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Data'!R39</f>
        <v>24235726.85548107</v>
      </c>
      <c r="E39" s="3">
        <f>'Monthly Data'!CN39</f>
        <v>632.49583333333328</v>
      </c>
      <c r="F39" s="3">
        <f>'Monthly Data'!CU39</f>
        <v>0</v>
      </c>
      <c r="G39">
        <f>'Monthly Data'!EJ39</f>
        <v>0</v>
      </c>
      <c r="H39" s="3">
        <f>'Monthly Data'!DB39</f>
        <v>7183.9</v>
      </c>
      <c r="I39" s="3">
        <f>'Monthly Data'!DQ39</f>
        <v>28</v>
      </c>
      <c r="K39" s="3">
        <f t="shared" si="13"/>
        <v>-4083957</v>
      </c>
      <c r="L39" s="3">
        <f t="shared" si="14"/>
        <v>7049646.759333333</v>
      </c>
      <c r="M39" s="3">
        <f t="shared" si="15"/>
        <v>0</v>
      </c>
      <c r="N39" s="3">
        <f t="shared" si="16"/>
        <v>0</v>
      </c>
      <c r="O39" s="3">
        <f t="shared" si="17"/>
        <v>7271399.9019999988</v>
      </c>
      <c r="P39" s="3">
        <f t="shared" si="18"/>
        <v>13348062</v>
      </c>
      <c r="Q39" s="47">
        <f t="shared" si="11"/>
        <v>23585151.66133333</v>
      </c>
      <c r="R39" s="47">
        <f>'Monthly Data'!S39+'Monthly Data'!T39</f>
        <v>7216.1887179487194</v>
      </c>
      <c r="S39" s="47">
        <f t="shared" si="8"/>
        <v>23592367.85005128</v>
      </c>
      <c r="T39" s="47">
        <f t="shared" si="9"/>
        <v>-643359.00542978942</v>
      </c>
      <c r="U39" s="18">
        <f t="shared" si="12"/>
        <v>2.6545892733738644E-2</v>
      </c>
    </row>
    <row r="40" spans="1:21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Data'!R40</f>
        <v>25186826.001236435</v>
      </c>
      <c r="E40" s="3">
        <f>'Monthly Data'!CN40</f>
        <v>629.27916666666681</v>
      </c>
      <c r="F40" s="3">
        <f>'Monthly Data'!CU40</f>
        <v>0</v>
      </c>
      <c r="G40">
        <f>'Monthly Data'!EJ40</f>
        <v>0</v>
      </c>
      <c r="H40" s="3">
        <f>'Monthly Data'!DB40</f>
        <v>7183.7</v>
      </c>
      <c r="I40" s="3">
        <f>'Monthly Data'!DQ40</f>
        <v>31</v>
      </c>
      <c r="K40" s="3">
        <f t="shared" si="13"/>
        <v>-4083957</v>
      </c>
      <c r="L40" s="3">
        <f t="shared" si="14"/>
        <v>7013794.564666668</v>
      </c>
      <c r="M40" s="3">
        <f t="shared" si="15"/>
        <v>0</v>
      </c>
      <c r="N40" s="3">
        <f t="shared" si="16"/>
        <v>0</v>
      </c>
      <c r="O40" s="3">
        <f t="shared" si="17"/>
        <v>7271197.4659999991</v>
      </c>
      <c r="P40" s="3">
        <f t="shared" si="18"/>
        <v>14778211.5</v>
      </c>
      <c r="Q40" s="47">
        <f t="shared" si="11"/>
        <v>24979246.530666668</v>
      </c>
      <c r="R40" s="47">
        <f>'Monthly Data'!S40+'Monthly Data'!T40</f>
        <v>8221.0697435897455</v>
      </c>
      <c r="S40" s="47">
        <f t="shared" si="8"/>
        <v>24987467.600410257</v>
      </c>
      <c r="T40" s="47">
        <f t="shared" si="9"/>
        <v>-199358.40082617849</v>
      </c>
      <c r="U40" s="18">
        <f t="shared" si="12"/>
        <v>7.915185534548572E-3</v>
      </c>
    </row>
    <row r="41" spans="1:21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Data'!R41</f>
        <v>23180895.087741606</v>
      </c>
      <c r="E41" s="3">
        <f>'Monthly Data'!CN41</f>
        <v>512.51666666666677</v>
      </c>
      <c r="F41" s="3">
        <f>'Monthly Data'!CU41</f>
        <v>0</v>
      </c>
      <c r="G41">
        <f>'Monthly Data'!EJ41</f>
        <v>0</v>
      </c>
      <c r="H41" s="3">
        <f>'Monthly Data'!DB41</f>
        <v>7196</v>
      </c>
      <c r="I41" s="3">
        <f>'Monthly Data'!DQ41</f>
        <v>30</v>
      </c>
      <c r="K41" s="3">
        <f t="shared" si="13"/>
        <v>-4083957</v>
      </c>
      <c r="L41" s="3">
        <f t="shared" si="14"/>
        <v>5712387.7626666678</v>
      </c>
      <c r="M41" s="3">
        <f t="shared" si="15"/>
        <v>0</v>
      </c>
      <c r="N41" s="3">
        <f t="shared" si="16"/>
        <v>0</v>
      </c>
      <c r="O41" s="3">
        <f t="shared" si="17"/>
        <v>7283647.2799999993</v>
      </c>
      <c r="P41" s="3">
        <f t="shared" si="18"/>
        <v>14301495</v>
      </c>
      <c r="Q41" s="47">
        <f t="shared" si="11"/>
        <v>23213573.042666666</v>
      </c>
      <c r="R41" s="47">
        <f>'Monthly Data'!S41+'Monthly Data'!T41</f>
        <v>9225.9507692307707</v>
      </c>
      <c r="S41" s="47">
        <f t="shared" si="8"/>
        <v>23222798.993435897</v>
      </c>
      <c r="T41" s="47">
        <f t="shared" si="9"/>
        <v>41903.905694290996</v>
      </c>
      <c r="U41" s="18">
        <f t="shared" si="12"/>
        <v>1.8076914431337204E-3</v>
      </c>
    </row>
    <row r="42" spans="1:21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Data'!R42</f>
        <v>22313963.63573657</v>
      </c>
      <c r="E42" s="3">
        <f>'Monthly Data'!CN42</f>
        <v>140.84469696969697</v>
      </c>
      <c r="F42" s="3">
        <f>'Monthly Data'!CU42</f>
        <v>80.600541125541127</v>
      </c>
      <c r="G42">
        <f>'Monthly Data'!EJ42</f>
        <v>0</v>
      </c>
      <c r="H42" s="3">
        <f>'Monthly Data'!DB42</f>
        <v>7205</v>
      </c>
      <c r="I42" s="3">
        <f>'Monthly Data'!DQ42</f>
        <v>31</v>
      </c>
      <c r="K42" s="3">
        <f t="shared" si="13"/>
        <v>-4083957</v>
      </c>
      <c r="L42" s="3">
        <f t="shared" si="14"/>
        <v>1569821.1896969697</v>
      </c>
      <c r="M42" s="3">
        <f t="shared" si="15"/>
        <v>2785036.4398192642</v>
      </c>
      <c r="N42" s="3">
        <f t="shared" si="16"/>
        <v>0</v>
      </c>
      <c r="O42" s="3">
        <f t="shared" si="17"/>
        <v>7292756.8999999994</v>
      </c>
      <c r="P42" s="3">
        <f t="shared" si="18"/>
        <v>14778211.5</v>
      </c>
      <c r="Q42" s="47">
        <f t="shared" si="11"/>
        <v>22341869.029516235</v>
      </c>
      <c r="R42" s="47">
        <f>'Monthly Data'!S42+'Monthly Data'!T42</f>
        <v>10230.831794871798</v>
      </c>
      <c r="S42" s="47">
        <f t="shared" si="8"/>
        <v>22352099.861311108</v>
      </c>
      <c r="T42" s="47">
        <f t="shared" si="9"/>
        <v>38136.225574538112</v>
      </c>
      <c r="U42" s="18">
        <f t="shared" si="12"/>
        <v>1.7090744700086207E-3</v>
      </c>
    </row>
    <row r="43" spans="1:21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Data'!R43</f>
        <v>22801873.482121836</v>
      </c>
      <c r="E43" s="3">
        <f>'Monthly Data'!CN43</f>
        <v>63.468560606060585</v>
      </c>
      <c r="F43" s="3">
        <f>'Monthly Data'!CU43</f>
        <v>141.51477272727271</v>
      </c>
      <c r="G43">
        <f>'Monthly Data'!EJ43</f>
        <v>0</v>
      </c>
      <c r="H43" s="3">
        <f>'Monthly Data'!DB43</f>
        <v>7216.7</v>
      </c>
      <c r="I43" s="3">
        <f>'Monthly Data'!DQ43</f>
        <v>30</v>
      </c>
      <c r="K43" s="3">
        <f t="shared" si="13"/>
        <v>-4083957</v>
      </c>
      <c r="L43" s="3">
        <f t="shared" si="14"/>
        <v>707405.34406060586</v>
      </c>
      <c r="M43" s="3">
        <f t="shared" si="15"/>
        <v>4889840.6054659085</v>
      </c>
      <c r="N43" s="3">
        <f t="shared" si="16"/>
        <v>0</v>
      </c>
      <c r="O43" s="3">
        <f t="shared" si="17"/>
        <v>7304599.4059999995</v>
      </c>
      <c r="P43" s="3">
        <f t="shared" si="18"/>
        <v>14301495</v>
      </c>
      <c r="Q43" s="47">
        <f t="shared" si="11"/>
        <v>23119383.355526514</v>
      </c>
      <c r="R43" s="47">
        <f>'Monthly Data'!S43+'Monthly Data'!T43</f>
        <v>11235.712820512825</v>
      </c>
      <c r="S43" s="47">
        <f t="shared" si="8"/>
        <v>23130619.068347026</v>
      </c>
      <c r="T43" s="47">
        <f t="shared" si="9"/>
        <v>328745.58622518927</v>
      </c>
      <c r="U43" s="18">
        <f t="shared" si="12"/>
        <v>1.4417481374192668E-2</v>
      </c>
    </row>
    <row r="44" spans="1:21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Data'!R44</f>
        <v>26320696.677457105</v>
      </c>
      <c r="E44" s="3">
        <f>'Monthly Data'!CN44</f>
        <v>4.9668995859213254</v>
      </c>
      <c r="F44" s="3">
        <f>'Monthly Data'!CU44</f>
        <v>256.39861424807077</v>
      </c>
      <c r="G44">
        <f>'Monthly Data'!EJ44</f>
        <v>0</v>
      </c>
      <c r="H44" s="3">
        <f>'Monthly Data'!DB44</f>
        <v>7249.1</v>
      </c>
      <c r="I44" s="3">
        <f>'Monthly Data'!DQ44</f>
        <v>31</v>
      </c>
      <c r="K44" s="3">
        <f t="shared" si="13"/>
        <v>-4083957</v>
      </c>
      <c r="L44" s="3">
        <f t="shared" si="14"/>
        <v>55359.870728778471</v>
      </c>
      <c r="M44" s="3">
        <f t="shared" si="15"/>
        <v>8859487.4653237108</v>
      </c>
      <c r="N44" s="3">
        <f t="shared" si="16"/>
        <v>0</v>
      </c>
      <c r="O44" s="3">
        <f t="shared" si="17"/>
        <v>7337394.0379999997</v>
      </c>
      <c r="P44" s="3">
        <f t="shared" si="18"/>
        <v>14778211.5</v>
      </c>
      <c r="Q44" s="47">
        <f t="shared" si="11"/>
        <v>26946495.874052487</v>
      </c>
      <c r="R44" s="47">
        <f>'Monthly Data'!S44+'Monthly Data'!T44</f>
        <v>12240.59384615385</v>
      </c>
      <c r="S44" s="47">
        <f t="shared" si="8"/>
        <v>26958736.467898641</v>
      </c>
      <c r="T44" s="47">
        <f t="shared" si="9"/>
        <v>638039.79044153541</v>
      </c>
      <c r="U44" s="18">
        <f t="shared" si="12"/>
        <v>2.4240991728307768E-2</v>
      </c>
    </row>
    <row r="45" spans="1:21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Data'!R45</f>
        <v>26202860.506362271</v>
      </c>
      <c r="E45" s="3">
        <f>'Monthly Data'!CN45</f>
        <v>7.2291666666666679</v>
      </c>
      <c r="F45" s="3">
        <f>'Monthly Data'!CU45</f>
        <v>252.24583333333339</v>
      </c>
      <c r="G45">
        <f>'Monthly Data'!EJ45</f>
        <v>0</v>
      </c>
      <c r="H45" s="3">
        <f>'Monthly Data'!DB45</f>
        <v>7257.7</v>
      </c>
      <c r="I45" s="3">
        <f>'Monthly Data'!DQ45</f>
        <v>31</v>
      </c>
      <c r="K45" s="3">
        <f t="shared" si="13"/>
        <v>-4083957</v>
      </c>
      <c r="L45" s="3">
        <f t="shared" si="14"/>
        <v>80574.556666666685</v>
      </c>
      <c r="M45" s="3">
        <f t="shared" si="15"/>
        <v>8715994.0592916682</v>
      </c>
      <c r="N45" s="3">
        <f t="shared" si="16"/>
        <v>0</v>
      </c>
      <c r="O45" s="3">
        <f t="shared" si="17"/>
        <v>7346098.7859999994</v>
      </c>
      <c r="P45" s="3">
        <f t="shared" si="18"/>
        <v>14778211.5</v>
      </c>
      <c r="Q45" s="47">
        <f t="shared" si="11"/>
        <v>26836921.901958335</v>
      </c>
      <c r="R45" s="47">
        <f>'Monthly Data'!S45+'Monthly Data'!T45</f>
        <v>13245.474871794875</v>
      </c>
      <c r="S45" s="47">
        <f t="shared" si="8"/>
        <v>26850167.376830131</v>
      </c>
      <c r="T45" s="47">
        <f t="shared" si="9"/>
        <v>647306.87046786025</v>
      </c>
      <c r="U45" s="18">
        <f t="shared" si="12"/>
        <v>2.4703671964008998E-2</v>
      </c>
    </row>
    <row r="46" spans="1:21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Data'!R46</f>
        <v>22815236.500837341</v>
      </c>
      <c r="E46" s="3">
        <f>'Monthly Data'!CN46</f>
        <v>92.370833333333337</v>
      </c>
      <c r="F46" s="3">
        <f>'Monthly Data'!CU46</f>
        <v>135.06250000000003</v>
      </c>
      <c r="G46">
        <f>'Monthly Data'!EJ46</f>
        <v>0</v>
      </c>
      <c r="H46" s="3">
        <f>'Monthly Data'!DB46</f>
        <v>7273.8</v>
      </c>
      <c r="I46" s="3">
        <f>'Monthly Data'!DQ46</f>
        <v>30</v>
      </c>
      <c r="K46" s="3">
        <f t="shared" si="13"/>
        <v>-4083957</v>
      </c>
      <c r="L46" s="3">
        <f t="shared" si="14"/>
        <v>1029543.1393333334</v>
      </c>
      <c r="M46" s="3">
        <f t="shared" si="15"/>
        <v>4666891.5481250007</v>
      </c>
      <c r="N46" s="3">
        <f t="shared" si="16"/>
        <v>0</v>
      </c>
      <c r="O46" s="3">
        <f t="shared" si="17"/>
        <v>7362394.8839999996</v>
      </c>
      <c r="P46" s="3">
        <f t="shared" si="18"/>
        <v>14301495</v>
      </c>
      <c r="Q46" s="47">
        <f t="shared" si="11"/>
        <v>23276367.571458332</v>
      </c>
      <c r="R46" s="47">
        <f>'Monthly Data'!S46+'Monthly Data'!T46</f>
        <v>14250.3558974359</v>
      </c>
      <c r="S46" s="47">
        <f t="shared" si="8"/>
        <v>23290617.927355766</v>
      </c>
      <c r="T46" s="47">
        <f t="shared" si="9"/>
        <v>475381.42651842535</v>
      </c>
      <c r="U46" s="18">
        <f t="shared" si="12"/>
        <v>2.0836138450766373E-2</v>
      </c>
    </row>
    <row r="47" spans="1:21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Data'!R47</f>
        <v>22106154.886432506</v>
      </c>
      <c r="E47" s="3">
        <f>'Monthly Data'!CN47</f>
        <v>364.80833333333339</v>
      </c>
      <c r="F47" s="3">
        <f>'Monthly Data'!CU47</f>
        <v>15.387500000000001</v>
      </c>
      <c r="G47">
        <f>'Monthly Data'!EJ47</f>
        <v>0</v>
      </c>
      <c r="H47" s="3">
        <f>'Monthly Data'!DB47</f>
        <v>7269.1</v>
      </c>
      <c r="I47" s="3">
        <f>'Monthly Data'!DQ47</f>
        <v>31</v>
      </c>
      <c r="K47" s="3">
        <f t="shared" si="13"/>
        <v>-4083957</v>
      </c>
      <c r="L47" s="3">
        <f t="shared" si="14"/>
        <v>4066066.129333334</v>
      </c>
      <c r="M47" s="3">
        <f t="shared" si="15"/>
        <v>531693.05837500002</v>
      </c>
      <c r="N47" s="3">
        <f t="shared" si="16"/>
        <v>0</v>
      </c>
      <c r="O47" s="3">
        <f t="shared" si="17"/>
        <v>7357637.6380000003</v>
      </c>
      <c r="P47" s="3">
        <f t="shared" si="18"/>
        <v>14778211.5</v>
      </c>
      <c r="Q47" s="47">
        <f t="shared" si="11"/>
        <v>22649651.325708333</v>
      </c>
      <c r="R47" s="47">
        <f>'Monthly Data'!S47+'Monthly Data'!T47</f>
        <v>15255.236923076929</v>
      </c>
      <c r="S47" s="47">
        <f t="shared" si="8"/>
        <v>22664906.56263141</v>
      </c>
      <c r="T47" s="47">
        <f t="shared" si="9"/>
        <v>558751.67619890347</v>
      </c>
      <c r="U47" s="18">
        <f t="shared" si="12"/>
        <v>2.5275841912327925E-2</v>
      </c>
    </row>
    <row r="48" spans="1:21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Data'!R48</f>
        <v>24138888.993887678</v>
      </c>
      <c r="E48" s="3">
        <f>'Monthly Data'!CN48</f>
        <v>563.52499999999998</v>
      </c>
      <c r="F48" s="3">
        <f>'Monthly Data'!CU48</f>
        <v>0</v>
      </c>
      <c r="G48">
        <f>'Monthly Data'!EJ48</f>
        <v>0</v>
      </c>
      <c r="H48" s="3">
        <f>'Monthly Data'!DB48</f>
        <v>7289.9</v>
      </c>
      <c r="I48" s="3">
        <f>'Monthly Data'!DQ48</f>
        <v>30</v>
      </c>
      <c r="K48" s="3">
        <f t="shared" si="13"/>
        <v>-4083957</v>
      </c>
      <c r="L48" s="3">
        <f t="shared" si="14"/>
        <v>6280914.4040000001</v>
      </c>
      <c r="M48" s="3">
        <f t="shared" si="15"/>
        <v>0</v>
      </c>
      <c r="N48" s="3">
        <f t="shared" si="16"/>
        <v>0</v>
      </c>
      <c r="O48" s="3">
        <f t="shared" si="17"/>
        <v>7378690.9819999989</v>
      </c>
      <c r="P48" s="3">
        <f t="shared" si="18"/>
        <v>14301495</v>
      </c>
      <c r="Q48" s="47">
        <f t="shared" si="11"/>
        <v>23877143.386</v>
      </c>
      <c r="R48" s="47">
        <f>'Monthly Data'!S48+'Monthly Data'!T48</f>
        <v>16260.117948717954</v>
      </c>
      <c r="S48" s="47">
        <f t="shared" si="8"/>
        <v>23893403.503948718</v>
      </c>
      <c r="T48" s="47">
        <f t="shared" si="9"/>
        <v>-245485.48993895948</v>
      </c>
      <c r="U48" s="18">
        <f t="shared" si="12"/>
        <v>1.0169709550473513E-2</v>
      </c>
    </row>
    <row r="49" spans="1:21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Data'!R49</f>
        <v>25339446.166972842</v>
      </c>
      <c r="E49" s="3">
        <f>'Monthly Data'!CN49</f>
        <v>646.91666666666663</v>
      </c>
      <c r="F49" s="3">
        <f>'Monthly Data'!CU49</f>
        <v>0</v>
      </c>
      <c r="G49">
        <f>'Monthly Data'!EJ49</f>
        <v>0</v>
      </c>
      <c r="H49" s="3">
        <f>'Monthly Data'!DB49</f>
        <v>7296.4</v>
      </c>
      <c r="I49" s="3">
        <f>'Monthly Data'!DQ49</f>
        <v>31</v>
      </c>
      <c r="K49" s="3">
        <f t="shared" si="13"/>
        <v>-4083957</v>
      </c>
      <c r="L49" s="3">
        <f t="shared" si="14"/>
        <v>7210377.9066666663</v>
      </c>
      <c r="M49" s="3">
        <f t="shared" si="15"/>
        <v>0</v>
      </c>
      <c r="N49" s="3">
        <f t="shared" si="16"/>
        <v>0</v>
      </c>
      <c r="O49" s="3">
        <f t="shared" si="17"/>
        <v>7385270.1519999988</v>
      </c>
      <c r="P49" s="3">
        <f t="shared" si="18"/>
        <v>14778211.5</v>
      </c>
      <c r="Q49" s="47">
        <f t="shared" si="11"/>
        <v>25289902.558666665</v>
      </c>
      <c r="R49" s="47">
        <f>'Monthly Data'!S49+'Monthly Data'!T49</f>
        <v>17264.998974358979</v>
      </c>
      <c r="S49" s="47">
        <f t="shared" si="8"/>
        <v>25307167.557641026</v>
      </c>
      <c r="T49" s="47">
        <f t="shared" si="9"/>
        <v>-32278.609331816435</v>
      </c>
      <c r="U49" s="18">
        <f t="shared" si="12"/>
        <v>1.2738482569476211E-3</v>
      </c>
    </row>
    <row r="50" spans="1:21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Data'!R50</f>
        <v>28199794.929765757</v>
      </c>
      <c r="E50" s="3">
        <f>'Monthly Data'!CN50</f>
        <v>841.93333333333351</v>
      </c>
      <c r="F50" s="3">
        <f>'Monthly Data'!CU50</f>
        <v>0</v>
      </c>
      <c r="G50">
        <f>'Monthly Data'!EJ50</f>
        <v>0</v>
      </c>
      <c r="H50" s="3">
        <f>'Monthly Data'!DB50</f>
        <v>7306.5</v>
      </c>
      <c r="I50" s="3">
        <f>'Monthly Data'!DQ50</f>
        <v>31</v>
      </c>
      <c r="K50" s="3">
        <f t="shared" si="13"/>
        <v>-4083957</v>
      </c>
      <c r="L50" s="3">
        <f t="shared" si="14"/>
        <v>9383986.8693333361</v>
      </c>
      <c r="M50" s="3">
        <f t="shared" si="15"/>
        <v>0</v>
      </c>
      <c r="N50" s="3">
        <f t="shared" si="16"/>
        <v>0</v>
      </c>
      <c r="O50" s="3">
        <f t="shared" si="17"/>
        <v>7395493.1699999999</v>
      </c>
      <c r="P50" s="3">
        <f t="shared" si="18"/>
        <v>14778211.5</v>
      </c>
      <c r="Q50" s="47">
        <f t="shared" si="11"/>
        <v>27473734.539333336</v>
      </c>
      <c r="R50" s="47">
        <f ca="1">'Monthly Data'!S50+'Monthly Data'!T50</f>
        <v>56202.403596334043</v>
      </c>
      <c r="S50" s="47">
        <f t="shared" ca="1" si="8"/>
        <v>27529936.94292967</v>
      </c>
      <c r="T50" s="47">
        <f t="shared" ca="1" si="9"/>
        <v>-669857.98683608696</v>
      </c>
      <c r="U50" s="18">
        <f t="shared" ca="1" si="12"/>
        <v>2.3754002059391967E-2</v>
      </c>
    </row>
    <row r="51" spans="1:21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Data'!R51</f>
        <v>25294481.990231387</v>
      </c>
      <c r="E51" s="3">
        <f>'Monthly Data'!CN51</f>
        <v>695.30416666666645</v>
      </c>
      <c r="F51" s="3">
        <f>'Monthly Data'!CU51</f>
        <v>0</v>
      </c>
      <c r="G51">
        <f>'Monthly Data'!EJ51</f>
        <v>0</v>
      </c>
      <c r="H51" s="3">
        <f>'Monthly Data'!DB51</f>
        <v>7329.7</v>
      </c>
      <c r="I51" s="3">
        <f>'Monthly Data'!DQ51</f>
        <v>28</v>
      </c>
      <c r="K51" s="3">
        <f t="shared" si="13"/>
        <v>-4083957</v>
      </c>
      <c r="L51" s="3">
        <f t="shared" si="14"/>
        <v>7749693.3686666647</v>
      </c>
      <c r="M51" s="3">
        <f t="shared" si="15"/>
        <v>0</v>
      </c>
      <c r="N51" s="3">
        <f t="shared" si="16"/>
        <v>0</v>
      </c>
      <c r="O51" s="3">
        <f t="shared" si="17"/>
        <v>7418975.7459999993</v>
      </c>
      <c r="P51" s="3">
        <f t="shared" si="18"/>
        <v>13348062</v>
      </c>
      <c r="Q51" s="47">
        <f t="shared" si="11"/>
        <v>24432774.114666663</v>
      </c>
      <c r="R51" s="47">
        <f ca="1">'Monthly Data'!S51+'Monthly Data'!T51</f>
        <v>49946.637318768262</v>
      </c>
      <c r="S51" s="47">
        <f t="shared" ca="1" si="8"/>
        <v>24482720.751985431</v>
      </c>
      <c r="T51" s="47">
        <f t="shared" ca="1" si="9"/>
        <v>-811761.2382459566</v>
      </c>
      <c r="U51" s="18">
        <f t="shared" ca="1" si="12"/>
        <v>3.2092423895435179E-2</v>
      </c>
    </row>
    <row r="52" spans="1:21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Data'!R52</f>
        <v>26621291.355706912</v>
      </c>
      <c r="E52" s="3">
        <f>'Monthly Data'!CN52</f>
        <v>673.45833333333326</v>
      </c>
      <c r="F52" s="3">
        <f>'Monthly Data'!CU52</f>
        <v>0</v>
      </c>
      <c r="G52">
        <f>'Monthly Data'!EJ52</f>
        <v>0</v>
      </c>
      <c r="H52" s="3">
        <f>'Monthly Data'!DB52</f>
        <v>7341.9</v>
      </c>
      <c r="I52" s="3">
        <f>'Monthly Data'!DQ52</f>
        <v>31</v>
      </c>
      <c r="K52" s="3">
        <f t="shared" si="13"/>
        <v>-4083957</v>
      </c>
      <c r="L52" s="3">
        <f t="shared" si="14"/>
        <v>7506204.9533333322</v>
      </c>
      <c r="M52" s="3">
        <f t="shared" si="15"/>
        <v>0</v>
      </c>
      <c r="N52" s="3">
        <f t="shared" si="16"/>
        <v>0</v>
      </c>
      <c r="O52" s="3">
        <f t="shared" si="17"/>
        <v>7431324.3419999992</v>
      </c>
      <c r="P52" s="3">
        <f t="shared" si="18"/>
        <v>14778211.5</v>
      </c>
      <c r="Q52" s="47">
        <f t="shared" si="11"/>
        <v>25631783.795333333</v>
      </c>
      <c r="R52" s="47">
        <f ca="1">'Monthly Data'!S52+'Monthly Data'!T52</f>
        <v>49104.629070970179</v>
      </c>
      <c r="S52" s="47">
        <f t="shared" ca="1" si="8"/>
        <v>25680888.424404304</v>
      </c>
      <c r="T52" s="47">
        <f t="shared" ca="1" si="9"/>
        <v>-940402.93130260706</v>
      </c>
      <c r="U52" s="18">
        <f t="shared" ca="1" si="12"/>
        <v>3.5325218402713181E-2</v>
      </c>
    </row>
    <row r="53" spans="1:21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Data'!R53</f>
        <v>24284936.427162535</v>
      </c>
      <c r="E53" s="3">
        <f>'Monthly Data'!CN53</f>
        <v>426.6541666666667</v>
      </c>
      <c r="F53" s="3">
        <f>'Monthly Data'!CU53</f>
        <v>0</v>
      </c>
      <c r="G53">
        <f>'Monthly Data'!EJ53</f>
        <v>0</v>
      </c>
      <c r="H53" s="3">
        <f>'Monthly Data'!DB53</f>
        <v>7361.6</v>
      </c>
      <c r="I53" s="3">
        <f>'Monthly Data'!DQ53</f>
        <v>30</v>
      </c>
      <c r="K53" s="3">
        <f t="shared" si="13"/>
        <v>-4083957</v>
      </c>
      <c r="L53" s="3">
        <f t="shared" si="14"/>
        <v>4755384.9446666669</v>
      </c>
      <c r="M53" s="3">
        <f t="shared" si="15"/>
        <v>0</v>
      </c>
      <c r="N53" s="3">
        <f t="shared" si="16"/>
        <v>0</v>
      </c>
      <c r="O53" s="3">
        <f t="shared" si="17"/>
        <v>7451264.2879999997</v>
      </c>
      <c r="P53" s="3">
        <f t="shared" si="18"/>
        <v>14301495</v>
      </c>
      <c r="Q53" s="47">
        <f t="shared" si="11"/>
        <v>22424187.232666668</v>
      </c>
      <c r="R53" s="47">
        <f ca="1">'Monthly Data'!S53+'Monthly Data'!T53</f>
        <v>37848.31682546252</v>
      </c>
      <c r="S53" s="47">
        <f t="shared" ca="1" si="8"/>
        <v>22462035.549492132</v>
      </c>
      <c r="T53" s="47">
        <f t="shared" ca="1" si="9"/>
        <v>-1822900.8776704036</v>
      </c>
      <c r="U53" s="18">
        <f t="shared" ca="1" si="12"/>
        <v>7.5063028603669785E-2</v>
      </c>
    </row>
    <row r="54" spans="1:21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Data'!R54</f>
        <v>22990078.605217956</v>
      </c>
      <c r="E54" s="3">
        <f>'Monthly Data'!CN54</f>
        <v>267.53464912280702</v>
      </c>
      <c r="F54" s="3">
        <f>'Monthly Data'!CU54</f>
        <v>11.208333333333332</v>
      </c>
      <c r="G54">
        <f>'Monthly Data'!EJ54</f>
        <v>0</v>
      </c>
      <c r="H54" s="3">
        <f>'Monthly Data'!DB54</f>
        <v>7376.4</v>
      </c>
      <c r="I54" s="3">
        <f>'Monthly Data'!DQ54</f>
        <v>31</v>
      </c>
      <c r="K54" s="3">
        <f t="shared" si="13"/>
        <v>-4083957</v>
      </c>
      <c r="L54" s="3">
        <f t="shared" si="14"/>
        <v>2981876.9908070178</v>
      </c>
      <c r="M54" s="3">
        <f t="shared" si="15"/>
        <v>387287.93041666661</v>
      </c>
      <c r="N54" s="3">
        <f t="shared" si="16"/>
        <v>0</v>
      </c>
      <c r="O54" s="3">
        <f t="shared" si="17"/>
        <v>7466244.5519999992</v>
      </c>
      <c r="P54" s="3">
        <f t="shared" si="18"/>
        <v>14778211.5</v>
      </c>
      <c r="Q54" s="47">
        <f t="shared" ref="Q54:Q85" si="19">SUM(K54:P54)</f>
        <v>21529663.973223682</v>
      </c>
      <c r="R54" s="47">
        <f ca="1">'Monthly Data'!S54+'Monthly Data'!T54</f>
        <v>30608.984995118615</v>
      </c>
      <c r="S54" s="47">
        <f t="shared" ca="1" si="8"/>
        <v>21560272.958218802</v>
      </c>
      <c r="T54" s="47">
        <f t="shared" ca="1" si="9"/>
        <v>-1429805.6469991542</v>
      </c>
      <c r="U54" s="18">
        <f t="shared" ref="U54:U85" ca="1" si="20">ABS(T54/D54)</f>
        <v>6.2192290489804486E-2</v>
      </c>
    </row>
    <row r="55" spans="1:21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Data'!R55</f>
        <v>23460428.591133583</v>
      </c>
      <c r="E55" s="3">
        <f>'Monthly Data'!CN55</f>
        <v>80.695833333333368</v>
      </c>
      <c r="F55" s="3">
        <f>'Monthly Data'!CU55</f>
        <v>118.81666666666663</v>
      </c>
      <c r="G55">
        <f>'Monthly Data'!EJ55</f>
        <v>0</v>
      </c>
      <c r="H55" s="3">
        <f>'Monthly Data'!DB55</f>
        <v>7396.1</v>
      </c>
      <c r="I55" s="3">
        <f>'Monthly Data'!DQ55</f>
        <v>30</v>
      </c>
      <c r="K55" s="3">
        <f t="shared" si="13"/>
        <v>-4083957</v>
      </c>
      <c r="L55" s="3">
        <f t="shared" si="14"/>
        <v>899416.3913333338</v>
      </c>
      <c r="M55" s="3">
        <f t="shared" si="15"/>
        <v>4105540.008833332</v>
      </c>
      <c r="N55" s="3">
        <f t="shared" si="16"/>
        <v>0</v>
      </c>
      <c r="O55" s="3">
        <f t="shared" si="17"/>
        <v>7486184.4979999997</v>
      </c>
      <c r="P55" s="3">
        <f t="shared" si="18"/>
        <v>14301495</v>
      </c>
      <c r="Q55" s="47">
        <f t="shared" si="19"/>
        <v>22708678.898166664</v>
      </c>
      <c r="R55" s="47">
        <f ca="1">'Monthly Data'!S55+'Monthly Data'!T55</f>
        <v>23451.529238980685</v>
      </c>
      <c r="S55" s="47">
        <f t="shared" ref="S55:S118" ca="1" si="21">Q55+R55</f>
        <v>22732130.427405644</v>
      </c>
      <c r="T55" s="47">
        <f t="shared" ref="T55:T118" ca="1" si="22">S55-D55</f>
        <v>-728298.16372793913</v>
      </c>
      <c r="U55" s="18">
        <f t="shared" ca="1" si="20"/>
        <v>3.1043685365713454E-2</v>
      </c>
    </row>
    <row r="56" spans="1:21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Data'!R56</f>
        <v>28720628.229629111</v>
      </c>
      <c r="E56" s="3">
        <f>'Monthly Data'!CN56</f>
        <v>0.97500000000000497</v>
      </c>
      <c r="F56" s="3">
        <f>'Monthly Data'!CU56</f>
        <v>259.60000000000008</v>
      </c>
      <c r="G56">
        <f>'Monthly Data'!EJ56</f>
        <v>0</v>
      </c>
      <c r="H56" s="3">
        <f>'Monthly Data'!DB56</f>
        <v>7399.6</v>
      </c>
      <c r="I56" s="3">
        <f>'Monthly Data'!DQ56</f>
        <v>31</v>
      </c>
      <c r="K56" s="3">
        <f t="shared" si="13"/>
        <v>-4083957</v>
      </c>
      <c r="L56" s="3">
        <f t="shared" si="14"/>
        <v>10867.116000000056</v>
      </c>
      <c r="M56" s="3">
        <f t="shared" si="15"/>
        <v>8970106.7720000017</v>
      </c>
      <c r="N56" s="3">
        <f t="shared" si="16"/>
        <v>0</v>
      </c>
      <c r="O56" s="3">
        <f t="shared" si="17"/>
        <v>7489727.1279999996</v>
      </c>
      <c r="P56" s="3">
        <f t="shared" si="18"/>
        <v>14778211.5</v>
      </c>
      <c r="Q56" s="47">
        <f t="shared" si="19"/>
        <v>27164955.516000003</v>
      </c>
      <c r="R56" s="47">
        <f ca="1">'Monthly Data'!S56+'Monthly Data'!T56</f>
        <v>21732.295384615391</v>
      </c>
      <c r="S56" s="47">
        <f t="shared" ca="1" si="21"/>
        <v>27186687.811384618</v>
      </c>
      <c r="T56" s="47">
        <f t="shared" ca="1" si="22"/>
        <v>-1533940.4182444923</v>
      </c>
      <c r="U56" s="18">
        <f t="shared" ca="1" si="20"/>
        <v>5.340901340946403E-2</v>
      </c>
    </row>
    <row r="57" spans="1:21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Data'!R57</f>
        <v>26641426.684534434</v>
      </c>
      <c r="E57" s="3">
        <f>'Monthly Data'!CN57</f>
        <v>19.091666666666661</v>
      </c>
      <c r="F57" s="3">
        <f>'Monthly Data'!CU57</f>
        <v>190.07083333333335</v>
      </c>
      <c r="G57">
        <f>'Monthly Data'!EJ57</f>
        <v>0</v>
      </c>
      <c r="H57" s="3">
        <f>'Monthly Data'!DB57</f>
        <v>7414</v>
      </c>
      <c r="I57" s="3">
        <f>'Monthly Data'!DQ57</f>
        <v>31</v>
      </c>
      <c r="K57" s="3">
        <f t="shared" si="13"/>
        <v>-4083957</v>
      </c>
      <c r="L57" s="3">
        <f t="shared" si="14"/>
        <v>212791.13466666662</v>
      </c>
      <c r="M57" s="3">
        <f t="shared" si="15"/>
        <v>6567625.844541667</v>
      </c>
      <c r="N57" s="3">
        <f t="shared" si="16"/>
        <v>0</v>
      </c>
      <c r="O57" s="3">
        <f t="shared" si="17"/>
        <v>7504302.5199999996</v>
      </c>
      <c r="P57" s="3">
        <f t="shared" si="18"/>
        <v>14778211.5</v>
      </c>
      <c r="Q57" s="47">
        <f t="shared" si="19"/>
        <v>24978973.999208331</v>
      </c>
      <c r="R57" s="47">
        <f ca="1">'Monthly Data'!S57+'Monthly Data'!T57</f>
        <v>22449.932663495594</v>
      </c>
      <c r="S57" s="47">
        <f t="shared" ca="1" si="21"/>
        <v>25001423.931871828</v>
      </c>
      <c r="T57" s="47">
        <f t="shared" ca="1" si="22"/>
        <v>-1640002.7526626065</v>
      </c>
      <c r="U57" s="18">
        <f t="shared" ca="1" si="20"/>
        <v>6.1558368179082598E-2</v>
      </c>
    </row>
    <row r="58" spans="1:21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Data'!R58</f>
        <v>22786083.403550062</v>
      </c>
      <c r="E58" s="3">
        <f>'Monthly Data'!CN58</f>
        <v>113.56666666666666</v>
      </c>
      <c r="F58" s="3">
        <f>'Monthly Data'!CU58</f>
        <v>76.5</v>
      </c>
      <c r="G58">
        <f>'Monthly Data'!EJ58</f>
        <v>0</v>
      </c>
      <c r="H58" s="3">
        <f>'Monthly Data'!DB58</f>
        <v>7432.4</v>
      </c>
      <c r="I58" s="3">
        <f>'Monthly Data'!DQ58</f>
        <v>30</v>
      </c>
      <c r="K58" s="3">
        <f t="shared" si="13"/>
        <v>-4083957</v>
      </c>
      <c r="L58" s="3">
        <f t="shared" si="14"/>
        <v>1265786.8106666666</v>
      </c>
      <c r="M58" s="3">
        <f t="shared" si="15"/>
        <v>2643348.105</v>
      </c>
      <c r="N58" s="3">
        <f t="shared" si="16"/>
        <v>0</v>
      </c>
      <c r="O58" s="3">
        <f t="shared" si="17"/>
        <v>7522926.6319999993</v>
      </c>
      <c r="P58" s="3">
        <f t="shared" si="18"/>
        <v>14301495</v>
      </c>
      <c r="Q58" s="47">
        <f t="shared" si="19"/>
        <v>21649599.547666665</v>
      </c>
      <c r="R58" s="47">
        <f ca="1">'Monthly Data'!S58+'Monthly Data'!T58</f>
        <v>25700.24387214335</v>
      </c>
      <c r="S58" s="47">
        <f t="shared" ca="1" si="21"/>
        <v>21675299.791538808</v>
      </c>
      <c r="T58" s="47">
        <f t="shared" ca="1" si="22"/>
        <v>-1110783.6120112538</v>
      </c>
      <c r="U58" s="18">
        <f t="shared" ca="1" si="20"/>
        <v>4.8748334338063304E-2</v>
      </c>
    </row>
    <row r="59" spans="1:21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Data'!R59</f>
        <v>22912660.533415586</v>
      </c>
      <c r="E59" s="3">
        <f>'Monthly Data'!CN59</f>
        <v>303.96666666666664</v>
      </c>
      <c r="F59" s="3">
        <f>'Monthly Data'!CU59</f>
        <v>7.3333333333333357</v>
      </c>
      <c r="G59">
        <f>'Monthly Data'!EJ59</f>
        <v>0</v>
      </c>
      <c r="H59" s="3">
        <f>'Monthly Data'!DB59</f>
        <v>7450</v>
      </c>
      <c r="I59" s="3">
        <f>'Monthly Data'!DQ59</f>
        <v>31</v>
      </c>
      <c r="K59" s="3">
        <f t="shared" si="13"/>
        <v>-4083957</v>
      </c>
      <c r="L59" s="3">
        <f t="shared" si="14"/>
        <v>3387939.5146666663</v>
      </c>
      <c r="M59" s="3">
        <f t="shared" si="15"/>
        <v>253392.84666666674</v>
      </c>
      <c r="N59" s="3">
        <f t="shared" si="16"/>
        <v>0</v>
      </c>
      <c r="O59" s="3">
        <f t="shared" si="17"/>
        <v>7540741</v>
      </c>
      <c r="P59" s="3">
        <f t="shared" si="18"/>
        <v>14778211.5</v>
      </c>
      <c r="Q59" s="47">
        <f t="shared" si="19"/>
        <v>21876327.861333333</v>
      </c>
      <c r="R59" s="47">
        <f ca="1">'Monthly Data'!S59+'Monthly Data'!T59</f>
        <v>34917.929270836474</v>
      </c>
      <c r="S59" s="47">
        <f t="shared" ca="1" si="21"/>
        <v>21911245.79060417</v>
      </c>
      <c r="T59" s="47">
        <f t="shared" ca="1" si="22"/>
        <v>-1001414.7428114153</v>
      </c>
      <c r="U59" s="18">
        <f t="shared" ca="1" si="20"/>
        <v>4.3705738203163376E-2</v>
      </c>
    </row>
    <row r="60" spans="1:21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Data'!R60</f>
        <v>25340479.971441206</v>
      </c>
      <c r="E60" s="3">
        <f>'Monthly Data'!CN60</f>
        <v>589.72500000000002</v>
      </c>
      <c r="F60" s="3">
        <f>'Monthly Data'!CU60</f>
        <v>0</v>
      </c>
      <c r="G60">
        <f>'Monthly Data'!EJ60</f>
        <v>0</v>
      </c>
      <c r="H60" s="3">
        <f>'Monthly Data'!DB60</f>
        <v>7458.2</v>
      </c>
      <c r="I60" s="3">
        <f>'Monthly Data'!DQ60</f>
        <v>30</v>
      </c>
      <c r="K60" s="3">
        <f t="shared" si="13"/>
        <v>-4083957</v>
      </c>
      <c r="L60" s="3">
        <f t="shared" si="14"/>
        <v>6572933.3160000006</v>
      </c>
      <c r="M60" s="3">
        <f t="shared" si="15"/>
        <v>0</v>
      </c>
      <c r="N60" s="3">
        <f t="shared" si="16"/>
        <v>0</v>
      </c>
      <c r="O60" s="3">
        <f t="shared" si="17"/>
        <v>7549040.8759999992</v>
      </c>
      <c r="P60" s="3">
        <f t="shared" si="18"/>
        <v>14301495</v>
      </c>
      <c r="Q60" s="47">
        <f t="shared" si="19"/>
        <v>24339512.192000002</v>
      </c>
      <c r="R60" s="47">
        <f ca="1">'Monthly Data'!S60+'Monthly Data'!T60</f>
        <v>49138.360701692247</v>
      </c>
      <c r="S60" s="47">
        <f t="shared" ca="1" si="21"/>
        <v>24388650.552701693</v>
      </c>
      <c r="T60" s="47">
        <f t="shared" ca="1" si="22"/>
        <v>-951829.41873951256</v>
      </c>
      <c r="U60" s="18">
        <f t="shared" ca="1" si="20"/>
        <v>3.7561617609935843E-2</v>
      </c>
    </row>
    <row r="61" spans="1:21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Data'!R61</f>
        <v>27137586.348116633</v>
      </c>
      <c r="E61" s="3">
        <f>'Monthly Data'!CN61</f>
        <v>676.42916666666656</v>
      </c>
      <c r="F61" s="3">
        <f>'Monthly Data'!CU61</f>
        <v>0</v>
      </c>
      <c r="G61">
        <f>'Monthly Data'!EJ61</f>
        <v>0</v>
      </c>
      <c r="H61" s="3">
        <f>'Monthly Data'!DB61</f>
        <v>7474</v>
      </c>
      <c r="I61" s="3">
        <f>'Monthly Data'!DQ61</f>
        <v>31</v>
      </c>
      <c r="K61" s="3">
        <f t="shared" si="13"/>
        <v>-4083957</v>
      </c>
      <c r="L61" s="3">
        <f t="shared" si="14"/>
        <v>7539317.1486666659</v>
      </c>
      <c r="M61" s="3">
        <f t="shared" si="15"/>
        <v>0</v>
      </c>
      <c r="N61" s="3">
        <f t="shared" si="16"/>
        <v>0</v>
      </c>
      <c r="O61" s="3">
        <f t="shared" si="17"/>
        <v>7565033.3199999994</v>
      </c>
      <c r="P61" s="3">
        <f t="shared" si="18"/>
        <v>14778211.5</v>
      </c>
      <c r="Q61" s="47">
        <f t="shared" si="19"/>
        <v>25798604.968666665</v>
      </c>
      <c r="R61" s="47">
        <f ca="1">'Monthly Data'!S61+'Monthly Data'!T61</f>
        <v>53698.910156719794</v>
      </c>
      <c r="S61" s="47">
        <f t="shared" ca="1" si="21"/>
        <v>25852303.878823385</v>
      </c>
      <c r="T61" s="47">
        <f t="shared" ca="1" si="22"/>
        <v>-1285282.4692932479</v>
      </c>
      <c r="U61" s="18">
        <f t="shared" ca="1" si="20"/>
        <v>4.7361709063062911E-2</v>
      </c>
    </row>
    <row r="62" spans="1:21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Data'!R62</f>
        <v>27882555.665730566</v>
      </c>
      <c r="E62" s="3">
        <f>'Monthly Data'!CN62</f>
        <v>690.82083333333321</v>
      </c>
      <c r="F62" s="3">
        <f>'Monthly Data'!CU62</f>
        <v>0</v>
      </c>
      <c r="G62">
        <f>'Monthly Data'!EJ62</f>
        <v>0</v>
      </c>
      <c r="H62" s="3">
        <f>'Monthly Data'!DB62</f>
        <v>7498.1</v>
      </c>
      <c r="I62" s="3">
        <f>'Monthly Data'!DQ62</f>
        <v>31</v>
      </c>
      <c r="K62" s="3">
        <f t="shared" si="13"/>
        <v>-4083957</v>
      </c>
      <c r="L62" s="3">
        <f t="shared" si="14"/>
        <v>7699723.2113333326</v>
      </c>
      <c r="M62" s="3">
        <f t="shared" si="15"/>
        <v>0</v>
      </c>
      <c r="N62" s="3">
        <f t="shared" si="16"/>
        <v>0</v>
      </c>
      <c r="O62" s="3">
        <f t="shared" si="17"/>
        <v>7589426.858</v>
      </c>
      <c r="P62" s="3">
        <f t="shared" si="18"/>
        <v>14778211.5</v>
      </c>
      <c r="Q62" s="47">
        <f t="shared" si="19"/>
        <v>25983404.569333334</v>
      </c>
      <c r="R62" s="47">
        <f ca="1">'Monthly Data'!S62+'Monthly Data'!T62</f>
        <v>151067.96583386272</v>
      </c>
      <c r="S62" s="47">
        <f t="shared" ca="1" si="21"/>
        <v>26134472.535167195</v>
      </c>
      <c r="T62" s="47">
        <f t="shared" ca="1" si="22"/>
        <v>-1748083.1305633709</v>
      </c>
      <c r="U62" s="18">
        <f t="shared" ca="1" si="20"/>
        <v>6.2694508764556192E-2</v>
      </c>
    </row>
    <row r="63" spans="1:21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Data'!R63</f>
        <v>26219897.050254565</v>
      </c>
      <c r="E63" s="3">
        <f>'Monthly Data'!CN63</f>
        <v>678.4000000000002</v>
      </c>
      <c r="F63" s="3">
        <f>'Monthly Data'!CU63</f>
        <v>0</v>
      </c>
      <c r="G63">
        <f>'Monthly Data'!EJ63</f>
        <v>0</v>
      </c>
      <c r="H63" s="3">
        <f>'Monthly Data'!DB63</f>
        <v>7508</v>
      </c>
      <c r="I63" s="3">
        <f>'Monthly Data'!DQ63</f>
        <v>29</v>
      </c>
      <c r="K63" s="3">
        <f t="shared" si="13"/>
        <v>-4083957</v>
      </c>
      <c r="L63" s="3">
        <f t="shared" si="14"/>
        <v>7561283.5840000026</v>
      </c>
      <c r="M63" s="3">
        <f t="shared" si="15"/>
        <v>0</v>
      </c>
      <c r="N63" s="3">
        <f t="shared" si="16"/>
        <v>0</v>
      </c>
      <c r="O63" s="3">
        <f t="shared" si="17"/>
        <v>7599447.4399999995</v>
      </c>
      <c r="P63" s="3">
        <f t="shared" si="18"/>
        <v>13824778.5</v>
      </c>
      <c r="Q63" s="47">
        <f t="shared" si="19"/>
        <v>24901552.524000004</v>
      </c>
      <c r="R63" s="47">
        <f ca="1">'Monthly Data'!S63+'Monthly Data'!T63</f>
        <v>149957.2153955187</v>
      </c>
      <c r="S63" s="47">
        <f t="shared" ca="1" si="21"/>
        <v>25051509.739395522</v>
      </c>
      <c r="T63" s="47">
        <f t="shared" ca="1" si="22"/>
        <v>-1168387.3108590432</v>
      </c>
      <c r="U63" s="18">
        <f t="shared" ca="1" si="20"/>
        <v>4.4561094523736869E-2</v>
      </c>
    </row>
    <row r="64" spans="1:21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Data'!R64</f>
        <v>24264064.167998258</v>
      </c>
      <c r="E64" s="3">
        <f>'Monthly Data'!CN64</f>
        <v>543.57083333333344</v>
      </c>
      <c r="F64" s="3">
        <f>'Monthly Data'!CU64</f>
        <v>0</v>
      </c>
      <c r="G64">
        <f>'Monthly Data'!EJ64</f>
        <v>0.5</v>
      </c>
      <c r="H64" s="3">
        <f>'Monthly Data'!DB64</f>
        <v>7351.6</v>
      </c>
      <c r="I64" s="3">
        <f>'Monthly Data'!DQ64</f>
        <v>31</v>
      </c>
      <c r="K64" s="3">
        <f t="shared" si="13"/>
        <v>-4083957</v>
      </c>
      <c r="L64" s="3">
        <f t="shared" si="14"/>
        <v>6058510.0513333343</v>
      </c>
      <c r="M64" s="3">
        <f t="shared" si="15"/>
        <v>0</v>
      </c>
      <c r="N64" s="3">
        <f t="shared" si="16"/>
        <v>-1225198.5</v>
      </c>
      <c r="O64" s="3">
        <f t="shared" si="17"/>
        <v>7441142.4879999999</v>
      </c>
      <c r="P64" s="3">
        <f t="shared" si="18"/>
        <v>14778211.5</v>
      </c>
      <c r="Q64" s="47">
        <f t="shared" si="19"/>
        <v>22968708.539333336</v>
      </c>
      <c r="R64" s="47">
        <f ca="1">'Monthly Data'!S64+'Monthly Data'!T64</f>
        <v>122758.59694498978</v>
      </c>
      <c r="S64" s="47">
        <f t="shared" ca="1" si="21"/>
        <v>23091467.136278328</v>
      </c>
      <c r="T64" s="47">
        <f t="shared" ca="1" si="22"/>
        <v>-1172597.0317199305</v>
      </c>
      <c r="U64" s="18">
        <f t="shared" ca="1" si="20"/>
        <v>4.8326489066347851E-2</v>
      </c>
    </row>
    <row r="65" spans="1:21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Data'!R65</f>
        <v>19436437.523442257</v>
      </c>
      <c r="E65" s="3">
        <f>'Monthly Data'!CN65</f>
        <v>439.67500000000013</v>
      </c>
      <c r="F65" s="3">
        <f>'Monthly Data'!CU65</f>
        <v>0</v>
      </c>
      <c r="G65">
        <f>'Monthly Data'!EJ65</f>
        <v>1</v>
      </c>
      <c r="H65" s="3">
        <f>'Monthly Data'!DB65</f>
        <v>6961.6</v>
      </c>
      <c r="I65" s="3">
        <f>'Monthly Data'!DQ65</f>
        <v>30</v>
      </c>
      <c r="K65" s="3">
        <f t="shared" si="13"/>
        <v>-4083957</v>
      </c>
      <c r="L65" s="3">
        <f t="shared" si="14"/>
        <v>4900512.0280000018</v>
      </c>
      <c r="M65" s="3">
        <f t="shared" si="15"/>
        <v>0</v>
      </c>
      <c r="N65" s="3">
        <f t="shared" si="16"/>
        <v>-2450397</v>
      </c>
      <c r="O65" s="3">
        <f t="shared" si="17"/>
        <v>7046392.2879999997</v>
      </c>
      <c r="P65" s="3">
        <f t="shared" si="18"/>
        <v>14301495</v>
      </c>
      <c r="Q65" s="47">
        <f t="shared" si="19"/>
        <v>19714045.316</v>
      </c>
      <c r="R65" s="47">
        <f ca="1">'Monthly Data'!S65+'Monthly Data'!T65</f>
        <v>102948.40146270186</v>
      </c>
      <c r="S65" s="47">
        <f t="shared" ca="1" si="21"/>
        <v>19816993.7174627</v>
      </c>
      <c r="T65" s="47">
        <f t="shared" ca="1" si="22"/>
        <v>380556.19402044266</v>
      </c>
      <c r="U65" s="18">
        <f t="shared" ca="1" si="20"/>
        <v>1.9579523951416222E-2</v>
      </c>
    </row>
    <row r="66" spans="1:21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Data'!R66</f>
        <v>19729688.584076051</v>
      </c>
      <c r="E66" s="3">
        <f>'Monthly Data'!CN66</f>
        <v>265.14107142857148</v>
      </c>
      <c r="F66" s="3">
        <f>'Monthly Data'!CU66</f>
        <v>50.900595238095221</v>
      </c>
      <c r="G66">
        <f>'Monthly Data'!EJ66</f>
        <v>1</v>
      </c>
      <c r="H66" s="3">
        <f>'Monthly Data'!DB66</f>
        <v>6572.6</v>
      </c>
      <c r="I66" s="3">
        <f>'Monthly Data'!DQ66</f>
        <v>31</v>
      </c>
      <c r="K66" s="3">
        <f t="shared" ref="K66:K97" si="23">$Y$8</f>
        <v>-4083957</v>
      </c>
      <c r="L66" s="3">
        <f t="shared" ref="L66:L97" si="24">E66*$Y$9</f>
        <v>2955198.748285715</v>
      </c>
      <c r="M66" s="3">
        <f t="shared" ref="M66:M97" si="25">F66*$Y$10</f>
        <v>1758797.2806011899</v>
      </c>
      <c r="N66" s="3">
        <f t="shared" ref="N66:N97" si="26">G66*$Y$11</f>
        <v>-2450397</v>
      </c>
      <c r="O66" s="3">
        <f t="shared" ref="O66:O97" si="27">H66*$Y$12</f>
        <v>6652654.2680000002</v>
      </c>
      <c r="P66" s="3">
        <f t="shared" ref="P66:P97" si="28">I66*$Y$13</f>
        <v>14778211.5</v>
      </c>
      <c r="Q66" s="47">
        <f t="shared" si="19"/>
        <v>19610507.796886906</v>
      </c>
      <c r="R66" s="47">
        <f ca="1">'Monthly Data'!S66+'Monthly Data'!T66</f>
        <v>70126.660625806806</v>
      </c>
      <c r="S66" s="47">
        <f t="shared" ca="1" si="21"/>
        <v>19680634.457512714</v>
      </c>
      <c r="T66" s="47">
        <f t="shared" ca="1" si="22"/>
        <v>-49054.1265633367</v>
      </c>
      <c r="U66" s="18">
        <f t="shared" ca="1" si="20"/>
        <v>2.4863102301031035E-3</v>
      </c>
    </row>
    <row r="67" spans="1:21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Data'!R67</f>
        <v>22049789.285819951</v>
      </c>
      <c r="E67" s="3">
        <f>'Monthly Data'!CN67</f>
        <v>53.275000000000006</v>
      </c>
      <c r="F67" s="3">
        <f>'Monthly Data'!CU67</f>
        <v>165.96956521739128</v>
      </c>
      <c r="G67">
        <f>'Monthly Data'!EJ67</f>
        <v>0.5</v>
      </c>
      <c r="H67" s="3">
        <f>'Monthly Data'!DB67</f>
        <v>6477.4</v>
      </c>
      <c r="I67" s="3">
        <f>'Monthly Data'!DQ67</f>
        <v>30</v>
      </c>
      <c r="K67" s="3">
        <f t="shared" si="23"/>
        <v>-4083957</v>
      </c>
      <c r="L67" s="3">
        <f t="shared" si="24"/>
        <v>593790.36400000006</v>
      </c>
      <c r="M67" s="3">
        <f t="shared" si="25"/>
        <v>5734840.9896086948</v>
      </c>
      <c r="N67" s="3">
        <f t="shared" si="26"/>
        <v>-1225198.5</v>
      </c>
      <c r="O67" s="3">
        <f t="shared" si="27"/>
        <v>6556294.7319999989</v>
      </c>
      <c r="P67" s="3">
        <f t="shared" si="28"/>
        <v>14301495</v>
      </c>
      <c r="Q67" s="47">
        <f t="shared" si="19"/>
        <v>21877265.585608695</v>
      </c>
      <c r="R67" s="47">
        <f ca="1">'Monthly Data'!S67+'Monthly Data'!T67</f>
        <v>34091.060584540588</v>
      </c>
      <c r="S67" s="47">
        <f t="shared" ca="1" si="21"/>
        <v>21911356.646193236</v>
      </c>
      <c r="T67" s="47">
        <f t="shared" ca="1" si="22"/>
        <v>-138432.63962671533</v>
      </c>
      <c r="U67" s="18">
        <f t="shared" ca="1" si="20"/>
        <v>6.2781842416852612E-3</v>
      </c>
    </row>
    <row r="68" spans="1:21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Data'!R68</f>
        <v>27165576.220593844</v>
      </c>
      <c r="E68" s="3">
        <f>'Monthly Data'!CN68</f>
        <v>0</v>
      </c>
      <c r="F68" s="3">
        <f>'Monthly Data'!CU68</f>
        <v>308.88750000000005</v>
      </c>
      <c r="G68">
        <f>'Monthly Data'!EJ68</f>
        <v>0.5</v>
      </c>
      <c r="H68" s="3">
        <f>'Monthly Data'!DB68</f>
        <v>6666.4</v>
      </c>
      <c r="I68" s="3">
        <f>'Monthly Data'!DQ68</f>
        <v>31</v>
      </c>
      <c r="K68" s="3">
        <f t="shared" si="23"/>
        <v>-4083957</v>
      </c>
      <c r="L68" s="3">
        <f t="shared" si="24"/>
        <v>0</v>
      </c>
      <c r="M68" s="3">
        <f t="shared" si="25"/>
        <v>10673165.853375001</v>
      </c>
      <c r="N68" s="3">
        <f t="shared" si="26"/>
        <v>-1225198.5</v>
      </c>
      <c r="O68" s="3">
        <f t="shared" si="27"/>
        <v>6747596.7519999994</v>
      </c>
      <c r="P68" s="3">
        <f t="shared" si="28"/>
        <v>14778211.5</v>
      </c>
      <c r="Q68" s="47">
        <f t="shared" si="19"/>
        <v>26889818.605374999</v>
      </c>
      <c r="R68" s="47">
        <f ca="1">'Monthly Data'!S68+'Monthly Data'!T68</f>
        <v>28716.796666666669</v>
      </c>
      <c r="S68" s="47">
        <f t="shared" ca="1" si="21"/>
        <v>26918535.402041666</v>
      </c>
      <c r="T68" s="47">
        <f t="shared" ca="1" si="22"/>
        <v>-247040.8185521774</v>
      </c>
      <c r="U68" s="18">
        <f t="shared" ca="1" si="20"/>
        <v>9.0938920840890978E-3</v>
      </c>
    </row>
    <row r="69" spans="1:21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Data'!R69</f>
        <v>25223117.485357739</v>
      </c>
      <c r="E69" s="3">
        <f>'Monthly Data'!CN69</f>
        <v>19.720833333333321</v>
      </c>
      <c r="F69" s="3">
        <f>'Monthly Data'!CU69</f>
        <v>216.93106060606064</v>
      </c>
      <c r="G69">
        <f>'Monthly Data'!EJ69</f>
        <v>0.5</v>
      </c>
      <c r="H69" s="3">
        <f>'Monthly Data'!DB69</f>
        <v>6904.3</v>
      </c>
      <c r="I69" s="3">
        <f>'Monthly Data'!DQ69</f>
        <v>31</v>
      </c>
      <c r="K69" s="3">
        <f t="shared" si="23"/>
        <v>-4083957</v>
      </c>
      <c r="L69" s="3">
        <f t="shared" si="24"/>
        <v>219803.6753333332</v>
      </c>
      <c r="M69" s="3">
        <f t="shared" si="25"/>
        <v>7495742.5878257584</v>
      </c>
      <c r="N69" s="3">
        <f t="shared" si="26"/>
        <v>-1225198.5</v>
      </c>
      <c r="O69" s="3">
        <f t="shared" si="27"/>
        <v>6988394.3739999998</v>
      </c>
      <c r="P69" s="3">
        <f t="shared" si="28"/>
        <v>14778211.5</v>
      </c>
      <c r="Q69" s="47">
        <f t="shared" si="19"/>
        <v>24172996.63715909</v>
      </c>
      <c r="R69" s="47">
        <f ca="1">'Monthly Data'!S69+'Monthly Data'!T69</f>
        <v>29988.27917543822</v>
      </c>
      <c r="S69" s="47">
        <f t="shared" ca="1" si="21"/>
        <v>24202984.916334528</v>
      </c>
      <c r="T69" s="47">
        <f t="shared" ca="1" si="22"/>
        <v>-1020132.5690232106</v>
      </c>
      <c r="U69" s="18">
        <f t="shared" ca="1" si="20"/>
        <v>4.044434910218403E-2</v>
      </c>
    </row>
    <row r="70" spans="1:21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Data'!R70</f>
        <v>21547745.295761634</v>
      </c>
      <c r="E70" s="3">
        <f>'Monthly Data'!CN70</f>
        <v>132.75869565217394</v>
      </c>
      <c r="F70" s="3">
        <f>'Monthly Data'!CU70</f>
        <v>75.812499999999972</v>
      </c>
      <c r="G70">
        <f>'Monthly Data'!EJ70</f>
        <v>0.5</v>
      </c>
      <c r="H70" s="3">
        <f>'Monthly Data'!DB70</f>
        <v>7065.2</v>
      </c>
      <c r="I70" s="3">
        <f>'Monthly Data'!DQ70</f>
        <v>30</v>
      </c>
      <c r="K70" s="3">
        <f t="shared" si="23"/>
        <v>-4083957</v>
      </c>
      <c r="L70" s="3">
        <f t="shared" si="24"/>
        <v>1479696.5596521744</v>
      </c>
      <c r="M70" s="3">
        <f t="shared" si="25"/>
        <v>2619592.5256249988</v>
      </c>
      <c r="N70" s="3">
        <f t="shared" si="26"/>
        <v>-1225198.5</v>
      </c>
      <c r="O70" s="3">
        <f t="shared" si="27"/>
        <v>7151254.135999999</v>
      </c>
      <c r="P70" s="3">
        <f t="shared" si="28"/>
        <v>14301495</v>
      </c>
      <c r="Q70" s="47">
        <f t="shared" si="19"/>
        <v>20242882.72127717</v>
      </c>
      <c r="R70" s="47">
        <f ca="1">'Monthly Data'!S70+'Monthly Data'!T70</f>
        <v>46876.879825514567</v>
      </c>
      <c r="S70" s="47">
        <f t="shared" ca="1" si="21"/>
        <v>20289759.601102684</v>
      </c>
      <c r="T70" s="47">
        <f t="shared" ca="1" si="22"/>
        <v>-1257985.69465895</v>
      </c>
      <c r="U70" s="18">
        <f t="shared" ca="1" si="20"/>
        <v>5.838131448984555E-2</v>
      </c>
    </row>
    <row r="71" spans="1:21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Data'!R71</f>
        <v>21498604.015655532</v>
      </c>
      <c r="E71" s="3">
        <f>'Monthly Data'!CN71</f>
        <v>349.83333333333326</v>
      </c>
      <c r="F71" s="3">
        <f>'Monthly Data'!CU71</f>
        <v>3.9291666666666654</v>
      </c>
      <c r="G71">
        <f>'Monthly Data'!EJ71</f>
        <v>0.5</v>
      </c>
      <c r="H71" s="3">
        <f>'Monthly Data'!DB71</f>
        <v>7186.6</v>
      </c>
      <c r="I71" s="3">
        <f>'Monthly Data'!DQ71</f>
        <v>31</v>
      </c>
      <c r="K71" s="3">
        <f t="shared" si="23"/>
        <v>-4083957</v>
      </c>
      <c r="L71" s="3">
        <f t="shared" si="24"/>
        <v>3899158.3733333326</v>
      </c>
      <c r="M71" s="3">
        <f t="shared" si="25"/>
        <v>135766.73545833328</v>
      </c>
      <c r="N71" s="3">
        <f t="shared" si="26"/>
        <v>-1225198.5</v>
      </c>
      <c r="O71" s="3">
        <f t="shared" si="27"/>
        <v>7274132.7879999997</v>
      </c>
      <c r="P71" s="3">
        <f t="shared" si="28"/>
        <v>14778211.5</v>
      </c>
      <c r="Q71" s="47">
        <f t="shared" si="19"/>
        <v>20778113.896791667</v>
      </c>
      <c r="R71" s="47">
        <f ca="1">'Monthly Data'!S71+'Monthly Data'!T71</f>
        <v>88018.600755801119</v>
      </c>
      <c r="S71" s="47">
        <f t="shared" ca="1" si="21"/>
        <v>20866132.497547466</v>
      </c>
      <c r="T71" s="47">
        <f t="shared" ca="1" si="22"/>
        <v>-632471.51810806617</v>
      </c>
      <c r="U71" s="18">
        <f t="shared" ca="1" si="20"/>
        <v>2.9419190085434994E-2</v>
      </c>
    </row>
    <row r="72" spans="1:21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Data'!R72</f>
        <v>22721851.45839943</v>
      </c>
      <c r="E72" s="3">
        <f>'Monthly Data'!CN72</f>
        <v>426.30072463768113</v>
      </c>
      <c r="F72" s="3">
        <f>'Monthly Data'!CU72</f>
        <v>0</v>
      </c>
      <c r="G72">
        <f>'Monthly Data'!EJ72</f>
        <v>0.5</v>
      </c>
      <c r="H72" s="3">
        <f>'Monthly Data'!DB72</f>
        <v>7271.8</v>
      </c>
      <c r="I72" s="3">
        <f>'Monthly Data'!DQ72</f>
        <v>30</v>
      </c>
      <c r="K72" s="3">
        <f t="shared" si="23"/>
        <v>-4083957</v>
      </c>
      <c r="L72" s="3">
        <f t="shared" si="24"/>
        <v>4751445.5646376805</v>
      </c>
      <c r="M72" s="3">
        <f t="shared" si="25"/>
        <v>0</v>
      </c>
      <c r="N72" s="3">
        <f t="shared" si="26"/>
        <v>-1225198.5</v>
      </c>
      <c r="O72" s="3">
        <f t="shared" si="27"/>
        <v>7360370.5240000002</v>
      </c>
      <c r="P72" s="3">
        <f t="shared" si="28"/>
        <v>14301495</v>
      </c>
      <c r="Q72" s="47">
        <f t="shared" si="19"/>
        <v>21104155.58863768</v>
      </c>
      <c r="R72" s="47">
        <f ca="1">'Monthly Data'!S72+'Monthly Data'!T72</f>
        <v>104289.62706608686</v>
      </c>
      <c r="S72" s="47">
        <f t="shared" ca="1" si="21"/>
        <v>21208445.215703767</v>
      </c>
      <c r="T72" s="47">
        <f t="shared" ca="1" si="22"/>
        <v>-1513406.2426956631</v>
      </c>
      <c r="U72" s="18">
        <f t="shared" ca="1" si="20"/>
        <v>6.6605762539487634E-2</v>
      </c>
    </row>
    <row r="73" spans="1:21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Data'!R73</f>
        <v>25125723.779873326</v>
      </c>
      <c r="E73" s="3">
        <f>'Monthly Data'!CN73</f>
        <v>644.90416666666681</v>
      </c>
      <c r="F73" s="3">
        <f>'Monthly Data'!CU73</f>
        <v>0</v>
      </c>
      <c r="G73">
        <f>'Monthly Data'!EJ73</f>
        <v>0.5</v>
      </c>
      <c r="H73" s="3">
        <f>'Monthly Data'!DB73</f>
        <v>7289.8</v>
      </c>
      <c r="I73" s="3">
        <f>'Monthly Data'!DQ73</f>
        <v>31</v>
      </c>
      <c r="K73" s="3">
        <f t="shared" si="23"/>
        <v>-4083957</v>
      </c>
      <c r="L73" s="3">
        <f t="shared" si="24"/>
        <v>7187947.064666668</v>
      </c>
      <c r="M73" s="3">
        <f t="shared" si="25"/>
        <v>0</v>
      </c>
      <c r="N73" s="3">
        <f t="shared" si="26"/>
        <v>-1225198.5</v>
      </c>
      <c r="O73" s="3">
        <f t="shared" si="27"/>
        <v>7378589.7639999995</v>
      </c>
      <c r="P73" s="3">
        <f t="shared" si="28"/>
        <v>14778211.5</v>
      </c>
      <c r="Q73" s="47">
        <f t="shared" si="19"/>
        <v>24035592.828666668</v>
      </c>
      <c r="R73" s="47">
        <f ca="1">'Monthly Data'!S73+'Monthly Data'!T73</f>
        <v>148194.43234521779</v>
      </c>
      <c r="S73" s="47">
        <f t="shared" ca="1" si="21"/>
        <v>24183787.261011887</v>
      </c>
      <c r="T73" s="47">
        <f t="shared" ca="1" si="22"/>
        <v>-941936.51886143908</v>
      </c>
      <c r="U73" s="18">
        <f t="shared" ca="1" si="20"/>
        <v>3.7488930751358757E-2</v>
      </c>
    </row>
    <row r="74" spans="1:21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Data'!R74</f>
        <v>24683039.699006654</v>
      </c>
      <c r="E74" s="3">
        <f>'Monthly Data'!CN74</f>
        <v>715.50416666666661</v>
      </c>
      <c r="F74" s="3">
        <f>'Monthly Data'!CU74</f>
        <v>0</v>
      </c>
      <c r="G74">
        <f>'Monthly Data'!EJ74</f>
        <v>0.5</v>
      </c>
      <c r="H74" s="3">
        <f>'Monthly Data'!DB74</f>
        <v>7234.6</v>
      </c>
      <c r="I74" s="3">
        <f>'Monthly Data'!DQ74</f>
        <v>31</v>
      </c>
      <c r="K74" s="3">
        <f t="shared" si="23"/>
        <v>-4083957</v>
      </c>
      <c r="L74" s="3">
        <f t="shared" si="24"/>
        <v>7974837.7206666665</v>
      </c>
      <c r="M74" s="3">
        <f t="shared" si="25"/>
        <v>0</v>
      </c>
      <c r="N74" s="3">
        <f t="shared" si="26"/>
        <v>-1225198.5</v>
      </c>
      <c r="O74" s="3">
        <f t="shared" si="27"/>
        <v>7322717.4280000003</v>
      </c>
      <c r="P74" s="3">
        <f t="shared" si="28"/>
        <v>14778211.5</v>
      </c>
      <c r="Q74" s="47">
        <f t="shared" si="19"/>
        <v>24766611.148666665</v>
      </c>
      <c r="R74" s="47">
        <f ca="1">'Monthly Data'!S74+'Monthly Data'!T74</f>
        <v>278409.36807682517</v>
      </c>
      <c r="S74" s="47">
        <f t="shared" ca="1" si="21"/>
        <v>25045020.516743489</v>
      </c>
      <c r="T74" s="47">
        <f t="shared" ca="1" si="22"/>
        <v>361980.81773683429</v>
      </c>
      <c r="U74" s="18">
        <f t="shared" ca="1" si="20"/>
        <v>1.4665163697459915E-2</v>
      </c>
    </row>
    <row r="75" spans="1:21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Data'!R75</f>
        <v>23922312.387535505</v>
      </c>
      <c r="E75" s="3">
        <f>'Monthly Data'!CN75</f>
        <v>709.45416666666654</v>
      </c>
      <c r="F75" s="3">
        <f>'Monthly Data'!CU75</f>
        <v>0</v>
      </c>
      <c r="G75">
        <f>'Monthly Data'!EJ75</f>
        <v>0.5</v>
      </c>
      <c r="H75" s="3">
        <f>'Monthly Data'!DB75</f>
        <v>7209.5</v>
      </c>
      <c r="I75" s="3">
        <f>'Monthly Data'!DQ75</f>
        <v>28</v>
      </c>
      <c r="K75" s="3">
        <f t="shared" si="23"/>
        <v>-4083957</v>
      </c>
      <c r="L75" s="3">
        <f t="shared" si="24"/>
        <v>7907405.8726666654</v>
      </c>
      <c r="M75" s="3">
        <f t="shared" si="25"/>
        <v>0</v>
      </c>
      <c r="N75" s="3">
        <f t="shared" si="26"/>
        <v>-1225198.5</v>
      </c>
      <c r="O75" s="3">
        <f t="shared" si="27"/>
        <v>7297311.71</v>
      </c>
      <c r="P75" s="3">
        <f t="shared" si="28"/>
        <v>13348062</v>
      </c>
      <c r="Q75" s="47">
        <f t="shared" si="19"/>
        <v>23243624.082666665</v>
      </c>
      <c r="R75" s="47">
        <f ca="1">'Monthly Data'!S75+'Monthly Data'!T75</f>
        <v>279531.24591761082</v>
      </c>
      <c r="S75" s="47">
        <f t="shared" ca="1" si="21"/>
        <v>23523155.328584276</v>
      </c>
      <c r="T75" s="47">
        <f t="shared" ca="1" si="22"/>
        <v>-399157.05895122886</v>
      </c>
      <c r="U75" s="18">
        <f t="shared" ca="1" si="20"/>
        <v>1.6685554995060005E-2</v>
      </c>
    </row>
    <row r="76" spans="1:21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Data'!R76</f>
        <v>24669717.705174152</v>
      </c>
      <c r="E76" s="3">
        <f>'Monthly Data'!CN76</f>
        <v>554.59637681159427</v>
      </c>
      <c r="F76" s="3">
        <f>'Monthly Data'!CU76</f>
        <v>0</v>
      </c>
      <c r="G76">
        <f>'Monthly Data'!EJ76</f>
        <v>0.5</v>
      </c>
      <c r="H76" s="3">
        <f>'Monthly Data'!DB76</f>
        <v>7237.4</v>
      </c>
      <c r="I76" s="3">
        <f>'Monthly Data'!DQ76</f>
        <v>31</v>
      </c>
      <c r="K76" s="3">
        <f t="shared" si="23"/>
        <v>-4083957</v>
      </c>
      <c r="L76" s="3">
        <f t="shared" si="24"/>
        <v>6181398.1128115952</v>
      </c>
      <c r="M76" s="3">
        <f t="shared" si="25"/>
        <v>0</v>
      </c>
      <c r="N76" s="3">
        <f t="shared" si="26"/>
        <v>-1225198.5</v>
      </c>
      <c r="O76" s="3">
        <f t="shared" si="27"/>
        <v>7325551.5319999997</v>
      </c>
      <c r="P76" s="3">
        <f t="shared" si="28"/>
        <v>14778211.5</v>
      </c>
      <c r="Q76" s="47">
        <f t="shared" si="19"/>
        <v>22976005.644811593</v>
      </c>
      <c r="R76" s="47">
        <f ca="1">'Monthly Data'!S76+'Monthly Data'!T76</f>
        <v>220339.13491644958</v>
      </c>
      <c r="S76" s="47">
        <f t="shared" ca="1" si="21"/>
        <v>23196344.779728044</v>
      </c>
      <c r="T76" s="47">
        <f t="shared" ca="1" si="22"/>
        <v>-1473372.925446108</v>
      </c>
      <c r="U76" s="18">
        <f t="shared" ca="1" si="20"/>
        <v>5.972394751550348E-2</v>
      </c>
    </row>
    <row r="77" spans="1:21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Data'!R77</f>
        <v>20613043.1888326</v>
      </c>
      <c r="E77" s="3">
        <f>'Monthly Data'!CN77</f>
        <v>379.79583333333329</v>
      </c>
      <c r="F77" s="3">
        <f>'Monthly Data'!CU77</f>
        <v>3.7083333333333339</v>
      </c>
      <c r="G77">
        <f>'Monthly Data'!EJ77</f>
        <v>0.5</v>
      </c>
      <c r="H77" s="3">
        <f>'Monthly Data'!DB77</f>
        <v>7276.1</v>
      </c>
      <c r="I77" s="3">
        <f>'Monthly Data'!DQ77</f>
        <v>30</v>
      </c>
      <c r="K77" s="3">
        <f t="shared" si="23"/>
        <v>-4083957</v>
      </c>
      <c r="L77" s="3">
        <f t="shared" si="24"/>
        <v>4233113.2073333329</v>
      </c>
      <c r="M77" s="3">
        <f t="shared" si="25"/>
        <v>128136.15541666669</v>
      </c>
      <c r="N77" s="3">
        <f t="shared" si="26"/>
        <v>-1225198.5</v>
      </c>
      <c r="O77" s="3">
        <f t="shared" si="27"/>
        <v>7364722.898</v>
      </c>
      <c r="P77" s="3">
        <f t="shared" si="28"/>
        <v>14301495</v>
      </c>
      <c r="Q77" s="47">
        <f t="shared" si="19"/>
        <v>20718311.760749999</v>
      </c>
      <c r="R77" s="47">
        <f ca="1">'Monthly Data'!S77+'Monthly Data'!T77</f>
        <v>156667.6693428494</v>
      </c>
      <c r="S77" s="47">
        <f t="shared" ca="1" si="21"/>
        <v>20874979.430092849</v>
      </c>
      <c r="T77" s="47">
        <f t="shared" ca="1" si="22"/>
        <v>261936.24126024917</v>
      </c>
      <c r="U77" s="18">
        <f t="shared" ca="1" si="20"/>
        <v>1.270730570254453E-2</v>
      </c>
    </row>
    <row r="78" spans="1:21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Data'!R78</f>
        <v>20580592.371781345</v>
      </c>
      <c r="E78" s="3">
        <f>'Monthly Data'!CN78</f>
        <v>221.92222222222222</v>
      </c>
      <c r="F78" s="3">
        <f>'Monthly Data'!CU78</f>
        <v>53.908333333333317</v>
      </c>
      <c r="G78">
        <f>'Monthly Data'!EJ78</f>
        <v>0.5</v>
      </c>
      <c r="H78" s="3">
        <f>'Monthly Data'!DB78</f>
        <v>7265.7</v>
      </c>
      <c r="I78" s="3">
        <f>'Monthly Data'!DQ78</f>
        <v>31</v>
      </c>
      <c r="K78" s="3">
        <f t="shared" si="23"/>
        <v>-4083957</v>
      </c>
      <c r="L78" s="3">
        <f t="shared" si="24"/>
        <v>2473491.8275555554</v>
      </c>
      <c r="M78" s="3">
        <f t="shared" si="25"/>
        <v>1862725.369416666</v>
      </c>
      <c r="N78" s="3">
        <f t="shared" si="26"/>
        <v>-1225198.5</v>
      </c>
      <c r="O78" s="3">
        <f t="shared" si="27"/>
        <v>7354196.2259999998</v>
      </c>
      <c r="P78" s="3">
        <f t="shared" si="28"/>
        <v>14778211.5</v>
      </c>
      <c r="Q78" s="47">
        <f t="shared" si="19"/>
        <v>21159469.422972221</v>
      </c>
      <c r="R78" s="47">
        <f ca="1">'Monthly Data'!S78+'Monthly Data'!T78</f>
        <v>102990.94994771654</v>
      </c>
      <c r="S78" s="47">
        <f t="shared" ca="1" si="21"/>
        <v>21262460.372919936</v>
      </c>
      <c r="T78" s="47">
        <f t="shared" ca="1" si="22"/>
        <v>681868.00113859028</v>
      </c>
      <c r="U78" s="18">
        <f t="shared" ca="1" si="20"/>
        <v>3.3131602279510647E-2</v>
      </c>
    </row>
    <row r="79" spans="1:21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Data'!R79</f>
        <v>22871966.90863999</v>
      </c>
      <c r="E79" s="3">
        <f>'Monthly Data'!CN79</f>
        <v>36.066666666666677</v>
      </c>
      <c r="F79" s="3">
        <f>'Monthly Data'!CU79</f>
        <v>181.67499999999995</v>
      </c>
      <c r="G79">
        <f>'Monthly Data'!EJ79</f>
        <v>0.5</v>
      </c>
      <c r="H79" s="3">
        <f>'Monthly Data'!DB79</f>
        <v>7250</v>
      </c>
      <c r="I79" s="3">
        <f>'Monthly Data'!DQ79</f>
        <v>30</v>
      </c>
      <c r="K79" s="3">
        <f t="shared" si="23"/>
        <v>-4083957</v>
      </c>
      <c r="L79" s="3">
        <f t="shared" si="24"/>
        <v>401990.41066666681</v>
      </c>
      <c r="M79" s="3">
        <f t="shared" si="25"/>
        <v>6277519.8297499986</v>
      </c>
      <c r="N79" s="3">
        <f t="shared" si="26"/>
        <v>-1225198.5</v>
      </c>
      <c r="O79" s="3">
        <f t="shared" si="27"/>
        <v>7338305</v>
      </c>
      <c r="P79" s="3">
        <f t="shared" si="28"/>
        <v>14301495</v>
      </c>
      <c r="Q79" s="47">
        <f t="shared" si="19"/>
        <v>23010154.740416665</v>
      </c>
      <c r="R79" s="47">
        <f ca="1">'Monthly Data'!S79+'Monthly Data'!T79</f>
        <v>44349.777906441261</v>
      </c>
      <c r="S79" s="47">
        <f t="shared" ca="1" si="21"/>
        <v>23054504.518323105</v>
      </c>
      <c r="T79" s="47">
        <f t="shared" ca="1" si="22"/>
        <v>182537.60968311504</v>
      </c>
      <c r="U79" s="18">
        <f t="shared" ca="1" si="20"/>
        <v>7.9808444290010161E-3</v>
      </c>
    </row>
    <row r="80" spans="1:21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Data'!R80</f>
        <v>24719487.723428641</v>
      </c>
      <c r="E80" s="3">
        <f>'Monthly Data'!CN80</f>
        <v>25.516666666666669</v>
      </c>
      <c r="F80" s="3">
        <f>'Monthly Data'!CU80</f>
        <v>192.87499999999994</v>
      </c>
      <c r="G80">
        <f>'Monthly Data'!EJ80</f>
        <v>0.5</v>
      </c>
      <c r="H80" s="3">
        <f>'Monthly Data'!DB80</f>
        <v>7317</v>
      </c>
      <c r="I80" s="3">
        <f>'Monthly Data'!DQ80</f>
        <v>31</v>
      </c>
      <c r="K80" s="3">
        <f t="shared" si="23"/>
        <v>-4083957</v>
      </c>
      <c r="L80" s="3">
        <f t="shared" si="24"/>
        <v>284402.64266666671</v>
      </c>
      <c r="M80" s="3">
        <f t="shared" si="25"/>
        <v>6664519.8137499979</v>
      </c>
      <c r="N80" s="3">
        <f t="shared" si="26"/>
        <v>-1225198.5</v>
      </c>
      <c r="O80" s="3">
        <f t="shared" si="27"/>
        <v>7406121.0599999996</v>
      </c>
      <c r="P80" s="3">
        <f t="shared" si="28"/>
        <v>14778211.5</v>
      </c>
      <c r="Q80" s="47">
        <f t="shared" si="19"/>
        <v>23824099.516416665</v>
      </c>
      <c r="R80" s="47">
        <f ca="1">'Monthly Data'!S80+'Monthly Data'!T80</f>
        <v>42152.296643216505</v>
      </c>
      <c r="S80" s="47">
        <f t="shared" ca="1" si="21"/>
        <v>23866251.813059881</v>
      </c>
      <c r="T80" s="47">
        <f t="shared" ca="1" si="22"/>
        <v>-853235.91036875919</v>
      </c>
      <c r="U80" s="18">
        <f t="shared" ca="1" si="20"/>
        <v>3.4516731087435887E-2</v>
      </c>
    </row>
    <row r="81" spans="1:21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Data'!R81</f>
        <v>27571121.987427287</v>
      </c>
      <c r="E81" s="3">
        <f>'Monthly Data'!CN81</f>
        <v>8.524999999999995</v>
      </c>
      <c r="F81" s="3">
        <f>'Monthly Data'!CU81</f>
        <v>266.0625</v>
      </c>
      <c r="G81">
        <f>'Monthly Data'!EJ81</f>
        <v>0.5</v>
      </c>
      <c r="H81" s="3">
        <f>'Monthly Data'!DB81</f>
        <v>7405.9</v>
      </c>
      <c r="I81" s="3">
        <f>'Monthly Data'!DQ81</f>
        <v>31</v>
      </c>
      <c r="K81" s="3">
        <f t="shared" si="23"/>
        <v>-4083957</v>
      </c>
      <c r="L81" s="3">
        <f t="shared" si="24"/>
        <v>95017.603999999948</v>
      </c>
      <c r="M81" s="3">
        <f t="shared" si="25"/>
        <v>9193409.2181250006</v>
      </c>
      <c r="N81" s="3">
        <f t="shared" si="26"/>
        <v>-1225198.5</v>
      </c>
      <c r="O81" s="3">
        <f t="shared" si="27"/>
        <v>7496103.8619999988</v>
      </c>
      <c r="P81" s="3">
        <f t="shared" si="28"/>
        <v>14778211.5</v>
      </c>
      <c r="Q81" s="47">
        <f t="shared" si="19"/>
        <v>26253586.684124999</v>
      </c>
      <c r="R81" s="47">
        <f ca="1">'Monthly Data'!S81+'Monthly Data'!T81</f>
        <v>41544.169527250997</v>
      </c>
      <c r="S81" s="47">
        <f t="shared" ca="1" si="21"/>
        <v>26295130.85365225</v>
      </c>
      <c r="T81" s="47">
        <f t="shared" ca="1" si="22"/>
        <v>-1275991.1337750368</v>
      </c>
      <c r="U81" s="18">
        <f t="shared" ca="1" si="20"/>
        <v>4.6279985789366922E-2</v>
      </c>
    </row>
    <row r="82" spans="1:21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Data'!R82</f>
        <v>22538954.016435936</v>
      </c>
      <c r="E82" s="3">
        <f>'Monthly Data'!CN82</f>
        <v>93.104166666666671</v>
      </c>
      <c r="F82" s="3">
        <f>'Monthly Data'!CU82</f>
        <v>95.25833333333334</v>
      </c>
      <c r="G82">
        <f>'Monthly Data'!EJ82</f>
        <v>0.5</v>
      </c>
      <c r="H82" s="3">
        <f>'Monthly Data'!DB82</f>
        <v>7482</v>
      </c>
      <c r="I82" s="3">
        <f>'Monthly Data'!DQ82</f>
        <v>30</v>
      </c>
      <c r="K82" s="3">
        <f t="shared" si="23"/>
        <v>-4083957</v>
      </c>
      <c r="L82" s="3">
        <f t="shared" si="24"/>
        <v>1037716.6966666668</v>
      </c>
      <c r="M82" s="3">
        <f t="shared" si="25"/>
        <v>3291515.4889166667</v>
      </c>
      <c r="N82" s="3">
        <f t="shared" si="26"/>
        <v>-1225198.5</v>
      </c>
      <c r="O82" s="3">
        <f t="shared" si="27"/>
        <v>7573130.7599999998</v>
      </c>
      <c r="P82" s="3">
        <f t="shared" si="28"/>
        <v>14301495</v>
      </c>
      <c r="Q82" s="47">
        <f t="shared" si="19"/>
        <v>20894702.445583332</v>
      </c>
      <c r="R82" s="47">
        <f ca="1">'Monthly Data'!S82+'Monthly Data'!T82</f>
        <v>59558.209588021964</v>
      </c>
      <c r="S82" s="47">
        <f t="shared" ca="1" si="21"/>
        <v>20954260.655171353</v>
      </c>
      <c r="T82" s="47">
        <f t="shared" ca="1" si="22"/>
        <v>-1584693.3612645827</v>
      </c>
      <c r="U82" s="18">
        <f t="shared" ca="1" si="20"/>
        <v>7.0309090657400833E-2</v>
      </c>
    </row>
    <row r="83" spans="1:21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Data'!R83</f>
        <v>21957724.684754584</v>
      </c>
      <c r="E83" s="3">
        <f>'Monthly Data'!CN83</f>
        <v>214.18749999999994</v>
      </c>
      <c r="F83" s="3">
        <f>'Monthly Data'!CU83</f>
        <v>44.562500000000028</v>
      </c>
      <c r="G83">
        <f>'Monthly Data'!EJ83</f>
        <v>0.5</v>
      </c>
      <c r="H83" s="3">
        <f>'Monthly Data'!DB83</f>
        <v>7537.7</v>
      </c>
      <c r="I83" s="3">
        <f>'Monthly Data'!DQ83</f>
        <v>31</v>
      </c>
      <c r="K83" s="3">
        <f t="shared" si="23"/>
        <v>-4083957</v>
      </c>
      <c r="L83" s="3">
        <f t="shared" si="24"/>
        <v>2387282.4699999993</v>
      </c>
      <c r="M83" s="3">
        <f t="shared" si="25"/>
        <v>1539793.4631250009</v>
      </c>
      <c r="N83" s="3">
        <f t="shared" si="26"/>
        <v>-1225198.5</v>
      </c>
      <c r="O83" s="3">
        <f t="shared" si="27"/>
        <v>7629509.1859999998</v>
      </c>
      <c r="P83" s="3">
        <f t="shared" si="28"/>
        <v>14778211.5</v>
      </c>
      <c r="Q83" s="47">
        <f t="shared" si="19"/>
        <v>21025641.119125001</v>
      </c>
      <c r="R83" s="47">
        <f ca="1">'Monthly Data'!S83+'Monthly Data'!T83</f>
        <v>101129.69745192531</v>
      </c>
      <c r="S83" s="47">
        <f t="shared" ca="1" si="21"/>
        <v>21126770.816576928</v>
      </c>
      <c r="T83" s="47">
        <f t="shared" ca="1" si="22"/>
        <v>-830953.86817765608</v>
      </c>
      <c r="U83" s="18">
        <f t="shared" ca="1" si="20"/>
        <v>3.7843350351987687E-2</v>
      </c>
    </row>
    <row r="84" spans="1:21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Data'!R84</f>
        <v>23244728.894573234</v>
      </c>
      <c r="E84" s="3">
        <f>'Monthly Data'!CN84</f>
        <v>506.31260351966881</v>
      </c>
      <c r="F84" s="3">
        <f>'Monthly Data'!CU84</f>
        <v>0</v>
      </c>
      <c r="G84">
        <f>'Monthly Data'!EJ84</f>
        <v>0.5</v>
      </c>
      <c r="H84" s="3">
        <f>'Monthly Data'!DB84</f>
        <v>7604</v>
      </c>
      <c r="I84" s="3">
        <f>'Monthly Data'!DQ84</f>
        <v>30</v>
      </c>
      <c r="K84" s="3">
        <f t="shared" si="23"/>
        <v>-4083957</v>
      </c>
      <c r="L84" s="3">
        <f t="shared" si="24"/>
        <v>5643238.7638053838</v>
      </c>
      <c r="M84" s="3">
        <f t="shared" si="25"/>
        <v>0</v>
      </c>
      <c r="N84" s="3">
        <f t="shared" si="26"/>
        <v>-1225198.5</v>
      </c>
      <c r="O84" s="3">
        <f t="shared" si="27"/>
        <v>7696616.7199999997</v>
      </c>
      <c r="P84" s="3">
        <f t="shared" si="28"/>
        <v>14301495</v>
      </c>
      <c r="Q84" s="47">
        <f t="shared" si="19"/>
        <v>22332194.983805384</v>
      </c>
      <c r="R84" s="47">
        <f ca="1">'Monthly Data'!S84+'Monthly Data'!T84</f>
        <v>212104.58469325444</v>
      </c>
      <c r="S84" s="47">
        <f t="shared" ca="1" si="21"/>
        <v>22544299.568498638</v>
      </c>
      <c r="T84" s="47">
        <f t="shared" ca="1" si="22"/>
        <v>-700429.32607459649</v>
      </c>
      <c r="U84" s="18">
        <f t="shared" ca="1" si="20"/>
        <v>3.0132824058796411E-2</v>
      </c>
    </row>
    <row r="85" spans="1:21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Data'!R85</f>
        <v>25263814.223931879</v>
      </c>
      <c r="E85" s="3">
        <f>'Monthly Data'!CN85</f>
        <v>595.04583333333335</v>
      </c>
      <c r="F85" s="3">
        <f>'Monthly Data'!CU85</f>
        <v>0</v>
      </c>
      <c r="G85">
        <f>'Monthly Data'!EJ85</f>
        <v>0.5</v>
      </c>
      <c r="H85" s="3">
        <f>'Monthly Data'!DB85</f>
        <v>7658.5</v>
      </c>
      <c r="I85" s="3">
        <f>'Monthly Data'!DQ85</f>
        <v>31</v>
      </c>
      <c r="K85" s="3">
        <f t="shared" si="23"/>
        <v>-4083957</v>
      </c>
      <c r="L85" s="3">
        <f t="shared" si="24"/>
        <v>6632238.0473333336</v>
      </c>
      <c r="M85" s="3">
        <f t="shared" si="25"/>
        <v>0</v>
      </c>
      <c r="N85" s="3">
        <f t="shared" si="26"/>
        <v>-1225198.5</v>
      </c>
      <c r="O85" s="3">
        <f t="shared" si="27"/>
        <v>7751780.5299999993</v>
      </c>
      <c r="P85" s="3">
        <f t="shared" si="28"/>
        <v>14778211.5</v>
      </c>
      <c r="Q85" s="47">
        <f t="shared" si="19"/>
        <v>23853074.577333331</v>
      </c>
      <c r="R85" s="47">
        <f ca="1">'Monthly Data'!S85+'Monthly Data'!T85</f>
        <v>245776.14659702519</v>
      </c>
      <c r="S85" s="47">
        <f t="shared" ca="1" si="21"/>
        <v>24098850.723930355</v>
      </c>
      <c r="T85" s="47">
        <f t="shared" ca="1" si="22"/>
        <v>-1164963.5000015236</v>
      </c>
      <c r="U85" s="18">
        <f t="shared" ca="1" si="20"/>
        <v>4.6111940567468958E-2</v>
      </c>
    </row>
    <row r="86" spans="1:21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Data'!R86</f>
        <v>27897926.230337426</v>
      </c>
      <c r="E86" s="3">
        <f>'Monthly Data'!CN86</f>
        <v>887.49166666666656</v>
      </c>
      <c r="F86" s="3">
        <f>'Monthly Data'!CU86</f>
        <v>0</v>
      </c>
      <c r="G86">
        <f>'Monthly Data'!EJ86</f>
        <v>0.25</v>
      </c>
      <c r="H86" s="3">
        <f>'Monthly Data'!DB86</f>
        <v>7643.6</v>
      </c>
      <c r="I86" s="3">
        <f>'Monthly Data'!DQ86</f>
        <v>31</v>
      </c>
      <c r="K86" s="3">
        <f t="shared" si="23"/>
        <v>-4083957</v>
      </c>
      <c r="L86" s="3">
        <f t="shared" si="24"/>
        <v>9891769.1186666656</v>
      </c>
      <c r="M86" s="3">
        <f t="shared" si="25"/>
        <v>0</v>
      </c>
      <c r="N86" s="3">
        <f t="shared" si="26"/>
        <v>-612599.25</v>
      </c>
      <c r="O86" s="3">
        <f t="shared" si="27"/>
        <v>7736699.0480000004</v>
      </c>
      <c r="P86" s="3">
        <f t="shared" si="28"/>
        <v>14778211.5</v>
      </c>
      <c r="Q86" s="47">
        <f t="shared" ref="Q86:Q109" si="29">SUM(K86:P86)</f>
        <v>27710123.416666664</v>
      </c>
      <c r="R86" s="47">
        <f ca="1">'Monthly Data'!S86+'Monthly Data'!T86</f>
        <v>506104.15383011819</v>
      </c>
      <c r="S86" s="47">
        <f t="shared" ca="1" si="21"/>
        <v>28216227.570496783</v>
      </c>
      <c r="T86" s="47">
        <f t="shared" ca="1" si="22"/>
        <v>318301.34015935659</v>
      </c>
      <c r="U86" s="18">
        <f t="shared" ref="U86:U109" ca="1" si="30">ABS(T86/D86)</f>
        <v>1.1409498237658317E-2</v>
      </c>
    </row>
    <row r="87" spans="1:21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Data'!R87</f>
        <v>25365502.966344409</v>
      </c>
      <c r="E87" s="3">
        <f>'Monthly Data'!CN87</f>
        <v>692.85</v>
      </c>
      <c r="F87" s="3">
        <f>'Monthly Data'!CU87</f>
        <v>0</v>
      </c>
      <c r="G87">
        <f>'Monthly Data'!EJ87</f>
        <v>0.25</v>
      </c>
      <c r="H87" s="3">
        <f>'Monthly Data'!DB87</f>
        <v>7668.9</v>
      </c>
      <c r="I87" s="3">
        <f>'Monthly Data'!DQ87</f>
        <v>28</v>
      </c>
      <c r="K87" s="3">
        <f t="shared" si="23"/>
        <v>-4083957</v>
      </c>
      <c r="L87" s="3">
        <f t="shared" si="24"/>
        <v>7722339.8160000006</v>
      </c>
      <c r="M87" s="3">
        <f t="shared" si="25"/>
        <v>0</v>
      </c>
      <c r="N87" s="3">
        <f t="shared" si="26"/>
        <v>-612599.25</v>
      </c>
      <c r="O87" s="3">
        <f t="shared" si="27"/>
        <v>7762307.2019999996</v>
      </c>
      <c r="P87" s="3">
        <f t="shared" si="28"/>
        <v>13348062</v>
      </c>
      <c r="Q87" s="47">
        <f t="shared" si="29"/>
        <v>24136152.767999999</v>
      </c>
      <c r="R87" s="47">
        <f ca="1">'Monthly Data'!S87+'Monthly Data'!T87</f>
        <v>404428.43169987446</v>
      </c>
      <c r="S87" s="47">
        <f t="shared" ca="1" si="21"/>
        <v>24540581.199699875</v>
      </c>
      <c r="T87" s="47">
        <f t="shared" ca="1" si="22"/>
        <v>-824921.76664453372</v>
      </c>
      <c r="U87" s="18">
        <f t="shared" ca="1" si="30"/>
        <v>3.2521403882235678E-2</v>
      </c>
    </row>
    <row r="88" spans="1:21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Data'!R88</f>
        <v>26038765.760591585</v>
      </c>
      <c r="E88" s="3">
        <f>'Monthly Data'!CN88</f>
        <v>606.7208333333333</v>
      </c>
      <c r="F88" s="3">
        <f>'Monthly Data'!CU88</f>
        <v>0</v>
      </c>
      <c r="G88">
        <f>'Monthly Data'!EJ88</f>
        <v>0.25</v>
      </c>
      <c r="H88" s="3">
        <f>'Monthly Data'!DB88</f>
        <v>7681.1</v>
      </c>
      <c r="I88" s="3">
        <f>'Monthly Data'!DQ88</f>
        <v>31</v>
      </c>
      <c r="K88" s="3">
        <f t="shared" si="23"/>
        <v>-4083957</v>
      </c>
      <c r="L88" s="3">
        <f t="shared" si="24"/>
        <v>6762364.7953333333</v>
      </c>
      <c r="M88" s="3">
        <f t="shared" si="25"/>
        <v>0</v>
      </c>
      <c r="N88" s="3">
        <f t="shared" si="26"/>
        <v>-612599.25</v>
      </c>
      <c r="O88" s="3">
        <f t="shared" si="27"/>
        <v>7774655.7980000004</v>
      </c>
      <c r="P88" s="3">
        <f t="shared" si="28"/>
        <v>14778211.5</v>
      </c>
      <c r="Q88" s="47">
        <f t="shared" si="29"/>
        <v>24618675.843333334</v>
      </c>
      <c r="R88" s="47">
        <f ca="1">'Monthly Data'!S88+'Monthly Data'!T88</f>
        <v>356121.86082340998</v>
      </c>
      <c r="S88" s="47">
        <f t="shared" ca="1" si="21"/>
        <v>24974797.704156745</v>
      </c>
      <c r="T88" s="47">
        <f t="shared" ca="1" si="22"/>
        <v>-1063968.05643484</v>
      </c>
      <c r="U88" s="18">
        <f t="shared" ca="1" si="30"/>
        <v>4.0860925061398427E-2</v>
      </c>
    </row>
    <row r="89" spans="1:21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Data'!R89</f>
        <v>22590456.732098669</v>
      </c>
      <c r="E89" s="3">
        <f>'Monthly Data'!CN89</f>
        <v>414.33333333333331</v>
      </c>
      <c r="F89" s="3">
        <f>'Monthly Data'!CU89</f>
        <v>0</v>
      </c>
      <c r="G89">
        <f>'Monthly Data'!EJ89</f>
        <v>0.25</v>
      </c>
      <c r="H89" s="3">
        <f>'Monthly Data'!DB89</f>
        <v>7758.4</v>
      </c>
      <c r="I89" s="3">
        <f>'Monthly Data'!DQ89</f>
        <v>30</v>
      </c>
      <c r="K89" s="3">
        <f t="shared" si="23"/>
        <v>-4083957</v>
      </c>
      <c r="L89" s="3">
        <f t="shared" si="24"/>
        <v>4618059.8933333335</v>
      </c>
      <c r="M89" s="3">
        <f t="shared" si="25"/>
        <v>0</v>
      </c>
      <c r="N89" s="3">
        <f t="shared" si="26"/>
        <v>-612599.25</v>
      </c>
      <c r="O89" s="3">
        <f t="shared" si="27"/>
        <v>7852897.311999999</v>
      </c>
      <c r="P89" s="3">
        <f t="shared" si="28"/>
        <v>14301495</v>
      </c>
      <c r="Q89" s="47">
        <f t="shared" si="29"/>
        <v>22075895.955333333</v>
      </c>
      <c r="R89" s="47">
        <f ca="1">'Monthly Data'!S89+'Monthly Data'!T89</f>
        <v>253480.73376395431</v>
      </c>
      <c r="S89" s="47">
        <f t="shared" ca="1" si="21"/>
        <v>22329376.689097289</v>
      </c>
      <c r="T89" s="47">
        <f t="shared" ca="1" si="22"/>
        <v>-261080.04300137982</v>
      </c>
      <c r="U89" s="18">
        <f t="shared" ca="1" si="30"/>
        <v>1.1557094488949064E-2</v>
      </c>
    </row>
    <row r="90" spans="1:21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Data'!R90</f>
        <v>22646535.682845749</v>
      </c>
      <c r="E90" s="3">
        <f>'Monthly Data'!CN90</f>
        <v>158.97916666666669</v>
      </c>
      <c r="F90" s="3">
        <f>'Monthly Data'!CU90</f>
        <v>72.362499999999997</v>
      </c>
      <c r="G90">
        <f>'Monthly Data'!EJ90</f>
        <v>0.25</v>
      </c>
      <c r="H90" s="3">
        <f>'Monthly Data'!DB90</f>
        <v>7776.1</v>
      </c>
      <c r="I90" s="3">
        <f>'Monthly Data'!DQ90</f>
        <v>31</v>
      </c>
      <c r="K90" s="3">
        <f t="shared" si="23"/>
        <v>-4083957</v>
      </c>
      <c r="L90" s="3">
        <f t="shared" si="24"/>
        <v>1771943.6366666669</v>
      </c>
      <c r="M90" s="3">
        <f t="shared" si="25"/>
        <v>2500382.7091250001</v>
      </c>
      <c r="N90" s="3">
        <f t="shared" si="26"/>
        <v>-612599.25</v>
      </c>
      <c r="O90" s="3">
        <f t="shared" si="27"/>
        <v>7870812.898</v>
      </c>
      <c r="P90" s="3">
        <f t="shared" si="28"/>
        <v>14778211.5</v>
      </c>
      <c r="Q90" s="47">
        <f t="shared" si="29"/>
        <v>22224794.493791666</v>
      </c>
      <c r="R90" s="47">
        <f ca="1">'Monthly Data'!S90+'Monthly Data'!T90</f>
        <v>120736.9446516287</v>
      </c>
      <c r="S90" s="47">
        <f t="shared" ca="1" si="21"/>
        <v>22345531.438443296</v>
      </c>
      <c r="T90" s="47">
        <f t="shared" ca="1" si="22"/>
        <v>-301004.2444024533</v>
      </c>
      <c r="U90" s="18">
        <f t="shared" ca="1" si="30"/>
        <v>1.3291403533762446E-2</v>
      </c>
    </row>
    <row r="91" spans="1:21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Data'!R91</f>
        <v>23653822.798542827</v>
      </c>
      <c r="E91" s="3">
        <f>'Monthly Data'!CN91</f>
        <v>75.529010989011013</v>
      </c>
      <c r="F91" s="3">
        <f>'Monthly Data'!CU91</f>
        <v>120.92250416250417</v>
      </c>
      <c r="G91">
        <f>'Monthly Data'!EJ91</f>
        <v>0.25</v>
      </c>
      <c r="H91" s="3">
        <f>'Monthly Data'!DB91</f>
        <v>7782.8</v>
      </c>
      <c r="I91" s="3">
        <f>'Monthly Data'!DQ91</f>
        <v>30</v>
      </c>
      <c r="K91" s="3">
        <f t="shared" si="23"/>
        <v>-4083957</v>
      </c>
      <c r="L91" s="3">
        <f t="shared" si="24"/>
        <v>841828.22952087945</v>
      </c>
      <c r="M91" s="3">
        <f t="shared" si="25"/>
        <v>4178304.2121543791</v>
      </c>
      <c r="N91" s="3">
        <f t="shared" si="26"/>
        <v>-612599.25</v>
      </c>
      <c r="O91" s="3">
        <f t="shared" si="27"/>
        <v>7877594.5039999997</v>
      </c>
      <c r="P91" s="3">
        <f t="shared" si="28"/>
        <v>14301495</v>
      </c>
      <c r="Q91" s="47">
        <f t="shared" si="29"/>
        <v>22502665.695675258</v>
      </c>
      <c r="R91" s="47">
        <f ca="1">'Monthly Data'!S91+'Monthly Data'!T91</f>
        <v>82819.335006051697</v>
      </c>
      <c r="S91" s="47">
        <f t="shared" ca="1" si="21"/>
        <v>22585485.030681308</v>
      </c>
      <c r="T91" s="47">
        <f t="shared" ca="1" si="22"/>
        <v>-1068337.767861519</v>
      </c>
      <c r="U91" s="18">
        <f t="shared" ca="1" si="30"/>
        <v>4.5165543724599688E-2</v>
      </c>
    </row>
    <row r="92" spans="1:21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Data'!R92</f>
        <v>26890192.657499813</v>
      </c>
      <c r="E92" s="3">
        <f>'Monthly Data'!CN92</f>
        <v>8.9945652173913082</v>
      </c>
      <c r="F92" s="3">
        <f>'Monthly Data'!CU92</f>
        <v>221.8543382913806</v>
      </c>
      <c r="G92">
        <f>'Monthly Data'!EJ92</f>
        <v>0.25</v>
      </c>
      <c r="H92" s="3">
        <f>'Monthly Data'!DB92</f>
        <v>7784.1</v>
      </c>
      <c r="I92" s="3">
        <f>'Monthly Data'!DQ92</f>
        <v>31</v>
      </c>
      <c r="K92" s="3">
        <f t="shared" si="23"/>
        <v>-4083957</v>
      </c>
      <c r="L92" s="3">
        <f t="shared" si="24"/>
        <v>100251.26521739135</v>
      </c>
      <c r="M92" s="3">
        <f t="shared" si="25"/>
        <v>7665859.4079548996</v>
      </c>
      <c r="N92" s="3">
        <f t="shared" si="26"/>
        <v>-612599.25</v>
      </c>
      <c r="O92" s="3">
        <f t="shared" si="27"/>
        <v>7878910.3379999995</v>
      </c>
      <c r="P92" s="3">
        <f t="shared" si="28"/>
        <v>14778211.5</v>
      </c>
      <c r="Q92" s="47">
        <f t="shared" si="29"/>
        <v>25726676.261172291</v>
      </c>
      <c r="R92" s="47">
        <f ca="1">'Monthly Data'!S92+'Monthly Data'!T92</f>
        <v>65802.107825937826</v>
      </c>
      <c r="S92" s="47">
        <f t="shared" ca="1" si="21"/>
        <v>25792478.36899823</v>
      </c>
      <c r="T92" s="47">
        <f t="shared" ca="1" si="22"/>
        <v>-1097714.288501583</v>
      </c>
      <c r="U92" s="18">
        <f t="shared" ca="1" si="30"/>
        <v>4.0822105757409848E-2</v>
      </c>
    </row>
    <row r="93" spans="1:21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Data'!R93</f>
        <v>27033389.343666892</v>
      </c>
      <c r="E93" s="3">
        <f>'Monthly Data'!CN93</f>
        <v>7.3916666666666764</v>
      </c>
      <c r="F93" s="3">
        <f>'Monthly Data'!CU93</f>
        <v>228.28333333333333</v>
      </c>
      <c r="G93">
        <f>'Monthly Data'!EJ93</f>
        <v>0.25</v>
      </c>
      <c r="H93" s="3">
        <f>'Monthly Data'!DB93</f>
        <v>7778</v>
      </c>
      <c r="I93" s="3">
        <f>'Monthly Data'!DQ93</f>
        <v>31</v>
      </c>
      <c r="K93" s="3">
        <f t="shared" si="23"/>
        <v>-4083957</v>
      </c>
      <c r="L93" s="3">
        <f t="shared" si="24"/>
        <v>82385.742666666774</v>
      </c>
      <c r="M93" s="3">
        <f t="shared" si="25"/>
        <v>7888004.138166667</v>
      </c>
      <c r="N93" s="3">
        <f t="shared" si="26"/>
        <v>-612599.25</v>
      </c>
      <c r="O93" s="3">
        <f t="shared" si="27"/>
        <v>7872736.04</v>
      </c>
      <c r="P93" s="3">
        <f t="shared" si="28"/>
        <v>14778211.5</v>
      </c>
      <c r="Q93" s="47">
        <f t="shared" si="29"/>
        <v>25924781.170833334</v>
      </c>
      <c r="R93" s="47">
        <f ca="1">'Monthly Data'!S93+'Monthly Data'!T93</f>
        <v>68519.145917005386</v>
      </c>
      <c r="S93" s="47">
        <f t="shared" ca="1" si="21"/>
        <v>25993300.31675034</v>
      </c>
      <c r="T93" s="47">
        <f t="shared" ca="1" si="22"/>
        <v>-1040089.0269165523</v>
      </c>
      <c r="U93" s="18">
        <f t="shared" ca="1" si="30"/>
        <v>3.8474236940630374E-2</v>
      </c>
    </row>
    <row r="94" spans="1:21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Data'!R94</f>
        <v>22797369.54889407</v>
      </c>
      <c r="E94" s="3">
        <f>'Monthly Data'!CN94</f>
        <v>111.79166666666666</v>
      </c>
      <c r="F94" s="3">
        <f>'Monthly Data'!CU94</f>
        <v>94.054166666666674</v>
      </c>
      <c r="G94">
        <f>'Monthly Data'!EJ94</f>
        <v>0.25</v>
      </c>
      <c r="H94" s="3">
        <f>'Monthly Data'!DB94</f>
        <v>7770.7</v>
      </c>
      <c r="I94" s="3">
        <f>'Monthly Data'!DQ94</f>
        <v>30</v>
      </c>
      <c r="K94" s="3">
        <f t="shared" si="23"/>
        <v>-4083957</v>
      </c>
      <c r="L94" s="3">
        <f t="shared" si="24"/>
        <v>1246003.0866666667</v>
      </c>
      <c r="M94" s="3">
        <f t="shared" si="25"/>
        <v>3249907.2317083334</v>
      </c>
      <c r="N94" s="3">
        <f t="shared" si="26"/>
        <v>-612599.25</v>
      </c>
      <c r="O94" s="3">
        <f t="shared" si="27"/>
        <v>7865347.1259999992</v>
      </c>
      <c r="P94" s="3">
        <f t="shared" si="28"/>
        <v>14301495</v>
      </c>
      <c r="Q94" s="47">
        <f t="shared" si="29"/>
        <v>21966196.194375001</v>
      </c>
      <c r="R94" s="47">
        <f ca="1">'Monthly Data'!S94+'Monthly Data'!T94</f>
        <v>110225.64036158734</v>
      </c>
      <c r="S94" s="47">
        <f t="shared" ca="1" si="21"/>
        <v>22076421.834736589</v>
      </c>
      <c r="T94" s="47">
        <f t="shared" ca="1" si="22"/>
        <v>-720947.71415748075</v>
      </c>
      <c r="U94" s="18">
        <f t="shared" ca="1" si="30"/>
        <v>3.1624162279391348E-2</v>
      </c>
    </row>
    <row r="95" spans="1:21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Data'!R95</f>
        <v>21989257.920071155</v>
      </c>
      <c r="E95" s="3">
        <f>'Monthly Data'!CN95</f>
        <v>330.85561594202903</v>
      </c>
      <c r="F95" s="3">
        <f>'Monthly Data'!CU95</f>
        <v>2.4208333333333307</v>
      </c>
      <c r="G95">
        <f>'Monthly Data'!EJ95</f>
        <v>0.25</v>
      </c>
      <c r="H95" s="3">
        <f>'Monthly Data'!DB95</f>
        <v>7776.1</v>
      </c>
      <c r="I95" s="3">
        <f>'Monthly Data'!DQ95</f>
        <v>31</v>
      </c>
      <c r="K95" s="3">
        <f t="shared" si="23"/>
        <v>-4083957</v>
      </c>
      <c r="L95" s="3">
        <f t="shared" si="24"/>
        <v>3687637.2899420294</v>
      </c>
      <c r="M95" s="3">
        <f t="shared" si="25"/>
        <v>83648.43404166658</v>
      </c>
      <c r="N95" s="3">
        <f t="shared" si="26"/>
        <v>-612599.25</v>
      </c>
      <c r="O95" s="3">
        <f t="shared" si="27"/>
        <v>7870812.898</v>
      </c>
      <c r="P95" s="3">
        <f t="shared" si="28"/>
        <v>14778211.5</v>
      </c>
      <c r="Q95" s="47">
        <f t="shared" si="29"/>
        <v>21723753.871983696</v>
      </c>
      <c r="R95" s="47">
        <f ca="1">'Monthly Data'!S95+'Monthly Data'!T95</f>
        <v>222045.75721412816</v>
      </c>
      <c r="S95" s="47">
        <f t="shared" ca="1" si="21"/>
        <v>21945799.629197825</v>
      </c>
      <c r="T95" s="47">
        <f t="shared" ca="1" si="22"/>
        <v>-43458.290873330086</v>
      </c>
      <c r="U95" s="18">
        <f t="shared" ca="1" si="30"/>
        <v>1.9763418588884087E-3</v>
      </c>
    </row>
    <row r="96" spans="1:21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Data'!R96</f>
        <v>23568965.875378236</v>
      </c>
      <c r="E96" s="3">
        <f>'Monthly Data'!CN96</f>
        <v>471.83333333333348</v>
      </c>
      <c r="F96" s="3">
        <f>'Monthly Data'!CU96</f>
        <v>2.3083333333333318</v>
      </c>
      <c r="G96">
        <f>'Monthly Data'!EJ96</f>
        <v>0.25</v>
      </c>
      <c r="H96" s="3">
        <f>'Monthly Data'!DB96</f>
        <v>7791.7</v>
      </c>
      <c r="I96" s="3">
        <f>'Monthly Data'!DQ96</f>
        <v>30</v>
      </c>
      <c r="K96" s="3">
        <f t="shared" si="23"/>
        <v>-4083957</v>
      </c>
      <c r="L96" s="3">
        <f t="shared" si="24"/>
        <v>5258941.0933333347</v>
      </c>
      <c r="M96" s="3">
        <f t="shared" si="25"/>
        <v>79761.157416666611</v>
      </c>
      <c r="N96" s="3">
        <f t="shared" si="26"/>
        <v>-612599.25</v>
      </c>
      <c r="O96" s="3">
        <f t="shared" si="27"/>
        <v>7886602.9059999995</v>
      </c>
      <c r="P96" s="3">
        <f t="shared" si="28"/>
        <v>14301495</v>
      </c>
      <c r="Q96" s="47">
        <f t="shared" si="29"/>
        <v>22830243.906750001</v>
      </c>
      <c r="R96" s="47">
        <f ca="1">'Monthly Data'!S96+'Monthly Data'!T96</f>
        <v>303747.78476889938</v>
      </c>
      <c r="S96" s="47">
        <f t="shared" ca="1" si="21"/>
        <v>23133991.691518899</v>
      </c>
      <c r="T96" s="47">
        <f t="shared" ca="1" si="22"/>
        <v>-434974.18385933712</v>
      </c>
      <c r="U96" s="18">
        <f t="shared" ca="1" si="30"/>
        <v>1.8455378405623689E-2</v>
      </c>
    </row>
    <row r="97" spans="1:26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Data'!R97</f>
        <v>26456423.844515316</v>
      </c>
      <c r="E97" s="3">
        <f>'Monthly Data'!CN97</f>
        <v>647.12083333333328</v>
      </c>
      <c r="F97" s="3">
        <f>'Monthly Data'!CU97</f>
        <v>0</v>
      </c>
      <c r="G97">
        <f>'Monthly Data'!EJ97</f>
        <v>0.25</v>
      </c>
      <c r="H97" s="3">
        <f>'Monthly Data'!DB97</f>
        <v>7829.3</v>
      </c>
      <c r="I97" s="3">
        <f>'Monthly Data'!DQ97</f>
        <v>31</v>
      </c>
      <c r="K97" s="3">
        <f t="shared" si="23"/>
        <v>-4083957</v>
      </c>
      <c r="L97" s="3">
        <f t="shared" si="24"/>
        <v>7212653.4993333332</v>
      </c>
      <c r="M97" s="3">
        <f t="shared" si="25"/>
        <v>0</v>
      </c>
      <c r="N97" s="3">
        <f t="shared" si="26"/>
        <v>-612599.25</v>
      </c>
      <c r="O97" s="3">
        <f t="shared" si="27"/>
        <v>7924660.8739999998</v>
      </c>
      <c r="P97" s="3">
        <f t="shared" si="28"/>
        <v>14778211.5</v>
      </c>
      <c r="Q97" s="47">
        <f t="shared" si="29"/>
        <v>25218969.623333335</v>
      </c>
      <c r="R97" s="47">
        <f ca="1">'Monthly Data'!S97+'Monthly Data'!T97</f>
        <v>402210.41196115408</v>
      </c>
      <c r="S97" s="47">
        <f t="shared" ca="1" si="21"/>
        <v>25621180.035294488</v>
      </c>
      <c r="T97" s="47">
        <f t="shared" ca="1" si="22"/>
        <v>-835243.80922082812</v>
      </c>
      <c r="U97" s="18">
        <f t="shared" ca="1" si="30"/>
        <v>3.1570548390423621E-2</v>
      </c>
    </row>
    <row r="98" spans="1:26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Data'!R98</f>
        <v>27136724.924837537</v>
      </c>
      <c r="E98" s="3">
        <f>'Monthly Data'!CN98</f>
        <v>666.07083333333355</v>
      </c>
      <c r="F98" s="3">
        <f>'Monthly Data'!CU98</f>
        <v>0</v>
      </c>
      <c r="G98">
        <f>'Monthly Data'!EJ98</f>
        <v>0</v>
      </c>
      <c r="H98" s="3">
        <f>'Monthly Data'!DB98</f>
        <v>7864.6</v>
      </c>
      <c r="I98" s="3">
        <f>'Monthly Data'!DQ98</f>
        <v>31</v>
      </c>
      <c r="K98" s="3">
        <f t="shared" ref="K98:K121" si="31">$Y$8</f>
        <v>-4083957</v>
      </c>
      <c r="L98" s="3">
        <f t="shared" ref="L98:L121" si="32">E98*$Y$9</f>
        <v>7423865.6513333358</v>
      </c>
      <c r="M98" s="3">
        <f t="shared" ref="M98:M121" si="33">F98*$Y$10</f>
        <v>0</v>
      </c>
      <c r="N98" s="3">
        <f t="shared" ref="N98:N121" si="34">G98*$Y$11</f>
        <v>0</v>
      </c>
      <c r="O98" s="3">
        <f t="shared" ref="O98:O121" si="35">H98*$Y$12</f>
        <v>7960390.8279999997</v>
      </c>
      <c r="P98" s="3">
        <f t="shared" ref="P98:P121" si="36">I98*$Y$13</f>
        <v>14778211.5</v>
      </c>
      <c r="Q98" s="47">
        <f t="shared" si="29"/>
        <v>26078510.979333334</v>
      </c>
      <c r="R98" s="47">
        <f ca="1">'Monthly Data'!S98+'Monthly Data'!T98</f>
        <v>541295.99692219729</v>
      </c>
      <c r="S98" s="47">
        <f t="shared" ca="1" si="21"/>
        <v>26619806.976255532</v>
      </c>
      <c r="T98" s="47">
        <f t="shared" ca="1" si="22"/>
        <v>-516917.94858200476</v>
      </c>
      <c r="U98" s="18">
        <f t="shared" ca="1" si="30"/>
        <v>1.9048649017659579E-2</v>
      </c>
    </row>
    <row r="99" spans="1:26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Data'!R99</f>
        <v>25065369.150999155</v>
      </c>
      <c r="E99" s="3">
        <f>'Monthly Data'!CN99</f>
        <v>629.43333333333328</v>
      </c>
      <c r="F99" s="3">
        <f>'Monthly Data'!CU99</f>
        <v>0</v>
      </c>
      <c r="G99">
        <f>'Monthly Data'!EJ99</f>
        <v>0</v>
      </c>
      <c r="H99" s="3">
        <f>'Monthly Data'!DB99</f>
        <v>7904.4</v>
      </c>
      <c r="I99" s="3">
        <f>'Monthly Data'!DQ99</f>
        <v>28</v>
      </c>
      <c r="K99" s="3">
        <f t="shared" si="31"/>
        <v>-4083957</v>
      </c>
      <c r="L99" s="3">
        <f t="shared" si="32"/>
        <v>7015512.8693333333</v>
      </c>
      <c r="M99" s="3">
        <f t="shared" si="33"/>
        <v>0</v>
      </c>
      <c r="N99" s="3">
        <f t="shared" si="34"/>
        <v>0</v>
      </c>
      <c r="O99" s="3">
        <f t="shared" si="35"/>
        <v>8000675.5919999992</v>
      </c>
      <c r="P99" s="3">
        <f t="shared" si="36"/>
        <v>13348062</v>
      </c>
      <c r="Q99" s="47">
        <f t="shared" si="29"/>
        <v>24280293.461333334</v>
      </c>
      <c r="R99" s="47">
        <f ca="1">'Monthly Data'!S99+'Monthly Data'!T99</f>
        <v>521566.85341948998</v>
      </c>
      <c r="S99" s="47">
        <f t="shared" ca="1" si="21"/>
        <v>24801860.314752825</v>
      </c>
      <c r="T99" s="47">
        <f t="shared" ca="1" si="22"/>
        <v>-263508.83624633029</v>
      </c>
      <c r="U99" s="18">
        <f t="shared" ca="1" si="30"/>
        <v>1.0512864768074892E-2</v>
      </c>
    </row>
    <row r="100" spans="1:26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Data'!R100</f>
        <v>26695839.499610867</v>
      </c>
      <c r="E100" s="3">
        <f>'Monthly Data'!CN100</f>
        <v>613.0333333333333</v>
      </c>
      <c r="F100" s="3">
        <f>'Monthly Data'!CU100</f>
        <v>0</v>
      </c>
      <c r="G100">
        <f>'Monthly Data'!EJ100</f>
        <v>0</v>
      </c>
      <c r="H100" s="3">
        <f>'Monthly Data'!DB100</f>
        <v>7936.8</v>
      </c>
      <c r="I100" s="3">
        <f>'Monthly Data'!DQ100</f>
        <v>31</v>
      </c>
      <c r="K100" s="3">
        <f t="shared" si="31"/>
        <v>-4083957</v>
      </c>
      <c r="L100" s="3">
        <f t="shared" si="32"/>
        <v>6832722.4053333327</v>
      </c>
      <c r="M100" s="3">
        <f t="shared" si="33"/>
        <v>0</v>
      </c>
      <c r="N100" s="3">
        <f t="shared" si="34"/>
        <v>0</v>
      </c>
      <c r="O100" s="3">
        <f t="shared" si="35"/>
        <v>8033470.2239999995</v>
      </c>
      <c r="P100" s="3">
        <f t="shared" si="36"/>
        <v>14778211.5</v>
      </c>
      <c r="Q100" s="47">
        <f t="shared" si="29"/>
        <v>25560447.129333332</v>
      </c>
      <c r="R100" s="47">
        <f ca="1">'Monthly Data'!S100+'Monthly Data'!T100</f>
        <v>508063.89251784654</v>
      </c>
      <c r="S100" s="47">
        <f t="shared" ca="1" si="21"/>
        <v>26068511.021851178</v>
      </c>
      <c r="T100" s="47">
        <f t="shared" ca="1" si="22"/>
        <v>-627328.47775968909</v>
      </c>
      <c r="U100" s="18">
        <f t="shared" ca="1" si="30"/>
        <v>2.3499110330238288E-2</v>
      </c>
    </row>
    <row r="101" spans="1:26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Data'!R101</f>
        <v>22832471.779142085</v>
      </c>
      <c r="E101" s="3">
        <f>'Monthly Data'!CN101</f>
        <v>361.4</v>
      </c>
      <c r="F101" s="3">
        <f>'Monthly Data'!CU101</f>
        <v>11.71666666666667</v>
      </c>
      <c r="G101">
        <f>'Monthly Data'!EJ101</f>
        <v>0</v>
      </c>
      <c r="H101" s="3">
        <f>'Monthly Data'!DB101</f>
        <v>7963.7</v>
      </c>
      <c r="I101" s="3">
        <f>'Monthly Data'!DQ101</f>
        <v>30</v>
      </c>
      <c r="K101" s="3">
        <f t="shared" si="31"/>
        <v>-4083957</v>
      </c>
      <c r="L101" s="3">
        <f t="shared" si="32"/>
        <v>4028077.6639999999</v>
      </c>
      <c r="M101" s="3">
        <f t="shared" si="33"/>
        <v>404852.66183333343</v>
      </c>
      <c r="N101" s="3">
        <f t="shared" si="34"/>
        <v>0</v>
      </c>
      <c r="O101" s="3">
        <f t="shared" si="35"/>
        <v>8060697.8659999995</v>
      </c>
      <c r="P101" s="3">
        <f t="shared" si="36"/>
        <v>14301495</v>
      </c>
      <c r="Q101" s="47">
        <f t="shared" si="29"/>
        <v>22711166.191833332</v>
      </c>
      <c r="R101" s="47">
        <f ca="1">'Monthly Data'!S101+'Monthly Data'!T101</f>
        <v>322810.25163056247</v>
      </c>
      <c r="S101" s="47">
        <f t="shared" ca="1" si="21"/>
        <v>23033976.443463895</v>
      </c>
      <c r="T101" s="47">
        <f t="shared" ca="1" si="22"/>
        <v>201504.66432181001</v>
      </c>
      <c r="U101" s="18">
        <f t="shared" ca="1" si="30"/>
        <v>8.8253547960535968E-3</v>
      </c>
      <c r="Z101" s="3"/>
    </row>
    <row r="102" spans="1:26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Data'!R102</f>
        <v>22904267.3630738</v>
      </c>
      <c r="E102" s="3">
        <f>'Monthly Data'!CN102</f>
        <v>219.04750000000001</v>
      </c>
      <c r="F102" s="3">
        <f>'Monthly Data'!CU102</f>
        <v>37.345833333333331</v>
      </c>
      <c r="G102">
        <f>'Monthly Data'!EJ102</f>
        <v>0</v>
      </c>
      <c r="H102" s="3">
        <f>'Monthly Data'!DB102</f>
        <v>7975.3</v>
      </c>
      <c r="I102" s="3">
        <f>'Monthly Data'!DQ102</f>
        <v>31</v>
      </c>
      <c r="K102" s="3">
        <f t="shared" si="31"/>
        <v>-4083957</v>
      </c>
      <c r="L102" s="3">
        <f t="shared" si="32"/>
        <v>2441450.8636000003</v>
      </c>
      <c r="M102" s="3">
        <f t="shared" si="33"/>
        <v>1290431.8662916666</v>
      </c>
      <c r="N102" s="3">
        <f t="shared" si="34"/>
        <v>0</v>
      </c>
      <c r="O102" s="3">
        <f t="shared" si="35"/>
        <v>8072439.1540000001</v>
      </c>
      <c r="P102" s="3">
        <f t="shared" si="36"/>
        <v>14778211.5</v>
      </c>
      <c r="Q102" s="47">
        <f t="shared" si="29"/>
        <v>22498576.383891668</v>
      </c>
      <c r="R102" s="47">
        <f ca="1">'Monthly Data'!S102+'Monthly Data'!T102</f>
        <v>222056.96271200958</v>
      </c>
      <c r="S102" s="47">
        <f t="shared" ca="1" si="21"/>
        <v>22720633.346603677</v>
      </c>
      <c r="T102" s="47">
        <f t="shared" ca="1" si="22"/>
        <v>-183634.01647012308</v>
      </c>
      <c r="U102" s="18">
        <f t="shared" ca="1" si="30"/>
        <v>8.0174586490453469E-3</v>
      </c>
      <c r="Z102" s="3"/>
    </row>
    <row r="103" spans="1:26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Data'!R103</f>
        <v>24153083.435205214</v>
      </c>
      <c r="E103" s="3">
        <f>'Monthly Data'!CN103</f>
        <v>55.599999999999994</v>
      </c>
      <c r="F103" s="3">
        <f>'Monthly Data'!CU103</f>
        <v>145.54166666666666</v>
      </c>
      <c r="G103">
        <f>'Monthly Data'!EJ103</f>
        <v>0</v>
      </c>
      <c r="H103" s="3">
        <f>'Monthly Data'!DB103</f>
        <v>7998.9</v>
      </c>
      <c r="I103" s="3">
        <f>'Monthly Data'!DQ103</f>
        <v>30</v>
      </c>
      <c r="K103" s="3">
        <f t="shared" si="31"/>
        <v>-4083957</v>
      </c>
      <c r="L103" s="3">
        <f t="shared" si="32"/>
        <v>619704.25599999994</v>
      </c>
      <c r="M103" s="3">
        <f t="shared" si="33"/>
        <v>5028984.1670833332</v>
      </c>
      <c r="N103" s="3">
        <f t="shared" si="34"/>
        <v>0</v>
      </c>
      <c r="O103" s="3">
        <f t="shared" si="35"/>
        <v>8096326.601999999</v>
      </c>
      <c r="P103" s="3">
        <f t="shared" si="36"/>
        <v>14301495</v>
      </c>
      <c r="Q103" s="47">
        <f t="shared" si="29"/>
        <v>23962553.025083333</v>
      </c>
      <c r="R103" s="47">
        <f ca="1">'Monthly Data'!S103+'Monthly Data'!T103</f>
        <v>118063.66536656008</v>
      </c>
      <c r="S103" s="47">
        <f t="shared" ca="1" si="21"/>
        <v>24080616.690449893</v>
      </c>
      <c r="T103" s="47">
        <f t="shared" ca="1" si="22"/>
        <v>-72466.744755320251</v>
      </c>
      <c r="U103" s="18">
        <f t="shared" ca="1" si="30"/>
        <v>3.0003102895630163E-3</v>
      </c>
      <c r="Z103" s="3"/>
    </row>
    <row r="104" spans="1:26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Data'!R104</f>
        <v>27124425.419216834</v>
      </c>
      <c r="E104" s="3">
        <f>'Monthly Data'!CN104</f>
        <v>7.3166666666666593</v>
      </c>
      <c r="F104" s="3">
        <f>'Monthly Data'!CU104</f>
        <v>223.78333333333336</v>
      </c>
      <c r="G104">
        <f>'Monthly Data'!EJ104</f>
        <v>0</v>
      </c>
      <c r="H104" s="3">
        <f>'Monthly Data'!DB104</f>
        <v>8014.7</v>
      </c>
      <c r="I104" s="3">
        <f>'Monthly Data'!DQ104</f>
        <v>31</v>
      </c>
      <c r="K104" s="3">
        <f t="shared" si="31"/>
        <v>-4083957</v>
      </c>
      <c r="L104" s="3">
        <f t="shared" si="32"/>
        <v>81549.810666666584</v>
      </c>
      <c r="M104" s="3">
        <f t="shared" si="33"/>
        <v>7732513.0731666675</v>
      </c>
      <c r="N104" s="3">
        <f t="shared" si="34"/>
        <v>0</v>
      </c>
      <c r="O104" s="3">
        <f t="shared" si="35"/>
        <v>8112319.0459999992</v>
      </c>
      <c r="P104" s="3">
        <f t="shared" si="36"/>
        <v>14778211.5</v>
      </c>
      <c r="Q104" s="47">
        <f t="shared" si="29"/>
        <v>26620636.429833334</v>
      </c>
      <c r="R104" s="47">
        <f ca="1">'Monthly Data'!S104+'Monthly Data'!T104</f>
        <v>105379.52463501088</v>
      </c>
      <c r="S104" s="47">
        <f t="shared" ca="1" si="21"/>
        <v>26726015.954468343</v>
      </c>
      <c r="T104" s="47">
        <f t="shared" ca="1" si="22"/>
        <v>-398409.4647484906</v>
      </c>
      <c r="U104" s="18">
        <f t="shared" ca="1" si="30"/>
        <v>1.4688217670639747E-2</v>
      </c>
      <c r="Z104" s="3"/>
    </row>
    <row r="105" spans="1:26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Data'!R105</f>
        <v>24663739.636838347</v>
      </c>
      <c r="E105" s="3">
        <f>'Monthly Data'!CN105</f>
        <v>32.211775362318839</v>
      </c>
      <c r="F105" s="3">
        <f>'Monthly Data'!CU105</f>
        <v>165.80489130434788</v>
      </c>
      <c r="G105">
        <f>'Monthly Data'!EJ105</f>
        <v>0</v>
      </c>
      <c r="H105" s="3">
        <f>'Monthly Data'!DB105</f>
        <v>8038.9</v>
      </c>
      <c r="I105" s="3">
        <f>'Monthly Data'!DQ105</f>
        <v>31</v>
      </c>
      <c r="K105" s="3">
        <f t="shared" si="31"/>
        <v>-4083957</v>
      </c>
      <c r="L105" s="3">
        <f t="shared" si="32"/>
        <v>359024.71736231883</v>
      </c>
      <c r="M105" s="3">
        <f t="shared" si="33"/>
        <v>5729150.9180271756</v>
      </c>
      <c r="N105" s="3">
        <f t="shared" si="34"/>
        <v>0</v>
      </c>
      <c r="O105" s="3">
        <f t="shared" si="35"/>
        <v>8136813.8019999992</v>
      </c>
      <c r="P105" s="3">
        <f t="shared" si="36"/>
        <v>14778211.5</v>
      </c>
      <c r="Q105" s="47">
        <f t="shared" si="29"/>
        <v>24919243.937389493</v>
      </c>
      <c r="R105" s="47">
        <f ca="1">'Monthly Data'!S105+'Monthly Data'!T105</f>
        <v>115723.12653319255</v>
      </c>
      <c r="S105" s="47">
        <f t="shared" ca="1" si="21"/>
        <v>25034967.063922685</v>
      </c>
      <c r="T105" s="47">
        <f t="shared" ca="1" si="22"/>
        <v>371227.42708433792</v>
      </c>
      <c r="U105" s="18">
        <f t="shared" ca="1" si="30"/>
        <v>1.5051546624740711E-2</v>
      </c>
      <c r="Z105" s="3"/>
    </row>
    <row r="106" spans="1:26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Data'!R106</f>
        <v>23757952.604179867</v>
      </c>
      <c r="E106" s="3">
        <f>'Monthly Data'!CN106</f>
        <v>95.22083333333336</v>
      </c>
      <c r="F106" s="3">
        <f>'Monthly Data'!CU106</f>
        <v>105.35</v>
      </c>
      <c r="G106">
        <f>'Monthly Data'!EJ106</f>
        <v>0</v>
      </c>
      <c r="H106" s="3">
        <f>'Monthly Data'!DB106</f>
        <v>8049</v>
      </c>
      <c r="I106" s="3">
        <f>'Monthly Data'!DQ106</f>
        <v>30</v>
      </c>
      <c r="K106" s="3">
        <f t="shared" si="31"/>
        <v>-4083957</v>
      </c>
      <c r="L106" s="3">
        <f t="shared" si="32"/>
        <v>1061308.5553333336</v>
      </c>
      <c r="M106" s="3">
        <f t="shared" si="33"/>
        <v>3640218.5994999995</v>
      </c>
      <c r="N106" s="3">
        <f t="shared" si="34"/>
        <v>0</v>
      </c>
      <c r="O106" s="3">
        <f t="shared" si="35"/>
        <v>8147036.8199999994</v>
      </c>
      <c r="P106" s="3">
        <f t="shared" si="36"/>
        <v>14301495</v>
      </c>
      <c r="Q106" s="47">
        <f t="shared" si="29"/>
        <v>23066101.974833332</v>
      </c>
      <c r="R106" s="47">
        <f ca="1">'Monthly Data'!S106+'Monthly Data'!T106</f>
        <v>148111.88685699186</v>
      </c>
      <c r="S106" s="47">
        <f t="shared" ca="1" si="21"/>
        <v>23214213.861690324</v>
      </c>
      <c r="T106" s="47">
        <f t="shared" ca="1" si="22"/>
        <v>-543738.74248954281</v>
      </c>
      <c r="U106" s="18">
        <f t="shared" ca="1" si="30"/>
        <v>2.2886599344165703E-2</v>
      </c>
      <c r="Z106" s="3"/>
    </row>
    <row r="107" spans="1:26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Data'!R107</f>
        <v>22834530.070741281</v>
      </c>
      <c r="E107" s="3">
        <f>'Monthly Data'!CN107</f>
        <v>261.85000000000002</v>
      </c>
      <c r="F107" s="3">
        <f>'Monthly Data'!CU107</f>
        <v>35.333333333333343</v>
      </c>
      <c r="G107">
        <f>'Monthly Data'!EJ107</f>
        <v>0</v>
      </c>
      <c r="H107" s="3">
        <f>'Monthly Data'!DB107</f>
        <v>8054.4</v>
      </c>
      <c r="I107" s="3">
        <f>'Monthly Data'!DQ107</f>
        <v>31</v>
      </c>
      <c r="K107" s="3">
        <f t="shared" si="31"/>
        <v>-4083957</v>
      </c>
      <c r="L107" s="3">
        <f t="shared" si="32"/>
        <v>2918517.2560000005</v>
      </c>
      <c r="M107" s="3">
        <f t="shared" si="33"/>
        <v>1220892.8066666669</v>
      </c>
      <c r="N107" s="3">
        <f t="shared" si="34"/>
        <v>0</v>
      </c>
      <c r="O107" s="3">
        <f t="shared" si="35"/>
        <v>8152502.5919999992</v>
      </c>
      <c r="P107" s="3">
        <f t="shared" si="36"/>
        <v>14778211.5</v>
      </c>
      <c r="Q107" s="47">
        <f t="shared" si="29"/>
        <v>22986167.154666666</v>
      </c>
      <c r="R107" s="47">
        <f ca="1">'Monthly Data'!S107+'Monthly Data'!T107</f>
        <v>272142.37075608352</v>
      </c>
      <c r="S107" s="47">
        <f t="shared" ca="1" si="21"/>
        <v>23258309.525422748</v>
      </c>
      <c r="T107" s="47">
        <f t="shared" ca="1" si="22"/>
        <v>423779.45468146726</v>
      </c>
      <c r="U107" s="18">
        <f t="shared" ca="1" si="30"/>
        <v>1.8558711450097735E-2</v>
      </c>
      <c r="Z107" s="3"/>
    </row>
    <row r="108" spans="1:26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Data'!R108</f>
        <v>24231262.794732895</v>
      </c>
      <c r="E108" s="3">
        <f>'Monthly Data'!CN108</f>
        <v>510.59311594202899</v>
      </c>
      <c r="F108" s="3">
        <f>'Monthly Data'!CU108</f>
        <v>0</v>
      </c>
      <c r="G108">
        <f>'Monthly Data'!EJ108</f>
        <v>0</v>
      </c>
      <c r="H108" s="3">
        <f>'Monthly Data'!DB108</f>
        <v>8061.4</v>
      </c>
      <c r="I108" s="3">
        <f>'Monthly Data'!DQ108</f>
        <v>30</v>
      </c>
      <c r="K108" s="3">
        <f t="shared" si="31"/>
        <v>-4083957</v>
      </c>
      <c r="L108" s="3">
        <f t="shared" si="32"/>
        <v>5690948.3279420296</v>
      </c>
      <c r="M108" s="3">
        <f t="shared" si="33"/>
        <v>0</v>
      </c>
      <c r="N108" s="3">
        <f t="shared" si="34"/>
        <v>0</v>
      </c>
      <c r="O108" s="3">
        <f t="shared" si="35"/>
        <v>8159587.851999999</v>
      </c>
      <c r="P108" s="3">
        <f t="shared" si="36"/>
        <v>14301495</v>
      </c>
      <c r="Q108" s="47">
        <f t="shared" si="29"/>
        <v>24068074.179942027</v>
      </c>
      <c r="R108" s="47">
        <f ca="1">'Monthly Data'!S108+'Monthly Data'!T108</f>
        <v>459569.52708215732</v>
      </c>
      <c r="S108" s="47">
        <f t="shared" ca="1" si="21"/>
        <v>24527643.707024183</v>
      </c>
      <c r="T108" s="47">
        <f t="shared" ca="1" si="22"/>
        <v>296380.91229128838</v>
      </c>
      <c r="U108" s="18">
        <f t="shared" ca="1" si="30"/>
        <v>1.2231344061676891E-2</v>
      </c>
      <c r="Z108" s="3"/>
    </row>
    <row r="109" spans="1:26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Data'!R109</f>
        <v>23806861.686024413</v>
      </c>
      <c r="E109" s="3">
        <f>'Monthly Data'!CN109</f>
        <v>551.67916666666667</v>
      </c>
      <c r="F109" s="3">
        <f>'Monthly Data'!CU109</f>
        <v>0</v>
      </c>
      <c r="G109">
        <f>'Monthly Data'!EJ109</f>
        <v>0</v>
      </c>
      <c r="H109" s="3">
        <f>'Monthly Data'!DB109</f>
        <v>8052.9</v>
      </c>
      <c r="I109" s="3">
        <f>'Monthly Data'!DQ109</f>
        <v>31</v>
      </c>
      <c r="K109" s="3">
        <f t="shared" si="31"/>
        <v>-4083957</v>
      </c>
      <c r="L109" s="3">
        <f t="shared" si="32"/>
        <v>6148883.5886666672</v>
      </c>
      <c r="M109" s="3">
        <f t="shared" si="33"/>
        <v>0</v>
      </c>
      <c r="N109" s="3">
        <f t="shared" si="34"/>
        <v>0</v>
      </c>
      <c r="O109" s="3">
        <f t="shared" si="35"/>
        <v>8150984.3219999988</v>
      </c>
      <c r="P109" s="3">
        <f t="shared" si="36"/>
        <v>14778211.5</v>
      </c>
      <c r="Q109" s="47">
        <f t="shared" si="29"/>
        <v>24994122.410666667</v>
      </c>
      <c r="R109" s="47">
        <f ca="1">'Monthly Data'!S109+'Monthly Data'!T109</f>
        <v>492539.8140384634</v>
      </c>
      <c r="S109" s="47">
        <f t="shared" ca="1" si="21"/>
        <v>25486662.22470513</v>
      </c>
      <c r="T109" s="47">
        <f t="shared" ca="1" si="22"/>
        <v>1679800.5386807173</v>
      </c>
      <c r="U109" s="18">
        <f t="shared" ca="1" si="30"/>
        <v>7.0559511826240748E-2</v>
      </c>
      <c r="Z109" s="3"/>
    </row>
    <row r="110" spans="1:26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Data'!R110</f>
        <v>25645054.497401971</v>
      </c>
      <c r="E110" s="3">
        <f>'Monthly Data'!CN110</f>
        <v>698.99583333333328</v>
      </c>
      <c r="F110" s="3">
        <f>'Monthly Data'!CU110</f>
        <v>0</v>
      </c>
      <c r="G110">
        <f>'Monthly Data'!EJ110</f>
        <v>0</v>
      </c>
      <c r="H110" s="3">
        <f>'Monthly Data'!DB110</f>
        <v>8056</v>
      </c>
      <c r="I110" s="3">
        <f>'Monthly Data'!DQ110</f>
        <v>31</v>
      </c>
      <c r="K110" s="3">
        <f t="shared" si="31"/>
        <v>-4083957</v>
      </c>
      <c r="L110" s="3">
        <f t="shared" si="32"/>
        <v>7790839.799333333</v>
      </c>
      <c r="M110" s="3">
        <f t="shared" si="33"/>
        <v>0</v>
      </c>
      <c r="N110" s="3">
        <f t="shared" si="34"/>
        <v>0</v>
      </c>
      <c r="O110" s="3">
        <f t="shared" si="35"/>
        <v>8154122.0799999991</v>
      </c>
      <c r="P110" s="3">
        <f t="shared" si="36"/>
        <v>14778211.5</v>
      </c>
      <c r="Q110" s="47">
        <f t="shared" ref="Q110:Q121" si="37">SUM(K110:P110)</f>
        <v>26639216.379333332</v>
      </c>
      <c r="R110" s="47">
        <f ca="1">'Monthly Data'!S110+'Monthly Data'!T110</f>
        <v>738787.51769060933</v>
      </c>
      <c r="S110" s="47">
        <f t="shared" ca="1" si="21"/>
        <v>27378003.897023942</v>
      </c>
      <c r="T110" s="47">
        <f t="shared" ca="1" si="22"/>
        <v>1732949.399621971</v>
      </c>
      <c r="U110" s="18">
        <f t="shared" ref="U110:U121" ca="1" si="38">ABS(T110/D110)</f>
        <v>6.757440892931349E-2</v>
      </c>
      <c r="Z110" s="3"/>
    </row>
    <row r="111" spans="1:26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Data'!R111</f>
        <v>23244435.147960942</v>
      </c>
      <c r="E111" s="3">
        <f>'Monthly Data'!CN111</f>
        <v>600.96666666666647</v>
      </c>
      <c r="F111" s="3">
        <f>'Monthly Data'!CU111</f>
        <v>0</v>
      </c>
      <c r="G111">
        <f>'Monthly Data'!EJ111</f>
        <v>0</v>
      </c>
      <c r="H111" s="3">
        <f>'Monthly Data'!DB111</f>
        <v>8055.7</v>
      </c>
      <c r="I111" s="3">
        <f>'Monthly Data'!DQ111</f>
        <v>29</v>
      </c>
      <c r="K111" s="3">
        <f t="shared" si="31"/>
        <v>-4083957</v>
      </c>
      <c r="L111" s="3">
        <f t="shared" si="32"/>
        <v>6698230.2346666642</v>
      </c>
      <c r="M111" s="3">
        <f t="shared" si="33"/>
        <v>0</v>
      </c>
      <c r="N111" s="3">
        <f t="shared" si="34"/>
        <v>0</v>
      </c>
      <c r="O111" s="3">
        <f t="shared" si="35"/>
        <v>8153818.425999999</v>
      </c>
      <c r="P111" s="3">
        <f t="shared" si="36"/>
        <v>13824778.5</v>
      </c>
      <c r="Q111" s="47">
        <f t="shared" si="37"/>
        <v>24592870.160666663</v>
      </c>
      <c r="R111" s="47">
        <f ca="1">'Monthly Data'!S111+'Monthly Data'!T111</f>
        <v>653229.12078518234</v>
      </c>
      <c r="S111" s="47">
        <f t="shared" ca="1" si="21"/>
        <v>25246099.281451844</v>
      </c>
      <c r="T111" s="47">
        <f t="shared" ca="1" si="22"/>
        <v>2001664.1334909014</v>
      </c>
      <c r="U111" s="18">
        <f t="shared" ca="1" si="38"/>
        <v>8.6113692191246566E-2</v>
      </c>
      <c r="Z111" s="3"/>
    </row>
    <row r="112" spans="1:26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Data'!R112</f>
        <v>23202747.447345048</v>
      </c>
      <c r="E112" s="3">
        <f>'Monthly Data'!CN112</f>
        <v>522.11249999999995</v>
      </c>
      <c r="F112" s="3">
        <f>'Monthly Data'!CU112</f>
        <v>0</v>
      </c>
      <c r="G112">
        <f>'Monthly Data'!EJ112</f>
        <v>0</v>
      </c>
      <c r="H112" s="3">
        <f>'Monthly Data'!DB112</f>
        <v>8075.3</v>
      </c>
      <c r="I112" s="3">
        <f>'Monthly Data'!DQ112</f>
        <v>31</v>
      </c>
      <c r="K112" s="3">
        <f t="shared" si="31"/>
        <v>-4083957</v>
      </c>
      <c r="L112" s="3">
        <f t="shared" si="32"/>
        <v>5819340.6179999998</v>
      </c>
      <c r="M112" s="3">
        <f t="shared" si="33"/>
        <v>0</v>
      </c>
      <c r="N112" s="3">
        <f t="shared" si="34"/>
        <v>0</v>
      </c>
      <c r="O112" s="3">
        <f t="shared" si="35"/>
        <v>8173657.1540000001</v>
      </c>
      <c r="P112" s="3">
        <f t="shared" si="36"/>
        <v>14778211.5</v>
      </c>
      <c r="Q112" s="47">
        <f t="shared" si="37"/>
        <v>24687252.272</v>
      </c>
      <c r="R112" s="47">
        <f ca="1">'Monthly Data'!S112+'Monthly Data'!T112</f>
        <v>578348.43878124421</v>
      </c>
      <c r="S112" s="47">
        <f t="shared" ca="1" si="21"/>
        <v>25265600.710781243</v>
      </c>
      <c r="T112" s="47">
        <f t="shared" ca="1" si="22"/>
        <v>2062853.2634361945</v>
      </c>
      <c r="U112" s="18">
        <f t="shared" ca="1" si="38"/>
        <v>8.8905560348726487E-2</v>
      </c>
      <c r="Z112" s="3"/>
    </row>
    <row r="113" spans="1:26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Data'!R113</f>
        <v>21310849.483020864</v>
      </c>
      <c r="E113" s="3">
        <f>'Monthly Data'!CN113</f>
        <v>368.29791666666671</v>
      </c>
      <c r="F113" s="3">
        <f>'Monthly Data'!CU113</f>
        <v>0</v>
      </c>
      <c r="G113">
        <f>'Monthly Data'!EJ113</f>
        <v>0</v>
      </c>
      <c r="H113" s="3">
        <f>'Monthly Data'!DB113</f>
        <v>8093.4</v>
      </c>
      <c r="I113" s="3">
        <f>'Monthly Data'!DQ113</f>
        <v>30</v>
      </c>
      <c r="K113" s="3">
        <f t="shared" si="31"/>
        <v>-4083957</v>
      </c>
      <c r="L113" s="3">
        <f t="shared" si="32"/>
        <v>4104960.1876666672</v>
      </c>
      <c r="M113" s="3">
        <f t="shared" si="33"/>
        <v>0</v>
      </c>
      <c r="N113" s="3">
        <f t="shared" si="34"/>
        <v>0</v>
      </c>
      <c r="O113" s="3">
        <f t="shared" si="35"/>
        <v>8191977.6119999988</v>
      </c>
      <c r="P113" s="3">
        <f t="shared" si="36"/>
        <v>14301495</v>
      </c>
      <c r="Q113" s="47">
        <f t="shared" si="37"/>
        <v>22514475.799666665</v>
      </c>
      <c r="R113" s="47">
        <f ca="1">'Monthly Data'!S113+'Monthly Data'!T113</f>
        <v>437576.06383282907</v>
      </c>
      <c r="S113" s="47">
        <f t="shared" ca="1" si="21"/>
        <v>22952051.863499496</v>
      </c>
      <c r="T113" s="47">
        <f t="shared" ca="1" si="22"/>
        <v>1641202.3804786317</v>
      </c>
      <c r="U113" s="18">
        <f t="shared" ca="1" si="38"/>
        <v>7.7012527435203273E-2</v>
      </c>
    </row>
    <row r="114" spans="1:26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Data'!R114</f>
        <v>21670581.306792475</v>
      </c>
      <c r="E114" s="3">
        <f>'Monthly Data'!CN114</f>
        <v>143.5708333333333</v>
      </c>
      <c r="F114" s="3">
        <f>'Monthly Data'!CU114</f>
        <v>60.691666666666663</v>
      </c>
      <c r="G114">
        <f>'Monthly Data'!EJ114</f>
        <v>0</v>
      </c>
      <c r="H114" s="3">
        <f>'Monthly Data'!DB114</f>
        <v>8119.3</v>
      </c>
      <c r="I114" s="3">
        <f>'Monthly Data'!DQ114</f>
        <v>31</v>
      </c>
      <c r="K114" s="3">
        <f t="shared" si="31"/>
        <v>-4083957</v>
      </c>
      <c r="L114" s="3">
        <f t="shared" si="32"/>
        <v>1600206.0513333329</v>
      </c>
      <c r="M114" s="3">
        <f t="shared" si="33"/>
        <v>2097113.7525833333</v>
      </c>
      <c r="N114" s="3">
        <f t="shared" si="34"/>
        <v>0</v>
      </c>
      <c r="O114" s="3">
        <f t="shared" si="35"/>
        <v>8218193.074</v>
      </c>
      <c r="P114" s="3">
        <f t="shared" si="36"/>
        <v>14778211.5</v>
      </c>
      <c r="Q114" s="47">
        <f t="shared" si="37"/>
        <v>22609767.377916664</v>
      </c>
      <c r="R114" s="47">
        <f ca="1">'Monthly Data'!S114+'Monthly Data'!T114</f>
        <v>232828.96824607672</v>
      </c>
      <c r="S114" s="47">
        <f t="shared" ca="1" si="21"/>
        <v>22842596.34616274</v>
      </c>
      <c r="T114" s="47">
        <f t="shared" ca="1" si="22"/>
        <v>1172015.0393702649</v>
      </c>
      <c r="U114" s="18">
        <f t="shared" ca="1" si="38"/>
        <v>5.4083230291699924E-2</v>
      </c>
      <c r="Z114" s="3"/>
    </row>
    <row r="115" spans="1:26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Data'!R115</f>
        <v>22656799.283885501</v>
      </c>
      <c r="E115" s="3">
        <f>'Monthly Data'!CN115</f>
        <v>60.86249999999999</v>
      </c>
      <c r="F115" s="3">
        <f>'Monthly Data'!CU115</f>
        <v>146.61250000000007</v>
      </c>
      <c r="G115">
        <f>'Monthly Data'!EJ115</f>
        <v>0</v>
      </c>
      <c r="H115" s="3">
        <f>'Monthly Data'!DB115</f>
        <v>8139.9</v>
      </c>
      <c r="I115" s="3">
        <f>'Monthly Data'!DQ115</f>
        <v>30</v>
      </c>
      <c r="K115" s="3">
        <f t="shared" si="31"/>
        <v>-4083957</v>
      </c>
      <c r="L115" s="3">
        <f t="shared" si="32"/>
        <v>678358.81799999985</v>
      </c>
      <c r="M115" s="3">
        <f t="shared" si="33"/>
        <v>5065985.2816250026</v>
      </c>
      <c r="N115" s="3">
        <f t="shared" si="34"/>
        <v>0</v>
      </c>
      <c r="O115" s="3">
        <f t="shared" si="35"/>
        <v>8239043.9819999989</v>
      </c>
      <c r="P115" s="3">
        <f t="shared" si="36"/>
        <v>14301495</v>
      </c>
      <c r="Q115" s="47">
        <f t="shared" si="37"/>
        <v>24200926.081625</v>
      </c>
      <c r="R115" s="47">
        <f ca="1">'Monthly Data'!S115+'Monthly Data'!T115</f>
        <v>181736.260342211</v>
      </c>
      <c r="S115" s="47">
        <f t="shared" ca="1" si="21"/>
        <v>24382662.34196721</v>
      </c>
      <c r="T115" s="47">
        <f t="shared" ca="1" si="22"/>
        <v>1725863.0580817088</v>
      </c>
      <c r="U115" s="18">
        <f t="shared" ca="1" si="38"/>
        <v>7.6174177846436486E-2</v>
      </c>
      <c r="Z115" s="3"/>
    </row>
    <row r="116" spans="1:26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Data'!R116</f>
        <v>25848217.417666662</v>
      </c>
      <c r="E116" s="3">
        <f>'Monthly Data'!CN116</f>
        <v>5.5666666666666629</v>
      </c>
      <c r="F116" s="3">
        <f>'Monthly Data'!CU116</f>
        <v>241.14166666666668</v>
      </c>
      <c r="G116">
        <f>'Monthly Data'!EJ116</f>
        <v>0</v>
      </c>
      <c r="H116" s="3">
        <f>'Monthly Data'!DB116</f>
        <v>8157.9</v>
      </c>
      <c r="I116" s="3">
        <f>'Monthly Data'!DQ116</f>
        <v>31</v>
      </c>
      <c r="K116" s="3">
        <f t="shared" si="31"/>
        <v>-4083957</v>
      </c>
      <c r="L116" s="3">
        <f t="shared" si="32"/>
        <v>62044.730666666626</v>
      </c>
      <c r="M116" s="3">
        <f t="shared" si="33"/>
        <v>8332305.4590833336</v>
      </c>
      <c r="N116" s="3">
        <f t="shared" si="34"/>
        <v>0</v>
      </c>
      <c r="O116" s="3">
        <f t="shared" si="35"/>
        <v>8257263.2219999991</v>
      </c>
      <c r="P116" s="3">
        <f t="shared" si="36"/>
        <v>14778211.5</v>
      </c>
      <c r="Q116" s="47">
        <f t="shared" si="37"/>
        <v>27345867.91175</v>
      </c>
      <c r="R116" s="47">
        <f ca="1">'Monthly Data'!S116+'Monthly Data'!T116</f>
        <v>156171.33317971174</v>
      </c>
      <c r="S116" s="47">
        <f t="shared" ca="1" si="21"/>
        <v>27502039.244929712</v>
      </c>
      <c r="T116" s="47">
        <f t="shared" ca="1" si="22"/>
        <v>1653821.8272630498</v>
      </c>
      <c r="U116" s="18">
        <f t="shared" ca="1" si="38"/>
        <v>6.3982045668367848E-2</v>
      </c>
      <c r="Z116" s="3"/>
    </row>
    <row r="117" spans="1:26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Data'!R117</f>
        <v>24626286.586981039</v>
      </c>
      <c r="E117" s="3">
        <f>'Monthly Data'!CN117</f>
        <v>26.975000000000016</v>
      </c>
      <c r="F117" s="3">
        <f>'Monthly Data'!CU117</f>
        <v>200.86666666666665</v>
      </c>
      <c r="G117">
        <f>'Monthly Data'!EJ117</f>
        <v>0</v>
      </c>
      <c r="H117" s="3">
        <f>'Monthly Data'!DB117</f>
        <v>8164.1</v>
      </c>
      <c r="I117" s="3">
        <f>'Monthly Data'!DQ117</f>
        <v>31</v>
      </c>
      <c r="K117" s="3">
        <f t="shared" si="31"/>
        <v>-4083957</v>
      </c>
      <c r="L117" s="3">
        <f t="shared" si="32"/>
        <v>300656.87600000016</v>
      </c>
      <c r="M117" s="3">
        <f t="shared" si="33"/>
        <v>6940660.4273333326</v>
      </c>
      <c r="N117" s="3">
        <f t="shared" si="34"/>
        <v>0</v>
      </c>
      <c r="O117" s="3">
        <f t="shared" si="35"/>
        <v>8263538.7379999999</v>
      </c>
      <c r="P117" s="3">
        <f t="shared" si="36"/>
        <v>14778211.5</v>
      </c>
      <c r="Q117" s="47">
        <f t="shared" si="37"/>
        <v>26199110.541333333</v>
      </c>
      <c r="R117" s="47">
        <f ca="1">'Monthly Data'!S117+'Monthly Data'!T117</f>
        <v>168010.25817958583</v>
      </c>
      <c r="S117" s="47">
        <f t="shared" ca="1" si="21"/>
        <v>26367120.799512919</v>
      </c>
      <c r="T117" s="47">
        <f t="shared" ca="1" si="22"/>
        <v>1740834.2125318795</v>
      </c>
      <c r="U117" s="18">
        <f t="shared" ca="1" si="38"/>
        <v>7.0690081770273513E-2</v>
      </c>
      <c r="Z117" s="3"/>
    </row>
    <row r="118" spans="1:26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Data'!R118</f>
        <v>21991851.421867885</v>
      </c>
      <c r="E118" s="3">
        <f>'Monthly Data'!CN118</f>
        <v>69.33750000000002</v>
      </c>
      <c r="F118" s="3">
        <f>'Monthly Data'!CU118</f>
        <v>113.86250000000001</v>
      </c>
      <c r="G118">
        <f>'Monthly Data'!EJ118</f>
        <v>0</v>
      </c>
      <c r="H118" s="3">
        <f>'Monthly Data'!DB118</f>
        <v>8177.5</v>
      </c>
      <c r="I118" s="3">
        <f>'Monthly Data'!DQ118</f>
        <v>30</v>
      </c>
      <c r="K118" s="3">
        <f t="shared" si="31"/>
        <v>-4083957</v>
      </c>
      <c r="L118" s="3">
        <f t="shared" si="32"/>
        <v>772819.13400000019</v>
      </c>
      <c r="M118" s="3">
        <f t="shared" si="33"/>
        <v>3934355.8641250003</v>
      </c>
      <c r="N118" s="3">
        <f t="shared" si="34"/>
        <v>0</v>
      </c>
      <c r="O118" s="3">
        <f t="shared" si="35"/>
        <v>8277101.9499999993</v>
      </c>
      <c r="P118" s="3">
        <f t="shared" si="36"/>
        <v>14301495</v>
      </c>
      <c r="Q118" s="47">
        <f t="shared" si="37"/>
        <v>23201814.948124997</v>
      </c>
      <c r="R118" s="47">
        <f ca="1">'Monthly Data'!S118+'Monthly Data'!T118</f>
        <v>192489.65477238546</v>
      </c>
      <c r="S118" s="47">
        <f t="shared" ca="1" si="21"/>
        <v>23394304.602897383</v>
      </c>
      <c r="T118" s="47">
        <f t="shared" ca="1" si="22"/>
        <v>1402453.1810294986</v>
      </c>
      <c r="U118" s="18">
        <f t="shared" ca="1" si="38"/>
        <v>6.3771492182552264E-2</v>
      </c>
      <c r="Z118" s="3"/>
    </row>
    <row r="119" spans="1:26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Data'!R119</f>
        <v>21184005.460647192</v>
      </c>
      <c r="E119" s="3">
        <f>'Monthly Data'!CN119</f>
        <v>295.94166666666661</v>
      </c>
      <c r="F119" s="3">
        <f>'Monthly Data'!CU119</f>
        <v>12.120833333333337</v>
      </c>
      <c r="G119">
        <f>'Monthly Data'!EJ119</f>
        <v>0</v>
      </c>
      <c r="H119" s="3">
        <f>'Monthly Data'!DB119</f>
        <v>8179.8</v>
      </c>
      <c r="I119" s="3">
        <f>'Monthly Data'!DQ119</f>
        <v>31</v>
      </c>
      <c r="K119" s="3">
        <f t="shared" si="31"/>
        <v>-4083957</v>
      </c>
      <c r="L119" s="3">
        <f t="shared" si="32"/>
        <v>3298494.7906666659</v>
      </c>
      <c r="M119" s="3">
        <f t="shared" si="33"/>
        <v>418818.06304166681</v>
      </c>
      <c r="N119" s="3">
        <f t="shared" si="34"/>
        <v>0</v>
      </c>
      <c r="O119" s="3">
        <f t="shared" si="35"/>
        <v>8279429.9639999997</v>
      </c>
      <c r="P119" s="3">
        <f t="shared" si="36"/>
        <v>14778211.5</v>
      </c>
      <c r="Q119" s="47">
        <f t="shared" si="37"/>
        <v>22690997.317708332</v>
      </c>
      <c r="R119" s="47">
        <f ca="1">'Monthly Data'!S119+'Monthly Data'!T119</f>
        <v>392247.60328648891</v>
      </c>
      <c r="S119" s="47">
        <f t="shared" ref="S119:S121" ca="1" si="39">Q119+R119</f>
        <v>23083244.920994822</v>
      </c>
      <c r="T119" s="47">
        <f t="shared" ref="T119:T121" ca="1" si="40">S119-D119</f>
        <v>1899239.4603476301</v>
      </c>
      <c r="U119" s="18">
        <f t="shared" ca="1" si="38"/>
        <v>8.9654407608409217E-2</v>
      </c>
      <c r="Z119" s="3"/>
    </row>
    <row r="120" spans="1:26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Data'!R120</f>
        <v>21747218.776084509</v>
      </c>
      <c r="E120" s="3">
        <f>'Monthly Data'!CN120</f>
        <v>426.29166666666663</v>
      </c>
      <c r="F120" s="3">
        <f>'Monthly Data'!CU120</f>
        <v>5.5041666666666629</v>
      </c>
      <c r="G120">
        <f>'Monthly Data'!EJ120</f>
        <v>0</v>
      </c>
      <c r="H120" s="3">
        <f>'Monthly Data'!DB120</f>
        <v>8182</v>
      </c>
      <c r="I120" s="3">
        <f>'Monthly Data'!DQ120</f>
        <v>30</v>
      </c>
      <c r="K120" s="3">
        <f t="shared" si="31"/>
        <v>-4083957</v>
      </c>
      <c r="L120" s="3">
        <f t="shared" si="32"/>
        <v>4751344.6066666665</v>
      </c>
      <c r="M120" s="3">
        <f t="shared" si="33"/>
        <v>190188.6082083332</v>
      </c>
      <c r="N120" s="3">
        <f t="shared" si="34"/>
        <v>0</v>
      </c>
      <c r="O120" s="3">
        <f t="shared" si="35"/>
        <v>8281656.7599999998</v>
      </c>
      <c r="P120" s="3">
        <f t="shared" si="36"/>
        <v>14301495</v>
      </c>
      <c r="Q120" s="47">
        <f t="shared" si="37"/>
        <v>23440727.974874999</v>
      </c>
      <c r="R120" s="47">
        <f ca="1">'Monthly Data'!S120+'Monthly Data'!T120</f>
        <v>522994.54877956212</v>
      </c>
      <c r="S120" s="47">
        <f t="shared" ca="1" si="39"/>
        <v>23963722.523654561</v>
      </c>
      <c r="T120" s="47">
        <f t="shared" ca="1" si="40"/>
        <v>2216503.7475700527</v>
      </c>
      <c r="U120" s="18">
        <f t="shared" ca="1" si="38"/>
        <v>0.10192125119040737</v>
      </c>
      <c r="Z120" s="3"/>
    </row>
    <row r="121" spans="1:26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Data'!R121</f>
        <v>24936880.819856849</v>
      </c>
      <c r="E121" s="3">
        <f>'Monthly Data'!CN121</f>
        <v>660.57500000000016</v>
      </c>
      <c r="F121" s="3">
        <f>'Monthly Data'!CU121</f>
        <v>0</v>
      </c>
      <c r="G121">
        <f>'Monthly Data'!EJ121</f>
        <v>0</v>
      </c>
      <c r="H121" s="3">
        <f>'Monthly Data'!DB121</f>
        <v>8183.3</v>
      </c>
      <c r="I121" s="3">
        <f>'Monthly Data'!DQ121</f>
        <v>31</v>
      </c>
      <c r="K121" s="3">
        <f t="shared" si="31"/>
        <v>-4083957</v>
      </c>
      <c r="L121" s="3">
        <f t="shared" si="32"/>
        <v>7362610.4120000023</v>
      </c>
      <c r="M121" s="3">
        <f t="shared" si="33"/>
        <v>0</v>
      </c>
      <c r="N121" s="3">
        <f t="shared" si="34"/>
        <v>0</v>
      </c>
      <c r="O121" s="3">
        <f t="shared" si="35"/>
        <v>8282972.5939999996</v>
      </c>
      <c r="P121" s="3">
        <f t="shared" si="36"/>
        <v>14778211.5</v>
      </c>
      <c r="Q121" s="47">
        <f t="shared" si="37"/>
        <v>26339837.506000001</v>
      </c>
      <c r="R121" s="47">
        <f ca="1">'Monthly Data'!S121+'Monthly Data'!T121</f>
        <v>749227.81574813963</v>
      </c>
      <c r="S121" s="47">
        <f t="shared" ca="1" si="39"/>
        <v>27089065.321748141</v>
      </c>
      <c r="T121" s="47">
        <f t="shared" ca="1" si="40"/>
        <v>2152184.5018912926</v>
      </c>
      <c r="U121" s="18">
        <f t="shared" ca="1" si="38"/>
        <v>8.6305280818342836E-2</v>
      </c>
      <c r="Z121" s="3"/>
    </row>
    <row r="122" spans="1:26">
      <c r="U122" s="17">
        <f ca="1">AVERAGE(U2:U121)</f>
        <v>3.2408816578406184E-2</v>
      </c>
      <c r="Z122" s="3"/>
    </row>
    <row r="123" spans="1:26">
      <c r="Z123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4EE55-B8B3-465A-A6F4-C3F86B69E0B5}">
  <sheetPr codeName="Sheet12">
    <tabColor theme="9" tint="0.79998168889431442"/>
  </sheetPr>
  <dimension ref="A1:AD122"/>
  <sheetViews>
    <sheetView workbookViewId="0"/>
  </sheetViews>
  <sheetFormatPr defaultRowHeight="15"/>
  <cols>
    <col min="4" max="4" width="26.85546875" customWidth="1"/>
    <col min="8" max="8" width="9.42578125" style="3" bestFit="1" customWidth="1"/>
    <col min="9" max="9" width="11.42578125" bestFit="1" customWidth="1"/>
    <col min="10" max="10" width="10.42578125" customWidth="1"/>
    <col min="12" max="12" width="11.42578125" style="618" customWidth="1"/>
    <col min="13" max="14" width="11.42578125" bestFit="1" customWidth="1"/>
    <col min="15" max="15" width="10.42578125" bestFit="1" customWidth="1"/>
    <col min="16" max="17" width="11.42578125" bestFit="1" customWidth="1"/>
    <col min="18" max="18" width="11.42578125" customWidth="1"/>
    <col min="19" max="21" width="12.5703125" customWidth="1"/>
    <col min="22" max="22" width="12" customWidth="1"/>
    <col min="27" max="27" width="13.5703125" bestFit="1" customWidth="1"/>
    <col min="28" max="28" width="12.5703125" bestFit="1" customWidth="1"/>
    <col min="29" max="29" width="13.5703125" bestFit="1" customWidth="1"/>
    <col min="30" max="30" width="8.5703125" bestFit="1" customWidth="1"/>
  </cols>
  <sheetData>
    <row r="1" spans="1:30">
      <c r="A1" s="760" t="str">
        <f>'Monthly Data'!A1</f>
        <v>Date</v>
      </c>
      <c r="B1" s="760" t="str">
        <f>'Monthly Data'!B1</f>
        <v>Year</v>
      </c>
      <c r="C1" s="760" t="str">
        <f>'Monthly Data'!C1</f>
        <v>Month</v>
      </c>
      <c r="D1" s="760" t="str">
        <f>'Monthly Data'!X1</f>
        <v>VRZ_GS50to2999kWh_No_CDM</v>
      </c>
      <c r="E1" s="760" t="str">
        <f>'Monthly Data'!CN1</f>
        <v>HDD20</v>
      </c>
      <c r="F1" s="760" t="str">
        <f>'Monthly Data'!CW1</f>
        <v>CDD12</v>
      </c>
      <c r="G1" s="760" t="str">
        <f>'Monthly Data'!EG1</f>
        <v>Shoulder</v>
      </c>
      <c r="H1" s="760" t="str">
        <f>'Monthly Data'!DQ1</f>
        <v>Month Days</v>
      </c>
      <c r="I1" s="760" t="str">
        <f>'Monthly Data'!DL1</f>
        <v>OEA_GDP</v>
      </c>
      <c r="J1" s="760" t="str">
        <f>'Monthly Data'!EH1</f>
        <v>Trend</v>
      </c>
      <c r="K1" s="760"/>
      <c r="L1" s="787" t="str">
        <f>Z8</f>
        <v>const</v>
      </c>
      <c r="M1" s="760" t="str">
        <f t="shared" ref="M1:R1" si="0">E1</f>
        <v>HDD20</v>
      </c>
      <c r="N1" s="760" t="str">
        <f t="shared" si="0"/>
        <v>CDD12</v>
      </c>
      <c r="O1" s="760" t="str">
        <f t="shared" si="0"/>
        <v>Shoulder</v>
      </c>
      <c r="P1" s="760" t="str">
        <f t="shared" si="0"/>
        <v>Month Days</v>
      </c>
      <c r="Q1" s="760" t="str">
        <f t="shared" si="0"/>
        <v>OEA_GDP</v>
      </c>
      <c r="R1" s="760" t="str">
        <f t="shared" si="0"/>
        <v>Trend</v>
      </c>
      <c r="S1" s="760" t="s">
        <v>424</v>
      </c>
      <c r="T1" s="760" t="s">
        <v>630</v>
      </c>
      <c r="U1" s="760" t="s">
        <v>631</v>
      </c>
      <c r="V1" s="760" t="s">
        <v>425</v>
      </c>
      <c r="W1" s="760"/>
    </row>
    <row r="2" spans="1:30">
      <c r="A2" s="2">
        <f>'Monthly Data'!A2</f>
        <v>42005</v>
      </c>
      <c r="B2">
        <f>'Monthly Data'!B2</f>
        <v>2015</v>
      </c>
      <c r="C2">
        <f>'Monthly Data'!C2</f>
        <v>1</v>
      </c>
      <c r="D2" s="3">
        <f>'Monthly Data'!X2</f>
        <v>71442620.039468288</v>
      </c>
      <c r="E2" s="3">
        <f>'Monthly Data'!CN2</f>
        <v>859.89184782608675</v>
      </c>
      <c r="F2" s="3">
        <f>'Monthly Data'!CW2</f>
        <v>0</v>
      </c>
      <c r="G2">
        <f>'Monthly Data'!EG2</f>
        <v>0</v>
      </c>
      <c r="H2" s="3">
        <f>'Monthly Data'!DQ2</f>
        <v>31</v>
      </c>
      <c r="I2" s="3">
        <f>'Monthly Data'!DL2</f>
        <v>718587</v>
      </c>
      <c r="J2" s="3">
        <f>'Monthly Data'!EH2</f>
        <v>1</v>
      </c>
      <c r="L2" s="616">
        <f t="shared" ref="L2:L33" si="1">$AA$8</f>
        <v>-38000000</v>
      </c>
      <c r="M2" s="3">
        <f t="shared" ref="M2:M33" si="2">E2*$AA$9</f>
        <v>15233835.377168477</v>
      </c>
      <c r="N2" s="3">
        <f t="shared" ref="N2:N33" si="3">F2*$AA$10</f>
        <v>0</v>
      </c>
      <c r="O2" s="3">
        <f t="shared" ref="O2:O33" si="4">G2*$AA$11</f>
        <v>0</v>
      </c>
      <c r="P2" s="3">
        <f t="shared" ref="P2:P33" si="5">H2*$AA$12</f>
        <v>40989657</v>
      </c>
      <c r="Q2" s="3">
        <f t="shared" ref="Q2:Q33" si="6">I2*$AA$13</f>
        <v>65138668.394489996</v>
      </c>
      <c r="R2" s="3">
        <f t="shared" ref="R2:R33" si="7">J2*$AA$14</f>
        <v>-80570.8</v>
      </c>
      <c r="S2" s="47">
        <f t="shared" ref="S2:S54" si="8">SUM(L2:R2)</f>
        <v>83281589.971658483</v>
      </c>
      <c r="T2" s="47">
        <f>'Monthly Data'!Y2+'Monthly Data'!Z2</f>
        <v>0</v>
      </c>
      <c r="U2" s="47">
        <f t="shared" ref="U2:U54" si="9">S2+T2</f>
        <v>83281589.971658483</v>
      </c>
      <c r="V2" s="47">
        <f t="shared" ref="V2:V54" si="10">U2-D2</f>
        <v>11838969.932190195</v>
      </c>
      <c r="W2" s="18">
        <f t="shared" ref="W2:W21" si="11">ABS(V2/D2)</f>
        <v>0.16571298652890651</v>
      </c>
    </row>
    <row r="3" spans="1:30">
      <c r="A3" s="2">
        <f>'Monthly Data'!A3</f>
        <v>42036</v>
      </c>
      <c r="B3">
        <f>'Monthly Data'!B3</f>
        <v>2015</v>
      </c>
      <c r="C3">
        <f>'Monthly Data'!C3</f>
        <v>2</v>
      </c>
      <c r="D3" s="3">
        <f>'Monthly Data'!X3</f>
        <v>76632985.030416265</v>
      </c>
      <c r="E3" s="3">
        <f>'Monthly Data'!CN3</f>
        <v>921.85434782608706</v>
      </c>
      <c r="F3" s="3">
        <f>'Monthly Data'!CW3</f>
        <v>0</v>
      </c>
      <c r="G3">
        <f>'Monthly Data'!EG3</f>
        <v>0</v>
      </c>
      <c r="H3" s="3">
        <f>'Monthly Data'!DQ3</f>
        <v>28</v>
      </c>
      <c r="I3" s="3">
        <f>'Monthly Data'!DL3</f>
        <v>718587</v>
      </c>
      <c r="J3" s="3">
        <f>'Monthly Data'!EH3</f>
        <v>2</v>
      </c>
      <c r="L3" s="616">
        <f t="shared" si="1"/>
        <v>-38000000</v>
      </c>
      <c r="M3" s="3">
        <f t="shared" si="2"/>
        <v>16331562.407543482</v>
      </c>
      <c r="N3" s="3">
        <f t="shared" si="3"/>
        <v>0</v>
      </c>
      <c r="O3" s="3">
        <f t="shared" si="4"/>
        <v>0</v>
      </c>
      <c r="P3" s="3">
        <f t="shared" si="5"/>
        <v>37022916</v>
      </c>
      <c r="Q3" s="3">
        <f t="shared" si="6"/>
        <v>65138668.394489996</v>
      </c>
      <c r="R3" s="3">
        <f t="shared" si="7"/>
        <v>-161141.6</v>
      </c>
      <c r="S3" s="47">
        <f t="shared" si="8"/>
        <v>80332005.20203349</v>
      </c>
      <c r="T3" s="47">
        <f>'Monthly Data'!Y3+'Monthly Data'!Z3</f>
        <v>0</v>
      </c>
      <c r="U3" s="47">
        <f t="shared" si="9"/>
        <v>80332005.20203349</v>
      </c>
      <c r="V3" s="47">
        <f t="shared" si="10"/>
        <v>3699020.1716172248</v>
      </c>
      <c r="W3" s="18">
        <f t="shared" si="11"/>
        <v>4.8269295136409644E-2</v>
      </c>
      <c r="Z3" s="684" t="s">
        <v>553</v>
      </c>
      <c r="AA3" s="684"/>
      <c r="AB3" s="684"/>
      <c r="AC3" s="684"/>
      <c r="AD3" s="684"/>
    </row>
    <row r="4" spans="1:30">
      <c r="A4" s="2">
        <f>'Monthly Data'!A4</f>
        <v>42064</v>
      </c>
      <c r="B4">
        <f>'Monthly Data'!B4</f>
        <v>2015</v>
      </c>
      <c r="C4">
        <f>'Monthly Data'!C4</f>
        <v>3</v>
      </c>
      <c r="D4" s="3">
        <f>'Monthly Data'!X4</f>
        <v>85961173.667970002</v>
      </c>
      <c r="E4" s="3">
        <f>'Monthly Data'!CN4</f>
        <v>699.80000000000007</v>
      </c>
      <c r="F4" s="3">
        <f>'Monthly Data'!CW4</f>
        <v>0</v>
      </c>
      <c r="G4">
        <f>'Monthly Data'!EG4</f>
        <v>1</v>
      </c>
      <c r="H4" s="3">
        <f>'Monthly Data'!DQ4</f>
        <v>31</v>
      </c>
      <c r="I4" s="3">
        <f>'Monthly Data'!DL4</f>
        <v>718587</v>
      </c>
      <c r="J4" s="3">
        <f>'Monthly Data'!EH4</f>
        <v>3</v>
      </c>
      <c r="L4" s="616">
        <f t="shared" si="1"/>
        <v>-38000000</v>
      </c>
      <c r="M4" s="3">
        <f t="shared" si="2"/>
        <v>12397649.802000003</v>
      </c>
      <c r="N4" s="3">
        <f t="shared" si="3"/>
        <v>0</v>
      </c>
      <c r="O4" s="3">
        <f t="shared" si="4"/>
        <v>1538400</v>
      </c>
      <c r="P4" s="3">
        <f t="shared" si="5"/>
        <v>40989657</v>
      </c>
      <c r="Q4" s="3">
        <f t="shared" si="6"/>
        <v>65138668.394489996</v>
      </c>
      <c r="R4" s="3">
        <f t="shared" si="7"/>
        <v>-241712.40000000002</v>
      </c>
      <c r="S4" s="47">
        <f t="shared" si="8"/>
        <v>81822662.796489984</v>
      </c>
      <c r="T4" s="47">
        <f>'Monthly Data'!Y4+'Monthly Data'!Z4</f>
        <v>0</v>
      </c>
      <c r="U4" s="47">
        <f t="shared" si="9"/>
        <v>81822662.796489984</v>
      </c>
      <c r="V4" s="47">
        <f t="shared" si="10"/>
        <v>-4138510.8714800179</v>
      </c>
      <c r="W4" s="18">
        <f t="shared" si="11"/>
        <v>4.8143954937903188E-2</v>
      </c>
      <c r="Z4" s="684" t="s">
        <v>680</v>
      </c>
      <c r="AA4" s="684"/>
      <c r="AB4" s="684"/>
      <c r="AC4" s="684"/>
      <c r="AD4" s="684"/>
    </row>
    <row r="5" spans="1:30">
      <c r="A5" s="2">
        <f>'Monthly Data'!A5</f>
        <v>42095</v>
      </c>
      <c r="B5">
        <f>'Monthly Data'!B5</f>
        <v>2015</v>
      </c>
      <c r="C5">
        <f>'Monthly Data'!C5</f>
        <v>4</v>
      </c>
      <c r="D5" s="3">
        <f>'Monthly Data'!X5</f>
        <v>78651699.97552374</v>
      </c>
      <c r="E5" s="3">
        <f>'Monthly Data'!CN5</f>
        <v>406.75037878787873</v>
      </c>
      <c r="F5" s="3">
        <f>'Monthly Data'!CW5</f>
        <v>1.5333333333333332</v>
      </c>
      <c r="G5">
        <f>'Monthly Data'!EG5</f>
        <v>1</v>
      </c>
      <c r="H5" s="3">
        <f>'Monthly Data'!DQ5</f>
        <v>30</v>
      </c>
      <c r="I5" s="3">
        <f>'Monthly Data'!DL5</f>
        <v>723726</v>
      </c>
      <c r="J5" s="3">
        <f>'Monthly Data'!EH5</f>
        <v>4</v>
      </c>
      <c r="L5" s="616">
        <f t="shared" si="1"/>
        <v>-38000000</v>
      </c>
      <c r="M5" s="3">
        <f t="shared" si="2"/>
        <v>7205985.6431022724</v>
      </c>
      <c r="N5" s="3">
        <f t="shared" si="3"/>
        <v>88513.107999999993</v>
      </c>
      <c r="O5" s="3">
        <f t="shared" si="4"/>
        <v>1538400</v>
      </c>
      <c r="P5" s="3">
        <f t="shared" si="5"/>
        <v>39667410</v>
      </c>
      <c r="Q5" s="3">
        <f t="shared" si="6"/>
        <v>65604509.85402</v>
      </c>
      <c r="R5" s="3">
        <f t="shared" si="7"/>
        <v>-322283.2</v>
      </c>
      <c r="S5" s="47">
        <f t="shared" si="8"/>
        <v>75782535.405122265</v>
      </c>
      <c r="T5" s="47">
        <f>'Monthly Data'!Y5+'Monthly Data'!Z5</f>
        <v>0</v>
      </c>
      <c r="U5" s="47">
        <f t="shared" si="9"/>
        <v>75782535.405122265</v>
      </c>
      <c r="V5" s="47">
        <f t="shared" si="10"/>
        <v>-2869164.5704014748</v>
      </c>
      <c r="W5" s="18">
        <f t="shared" si="11"/>
        <v>3.6479371346002099E-2</v>
      </c>
      <c r="Z5" s="684" t="s">
        <v>693</v>
      </c>
      <c r="AA5" s="684"/>
      <c r="AB5" s="684"/>
      <c r="AC5" s="684"/>
      <c r="AD5" s="684"/>
    </row>
    <row r="6" spans="1:30">
      <c r="A6" s="2">
        <f>'Monthly Data'!A6</f>
        <v>42125</v>
      </c>
      <c r="B6">
        <f>'Monthly Data'!B6</f>
        <v>2015</v>
      </c>
      <c r="C6">
        <f>'Monthly Data'!C6</f>
        <v>5</v>
      </c>
      <c r="D6" s="3">
        <f>'Monthly Data'!X6</f>
        <v>80725133.273077473</v>
      </c>
      <c r="E6" s="3">
        <f>'Monthly Data'!CN6</f>
        <v>159.09689440993785</v>
      </c>
      <c r="F6" s="3">
        <f>'Monthly Data'!CW6</f>
        <v>105.49404761904762</v>
      </c>
      <c r="G6">
        <f>'Monthly Data'!EG6</f>
        <v>1</v>
      </c>
      <c r="H6" s="3">
        <f>'Monthly Data'!DQ6</f>
        <v>31</v>
      </c>
      <c r="I6" s="3">
        <f>'Monthly Data'!DL6</f>
        <v>723726</v>
      </c>
      <c r="J6" s="3">
        <f>'Monthly Data'!EH6</f>
        <v>5</v>
      </c>
      <c r="L6" s="616">
        <f t="shared" si="1"/>
        <v>-38000000</v>
      </c>
      <c r="M6" s="3">
        <f t="shared" si="2"/>
        <v>2818558.9903975152</v>
      </c>
      <c r="N6" s="3">
        <f t="shared" si="3"/>
        <v>6089743.0632142862</v>
      </c>
      <c r="O6" s="3">
        <f t="shared" si="4"/>
        <v>1538400</v>
      </c>
      <c r="P6" s="3">
        <f t="shared" si="5"/>
        <v>40989657</v>
      </c>
      <c r="Q6" s="3">
        <f t="shared" si="6"/>
        <v>65604509.85402</v>
      </c>
      <c r="R6" s="3">
        <f t="shared" si="7"/>
        <v>-402854</v>
      </c>
      <c r="S6" s="47">
        <f t="shared" si="8"/>
        <v>78638014.9076318</v>
      </c>
      <c r="T6" s="47">
        <f>'Monthly Data'!Y6+'Monthly Data'!Z6</f>
        <v>0</v>
      </c>
      <c r="U6" s="47">
        <f t="shared" si="9"/>
        <v>78638014.9076318</v>
      </c>
      <c r="V6" s="47">
        <f t="shared" si="10"/>
        <v>-2087118.3654456735</v>
      </c>
      <c r="W6" s="18">
        <f t="shared" si="11"/>
        <v>2.5854628921891734E-2</v>
      </c>
      <c r="Z6" s="685"/>
      <c r="AA6" s="685"/>
      <c r="AB6" s="685"/>
      <c r="AC6" s="685"/>
      <c r="AD6" s="685"/>
    </row>
    <row r="7" spans="1:30">
      <c r="A7" s="2">
        <f>'Monthly Data'!A7</f>
        <v>42156</v>
      </c>
      <c r="B7">
        <f>'Monthly Data'!B7</f>
        <v>2015</v>
      </c>
      <c r="C7">
        <f>'Monthly Data'!C7</f>
        <v>6</v>
      </c>
      <c r="D7" s="3">
        <f>'Monthly Data'!X7</f>
        <v>81951611.450631216</v>
      </c>
      <c r="E7" s="3">
        <f>'Monthly Data'!CN7</f>
        <v>93.137500000000045</v>
      </c>
      <c r="F7" s="3">
        <f>'Monthly Data'!CW7</f>
        <v>150.2583333333333</v>
      </c>
      <c r="G7">
        <f>'Monthly Data'!EG7</f>
        <v>0</v>
      </c>
      <c r="H7" s="3">
        <f>'Monthly Data'!DQ7</f>
        <v>30</v>
      </c>
      <c r="I7" s="3">
        <f>'Monthly Data'!DL7</f>
        <v>723726</v>
      </c>
      <c r="J7" s="3">
        <f>'Monthly Data'!EH7</f>
        <v>6</v>
      </c>
      <c r="L7" s="616">
        <f t="shared" si="1"/>
        <v>-38000000</v>
      </c>
      <c r="M7" s="3">
        <f t="shared" si="2"/>
        <v>1650023.018625001</v>
      </c>
      <c r="N7" s="3">
        <f t="shared" si="3"/>
        <v>8673803.5344999991</v>
      </c>
      <c r="O7" s="3">
        <f t="shared" si="4"/>
        <v>0</v>
      </c>
      <c r="P7" s="3">
        <f t="shared" si="5"/>
        <v>39667410</v>
      </c>
      <c r="Q7" s="3">
        <f t="shared" si="6"/>
        <v>65604509.85402</v>
      </c>
      <c r="R7" s="3">
        <f t="shared" si="7"/>
        <v>-483424.80000000005</v>
      </c>
      <c r="S7" s="47">
        <f t="shared" si="8"/>
        <v>77112321.607144997</v>
      </c>
      <c r="T7" s="47">
        <f>'Monthly Data'!Y7+'Monthly Data'!Z7</f>
        <v>0</v>
      </c>
      <c r="U7" s="47">
        <f t="shared" si="9"/>
        <v>77112321.607144997</v>
      </c>
      <c r="V7" s="47">
        <f t="shared" si="10"/>
        <v>-4839289.8434862196</v>
      </c>
      <c r="W7" s="18">
        <f t="shared" si="11"/>
        <v>5.9050575794979639E-2</v>
      </c>
      <c r="Z7" s="685"/>
      <c r="AA7" s="685" t="s">
        <v>409</v>
      </c>
      <c r="AB7" s="685" t="s">
        <v>410</v>
      </c>
      <c r="AC7" s="685" t="s">
        <v>411</v>
      </c>
      <c r="AD7" s="685" t="s">
        <v>412</v>
      </c>
    </row>
    <row r="8" spans="1:30">
      <c r="A8" s="2">
        <f>'Monthly Data'!A8</f>
        <v>42186</v>
      </c>
      <c r="B8">
        <f>'Monthly Data'!B8</f>
        <v>2015</v>
      </c>
      <c r="C8">
        <f>'Monthly Data'!C8</f>
        <v>7</v>
      </c>
      <c r="D8" s="3">
        <f>'Monthly Data'!X8</f>
        <v>84790202.238184944</v>
      </c>
      <c r="E8" s="3">
        <f>'Monthly Data'!CN8</f>
        <v>25.987500000000004</v>
      </c>
      <c r="F8" s="3">
        <f>'Monthly Data'!CW8</f>
        <v>267.53749999999997</v>
      </c>
      <c r="G8">
        <f>'Monthly Data'!EG8</f>
        <v>0</v>
      </c>
      <c r="H8" s="3">
        <f>'Monthly Data'!DQ8</f>
        <v>31</v>
      </c>
      <c r="I8" s="3">
        <f>'Monthly Data'!DL8</f>
        <v>730341</v>
      </c>
      <c r="J8" s="3">
        <f>'Monthly Data'!EH8</f>
        <v>7</v>
      </c>
      <c r="L8" s="616">
        <f t="shared" si="1"/>
        <v>-38000000</v>
      </c>
      <c r="M8" s="3">
        <f t="shared" si="2"/>
        <v>460394.29012500012</v>
      </c>
      <c r="N8" s="3">
        <f t="shared" si="3"/>
        <v>15443853.672749998</v>
      </c>
      <c r="O8" s="3">
        <f t="shared" si="4"/>
        <v>0</v>
      </c>
      <c r="P8" s="3">
        <f t="shared" si="5"/>
        <v>40989657</v>
      </c>
      <c r="Q8" s="3">
        <f t="shared" si="6"/>
        <v>66204148.160069995</v>
      </c>
      <c r="R8" s="3">
        <f t="shared" si="7"/>
        <v>-563995.6</v>
      </c>
      <c r="S8" s="47">
        <f t="shared" si="8"/>
        <v>84534057.522944987</v>
      </c>
      <c r="T8" s="47">
        <f>'Monthly Data'!Y8+'Monthly Data'!Z8</f>
        <v>0</v>
      </c>
      <c r="U8" s="47">
        <f t="shared" si="9"/>
        <v>84534057.522944987</v>
      </c>
      <c r="V8" s="47">
        <f t="shared" si="10"/>
        <v>-256144.71523995697</v>
      </c>
      <c r="W8" s="18">
        <f t="shared" si="11"/>
        <v>3.0209235085961756E-3</v>
      </c>
      <c r="Z8" s="685" t="s">
        <v>413</v>
      </c>
      <c r="AA8" s="695">
        <v>-38000000</v>
      </c>
      <c r="AB8" s="686">
        <v>11244653</v>
      </c>
      <c r="AC8" s="687">
        <v>-3.3380000000000001</v>
      </c>
      <c r="AD8" s="694">
        <v>1.13986115980826E-3</v>
      </c>
    </row>
    <row r="9" spans="1:30">
      <c r="A9" s="2">
        <f>'Monthly Data'!A9</f>
        <v>42217</v>
      </c>
      <c r="B9">
        <f>'Monthly Data'!B9</f>
        <v>2015</v>
      </c>
      <c r="C9">
        <f>'Monthly Data'!C9</f>
        <v>8</v>
      </c>
      <c r="D9" s="3">
        <f>'Monthly Data'!X9</f>
        <v>84347090.635738686</v>
      </c>
      <c r="E9" s="3">
        <f>'Monthly Data'!CN9</f>
        <v>40.1875</v>
      </c>
      <c r="F9" s="3">
        <f>'Monthly Data'!CW9</f>
        <v>229.94166666666666</v>
      </c>
      <c r="G9">
        <f>'Monthly Data'!EG9</f>
        <v>0</v>
      </c>
      <c r="H9" s="3">
        <f>'Monthly Data'!DQ9</f>
        <v>31</v>
      </c>
      <c r="I9" s="3">
        <f>'Monthly Data'!DL9</f>
        <v>730341</v>
      </c>
      <c r="J9" s="3">
        <f>'Monthly Data'!EH9</f>
        <v>8</v>
      </c>
      <c r="L9" s="616">
        <f t="shared" si="1"/>
        <v>-38000000</v>
      </c>
      <c r="M9" s="3">
        <f t="shared" si="2"/>
        <v>711961.34812500002</v>
      </c>
      <c r="N9" s="3">
        <f t="shared" si="3"/>
        <v>13273598.853500001</v>
      </c>
      <c r="O9" s="3">
        <f t="shared" si="4"/>
        <v>0</v>
      </c>
      <c r="P9" s="3">
        <f t="shared" si="5"/>
        <v>40989657</v>
      </c>
      <c r="Q9" s="3">
        <f t="shared" si="6"/>
        <v>66204148.160069995</v>
      </c>
      <c r="R9" s="3">
        <f t="shared" si="7"/>
        <v>-644566.4</v>
      </c>
      <c r="S9" s="47">
        <f t="shared" si="8"/>
        <v>82534798.961694986</v>
      </c>
      <c r="T9" s="47">
        <f>'Monthly Data'!Y9+'Monthly Data'!Z9</f>
        <v>0</v>
      </c>
      <c r="U9" s="47">
        <f t="shared" si="9"/>
        <v>82534798.961694986</v>
      </c>
      <c r="V9" s="47">
        <f t="shared" si="10"/>
        <v>-1812291.6740437001</v>
      </c>
      <c r="W9" s="18">
        <f t="shared" si="11"/>
        <v>2.1486119561257452E-2</v>
      </c>
      <c r="Z9" s="685" t="s">
        <v>40</v>
      </c>
      <c r="AA9" s="686">
        <v>17715.990000000002</v>
      </c>
      <c r="AB9" s="686">
        <v>2144.9659999999999</v>
      </c>
      <c r="AC9" s="687">
        <v>8.2593359999999993</v>
      </c>
      <c r="AD9" s="694">
        <v>3.07879061223181E-13</v>
      </c>
    </row>
    <row r="10" spans="1:30">
      <c r="A10" s="2">
        <f>'Monthly Data'!A10</f>
        <v>42248</v>
      </c>
      <c r="B10">
        <f>'Monthly Data'!B10</f>
        <v>2015</v>
      </c>
      <c r="C10">
        <f>'Monthly Data'!C10</f>
        <v>9</v>
      </c>
      <c r="D10" s="3">
        <f>'Monthly Data'!X10</f>
        <v>83793511.793292418</v>
      </c>
      <c r="E10" s="3">
        <f>'Monthly Data'!CN10</f>
        <v>78.99404761904762</v>
      </c>
      <c r="F10" s="3">
        <f>'Monthly Data'!CW10</f>
        <v>188.96011904761906</v>
      </c>
      <c r="G10">
        <f>'Monthly Data'!EG10</f>
        <v>1</v>
      </c>
      <c r="H10" s="3">
        <f>'Monthly Data'!DQ10</f>
        <v>30</v>
      </c>
      <c r="I10" s="3">
        <f>'Monthly Data'!DL10</f>
        <v>730341</v>
      </c>
      <c r="J10" s="3">
        <f>'Monthly Data'!EH10</f>
        <v>9</v>
      </c>
      <c r="L10" s="616">
        <f t="shared" si="1"/>
        <v>-38000000</v>
      </c>
      <c r="M10" s="3">
        <f t="shared" si="2"/>
        <v>1399457.7576785716</v>
      </c>
      <c r="N10" s="3">
        <f t="shared" si="3"/>
        <v>10907900.494535716</v>
      </c>
      <c r="O10" s="3">
        <f t="shared" si="4"/>
        <v>1538400</v>
      </c>
      <c r="P10" s="3">
        <f t="shared" si="5"/>
        <v>39667410</v>
      </c>
      <c r="Q10" s="3">
        <f t="shared" si="6"/>
        <v>66204148.160069995</v>
      </c>
      <c r="R10" s="3">
        <f t="shared" si="7"/>
        <v>-725137.20000000007</v>
      </c>
      <c r="S10" s="47">
        <f t="shared" si="8"/>
        <v>80992179.212284282</v>
      </c>
      <c r="T10" s="47">
        <f>'Monthly Data'!Y10+'Monthly Data'!Z10</f>
        <v>0</v>
      </c>
      <c r="U10" s="47">
        <f t="shared" si="9"/>
        <v>80992179.212284282</v>
      </c>
      <c r="V10" s="47">
        <f t="shared" si="10"/>
        <v>-2801332.5810081363</v>
      </c>
      <c r="W10" s="18">
        <f t="shared" si="11"/>
        <v>3.3431378170647098E-2</v>
      </c>
      <c r="Z10" s="685" t="s">
        <v>49</v>
      </c>
      <c r="AA10" s="686">
        <v>57725.94</v>
      </c>
      <c r="AB10" s="686">
        <v>5529.4530000000004</v>
      </c>
      <c r="AC10" s="687">
        <v>10.439719999999999</v>
      </c>
      <c r="AD10" s="694">
        <v>2.7686533185559399E-18</v>
      </c>
    </row>
    <row r="11" spans="1:30">
      <c r="A11" s="2">
        <f>'Monthly Data'!A11</f>
        <v>42278</v>
      </c>
      <c r="B11">
        <f>'Monthly Data'!B11</f>
        <v>2015</v>
      </c>
      <c r="C11">
        <f>'Monthly Data'!C11</f>
        <v>10</v>
      </c>
      <c r="D11" s="3">
        <f>'Monthly Data'!X11</f>
        <v>79410343.900846153</v>
      </c>
      <c r="E11" s="3">
        <f>'Monthly Data'!CN11</f>
        <v>338.98750000000007</v>
      </c>
      <c r="F11" s="3">
        <f>'Monthly Data'!CW11</f>
        <v>13.895833333333337</v>
      </c>
      <c r="G11">
        <f>'Monthly Data'!EG11</f>
        <v>1</v>
      </c>
      <c r="H11" s="3">
        <f>'Monthly Data'!DQ11</f>
        <v>31</v>
      </c>
      <c r="I11" s="3">
        <f>'Monthly Data'!DL11</f>
        <v>737784</v>
      </c>
      <c r="J11" s="3">
        <f>'Monthly Data'!EH11</f>
        <v>10</v>
      </c>
      <c r="L11" s="616">
        <f t="shared" si="1"/>
        <v>-38000000</v>
      </c>
      <c r="M11" s="3">
        <f t="shared" si="2"/>
        <v>6005499.1601250013</v>
      </c>
      <c r="N11" s="3">
        <f t="shared" si="3"/>
        <v>802150.04125000024</v>
      </c>
      <c r="O11" s="3">
        <f t="shared" si="4"/>
        <v>1538400</v>
      </c>
      <c r="P11" s="3">
        <f t="shared" si="5"/>
        <v>40989657</v>
      </c>
      <c r="Q11" s="3">
        <f t="shared" si="6"/>
        <v>66878843.233679995</v>
      </c>
      <c r="R11" s="3">
        <f t="shared" si="7"/>
        <v>-805708</v>
      </c>
      <c r="S11" s="47">
        <f t="shared" si="8"/>
        <v>77408841.435055003</v>
      </c>
      <c r="T11" s="47">
        <f>'Monthly Data'!Y11+'Monthly Data'!Z11</f>
        <v>0</v>
      </c>
      <c r="U11" s="47">
        <f t="shared" si="9"/>
        <v>77408841.435055003</v>
      </c>
      <c r="V11" s="47">
        <f t="shared" si="10"/>
        <v>-2001502.4657911509</v>
      </c>
      <c r="W11" s="18">
        <f t="shared" si="11"/>
        <v>2.5204556075091169E-2</v>
      </c>
      <c r="Z11" s="685" t="s">
        <v>118</v>
      </c>
      <c r="AA11" s="686">
        <v>1538400</v>
      </c>
      <c r="AB11" s="686">
        <v>593075.1</v>
      </c>
      <c r="AC11" s="687">
        <v>2.5939390000000002</v>
      </c>
      <c r="AD11" s="694">
        <v>1.06124425857387E-2</v>
      </c>
    </row>
    <row r="12" spans="1:30">
      <c r="A12" s="2">
        <f>'Monthly Data'!A12</f>
        <v>42309</v>
      </c>
      <c r="B12">
        <f>'Monthly Data'!B12</f>
        <v>2015</v>
      </c>
      <c r="C12">
        <f>'Monthly Data'!C12</f>
        <v>11</v>
      </c>
      <c r="D12" s="3">
        <f>'Monthly Data'!X12</f>
        <v>79052148.718399897</v>
      </c>
      <c r="E12" s="3">
        <f>'Monthly Data'!CN12</f>
        <v>431.77083333333331</v>
      </c>
      <c r="F12" s="3">
        <f>'Monthly Data'!CW12</f>
        <v>3.5374999999999979</v>
      </c>
      <c r="G12">
        <f>'Monthly Data'!EG12</f>
        <v>1</v>
      </c>
      <c r="H12" s="3">
        <f>'Monthly Data'!DQ12</f>
        <v>30</v>
      </c>
      <c r="I12" s="3">
        <f>'Monthly Data'!DL12</f>
        <v>737784</v>
      </c>
      <c r="J12" s="3">
        <f>'Monthly Data'!EH12</f>
        <v>11</v>
      </c>
      <c r="L12" s="616">
        <f t="shared" si="1"/>
        <v>-38000000</v>
      </c>
      <c r="M12" s="3">
        <f t="shared" si="2"/>
        <v>7649247.765625</v>
      </c>
      <c r="N12" s="3">
        <f t="shared" si="3"/>
        <v>204205.51274999988</v>
      </c>
      <c r="O12" s="3">
        <f t="shared" si="4"/>
        <v>1538400</v>
      </c>
      <c r="P12" s="3">
        <f t="shared" si="5"/>
        <v>39667410</v>
      </c>
      <c r="Q12" s="3">
        <f t="shared" si="6"/>
        <v>66878843.233679995</v>
      </c>
      <c r="R12" s="3">
        <f t="shared" si="7"/>
        <v>-886278.8</v>
      </c>
      <c r="S12" s="47">
        <f t="shared" si="8"/>
        <v>77051827.712054998</v>
      </c>
      <c r="T12" s="47">
        <f>'Monthly Data'!Y12+'Monthly Data'!Z12</f>
        <v>0</v>
      </c>
      <c r="U12" s="47">
        <f t="shared" si="9"/>
        <v>77051827.712054998</v>
      </c>
      <c r="V12" s="47">
        <f t="shared" si="10"/>
        <v>-2000321.0063448995</v>
      </c>
      <c r="W12" s="18">
        <f t="shared" si="11"/>
        <v>2.5303815756741246E-2</v>
      </c>
      <c r="Z12" s="685" t="s">
        <v>414</v>
      </c>
      <c r="AA12" s="686">
        <v>1322247</v>
      </c>
      <c r="AB12" s="686">
        <v>224525.5</v>
      </c>
      <c r="AC12" s="687">
        <v>5.8890710000000004</v>
      </c>
      <c r="AD12" s="694">
        <v>4.0018498503648803E-8</v>
      </c>
    </row>
    <row r="13" spans="1:30">
      <c r="A13" s="2">
        <f>'Monthly Data'!A13</f>
        <v>42339</v>
      </c>
      <c r="B13">
        <f>'Monthly Data'!B13</f>
        <v>2015</v>
      </c>
      <c r="C13">
        <f>'Monthly Data'!C13</f>
        <v>12</v>
      </c>
      <c r="D13" s="3">
        <f>'Monthly Data'!X13</f>
        <v>78203185.075953633</v>
      </c>
      <c r="E13" s="3">
        <f>'Monthly Data'!CN13</f>
        <v>499.62590579710155</v>
      </c>
      <c r="F13" s="3">
        <f>'Monthly Data'!CW13</f>
        <v>0</v>
      </c>
      <c r="G13">
        <f>'Monthly Data'!EG13</f>
        <v>0</v>
      </c>
      <c r="H13" s="3">
        <f>'Monthly Data'!DQ13</f>
        <v>31</v>
      </c>
      <c r="I13" s="3">
        <f>'Monthly Data'!DL13</f>
        <v>737784</v>
      </c>
      <c r="J13" s="3">
        <f>'Monthly Data'!EH13</f>
        <v>12</v>
      </c>
      <c r="L13" s="616">
        <f t="shared" si="1"/>
        <v>-38000000</v>
      </c>
      <c r="M13" s="3">
        <f t="shared" si="2"/>
        <v>8851367.5508423932</v>
      </c>
      <c r="N13" s="3">
        <f t="shared" si="3"/>
        <v>0</v>
      </c>
      <c r="O13" s="3">
        <f t="shared" si="4"/>
        <v>0</v>
      </c>
      <c r="P13" s="3">
        <f t="shared" si="5"/>
        <v>40989657</v>
      </c>
      <c r="Q13" s="3">
        <f t="shared" si="6"/>
        <v>66878843.233679995</v>
      </c>
      <c r="R13" s="3">
        <f t="shared" si="7"/>
        <v>-966849.60000000009</v>
      </c>
      <c r="S13" s="47">
        <f t="shared" si="8"/>
        <v>77753018.18452239</v>
      </c>
      <c r="T13" s="47">
        <f>'Monthly Data'!Y13+'Monthly Data'!Z13</f>
        <v>0</v>
      </c>
      <c r="U13" s="47">
        <f t="shared" si="9"/>
        <v>77753018.18452239</v>
      </c>
      <c r="V13" s="47">
        <f t="shared" si="10"/>
        <v>-450166.89143124223</v>
      </c>
      <c r="W13" s="18">
        <f t="shared" si="11"/>
        <v>5.7563754084187825E-3</v>
      </c>
      <c r="Z13" s="685" t="s">
        <v>129</v>
      </c>
      <c r="AA13" s="687">
        <v>90.648269999999997</v>
      </c>
      <c r="AB13" s="687">
        <v>13.1792</v>
      </c>
      <c r="AC13" s="687">
        <v>6.8781330000000001</v>
      </c>
      <c r="AD13" s="694">
        <v>3.6405175047287898E-10</v>
      </c>
    </row>
    <row r="14" spans="1:30">
      <c r="A14" s="2">
        <f>'Monthly Data'!A14</f>
        <v>42370</v>
      </c>
      <c r="B14">
        <f>'Monthly Data'!B14</f>
        <v>2016</v>
      </c>
      <c r="C14">
        <f>'Monthly Data'!C14</f>
        <v>1</v>
      </c>
      <c r="D14" s="3">
        <f>'Monthly Data'!X14</f>
        <v>85425274.307035491</v>
      </c>
      <c r="E14" s="3">
        <f>'Monthly Data'!CN14</f>
        <v>737.87916666666683</v>
      </c>
      <c r="F14" s="3">
        <f>'Monthly Data'!CW14</f>
        <v>0</v>
      </c>
      <c r="G14">
        <f>'Monthly Data'!EG14</f>
        <v>0</v>
      </c>
      <c r="H14" s="3">
        <f>'Monthly Data'!DQ14</f>
        <v>31</v>
      </c>
      <c r="I14" s="3">
        <f>'Monthly Data'!DL14</f>
        <v>743287</v>
      </c>
      <c r="J14" s="3">
        <f>'Monthly Data'!EH14</f>
        <v>13</v>
      </c>
      <c r="L14" s="616">
        <f t="shared" si="1"/>
        <v>-38000000</v>
      </c>
      <c r="M14" s="3">
        <f t="shared" si="2"/>
        <v>13072259.937875004</v>
      </c>
      <c r="N14" s="3">
        <f t="shared" si="3"/>
        <v>0</v>
      </c>
      <c r="O14" s="3">
        <f t="shared" si="4"/>
        <v>0</v>
      </c>
      <c r="P14" s="3">
        <f t="shared" si="5"/>
        <v>40989657</v>
      </c>
      <c r="Q14" s="3">
        <f t="shared" si="6"/>
        <v>67377680.663489997</v>
      </c>
      <c r="R14" s="3">
        <f t="shared" si="7"/>
        <v>-1047420.4</v>
      </c>
      <c r="S14" s="47">
        <f t="shared" si="8"/>
        <v>82392177.201364994</v>
      </c>
      <c r="T14" s="47">
        <f>'Monthly Data'!Y14+'Monthly Data'!Z14</f>
        <v>0</v>
      </c>
      <c r="U14" s="47">
        <f t="shared" si="9"/>
        <v>82392177.201364994</v>
      </c>
      <c r="V14" s="47">
        <f t="shared" si="10"/>
        <v>-3033097.1056704968</v>
      </c>
      <c r="W14" s="18">
        <f t="shared" si="11"/>
        <v>3.5505851520815028E-2</v>
      </c>
      <c r="Z14" s="685" t="s">
        <v>119</v>
      </c>
      <c r="AA14" s="686">
        <v>-80570.8</v>
      </c>
      <c r="AB14" s="686">
        <v>19524.59</v>
      </c>
      <c r="AC14" s="687">
        <v>-4.1266299999999996</v>
      </c>
      <c r="AD14" s="694">
        <v>7.6529262623780496E-5</v>
      </c>
    </row>
    <row r="15" spans="1:30">
      <c r="A15" s="2">
        <f>'Monthly Data'!A15</f>
        <v>42401</v>
      </c>
      <c r="B15">
        <f>'Monthly Data'!B15</f>
        <v>2016</v>
      </c>
      <c r="C15">
        <f>'Monthly Data'!C15</f>
        <v>2</v>
      </c>
      <c r="D15" s="3">
        <f>'Monthly Data'!X15</f>
        <v>81187927.697385803</v>
      </c>
      <c r="E15" s="3">
        <f>'Monthly Data'!CN15</f>
        <v>661.70833333333326</v>
      </c>
      <c r="F15" s="3">
        <f>'Monthly Data'!CW15</f>
        <v>0</v>
      </c>
      <c r="G15">
        <f>'Monthly Data'!EG15</f>
        <v>0</v>
      </c>
      <c r="H15" s="3">
        <f>'Monthly Data'!DQ15</f>
        <v>29</v>
      </c>
      <c r="I15" s="3">
        <f>'Monthly Data'!DL15</f>
        <v>743287</v>
      </c>
      <c r="J15" s="3">
        <f>'Monthly Data'!EH15</f>
        <v>14</v>
      </c>
      <c r="L15" s="616">
        <f t="shared" si="1"/>
        <v>-38000000</v>
      </c>
      <c r="M15" s="3">
        <f t="shared" si="2"/>
        <v>11722818.216250001</v>
      </c>
      <c r="N15" s="3">
        <f t="shared" si="3"/>
        <v>0</v>
      </c>
      <c r="O15" s="3">
        <f t="shared" si="4"/>
        <v>0</v>
      </c>
      <c r="P15" s="3">
        <f t="shared" si="5"/>
        <v>38345163</v>
      </c>
      <c r="Q15" s="3">
        <f t="shared" si="6"/>
        <v>67377680.663489997</v>
      </c>
      <c r="R15" s="3">
        <f t="shared" si="7"/>
        <v>-1127991.2</v>
      </c>
      <c r="S15" s="47">
        <f t="shared" si="8"/>
        <v>78317670.679739997</v>
      </c>
      <c r="T15" s="47">
        <f>'Monthly Data'!Y15+'Monthly Data'!Z15</f>
        <v>0</v>
      </c>
      <c r="U15" s="47">
        <f t="shared" si="9"/>
        <v>78317670.679739997</v>
      </c>
      <c r="V15" s="47">
        <f t="shared" si="10"/>
        <v>-2870257.0176458061</v>
      </c>
      <c r="W15" s="18">
        <f t="shared" si="11"/>
        <v>3.5353248925680196E-2</v>
      </c>
      <c r="AA15" s="3"/>
      <c r="AB15" s="3"/>
      <c r="AC15" s="360"/>
      <c r="AD15" s="108"/>
    </row>
    <row r="16" spans="1:30">
      <c r="A16" s="2">
        <f>'Monthly Data'!A16</f>
        <v>42430</v>
      </c>
      <c r="B16">
        <f>'Monthly Data'!B16</f>
        <v>2016</v>
      </c>
      <c r="C16">
        <f>'Monthly Data'!C16</f>
        <v>3</v>
      </c>
      <c r="D16" s="3">
        <f>'Monthly Data'!X16</f>
        <v>83345957.967736125</v>
      </c>
      <c r="E16" s="3">
        <f>'Monthly Data'!CN16</f>
        <v>577.07934782608709</v>
      </c>
      <c r="F16" s="3">
        <f>'Monthly Data'!CW16</f>
        <v>0</v>
      </c>
      <c r="G16">
        <f>'Monthly Data'!EG16</f>
        <v>1</v>
      </c>
      <c r="H16" s="3">
        <f>'Monthly Data'!DQ16</f>
        <v>31</v>
      </c>
      <c r="I16" s="3">
        <f>'Monthly Data'!DL16</f>
        <v>743287</v>
      </c>
      <c r="J16" s="3">
        <f>'Monthly Data'!EH16</f>
        <v>15</v>
      </c>
      <c r="L16" s="616">
        <f t="shared" si="1"/>
        <v>-38000000</v>
      </c>
      <c r="M16" s="3">
        <f t="shared" si="2"/>
        <v>10223531.955293482</v>
      </c>
      <c r="N16" s="3">
        <f t="shared" si="3"/>
        <v>0</v>
      </c>
      <c r="O16" s="3">
        <f t="shared" si="4"/>
        <v>1538400</v>
      </c>
      <c r="P16" s="3">
        <f t="shared" si="5"/>
        <v>40989657</v>
      </c>
      <c r="Q16" s="3">
        <f t="shared" si="6"/>
        <v>67377680.663489997</v>
      </c>
      <c r="R16" s="3">
        <f t="shared" si="7"/>
        <v>-1208562</v>
      </c>
      <c r="S16" s="47">
        <f t="shared" si="8"/>
        <v>80920707.618783474</v>
      </c>
      <c r="T16" s="47">
        <f>'Monthly Data'!Y16+'Monthly Data'!Z16</f>
        <v>0</v>
      </c>
      <c r="U16" s="47">
        <f t="shared" si="9"/>
        <v>80920707.618783474</v>
      </c>
      <c r="V16" s="47">
        <f t="shared" si="10"/>
        <v>-2425250.348952651</v>
      </c>
      <c r="W16" s="18">
        <f t="shared" si="11"/>
        <v>2.909859587781671E-2</v>
      </c>
      <c r="Z16" s="691" t="s">
        <v>407</v>
      </c>
      <c r="AA16" s="692"/>
      <c r="AB16" s="692"/>
      <c r="AC16" s="693"/>
    </row>
    <row r="17" spans="1:29">
      <c r="A17" s="2">
        <f>'Monthly Data'!A17</f>
        <v>42461</v>
      </c>
      <c r="B17">
        <f>'Monthly Data'!B17</f>
        <v>2016</v>
      </c>
      <c r="C17">
        <f>'Monthly Data'!C17</f>
        <v>4</v>
      </c>
      <c r="D17" s="3">
        <f>'Monthly Data'!X17</f>
        <v>79087505.848086447</v>
      </c>
      <c r="E17" s="3">
        <f>'Monthly Data'!CN17</f>
        <v>465.98333333333341</v>
      </c>
      <c r="F17" s="3">
        <f>'Monthly Data'!CW17</f>
        <v>3.2208333333333368</v>
      </c>
      <c r="G17">
        <f>'Monthly Data'!EG17</f>
        <v>1</v>
      </c>
      <c r="H17" s="3">
        <f>'Monthly Data'!DQ17</f>
        <v>30</v>
      </c>
      <c r="I17" s="3">
        <f>'Monthly Data'!DL17</f>
        <v>740632</v>
      </c>
      <c r="J17" s="3">
        <f>'Monthly Data'!EH17</f>
        <v>16</v>
      </c>
      <c r="L17" s="616">
        <f t="shared" si="1"/>
        <v>-38000000</v>
      </c>
      <c r="M17" s="3">
        <f t="shared" si="2"/>
        <v>8255356.0735000018</v>
      </c>
      <c r="N17" s="3">
        <f t="shared" si="3"/>
        <v>185925.6317500002</v>
      </c>
      <c r="O17" s="3">
        <f t="shared" si="4"/>
        <v>1538400</v>
      </c>
      <c r="P17" s="3">
        <f t="shared" si="5"/>
        <v>39667410</v>
      </c>
      <c r="Q17" s="3">
        <f t="shared" si="6"/>
        <v>67137009.506640002</v>
      </c>
      <c r="R17" s="3">
        <f t="shared" si="7"/>
        <v>-1289132.8</v>
      </c>
      <c r="S17" s="47">
        <f t="shared" si="8"/>
        <v>77494968.41189</v>
      </c>
      <c r="T17" s="47">
        <f>'Monthly Data'!Y17+'Monthly Data'!Z17</f>
        <v>0</v>
      </c>
      <c r="U17" s="47">
        <f t="shared" si="9"/>
        <v>77494968.41189</v>
      </c>
      <c r="V17" s="47">
        <f t="shared" si="10"/>
        <v>-1592537.4361964464</v>
      </c>
      <c r="W17" s="18">
        <f t="shared" si="11"/>
        <v>2.0136397261729787E-2</v>
      </c>
      <c r="Z17" s="685" t="s">
        <v>415</v>
      </c>
      <c r="AA17" s="689">
        <v>534000000000000</v>
      </c>
      <c r="AB17" s="685" t="s">
        <v>416</v>
      </c>
      <c r="AC17" s="686">
        <v>2173705</v>
      </c>
    </row>
    <row r="18" spans="1:29">
      <c r="A18" s="2">
        <f>'Monthly Data'!A18</f>
        <v>42491</v>
      </c>
      <c r="B18">
        <f>'Monthly Data'!B18</f>
        <v>2016</v>
      </c>
      <c r="C18">
        <f>'Monthly Data'!C18</f>
        <v>5</v>
      </c>
      <c r="D18" s="3">
        <f>'Monthly Data'!X18</f>
        <v>80476862.198436767</v>
      </c>
      <c r="E18" s="3">
        <f>'Monthly Data'!CN18</f>
        <v>203.72361111111115</v>
      </c>
      <c r="F18" s="3">
        <f>'Monthly Data'!CW18</f>
        <v>98.295833333333348</v>
      </c>
      <c r="G18">
        <f>'Monthly Data'!EG18</f>
        <v>1</v>
      </c>
      <c r="H18" s="3">
        <f>'Monthly Data'!DQ18</f>
        <v>31</v>
      </c>
      <c r="I18" s="3">
        <f>'Monthly Data'!DL18</f>
        <v>740632</v>
      </c>
      <c r="J18" s="3">
        <f>'Monthly Data'!EH18</f>
        <v>17</v>
      </c>
      <c r="L18" s="616">
        <f t="shared" si="1"/>
        <v>-38000000</v>
      </c>
      <c r="M18" s="3">
        <f t="shared" si="2"/>
        <v>3609165.4572083345</v>
      </c>
      <c r="N18" s="3">
        <f t="shared" si="3"/>
        <v>5674219.3772500008</v>
      </c>
      <c r="O18" s="3">
        <f t="shared" si="4"/>
        <v>1538400</v>
      </c>
      <c r="P18" s="3">
        <f t="shared" si="5"/>
        <v>40989657</v>
      </c>
      <c r="Q18" s="3">
        <f t="shared" si="6"/>
        <v>67137009.506640002</v>
      </c>
      <c r="R18" s="3">
        <f t="shared" si="7"/>
        <v>-1369703.6</v>
      </c>
      <c r="S18" s="47">
        <f t="shared" si="8"/>
        <v>79578747.741098344</v>
      </c>
      <c r="T18" s="47">
        <f>'Monthly Data'!Y18+'Monthly Data'!Z18</f>
        <v>0</v>
      </c>
      <c r="U18" s="47">
        <f t="shared" si="9"/>
        <v>79578747.741098344</v>
      </c>
      <c r="V18" s="47">
        <f t="shared" si="10"/>
        <v>-898114.45733842254</v>
      </c>
      <c r="W18" s="18">
        <f t="shared" si="11"/>
        <v>1.1159908982582923E-2</v>
      </c>
      <c r="Z18" s="685" t="s">
        <v>417</v>
      </c>
      <c r="AA18" s="690">
        <v>0.766571</v>
      </c>
      <c r="AB18" s="685" t="s">
        <v>418</v>
      </c>
      <c r="AC18" s="690">
        <v>0.75417599999999996</v>
      </c>
    </row>
    <row r="19" spans="1:29">
      <c r="A19" s="2">
        <f>'Monthly Data'!A19</f>
        <v>42522</v>
      </c>
      <c r="B19">
        <f>'Monthly Data'!B19</f>
        <v>2016</v>
      </c>
      <c r="C19">
        <f>'Monthly Data'!C19</f>
        <v>6</v>
      </c>
      <c r="D19" s="3">
        <f>'Monthly Data'!X19</f>
        <v>83369828.778787091</v>
      </c>
      <c r="E19" s="3">
        <f>'Monthly Data'!CN19</f>
        <v>56.883333333333326</v>
      </c>
      <c r="F19" s="3">
        <f>'Monthly Data'!CW19</f>
        <v>203.85416666666669</v>
      </c>
      <c r="G19">
        <f>'Monthly Data'!EG19</f>
        <v>0</v>
      </c>
      <c r="H19" s="3">
        <f>'Monthly Data'!DQ19</f>
        <v>30</v>
      </c>
      <c r="I19" s="3">
        <f>'Monthly Data'!DL19</f>
        <v>740632</v>
      </c>
      <c r="J19" s="3">
        <f>'Monthly Data'!EH19</f>
        <v>18</v>
      </c>
      <c r="L19" s="616">
        <f t="shared" si="1"/>
        <v>-38000000</v>
      </c>
      <c r="M19" s="3">
        <f t="shared" si="2"/>
        <v>1007744.5645</v>
      </c>
      <c r="N19" s="3">
        <f t="shared" si="3"/>
        <v>11767673.393750001</v>
      </c>
      <c r="O19" s="3">
        <f t="shared" si="4"/>
        <v>0</v>
      </c>
      <c r="P19" s="3">
        <f t="shared" si="5"/>
        <v>39667410</v>
      </c>
      <c r="Q19" s="3">
        <f t="shared" si="6"/>
        <v>67137009.506640002</v>
      </c>
      <c r="R19" s="3">
        <f t="shared" si="7"/>
        <v>-1450274.4000000001</v>
      </c>
      <c r="S19" s="47">
        <f t="shared" si="8"/>
        <v>80129563.064889997</v>
      </c>
      <c r="T19" s="47">
        <f>'Monthly Data'!Y19+'Monthly Data'!Z19</f>
        <v>0</v>
      </c>
      <c r="U19" s="47">
        <f t="shared" si="9"/>
        <v>80129563.064889997</v>
      </c>
      <c r="V19" s="47">
        <f t="shared" si="10"/>
        <v>-3240265.7138970941</v>
      </c>
      <c r="W19" s="18">
        <f t="shared" si="11"/>
        <v>3.886616730969656E-2</v>
      </c>
      <c r="Z19" s="685" t="s">
        <v>552</v>
      </c>
      <c r="AA19" s="687">
        <v>50.928530000000002</v>
      </c>
      <c r="AB19" s="685" t="s">
        <v>419</v>
      </c>
      <c r="AC19" s="690">
        <v>6.7099999999999994E-30</v>
      </c>
    </row>
    <row r="20" spans="1:29">
      <c r="A20" s="2">
        <f>'Monthly Data'!A20</f>
        <v>42552</v>
      </c>
      <c r="B20">
        <f>'Monthly Data'!B20</f>
        <v>2016</v>
      </c>
      <c r="C20">
        <f>'Monthly Data'!C20</f>
        <v>7</v>
      </c>
      <c r="D20" s="3">
        <f>'Monthly Data'!X20</f>
        <v>85701375.219137415</v>
      </c>
      <c r="E20" s="3">
        <f>'Monthly Data'!CN20</f>
        <v>8.75416666666667</v>
      </c>
      <c r="F20" s="3">
        <f>'Monthly Data'!CW20</f>
        <v>313.22916666666657</v>
      </c>
      <c r="G20">
        <f>'Monthly Data'!EG20</f>
        <v>0</v>
      </c>
      <c r="H20" s="3">
        <f>'Monthly Data'!DQ20</f>
        <v>31</v>
      </c>
      <c r="I20" s="3">
        <f>'Monthly Data'!DL20</f>
        <v>746606</v>
      </c>
      <c r="J20" s="3">
        <f>'Monthly Data'!EH20</f>
        <v>19</v>
      </c>
      <c r="L20" s="616">
        <f t="shared" si="1"/>
        <v>-38000000</v>
      </c>
      <c r="M20" s="3">
        <f t="shared" si="2"/>
        <v>155088.72912500007</v>
      </c>
      <c r="N20" s="3">
        <f t="shared" si="3"/>
        <v>18081448.081249997</v>
      </c>
      <c r="O20" s="3">
        <f t="shared" si="4"/>
        <v>0</v>
      </c>
      <c r="P20" s="3">
        <f t="shared" si="5"/>
        <v>40989657</v>
      </c>
      <c r="Q20" s="3">
        <f t="shared" si="6"/>
        <v>67678542.27161999</v>
      </c>
      <c r="R20" s="3">
        <f t="shared" si="7"/>
        <v>-1530845.2</v>
      </c>
      <c r="S20" s="47">
        <f t="shared" si="8"/>
        <v>87373890.881994978</v>
      </c>
      <c r="T20" s="47">
        <f>'Monthly Data'!Y20+'Monthly Data'!Z20</f>
        <v>0</v>
      </c>
      <c r="U20" s="47">
        <f t="shared" si="9"/>
        <v>87373890.881994978</v>
      </c>
      <c r="V20" s="47">
        <f t="shared" si="10"/>
        <v>1672515.6628575623</v>
      </c>
      <c r="W20" s="18">
        <f t="shared" si="11"/>
        <v>1.9515622224042021E-2</v>
      </c>
      <c r="Z20" s="685" t="s">
        <v>420</v>
      </c>
      <c r="AA20" s="690">
        <v>-2.5510000000000001E-2</v>
      </c>
      <c r="AB20" s="685" t="s">
        <v>421</v>
      </c>
      <c r="AC20" s="690">
        <v>1.788249</v>
      </c>
    </row>
    <row r="21" spans="1:29">
      <c r="A21" s="2">
        <f>'Monthly Data'!A21</f>
        <v>42583</v>
      </c>
      <c r="B21">
        <f>'Monthly Data'!B21</f>
        <v>2016</v>
      </c>
      <c r="C21">
        <f>'Monthly Data'!C21</f>
        <v>8</v>
      </c>
      <c r="D21" s="3">
        <f>'Monthly Data'!X21</f>
        <v>89758205.989487737</v>
      </c>
      <c r="E21" s="3">
        <f>'Monthly Data'!CN21</f>
        <v>4.029166666666665</v>
      </c>
      <c r="F21" s="3">
        <f>'Monthly Data'!CW21</f>
        <v>328.02499999999998</v>
      </c>
      <c r="G21">
        <f>'Monthly Data'!EG21</f>
        <v>0</v>
      </c>
      <c r="H21" s="3">
        <f>'Monthly Data'!DQ21</f>
        <v>31</v>
      </c>
      <c r="I21" s="3">
        <f>'Monthly Data'!DL21</f>
        <v>746606</v>
      </c>
      <c r="J21" s="3">
        <f>'Monthly Data'!EH21</f>
        <v>20</v>
      </c>
      <c r="L21" s="616">
        <f t="shared" si="1"/>
        <v>-38000000</v>
      </c>
      <c r="M21" s="3">
        <f t="shared" si="2"/>
        <v>71380.676374999981</v>
      </c>
      <c r="N21" s="3">
        <f t="shared" si="3"/>
        <v>18935551.468499999</v>
      </c>
      <c r="O21" s="3">
        <f t="shared" si="4"/>
        <v>0</v>
      </c>
      <c r="P21" s="3">
        <f t="shared" si="5"/>
        <v>40989657</v>
      </c>
      <c r="Q21" s="3">
        <f t="shared" si="6"/>
        <v>67678542.27161999</v>
      </c>
      <c r="R21" s="3">
        <f t="shared" si="7"/>
        <v>-1611416</v>
      </c>
      <c r="S21" s="47">
        <f t="shared" si="8"/>
        <v>88063715.416494995</v>
      </c>
      <c r="T21" s="47">
        <f>'Monthly Data'!Y21+'Monthly Data'!Z21</f>
        <v>0</v>
      </c>
      <c r="U21" s="47">
        <f t="shared" si="9"/>
        <v>88063715.416494995</v>
      </c>
      <c r="V21" s="47">
        <f t="shared" si="10"/>
        <v>-1694490.5729927421</v>
      </c>
      <c r="W21" s="18">
        <f t="shared" si="11"/>
        <v>1.887839172265984E-2</v>
      </c>
    </row>
    <row r="22" spans="1:29">
      <c r="A22" s="2">
        <f>'Monthly Data'!A22</f>
        <v>42614</v>
      </c>
      <c r="B22">
        <f>'Monthly Data'!B22</f>
        <v>2016</v>
      </c>
      <c r="C22">
        <f>'Monthly Data'!C22</f>
        <v>9</v>
      </c>
      <c r="D22" s="3">
        <f>'Monthly Data'!X22</f>
        <v>81723353.939838052</v>
      </c>
      <c r="E22" s="3">
        <f>'Monthly Data'!CN22</f>
        <v>80.145833333333343</v>
      </c>
      <c r="F22" s="3">
        <f>'Monthly Data'!CW22</f>
        <v>176.5541666666667</v>
      </c>
      <c r="G22">
        <f>'Monthly Data'!EG22</f>
        <v>1</v>
      </c>
      <c r="H22" s="3">
        <f>'Monthly Data'!DQ22</f>
        <v>30</v>
      </c>
      <c r="I22" s="3">
        <f>'Monthly Data'!DL22</f>
        <v>746606</v>
      </c>
      <c r="J22" s="3">
        <f>'Monthly Data'!EH22</f>
        <v>21</v>
      </c>
      <c r="L22" s="616">
        <f t="shared" si="1"/>
        <v>-38000000</v>
      </c>
      <c r="M22" s="3">
        <f t="shared" si="2"/>
        <v>1419862.7818750003</v>
      </c>
      <c r="N22" s="3">
        <f t="shared" si="3"/>
        <v>10191755.231750002</v>
      </c>
      <c r="O22" s="3">
        <f t="shared" si="4"/>
        <v>1538400</v>
      </c>
      <c r="P22" s="3">
        <f t="shared" si="5"/>
        <v>39667410</v>
      </c>
      <c r="Q22" s="3">
        <f t="shared" si="6"/>
        <v>67678542.27161999</v>
      </c>
      <c r="R22" s="3">
        <f t="shared" si="7"/>
        <v>-1691986.8</v>
      </c>
      <c r="S22" s="47">
        <f t="shared" si="8"/>
        <v>80803983.485245004</v>
      </c>
      <c r="T22" s="47">
        <f>'Monthly Data'!Y22+'Monthly Data'!Z22</f>
        <v>0</v>
      </c>
      <c r="U22" s="47">
        <f t="shared" si="9"/>
        <v>80803983.485245004</v>
      </c>
      <c r="V22" s="47">
        <f t="shared" si="10"/>
        <v>-919370.4545930475</v>
      </c>
      <c r="W22" s="18">
        <f t="shared" ref="W22:W53" si="12">ABS(V22/D22)</f>
        <v>1.1249788588826845E-2</v>
      </c>
      <c r="Z22" s="691" t="s">
        <v>408</v>
      </c>
      <c r="AA22" s="692"/>
      <c r="AB22" s="692"/>
      <c r="AC22" s="693"/>
    </row>
    <row r="23" spans="1:29">
      <c r="A23" s="2">
        <f>'Monthly Data'!A23</f>
        <v>42644</v>
      </c>
      <c r="B23">
        <f>'Monthly Data'!B23</f>
        <v>2016</v>
      </c>
      <c r="C23">
        <f>'Monthly Data'!C23</f>
        <v>10</v>
      </c>
      <c r="D23" s="3">
        <f>'Monthly Data'!X23</f>
        <v>79236220.680188373</v>
      </c>
      <c r="E23" s="3">
        <f>'Monthly Data'!CN23</f>
        <v>283.19583333333327</v>
      </c>
      <c r="F23" s="3">
        <f>'Monthly Data'!CW23</f>
        <v>52.383333333333333</v>
      </c>
      <c r="G23">
        <f>'Monthly Data'!EG23</f>
        <v>1</v>
      </c>
      <c r="H23" s="3">
        <f>'Monthly Data'!DQ23</f>
        <v>31</v>
      </c>
      <c r="I23" s="3">
        <f>'Monthly Data'!DL23</f>
        <v>745380</v>
      </c>
      <c r="J23" s="3">
        <f>'Monthly Data'!EH23</f>
        <v>22</v>
      </c>
      <c r="L23" s="616">
        <f t="shared" si="1"/>
        <v>-38000000</v>
      </c>
      <c r="M23" s="3">
        <f t="shared" si="2"/>
        <v>5017094.5513749989</v>
      </c>
      <c r="N23" s="3">
        <f t="shared" si="3"/>
        <v>3023877.1570000001</v>
      </c>
      <c r="O23" s="3">
        <f t="shared" si="4"/>
        <v>1538400</v>
      </c>
      <c r="P23" s="3">
        <f t="shared" si="5"/>
        <v>40989657</v>
      </c>
      <c r="Q23" s="3">
        <f t="shared" si="6"/>
        <v>67567407.492599994</v>
      </c>
      <c r="R23" s="3">
        <f t="shared" si="7"/>
        <v>-1772557.6</v>
      </c>
      <c r="S23" s="47">
        <f t="shared" si="8"/>
        <v>78363878.600975007</v>
      </c>
      <c r="T23" s="47">
        <f>'Monthly Data'!Y23+'Monthly Data'!Z23</f>
        <v>0</v>
      </c>
      <c r="U23" s="47">
        <f t="shared" si="9"/>
        <v>78363878.600975007</v>
      </c>
      <c r="V23" s="47">
        <f t="shared" si="10"/>
        <v>-872342.07921336591</v>
      </c>
      <c r="W23" s="18">
        <f t="shared" si="12"/>
        <v>1.1009385249888372E-2</v>
      </c>
      <c r="Z23" s="685" t="s">
        <v>422</v>
      </c>
      <c r="AA23" s="686">
        <v>82677403</v>
      </c>
      <c r="AB23" s="685" t="s">
        <v>423</v>
      </c>
      <c r="AC23" s="686">
        <v>4383520</v>
      </c>
    </row>
    <row r="24" spans="1:29">
      <c r="A24" s="2">
        <f>'Monthly Data'!A24</f>
        <v>42675</v>
      </c>
      <c r="B24">
        <f>'Monthly Data'!B24</f>
        <v>2016</v>
      </c>
      <c r="C24">
        <f>'Monthly Data'!C24</f>
        <v>11</v>
      </c>
      <c r="D24" s="3">
        <f>'Monthly Data'!X24</f>
        <v>79346388.920538694</v>
      </c>
      <c r="E24" s="3">
        <f>'Monthly Data'!CN24</f>
        <v>437.33511904761912</v>
      </c>
      <c r="F24" s="3">
        <f>'Monthly Data'!CW24</f>
        <v>1.3291666666666675</v>
      </c>
      <c r="G24">
        <f>'Monthly Data'!EG24</f>
        <v>1</v>
      </c>
      <c r="H24" s="3">
        <f>'Monthly Data'!DQ24</f>
        <v>30</v>
      </c>
      <c r="I24" s="3">
        <f>'Monthly Data'!DL24</f>
        <v>745380</v>
      </c>
      <c r="J24" s="3">
        <f>'Monthly Data'!EH24</f>
        <v>23</v>
      </c>
      <c r="L24" s="616">
        <f t="shared" si="1"/>
        <v>-38000000</v>
      </c>
      <c r="M24" s="3">
        <f t="shared" si="2"/>
        <v>7747824.5956964307</v>
      </c>
      <c r="N24" s="3">
        <f t="shared" si="3"/>
        <v>76727.395250000045</v>
      </c>
      <c r="O24" s="3">
        <f t="shared" si="4"/>
        <v>1538400</v>
      </c>
      <c r="P24" s="3">
        <f t="shared" si="5"/>
        <v>39667410</v>
      </c>
      <c r="Q24" s="3">
        <f t="shared" si="6"/>
        <v>67567407.492599994</v>
      </c>
      <c r="R24" s="3">
        <f t="shared" si="7"/>
        <v>-1853128.4000000001</v>
      </c>
      <c r="S24" s="47">
        <f t="shared" si="8"/>
        <v>76744641.083546415</v>
      </c>
      <c r="T24" s="47">
        <f>'Monthly Data'!Y24+'Monthly Data'!Z24</f>
        <v>0</v>
      </c>
      <c r="U24" s="47">
        <f t="shared" si="9"/>
        <v>76744641.083546415</v>
      </c>
      <c r="V24" s="47">
        <f t="shared" si="10"/>
        <v>-2601747.8369922787</v>
      </c>
      <c r="W24" s="18">
        <f t="shared" si="12"/>
        <v>3.2789744717907639E-2</v>
      </c>
      <c r="AA24" s="3"/>
      <c r="AC24" s="3"/>
    </row>
    <row r="25" spans="1:29">
      <c r="A25" s="2">
        <f>'Monthly Data'!A25</f>
        <v>42705</v>
      </c>
      <c r="B25">
        <f>'Monthly Data'!B25</f>
        <v>2016</v>
      </c>
      <c r="C25">
        <f>'Monthly Data'!C25</f>
        <v>12</v>
      </c>
      <c r="D25" s="3">
        <f>'Monthly Data'!X25</f>
        <v>80205572.860889018</v>
      </c>
      <c r="E25" s="3">
        <f>'Monthly Data'!CN25</f>
        <v>678.67083333333323</v>
      </c>
      <c r="F25" s="3">
        <f>'Monthly Data'!CW25</f>
        <v>0</v>
      </c>
      <c r="G25">
        <f>'Monthly Data'!EG25</f>
        <v>0</v>
      </c>
      <c r="H25" s="3">
        <f>'Monthly Data'!DQ25</f>
        <v>31</v>
      </c>
      <c r="I25" s="3">
        <f>'Monthly Data'!DL25</f>
        <v>745380</v>
      </c>
      <c r="J25" s="3">
        <f>'Monthly Data'!EH25</f>
        <v>24</v>
      </c>
      <c r="L25" s="616">
        <f t="shared" si="1"/>
        <v>-38000000</v>
      </c>
      <c r="M25" s="3">
        <f t="shared" si="2"/>
        <v>12023325.696625</v>
      </c>
      <c r="N25" s="3">
        <f t="shared" si="3"/>
        <v>0</v>
      </c>
      <c r="O25" s="3">
        <f t="shared" si="4"/>
        <v>0</v>
      </c>
      <c r="P25" s="3">
        <f t="shared" si="5"/>
        <v>40989657</v>
      </c>
      <c r="Q25" s="3">
        <f t="shared" si="6"/>
        <v>67567407.492599994</v>
      </c>
      <c r="R25" s="3">
        <f t="shared" si="7"/>
        <v>-1933699.2000000002</v>
      </c>
      <c r="S25" s="47">
        <f t="shared" si="8"/>
        <v>80646690.989224985</v>
      </c>
      <c r="T25" s="47">
        <f>'Monthly Data'!Y25+'Monthly Data'!Z25</f>
        <v>0</v>
      </c>
      <c r="U25" s="47">
        <f t="shared" si="9"/>
        <v>80646690.989224985</v>
      </c>
      <c r="V25" s="47">
        <f t="shared" si="10"/>
        <v>441118.12833596766</v>
      </c>
      <c r="W25" s="18">
        <f t="shared" si="12"/>
        <v>5.499843871211497E-3</v>
      </c>
    </row>
    <row r="26" spans="1:29">
      <c r="A26" s="2">
        <f>'Monthly Data'!A26</f>
        <v>42736</v>
      </c>
      <c r="B26">
        <f>'Monthly Data'!B26</f>
        <v>2017</v>
      </c>
      <c r="C26">
        <f>'Monthly Data'!C26</f>
        <v>1</v>
      </c>
      <c r="D26" s="3">
        <f>'Monthly Data'!X26</f>
        <v>84345594.329790711</v>
      </c>
      <c r="E26" s="3">
        <f>'Monthly Data'!CN26</f>
        <v>682.2166666666667</v>
      </c>
      <c r="F26" s="3">
        <f>'Monthly Data'!CW26</f>
        <v>0</v>
      </c>
      <c r="G26">
        <f>'Monthly Data'!EG26</f>
        <v>0</v>
      </c>
      <c r="H26" s="3">
        <f>'Monthly Data'!DQ26</f>
        <v>31</v>
      </c>
      <c r="I26" s="3">
        <f>'Monthly Data'!DL26</f>
        <v>756702</v>
      </c>
      <c r="J26" s="3">
        <f>'Monthly Data'!EH26</f>
        <v>25</v>
      </c>
      <c r="L26" s="616">
        <f t="shared" si="1"/>
        <v>-38000000</v>
      </c>
      <c r="M26" s="3">
        <f t="shared" si="2"/>
        <v>12086143.644500002</v>
      </c>
      <c r="N26" s="3">
        <f t="shared" si="3"/>
        <v>0</v>
      </c>
      <c r="O26" s="3">
        <f t="shared" si="4"/>
        <v>0</v>
      </c>
      <c r="P26" s="3">
        <f t="shared" si="5"/>
        <v>40989657</v>
      </c>
      <c r="Q26" s="3">
        <f t="shared" si="6"/>
        <v>68593727.205540001</v>
      </c>
      <c r="R26" s="3">
        <f t="shared" si="7"/>
        <v>-2014270</v>
      </c>
      <c r="S26" s="47">
        <f t="shared" si="8"/>
        <v>81655257.850040004</v>
      </c>
      <c r="T26" s="47">
        <f>'Monthly Data'!Y26+'Monthly Data'!Z26</f>
        <v>182.33784615384613</v>
      </c>
      <c r="U26" s="47">
        <f t="shared" si="9"/>
        <v>81655440.187886164</v>
      </c>
      <c r="V26" s="47">
        <f t="shared" si="10"/>
        <v>-2690154.1419045478</v>
      </c>
      <c r="W26" s="18">
        <f t="shared" si="12"/>
        <v>3.1894423926708763E-2</v>
      </c>
    </row>
    <row r="27" spans="1:29">
      <c r="A27" s="2">
        <f>'Monthly Data'!A27</f>
        <v>42767</v>
      </c>
      <c r="B27">
        <f>'Monthly Data'!B27</f>
        <v>2017</v>
      </c>
      <c r="C27">
        <f>'Monthly Data'!C27</f>
        <v>2</v>
      </c>
      <c r="D27" s="3">
        <f>'Monthly Data'!X27</f>
        <v>76455949.867234513</v>
      </c>
      <c r="E27" s="3">
        <f>'Monthly Data'!CN27</f>
        <v>586.08333333333337</v>
      </c>
      <c r="F27" s="3">
        <f>'Monthly Data'!CW27</f>
        <v>0</v>
      </c>
      <c r="G27">
        <f>'Monthly Data'!EG27</f>
        <v>0</v>
      </c>
      <c r="H27" s="3">
        <f>'Monthly Data'!DQ27</f>
        <v>28</v>
      </c>
      <c r="I27" s="3">
        <f>'Monthly Data'!DL27</f>
        <v>756702</v>
      </c>
      <c r="J27" s="3">
        <f>'Monthly Data'!EH27</f>
        <v>26</v>
      </c>
      <c r="L27" s="616">
        <f t="shared" si="1"/>
        <v>-38000000</v>
      </c>
      <c r="M27" s="3">
        <f t="shared" si="2"/>
        <v>10383046.472500002</v>
      </c>
      <c r="N27" s="3">
        <f t="shared" si="3"/>
        <v>0</v>
      </c>
      <c r="O27" s="3">
        <f t="shared" si="4"/>
        <v>0</v>
      </c>
      <c r="P27" s="3">
        <f t="shared" si="5"/>
        <v>37022916</v>
      </c>
      <c r="Q27" s="3">
        <f t="shared" si="6"/>
        <v>68593727.205540001</v>
      </c>
      <c r="R27" s="3">
        <f t="shared" si="7"/>
        <v>-2094840.8</v>
      </c>
      <c r="S27" s="47">
        <f t="shared" si="8"/>
        <v>75904848.878040001</v>
      </c>
      <c r="T27" s="47">
        <f>'Monthly Data'!Y27+'Monthly Data'!Z27</f>
        <v>364.67569230769226</v>
      </c>
      <c r="U27" s="47">
        <f t="shared" si="9"/>
        <v>75905213.553732306</v>
      </c>
      <c r="V27" s="47">
        <f t="shared" si="10"/>
        <v>-550736.3135022074</v>
      </c>
      <c r="W27" s="18">
        <f t="shared" si="12"/>
        <v>7.2033153006215876E-3</v>
      </c>
    </row>
    <row r="28" spans="1:29">
      <c r="A28" s="2">
        <f>'Monthly Data'!A28</f>
        <v>42795</v>
      </c>
      <c r="B28">
        <f>'Monthly Data'!B28</f>
        <v>2017</v>
      </c>
      <c r="C28">
        <f>'Monthly Data'!C28</f>
        <v>3</v>
      </c>
      <c r="D28" s="3">
        <f>'Monthly Data'!X28</f>
        <v>85005849.524678305</v>
      </c>
      <c r="E28" s="3">
        <f>'Monthly Data'!CN28</f>
        <v>661.67916666666667</v>
      </c>
      <c r="F28" s="3">
        <f>'Monthly Data'!CW28</f>
        <v>0</v>
      </c>
      <c r="G28">
        <f>'Monthly Data'!EG28</f>
        <v>1</v>
      </c>
      <c r="H28" s="3">
        <f>'Monthly Data'!DQ28</f>
        <v>31</v>
      </c>
      <c r="I28" s="3">
        <f>'Monthly Data'!DL28</f>
        <v>756702</v>
      </c>
      <c r="J28" s="3">
        <f>'Monthly Data'!EH28</f>
        <v>27</v>
      </c>
      <c r="L28" s="616">
        <f t="shared" si="1"/>
        <v>-38000000</v>
      </c>
      <c r="M28" s="3">
        <f t="shared" si="2"/>
        <v>11722301.499875002</v>
      </c>
      <c r="N28" s="3">
        <f t="shared" si="3"/>
        <v>0</v>
      </c>
      <c r="O28" s="3">
        <f t="shared" si="4"/>
        <v>1538400</v>
      </c>
      <c r="P28" s="3">
        <f t="shared" si="5"/>
        <v>40989657</v>
      </c>
      <c r="Q28" s="3">
        <f t="shared" si="6"/>
        <v>68593727.205540001</v>
      </c>
      <c r="R28" s="3">
        <f t="shared" si="7"/>
        <v>-2175411.6</v>
      </c>
      <c r="S28" s="47">
        <f t="shared" si="8"/>
        <v>82668674.105415016</v>
      </c>
      <c r="T28" s="47">
        <f>'Monthly Data'!Y28+'Monthly Data'!Z28</f>
        <v>547.01353846153847</v>
      </c>
      <c r="U28" s="47">
        <f t="shared" si="9"/>
        <v>82669221.118953481</v>
      </c>
      <c r="V28" s="47">
        <f t="shared" si="10"/>
        <v>-2336628.4057248235</v>
      </c>
      <c r="W28" s="18">
        <f t="shared" si="12"/>
        <v>2.7487854292268084E-2</v>
      </c>
    </row>
    <row r="29" spans="1:29">
      <c r="A29" s="2">
        <f>'Monthly Data'!A29</f>
        <v>42826</v>
      </c>
      <c r="B29">
        <f>'Monthly Data'!B29</f>
        <v>2017</v>
      </c>
      <c r="C29">
        <f>'Monthly Data'!C29</f>
        <v>4</v>
      </c>
      <c r="D29" s="3">
        <f>'Monthly Data'!X29</f>
        <v>75760447.032122105</v>
      </c>
      <c r="E29" s="3">
        <f>'Monthly Data'!CN29</f>
        <v>348.38749999999999</v>
      </c>
      <c r="F29" s="3">
        <f>'Monthly Data'!CW29</f>
        <v>12.412500000000001</v>
      </c>
      <c r="G29">
        <f>'Monthly Data'!EG29</f>
        <v>1</v>
      </c>
      <c r="H29" s="3">
        <f>'Monthly Data'!DQ29</f>
        <v>30</v>
      </c>
      <c r="I29" s="3">
        <f>'Monthly Data'!DL29</f>
        <v>764644</v>
      </c>
      <c r="J29" s="3">
        <f>'Monthly Data'!EH29</f>
        <v>28</v>
      </c>
      <c r="L29" s="616">
        <f t="shared" si="1"/>
        <v>-38000000</v>
      </c>
      <c r="M29" s="3">
        <f t="shared" si="2"/>
        <v>6172029.4661250003</v>
      </c>
      <c r="N29" s="3">
        <f t="shared" si="3"/>
        <v>716523.23025000014</v>
      </c>
      <c r="O29" s="3">
        <f t="shared" si="4"/>
        <v>1538400</v>
      </c>
      <c r="P29" s="3">
        <f t="shared" si="5"/>
        <v>39667410</v>
      </c>
      <c r="Q29" s="3">
        <f t="shared" si="6"/>
        <v>69313655.765880004</v>
      </c>
      <c r="R29" s="3">
        <f t="shared" si="7"/>
        <v>-2255982.4</v>
      </c>
      <c r="S29" s="47">
        <f t="shared" si="8"/>
        <v>77152036.062254995</v>
      </c>
      <c r="T29" s="47">
        <f>'Monthly Data'!Y29+'Monthly Data'!Z29</f>
        <v>729.35138461538452</v>
      </c>
      <c r="U29" s="47">
        <f t="shared" si="9"/>
        <v>77152765.413639605</v>
      </c>
      <c r="V29" s="47">
        <f t="shared" si="10"/>
        <v>1392318.3815174997</v>
      </c>
      <c r="W29" s="18">
        <f t="shared" si="12"/>
        <v>1.8377906098246261E-2</v>
      </c>
    </row>
    <row r="30" spans="1:29">
      <c r="A30" s="2">
        <f>'Monthly Data'!A30</f>
        <v>42856</v>
      </c>
      <c r="B30">
        <f>'Monthly Data'!B30</f>
        <v>2017</v>
      </c>
      <c r="C30">
        <f>'Monthly Data'!C30</f>
        <v>5</v>
      </c>
      <c r="D30" s="3">
        <f>'Monthly Data'!X30</f>
        <v>79518997.669565901</v>
      </c>
      <c r="E30" s="3">
        <f>'Monthly Data'!CN30</f>
        <v>247.16666666666663</v>
      </c>
      <c r="F30" s="3">
        <f>'Monthly Data'!CW30</f>
        <v>54.529166666666683</v>
      </c>
      <c r="G30">
        <f>'Monthly Data'!EG30</f>
        <v>1</v>
      </c>
      <c r="H30" s="3">
        <f>'Monthly Data'!DQ30</f>
        <v>31</v>
      </c>
      <c r="I30" s="3">
        <f>'Monthly Data'!DL30</f>
        <v>764644</v>
      </c>
      <c r="J30" s="3">
        <f>'Monthly Data'!EH30</f>
        <v>29</v>
      </c>
      <c r="L30" s="616">
        <f t="shared" si="1"/>
        <v>-38000000</v>
      </c>
      <c r="M30" s="3">
        <f t="shared" si="2"/>
        <v>4378802.1949999994</v>
      </c>
      <c r="N30" s="3">
        <f t="shared" si="3"/>
        <v>3147747.4032500009</v>
      </c>
      <c r="O30" s="3">
        <f t="shared" si="4"/>
        <v>1538400</v>
      </c>
      <c r="P30" s="3">
        <f t="shared" si="5"/>
        <v>40989657</v>
      </c>
      <c r="Q30" s="3">
        <f t="shared" si="6"/>
        <v>69313655.765880004</v>
      </c>
      <c r="R30" s="3">
        <f t="shared" si="7"/>
        <v>-2336553.2000000002</v>
      </c>
      <c r="S30" s="47">
        <f t="shared" si="8"/>
        <v>79031709.164130002</v>
      </c>
      <c r="T30" s="47">
        <f>'Monthly Data'!Y30+'Monthly Data'!Z30</f>
        <v>911.68923076923068</v>
      </c>
      <c r="U30" s="47">
        <f t="shared" si="9"/>
        <v>79032620.853360772</v>
      </c>
      <c r="V30" s="47">
        <f t="shared" si="10"/>
        <v>-486376.81620512903</v>
      </c>
      <c r="W30" s="18">
        <f t="shared" si="12"/>
        <v>6.1164857513197595E-3</v>
      </c>
    </row>
    <row r="31" spans="1:29">
      <c r="A31" s="2">
        <f>'Monthly Data'!A31</f>
        <v>42887</v>
      </c>
      <c r="B31">
        <f>'Monthly Data'!B31</f>
        <v>2017</v>
      </c>
      <c r="C31">
        <f>'Monthly Data'!C31</f>
        <v>6</v>
      </c>
      <c r="D31" s="3">
        <f>'Monthly Data'!X31</f>
        <v>80237105.367009684</v>
      </c>
      <c r="E31" s="3">
        <f>'Monthly Data'!CN31</f>
        <v>85.453333333333319</v>
      </c>
      <c r="F31" s="3">
        <f>'Monthly Data'!CW31</f>
        <v>168.62166666666667</v>
      </c>
      <c r="G31">
        <f>'Monthly Data'!EG31</f>
        <v>0</v>
      </c>
      <c r="H31" s="3">
        <f>'Monthly Data'!DQ31</f>
        <v>30</v>
      </c>
      <c r="I31" s="3">
        <f>'Monthly Data'!DL31</f>
        <v>764644</v>
      </c>
      <c r="J31" s="3">
        <f>'Monthly Data'!EH31</f>
        <v>30</v>
      </c>
      <c r="L31" s="616">
        <f t="shared" si="1"/>
        <v>-38000000</v>
      </c>
      <c r="M31" s="3">
        <f t="shared" si="2"/>
        <v>1513890.3987999998</v>
      </c>
      <c r="N31" s="3">
        <f t="shared" si="3"/>
        <v>9733844.2127</v>
      </c>
      <c r="O31" s="3">
        <f t="shared" si="4"/>
        <v>0</v>
      </c>
      <c r="P31" s="3">
        <f t="shared" si="5"/>
        <v>39667410</v>
      </c>
      <c r="Q31" s="3">
        <f t="shared" si="6"/>
        <v>69313655.765880004</v>
      </c>
      <c r="R31" s="3">
        <f t="shared" si="7"/>
        <v>-2417124</v>
      </c>
      <c r="S31" s="47">
        <f t="shared" si="8"/>
        <v>79811676.377380013</v>
      </c>
      <c r="T31" s="47">
        <f>'Monthly Data'!Y31+'Monthly Data'!Z31</f>
        <v>1094.0270769230769</v>
      </c>
      <c r="U31" s="47">
        <f t="shared" si="9"/>
        <v>79812770.404456943</v>
      </c>
      <c r="V31" s="47">
        <f t="shared" si="10"/>
        <v>-424334.96255274117</v>
      </c>
      <c r="W31" s="18">
        <f t="shared" si="12"/>
        <v>5.2885128471647346E-3</v>
      </c>
    </row>
    <row r="32" spans="1:29">
      <c r="A32" s="2">
        <f>'Monthly Data'!A32</f>
        <v>42917</v>
      </c>
      <c r="B32">
        <f>'Monthly Data'!B32</f>
        <v>2017</v>
      </c>
      <c r="C32">
        <f>'Monthly Data'!C32</f>
        <v>7</v>
      </c>
      <c r="D32" s="3">
        <f>'Monthly Data'!X32</f>
        <v>82269026.564453483</v>
      </c>
      <c r="E32" s="3">
        <f>'Monthly Data'!CN32</f>
        <v>14.412500000000009</v>
      </c>
      <c r="F32" s="3">
        <f>'Monthly Data'!CW32</f>
        <v>260.16666666666657</v>
      </c>
      <c r="G32">
        <f>'Monthly Data'!EG32</f>
        <v>0</v>
      </c>
      <c r="H32" s="3">
        <f>'Monthly Data'!DQ32</f>
        <v>31</v>
      </c>
      <c r="I32" s="3">
        <f>'Monthly Data'!DL32</f>
        <v>765060</v>
      </c>
      <c r="J32" s="3">
        <f>'Monthly Data'!EH32</f>
        <v>31</v>
      </c>
      <c r="L32" s="616">
        <f t="shared" si="1"/>
        <v>-38000000</v>
      </c>
      <c r="M32" s="3">
        <f t="shared" si="2"/>
        <v>255331.70587500016</v>
      </c>
      <c r="N32" s="3">
        <f t="shared" si="3"/>
        <v>15018365.389999995</v>
      </c>
      <c r="O32" s="3">
        <f t="shared" si="4"/>
        <v>0</v>
      </c>
      <c r="P32" s="3">
        <f t="shared" si="5"/>
        <v>40989657</v>
      </c>
      <c r="Q32" s="3">
        <f t="shared" si="6"/>
        <v>69351365.446199998</v>
      </c>
      <c r="R32" s="3">
        <f t="shared" si="7"/>
        <v>-2497694.8000000003</v>
      </c>
      <c r="S32" s="47">
        <f t="shared" si="8"/>
        <v>85117024.742074996</v>
      </c>
      <c r="T32" s="47">
        <f>'Monthly Data'!Y32+'Monthly Data'!Z32</f>
        <v>1276.3649230769229</v>
      </c>
      <c r="U32" s="47">
        <f t="shared" si="9"/>
        <v>85118301.106998071</v>
      </c>
      <c r="V32" s="47">
        <f t="shared" si="10"/>
        <v>2849274.5425445884</v>
      </c>
      <c r="W32" s="18">
        <f t="shared" si="12"/>
        <v>3.4633624117484003E-2</v>
      </c>
    </row>
    <row r="33" spans="1:23">
      <c r="A33" s="2">
        <f>'Monthly Data'!A33</f>
        <v>42948</v>
      </c>
      <c r="B33">
        <f>'Monthly Data'!B33</f>
        <v>2017</v>
      </c>
      <c r="C33">
        <f>'Monthly Data'!C33</f>
        <v>8</v>
      </c>
      <c r="D33" s="3">
        <f>'Monthly Data'!X33</f>
        <v>85309136.221897274</v>
      </c>
      <c r="E33" s="3">
        <f>'Monthly Data'!CN33</f>
        <v>46.587500000000006</v>
      </c>
      <c r="F33" s="3">
        <f>'Monthly Data'!CW33</f>
        <v>217.42409420289852</v>
      </c>
      <c r="G33">
        <f>'Monthly Data'!EG33</f>
        <v>0</v>
      </c>
      <c r="H33" s="3">
        <f>'Monthly Data'!DQ33</f>
        <v>31</v>
      </c>
      <c r="I33" s="3">
        <f>'Monthly Data'!DL33</f>
        <v>765060</v>
      </c>
      <c r="J33" s="3">
        <f>'Monthly Data'!EH33</f>
        <v>32</v>
      </c>
      <c r="L33" s="616">
        <f t="shared" si="1"/>
        <v>-38000000</v>
      </c>
      <c r="M33" s="3">
        <f t="shared" si="2"/>
        <v>825343.68412500015</v>
      </c>
      <c r="N33" s="3">
        <f t="shared" si="3"/>
        <v>12551010.216510868</v>
      </c>
      <c r="O33" s="3">
        <f t="shared" si="4"/>
        <v>0</v>
      </c>
      <c r="P33" s="3">
        <f t="shared" si="5"/>
        <v>40989657</v>
      </c>
      <c r="Q33" s="3">
        <f t="shared" si="6"/>
        <v>69351365.446199998</v>
      </c>
      <c r="R33" s="3">
        <f t="shared" si="7"/>
        <v>-2578265.6</v>
      </c>
      <c r="S33" s="47">
        <f t="shared" si="8"/>
        <v>83139110.746835873</v>
      </c>
      <c r="T33" s="47">
        <f>'Monthly Data'!Y33+'Monthly Data'!Z33</f>
        <v>1458.702769230769</v>
      </c>
      <c r="U33" s="47">
        <f t="shared" si="9"/>
        <v>83140569.449605107</v>
      </c>
      <c r="V33" s="47">
        <f t="shared" si="10"/>
        <v>-2168566.7722921669</v>
      </c>
      <c r="W33" s="18">
        <f t="shared" si="12"/>
        <v>2.542009998379911E-2</v>
      </c>
    </row>
    <row r="34" spans="1:23">
      <c r="A34" s="2">
        <f>'Monthly Data'!A34</f>
        <v>42979</v>
      </c>
      <c r="B34">
        <f>'Monthly Data'!B34</f>
        <v>2017</v>
      </c>
      <c r="C34">
        <f>'Monthly Data'!C34</f>
        <v>9</v>
      </c>
      <c r="D34" s="3">
        <f>'Monthly Data'!X34</f>
        <v>82173288.189341083</v>
      </c>
      <c r="E34" s="3">
        <f>'Monthly Data'!CN34</f>
        <v>100.06666666666666</v>
      </c>
      <c r="F34" s="3">
        <f>'Monthly Data'!CW34</f>
        <v>161.3125</v>
      </c>
      <c r="G34">
        <f>'Monthly Data'!EG34</f>
        <v>1</v>
      </c>
      <c r="H34" s="3">
        <f>'Monthly Data'!DQ34</f>
        <v>30</v>
      </c>
      <c r="I34" s="3">
        <f>'Monthly Data'!DL34</f>
        <v>765060</v>
      </c>
      <c r="J34" s="3">
        <f>'Monthly Data'!EH34</f>
        <v>33</v>
      </c>
      <c r="L34" s="616">
        <f t="shared" ref="L34:L65" si="13">$AA$8</f>
        <v>-38000000</v>
      </c>
      <c r="M34" s="3">
        <f t="shared" ref="M34:M65" si="14">E34*$AA$9</f>
        <v>1772780.0660000001</v>
      </c>
      <c r="N34" s="3">
        <f t="shared" ref="N34:N65" si="15">F34*$AA$10</f>
        <v>9311915.696250001</v>
      </c>
      <c r="O34" s="3">
        <f t="shared" ref="O34:O65" si="16">G34*$AA$11</f>
        <v>1538400</v>
      </c>
      <c r="P34" s="3">
        <f t="shared" ref="P34:P65" si="17">H34*$AA$12</f>
        <v>39667410</v>
      </c>
      <c r="Q34" s="3">
        <f t="shared" ref="Q34:Q65" si="18">I34*$AA$13</f>
        <v>69351365.446199998</v>
      </c>
      <c r="R34" s="3">
        <f t="shared" ref="R34:R65" si="19">J34*$AA$14</f>
        <v>-2658836.4</v>
      </c>
      <c r="S34" s="47">
        <f t="shared" si="8"/>
        <v>80983034.808449984</v>
      </c>
      <c r="T34" s="47">
        <f>'Monthly Data'!Y34+'Monthly Data'!Z34</f>
        <v>1641.0406153846152</v>
      </c>
      <c r="U34" s="47">
        <f t="shared" si="9"/>
        <v>80984675.849065363</v>
      </c>
      <c r="V34" s="47">
        <f t="shared" si="10"/>
        <v>-1188612.3402757198</v>
      </c>
      <c r="W34" s="18">
        <f t="shared" si="12"/>
        <v>1.4464704607377483E-2</v>
      </c>
    </row>
    <row r="35" spans="1:23">
      <c r="A35" s="2">
        <f>'Monthly Data'!A35</f>
        <v>43009</v>
      </c>
      <c r="B35">
        <f>'Monthly Data'!B35</f>
        <v>2017</v>
      </c>
      <c r="C35">
        <f>'Monthly Data'!C35</f>
        <v>10</v>
      </c>
      <c r="D35" s="3">
        <f>'Monthly Data'!X35</f>
        <v>80084243.886784881</v>
      </c>
      <c r="E35" s="3">
        <f>'Monthly Data'!CN35</f>
        <v>238.48333333333335</v>
      </c>
      <c r="F35" s="3">
        <f>'Monthly Data'!CW35</f>
        <v>59.400000000000006</v>
      </c>
      <c r="G35">
        <f>'Monthly Data'!EG35</f>
        <v>1</v>
      </c>
      <c r="H35" s="3">
        <f>'Monthly Data'!DQ35</f>
        <v>31</v>
      </c>
      <c r="I35" s="3">
        <f>'Monthly Data'!DL35</f>
        <v>771453</v>
      </c>
      <c r="J35" s="3">
        <f>'Monthly Data'!EH35</f>
        <v>34</v>
      </c>
      <c r="L35" s="616">
        <f t="shared" si="13"/>
        <v>-38000000</v>
      </c>
      <c r="M35" s="3">
        <f t="shared" si="14"/>
        <v>4224968.3485000003</v>
      </c>
      <c r="N35" s="3">
        <f t="shared" si="15"/>
        <v>3428920.8360000006</v>
      </c>
      <c r="O35" s="3">
        <f t="shared" si="16"/>
        <v>1538400</v>
      </c>
      <c r="P35" s="3">
        <f t="shared" si="17"/>
        <v>40989657</v>
      </c>
      <c r="Q35" s="3">
        <f t="shared" si="18"/>
        <v>69930879.836309999</v>
      </c>
      <c r="R35" s="3">
        <f t="shared" si="19"/>
        <v>-2739407.2</v>
      </c>
      <c r="S35" s="47">
        <f t="shared" si="8"/>
        <v>79373418.82080999</v>
      </c>
      <c r="T35" s="47">
        <f>'Monthly Data'!Y35+'Monthly Data'!Z35</f>
        <v>1823.3784615384614</v>
      </c>
      <c r="U35" s="47">
        <f t="shared" si="9"/>
        <v>79375242.19927153</v>
      </c>
      <c r="V35" s="47">
        <f t="shared" si="10"/>
        <v>-709001.68751335144</v>
      </c>
      <c r="W35" s="18">
        <f t="shared" si="12"/>
        <v>8.8531982460328569E-3</v>
      </c>
    </row>
    <row r="36" spans="1:23">
      <c r="A36" s="2">
        <f>'Monthly Data'!A36</f>
        <v>43040</v>
      </c>
      <c r="B36">
        <f>'Monthly Data'!B36</f>
        <v>2017</v>
      </c>
      <c r="C36">
        <f>'Monthly Data'!C36</f>
        <v>11</v>
      </c>
      <c r="D36" s="3">
        <f>'Monthly Data'!X36</f>
        <v>81331968.014228672</v>
      </c>
      <c r="E36" s="3">
        <f>'Monthly Data'!CN36</f>
        <v>502.61174242424244</v>
      </c>
      <c r="F36" s="3">
        <f>'Monthly Data'!CW36</f>
        <v>0</v>
      </c>
      <c r="G36">
        <f>'Monthly Data'!EG36</f>
        <v>1</v>
      </c>
      <c r="H36" s="3">
        <f>'Monthly Data'!DQ36</f>
        <v>30</v>
      </c>
      <c r="I36" s="3">
        <f>'Monthly Data'!DL36</f>
        <v>771453</v>
      </c>
      <c r="J36" s="3">
        <f>'Monthly Data'!EH36</f>
        <v>35</v>
      </c>
      <c r="L36" s="616">
        <f t="shared" si="13"/>
        <v>-38000000</v>
      </c>
      <c r="M36" s="3">
        <f t="shared" si="14"/>
        <v>8904264.6026704554</v>
      </c>
      <c r="N36" s="3">
        <f t="shared" si="15"/>
        <v>0</v>
      </c>
      <c r="O36" s="3">
        <f t="shared" si="16"/>
        <v>1538400</v>
      </c>
      <c r="P36" s="3">
        <f t="shared" si="17"/>
        <v>39667410</v>
      </c>
      <c r="Q36" s="3">
        <f t="shared" si="18"/>
        <v>69930879.836309999</v>
      </c>
      <c r="R36" s="3">
        <f t="shared" si="19"/>
        <v>-2819978</v>
      </c>
      <c r="S36" s="47">
        <f t="shared" si="8"/>
        <v>79220976.43898046</v>
      </c>
      <c r="T36" s="47">
        <f>'Monthly Data'!Y36+'Monthly Data'!Z36</f>
        <v>2005.7163076923073</v>
      </c>
      <c r="U36" s="47">
        <f t="shared" si="9"/>
        <v>79222982.15528816</v>
      </c>
      <c r="V36" s="47">
        <f t="shared" si="10"/>
        <v>-2108985.8589405119</v>
      </c>
      <c r="W36" s="18">
        <f t="shared" si="12"/>
        <v>2.5930589292657399E-2</v>
      </c>
    </row>
    <row r="37" spans="1:23">
      <c r="A37" s="2">
        <f>'Monthly Data'!A37</f>
        <v>43070</v>
      </c>
      <c r="B37">
        <f>'Monthly Data'!B37</f>
        <v>2017</v>
      </c>
      <c r="C37">
        <f>'Monthly Data'!C37</f>
        <v>12</v>
      </c>
      <c r="D37" s="3">
        <f>'Monthly Data'!X37</f>
        <v>83169232.251672462</v>
      </c>
      <c r="E37" s="3">
        <f>'Monthly Data'!CN37</f>
        <v>798.31250000000011</v>
      </c>
      <c r="F37" s="3">
        <f>'Monthly Data'!CW37</f>
        <v>0</v>
      </c>
      <c r="G37">
        <f>'Monthly Data'!EG37</f>
        <v>0</v>
      </c>
      <c r="H37" s="3">
        <f>'Monthly Data'!DQ37</f>
        <v>31</v>
      </c>
      <c r="I37" s="3">
        <f>'Monthly Data'!DL37</f>
        <v>771453</v>
      </c>
      <c r="J37" s="3">
        <f>'Monthly Data'!EH37</f>
        <v>36</v>
      </c>
      <c r="L37" s="616">
        <f t="shared" si="13"/>
        <v>-38000000</v>
      </c>
      <c r="M37" s="3">
        <f t="shared" si="14"/>
        <v>14142896.266875003</v>
      </c>
      <c r="N37" s="3">
        <f t="shared" si="15"/>
        <v>0</v>
      </c>
      <c r="O37" s="3">
        <f t="shared" si="16"/>
        <v>0</v>
      </c>
      <c r="P37" s="3">
        <f t="shared" si="17"/>
        <v>40989657</v>
      </c>
      <c r="Q37" s="3">
        <f t="shared" si="18"/>
        <v>69930879.836309999</v>
      </c>
      <c r="R37" s="3">
        <f t="shared" si="19"/>
        <v>-2900548.8000000003</v>
      </c>
      <c r="S37" s="47">
        <f t="shared" si="8"/>
        <v>84162884.303185001</v>
      </c>
      <c r="T37" s="47">
        <f>'Monthly Data'!Y37+'Monthly Data'!Z37</f>
        <v>2188.0541538461539</v>
      </c>
      <c r="U37" s="47">
        <f t="shared" si="9"/>
        <v>84165072.357338846</v>
      </c>
      <c r="V37" s="47">
        <f t="shared" si="10"/>
        <v>995840.1056663841</v>
      </c>
      <c r="W37" s="18">
        <f t="shared" si="12"/>
        <v>1.1973659954596474E-2</v>
      </c>
    </row>
    <row r="38" spans="1:23">
      <c r="A38" s="2">
        <f>'Monthly Data'!A38</f>
        <v>43101</v>
      </c>
      <c r="B38">
        <f>'Monthly Data'!B38</f>
        <v>2018</v>
      </c>
      <c r="C38">
        <f>'Monthly Data'!C38</f>
        <v>1</v>
      </c>
      <c r="D38" s="3">
        <f>'Monthly Data'!X38</f>
        <v>89219398.42277886</v>
      </c>
      <c r="E38" s="3">
        <f>'Monthly Data'!CN38</f>
        <v>812.53750000000002</v>
      </c>
      <c r="F38" s="3">
        <f>'Monthly Data'!CW38</f>
        <v>0</v>
      </c>
      <c r="G38">
        <f>'Monthly Data'!EG38</f>
        <v>0</v>
      </c>
      <c r="H38" s="3">
        <f>'Monthly Data'!DQ38</f>
        <v>31</v>
      </c>
      <c r="I38" s="3">
        <f>'Monthly Data'!DL38</f>
        <v>779459</v>
      </c>
      <c r="J38" s="3">
        <f>'Monthly Data'!EH38</f>
        <v>37</v>
      </c>
      <c r="L38" s="616">
        <f t="shared" si="13"/>
        <v>-38000000</v>
      </c>
      <c r="M38" s="3">
        <f t="shared" si="14"/>
        <v>14394906.224625003</v>
      </c>
      <c r="N38" s="3">
        <f t="shared" si="15"/>
        <v>0</v>
      </c>
      <c r="O38" s="3">
        <f t="shared" si="16"/>
        <v>0</v>
      </c>
      <c r="P38" s="3">
        <f t="shared" si="17"/>
        <v>40989657</v>
      </c>
      <c r="Q38" s="3">
        <f t="shared" si="18"/>
        <v>70656609.885930002</v>
      </c>
      <c r="R38" s="3">
        <f t="shared" si="19"/>
        <v>-2981119.6</v>
      </c>
      <c r="S38" s="47">
        <f t="shared" si="8"/>
        <v>85060053.510555014</v>
      </c>
      <c r="T38" s="47">
        <f>'Monthly Data'!Y38+'Monthly Data'!Z38</f>
        <v>2827.9730769230769</v>
      </c>
      <c r="U38" s="47">
        <f t="shared" si="9"/>
        <v>85062881.483631939</v>
      </c>
      <c r="V38" s="47">
        <f t="shared" si="10"/>
        <v>-4156516.939146921</v>
      </c>
      <c r="W38" s="18">
        <f t="shared" si="12"/>
        <v>4.6587592077797613E-2</v>
      </c>
    </row>
    <row r="39" spans="1:23">
      <c r="A39" s="2">
        <f>'Monthly Data'!A39</f>
        <v>43132</v>
      </c>
      <c r="B39">
        <f>'Monthly Data'!B39</f>
        <v>2018</v>
      </c>
      <c r="C39">
        <f>'Monthly Data'!C39</f>
        <v>2</v>
      </c>
      <c r="D39" s="3">
        <f>'Monthly Data'!X39</f>
        <v>79210676.167718485</v>
      </c>
      <c r="E39" s="3">
        <f>'Monthly Data'!CN39</f>
        <v>632.49583333333328</v>
      </c>
      <c r="F39" s="3">
        <f>'Monthly Data'!CW39</f>
        <v>0</v>
      </c>
      <c r="G39">
        <f>'Monthly Data'!EG39</f>
        <v>0</v>
      </c>
      <c r="H39" s="3">
        <f>'Monthly Data'!DQ39</f>
        <v>28</v>
      </c>
      <c r="I39" s="3">
        <f>'Monthly Data'!DL39</f>
        <v>779459</v>
      </c>
      <c r="J39" s="3">
        <f>'Monthly Data'!EH39</f>
        <v>38</v>
      </c>
      <c r="L39" s="616">
        <f t="shared" si="13"/>
        <v>-38000000</v>
      </c>
      <c r="M39" s="3">
        <f t="shared" si="14"/>
        <v>11205289.858375</v>
      </c>
      <c r="N39" s="3">
        <f t="shared" si="15"/>
        <v>0</v>
      </c>
      <c r="O39" s="3">
        <f t="shared" si="16"/>
        <v>0</v>
      </c>
      <c r="P39" s="3">
        <f t="shared" si="17"/>
        <v>37022916</v>
      </c>
      <c r="Q39" s="3">
        <f t="shared" si="18"/>
        <v>70656609.885930002</v>
      </c>
      <c r="R39" s="3">
        <f t="shared" si="19"/>
        <v>-3061690.4</v>
      </c>
      <c r="S39" s="47">
        <f t="shared" si="8"/>
        <v>77823125.344304994</v>
      </c>
      <c r="T39" s="47">
        <f>'Monthly Data'!Y39+'Monthly Data'!Z39</f>
        <v>3285.5541538461539</v>
      </c>
      <c r="U39" s="47">
        <f t="shared" si="9"/>
        <v>77826410.898458838</v>
      </c>
      <c r="V39" s="47">
        <f t="shared" si="10"/>
        <v>-1384265.2692596465</v>
      </c>
      <c r="W39" s="18">
        <f t="shared" si="12"/>
        <v>1.7475741102482723E-2</v>
      </c>
    </row>
    <row r="40" spans="1:23">
      <c r="A40" s="2">
        <f>'Monthly Data'!A40</f>
        <v>43160</v>
      </c>
      <c r="B40">
        <f>'Monthly Data'!B40</f>
        <v>2018</v>
      </c>
      <c r="C40">
        <f>'Monthly Data'!C40</f>
        <v>3</v>
      </c>
      <c r="D40" s="3">
        <f>'Monthly Data'!X40</f>
        <v>84410406.562658131</v>
      </c>
      <c r="E40" s="3">
        <f>'Monthly Data'!CN40</f>
        <v>629.27916666666681</v>
      </c>
      <c r="F40" s="3">
        <f>'Monthly Data'!CW40</f>
        <v>0</v>
      </c>
      <c r="G40">
        <f>'Monthly Data'!EG40</f>
        <v>1</v>
      </c>
      <c r="H40" s="3">
        <f>'Monthly Data'!DQ40</f>
        <v>31</v>
      </c>
      <c r="I40" s="3">
        <f>'Monthly Data'!DL40</f>
        <v>779459</v>
      </c>
      <c r="J40" s="3">
        <f>'Monthly Data'!EH40</f>
        <v>39</v>
      </c>
      <c r="L40" s="616">
        <f t="shared" si="13"/>
        <v>-38000000</v>
      </c>
      <c r="M40" s="3">
        <f t="shared" si="14"/>
        <v>11148303.423875004</v>
      </c>
      <c r="N40" s="3">
        <f t="shared" si="15"/>
        <v>0</v>
      </c>
      <c r="O40" s="3">
        <f t="shared" si="16"/>
        <v>1538400</v>
      </c>
      <c r="P40" s="3">
        <f t="shared" si="17"/>
        <v>40989657</v>
      </c>
      <c r="Q40" s="3">
        <f t="shared" si="18"/>
        <v>70656609.885930002</v>
      </c>
      <c r="R40" s="3">
        <f t="shared" si="19"/>
        <v>-3142261.2</v>
      </c>
      <c r="S40" s="47">
        <f t="shared" si="8"/>
        <v>83190709.109805003</v>
      </c>
      <c r="T40" s="47">
        <f>'Monthly Data'!Y40+'Monthly Data'!Z40</f>
        <v>3743.1352307692309</v>
      </c>
      <c r="U40" s="47">
        <f t="shared" si="9"/>
        <v>83194452.245035768</v>
      </c>
      <c r="V40" s="47">
        <f t="shared" si="10"/>
        <v>-1215954.3176223636</v>
      </c>
      <c r="W40" s="18">
        <f t="shared" si="12"/>
        <v>1.4405265501472931E-2</v>
      </c>
    </row>
    <row r="41" spans="1:23">
      <c r="A41" s="2">
        <f>'Monthly Data'!A41</f>
        <v>43191</v>
      </c>
      <c r="B41">
        <f>'Monthly Data'!B41</f>
        <v>2018</v>
      </c>
      <c r="C41">
        <f>'Monthly Data'!C41</f>
        <v>4</v>
      </c>
      <c r="D41" s="3">
        <f>'Monthly Data'!X41</f>
        <v>80397213.467597783</v>
      </c>
      <c r="E41" s="3">
        <f>'Monthly Data'!CN41</f>
        <v>512.51666666666677</v>
      </c>
      <c r="F41" s="3">
        <f>'Monthly Data'!CW41</f>
        <v>0</v>
      </c>
      <c r="G41">
        <f>'Monthly Data'!EG41</f>
        <v>1</v>
      </c>
      <c r="H41" s="3">
        <f>'Monthly Data'!DQ41</f>
        <v>30</v>
      </c>
      <c r="I41" s="3">
        <f>'Monthly Data'!DL41</f>
        <v>784896</v>
      </c>
      <c r="J41" s="3">
        <f>'Monthly Data'!EH41</f>
        <v>40</v>
      </c>
      <c r="L41" s="616">
        <f t="shared" si="13"/>
        <v>-38000000</v>
      </c>
      <c r="M41" s="3">
        <f t="shared" si="14"/>
        <v>9079740.1415000018</v>
      </c>
      <c r="N41" s="3">
        <f t="shared" si="15"/>
        <v>0</v>
      </c>
      <c r="O41" s="3">
        <f t="shared" si="16"/>
        <v>1538400</v>
      </c>
      <c r="P41" s="3">
        <f t="shared" si="17"/>
        <v>39667410</v>
      </c>
      <c r="Q41" s="3">
        <f t="shared" si="18"/>
        <v>71149464.529919997</v>
      </c>
      <c r="R41" s="3">
        <f t="shared" si="19"/>
        <v>-3222832</v>
      </c>
      <c r="S41" s="47">
        <f t="shared" si="8"/>
        <v>80212182.671420008</v>
      </c>
      <c r="T41" s="47">
        <f>'Monthly Data'!Y41+'Monthly Data'!Z41</f>
        <v>4200.716307692308</v>
      </c>
      <c r="U41" s="47">
        <f t="shared" si="9"/>
        <v>80216383.387727708</v>
      </c>
      <c r="V41" s="47">
        <f t="shared" si="10"/>
        <v>-180830.07987007499</v>
      </c>
      <c r="W41" s="18">
        <f t="shared" si="12"/>
        <v>2.2492083005209418E-3</v>
      </c>
    </row>
    <row r="42" spans="1:23">
      <c r="A42" s="2">
        <f>'Monthly Data'!A42</f>
        <v>43221</v>
      </c>
      <c r="B42">
        <f>'Monthly Data'!B42</f>
        <v>2018</v>
      </c>
      <c r="C42">
        <f>'Monthly Data'!C42</f>
        <v>5</v>
      </c>
      <c r="D42" s="3">
        <f>'Monthly Data'!X42</f>
        <v>81857156.762537405</v>
      </c>
      <c r="E42" s="3">
        <f>'Monthly Data'!CN42</f>
        <v>140.84469696969697</v>
      </c>
      <c r="F42" s="3">
        <f>'Monthly Data'!CW42</f>
        <v>127.46720779220779</v>
      </c>
      <c r="G42">
        <f>'Monthly Data'!EG42</f>
        <v>1</v>
      </c>
      <c r="H42" s="3">
        <f>'Monthly Data'!DQ42</f>
        <v>31</v>
      </c>
      <c r="I42" s="3">
        <f>'Monthly Data'!DL42</f>
        <v>784896</v>
      </c>
      <c r="J42" s="3">
        <f>'Monthly Data'!EH42</f>
        <v>41</v>
      </c>
      <c r="L42" s="616">
        <f t="shared" si="13"/>
        <v>-38000000</v>
      </c>
      <c r="M42" s="3">
        <f t="shared" si="14"/>
        <v>2495203.2430681819</v>
      </c>
      <c r="N42" s="3">
        <f t="shared" si="15"/>
        <v>7358164.38898052</v>
      </c>
      <c r="O42" s="3">
        <f t="shared" si="16"/>
        <v>1538400</v>
      </c>
      <c r="P42" s="3">
        <f t="shared" si="17"/>
        <v>40989657</v>
      </c>
      <c r="Q42" s="3">
        <f t="shared" si="18"/>
        <v>71149464.529919997</v>
      </c>
      <c r="R42" s="3">
        <f t="shared" si="19"/>
        <v>-3303402.8000000003</v>
      </c>
      <c r="S42" s="47">
        <f t="shared" si="8"/>
        <v>82227486.361968696</v>
      </c>
      <c r="T42" s="47">
        <f>'Monthly Data'!Y42+'Monthly Data'!Z42</f>
        <v>4658.2973846153855</v>
      </c>
      <c r="U42" s="47">
        <f t="shared" si="9"/>
        <v>82232144.659353316</v>
      </c>
      <c r="V42" s="47">
        <f t="shared" si="10"/>
        <v>374987.89681591094</v>
      </c>
      <c r="W42" s="18">
        <f t="shared" si="12"/>
        <v>4.581003196870468E-3</v>
      </c>
    </row>
    <row r="43" spans="1:23">
      <c r="A43" s="2">
        <f>'Monthly Data'!A43</f>
        <v>43252</v>
      </c>
      <c r="B43">
        <f>'Monthly Data'!B43</f>
        <v>2018</v>
      </c>
      <c r="C43">
        <f>'Monthly Data'!C43</f>
        <v>6</v>
      </c>
      <c r="D43" s="3">
        <f>'Monthly Data'!X43</f>
        <v>83028377.88747704</v>
      </c>
      <c r="E43" s="3">
        <f>'Monthly Data'!CN43</f>
        <v>63.468560606060585</v>
      </c>
      <c r="F43" s="3">
        <f>'Monthly Data'!CW43</f>
        <v>198.19393939393944</v>
      </c>
      <c r="G43">
        <f>'Monthly Data'!EG43</f>
        <v>0</v>
      </c>
      <c r="H43" s="3">
        <f>'Monthly Data'!DQ43</f>
        <v>30</v>
      </c>
      <c r="I43" s="3">
        <f>'Monthly Data'!DL43</f>
        <v>784896</v>
      </c>
      <c r="J43" s="3">
        <f>'Monthly Data'!EH43</f>
        <v>42</v>
      </c>
      <c r="L43" s="616">
        <f t="shared" si="13"/>
        <v>-38000000</v>
      </c>
      <c r="M43" s="3">
        <f t="shared" si="14"/>
        <v>1124408.3850113633</v>
      </c>
      <c r="N43" s="3">
        <f t="shared" si="15"/>
        <v>11440931.453818185</v>
      </c>
      <c r="O43" s="3">
        <f t="shared" si="16"/>
        <v>0</v>
      </c>
      <c r="P43" s="3">
        <f t="shared" si="17"/>
        <v>39667410</v>
      </c>
      <c r="Q43" s="3">
        <f t="shared" si="18"/>
        <v>71149464.529919997</v>
      </c>
      <c r="R43" s="3">
        <f t="shared" si="19"/>
        <v>-3383973.6</v>
      </c>
      <c r="S43" s="47">
        <f t="shared" si="8"/>
        <v>81998240.76874955</v>
      </c>
      <c r="T43" s="47">
        <f>'Monthly Data'!Y43+'Monthly Data'!Z43</f>
        <v>5115.878461538462</v>
      </c>
      <c r="U43" s="47">
        <f t="shared" si="9"/>
        <v>82003356.64721109</v>
      </c>
      <c r="V43" s="47">
        <f t="shared" si="10"/>
        <v>-1025021.2402659506</v>
      </c>
      <c r="W43" s="18">
        <f t="shared" si="12"/>
        <v>1.2345432565900483E-2</v>
      </c>
    </row>
    <row r="44" spans="1:23">
      <c r="A44" s="2">
        <f>'Monthly Data'!A44</f>
        <v>43282</v>
      </c>
      <c r="B44">
        <f>'Monthly Data'!B44</f>
        <v>2018</v>
      </c>
      <c r="C44">
        <f>'Monthly Data'!C44</f>
        <v>7</v>
      </c>
      <c r="D44" s="3">
        <f>'Monthly Data'!X44</f>
        <v>88716707.202416673</v>
      </c>
      <c r="E44" s="3">
        <f>'Monthly Data'!CN44</f>
        <v>4.9668995859213254</v>
      </c>
      <c r="F44" s="3">
        <f>'Monthly Data'!CW44</f>
        <v>318.39861424807077</v>
      </c>
      <c r="G44">
        <f>'Monthly Data'!EG44</f>
        <v>0</v>
      </c>
      <c r="H44" s="3">
        <f>'Monthly Data'!DQ44</f>
        <v>31</v>
      </c>
      <c r="I44" s="3">
        <f>'Monthly Data'!DL44</f>
        <v>794140</v>
      </c>
      <c r="J44" s="3">
        <f>'Monthly Data'!EH44</f>
        <v>43</v>
      </c>
      <c r="L44" s="616">
        <f t="shared" si="13"/>
        <v>-38000000</v>
      </c>
      <c r="M44" s="3">
        <f t="shared" si="14"/>
        <v>87993.543395186352</v>
      </c>
      <c r="N44" s="3">
        <f t="shared" si="15"/>
        <v>18379859.302167278</v>
      </c>
      <c r="O44" s="3">
        <f t="shared" si="16"/>
        <v>0</v>
      </c>
      <c r="P44" s="3">
        <f t="shared" si="17"/>
        <v>40989657</v>
      </c>
      <c r="Q44" s="3">
        <f t="shared" si="18"/>
        <v>71987417.137799993</v>
      </c>
      <c r="R44" s="3">
        <f t="shared" si="19"/>
        <v>-3464544.4</v>
      </c>
      <c r="S44" s="47">
        <f t="shared" si="8"/>
        <v>89980382.583362445</v>
      </c>
      <c r="T44" s="47">
        <f>'Monthly Data'!Y44+'Monthly Data'!Z44</f>
        <v>5573.4595384615386</v>
      </c>
      <c r="U44" s="47">
        <f t="shared" si="9"/>
        <v>89985956.042900905</v>
      </c>
      <c r="V44" s="47">
        <f t="shared" si="10"/>
        <v>1269248.8404842317</v>
      </c>
      <c r="W44" s="18">
        <f t="shared" si="12"/>
        <v>1.4306762283098544E-2</v>
      </c>
    </row>
    <row r="45" spans="1:23">
      <c r="A45" s="2">
        <f>'Monthly Data'!A45</f>
        <v>43313</v>
      </c>
      <c r="B45">
        <f>'Monthly Data'!B45</f>
        <v>2018</v>
      </c>
      <c r="C45">
        <f>'Monthly Data'!C45</f>
        <v>8</v>
      </c>
      <c r="D45" s="3">
        <f>'Monthly Data'!X45</f>
        <v>90790787.837356314</v>
      </c>
      <c r="E45" s="3">
        <f>'Monthly Data'!CN45</f>
        <v>7.2291666666666679</v>
      </c>
      <c r="F45" s="3">
        <f>'Monthly Data'!CW45</f>
        <v>314.24583333333334</v>
      </c>
      <c r="G45">
        <f>'Monthly Data'!EG45</f>
        <v>0</v>
      </c>
      <c r="H45" s="3">
        <f>'Monthly Data'!DQ45</f>
        <v>31</v>
      </c>
      <c r="I45" s="3">
        <f>'Monthly Data'!DL45</f>
        <v>794140</v>
      </c>
      <c r="J45" s="3">
        <f>'Monthly Data'!EH45</f>
        <v>44</v>
      </c>
      <c r="L45" s="616">
        <f t="shared" si="13"/>
        <v>-38000000</v>
      </c>
      <c r="M45" s="3">
        <f t="shared" si="14"/>
        <v>128071.84437500003</v>
      </c>
      <c r="N45" s="3">
        <f t="shared" si="15"/>
        <v>18140136.120250002</v>
      </c>
      <c r="O45" s="3">
        <f t="shared" si="16"/>
        <v>0</v>
      </c>
      <c r="P45" s="3">
        <f t="shared" si="17"/>
        <v>40989657</v>
      </c>
      <c r="Q45" s="3">
        <f t="shared" si="18"/>
        <v>71987417.137799993</v>
      </c>
      <c r="R45" s="3">
        <f t="shared" si="19"/>
        <v>-3545115.2</v>
      </c>
      <c r="S45" s="47">
        <f t="shared" si="8"/>
        <v>89700166.902424991</v>
      </c>
      <c r="T45" s="47">
        <f>'Monthly Data'!Y45+'Monthly Data'!Z45</f>
        <v>6031.0406153846161</v>
      </c>
      <c r="U45" s="47">
        <f t="shared" si="9"/>
        <v>89706197.943040371</v>
      </c>
      <c r="V45" s="47">
        <f t="shared" si="10"/>
        <v>-1084589.8943159431</v>
      </c>
      <c r="W45" s="18">
        <f t="shared" si="12"/>
        <v>1.1946034615966657E-2</v>
      </c>
    </row>
    <row r="46" spans="1:23">
      <c r="A46" s="2">
        <f>'Monthly Data'!A46</f>
        <v>43344</v>
      </c>
      <c r="B46">
        <f>'Monthly Data'!B46</f>
        <v>2018</v>
      </c>
      <c r="C46">
        <f>'Monthly Data'!C46</f>
        <v>9</v>
      </c>
      <c r="D46" s="3">
        <f>'Monthly Data'!X46</f>
        <v>84518146.232295945</v>
      </c>
      <c r="E46" s="3">
        <f>'Monthly Data'!CN46</f>
        <v>92.370833333333337</v>
      </c>
      <c r="F46" s="3">
        <f>'Monthly Data'!CW46</f>
        <v>183.48333333333329</v>
      </c>
      <c r="G46">
        <f>'Monthly Data'!EG46</f>
        <v>1</v>
      </c>
      <c r="H46" s="3">
        <f>'Monthly Data'!DQ46</f>
        <v>30</v>
      </c>
      <c r="I46" s="3">
        <f>'Monthly Data'!DL46</f>
        <v>794140</v>
      </c>
      <c r="J46" s="3">
        <f>'Monthly Data'!EH46</f>
        <v>45</v>
      </c>
      <c r="L46" s="616">
        <f t="shared" si="13"/>
        <v>-38000000</v>
      </c>
      <c r="M46" s="3">
        <f t="shared" si="14"/>
        <v>1636440.7596250002</v>
      </c>
      <c r="N46" s="3">
        <f t="shared" si="15"/>
        <v>10591747.890999999</v>
      </c>
      <c r="O46" s="3">
        <f t="shared" si="16"/>
        <v>1538400</v>
      </c>
      <c r="P46" s="3">
        <f t="shared" si="17"/>
        <v>39667410</v>
      </c>
      <c r="Q46" s="3">
        <f t="shared" si="18"/>
        <v>71987417.137799993</v>
      </c>
      <c r="R46" s="3">
        <f t="shared" si="19"/>
        <v>-3625686</v>
      </c>
      <c r="S46" s="47">
        <f t="shared" si="8"/>
        <v>83795729.788424999</v>
      </c>
      <c r="T46" s="47">
        <f>'Monthly Data'!Y46+'Monthly Data'!Z46</f>
        <v>6488.6216923076936</v>
      </c>
      <c r="U46" s="47">
        <f t="shared" si="9"/>
        <v>83802218.410117313</v>
      </c>
      <c r="V46" s="47">
        <f t="shared" si="10"/>
        <v>-715927.82217863202</v>
      </c>
      <c r="W46" s="18">
        <f t="shared" si="12"/>
        <v>8.4706995372440235E-3</v>
      </c>
    </row>
    <row r="47" spans="1:23">
      <c r="A47" s="2">
        <f>'Monthly Data'!A47</f>
        <v>43374</v>
      </c>
      <c r="B47">
        <f>'Monthly Data'!B47</f>
        <v>2018</v>
      </c>
      <c r="C47">
        <f>'Monthly Data'!C47</f>
        <v>10</v>
      </c>
      <c r="D47" s="3">
        <f>'Monthly Data'!X47</f>
        <v>82719001.677235588</v>
      </c>
      <c r="E47" s="3">
        <f>'Monthly Data'!CN47</f>
        <v>364.80833333333339</v>
      </c>
      <c r="F47" s="3">
        <f>'Monthly Data'!CW47</f>
        <v>25.358333333333334</v>
      </c>
      <c r="G47">
        <f>'Monthly Data'!EG47</f>
        <v>1</v>
      </c>
      <c r="H47" s="3">
        <f>'Monthly Data'!DQ47</f>
        <v>31</v>
      </c>
      <c r="I47" s="3">
        <f>'Monthly Data'!DL47</f>
        <v>799632</v>
      </c>
      <c r="J47" s="3">
        <f>'Monthly Data'!EH47</f>
        <v>46</v>
      </c>
      <c r="L47" s="616">
        <f t="shared" si="13"/>
        <v>-38000000</v>
      </c>
      <c r="M47" s="3">
        <f t="shared" si="14"/>
        <v>6462940.7852500016</v>
      </c>
      <c r="N47" s="3">
        <f t="shared" si="15"/>
        <v>1463833.6285000001</v>
      </c>
      <c r="O47" s="3">
        <f t="shared" si="16"/>
        <v>1538400</v>
      </c>
      <c r="P47" s="3">
        <f t="shared" si="17"/>
        <v>40989657</v>
      </c>
      <c r="Q47" s="3">
        <f t="shared" si="18"/>
        <v>72485257.436639994</v>
      </c>
      <c r="R47" s="3">
        <f t="shared" si="19"/>
        <v>-3706256.8000000003</v>
      </c>
      <c r="S47" s="47">
        <f t="shared" si="8"/>
        <v>81233832.05038999</v>
      </c>
      <c r="T47" s="47">
        <f>'Monthly Data'!Y47+'Monthly Data'!Z47</f>
        <v>6946.2027692307702</v>
      </c>
      <c r="U47" s="47">
        <f t="shared" si="9"/>
        <v>81240778.253159225</v>
      </c>
      <c r="V47" s="47">
        <f t="shared" si="10"/>
        <v>-1478223.4240763634</v>
      </c>
      <c r="W47" s="18">
        <f t="shared" si="12"/>
        <v>1.7870421476365243E-2</v>
      </c>
    </row>
    <row r="48" spans="1:23">
      <c r="A48" s="2">
        <f>'Monthly Data'!A48</f>
        <v>43405</v>
      </c>
      <c r="B48">
        <f>'Monthly Data'!B48</f>
        <v>2018</v>
      </c>
      <c r="C48">
        <f>'Monthly Data'!C48</f>
        <v>11</v>
      </c>
      <c r="D48" s="3">
        <f>'Monthly Data'!X48</f>
        <v>83098159.202175215</v>
      </c>
      <c r="E48" s="3">
        <f>'Monthly Data'!CN48</f>
        <v>563.52499999999998</v>
      </c>
      <c r="F48" s="3">
        <f>'Monthly Data'!CW48</f>
        <v>0</v>
      </c>
      <c r="G48">
        <f>'Monthly Data'!EG48</f>
        <v>1</v>
      </c>
      <c r="H48" s="3">
        <f>'Monthly Data'!DQ48</f>
        <v>30</v>
      </c>
      <c r="I48" s="3">
        <f>'Monthly Data'!DL48</f>
        <v>799632</v>
      </c>
      <c r="J48" s="3">
        <f>'Monthly Data'!EH48</f>
        <v>47</v>
      </c>
      <c r="L48" s="616">
        <f t="shared" si="13"/>
        <v>-38000000</v>
      </c>
      <c r="M48" s="3">
        <f t="shared" si="14"/>
        <v>9983403.2647500001</v>
      </c>
      <c r="N48" s="3">
        <f t="shared" si="15"/>
        <v>0</v>
      </c>
      <c r="O48" s="3">
        <f t="shared" si="16"/>
        <v>1538400</v>
      </c>
      <c r="P48" s="3">
        <f t="shared" si="17"/>
        <v>39667410</v>
      </c>
      <c r="Q48" s="3">
        <f t="shared" si="18"/>
        <v>72485257.436639994</v>
      </c>
      <c r="R48" s="3">
        <f t="shared" si="19"/>
        <v>-3786827.6</v>
      </c>
      <c r="S48" s="47">
        <f t="shared" si="8"/>
        <v>81887643.101390004</v>
      </c>
      <c r="T48" s="47">
        <f>'Monthly Data'!Y48+'Monthly Data'!Z48</f>
        <v>7403.7838461538468</v>
      </c>
      <c r="U48" s="47">
        <f t="shared" si="9"/>
        <v>81895046.885236159</v>
      </c>
      <c r="V48" s="47">
        <f t="shared" si="10"/>
        <v>-1203112.3169390559</v>
      </c>
      <c r="W48" s="18">
        <f t="shared" si="12"/>
        <v>1.4478206599160897E-2</v>
      </c>
    </row>
    <row r="49" spans="1:23">
      <c r="A49" s="2">
        <f>'Monthly Data'!A49</f>
        <v>43435</v>
      </c>
      <c r="B49">
        <f>'Monthly Data'!B49</f>
        <v>2018</v>
      </c>
      <c r="C49">
        <f>'Monthly Data'!C49</f>
        <v>12</v>
      </c>
      <c r="D49" s="3">
        <f>'Monthly Data'!X49</f>
        <v>81107239.617114857</v>
      </c>
      <c r="E49" s="3">
        <f>'Monthly Data'!CN49</f>
        <v>646.91666666666663</v>
      </c>
      <c r="F49" s="3">
        <f>'Monthly Data'!CW49</f>
        <v>0</v>
      </c>
      <c r="G49">
        <f>'Monthly Data'!EG49</f>
        <v>0</v>
      </c>
      <c r="H49" s="3">
        <f>'Monthly Data'!DQ49</f>
        <v>31</v>
      </c>
      <c r="I49" s="3">
        <f>'Monthly Data'!DL49</f>
        <v>799632</v>
      </c>
      <c r="J49" s="3">
        <f>'Monthly Data'!EH49</f>
        <v>48</v>
      </c>
      <c r="L49" s="616">
        <f t="shared" si="13"/>
        <v>-38000000</v>
      </c>
      <c r="M49" s="3">
        <f t="shared" si="14"/>
        <v>11460769.1975</v>
      </c>
      <c r="N49" s="3">
        <f t="shared" si="15"/>
        <v>0</v>
      </c>
      <c r="O49" s="3">
        <f t="shared" si="16"/>
        <v>0</v>
      </c>
      <c r="P49" s="3">
        <f t="shared" si="17"/>
        <v>40989657</v>
      </c>
      <c r="Q49" s="3">
        <f t="shared" si="18"/>
        <v>72485257.436639994</v>
      </c>
      <c r="R49" s="3">
        <f t="shared" si="19"/>
        <v>-3867398.4000000004</v>
      </c>
      <c r="S49" s="47">
        <f t="shared" si="8"/>
        <v>83068285.234139979</v>
      </c>
      <c r="T49" s="47">
        <f>'Monthly Data'!Y49+'Monthly Data'!Z49</f>
        <v>7861.3649230769242</v>
      </c>
      <c r="U49" s="47">
        <f t="shared" si="9"/>
        <v>83076146.599063054</v>
      </c>
      <c r="V49" s="47">
        <f t="shared" si="10"/>
        <v>1968906.9819481969</v>
      </c>
      <c r="W49" s="18">
        <f t="shared" si="12"/>
        <v>2.4275354348673058E-2</v>
      </c>
    </row>
    <row r="50" spans="1:23">
      <c r="A50" s="2">
        <f>'Monthly Data'!A50</f>
        <v>43466</v>
      </c>
      <c r="B50">
        <f>'Monthly Data'!B50</f>
        <v>2019</v>
      </c>
      <c r="C50">
        <f>'Monthly Data'!C50</f>
        <v>1</v>
      </c>
      <c r="D50" s="3">
        <f>'Monthly Data'!X50</f>
        <v>89987890.642999917</v>
      </c>
      <c r="E50" s="3">
        <f>'Monthly Data'!CN50</f>
        <v>841.93333333333351</v>
      </c>
      <c r="F50" s="3">
        <f>'Monthly Data'!CW50</f>
        <v>0</v>
      </c>
      <c r="G50">
        <f>'Monthly Data'!EG50</f>
        <v>0</v>
      </c>
      <c r="H50" s="3">
        <f>'Monthly Data'!DQ50</f>
        <v>31</v>
      </c>
      <c r="I50" s="3">
        <f>'Monthly Data'!DL50</f>
        <v>800724</v>
      </c>
      <c r="J50" s="3">
        <f>'Monthly Data'!EH50</f>
        <v>49</v>
      </c>
      <c r="L50" s="616">
        <f t="shared" si="13"/>
        <v>-38000000</v>
      </c>
      <c r="M50" s="3">
        <f t="shared" si="14"/>
        <v>14915682.514000004</v>
      </c>
      <c r="N50" s="3">
        <f t="shared" si="15"/>
        <v>0</v>
      </c>
      <c r="O50" s="3">
        <f t="shared" si="16"/>
        <v>0</v>
      </c>
      <c r="P50" s="3">
        <f t="shared" si="17"/>
        <v>40989657</v>
      </c>
      <c r="Q50" s="3">
        <f t="shared" si="18"/>
        <v>72584245.347479999</v>
      </c>
      <c r="R50" s="3">
        <f t="shared" si="19"/>
        <v>-3947969.2</v>
      </c>
      <c r="S50" s="47">
        <f t="shared" si="8"/>
        <v>86541615.661479995</v>
      </c>
      <c r="T50" s="47">
        <f ca="1">'Monthly Data'!Y50+'Monthly Data'!Z50</f>
        <v>30620.838572499488</v>
      </c>
      <c r="U50" s="47">
        <f t="shared" ca="1" si="9"/>
        <v>86572236.500052497</v>
      </c>
      <c r="V50" s="47">
        <f t="shared" ca="1" si="10"/>
        <v>-3415654.1429474205</v>
      </c>
      <c r="W50" s="18">
        <f t="shared" ca="1" si="12"/>
        <v>3.7956819729201216E-2</v>
      </c>
    </row>
    <row r="51" spans="1:23">
      <c r="A51" s="2">
        <f>'Monthly Data'!A51</f>
        <v>43497</v>
      </c>
      <c r="B51">
        <f>'Monthly Data'!B51</f>
        <v>2019</v>
      </c>
      <c r="C51">
        <f>'Monthly Data'!C51</f>
        <v>2</v>
      </c>
      <c r="D51" s="3">
        <f>'Monthly Data'!X51</f>
        <v>81561175.396740332</v>
      </c>
      <c r="E51" s="3">
        <f>'Monthly Data'!CN51</f>
        <v>695.30416666666645</v>
      </c>
      <c r="F51" s="3">
        <f>'Monthly Data'!CW51</f>
        <v>0</v>
      </c>
      <c r="G51">
        <f>'Monthly Data'!EG51</f>
        <v>0</v>
      </c>
      <c r="H51" s="3">
        <f>'Monthly Data'!DQ51</f>
        <v>28</v>
      </c>
      <c r="I51" s="3">
        <f>'Monthly Data'!DL51</f>
        <v>800724</v>
      </c>
      <c r="J51" s="3">
        <f>'Monthly Data'!EH51</f>
        <v>50</v>
      </c>
      <c r="L51" s="616">
        <f t="shared" si="13"/>
        <v>-38000000</v>
      </c>
      <c r="M51" s="3">
        <f t="shared" si="14"/>
        <v>12318001.663624996</v>
      </c>
      <c r="N51" s="3">
        <f t="shared" si="15"/>
        <v>0</v>
      </c>
      <c r="O51" s="3">
        <f t="shared" si="16"/>
        <v>0</v>
      </c>
      <c r="P51" s="3">
        <f t="shared" si="17"/>
        <v>37022916</v>
      </c>
      <c r="Q51" s="3">
        <f t="shared" si="18"/>
        <v>72584245.347479999</v>
      </c>
      <c r="R51" s="3">
        <f t="shared" si="19"/>
        <v>-4028540</v>
      </c>
      <c r="S51" s="47">
        <f t="shared" si="8"/>
        <v>79896623.011105001</v>
      </c>
      <c r="T51" s="47">
        <f ca="1">'Monthly Data'!Y51+'Monthly Data'!Z51</f>
        <v>26862.546588866098</v>
      </c>
      <c r="U51" s="47">
        <f t="shared" ca="1" si="9"/>
        <v>79923485.557693869</v>
      </c>
      <c r="V51" s="47">
        <f t="shared" ca="1" si="10"/>
        <v>-1637689.8390464634</v>
      </c>
      <c r="W51" s="18">
        <f t="shared" ca="1" si="12"/>
        <v>2.0079281975525762E-2</v>
      </c>
    </row>
    <row r="52" spans="1:23">
      <c r="A52" s="2">
        <f>'Monthly Data'!A52</f>
        <v>43525</v>
      </c>
      <c r="B52">
        <f>'Monthly Data'!B52</f>
        <v>2019</v>
      </c>
      <c r="C52">
        <f>'Monthly Data'!C52</f>
        <v>3</v>
      </c>
      <c r="D52" s="3">
        <f>'Monthly Data'!X52</f>
        <v>86970718.640480727</v>
      </c>
      <c r="E52" s="3">
        <f>'Monthly Data'!CN52</f>
        <v>673.45833333333326</v>
      </c>
      <c r="F52" s="3">
        <f>'Monthly Data'!CW52</f>
        <v>0</v>
      </c>
      <c r="G52">
        <f>'Monthly Data'!EG52</f>
        <v>1</v>
      </c>
      <c r="H52" s="3">
        <f>'Monthly Data'!DQ52</f>
        <v>31</v>
      </c>
      <c r="I52" s="3">
        <f>'Monthly Data'!DL52</f>
        <v>800724</v>
      </c>
      <c r="J52" s="3">
        <f>'Monthly Data'!EH52</f>
        <v>51</v>
      </c>
      <c r="L52" s="616">
        <f t="shared" si="13"/>
        <v>-38000000</v>
      </c>
      <c r="M52" s="3">
        <f t="shared" si="14"/>
        <v>11930981.098749999</v>
      </c>
      <c r="N52" s="3">
        <f t="shared" si="15"/>
        <v>0</v>
      </c>
      <c r="O52" s="3">
        <f t="shared" si="16"/>
        <v>1538400</v>
      </c>
      <c r="P52" s="3">
        <f t="shared" si="17"/>
        <v>40989657</v>
      </c>
      <c r="Q52" s="3">
        <f t="shared" si="18"/>
        <v>72584245.347479999</v>
      </c>
      <c r="R52" s="3">
        <f t="shared" si="19"/>
        <v>-4109110.8000000003</v>
      </c>
      <c r="S52" s="47">
        <f t="shared" si="8"/>
        <v>84934172.646229997</v>
      </c>
      <c r="T52" s="47">
        <f ca="1">'Monthly Data'!Y52+'Monthly Data'!Z52</f>
        <v>26297.035629359303</v>
      </c>
      <c r="U52" s="47">
        <f t="shared" ca="1" si="9"/>
        <v>84960469.681859359</v>
      </c>
      <c r="V52" s="47">
        <f t="shared" ca="1" si="10"/>
        <v>-2010248.9586213678</v>
      </c>
      <c r="W52" s="18">
        <f t="shared" ca="1" si="12"/>
        <v>2.3114089317018621E-2</v>
      </c>
    </row>
    <row r="53" spans="1:23">
      <c r="A53" s="2">
        <f>'Monthly Data'!A53</f>
        <v>43556</v>
      </c>
      <c r="B53">
        <f>'Monthly Data'!B53</f>
        <v>2019</v>
      </c>
      <c r="C53">
        <f>'Monthly Data'!C53</f>
        <v>4</v>
      </c>
      <c r="D53" s="3">
        <f>'Monthly Data'!X53</f>
        <v>79359358.704221129</v>
      </c>
      <c r="E53" s="3">
        <f>'Monthly Data'!CN53</f>
        <v>426.6541666666667</v>
      </c>
      <c r="F53" s="3">
        <f>'Monthly Data'!CW53</f>
        <v>0.84583333333333144</v>
      </c>
      <c r="G53">
        <f>'Monthly Data'!EG53</f>
        <v>1</v>
      </c>
      <c r="H53" s="3">
        <f>'Monthly Data'!DQ53</f>
        <v>30</v>
      </c>
      <c r="I53" s="3">
        <f>'Monthly Data'!DL53</f>
        <v>806630</v>
      </c>
      <c r="J53" s="3">
        <f>'Monthly Data'!EH53</f>
        <v>52</v>
      </c>
      <c r="L53" s="616">
        <f t="shared" si="13"/>
        <v>-38000000</v>
      </c>
      <c r="M53" s="3">
        <f t="shared" si="14"/>
        <v>7558600.9501250014</v>
      </c>
      <c r="N53" s="3">
        <f t="shared" si="15"/>
        <v>48826.524249999893</v>
      </c>
      <c r="O53" s="3">
        <f t="shared" si="16"/>
        <v>1538400</v>
      </c>
      <c r="P53" s="3">
        <f t="shared" si="17"/>
        <v>39667410</v>
      </c>
      <c r="Q53" s="3">
        <f t="shared" si="18"/>
        <v>73119614.030100003</v>
      </c>
      <c r="R53" s="3">
        <f t="shared" si="19"/>
        <v>-4189681.6</v>
      </c>
      <c r="S53" s="47">
        <f t="shared" si="8"/>
        <v>79743169.904475003</v>
      </c>
      <c r="T53" s="47">
        <f ca="1">'Monthly Data'!Y53+'Monthly Data'!Z53</f>
        <v>19589.655749863188</v>
      </c>
      <c r="U53" s="47">
        <f t="shared" ca="1" si="9"/>
        <v>79762759.560224861</v>
      </c>
      <c r="V53" s="47">
        <f t="shared" ca="1" si="10"/>
        <v>403400.85600373149</v>
      </c>
      <c r="W53" s="18">
        <f t="shared" ca="1" si="12"/>
        <v>5.08321718560302E-3</v>
      </c>
    </row>
    <row r="54" spans="1:23">
      <c r="A54" s="2">
        <f>'Monthly Data'!A54</f>
        <v>43586</v>
      </c>
      <c r="B54">
        <f>'Monthly Data'!B54</f>
        <v>2019</v>
      </c>
      <c r="C54">
        <f>'Monthly Data'!C54</f>
        <v>5</v>
      </c>
      <c r="D54" s="3">
        <f>'Monthly Data'!X54</f>
        <v>80012440.007961541</v>
      </c>
      <c r="E54" s="3">
        <f>'Monthly Data'!CN54</f>
        <v>267.53464912280702</v>
      </c>
      <c r="F54" s="3">
        <f>'Monthly Data'!CW54</f>
        <v>27.579166666666666</v>
      </c>
      <c r="G54">
        <f>'Monthly Data'!EG54</f>
        <v>1</v>
      </c>
      <c r="H54" s="3">
        <f>'Monthly Data'!DQ54</f>
        <v>31</v>
      </c>
      <c r="I54" s="3">
        <f>'Monthly Data'!DL54</f>
        <v>806630</v>
      </c>
      <c r="J54" s="3">
        <f>'Monthly Data'!EH54</f>
        <v>53</v>
      </c>
      <c r="L54" s="616">
        <f t="shared" si="13"/>
        <v>-38000000</v>
      </c>
      <c r="M54" s="3">
        <f t="shared" si="14"/>
        <v>4739641.1685131583</v>
      </c>
      <c r="N54" s="3">
        <f t="shared" si="15"/>
        <v>1592033.3202500001</v>
      </c>
      <c r="O54" s="3">
        <f t="shared" si="16"/>
        <v>1538400</v>
      </c>
      <c r="P54" s="3">
        <f t="shared" si="17"/>
        <v>40989657</v>
      </c>
      <c r="Q54" s="3">
        <f t="shared" si="18"/>
        <v>73119614.030100003</v>
      </c>
      <c r="R54" s="3">
        <f t="shared" si="19"/>
        <v>-4270252.4000000004</v>
      </c>
      <c r="S54" s="47">
        <f t="shared" si="8"/>
        <v>79709093.11886315</v>
      </c>
      <c r="T54" s="47">
        <f ca="1">'Monthly Data'!Y54+'Monthly Data'!Z54</f>
        <v>15251.302851865419</v>
      </c>
      <c r="U54" s="47">
        <f t="shared" ca="1" si="9"/>
        <v>79724344.421715021</v>
      </c>
      <c r="V54" s="47">
        <f t="shared" ca="1" si="10"/>
        <v>-288095.58624652028</v>
      </c>
      <c r="W54" s="18">
        <f t="shared" ref="W54:W85" ca="1" si="20">ABS(V54/D54)</f>
        <v>3.6006349289917127E-3</v>
      </c>
    </row>
    <row r="55" spans="1:23">
      <c r="A55" s="2">
        <f>'Monthly Data'!A55</f>
        <v>43617</v>
      </c>
      <c r="B55">
        <f>'Monthly Data'!B55</f>
        <v>2019</v>
      </c>
      <c r="C55">
        <f>'Monthly Data'!C55</f>
        <v>6</v>
      </c>
      <c r="D55" s="3">
        <f>'Monthly Data'!X55</f>
        <v>80705233.661701947</v>
      </c>
      <c r="E55" s="3">
        <f>'Monthly Data'!CN55</f>
        <v>80.695833333333368</v>
      </c>
      <c r="F55" s="3">
        <f>'Monthly Data'!CW55</f>
        <v>173.67083333333326</v>
      </c>
      <c r="G55">
        <f>'Monthly Data'!EG55</f>
        <v>0</v>
      </c>
      <c r="H55" s="3">
        <f>'Monthly Data'!DQ55</f>
        <v>30</v>
      </c>
      <c r="I55" s="3">
        <f>'Monthly Data'!DL55</f>
        <v>806630</v>
      </c>
      <c r="J55" s="3">
        <f>'Monthly Data'!EH55</f>
        <v>54</v>
      </c>
      <c r="L55" s="616">
        <f t="shared" si="13"/>
        <v>-38000000</v>
      </c>
      <c r="M55" s="3">
        <f t="shared" si="14"/>
        <v>1429606.5763750006</v>
      </c>
      <c r="N55" s="3">
        <f t="shared" si="15"/>
        <v>10025312.104749996</v>
      </c>
      <c r="O55" s="3">
        <f t="shared" si="16"/>
        <v>0</v>
      </c>
      <c r="P55" s="3">
        <f t="shared" si="17"/>
        <v>39667410</v>
      </c>
      <c r="Q55" s="3">
        <f t="shared" si="18"/>
        <v>73119614.030100003</v>
      </c>
      <c r="R55" s="3">
        <f t="shared" si="19"/>
        <v>-4350823.2</v>
      </c>
      <c r="S55" s="47">
        <f t="shared" ref="S55:S118" si="21">SUM(L55:R55)</f>
        <v>81891119.511225</v>
      </c>
      <c r="T55" s="47">
        <f ca="1">'Monthly Data'!Y55+'Monthly Data'!Z55</f>
        <v>10961.236629152623</v>
      </c>
      <c r="U55" s="47">
        <f t="shared" ref="U55:U118" ca="1" si="22">S55+T55</f>
        <v>81902080.747854158</v>
      </c>
      <c r="V55" s="47">
        <f t="shared" ref="V55:V118" ca="1" si="23">U55-D55</f>
        <v>1196847.0861522108</v>
      </c>
      <c r="W55" s="18">
        <f t="shared" ca="1" si="20"/>
        <v>1.4829857146181159E-2</v>
      </c>
    </row>
    <row r="56" spans="1:23">
      <c r="A56" s="2">
        <f>'Monthly Data'!A56</f>
        <v>43647</v>
      </c>
      <c r="B56">
        <f>'Monthly Data'!B56</f>
        <v>2019</v>
      </c>
      <c r="C56">
        <f>'Monthly Data'!C56</f>
        <v>7</v>
      </c>
      <c r="D56" s="3">
        <f>'Monthly Data'!X56</f>
        <v>89974220.065442368</v>
      </c>
      <c r="E56" s="3">
        <f>'Monthly Data'!CN56</f>
        <v>0.97500000000000497</v>
      </c>
      <c r="F56" s="3">
        <f>'Monthly Data'!CW56</f>
        <v>321.60000000000002</v>
      </c>
      <c r="G56">
        <f>'Monthly Data'!EG56</f>
        <v>0</v>
      </c>
      <c r="H56" s="3">
        <f>'Monthly Data'!DQ56</f>
        <v>31</v>
      </c>
      <c r="I56" s="3">
        <f>'Monthly Data'!DL56</f>
        <v>810347</v>
      </c>
      <c r="J56" s="3">
        <f>'Monthly Data'!EH56</f>
        <v>55</v>
      </c>
      <c r="L56" s="616">
        <f t="shared" si="13"/>
        <v>-38000000</v>
      </c>
      <c r="M56" s="3">
        <f t="shared" si="14"/>
        <v>17273.090250000088</v>
      </c>
      <c r="N56" s="3">
        <f t="shared" si="15"/>
        <v>18564662.304000001</v>
      </c>
      <c r="O56" s="3">
        <f t="shared" si="16"/>
        <v>0</v>
      </c>
      <c r="P56" s="3">
        <f t="shared" si="17"/>
        <v>40989657</v>
      </c>
      <c r="Q56" s="3">
        <f t="shared" si="18"/>
        <v>73456553.649690002</v>
      </c>
      <c r="R56" s="3">
        <f t="shared" si="19"/>
        <v>-4431394</v>
      </c>
      <c r="S56" s="47">
        <f t="shared" si="21"/>
        <v>90596752.043940008</v>
      </c>
      <c r="T56" s="47">
        <f ca="1">'Monthly Data'!Y56+'Monthly Data'!Z56</f>
        <v>9878.3790769230782</v>
      </c>
      <c r="U56" s="47">
        <f t="shared" ca="1" si="22"/>
        <v>90606630.423016936</v>
      </c>
      <c r="V56" s="47">
        <f t="shared" ca="1" si="23"/>
        <v>632410.3575745672</v>
      </c>
      <c r="W56" s="18">
        <f t="shared" ca="1" si="20"/>
        <v>7.0287951050265977E-3</v>
      </c>
    </row>
    <row r="57" spans="1:23">
      <c r="A57" s="2">
        <f>'Monthly Data'!A57</f>
        <v>43678</v>
      </c>
      <c r="B57">
        <f>'Monthly Data'!B57</f>
        <v>2019</v>
      </c>
      <c r="C57">
        <f>'Monthly Data'!C57</f>
        <v>8</v>
      </c>
      <c r="D57" s="3">
        <f>'Monthly Data'!X57</f>
        <v>86788884.969182774</v>
      </c>
      <c r="E57" s="3">
        <f>'Monthly Data'!CN57</f>
        <v>19.091666666666661</v>
      </c>
      <c r="F57" s="3">
        <f>'Monthly Data'!CW57</f>
        <v>252.07083333333335</v>
      </c>
      <c r="G57">
        <f>'Monthly Data'!EG57</f>
        <v>0</v>
      </c>
      <c r="H57" s="3">
        <f>'Monthly Data'!DQ57</f>
        <v>31</v>
      </c>
      <c r="I57" s="3">
        <f>'Monthly Data'!DL57</f>
        <v>810347</v>
      </c>
      <c r="J57" s="3">
        <f>'Monthly Data'!EH57</f>
        <v>56</v>
      </c>
      <c r="L57" s="616">
        <f t="shared" si="13"/>
        <v>-38000000</v>
      </c>
      <c r="M57" s="3">
        <f t="shared" si="14"/>
        <v>338227.77574999991</v>
      </c>
      <c r="N57" s="3">
        <f t="shared" si="15"/>
        <v>14551025.800750002</v>
      </c>
      <c r="O57" s="3">
        <f t="shared" si="16"/>
        <v>0</v>
      </c>
      <c r="P57" s="3">
        <f t="shared" si="17"/>
        <v>40989657</v>
      </c>
      <c r="Q57" s="3">
        <f t="shared" si="18"/>
        <v>73456553.649690002</v>
      </c>
      <c r="R57" s="3">
        <f t="shared" si="19"/>
        <v>-4511964.8</v>
      </c>
      <c r="S57" s="47">
        <f t="shared" si="21"/>
        <v>86823499.426190004</v>
      </c>
      <c r="T57" s="47">
        <f ca="1">'Monthly Data'!Y57+'Monthly Data'!Z57</f>
        <v>10232.674029420816</v>
      </c>
      <c r="U57" s="47">
        <f t="shared" ca="1" si="22"/>
        <v>86833732.100219429</v>
      </c>
      <c r="V57" s="47">
        <f t="shared" ca="1" si="23"/>
        <v>44847.131036654115</v>
      </c>
      <c r="W57" s="18">
        <f t="shared" ca="1" si="20"/>
        <v>5.1673818660740432E-4</v>
      </c>
    </row>
    <row r="58" spans="1:23">
      <c r="A58" s="2">
        <f>'Monthly Data'!A58</f>
        <v>43709</v>
      </c>
      <c r="B58">
        <f>'Monthly Data'!B58</f>
        <v>2019</v>
      </c>
      <c r="C58">
        <f>'Monthly Data'!C58</f>
        <v>9</v>
      </c>
      <c r="D58" s="3">
        <f>'Monthly Data'!X58</f>
        <v>80260355.412923172</v>
      </c>
      <c r="E58" s="3">
        <f>'Monthly Data'!CN58</f>
        <v>113.56666666666666</v>
      </c>
      <c r="F58" s="3">
        <f>'Monthly Data'!CW58</f>
        <v>131.93750000000003</v>
      </c>
      <c r="G58">
        <f>'Monthly Data'!EG58</f>
        <v>1</v>
      </c>
      <c r="H58" s="3">
        <f>'Monthly Data'!DQ58</f>
        <v>30</v>
      </c>
      <c r="I58" s="3">
        <f>'Monthly Data'!DL58</f>
        <v>810347</v>
      </c>
      <c r="J58" s="3">
        <f>'Monthly Data'!EH58</f>
        <v>57</v>
      </c>
      <c r="L58" s="616">
        <f t="shared" si="13"/>
        <v>-38000000</v>
      </c>
      <c r="M58" s="3">
        <f t="shared" si="14"/>
        <v>2011945.9310000001</v>
      </c>
      <c r="N58" s="3">
        <f t="shared" si="15"/>
        <v>7616216.2087500021</v>
      </c>
      <c r="O58" s="3">
        <f t="shared" si="16"/>
        <v>1538400</v>
      </c>
      <c r="P58" s="3">
        <f t="shared" si="17"/>
        <v>39667410</v>
      </c>
      <c r="Q58" s="3">
        <f t="shared" si="18"/>
        <v>73456553.649690002</v>
      </c>
      <c r="R58" s="3">
        <f t="shared" si="19"/>
        <v>-4592535.6000000006</v>
      </c>
      <c r="S58" s="47">
        <f t="shared" si="21"/>
        <v>81697990.189440012</v>
      </c>
      <c r="T58" s="47">
        <f ca="1">'Monthly Data'!Y58+'Monthly Data'!Z58</f>
        <v>12080.621490730246</v>
      </c>
      <c r="U58" s="47">
        <f t="shared" ca="1" si="22"/>
        <v>81710070.810930744</v>
      </c>
      <c r="V58" s="47">
        <f t="shared" ca="1" si="23"/>
        <v>1449715.3980075717</v>
      </c>
      <c r="W58" s="18">
        <f t="shared" ca="1" si="20"/>
        <v>1.806265858840372E-2</v>
      </c>
    </row>
    <row r="59" spans="1:23">
      <c r="A59" s="2">
        <f>'Monthly Data'!A59</f>
        <v>43739</v>
      </c>
      <c r="B59">
        <f>'Monthly Data'!B59</f>
        <v>2019</v>
      </c>
      <c r="C59">
        <f>'Monthly Data'!C59</f>
        <v>10</v>
      </c>
      <c r="D59" s="3">
        <f>'Monthly Data'!X59</f>
        <v>79100092.056663573</v>
      </c>
      <c r="E59" s="3">
        <f>'Monthly Data'!CN59</f>
        <v>303.96666666666664</v>
      </c>
      <c r="F59" s="3">
        <f>'Monthly Data'!CW59</f>
        <v>16.670833333333334</v>
      </c>
      <c r="G59">
        <f>'Monthly Data'!EG59</f>
        <v>1</v>
      </c>
      <c r="H59" s="3">
        <f>'Monthly Data'!DQ59</f>
        <v>31</v>
      </c>
      <c r="I59" s="3">
        <f>'Monthly Data'!DL59</f>
        <v>811397</v>
      </c>
      <c r="J59" s="3">
        <f>'Monthly Data'!EH59</f>
        <v>58</v>
      </c>
      <c r="L59" s="616">
        <f t="shared" si="13"/>
        <v>-38000000</v>
      </c>
      <c r="M59" s="3">
        <f t="shared" si="14"/>
        <v>5385070.4270000001</v>
      </c>
      <c r="N59" s="3">
        <f t="shared" si="15"/>
        <v>962339.5247500001</v>
      </c>
      <c r="O59" s="3">
        <f t="shared" si="16"/>
        <v>1538400</v>
      </c>
      <c r="P59" s="3">
        <f t="shared" si="17"/>
        <v>40989657</v>
      </c>
      <c r="Q59" s="3">
        <f t="shared" si="18"/>
        <v>73551734.333189994</v>
      </c>
      <c r="R59" s="3">
        <f t="shared" si="19"/>
        <v>-4673106.4000000004</v>
      </c>
      <c r="S59" s="47">
        <f t="shared" si="21"/>
        <v>79754094.884939998</v>
      </c>
      <c r="T59" s="47">
        <f ca="1">'Monthly Data'!Y59+'Monthly Data'!Z59</f>
        <v>17447.8468682448</v>
      </c>
      <c r="U59" s="47">
        <f t="shared" ca="1" si="22"/>
        <v>79771542.731808245</v>
      </c>
      <c r="V59" s="47">
        <f t="shared" ca="1" si="23"/>
        <v>671450.67514467239</v>
      </c>
      <c r="W59" s="18">
        <f t="shared" ca="1" si="20"/>
        <v>8.4886206537367476E-3</v>
      </c>
    </row>
    <row r="60" spans="1:23">
      <c r="A60" s="2">
        <f>'Monthly Data'!A60</f>
        <v>43770</v>
      </c>
      <c r="B60">
        <f>'Monthly Data'!B60</f>
        <v>2019</v>
      </c>
      <c r="C60">
        <f>'Monthly Data'!C60</f>
        <v>11</v>
      </c>
      <c r="D60" s="3">
        <f>'Monthly Data'!X60</f>
        <v>81137021.800403982</v>
      </c>
      <c r="E60" s="3">
        <f>'Monthly Data'!CN60</f>
        <v>589.72500000000002</v>
      </c>
      <c r="F60" s="3">
        <f>'Monthly Data'!CW60</f>
        <v>0</v>
      </c>
      <c r="G60">
        <f>'Monthly Data'!EG60</f>
        <v>1</v>
      </c>
      <c r="H60" s="3">
        <f>'Monthly Data'!DQ60</f>
        <v>30</v>
      </c>
      <c r="I60" s="3">
        <f>'Monthly Data'!DL60</f>
        <v>811397</v>
      </c>
      <c r="J60" s="3">
        <f>'Monthly Data'!EH60</f>
        <v>59</v>
      </c>
      <c r="L60" s="616">
        <f t="shared" si="13"/>
        <v>-38000000</v>
      </c>
      <c r="M60" s="3">
        <f t="shared" si="14"/>
        <v>10447562.202750001</v>
      </c>
      <c r="N60" s="3">
        <f t="shared" si="15"/>
        <v>0</v>
      </c>
      <c r="O60" s="3">
        <f t="shared" si="16"/>
        <v>1538400</v>
      </c>
      <c r="P60" s="3">
        <f t="shared" si="17"/>
        <v>39667410</v>
      </c>
      <c r="Q60" s="3">
        <f t="shared" si="18"/>
        <v>73551734.333189994</v>
      </c>
      <c r="R60" s="3">
        <f t="shared" si="19"/>
        <v>-4753677.2</v>
      </c>
      <c r="S60" s="47">
        <f t="shared" si="21"/>
        <v>82451429.335939988</v>
      </c>
      <c r="T60" s="47">
        <f ca="1">'Monthly Data'!Y60+'Monthly Data'!Z60</f>
        <v>25765.457636496685</v>
      </c>
      <c r="U60" s="47">
        <f t="shared" ca="1" si="22"/>
        <v>82477194.793576479</v>
      </c>
      <c r="V60" s="47">
        <f t="shared" ca="1" si="23"/>
        <v>1340172.9931724966</v>
      </c>
      <c r="W60" s="18">
        <f t="shared" ca="1" si="20"/>
        <v>1.6517404304896781E-2</v>
      </c>
    </row>
    <row r="61" spans="1:23">
      <c r="A61" s="2">
        <f>'Monthly Data'!A61</f>
        <v>43800</v>
      </c>
      <c r="B61">
        <f>'Monthly Data'!B61</f>
        <v>2019</v>
      </c>
      <c r="C61">
        <f>'Monthly Data'!C61</f>
        <v>12</v>
      </c>
      <c r="D61" s="3">
        <f>'Monthly Data'!X61</f>
        <v>81147803.554144382</v>
      </c>
      <c r="E61" s="3">
        <f>'Monthly Data'!CN61</f>
        <v>676.42916666666656</v>
      </c>
      <c r="F61" s="3">
        <f>'Monthly Data'!CW61</f>
        <v>0</v>
      </c>
      <c r="G61">
        <f>'Monthly Data'!EG61</f>
        <v>0</v>
      </c>
      <c r="H61" s="3">
        <f>'Monthly Data'!DQ61</f>
        <v>31</v>
      </c>
      <c r="I61" s="3">
        <f>'Monthly Data'!DL61</f>
        <v>811397</v>
      </c>
      <c r="J61" s="3">
        <f>'Monthly Data'!EH61</f>
        <v>60</v>
      </c>
      <c r="L61" s="616">
        <f t="shared" si="13"/>
        <v>-38000000</v>
      </c>
      <c r="M61" s="3">
        <f t="shared" si="14"/>
        <v>11983612.352374999</v>
      </c>
      <c r="N61" s="3">
        <f t="shared" si="15"/>
        <v>0</v>
      </c>
      <c r="O61" s="3">
        <f t="shared" si="16"/>
        <v>0</v>
      </c>
      <c r="P61" s="3">
        <f t="shared" si="17"/>
        <v>40989657</v>
      </c>
      <c r="Q61" s="3">
        <f t="shared" si="18"/>
        <v>73551734.333189994</v>
      </c>
      <c r="R61" s="3">
        <f t="shared" si="19"/>
        <v>-4834248</v>
      </c>
      <c r="S61" s="47">
        <f t="shared" si="21"/>
        <v>83690755.685564995</v>
      </c>
      <c r="T61" s="47">
        <f ca="1">'Monthly Data'!Y61+'Monthly Data'!Z61</f>
        <v>28386.122272663993</v>
      </c>
      <c r="U61" s="47">
        <f t="shared" ca="1" si="22"/>
        <v>83719141.807837665</v>
      </c>
      <c r="V61" s="47">
        <f t="shared" ca="1" si="23"/>
        <v>2571338.2536932826</v>
      </c>
      <c r="W61" s="18">
        <f t="shared" ca="1" si="20"/>
        <v>3.1687096151377707E-2</v>
      </c>
    </row>
    <row r="62" spans="1:23">
      <c r="A62" s="2">
        <f>'Monthly Data'!A62</f>
        <v>43831</v>
      </c>
      <c r="B62">
        <f>'Monthly Data'!B62</f>
        <v>2020</v>
      </c>
      <c r="C62">
        <f>'Monthly Data'!C62</f>
        <v>1</v>
      </c>
      <c r="D62" s="3">
        <f>'Monthly Data'!X62</f>
        <v>85581911.003255412</v>
      </c>
      <c r="E62" s="3">
        <f>'Monthly Data'!CN62</f>
        <v>690.82083333333321</v>
      </c>
      <c r="F62" s="3">
        <f>'Monthly Data'!CW62</f>
        <v>0</v>
      </c>
      <c r="G62">
        <f>'Monthly Data'!EG62</f>
        <v>0</v>
      </c>
      <c r="H62" s="3">
        <f>'Monthly Data'!DQ62</f>
        <v>31</v>
      </c>
      <c r="I62" s="3">
        <f>'Monthly Data'!DL62</f>
        <v>800126</v>
      </c>
      <c r="J62" s="3">
        <f>'Monthly Data'!EH62</f>
        <v>61</v>
      </c>
      <c r="L62" s="616">
        <f t="shared" si="13"/>
        <v>-38000000</v>
      </c>
      <c r="M62" s="3">
        <f t="shared" si="14"/>
        <v>12238574.975125</v>
      </c>
      <c r="N62" s="3">
        <f t="shared" si="15"/>
        <v>0</v>
      </c>
      <c r="O62" s="3">
        <f t="shared" si="16"/>
        <v>0</v>
      </c>
      <c r="P62" s="3">
        <f t="shared" si="17"/>
        <v>40989657</v>
      </c>
      <c r="Q62" s="3">
        <f t="shared" si="18"/>
        <v>72530037.682019994</v>
      </c>
      <c r="R62" s="3">
        <f t="shared" si="19"/>
        <v>-4914818.8</v>
      </c>
      <c r="S62" s="47">
        <f t="shared" si="21"/>
        <v>82843450.857144997</v>
      </c>
      <c r="T62" s="47">
        <f ca="1">'Monthly Data'!Y62+'Monthly Data'!Z62</f>
        <v>82469.269155318674</v>
      </c>
      <c r="U62" s="47">
        <f t="shared" ca="1" si="22"/>
        <v>82925920.12630032</v>
      </c>
      <c r="V62" s="47">
        <f t="shared" ca="1" si="23"/>
        <v>-2655990.876955092</v>
      </c>
      <c r="W62" s="18">
        <f t="shared" ca="1" si="20"/>
        <v>3.1034489015489056E-2</v>
      </c>
    </row>
    <row r="63" spans="1:23">
      <c r="A63" s="2">
        <f>'Monthly Data'!A63</f>
        <v>43862</v>
      </c>
      <c r="B63">
        <f>'Monthly Data'!B63</f>
        <v>2020</v>
      </c>
      <c r="C63">
        <f>'Monthly Data'!C63</f>
        <v>2</v>
      </c>
      <c r="D63" s="3">
        <f>'Monthly Data'!X63</f>
        <v>81388173.433879867</v>
      </c>
      <c r="E63" s="3">
        <f>'Monthly Data'!CN63</f>
        <v>678.4000000000002</v>
      </c>
      <c r="F63" s="3">
        <f>'Monthly Data'!CW63</f>
        <v>0</v>
      </c>
      <c r="G63">
        <f>'Monthly Data'!EG63</f>
        <v>0</v>
      </c>
      <c r="H63" s="3">
        <f>'Monthly Data'!DQ63</f>
        <v>29</v>
      </c>
      <c r="I63" s="3">
        <f>'Monthly Data'!DL63</f>
        <v>800126</v>
      </c>
      <c r="J63" s="3">
        <f>'Monthly Data'!EH63</f>
        <v>62</v>
      </c>
      <c r="L63" s="616">
        <f t="shared" si="13"/>
        <v>-38000000</v>
      </c>
      <c r="M63" s="3">
        <f t="shared" si="14"/>
        <v>12018527.616000004</v>
      </c>
      <c r="N63" s="3">
        <f t="shared" si="15"/>
        <v>0</v>
      </c>
      <c r="O63" s="3">
        <f t="shared" si="16"/>
        <v>0</v>
      </c>
      <c r="P63" s="3">
        <f t="shared" si="17"/>
        <v>38345163</v>
      </c>
      <c r="Q63" s="3">
        <f t="shared" si="18"/>
        <v>72530037.682019994</v>
      </c>
      <c r="R63" s="3">
        <f t="shared" si="19"/>
        <v>-4995389.6000000006</v>
      </c>
      <c r="S63" s="47">
        <f t="shared" si="21"/>
        <v>79898338.698020011</v>
      </c>
      <c r="T63" s="47">
        <f ca="1">'Monthly Data'!Y63+'Monthly Data'!Z63</f>
        <v>81777.135632360965</v>
      </c>
      <c r="U63" s="47">
        <f t="shared" ca="1" si="22"/>
        <v>79980115.833652377</v>
      </c>
      <c r="V63" s="47">
        <f t="shared" ca="1" si="23"/>
        <v>-1408057.6002274901</v>
      </c>
      <c r="W63" s="18">
        <f t="shared" ca="1" si="20"/>
        <v>1.7300518500656642E-2</v>
      </c>
    </row>
    <row r="64" spans="1:23">
      <c r="A64" s="2">
        <f>'Monthly Data'!A64</f>
        <v>43891</v>
      </c>
      <c r="B64">
        <f>'Monthly Data'!B64</f>
        <v>2020</v>
      </c>
      <c r="C64">
        <f>'Monthly Data'!C64</f>
        <v>3</v>
      </c>
      <c r="D64" s="3">
        <f>'Monthly Data'!X64</f>
        <v>79674733.704504296</v>
      </c>
      <c r="E64" s="3">
        <f>'Monthly Data'!CN64</f>
        <v>543.57083333333344</v>
      </c>
      <c r="F64" s="3">
        <f>'Monthly Data'!CW64</f>
        <v>0</v>
      </c>
      <c r="G64">
        <f>'Monthly Data'!EG64</f>
        <v>1</v>
      </c>
      <c r="H64" s="3">
        <f>'Monthly Data'!DQ64</f>
        <v>31</v>
      </c>
      <c r="I64" s="3">
        <f>'Monthly Data'!DL64</f>
        <v>800126</v>
      </c>
      <c r="J64" s="3">
        <f>'Monthly Data'!EH64</f>
        <v>63</v>
      </c>
      <c r="L64" s="616">
        <f t="shared" si="13"/>
        <v>-38000000</v>
      </c>
      <c r="M64" s="3">
        <f t="shared" si="14"/>
        <v>9629895.4476250019</v>
      </c>
      <c r="N64" s="3">
        <f t="shared" si="15"/>
        <v>0</v>
      </c>
      <c r="O64" s="3">
        <f t="shared" si="16"/>
        <v>1538400</v>
      </c>
      <c r="P64" s="3">
        <f t="shared" si="17"/>
        <v>40989657</v>
      </c>
      <c r="Q64" s="3">
        <f t="shared" si="18"/>
        <v>72530037.682019994</v>
      </c>
      <c r="R64" s="3">
        <f t="shared" si="19"/>
        <v>-5075960.4000000004</v>
      </c>
      <c r="S64" s="47">
        <f t="shared" si="21"/>
        <v>81612029.729644984</v>
      </c>
      <c r="T64" s="47">
        <f ca="1">'Monthly Data'!Y64+'Monthly Data'!Z64</f>
        <v>66361.536493946725</v>
      </c>
      <c r="U64" s="47">
        <f t="shared" ca="1" si="22"/>
        <v>81678391.266138926</v>
      </c>
      <c r="V64" s="47">
        <f t="shared" ca="1" si="23"/>
        <v>2003657.56163463</v>
      </c>
      <c r="W64" s="18">
        <f t="shared" ca="1" si="20"/>
        <v>2.5147966845621927E-2</v>
      </c>
    </row>
    <row r="65" spans="1:23">
      <c r="A65" s="2">
        <f>'Monthly Data'!A65</f>
        <v>43922</v>
      </c>
      <c r="B65">
        <f>'Monthly Data'!B65</f>
        <v>2020</v>
      </c>
      <c r="C65">
        <f>'Monthly Data'!C65</f>
        <v>4</v>
      </c>
      <c r="D65" s="3">
        <f>'Monthly Data'!X65</f>
        <v>66983219.52512873</v>
      </c>
      <c r="E65" s="3">
        <f>'Monthly Data'!CN65</f>
        <v>439.67500000000013</v>
      </c>
      <c r="F65" s="3">
        <f>'Monthly Data'!CW65</f>
        <v>0</v>
      </c>
      <c r="G65">
        <f>'Monthly Data'!EG65</f>
        <v>1</v>
      </c>
      <c r="H65" s="3">
        <f>'Monthly Data'!DQ65</f>
        <v>30</v>
      </c>
      <c r="I65" s="3">
        <f>'Monthly Data'!DL65</f>
        <v>706539</v>
      </c>
      <c r="J65" s="3">
        <f>'Monthly Data'!EH65</f>
        <v>64</v>
      </c>
      <c r="L65" s="616">
        <f t="shared" si="13"/>
        <v>-38000000</v>
      </c>
      <c r="M65" s="3">
        <f t="shared" si="14"/>
        <v>7789277.9032500032</v>
      </c>
      <c r="N65" s="3">
        <f t="shared" si="15"/>
        <v>0</v>
      </c>
      <c r="O65" s="3">
        <f t="shared" si="16"/>
        <v>1538400</v>
      </c>
      <c r="P65" s="3">
        <f t="shared" si="17"/>
        <v>39667410</v>
      </c>
      <c r="Q65" s="3">
        <f t="shared" si="18"/>
        <v>64046538.037529998</v>
      </c>
      <c r="R65" s="3">
        <f t="shared" si="19"/>
        <v>-5156531.2</v>
      </c>
      <c r="S65" s="47">
        <f t="shared" si="21"/>
        <v>69885094.740779996</v>
      </c>
      <c r="T65" s="47">
        <f ca="1">'Monthly Data'!Y65+'Monthly Data'!Z65</f>
        <v>55115.813999899772</v>
      </c>
      <c r="U65" s="47">
        <f t="shared" ca="1" si="22"/>
        <v>69940210.554779902</v>
      </c>
      <c r="V65" s="47">
        <f t="shared" ca="1" si="23"/>
        <v>2956991.0296511725</v>
      </c>
      <c r="W65" s="18">
        <f t="shared" ca="1" si="20"/>
        <v>4.4145250864537175E-2</v>
      </c>
    </row>
    <row r="66" spans="1:23">
      <c r="A66" s="2">
        <f>'Monthly Data'!A66</f>
        <v>43952</v>
      </c>
      <c r="B66">
        <f>'Monthly Data'!B66</f>
        <v>2020</v>
      </c>
      <c r="C66">
        <f>'Monthly Data'!C66</f>
        <v>5</v>
      </c>
      <c r="D66" s="3">
        <f>'Monthly Data'!X66</f>
        <v>70122728.675753176</v>
      </c>
      <c r="E66" s="3">
        <f>'Monthly Data'!CN66</f>
        <v>265.14107142857148</v>
      </c>
      <c r="F66" s="3">
        <f>'Monthly Data'!CW66</f>
        <v>77.750595238095229</v>
      </c>
      <c r="G66">
        <f>'Monthly Data'!EG66</f>
        <v>1</v>
      </c>
      <c r="H66" s="3">
        <f>'Monthly Data'!DQ66</f>
        <v>31</v>
      </c>
      <c r="I66" s="3">
        <f>'Monthly Data'!DL66</f>
        <v>706539</v>
      </c>
      <c r="J66" s="3">
        <f>'Monthly Data'!EH66</f>
        <v>65</v>
      </c>
      <c r="L66" s="616">
        <f t="shared" ref="L66:L97" si="24">$AA$8</f>
        <v>-38000000</v>
      </c>
      <c r="M66" s="3">
        <f t="shared" ref="M66:M97" si="25">E66*$AA$9</f>
        <v>4697236.5700178584</v>
      </c>
      <c r="N66" s="3">
        <f t="shared" ref="N66:N97" si="26">F66*$AA$10</f>
        <v>4488226.1956785712</v>
      </c>
      <c r="O66" s="3">
        <f t="shared" ref="O66:O97" si="27">G66*$AA$11</f>
        <v>1538400</v>
      </c>
      <c r="P66" s="3">
        <f t="shared" ref="P66:P97" si="28">H66*$AA$12</f>
        <v>40989657</v>
      </c>
      <c r="Q66" s="3">
        <f t="shared" ref="Q66:Q97" si="29">I66*$AA$13</f>
        <v>64046538.037529998</v>
      </c>
      <c r="R66" s="3">
        <f t="shared" ref="R66:R97" si="30">J66*$AA$14</f>
        <v>-5237102</v>
      </c>
      <c r="S66" s="47">
        <f t="shared" si="21"/>
        <v>72522955.803226426</v>
      </c>
      <c r="T66" s="47">
        <f ca="1">'Monthly Data'!Y66+'Monthly Data'!Z66</f>
        <v>36526.638198628432</v>
      </c>
      <c r="U66" s="47">
        <f t="shared" ca="1" si="22"/>
        <v>72559482.441425055</v>
      </c>
      <c r="V66" s="47">
        <f t="shared" ca="1" si="23"/>
        <v>2436753.7656718791</v>
      </c>
      <c r="W66" s="18">
        <f t="shared" ca="1" si="20"/>
        <v>3.4749842336275948E-2</v>
      </c>
    </row>
    <row r="67" spans="1:23">
      <c r="A67" s="2">
        <f>'Monthly Data'!A67</f>
        <v>43983</v>
      </c>
      <c r="B67">
        <f>'Monthly Data'!B67</f>
        <v>2020</v>
      </c>
      <c r="C67">
        <f>'Monthly Data'!C67</f>
        <v>6</v>
      </c>
      <c r="D67" s="3">
        <f>'Monthly Data'!X67</f>
        <v>78130654.066377595</v>
      </c>
      <c r="E67" s="3">
        <f>'Monthly Data'!CN67</f>
        <v>53.275000000000006</v>
      </c>
      <c r="F67" s="3">
        <f>'Monthly Data'!CW67</f>
        <v>222.53623188405788</v>
      </c>
      <c r="G67">
        <f>'Monthly Data'!EG67</f>
        <v>0</v>
      </c>
      <c r="H67" s="3">
        <f>'Monthly Data'!DQ67</f>
        <v>30</v>
      </c>
      <c r="I67" s="3">
        <f>'Monthly Data'!DL67</f>
        <v>706539</v>
      </c>
      <c r="J67" s="3">
        <f>'Monthly Data'!EH67</f>
        <v>66</v>
      </c>
      <c r="L67" s="616">
        <f t="shared" si="24"/>
        <v>-38000000</v>
      </c>
      <c r="M67" s="3">
        <f t="shared" si="25"/>
        <v>943819.36725000024</v>
      </c>
      <c r="N67" s="3">
        <f t="shared" si="26"/>
        <v>12846113.169565212</v>
      </c>
      <c r="O67" s="3">
        <f t="shared" si="27"/>
        <v>0</v>
      </c>
      <c r="P67" s="3">
        <f t="shared" si="28"/>
        <v>39667410</v>
      </c>
      <c r="Q67" s="3">
        <f t="shared" si="29"/>
        <v>64046538.037529998</v>
      </c>
      <c r="R67" s="3">
        <f t="shared" si="30"/>
        <v>-5317672.8</v>
      </c>
      <c r="S67" s="47">
        <f t="shared" si="21"/>
        <v>74186207.774345219</v>
      </c>
      <c r="T67" s="47">
        <f ca="1">'Monthly Data'!Y67+'Monthly Data'!Z67</f>
        <v>16123.625196617806</v>
      </c>
      <c r="U67" s="47">
        <f t="shared" ca="1" si="22"/>
        <v>74202331.39954184</v>
      </c>
      <c r="V67" s="47">
        <f t="shared" ca="1" si="23"/>
        <v>-3928322.6668357551</v>
      </c>
      <c r="W67" s="18">
        <f t="shared" ca="1" si="20"/>
        <v>5.0278891349077447E-2</v>
      </c>
    </row>
    <row r="68" spans="1:23">
      <c r="A68" s="2">
        <f>'Monthly Data'!A68</f>
        <v>44013</v>
      </c>
      <c r="B68">
        <f>'Monthly Data'!B68</f>
        <v>2020</v>
      </c>
      <c r="C68">
        <f>'Monthly Data'!C68</f>
        <v>7</v>
      </c>
      <c r="D68" s="3">
        <f>'Monthly Data'!X68</f>
        <v>89039486.947002053</v>
      </c>
      <c r="E68" s="3">
        <f>'Monthly Data'!CN68</f>
        <v>0</v>
      </c>
      <c r="F68" s="3">
        <f>'Monthly Data'!CW68</f>
        <v>370.88750000000005</v>
      </c>
      <c r="G68">
        <f>'Monthly Data'!EG68</f>
        <v>0</v>
      </c>
      <c r="H68" s="3">
        <f>'Monthly Data'!DQ68</f>
        <v>31</v>
      </c>
      <c r="I68" s="3">
        <f>'Monthly Data'!DL68</f>
        <v>777225</v>
      </c>
      <c r="J68" s="3">
        <f>'Monthly Data'!EH68</f>
        <v>67</v>
      </c>
      <c r="L68" s="616">
        <f t="shared" si="24"/>
        <v>-38000000</v>
      </c>
      <c r="M68" s="3">
        <f t="shared" si="25"/>
        <v>0</v>
      </c>
      <c r="N68" s="3">
        <f t="shared" si="26"/>
        <v>21409829.571750004</v>
      </c>
      <c r="O68" s="3">
        <f t="shared" si="27"/>
        <v>0</v>
      </c>
      <c r="P68" s="3">
        <f t="shared" si="28"/>
        <v>40989657</v>
      </c>
      <c r="Q68" s="3">
        <f t="shared" si="29"/>
        <v>70454101.650749996</v>
      </c>
      <c r="R68" s="3">
        <f t="shared" si="30"/>
        <v>-5398243.6000000006</v>
      </c>
      <c r="S68" s="47">
        <f t="shared" si="21"/>
        <v>89455344.622500002</v>
      </c>
      <c r="T68" s="47">
        <f ca="1">'Monthly Data'!Y68+'Monthly Data'!Z68</f>
        <v>13025.250807692308</v>
      </c>
      <c r="U68" s="47">
        <f t="shared" ca="1" si="22"/>
        <v>89468369.87330769</v>
      </c>
      <c r="V68" s="47">
        <f t="shared" ca="1" si="23"/>
        <v>428882.92630563676</v>
      </c>
      <c r="W68" s="18">
        <f t="shared" ca="1" si="20"/>
        <v>4.8167722098501732E-3</v>
      </c>
    </row>
    <row r="69" spans="1:23">
      <c r="A69" s="2">
        <f>'Monthly Data'!A69</f>
        <v>44044</v>
      </c>
      <c r="B69">
        <f>'Monthly Data'!B69</f>
        <v>2020</v>
      </c>
      <c r="C69">
        <f>'Monthly Data'!C69</f>
        <v>8</v>
      </c>
      <c r="D69" s="3">
        <f>'Monthly Data'!X69</f>
        <v>85144234.977626473</v>
      </c>
      <c r="E69" s="3">
        <f>'Monthly Data'!CN69</f>
        <v>19.720833333333321</v>
      </c>
      <c r="F69" s="3">
        <f>'Monthly Data'!CW69</f>
        <v>278.93106060606061</v>
      </c>
      <c r="G69">
        <f>'Monthly Data'!EG69</f>
        <v>0</v>
      </c>
      <c r="H69" s="3">
        <f>'Monthly Data'!DQ69</f>
        <v>31</v>
      </c>
      <c r="I69" s="3">
        <f>'Monthly Data'!DL69</f>
        <v>777225</v>
      </c>
      <c r="J69" s="3">
        <f>'Monthly Data'!EH69</f>
        <v>68</v>
      </c>
      <c r="L69" s="616">
        <f t="shared" si="24"/>
        <v>-38000000</v>
      </c>
      <c r="M69" s="3">
        <f t="shared" si="25"/>
        <v>349374.0861249998</v>
      </c>
      <c r="N69" s="3">
        <f t="shared" si="26"/>
        <v>16101557.668681819</v>
      </c>
      <c r="O69" s="3">
        <f t="shared" si="27"/>
        <v>0</v>
      </c>
      <c r="P69" s="3">
        <f t="shared" si="28"/>
        <v>40989657</v>
      </c>
      <c r="Q69" s="3">
        <f t="shared" si="29"/>
        <v>70454101.650749996</v>
      </c>
      <c r="R69" s="3">
        <f t="shared" si="30"/>
        <v>-5478814.4000000004</v>
      </c>
      <c r="S69" s="47">
        <f t="shared" si="21"/>
        <v>84415876.005556807</v>
      </c>
      <c r="T69" s="47">
        <f ca="1">'Monthly Data'!Y69+'Monthly Data'!Z69</f>
        <v>13677.601428417109</v>
      </c>
      <c r="U69" s="47">
        <f t="shared" ca="1" si="22"/>
        <v>84429553.606985226</v>
      </c>
      <c r="V69" s="47">
        <f t="shared" ca="1" si="23"/>
        <v>-714681.37064124644</v>
      </c>
      <c r="W69" s="18">
        <f t="shared" ca="1" si="20"/>
        <v>8.3937728823219176E-3</v>
      </c>
    </row>
    <row r="70" spans="1:23">
      <c r="A70" s="2">
        <f>'Monthly Data'!A70</f>
        <v>44075</v>
      </c>
      <c r="B70">
        <f>'Monthly Data'!B70</f>
        <v>2020</v>
      </c>
      <c r="C70">
        <f>'Monthly Data'!C70</f>
        <v>9</v>
      </c>
      <c r="D70" s="3">
        <f>'Monthly Data'!X70</f>
        <v>78732260.728250906</v>
      </c>
      <c r="E70" s="3">
        <f>'Monthly Data'!CN70</f>
        <v>132.75869565217394</v>
      </c>
      <c r="F70" s="3">
        <f>'Monthly Data'!CW70</f>
        <v>120.81213768115938</v>
      </c>
      <c r="G70">
        <f>'Monthly Data'!EG70</f>
        <v>1</v>
      </c>
      <c r="H70" s="3">
        <f>'Monthly Data'!DQ70</f>
        <v>30</v>
      </c>
      <c r="I70" s="3">
        <f>'Monthly Data'!DL70</f>
        <v>777225</v>
      </c>
      <c r="J70" s="3">
        <f>'Monthly Data'!EH70</f>
        <v>69</v>
      </c>
      <c r="L70" s="616">
        <f t="shared" si="24"/>
        <v>-38000000</v>
      </c>
      <c r="M70" s="3">
        <f t="shared" si="25"/>
        <v>2351951.7245869571</v>
      </c>
      <c r="N70" s="3">
        <f t="shared" si="26"/>
        <v>6973994.2110543456</v>
      </c>
      <c r="O70" s="3">
        <f t="shared" si="27"/>
        <v>1538400</v>
      </c>
      <c r="P70" s="3">
        <f t="shared" si="28"/>
        <v>39667410</v>
      </c>
      <c r="Q70" s="3">
        <f t="shared" si="29"/>
        <v>70454101.650749996</v>
      </c>
      <c r="R70" s="3">
        <f t="shared" si="30"/>
        <v>-5559385.2000000002</v>
      </c>
      <c r="S70" s="47">
        <f t="shared" si="21"/>
        <v>77426472.386391297</v>
      </c>
      <c r="T70" s="47">
        <f ca="1">'Monthly Data'!Y70+'Monthly Data'!Z70</f>
        <v>23143.937993053718</v>
      </c>
      <c r="U70" s="47">
        <f t="shared" ca="1" si="22"/>
        <v>77449616.324384347</v>
      </c>
      <c r="V70" s="47">
        <f t="shared" ca="1" si="23"/>
        <v>-1282644.4038665593</v>
      </c>
      <c r="W70" s="18">
        <f t="shared" ca="1" si="20"/>
        <v>1.6291217754989699E-2</v>
      </c>
    </row>
    <row r="71" spans="1:23">
      <c r="A71" s="2">
        <f>'Monthly Data'!A71</f>
        <v>44105</v>
      </c>
      <c r="B71">
        <f>'Monthly Data'!B71</f>
        <v>2020</v>
      </c>
      <c r="C71">
        <f>'Monthly Data'!C71</f>
        <v>10</v>
      </c>
      <c r="D71" s="3">
        <f>'Monthly Data'!X71</f>
        <v>78371353.74887535</v>
      </c>
      <c r="E71" s="3">
        <f>'Monthly Data'!CN71</f>
        <v>349.83333333333326</v>
      </c>
      <c r="F71" s="3">
        <f>'Monthly Data'!CW71</f>
        <v>10.262500000000003</v>
      </c>
      <c r="G71">
        <f>'Monthly Data'!EG71</f>
        <v>1</v>
      </c>
      <c r="H71" s="3">
        <f>'Monthly Data'!DQ71</f>
        <v>31</v>
      </c>
      <c r="I71" s="3">
        <f>'Monthly Data'!DL71</f>
        <v>795879</v>
      </c>
      <c r="J71" s="3">
        <f>'Monthly Data'!EH71</f>
        <v>70</v>
      </c>
      <c r="L71" s="616">
        <f t="shared" si="24"/>
        <v>-38000000</v>
      </c>
      <c r="M71" s="3">
        <f t="shared" si="25"/>
        <v>6197643.834999999</v>
      </c>
      <c r="N71" s="3">
        <f t="shared" si="26"/>
        <v>592412.45925000019</v>
      </c>
      <c r="O71" s="3">
        <f t="shared" si="27"/>
        <v>1538400</v>
      </c>
      <c r="P71" s="3">
        <f t="shared" si="28"/>
        <v>40989657</v>
      </c>
      <c r="Q71" s="3">
        <f t="shared" si="29"/>
        <v>72145054.479330003</v>
      </c>
      <c r="R71" s="3">
        <f t="shared" si="30"/>
        <v>-5639956</v>
      </c>
      <c r="S71" s="47">
        <f t="shared" si="21"/>
        <v>77823211.77358</v>
      </c>
      <c r="T71" s="47">
        <f ca="1">'Monthly Data'!Y71+'Monthly Data'!Z71</f>
        <v>46298.245623260758</v>
      </c>
      <c r="U71" s="47">
        <f t="shared" ca="1" si="22"/>
        <v>77869510.019203261</v>
      </c>
      <c r="V71" s="47">
        <f t="shared" ca="1" si="23"/>
        <v>-501843.72967208922</v>
      </c>
      <c r="W71" s="18">
        <f t="shared" ca="1" si="20"/>
        <v>6.4034076951145023E-3</v>
      </c>
    </row>
    <row r="72" spans="1:23">
      <c r="A72" s="2">
        <f>'Monthly Data'!A72</f>
        <v>44136</v>
      </c>
      <c r="B72">
        <f>'Monthly Data'!B72</f>
        <v>2020</v>
      </c>
      <c r="C72">
        <f>'Monthly Data'!C72</f>
        <v>11</v>
      </c>
      <c r="D72" s="3">
        <f>'Monthly Data'!X72</f>
        <v>78233360.389499784</v>
      </c>
      <c r="E72" s="3">
        <f>'Monthly Data'!CN72</f>
        <v>426.30072463768113</v>
      </c>
      <c r="F72" s="3">
        <f>'Monthly Data'!CW72</f>
        <v>1.8291666666666622</v>
      </c>
      <c r="G72">
        <f>'Monthly Data'!EG72</f>
        <v>1</v>
      </c>
      <c r="H72" s="3">
        <f>'Monthly Data'!DQ72</f>
        <v>30</v>
      </c>
      <c r="I72" s="3">
        <f>'Monthly Data'!DL72</f>
        <v>795879</v>
      </c>
      <c r="J72" s="3">
        <f>'Monthly Data'!EH72</f>
        <v>71</v>
      </c>
      <c r="L72" s="616">
        <f t="shared" si="24"/>
        <v>-38000000</v>
      </c>
      <c r="M72" s="3">
        <f t="shared" si="25"/>
        <v>7552339.3746739132</v>
      </c>
      <c r="N72" s="3">
        <f t="shared" si="26"/>
        <v>105590.36524999974</v>
      </c>
      <c r="O72" s="3">
        <f t="shared" si="27"/>
        <v>1538400</v>
      </c>
      <c r="P72" s="3">
        <f t="shared" si="28"/>
        <v>39667410</v>
      </c>
      <c r="Q72" s="3">
        <f t="shared" si="29"/>
        <v>72145054.479330003</v>
      </c>
      <c r="R72" s="3">
        <f t="shared" si="30"/>
        <v>-5720526.7999999998</v>
      </c>
      <c r="S72" s="47">
        <f t="shared" si="21"/>
        <v>77288267.419253916</v>
      </c>
      <c r="T72" s="47">
        <f ca="1">'Monthly Data'!Y72+'Monthly Data'!Z72</f>
        <v>55416.035708259842</v>
      </c>
      <c r="U72" s="47">
        <f t="shared" ca="1" si="22"/>
        <v>77343683.454962179</v>
      </c>
      <c r="V72" s="47">
        <f t="shared" ca="1" si="23"/>
        <v>-889676.93453760445</v>
      </c>
      <c r="W72" s="18">
        <f t="shared" ca="1" si="20"/>
        <v>1.137209152346489E-2</v>
      </c>
    </row>
    <row r="73" spans="1:23">
      <c r="A73" s="2">
        <f>'Monthly Data'!A73</f>
        <v>44166</v>
      </c>
      <c r="B73">
        <f>'Monthly Data'!B73</f>
        <v>2020</v>
      </c>
      <c r="C73">
        <f>'Monthly Data'!C73</f>
        <v>12</v>
      </c>
      <c r="D73" s="3">
        <f>'Monthly Data'!X73</f>
        <v>80847957.450124219</v>
      </c>
      <c r="E73" s="3">
        <f>'Monthly Data'!CN73</f>
        <v>644.90416666666681</v>
      </c>
      <c r="F73" s="3">
        <f>'Monthly Data'!CW73</f>
        <v>0</v>
      </c>
      <c r="G73">
        <f>'Monthly Data'!EG73</f>
        <v>0</v>
      </c>
      <c r="H73" s="3">
        <f>'Monthly Data'!DQ73</f>
        <v>31</v>
      </c>
      <c r="I73" s="3">
        <f>'Monthly Data'!DL73</f>
        <v>795879</v>
      </c>
      <c r="J73" s="3">
        <f>'Monthly Data'!EH73</f>
        <v>72</v>
      </c>
      <c r="L73" s="616">
        <f t="shared" si="24"/>
        <v>-38000000</v>
      </c>
      <c r="M73" s="3">
        <f t="shared" si="25"/>
        <v>11425115.767625004</v>
      </c>
      <c r="N73" s="3">
        <f t="shared" si="26"/>
        <v>0</v>
      </c>
      <c r="O73" s="3">
        <f t="shared" si="27"/>
        <v>0</v>
      </c>
      <c r="P73" s="3">
        <f t="shared" si="28"/>
        <v>40989657</v>
      </c>
      <c r="Q73" s="3">
        <f t="shared" si="29"/>
        <v>72145054.479330003</v>
      </c>
      <c r="R73" s="3">
        <f t="shared" si="30"/>
        <v>-5801097.6000000006</v>
      </c>
      <c r="S73" s="47">
        <f t="shared" si="21"/>
        <v>80758729.646955013</v>
      </c>
      <c r="T73" s="47">
        <f ca="1">'Monthly Data'!Y73+'Monthly Data'!Z73</f>
        <v>80129.772318397911</v>
      </c>
      <c r="U73" s="47">
        <f t="shared" ca="1" si="22"/>
        <v>80838859.419273406</v>
      </c>
      <c r="V73" s="47">
        <f t="shared" ca="1" si="23"/>
        <v>-9098.0308508127928</v>
      </c>
      <c r="W73" s="18">
        <f t="shared" ca="1" si="20"/>
        <v>1.1253259992901421E-4</v>
      </c>
    </row>
    <row r="74" spans="1:23">
      <c r="A74" s="2">
        <f>'Monthly Data'!A74</f>
        <v>44197</v>
      </c>
      <c r="B74">
        <f>'Monthly Data'!B74</f>
        <v>2021</v>
      </c>
      <c r="C74">
        <f>'Monthly Data'!C74</f>
        <v>1</v>
      </c>
      <c r="D74" s="3">
        <f ca="1">'Monthly Data'!X74</f>
        <v>83241205.245990917</v>
      </c>
      <c r="E74" s="3">
        <f>'Monthly Data'!CN74</f>
        <v>715.50416666666661</v>
      </c>
      <c r="F74" s="3">
        <f>'Monthly Data'!CW74</f>
        <v>0</v>
      </c>
      <c r="G74">
        <f>'Monthly Data'!EG74</f>
        <v>0</v>
      </c>
      <c r="H74" s="3">
        <f>'Monthly Data'!DQ74</f>
        <v>31</v>
      </c>
      <c r="I74" s="3">
        <f>'Monthly Data'!DL74</f>
        <v>808584</v>
      </c>
      <c r="J74" s="3">
        <f>'Monthly Data'!EH74</f>
        <v>73</v>
      </c>
      <c r="L74" s="616">
        <f t="shared" si="24"/>
        <v>-38000000</v>
      </c>
      <c r="M74" s="3">
        <f t="shared" si="25"/>
        <v>12675864.661625</v>
      </c>
      <c r="N74" s="3">
        <f t="shared" si="26"/>
        <v>0</v>
      </c>
      <c r="O74" s="3">
        <f t="shared" si="27"/>
        <v>0</v>
      </c>
      <c r="P74" s="3">
        <f t="shared" si="28"/>
        <v>40989657</v>
      </c>
      <c r="Q74" s="3">
        <f t="shared" si="29"/>
        <v>73296740.749679998</v>
      </c>
      <c r="R74" s="3">
        <f t="shared" si="30"/>
        <v>-5881668.4000000004</v>
      </c>
      <c r="S74" s="47">
        <f t="shared" si="21"/>
        <v>83080594.011304989</v>
      </c>
      <c r="T74" s="47">
        <f ca="1">'Monthly Data'!Y74+'Monthly Data'!Z74</f>
        <v>148009.60915181751</v>
      </c>
      <c r="U74" s="47">
        <f t="shared" ca="1" si="22"/>
        <v>83228603.6204568</v>
      </c>
      <c r="V74" s="47">
        <f t="shared" ca="1" si="23"/>
        <v>-12601.625534117222</v>
      </c>
      <c r="W74" s="18">
        <f t="shared" ca="1" si="20"/>
        <v>1.5138687020301337E-4</v>
      </c>
    </row>
    <row r="75" spans="1:23">
      <c r="A75" s="2">
        <f>'Monthly Data'!A75</f>
        <v>44228</v>
      </c>
      <c r="B75">
        <f>'Monthly Data'!B75</f>
        <v>2021</v>
      </c>
      <c r="C75">
        <f>'Monthly Data'!C75</f>
        <v>2</v>
      </c>
      <c r="D75" s="3">
        <f ca="1">'Monthly Data'!X75</f>
        <v>78590630.451231077</v>
      </c>
      <c r="E75" s="3">
        <f>'Monthly Data'!CN75</f>
        <v>709.45416666666654</v>
      </c>
      <c r="F75" s="3">
        <f>'Monthly Data'!CW75</f>
        <v>0</v>
      </c>
      <c r="G75">
        <f>'Monthly Data'!EG75</f>
        <v>0</v>
      </c>
      <c r="H75" s="3">
        <f>'Monthly Data'!DQ75</f>
        <v>28</v>
      </c>
      <c r="I75" s="3">
        <f>'Monthly Data'!DL75</f>
        <v>808584</v>
      </c>
      <c r="J75" s="3">
        <f>'Monthly Data'!EH75</f>
        <v>74</v>
      </c>
      <c r="L75" s="616">
        <f t="shared" si="24"/>
        <v>-38000000</v>
      </c>
      <c r="M75" s="3">
        <f t="shared" si="25"/>
        <v>12568682.922124999</v>
      </c>
      <c r="N75" s="3">
        <f t="shared" si="26"/>
        <v>0</v>
      </c>
      <c r="O75" s="3">
        <f t="shared" si="27"/>
        <v>0</v>
      </c>
      <c r="P75" s="3">
        <f t="shared" si="28"/>
        <v>37022916</v>
      </c>
      <c r="Q75" s="3">
        <f t="shared" si="29"/>
        <v>73296740.749679998</v>
      </c>
      <c r="R75" s="3">
        <f t="shared" si="30"/>
        <v>-5962239.2000000002</v>
      </c>
      <c r="S75" s="47">
        <f t="shared" si="21"/>
        <v>78926100.471804991</v>
      </c>
      <c r="T75" s="47">
        <f ca="1">'Monthly Data'!Y75+'Monthly Data'!Z75</f>
        <v>148514.26205939575</v>
      </c>
      <c r="U75" s="47">
        <f t="shared" ca="1" si="22"/>
        <v>79074614.733864382</v>
      </c>
      <c r="V75" s="47">
        <f t="shared" ca="1" si="23"/>
        <v>483984.2826333046</v>
      </c>
      <c r="W75" s="18">
        <f t="shared" ca="1" si="20"/>
        <v>6.1582949501039824E-3</v>
      </c>
    </row>
    <row r="76" spans="1:23">
      <c r="A76" s="2">
        <f>'Monthly Data'!A76</f>
        <v>44256</v>
      </c>
      <c r="B76">
        <f>'Monthly Data'!B76</f>
        <v>2021</v>
      </c>
      <c r="C76">
        <f>'Monthly Data'!C76</f>
        <v>3</v>
      </c>
      <c r="D76" s="3">
        <f ca="1">'Monthly Data'!X76</f>
        <v>83979042.606471211</v>
      </c>
      <c r="E76" s="3">
        <f>'Monthly Data'!CN76</f>
        <v>554.59637681159427</v>
      </c>
      <c r="F76" s="3">
        <f>'Monthly Data'!CW76</f>
        <v>0.29583333333332895</v>
      </c>
      <c r="G76">
        <f>'Monthly Data'!EG76</f>
        <v>1</v>
      </c>
      <c r="H76" s="3">
        <f>'Monthly Data'!DQ76</f>
        <v>31</v>
      </c>
      <c r="I76" s="3">
        <f>'Monthly Data'!DL76</f>
        <v>808584</v>
      </c>
      <c r="J76" s="3">
        <f>'Monthly Data'!EH76</f>
        <v>75</v>
      </c>
      <c r="L76" s="616">
        <f t="shared" si="24"/>
        <v>-38000000</v>
      </c>
      <c r="M76" s="3">
        <f t="shared" si="25"/>
        <v>9825223.8656304367</v>
      </c>
      <c r="N76" s="3">
        <f t="shared" si="26"/>
        <v>17077.257249999748</v>
      </c>
      <c r="O76" s="3">
        <f t="shared" si="27"/>
        <v>1538400</v>
      </c>
      <c r="P76" s="3">
        <f t="shared" si="28"/>
        <v>40989657</v>
      </c>
      <c r="Q76" s="3">
        <f t="shared" si="29"/>
        <v>73296740.749679998</v>
      </c>
      <c r="R76" s="3">
        <f t="shared" si="30"/>
        <v>-6042810</v>
      </c>
      <c r="S76" s="47">
        <f t="shared" si="21"/>
        <v>81624288.872560441</v>
      </c>
      <c r="T76" s="47">
        <f ca="1">'Monthly Data'!Y76+'Monthly Data'!Z76</f>
        <v>116311.79764741824</v>
      </c>
      <c r="U76" s="47">
        <f t="shared" ca="1" si="22"/>
        <v>81740600.670207858</v>
      </c>
      <c r="V76" s="47">
        <f t="shared" ca="1" si="23"/>
        <v>-2238441.9362633526</v>
      </c>
      <c r="W76" s="18">
        <f t="shared" ca="1" si="20"/>
        <v>2.6654768461135851E-2</v>
      </c>
    </row>
    <row r="77" spans="1:23">
      <c r="A77" s="2">
        <f>'Monthly Data'!A77</f>
        <v>44287</v>
      </c>
      <c r="B77">
        <f>'Monthly Data'!B77</f>
        <v>2021</v>
      </c>
      <c r="C77">
        <f>'Monthly Data'!C77</f>
        <v>4</v>
      </c>
      <c r="D77" s="3">
        <f ca="1">'Monthly Data'!X77</f>
        <v>75391302.341711357</v>
      </c>
      <c r="E77" s="3">
        <f>'Monthly Data'!CN77</f>
        <v>379.79583333333329</v>
      </c>
      <c r="F77" s="3">
        <f>'Monthly Data'!CW77</f>
        <v>11.054166666666664</v>
      </c>
      <c r="G77">
        <f>'Monthly Data'!EG77</f>
        <v>1</v>
      </c>
      <c r="H77" s="3">
        <f>'Monthly Data'!DQ77</f>
        <v>30</v>
      </c>
      <c r="I77" s="3">
        <f>'Monthly Data'!DL77</f>
        <v>802518</v>
      </c>
      <c r="J77" s="3">
        <f>'Monthly Data'!EH77</f>
        <v>76</v>
      </c>
      <c r="L77" s="616">
        <f t="shared" si="24"/>
        <v>-38000000</v>
      </c>
      <c r="M77" s="3">
        <f t="shared" si="25"/>
        <v>6728459.1853749994</v>
      </c>
      <c r="N77" s="3">
        <f t="shared" si="26"/>
        <v>638112.16174999985</v>
      </c>
      <c r="O77" s="3">
        <f t="shared" si="27"/>
        <v>1538400</v>
      </c>
      <c r="P77" s="3">
        <f t="shared" si="28"/>
        <v>39667410</v>
      </c>
      <c r="Q77" s="3">
        <f t="shared" si="29"/>
        <v>72746868.34386</v>
      </c>
      <c r="R77" s="3">
        <f t="shared" si="30"/>
        <v>-6123380.7999999998</v>
      </c>
      <c r="S77" s="47">
        <f t="shared" si="21"/>
        <v>77195868.890984997</v>
      </c>
      <c r="T77" s="47">
        <f ca="1">'Monthly Data'!Y77+'Monthly Data'!Z77</f>
        <v>81680.265313891548</v>
      </c>
      <c r="U77" s="47">
        <f t="shared" ca="1" si="22"/>
        <v>77277549.156298891</v>
      </c>
      <c r="V77" s="47">
        <f t="shared" ca="1" si="23"/>
        <v>1886246.8145875335</v>
      </c>
      <c r="W77" s="18">
        <f t="shared" ca="1" si="20"/>
        <v>2.5019422081848552E-2</v>
      </c>
    </row>
    <row r="78" spans="1:23">
      <c r="A78" s="2">
        <f>'Monthly Data'!A78</f>
        <v>44317</v>
      </c>
      <c r="B78">
        <f>'Monthly Data'!B78</f>
        <v>2021</v>
      </c>
      <c r="C78">
        <f>'Monthly Data'!C78</f>
        <v>5</v>
      </c>
      <c r="D78" s="3">
        <f ca="1">'Monthly Data'!X78</f>
        <v>77766804.946951509</v>
      </c>
      <c r="E78" s="3">
        <f>'Monthly Data'!CN78</f>
        <v>221.92222222222222</v>
      </c>
      <c r="F78" s="3">
        <f>'Monthly Data'!CW78</f>
        <v>83.256944444444414</v>
      </c>
      <c r="G78">
        <f>'Monthly Data'!EG78</f>
        <v>1</v>
      </c>
      <c r="H78" s="3">
        <f>'Monthly Data'!DQ78</f>
        <v>31</v>
      </c>
      <c r="I78" s="3">
        <f>'Monthly Data'!DL78</f>
        <v>802518</v>
      </c>
      <c r="J78" s="3">
        <f>'Monthly Data'!EH78</f>
        <v>77</v>
      </c>
      <c r="L78" s="616">
        <f t="shared" si="24"/>
        <v>-38000000</v>
      </c>
      <c r="M78" s="3">
        <f t="shared" si="25"/>
        <v>3931571.8696666667</v>
      </c>
      <c r="N78" s="3">
        <f t="shared" si="26"/>
        <v>4806085.3795833318</v>
      </c>
      <c r="O78" s="3">
        <f t="shared" si="27"/>
        <v>1538400</v>
      </c>
      <c r="P78" s="3">
        <f t="shared" si="28"/>
        <v>40989657</v>
      </c>
      <c r="Q78" s="3">
        <f t="shared" si="29"/>
        <v>72746868.34386</v>
      </c>
      <c r="R78" s="3">
        <f t="shared" si="30"/>
        <v>-6203951.6000000006</v>
      </c>
      <c r="S78" s="47">
        <f t="shared" si="21"/>
        <v>79808630.993110001</v>
      </c>
      <c r="T78" s="47">
        <f ca="1">'Monthly Data'!Y78+'Monthly Data'!Z78</f>
        <v>52468.691801111301</v>
      </c>
      <c r="U78" s="47">
        <f t="shared" ca="1" si="22"/>
        <v>79861099.684911117</v>
      </c>
      <c r="V78" s="47">
        <f t="shared" ca="1" si="23"/>
        <v>2094294.7379596084</v>
      </c>
      <c r="W78" s="18">
        <f t="shared" ca="1" si="20"/>
        <v>2.6930445958120924E-2</v>
      </c>
    </row>
    <row r="79" spans="1:23">
      <c r="A79" s="2">
        <f>'Monthly Data'!A79</f>
        <v>44348</v>
      </c>
      <c r="B79">
        <f>'Monthly Data'!B79</f>
        <v>2021</v>
      </c>
      <c r="C79">
        <f>'Monthly Data'!C79</f>
        <v>6</v>
      </c>
      <c r="D79" s="3">
        <f ca="1">'Monthly Data'!X79</f>
        <v>83059371.182191655</v>
      </c>
      <c r="E79" s="3">
        <f>'Monthly Data'!CN79</f>
        <v>36.066666666666677</v>
      </c>
      <c r="F79" s="3">
        <f>'Monthly Data'!CW79</f>
        <v>241.67500000000001</v>
      </c>
      <c r="G79">
        <f>'Monthly Data'!EG79</f>
        <v>0</v>
      </c>
      <c r="H79" s="3">
        <f>'Monthly Data'!DQ79</f>
        <v>30</v>
      </c>
      <c r="I79" s="3">
        <f>'Monthly Data'!DL79</f>
        <v>802518</v>
      </c>
      <c r="J79" s="3">
        <f>'Monthly Data'!EH79</f>
        <v>78</v>
      </c>
      <c r="L79" s="616">
        <f t="shared" si="24"/>
        <v>-38000000</v>
      </c>
      <c r="M79" s="3">
        <f t="shared" si="25"/>
        <v>638956.70600000024</v>
      </c>
      <c r="N79" s="3">
        <f t="shared" si="26"/>
        <v>13950916.549500002</v>
      </c>
      <c r="O79" s="3">
        <f t="shared" si="27"/>
        <v>0</v>
      </c>
      <c r="P79" s="3">
        <f t="shared" si="28"/>
        <v>39667410</v>
      </c>
      <c r="Q79" s="3">
        <f t="shared" si="29"/>
        <v>72746868.34386</v>
      </c>
      <c r="R79" s="3">
        <f t="shared" si="30"/>
        <v>-6284522.4000000004</v>
      </c>
      <c r="S79" s="47">
        <f t="shared" si="21"/>
        <v>82719629.199359998</v>
      </c>
      <c r="T79" s="47">
        <f ca="1">'Monthly Data'!Y79+'Monthly Data'!Z79</f>
        <v>20564.991001736587</v>
      </c>
      <c r="U79" s="47">
        <f t="shared" ca="1" si="22"/>
        <v>82740194.190361738</v>
      </c>
      <c r="V79" s="47">
        <f t="shared" ca="1" si="23"/>
        <v>-319176.99182991683</v>
      </c>
      <c r="W79" s="18">
        <f t="shared" ca="1" si="20"/>
        <v>3.8427571421146274E-3</v>
      </c>
    </row>
    <row r="80" spans="1:23">
      <c r="A80" s="2">
        <f>'Monthly Data'!A80</f>
        <v>44378</v>
      </c>
      <c r="B80">
        <f>'Monthly Data'!B80</f>
        <v>2021</v>
      </c>
      <c r="C80">
        <f>'Monthly Data'!C80</f>
        <v>7</v>
      </c>
      <c r="D80" s="3">
        <f ca="1">'Monthly Data'!X80</f>
        <v>84367992.157431811</v>
      </c>
      <c r="E80" s="3">
        <f>'Monthly Data'!CN80</f>
        <v>25.516666666666669</v>
      </c>
      <c r="F80" s="3">
        <f>'Monthly Data'!CW80</f>
        <v>254.87499999999994</v>
      </c>
      <c r="G80">
        <f>'Monthly Data'!EG80</f>
        <v>0</v>
      </c>
      <c r="H80" s="3">
        <f>'Monthly Data'!DQ80</f>
        <v>31</v>
      </c>
      <c r="I80" s="3">
        <f>'Monthly Data'!DL80</f>
        <v>819564</v>
      </c>
      <c r="J80" s="3">
        <f>'Monthly Data'!EH80</f>
        <v>79</v>
      </c>
      <c r="L80" s="616">
        <f t="shared" si="24"/>
        <v>-38000000</v>
      </c>
      <c r="M80" s="3">
        <f t="shared" si="25"/>
        <v>452053.01150000008</v>
      </c>
      <c r="N80" s="3">
        <f t="shared" si="26"/>
        <v>14712898.957499998</v>
      </c>
      <c r="O80" s="3">
        <f t="shared" si="27"/>
        <v>0</v>
      </c>
      <c r="P80" s="3">
        <f t="shared" si="28"/>
        <v>40989657</v>
      </c>
      <c r="Q80" s="3">
        <f t="shared" si="29"/>
        <v>74292058.754280001</v>
      </c>
      <c r="R80" s="3">
        <f t="shared" si="30"/>
        <v>-6365093.2000000002</v>
      </c>
      <c r="S80" s="47">
        <f t="shared" si="21"/>
        <v>86081574.523279995</v>
      </c>
      <c r="T80" s="47">
        <f ca="1">'Monthly Data'!Y80+'Monthly Data'!Z80</f>
        <v>19269.619242979097</v>
      </c>
      <c r="U80" s="47">
        <f t="shared" ca="1" si="22"/>
        <v>86100844.142522976</v>
      </c>
      <c r="V80" s="47">
        <f t="shared" ca="1" si="23"/>
        <v>1732851.9850911647</v>
      </c>
      <c r="W80" s="18">
        <f t="shared" ca="1" si="20"/>
        <v>2.0539210911380223E-2</v>
      </c>
    </row>
    <row r="81" spans="1:23">
      <c r="A81" s="2">
        <f>'Monthly Data'!A81</f>
        <v>44409</v>
      </c>
      <c r="B81">
        <f>'Monthly Data'!B81</f>
        <v>2021</v>
      </c>
      <c r="C81">
        <f>'Monthly Data'!C81</f>
        <v>8</v>
      </c>
      <c r="D81" s="3">
        <f ca="1">'Monthly Data'!X81</f>
        <v>90473728.112671942</v>
      </c>
      <c r="E81" s="3">
        <f>'Monthly Data'!CN81</f>
        <v>8.524999999999995</v>
      </c>
      <c r="F81" s="3">
        <f>'Monthly Data'!CW81</f>
        <v>328.06249999999989</v>
      </c>
      <c r="G81">
        <f>'Monthly Data'!EG81</f>
        <v>0</v>
      </c>
      <c r="H81" s="3">
        <f>'Monthly Data'!DQ81</f>
        <v>31</v>
      </c>
      <c r="I81" s="3">
        <f>'Monthly Data'!DL81</f>
        <v>819564</v>
      </c>
      <c r="J81" s="3">
        <f>'Monthly Data'!EH81</f>
        <v>80</v>
      </c>
      <c r="L81" s="616">
        <f t="shared" si="24"/>
        <v>-38000000</v>
      </c>
      <c r="M81" s="3">
        <f t="shared" si="25"/>
        <v>151028.81474999993</v>
      </c>
      <c r="N81" s="3">
        <f t="shared" si="26"/>
        <v>18937716.191249993</v>
      </c>
      <c r="O81" s="3">
        <f t="shared" si="27"/>
        <v>0</v>
      </c>
      <c r="P81" s="3">
        <f t="shared" si="28"/>
        <v>40989657</v>
      </c>
      <c r="Q81" s="3">
        <f t="shared" si="29"/>
        <v>74292058.754280001</v>
      </c>
      <c r="R81" s="3">
        <f t="shared" si="30"/>
        <v>-6445664</v>
      </c>
      <c r="S81" s="47">
        <f t="shared" si="21"/>
        <v>89924796.760279998</v>
      </c>
      <c r="T81" s="47">
        <f ca="1">'Monthly Data'!Y81+'Monthly Data'!Z81</f>
        <v>18836.123701577304</v>
      </c>
      <c r="U81" s="47">
        <f t="shared" ca="1" si="22"/>
        <v>89943632.883981571</v>
      </c>
      <c r="V81" s="47">
        <f t="shared" ca="1" si="23"/>
        <v>-530095.22869037092</v>
      </c>
      <c r="W81" s="18">
        <f t="shared" ca="1" si="20"/>
        <v>5.8591067235586221E-3</v>
      </c>
    </row>
    <row r="82" spans="1:23">
      <c r="A82" s="2">
        <f>'Monthly Data'!A82</f>
        <v>44440</v>
      </c>
      <c r="B82">
        <f>'Monthly Data'!B82</f>
        <v>2021</v>
      </c>
      <c r="C82">
        <f>'Monthly Data'!C82</f>
        <v>9</v>
      </c>
      <c r="D82" s="3">
        <f ca="1">'Monthly Data'!X82</f>
        <v>80952425.807912096</v>
      </c>
      <c r="E82" s="3">
        <f>'Monthly Data'!CN82</f>
        <v>93.104166666666671</v>
      </c>
      <c r="F82" s="3">
        <f>'Monthly Data'!CW82</f>
        <v>149.55833333333328</v>
      </c>
      <c r="G82">
        <f>'Monthly Data'!EG82</f>
        <v>1</v>
      </c>
      <c r="H82" s="3">
        <f>'Monthly Data'!DQ82</f>
        <v>30</v>
      </c>
      <c r="I82" s="3">
        <f>'Monthly Data'!DL82</f>
        <v>819564</v>
      </c>
      <c r="J82" s="3">
        <f>'Monthly Data'!EH82</f>
        <v>81</v>
      </c>
      <c r="L82" s="616">
        <f t="shared" si="24"/>
        <v>-38000000</v>
      </c>
      <c r="M82" s="3">
        <f t="shared" si="25"/>
        <v>1649432.4856250002</v>
      </c>
      <c r="N82" s="3">
        <f t="shared" si="26"/>
        <v>8633395.3764999975</v>
      </c>
      <c r="O82" s="3">
        <f t="shared" si="27"/>
        <v>1538400</v>
      </c>
      <c r="P82" s="3">
        <f t="shared" si="28"/>
        <v>39667410</v>
      </c>
      <c r="Q82" s="3">
        <f t="shared" si="29"/>
        <v>74292058.754280001</v>
      </c>
      <c r="R82" s="3">
        <f t="shared" si="30"/>
        <v>-6526234.7999999998</v>
      </c>
      <c r="S82" s="47">
        <f t="shared" si="21"/>
        <v>81254461.816404998</v>
      </c>
      <c r="T82" s="47">
        <f ca="1">'Monthly Data'!Y82+'Monthly Data'!Z82</f>
        <v>28501.071627245663</v>
      </c>
      <c r="U82" s="47">
        <f t="shared" ca="1" si="22"/>
        <v>81282962.888032243</v>
      </c>
      <c r="V82" s="47">
        <f t="shared" ca="1" si="23"/>
        <v>330537.08012014627</v>
      </c>
      <c r="W82" s="18">
        <f t="shared" ca="1" si="20"/>
        <v>4.0831028449284639E-3</v>
      </c>
    </row>
    <row r="83" spans="1:23">
      <c r="A83" s="2">
        <f>'Monthly Data'!A83</f>
        <v>44470</v>
      </c>
      <c r="B83">
        <f>'Monthly Data'!B83</f>
        <v>2021</v>
      </c>
      <c r="C83">
        <f>'Monthly Data'!C83</f>
        <v>10</v>
      </c>
      <c r="D83" s="3">
        <f ca="1">'Monthly Data'!X83</f>
        <v>80177254.353152245</v>
      </c>
      <c r="E83" s="3">
        <f>'Monthly Data'!CN83</f>
        <v>214.18749999999994</v>
      </c>
      <c r="F83" s="3">
        <f>'Monthly Data'!CW83</f>
        <v>77.979166666666686</v>
      </c>
      <c r="G83">
        <f>'Monthly Data'!EG83</f>
        <v>1</v>
      </c>
      <c r="H83" s="3">
        <f>'Monthly Data'!DQ83</f>
        <v>31</v>
      </c>
      <c r="I83" s="3">
        <f>'Monthly Data'!DL83</f>
        <v>838397</v>
      </c>
      <c r="J83" s="3">
        <f>'Monthly Data'!EH83</f>
        <v>82</v>
      </c>
      <c r="L83" s="616">
        <f t="shared" si="24"/>
        <v>-38000000</v>
      </c>
      <c r="M83" s="3">
        <f t="shared" si="25"/>
        <v>3794543.6081249993</v>
      </c>
      <c r="N83" s="3">
        <f t="shared" si="26"/>
        <v>4501420.696250001</v>
      </c>
      <c r="O83" s="3">
        <f t="shared" si="27"/>
        <v>1538400</v>
      </c>
      <c r="P83" s="3">
        <f t="shared" si="28"/>
        <v>40989657</v>
      </c>
      <c r="Q83" s="3">
        <f t="shared" si="29"/>
        <v>75999237.623190001</v>
      </c>
      <c r="R83" s="3">
        <f t="shared" si="30"/>
        <v>-6606805.6000000006</v>
      </c>
      <c r="S83" s="47">
        <f t="shared" si="21"/>
        <v>82216453.327565014</v>
      </c>
      <c r="T83" s="47">
        <f ca="1">'Monthly Data'!Y83+'Monthly Data'!Z83</f>
        <v>50940.770880760218</v>
      </c>
      <c r="U83" s="47">
        <f t="shared" ca="1" si="22"/>
        <v>82267394.098445773</v>
      </c>
      <c r="V83" s="47">
        <f t="shared" ca="1" si="23"/>
        <v>2090139.7452935278</v>
      </c>
      <c r="W83" s="18">
        <f t="shared" ca="1" si="20"/>
        <v>2.6068986299870121E-2</v>
      </c>
    </row>
    <row r="84" spans="1:23">
      <c r="A84" s="2">
        <f>'Monthly Data'!A84</f>
        <v>44501</v>
      </c>
      <c r="B84">
        <f>'Monthly Data'!B84</f>
        <v>2021</v>
      </c>
      <c r="C84">
        <f>'Monthly Data'!C84</f>
        <v>11</v>
      </c>
      <c r="D84" s="3">
        <f ca="1">'Monthly Data'!X84</f>
        <v>80700103.788392395</v>
      </c>
      <c r="E84" s="3">
        <f>'Monthly Data'!CN84</f>
        <v>506.31260351966881</v>
      </c>
      <c r="F84" s="3">
        <f>'Monthly Data'!CW84</f>
        <v>0</v>
      </c>
      <c r="G84">
        <f>'Monthly Data'!EG84</f>
        <v>1</v>
      </c>
      <c r="H84" s="3">
        <f>'Monthly Data'!DQ84</f>
        <v>30</v>
      </c>
      <c r="I84" s="3">
        <f>'Monthly Data'!DL84</f>
        <v>838397</v>
      </c>
      <c r="J84" s="3">
        <f>'Monthly Data'!EH84</f>
        <v>83</v>
      </c>
      <c r="L84" s="616">
        <f t="shared" si="24"/>
        <v>-38000000</v>
      </c>
      <c r="M84" s="3">
        <f t="shared" si="25"/>
        <v>8969829.0208284184</v>
      </c>
      <c r="N84" s="3">
        <f t="shared" si="26"/>
        <v>0</v>
      </c>
      <c r="O84" s="3">
        <f t="shared" si="27"/>
        <v>1538400</v>
      </c>
      <c r="P84" s="3">
        <f t="shared" si="28"/>
        <v>39667410</v>
      </c>
      <c r="Q84" s="3">
        <f t="shared" si="29"/>
        <v>75999237.623190001</v>
      </c>
      <c r="R84" s="3">
        <f t="shared" si="30"/>
        <v>-6687376.4000000004</v>
      </c>
      <c r="S84" s="47">
        <f t="shared" si="21"/>
        <v>81487500.244018406</v>
      </c>
      <c r="T84" s="47">
        <f ca="1">'Monthly Data'!Y84+'Monthly Data'!Z84</f>
        <v>111016.60014984971</v>
      </c>
      <c r="U84" s="47">
        <f t="shared" ca="1" si="22"/>
        <v>81598516.844168261</v>
      </c>
      <c r="V84" s="47">
        <f t="shared" ca="1" si="23"/>
        <v>898413.05577586591</v>
      </c>
      <c r="W84" s="18">
        <f t="shared" ca="1" si="20"/>
        <v>1.1132737302688454E-2</v>
      </c>
    </row>
    <row r="85" spans="1:23">
      <c r="A85" s="2">
        <f>'Monthly Data'!A85</f>
        <v>44531</v>
      </c>
      <c r="B85">
        <f>'Monthly Data'!B85</f>
        <v>2021</v>
      </c>
      <c r="C85">
        <f>'Monthly Data'!C85</f>
        <v>12</v>
      </c>
      <c r="D85" s="3">
        <f ca="1">'Monthly Data'!X85</f>
        <v>81654985.85363254</v>
      </c>
      <c r="E85" s="3">
        <f>'Monthly Data'!CN85</f>
        <v>595.04583333333335</v>
      </c>
      <c r="F85" s="3">
        <f>'Monthly Data'!CW85</f>
        <v>0</v>
      </c>
      <c r="G85">
        <f>'Monthly Data'!EG85</f>
        <v>0</v>
      </c>
      <c r="H85" s="3">
        <f>'Monthly Data'!DQ85</f>
        <v>31</v>
      </c>
      <c r="I85" s="3">
        <f>'Monthly Data'!DL85</f>
        <v>838397</v>
      </c>
      <c r="J85" s="3">
        <f>'Monthly Data'!EH85</f>
        <v>84</v>
      </c>
      <c r="L85" s="616">
        <f t="shared" si="24"/>
        <v>-38000000</v>
      </c>
      <c r="M85" s="3">
        <f t="shared" si="25"/>
        <v>10541826.032875001</v>
      </c>
      <c r="N85" s="3">
        <f t="shared" si="26"/>
        <v>0</v>
      </c>
      <c r="O85" s="3">
        <f t="shared" si="27"/>
        <v>0</v>
      </c>
      <c r="P85" s="3">
        <f t="shared" si="28"/>
        <v>40989657</v>
      </c>
      <c r="Q85" s="3">
        <f t="shared" si="29"/>
        <v>75999237.623190001</v>
      </c>
      <c r="R85" s="3">
        <f t="shared" si="30"/>
        <v>-6767947.2000000002</v>
      </c>
      <c r="S85" s="47">
        <f t="shared" si="21"/>
        <v>82762773.456064999</v>
      </c>
      <c r="T85" s="47">
        <f ca="1">'Monthly Data'!Y85+'Monthly Data'!Z85</f>
        <v>129172.32133865761</v>
      </c>
      <c r="U85" s="47">
        <f t="shared" ca="1" si="22"/>
        <v>82891945.777403653</v>
      </c>
      <c r="V85" s="47">
        <f t="shared" ca="1" si="23"/>
        <v>1236959.9237711132</v>
      </c>
      <c r="W85" s="18">
        <f t="shared" ca="1" si="20"/>
        <v>1.5148614758055037E-2</v>
      </c>
    </row>
    <row r="86" spans="1:23">
      <c r="A86" s="2">
        <f>'Monthly Data'!A86</f>
        <v>44562</v>
      </c>
      <c r="B86">
        <f>'Monthly Data'!B86</f>
        <v>2022</v>
      </c>
      <c r="C86">
        <f>'Monthly Data'!C86</f>
        <v>1</v>
      </c>
      <c r="D86" s="3">
        <f ca="1">'Monthly Data'!X86</f>
        <v>87765377.837534875</v>
      </c>
      <c r="E86" s="3">
        <f>'Monthly Data'!CN86</f>
        <v>887.49166666666656</v>
      </c>
      <c r="F86" s="3">
        <f>'Monthly Data'!CW86</f>
        <v>0</v>
      </c>
      <c r="G86">
        <f>'Monthly Data'!EG86</f>
        <v>0</v>
      </c>
      <c r="H86" s="3">
        <f>'Monthly Data'!DQ86</f>
        <v>31</v>
      </c>
      <c r="I86" s="3">
        <f>'Monthly Data'!DL86</f>
        <v>845218</v>
      </c>
      <c r="J86" s="3">
        <f>'Monthly Data'!EH86</f>
        <v>85</v>
      </c>
      <c r="L86" s="616">
        <f t="shared" si="24"/>
        <v>-38000000</v>
      </c>
      <c r="M86" s="3">
        <f t="shared" si="25"/>
        <v>15722793.49175</v>
      </c>
      <c r="N86" s="3">
        <f t="shared" si="26"/>
        <v>0</v>
      </c>
      <c r="O86" s="3">
        <f t="shared" si="27"/>
        <v>0</v>
      </c>
      <c r="P86" s="3">
        <f t="shared" si="28"/>
        <v>40989657</v>
      </c>
      <c r="Q86" s="3">
        <f t="shared" si="29"/>
        <v>76617549.472859994</v>
      </c>
      <c r="R86" s="3">
        <f t="shared" si="30"/>
        <v>-6848518</v>
      </c>
      <c r="S86" s="47">
        <f t="shared" si="21"/>
        <v>88481481.964609995</v>
      </c>
      <c r="T86" s="47">
        <f ca="1">'Monthly Data'!Y86+'Monthly Data'!Z86</f>
        <v>265916.26738801616</v>
      </c>
      <c r="U86" s="47">
        <f t="shared" ca="1" si="22"/>
        <v>88747398.231998011</v>
      </c>
      <c r="V86" s="47">
        <f t="shared" ca="1" si="23"/>
        <v>982020.39446313679</v>
      </c>
      <c r="W86" s="18">
        <f t="shared" ref="W86:W109" ca="1" si="31">ABS(V86/D86)</f>
        <v>1.1189154751671943E-2</v>
      </c>
    </row>
    <row r="87" spans="1:23">
      <c r="A87" s="2">
        <f>'Monthly Data'!A87</f>
        <v>44593</v>
      </c>
      <c r="B87">
        <f>'Monthly Data'!B87</f>
        <v>2022</v>
      </c>
      <c r="C87">
        <f>'Monthly Data'!C87</f>
        <v>2</v>
      </c>
      <c r="D87" s="3">
        <f ca="1">'Monthly Data'!X87</f>
        <v>81646689.613897964</v>
      </c>
      <c r="E87" s="3">
        <f>'Monthly Data'!CN87</f>
        <v>692.85</v>
      </c>
      <c r="F87" s="3">
        <f>'Monthly Data'!CW87</f>
        <v>0</v>
      </c>
      <c r="G87">
        <f>'Monthly Data'!EG87</f>
        <v>0</v>
      </c>
      <c r="H87" s="3">
        <f>'Monthly Data'!DQ87</f>
        <v>28</v>
      </c>
      <c r="I87" s="3">
        <f>'Monthly Data'!DL87</f>
        <v>845218</v>
      </c>
      <c r="J87" s="3">
        <f>'Monthly Data'!EH87</f>
        <v>86</v>
      </c>
      <c r="L87" s="616">
        <f t="shared" si="24"/>
        <v>-38000000</v>
      </c>
      <c r="M87" s="3">
        <f t="shared" si="25"/>
        <v>12274523.671500001</v>
      </c>
      <c r="N87" s="3">
        <f t="shared" si="26"/>
        <v>0</v>
      </c>
      <c r="O87" s="3">
        <f t="shared" si="27"/>
        <v>0</v>
      </c>
      <c r="P87" s="3">
        <f t="shared" si="28"/>
        <v>37022916</v>
      </c>
      <c r="Q87" s="3">
        <f t="shared" si="29"/>
        <v>76617549.472859994</v>
      </c>
      <c r="R87" s="3">
        <f t="shared" si="30"/>
        <v>-6929088.7999999998</v>
      </c>
      <c r="S87" s="47">
        <f t="shared" si="21"/>
        <v>80985900.344359994</v>
      </c>
      <c r="T87" s="47">
        <f ca="1">'Monthly Data'!Y87+'Monthly Data'!Z87</f>
        <v>211511.34919231234</v>
      </c>
      <c r="U87" s="47">
        <f t="shared" ca="1" si="22"/>
        <v>81197411.6935523</v>
      </c>
      <c r="V87" s="47">
        <f t="shared" ca="1" si="23"/>
        <v>-449277.92034566402</v>
      </c>
      <c r="W87" s="18">
        <f t="shared" ca="1" si="31"/>
        <v>5.5027083458039873E-3</v>
      </c>
    </row>
    <row r="88" spans="1:23">
      <c r="A88" s="2">
        <f>'Monthly Data'!A88</f>
        <v>44621</v>
      </c>
      <c r="B88">
        <f>'Monthly Data'!B88</f>
        <v>2022</v>
      </c>
      <c r="C88">
        <f>'Monthly Data'!C88</f>
        <v>3</v>
      </c>
      <c r="D88" s="3">
        <f ca="1">'Monthly Data'!X88</f>
        <v>87139508.810261041</v>
      </c>
      <c r="E88" s="3">
        <f>'Monthly Data'!CN88</f>
        <v>606.7208333333333</v>
      </c>
      <c r="F88" s="3">
        <f>'Monthly Data'!CW88</f>
        <v>0</v>
      </c>
      <c r="G88">
        <f>'Monthly Data'!EG88</f>
        <v>1</v>
      </c>
      <c r="H88" s="3">
        <f>'Monthly Data'!DQ88</f>
        <v>31</v>
      </c>
      <c r="I88" s="3">
        <f>'Monthly Data'!DL88</f>
        <v>845218</v>
      </c>
      <c r="J88" s="3">
        <f>'Monthly Data'!EH88</f>
        <v>87</v>
      </c>
      <c r="L88" s="616">
        <f t="shared" si="24"/>
        <v>-38000000</v>
      </c>
      <c r="M88" s="3">
        <f t="shared" si="25"/>
        <v>10748660.216125</v>
      </c>
      <c r="N88" s="3">
        <f t="shared" si="26"/>
        <v>0</v>
      </c>
      <c r="O88" s="3">
        <f t="shared" si="27"/>
        <v>1538400</v>
      </c>
      <c r="P88" s="3">
        <f t="shared" si="28"/>
        <v>40989657</v>
      </c>
      <c r="Q88" s="3">
        <f t="shared" si="29"/>
        <v>76617549.472859994</v>
      </c>
      <c r="R88" s="3">
        <f t="shared" si="30"/>
        <v>-7009659.6000000006</v>
      </c>
      <c r="S88" s="47">
        <f t="shared" si="21"/>
        <v>84884607.088984996</v>
      </c>
      <c r="T88" s="47">
        <f ca="1">'Monthly Data'!Y88+'Monthly Data'!Z88</f>
        <v>185566.41688137961</v>
      </c>
      <c r="U88" s="47">
        <f t="shared" ca="1" si="22"/>
        <v>85070173.505866379</v>
      </c>
      <c r="V88" s="47">
        <f t="shared" ca="1" si="23"/>
        <v>-2069335.3043946624</v>
      </c>
      <c r="W88" s="18">
        <f t="shared" ca="1" si="31"/>
        <v>2.3747383163479453E-2</v>
      </c>
    </row>
    <row r="89" spans="1:23">
      <c r="A89" s="2">
        <f>'Monthly Data'!A89</f>
        <v>44652</v>
      </c>
      <c r="B89">
        <f>'Monthly Data'!B89</f>
        <v>2022</v>
      </c>
      <c r="C89">
        <f>'Monthly Data'!C89</f>
        <v>4</v>
      </c>
      <c r="D89" s="3">
        <f ca="1">'Monthly Data'!X89</f>
        <v>79174698.18662414</v>
      </c>
      <c r="E89" s="3">
        <f>'Monthly Data'!CN89</f>
        <v>414.33333333333331</v>
      </c>
      <c r="F89" s="3">
        <f>'Monthly Data'!CW89</f>
        <v>2.2541666666666629</v>
      </c>
      <c r="G89">
        <f>'Monthly Data'!EG89</f>
        <v>1</v>
      </c>
      <c r="H89" s="3">
        <f>'Monthly Data'!DQ89</f>
        <v>30</v>
      </c>
      <c r="I89" s="3">
        <f>'Monthly Data'!DL89</f>
        <v>851621</v>
      </c>
      <c r="J89" s="3">
        <f>'Monthly Data'!EH89</f>
        <v>88</v>
      </c>
      <c r="L89" s="616">
        <f t="shared" si="24"/>
        <v>-38000000</v>
      </c>
      <c r="M89" s="3">
        <f t="shared" si="25"/>
        <v>7340325.1900000004</v>
      </c>
      <c r="N89" s="3">
        <f t="shared" si="26"/>
        <v>130123.88974999978</v>
      </c>
      <c r="O89" s="3">
        <f t="shared" si="27"/>
        <v>1538400</v>
      </c>
      <c r="P89" s="3">
        <f t="shared" si="28"/>
        <v>39667410</v>
      </c>
      <c r="Q89" s="3">
        <f t="shared" si="29"/>
        <v>77197970.34567</v>
      </c>
      <c r="R89" s="3">
        <f t="shared" si="30"/>
        <v>-7090230.4000000004</v>
      </c>
      <c r="S89" s="47">
        <f t="shared" si="21"/>
        <v>80783999.025419995</v>
      </c>
      <c r="T89" s="47">
        <f ca="1">'Monthly Data'!Y89+'Monthly Data'!Z89</f>
        <v>130646.6804805331</v>
      </c>
      <c r="U89" s="47">
        <f t="shared" ca="1" si="22"/>
        <v>80914645.705900535</v>
      </c>
      <c r="V89" s="47">
        <f t="shared" ca="1" si="23"/>
        <v>1739947.5192763954</v>
      </c>
      <c r="W89" s="18">
        <f t="shared" ca="1" si="31"/>
        <v>2.1976054966134927E-2</v>
      </c>
    </row>
    <row r="90" spans="1:23">
      <c r="A90" s="2">
        <f>'Monthly Data'!A90</f>
        <v>44682</v>
      </c>
      <c r="B90">
        <f>'Monthly Data'!B90</f>
        <v>2022</v>
      </c>
      <c r="C90">
        <f>'Monthly Data'!C90</f>
        <v>5</v>
      </c>
      <c r="D90" s="3">
        <f ca="1">'Monthly Data'!X90</f>
        <v>81586543.102987215</v>
      </c>
      <c r="E90" s="3">
        <f>'Monthly Data'!CN90</f>
        <v>158.97916666666669</v>
      </c>
      <c r="F90" s="3">
        <f>'Monthly Data'!CW90</f>
        <v>109.43749999999997</v>
      </c>
      <c r="G90">
        <f>'Monthly Data'!EG90</f>
        <v>1</v>
      </c>
      <c r="H90" s="3">
        <f>'Monthly Data'!DQ90</f>
        <v>31</v>
      </c>
      <c r="I90" s="3">
        <f>'Monthly Data'!DL90</f>
        <v>851621</v>
      </c>
      <c r="J90" s="3">
        <f>'Monthly Data'!EH90</f>
        <v>89</v>
      </c>
      <c r="L90" s="616">
        <f t="shared" si="24"/>
        <v>-38000000</v>
      </c>
      <c r="M90" s="3">
        <f t="shared" si="25"/>
        <v>2816473.3268750007</v>
      </c>
      <c r="N90" s="3">
        <f t="shared" si="26"/>
        <v>6317382.5587499989</v>
      </c>
      <c r="O90" s="3">
        <f t="shared" si="27"/>
        <v>1538400</v>
      </c>
      <c r="P90" s="3">
        <f t="shared" si="28"/>
        <v>40989657</v>
      </c>
      <c r="Q90" s="3">
        <f t="shared" si="29"/>
        <v>77197970.34567</v>
      </c>
      <c r="R90" s="3">
        <f t="shared" si="30"/>
        <v>-7170801.2000000002</v>
      </c>
      <c r="S90" s="47">
        <f t="shared" si="21"/>
        <v>83689082.031295002</v>
      </c>
      <c r="T90" s="47">
        <f ca="1">'Monthly Data'!Y90+'Monthly Data'!Z90</f>
        <v>59674.199807159966</v>
      </c>
      <c r="U90" s="47">
        <f t="shared" ca="1" si="22"/>
        <v>83748756.231102169</v>
      </c>
      <c r="V90" s="47">
        <f t="shared" ca="1" si="23"/>
        <v>2162213.1281149536</v>
      </c>
      <c r="W90" s="18">
        <f t="shared" ca="1" si="31"/>
        <v>2.6502080439731075E-2</v>
      </c>
    </row>
    <row r="91" spans="1:23">
      <c r="A91" s="2">
        <f>'Monthly Data'!A91</f>
        <v>44713</v>
      </c>
      <c r="B91">
        <f>'Monthly Data'!B91</f>
        <v>2022</v>
      </c>
      <c r="C91">
        <f>'Monthly Data'!C91</f>
        <v>6</v>
      </c>
      <c r="D91" s="3">
        <f ca="1">'Monthly Data'!X91</f>
        <v>83368101.109350309</v>
      </c>
      <c r="E91" s="3">
        <f>'Monthly Data'!CN91</f>
        <v>75.529010989011013</v>
      </c>
      <c r="F91" s="3">
        <f>'Monthly Data'!CW91</f>
        <v>180.92250416250408</v>
      </c>
      <c r="G91">
        <f>'Monthly Data'!EG91</f>
        <v>0</v>
      </c>
      <c r="H91" s="3">
        <f>'Monthly Data'!DQ91</f>
        <v>30</v>
      </c>
      <c r="I91" s="3">
        <f>'Monthly Data'!DL91</f>
        <v>851621</v>
      </c>
      <c r="J91" s="3">
        <f>'Monthly Data'!EH91</f>
        <v>90</v>
      </c>
      <c r="L91" s="616">
        <f t="shared" si="24"/>
        <v>-38000000</v>
      </c>
      <c r="M91" s="3">
        <f t="shared" si="25"/>
        <v>1338071.2033912092</v>
      </c>
      <c r="N91" s="3">
        <f t="shared" si="26"/>
        <v>10443921.619934462</v>
      </c>
      <c r="O91" s="3">
        <f t="shared" si="27"/>
        <v>0</v>
      </c>
      <c r="P91" s="3">
        <f t="shared" si="28"/>
        <v>39667410</v>
      </c>
      <c r="Q91" s="3">
        <f t="shared" si="29"/>
        <v>77197970.34567</v>
      </c>
      <c r="R91" s="3">
        <f t="shared" si="30"/>
        <v>-7251372</v>
      </c>
      <c r="S91" s="47">
        <f t="shared" si="21"/>
        <v>83396001.168995678</v>
      </c>
      <c r="T91" s="47">
        <f ca="1">'Monthly Data'!Y91+'Monthly Data'!Z91</f>
        <v>39269.353539239819</v>
      </c>
      <c r="U91" s="47">
        <f t="shared" ca="1" si="22"/>
        <v>83435270.522534922</v>
      </c>
      <c r="V91" s="47">
        <f t="shared" ca="1" si="23"/>
        <v>67169.413184612989</v>
      </c>
      <c r="W91" s="18">
        <f t="shared" ca="1" si="31"/>
        <v>8.0569681078029821E-4</v>
      </c>
    </row>
    <row r="92" spans="1:23">
      <c r="A92" s="2">
        <f>'Monthly Data'!A92</f>
        <v>44743</v>
      </c>
      <c r="B92">
        <f>'Monthly Data'!B92</f>
        <v>2022</v>
      </c>
      <c r="C92">
        <f>'Monthly Data'!C92</f>
        <v>7</v>
      </c>
      <c r="D92" s="3">
        <f ca="1">'Monthly Data'!X92</f>
        <v>87828802.185713395</v>
      </c>
      <c r="E92" s="3">
        <f>'Monthly Data'!CN92</f>
        <v>8.9945652173913082</v>
      </c>
      <c r="F92" s="3">
        <f>'Monthly Data'!CW92</f>
        <v>283.8543382913806</v>
      </c>
      <c r="G92">
        <f>'Monthly Data'!EG92</f>
        <v>0</v>
      </c>
      <c r="H92" s="3">
        <f>'Monthly Data'!DQ92</f>
        <v>31</v>
      </c>
      <c r="I92" s="3">
        <f>'Monthly Data'!DL92</f>
        <v>852979</v>
      </c>
      <c r="J92" s="3">
        <f>'Monthly Data'!EH92</f>
        <v>91</v>
      </c>
      <c r="L92" s="616">
        <f t="shared" si="24"/>
        <v>-38000000</v>
      </c>
      <c r="M92" s="3">
        <f t="shared" si="25"/>
        <v>159347.62744565227</v>
      </c>
      <c r="N92" s="3">
        <f t="shared" si="26"/>
        <v>16385758.500947939</v>
      </c>
      <c r="O92" s="3">
        <f t="shared" si="27"/>
        <v>0</v>
      </c>
      <c r="P92" s="3">
        <f t="shared" si="28"/>
        <v>40989657</v>
      </c>
      <c r="Q92" s="3">
        <f t="shared" si="29"/>
        <v>77321070.696329996</v>
      </c>
      <c r="R92" s="3">
        <f t="shared" si="30"/>
        <v>-7331942.7999999998</v>
      </c>
      <c r="S92" s="47">
        <f t="shared" si="21"/>
        <v>89523891.024723589</v>
      </c>
      <c r="T92" s="47">
        <f ca="1">'Monthly Data'!Y92+'Monthly Data'!Z92</f>
        <v>30009.983187264173</v>
      </c>
      <c r="U92" s="47">
        <f t="shared" ca="1" si="22"/>
        <v>89553901.007910848</v>
      </c>
      <c r="V92" s="47">
        <f t="shared" ca="1" si="23"/>
        <v>1725098.8221974522</v>
      </c>
      <c r="W92" s="18">
        <f t="shared" ca="1" si="31"/>
        <v>1.9641607072697437E-2</v>
      </c>
    </row>
    <row r="93" spans="1:23">
      <c r="A93" s="2">
        <f>'Monthly Data'!A93</f>
        <v>44774</v>
      </c>
      <c r="B93">
        <f>'Monthly Data'!B93</f>
        <v>2022</v>
      </c>
      <c r="C93">
        <f>'Monthly Data'!C93</f>
        <v>8</v>
      </c>
      <c r="D93" s="3">
        <f ca="1">'Monthly Data'!X93</f>
        <v>90088246.792076468</v>
      </c>
      <c r="E93" s="3">
        <f>'Monthly Data'!CN93</f>
        <v>7.3916666666666764</v>
      </c>
      <c r="F93" s="3">
        <f>'Monthly Data'!CW93</f>
        <v>290.28333333333336</v>
      </c>
      <c r="G93">
        <f>'Monthly Data'!EG93</f>
        <v>0</v>
      </c>
      <c r="H93" s="3">
        <f>'Monthly Data'!DQ93</f>
        <v>31</v>
      </c>
      <c r="I93" s="3">
        <f>'Monthly Data'!DL93</f>
        <v>852979</v>
      </c>
      <c r="J93" s="3">
        <f>'Monthly Data'!EH93</f>
        <v>92</v>
      </c>
      <c r="L93" s="616">
        <f t="shared" si="24"/>
        <v>-38000000</v>
      </c>
      <c r="M93" s="3">
        <f t="shared" si="25"/>
        <v>130950.69275000018</v>
      </c>
      <c r="N93" s="3">
        <f t="shared" si="26"/>
        <v>16756878.283000002</v>
      </c>
      <c r="O93" s="3">
        <f t="shared" si="27"/>
        <v>0</v>
      </c>
      <c r="P93" s="3">
        <f t="shared" si="28"/>
        <v>40989657</v>
      </c>
      <c r="Q93" s="3">
        <f t="shared" si="29"/>
        <v>77321070.696329996</v>
      </c>
      <c r="R93" s="3">
        <f t="shared" si="30"/>
        <v>-7412513.6000000006</v>
      </c>
      <c r="S93" s="47">
        <f t="shared" si="21"/>
        <v>89786043.072080001</v>
      </c>
      <c r="T93" s="47">
        <f ca="1">'Monthly Data'!Y93+'Monthly Data'!Z93</f>
        <v>31274.237398727317</v>
      </c>
      <c r="U93" s="47">
        <f t="shared" ca="1" si="22"/>
        <v>89817317.30947873</v>
      </c>
      <c r="V93" s="47">
        <f t="shared" ca="1" si="23"/>
        <v>-270929.4825977385</v>
      </c>
      <c r="W93" s="18">
        <f t="shared" ca="1" si="31"/>
        <v>3.0073787896332731E-3</v>
      </c>
    </row>
    <row r="94" spans="1:23">
      <c r="A94" s="2">
        <f>'Monthly Data'!A94</f>
        <v>44805</v>
      </c>
      <c r="B94">
        <f>'Monthly Data'!B94</f>
        <v>2022</v>
      </c>
      <c r="C94">
        <f>'Monthly Data'!C94</f>
        <v>9</v>
      </c>
      <c r="D94" s="3">
        <f ca="1">'Monthly Data'!X94</f>
        <v>81452776.388439566</v>
      </c>
      <c r="E94" s="3">
        <f>'Monthly Data'!CN94</f>
        <v>111.79166666666666</v>
      </c>
      <c r="F94" s="3">
        <f>'Monthly Data'!CW94</f>
        <v>139.79166666666663</v>
      </c>
      <c r="G94">
        <f>'Monthly Data'!EG94</f>
        <v>1</v>
      </c>
      <c r="H94" s="3">
        <f>'Monthly Data'!DQ94</f>
        <v>30</v>
      </c>
      <c r="I94" s="3">
        <f>'Monthly Data'!DL94</f>
        <v>852979</v>
      </c>
      <c r="J94" s="3">
        <f>'Monthly Data'!EH94</f>
        <v>93</v>
      </c>
      <c r="L94" s="616">
        <f t="shared" si="24"/>
        <v>-38000000</v>
      </c>
      <c r="M94" s="3">
        <f t="shared" si="25"/>
        <v>1980500.0487500001</v>
      </c>
      <c r="N94" s="3">
        <f t="shared" si="26"/>
        <v>8069605.362499998</v>
      </c>
      <c r="O94" s="3">
        <f t="shared" si="27"/>
        <v>1538400</v>
      </c>
      <c r="P94" s="3">
        <f t="shared" si="28"/>
        <v>39667410</v>
      </c>
      <c r="Q94" s="3">
        <f t="shared" si="29"/>
        <v>77321070.696329996</v>
      </c>
      <c r="R94" s="3">
        <f t="shared" si="30"/>
        <v>-7493084.4000000004</v>
      </c>
      <c r="S94" s="47">
        <f t="shared" si="21"/>
        <v>83083901.707579985</v>
      </c>
      <c r="T94" s="47">
        <f ca="1">'Monthly Data'!Y94+'Monthly Data'!Z94</f>
        <v>53330.266472777192</v>
      </c>
      <c r="U94" s="47">
        <f t="shared" ca="1" si="22"/>
        <v>83137231.974052757</v>
      </c>
      <c r="V94" s="47">
        <f t="shared" ca="1" si="23"/>
        <v>1684455.5856131911</v>
      </c>
      <c r="W94" s="18">
        <f t="shared" ca="1" si="31"/>
        <v>2.068014941050263E-2</v>
      </c>
    </row>
    <row r="95" spans="1:23">
      <c r="A95" s="2">
        <f>'Monthly Data'!A95</f>
        <v>44835</v>
      </c>
      <c r="B95">
        <f>'Monthly Data'!B95</f>
        <v>2022</v>
      </c>
      <c r="C95">
        <f>'Monthly Data'!C95</f>
        <v>10</v>
      </c>
      <c r="D95" s="3">
        <f ca="1">'Monthly Data'!X95</f>
        <v>79837057.994802639</v>
      </c>
      <c r="E95" s="3">
        <f>'Monthly Data'!CN95</f>
        <v>330.85561594202903</v>
      </c>
      <c r="F95" s="3">
        <f>'Monthly Data'!CW95</f>
        <v>11.604166666666668</v>
      </c>
      <c r="G95">
        <f>'Monthly Data'!EG95</f>
        <v>1</v>
      </c>
      <c r="H95" s="3">
        <f>'Monthly Data'!DQ95</f>
        <v>31</v>
      </c>
      <c r="I95" s="3">
        <f>'Monthly Data'!DL95</f>
        <v>852029</v>
      </c>
      <c r="J95" s="3">
        <f>'Monthly Data'!EH95</f>
        <v>94</v>
      </c>
      <c r="L95" s="616">
        <f t="shared" si="24"/>
        <v>-38000000</v>
      </c>
      <c r="M95" s="3">
        <f t="shared" si="25"/>
        <v>5861434.7834728276</v>
      </c>
      <c r="N95" s="3">
        <f t="shared" si="26"/>
        <v>669861.42875000008</v>
      </c>
      <c r="O95" s="3">
        <f t="shared" si="27"/>
        <v>1538400</v>
      </c>
      <c r="P95" s="3">
        <f t="shared" si="28"/>
        <v>40989657</v>
      </c>
      <c r="Q95" s="3">
        <f t="shared" si="29"/>
        <v>77234954.839829996</v>
      </c>
      <c r="R95" s="3">
        <f t="shared" si="30"/>
        <v>-7573655.2000000002</v>
      </c>
      <c r="S95" s="47">
        <f t="shared" si="21"/>
        <v>80720652.852052823</v>
      </c>
      <c r="T95" s="47">
        <f ca="1">'Monthly Data'!Y95+'Monthly Data'!Z95</f>
        <v>112775.54864871844</v>
      </c>
      <c r="U95" s="47">
        <f t="shared" ca="1" si="22"/>
        <v>80833428.400701538</v>
      </c>
      <c r="V95" s="47">
        <f t="shared" ca="1" si="23"/>
        <v>996370.40589889884</v>
      </c>
      <c r="W95" s="18">
        <f t="shared" ca="1" si="31"/>
        <v>1.2480049126606873E-2</v>
      </c>
    </row>
    <row r="96" spans="1:23">
      <c r="A96" s="2">
        <f>'Monthly Data'!A96</f>
        <v>44866</v>
      </c>
      <c r="B96">
        <f>'Monthly Data'!B96</f>
        <v>2022</v>
      </c>
      <c r="C96">
        <f>'Monthly Data'!C96</f>
        <v>11</v>
      </c>
      <c r="D96" s="3">
        <f ca="1">'Monthly Data'!X96</f>
        <v>82129240.641165733</v>
      </c>
      <c r="E96" s="3">
        <f>'Monthly Data'!CN96</f>
        <v>471.83333333333348</v>
      </c>
      <c r="F96" s="3">
        <f>'Monthly Data'!CW96</f>
        <v>6.5791666666666675</v>
      </c>
      <c r="G96">
        <f>'Monthly Data'!EG96</f>
        <v>1</v>
      </c>
      <c r="H96" s="3">
        <f>'Monthly Data'!DQ96</f>
        <v>30</v>
      </c>
      <c r="I96" s="3">
        <f>'Monthly Data'!DL96</f>
        <v>852029</v>
      </c>
      <c r="J96" s="3">
        <f>'Monthly Data'!EH96</f>
        <v>95</v>
      </c>
      <c r="L96" s="616">
        <f t="shared" si="24"/>
        <v>-38000000</v>
      </c>
      <c r="M96" s="3">
        <f t="shared" si="25"/>
        <v>8358994.615000003</v>
      </c>
      <c r="N96" s="3">
        <f t="shared" si="26"/>
        <v>379788.58025000006</v>
      </c>
      <c r="O96" s="3">
        <f t="shared" si="27"/>
        <v>1538400</v>
      </c>
      <c r="P96" s="3">
        <f t="shared" si="28"/>
        <v>39667410</v>
      </c>
      <c r="Q96" s="3">
        <f t="shared" si="29"/>
        <v>77234954.839829996</v>
      </c>
      <c r="R96" s="3">
        <f t="shared" si="30"/>
        <v>-7654226</v>
      </c>
      <c r="S96" s="47">
        <f t="shared" si="21"/>
        <v>81525322.035080001</v>
      </c>
      <c r="T96" s="47">
        <f ca="1">'Monthly Data'!Y96+'Monthly Data'!Z96</f>
        <v>156159.85971768337</v>
      </c>
      <c r="U96" s="47">
        <f t="shared" ca="1" si="22"/>
        <v>81681481.894797683</v>
      </c>
      <c r="V96" s="47">
        <f t="shared" ca="1" si="23"/>
        <v>-447758.74636805058</v>
      </c>
      <c r="W96" s="18">
        <f t="shared" ca="1" si="31"/>
        <v>5.4518797796313722E-3</v>
      </c>
    </row>
    <row r="97" spans="1:23">
      <c r="A97" s="2">
        <f>'Monthly Data'!A97</f>
        <v>44896</v>
      </c>
      <c r="B97">
        <f>'Monthly Data'!B97</f>
        <v>2022</v>
      </c>
      <c r="C97">
        <f>'Monthly Data'!C97</f>
        <v>12</v>
      </c>
      <c r="D97" s="3">
        <f ca="1">'Monthly Data'!X97</f>
        <v>83319692.807528824</v>
      </c>
      <c r="E97" s="3">
        <f>'Monthly Data'!CN97</f>
        <v>647.12083333333328</v>
      </c>
      <c r="F97" s="3">
        <f>'Monthly Data'!CW97</f>
        <v>0</v>
      </c>
      <c r="G97">
        <f>'Monthly Data'!EG97</f>
        <v>0</v>
      </c>
      <c r="H97" s="3">
        <f>'Monthly Data'!DQ97</f>
        <v>31</v>
      </c>
      <c r="I97" s="3">
        <f>'Monthly Data'!DL97</f>
        <v>852029</v>
      </c>
      <c r="J97" s="3">
        <f>'Monthly Data'!EH97</f>
        <v>96</v>
      </c>
      <c r="L97" s="616">
        <f t="shared" si="24"/>
        <v>-38000000</v>
      </c>
      <c r="M97" s="3">
        <f t="shared" si="25"/>
        <v>11464386.212125</v>
      </c>
      <c r="N97" s="3">
        <f t="shared" si="26"/>
        <v>0</v>
      </c>
      <c r="O97" s="3">
        <f t="shared" si="27"/>
        <v>0</v>
      </c>
      <c r="P97" s="3">
        <f t="shared" si="28"/>
        <v>40989657</v>
      </c>
      <c r="Q97" s="3">
        <f t="shared" si="29"/>
        <v>77234954.839829996</v>
      </c>
      <c r="R97" s="3">
        <f t="shared" si="30"/>
        <v>-7734796.8000000007</v>
      </c>
      <c r="S97" s="47">
        <f t="shared" si="21"/>
        <v>83954201.251955003</v>
      </c>
      <c r="T97" s="47">
        <f ca="1">'Monthly Data'!Y97+'Monthly Data'!Z97</f>
        <v>208482.03878523863</v>
      </c>
      <c r="U97" s="47">
        <f t="shared" ca="1" si="22"/>
        <v>84162683.290740237</v>
      </c>
      <c r="V97" s="47">
        <f t="shared" ca="1" si="23"/>
        <v>842990.48321141303</v>
      </c>
      <c r="W97" s="18">
        <f t="shared" ca="1" si="31"/>
        <v>1.0117541901633605E-2</v>
      </c>
    </row>
    <row r="98" spans="1:23">
      <c r="A98" s="2">
        <f>'Monthly Data'!A98</f>
        <v>44927</v>
      </c>
      <c r="B98">
        <f>'Monthly Data'!B98</f>
        <v>2023</v>
      </c>
      <c r="C98">
        <f>'Monthly Data'!C98</f>
        <v>1</v>
      </c>
      <c r="D98" s="3">
        <f ca="1">'Monthly Data'!X98</f>
        <v>87350703.138980687</v>
      </c>
      <c r="E98" s="3">
        <f>'Monthly Data'!CN98</f>
        <v>666.07083333333355</v>
      </c>
      <c r="F98" s="3">
        <f>'Monthly Data'!CW98</f>
        <v>0</v>
      </c>
      <c r="G98">
        <f>'Monthly Data'!EG98</f>
        <v>0</v>
      </c>
      <c r="H98" s="3">
        <f>'Monthly Data'!DQ98</f>
        <v>31</v>
      </c>
      <c r="I98" s="3">
        <f>'Monthly Data'!DL98</f>
        <v>860658</v>
      </c>
      <c r="J98" s="3">
        <f>'Monthly Data'!EH98</f>
        <v>97</v>
      </c>
      <c r="L98" s="616">
        <f t="shared" ref="L98:L121" si="32">$AA$8</f>
        <v>-38000000</v>
      </c>
      <c r="M98" s="3">
        <f t="shared" ref="M98:M121" si="33">E98*$AA$9</f>
        <v>11800104.222625004</v>
      </c>
      <c r="N98" s="3">
        <f t="shared" ref="N98:N121" si="34">F98*$AA$10</f>
        <v>0</v>
      </c>
      <c r="O98" s="3">
        <f t="shared" ref="O98:O121" si="35">G98*$AA$11</f>
        <v>0</v>
      </c>
      <c r="P98" s="3">
        <f t="shared" ref="P98:P121" si="36">H98*$AA$12</f>
        <v>40989657</v>
      </c>
      <c r="Q98" s="3">
        <f t="shared" ref="Q98:Q121" si="37">I98*$AA$13</f>
        <v>78017158.761659995</v>
      </c>
      <c r="R98" s="3">
        <f t="shared" ref="R98:R121" si="38">J98*$AA$14</f>
        <v>-7815367.6000000006</v>
      </c>
      <c r="S98" s="47">
        <f t="shared" si="21"/>
        <v>84991552.384285003</v>
      </c>
      <c r="T98" s="47">
        <f ca="1">'Monthly Data'!Y98+'Monthly Data'!Z98</f>
        <v>277333.7643532005</v>
      </c>
      <c r="U98" s="47">
        <f t="shared" ca="1" si="22"/>
        <v>85268886.148638204</v>
      </c>
      <c r="V98" s="47">
        <f t="shared" ca="1" si="23"/>
        <v>-2081816.9903424829</v>
      </c>
      <c r="W98" s="18">
        <f t="shared" ca="1" si="31"/>
        <v>2.3832858987181543E-2</v>
      </c>
    </row>
    <row r="99" spans="1:23">
      <c r="A99" s="2">
        <f>'Monthly Data'!A99</f>
        <v>44958</v>
      </c>
      <c r="B99">
        <f>'Monthly Data'!B99</f>
        <v>2023</v>
      </c>
      <c r="C99">
        <f>'Monthly Data'!C99</f>
        <v>2</v>
      </c>
      <c r="D99" s="3">
        <f ca="1">'Monthly Data'!X99</f>
        <v>80721380.291840538</v>
      </c>
      <c r="E99" s="3">
        <f>'Monthly Data'!CN99</f>
        <v>629.43333333333328</v>
      </c>
      <c r="F99" s="3">
        <f>'Monthly Data'!CW99</f>
        <v>0</v>
      </c>
      <c r="G99">
        <f>'Monthly Data'!EG99</f>
        <v>0</v>
      </c>
      <c r="H99" s="3">
        <f>'Monthly Data'!DQ99</f>
        <v>28</v>
      </c>
      <c r="I99" s="3">
        <f>'Monthly Data'!DL99</f>
        <v>860658</v>
      </c>
      <c r="J99" s="3">
        <f>'Monthly Data'!EH99</f>
        <v>98</v>
      </c>
      <c r="L99" s="616">
        <f t="shared" si="32"/>
        <v>-38000000</v>
      </c>
      <c r="M99" s="3">
        <f t="shared" si="33"/>
        <v>11151034.639</v>
      </c>
      <c r="N99" s="3">
        <f t="shared" si="34"/>
        <v>0</v>
      </c>
      <c r="O99" s="3">
        <f t="shared" si="35"/>
        <v>0</v>
      </c>
      <c r="P99" s="3">
        <f t="shared" si="36"/>
        <v>37022916</v>
      </c>
      <c r="Q99" s="3">
        <f t="shared" si="37"/>
        <v>78017158.761659995</v>
      </c>
      <c r="R99" s="3">
        <f t="shared" si="38"/>
        <v>-7895938.4000000004</v>
      </c>
      <c r="S99" s="47">
        <f t="shared" si="21"/>
        <v>80295171.000659987</v>
      </c>
      <c r="T99" s="47">
        <f ca="1">'Monthly Data'!Y99+'Monthly Data'!Z99</f>
        <v>266879.7532727003</v>
      </c>
      <c r="U99" s="47">
        <f t="shared" ca="1" si="22"/>
        <v>80562050.753932685</v>
      </c>
      <c r="V99" s="47">
        <f t="shared" ca="1" si="23"/>
        <v>-159329.53790785372</v>
      </c>
      <c r="W99" s="18">
        <f t="shared" ca="1" si="31"/>
        <v>1.9738207812083092E-3</v>
      </c>
    </row>
    <row r="100" spans="1:23">
      <c r="A100" s="2">
        <f>'Monthly Data'!A100</f>
        <v>44986</v>
      </c>
      <c r="B100">
        <f>'Monthly Data'!B100</f>
        <v>2023</v>
      </c>
      <c r="C100">
        <f>'Monthly Data'!C100</f>
        <v>3</v>
      </c>
      <c r="D100" s="3">
        <f ca="1">'Monthly Data'!X100</f>
        <v>86720127.644700378</v>
      </c>
      <c r="E100" s="3">
        <f>'Monthly Data'!CN100</f>
        <v>613.0333333333333</v>
      </c>
      <c r="F100" s="3">
        <f>'Monthly Data'!CW100</f>
        <v>0</v>
      </c>
      <c r="G100">
        <f>'Monthly Data'!EG100</f>
        <v>1</v>
      </c>
      <c r="H100" s="3">
        <f>'Monthly Data'!DQ100</f>
        <v>31</v>
      </c>
      <c r="I100" s="3">
        <f>'Monthly Data'!DL100</f>
        <v>860658</v>
      </c>
      <c r="J100" s="3">
        <f>'Monthly Data'!EH100</f>
        <v>99</v>
      </c>
      <c r="L100" s="616">
        <f t="shared" si="32"/>
        <v>-38000000</v>
      </c>
      <c r="M100" s="3">
        <f t="shared" si="33"/>
        <v>10860492.403000001</v>
      </c>
      <c r="N100" s="3">
        <f t="shared" si="34"/>
        <v>0</v>
      </c>
      <c r="O100" s="3">
        <f t="shared" si="35"/>
        <v>1538400</v>
      </c>
      <c r="P100" s="3">
        <f t="shared" si="36"/>
        <v>40989657</v>
      </c>
      <c r="Q100" s="3">
        <f t="shared" si="37"/>
        <v>78017158.761659995</v>
      </c>
      <c r="R100" s="3">
        <f t="shared" si="38"/>
        <v>-7976509.2000000002</v>
      </c>
      <c r="S100" s="47">
        <f t="shared" si="21"/>
        <v>85429198.964659989</v>
      </c>
      <c r="T100" s="47">
        <f ca="1">'Monthly Data'!Y100+'Monthly Data'!Z100</f>
        <v>259678.46710772847</v>
      </c>
      <c r="U100" s="47">
        <f t="shared" ca="1" si="22"/>
        <v>85688877.431767717</v>
      </c>
      <c r="V100" s="47">
        <f t="shared" ca="1" si="23"/>
        <v>-1031250.2129326612</v>
      </c>
      <c r="W100" s="18">
        <f t="shared" ca="1" si="31"/>
        <v>1.1891705431497744E-2</v>
      </c>
    </row>
    <row r="101" spans="1:23">
      <c r="A101" s="2">
        <f>'Monthly Data'!A101</f>
        <v>45017</v>
      </c>
      <c r="B101">
        <f>'Monthly Data'!B101</f>
        <v>2023</v>
      </c>
      <c r="C101">
        <f>'Monthly Data'!C101</f>
        <v>4</v>
      </c>
      <c r="D101" s="3">
        <f ca="1">'Monthly Data'!X101</f>
        <v>77963624.177560225</v>
      </c>
      <c r="E101" s="3">
        <f>'Monthly Data'!CN101</f>
        <v>361.4</v>
      </c>
      <c r="F101" s="3">
        <f>'Monthly Data'!CW101</f>
        <v>22.716666666666676</v>
      </c>
      <c r="G101">
        <f>'Monthly Data'!EG101</f>
        <v>1</v>
      </c>
      <c r="H101" s="3">
        <f>'Monthly Data'!DQ101</f>
        <v>30</v>
      </c>
      <c r="I101" s="3">
        <f>'Monthly Data'!DL101</f>
        <v>865503</v>
      </c>
      <c r="J101" s="3">
        <f>'Monthly Data'!EH101</f>
        <v>100</v>
      </c>
      <c r="L101" s="616">
        <f t="shared" si="32"/>
        <v>-38000000</v>
      </c>
      <c r="M101" s="3">
        <f t="shared" si="33"/>
        <v>6402558.7860000003</v>
      </c>
      <c r="N101" s="3">
        <f t="shared" si="34"/>
        <v>1311340.9370000006</v>
      </c>
      <c r="O101" s="3">
        <f t="shared" si="35"/>
        <v>1538400</v>
      </c>
      <c r="P101" s="3">
        <f t="shared" si="36"/>
        <v>39667410</v>
      </c>
      <c r="Q101" s="3">
        <f t="shared" si="37"/>
        <v>78456349.629809991</v>
      </c>
      <c r="R101" s="3">
        <f t="shared" si="38"/>
        <v>-8057080</v>
      </c>
      <c r="S101" s="47">
        <f t="shared" si="21"/>
        <v>81318979.352809995</v>
      </c>
      <c r="T101" s="47">
        <f ca="1">'Monthly Data'!Y101+'Monthly Data'!Z101</f>
        <v>162750.01554404566</v>
      </c>
      <c r="U101" s="47">
        <f t="shared" ca="1" si="22"/>
        <v>81481729.368354037</v>
      </c>
      <c r="V101" s="47">
        <f t="shared" ca="1" si="23"/>
        <v>3518105.1907938123</v>
      </c>
      <c r="W101" s="18">
        <f t="shared" ca="1" si="31"/>
        <v>4.5124957028439501E-2</v>
      </c>
    </row>
    <row r="102" spans="1:23">
      <c r="A102" s="2">
        <f>'Monthly Data'!A102</f>
        <v>45047</v>
      </c>
      <c r="B102">
        <f>'Monthly Data'!B102</f>
        <v>2023</v>
      </c>
      <c r="C102">
        <f>'Monthly Data'!C102</f>
        <v>5</v>
      </c>
      <c r="D102" s="3">
        <f ca="1">'Monthly Data'!X102</f>
        <v>80812976.800420076</v>
      </c>
      <c r="E102" s="3">
        <f>'Monthly Data'!CN102</f>
        <v>219.04750000000001</v>
      </c>
      <c r="F102" s="3">
        <f>'Monthly Data'!CW102</f>
        <v>68.049999999999983</v>
      </c>
      <c r="G102">
        <f>'Monthly Data'!EG102</f>
        <v>1</v>
      </c>
      <c r="H102" s="3">
        <f>'Monthly Data'!DQ102</f>
        <v>31</v>
      </c>
      <c r="I102" s="3">
        <f>'Monthly Data'!DL102</f>
        <v>865503</v>
      </c>
      <c r="J102" s="3">
        <f>'Monthly Data'!EH102</f>
        <v>101</v>
      </c>
      <c r="L102" s="616">
        <f t="shared" si="32"/>
        <v>-38000000</v>
      </c>
      <c r="M102" s="3">
        <f t="shared" si="33"/>
        <v>3880643.3195250006</v>
      </c>
      <c r="N102" s="3">
        <f t="shared" si="34"/>
        <v>3928250.2169999992</v>
      </c>
      <c r="O102" s="3">
        <f t="shared" si="35"/>
        <v>1538400</v>
      </c>
      <c r="P102" s="3">
        <f t="shared" si="36"/>
        <v>40989657</v>
      </c>
      <c r="Q102" s="3">
        <f t="shared" si="37"/>
        <v>78456349.629809991</v>
      </c>
      <c r="R102" s="3">
        <f t="shared" si="38"/>
        <v>-8137650.8000000007</v>
      </c>
      <c r="S102" s="47">
        <f t="shared" si="21"/>
        <v>82655649.36633499</v>
      </c>
      <c r="T102" s="47">
        <f ca="1">'Monthly Data'!Y102+'Monthly Data'!Z102</f>
        <v>109966.81602816569</v>
      </c>
      <c r="U102" s="47">
        <f t="shared" ca="1" si="22"/>
        <v>82765616.182363153</v>
      </c>
      <c r="V102" s="47">
        <f t="shared" ca="1" si="23"/>
        <v>1952639.3819430768</v>
      </c>
      <c r="W102" s="18">
        <f t="shared" ca="1" si="31"/>
        <v>2.4162448399412589E-2</v>
      </c>
    </row>
    <row r="103" spans="1:23">
      <c r="A103" s="2">
        <f>'Monthly Data'!A103</f>
        <v>45078</v>
      </c>
      <c r="B103">
        <f>'Monthly Data'!B103</f>
        <v>2023</v>
      </c>
      <c r="C103">
        <f>'Monthly Data'!C103</f>
        <v>6</v>
      </c>
      <c r="D103" s="3">
        <f ca="1">'Monthly Data'!X103</f>
        <v>83900144.093279928</v>
      </c>
      <c r="E103" s="3">
        <f>'Monthly Data'!CN103</f>
        <v>55.599999999999994</v>
      </c>
      <c r="F103" s="3">
        <f>'Monthly Data'!CW103</f>
        <v>205.54166666666669</v>
      </c>
      <c r="G103">
        <f>'Monthly Data'!EG103</f>
        <v>0</v>
      </c>
      <c r="H103" s="3">
        <f>'Monthly Data'!DQ103</f>
        <v>30</v>
      </c>
      <c r="I103" s="3">
        <f>'Monthly Data'!DL103</f>
        <v>865503</v>
      </c>
      <c r="J103" s="3">
        <f>'Monthly Data'!EH103</f>
        <v>102</v>
      </c>
      <c r="L103" s="616">
        <f t="shared" si="32"/>
        <v>-38000000</v>
      </c>
      <c r="M103" s="3">
        <f t="shared" si="33"/>
        <v>985009.04399999999</v>
      </c>
      <c r="N103" s="3">
        <f t="shared" si="34"/>
        <v>11865085.917500002</v>
      </c>
      <c r="O103" s="3">
        <f t="shared" si="35"/>
        <v>0</v>
      </c>
      <c r="P103" s="3">
        <f t="shared" si="36"/>
        <v>39667410</v>
      </c>
      <c r="Q103" s="3">
        <f t="shared" si="37"/>
        <v>78456349.629809991</v>
      </c>
      <c r="R103" s="3">
        <f t="shared" si="38"/>
        <v>-8218221.6000000006</v>
      </c>
      <c r="S103" s="47">
        <f t="shared" si="21"/>
        <v>84755632.99131</v>
      </c>
      <c r="T103" s="47">
        <f ca="1">'Monthly Data'!Y103+'Monthly Data'!Z103</f>
        <v>55490.949140967743</v>
      </c>
      <c r="U103" s="47">
        <f t="shared" ca="1" si="22"/>
        <v>84811123.940450966</v>
      </c>
      <c r="V103" s="47">
        <f t="shared" ca="1" si="23"/>
        <v>910979.84717103839</v>
      </c>
      <c r="W103" s="18">
        <f t="shared" ca="1" si="31"/>
        <v>1.0857905633132331E-2</v>
      </c>
    </row>
    <row r="104" spans="1:23">
      <c r="A104" s="2">
        <f>'Monthly Data'!A104</f>
        <v>45108</v>
      </c>
      <c r="B104">
        <f>'Monthly Data'!B104</f>
        <v>2023</v>
      </c>
      <c r="C104">
        <f>'Monthly Data'!C104</f>
        <v>7</v>
      </c>
      <c r="D104" s="3">
        <f ca="1">'Monthly Data'!X104</f>
        <v>88918844.516139761</v>
      </c>
      <c r="E104" s="3">
        <f>'Monthly Data'!CN104</f>
        <v>7.3166666666666593</v>
      </c>
      <c r="F104" s="3">
        <f>'Monthly Data'!CW104</f>
        <v>285.78333333333342</v>
      </c>
      <c r="G104">
        <f>'Monthly Data'!EG104</f>
        <v>0</v>
      </c>
      <c r="H104" s="3">
        <f>'Monthly Data'!DQ104</f>
        <v>31</v>
      </c>
      <c r="I104" s="3">
        <f>'Monthly Data'!DL104</f>
        <v>867701</v>
      </c>
      <c r="J104" s="3">
        <f>'Monthly Data'!EH104</f>
        <v>103</v>
      </c>
      <c r="L104" s="616">
        <f t="shared" si="32"/>
        <v>-38000000</v>
      </c>
      <c r="M104" s="3">
        <f t="shared" si="33"/>
        <v>129621.99349999988</v>
      </c>
      <c r="N104" s="3">
        <f t="shared" si="34"/>
        <v>16497111.553000005</v>
      </c>
      <c r="O104" s="3">
        <f t="shared" si="35"/>
        <v>0</v>
      </c>
      <c r="P104" s="3">
        <f t="shared" si="36"/>
        <v>40989657</v>
      </c>
      <c r="Q104" s="3">
        <f t="shared" si="37"/>
        <v>78655594.527270004</v>
      </c>
      <c r="R104" s="3">
        <f t="shared" si="38"/>
        <v>-8298792.4000000004</v>
      </c>
      <c r="S104" s="47">
        <f t="shared" si="21"/>
        <v>89973192.67377001</v>
      </c>
      <c r="T104" s="47">
        <f ca="1">'Monthly Data'!Y104+'Monthly Data'!Z104</f>
        <v>48717.436611826619</v>
      </c>
      <c r="U104" s="47">
        <f t="shared" ca="1" si="22"/>
        <v>90021910.110381842</v>
      </c>
      <c r="V104" s="47">
        <f t="shared" ca="1" si="23"/>
        <v>1103065.594242081</v>
      </c>
      <c r="W104" s="18">
        <f t="shared" ca="1" si="31"/>
        <v>1.2405307336645185E-2</v>
      </c>
    </row>
    <row r="105" spans="1:23">
      <c r="A105" s="2">
        <f>'Monthly Data'!A105</f>
        <v>45139</v>
      </c>
      <c r="B105">
        <f>'Monthly Data'!B105</f>
        <v>2023</v>
      </c>
      <c r="C105">
        <f>'Monthly Data'!C105</f>
        <v>8</v>
      </c>
      <c r="D105" s="3">
        <f ca="1">'Monthly Data'!X105</f>
        <v>88003177.528999612</v>
      </c>
      <c r="E105" s="3">
        <f>'Monthly Data'!CN105</f>
        <v>32.211775362318839</v>
      </c>
      <c r="F105" s="3">
        <f>'Monthly Data'!CW105</f>
        <v>227.80489130434788</v>
      </c>
      <c r="G105">
        <f>'Monthly Data'!EG105</f>
        <v>0</v>
      </c>
      <c r="H105" s="3">
        <f>'Monthly Data'!DQ105</f>
        <v>31</v>
      </c>
      <c r="I105" s="3">
        <f>'Monthly Data'!DL105</f>
        <v>867701</v>
      </c>
      <c r="J105" s="3">
        <f>'Monthly Data'!EH105</f>
        <v>104</v>
      </c>
      <c r="L105" s="616">
        <f t="shared" si="32"/>
        <v>-38000000</v>
      </c>
      <c r="M105" s="3">
        <f t="shared" si="33"/>
        <v>570663.49020108697</v>
      </c>
      <c r="N105" s="3">
        <f t="shared" si="34"/>
        <v>13150251.487141307</v>
      </c>
      <c r="O105" s="3">
        <f t="shared" si="35"/>
        <v>0</v>
      </c>
      <c r="P105" s="3">
        <f t="shared" si="36"/>
        <v>40989657</v>
      </c>
      <c r="Q105" s="3">
        <f t="shared" si="37"/>
        <v>78655594.527270004</v>
      </c>
      <c r="R105" s="3">
        <f t="shared" si="38"/>
        <v>-8379363.2000000002</v>
      </c>
      <c r="S105" s="47">
        <f t="shared" si="21"/>
        <v>86986803.304612398</v>
      </c>
      <c r="T105" s="47">
        <f ca="1">'Monthly Data'!Y105+'Monthly Data'!Z105</f>
        <v>53974.234948817473</v>
      </c>
      <c r="U105" s="47">
        <f t="shared" ca="1" si="22"/>
        <v>87040777.539561212</v>
      </c>
      <c r="V105" s="47">
        <f t="shared" ca="1" si="23"/>
        <v>-962399.98943839967</v>
      </c>
      <c r="W105" s="18">
        <f t="shared" ca="1" si="31"/>
        <v>1.0935968637283135E-2</v>
      </c>
    </row>
    <row r="106" spans="1:23">
      <c r="A106" s="2">
        <f>'Monthly Data'!A106</f>
        <v>45170</v>
      </c>
      <c r="B106">
        <f>'Monthly Data'!B106</f>
        <v>2023</v>
      </c>
      <c r="C106">
        <f>'Monthly Data'!C106</f>
        <v>9</v>
      </c>
      <c r="D106" s="3">
        <f ca="1">'Monthly Data'!X106</f>
        <v>83339511.051859453</v>
      </c>
      <c r="E106" s="3">
        <f>'Monthly Data'!CN106</f>
        <v>95.22083333333336</v>
      </c>
      <c r="F106" s="3">
        <f>'Monthly Data'!CW106</f>
        <v>162.99166666666662</v>
      </c>
      <c r="G106">
        <f>'Monthly Data'!EG106</f>
        <v>1</v>
      </c>
      <c r="H106" s="3">
        <f>'Monthly Data'!DQ106</f>
        <v>30</v>
      </c>
      <c r="I106" s="3">
        <f>'Monthly Data'!DL106</f>
        <v>867701</v>
      </c>
      <c r="J106" s="3">
        <f>'Monthly Data'!EH106</f>
        <v>105</v>
      </c>
      <c r="L106" s="616">
        <f t="shared" si="32"/>
        <v>-38000000</v>
      </c>
      <c r="M106" s="3">
        <f t="shared" si="33"/>
        <v>1686931.3311250007</v>
      </c>
      <c r="N106" s="3">
        <f t="shared" si="34"/>
        <v>9408847.1704999972</v>
      </c>
      <c r="O106" s="3">
        <f t="shared" si="35"/>
        <v>1538400</v>
      </c>
      <c r="P106" s="3">
        <f t="shared" si="36"/>
        <v>39667410</v>
      </c>
      <c r="Q106" s="3">
        <f t="shared" si="37"/>
        <v>78655594.527270004</v>
      </c>
      <c r="R106" s="3">
        <f t="shared" si="38"/>
        <v>-8459934</v>
      </c>
      <c r="S106" s="47">
        <f t="shared" si="21"/>
        <v>84497249.028894991</v>
      </c>
      <c r="T106" s="47">
        <f ca="1">'Monthly Data'!Y106+'Monthly Data'!Z106</f>
        <v>70748.015788943434</v>
      </c>
      <c r="U106" s="47">
        <f t="shared" ca="1" si="22"/>
        <v>84567997.044683933</v>
      </c>
      <c r="V106" s="47">
        <f t="shared" ca="1" si="23"/>
        <v>1228485.9928244799</v>
      </c>
      <c r="W106" s="18">
        <f t="shared" ca="1" si="31"/>
        <v>1.4740739144246158E-2</v>
      </c>
    </row>
    <row r="107" spans="1:23">
      <c r="A107" s="2">
        <f>'Monthly Data'!A107</f>
        <v>45200</v>
      </c>
      <c r="B107">
        <f>'Monthly Data'!B107</f>
        <v>2023</v>
      </c>
      <c r="C107">
        <f>'Monthly Data'!C107</f>
        <v>10</v>
      </c>
      <c r="D107" s="3">
        <f ca="1">'Monthly Data'!X107</f>
        <v>82272945.574719295</v>
      </c>
      <c r="E107" s="3">
        <f>'Monthly Data'!CN107</f>
        <v>261.85000000000002</v>
      </c>
      <c r="F107" s="3">
        <f>'Monthly Data'!CW107</f>
        <v>54.625</v>
      </c>
      <c r="G107">
        <f>'Monthly Data'!EG107</f>
        <v>1</v>
      </c>
      <c r="H107" s="3">
        <f>'Monthly Data'!DQ107</f>
        <v>31</v>
      </c>
      <c r="I107" s="3">
        <f>'Monthly Data'!DL107</f>
        <v>869576</v>
      </c>
      <c r="J107" s="3">
        <f>'Monthly Data'!EH107</f>
        <v>106</v>
      </c>
      <c r="L107" s="616">
        <f t="shared" si="32"/>
        <v>-38000000</v>
      </c>
      <c r="M107" s="3">
        <f t="shared" si="33"/>
        <v>4638931.9815000007</v>
      </c>
      <c r="N107" s="3">
        <f t="shared" si="34"/>
        <v>3153279.4725000001</v>
      </c>
      <c r="O107" s="3">
        <f t="shared" si="35"/>
        <v>1538400</v>
      </c>
      <c r="P107" s="3">
        <f t="shared" si="36"/>
        <v>40989657</v>
      </c>
      <c r="Q107" s="3">
        <f t="shared" si="37"/>
        <v>78825560.033519998</v>
      </c>
      <c r="R107" s="3">
        <f t="shared" si="38"/>
        <v>-8540504.8000000007</v>
      </c>
      <c r="S107" s="47">
        <f t="shared" si="21"/>
        <v>82605323.687519997</v>
      </c>
      <c r="T107" s="47">
        <f ca="1">'Monthly Data'!Y107+'Monthly Data'!Z107</f>
        <v>135397.89289460203</v>
      </c>
      <c r="U107" s="47">
        <f t="shared" ca="1" si="22"/>
        <v>82740721.580414593</v>
      </c>
      <c r="V107" s="47">
        <f t="shared" ca="1" si="23"/>
        <v>467776.00569529831</v>
      </c>
      <c r="W107" s="18">
        <f t="shared" ca="1" si="31"/>
        <v>5.6856601210475656E-3</v>
      </c>
    </row>
    <row r="108" spans="1:23">
      <c r="A108" s="2">
        <f>'Monthly Data'!A108</f>
        <v>45231</v>
      </c>
      <c r="B108">
        <f>'Monthly Data'!B108</f>
        <v>2023</v>
      </c>
      <c r="C108">
        <f>'Monthly Data'!C108</f>
        <v>11</v>
      </c>
      <c r="D108" s="3">
        <f ca="1">'Monthly Data'!X108</f>
        <v>83045482.417579144</v>
      </c>
      <c r="E108" s="3">
        <f>'Monthly Data'!CN108</f>
        <v>510.59311594202899</v>
      </c>
      <c r="F108" s="3">
        <f>'Monthly Data'!CW108</f>
        <v>0</v>
      </c>
      <c r="G108">
        <f>'Monthly Data'!EG108</f>
        <v>1</v>
      </c>
      <c r="H108" s="3">
        <f>'Monthly Data'!DQ108</f>
        <v>30</v>
      </c>
      <c r="I108" s="3">
        <f>'Monthly Data'!DL108</f>
        <v>869576</v>
      </c>
      <c r="J108" s="3">
        <f>'Monthly Data'!EH108</f>
        <v>107</v>
      </c>
      <c r="L108" s="616">
        <f t="shared" si="32"/>
        <v>-38000000</v>
      </c>
      <c r="M108" s="3">
        <f t="shared" si="33"/>
        <v>9045662.5360978264</v>
      </c>
      <c r="N108" s="3">
        <f t="shared" si="34"/>
        <v>0</v>
      </c>
      <c r="O108" s="3">
        <f t="shared" si="35"/>
        <v>1538400</v>
      </c>
      <c r="P108" s="3">
        <f t="shared" si="36"/>
        <v>39667410</v>
      </c>
      <c r="Q108" s="3">
        <f t="shared" si="37"/>
        <v>78825560.033519998</v>
      </c>
      <c r="R108" s="3">
        <f t="shared" si="38"/>
        <v>-8621075.5999999996</v>
      </c>
      <c r="S108" s="47">
        <f t="shared" si="21"/>
        <v>82455956.969617829</v>
      </c>
      <c r="T108" s="47">
        <f ca="1">'Monthly Data'!Y108+'Monthly Data'!Z108</f>
        <v>233167.89338527032</v>
      </c>
      <c r="U108" s="47">
        <f t="shared" ca="1" si="22"/>
        <v>82689124.863003105</v>
      </c>
      <c r="V108" s="47">
        <f t="shared" ca="1" si="23"/>
        <v>-356357.55457603931</v>
      </c>
      <c r="W108" s="18">
        <f t="shared" ca="1" si="31"/>
        <v>4.2911130648162175E-3</v>
      </c>
    </row>
    <row r="109" spans="1:23">
      <c r="A109" s="2">
        <f>'Monthly Data'!A109</f>
        <v>45261</v>
      </c>
      <c r="B109">
        <f>'Monthly Data'!B109</f>
        <v>2023</v>
      </c>
      <c r="C109">
        <f>'Monthly Data'!C109</f>
        <v>12</v>
      </c>
      <c r="D109" s="3">
        <f ca="1">'Monthly Data'!X109</f>
        <v>82831630.850438997</v>
      </c>
      <c r="E109" s="3">
        <f>'Monthly Data'!CN109</f>
        <v>551.67916666666667</v>
      </c>
      <c r="F109" s="3">
        <f>'Monthly Data'!CW109</f>
        <v>0</v>
      </c>
      <c r="G109">
        <f>'Monthly Data'!EG109</f>
        <v>0</v>
      </c>
      <c r="H109" s="3">
        <f>'Monthly Data'!DQ109</f>
        <v>31</v>
      </c>
      <c r="I109" s="3">
        <f>'Monthly Data'!DL109</f>
        <v>869576</v>
      </c>
      <c r="J109" s="3">
        <f>'Monthly Data'!EH109</f>
        <v>108</v>
      </c>
      <c r="L109" s="616">
        <f t="shared" si="32"/>
        <v>-38000000</v>
      </c>
      <c r="M109" s="3">
        <f t="shared" si="33"/>
        <v>9773542.5998750012</v>
      </c>
      <c r="N109" s="3">
        <f t="shared" si="34"/>
        <v>0</v>
      </c>
      <c r="O109" s="3">
        <f t="shared" si="35"/>
        <v>0</v>
      </c>
      <c r="P109" s="3">
        <f t="shared" si="36"/>
        <v>40989657</v>
      </c>
      <c r="Q109" s="3">
        <f t="shared" si="37"/>
        <v>78825560.033519998</v>
      </c>
      <c r="R109" s="3">
        <f t="shared" si="38"/>
        <v>-8701646.4000000004</v>
      </c>
      <c r="S109" s="47">
        <f t="shared" si="21"/>
        <v>82887113.233394995</v>
      </c>
      <c r="T109" s="47">
        <f ca="1">'Monthly Data'!Y109+'Monthly Data'!Z109</f>
        <v>250245.47934769944</v>
      </c>
      <c r="U109" s="47">
        <f t="shared" ca="1" si="22"/>
        <v>83137358.712742701</v>
      </c>
      <c r="V109" s="47">
        <f t="shared" ca="1" si="23"/>
        <v>305727.86230370402</v>
      </c>
      <c r="W109" s="18">
        <f t="shared" ca="1" si="31"/>
        <v>3.690955486023534E-3</v>
      </c>
    </row>
    <row r="110" spans="1:23">
      <c r="A110" s="2">
        <f>'Monthly Data'!A110</f>
        <v>45292</v>
      </c>
      <c r="B110">
        <f>'Monthly Data'!B110</f>
        <v>2024</v>
      </c>
      <c r="C110">
        <f>'Monthly Data'!C110</f>
        <v>1</v>
      </c>
      <c r="D110" s="3">
        <f ca="1">'Monthly Data'!X110</f>
        <v>92074738.015772477</v>
      </c>
      <c r="E110" s="3">
        <f>'Monthly Data'!CN110</f>
        <v>698.99583333333328</v>
      </c>
      <c r="F110" s="3">
        <f>'Monthly Data'!CW110</f>
        <v>0</v>
      </c>
      <c r="G110">
        <f>'Monthly Data'!EG110</f>
        <v>0</v>
      </c>
      <c r="H110" s="3">
        <f>'Monthly Data'!DQ110</f>
        <v>31</v>
      </c>
      <c r="I110" s="3">
        <f>'Monthly Data'!DL110</f>
        <v>873665</v>
      </c>
      <c r="J110" s="3">
        <f>'Monthly Data'!EH110</f>
        <v>109</v>
      </c>
      <c r="L110" s="616">
        <f t="shared" si="32"/>
        <v>-38000000</v>
      </c>
      <c r="M110" s="3">
        <f t="shared" si="33"/>
        <v>12383403.193375001</v>
      </c>
      <c r="N110" s="3">
        <f t="shared" si="34"/>
        <v>0</v>
      </c>
      <c r="O110" s="3">
        <f t="shared" si="35"/>
        <v>0</v>
      </c>
      <c r="P110" s="3">
        <f t="shared" si="36"/>
        <v>40989657</v>
      </c>
      <c r="Q110" s="3">
        <f t="shared" si="37"/>
        <v>79196220.809550002</v>
      </c>
      <c r="R110" s="3">
        <f t="shared" si="38"/>
        <v>-8782217.2000000011</v>
      </c>
      <c r="S110" s="47">
        <f t="shared" si="21"/>
        <v>85787063.802925006</v>
      </c>
      <c r="T110" s="47">
        <f ca="1">'Monthly Data'!Y110+'Monthly Data'!Z110</f>
        <v>377655.37044778361</v>
      </c>
      <c r="U110" s="47">
        <f t="shared" ca="1" si="22"/>
        <v>86164719.17337279</v>
      </c>
      <c r="V110" s="47">
        <f t="shared" ca="1" si="23"/>
        <v>-5910018.8423996866</v>
      </c>
      <c r="W110" s="18">
        <f t="shared" ref="W110:W121" ca="1" si="39">ABS(V110/D110)</f>
        <v>6.4187191511609787E-2</v>
      </c>
    </row>
    <row r="111" spans="1:23">
      <c r="A111" s="2">
        <f>'Monthly Data'!A111</f>
        <v>45323</v>
      </c>
      <c r="B111">
        <f>'Monthly Data'!B111</f>
        <v>2024</v>
      </c>
      <c r="C111">
        <f>'Monthly Data'!C111</f>
        <v>2</v>
      </c>
      <c r="D111" s="3">
        <f ca="1">'Monthly Data'!X111</f>
        <v>85276594.367293775</v>
      </c>
      <c r="E111" s="3">
        <f>'Monthly Data'!CN111</f>
        <v>600.96666666666647</v>
      </c>
      <c r="F111" s="3">
        <f>'Monthly Data'!CW111</f>
        <v>0</v>
      </c>
      <c r="G111">
        <f>'Monthly Data'!EG111</f>
        <v>0</v>
      </c>
      <c r="H111" s="3">
        <f>'Monthly Data'!DQ111</f>
        <v>29</v>
      </c>
      <c r="I111" s="3">
        <f>'Monthly Data'!DL111</f>
        <v>873665</v>
      </c>
      <c r="J111" s="3">
        <f>'Monthly Data'!EH111</f>
        <v>110</v>
      </c>
      <c r="L111" s="616">
        <f t="shared" si="32"/>
        <v>-38000000</v>
      </c>
      <c r="M111" s="3">
        <f t="shared" si="33"/>
        <v>10646719.456999997</v>
      </c>
      <c r="N111" s="3">
        <f t="shared" si="34"/>
        <v>0</v>
      </c>
      <c r="O111" s="3">
        <f t="shared" si="35"/>
        <v>0</v>
      </c>
      <c r="P111" s="3">
        <f t="shared" si="36"/>
        <v>38345163</v>
      </c>
      <c r="Q111" s="3">
        <f t="shared" si="37"/>
        <v>79196220.809550002</v>
      </c>
      <c r="R111" s="3">
        <f t="shared" si="38"/>
        <v>-8862788</v>
      </c>
      <c r="S111" s="47">
        <f t="shared" si="21"/>
        <v>81325315.266550004</v>
      </c>
      <c r="T111" s="47">
        <f ca="1">'Monthly Data'!Y111+'Monthly Data'!Z111</f>
        <v>333009.31267987343</v>
      </c>
      <c r="U111" s="47">
        <f t="shared" ca="1" si="22"/>
        <v>81658324.579229876</v>
      </c>
      <c r="V111" s="47">
        <f t="shared" ca="1" si="23"/>
        <v>-3618269.7880638987</v>
      </c>
      <c r="W111" s="18">
        <f t="shared" ca="1" si="39"/>
        <v>4.2429811074298926E-2</v>
      </c>
    </row>
    <row r="112" spans="1:23">
      <c r="A112" s="2">
        <f>'Monthly Data'!A112</f>
        <v>45352</v>
      </c>
      <c r="B112">
        <f>'Monthly Data'!B112</f>
        <v>2024</v>
      </c>
      <c r="C112">
        <f>'Monthly Data'!C112</f>
        <v>3</v>
      </c>
      <c r="D112" s="3">
        <f ca="1">'Monthly Data'!X112</f>
        <v>87021487.734541059</v>
      </c>
      <c r="E112" s="3">
        <f>'Monthly Data'!CN112</f>
        <v>522.11249999999995</v>
      </c>
      <c r="F112" s="3">
        <f>'Monthly Data'!CW112</f>
        <v>0</v>
      </c>
      <c r="G112">
        <f>'Monthly Data'!EG112</f>
        <v>1</v>
      </c>
      <c r="H112" s="3">
        <f>'Monthly Data'!DQ112</f>
        <v>31</v>
      </c>
      <c r="I112" s="3">
        <f>'Monthly Data'!DL112</f>
        <v>873665</v>
      </c>
      <c r="J112" s="3">
        <f>'Monthly Data'!EH112</f>
        <v>111</v>
      </c>
      <c r="L112" s="616">
        <f t="shared" si="32"/>
        <v>-38000000</v>
      </c>
      <c r="M112" s="3">
        <f t="shared" si="33"/>
        <v>9249739.8288749997</v>
      </c>
      <c r="N112" s="3">
        <f t="shared" si="34"/>
        <v>0</v>
      </c>
      <c r="O112" s="3">
        <f t="shared" si="35"/>
        <v>1538400</v>
      </c>
      <c r="P112" s="3">
        <f t="shared" si="36"/>
        <v>40989657</v>
      </c>
      <c r="Q112" s="3">
        <f t="shared" si="37"/>
        <v>79196220.809550002</v>
      </c>
      <c r="R112" s="3">
        <f t="shared" si="38"/>
        <v>-8943358.8000000007</v>
      </c>
      <c r="S112" s="47">
        <f t="shared" si="21"/>
        <v>84030658.838424996</v>
      </c>
      <c r="T112" s="47">
        <f ca="1">'Monthly Data'!Y112+'Monthly Data'!Z112</f>
        <v>293924.13015005086</v>
      </c>
      <c r="U112" s="47">
        <f t="shared" ca="1" si="22"/>
        <v>84324582.968575045</v>
      </c>
      <c r="V112" s="47">
        <f t="shared" ca="1" si="23"/>
        <v>-2696904.7659660131</v>
      </c>
      <c r="W112" s="18">
        <f t="shared" ca="1" si="39"/>
        <v>3.0991250967725554E-2</v>
      </c>
    </row>
    <row r="113" spans="1:23">
      <c r="A113" s="2">
        <f>'Monthly Data'!A113</f>
        <v>45383</v>
      </c>
      <c r="B113">
        <f>'Monthly Data'!B113</f>
        <v>2024</v>
      </c>
      <c r="C113">
        <f>'Monthly Data'!C113</f>
        <v>4</v>
      </c>
      <c r="D113" s="3">
        <f ca="1">'Monthly Data'!X113</f>
        <v>83404082.335080341</v>
      </c>
      <c r="E113" s="3">
        <f>'Monthly Data'!CN113</f>
        <v>368.29791666666671</v>
      </c>
      <c r="F113" s="3">
        <f>'Monthly Data'!CW113</f>
        <v>2.3833333333333346</v>
      </c>
      <c r="G113">
        <f>'Monthly Data'!EG113</f>
        <v>1</v>
      </c>
      <c r="H113" s="3">
        <f>'Monthly Data'!DQ113</f>
        <v>30</v>
      </c>
      <c r="I113" s="3">
        <f>'Monthly Data'!DL113</f>
        <v>875840</v>
      </c>
      <c r="J113" s="3">
        <f>'Monthly Data'!EH113</f>
        <v>112</v>
      </c>
      <c r="L113" s="616">
        <f t="shared" si="32"/>
        <v>-38000000</v>
      </c>
      <c r="M113" s="3">
        <f t="shared" si="33"/>
        <v>6524762.208687501</v>
      </c>
      <c r="N113" s="3">
        <f t="shared" si="34"/>
        <v>137580.15700000009</v>
      </c>
      <c r="O113" s="3">
        <f t="shared" si="35"/>
        <v>1538400</v>
      </c>
      <c r="P113" s="3">
        <f t="shared" si="36"/>
        <v>39667410</v>
      </c>
      <c r="Q113" s="3">
        <f t="shared" si="37"/>
        <v>79393380.796800002</v>
      </c>
      <c r="R113" s="3">
        <f t="shared" si="38"/>
        <v>-9023929.5999999996</v>
      </c>
      <c r="S113" s="47">
        <f t="shared" si="21"/>
        <v>80237603.562487513</v>
      </c>
      <c r="T113" s="47">
        <f ca="1">'Monthly Data'!Y113+'Monthly Data'!Z113</f>
        <v>220523.03948153835</v>
      </c>
      <c r="U113" s="47">
        <f t="shared" ca="1" si="22"/>
        <v>80458126.601969048</v>
      </c>
      <c r="V113" s="47">
        <f t="shared" ca="1" si="23"/>
        <v>-2945955.7331112921</v>
      </c>
      <c r="W113" s="18">
        <f t="shared" ca="1" si="39"/>
        <v>3.5321481282843667E-2</v>
      </c>
    </row>
    <row r="114" spans="1:23">
      <c r="A114" s="2">
        <f>'Monthly Data'!A114</f>
        <v>45413</v>
      </c>
      <c r="B114">
        <f>'Monthly Data'!B114</f>
        <v>2024</v>
      </c>
      <c r="C114">
        <f>'Monthly Data'!C114</f>
        <v>5</v>
      </c>
      <c r="D114" s="3">
        <f ca="1">'Monthly Data'!X114</f>
        <v>86341996.517449632</v>
      </c>
      <c r="E114" s="3">
        <f>'Monthly Data'!CN114</f>
        <v>143.5708333333333</v>
      </c>
      <c r="F114" s="3">
        <f>'Monthly Data'!CW114</f>
        <v>110.05000000000001</v>
      </c>
      <c r="G114">
        <f>'Monthly Data'!EG114</f>
        <v>1</v>
      </c>
      <c r="H114" s="3">
        <f>'Monthly Data'!DQ114</f>
        <v>31</v>
      </c>
      <c r="I114" s="3">
        <f>'Monthly Data'!DL114</f>
        <v>875840</v>
      </c>
      <c r="J114" s="3">
        <f>'Monthly Data'!EH114</f>
        <v>113</v>
      </c>
      <c r="L114" s="616">
        <f t="shared" si="32"/>
        <v>-38000000</v>
      </c>
      <c r="M114" s="3">
        <f t="shared" si="33"/>
        <v>2543499.4476249996</v>
      </c>
      <c r="N114" s="3">
        <f t="shared" si="34"/>
        <v>6352739.6970000006</v>
      </c>
      <c r="O114" s="3">
        <f t="shared" si="35"/>
        <v>1538400</v>
      </c>
      <c r="P114" s="3">
        <f t="shared" si="36"/>
        <v>40989657</v>
      </c>
      <c r="Q114" s="3">
        <f t="shared" si="37"/>
        <v>79393380.796800002</v>
      </c>
      <c r="R114" s="3">
        <f t="shared" si="38"/>
        <v>-9104500.4000000004</v>
      </c>
      <c r="S114" s="47">
        <f t="shared" si="21"/>
        <v>83713176.54142499</v>
      </c>
      <c r="T114" s="47">
        <f ca="1">'Monthly Data'!Y114+'Monthly Data'!Z114</f>
        <v>113804.38572546907</v>
      </c>
      <c r="U114" s="47">
        <f t="shared" ca="1" si="22"/>
        <v>83826980.927150458</v>
      </c>
      <c r="V114" s="47">
        <f t="shared" ca="1" si="23"/>
        <v>-2515015.5902991742</v>
      </c>
      <c r="W114" s="18">
        <f t="shared" ca="1" si="39"/>
        <v>2.9128531789172747E-2</v>
      </c>
    </row>
    <row r="115" spans="1:23">
      <c r="A115" s="2">
        <f>'Monthly Data'!A115</f>
        <v>45444</v>
      </c>
      <c r="B115">
        <f>'Monthly Data'!B115</f>
        <v>2024</v>
      </c>
      <c r="C115">
        <f>'Monthly Data'!C115</f>
        <v>6</v>
      </c>
      <c r="D115" s="3">
        <f ca="1">'Monthly Data'!X115</f>
        <v>87537209.176320925</v>
      </c>
      <c r="E115" s="3">
        <f>'Monthly Data'!CN115</f>
        <v>60.86249999999999</v>
      </c>
      <c r="F115" s="3">
        <f>'Monthly Data'!CW115</f>
        <v>204.15416666666667</v>
      </c>
      <c r="G115">
        <f>'Monthly Data'!EG115</f>
        <v>0</v>
      </c>
      <c r="H115" s="3">
        <f>'Monthly Data'!DQ115</f>
        <v>30</v>
      </c>
      <c r="I115" s="3">
        <f>'Monthly Data'!DL115</f>
        <v>875840</v>
      </c>
      <c r="J115" s="3">
        <f>'Monthly Data'!EH115</f>
        <v>114</v>
      </c>
      <c r="L115" s="616">
        <f t="shared" si="32"/>
        <v>-38000000</v>
      </c>
      <c r="M115" s="3">
        <f t="shared" si="33"/>
        <v>1078239.4413749999</v>
      </c>
      <c r="N115" s="3">
        <f t="shared" si="34"/>
        <v>11784991.17575</v>
      </c>
      <c r="O115" s="3">
        <f t="shared" si="35"/>
        <v>0</v>
      </c>
      <c r="P115" s="3">
        <f t="shared" si="36"/>
        <v>39667410</v>
      </c>
      <c r="Q115" s="3">
        <f t="shared" si="37"/>
        <v>79393380.796800002</v>
      </c>
      <c r="R115" s="3">
        <f t="shared" si="38"/>
        <v>-9185071.2000000011</v>
      </c>
      <c r="S115" s="47">
        <f t="shared" si="21"/>
        <v>84738950.213925004</v>
      </c>
      <c r="T115" s="47">
        <f ca="1">'Monthly Data'!Y115+'Monthly Data'!Z115</f>
        <v>87107.804816665273</v>
      </c>
      <c r="U115" s="47">
        <f t="shared" ca="1" si="22"/>
        <v>84826058.018741667</v>
      </c>
      <c r="V115" s="47">
        <f t="shared" ca="1" si="23"/>
        <v>-2711151.1575792581</v>
      </c>
      <c r="W115" s="18">
        <f t="shared" ca="1" si="39"/>
        <v>3.0971414134512213E-2</v>
      </c>
    </row>
    <row r="116" spans="1:23">
      <c r="A116" s="2">
        <f>'Monthly Data'!A116</f>
        <v>45474</v>
      </c>
      <c r="B116">
        <f>'Monthly Data'!B116</f>
        <v>2024</v>
      </c>
      <c r="C116">
        <f>'Monthly Data'!C116</f>
        <v>7</v>
      </c>
      <c r="D116" s="3">
        <f ca="1">'Monthly Data'!X116</f>
        <v>95283723.75183019</v>
      </c>
      <c r="E116" s="3">
        <f>'Monthly Data'!CN116</f>
        <v>5.5666666666666629</v>
      </c>
      <c r="F116" s="3">
        <f>'Monthly Data'!CW116</f>
        <v>303.14166666666665</v>
      </c>
      <c r="G116">
        <f>'Monthly Data'!EG116</f>
        <v>0</v>
      </c>
      <c r="H116" s="3">
        <f>'Monthly Data'!DQ116</f>
        <v>31</v>
      </c>
      <c r="I116" s="3">
        <f>'Monthly Data'!DL116</f>
        <v>876752</v>
      </c>
      <c r="J116" s="3">
        <f>'Monthly Data'!EH116</f>
        <v>115</v>
      </c>
      <c r="L116" s="616">
        <f t="shared" si="32"/>
        <v>-38000000</v>
      </c>
      <c r="M116" s="3">
        <f t="shared" si="33"/>
        <v>98619.01099999994</v>
      </c>
      <c r="N116" s="3">
        <f t="shared" si="34"/>
        <v>17499137.661499999</v>
      </c>
      <c r="O116" s="3">
        <f t="shared" si="35"/>
        <v>0</v>
      </c>
      <c r="P116" s="3">
        <f t="shared" si="36"/>
        <v>40989657</v>
      </c>
      <c r="Q116" s="3">
        <f t="shared" si="37"/>
        <v>79476052.019040003</v>
      </c>
      <c r="R116" s="3">
        <f t="shared" si="38"/>
        <v>-9265642</v>
      </c>
      <c r="S116" s="47">
        <f t="shared" si="21"/>
        <v>90797823.691540003</v>
      </c>
      <c r="T116" s="47">
        <f ca="1">'Monthly Data'!Y116+'Monthly Data'!Z116</f>
        <v>73705.90400727115</v>
      </c>
      <c r="U116" s="47">
        <f t="shared" ca="1" si="22"/>
        <v>90871529.595547274</v>
      </c>
      <c r="V116" s="47">
        <f t="shared" ca="1" si="23"/>
        <v>-4412194.1562829167</v>
      </c>
      <c r="W116" s="18">
        <f t="shared" ca="1" si="39"/>
        <v>4.6305853534593502E-2</v>
      </c>
    </row>
    <row r="117" spans="1:23">
      <c r="A117" s="2">
        <f>'Monthly Data'!A117</f>
        <v>45505</v>
      </c>
      <c r="B117">
        <f>'Monthly Data'!B117</f>
        <v>2024</v>
      </c>
      <c r="C117">
        <f>'Monthly Data'!C117</f>
        <v>8</v>
      </c>
      <c r="D117" s="3">
        <f ca="1">'Monthly Data'!X117</f>
        <v>92462608.027977481</v>
      </c>
      <c r="E117" s="3">
        <f>'Monthly Data'!CN117</f>
        <v>26.975000000000016</v>
      </c>
      <c r="F117" s="3">
        <f>'Monthly Data'!CW117</f>
        <v>262.86666666666667</v>
      </c>
      <c r="G117">
        <f>'Monthly Data'!EG117</f>
        <v>0</v>
      </c>
      <c r="H117" s="3">
        <f>'Monthly Data'!DQ117</f>
        <v>31</v>
      </c>
      <c r="I117" s="3">
        <f>'Monthly Data'!DL117</f>
        <v>876752</v>
      </c>
      <c r="J117" s="3">
        <f>'Monthly Data'!EH117</f>
        <v>116</v>
      </c>
      <c r="L117" s="616">
        <f t="shared" si="32"/>
        <v>-38000000</v>
      </c>
      <c r="M117" s="3">
        <f t="shared" si="33"/>
        <v>477888.83025000035</v>
      </c>
      <c r="N117" s="3">
        <f t="shared" si="34"/>
        <v>15174225.428000001</v>
      </c>
      <c r="O117" s="3">
        <f t="shared" si="35"/>
        <v>0</v>
      </c>
      <c r="P117" s="3">
        <f t="shared" si="36"/>
        <v>40989657</v>
      </c>
      <c r="Q117" s="3">
        <f t="shared" si="37"/>
        <v>79476052.019040003</v>
      </c>
      <c r="R117" s="3">
        <f t="shared" si="38"/>
        <v>-9346212.8000000007</v>
      </c>
      <c r="S117" s="47">
        <f t="shared" si="21"/>
        <v>88771610.477290019</v>
      </c>
      <c r="T117" s="47">
        <f ca="1">'Monthly Data'!Y117+'Monthly Data'!Z117</f>
        <v>79783.65378021542</v>
      </c>
      <c r="U117" s="47">
        <f t="shared" ca="1" si="22"/>
        <v>88851394.131070241</v>
      </c>
      <c r="V117" s="47">
        <f t="shared" ca="1" si="23"/>
        <v>-3611213.8969072402</v>
      </c>
      <c r="W117" s="18">
        <f t="shared" ca="1" si="39"/>
        <v>3.9055938112999726E-2</v>
      </c>
    </row>
    <row r="118" spans="1:23">
      <c r="A118" s="2">
        <f>'Monthly Data'!A118</f>
        <v>45536</v>
      </c>
      <c r="B118">
        <f>'Monthly Data'!B118</f>
        <v>2024</v>
      </c>
      <c r="C118">
        <f>'Monthly Data'!C118</f>
        <v>9</v>
      </c>
      <c r="D118" s="3">
        <f ca="1">'Monthly Data'!X118</f>
        <v>87269640.356196776</v>
      </c>
      <c r="E118" s="3">
        <f>'Monthly Data'!CN118</f>
        <v>69.33750000000002</v>
      </c>
      <c r="F118" s="3">
        <f>'Monthly Data'!CW118</f>
        <v>171.29999999999998</v>
      </c>
      <c r="G118">
        <f>'Monthly Data'!EG118</f>
        <v>1</v>
      </c>
      <c r="H118" s="3">
        <f>'Monthly Data'!DQ118</f>
        <v>30</v>
      </c>
      <c r="I118" s="3">
        <f>'Monthly Data'!DL118</f>
        <v>876752</v>
      </c>
      <c r="J118" s="3">
        <f>'Monthly Data'!EH118</f>
        <v>117</v>
      </c>
      <c r="L118" s="616">
        <f t="shared" si="32"/>
        <v>-38000000</v>
      </c>
      <c r="M118" s="3">
        <f t="shared" si="33"/>
        <v>1228382.4566250006</v>
      </c>
      <c r="N118" s="3">
        <f t="shared" si="34"/>
        <v>9888453.5219999999</v>
      </c>
      <c r="O118" s="3">
        <f t="shared" si="35"/>
        <v>1538400</v>
      </c>
      <c r="P118" s="3">
        <f t="shared" si="36"/>
        <v>39667410</v>
      </c>
      <c r="Q118" s="3">
        <f t="shared" si="37"/>
        <v>79476052.019040003</v>
      </c>
      <c r="R118" s="3">
        <f t="shared" si="38"/>
        <v>-9426783.5999999996</v>
      </c>
      <c r="S118" s="47">
        <f t="shared" si="21"/>
        <v>84371914.397665009</v>
      </c>
      <c r="T118" s="47">
        <f ca="1">'Monthly Data'!Y118+'Monthly Data'!Z118</f>
        <v>92444.468012864221</v>
      </c>
      <c r="U118" s="47">
        <f t="shared" ca="1" si="22"/>
        <v>84464358.865677878</v>
      </c>
      <c r="V118" s="47">
        <f t="shared" ca="1" si="23"/>
        <v>-2805281.4905188978</v>
      </c>
      <c r="W118" s="18">
        <f t="shared" ca="1" si="39"/>
        <v>3.2144987409928091E-2</v>
      </c>
    </row>
    <row r="119" spans="1:23">
      <c r="A119" s="2">
        <f>'Monthly Data'!A119</f>
        <v>45566</v>
      </c>
      <c r="B119">
        <f>'Monthly Data'!B119</f>
        <v>2024</v>
      </c>
      <c r="C119">
        <f>'Monthly Data'!C119</f>
        <v>10</v>
      </c>
      <c r="D119" s="3">
        <f ca="1">'Monthly Data'!X119</f>
        <v>84352491.580078065</v>
      </c>
      <c r="E119" s="3">
        <f>'Monthly Data'!CN119</f>
        <v>295.94166666666661</v>
      </c>
      <c r="F119" s="3">
        <f>'Monthly Data'!CW119</f>
        <v>31.104166666666679</v>
      </c>
      <c r="G119">
        <f>'Monthly Data'!EG119</f>
        <v>1</v>
      </c>
      <c r="H119" s="3">
        <f>'Monthly Data'!DQ119</f>
        <v>31</v>
      </c>
      <c r="I119" s="3">
        <f>'Monthly Data'!DL119</f>
        <v>880222</v>
      </c>
      <c r="J119" s="3">
        <f>'Monthly Data'!EH119</f>
        <v>118</v>
      </c>
      <c r="L119" s="616">
        <f t="shared" si="32"/>
        <v>-38000000</v>
      </c>
      <c r="M119" s="3">
        <f t="shared" si="33"/>
        <v>5242899.6072499994</v>
      </c>
      <c r="N119" s="3">
        <f t="shared" si="34"/>
        <v>1795517.2587500007</v>
      </c>
      <c r="O119" s="3">
        <f t="shared" si="35"/>
        <v>1538400</v>
      </c>
      <c r="P119" s="3">
        <f t="shared" si="36"/>
        <v>40989657</v>
      </c>
      <c r="Q119" s="3">
        <f t="shared" si="37"/>
        <v>79790601.515939996</v>
      </c>
      <c r="R119" s="3">
        <f t="shared" si="38"/>
        <v>-9507354.4000000004</v>
      </c>
      <c r="S119" s="47">
        <f t="shared" ref="S119:S121" si="40">SUM(L119:R119)</f>
        <v>81849720.981939986</v>
      </c>
      <c r="T119" s="47">
        <f ca="1">'Monthly Data'!Y119+'Monthly Data'!Z119</f>
        <v>196389.06048266363</v>
      </c>
      <c r="U119" s="47">
        <f t="shared" ref="U119:U121" ca="1" si="41">S119+T119</f>
        <v>82046110.042422652</v>
      </c>
      <c r="V119" s="47">
        <f t="shared" ref="V119:V121" ca="1" si="42">U119-D119</f>
        <v>-2306381.5376554132</v>
      </c>
      <c r="W119" s="18">
        <f t="shared" ca="1" si="39"/>
        <v>2.7342186276334276E-2</v>
      </c>
    </row>
    <row r="120" spans="1:23">
      <c r="A120" s="2">
        <f>'Monthly Data'!A120</f>
        <v>45597</v>
      </c>
      <c r="B120">
        <f>'Monthly Data'!B120</f>
        <v>2024</v>
      </c>
      <c r="C120">
        <f>'Monthly Data'!C120</f>
        <v>11</v>
      </c>
      <c r="D120" s="3">
        <f ca="1">'Monthly Data'!X120</f>
        <v>82396991.622043356</v>
      </c>
      <c r="E120" s="3">
        <f>'Monthly Data'!CN120</f>
        <v>426.29166666666663</v>
      </c>
      <c r="F120" s="3">
        <f>'Monthly Data'!CW120</f>
        <v>9.5041666666666629</v>
      </c>
      <c r="G120">
        <f>'Monthly Data'!EG120</f>
        <v>1</v>
      </c>
      <c r="H120" s="3">
        <f>'Monthly Data'!DQ120</f>
        <v>30</v>
      </c>
      <c r="I120" s="3">
        <f>'Monthly Data'!DL120</f>
        <v>880222</v>
      </c>
      <c r="J120" s="3">
        <f>'Monthly Data'!EH120</f>
        <v>119</v>
      </c>
      <c r="L120" s="616">
        <f t="shared" si="32"/>
        <v>-38000000</v>
      </c>
      <c r="M120" s="3">
        <f t="shared" si="33"/>
        <v>7552178.9037499996</v>
      </c>
      <c r="N120" s="3">
        <f t="shared" si="34"/>
        <v>548636.9547499998</v>
      </c>
      <c r="O120" s="3">
        <f t="shared" si="35"/>
        <v>1538400</v>
      </c>
      <c r="P120" s="3">
        <f t="shared" si="36"/>
        <v>39667410</v>
      </c>
      <c r="Q120" s="3">
        <f t="shared" si="37"/>
        <v>79790601.515939996</v>
      </c>
      <c r="R120" s="3">
        <f t="shared" si="38"/>
        <v>-9587925.2000000011</v>
      </c>
      <c r="S120" s="47">
        <f t="shared" si="40"/>
        <v>81509302.174439996</v>
      </c>
      <c r="T120" s="47">
        <f ca="1">'Monthly Data'!Y120+'Monthly Data'!Z120</f>
        <v>264393.23111166974</v>
      </c>
      <c r="U120" s="47">
        <f t="shared" ca="1" si="41"/>
        <v>81773695.405551672</v>
      </c>
      <c r="V120" s="47">
        <f t="shared" ca="1" si="42"/>
        <v>-623296.21649168432</v>
      </c>
      <c r="W120" s="18">
        <f t="shared" ca="1" si="39"/>
        <v>7.5645506495037648E-3</v>
      </c>
    </row>
    <row r="121" spans="1:23">
      <c r="A121" s="2">
        <f>'Monthly Data'!A121</f>
        <v>45627</v>
      </c>
      <c r="B121">
        <f>'Monthly Data'!B121</f>
        <v>2024</v>
      </c>
      <c r="C121">
        <f>'Monthly Data'!C121</f>
        <v>12</v>
      </c>
      <c r="D121" s="3">
        <f ca="1">'Monthly Data'!X121</f>
        <v>86210582.360618636</v>
      </c>
      <c r="E121" s="3">
        <f>'Monthly Data'!CN121</f>
        <v>660.57500000000016</v>
      </c>
      <c r="F121" s="3">
        <f>'Monthly Data'!CW121</f>
        <v>0</v>
      </c>
      <c r="G121">
        <f>'Monthly Data'!EG121</f>
        <v>0</v>
      </c>
      <c r="H121" s="3">
        <f>'Monthly Data'!DQ121</f>
        <v>31</v>
      </c>
      <c r="I121" s="3">
        <f>'Monthly Data'!DL121</f>
        <v>880222</v>
      </c>
      <c r="J121" s="3">
        <f>'Monthly Data'!EH121</f>
        <v>120</v>
      </c>
      <c r="L121" s="616">
        <f t="shared" si="32"/>
        <v>-38000000</v>
      </c>
      <c r="M121" s="3">
        <f t="shared" si="33"/>
        <v>11702740.094250005</v>
      </c>
      <c r="N121" s="3">
        <f t="shared" si="34"/>
        <v>0</v>
      </c>
      <c r="O121" s="3">
        <f t="shared" si="35"/>
        <v>0</v>
      </c>
      <c r="P121" s="3">
        <f t="shared" si="36"/>
        <v>40989657</v>
      </c>
      <c r="Q121" s="3">
        <f t="shared" si="37"/>
        <v>79790601.515939996</v>
      </c>
      <c r="R121" s="3">
        <f t="shared" si="38"/>
        <v>-9668496</v>
      </c>
      <c r="S121" s="47">
        <f t="shared" si="40"/>
        <v>84814502.610190004</v>
      </c>
      <c r="T121" s="47">
        <f ca="1">'Monthly Data'!Y121+'Monthly Data'!Z121</f>
        <v>382125.97433959058</v>
      </c>
      <c r="U121" s="47">
        <f t="shared" ca="1" si="41"/>
        <v>85196628.584529594</v>
      </c>
      <c r="V121" s="47">
        <f t="shared" ca="1" si="42"/>
        <v>-1013953.7760890424</v>
      </c>
      <c r="W121" s="18">
        <f t="shared" ca="1" si="39"/>
        <v>1.1761360941139181E-2</v>
      </c>
    </row>
    <row r="122" spans="1:23">
      <c r="W122" s="17">
        <f ca="1">AVERAGE(W3:W121)</f>
        <v>1.9699164036491041E-2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856B24BA03CC41807CCB77DED0D7D2" ma:contentTypeVersion="16" ma:contentTypeDescription="Create a new document." ma:contentTypeScope="" ma:versionID="b23234d36ada9a2c0e58a3c2dd89d137">
  <xsd:schema xmlns:xsd="http://www.w3.org/2001/XMLSchema" xmlns:xs="http://www.w3.org/2001/XMLSchema" xmlns:p="http://schemas.microsoft.com/office/2006/metadata/properties" xmlns:ns2="1ebb5cdf-5803-4e55-8f90-2858ffc370dd" targetNamespace="http://schemas.microsoft.com/office/2006/metadata/properties" ma:root="true" ma:fieldsID="ae6c52689359815722308d5d16eaa639" ns2:_="">
    <xsd:import namespace="1ebb5cdf-5803-4e55-8f90-2858ffc370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Strategic" minOccurs="0"/>
                <xsd:element ref="ns2:LeadPen" minOccurs="0"/>
                <xsd:element ref="ns2:DRP_x0028_Elexicon_x0029_" minOccurs="0"/>
                <xsd:element ref="ns2:Status" minOccurs="0"/>
                <xsd:element ref="ns2:MediaServiceDateTaken" minOccurs="0"/>
                <xsd:element ref="ns2:lcf76f155ced4ddcb4097134ff3c332f" minOccurs="0"/>
                <xsd:element ref="ns2:MediaServiceGenerationTime" minOccurs="0"/>
                <xsd:element ref="ns2:MediaServiceEventHashCode" minOccurs="0"/>
                <xsd:element ref="ns2:Witnes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bb5cdf-5803-4e55-8f90-2858ffc370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trategic" ma:index="12" nillable="true" ma:displayName="Strategic" ma:default="0" ma:format="Dropdown" ma:internalName="Strategic">
      <xsd:simpleType>
        <xsd:restriction base="dms:Boolean"/>
      </xsd:simpleType>
    </xsd:element>
    <xsd:element name="LeadPen" ma:index="13" nillable="true" ma:displayName="Lead Pen" ma:format="Dropdown" ma:list="UserInfo" ma:SharePointGroup="0" ma:internalName="LeadPen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RP_x0028_Elexicon_x0029_" ma:index="14" nillable="true" ma:displayName="DRP (Elexicon)" ma:format="Dropdown" ma:list="UserInfo" ma:SharePointGroup="0" ma:internalName="DRP_x0028_Elexicon_x0029_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atus" ma:index="15" nillable="true" ma:displayName="Status" ma:format="Dropdown" ma:internalName="Status">
      <xsd:simpleType>
        <xsd:union memberTypes="dms:Text">
          <xsd:simpleType>
            <xsd:restriction base="dms:Choice">
              <xsd:enumeration value="Not Started"/>
              <xsd:enumeration value="First Draft in-progress"/>
              <xsd:enumeration value="Revised Draft in-progress"/>
              <xsd:enumeration value="with Torys"/>
              <xsd:enumeration value="Ready for Witness Review"/>
              <xsd:enumeration value="Needs revisions/inputs"/>
              <xsd:enumeration value="Signed-off by Witness"/>
              <xsd:enumeration value="Formatting in Progress"/>
              <xsd:enumeration value="Ready for Final Regulatory Review"/>
              <xsd:enumeration value="Ready to be Filed"/>
              <xsd:enumeration value="Ready for PDFing"/>
            </xsd:restriction>
          </xsd:simpleType>
        </xsd:un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3a22a3d-408e-4f18-9ceb-0cfc2189b2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Witness" ma:index="21" nillable="true" ma:displayName="Witness" ma:format="Dropdown" ma:internalName="Witnes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ynthia Chan"/>
                        <xsd:enumeration value="Stephen Vetsis"/>
                        <xsd:enumeration value="Kriston Romano"/>
                        <xsd:enumeration value="Lincoln Frost-Hunt"/>
                        <xsd:enumeration value="Sam Sadeghi"/>
                        <xsd:enumeration value="Brad Walker"/>
                        <xsd:enumeration value="Stephen Sheehy"/>
                        <xsd:enumeration value="Munish Multani"/>
                        <xsd:enumeration value="Zubair Islam"/>
                        <xsd:enumeration value="Andrew Blair (PA)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1ebb5cdf-5803-4e55-8f90-2858ffc370dd">Ready to be Filed</Status>
    <Strategic xmlns="1ebb5cdf-5803-4e55-8f90-2858ffc370dd">false</Strategic>
    <LeadPen xmlns="1ebb5cdf-5803-4e55-8f90-2858ffc370dd">
      <UserInfo>
        <DisplayName/>
        <AccountId xsi:nil="true"/>
        <AccountType/>
      </UserInfo>
    </LeadPen>
    <lcf76f155ced4ddcb4097134ff3c332f xmlns="1ebb5cdf-5803-4e55-8f90-2858ffc370dd">
      <Terms xmlns="http://schemas.microsoft.com/office/infopath/2007/PartnerControls"/>
    </lcf76f155ced4ddcb4097134ff3c332f>
    <DRP_x0028_Elexicon_x0029_ xmlns="1ebb5cdf-5803-4e55-8f90-2858ffc370dd">
      <UserInfo>
        <DisplayName/>
        <AccountId xsi:nil="true"/>
        <AccountType/>
      </UserInfo>
    </DRP_x0028_Elexicon_x0029_>
    <Witness xmlns="1ebb5cdf-5803-4e55-8f90-2858ffc370dd">
      <Value>Stephen Vetsis</Value>
    </Witness>
  </documentManagement>
</p:properties>
</file>

<file path=customXml/itemProps1.xml><?xml version="1.0" encoding="utf-8"?>
<ds:datastoreItem xmlns:ds="http://schemas.openxmlformats.org/officeDocument/2006/customXml" ds:itemID="{13BCB2A7-A0B4-48ED-BBAD-0B457637B3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113F4B-CED5-456E-A40F-BF5473C046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bb5cdf-5803-4e55-8f90-2858ffc370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AEBA14-F417-43EC-BFBC-141C691FCE8E}">
  <ds:schemaRefs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1ebb5cdf-5803-4e55-8f90-2858ffc370d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Summary</vt:lpstr>
      <vt:lpstr>Monthly Data</vt:lpstr>
      <vt:lpstr>Economic Data</vt:lpstr>
      <vt:lpstr>Weather</vt:lpstr>
      <vt:lpstr>CDM</vt:lpstr>
      <vt:lpstr>VRZ Residential</vt:lpstr>
      <vt:lpstr>VRZ Seasonal</vt:lpstr>
      <vt:lpstr>VRZ GS &lt; 50</vt:lpstr>
      <vt:lpstr>VRZ GS 50-2,999</vt:lpstr>
      <vt:lpstr>VRZ GS 3,000-4,999</vt:lpstr>
      <vt:lpstr>VRZ Large Use</vt:lpstr>
      <vt:lpstr>WRZ Residential</vt:lpstr>
      <vt:lpstr>WRZ GS &lt; 50</vt:lpstr>
      <vt:lpstr>WRZ GS 50-2,999</vt:lpstr>
      <vt:lpstr>WRZ GS 3,000-4,999</vt:lpstr>
      <vt:lpstr>Model Summary</vt:lpstr>
      <vt:lpstr>EV Data</vt:lpstr>
      <vt:lpstr>EV Forecast VRZ</vt:lpstr>
      <vt:lpstr>EV Forecast WRZ</vt:lpstr>
      <vt:lpstr>Heating</vt:lpstr>
      <vt:lpstr>Heating (data)</vt:lpstr>
      <vt:lpstr>New Known Customers</vt:lpstr>
      <vt:lpstr>Total Additional</vt:lpstr>
      <vt:lpstr>VRZ Residential Normalized</vt:lpstr>
      <vt:lpstr>VRZ Seasonal Normalized</vt:lpstr>
      <vt:lpstr>VRZ GS &lt; 50 Normalized</vt:lpstr>
      <vt:lpstr>VRZ GS 50-2,999 Normalized</vt:lpstr>
      <vt:lpstr>VRZ GS 3,000-4,999 Normalized</vt:lpstr>
      <vt:lpstr>VRZ Large Use Normalized</vt:lpstr>
      <vt:lpstr>WRZ Residential Normalized</vt:lpstr>
      <vt:lpstr>WRZ GS &lt; 50 Normalized</vt:lpstr>
      <vt:lpstr>WRZ GS 50-2,999 Normalized</vt:lpstr>
      <vt:lpstr>WRZ GS 3,000-4,999 Normalized</vt:lpstr>
      <vt:lpstr>Normalized Annual Summary</vt:lpstr>
      <vt:lpstr>CDM-eDSM Framework</vt:lpstr>
      <vt:lpstr>kW Forecast</vt:lpstr>
      <vt:lpstr>CDM Adjustment</vt:lpstr>
      <vt:lpstr>Additional Growth</vt:lpstr>
      <vt:lpstr>Customer Count</vt:lpstr>
      <vt:lpstr>Summary Tables</vt:lpstr>
      <vt:lpstr>Overall Load Summary</vt:lpstr>
      <vt:lpstr>Summary Tables (WN)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Susan Kim</cp:lastModifiedBy>
  <dcterms:created xsi:type="dcterms:W3CDTF">2024-08-24T14:14:35Z</dcterms:created>
  <dcterms:modified xsi:type="dcterms:W3CDTF">2025-12-19T16:12:50Z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0x0101007C856B24BA03CC41807CCB77DED0D7D2</vt:lpwstr>
  </property>
  <property fmtid="{D5CDD505-2E9C-101B-9397-08002B2CF9AE}" pid="3" name="MediaServiceImageTags">
    <vt:lpwstr/>
  </property>
</Properties>
</file>